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225"/>
  <workbookPr showInkAnnotation="0" codeName="EstaPasta_de_trabalho" defaultThemeVersion="124226"/>
  <mc:AlternateContent xmlns:mc="http://schemas.openxmlformats.org/markup-compatibility/2006">
    <mc:Choice Requires="x15">
      <x15ac:absPath xmlns:x15ac="http://schemas.microsoft.com/office/spreadsheetml/2010/11/ac" url="X:\PLANEL_Interface_SEE-SMA\Entradas_Script_Faltando\Março 2020\sem interferência\"/>
    </mc:Choice>
  </mc:AlternateContent>
  <xr:revisionPtr revIDLastSave="1" documentId="11_099220F6B1A9A0CD66CFEDEE89D72C5FB0F1727F" xr6:coauthVersionLast="47" xr6:coauthVersionMax="47" xr10:uidLastSave="{95C97ABB-F2FC-490E-BF27-989F76ED7BBF}"/>
  <bookViews>
    <workbookView xWindow="-15" yWindow="165" windowWidth="15375" windowHeight="4455" tabRatio="785" firstSheet="5" activeTab="1" xr2:uid="{00000000-000D-0000-FFFF-FFFF00000000}"/>
  </bookViews>
  <sheets>
    <sheet name="Resumo" sheetId="31" state="hidden" r:id="rId1"/>
    <sheet name="tab_comentarios" sheetId="1" r:id="rId2"/>
    <sheet name="constantes" sheetId="32" r:id="rId3"/>
    <sheet name="tab_parametros_anuais" sheetId="33" r:id="rId4"/>
    <sheet name="tab_Bloco_TE_RE_projetos" sheetId="9" r:id="rId5"/>
    <sheet name="tab_Tecnologias_TE_RE" sheetId="8" r:id="rId6"/>
    <sheet name="tab_UTE_existente" sheetId="6" r:id="rId7"/>
    <sheet name="tab_URE_existente" sheetId="7" r:id="rId8"/>
    <sheet name="tab_UHE_existente" sheetId="3" r:id="rId9"/>
    <sheet name="tab_UHE_projetos" sheetId="4" r:id="rId10"/>
    <sheet name="Plan1" sheetId="41" r:id="rId11"/>
    <sheet name="cod_desembolso" sheetId="11" r:id="rId12"/>
    <sheet name="tab_complexos_UHE" sheetId="5" r:id="rId13"/>
    <sheet name="tab_cod_categoria" sheetId="10" r:id="rId14"/>
    <sheet name="tab_tipo_Combustivel" sheetId="13" r:id="rId15"/>
    <sheet name="tab_custo_combustível" sheetId="12" r:id="rId16"/>
    <sheet name="EvoluçãoCombustíveis" sheetId="34" r:id="rId17"/>
    <sheet name="Mercado" sheetId="15" r:id="rId18"/>
    <sheet name="MercadoPonta" sheetId="16" r:id="rId19"/>
    <sheet name="GerNaoDesp" sheetId="18" r:id="rId20"/>
    <sheet name="tab_Demandas" sheetId="14" r:id="rId21"/>
    <sheet name="CompPerdasIntercambio" sheetId="17" r:id="rId22"/>
    <sheet name="tab_subsistemas" sheetId="20" r:id="rId23"/>
    <sheet name="tab_regioes" sheetId="19" r:id="rId24"/>
    <sheet name="tab_Fator_sazonalidade" sheetId="21" r:id="rId25"/>
    <sheet name="tab_Fator_sazonalidade2" sheetId="22" r:id="rId26"/>
    <sheet name="tab_tipo_expansao" sheetId="23" r:id="rId27"/>
    <sheet name="tab_periodos" sheetId="27" r:id="rId28"/>
    <sheet name="tab_PeriodoEstudo" sheetId="24" r:id="rId29"/>
    <sheet name="tab_FatorPontaHidro" sheetId="39" r:id="rId30"/>
    <sheet name="tab_corredor" sheetId="25" r:id="rId31"/>
    <sheet name="tab_Intercambio_existente" sheetId="26" r:id="rId32"/>
    <sheet name="tab_Intercambio_projetos" sheetId="28" r:id="rId33"/>
    <sheet name="Dados PDE2026" sheetId="40" r:id="rId34"/>
  </sheets>
  <externalReferences>
    <externalReference r:id="rId35"/>
    <externalReference r:id="rId36"/>
    <externalReference r:id="rId37"/>
    <externalReference r:id="rId38"/>
    <externalReference r:id="rId39"/>
    <externalReference r:id="rId40"/>
  </externalReferences>
  <definedNames>
    <definedName name="_xlnm._FilterDatabase" localSheetId="4" hidden="1">tab_Bloco_TE_RE_projetos!$A$1:$O$269</definedName>
    <definedName name="_xlnm._FilterDatabase" localSheetId="31" hidden="1">tab_Intercambio_existente!$A$1:$N$1</definedName>
    <definedName name="_xlnm._FilterDatabase" localSheetId="32" hidden="1">tab_Intercambio_projetos!$A$1:$AC$318</definedName>
    <definedName name="_xlnm._FilterDatabase" localSheetId="5" hidden="1">tab_Tecnologias_TE_RE!$A$1:$AU$63</definedName>
    <definedName name="_xlnm._FilterDatabase" localSheetId="14" hidden="1">tab_tipo_Combustivel!$A$1:$BM$121</definedName>
    <definedName name="_xlnm._FilterDatabase" localSheetId="8" hidden="1">tab_UHE_existente!$A$1:$Z$160</definedName>
    <definedName name="_xlnm._FilterDatabase" localSheetId="9" hidden="1">tab_UHE_projetos!$A$1:$BG$216</definedName>
    <definedName name="_xlnm._FilterDatabase" localSheetId="7" hidden="1">tab_URE_existente!$A$1:$AB$1608</definedName>
    <definedName name="_xlnm._FilterDatabase" localSheetId="6" hidden="1">tab_UTE_existente!$A$1:$AP$109</definedName>
    <definedName name="Câmbio">'[1]CVU IND'!$D$11</definedName>
    <definedName name="Lista_Combustível" localSheetId="3">#REF!</definedName>
    <definedName name="Lista_Combustível">#REF!</definedName>
    <definedName name="Parametros_escalares">constantes!$A$2:$F$11</definedName>
    <definedName name="tab_output_A_CapIn_BlocoTR_tec" localSheetId="2">#REF!</definedName>
    <definedName name="tab_output_A_CapIn_BlocoTR_tec" localSheetId="3">#REF!</definedName>
    <definedName name="tab_output_A_CapIn_BlocoTR_tec">#REF!</definedName>
    <definedName name="tab_output_A_CapIncremental_UHE" localSheetId="2">#REF!</definedName>
    <definedName name="tab_output_A_CapIncremental_UHE" localSheetId="3">#REF!</definedName>
    <definedName name="tab_output_A_CapIncremental_UHE">#REF!</definedName>
    <definedName name="tab_output_A_CapTot_UHE_exist" localSheetId="2">#REF!</definedName>
    <definedName name="tab_output_A_CapTot_UHE_exist" localSheetId="3">#REF!</definedName>
    <definedName name="tab_output_A_CapTot_UHE_exist">#REF!</definedName>
    <definedName name="tab_output_A_CApTot_URE_exist" localSheetId="3">#REF!</definedName>
    <definedName name="tab_output_A_CApTot_URE_exist">#REF!</definedName>
    <definedName name="tab_output_A_CApTot_URE_exist_tec" localSheetId="3">#REF!</definedName>
    <definedName name="tab_output_A_CApTot_URE_exist_tec">#REF!</definedName>
    <definedName name="tab_output_A_CapTot_UTE_exist" localSheetId="3">#REF!</definedName>
    <definedName name="tab_output_A_CapTot_UTE_exist">#REF!</definedName>
    <definedName name="tab_output_A_CapTot_UTE_exist_tec" localSheetId="3">#REF!</definedName>
    <definedName name="tab_output_A_CapTot_UTE_exist_tec">#REF!</definedName>
    <definedName name="tab_output_A_GerMed_TE_RE_sub_tec" localSheetId="3">#REF!</definedName>
    <definedName name="tab_output_A_GerMed_TE_RE_sub_tec">#REF!</definedName>
    <definedName name="tab_output_A_GerMed_UHE_subsist" localSheetId="3">#REF!</definedName>
    <definedName name="tab_output_A_GerMed_UHE_subsist">#REF!</definedName>
    <definedName name="tab_output_A_GerMed_URE_sub_tec" localSheetId="3">#REF!</definedName>
    <definedName name="tab_output_A_GerMed_URE_sub_tec">#REF!</definedName>
    <definedName name="tab_output_A_GerMed_UTE_sub_tec" localSheetId="3">#REF!</definedName>
    <definedName name="tab_output_A_GerMed_UTE_sub_tec">#REF!</definedName>
  </definedNames>
  <calcPr calcId="191028"/>
  <pivotCaches>
    <pivotCache cacheId="10204" r:id="rId41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AE64" i="8" l="1"/>
  <c r="AE62" i="8"/>
  <c r="AE60" i="8"/>
  <c r="AE59" i="8"/>
  <c r="AE58" i="8"/>
  <c r="AE57" i="8"/>
  <c r="AE56" i="8"/>
  <c r="AE20" i="8"/>
  <c r="AE4" i="8"/>
  <c r="O31" i="8" l="1"/>
  <c r="J31" i="8"/>
  <c r="O30" i="8"/>
  <c r="J30" i="8"/>
  <c r="O29" i="8"/>
  <c r="J29" i="8"/>
  <c r="O28" i="8"/>
  <c r="J28" i="8"/>
  <c r="O27" i="8"/>
  <c r="J27" i="8"/>
  <c r="O26" i="8"/>
  <c r="J26" i="8"/>
  <c r="O25" i="8"/>
  <c r="J25" i="8"/>
  <c r="O24" i="8"/>
  <c r="J24" i="8"/>
  <c r="F40" i="9" l="1"/>
  <c r="J41" i="8" l="1"/>
  <c r="J42" i="8"/>
  <c r="J43" i="8"/>
  <c r="J44" i="8"/>
  <c r="J45" i="8"/>
  <c r="J46" i="8"/>
  <c r="J47" i="8"/>
  <c r="J48" i="8"/>
  <c r="J49" i="8"/>
  <c r="J50" i="8"/>
  <c r="J51" i="8"/>
  <c r="J52" i="8"/>
  <c r="O41" i="8"/>
  <c r="O42" i="8"/>
  <c r="O43" i="8"/>
  <c r="O44" i="8"/>
  <c r="O45" i="8"/>
  <c r="O46" i="8"/>
  <c r="O47" i="8"/>
  <c r="O48" i="8"/>
  <c r="O49" i="8"/>
  <c r="O50" i="8"/>
  <c r="O51" i="8"/>
  <c r="O52" i="8"/>
  <c r="V41" i="8"/>
  <c r="V42" i="8"/>
  <c r="V43" i="8"/>
  <c r="V44" i="8"/>
  <c r="V45" i="8"/>
  <c r="V46" i="8"/>
  <c r="V47" i="8"/>
  <c r="V48" i="8"/>
  <c r="V49" i="8"/>
  <c r="V50" i="8"/>
  <c r="V51" i="8"/>
  <c r="V52" i="8"/>
  <c r="AF41" i="8"/>
  <c r="AD41" i="8" s="1"/>
  <c r="AJ41" i="8" s="1"/>
  <c r="AK41" i="8" s="1"/>
  <c r="AF42" i="8"/>
  <c r="AD42" i="8" s="1"/>
  <c r="AF43" i="8"/>
  <c r="AD43" i="8" s="1"/>
  <c r="AJ43" i="8" s="1"/>
  <c r="AF44" i="8"/>
  <c r="AD44" i="8" s="1"/>
  <c r="AJ44" i="8" s="1"/>
  <c r="AK44" i="8" s="1"/>
  <c r="AF45" i="8"/>
  <c r="AD45" i="8" s="1"/>
  <c r="AJ45" i="8" s="1"/>
  <c r="AF46" i="8"/>
  <c r="AD46" i="8" s="1"/>
  <c r="AJ46" i="8" s="1"/>
  <c r="AF47" i="8"/>
  <c r="AD47" i="8" s="1"/>
  <c r="AJ47" i="8" s="1"/>
  <c r="AF48" i="8"/>
  <c r="AD48" i="8" s="1"/>
  <c r="AJ48" i="8" s="1"/>
  <c r="AF49" i="8"/>
  <c r="AD49" i="8" s="1"/>
  <c r="AF50" i="8"/>
  <c r="AD50" i="8" s="1"/>
  <c r="AF51" i="8"/>
  <c r="AD51" i="8" s="1"/>
  <c r="AJ51" i="8" s="1"/>
  <c r="AF52" i="8"/>
  <c r="AD52" i="8" s="1"/>
  <c r="AJ52" i="8" s="1"/>
  <c r="AM41" i="8"/>
  <c r="AQ41" i="8"/>
  <c r="AJ42" i="8"/>
  <c r="AK42" i="8" s="1"/>
  <c r="AM42" i="8"/>
  <c r="AQ42" i="8"/>
  <c r="AM43" i="8"/>
  <c r="AQ43" i="8"/>
  <c r="AM44" i="8"/>
  <c r="AQ44" i="8"/>
  <c r="AM45" i="8"/>
  <c r="AQ45" i="8"/>
  <c r="AM46" i="8"/>
  <c r="AQ46" i="8"/>
  <c r="AM47" i="8"/>
  <c r="AQ47" i="8"/>
  <c r="AM48" i="8"/>
  <c r="AQ48" i="8"/>
  <c r="AJ49" i="8"/>
  <c r="AK49" i="8" s="1"/>
  <c r="AM49" i="8"/>
  <c r="AQ49" i="8"/>
  <c r="AJ50" i="8"/>
  <c r="AK50" i="8" s="1"/>
  <c r="AM50" i="8"/>
  <c r="AQ50" i="8"/>
  <c r="AM51" i="8"/>
  <c r="AQ51" i="8"/>
  <c r="AM52" i="8"/>
  <c r="AQ52" i="8"/>
  <c r="AK52" i="8" l="1"/>
  <c r="AK47" i="8"/>
  <c r="AK45" i="8"/>
  <c r="AK43" i="8"/>
  <c r="AK48" i="8"/>
  <c r="AK46" i="8"/>
  <c r="AK51" i="8"/>
  <c r="I13" i="15"/>
  <c r="H13" i="15"/>
  <c r="G13" i="15"/>
  <c r="F3" i="22" l="1"/>
  <c r="F4" i="22"/>
  <c r="F5" i="22"/>
  <c r="F6" i="22"/>
  <c r="F7" i="22"/>
  <c r="F8" i="22"/>
  <c r="F2" i="22"/>
  <c r="AR63" i="8"/>
  <c r="AM60" i="8"/>
  <c r="AM61" i="8"/>
  <c r="AM62" i="8"/>
  <c r="AM63" i="8"/>
  <c r="AM64" i="8"/>
  <c r="AF63" i="8"/>
  <c r="AD63" i="8"/>
  <c r="AJ63" i="8" s="1"/>
  <c r="X63" i="8"/>
  <c r="X64" i="8"/>
  <c r="V63" i="8"/>
  <c r="V64" i="8"/>
  <c r="O63" i="8"/>
  <c r="O64" i="8"/>
  <c r="J63" i="8"/>
  <c r="J64" i="8"/>
  <c r="M3" i="9"/>
  <c r="M4" i="9"/>
  <c r="M5" i="9"/>
  <c r="M6" i="9"/>
  <c r="M7" i="9"/>
  <c r="M8" i="9"/>
  <c r="M9" i="9"/>
  <c r="M10" i="9"/>
  <c r="M11" i="9"/>
  <c r="M12" i="9"/>
  <c r="M13" i="9"/>
  <c r="M14" i="9"/>
  <c r="M15" i="9"/>
  <c r="M16" i="9"/>
  <c r="M17" i="9"/>
  <c r="M18" i="9"/>
  <c r="M19" i="9"/>
  <c r="M20" i="9"/>
  <c r="M21" i="9"/>
  <c r="M22" i="9"/>
  <c r="M23" i="9"/>
  <c r="M24" i="9"/>
  <c r="M25" i="9"/>
  <c r="M26" i="9"/>
  <c r="M27" i="9"/>
  <c r="M28" i="9"/>
  <c r="M29" i="9"/>
  <c r="M30" i="9"/>
  <c r="M31" i="9"/>
  <c r="M32" i="9"/>
  <c r="M33" i="9"/>
  <c r="M34" i="9"/>
  <c r="M35" i="9"/>
  <c r="M36" i="9"/>
  <c r="M37" i="9"/>
  <c r="M38" i="9"/>
  <c r="M39" i="9"/>
  <c r="M40" i="9"/>
  <c r="M41" i="9"/>
  <c r="M42" i="9"/>
  <c r="M43" i="9"/>
  <c r="M44" i="9"/>
  <c r="M45" i="9"/>
  <c r="M46" i="9"/>
  <c r="M47" i="9"/>
  <c r="M48" i="9"/>
  <c r="M49" i="9"/>
  <c r="M50" i="9"/>
  <c r="M51" i="9"/>
  <c r="M52" i="9"/>
  <c r="M53" i="9"/>
  <c r="M54" i="9"/>
  <c r="M55" i="9"/>
  <c r="M56" i="9"/>
  <c r="M57" i="9"/>
  <c r="M58" i="9"/>
  <c r="M59" i="9"/>
  <c r="M60" i="9"/>
  <c r="M61" i="9"/>
  <c r="M62" i="9"/>
  <c r="M63" i="9"/>
  <c r="M64" i="9"/>
  <c r="M65" i="9"/>
  <c r="M66" i="9"/>
  <c r="M67" i="9"/>
  <c r="M68" i="9"/>
  <c r="M69" i="9"/>
  <c r="M70" i="9"/>
  <c r="M71" i="9"/>
  <c r="M72" i="9"/>
  <c r="M73" i="9"/>
  <c r="M74" i="9"/>
  <c r="M75" i="9"/>
  <c r="M76" i="9"/>
  <c r="M77" i="9"/>
  <c r="M78" i="9"/>
  <c r="M79" i="9"/>
  <c r="M80" i="9"/>
  <c r="M81" i="9"/>
  <c r="M82" i="9"/>
  <c r="M83" i="9"/>
  <c r="M84" i="9"/>
  <c r="M85" i="9"/>
  <c r="M86" i="9"/>
  <c r="M87" i="9"/>
  <c r="M88" i="9"/>
  <c r="M89" i="9"/>
  <c r="M90" i="9"/>
  <c r="M91" i="9"/>
  <c r="M92" i="9"/>
  <c r="M93" i="9"/>
  <c r="M94" i="9"/>
  <c r="M95" i="9"/>
  <c r="M96" i="9"/>
  <c r="M97" i="9"/>
  <c r="M98" i="9"/>
  <c r="M99" i="9"/>
  <c r="M100" i="9"/>
  <c r="M101" i="9"/>
  <c r="M102" i="9"/>
  <c r="M103" i="9"/>
  <c r="M104" i="9"/>
  <c r="M105" i="9"/>
  <c r="M106" i="9"/>
  <c r="M107" i="9"/>
  <c r="M108" i="9"/>
  <c r="M109" i="9"/>
  <c r="M110" i="9"/>
  <c r="M111" i="9"/>
  <c r="M112" i="9"/>
  <c r="M113" i="9"/>
  <c r="M114" i="9"/>
  <c r="M115" i="9"/>
  <c r="M116" i="9"/>
  <c r="M117" i="9"/>
  <c r="M118" i="9"/>
  <c r="M119" i="9"/>
  <c r="M120" i="9"/>
  <c r="M121" i="9"/>
  <c r="M122" i="9"/>
  <c r="M123" i="9"/>
  <c r="M124" i="9"/>
  <c r="M125" i="9"/>
  <c r="M126" i="9"/>
  <c r="M127" i="9"/>
  <c r="M128" i="9"/>
  <c r="M129" i="9"/>
  <c r="M130" i="9"/>
  <c r="M131" i="9"/>
  <c r="M132" i="9"/>
  <c r="M133" i="9"/>
  <c r="M134" i="9"/>
  <c r="M135" i="9"/>
  <c r="M136" i="9"/>
  <c r="M137" i="9"/>
  <c r="M138" i="9"/>
  <c r="M139" i="9"/>
  <c r="M140" i="9"/>
  <c r="M141" i="9"/>
  <c r="M142" i="9"/>
  <c r="M143" i="9"/>
  <c r="M144" i="9"/>
  <c r="M145" i="9"/>
  <c r="M146" i="9"/>
  <c r="M147" i="9"/>
  <c r="M148" i="9"/>
  <c r="M149" i="9"/>
  <c r="M150" i="9"/>
  <c r="M151" i="9"/>
  <c r="M152" i="9"/>
  <c r="M153" i="9"/>
  <c r="M154" i="9"/>
  <c r="M155" i="9"/>
  <c r="M156" i="9"/>
  <c r="M157" i="9"/>
  <c r="M158" i="9"/>
  <c r="M159" i="9"/>
  <c r="M160" i="9"/>
  <c r="M161" i="9"/>
  <c r="M162" i="9"/>
  <c r="M163" i="9"/>
  <c r="M164" i="9"/>
  <c r="M165" i="9"/>
  <c r="M166" i="9"/>
  <c r="M167" i="9"/>
  <c r="M168" i="9"/>
  <c r="M169" i="9"/>
  <c r="M170" i="9"/>
  <c r="M171" i="9"/>
  <c r="M172" i="9"/>
  <c r="M173" i="9"/>
  <c r="M174" i="9"/>
  <c r="M175" i="9"/>
  <c r="M176" i="9"/>
  <c r="M177" i="9"/>
  <c r="M178" i="9"/>
  <c r="M179" i="9"/>
  <c r="M180" i="9"/>
  <c r="M181" i="9"/>
  <c r="M182" i="9"/>
  <c r="M183" i="9"/>
  <c r="M184" i="9"/>
  <c r="M185" i="9"/>
  <c r="M186" i="9"/>
  <c r="M187" i="9"/>
  <c r="M188" i="9"/>
  <c r="M189" i="9"/>
  <c r="M190" i="9"/>
  <c r="M191" i="9"/>
  <c r="M192" i="9"/>
  <c r="M193" i="9"/>
  <c r="M194" i="9"/>
  <c r="M195" i="9"/>
  <c r="M196" i="9"/>
  <c r="M197" i="9"/>
  <c r="M198" i="9"/>
  <c r="M199" i="9"/>
  <c r="M200" i="9"/>
  <c r="M201" i="9"/>
  <c r="M202" i="9"/>
  <c r="M203" i="9"/>
  <c r="M204" i="9"/>
  <c r="M205" i="9"/>
  <c r="M206" i="9"/>
  <c r="M207" i="9"/>
  <c r="M208" i="9"/>
  <c r="M209" i="9"/>
  <c r="M210" i="9"/>
  <c r="M211" i="9"/>
  <c r="M212" i="9"/>
  <c r="M213" i="9"/>
  <c r="M214" i="9"/>
  <c r="M215" i="9"/>
  <c r="M216" i="9"/>
  <c r="M217" i="9"/>
  <c r="M218" i="9"/>
  <c r="M219" i="9"/>
  <c r="M220" i="9"/>
  <c r="M221" i="9"/>
  <c r="M222" i="9"/>
  <c r="M223" i="9"/>
  <c r="M224" i="9"/>
  <c r="M225" i="9"/>
  <c r="M226" i="9"/>
  <c r="M227" i="9"/>
  <c r="M228" i="9"/>
  <c r="M229" i="9"/>
  <c r="M230" i="9"/>
  <c r="M231" i="9"/>
  <c r="M232" i="9"/>
  <c r="M233" i="9"/>
  <c r="M234" i="9"/>
  <c r="M235" i="9"/>
  <c r="M236" i="9"/>
  <c r="M237" i="9"/>
  <c r="M238" i="9"/>
  <c r="M239" i="9"/>
  <c r="M240" i="9"/>
  <c r="M241" i="9"/>
  <c r="M242" i="9"/>
  <c r="M243" i="9"/>
  <c r="M244" i="9"/>
  <c r="M245" i="9"/>
  <c r="M246" i="9"/>
  <c r="M247" i="9"/>
  <c r="M248" i="9"/>
  <c r="M249" i="9"/>
  <c r="M250" i="9"/>
  <c r="M251" i="9"/>
  <c r="M252" i="9"/>
  <c r="M253" i="9"/>
  <c r="M254" i="9"/>
  <c r="M255" i="9"/>
  <c r="M256" i="9"/>
  <c r="M257" i="9"/>
  <c r="M258" i="9"/>
  <c r="M259" i="9"/>
  <c r="M260" i="9"/>
  <c r="M261" i="9"/>
  <c r="M262" i="9"/>
  <c r="M263" i="9"/>
  <c r="M264" i="9"/>
  <c r="M265" i="9"/>
  <c r="M266" i="9"/>
  <c r="M267" i="9"/>
  <c r="M268" i="9"/>
  <c r="M269" i="9"/>
  <c r="M2" i="9"/>
  <c r="L3" i="9"/>
  <c r="L4" i="9"/>
  <c r="L5" i="9"/>
  <c r="L6" i="9"/>
  <c r="L7" i="9"/>
  <c r="L8" i="9"/>
  <c r="L9" i="9"/>
  <c r="L10" i="9"/>
  <c r="L11" i="9"/>
  <c r="L12" i="9"/>
  <c r="L13" i="9"/>
  <c r="L14" i="9"/>
  <c r="L15" i="9"/>
  <c r="L16" i="9"/>
  <c r="L17" i="9"/>
  <c r="L18" i="9"/>
  <c r="L19" i="9"/>
  <c r="L20" i="9"/>
  <c r="L21" i="9"/>
  <c r="L22" i="9"/>
  <c r="L23" i="9"/>
  <c r="L24" i="9"/>
  <c r="L25" i="9"/>
  <c r="L26" i="9"/>
  <c r="L27" i="9"/>
  <c r="L28" i="9"/>
  <c r="L29" i="9"/>
  <c r="L30" i="9"/>
  <c r="L31" i="9"/>
  <c r="L32" i="9"/>
  <c r="L33" i="9"/>
  <c r="L34" i="9"/>
  <c r="L35" i="9"/>
  <c r="L36" i="9"/>
  <c r="L37" i="9"/>
  <c r="L38" i="9"/>
  <c r="L39" i="9"/>
  <c r="L40" i="9"/>
  <c r="L41" i="9"/>
  <c r="L42" i="9"/>
  <c r="L43" i="9"/>
  <c r="L44" i="9"/>
  <c r="L45" i="9"/>
  <c r="L46" i="9"/>
  <c r="L47" i="9"/>
  <c r="L48" i="9"/>
  <c r="L49" i="9"/>
  <c r="L50" i="9"/>
  <c r="L51" i="9"/>
  <c r="L52" i="9"/>
  <c r="L53" i="9"/>
  <c r="L54" i="9"/>
  <c r="L55" i="9"/>
  <c r="L56" i="9"/>
  <c r="L57" i="9"/>
  <c r="L58" i="9"/>
  <c r="L59" i="9"/>
  <c r="L60" i="9"/>
  <c r="L61" i="9"/>
  <c r="L62" i="9"/>
  <c r="L63" i="9"/>
  <c r="L64" i="9"/>
  <c r="L65" i="9"/>
  <c r="L66" i="9"/>
  <c r="L67" i="9"/>
  <c r="L68" i="9"/>
  <c r="L69" i="9"/>
  <c r="L70" i="9"/>
  <c r="L71" i="9"/>
  <c r="L72" i="9"/>
  <c r="L73" i="9"/>
  <c r="L74" i="9"/>
  <c r="L75" i="9"/>
  <c r="L76" i="9"/>
  <c r="L77" i="9"/>
  <c r="L78" i="9"/>
  <c r="L79" i="9"/>
  <c r="L80" i="9"/>
  <c r="L81" i="9"/>
  <c r="L82" i="9"/>
  <c r="L83" i="9"/>
  <c r="L84" i="9"/>
  <c r="L85" i="9"/>
  <c r="L86" i="9"/>
  <c r="L87" i="9"/>
  <c r="L88" i="9"/>
  <c r="L89" i="9"/>
  <c r="L90" i="9"/>
  <c r="L91" i="9"/>
  <c r="L92" i="9"/>
  <c r="L93" i="9"/>
  <c r="L94" i="9"/>
  <c r="L95" i="9"/>
  <c r="L96" i="9"/>
  <c r="L97" i="9"/>
  <c r="L98" i="9"/>
  <c r="L99" i="9"/>
  <c r="L100" i="9"/>
  <c r="L101" i="9"/>
  <c r="L102" i="9"/>
  <c r="L103" i="9"/>
  <c r="L104" i="9"/>
  <c r="L105" i="9"/>
  <c r="L106" i="9"/>
  <c r="L107" i="9"/>
  <c r="L108" i="9"/>
  <c r="L109" i="9"/>
  <c r="L110" i="9"/>
  <c r="L111" i="9"/>
  <c r="L112" i="9"/>
  <c r="L113" i="9"/>
  <c r="L114" i="9"/>
  <c r="L115" i="9"/>
  <c r="L116" i="9"/>
  <c r="L117" i="9"/>
  <c r="L118" i="9"/>
  <c r="L119" i="9"/>
  <c r="L120" i="9"/>
  <c r="L121" i="9"/>
  <c r="L122" i="9"/>
  <c r="L123" i="9"/>
  <c r="L124" i="9"/>
  <c r="L125" i="9"/>
  <c r="L126" i="9"/>
  <c r="L127" i="9"/>
  <c r="L128" i="9"/>
  <c r="L129" i="9"/>
  <c r="L130" i="9"/>
  <c r="L131" i="9"/>
  <c r="L132" i="9"/>
  <c r="L133" i="9"/>
  <c r="L134" i="9"/>
  <c r="L135" i="9"/>
  <c r="L136" i="9"/>
  <c r="L137" i="9"/>
  <c r="L138" i="9"/>
  <c r="L139" i="9"/>
  <c r="L140" i="9"/>
  <c r="L141" i="9"/>
  <c r="L142" i="9"/>
  <c r="L143" i="9"/>
  <c r="L144" i="9"/>
  <c r="L145" i="9"/>
  <c r="L146" i="9"/>
  <c r="L147" i="9"/>
  <c r="L148" i="9"/>
  <c r="L149" i="9"/>
  <c r="L150" i="9"/>
  <c r="L151" i="9"/>
  <c r="L152" i="9"/>
  <c r="L153" i="9"/>
  <c r="L154" i="9"/>
  <c r="L155" i="9"/>
  <c r="L156" i="9"/>
  <c r="L157" i="9"/>
  <c r="L158" i="9"/>
  <c r="L159" i="9"/>
  <c r="L160" i="9"/>
  <c r="L161" i="9"/>
  <c r="L162" i="9"/>
  <c r="L163" i="9"/>
  <c r="L164" i="9"/>
  <c r="L165" i="9"/>
  <c r="L166" i="9"/>
  <c r="L167" i="9"/>
  <c r="L168" i="9"/>
  <c r="L169" i="9"/>
  <c r="L170" i="9"/>
  <c r="L171" i="9"/>
  <c r="L172" i="9"/>
  <c r="L173" i="9"/>
  <c r="L174" i="9"/>
  <c r="L175" i="9"/>
  <c r="L176" i="9"/>
  <c r="L177" i="9"/>
  <c r="L178" i="9"/>
  <c r="L179" i="9"/>
  <c r="L180" i="9"/>
  <c r="L181" i="9"/>
  <c r="L182" i="9"/>
  <c r="L183" i="9"/>
  <c r="L184" i="9"/>
  <c r="L185" i="9"/>
  <c r="L186" i="9"/>
  <c r="L187" i="9"/>
  <c r="L188" i="9"/>
  <c r="L189" i="9"/>
  <c r="L190" i="9"/>
  <c r="L191" i="9"/>
  <c r="L192" i="9"/>
  <c r="L193" i="9"/>
  <c r="L194" i="9"/>
  <c r="L195" i="9"/>
  <c r="L196" i="9"/>
  <c r="L197" i="9"/>
  <c r="L198" i="9"/>
  <c r="L199" i="9"/>
  <c r="L200" i="9"/>
  <c r="L201" i="9"/>
  <c r="L202" i="9"/>
  <c r="L203" i="9"/>
  <c r="L204" i="9"/>
  <c r="L205" i="9"/>
  <c r="L206" i="9"/>
  <c r="L207" i="9"/>
  <c r="L208" i="9"/>
  <c r="L209" i="9"/>
  <c r="L210" i="9"/>
  <c r="L211" i="9"/>
  <c r="L212" i="9"/>
  <c r="L213" i="9"/>
  <c r="L214" i="9"/>
  <c r="L215" i="9"/>
  <c r="L216" i="9"/>
  <c r="L217" i="9"/>
  <c r="L218" i="9"/>
  <c r="L219" i="9"/>
  <c r="L220" i="9"/>
  <c r="L221" i="9"/>
  <c r="L222" i="9"/>
  <c r="L223" i="9"/>
  <c r="L224" i="9"/>
  <c r="L225" i="9"/>
  <c r="L226" i="9"/>
  <c r="L227" i="9"/>
  <c r="L228" i="9"/>
  <c r="L229" i="9"/>
  <c r="L230" i="9"/>
  <c r="L231" i="9"/>
  <c r="L232" i="9"/>
  <c r="L233" i="9"/>
  <c r="L234" i="9"/>
  <c r="L235" i="9"/>
  <c r="L236" i="9"/>
  <c r="L237" i="9"/>
  <c r="L238" i="9"/>
  <c r="L239" i="9"/>
  <c r="L240" i="9"/>
  <c r="L241" i="9"/>
  <c r="L242" i="9"/>
  <c r="L243" i="9"/>
  <c r="L244" i="9"/>
  <c r="L245" i="9"/>
  <c r="L246" i="9"/>
  <c r="L247" i="9"/>
  <c r="L248" i="9"/>
  <c r="L249" i="9"/>
  <c r="L250" i="9"/>
  <c r="L251" i="9"/>
  <c r="L252" i="9"/>
  <c r="L253" i="9"/>
  <c r="L254" i="9"/>
  <c r="L255" i="9"/>
  <c r="L256" i="9"/>
  <c r="L257" i="9"/>
  <c r="L258" i="9"/>
  <c r="L259" i="9"/>
  <c r="L260" i="9"/>
  <c r="L261" i="9"/>
  <c r="L262" i="9"/>
  <c r="L263" i="9"/>
  <c r="L264" i="9"/>
  <c r="L265" i="9"/>
  <c r="L266" i="9"/>
  <c r="L267" i="9"/>
  <c r="L268" i="9"/>
  <c r="L269" i="9"/>
  <c r="L2" i="9"/>
  <c r="I3" i="9"/>
  <c r="I4" i="9"/>
  <c r="I5" i="9"/>
  <c r="I6" i="9"/>
  <c r="I7" i="9"/>
  <c r="I8" i="9"/>
  <c r="I9" i="9"/>
  <c r="I10" i="9"/>
  <c r="I11" i="9"/>
  <c r="I12" i="9"/>
  <c r="I13" i="9"/>
  <c r="I14" i="9"/>
  <c r="I15" i="9"/>
  <c r="I16" i="9"/>
  <c r="I17" i="9"/>
  <c r="I18" i="9"/>
  <c r="I19" i="9"/>
  <c r="I20" i="9"/>
  <c r="I21" i="9"/>
  <c r="I22" i="9"/>
  <c r="I23" i="9"/>
  <c r="I24" i="9"/>
  <c r="I25" i="9"/>
  <c r="I26" i="9"/>
  <c r="I27" i="9"/>
  <c r="I28" i="9"/>
  <c r="I29" i="9"/>
  <c r="I30" i="9"/>
  <c r="I31" i="9"/>
  <c r="I32" i="9"/>
  <c r="I33" i="9"/>
  <c r="I34" i="9"/>
  <c r="I35" i="9"/>
  <c r="I36" i="9"/>
  <c r="I37" i="9"/>
  <c r="I38" i="9"/>
  <c r="I39" i="9"/>
  <c r="I40" i="9"/>
  <c r="I41" i="9"/>
  <c r="I42" i="9"/>
  <c r="I43" i="9"/>
  <c r="I44" i="9"/>
  <c r="I45" i="9"/>
  <c r="I46" i="9"/>
  <c r="I47" i="9"/>
  <c r="I48" i="9"/>
  <c r="I49" i="9"/>
  <c r="I50" i="9"/>
  <c r="I51" i="9"/>
  <c r="I52" i="9"/>
  <c r="I53" i="9"/>
  <c r="I54" i="9"/>
  <c r="I55" i="9"/>
  <c r="I56" i="9"/>
  <c r="I57" i="9"/>
  <c r="I58" i="9"/>
  <c r="I59" i="9"/>
  <c r="I60" i="9"/>
  <c r="I61" i="9"/>
  <c r="I62" i="9"/>
  <c r="I63" i="9"/>
  <c r="I64" i="9"/>
  <c r="I65" i="9"/>
  <c r="I66" i="9"/>
  <c r="I67" i="9"/>
  <c r="I68" i="9"/>
  <c r="I69" i="9"/>
  <c r="I70" i="9"/>
  <c r="I71" i="9"/>
  <c r="I72" i="9"/>
  <c r="I73" i="9"/>
  <c r="I74" i="9"/>
  <c r="I75" i="9"/>
  <c r="I76" i="9"/>
  <c r="I77" i="9"/>
  <c r="I78" i="9"/>
  <c r="I79" i="9"/>
  <c r="I80" i="9"/>
  <c r="I81" i="9"/>
  <c r="I82" i="9"/>
  <c r="I83" i="9"/>
  <c r="I84" i="9"/>
  <c r="I85" i="9"/>
  <c r="I86" i="9"/>
  <c r="I87" i="9"/>
  <c r="I88" i="9"/>
  <c r="I89" i="9"/>
  <c r="I90" i="9"/>
  <c r="I91" i="9"/>
  <c r="I92" i="9"/>
  <c r="I93" i="9"/>
  <c r="I94" i="9"/>
  <c r="I95" i="9"/>
  <c r="I96" i="9"/>
  <c r="I97" i="9"/>
  <c r="I98" i="9"/>
  <c r="I99" i="9"/>
  <c r="I100" i="9"/>
  <c r="I101" i="9"/>
  <c r="I102" i="9"/>
  <c r="I103" i="9"/>
  <c r="I104" i="9"/>
  <c r="I105" i="9"/>
  <c r="I106" i="9"/>
  <c r="I107" i="9"/>
  <c r="I108" i="9"/>
  <c r="I109" i="9"/>
  <c r="I110" i="9"/>
  <c r="I111" i="9"/>
  <c r="I112" i="9"/>
  <c r="I113" i="9"/>
  <c r="I114" i="9"/>
  <c r="I115" i="9"/>
  <c r="I116" i="9"/>
  <c r="I117" i="9"/>
  <c r="I118" i="9"/>
  <c r="I119" i="9"/>
  <c r="I120" i="9"/>
  <c r="I121" i="9"/>
  <c r="I122" i="9"/>
  <c r="I123" i="9"/>
  <c r="I124" i="9"/>
  <c r="I125" i="9"/>
  <c r="I126" i="9"/>
  <c r="I127" i="9"/>
  <c r="I128" i="9"/>
  <c r="I129" i="9"/>
  <c r="I130" i="9"/>
  <c r="I131" i="9"/>
  <c r="I132" i="9"/>
  <c r="I133" i="9"/>
  <c r="I134" i="9"/>
  <c r="I135" i="9"/>
  <c r="I136" i="9"/>
  <c r="I137" i="9"/>
  <c r="I138" i="9"/>
  <c r="I139" i="9"/>
  <c r="I140" i="9"/>
  <c r="I141" i="9"/>
  <c r="I142" i="9"/>
  <c r="I143" i="9"/>
  <c r="I144" i="9"/>
  <c r="I145" i="9"/>
  <c r="I146" i="9"/>
  <c r="I147" i="9"/>
  <c r="I148" i="9"/>
  <c r="I149" i="9"/>
  <c r="I150" i="9"/>
  <c r="I151" i="9"/>
  <c r="I152" i="9"/>
  <c r="I153" i="9"/>
  <c r="I154" i="9"/>
  <c r="I155" i="9"/>
  <c r="I156" i="9"/>
  <c r="I157" i="9"/>
  <c r="I158" i="9"/>
  <c r="I159" i="9"/>
  <c r="I160" i="9"/>
  <c r="I161" i="9"/>
  <c r="I162" i="9"/>
  <c r="I163" i="9"/>
  <c r="I164" i="9"/>
  <c r="I165" i="9"/>
  <c r="I166" i="9"/>
  <c r="I167" i="9"/>
  <c r="I168" i="9"/>
  <c r="I169" i="9"/>
  <c r="I170" i="9"/>
  <c r="I171" i="9"/>
  <c r="I172" i="9"/>
  <c r="I173" i="9"/>
  <c r="I174" i="9"/>
  <c r="I175" i="9"/>
  <c r="I176" i="9"/>
  <c r="I177" i="9"/>
  <c r="I178" i="9"/>
  <c r="I179" i="9"/>
  <c r="I180" i="9"/>
  <c r="I181" i="9"/>
  <c r="I182" i="9"/>
  <c r="I183" i="9"/>
  <c r="I184" i="9"/>
  <c r="I185" i="9"/>
  <c r="I186" i="9"/>
  <c r="I187" i="9"/>
  <c r="I188" i="9"/>
  <c r="I189" i="9"/>
  <c r="I190" i="9"/>
  <c r="I191" i="9"/>
  <c r="I192" i="9"/>
  <c r="I193" i="9"/>
  <c r="I194" i="9"/>
  <c r="I195" i="9"/>
  <c r="I196" i="9"/>
  <c r="I197" i="9"/>
  <c r="I198" i="9"/>
  <c r="I199" i="9"/>
  <c r="I200" i="9"/>
  <c r="I201" i="9"/>
  <c r="I202" i="9"/>
  <c r="I203" i="9"/>
  <c r="I204" i="9"/>
  <c r="I205" i="9"/>
  <c r="I206" i="9"/>
  <c r="I207" i="9"/>
  <c r="I208" i="9"/>
  <c r="I209" i="9"/>
  <c r="I210" i="9"/>
  <c r="I211" i="9"/>
  <c r="I212" i="9"/>
  <c r="I213" i="9"/>
  <c r="I214" i="9"/>
  <c r="I215" i="9"/>
  <c r="I216" i="9"/>
  <c r="I217" i="9"/>
  <c r="I218" i="9"/>
  <c r="I219" i="9"/>
  <c r="I220" i="9"/>
  <c r="I221" i="9"/>
  <c r="I222" i="9"/>
  <c r="I223" i="9"/>
  <c r="I224" i="9"/>
  <c r="I225" i="9"/>
  <c r="I226" i="9"/>
  <c r="I227" i="9"/>
  <c r="I228" i="9"/>
  <c r="I229" i="9"/>
  <c r="I230" i="9"/>
  <c r="I231" i="9"/>
  <c r="I232" i="9"/>
  <c r="I233" i="9"/>
  <c r="I234" i="9"/>
  <c r="I235" i="9"/>
  <c r="I236" i="9"/>
  <c r="I237" i="9"/>
  <c r="I238" i="9"/>
  <c r="I239" i="9"/>
  <c r="I240" i="9"/>
  <c r="I241" i="9"/>
  <c r="I242" i="9"/>
  <c r="I243" i="9"/>
  <c r="I244" i="9"/>
  <c r="I245" i="9"/>
  <c r="I246" i="9"/>
  <c r="I247" i="9"/>
  <c r="I248" i="9"/>
  <c r="I249" i="9"/>
  <c r="I250" i="9"/>
  <c r="I251" i="9"/>
  <c r="I252" i="9"/>
  <c r="I253" i="9"/>
  <c r="I254" i="9"/>
  <c r="I255" i="9"/>
  <c r="I256" i="9"/>
  <c r="I257" i="9"/>
  <c r="I258" i="9"/>
  <c r="I259" i="9"/>
  <c r="I260" i="9"/>
  <c r="I261" i="9"/>
  <c r="I262" i="9"/>
  <c r="I263" i="9"/>
  <c r="I264" i="9"/>
  <c r="I265" i="9"/>
  <c r="I266" i="9"/>
  <c r="I267" i="9"/>
  <c r="I268" i="9"/>
  <c r="I269" i="9"/>
  <c r="I2" i="9"/>
  <c r="C3" i="9"/>
  <c r="G3" i="9" s="1"/>
  <c r="C4" i="9"/>
  <c r="G4" i="9" s="1"/>
  <c r="C5" i="9"/>
  <c r="G5" i="9" s="1"/>
  <c r="C6" i="9"/>
  <c r="G6" i="9" s="1"/>
  <c r="C7" i="9"/>
  <c r="G7" i="9" s="1"/>
  <c r="C8" i="9"/>
  <c r="G8" i="9" s="1"/>
  <c r="C9" i="9"/>
  <c r="G9" i="9" s="1"/>
  <c r="C10" i="9"/>
  <c r="G10" i="9" s="1"/>
  <c r="C11" i="9"/>
  <c r="G11" i="9" s="1"/>
  <c r="C12" i="9"/>
  <c r="G12" i="9" s="1"/>
  <c r="C13" i="9"/>
  <c r="G13" i="9" s="1"/>
  <c r="C14" i="9"/>
  <c r="G14" i="9" s="1"/>
  <c r="C15" i="9"/>
  <c r="G15" i="9" s="1"/>
  <c r="C16" i="9"/>
  <c r="G16" i="9" s="1"/>
  <c r="C17" i="9"/>
  <c r="G17" i="9" s="1"/>
  <c r="C18" i="9"/>
  <c r="G18" i="9" s="1"/>
  <c r="C19" i="9"/>
  <c r="G19" i="9" s="1"/>
  <c r="C20" i="9"/>
  <c r="G20" i="9" s="1"/>
  <c r="C21" i="9"/>
  <c r="G21" i="9" s="1"/>
  <c r="C22" i="9"/>
  <c r="G22" i="9" s="1"/>
  <c r="C23" i="9"/>
  <c r="G23" i="9" s="1"/>
  <c r="C24" i="9"/>
  <c r="G24" i="9" s="1"/>
  <c r="C25" i="9"/>
  <c r="G25" i="9" s="1"/>
  <c r="C26" i="9"/>
  <c r="G26" i="9" s="1"/>
  <c r="C27" i="9"/>
  <c r="G27" i="9" s="1"/>
  <c r="C28" i="9"/>
  <c r="G28" i="9" s="1"/>
  <c r="C29" i="9"/>
  <c r="G29" i="9" s="1"/>
  <c r="C30" i="9"/>
  <c r="G30" i="9" s="1"/>
  <c r="C31" i="9"/>
  <c r="G31" i="9" s="1"/>
  <c r="C32" i="9"/>
  <c r="G32" i="9" s="1"/>
  <c r="C33" i="9"/>
  <c r="G33" i="9" s="1"/>
  <c r="C34" i="9"/>
  <c r="G34" i="9" s="1"/>
  <c r="C35" i="9"/>
  <c r="G35" i="9" s="1"/>
  <c r="C36" i="9"/>
  <c r="G36" i="9" s="1"/>
  <c r="C37" i="9"/>
  <c r="G37" i="9" s="1"/>
  <c r="C38" i="9"/>
  <c r="G38" i="9" s="1"/>
  <c r="C39" i="9"/>
  <c r="G39" i="9" s="1"/>
  <c r="C40" i="9"/>
  <c r="G40" i="9" s="1"/>
  <c r="C41" i="9"/>
  <c r="G41" i="9" s="1"/>
  <c r="C42" i="9"/>
  <c r="G42" i="9" s="1"/>
  <c r="C43" i="9"/>
  <c r="G43" i="9" s="1"/>
  <c r="C44" i="9"/>
  <c r="G44" i="9" s="1"/>
  <c r="C45" i="9"/>
  <c r="G45" i="9" s="1"/>
  <c r="C46" i="9"/>
  <c r="G46" i="9" s="1"/>
  <c r="C47" i="9"/>
  <c r="G47" i="9" s="1"/>
  <c r="C48" i="9"/>
  <c r="G48" i="9" s="1"/>
  <c r="C49" i="9"/>
  <c r="G49" i="9" s="1"/>
  <c r="C50" i="9"/>
  <c r="G50" i="9" s="1"/>
  <c r="C51" i="9"/>
  <c r="G51" i="9" s="1"/>
  <c r="C52" i="9"/>
  <c r="G52" i="9" s="1"/>
  <c r="C53" i="9"/>
  <c r="G53" i="9" s="1"/>
  <c r="C54" i="9"/>
  <c r="G54" i="9" s="1"/>
  <c r="C55" i="9"/>
  <c r="G55" i="9" s="1"/>
  <c r="C56" i="9"/>
  <c r="G56" i="9" s="1"/>
  <c r="C57" i="9"/>
  <c r="G57" i="9" s="1"/>
  <c r="C58" i="9"/>
  <c r="G58" i="9" s="1"/>
  <c r="C59" i="9"/>
  <c r="G59" i="9" s="1"/>
  <c r="C60" i="9"/>
  <c r="G60" i="9" s="1"/>
  <c r="C61" i="9"/>
  <c r="G61" i="9" s="1"/>
  <c r="C62" i="9"/>
  <c r="G62" i="9" s="1"/>
  <c r="C63" i="9"/>
  <c r="G63" i="9" s="1"/>
  <c r="C64" i="9"/>
  <c r="G64" i="9" s="1"/>
  <c r="C65" i="9"/>
  <c r="G65" i="9" s="1"/>
  <c r="C66" i="9"/>
  <c r="G66" i="9" s="1"/>
  <c r="C67" i="9"/>
  <c r="G67" i="9" s="1"/>
  <c r="C68" i="9"/>
  <c r="G68" i="9" s="1"/>
  <c r="C69" i="9"/>
  <c r="G69" i="9" s="1"/>
  <c r="C70" i="9"/>
  <c r="G70" i="9" s="1"/>
  <c r="C71" i="9"/>
  <c r="G71" i="9" s="1"/>
  <c r="C72" i="9"/>
  <c r="G72" i="9" s="1"/>
  <c r="C73" i="9"/>
  <c r="G73" i="9" s="1"/>
  <c r="C74" i="9"/>
  <c r="G74" i="9" s="1"/>
  <c r="C75" i="9"/>
  <c r="G75" i="9" s="1"/>
  <c r="C76" i="9"/>
  <c r="G76" i="9" s="1"/>
  <c r="C77" i="9"/>
  <c r="G77" i="9" s="1"/>
  <c r="C78" i="9"/>
  <c r="G78" i="9" s="1"/>
  <c r="C79" i="9"/>
  <c r="G79" i="9" s="1"/>
  <c r="C80" i="9"/>
  <c r="G80" i="9" s="1"/>
  <c r="C81" i="9"/>
  <c r="G81" i="9" s="1"/>
  <c r="C82" i="9"/>
  <c r="G82" i="9" s="1"/>
  <c r="C83" i="9"/>
  <c r="G83" i="9" s="1"/>
  <c r="C84" i="9"/>
  <c r="G84" i="9" s="1"/>
  <c r="C85" i="9"/>
  <c r="G85" i="9" s="1"/>
  <c r="C86" i="9"/>
  <c r="G86" i="9" s="1"/>
  <c r="C87" i="9"/>
  <c r="G87" i="9" s="1"/>
  <c r="C88" i="9"/>
  <c r="G88" i="9" s="1"/>
  <c r="C89" i="9"/>
  <c r="G89" i="9" s="1"/>
  <c r="C90" i="9"/>
  <c r="G90" i="9" s="1"/>
  <c r="C91" i="9"/>
  <c r="G91" i="9" s="1"/>
  <c r="C92" i="9"/>
  <c r="G92" i="9" s="1"/>
  <c r="C93" i="9"/>
  <c r="G93" i="9" s="1"/>
  <c r="C94" i="9"/>
  <c r="G94" i="9" s="1"/>
  <c r="C95" i="9"/>
  <c r="G95" i="9" s="1"/>
  <c r="C96" i="9"/>
  <c r="G96" i="9" s="1"/>
  <c r="C97" i="9"/>
  <c r="G97" i="9" s="1"/>
  <c r="C98" i="9"/>
  <c r="G98" i="9" s="1"/>
  <c r="C99" i="9"/>
  <c r="G99" i="9" s="1"/>
  <c r="C100" i="9"/>
  <c r="G100" i="9" s="1"/>
  <c r="C101" i="9"/>
  <c r="G101" i="9" s="1"/>
  <c r="C102" i="9"/>
  <c r="G102" i="9" s="1"/>
  <c r="C103" i="9"/>
  <c r="G103" i="9" s="1"/>
  <c r="C104" i="9"/>
  <c r="G104" i="9" s="1"/>
  <c r="C105" i="9"/>
  <c r="G105" i="9" s="1"/>
  <c r="C106" i="9"/>
  <c r="G106" i="9" s="1"/>
  <c r="C107" i="9"/>
  <c r="G107" i="9" s="1"/>
  <c r="C108" i="9"/>
  <c r="G108" i="9" s="1"/>
  <c r="C109" i="9"/>
  <c r="G109" i="9" s="1"/>
  <c r="C110" i="9"/>
  <c r="G110" i="9" s="1"/>
  <c r="C111" i="9"/>
  <c r="G111" i="9" s="1"/>
  <c r="C112" i="9"/>
  <c r="G112" i="9" s="1"/>
  <c r="C113" i="9"/>
  <c r="G113" i="9" s="1"/>
  <c r="C114" i="9"/>
  <c r="G114" i="9" s="1"/>
  <c r="C115" i="9"/>
  <c r="G115" i="9" s="1"/>
  <c r="C116" i="9"/>
  <c r="G116" i="9" s="1"/>
  <c r="C117" i="9"/>
  <c r="G117" i="9" s="1"/>
  <c r="C118" i="9"/>
  <c r="G118" i="9" s="1"/>
  <c r="C119" i="9"/>
  <c r="G119" i="9" s="1"/>
  <c r="C120" i="9"/>
  <c r="G120" i="9" s="1"/>
  <c r="C121" i="9"/>
  <c r="G121" i="9" s="1"/>
  <c r="C122" i="9"/>
  <c r="G122" i="9" s="1"/>
  <c r="C123" i="9"/>
  <c r="G123" i="9" s="1"/>
  <c r="C124" i="9"/>
  <c r="G124" i="9" s="1"/>
  <c r="C125" i="9"/>
  <c r="G125" i="9" s="1"/>
  <c r="C126" i="9"/>
  <c r="G126" i="9" s="1"/>
  <c r="C127" i="9"/>
  <c r="G127" i="9" s="1"/>
  <c r="C128" i="9"/>
  <c r="G128" i="9" s="1"/>
  <c r="C129" i="9"/>
  <c r="G129" i="9" s="1"/>
  <c r="C130" i="9"/>
  <c r="G130" i="9" s="1"/>
  <c r="C131" i="9"/>
  <c r="G131" i="9" s="1"/>
  <c r="C132" i="9"/>
  <c r="G132" i="9" s="1"/>
  <c r="C133" i="9"/>
  <c r="G133" i="9" s="1"/>
  <c r="C134" i="9"/>
  <c r="G134" i="9" s="1"/>
  <c r="C135" i="9"/>
  <c r="G135" i="9" s="1"/>
  <c r="C136" i="9"/>
  <c r="G136" i="9" s="1"/>
  <c r="C137" i="9"/>
  <c r="G137" i="9" s="1"/>
  <c r="C138" i="9"/>
  <c r="G138" i="9" s="1"/>
  <c r="C139" i="9"/>
  <c r="G139" i="9" s="1"/>
  <c r="C140" i="9"/>
  <c r="G140" i="9" s="1"/>
  <c r="C141" i="9"/>
  <c r="G141" i="9" s="1"/>
  <c r="C142" i="9"/>
  <c r="G142" i="9" s="1"/>
  <c r="C143" i="9"/>
  <c r="G143" i="9" s="1"/>
  <c r="C144" i="9"/>
  <c r="G144" i="9" s="1"/>
  <c r="C145" i="9"/>
  <c r="G145" i="9" s="1"/>
  <c r="C146" i="9"/>
  <c r="G146" i="9" s="1"/>
  <c r="C147" i="9"/>
  <c r="G147" i="9" s="1"/>
  <c r="C148" i="9"/>
  <c r="G148" i="9" s="1"/>
  <c r="C149" i="9"/>
  <c r="G149" i="9" s="1"/>
  <c r="C150" i="9"/>
  <c r="G150" i="9" s="1"/>
  <c r="C151" i="9"/>
  <c r="G151" i="9" s="1"/>
  <c r="C152" i="9"/>
  <c r="G152" i="9" s="1"/>
  <c r="C153" i="9"/>
  <c r="G153" i="9" s="1"/>
  <c r="C154" i="9"/>
  <c r="G154" i="9" s="1"/>
  <c r="C155" i="9"/>
  <c r="G155" i="9" s="1"/>
  <c r="C156" i="9"/>
  <c r="G156" i="9" s="1"/>
  <c r="C157" i="9"/>
  <c r="G157" i="9" s="1"/>
  <c r="C158" i="9"/>
  <c r="G158" i="9" s="1"/>
  <c r="C159" i="9"/>
  <c r="G159" i="9" s="1"/>
  <c r="C160" i="9"/>
  <c r="G160" i="9" s="1"/>
  <c r="C161" i="9"/>
  <c r="G161" i="9" s="1"/>
  <c r="C162" i="9"/>
  <c r="G162" i="9" s="1"/>
  <c r="C163" i="9"/>
  <c r="G163" i="9" s="1"/>
  <c r="C164" i="9"/>
  <c r="G164" i="9" s="1"/>
  <c r="C165" i="9"/>
  <c r="G165" i="9" s="1"/>
  <c r="C166" i="9"/>
  <c r="G166" i="9" s="1"/>
  <c r="C167" i="9"/>
  <c r="G167" i="9" s="1"/>
  <c r="C168" i="9"/>
  <c r="G168" i="9" s="1"/>
  <c r="C169" i="9"/>
  <c r="G169" i="9" s="1"/>
  <c r="C170" i="9"/>
  <c r="G170" i="9" s="1"/>
  <c r="C171" i="9"/>
  <c r="G171" i="9" s="1"/>
  <c r="C172" i="9"/>
  <c r="G172" i="9" s="1"/>
  <c r="C173" i="9"/>
  <c r="G173" i="9" s="1"/>
  <c r="C174" i="9"/>
  <c r="G174" i="9" s="1"/>
  <c r="C175" i="9"/>
  <c r="G175" i="9" s="1"/>
  <c r="C176" i="9"/>
  <c r="G176" i="9" s="1"/>
  <c r="C177" i="9"/>
  <c r="G177" i="9" s="1"/>
  <c r="C178" i="9"/>
  <c r="G178" i="9" s="1"/>
  <c r="C179" i="9"/>
  <c r="G179" i="9" s="1"/>
  <c r="C180" i="9"/>
  <c r="G180" i="9" s="1"/>
  <c r="C181" i="9"/>
  <c r="G181" i="9" s="1"/>
  <c r="C182" i="9"/>
  <c r="G182" i="9" s="1"/>
  <c r="C183" i="9"/>
  <c r="G183" i="9" s="1"/>
  <c r="C184" i="9"/>
  <c r="G184" i="9" s="1"/>
  <c r="C185" i="9"/>
  <c r="G185" i="9" s="1"/>
  <c r="C186" i="9"/>
  <c r="G186" i="9" s="1"/>
  <c r="C187" i="9"/>
  <c r="G187" i="9" s="1"/>
  <c r="C188" i="9"/>
  <c r="G188" i="9" s="1"/>
  <c r="C189" i="9"/>
  <c r="G189" i="9" s="1"/>
  <c r="C190" i="9"/>
  <c r="G190" i="9" s="1"/>
  <c r="C191" i="9"/>
  <c r="G191" i="9" s="1"/>
  <c r="C192" i="9"/>
  <c r="G192" i="9" s="1"/>
  <c r="C193" i="9"/>
  <c r="G193" i="9" s="1"/>
  <c r="C194" i="9"/>
  <c r="G194" i="9" s="1"/>
  <c r="C195" i="9"/>
  <c r="G195" i="9" s="1"/>
  <c r="C196" i="9"/>
  <c r="G196" i="9" s="1"/>
  <c r="C197" i="9"/>
  <c r="G197" i="9" s="1"/>
  <c r="C198" i="9"/>
  <c r="G198" i="9" s="1"/>
  <c r="C199" i="9"/>
  <c r="G199" i="9" s="1"/>
  <c r="C200" i="9"/>
  <c r="G200" i="9" s="1"/>
  <c r="C201" i="9"/>
  <c r="G201" i="9" s="1"/>
  <c r="C202" i="9"/>
  <c r="G202" i="9" s="1"/>
  <c r="C203" i="9"/>
  <c r="G203" i="9" s="1"/>
  <c r="C204" i="9"/>
  <c r="G204" i="9" s="1"/>
  <c r="C205" i="9"/>
  <c r="G205" i="9" s="1"/>
  <c r="C206" i="9"/>
  <c r="G206" i="9" s="1"/>
  <c r="C207" i="9"/>
  <c r="G207" i="9" s="1"/>
  <c r="C208" i="9"/>
  <c r="G208" i="9" s="1"/>
  <c r="C209" i="9"/>
  <c r="G209" i="9" s="1"/>
  <c r="C210" i="9"/>
  <c r="G210" i="9" s="1"/>
  <c r="C211" i="9"/>
  <c r="G211" i="9" s="1"/>
  <c r="C212" i="9"/>
  <c r="G212" i="9" s="1"/>
  <c r="C213" i="9"/>
  <c r="G213" i="9" s="1"/>
  <c r="C214" i="9"/>
  <c r="G214" i="9" s="1"/>
  <c r="C215" i="9"/>
  <c r="G215" i="9" s="1"/>
  <c r="C216" i="9"/>
  <c r="G216" i="9" s="1"/>
  <c r="C217" i="9"/>
  <c r="G217" i="9" s="1"/>
  <c r="C218" i="9"/>
  <c r="G218" i="9" s="1"/>
  <c r="C219" i="9"/>
  <c r="G219" i="9" s="1"/>
  <c r="C220" i="9"/>
  <c r="G220" i="9" s="1"/>
  <c r="C221" i="9"/>
  <c r="G221" i="9" s="1"/>
  <c r="C222" i="9"/>
  <c r="G222" i="9" s="1"/>
  <c r="C223" i="9"/>
  <c r="G223" i="9" s="1"/>
  <c r="C224" i="9"/>
  <c r="G224" i="9" s="1"/>
  <c r="C225" i="9"/>
  <c r="G225" i="9" s="1"/>
  <c r="C226" i="9"/>
  <c r="G226" i="9" s="1"/>
  <c r="C227" i="9"/>
  <c r="G227" i="9" s="1"/>
  <c r="C228" i="9"/>
  <c r="G228" i="9" s="1"/>
  <c r="C229" i="9"/>
  <c r="G229" i="9" s="1"/>
  <c r="C230" i="9"/>
  <c r="G230" i="9" s="1"/>
  <c r="C231" i="9"/>
  <c r="G231" i="9" s="1"/>
  <c r="C232" i="9"/>
  <c r="G232" i="9" s="1"/>
  <c r="C233" i="9"/>
  <c r="G233" i="9" s="1"/>
  <c r="C234" i="9"/>
  <c r="G234" i="9" s="1"/>
  <c r="C235" i="9"/>
  <c r="G235" i="9" s="1"/>
  <c r="C236" i="9"/>
  <c r="G236" i="9" s="1"/>
  <c r="C237" i="9"/>
  <c r="G237" i="9" s="1"/>
  <c r="C238" i="9"/>
  <c r="G238" i="9" s="1"/>
  <c r="C239" i="9"/>
  <c r="G239" i="9" s="1"/>
  <c r="C240" i="9"/>
  <c r="G240" i="9" s="1"/>
  <c r="C241" i="9"/>
  <c r="G241" i="9" s="1"/>
  <c r="C242" i="9"/>
  <c r="G242" i="9" s="1"/>
  <c r="C243" i="9"/>
  <c r="G243" i="9" s="1"/>
  <c r="C244" i="9"/>
  <c r="G244" i="9" s="1"/>
  <c r="C245" i="9"/>
  <c r="G245" i="9" s="1"/>
  <c r="C246" i="9"/>
  <c r="G246" i="9" s="1"/>
  <c r="C247" i="9"/>
  <c r="G247" i="9" s="1"/>
  <c r="C248" i="9"/>
  <c r="G248" i="9" s="1"/>
  <c r="C249" i="9"/>
  <c r="G249" i="9" s="1"/>
  <c r="C250" i="9"/>
  <c r="G250" i="9" s="1"/>
  <c r="C251" i="9"/>
  <c r="G251" i="9" s="1"/>
  <c r="C252" i="9"/>
  <c r="G252" i="9" s="1"/>
  <c r="C253" i="9"/>
  <c r="G253" i="9" s="1"/>
  <c r="C254" i="9"/>
  <c r="G254" i="9" s="1"/>
  <c r="C255" i="9"/>
  <c r="G255" i="9" s="1"/>
  <c r="C256" i="9"/>
  <c r="G256" i="9" s="1"/>
  <c r="C257" i="9"/>
  <c r="G257" i="9" s="1"/>
  <c r="C258" i="9"/>
  <c r="G258" i="9" s="1"/>
  <c r="C259" i="9"/>
  <c r="G259" i="9" s="1"/>
  <c r="C260" i="9"/>
  <c r="G260" i="9" s="1"/>
  <c r="C261" i="9"/>
  <c r="G261" i="9" s="1"/>
  <c r="C262" i="9"/>
  <c r="G262" i="9" s="1"/>
  <c r="C263" i="9"/>
  <c r="G263" i="9" s="1"/>
  <c r="C264" i="9"/>
  <c r="G264" i="9" s="1"/>
  <c r="C265" i="9"/>
  <c r="G265" i="9" s="1"/>
  <c r="C266" i="9"/>
  <c r="G266" i="9" s="1"/>
  <c r="C267" i="9"/>
  <c r="G267" i="9" s="1"/>
  <c r="C268" i="9"/>
  <c r="G268" i="9" s="1"/>
  <c r="C269" i="9"/>
  <c r="G269" i="9" s="1"/>
  <c r="C2" i="9"/>
  <c r="G2" i="9" s="1"/>
  <c r="AK63" i="8" l="1"/>
  <c r="AQ64" i="8"/>
  <c r="AF64" i="8"/>
  <c r="AD64" i="8" s="1"/>
  <c r="AJ64" i="8" s="1"/>
  <c r="AK64" i="8" s="1"/>
  <c r="AQ63" i="8"/>
  <c r="AQ60" i="8"/>
  <c r="AF60" i="8"/>
  <c r="AD60" i="8" s="1"/>
  <c r="AJ60" i="8" s="1"/>
  <c r="X60" i="8"/>
  <c r="V60" i="8"/>
  <c r="O60" i="8"/>
  <c r="J60" i="8"/>
  <c r="AQ2" i="8"/>
  <c r="AM2" i="8"/>
  <c r="H11" i="31" s="1"/>
  <c r="AF2" i="8"/>
  <c r="AD2" i="8" s="1"/>
  <c r="AJ2" i="8" s="1"/>
  <c r="AK2" i="8" s="1"/>
  <c r="X2" i="8"/>
  <c r="N11" i="31" s="1"/>
  <c r="V2" i="8"/>
  <c r="O2" i="8"/>
  <c r="J2" i="8"/>
  <c r="AR21" i="8"/>
  <c r="AN13" i="15"/>
  <c r="AM13" i="15"/>
  <c r="AL13" i="15"/>
  <c r="AL17" i="15" s="1"/>
  <c r="AK13" i="15"/>
  <c r="AK17" i="15" s="1"/>
  <c r="AJ13" i="15"/>
  <c r="AI13" i="15"/>
  <c r="AI17" i="15" s="1"/>
  <c r="AH13" i="15"/>
  <c r="AG13" i="15"/>
  <c r="AF13" i="15"/>
  <c r="AF17" i="15" s="1"/>
  <c r="AE13" i="15"/>
  <c r="AD13" i="15"/>
  <c r="AC13" i="15"/>
  <c r="AC17" i="15" s="1"/>
  <c r="AB13" i="15"/>
  <c r="AB17" i="15" s="1"/>
  <c r="AA13" i="15"/>
  <c r="AA17" i="15" s="1"/>
  <c r="Z13" i="15"/>
  <c r="Y13" i="15"/>
  <c r="Y17" i="15" s="1"/>
  <c r="X13" i="15"/>
  <c r="W13" i="15"/>
  <c r="V13" i="15"/>
  <c r="U13" i="15"/>
  <c r="U17" i="15" s="1"/>
  <c r="T13" i="15"/>
  <c r="T17" i="15" s="1"/>
  <c r="S13" i="15"/>
  <c r="R13" i="15"/>
  <c r="R17" i="15" s="1"/>
  <c r="Q13" i="15"/>
  <c r="P13" i="15"/>
  <c r="P17" i="15" s="1"/>
  <c r="O13" i="15"/>
  <c r="N13" i="15"/>
  <c r="N17" i="15" s="1"/>
  <c r="M13" i="15"/>
  <c r="M17" i="15" s="1"/>
  <c r="L13" i="15"/>
  <c r="L17" i="15" s="1"/>
  <c r="K13" i="15"/>
  <c r="K17" i="15" s="1"/>
  <c r="J13" i="15"/>
  <c r="AB13" i="16"/>
  <c r="AB6" i="16" s="1"/>
  <c r="AC13" i="16"/>
  <c r="AC6" i="16" s="1"/>
  <c r="AD13" i="16"/>
  <c r="AD6" i="16"/>
  <c r="AE13" i="16"/>
  <c r="AE6" i="16"/>
  <c r="AF13" i="16"/>
  <c r="AF6" i="16" s="1"/>
  <c r="AG13" i="16"/>
  <c r="AG6" i="16" s="1"/>
  <c r="AH13" i="16"/>
  <c r="AH6" i="16"/>
  <c r="AI13" i="16"/>
  <c r="AI6" i="16"/>
  <c r="AJ13" i="16"/>
  <c r="AJ6" i="16" s="1"/>
  <c r="AK13" i="16"/>
  <c r="AK6" i="16" s="1"/>
  <c r="AL13" i="16"/>
  <c r="AL6" i="16" s="1"/>
  <c r="AM13" i="16"/>
  <c r="AM6" i="16" s="1"/>
  <c r="AN13" i="16"/>
  <c r="AN6" i="16"/>
  <c r="I13" i="16"/>
  <c r="I6" i="16" s="1"/>
  <c r="J13" i="16"/>
  <c r="J6" i="16" s="1"/>
  <c r="K13" i="16"/>
  <c r="K6" i="16"/>
  <c r="L13" i="16"/>
  <c r="L6" i="16" s="1"/>
  <c r="M13" i="16"/>
  <c r="M6" i="16" s="1"/>
  <c r="N13" i="16"/>
  <c r="N6" i="16" s="1"/>
  <c r="O13" i="16"/>
  <c r="O6" i="16"/>
  <c r="P13" i="16"/>
  <c r="P6" i="16" s="1"/>
  <c r="Q13" i="16"/>
  <c r="Q6" i="16"/>
  <c r="R13" i="16"/>
  <c r="R6" i="16" s="1"/>
  <c r="S13" i="16"/>
  <c r="S6" i="16"/>
  <c r="T13" i="16"/>
  <c r="T6" i="16" s="1"/>
  <c r="U13" i="16"/>
  <c r="U6" i="16" s="1"/>
  <c r="V13" i="16"/>
  <c r="V6" i="16" s="1"/>
  <c r="W13" i="16"/>
  <c r="W6" i="16" s="1"/>
  <c r="X13" i="16"/>
  <c r="X6" i="16"/>
  <c r="Y13" i="16"/>
  <c r="Y6" i="16" s="1"/>
  <c r="Z13" i="16"/>
  <c r="Z6" i="16" s="1"/>
  <c r="AA13" i="16"/>
  <c r="AA6" i="16" s="1"/>
  <c r="H13" i="16"/>
  <c r="H6" i="16"/>
  <c r="G13" i="16"/>
  <c r="G6" i="16" s="1"/>
  <c r="F2" i="18"/>
  <c r="G2" i="18"/>
  <c r="H2" i="18"/>
  <c r="I2" i="18"/>
  <c r="J2" i="18"/>
  <c r="K2" i="18"/>
  <c r="L2" i="18"/>
  <c r="M2" i="18"/>
  <c r="N2" i="18"/>
  <c r="O2" i="18"/>
  <c r="P2" i="18"/>
  <c r="Q2" i="18"/>
  <c r="R2" i="18"/>
  <c r="S2" i="18"/>
  <c r="T2" i="18"/>
  <c r="U2" i="18"/>
  <c r="V2" i="18"/>
  <c r="W2" i="18"/>
  <c r="X2" i="18"/>
  <c r="Y2" i="18"/>
  <c r="Z2" i="18"/>
  <c r="AA2" i="18"/>
  <c r="AB2" i="18"/>
  <c r="AC2" i="18"/>
  <c r="AD2" i="18"/>
  <c r="AE2" i="18"/>
  <c r="AF2" i="18"/>
  <c r="AG2" i="18"/>
  <c r="AH2" i="18"/>
  <c r="AI2" i="18"/>
  <c r="AJ2" i="18"/>
  <c r="AK2" i="18"/>
  <c r="AL2" i="18"/>
  <c r="AM2" i="18"/>
  <c r="AN2" i="18"/>
  <c r="F3" i="18"/>
  <c r="G3" i="18"/>
  <c r="H3" i="18"/>
  <c r="I3" i="18"/>
  <c r="J3" i="18"/>
  <c r="K3" i="18"/>
  <c r="L3" i="18"/>
  <c r="M3" i="18"/>
  <c r="N3" i="18"/>
  <c r="O3" i="18"/>
  <c r="P3" i="18"/>
  <c r="Q3" i="18"/>
  <c r="R3" i="18"/>
  <c r="S3" i="18"/>
  <c r="T3" i="18"/>
  <c r="U3" i="18"/>
  <c r="V3" i="18"/>
  <c r="W3" i="18"/>
  <c r="X3" i="18"/>
  <c r="Y3" i="18"/>
  <c r="Z3" i="18"/>
  <c r="AA3" i="18"/>
  <c r="AB3" i="18"/>
  <c r="AC3" i="18"/>
  <c r="AD3" i="18"/>
  <c r="AE3" i="18"/>
  <c r="AF3" i="18"/>
  <c r="AG3" i="18"/>
  <c r="AH3" i="18"/>
  <c r="AI3" i="18"/>
  <c r="AJ3" i="18"/>
  <c r="AK3" i="18"/>
  <c r="AL3" i="18"/>
  <c r="AM3" i="18"/>
  <c r="AN3" i="18"/>
  <c r="F4" i="18"/>
  <c r="G4" i="18"/>
  <c r="H4" i="18"/>
  <c r="I4" i="18"/>
  <c r="J4" i="18"/>
  <c r="K4" i="18"/>
  <c r="L4" i="18"/>
  <c r="M4" i="18"/>
  <c r="N4" i="18"/>
  <c r="O4" i="18"/>
  <c r="P4" i="18"/>
  <c r="Q4" i="18"/>
  <c r="R4" i="18"/>
  <c r="S4" i="18"/>
  <c r="T4" i="18"/>
  <c r="U4" i="18"/>
  <c r="V4" i="18"/>
  <c r="W4" i="18"/>
  <c r="X4" i="18"/>
  <c r="Y4" i="18"/>
  <c r="Z4" i="18"/>
  <c r="AA4" i="18"/>
  <c r="AB4" i="18"/>
  <c r="AC4" i="18"/>
  <c r="AD4" i="18"/>
  <c r="AE4" i="18"/>
  <c r="AF4" i="18"/>
  <c r="AG4" i="18"/>
  <c r="AH4" i="18"/>
  <c r="AI4" i="18"/>
  <c r="AJ4" i="18"/>
  <c r="AK4" i="18"/>
  <c r="AL4" i="18"/>
  <c r="AM4" i="18"/>
  <c r="AN4" i="18"/>
  <c r="F5" i="18"/>
  <c r="G5" i="18"/>
  <c r="H5" i="18"/>
  <c r="I5" i="18"/>
  <c r="J5" i="18"/>
  <c r="K5" i="18"/>
  <c r="L5" i="18"/>
  <c r="M5" i="18"/>
  <c r="N5" i="18"/>
  <c r="O5" i="18"/>
  <c r="P5" i="18"/>
  <c r="Q5" i="18"/>
  <c r="R5" i="18"/>
  <c r="S5" i="18"/>
  <c r="T5" i="18"/>
  <c r="U5" i="18"/>
  <c r="V5" i="18"/>
  <c r="W5" i="18"/>
  <c r="X5" i="18"/>
  <c r="Y5" i="18"/>
  <c r="Z5" i="18"/>
  <c r="AA5" i="18"/>
  <c r="AB5" i="18"/>
  <c r="AC5" i="18"/>
  <c r="AD5" i="18"/>
  <c r="AE5" i="18"/>
  <c r="AF5" i="18"/>
  <c r="AG5" i="18"/>
  <c r="AH5" i="18"/>
  <c r="AI5" i="18"/>
  <c r="AJ5" i="18"/>
  <c r="AK5" i="18"/>
  <c r="AL5" i="18"/>
  <c r="AM5" i="18"/>
  <c r="AN5" i="18"/>
  <c r="F6" i="18"/>
  <c r="G6" i="18"/>
  <c r="H6" i="18"/>
  <c r="I6" i="18"/>
  <c r="J6" i="18"/>
  <c r="K6" i="18"/>
  <c r="L6" i="18"/>
  <c r="M6" i="18"/>
  <c r="N6" i="18"/>
  <c r="O6" i="18"/>
  <c r="P6" i="18"/>
  <c r="Q6" i="18"/>
  <c r="R6" i="18"/>
  <c r="S6" i="18"/>
  <c r="T6" i="18"/>
  <c r="U6" i="18"/>
  <c r="V6" i="18"/>
  <c r="W6" i="18"/>
  <c r="X6" i="18"/>
  <c r="Y6" i="18"/>
  <c r="Z6" i="18"/>
  <c r="AA6" i="18"/>
  <c r="AB6" i="18"/>
  <c r="AC6" i="18"/>
  <c r="AD6" i="18"/>
  <c r="AE6" i="18"/>
  <c r="AF6" i="18"/>
  <c r="AG6" i="18"/>
  <c r="AH6" i="18"/>
  <c r="AI6" i="18"/>
  <c r="AJ6" i="18"/>
  <c r="AK6" i="18"/>
  <c r="AL6" i="18"/>
  <c r="AM6" i="18"/>
  <c r="AN6" i="18"/>
  <c r="F7" i="18"/>
  <c r="G7" i="18"/>
  <c r="H7" i="18"/>
  <c r="I7" i="18"/>
  <c r="J7" i="18"/>
  <c r="K7" i="18"/>
  <c r="L7" i="18"/>
  <c r="M7" i="18"/>
  <c r="N7" i="18"/>
  <c r="O7" i="18"/>
  <c r="P7" i="18"/>
  <c r="Q7" i="18"/>
  <c r="R7" i="18"/>
  <c r="S7" i="18"/>
  <c r="T7" i="18"/>
  <c r="U7" i="18"/>
  <c r="V7" i="18"/>
  <c r="W7" i="18"/>
  <c r="X7" i="18"/>
  <c r="Y7" i="18"/>
  <c r="Z7" i="18"/>
  <c r="AA7" i="18"/>
  <c r="AB7" i="18"/>
  <c r="AC7" i="18"/>
  <c r="AD7" i="18"/>
  <c r="AE7" i="18"/>
  <c r="AF7" i="18"/>
  <c r="AG7" i="18"/>
  <c r="AH7" i="18"/>
  <c r="AI7" i="18"/>
  <c r="AJ7" i="18"/>
  <c r="AK7" i="18"/>
  <c r="AL7" i="18"/>
  <c r="AM7" i="18"/>
  <c r="AN7" i="18"/>
  <c r="F8" i="18"/>
  <c r="G8" i="18"/>
  <c r="H8" i="18"/>
  <c r="H13" i="18" s="1"/>
  <c r="I8" i="18"/>
  <c r="J8" i="18"/>
  <c r="K8" i="18"/>
  <c r="L8" i="18"/>
  <c r="M8" i="18"/>
  <c r="N8" i="18"/>
  <c r="O8" i="18"/>
  <c r="P8" i="18"/>
  <c r="Q8" i="18"/>
  <c r="R8" i="18"/>
  <c r="S8" i="18"/>
  <c r="T8" i="18"/>
  <c r="U8" i="18"/>
  <c r="V8" i="18"/>
  <c r="W8" i="18"/>
  <c r="X8" i="18"/>
  <c r="Y8" i="18"/>
  <c r="Z8" i="18"/>
  <c r="AA8" i="18"/>
  <c r="AB8" i="18"/>
  <c r="AC8" i="18"/>
  <c r="AD8" i="18"/>
  <c r="AE8" i="18"/>
  <c r="AF8" i="18"/>
  <c r="AG8" i="18"/>
  <c r="AH8" i="18"/>
  <c r="AI8" i="18"/>
  <c r="AJ8" i="18"/>
  <c r="AK8" i="18"/>
  <c r="AL8" i="18"/>
  <c r="AM8" i="18"/>
  <c r="AN8" i="18"/>
  <c r="E3" i="18"/>
  <c r="E4" i="18"/>
  <c r="E5" i="18"/>
  <c r="E6" i="18"/>
  <c r="E7" i="18"/>
  <c r="E8" i="18"/>
  <c r="E2" i="18"/>
  <c r="E13" i="18"/>
  <c r="E42" i="16"/>
  <c r="E2" i="16" s="1"/>
  <c r="F42" i="16"/>
  <c r="F2" i="16" s="1"/>
  <c r="G42" i="16"/>
  <c r="G2" i="16"/>
  <c r="H42" i="16"/>
  <c r="H2" i="16" s="1"/>
  <c r="I42" i="16"/>
  <c r="I2" i="16" s="1"/>
  <c r="J42" i="16"/>
  <c r="J2" i="16"/>
  <c r="K42" i="16"/>
  <c r="K2" i="16" s="1"/>
  <c r="L42" i="16"/>
  <c r="L2" i="16" s="1"/>
  <c r="M42" i="16"/>
  <c r="M2" i="16"/>
  <c r="N42" i="16"/>
  <c r="N2" i="16" s="1"/>
  <c r="O42" i="16"/>
  <c r="O2" i="16" s="1"/>
  <c r="P42" i="16"/>
  <c r="P2" i="16"/>
  <c r="Q42" i="16"/>
  <c r="Q2" i="16"/>
  <c r="R42" i="16"/>
  <c r="R2" i="16" s="1"/>
  <c r="S42" i="16"/>
  <c r="S2" i="16"/>
  <c r="T42" i="16"/>
  <c r="T2" i="16" s="1"/>
  <c r="U42" i="16"/>
  <c r="U2" i="16"/>
  <c r="V42" i="16"/>
  <c r="V2" i="16" s="1"/>
  <c r="W42" i="16"/>
  <c r="W2" i="16"/>
  <c r="X42" i="16"/>
  <c r="X2" i="16"/>
  <c r="Y42" i="16"/>
  <c r="Y2" i="16"/>
  <c r="Z42" i="16"/>
  <c r="Z2" i="16" s="1"/>
  <c r="AA42" i="16"/>
  <c r="AA2" i="16"/>
  <c r="AB42" i="16"/>
  <c r="AB2" i="16" s="1"/>
  <c r="AC42" i="16"/>
  <c r="AC2" i="16"/>
  <c r="AD42" i="16"/>
  <c r="AD2" i="16" s="1"/>
  <c r="AE42" i="16"/>
  <c r="AE2" i="16" s="1"/>
  <c r="AF42" i="16"/>
  <c r="AF2" i="16"/>
  <c r="AG42" i="16"/>
  <c r="AG2" i="16"/>
  <c r="AH42" i="16"/>
  <c r="AH2" i="16" s="1"/>
  <c r="AI42" i="16"/>
  <c r="AI2" i="16" s="1"/>
  <c r="AJ42" i="16"/>
  <c r="AJ2" i="16"/>
  <c r="AK42" i="16"/>
  <c r="AK2" i="16" s="1"/>
  <c r="AL42" i="16"/>
  <c r="AL2" i="16" s="1"/>
  <c r="AM42" i="16"/>
  <c r="AM2" i="16" s="1"/>
  <c r="AN42" i="16"/>
  <c r="AN2" i="16"/>
  <c r="E43" i="16"/>
  <c r="E3" i="16" s="1"/>
  <c r="F43" i="16"/>
  <c r="F3" i="16" s="1"/>
  <c r="G43" i="16"/>
  <c r="G3" i="16" s="1"/>
  <c r="H43" i="16"/>
  <c r="H3" i="16" s="1"/>
  <c r="I43" i="16"/>
  <c r="I3" i="16" s="1"/>
  <c r="J43" i="16"/>
  <c r="J3" i="16"/>
  <c r="K43" i="16"/>
  <c r="K3" i="16" s="1"/>
  <c r="L43" i="16"/>
  <c r="L3" i="16" s="1"/>
  <c r="M43" i="16"/>
  <c r="M3" i="16" s="1"/>
  <c r="N43" i="16"/>
  <c r="N3" i="16" s="1"/>
  <c r="O43" i="16"/>
  <c r="O3" i="16"/>
  <c r="P43" i="16"/>
  <c r="P3" i="16"/>
  <c r="Q43" i="16"/>
  <c r="Q3" i="16" s="1"/>
  <c r="R43" i="16"/>
  <c r="R3" i="16" s="1"/>
  <c r="S43" i="16"/>
  <c r="S3" i="16"/>
  <c r="T43" i="16"/>
  <c r="T3" i="16" s="1"/>
  <c r="U43" i="16"/>
  <c r="U3" i="16" s="1"/>
  <c r="V43" i="16"/>
  <c r="V3" i="16" s="1"/>
  <c r="W43" i="16"/>
  <c r="W3" i="16"/>
  <c r="X43" i="16"/>
  <c r="X3" i="16" s="1"/>
  <c r="Y43" i="16"/>
  <c r="Y3" i="16" s="1"/>
  <c r="Z43" i="16"/>
  <c r="Z3" i="16" s="1"/>
  <c r="AA43" i="16"/>
  <c r="AA3" i="16"/>
  <c r="AB43" i="16"/>
  <c r="AB3" i="16"/>
  <c r="AC43" i="16"/>
  <c r="AC3" i="16" s="1"/>
  <c r="AD43" i="16"/>
  <c r="AD3" i="16" s="1"/>
  <c r="AE43" i="16"/>
  <c r="AE3" i="16"/>
  <c r="AF43" i="16"/>
  <c r="AF3" i="16"/>
  <c r="AG43" i="16"/>
  <c r="AG3" i="16" s="1"/>
  <c r="AH43" i="16"/>
  <c r="AH3" i="16"/>
  <c r="AI43" i="16"/>
  <c r="AI3" i="16"/>
  <c r="AJ43" i="16"/>
  <c r="AJ3" i="16" s="1"/>
  <c r="AK43" i="16"/>
  <c r="AK3" i="16" s="1"/>
  <c r="AL43" i="16"/>
  <c r="AL3" i="16"/>
  <c r="AM43" i="16"/>
  <c r="AM3" i="16"/>
  <c r="AN43" i="16"/>
  <c r="AN3" i="16" s="1"/>
  <c r="E44" i="16"/>
  <c r="F44" i="16"/>
  <c r="F4" i="16" s="1"/>
  <c r="G44" i="16"/>
  <c r="G4" i="16" s="1"/>
  <c r="H44" i="16"/>
  <c r="H4" i="16" s="1"/>
  <c r="I44" i="16"/>
  <c r="I4" i="16"/>
  <c r="J44" i="16"/>
  <c r="J4" i="16"/>
  <c r="K44" i="16"/>
  <c r="L44" i="16"/>
  <c r="L4" i="16" s="1"/>
  <c r="M44" i="16"/>
  <c r="M4" i="16" s="1"/>
  <c r="N44" i="16"/>
  <c r="N4" i="16"/>
  <c r="O44" i="16"/>
  <c r="O4" i="16" s="1"/>
  <c r="P44" i="16"/>
  <c r="P4" i="16" s="1"/>
  <c r="Q44" i="16"/>
  <c r="Q4" i="16" s="1"/>
  <c r="R44" i="16"/>
  <c r="R4" i="16"/>
  <c r="S44" i="16"/>
  <c r="S4" i="16"/>
  <c r="T44" i="16"/>
  <c r="T4" i="16" s="1"/>
  <c r="U44" i="16"/>
  <c r="U4" i="16" s="1"/>
  <c r="V44" i="16"/>
  <c r="V4" i="16"/>
  <c r="W44" i="16"/>
  <c r="X44" i="16"/>
  <c r="X4" i="16" s="1"/>
  <c r="Y44" i="16"/>
  <c r="Y4" i="16" s="1"/>
  <c r="Z44" i="16"/>
  <c r="Z4" i="16"/>
  <c r="AA44" i="16"/>
  <c r="AA4" i="16"/>
  <c r="AB44" i="16"/>
  <c r="AB4" i="16" s="1"/>
  <c r="AC44" i="16"/>
  <c r="AC4" i="16" s="1"/>
  <c r="AD44" i="16"/>
  <c r="AD4" i="16"/>
  <c r="AE44" i="16"/>
  <c r="AE4" i="16" s="1"/>
  <c r="AF44" i="16"/>
  <c r="AF4" i="16" s="1"/>
  <c r="AG44" i="16"/>
  <c r="AG4" i="16" s="1"/>
  <c r="AH44" i="16"/>
  <c r="AH4" i="16"/>
  <c r="AI44" i="16"/>
  <c r="AI4" i="16"/>
  <c r="AJ44" i="16"/>
  <c r="AJ4" i="16" s="1"/>
  <c r="AK44" i="16"/>
  <c r="AK4" i="16"/>
  <c r="AL44" i="16"/>
  <c r="AL4" i="16"/>
  <c r="AM44" i="16"/>
  <c r="AM4" i="16"/>
  <c r="AN44" i="16"/>
  <c r="AN4" i="16" s="1"/>
  <c r="E45" i="16"/>
  <c r="E5" i="16" s="1"/>
  <c r="F45" i="16"/>
  <c r="F5" i="16" s="1"/>
  <c r="G45" i="16"/>
  <c r="G5" i="16" s="1"/>
  <c r="H45" i="16"/>
  <c r="H5" i="16" s="1"/>
  <c r="I45" i="16"/>
  <c r="I5" i="16"/>
  <c r="J45" i="16"/>
  <c r="J5" i="16" s="1"/>
  <c r="K45" i="16"/>
  <c r="K5" i="16"/>
  <c r="L45" i="16"/>
  <c r="L5" i="16" s="1"/>
  <c r="M45" i="16"/>
  <c r="M5" i="16" s="1"/>
  <c r="N45" i="16"/>
  <c r="N5" i="16"/>
  <c r="O45" i="16"/>
  <c r="O5" i="16" s="1"/>
  <c r="P45" i="16"/>
  <c r="P5" i="16"/>
  <c r="Q45" i="16"/>
  <c r="Q5" i="16"/>
  <c r="R45" i="16"/>
  <c r="R5" i="16"/>
  <c r="S45" i="16"/>
  <c r="S5" i="16" s="1"/>
  <c r="T45" i="16"/>
  <c r="T5" i="16"/>
  <c r="U45" i="16"/>
  <c r="U5" i="16"/>
  <c r="V45" i="16"/>
  <c r="V5" i="16"/>
  <c r="W45" i="16"/>
  <c r="W5" i="16" s="1"/>
  <c r="X45" i="16"/>
  <c r="X5" i="16"/>
  <c r="Y45" i="16"/>
  <c r="Y5" i="16"/>
  <c r="Z45" i="16"/>
  <c r="Z5" i="16"/>
  <c r="AA45" i="16"/>
  <c r="AA5" i="16" s="1"/>
  <c r="AB45" i="16"/>
  <c r="AB5" i="16"/>
  <c r="AC45" i="16"/>
  <c r="AC5" i="16"/>
  <c r="AD45" i="16"/>
  <c r="AD5" i="16"/>
  <c r="AE45" i="16"/>
  <c r="AE5" i="16" s="1"/>
  <c r="AF45" i="16"/>
  <c r="AF5" i="16"/>
  <c r="AG45" i="16"/>
  <c r="AG5" i="16" s="1"/>
  <c r="AH45" i="16"/>
  <c r="AH5" i="16"/>
  <c r="AI45" i="16"/>
  <c r="AI5" i="16" s="1"/>
  <c r="AJ45" i="16"/>
  <c r="AJ5" i="16" s="1"/>
  <c r="AK45" i="16"/>
  <c r="AK5" i="16" s="1"/>
  <c r="AL45" i="16"/>
  <c r="AL5" i="16"/>
  <c r="AM45" i="16"/>
  <c r="AM5" i="16" s="1"/>
  <c r="AN45" i="16"/>
  <c r="AN5" i="16" s="1"/>
  <c r="E47" i="16"/>
  <c r="E7" i="16" s="1"/>
  <c r="F47" i="16"/>
  <c r="F7" i="16" s="1"/>
  <c r="G47" i="16"/>
  <c r="G7" i="16" s="1"/>
  <c r="H47" i="16"/>
  <c r="H7" i="16" s="1"/>
  <c r="I47" i="16"/>
  <c r="I7" i="16"/>
  <c r="J47" i="16"/>
  <c r="J7" i="16"/>
  <c r="K47" i="16"/>
  <c r="K7" i="16"/>
  <c r="L47" i="16"/>
  <c r="L7" i="16" s="1"/>
  <c r="M47" i="16"/>
  <c r="M7" i="16" s="1"/>
  <c r="N47" i="16"/>
  <c r="N7" i="16"/>
  <c r="O47" i="16"/>
  <c r="O7" i="16"/>
  <c r="P47" i="16"/>
  <c r="P7" i="16"/>
  <c r="Q47" i="16"/>
  <c r="Q7" i="16"/>
  <c r="R47" i="16"/>
  <c r="R7" i="16"/>
  <c r="S47" i="16"/>
  <c r="S7" i="16"/>
  <c r="T47" i="16"/>
  <c r="T7" i="16"/>
  <c r="U47" i="16"/>
  <c r="U7" i="16"/>
  <c r="V47" i="16"/>
  <c r="V7" i="16"/>
  <c r="W47" i="16"/>
  <c r="W7" i="16"/>
  <c r="X47" i="16"/>
  <c r="X7" i="16"/>
  <c r="Y47" i="16"/>
  <c r="Y7" i="16"/>
  <c r="Z47" i="16"/>
  <c r="Z7" i="16"/>
  <c r="AA47" i="16"/>
  <c r="AA7" i="16"/>
  <c r="AB47" i="16"/>
  <c r="AB7" i="16"/>
  <c r="AC47" i="16"/>
  <c r="AC7" i="16"/>
  <c r="AD47" i="16"/>
  <c r="AD7" i="16"/>
  <c r="AE47" i="16"/>
  <c r="AE7" i="16"/>
  <c r="AF47" i="16"/>
  <c r="AF7" i="16"/>
  <c r="AG47" i="16"/>
  <c r="AG7" i="16" s="1"/>
  <c r="AH47" i="16"/>
  <c r="AH7" i="16" s="1"/>
  <c r="AI47" i="16"/>
  <c r="AI7" i="16"/>
  <c r="AJ47" i="16"/>
  <c r="AJ7" i="16"/>
  <c r="AK47" i="16"/>
  <c r="AK7" i="16" s="1"/>
  <c r="AL47" i="16"/>
  <c r="AL7" i="16" s="1"/>
  <c r="AM47" i="16"/>
  <c r="AM7" i="16"/>
  <c r="AN47" i="16"/>
  <c r="AN7" i="16" s="1"/>
  <c r="E48" i="16"/>
  <c r="E8" i="16" s="1"/>
  <c r="F48" i="16"/>
  <c r="F8" i="16" s="1"/>
  <c r="G48" i="16"/>
  <c r="G8" i="16" s="1"/>
  <c r="H48" i="16"/>
  <c r="H8" i="16" s="1"/>
  <c r="I48" i="16"/>
  <c r="I8" i="16"/>
  <c r="J48" i="16"/>
  <c r="J8" i="16" s="1"/>
  <c r="K48" i="16"/>
  <c r="K8" i="16" s="1"/>
  <c r="L48" i="16"/>
  <c r="L8" i="16" s="1"/>
  <c r="M48" i="16"/>
  <c r="M8" i="16" s="1"/>
  <c r="N48" i="16"/>
  <c r="N8" i="16"/>
  <c r="O48" i="16"/>
  <c r="O8" i="16"/>
  <c r="P48" i="16"/>
  <c r="P8" i="16" s="1"/>
  <c r="Q48" i="16"/>
  <c r="Q8" i="16" s="1"/>
  <c r="R48" i="16"/>
  <c r="R8" i="16"/>
  <c r="S48" i="16"/>
  <c r="S8" i="16" s="1"/>
  <c r="T48" i="16"/>
  <c r="T8" i="16" s="1"/>
  <c r="U48" i="16"/>
  <c r="U8" i="16" s="1"/>
  <c r="V48" i="16"/>
  <c r="V8" i="16"/>
  <c r="W48" i="16"/>
  <c r="W8" i="16"/>
  <c r="X48" i="16"/>
  <c r="X8" i="16" s="1"/>
  <c r="Y48" i="16"/>
  <c r="Y8" i="16" s="1"/>
  <c r="Z48" i="16"/>
  <c r="Z8" i="16"/>
  <c r="AA48" i="16"/>
  <c r="AA8" i="16" s="1"/>
  <c r="AB48" i="16"/>
  <c r="AB8" i="16" s="1"/>
  <c r="AC48" i="16"/>
  <c r="AC8" i="16" s="1"/>
  <c r="AD48" i="16"/>
  <c r="AD8" i="16"/>
  <c r="AE48" i="16"/>
  <c r="AE8" i="16"/>
  <c r="AF48" i="16"/>
  <c r="AF8" i="16" s="1"/>
  <c r="AG48" i="16"/>
  <c r="AG8" i="16" s="1"/>
  <c r="AH48" i="16"/>
  <c r="AH8" i="16"/>
  <c r="AI48" i="16"/>
  <c r="AI8" i="16"/>
  <c r="AJ48" i="16"/>
  <c r="AJ8" i="16"/>
  <c r="AK48" i="16"/>
  <c r="AK8" i="16"/>
  <c r="AL48" i="16"/>
  <c r="AL8" i="16"/>
  <c r="AM48" i="16"/>
  <c r="AM8" i="16"/>
  <c r="AN48" i="16"/>
  <c r="AN8" i="16"/>
  <c r="C42" i="16"/>
  <c r="C2" i="16" s="1"/>
  <c r="D42" i="16"/>
  <c r="D2" i="16" s="1"/>
  <c r="C43" i="16"/>
  <c r="C3" i="16"/>
  <c r="D43" i="16"/>
  <c r="D3" i="16"/>
  <c r="C44" i="16"/>
  <c r="C4" i="16"/>
  <c r="D44" i="16"/>
  <c r="D4" i="16" s="1"/>
  <c r="C45" i="16"/>
  <c r="C5" i="16"/>
  <c r="D45" i="16"/>
  <c r="D5" i="16" s="1"/>
  <c r="C46" i="16"/>
  <c r="D46" i="16"/>
  <c r="C47" i="16"/>
  <c r="C7" i="16"/>
  <c r="D47" i="16"/>
  <c r="D7" i="16" s="1"/>
  <c r="C48" i="16"/>
  <c r="C8" i="16" s="1"/>
  <c r="D48" i="16"/>
  <c r="D8" i="16" s="1"/>
  <c r="B43" i="16"/>
  <c r="B3" i="16"/>
  <c r="B44" i="16"/>
  <c r="B4" i="16" s="1"/>
  <c r="B45" i="16"/>
  <c r="B5" i="16" s="1"/>
  <c r="B46" i="16"/>
  <c r="B47" i="16"/>
  <c r="B7" i="16"/>
  <c r="B48" i="16"/>
  <c r="B8" i="16"/>
  <c r="C112" i="18"/>
  <c r="D112" i="18"/>
  <c r="E112" i="18"/>
  <c r="F112" i="18"/>
  <c r="G112" i="18"/>
  <c r="H112" i="18"/>
  <c r="I112" i="18"/>
  <c r="J112" i="18"/>
  <c r="K112" i="18"/>
  <c r="L112" i="18"/>
  <c r="M112" i="18"/>
  <c r="N112" i="18"/>
  <c r="O112" i="18"/>
  <c r="P112" i="18"/>
  <c r="Q112" i="18"/>
  <c r="R112" i="18"/>
  <c r="S112" i="18"/>
  <c r="T112" i="18"/>
  <c r="U112" i="18"/>
  <c r="V112" i="18"/>
  <c r="W112" i="18"/>
  <c r="X112" i="18"/>
  <c r="Y112" i="18"/>
  <c r="Z112" i="18"/>
  <c r="AA112" i="18"/>
  <c r="AB112" i="18"/>
  <c r="AC112" i="18"/>
  <c r="AD112" i="18"/>
  <c r="AE112" i="18"/>
  <c r="AF112" i="18"/>
  <c r="AG112" i="18"/>
  <c r="AH112" i="18"/>
  <c r="AI112" i="18"/>
  <c r="AJ112" i="18"/>
  <c r="AK112" i="18"/>
  <c r="AL112" i="18"/>
  <c r="AM112" i="18"/>
  <c r="AN112" i="18"/>
  <c r="B112" i="18"/>
  <c r="C100" i="18"/>
  <c r="D100" i="18"/>
  <c r="B100" i="18"/>
  <c r="C88" i="18"/>
  <c r="D88" i="18"/>
  <c r="E88" i="18"/>
  <c r="E97" i="18"/>
  <c r="F88" i="18"/>
  <c r="F97" i="18"/>
  <c r="F100" i="18" s="1"/>
  <c r="F46" i="16"/>
  <c r="G88" i="18"/>
  <c r="G97" i="18" s="1"/>
  <c r="H88" i="18"/>
  <c r="H97" i="18" s="1"/>
  <c r="H100" i="18" s="1"/>
  <c r="I88" i="18"/>
  <c r="I97" i="18" s="1"/>
  <c r="J88" i="18"/>
  <c r="J97" i="18" s="1"/>
  <c r="K88" i="18"/>
  <c r="K97" i="18" s="1"/>
  <c r="L88" i="18"/>
  <c r="L97" i="18" s="1"/>
  <c r="M88" i="18"/>
  <c r="M97" i="18" s="1"/>
  <c r="N88" i="18"/>
  <c r="N97" i="18" s="1"/>
  <c r="O88" i="18"/>
  <c r="O97" i="18" s="1"/>
  <c r="P88" i="18"/>
  <c r="P97" i="18" s="1"/>
  <c r="Q88" i="18"/>
  <c r="Q97" i="18" s="1"/>
  <c r="R88" i="18"/>
  <c r="R97" i="18" s="1"/>
  <c r="S88" i="18"/>
  <c r="S97" i="18"/>
  <c r="T88" i="18"/>
  <c r="T97" i="18" s="1"/>
  <c r="U88" i="18"/>
  <c r="U97" i="18" s="1"/>
  <c r="U46" i="16" s="1"/>
  <c r="V88" i="18"/>
  <c r="V97" i="18" s="1"/>
  <c r="W88" i="18"/>
  <c r="W97" i="18"/>
  <c r="X88" i="18"/>
  <c r="X97" i="18" s="1"/>
  <c r="Y88" i="18"/>
  <c r="Y97" i="18" s="1"/>
  <c r="Z88" i="18"/>
  <c r="Z97" i="18" s="1"/>
  <c r="AA88" i="18"/>
  <c r="AA97" i="18" s="1"/>
  <c r="AB88" i="18"/>
  <c r="AB97" i="18" s="1"/>
  <c r="AC88" i="18"/>
  <c r="AC97" i="18" s="1"/>
  <c r="AD88" i="18"/>
  <c r="AD97" i="18"/>
  <c r="AE88" i="18"/>
  <c r="AE97" i="18"/>
  <c r="AF88" i="18"/>
  <c r="AF97" i="18" s="1"/>
  <c r="AG88" i="18"/>
  <c r="AG97" i="18" s="1"/>
  <c r="AG100" i="18" s="1"/>
  <c r="AH88" i="18"/>
  <c r="AH97" i="18" s="1"/>
  <c r="AH100" i="18" s="1"/>
  <c r="AI88" i="18"/>
  <c r="AI97" i="18" s="1"/>
  <c r="AJ88" i="18"/>
  <c r="AJ97" i="18" s="1"/>
  <c r="AK88" i="18"/>
  <c r="AK97" i="18" s="1"/>
  <c r="AL88" i="18"/>
  <c r="AL97" i="18"/>
  <c r="AM88" i="18"/>
  <c r="AM97" i="18" s="1"/>
  <c r="AN88" i="18"/>
  <c r="AN97" i="18" s="1"/>
  <c r="B88" i="18"/>
  <c r="C76" i="18"/>
  <c r="D76" i="18"/>
  <c r="E76" i="18"/>
  <c r="F76" i="18"/>
  <c r="G76" i="18"/>
  <c r="H76" i="18"/>
  <c r="I76" i="18"/>
  <c r="J76" i="18"/>
  <c r="K76" i="18"/>
  <c r="L76" i="18"/>
  <c r="M76" i="18"/>
  <c r="N76" i="18"/>
  <c r="O76" i="18"/>
  <c r="P76" i="18"/>
  <c r="Q76" i="18"/>
  <c r="R76" i="18"/>
  <c r="S76" i="18"/>
  <c r="T76" i="18"/>
  <c r="U76" i="18"/>
  <c r="V76" i="18"/>
  <c r="W76" i="18"/>
  <c r="X76" i="18"/>
  <c r="Y76" i="18"/>
  <c r="Z76" i="18"/>
  <c r="AA76" i="18"/>
  <c r="AB76" i="18"/>
  <c r="AC76" i="18"/>
  <c r="AD76" i="18"/>
  <c r="AE76" i="18"/>
  <c r="AF76" i="18"/>
  <c r="AG76" i="18"/>
  <c r="AH76" i="18"/>
  <c r="AI76" i="18"/>
  <c r="AJ76" i="18"/>
  <c r="AK76" i="18"/>
  <c r="AL76" i="18"/>
  <c r="AM76" i="18"/>
  <c r="AN76" i="18"/>
  <c r="B76" i="18"/>
  <c r="D8" i="18"/>
  <c r="C8" i="18"/>
  <c r="B8" i="18"/>
  <c r="D7" i="18"/>
  <c r="C7" i="18"/>
  <c r="B7" i="18"/>
  <c r="D6" i="18"/>
  <c r="C6" i="18"/>
  <c r="B6" i="18"/>
  <c r="D5" i="18"/>
  <c r="C5" i="18"/>
  <c r="B5" i="18"/>
  <c r="D4" i="18"/>
  <c r="C4" i="18"/>
  <c r="B4" i="18"/>
  <c r="D3" i="18"/>
  <c r="C3" i="18"/>
  <c r="B3" i="18"/>
  <c r="D2" i="18"/>
  <c r="C2" i="18"/>
  <c r="B2" i="18"/>
  <c r="E50" i="18"/>
  <c r="E62" i="18"/>
  <c r="E26" i="18"/>
  <c r="E38" i="18"/>
  <c r="AR4" i="8"/>
  <c r="AQ4" i="8" s="1"/>
  <c r="X62" i="8"/>
  <c r="V62" i="8"/>
  <c r="O62" i="8"/>
  <c r="J62" i="8"/>
  <c r="AR5" i="8"/>
  <c r="AR6" i="8"/>
  <c r="AR7" i="8"/>
  <c r="AQ7" i="8"/>
  <c r="AR8" i="8"/>
  <c r="AQ8" i="8" s="1"/>
  <c r="AR59" i="8"/>
  <c r="AQ59" i="8"/>
  <c r="AR54" i="8"/>
  <c r="AR13" i="8"/>
  <c r="AQ61" i="8"/>
  <c r="AF61" i="8"/>
  <c r="AD61" i="8" s="1"/>
  <c r="AJ61" i="8" s="1"/>
  <c r="X61" i="8"/>
  <c r="V61" i="8"/>
  <c r="O61" i="8"/>
  <c r="J61" i="8"/>
  <c r="AQ56" i="8"/>
  <c r="AM56" i="8"/>
  <c r="AF56" i="8"/>
  <c r="AD56" i="8" s="1"/>
  <c r="AJ56" i="8" s="1"/>
  <c r="V1608" i="7"/>
  <c r="V1607" i="7"/>
  <c r="V1606" i="7"/>
  <c r="V1605" i="7"/>
  <c r="V1604" i="7"/>
  <c r="V1603" i="7"/>
  <c r="V1602" i="7"/>
  <c r="V1601" i="7"/>
  <c r="V1600" i="7"/>
  <c r="V1599" i="7"/>
  <c r="V1598" i="7"/>
  <c r="V1597" i="7"/>
  <c r="V1596" i="7"/>
  <c r="V1595" i="7"/>
  <c r="V1594" i="7"/>
  <c r="V1593" i="7"/>
  <c r="V1592" i="7"/>
  <c r="V1591" i="7"/>
  <c r="V1590" i="7"/>
  <c r="V1589" i="7"/>
  <c r="V1588" i="7"/>
  <c r="V1587" i="7"/>
  <c r="V1586" i="7"/>
  <c r="V1585" i="7"/>
  <c r="V1584" i="7"/>
  <c r="V1583" i="7"/>
  <c r="V1582" i="7"/>
  <c r="V1581" i="7"/>
  <c r="V1580" i="7"/>
  <c r="V1579" i="7"/>
  <c r="V1578" i="7"/>
  <c r="V1577" i="7"/>
  <c r="V1576" i="7"/>
  <c r="V1575" i="7"/>
  <c r="V1574" i="7"/>
  <c r="V1573" i="7"/>
  <c r="V1572" i="7"/>
  <c r="V1571" i="7"/>
  <c r="V1570" i="7"/>
  <c r="V1569" i="7"/>
  <c r="V1568" i="7"/>
  <c r="V1567" i="7"/>
  <c r="V1566" i="7"/>
  <c r="V1565" i="7"/>
  <c r="V1564" i="7"/>
  <c r="V1563" i="7"/>
  <c r="V1562" i="7"/>
  <c r="V1561" i="7"/>
  <c r="V1560" i="7"/>
  <c r="V1559" i="7"/>
  <c r="V1558" i="7"/>
  <c r="V1557" i="7"/>
  <c r="V1556" i="7"/>
  <c r="V1555" i="7"/>
  <c r="V1554" i="7"/>
  <c r="V1553" i="7"/>
  <c r="V1552" i="7"/>
  <c r="V1551" i="7"/>
  <c r="V1550" i="7"/>
  <c r="V1549" i="7"/>
  <c r="V1548" i="7"/>
  <c r="V1547" i="7"/>
  <c r="V1546" i="7"/>
  <c r="V1545" i="7"/>
  <c r="V1544" i="7"/>
  <c r="V1543" i="7"/>
  <c r="V1542" i="7"/>
  <c r="V1541" i="7"/>
  <c r="V1540" i="7"/>
  <c r="V1539" i="7"/>
  <c r="V1538" i="7"/>
  <c r="V1537" i="7"/>
  <c r="V1536" i="7"/>
  <c r="V1535" i="7"/>
  <c r="V1534" i="7"/>
  <c r="V1533" i="7"/>
  <c r="V1532" i="7"/>
  <c r="V1531" i="7"/>
  <c r="V1530" i="7"/>
  <c r="V1529" i="7"/>
  <c r="V1528" i="7"/>
  <c r="V1527" i="7"/>
  <c r="V1526" i="7"/>
  <c r="V1525" i="7"/>
  <c r="V1524" i="7"/>
  <c r="V1523" i="7"/>
  <c r="V1522" i="7"/>
  <c r="V1521" i="7"/>
  <c r="V1520" i="7"/>
  <c r="V1519" i="7"/>
  <c r="V1518" i="7"/>
  <c r="V1517" i="7"/>
  <c r="V1516" i="7"/>
  <c r="V1515" i="7"/>
  <c r="V1514" i="7"/>
  <c r="V1513" i="7"/>
  <c r="V1512" i="7"/>
  <c r="V1511" i="7"/>
  <c r="V1510" i="7"/>
  <c r="V1509" i="7"/>
  <c r="V1508" i="7"/>
  <c r="V1507" i="7"/>
  <c r="V1506" i="7"/>
  <c r="V1505" i="7"/>
  <c r="V1504" i="7"/>
  <c r="V1503" i="7"/>
  <c r="V1502" i="7"/>
  <c r="V1501" i="7"/>
  <c r="V1500" i="7"/>
  <c r="V1499" i="7"/>
  <c r="V1498" i="7"/>
  <c r="V1497" i="7"/>
  <c r="V1496" i="7"/>
  <c r="V1495" i="7"/>
  <c r="V1494" i="7"/>
  <c r="V1493" i="7"/>
  <c r="V1492" i="7"/>
  <c r="V1491" i="7"/>
  <c r="V1490" i="7"/>
  <c r="V1489" i="7"/>
  <c r="V1488" i="7"/>
  <c r="V1487" i="7"/>
  <c r="V1486" i="7"/>
  <c r="V1485" i="7"/>
  <c r="V1484" i="7"/>
  <c r="V1483" i="7"/>
  <c r="V1482" i="7"/>
  <c r="V1481" i="7"/>
  <c r="V1480" i="7"/>
  <c r="V1479" i="7"/>
  <c r="V1478" i="7"/>
  <c r="V1477" i="7"/>
  <c r="V1476" i="7"/>
  <c r="V1475" i="7"/>
  <c r="V1474" i="7"/>
  <c r="V1473" i="7"/>
  <c r="V1472" i="7"/>
  <c r="V1471" i="7"/>
  <c r="V1470" i="7"/>
  <c r="V1469" i="7"/>
  <c r="V1458" i="7"/>
  <c r="V1457" i="7"/>
  <c r="V1431" i="7"/>
  <c r="V1430" i="7"/>
  <c r="V1417" i="7"/>
  <c r="V1406" i="7"/>
  <c r="V1401" i="7"/>
  <c r="V1399" i="7"/>
  <c r="V1391" i="7"/>
  <c r="V1387" i="7"/>
  <c r="V1386" i="7"/>
  <c r="V1385" i="7"/>
  <c r="V1383" i="7"/>
  <c r="V1381" i="7"/>
  <c r="V1360" i="7"/>
  <c r="V1359" i="7"/>
  <c r="V1341" i="7"/>
  <c r="V1335" i="7"/>
  <c r="V1328" i="7"/>
  <c r="V1321" i="7"/>
  <c r="V1320" i="7"/>
  <c r="V1319" i="7"/>
  <c r="V1313" i="7"/>
  <c r="V1312" i="7"/>
  <c r="V1311" i="7"/>
  <c r="V1310" i="7"/>
  <c r="V1306" i="7"/>
  <c r="V1305" i="7"/>
  <c r="V1304" i="7"/>
  <c r="V1303" i="7"/>
  <c r="V1302" i="7"/>
  <c r="V1298" i="7"/>
  <c r="V1295" i="7"/>
  <c r="V1294" i="7"/>
  <c r="V1293" i="7"/>
  <c r="V1290" i="7"/>
  <c r="V1289" i="7"/>
  <c r="V1288" i="7"/>
  <c r="V1287" i="7"/>
  <c r="V1286" i="7"/>
  <c r="V1285" i="7"/>
  <c r="V1284" i="7"/>
  <c r="V1283" i="7"/>
  <c r="V1282" i="7"/>
  <c r="V1281" i="7"/>
  <c r="V1280" i="7"/>
  <c r="V1279" i="7"/>
  <c r="V1278" i="7"/>
  <c r="V1277" i="7"/>
  <c r="V1276" i="7"/>
  <c r="V1275" i="7"/>
  <c r="V1274" i="7"/>
  <c r="V1273" i="7"/>
  <c r="V1272" i="7"/>
  <c r="V1271" i="7"/>
  <c r="V1270" i="7"/>
  <c r="V1269" i="7"/>
  <c r="V1268" i="7"/>
  <c r="V1267" i="7"/>
  <c r="V1266" i="7"/>
  <c r="V1265" i="7"/>
  <c r="V1264" i="7"/>
  <c r="V1263" i="7"/>
  <c r="V1262" i="7"/>
  <c r="V1261" i="7"/>
  <c r="V1260" i="7"/>
  <c r="V1259" i="7"/>
  <c r="V1258" i="7"/>
  <c r="V1257" i="7"/>
  <c r="V1256" i="7"/>
  <c r="V1255" i="7"/>
  <c r="V1254" i="7"/>
  <c r="V1253" i="7"/>
  <c r="V1252" i="7"/>
  <c r="V1251" i="7"/>
  <c r="V1250" i="7"/>
  <c r="V1249" i="7"/>
  <c r="V1248" i="7"/>
  <c r="V1247" i="7"/>
  <c r="V1246" i="7"/>
  <c r="V1245" i="7"/>
  <c r="V1244" i="7"/>
  <c r="V1243" i="7"/>
  <c r="V1242" i="7"/>
  <c r="V1241" i="7"/>
  <c r="V1240" i="7"/>
  <c r="V1239" i="7"/>
  <c r="V1238" i="7"/>
  <c r="V1237" i="7"/>
  <c r="V1236" i="7"/>
  <c r="V1235" i="7"/>
  <c r="V1234" i="7"/>
  <c r="V1233" i="7"/>
  <c r="V1232" i="7"/>
  <c r="V1231" i="7"/>
  <c r="V1230" i="7"/>
  <c r="V1229" i="7"/>
  <c r="V1228" i="7"/>
  <c r="V1227" i="7"/>
  <c r="V1226" i="7"/>
  <c r="V1225" i="7"/>
  <c r="V1224" i="7"/>
  <c r="V1223" i="7"/>
  <c r="V1222" i="7"/>
  <c r="V1221" i="7"/>
  <c r="V1220" i="7"/>
  <c r="V1219" i="7"/>
  <c r="V1218" i="7"/>
  <c r="V1217" i="7"/>
  <c r="V1216" i="7"/>
  <c r="V1215" i="7"/>
  <c r="V1214" i="7"/>
  <c r="V1213" i="7"/>
  <c r="V1212" i="7"/>
  <c r="V1211" i="7"/>
  <c r="V1210" i="7"/>
  <c r="V1209" i="7"/>
  <c r="V1208" i="7"/>
  <c r="V1207" i="7"/>
  <c r="V1206" i="7"/>
  <c r="V1205" i="7"/>
  <c r="V1204" i="7"/>
  <c r="V1203" i="7"/>
  <c r="V1202" i="7"/>
  <c r="V1201" i="7"/>
  <c r="V1200" i="7"/>
  <c r="V1199" i="7"/>
  <c r="V1198" i="7"/>
  <c r="V1197" i="7"/>
  <c r="V1196" i="7"/>
  <c r="V1195" i="7"/>
  <c r="V1194" i="7"/>
  <c r="V1193" i="7"/>
  <c r="V1192" i="7"/>
  <c r="V1191" i="7"/>
  <c r="V1190" i="7"/>
  <c r="V1189" i="7"/>
  <c r="V1188" i="7"/>
  <c r="V1187" i="7"/>
  <c r="V1186" i="7"/>
  <c r="V1185" i="7"/>
  <c r="V1184" i="7"/>
  <c r="V1183" i="7"/>
  <c r="V1173" i="7"/>
  <c r="V1172" i="7"/>
  <c r="V1170" i="7"/>
  <c r="V1169" i="7"/>
  <c r="V1168" i="7"/>
  <c r="V1167" i="7"/>
  <c r="V1166" i="7"/>
  <c r="V1165" i="7"/>
  <c r="V1164" i="7"/>
  <c r="V1163" i="7"/>
  <c r="V1162" i="7"/>
  <c r="V1161" i="7"/>
  <c r="V1160" i="7"/>
  <c r="V1159" i="7"/>
  <c r="V1158" i="7"/>
  <c r="V1157" i="7"/>
  <c r="V1156" i="7"/>
  <c r="V1155" i="7"/>
  <c r="V1154" i="7"/>
  <c r="V1153" i="7"/>
  <c r="V1152" i="7"/>
  <c r="V1151" i="7"/>
  <c r="V1150" i="7"/>
  <c r="V1149" i="7"/>
  <c r="V1148" i="7"/>
  <c r="V1147" i="7"/>
  <c r="V1146" i="7"/>
  <c r="V1145" i="7"/>
  <c r="V1144" i="7"/>
  <c r="V1143" i="7"/>
  <c r="V1142" i="7"/>
  <c r="V1141" i="7"/>
  <c r="V1140" i="7"/>
  <c r="V1139" i="7"/>
  <c r="V1138" i="7"/>
  <c r="V1137" i="7"/>
  <c r="V1136" i="7"/>
  <c r="V1135" i="7"/>
  <c r="V1134" i="7"/>
  <c r="V1133" i="7"/>
  <c r="V1132" i="7"/>
  <c r="V1131" i="7"/>
  <c r="V1130" i="7"/>
  <c r="V1129" i="7"/>
  <c r="V1128" i="7"/>
  <c r="V1127" i="7"/>
  <c r="V1126" i="7"/>
  <c r="V1125" i="7"/>
  <c r="V1124" i="7"/>
  <c r="V1123" i="7"/>
  <c r="V1122" i="7"/>
  <c r="V1121" i="7"/>
  <c r="V1120" i="7"/>
  <c r="V1119" i="7"/>
  <c r="V1118" i="7"/>
  <c r="V1117" i="7"/>
  <c r="V1116" i="7"/>
  <c r="V1115" i="7"/>
  <c r="V1114" i="7"/>
  <c r="V1113" i="7"/>
  <c r="V1112" i="7"/>
  <c r="V1111" i="7"/>
  <c r="V1110" i="7"/>
  <c r="V1109" i="7"/>
  <c r="V1108" i="7"/>
  <c r="V1107" i="7"/>
  <c r="V1106" i="7"/>
  <c r="V1105" i="7"/>
  <c r="V1104" i="7"/>
  <c r="V1103" i="7"/>
  <c r="V1102" i="7"/>
  <c r="V1101" i="7"/>
  <c r="V1100" i="7"/>
  <c r="V1099" i="7"/>
  <c r="V1098" i="7"/>
  <c r="V1096" i="7"/>
  <c r="V1095" i="7"/>
  <c r="V1094" i="7"/>
  <c r="V1092" i="7"/>
  <c r="V1091" i="7"/>
  <c r="V1090" i="7"/>
  <c r="V1089" i="7"/>
  <c r="V1088" i="7"/>
  <c r="V1087" i="7"/>
  <c r="V1086" i="7"/>
  <c r="V1085" i="7"/>
  <c r="V1084" i="7"/>
  <c r="V1083" i="7"/>
  <c r="V1082" i="7"/>
  <c r="V1081" i="7"/>
  <c r="V1080" i="7"/>
  <c r="V1079" i="7"/>
  <c r="V1078" i="7"/>
  <c r="V1077" i="7"/>
  <c r="V1076" i="7"/>
  <c r="V1075" i="7"/>
  <c r="V1074" i="7"/>
  <c r="V1073" i="7"/>
  <c r="V1072" i="7"/>
  <c r="V1071" i="7"/>
  <c r="V1070" i="7"/>
  <c r="V1067" i="7"/>
  <c r="V1066" i="7"/>
  <c r="V1065" i="7"/>
  <c r="V1064" i="7"/>
  <c r="V1063" i="7"/>
  <c r="V1062" i="7"/>
  <c r="V1061" i="7"/>
  <c r="V1060" i="7"/>
  <c r="V1057" i="7"/>
  <c r="V1056" i="7"/>
  <c r="V1055" i="7"/>
  <c r="V1054" i="7"/>
  <c r="V1053" i="7"/>
  <c r="V1052" i="7"/>
  <c r="V1051" i="7"/>
  <c r="V1050" i="7"/>
  <c r="V1049" i="7"/>
  <c r="V1048" i="7"/>
  <c r="V1047" i="7"/>
  <c r="V1046" i="7"/>
  <c r="V1045" i="7"/>
  <c r="V1044" i="7"/>
  <c r="V1043" i="7"/>
  <c r="V1042" i="7"/>
  <c r="V1041" i="7"/>
  <c r="V1040" i="7"/>
  <c r="V1039" i="7"/>
  <c r="V1038" i="7"/>
  <c r="V1037" i="7"/>
  <c r="V1036" i="7"/>
  <c r="V1031" i="7"/>
  <c r="V1030" i="7"/>
  <c r="V1029" i="7"/>
  <c r="V1028" i="7"/>
  <c r="V1027" i="7"/>
  <c r="V1026" i="7"/>
  <c r="V1025" i="7"/>
  <c r="V1024" i="7"/>
  <c r="V1023" i="7"/>
  <c r="V1022" i="7"/>
  <c r="V1021" i="7"/>
  <c r="V1020" i="7"/>
  <c r="V1019" i="7"/>
  <c r="V1018" i="7"/>
  <c r="V1017" i="7"/>
  <c r="V1016" i="7"/>
  <c r="V1015" i="7"/>
  <c r="V1014" i="7"/>
  <c r="V1013" i="7"/>
  <c r="V1012" i="7"/>
  <c r="V1011" i="7"/>
  <c r="V1010" i="7"/>
  <c r="V1009" i="7"/>
  <c r="V1008" i="7"/>
  <c r="V1007" i="7"/>
  <c r="V1006" i="7"/>
  <c r="V1005" i="7"/>
  <c r="V1004" i="7"/>
  <c r="V1003" i="7"/>
  <c r="V1002" i="7"/>
  <c r="V1001" i="7"/>
  <c r="V1000" i="7"/>
  <c r="V999" i="7"/>
  <c r="V998" i="7"/>
  <c r="V997" i="7"/>
  <c r="V996" i="7"/>
  <c r="V995" i="7"/>
  <c r="V994" i="7"/>
  <c r="V989" i="7"/>
  <c r="V988" i="7"/>
  <c r="V987" i="7"/>
  <c r="V986" i="7"/>
  <c r="V985" i="7"/>
  <c r="V984" i="7"/>
  <c r="V983" i="7"/>
  <c r="V982" i="7"/>
  <c r="V981" i="7"/>
  <c r="V980" i="7"/>
  <c r="V978" i="7"/>
  <c r="V977" i="7"/>
  <c r="V976" i="7"/>
  <c r="V975" i="7"/>
  <c r="V974" i="7"/>
  <c r="V973" i="7"/>
  <c r="V972" i="7"/>
  <c r="V971" i="7"/>
  <c r="V970" i="7"/>
  <c r="V969" i="7"/>
  <c r="V968" i="7"/>
  <c r="V967" i="7"/>
  <c r="V966" i="7"/>
  <c r="V965" i="7"/>
  <c r="V964" i="7"/>
  <c r="V963" i="7"/>
  <c r="V962" i="7"/>
  <c r="V961" i="7"/>
  <c r="V960" i="7"/>
  <c r="V959" i="7"/>
  <c r="V958" i="7"/>
  <c r="V957" i="7"/>
  <c r="V956" i="7"/>
  <c r="V955" i="7"/>
  <c r="V952" i="7"/>
  <c r="V951" i="7"/>
  <c r="V950" i="7"/>
  <c r="V949" i="7"/>
  <c r="V948" i="7"/>
  <c r="V947" i="7"/>
  <c r="V946" i="7"/>
  <c r="V945" i="7"/>
  <c r="V944" i="7"/>
  <c r="V943" i="7"/>
  <c r="V942" i="7"/>
  <c r="V941" i="7"/>
  <c r="V940" i="7"/>
  <c r="V939" i="7"/>
  <c r="V938" i="7"/>
  <c r="V937" i="7"/>
  <c r="V936" i="7"/>
  <c r="V935" i="7"/>
  <c r="V934" i="7"/>
  <c r="V933" i="7"/>
  <c r="V932" i="7"/>
  <c r="V931" i="7"/>
  <c r="V927" i="7"/>
  <c r="V926" i="7"/>
  <c r="V925" i="7"/>
  <c r="V924" i="7"/>
  <c r="V920" i="7"/>
  <c r="V919" i="7"/>
  <c r="V918" i="7"/>
  <c r="V917" i="7"/>
  <c r="V910" i="7"/>
  <c r="V904" i="7"/>
  <c r="V903" i="7"/>
  <c r="V902" i="7"/>
  <c r="V901" i="7"/>
  <c r="V900" i="7"/>
  <c r="V899" i="7"/>
  <c r="V898" i="7"/>
  <c r="V897" i="7"/>
  <c r="V896" i="7"/>
  <c r="V895" i="7"/>
  <c r="V894" i="7"/>
  <c r="V893" i="7"/>
  <c r="V892" i="7"/>
  <c r="V891" i="7"/>
  <c r="V890" i="7"/>
  <c r="V886" i="7"/>
  <c r="V885" i="7"/>
  <c r="V884" i="7"/>
  <c r="V883" i="7"/>
  <c r="V882" i="7"/>
  <c r="V881" i="7"/>
  <c r="V878" i="7"/>
  <c r="V875" i="7"/>
  <c r="V873" i="7"/>
  <c r="V872" i="7"/>
  <c r="V871" i="7"/>
  <c r="V870" i="7"/>
  <c r="V869" i="7"/>
  <c r="V868" i="7"/>
  <c r="V867" i="7"/>
  <c r="V866" i="7"/>
  <c r="V865" i="7"/>
  <c r="V861" i="7"/>
  <c r="V860" i="7"/>
  <c r="V858" i="7"/>
  <c r="V857" i="7"/>
  <c r="V856" i="7"/>
  <c r="V855" i="7"/>
  <c r="V854" i="7"/>
  <c r="V852" i="7"/>
  <c r="V851" i="7"/>
  <c r="V850" i="7"/>
  <c r="V849" i="7"/>
  <c r="V847" i="7"/>
  <c r="V846" i="7"/>
  <c r="V845" i="7"/>
  <c r="V844" i="7"/>
  <c r="V843" i="7"/>
  <c r="V842" i="7"/>
  <c r="V841" i="7"/>
  <c r="V840" i="7"/>
  <c r="V839" i="7"/>
  <c r="V838" i="7"/>
  <c r="V837" i="7"/>
  <c r="V836" i="7"/>
  <c r="V834" i="7"/>
  <c r="V833" i="7"/>
  <c r="V832" i="7"/>
  <c r="V831" i="7"/>
  <c r="V830" i="7"/>
  <c r="V829" i="7"/>
  <c r="V828" i="7"/>
  <c r="V827" i="7"/>
  <c r="V826" i="7"/>
  <c r="V823" i="7"/>
  <c r="V822" i="7"/>
  <c r="V821" i="7"/>
  <c r="V820" i="7"/>
  <c r="V819" i="7"/>
  <c r="V818" i="7"/>
  <c r="V817" i="7"/>
  <c r="V815" i="7"/>
  <c r="V812" i="7"/>
  <c r="V810" i="7"/>
  <c r="V809" i="7"/>
  <c r="V808" i="7"/>
  <c r="V807" i="7"/>
  <c r="V806" i="7"/>
  <c r="V805" i="7"/>
  <c r="V804" i="7"/>
  <c r="V803" i="7"/>
  <c r="V802" i="7"/>
  <c r="V801" i="7"/>
  <c r="V800" i="7"/>
  <c r="V799" i="7"/>
  <c r="V798" i="7"/>
  <c r="V793" i="7"/>
  <c r="V792" i="7"/>
  <c r="V791" i="7"/>
  <c r="V790" i="7"/>
  <c r="V787" i="7"/>
  <c r="V786" i="7"/>
  <c r="V785" i="7"/>
  <c r="V784" i="7"/>
  <c r="V782" i="7"/>
  <c r="V781" i="7"/>
  <c r="V778" i="7"/>
  <c r="V776" i="7"/>
  <c r="V775" i="7"/>
  <c r="V774" i="7"/>
  <c r="V773" i="7"/>
  <c r="V772" i="7"/>
  <c r="V771" i="7"/>
  <c r="V770" i="7"/>
  <c r="V769" i="7"/>
  <c r="V768" i="7"/>
  <c r="V767" i="7"/>
  <c r="V766" i="7"/>
  <c r="V765" i="7"/>
  <c r="V764" i="7"/>
  <c r="V763" i="7"/>
  <c r="V762" i="7"/>
  <c r="V761" i="7"/>
  <c r="V758" i="7"/>
  <c r="V757" i="7"/>
  <c r="V756" i="7"/>
  <c r="V755" i="7"/>
  <c r="V752" i="7"/>
  <c r="V751" i="7"/>
  <c r="V750" i="7"/>
  <c r="V749" i="7"/>
  <c r="V748" i="7"/>
  <c r="V747" i="7"/>
  <c r="V746" i="7"/>
  <c r="V745" i="7"/>
  <c r="V744" i="7"/>
  <c r="V743" i="7"/>
  <c r="V742" i="7"/>
  <c r="V741" i="7"/>
  <c r="V739" i="7"/>
  <c r="V738" i="7"/>
  <c r="V735" i="7"/>
  <c r="V734" i="7"/>
  <c r="V733" i="7"/>
  <c r="V726" i="7"/>
  <c r="V722" i="7"/>
  <c r="V721" i="7"/>
  <c r="V718" i="7"/>
  <c r="V717" i="7"/>
  <c r="V715" i="7"/>
  <c r="V712" i="7"/>
  <c r="V711" i="7"/>
  <c r="V710" i="7"/>
  <c r="V709" i="7"/>
  <c r="V708" i="7"/>
  <c r="V707" i="7"/>
  <c r="V706" i="7"/>
  <c r="V705" i="7"/>
  <c r="V695" i="7"/>
  <c r="V694" i="7"/>
  <c r="V693" i="7"/>
  <c r="V692" i="7"/>
  <c r="V691" i="7"/>
  <c r="V690" i="7"/>
  <c r="V689" i="7"/>
  <c r="V688" i="7"/>
  <c r="V682" i="7"/>
  <c r="V681" i="7"/>
  <c r="V679" i="7"/>
  <c r="V675" i="7"/>
  <c r="V674" i="7"/>
  <c r="V673" i="7"/>
  <c r="V672" i="7"/>
  <c r="V671" i="7"/>
  <c r="V670" i="7"/>
  <c r="V669" i="7"/>
  <c r="V666" i="7"/>
  <c r="V665" i="7"/>
  <c r="V664" i="7"/>
  <c r="V663" i="7"/>
  <c r="V662" i="7"/>
  <c r="V661" i="7"/>
  <c r="V659" i="7"/>
  <c r="V643" i="7"/>
  <c r="V642" i="7"/>
  <c r="V641" i="7"/>
  <c r="V640" i="7"/>
  <c r="V639" i="7"/>
  <c r="V638" i="7"/>
  <c r="V637" i="7"/>
  <c r="V631" i="7"/>
  <c r="V629" i="7"/>
  <c r="V628" i="7"/>
  <c r="V627" i="7"/>
  <c r="V622" i="7"/>
  <c r="V621" i="7"/>
  <c r="V620" i="7"/>
  <c r="V619" i="7"/>
  <c r="V618" i="7"/>
  <c r="V615" i="7"/>
  <c r="V614" i="7"/>
  <c r="V613" i="7"/>
  <c r="V612" i="7"/>
  <c r="V611" i="7"/>
  <c r="V610" i="7"/>
  <c r="V595" i="7"/>
  <c r="V460" i="7"/>
  <c r="V459" i="7"/>
  <c r="J11" i="8"/>
  <c r="O11" i="8"/>
  <c r="V11" i="8"/>
  <c r="X11" i="8"/>
  <c r="AF11" i="8"/>
  <c r="AD11" i="8"/>
  <c r="AJ11" i="8" s="1"/>
  <c r="AM11" i="8"/>
  <c r="AQ11" i="8"/>
  <c r="AF59" i="8"/>
  <c r="AD59" i="8" s="1"/>
  <c r="AJ59" i="8" s="1"/>
  <c r="AK59" i="8" s="1"/>
  <c r="AM59" i="8"/>
  <c r="X59" i="8"/>
  <c r="V59" i="8"/>
  <c r="O59" i="8"/>
  <c r="J59" i="8"/>
  <c r="AN62" i="18"/>
  <c r="AM62" i="18"/>
  <c r="AL62" i="18"/>
  <c r="AK62" i="18"/>
  <c r="AJ62" i="18"/>
  <c r="AI62" i="18"/>
  <c r="AH62" i="18"/>
  <c r="AG62" i="18"/>
  <c r="AF62" i="18"/>
  <c r="AE62" i="18"/>
  <c r="AD62" i="18"/>
  <c r="AC62" i="18"/>
  <c r="AB62" i="18"/>
  <c r="AA62" i="18"/>
  <c r="Z62" i="18"/>
  <c r="Y62" i="18"/>
  <c r="X62" i="18"/>
  <c r="W62" i="18"/>
  <c r="V62" i="18"/>
  <c r="U62" i="18"/>
  <c r="T62" i="18"/>
  <c r="S62" i="18"/>
  <c r="R62" i="18"/>
  <c r="Q62" i="18"/>
  <c r="P62" i="18"/>
  <c r="O62" i="18"/>
  <c r="N62" i="18"/>
  <c r="M62" i="18"/>
  <c r="L62" i="18"/>
  <c r="K62" i="18"/>
  <c r="J62" i="18"/>
  <c r="I62" i="18"/>
  <c r="H62" i="18"/>
  <c r="G62" i="18"/>
  <c r="F62" i="18"/>
  <c r="D62" i="18"/>
  <c r="C62" i="18"/>
  <c r="B62" i="18"/>
  <c r="AN50" i="18"/>
  <c r="AM50" i="18"/>
  <c r="AL50" i="18"/>
  <c r="AK50" i="18"/>
  <c r="AJ50" i="18"/>
  <c r="AI50" i="18"/>
  <c r="AH50" i="18"/>
  <c r="AG50" i="18"/>
  <c r="AF50" i="18"/>
  <c r="AE50" i="18"/>
  <c r="AD50" i="18"/>
  <c r="AC50" i="18"/>
  <c r="AB50" i="18"/>
  <c r="AA50" i="18"/>
  <c r="Z50" i="18"/>
  <c r="Y50" i="18"/>
  <c r="X50" i="18"/>
  <c r="W50" i="18"/>
  <c r="V50" i="18"/>
  <c r="U50" i="18"/>
  <c r="T50" i="18"/>
  <c r="S50" i="18"/>
  <c r="R50" i="18"/>
  <c r="Q50" i="18"/>
  <c r="P50" i="18"/>
  <c r="O50" i="18"/>
  <c r="N50" i="18"/>
  <c r="M50" i="18"/>
  <c r="L50" i="18"/>
  <c r="K50" i="18"/>
  <c r="J50" i="18"/>
  <c r="I50" i="18"/>
  <c r="H50" i="18"/>
  <c r="G50" i="18"/>
  <c r="F50" i="18"/>
  <c r="D50" i="18"/>
  <c r="C50" i="18"/>
  <c r="B50" i="18"/>
  <c r="AN38" i="18"/>
  <c r="AM38" i="18"/>
  <c r="AL38" i="18"/>
  <c r="AK38" i="18"/>
  <c r="AJ38" i="18"/>
  <c r="AI38" i="18"/>
  <c r="AH38" i="18"/>
  <c r="AG38" i="18"/>
  <c r="AF38" i="18"/>
  <c r="AE38" i="18"/>
  <c r="AD38" i="18"/>
  <c r="AC38" i="18"/>
  <c r="AB38" i="18"/>
  <c r="AA38" i="18"/>
  <c r="Z38" i="18"/>
  <c r="Y38" i="18"/>
  <c r="X38" i="18"/>
  <c r="W38" i="18"/>
  <c r="V38" i="18"/>
  <c r="U38" i="18"/>
  <c r="T38" i="18"/>
  <c r="S38" i="18"/>
  <c r="R38" i="18"/>
  <c r="Q38" i="18"/>
  <c r="P38" i="18"/>
  <c r="O38" i="18"/>
  <c r="N38" i="18"/>
  <c r="M38" i="18"/>
  <c r="L38" i="18"/>
  <c r="K38" i="18"/>
  <c r="J38" i="18"/>
  <c r="I38" i="18"/>
  <c r="H38" i="18"/>
  <c r="G38" i="18"/>
  <c r="F38" i="18"/>
  <c r="D38" i="18"/>
  <c r="C38" i="18"/>
  <c r="B38" i="18"/>
  <c r="AN26" i="18"/>
  <c r="AM26" i="18"/>
  <c r="AL26" i="18"/>
  <c r="AK26" i="18"/>
  <c r="AJ26" i="18"/>
  <c r="AI26" i="18"/>
  <c r="AH26" i="18"/>
  <c r="AG26" i="18"/>
  <c r="AF26" i="18"/>
  <c r="AE26" i="18"/>
  <c r="AD26" i="18"/>
  <c r="AC26" i="18"/>
  <c r="AB26" i="18"/>
  <c r="AA26" i="18"/>
  <c r="Z26" i="18"/>
  <c r="Y26" i="18"/>
  <c r="X26" i="18"/>
  <c r="W26" i="18"/>
  <c r="V26" i="18"/>
  <c r="U26" i="18"/>
  <c r="T26" i="18"/>
  <c r="S26" i="18"/>
  <c r="R26" i="18"/>
  <c r="Q26" i="18"/>
  <c r="P26" i="18"/>
  <c r="O26" i="18"/>
  <c r="N26" i="18"/>
  <c r="M26" i="18"/>
  <c r="L26" i="18"/>
  <c r="K26" i="18"/>
  <c r="J26" i="18"/>
  <c r="I26" i="18"/>
  <c r="H26" i="18"/>
  <c r="G26" i="18"/>
  <c r="F26" i="18"/>
  <c r="D26" i="18"/>
  <c r="C26" i="18"/>
  <c r="B26" i="18"/>
  <c r="AN1" i="18"/>
  <c r="AM1" i="18"/>
  <c r="AL1" i="18"/>
  <c r="AK1" i="18"/>
  <c r="AJ1" i="18"/>
  <c r="AI1" i="18"/>
  <c r="AH1" i="18"/>
  <c r="AG1" i="18"/>
  <c r="AF1" i="18"/>
  <c r="AE1" i="18"/>
  <c r="AD1" i="18"/>
  <c r="AC1" i="18"/>
  <c r="AB1" i="18"/>
  <c r="AA1" i="18"/>
  <c r="Z1" i="18"/>
  <c r="Y1" i="18"/>
  <c r="X1" i="18"/>
  <c r="W1" i="18"/>
  <c r="V1" i="18"/>
  <c r="U1" i="18"/>
  <c r="T1" i="18"/>
  <c r="S1" i="18"/>
  <c r="R1" i="18"/>
  <c r="Q1" i="18"/>
  <c r="P1" i="18"/>
  <c r="O1" i="18"/>
  <c r="N1" i="18"/>
  <c r="M1" i="18"/>
  <c r="L1" i="18"/>
  <c r="K1" i="18"/>
  <c r="J1" i="18"/>
  <c r="I1" i="18"/>
  <c r="H1" i="18"/>
  <c r="G1" i="18"/>
  <c r="F1" i="18"/>
  <c r="E1" i="18"/>
  <c r="D1" i="18"/>
  <c r="C1" i="18"/>
  <c r="B1" i="18"/>
  <c r="AM57" i="8"/>
  <c r="AQ57" i="8"/>
  <c r="AM58" i="8"/>
  <c r="AQ58" i="8"/>
  <c r="AF58" i="8"/>
  <c r="AD58" i="8" s="1"/>
  <c r="AJ58" i="8" s="1"/>
  <c r="AF57" i="8"/>
  <c r="AD57" i="8" s="1"/>
  <c r="AJ57" i="8" s="1"/>
  <c r="G15" i="6"/>
  <c r="J3" i="3"/>
  <c r="J111" i="3"/>
  <c r="F42" i="7"/>
  <c r="F13" i="7"/>
  <c r="G67" i="6"/>
  <c r="E130" i="13"/>
  <c r="F130" i="13"/>
  <c r="G130" i="13"/>
  <c r="H130" i="13"/>
  <c r="I130" i="13"/>
  <c r="J130" i="13"/>
  <c r="K130" i="13"/>
  <c r="L130" i="13"/>
  <c r="M130" i="13"/>
  <c r="N130" i="13"/>
  <c r="O130" i="13"/>
  <c r="P130" i="13"/>
  <c r="Q130" i="13"/>
  <c r="R130" i="13"/>
  <c r="S130" i="13"/>
  <c r="T130" i="13"/>
  <c r="U130" i="13"/>
  <c r="V130" i="13"/>
  <c r="W130" i="13"/>
  <c r="X130" i="13"/>
  <c r="Y130" i="13"/>
  <c r="Z130" i="13"/>
  <c r="AA130" i="13"/>
  <c r="AB130" i="13"/>
  <c r="AC130" i="13"/>
  <c r="AD130" i="13"/>
  <c r="AE130" i="13"/>
  <c r="AF130" i="13"/>
  <c r="AG130" i="13"/>
  <c r="AH130" i="13"/>
  <c r="AI130" i="13"/>
  <c r="AJ130" i="13"/>
  <c r="AK130" i="13"/>
  <c r="AL130" i="13"/>
  <c r="AM130" i="13"/>
  <c r="AN130" i="13"/>
  <c r="AO130" i="13"/>
  <c r="AP130" i="13"/>
  <c r="D130" i="13"/>
  <c r="B13" i="32"/>
  <c r="AF55" i="8"/>
  <c r="AD55" i="8" s="1"/>
  <c r="AJ55" i="8" s="1"/>
  <c r="AF9" i="8"/>
  <c r="AD9" i="8" s="1"/>
  <c r="AJ9" i="8"/>
  <c r="AK9" i="8" s="1"/>
  <c r="AS18" i="8"/>
  <c r="AS19" i="8"/>
  <c r="AS17" i="8"/>
  <c r="AR18" i="8"/>
  <c r="AQ18" i="8"/>
  <c r="AR19" i="8"/>
  <c r="AQ19" i="8" s="1"/>
  <c r="AR17" i="8"/>
  <c r="AQ17" i="8"/>
  <c r="AF17" i="8"/>
  <c r="AD17" i="8" s="1"/>
  <c r="AJ17" i="8" s="1"/>
  <c r="AF18" i="8"/>
  <c r="AD18" i="8" s="1"/>
  <c r="AJ18" i="8" s="1"/>
  <c r="AF19" i="8"/>
  <c r="AD19" i="8" s="1"/>
  <c r="AJ19" i="8" s="1"/>
  <c r="AM19" i="8"/>
  <c r="X19" i="8"/>
  <c r="V19" i="8"/>
  <c r="O19" i="8"/>
  <c r="AM18" i="8"/>
  <c r="X18" i="8"/>
  <c r="V18" i="8"/>
  <c r="O18" i="8"/>
  <c r="AM17" i="8"/>
  <c r="X17" i="8"/>
  <c r="V17" i="8"/>
  <c r="O17" i="8"/>
  <c r="X9" i="8"/>
  <c r="V9" i="8"/>
  <c r="O9" i="8"/>
  <c r="AQ55" i="8"/>
  <c r="AM55" i="8"/>
  <c r="X55" i="8"/>
  <c r="V55" i="8"/>
  <c r="O55" i="8"/>
  <c r="AI40" i="33"/>
  <c r="AI39" i="33"/>
  <c r="AI38" i="33"/>
  <c r="AI37" i="33"/>
  <c r="AI36" i="33"/>
  <c r="AI35" i="33"/>
  <c r="AI34" i="33"/>
  <c r="AI33" i="33"/>
  <c r="AI32" i="33"/>
  <c r="AI31" i="33"/>
  <c r="AI30" i="33"/>
  <c r="AI29" i="33"/>
  <c r="AI28" i="33"/>
  <c r="AI27" i="33"/>
  <c r="AI26" i="33"/>
  <c r="AI25" i="33"/>
  <c r="AI24" i="33"/>
  <c r="AI23" i="33"/>
  <c r="AI22" i="33"/>
  <c r="AI21" i="33"/>
  <c r="B42" i="16"/>
  <c r="B2" i="16" s="1"/>
  <c r="AT146" i="4"/>
  <c r="AT147" i="4"/>
  <c r="AT148" i="4"/>
  <c r="AT150" i="4"/>
  <c r="AT149" i="4"/>
  <c r="AT151" i="4"/>
  <c r="AT152" i="4"/>
  <c r="AY152" i="4"/>
  <c r="AX152" i="4"/>
  <c r="AJ152" i="4"/>
  <c r="AI152" i="4"/>
  <c r="AO152" i="4" s="1"/>
  <c r="AE152" i="4"/>
  <c r="X152" i="4"/>
  <c r="Q152" i="4"/>
  <c r="P152" i="4"/>
  <c r="AY151" i="4"/>
  <c r="AX151" i="4"/>
  <c r="AJ151" i="4"/>
  <c r="AI151" i="4"/>
  <c r="AO151" i="4"/>
  <c r="AQ151" i="4" s="1"/>
  <c r="AE151" i="4"/>
  <c r="X151" i="4"/>
  <c r="Q151" i="4"/>
  <c r="P151" i="4" s="1"/>
  <c r="AY149" i="4"/>
  <c r="AX149" i="4"/>
  <c r="AJ149" i="4"/>
  <c r="AI149" i="4"/>
  <c r="AO149" i="4"/>
  <c r="AE149" i="4"/>
  <c r="X149" i="4"/>
  <c r="Q149" i="4"/>
  <c r="P149" i="4"/>
  <c r="AY150" i="4"/>
  <c r="AX150" i="4"/>
  <c r="AJ150" i="4"/>
  <c r="AI150" i="4"/>
  <c r="AO150" i="4"/>
  <c r="AQ150" i="4" s="1"/>
  <c r="AE150" i="4"/>
  <c r="X150" i="4"/>
  <c r="W150" i="4" s="1"/>
  <c r="Q150" i="4"/>
  <c r="P150" i="4" s="1"/>
  <c r="AY148" i="4"/>
  <c r="AX148" i="4"/>
  <c r="AJ148" i="4"/>
  <c r="AI148" i="4"/>
  <c r="AO148" i="4" s="1"/>
  <c r="AE148" i="4"/>
  <c r="X148" i="4"/>
  <c r="Q148" i="4"/>
  <c r="R148" i="4"/>
  <c r="AY147" i="4"/>
  <c r="AX147" i="4"/>
  <c r="AJ147" i="4"/>
  <c r="AI147" i="4"/>
  <c r="AO147" i="4"/>
  <c r="AQ147" i="4" s="1"/>
  <c r="AE147" i="4"/>
  <c r="X147" i="4"/>
  <c r="Q147" i="4"/>
  <c r="P147" i="4"/>
  <c r="AY146" i="4"/>
  <c r="AX146" i="4"/>
  <c r="AJ146" i="4"/>
  <c r="AI146" i="4"/>
  <c r="AO146" i="4"/>
  <c r="AQ146" i="4"/>
  <c r="AE146" i="4"/>
  <c r="X146" i="4"/>
  <c r="W146" i="4"/>
  <c r="Q146" i="4"/>
  <c r="AE20" i="4"/>
  <c r="AE11" i="4"/>
  <c r="AE12" i="4"/>
  <c r="AE13" i="4"/>
  <c r="AE16" i="4"/>
  <c r="AE22" i="4"/>
  <c r="AF54" i="8"/>
  <c r="AD54" i="8" s="1"/>
  <c r="AJ54" i="8" s="1"/>
  <c r="O53" i="8"/>
  <c r="J53" i="8"/>
  <c r="AQ54" i="8"/>
  <c r="AM54" i="8"/>
  <c r="X54" i="8"/>
  <c r="V54" i="8"/>
  <c r="O54" i="8"/>
  <c r="J54" i="8"/>
  <c r="AQ53" i="8"/>
  <c r="AM53" i="8"/>
  <c r="AF53" i="8"/>
  <c r="AD53" i="8"/>
  <c r="AJ53" i="8" s="1"/>
  <c r="AK53" i="8" s="1"/>
  <c r="A141" i="12"/>
  <c r="A276" i="12"/>
  <c r="A411" i="12" s="1"/>
  <c r="A546" i="12" s="1"/>
  <c r="A681" i="12" s="1"/>
  <c r="A816" i="12" s="1"/>
  <c r="A951" i="12" s="1"/>
  <c r="A1086" i="12" s="1"/>
  <c r="A1221" i="12" s="1"/>
  <c r="A1356" i="12" s="1"/>
  <c r="A1491" i="12" s="1"/>
  <c r="A1626" i="12" s="1"/>
  <c r="A1761" i="12" s="1"/>
  <c r="A1896" i="12" s="1"/>
  <c r="A2031" i="12" s="1"/>
  <c r="A2166" i="12" s="1"/>
  <c r="A2301" i="12" s="1"/>
  <c r="A2436" i="12" s="1"/>
  <c r="A2571" i="12" s="1"/>
  <c r="A2706" i="12"/>
  <c r="A2841" i="12" s="1"/>
  <c r="A2976" i="12" s="1"/>
  <c r="A3111" i="12" s="1"/>
  <c r="A3246" i="12" s="1"/>
  <c r="A3381" i="12" s="1"/>
  <c r="A3516" i="12" s="1"/>
  <c r="A3651" i="12" s="1"/>
  <c r="A3786" i="12" s="1"/>
  <c r="A3921" i="12" s="1"/>
  <c r="A4056" i="12" s="1"/>
  <c r="A4191" i="12" s="1"/>
  <c r="A4326" i="12" s="1"/>
  <c r="A4461" i="12" s="1"/>
  <c r="A4596" i="12" s="1"/>
  <c r="A4731" i="12" s="1"/>
  <c r="A4866" i="12" s="1"/>
  <c r="A5001" i="12" s="1"/>
  <c r="A5136" i="12" s="1"/>
  <c r="A142" i="12"/>
  <c r="A277" i="12" s="1"/>
  <c r="A412" i="12" s="1"/>
  <c r="A547" i="12" s="1"/>
  <c r="A682" i="12"/>
  <c r="A817" i="12" s="1"/>
  <c r="A952" i="12" s="1"/>
  <c r="A1087" i="12" s="1"/>
  <c r="A1222" i="12" s="1"/>
  <c r="A1357" i="12" s="1"/>
  <c r="A1492" i="12" s="1"/>
  <c r="A1627" i="12" s="1"/>
  <c r="A1762" i="12" s="1"/>
  <c r="A1897" i="12" s="1"/>
  <c r="A2032" i="12" s="1"/>
  <c r="A2167" i="12" s="1"/>
  <c r="A2302" i="12" s="1"/>
  <c r="A2437" i="12" s="1"/>
  <c r="A2572" i="12" s="1"/>
  <c r="A2707" i="12" s="1"/>
  <c r="A2842" i="12" s="1"/>
  <c r="A2977" i="12" s="1"/>
  <c r="A3112" i="12" s="1"/>
  <c r="A3247" i="12" s="1"/>
  <c r="A3382" i="12" s="1"/>
  <c r="A3517" i="12" s="1"/>
  <c r="A3652" i="12" s="1"/>
  <c r="A3787" i="12" s="1"/>
  <c r="A3922" i="12" s="1"/>
  <c r="A4057" i="12" s="1"/>
  <c r="A4192" i="12" s="1"/>
  <c r="A4327" i="12" s="1"/>
  <c r="A4462" i="12" s="1"/>
  <c r="A4597" i="12" s="1"/>
  <c r="A4732" i="12" s="1"/>
  <c r="A4867" i="12" s="1"/>
  <c r="A5002" i="12" s="1"/>
  <c r="A5137" i="12" s="1"/>
  <c r="A143" i="12"/>
  <c r="A278" i="12" s="1"/>
  <c r="A413" i="12" s="1"/>
  <c r="A548" i="12" s="1"/>
  <c r="A683" i="12" s="1"/>
  <c r="A818" i="12" s="1"/>
  <c r="A953" i="12" s="1"/>
  <c r="A1088" i="12" s="1"/>
  <c r="A1223" i="12" s="1"/>
  <c r="A1358" i="12" s="1"/>
  <c r="A1493" i="12" s="1"/>
  <c r="A1628" i="12" s="1"/>
  <c r="A1763" i="12" s="1"/>
  <c r="A1898" i="12" s="1"/>
  <c r="A2033" i="12" s="1"/>
  <c r="A2168" i="12" s="1"/>
  <c r="A2303" i="12" s="1"/>
  <c r="A2438" i="12" s="1"/>
  <c r="A2573" i="12" s="1"/>
  <c r="A2708" i="12" s="1"/>
  <c r="A2843" i="12" s="1"/>
  <c r="A2978" i="12" s="1"/>
  <c r="A3113" i="12" s="1"/>
  <c r="A3248" i="12" s="1"/>
  <c r="A3383" i="12" s="1"/>
  <c r="A3518" i="12" s="1"/>
  <c r="A3653" i="12" s="1"/>
  <c r="A3788" i="12" s="1"/>
  <c r="A3923" i="12" s="1"/>
  <c r="A4058" i="12" s="1"/>
  <c r="A4193" i="12" s="1"/>
  <c r="A4328" i="12" s="1"/>
  <c r="A4463" i="12" s="1"/>
  <c r="A4598" i="12" s="1"/>
  <c r="A4733" i="12" s="1"/>
  <c r="A4868" i="12" s="1"/>
  <c r="A5003" i="12" s="1"/>
  <c r="A5138" i="12" s="1"/>
  <c r="A144" i="12"/>
  <c r="A279" i="12" s="1"/>
  <c r="A414" i="12" s="1"/>
  <c r="A549" i="12" s="1"/>
  <c r="A684" i="12"/>
  <c r="A819" i="12" s="1"/>
  <c r="A954" i="12" s="1"/>
  <c r="A1089" i="12" s="1"/>
  <c r="A1224" i="12" s="1"/>
  <c r="A1359" i="12" s="1"/>
  <c r="A1494" i="12" s="1"/>
  <c r="A1629" i="12" s="1"/>
  <c r="A1764" i="12" s="1"/>
  <c r="A1899" i="12" s="1"/>
  <c r="A2034" i="12" s="1"/>
  <c r="A2169" i="12" s="1"/>
  <c r="A2304" i="12" s="1"/>
  <c r="A2439" i="12" s="1"/>
  <c r="A2574" i="12" s="1"/>
  <c r="A2709" i="12" s="1"/>
  <c r="A2844" i="12" s="1"/>
  <c r="A2979" i="12" s="1"/>
  <c r="A3114" i="12" s="1"/>
  <c r="A3249" i="12" s="1"/>
  <c r="A3384" i="12" s="1"/>
  <c r="A3519" i="12" s="1"/>
  <c r="A3654" i="12" s="1"/>
  <c r="A3789" i="12" s="1"/>
  <c r="A3924" i="12" s="1"/>
  <c r="A4059" i="12" s="1"/>
  <c r="A4194" i="12" s="1"/>
  <c r="A4329" i="12" s="1"/>
  <c r="A4464" i="12" s="1"/>
  <c r="A4599" i="12" s="1"/>
  <c r="A4734" i="12" s="1"/>
  <c r="A4869" i="12" s="1"/>
  <c r="A5004" i="12" s="1"/>
  <c r="A5139" i="12" s="1"/>
  <c r="A145" i="12"/>
  <c r="A146" i="12"/>
  <c r="A281" i="12" s="1"/>
  <c r="A416" i="12"/>
  <c r="A551" i="12"/>
  <c r="A686" i="12" s="1"/>
  <c r="A821" i="12" s="1"/>
  <c r="A956" i="12" s="1"/>
  <c r="A1091" i="12" s="1"/>
  <c r="A1226" i="12" s="1"/>
  <c r="A1361" i="12" s="1"/>
  <c r="A1496" i="12" s="1"/>
  <c r="A1631" i="12" s="1"/>
  <c r="A1766" i="12" s="1"/>
  <c r="A1901" i="12" s="1"/>
  <c r="A2036" i="12" s="1"/>
  <c r="A2171" i="12" s="1"/>
  <c r="A2306" i="12" s="1"/>
  <c r="A2441" i="12" s="1"/>
  <c r="A2576" i="12" s="1"/>
  <c r="A2711" i="12" s="1"/>
  <c r="A2846" i="12" s="1"/>
  <c r="A2981" i="12" s="1"/>
  <c r="A3116" i="12" s="1"/>
  <c r="A3251" i="12" s="1"/>
  <c r="A3386" i="12"/>
  <c r="A3521" i="12" s="1"/>
  <c r="A3656" i="12" s="1"/>
  <c r="A3791" i="12" s="1"/>
  <c r="A3926" i="12" s="1"/>
  <c r="A4061" i="12" s="1"/>
  <c r="A4196" i="12" s="1"/>
  <c r="A4331" i="12" s="1"/>
  <c r="A4466" i="12" s="1"/>
  <c r="A4601" i="12" s="1"/>
  <c r="A4736" i="12" s="1"/>
  <c r="A4871" i="12" s="1"/>
  <c r="A5006" i="12" s="1"/>
  <c r="A5141" i="12" s="1"/>
  <c r="A147" i="12"/>
  <c r="A282" i="12" s="1"/>
  <c r="A417" i="12"/>
  <c r="A552" i="12"/>
  <c r="A687" i="12"/>
  <c r="A822" i="12" s="1"/>
  <c r="A957" i="12" s="1"/>
  <c r="A1092" i="12" s="1"/>
  <c r="A1227" i="12" s="1"/>
  <c r="A1362" i="12" s="1"/>
  <c r="A1497" i="12" s="1"/>
  <c r="A1632" i="12" s="1"/>
  <c r="A1767" i="12" s="1"/>
  <c r="A1902" i="12" s="1"/>
  <c r="A2037" i="12" s="1"/>
  <c r="A2172" i="12" s="1"/>
  <c r="A148" i="12"/>
  <c r="A283" i="12"/>
  <c r="A418" i="12"/>
  <c r="A553" i="12"/>
  <c r="A688" i="12" s="1"/>
  <c r="A823" i="12" s="1"/>
  <c r="A958" i="12" s="1"/>
  <c r="A1093" i="12"/>
  <c r="A1228" i="12" s="1"/>
  <c r="A1363" i="12" s="1"/>
  <c r="A1498" i="12"/>
  <c r="A1633" i="12" s="1"/>
  <c r="A1768" i="12" s="1"/>
  <c r="A1903" i="12" s="1"/>
  <c r="A2038" i="12" s="1"/>
  <c r="A2173" i="12" s="1"/>
  <c r="A2308" i="12" s="1"/>
  <c r="A2443" i="12" s="1"/>
  <c r="A2578" i="12" s="1"/>
  <c r="A2713" i="12" s="1"/>
  <c r="A2848" i="12" s="1"/>
  <c r="A2983" i="12" s="1"/>
  <c r="A3118" i="12" s="1"/>
  <c r="A3253" i="12" s="1"/>
  <c r="A3388" i="12" s="1"/>
  <c r="A3523" i="12" s="1"/>
  <c r="A3658" i="12" s="1"/>
  <c r="A3793" i="12" s="1"/>
  <c r="A3928" i="12" s="1"/>
  <c r="A4063" i="12" s="1"/>
  <c r="A4198" i="12" s="1"/>
  <c r="A4333" i="12" s="1"/>
  <c r="A4468" i="12" s="1"/>
  <c r="A4603" i="12" s="1"/>
  <c r="A4738" i="12" s="1"/>
  <c r="A4873" i="12" s="1"/>
  <c r="A5008" i="12" s="1"/>
  <c r="A5143" i="12"/>
  <c r="A149" i="12"/>
  <c r="A284" i="12"/>
  <c r="A419" i="12" s="1"/>
  <c r="A554" i="12" s="1"/>
  <c r="A689" i="12"/>
  <c r="A824" i="12" s="1"/>
  <c r="A959" i="12" s="1"/>
  <c r="A1094" i="12"/>
  <c r="A1229" i="12" s="1"/>
  <c r="A1364" i="12" s="1"/>
  <c r="A1499" i="12" s="1"/>
  <c r="A1634" i="12" s="1"/>
  <c r="A1769" i="12" s="1"/>
  <c r="A1904" i="12" s="1"/>
  <c r="A2039" i="12" s="1"/>
  <c r="A150" i="12"/>
  <c r="A285" i="12" s="1"/>
  <c r="A420" i="12"/>
  <c r="A555" i="12" s="1"/>
  <c r="A690" i="12" s="1"/>
  <c r="A825" i="12" s="1"/>
  <c r="A960" i="12" s="1"/>
  <c r="A1095" i="12" s="1"/>
  <c r="A1230" i="12" s="1"/>
  <c r="A1365" i="12" s="1"/>
  <c r="A1500" i="12" s="1"/>
  <c r="A1635" i="12" s="1"/>
  <c r="A1770" i="12" s="1"/>
  <c r="A1905" i="12" s="1"/>
  <c r="A2040" i="12" s="1"/>
  <c r="A2175" i="12" s="1"/>
  <c r="A2310" i="12" s="1"/>
  <c r="A2445" i="12" s="1"/>
  <c r="A2580" i="12" s="1"/>
  <c r="A2715" i="12" s="1"/>
  <c r="A2850" i="12" s="1"/>
  <c r="A2985" i="12" s="1"/>
  <c r="A3120" i="12" s="1"/>
  <c r="A3255" i="12" s="1"/>
  <c r="A3390" i="12" s="1"/>
  <c r="A3525" i="12" s="1"/>
  <c r="A3660" i="12" s="1"/>
  <c r="A3795" i="12" s="1"/>
  <c r="A3930" i="12" s="1"/>
  <c r="A4065" i="12" s="1"/>
  <c r="A4200" i="12" s="1"/>
  <c r="A4335" i="12" s="1"/>
  <c r="A4470" i="12" s="1"/>
  <c r="A4605" i="12" s="1"/>
  <c r="A4740" i="12" s="1"/>
  <c r="A4875" i="12" s="1"/>
  <c r="A5010" i="12" s="1"/>
  <c r="A5145" i="12" s="1"/>
  <c r="A151" i="12"/>
  <c r="A286" i="12" s="1"/>
  <c r="A421" i="12"/>
  <c r="A556" i="12" s="1"/>
  <c r="A691" i="12"/>
  <c r="A826" i="12"/>
  <c r="A961" i="12" s="1"/>
  <c r="A1096" i="12" s="1"/>
  <c r="A1231" i="12" s="1"/>
  <c r="A1366" i="12" s="1"/>
  <c r="A1501" i="12" s="1"/>
  <c r="A1636" i="12" s="1"/>
  <c r="A1771" i="12" s="1"/>
  <c r="A1906" i="12" s="1"/>
  <c r="A2041" i="12" s="1"/>
  <c r="A2176" i="12" s="1"/>
  <c r="A2311" i="12" s="1"/>
  <c r="A2446" i="12" s="1"/>
  <c r="A2581" i="12" s="1"/>
  <c r="A2716" i="12" s="1"/>
  <c r="A2851" i="12" s="1"/>
  <c r="A2986" i="12" s="1"/>
  <c r="A3121" i="12" s="1"/>
  <c r="A3256" i="12"/>
  <c r="A3391" i="12" s="1"/>
  <c r="A3526" i="12" s="1"/>
  <c r="A3661" i="12" s="1"/>
  <c r="A3796" i="12" s="1"/>
  <c r="A3931" i="12" s="1"/>
  <c r="A4066" i="12" s="1"/>
  <c r="A4201" i="12" s="1"/>
  <c r="A4336" i="12" s="1"/>
  <c r="A4471" i="12" s="1"/>
  <c r="A4606" i="12" s="1"/>
  <c r="A4741" i="12" s="1"/>
  <c r="A4876" i="12" s="1"/>
  <c r="A5011" i="12" s="1"/>
  <c r="A5146" i="12" s="1"/>
  <c r="A152" i="12"/>
  <c r="A287" i="12"/>
  <c r="A422" i="12" s="1"/>
  <c r="A557" i="12" s="1"/>
  <c r="A692" i="12"/>
  <c r="A827" i="12" s="1"/>
  <c r="A962" i="12" s="1"/>
  <c r="A1097" i="12"/>
  <c r="A1232" i="12" s="1"/>
  <c r="A1367" i="12"/>
  <c r="A1502" i="12" s="1"/>
  <c r="A1637" i="12" s="1"/>
  <c r="A1772" i="12" s="1"/>
  <c r="A1907" i="12" s="1"/>
  <c r="A2042" i="12" s="1"/>
  <c r="A2177" i="12" s="1"/>
  <c r="A2312" i="12" s="1"/>
  <c r="A2447" i="12" s="1"/>
  <c r="A2582" i="12" s="1"/>
  <c r="A2717" i="12" s="1"/>
  <c r="A2852" i="12" s="1"/>
  <c r="A2987" i="12" s="1"/>
  <c r="A3122" i="12" s="1"/>
  <c r="A3257" i="12" s="1"/>
  <c r="A3392" i="12" s="1"/>
  <c r="A3527" i="12" s="1"/>
  <c r="A3662" i="12" s="1"/>
  <c r="A3797" i="12" s="1"/>
  <c r="A3932" i="12" s="1"/>
  <c r="A4067" i="12" s="1"/>
  <c r="A4202" i="12" s="1"/>
  <c r="A4337" i="12" s="1"/>
  <c r="A4472" i="12" s="1"/>
  <c r="A4607" i="12" s="1"/>
  <c r="A4742" i="12" s="1"/>
  <c r="A4877" i="12" s="1"/>
  <c r="A5012" i="12" s="1"/>
  <c r="A5147" i="12" s="1"/>
  <c r="A153" i="12"/>
  <c r="A288" i="12" s="1"/>
  <c r="A423" i="12" s="1"/>
  <c r="A558" i="12" s="1"/>
  <c r="A693" i="12"/>
  <c r="A828" i="12" s="1"/>
  <c r="A963" i="12"/>
  <c r="A1098" i="12" s="1"/>
  <c r="A1233" i="12" s="1"/>
  <c r="A1368" i="12" s="1"/>
  <c r="A1503" i="12" s="1"/>
  <c r="A1638" i="12" s="1"/>
  <c r="A1773" i="12" s="1"/>
  <c r="A1908" i="12" s="1"/>
  <c r="A2043" i="12" s="1"/>
  <c r="A2178" i="12" s="1"/>
  <c r="A2313" i="12" s="1"/>
  <c r="A2448" i="12" s="1"/>
  <c r="A2583" i="12" s="1"/>
  <c r="A2718" i="12" s="1"/>
  <c r="A2853" i="12" s="1"/>
  <c r="A2988" i="12" s="1"/>
  <c r="A3123" i="12"/>
  <c r="A3258" i="12" s="1"/>
  <c r="A3393" i="12" s="1"/>
  <c r="A3528" i="12" s="1"/>
  <c r="A3663" i="12" s="1"/>
  <c r="A3798" i="12" s="1"/>
  <c r="A3933" i="12" s="1"/>
  <c r="A4068" i="12" s="1"/>
  <c r="A4203" i="12" s="1"/>
  <c r="A4338" i="12" s="1"/>
  <c r="A4473" i="12" s="1"/>
  <c r="A4608" i="12" s="1"/>
  <c r="A4743" i="12" s="1"/>
  <c r="A4878" i="12" s="1"/>
  <c r="A5013" i="12" s="1"/>
  <c r="A5148" i="12" s="1"/>
  <c r="A154" i="12"/>
  <c r="A289" i="12" s="1"/>
  <c r="A424" i="12" s="1"/>
  <c r="A559" i="12" s="1"/>
  <c r="A694" i="12" s="1"/>
  <c r="A829" i="12" s="1"/>
  <c r="A964" i="12" s="1"/>
  <c r="A1099" i="12" s="1"/>
  <c r="A1234" i="12" s="1"/>
  <c r="A1369" i="12" s="1"/>
  <c r="A1504" i="12" s="1"/>
  <c r="A1639" i="12" s="1"/>
  <c r="A1774" i="12" s="1"/>
  <c r="A1909" i="12" s="1"/>
  <c r="A2044" i="12" s="1"/>
  <c r="A2179" i="12" s="1"/>
  <c r="A2314" i="12" s="1"/>
  <c r="A2449" i="12" s="1"/>
  <c r="A2584" i="12" s="1"/>
  <c r="A2719" i="12" s="1"/>
  <c r="A2854" i="12" s="1"/>
  <c r="A2989" i="12" s="1"/>
  <c r="A3124" i="12" s="1"/>
  <c r="A3259" i="12" s="1"/>
  <c r="A3394" i="12" s="1"/>
  <c r="A3529" i="12" s="1"/>
  <c r="A3664" i="12" s="1"/>
  <c r="A3799" i="12" s="1"/>
  <c r="A3934" i="12" s="1"/>
  <c r="A4069" i="12" s="1"/>
  <c r="A4204" i="12" s="1"/>
  <c r="A4339" i="12" s="1"/>
  <c r="A4474" i="12" s="1"/>
  <c r="A4609" i="12" s="1"/>
  <c r="A4744" i="12" s="1"/>
  <c r="A4879" i="12" s="1"/>
  <c r="A5014" i="12" s="1"/>
  <c r="A5149" i="12" s="1"/>
  <c r="A155" i="12"/>
  <c r="A290" i="12"/>
  <c r="A425" i="12"/>
  <c r="A560" i="12" s="1"/>
  <c r="A695" i="12" s="1"/>
  <c r="A830" i="12" s="1"/>
  <c r="A965" i="12" s="1"/>
  <c r="A1100" i="12" s="1"/>
  <c r="A1235" i="12" s="1"/>
  <c r="A1370" i="12" s="1"/>
  <c r="A1505" i="12" s="1"/>
  <c r="A1640" i="12" s="1"/>
  <c r="A1775" i="12" s="1"/>
  <c r="A1910" i="12" s="1"/>
  <c r="A2045" i="12" s="1"/>
  <c r="A2180" i="12" s="1"/>
  <c r="A2315" i="12" s="1"/>
  <c r="A2450" i="12" s="1"/>
  <c r="A2585" i="12" s="1"/>
  <c r="A2720" i="12" s="1"/>
  <c r="A2855" i="12" s="1"/>
  <c r="A2990" i="12" s="1"/>
  <c r="A3125" i="12" s="1"/>
  <c r="A3260" i="12" s="1"/>
  <c r="A3395" i="12" s="1"/>
  <c r="A3530" i="12" s="1"/>
  <c r="A3665" i="12" s="1"/>
  <c r="A3800" i="12" s="1"/>
  <c r="A3935" i="12" s="1"/>
  <c r="A4070" i="12" s="1"/>
  <c r="A4205" i="12" s="1"/>
  <c r="A4340" i="12" s="1"/>
  <c r="A4475" i="12" s="1"/>
  <c r="A4610" i="12" s="1"/>
  <c r="A4745" i="12" s="1"/>
  <c r="A4880" i="12" s="1"/>
  <c r="A5015" i="12" s="1"/>
  <c r="A5150" i="12" s="1"/>
  <c r="A156" i="12"/>
  <c r="A291" i="12"/>
  <c r="A426" i="12"/>
  <c r="A561" i="12"/>
  <c r="A696" i="12" s="1"/>
  <c r="A831" i="12" s="1"/>
  <c r="A966" i="12" s="1"/>
  <c r="A1101" i="12" s="1"/>
  <c r="A1236" i="12" s="1"/>
  <c r="A1371" i="12" s="1"/>
  <c r="A1506" i="12" s="1"/>
  <c r="A1641" i="12" s="1"/>
  <c r="A1776" i="12" s="1"/>
  <c r="A1911" i="12" s="1"/>
  <c r="A2046" i="12" s="1"/>
  <c r="A2181" i="12" s="1"/>
  <c r="A2316" i="12" s="1"/>
  <c r="A2451" i="12" s="1"/>
  <c r="A2586" i="12" s="1"/>
  <c r="A2721" i="12" s="1"/>
  <c r="A2856" i="12" s="1"/>
  <c r="A2991" i="12" s="1"/>
  <c r="A3126" i="12" s="1"/>
  <c r="A3261" i="12" s="1"/>
  <c r="A3396" i="12" s="1"/>
  <c r="A3531" i="12" s="1"/>
  <c r="A3666" i="12" s="1"/>
  <c r="A3801" i="12" s="1"/>
  <c r="A3936" i="12" s="1"/>
  <c r="A4071" i="12" s="1"/>
  <c r="A4206" i="12" s="1"/>
  <c r="A4341" i="12" s="1"/>
  <c r="A4476" i="12" s="1"/>
  <c r="A4611" i="12" s="1"/>
  <c r="A4746" i="12" s="1"/>
  <c r="A4881" i="12" s="1"/>
  <c r="A5016" i="12" s="1"/>
  <c r="A5151" i="12" s="1"/>
  <c r="A157" i="12"/>
  <c r="A292" i="12"/>
  <c r="A427" i="12" s="1"/>
  <c r="A562" i="12" s="1"/>
  <c r="A697" i="12" s="1"/>
  <c r="A832" i="12" s="1"/>
  <c r="A967" i="12"/>
  <c r="A1102" i="12"/>
  <c r="A1237" i="12" s="1"/>
  <c r="A1372" i="12" s="1"/>
  <c r="A1507" i="12" s="1"/>
  <c r="A1642" i="12" s="1"/>
  <c r="A1777" i="12" s="1"/>
  <c r="A1912" i="12" s="1"/>
  <c r="A2047" i="12" s="1"/>
  <c r="A2182" i="12" s="1"/>
  <c r="A2317" i="12"/>
  <c r="A2452" i="12" s="1"/>
  <c r="A2587" i="12" s="1"/>
  <c r="A2722" i="12" s="1"/>
  <c r="A2857" i="12" s="1"/>
  <c r="A2992" i="12" s="1"/>
  <c r="A3127" i="12" s="1"/>
  <c r="A3262" i="12" s="1"/>
  <c r="A3397" i="12" s="1"/>
  <c r="A3532" i="12" s="1"/>
  <c r="A3667" i="12" s="1"/>
  <c r="A3802" i="12" s="1"/>
  <c r="A3937" i="12" s="1"/>
  <c r="A4072" i="12" s="1"/>
  <c r="A4207" i="12" s="1"/>
  <c r="A4342" i="12" s="1"/>
  <c r="A4477" i="12" s="1"/>
  <c r="A4612" i="12" s="1"/>
  <c r="A4747" i="12" s="1"/>
  <c r="A4882" i="12" s="1"/>
  <c r="A5017" i="12" s="1"/>
  <c r="A5152" i="12" s="1"/>
  <c r="A158" i="12"/>
  <c r="A293" i="12" s="1"/>
  <c r="A428" i="12" s="1"/>
  <c r="A563" i="12" s="1"/>
  <c r="A698" i="12" s="1"/>
  <c r="A833" i="12" s="1"/>
  <c r="A968" i="12" s="1"/>
  <c r="A1103" i="12" s="1"/>
  <c r="A1238" i="12" s="1"/>
  <c r="A1373" i="12" s="1"/>
  <c r="A1508" i="12" s="1"/>
  <c r="A1643" i="12" s="1"/>
  <c r="A1778" i="12" s="1"/>
  <c r="A1913" i="12" s="1"/>
  <c r="A2048" i="12" s="1"/>
  <c r="A2183" i="12" s="1"/>
  <c r="A2318" i="12" s="1"/>
  <c r="A2453" i="12" s="1"/>
  <c r="A2588" i="12" s="1"/>
  <c r="A2723" i="12" s="1"/>
  <c r="A2858" i="12" s="1"/>
  <c r="A2993" i="12" s="1"/>
  <c r="A3128" i="12" s="1"/>
  <c r="A3263" i="12" s="1"/>
  <c r="A3398" i="12" s="1"/>
  <c r="A3533" i="12" s="1"/>
  <c r="A3668" i="12" s="1"/>
  <c r="A3803" i="12" s="1"/>
  <c r="A3938" i="12" s="1"/>
  <c r="A4073" i="12" s="1"/>
  <c r="A4208" i="12" s="1"/>
  <c r="A4343" i="12" s="1"/>
  <c r="A4478" i="12" s="1"/>
  <c r="A4613" i="12" s="1"/>
  <c r="A4748" i="12" s="1"/>
  <c r="A4883" i="12" s="1"/>
  <c r="A5018" i="12" s="1"/>
  <c r="A5153" i="12" s="1"/>
  <c r="A159" i="12"/>
  <c r="A294" i="12" s="1"/>
  <c r="A429" i="12" s="1"/>
  <c r="A564" i="12" s="1"/>
  <c r="A699" i="12"/>
  <c r="A834" i="12" s="1"/>
  <c r="A969" i="12" s="1"/>
  <c r="A1104" i="12" s="1"/>
  <c r="A1239" i="12" s="1"/>
  <c r="A1374" i="12"/>
  <c r="A1509" i="12" s="1"/>
  <c r="A1644" i="12" s="1"/>
  <c r="A1779" i="12" s="1"/>
  <c r="A1914" i="12" s="1"/>
  <c r="A2049" i="12" s="1"/>
  <c r="A2184" i="12" s="1"/>
  <c r="A2319" i="12" s="1"/>
  <c r="A2454" i="12" s="1"/>
  <c r="A2589" i="12" s="1"/>
  <c r="A2724" i="12" s="1"/>
  <c r="A2859" i="12" s="1"/>
  <c r="A2994" i="12" s="1"/>
  <c r="A3129" i="12" s="1"/>
  <c r="A3264" i="12" s="1"/>
  <c r="A3399" i="12" s="1"/>
  <c r="A3534" i="12" s="1"/>
  <c r="A3669" i="12" s="1"/>
  <c r="A3804" i="12" s="1"/>
  <c r="A3939" i="12" s="1"/>
  <c r="A4074" i="12" s="1"/>
  <c r="A4209" i="12" s="1"/>
  <c r="A4344" i="12" s="1"/>
  <c r="A4479" i="12" s="1"/>
  <c r="A4614" i="12" s="1"/>
  <c r="A4749" i="12" s="1"/>
  <c r="A4884" i="12" s="1"/>
  <c r="A5019" i="12" s="1"/>
  <c r="A5154" i="12" s="1"/>
  <c r="A160" i="12"/>
  <c r="A295" i="12"/>
  <c r="A430" i="12"/>
  <c r="A565" i="12"/>
  <c r="A700" i="12" s="1"/>
  <c r="A835" i="12"/>
  <c r="A970" i="12" s="1"/>
  <c r="A1105" i="12" s="1"/>
  <c r="A1240" i="12" s="1"/>
  <c r="A1375" i="12" s="1"/>
  <c r="A1510" i="12" s="1"/>
  <c r="A1645" i="12" s="1"/>
  <c r="A1780" i="12"/>
  <c r="A1915" i="12" s="1"/>
  <c r="A2050" i="12" s="1"/>
  <c r="A2185" i="12" s="1"/>
  <c r="A2320" i="12" s="1"/>
  <c r="A2455" i="12" s="1"/>
  <c r="A2590" i="12" s="1"/>
  <c r="A2725" i="12" s="1"/>
  <c r="A2860" i="12" s="1"/>
  <c r="A2995" i="12" s="1"/>
  <c r="A3130" i="12" s="1"/>
  <c r="A3265" i="12" s="1"/>
  <c r="A3400" i="12" s="1"/>
  <c r="A3535" i="12" s="1"/>
  <c r="A3670" i="12" s="1"/>
  <c r="A3805" i="12" s="1"/>
  <c r="A3940" i="12" s="1"/>
  <c r="A4075" i="12" s="1"/>
  <c r="A4210" i="12" s="1"/>
  <c r="A4345" i="12" s="1"/>
  <c r="A4480" i="12" s="1"/>
  <c r="A4615" i="12" s="1"/>
  <c r="A4750" i="12" s="1"/>
  <c r="A4885" i="12" s="1"/>
  <c r="A5020" i="12" s="1"/>
  <c r="A5155" i="12" s="1"/>
  <c r="A161" i="12"/>
  <c r="A296" i="12"/>
  <c r="A431" i="12" s="1"/>
  <c r="A566" i="12" s="1"/>
  <c r="A701" i="12" s="1"/>
  <c r="A836" i="12" s="1"/>
  <c r="A971" i="12" s="1"/>
  <c r="A1106" i="12" s="1"/>
  <c r="A1241" i="12" s="1"/>
  <c r="A1376" i="12" s="1"/>
  <c r="A1511" i="12" s="1"/>
  <c r="A1646" i="12" s="1"/>
  <c r="A1781" i="12" s="1"/>
  <c r="A1916" i="12" s="1"/>
  <c r="A2051" i="12" s="1"/>
  <c r="A2186" i="12" s="1"/>
  <c r="A2321" i="12"/>
  <c r="A2456" i="12" s="1"/>
  <c r="A2591" i="12" s="1"/>
  <c r="A2726" i="12" s="1"/>
  <c r="A2861" i="12" s="1"/>
  <c r="A2996" i="12" s="1"/>
  <c r="A3131" i="12" s="1"/>
  <c r="A3266" i="12" s="1"/>
  <c r="A3401" i="12" s="1"/>
  <c r="A3536" i="12" s="1"/>
  <c r="A3671" i="12" s="1"/>
  <c r="A3806" i="12" s="1"/>
  <c r="A3941" i="12" s="1"/>
  <c r="A4076" i="12" s="1"/>
  <c r="A4211" i="12" s="1"/>
  <c r="A4346" i="12" s="1"/>
  <c r="A4481" i="12" s="1"/>
  <c r="A4616" i="12" s="1"/>
  <c r="A4751" i="12" s="1"/>
  <c r="A4886" i="12" s="1"/>
  <c r="A5021" i="12" s="1"/>
  <c r="A5156" i="12" s="1"/>
  <c r="A162" i="12"/>
  <c r="A297" i="12" s="1"/>
  <c r="A432" i="12" s="1"/>
  <c r="A567" i="12"/>
  <c r="A702" i="12" s="1"/>
  <c r="A837" i="12" s="1"/>
  <c r="A972" i="12" s="1"/>
  <c r="A1107" i="12" s="1"/>
  <c r="A1242" i="12" s="1"/>
  <c r="A1377" i="12" s="1"/>
  <c r="A1512" i="12" s="1"/>
  <c r="A1647" i="12" s="1"/>
  <c r="A1782" i="12" s="1"/>
  <c r="A1917" i="12" s="1"/>
  <c r="A2052" i="12" s="1"/>
  <c r="A2187" i="12" s="1"/>
  <c r="A2322" i="12" s="1"/>
  <c r="A2457" i="12" s="1"/>
  <c r="A2592" i="12" s="1"/>
  <c r="A2727" i="12" s="1"/>
  <c r="A2862" i="12" s="1"/>
  <c r="A2997" i="12" s="1"/>
  <c r="A3132" i="12" s="1"/>
  <c r="A3267" i="12" s="1"/>
  <c r="A3402" i="12" s="1"/>
  <c r="A3537" i="12" s="1"/>
  <c r="A3672" i="12" s="1"/>
  <c r="A3807" i="12" s="1"/>
  <c r="A3942" i="12" s="1"/>
  <c r="A4077" i="12" s="1"/>
  <c r="A4212" i="12" s="1"/>
  <c r="A4347" i="12" s="1"/>
  <c r="A4482" i="12" s="1"/>
  <c r="A4617" i="12" s="1"/>
  <c r="A4752" i="12" s="1"/>
  <c r="A4887" i="12" s="1"/>
  <c r="A5022" i="12" s="1"/>
  <c r="A5157" i="12" s="1"/>
  <c r="A163" i="12"/>
  <c r="A298" i="12"/>
  <c r="A433" i="12" s="1"/>
  <c r="A568" i="12" s="1"/>
  <c r="A703" i="12" s="1"/>
  <c r="A838" i="12" s="1"/>
  <c r="A973" i="12" s="1"/>
  <c r="A1108" i="12"/>
  <c r="A1243" i="12" s="1"/>
  <c r="A1378" i="12" s="1"/>
  <c r="A1513" i="12"/>
  <c r="A1648" i="12" s="1"/>
  <c r="A1783" i="12" s="1"/>
  <c r="A1918" i="12" s="1"/>
  <c r="A2053" i="12" s="1"/>
  <c r="A2188" i="12" s="1"/>
  <c r="A2323" i="12" s="1"/>
  <c r="A2458" i="12" s="1"/>
  <c r="A2593" i="12" s="1"/>
  <c r="A2728" i="12" s="1"/>
  <c r="A2863" i="12" s="1"/>
  <c r="A2998" i="12" s="1"/>
  <c r="A3133" i="12" s="1"/>
  <c r="A3268" i="12" s="1"/>
  <c r="A3403" i="12" s="1"/>
  <c r="A3538" i="12" s="1"/>
  <c r="A3673" i="12" s="1"/>
  <c r="A3808" i="12" s="1"/>
  <c r="A3943" i="12" s="1"/>
  <c r="A4078" i="12" s="1"/>
  <c r="A4213" i="12" s="1"/>
  <c r="A4348" i="12" s="1"/>
  <c r="A4483" i="12" s="1"/>
  <c r="A4618" i="12" s="1"/>
  <c r="A4753" i="12" s="1"/>
  <c r="A4888" i="12" s="1"/>
  <c r="A5023" i="12" s="1"/>
  <c r="A5158" i="12" s="1"/>
  <c r="A164" i="12"/>
  <c r="A299" i="12"/>
  <c r="A434" i="12"/>
  <c r="A569" i="12" s="1"/>
  <c r="A704" i="12"/>
  <c r="A839" i="12" s="1"/>
  <c r="A974" i="12" s="1"/>
  <c r="A1109" i="12"/>
  <c r="A1244" i="12" s="1"/>
  <c r="A1379" i="12"/>
  <c r="A1514" i="12" s="1"/>
  <c r="A1649" i="12" s="1"/>
  <c r="A1784" i="12" s="1"/>
  <c r="A1919" i="12" s="1"/>
  <c r="A2054" i="12" s="1"/>
  <c r="A2189" i="12" s="1"/>
  <c r="A2324" i="12" s="1"/>
  <c r="A2459" i="12"/>
  <c r="A2594" i="12" s="1"/>
  <c r="A2729" i="12" s="1"/>
  <c r="A2864" i="12" s="1"/>
  <c r="A2999" i="12" s="1"/>
  <c r="A3134" i="12" s="1"/>
  <c r="A3269" i="12" s="1"/>
  <c r="A3404" i="12" s="1"/>
  <c r="A3539" i="12" s="1"/>
  <c r="A3674" i="12" s="1"/>
  <c r="A3809" i="12" s="1"/>
  <c r="A3944" i="12" s="1"/>
  <c r="A4079" i="12" s="1"/>
  <c r="A4214" i="12" s="1"/>
  <c r="A4349" i="12" s="1"/>
  <c r="A4484" i="12" s="1"/>
  <c r="A4619" i="12" s="1"/>
  <c r="A4754" i="12" s="1"/>
  <c r="A4889" i="12" s="1"/>
  <c r="A5024" i="12" s="1"/>
  <c r="A5159" i="12" s="1"/>
  <c r="A165" i="12"/>
  <c r="A300" i="12" s="1"/>
  <c r="A166" i="12"/>
  <c r="A301" i="12" s="1"/>
  <c r="A436" i="12" s="1"/>
  <c r="A571" i="12"/>
  <c r="A706" i="12" s="1"/>
  <c r="A841" i="12" s="1"/>
  <c r="A976" i="12" s="1"/>
  <c r="A1111" i="12" s="1"/>
  <c r="A1246" i="12" s="1"/>
  <c r="A1381" i="12" s="1"/>
  <c r="A1516" i="12" s="1"/>
  <c r="A1651" i="12" s="1"/>
  <c r="A1786" i="12" s="1"/>
  <c r="A1921" i="12" s="1"/>
  <c r="A2056" i="12" s="1"/>
  <c r="A2191" i="12" s="1"/>
  <c r="A2326" i="12" s="1"/>
  <c r="A2461" i="12" s="1"/>
  <c r="A2596" i="12" s="1"/>
  <c r="A2731" i="12" s="1"/>
  <c r="A2866" i="12" s="1"/>
  <c r="A3001" i="12" s="1"/>
  <c r="A3136" i="12" s="1"/>
  <c r="A3271" i="12" s="1"/>
  <c r="A3406" i="12" s="1"/>
  <c r="A3541" i="12" s="1"/>
  <c r="A3676" i="12" s="1"/>
  <c r="A3811" i="12" s="1"/>
  <c r="A3946" i="12" s="1"/>
  <c r="A4081" i="12" s="1"/>
  <c r="A4216" i="12" s="1"/>
  <c r="A4351" i="12" s="1"/>
  <c r="A4486" i="12" s="1"/>
  <c r="A4621" i="12" s="1"/>
  <c r="A4756" i="12" s="1"/>
  <c r="A4891" i="12" s="1"/>
  <c r="A5026" i="12" s="1"/>
  <c r="A5161" i="12" s="1"/>
  <c r="A167" i="12"/>
  <c r="A302" i="12" s="1"/>
  <c r="A437" i="12" s="1"/>
  <c r="A572" i="12" s="1"/>
  <c r="A707" i="12" s="1"/>
  <c r="A842" i="12"/>
  <c r="A977" i="12" s="1"/>
  <c r="A1112" i="12" s="1"/>
  <c r="A1247" i="12" s="1"/>
  <c r="A1382" i="12" s="1"/>
  <c r="A1517" i="12" s="1"/>
  <c r="A1652" i="12" s="1"/>
  <c r="A1787" i="12" s="1"/>
  <c r="A1922" i="12" s="1"/>
  <c r="A2057" i="12" s="1"/>
  <c r="A2192" i="12" s="1"/>
  <c r="A2327" i="12" s="1"/>
  <c r="A2462" i="12" s="1"/>
  <c r="A2597" i="12" s="1"/>
  <c r="A2732" i="12" s="1"/>
  <c r="A2867" i="12" s="1"/>
  <c r="A3002" i="12" s="1"/>
  <c r="A3137" i="12" s="1"/>
  <c r="A3272" i="12" s="1"/>
  <c r="A3407" i="12" s="1"/>
  <c r="A3542" i="12" s="1"/>
  <c r="A3677" i="12"/>
  <c r="A3812" i="12" s="1"/>
  <c r="A3947" i="12" s="1"/>
  <c r="A4082" i="12" s="1"/>
  <c r="A4217" i="12" s="1"/>
  <c r="A4352" i="12" s="1"/>
  <c r="A4487" i="12" s="1"/>
  <c r="A4622" i="12" s="1"/>
  <c r="A4757" i="12" s="1"/>
  <c r="A4892" i="12" s="1"/>
  <c r="A5027" i="12" s="1"/>
  <c r="A5162" i="12" s="1"/>
  <c r="A168" i="12"/>
  <c r="A303" i="12"/>
  <c r="A438" i="12"/>
  <c r="A573" i="12" s="1"/>
  <c r="A708" i="12" s="1"/>
  <c r="A843" i="12" s="1"/>
  <c r="A978" i="12" s="1"/>
  <c r="A1113" i="12" s="1"/>
  <c r="A1248" i="12" s="1"/>
  <c r="A1383" i="12" s="1"/>
  <c r="A1518" i="12" s="1"/>
  <c r="A1653" i="12" s="1"/>
  <c r="A1788" i="12" s="1"/>
  <c r="A1923" i="12" s="1"/>
  <c r="A2058" i="12" s="1"/>
  <c r="A2193" i="12" s="1"/>
  <c r="A2328" i="12" s="1"/>
  <c r="A2463" i="12" s="1"/>
  <c r="A2598" i="12" s="1"/>
  <c r="A2733" i="12" s="1"/>
  <c r="A2868" i="12" s="1"/>
  <c r="A3003" i="12" s="1"/>
  <c r="A3138" i="12" s="1"/>
  <c r="A3273" i="12" s="1"/>
  <c r="A3408" i="12" s="1"/>
  <c r="A3543" i="12"/>
  <c r="A3678" i="12" s="1"/>
  <c r="A3813" i="12" s="1"/>
  <c r="A3948" i="12" s="1"/>
  <c r="A4083" i="12" s="1"/>
  <c r="A4218" i="12" s="1"/>
  <c r="A4353" i="12" s="1"/>
  <c r="A4488" i="12" s="1"/>
  <c r="A4623" i="12" s="1"/>
  <c r="A4758" i="12" s="1"/>
  <c r="A4893" i="12" s="1"/>
  <c r="A5028" i="12" s="1"/>
  <c r="A5163" i="12" s="1"/>
  <c r="A169" i="12"/>
  <c r="A304" i="12"/>
  <c r="A439" i="12" s="1"/>
  <c r="A574" i="12" s="1"/>
  <c r="A709" i="12" s="1"/>
  <c r="A844" i="12" s="1"/>
  <c r="A979" i="12" s="1"/>
  <c r="A1114" i="12" s="1"/>
  <c r="A1249" i="12" s="1"/>
  <c r="A1384" i="12"/>
  <c r="A1519" i="12" s="1"/>
  <c r="A1654" i="12" s="1"/>
  <c r="A1789" i="12" s="1"/>
  <c r="A1924" i="12" s="1"/>
  <c r="A2059" i="12" s="1"/>
  <c r="A2194" i="12"/>
  <c r="A2329" i="12" s="1"/>
  <c r="A2464" i="12" s="1"/>
  <c r="A2599" i="12" s="1"/>
  <c r="A2734" i="12" s="1"/>
  <c r="A2869" i="12" s="1"/>
  <c r="A3004" i="12" s="1"/>
  <c r="A3139" i="12" s="1"/>
  <c r="A3274" i="12" s="1"/>
  <c r="A3409" i="12" s="1"/>
  <c r="A3544" i="12" s="1"/>
  <c r="A3679" i="12" s="1"/>
  <c r="A3814" i="12" s="1"/>
  <c r="A3949" i="12" s="1"/>
  <c r="A4084" i="12" s="1"/>
  <c r="A4219" i="12" s="1"/>
  <c r="A4354" i="12" s="1"/>
  <c r="A4489" i="12" s="1"/>
  <c r="A4624" i="12" s="1"/>
  <c r="A4759" i="12" s="1"/>
  <c r="A4894" i="12" s="1"/>
  <c r="A5029" i="12" s="1"/>
  <c r="A5164" i="12" s="1"/>
  <c r="A170" i="12"/>
  <c r="A305" i="12" s="1"/>
  <c r="A440" i="12" s="1"/>
  <c r="A575" i="12" s="1"/>
  <c r="A710" i="12" s="1"/>
  <c r="A845" i="12" s="1"/>
  <c r="A980" i="12" s="1"/>
  <c r="A1115" i="12"/>
  <c r="A1250" i="12" s="1"/>
  <c r="A1385" i="12" s="1"/>
  <c r="A1520" i="12" s="1"/>
  <c r="A1655" i="12" s="1"/>
  <c r="A1790" i="12" s="1"/>
  <c r="A1925" i="12" s="1"/>
  <c r="A2060" i="12" s="1"/>
  <c r="A2195" i="12" s="1"/>
  <c r="A2330" i="12" s="1"/>
  <c r="A2465" i="12" s="1"/>
  <c r="A2600" i="12" s="1"/>
  <c r="A2735" i="12" s="1"/>
  <c r="A2870" i="12" s="1"/>
  <c r="A3005" i="12" s="1"/>
  <c r="A3140" i="12" s="1"/>
  <c r="A3275" i="12" s="1"/>
  <c r="A3410" i="12" s="1"/>
  <c r="A3545" i="12" s="1"/>
  <c r="A3680" i="12" s="1"/>
  <c r="A3815" i="12" s="1"/>
  <c r="A3950" i="12" s="1"/>
  <c r="A4085" i="12" s="1"/>
  <c r="A4220" i="12" s="1"/>
  <c r="A4355" i="12" s="1"/>
  <c r="A4490" i="12" s="1"/>
  <c r="A4625" i="12" s="1"/>
  <c r="A4760" i="12" s="1"/>
  <c r="A4895" i="12" s="1"/>
  <c r="A5030" i="12" s="1"/>
  <c r="A5165" i="12" s="1"/>
  <c r="A171" i="12"/>
  <c r="A306" i="12"/>
  <c r="A441" i="12" s="1"/>
  <c r="A576" i="12" s="1"/>
  <c r="A172" i="12"/>
  <c r="A307" i="12"/>
  <c r="A173" i="12"/>
  <c r="A308" i="12" s="1"/>
  <c r="A443" i="12" s="1"/>
  <c r="A578" i="12" s="1"/>
  <c r="A713" i="12"/>
  <c r="A848" i="12" s="1"/>
  <c r="A983" i="12" s="1"/>
  <c r="A1118" i="12" s="1"/>
  <c r="A1253" i="12" s="1"/>
  <c r="A1388" i="12" s="1"/>
  <c r="A1523" i="12" s="1"/>
  <c r="A1658" i="12" s="1"/>
  <c r="A1793" i="12" s="1"/>
  <c r="A1928" i="12" s="1"/>
  <c r="A2063" i="12" s="1"/>
  <c r="A2198" i="12" s="1"/>
  <c r="A2333" i="12" s="1"/>
  <c r="A2468" i="12" s="1"/>
  <c r="A2603" i="12" s="1"/>
  <c r="A2738" i="12" s="1"/>
  <c r="A2873" i="12" s="1"/>
  <c r="A3008" i="12" s="1"/>
  <c r="A3143" i="12" s="1"/>
  <c r="A3278" i="12" s="1"/>
  <c r="A3413" i="12" s="1"/>
  <c r="A3548" i="12" s="1"/>
  <c r="A3683" i="12" s="1"/>
  <c r="A3818" i="12" s="1"/>
  <c r="A3953" i="12" s="1"/>
  <c r="A4088" i="12" s="1"/>
  <c r="A4223" i="12" s="1"/>
  <c r="A4358" i="12" s="1"/>
  <c r="A4493" i="12" s="1"/>
  <c r="A4628" i="12" s="1"/>
  <c r="A4763" i="12" s="1"/>
  <c r="A4898" i="12" s="1"/>
  <c r="A5033" i="12" s="1"/>
  <c r="A5168" i="12" s="1"/>
  <c r="A174" i="12"/>
  <c r="A309" i="12" s="1"/>
  <c r="A444" i="12" s="1"/>
  <c r="A579" i="12" s="1"/>
  <c r="A714" i="12" s="1"/>
  <c r="A849" i="12" s="1"/>
  <c r="A984" i="12" s="1"/>
  <c r="A1119" i="12" s="1"/>
  <c r="A1254" i="12" s="1"/>
  <c r="A1389" i="12" s="1"/>
  <c r="A1524" i="12" s="1"/>
  <c r="A1659" i="12" s="1"/>
  <c r="A175" i="12"/>
  <c r="A310" i="12"/>
  <c r="A445" i="12"/>
  <c r="A580" i="12"/>
  <c r="A715" i="12" s="1"/>
  <c r="A850" i="12" s="1"/>
  <c r="A985" i="12" s="1"/>
  <c r="A1120" i="12" s="1"/>
  <c r="A1255" i="12" s="1"/>
  <c r="A1390" i="12" s="1"/>
  <c r="A1525" i="12" s="1"/>
  <c r="A1660" i="12" s="1"/>
  <c r="A1795" i="12" s="1"/>
  <c r="A1930" i="12" s="1"/>
  <c r="A2065" i="12" s="1"/>
  <c r="A2200" i="12" s="1"/>
  <c r="A2335" i="12" s="1"/>
  <c r="A2470" i="12"/>
  <c r="A2605" i="12" s="1"/>
  <c r="A2740" i="12" s="1"/>
  <c r="A2875" i="12" s="1"/>
  <c r="A3010" i="12" s="1"/>
  <c r="A3145" i="12" s="1"/>
  <c r="A3280" i="12" s="1"/>
  <c r="A3415" i="12" s="1"/>
  <c r="A3550" i="12" s="1"/>
  <c r="A3685" i="12" s="1"/>
  <c r="A3820" i="12" s="1"/>
  <c r="A3955" i="12" s="1"/>
  <c r="A4090" i="12" s="1"/>
  <c r="A4225" i="12" s="1"/>
  <c r="A4360" i="12" s="1"/>
  <c r="A4495" i="12" s="1"/>
  <c r="A4630" i="12" s="1"/>
  <c r="A4765" i="12" s="1"/>
  <c r="A4900" i="12" s="1"/>
  <c r="A5035" i="12" s="1"/>
  <c r="A5170" i="12" s="1"/>
  <c r="A176" i="12"/>
  <c r="A311" i="12" s="1"/>
  <c r="A446" i="12" s="1"/>
  <c r="A581" i="12" s="1"/>
  <c r="A716" i="12" s="1"/>
  <c r="A851" i="12" s="1"/>
  <c r="A986" i="12" s="1"/>
  <c r="A1121" i="12"/>
  <c r="A1256" i="12" s="1"/>
  <c r="A1391" i="12" s="1"/>
  <c r="A1526" i="12" s="1"/>
  <c r="A1661" i="12" s="1"/>
  <c r="A1796" i="12" s="1"/>
  <c r="A1931" i="12" s="1"/>
  <c r="A2066" i="12" s="1"/>
  <c r="A2201" i="12" s="1"/>
  <c r="A2336" i="12" s="1"/>
  <c r="A2471" i="12" s="1"/>
  <c r="A2606" i="12" s="1"/>
  <c r="A2741" i="12" s="1"/>
  <c r="A2876" i="12" s="1"/>
  <c r="A3011" i="12"/>
  <c r="A3146" i="12" s="1"/>
  <c r="A3281" i="12" s="1"/>
  <c r="A3416" i="12" s="1"/>
  <c r="A3551" i="12" s="1"/>
  <c r="A3686" i="12" s="1"/>
  <c r="A3821" i="12" s="1"/>
  <c r="A3956" i="12" s="1"/>
  <c r="A4091" i="12" s="1"/>
  <c r="A4226" i="12" s="1"/>
  <c r="A4361" i="12" s="1"/>
  <c r="A4496" i="12" s="1"/>
  <c r="A4631" i="12" s="1"/>
  <c r="A4766" i="12" s="1"/>
  <c r="A4901" i="12" s="1"/>
  <c r="A5036" i="12" s="1"/>
  <c r="A5171" i="12" s="1"/>
  <c r="A177" i="12"/>
  <c r="A312" i="12"/>
  <c r="A447" i="12" s="1"/>
  <c r="A582" i="12" s="1"/>
  <c r="A717" i="12" s="1"/>
  <c r="A852" i="12" s="1"/>
  <c r="A987" i="12" s="1"/>
  <c r="A1122" i="12" s="1"/>
  <c r="A1257" i="12" s="1"/>
  <c r="A1392" i="12" s="1"/>
  <c r="A1527" i="12" s="1"/>
  <c r="A1662" i="12" s="1"/>
  <c r="A1797" i="12" s="1"/>
  <c r="A1932" i="12" s="1"/>
  <c r="A2067" i="12" s="1"/>
  <c r="A2202" i="12" s="1"/>
  <c r="A2337" i="12" s="1"/>
  <c r="A2472" i="12" s="1"/>
  <c r="A2607" i="12" s="1"/>
  <c r="A2742" i="12" s="1"/>
  <c r="A2877" i="12" s="1"/>
  <c r="A3012" i="12" s="1"/>
  <c r="A3147" i="12" s="1"/>
  <c r="A3282" i="12" s="1"/>
  <c r="A3417" i="12" s="1"/>
  <c r="A3552" i="12"/>
  <c r="A3687" i="12" s="1"/>
  <c r="A3822" i="12" s="1"/>
  <c r="A3957" i="12" s="1"/>
  <c r="A4092" i="12" s="1"/>
  <c r="A4227" i="12" s="1"/>
  <c r="A4362" i="12" s="1"/>
  <c r="A4497" i="12" s="1"/>
  <c r="A4632" i="12" s="1"/>
  <c r="A4767" i="12" s="1"/>
  <c r="A4902" i="12" s="1"/>
  <c r="A5037" i="12" s="1"/>
  <c r="A5172" i="12" s="1"/>
  <c r="A178" i="12"/>
  <c r="A179" i="12"/>
  <c r="A314" i="12" s="1"/>
  <c r="A449" i="12" s="1"/>
  <c r="A584" i="12" s="1"/>
  <c r="A719" i="12" s="1"/>
  <c r="A854" i="12" s="1"/>
  <c r="A989" i="12" s="1"/>
  <c r="A1124" i="12" s="1"/>
  <c r="A1259" i="12" s="1"/>
  <c r="A1394" i="12" s="1"/>
  <c r="A1529" i="12" s="1"/>
  <c r="A1664" i="12" s="1"/>
  <c r="A1799" i="12" s="1"/>
  <c r="A1934" i="12" s="1"/>
  <c r="A2069" i="12" s="1"/>
  <c r="A2204" i="12" s="1"/>
  <c r="A2339" i="12" s="1"/>
  <c r="A2474" i="12" s="1"/>
  <c r="A2609" i="12" s="1"/>
  <c r="A2744" i="12" s="1"/>
  <c r="A2879" i="12" s="1"/>
  <c r="A3014" i="12"/>
  <c r="A3149" i="12" s="1"/>
  <c r="A3284" i="12" s="1"/>
  <c r="A3419" i="12" s="1"/>
  <c r="A3554" i="12" s="1"/>
  <c r="A3689" i="12" s="1"/>
  <c r="A3824" i="12" s="1"/>
  <c r="A3959" i="12" s="1"/>
  <c r="A4094" i="12" s="1"/>
  <c r="A4229" i="12" s="1"/>
  <c r="A4364" i="12" s="1"/>
  <c r="A4499" i="12" s="1"/>
  <c r="A4634" i="12" s="1"/>
  <c r="A4769" i="12" s="1"/>
  <c r="A4904" i="12" s="1"/>
  <c r="A5039" i="12" s="1"/>
  <c r="A5174" i="12" s="1"/>
  <c r="A180" i="12"/>
  <c r="A315" i="12"/>
  <c r="A450" i="12" s="1"/>
  <c r="A585" i="12" s="1"/>
  <c r="A720" i="12" s="1"/>
  <c r="A855" i="12"/>
  <c r="A990" i="12" s="1"/>
  <c r="A1125" i="12" s="1"/>
  <c r="A1260" i="12" s="1"/>
  <c r="A1395" i="12" s="1"/>
  <c r="A1530" i="12" s="1"/>
  <c r="A1665" i="12" s="1"/>
  <c r="A1800" i="12" s="1"/>
  <c r="A1935" i="12" s="1"/>
  <c r="A2070" i="12" s="1"/>
  <c r="A2205" i="12" s="1"/>
  <c r="A2340" i="12" s="1"/>
  <c r="A2475" i="12" s="1"/>
  <c r="A2610" i="12" s="1"/>
  <c r="A2745" i="12" s="1"/>
  <c r="A2880" i="12" s="1"/>
  <c r="A3015" i="12" s="1"/>
  <c r="A3150" i="12" s="1"/>
  <c r="A3285" i="12" s="1"/>
  <c r="A3420" i="12" s="1"/>
  <c r="A3555" i="12" s="1"/>
  <c r="A3690" i="12" s="1"/>
  <c r="A3825" i="12" s="1"/>
  <c r="A3960" i="12" s="1"/>
  <c r="A4095" i="12" s="1"/>
  <c r="A4230" i="12" s="1"/>
  <c r="A4365" i="12" s="1"/>
  <c r="A4500" i="12" s="1"/>
  <c r="A4635" i="12" s="1"/>
  <c r="A4770" i="12" s="1"/>
  <c r="A4905" i="12" s="1"/>
  <c r="A5040" i="12" s="1"/>
  <c r="A5175" i="12" s="1"/>
  <c r="A181" i="12"/>
  <c r="A182" i="12"/>
  <c r="A317" i="12"/>
  <c r="A452" i="12"/>
  <c r="A587" i="12" s="1"/>
  <c r="A722" i="12" s="1"/>
  <c r="A857" i="12" s="1"/>
  <c r="A992" i="12" s="1"/>
  <c r="A1127" i="12" s="1"/>
  <c r="A1262" i="12" s="1"/>
  <c r="A1397" i="12" s="1"/>
  <c r="A1532" i="12"/>
  <c r="A1667" i="12" s="1"/>
  <c r="A1802" i="12" s="1"/>
  <c r="A1937" i="12" s="1"/>
  <c r="A2072" i="12" s="1"/>
  <c r="A2207" i="12" s="1"/>
  <c r="A2342" i="12" s="1"/>
  <c r="A2477" i="12" s="1"/>
  <c r="A2612" i="12" s="1"/>
  <c r="A2747" i="12" s="1"/>
  <c r="A2882" i="12" s="1"/>
  <c r="A3017" i="12" s="1"/>
  <c r="A3152" i="12" s="1"/>
  <c r="A3287" i="12" s="1"/>
  <c r="A3422" i="12" s="1"/>
  <c r="A3557" i="12" s="1"/>
  <c r="A3692" i="12" s="1"/>
  <c r="A3827" i="12" s="1"/>
  <c r="A3962" i="12" s="1"/>
  <c r="A4097" i="12"/>
  <c r="A4232" i="12" s="1"/>
  <c r="A4367" i="12" s="1"/>
  <c r="A4502" i="12" s="1"/>
  <c r="A4637" i="12" s="1"/>
  <c r="A4772" i="12" s="1"/>
  <c r="A4907" i="12" s="1"/>
  <c r="A5042" i="12" s="1"/>
  <c r="A5177" i="12" s="1"/>
  <c r="A183" i="12"/>
  <c r="A318" i="12" s="1"/>
  <c r="A453" i="12" s="1"/>
  <c r="A588" i="12" s="1"/>
  <c r="A723" i="12"/>
  <c r="A858" i="12" s="1"/>
  <c r="A993" i="12"/>
  <c r="A1128" i="12" s="1"/>
  <c r="A1263" i="12" s="1"/>
  <c r="A1398" i="12" s="1"/>
  <c r="A1533" i="12" s="1"/>
  <c r="A1668" i="12" s="1"/>
  <c r="A1803" i="12" s="1"/>
  <c r="A1938" i="12" s="1"/>
  <c r="A2073" i="12" s="1"/>
  <c r="A2208" i="12" s="1"/>
  <c r="A2343" i="12" s="1"/>
  <c r="A2478" i="12" s="1"/>
  <c r="A2613" i="12" s="1"/>
  <c r="A2748" i="12" s="1"/>
  <c r="A2883" i="12" s="1"/>
  <c r="A3018" i="12" s="1"/>
  <c r="A3153" i="12" s="1"/>
  <c r="A3288" i="12" s="1"/>
  <c r="A3423" i="12" s="1"/>
  <c r="A3558" i="12" s="1"/>
  <c r="A3693" i="12" s="1"/>
  <c r="A3828" i="12" s="1"/>
  <c r="A3963" i="12" s="1"/>
  <c r="A4098" i="12" s="1"/>
  <c r="A4233" i="12" s="1"/>
  <c r="A4368" i="12" s="1"/>
  <c r="A4503" i="12" s="1"/>
  <c r="A4638" i="12" s="1"/>
  <c r="A4773" i="12" s="1"/>
  <c r="A4908" i="12" s="1"/>
  <c r="A5043" i="12" s="1"/>
  <c r="A5178" i="12" s="1"/>
  <c r="A184" i="12"/>
  <c r="A319" i="12" s="1"/>
  <c r="A454" i="12" s="1"/>
  <c r="A589" i="12" s="1"/>
  <c r="A724" i="12" s="1"/>
  <c r="A859" i="12" s="1"/>
  <c r="A994" i="12" s="1"/>
  <c r="A1129" i="12" s="1"/>
  <c r="A1264" i="12" s="1"/>
  <c r="A1399" i="12" s="1"/>
  <c r="A1534" i="12" s="1"/>
  <c r="A1669" i="12" s="1"/>
  <c r="A1804" i="12" s="1"/>
  <c r="A1939" i="12" s="1"/>
  <c r="A2074" i="12" s="1"/>
  <c r="A2209" i="12" s="1"/>
  <c r="A2344" i="12" s="1"/>
  <c r="A2479" i="12" s="1"/>
  <c r="A2614" i="12" s="1"/>
  <c r="A2749" i="12" s="1"/>
  <c r="A2884" i="12" s="1"/>
  <c r="A3019" i="12" s="1"/>
  <c r="A3154" i="12" s="1"/>
  <c r="A3289" i="12" s="1"/>
  <c r="A3424" i="12" s="1"/>
  <c r="A3559" i="12" s="1"/>
  <c r="A3694" i="12" s="1"/>
  <c r="A3829" i="12" s="1"/>
  <c r="A3964" i="12" s="1"/>
  <c r="A4099" i="12" s="1"/>
  <c r="A4234" i="12" s="1"/>
  <c r="A4369" i="12" s="1"/>
  <c r="A4504" i="12"/>
  <c r="A4639" i="12" s="1"/>
  <c r="A4774" i="12" s="1"/>
  <c r="A4909" i="12" s="1"/>
  <c r="A5044" i="12" s="1"/>
  <c r="A5179" i="12" s="1"/>
  <c r="A185" i="12"/>
  <c r="A320" i="12" s="1"/>
  <c r="A455" i="12" s="1"/>
  <c r="A590" i="12" s="1"/>
  <c r="A725" i="12" s="1"/>
  <c r="A860" i="12" s="1"/>
  <c r="A995" i="12" s="1"/>
  <c r="A1130" i="12" s="1"/>
  <c r="A1265" i="12" s="1"/>
  <c r="A1400" i="12" s="1"/>
  <c r="A1535" i="12"/>
  <c r="A1670" i="12" s="1"/>
  <c r="A1805" i="12" s="1"/>
  <c r="A1940" i="12" s="1"/>
  <c r="A2075" i="12" s="1"/>
  <c r="A2210" i="12" s="1"/>
  <c r="A2345" i="12" s="1"/>
  <c r="A2480" i="12" s="1"/>
  <c r="A2615" i="12" s="1"/>
  <c r="A2750" i="12" s="1"/>
  <c r="A2885" i="12" s="1"/>
  <c r="A3020" i="12" s="1"/>
  <c r="A3155" i="12" s="1"/>
  <c r="A3290" i="12" s="1"/>
  <c r="A3425" i="12" s="1"/>
  <c r="A3560" i="12" s="1"/>
  <c r="A3695" i="12" s="1"/>
  <c r="A3830" i="12" s="1"/>
  <c r="A3965" i="12" s="1"/>
  <c r="A4100" i="12" s="1"/>
  <c r="A4235" i="12" s="1"/>
  <c r="A4370" i="12" s="1"/>
  <c r="A4505" i="12" s="1"/>
  <c r="A4640" i="12" s="1"/>
  <c r="A4775" i="12" s="1"/>
  <c r="A4910" i="12" s="1"/>
  <c r="A5045" i="12" s="1"/>
  <c r="A5180" i="12" s="1"/>
  <c r="A186" i="12"/>
  <c r="A321" i="12"/>
  <c r="A456" i="12"/>
  <c r="A591" i="12" s="1"/>
  <c r="A726" i="12" s="1"/>
  <c r="A861" i="12" s="1"/>
  <c r="A996" i="12" s="1"/>
  <c r="A1131" i="12" s="1"/>
  <c r="A1266" i="12" s="1"/>
  <c r="A1401" i="12" s="1"/>
  <c r="A1536" i="12" s="1"/>
  <c r="A1671" i="12" s="1"/>
  <c r="A1806" i="12" s="1"/>
  <c r="A1941" i="12" s="1"/>
  <c r="A2076" i="12"/>
  <c r="A2211" i="12" s="1"/>
  <c r="A2346" i="12" s="1"/>
  <c r="A2481" i="12" s="1"/>
  <c r="A2616" i="12" s="1"/>
  <c r="A2751" i="12" s="1"/>
  <c r="A2886" i="12" s="1"/>
  <c r="A3021" i="12" s="1"/>
  <c r="A3156" i="12" s="1"/>
  <c r="A3291" i="12" s="1"/>
  <c r="A3426" i="12" s="1"/>
  <c r="A3561" i="12" s="1"/>
  <c r="A3696" i="12" s="1"/>
  <c r="A3831" i="12" s="1"/>
  <c r="A3966" i="12" s="1"/>
  <c r="A4101" i="12" s="1"/>
  <c r="A4236" i="12" s="1"/>
  <c r="A4371" i="12" s="1"/>
  <c r="A4506" i="12" s="1"/>
  <c r="A4641" i="12" s="1"/>
  <c r="A4776" i="12" s="1"/>
  <c r="A4911" i="12" s="1"/>
  <c r="A5046" i="12" s="1"/>
  <c r="A5181" i="12" s="1"/>
  <c r="A187" i="12"/>
  <c r="A322" i="12" s="1"/>
  <c r="A457" i="12" s="1"/>
  <c r="A592" i="12" s="1"/>
  <c r="A727" i="12"/>
  <c r="A862" i="12" s="1"/>
  <c r="A997" i="12" s="1"/>
  <c r="A1132" i="12" s="1"/>
  <c r="A1267" i="12" s="1"/>
  <c r="A1402" i="12" s="1"/>
  <c r="A1537" i="12" s="1"/>
  <c r="A1672" i="12" s="1"/>
  <c r="A1807" i="12" s="1"/>
  <c r="A1942" i="12" s="1"/>
  <c r="A2077" i="12" s="1"/>
  <c r="A2212" i="12"/>
  <c r="A2347" i="12" s="1"/>
  <c r="A2482" i="12" s="1"/>
  <c r="A2617" i="12" s="1"/>
  <c r="A2752" i="12" s="1"/>
  <c r="A2887" i="12" s="1"/>
  <c r="A3022" i="12" s="1"/>
  <c r="A3157" i="12" s="1"/>
  <c r="A3292" i="12" s="1"/>
  <c r="A3427" i="12" s="1"/>
  <c r="A3562" i="12" s="1"/>
  <c r="A3697" i="12" s="1"/>
  <c r="A3832" i="12" s="1"/>
  <c r="A3967" i="12" s="1"/>
  <c r="A4102" i="12" s="1"/>
  <c r="A4237" i="12" s="1"/>
  <c r="A4372" i="12" s="1"/>
  <c r="A4507" i="12" s="1"/>
  <c r="A4642" i="12" s="1"/>
  <c r="A4777" i="12" s="1"/>
  <c r="A4912" i="12" s="1"/>
  <c r="A5047" i="12" s="1"/>
  <c r="A5182" i="12" s="1"/>
  <c r="A188" i="12"/>
  <c r="A323" i="12"/>
  <c r="A458" i="12" s="1"/>
  <c r="A593" i="12" s="1"/>
  <c r="A728" i="12" s="1"/>
  <c r="A863" i="12" s="1"/>
  <c r="A998" i="12"/>
  <c r="A1133" i="12" s="1"/>
  <c r="A1268" i="12" s="1"/>
  <c r="A1403" i="12" s="1"/>
  <c r="A1538" i="12" s="1"/>
  <c r="A1673" i="12" s="1"/>
  <c r="A1808" i="12" s="1"/>
  <c r="A1943" i="12" s="1"/>
  <c r="A2078" i="12" s="1"/>
  <c r="A2213" i="12" s="1"/>
  <c r="A2348" i="12" s="1"/>
  <c r="A2483" i="12"/>
  <c r="A2618" i="12" s="1"/>
  <c r="A2753" i="12" s="1"/>
  <c r="A2888" i="12" s="1"/>
  <c r="A3023" i="12" s="1"/>
  <c r="A3158" i="12" s="1"/>
  <c r="A3293" i="12" s="1"/>
  <c r="A3428" i="12" s="1"/>
  <c r="A3563" i="12" s="1"/>
  <c r="A3698" i="12" s="1"/>
  <c r="A3833" i="12" s="1"/>
  <c r="A3968" i="12" s="1"/>
  <c r="A4103" i="12" s="1"/>
  <c r="A4238" i="12" s="1"/>
  <c r="A4373" i="12" s="1"/>
  <c r="A4508" i="12" s="1"/>
  <c r="A4643" i="12" s="1"/>
  <c r="A4778" i="12" s="1"/>
  <c r="A4913" i="12" s="1"/>
  <c r="A5048" i="12" s="1"/>
  <c r="A5183" i="12" s="1"/>
  <c r="A189" i="12"/>
  <c r="A324" i="12" s="1"/>
  <c r="A459" i="12" s="1"/>
  <c r="A594" i="12" s="1"/>
  <c r="A729" i="12" s="1"/>
  <c r="A864" i="12" s="1"/>
  <c r="A999" i="12" s="1"/>
  <c r="A1134" i="12" s="1"/>
  <c r="A190" i="12"/>
  <c r="A325" i="12"/>
  <c r="A460" i="12" s="1"/>
  <c r="A595" i="12" s="1"/>
  <c r="A730" i="12" s="1"/>
  <c r="A865" i="12" s="1"/>
  <c r="A1000" i="12" s="1"/>
  <c r="A1135" i="12" s="1"/>
  <c r="A1270" i="12" s="1"/>
  <c r="A1405" i="12" s="1"/>
  <c r="A1540" i="12" s="1"/>
  <c r="A1675" i="12" s="1"/>
  <c r="A191" i="12"/>
  <c r="A326" i="12" s="1"/>
  <c r="A461" i="12" s="1"/>
  <c r="A192" i="12"/>
  <c r="A327" i="12" s="1"/>
  <c r="A462" i="12" s="1"/>
  <c r="A597" i="12" s="1"/>
  <c r="A732" i="12" s="1"/>
  <c r="A867" i="12" s="1"/>
  <c r="A1002" i="12" s="1"/>
  <c r="A1137" i="12" s="1"/>
  <c r="A1272" i="12"/>
  <c r="A1407" i="12" s="1"/>
  <c r="A1542" i="12" s="1"/>
  <c r="A1677" i="12" s="1"/>
  <c r="A1812" i="12" s="1"/>
  <c r="A1947" i="12" s="1"/>
  <c r="A2082" i="12" s="1"/>
  <c r="A2217" i="12" s="1"/>
  <c r="A2352" i="12" s="1"/>
  <c r="A2487" i="12" s="1"/>
  <c r="A2622" i="12" s="1"/>
  <c r="A2757" i="12" s="1"/>
  <c r="A2892" i="12" s="1"/>
  <c r="A3027" i="12" s="1"/>
  <c r="A3162" i="12" s="1"/>
  <c r="A3297" i="12" s="1"/>
  <c r="A3432" i="12" s="1"/>
  <c r="A3567" i="12" s="1"/>
  <c r="A3702" i="12" s="1"/>
  <c r="A3837" i="12" s="1"/>
  <c r="A3972" i="12" s="1"/>
  <c r="A4107" i="12" s="1"/>
  <c r="A4242" i="12" s="1"/>
  <c r="A4377" i="12" s="1"/>
  <c r="A4512" i="12" s="1"/>
  <c r="A4647" i="12" s="1"/>
  <c r="A4782" i="12" s="1"/>
  <c r="A4917" i="12" s="1"/>
  <c r="A5052" i="12" s="1"/>
  <c r="A5187" i="12" s="1"/>
  <c r="A193" i="12"/>
  <c r="A328" i="12"/>
  <c r="A463" i="12"/>
  <c r="A598" i="12" s="1"/>
  <c r="A733" i="12" s="1"/>
  <c r="A868" i="12" s="1"/>
  <c r="A1003" i="12" s="1"/>
  <c r="A1138" i="12" s="1"/>
  <c r="A1273" i="12" s="1"/>
  <c r="A1408" i="12" s="1"/>
  <c r="A1543" i="12" s="1"/>
  <c r="A1678" i="12" s="1"/>
  <c r="A1813" i="12" s="1"/>
  <c r="A1948" i="12" s="1"/>
  <c r="A2083" i="12" s="1"/>
  <c r="A2218" i="12" s="1"/>
  <c r="A2353" i="12" s="1"/>
  <c r="A2488" i="12" s="1"/>
  <c r="A2623" i="12" s="1"/>
  <c r="A2758" i="12" s="1"/>
  <c r="A2893" i="12" s="1"/>
  <c r="A3028" i="12" s="1"/>
  <c r="A3163" i="12" s="1"/>
  <c r="A3298" i="12" s="1"/>
  <c r="A3433" i="12" s="1"/>
  <c r="A3568" i="12" s="1"/>
  <c r="A3703" i="12" s="1"/>
  <c r="A3838" i="12" s="1"/>
  <c r="A3973" i="12" s="1"/>
  <c r="A4108" i="12" s="1"/>
  <c r="A4243" i="12"/>
  <c r="A4378" i="12" s="1"/>
  <c r="A4513" i="12" s="1"/>
  <c r="A4648" i="12" s="1"/>
  <c r="A4783" i="12"/>
  <c r="A4918" i="12" s="1"/>
  <c r="A5053" i="12" s="1"/>
  <c r="A5188" i="12" s="1"/>
  <c r="A194" i="12"/>
  <c r="A329" i="12" s="1"/>
  <c r="A464" i="12" s="1"/>
  <c r="A599" i="12" s="1"/>
  <c r="A734" i="12"/>
  <c r="A869" i="12" s="1"/>
  <c r="A1004" i="12" s="1"/>
  <c r="A1139" i="12"/>
  <c r="A1274" i="12" s="1"/>
  <c r="A1409" i="12" s="1"/>
  <c r="A1544" i="12" s="1"/>
  <c r="A1679" i="12" s="1"/>
  <c r="A1814" i="12"/>
  <c r="A1949" i="12" s="1"/>
  <c r="A2084" i="12" s="1"/>
  <c r="A2219" i="12" s="1"/>
  <c r="A2354" i="12" s="1"/>
  <c r="A2489" i="12" s="1"/>
  <c r="A2624" i="12" s="1"/>
  <c r="A2759" i="12" s="1"/>
  <c r="A2894" i="12" s="1"/>
  <c r="A3029" i="12" s="1"/>
  <c r="A3164" i="12" s="1"/>
  <c r="A3299" i="12"/>
  <c r="A3434" i="12" s="1"/>
  <c r="A3569" i="12" s="1"/>
  <c r="A3704" i="12" s="1"/>
  <c r="A3839" i="12" s="1"/>
  <c r="A3974" i="12" s="1"/>
  <c r="A4109" i="12" s="1"/>
  <c r="A4244" i="12" s="1"/>
  <c r="A4379" i="12" s="1"/>
  <c r="A4514" i="12" s="1"/>
  <c r="A4649" i="12" s="1"/>
  <c r="A4784" i="12" s="1"/>
  <c r="A4919" i="12" s="1"/>
  <c r="A5054" i="12" s="1"/>
  <c r="A5189" i="12" s="1"/>
  <c r="A195" i="12"/>
  <c r="A330" i="12"/>
  <c r="A465" i="12"/>
  <c r="A600" i="12" s="1"/>
  <c r="A735" i="12" s="1"/>
  <c r="A870" i="12" s="1"/>
  <c r="A1005" i="12" s="1"/>
  <c r="A1140" i="12" s="1"/>
  <c r="A1275" i="12" s="1"/>
  <c r="A1410" i="12" s="1"/>
  <c r="A1545" i="12" s="1"/>
  <c r="A1680" i="12" s="1"/>
  <c r="A1815" i="12" s="1"/>
  <c r="A1950" i="12" s="1"/>
  <c r="A2085" i="12" s="1"/>
  <c r="A2220" i="12" s="1"/>
  <c r="A2355" i="12" s="1"/>
  <c r="A2490" i="12" s="1"/>
  <c r="A2625" i="12" s="1"/>
  <c r="A2760" i="12" s="1"/>
  <c r="A2895" i="12" s="1"/>
  <c r="A3030" i="12" s="1"/>
  <c r="A3165" i="12" s="1"/>
  <c r="A3300" i="12" s="1"/>
  <c r="A3435" i="12" s="1"/>
  <c r="A3570" i="12" s="1"/>
  <c r="A3705" i="12" s="1"/>
  <c r="A3840" i="12" s="1"/>
  <c r="A3975" i="12" s="1"/>
  <c r="A4110" i="12" s="1"/>
  <c r="A4245" i="12" s="1"/>
  <c r="A4380" i="12" s="1"/>
  <c r="A4515" i="12" s="1"/>
  <c r="A4650" i="12" s="1"/>
  <c r="A4785" i="12" s="1"/>
  <c r="A4920" i="12" s="1"/>
  <c r="A5055" i="12" s="1"/>
  <c r="A5190" i="12" s="1"/>
  <c r="A196" i="12"/>
  <c r="A331" i="12" s="1"/>
  <c r="A466" i="12" s="1"/>
  <c r="A601" i="12" s="1"/>
  <c r="A736" i="12" s="1"/>
  <c r="A871" i="12" s="1"/>
  <c r="A1006" i="12" s="1"/>
  <c r="A1141" i="12" s="1"/>
  <c r="A1276" i="12" s="1"/>
  <c r="A1411" i="12" s="1"/>
  <c r="A1546" i="12" s="1"/>
  <c r="A197" i="12"/>
  <c r="A332" i="12"/>
  <c r="A467" i="12" s="1"/>
  <c r="A602" i="12" s="1"/>
  <c r="A737" i="12" s="1"/>
  <c r="A872" i="12" s="1"/>
  <c r="A1007" i="12" s="1"/>
  <c r="A1142" i="12" s="1"/>
  <c r="A1277" i="12" s="1"/>
  <c r="A1412" i="12" s="1"/>
  <c r="A1547" i="12" s="1"/>
  <c r="A1682" i="12" s="1"/>
  <c r="A1817" i="12" s="1"/>
  <c r="A1952" i="12" s="1"/>
  <c r="A2087" i="12" s="1"/>
  <c r="A2222" i="12" s="1"/>
  <c r="A2357" i="12" s="1"/>
  <c r="A2492" i="12" s="1"/>
  <c r="A2627" i="12" s="1"/>
  <c r="A2762" i="12" s="1"/>
  <c r="A2897" i="12" s="1"/>
  <c r="A3032" i="12" s="1"/>
  <c r="A3167" i="12" s="1"/>
  <c r="A3302" i="12" s="1"/>
  <c r="A3437" i="12" s="1"/>
  <c r="A3572" i="12" s="1"/>
  <c r="A3707" i="12" s="1"/>
  <c r="A3842" i="12" s="1"/>
  <c r="A3977" i="12" s="1"/>
  <c r="A4112" i="12" s="1"/>
  <c r="A4247" i="12" s="1"/>
  <c r="A4382" i="12" s="1"/>
  <c r="A4517" i="12" s="1"/>
  <c r="A4652" i="12"/>
  <c r="A4787" i="12" s="1"/>
  <c r="A4922" i="12" s="1"/>
  <c r="A5057" i="12" s="1"/>
  <c r="A5192" i="12" s="1"/>
  <c r="A198" i="12"/>
  <c r="A333" i="12" s="1"/>
  <c r="A468" i="12" s="1"/>
  <c r="A603" i="12" s="1"/>
  <c r="A738" i="12" s="1"/>
  <c r="A873" i="12" s="1"/>
  <c r="A1008" i="12" s="1"/>
  <c r="A1143" i="12" s="1"/>
  <c r="A1278" i="12" s="1"/>
  <c r="A1413" i="12" s="1"/>
  <c r="A1548" i="12" s="1"/>
  <c r="A1683" i="12" s="1"/>
  <c r="A1818" i="12" s="1"/>
  <c r="A1953" i="12" s="1"/>
  <c r="A2088" i="12" s="1"/>
  <c r="A2223" i="12" s="1"/>
  <c r="A2358" i="12" s="1"/>
  <c r="A2493" i="12" s="1"/>
  <c r="A2628" i="12" s="1"/>
  <c r="A2763" i="12" s="1"/>
  <c r="A2898" i="12" s="1"/>
  <c r="A3033" i="12" s="1"/>
  <c r="A3168" i="12" s="1"/>
  <c r="A3303" i="12" s="1"/>
  <c r="A3438" i="12" s="1"/>
  <c r="A3573" i="12" s="1"/>
  <c r="A3708" i="12" s="1"/>
  <c r="A3843" i="12" s="1"/>
  <c r="A3978" i="12" s="1"/>
  <c r="A4113" i="12" s="1"/>
  <c r="A4248" i="12" s="1"/>
  <c r="A4383" i="12" s="1"/>
  <c r="A4518" i="12" s="1"/>
  <c r="A4653" i="12" s="1"/>
  <c r="A4788" i="12" s="1"/>
  <c r="A4923" i="12" s="1"/>
  <c r="A5058" i="12" s="1"/>
  <c r="A5193" i="12" s="1"/>
  <c r="A199" i="12"/>
  <c r="A334" i="12"/>
  <c r="A469" i="12"/>
  <c r="A604" i="12" s="1"/>
  <c r="A739" i="12" s="1"/>
  <c r="A874" i="12" s="1"/>
  <c r="A1009" i="12" s="1"/>
  <c r="A1144" i="12" s="1"/>
  <c r="A1279" i="12" s="1"/>
  <c r="A1414" i="12" s="1"/>
  <c r="A1549" i="12" s="1"/>
  <c r="A1684" i="12" s="1"/>
  <c r="A1819" i="12" s="1"/>
  <c r="A1954" i="12" s="1"/>
  <c r="A2089" i="12" s="1"/>
  <c r="A2224" i="12" s="1"/>
  <c r="A2359" i="12" s="1"/>
  <c r="A2494" i="12" s="1"/>
  <c r="A2629" i="12" s="1"/>
  <c r="A2764" i="12" s="1"/>
  <c r="A2899" i="12" s="1"/>
  <c r="A3034" i="12" s="1"/>
  <c r="A3169" i="12" s="1"/>
  <c r="A3304" i="12" s="1"/>
  <c r="A3439" i="12" s="1"/>
  <c r="A3574" i="12" s="1"/>
  <c r="A3709" i="12" s="1"/>
  <c r="A3844" i="12" s="1"/>
  <c r="A3979" i="12" s="1"/>
  <c r="A4114" i="12" s="1"/>
  <c r="A4249" i="12" s="1"/>
  <c r="A4384" i="12" s="1"/>
  <c r="A4519" i="12" s="1"/>
  <c r="A4654" i="12" s="1"/>
  <c r="A4789" i="12" s="1"/>
  <c r="A4924" i="12" s="1"/>
  <c r="A5059" i="12" s="1"/>
  <c r="A5194" i="12" s="1"/>
  <c r="A200" i="12"/>
  <c r="A335" i="12" s="1"/>
  <c r="A470" i="12" s="1"/>
  <c r="A605" i="12" s="1"/>
  <c r="A740" i="12"/>
  <c r="A875" i="12" s="1"/>
  <c r="A1010" i="12" s="1"/>
  <c r="A1145" i="12" s="1"/>
  <c r="A1280" i="12" s="1"/>
  <c r="A1415" i="12" s="1"/>
  <c r="A1550" i="12" s="1"/>
  <c r="A1685" i="12" s="1"/>
  <c r="A1820" i="12" s="1"/>
  <c r="A1955" i="12" s="1"/>
  <c r="A2090" i="12"/>
  <c r="A2225" i="12" s="1"/>
  <c r="A2360" i="12" s="1"/>
  <c r="A2495" i="12" s="1"/>
  <c r="A2630" i="12" s="1"/>
  <c r="A2765" i="12" s="1"/>
  <c r="A2900" i="12" s="1"/>
  <c r="A3035" i="12" s="1"/>
  <c r="A3170" i="12" s="1"/>
  <c r="A3305" i="12" s="1"/>
  <c r="A3440" i="12" s="1"/>
  <c r="A3575" i="12" s="1"/>
  <c r="A3710" i="12" s="1"/>
  <c r="A3845" i="12" s="1"/>
  <c r="A3980" i="12" s="1"/>
  <c r="A4115" i="12" s="1"/>
  <c r="A4250" i="12" s="1"/>
  <c r="A4385" i="12" s="1"/>
  <c r="A4520" i="12" s="1"/>
  <c r="A4655" i="12" s="1"/>
  <c r="A4790" i="12" s="1"/>
  <c r="A4925" i="12" s="1"/>
  <c r="A5060" i="12" s="1"/>
  <c r="A5195" i="12" s="1"/>
  <c r="A201" i="12"/>
  <c r="A336" i="12"/>
  <c r="A471" i="12" s="1"/>
  <c r="A606" i="12" s="1"/>
  <c r="A741" i="12" s="1"/>
  <c r="A876" i="12" s="1"/>
  <c r="A1011" i="12"/>
  <c r="A1146" i="12" s="1"/>
  <c r="A1281" i="12" s="1"/>
  <c r="A1416" i="12" s="1"/>
  <c r="A1551" i="12" s="1"/>
  <c r="A1686" i="12" s="1"/>
  <c r="A1821" i="12" s="1"/>
  <c r="A1956" i="12" s="1"/>
  <c r="A2091" i="12"/>
  <c r="A2226" i="12" s="1"/>
  <c r="A2361" i="12" s="1"/>
  <c r="A2496" i="12" s="1"/>
  <c r="A2631" i="12" s="1"/>
  <c r="A2766" i="12" s="1"/>
  <c r="A2901" i="12" s="1"/>
  <c r="A3036" i="12" s="1"/>
  <c r="A3171" i="12" s="1"/>
  <c r="A3306" i="12" s="1"/>
  <c r="A3441" i="12" s="1"/>
  <c r="A3576" i="12" s="1"/>
  <c r="A3711" i="12" s="1"/>
  <c r="A3846" i="12" s="1"/>
  <c r="A3981" i="12" s="1"/>
  <c r="A4116" i="12" s="1"/>
  <c r="A4251" i="12" s="1"/>
  <c r="A4386" i="12" s="1"/>
  <c r="A4521" i="12" s="1"/>
  <c r="A4656" i="12" s="1"/>
  <c r="A4791" i="12" s="1"/>
  <c r="A4926" i="12" s="1"/>
  <c r="A5061" i="12" s="1"/>
  <c r="A5196" i="12" s="1"/>
  <c r="A202" i="12"/>
  <c r="A337" i="12" s="1"/>
  <c r="A472" i="12" s="1"/>
  <c r="A607" i="12" s="1"/>
  <c r="A742" i="12" s="1"/>
  <c r="A877" i="12" s="1"/>
  <c r="A1012" i="12" s="1"/>
  <c r="A1147" i="12" s="1"/>
  <c r="A1282" i="12" s="1"/>
  <c r="A1417" i="12" s="1"/>
  <c r="A1552" i="12" s="1"/>
  <c r="A1687" i="12" s="1"/>
  <c r="A1822" i="12" s="1"/>
  <c r="A1957" i="12" s="1"/>
  <c r="A2092" i="12" s="1"/>
  <c r="A2227" i="12" s="1"/>
  <c r="A2362" i="12" s="1"/>
  <c r="A2497" i="12" s="1"/>
  <c r="A2632" i="12" s="1"/>
  <c r="A2767" i="12" s="1"/>
  <c r="A2902" i="12" s="1"/>
  <c r="A3037" i="12" s="1"/>
  <c r="A3172" i="12" s="1"/>
  <c r="A3307" i="12" s="1"/>
  <c r="A3442" i="12" s="1"/>
  <c r="A3577" i="12" s="1"/>
  <c r="A3712" i="12" s="1"/>
  <c r="A3847" i="12" s="1"/>
  <c r="A3982" i="12" s="1"/>
  <c r="A4117" i="12" s="1"/>
  <c r="A4252" i="12" s="1"/>
  <c r="A4387" i="12" s="1"/>
  <c r="A4522" i="12" s="1"/>
  <c r="A4657" i="12" s="1"/>
  <c r="A4792" i="12" s="1"/>
  <c r="A4927" i="12" s="1"/>
  <c r="A5062" i="12" s="1"/>
  <c r="A5197" i="12" s="1"/>
  <c r="A203" i="12"/>
  <c r="A338" i="12" s="1"/>
  <c r="A473" i="12" s="1"/>
  <c r="A608" i="12" s="1"/>
  <c r="A743" i="12" s="1"/>
  <c r="A878" i="12" s="1"/>
  <c r="A1013" i="12" s="1"/>
  <c r="A1148" i="12" s="1"/>
  <c r="A1283" i="12" s="1"/>
  <c r="A1418" i="12" s="1"/>
  <c r="A1553" i="12" s="1"/>
  <c r="A1688" i="12" s="1"/>
  <c r="A1823" i="12" s="1"/>
  <c r="A1958" i="12" s="1"/>
  <c r="A2093" i="12" s="1"/>
  <c r="A2228" i="12" s="1"/>
  <c r="A2363" i="12" s="1"/>
  <c r="A2498" i="12" s="1"/>
  <c r="A2633" i="12" s="1"/>
  <c r="A2768" i="12" s="1"/>
  <c r="A2903" i="12" s="1"/>
  <c r="A3038" i="12" s="1"/>
  <c r="A3173" i="12" s="1"/>
  <c r="A3308" i="12" s="1"/>
  <c r="A3443" i="12" s="1"/>
  <c r="A3578" i="12" s="1"/>
  <c r="A3713" i="12" s="1"/>
  <c r="A3848" i="12" s="1"/>
  <c r="A3983" i="12" s="1"/>
  <c r="A4118" i="12" s="1"/>
  <c r="A4253" i="12" s="1"/>
  <c r="A4388" i="12" s="1"/>
  <c r="A4523" i="12" s="1"/>
  <c r="A4658" i="12" s="1"/>
  <c r="A4793" i="12" s="1"/>
  <c r="A4928" i="12" s="1"/>
  <c r="A5063" i="12" s="1"/>
  <c r="A5198" i="12" s="1"/>
  <c r="A204" i="12"/>
  <c r="A339" i="12" s="1"/>
  <c r="A474" i="12" s="1"/>
  <c r="A609" i="12" s="1"/>
  <c r="A744" i="12"/>
  <c r="A879" i="12" s="1"/>
  <c r="A1014" i="12" s="1"/>
  <c r="A1149" i="12" s="1"/>
  <c r="A1284" i="12" s="1"/>
  <c r="A1419" i="12" s="1"/>
  <c r="A1554" i="12" s="1"/>
  <c r="A1689" i="12" s="1"/>
  <c r="A1824" i="12" s="1"/>
  <c r="A1959" i="12" s="1"/>
  <c r="A2094" i="12" s="1"/>
  <c r="A2229" i="12" s="1"/>
  <c r="A2364" i="12"/>
  <c r="A2499" i="12" s="1"/>
  <c r="A2634" i="12" s="1"/>
  <c r="A2769" i="12" s="1"/>
  <c r="A2904" i="12" s="1"/>
  <c r="A3039" i="12" s="1"/>
  <c r="A3174" i="12" s="1"/>
  <c r="A3309" i="12" s="1"/>
  <c r="A3444" i="12" s="1"/>
  <c r="A3579" i="12" s="1"/>
  <c r="A3714" i="12" s="1"/>
  <c r="A3849" i="12" s="1"/>
  <c r="A3984" i="12" s="1"/>
  <c r="A4119" i="12" s="1"/>
  <c r="A4254" i="12" s="1"/>
  <c r="A4389" i="12" s="1"/>
  <c r="A4524" i="12" s="1"/>
  <c r="A4659" i="12" s="1"/>
  <c r="A4794" i="12" s="1"/>
  <c r="A4929" i="12" s="1"/>
  <c r="A5064" i="12" s="1"/>
  <c r="A5199" i="12" s="1"/>
  <c r="A205" i="12"/>
  <c r="A340" i="12" s="1"/>
  <c r="A475" i="12"/>
  <c r="A610" i="12" s="1"/>
  <c r="A745" i="12" s="1"/>
  <c r="A880" i="12" s="1"/>
  <c r="A1015" i="12" s="1"/>
  <c r="A1150" i="12" s="1"/>
  <c r="A1285" i="12" s="1"/>
  <c r="A1420" i="12" s="1"/>
  <c r="A1555" i="12" s="1"/>
  <c r="A1690" i="12" s="1"/>
  <c r="A1825" i="12" s="1"/>
  <c r="A1960" i="12" s="1"/>
  <c r="A2095" i="12" s="1"/>
  <c r="A2230" i="12" s="1"/>
  <c r="A2365" i="12" s="1"/>
  <c r="A2500" i="12" s="1"/>
  <c r="A2635" i="12" s="1"/>
  <c r="A2770" i="12" s="1"/>
  <c r="A2905" i="12" s="1"/>
  <c r="A3040" i="12" s="1"/>
  <c r="A3175" i="12" s="1"/>
  <c r="A3310" i="12" s="1"/>
  <c r="A3445" i="12" s="1"/>
  <c r="A3580" i="12" s="1"/>
  <c r="A3715" i="12" s="1"/>
  <c r="A3850" i="12" s="1"/>
  <c r="A3985" i="12" s="1"/>
  <c r="A4120" i="12" s="1"/>
  <c r="A4255" i="12" s="1"/>
  <c r="A4390" i="12" s="1"/>
  <c r="A4525" i="12" s="1"/>
  <c r="A4660" i="12" s="1"/>
  <c r="A4795" i="12"/>
  <c r="A4930" i="12" s="1"/>
  <c r="A5065" i="12" s="1"/>
  <c r="A5200" i="12" s="1"/>
  <c r="A206" i="12"/>
  <c r="A341" i="12" s="1"/>
  <c r="A476" i="12"/>
  <c r="A611" i="12" s="1"/>
  <c r="A746" i="12" s="1"/>
  <c r="A881" i="12" s="1"/>
  <c r="A1016" i="12" s="1"/>
  <c r="A1151" i="12" s="1"/>
  <c r="A1286" i="12" s="1"/>
  <c r="A1421" i="12" s="1"/>
  <c r="A1556" i="12" s="1"/>
  <c r="A1691" i="12" s="1"/>
  <c r="A1826" i="12" s="1"/>
  <c r="A1961" i="12" s="1"/>
  <c r="A2096" i="12" s="1"/>
  <c r="A2231" i="12" s="1"/>
  <c r="A2366" i="12" s="1"/>
  <c r="A2501" i="12" s="1"/>
  <c r="A2636" i="12" s="1"/>
  <c r="A2771" i="12" s="1"/>
  <c r="A2906" i="12" s="1"/>
  <c r="A3041" i="12" s="1"/>
  <c r="A3176" i="12" s="1"/>
  <c r="A3311" i="12" s="1"/>
  <c r="A3446" i="12"/>
  <c r="A3581" i="12" s="1"/>
  <c r="A3716" i="12" s="1"/>
  <c r="A3851" i="12" s="1"/>
  <c r="A3986" i="12" s="1"/>
  <c r="A4121" i="12" s="1"/>
  <c r="A4256" i="12" s="1"/>
  <c r="A4391" i="12" s="1"/>
  <c r="A4526" i="12" s="1"/>
  <c r="A4661" i="12" s="1"/>
  <c r="A4796" i="12" s="1"/>
  <c r="A4931" i="12" s="1"/>
  <c r="A5066" i="12" s="1"/>
  <c r="A5201" i="12" s="1"/>
  <c r="A207" i="12"/>
  <c r="A342" i="12"/>
  <c r="A477" i="12"/>
  <c r="A612" i="12" s="1"/>
  <c r="A747" i="12"/>
  <c r="A882" i="12" s="1"/>
  <c r="A1017" i="12" s="1"/>
  <c r="A1152" i="12" s="1"/>
  <c r="A1287" i="12" s="1"/>
  <c r="A1422" i="12" s="1"/>
  <c r="A1557" i="12" s="1"/>
  <c r="A1692" i="12" s="1"/>
  <c r="A1827" i="12"/>
  <c r="A1962" i="12"/>
  <c r="A2097" i="12" s="1"/>
  <c r="A2232" i="12" s="1"/>
  <c r="A2367" i="12" s="1"/>
  <c r="A2502" i="12" s="1"/>
  <c r="A208" i="12"/>
  <c r="A343" i="12" s="1"/>
  <c r="A478" i="12"/>
  <c r="A613" i="12" s="1"/>
  <c r="A748" i="12" s="1"/>
  <c r="A883" i="12" s="1"/>
  <c r="A1018" i="12" s="1"/>
  <c r="A1153" i="12" s="1"/>
  <c r="A1288" i="12" s="1"/>
  <c r="A1423" i="12" s="1"/>
  <c r="A1558" i="12" s="1"/>
  <c r="A1693" i="12" s="1"/>
  <c r="A1828" i="12" s="1"/>
  <c r="A1963" i="12" s="1"/>
  <c r="A2098" i="12" s="1"/>
  <c r="A2233" i="12" s="1"/>
  <c r="A2368" i="12" s="1"/>
  <c r="A2503" i="12" s="1"/>
  <c r="A2638" i="12"/>
  <c r="A2773" i="12" s="1"/>
  <c r="A2908" i="12" s="1"/>
  <c r="A3043" i="12" s="1"/>
  <c r="A3178" i="12" s="1"/>
  <c r="A3313" i="12" s="1"/>
  <c r="A3448" i="12" s="1"/>
  <c r="A3583" i="12"/>
  <c r="A3718" i="12" s="1"/>
  <c r="A3853" i="12" s="1"/>
  <c r="A3988" i="12" s="1"/>
  <c r="A4123" i="12" s="1"/>
  <c r="A4258" i="12" s="1"/>
  <c r="A4393" i="12" s="1"/>
  <c r="A4528" i="12" s="1"/>
  <c r="A4663" i="12" s="1"/>
  <c r="A4798" i="12" s="1"/>
  <c r="A4933" i="12" s="1"/>
  <c r="A5068" i="12" s="1"/>
  <c r="A5203" i="12" s="1"/>
  <c r="A209" i="12"/>
  <c r="A344" i="12"/>
  <c r="A479" i="12" s="1"/>
  <c r="A614" i="12" s="1"/>
  <c r="A749" i="12" s="1"/>
  <c r="A884" i="12" s="1"/>
  <c r="A1019" i="12" s="1"/>
  <c r="A1154" i="12" s="1"/>
  <c r="A1289" i="12" s="1"/>
  <c r="A1424" i="12" s="1"/>
  <c r="A1559" i="12" s="1"/>
  <c r="A1694" i="12" s="1"/>
  <c r="A1829" i="12" s="1"/>
  <c r="A1964" i="12" s="1"/>
  <c r="A2099" i="12" s="1"/>
  <c r="A2234" i="12" s="1"/>
  <c r="A2369" i="12" s="1"/>
  <c r="A2504" i="12" s="1"/>
  <c r="A2639" i="12" s="1"/>
  <c r="A2774" i="12" s="1"/>
  <c r="A2909" i="12" s="1"/>
  <c r="A3044" i="12" s="1"/>
  <c r="A3179" i="12" s="1"/>
  <c r="A3314" i="12" s="1"/>
  <c r="A3449" i="12" s="1"/>
  <c r="A3584" i="12" s="1"/>
  <c r="A3719" i="12" s="1"/>
  <c r="A3854" i="12" s="1"/>
  <c r="A3989" i="12" s="1"/>
  <c r="A4124" i="12" s="1"/>
  <c r="A4259" i="12" s="1"/>
  <c r="A4394" i="12" s="1"/>
  <c r="A4529" i="12" s="1"/>
  <c r="A4664" i="12" s="1"/>
  <c r="A4799" i="12" s="1"/>
  <c r="A4934" i="12" s="1"/>
  <c r="A5069" i="12" s="1"/>
  <c r="A5204" i="12" s="1"/>
  <c r="A210" i="12"/>
  <c r="A345" i="12"/>
  <c r="A480" i="12" s="1"/>
  <c r="A615" i="12" s="1"/>
  <c r="A750" i="12" s="1"/>
  <c r="A885" i="12"/>
  <c r="A1020" i="12" s="1"/>
  <c r="A1155" i="12"/>
  <c r="A1290" i="12" s="1"/>
  <c r="A1425" i="12" s="1"/>
  <c r="A1560" i="12" s="1"/>
  <c r="A1695" i="12" s="1"/>
  <c r="A1830" i="12" s="1"/>
  <c r="A1965" i="12" s="1"/>
  <c r="A2100" i="12" s="1"/>
  <c r="A2235" i="12" s="1"/>
  <c r="A2370" i="12" s="1"/>
  <c r="A2505" i="12" s="1"/>
  <c r="A2640" i="12" s="1"/>
  <c r="A2775" i="12" s="1"/>
  <c r="A2910" i="12" s="1"/>
  <c r="A3045" i="12" s="1"/>
  <c r="A3180" i="12" s="1"/>
  <c r="A3315" i="12" s="1"/>
  <c r="A3450" i="12" s="1"/>
  <c r="A3585" i="12" s="1"/>
  <c r="A3720" i="12" s="1"/>
  <c r="A3855" i="12" s="1"/>
  <c r="A3990" i="12" s="1"/>
  <c r="A4125" i="12"/>
  <c r="A4260" i="12" s="1"/>
  <c r="A4395" i="12" s="1"/>
  <c r="A4530" i="12" s="1"/>
  <c r="A4665" i="12" s="1"/>
  <c r="A4800" i="12" s="1"/>
  <c r="A4935" i="12" s="1"/>
  <c r="A5070" i="12" s="1"/>
  <c r="A5205" i="12" s="1"/>
  <c r="A211" i="12"/>
  <c r="A212" i="12"/>
  <c r="A347" i="12" s="1"/>
  <c r="A482" i="12" s="1"/>
  <c r="A213" i="12"/>
  <c r="A348" i="12"/>
  <c r="A483" i="12" s="1"/>
  <c r="A618" i="12"/>
  <c r="A753" i="12" s="1"/>
  <c r="A888" i="12"/>
  <c r="A1023" i="12" s="1"/>
  <c r="A1158" i="12"/>
  <c r="A1293" i="12" s="1"/>
  <c r="A1428" i="12" s="1"/>
  <c r="A1563" i="12" s="1"/>
  <c r="A1698" i="12" s="1"/>
  <c r="A1833" i="12" s="1"/>
  <c r="A1968" i="12" s="1"/>
  <c r="A2103" i="12" s="1"/>
  <c r="A2238" i="12" s="1"/>
  <c r="A2373" i="12" s="1"/>
  <c r="A2508" i="12" s="1"/>
  <c r="A2643" i="12" s="1"/>
  <c r="A2778" i="12" s="1"/>
  <c r="A2913" i="12" s="1"/>
  <c r="A3048" i="12" s="1"/>
  <c r="A3183" i="12" s="1"/>
  <c r="A3318" i="12" s="1"/>
  <c r="A3453" i="12" s="1"/>
  <c r="A3588" i="12" s="1"/>
  <c r="A3723" i="12" s="1"/>
  <c r="A3858" i="12" s="1"/>
  <c r="A3993" i="12" s="1"/>
  <c r="A4128" i="12" s="1"/>
  <c r="A4263" i="12" s="1"/>
  <c r="A4398" i="12" s="1"/>
  <c r="A4533" i="12" s="1"/>
  <c r="A4668" i="12" s="1"/>
  <c r="A4803" i="12" s="1"/>
  <c r="A4938" i="12" s="1"/>
  <c r="A5073" i="12" s="1"/>
  <c r="A5208" i="12" s="1"/>
  <c r="A214" i="12"/>
  <c r="A349" i="12"/>
  <c r="A484" i="12" s="1"/>
  <c r="A619" i="12" s="1"/>
  <c r="A754" i="12" s="1"/>
  <c r="A889" i="12" s="1"/>
  <c r="A1024" i="12" s="1"/>
  <c r="A1159" i="12" s="1"/>
  <c r="A1294" i="12" s="1"/>
  <c r="A1429" i="12" s="1"/>
  <c r="A1564" i="12" s="1"/>
  <c r="A1699" i="12" s="1"/>
  <c r="A1834" i="12" s="1"/>
  <c r="A1969" i="12" s="1"/>
  <c r="A2104" i="12"/>
  <c r="A2239" i="12" s="1"/>
  <c r="A2374" i="12" s="1"/>
  <c r="A2509" i="12" s="1"/>
  <c r="A2644" i="12" s="1"/>
  <c r="A2779" i="12" s="1"/>
  <c r="A2914" i="12" s="1"/>
  <c r="A3049" i="12" s="1"/>
  <c r="A3184" i="12" s="1"/>
  <c r="A3319" i="12" s="1"/>
  <c r="A3454" i="12" s="1"/>
  <c r="A3589" i="12" s="1"/>
  <c r="A3724" i="12" s="1"/>
  <c r="A3859" i="12" s="1"/>
  <c r="A3994" i="12" s="1"/>
  <c r="A4129" i="12" s="1"/>
  <c r="A4264" i="12" s="1"/>
  <c r="A4399" i="12" s="1"/>
  <c r="A4534" i="12" s="1"/>
  <c r="A4669" i="12" s="1"/>
  <c r="A4804" i="12" s="1"/>
  <c r="A4939" i="12" s="1"/>
  <c r="A5074" i="12" s="1"/>
  <c r="A5209" i="12" s="1"/>
  <c r="A215" i="12"/>
  <c r="A350" i="12" s="1"/>
  <c r="A485" i="12" s="1"/>
  <c r="A620" i="12" s="1"/>
  <c r="A755" i="12" s="1"/>
  <c r="A890" i="12" s="1"/>
  <c r="A1025" i="12" s="1"/>
  <c r="A1160" i="12" s="1"/>
  <c r="A1295" i="12"/>
  <c r="A1430" i="12" s="1"/>
  <c r="A1565" i="12" s="1"/>
  <c r="A1700" i="12" s="1"/>
  <c r="A1835" i="12" s="1"/>
  <c r="A1970" i="12" s="1"/>
  <c r="A2105" i="12" s="1"/>
  <c r="A2240" i="12" s="1"/>
  <c r="A2375" i="12" s="1"/>
  <c r="A2510" i="12" s="1"/>
  <c r="A2645" i="12" s="1"/>
  <c r="A2780" i="12" s="1"/>
  <c r="A2915" i="12" s="1"/>
  <c r="A3050" i="12" s="1"/>
  <c r="A3185" i="12" s="1"/>
  <c r="A3320" i="12" s="1"/>
  <c r="A3455" i="12"/>
  <c r="A3590" i="12"/>
  <c r="A3725" i="12" s="1"/>
  <c r="A3860" i="12"/>
  <c r="A3995" i="12" s="1"/>
  <c r="A4130" i="12" s="1"/>
  <c r="A4265" i="12" s="1"/>
  <c r="A4400" i="12" s="1"/>
  <c r="A4535" i="12" s="1"/>
  <c r="A4670" i="12" s="1"/>
  <c r="A4805" i="12" s="1"/>
  <c r="A4940" i="12" s="1"/>
  <c r="A5075" i="12" s="1"/>
  <c r="A5210" i="12" s="1"/>
  <c r="A216" i="12"/>
  <c r="A351" i="12"/>
  <c r="A486" i="12"/>
  <c r="A621" i="12" s="1"/>
  <c r="A756" i="12" s="1"/>
  <c r="A891" i="12" s="1"/>
  <c r="A1026" i="12" s="1"/>
  <c r="A1161" i="12" s="1"/>
  <c r="A1296" i="12" s="1"/>
  <c r="A1431" i="12"/>
  <c r="A1566" i="12" s="1"/>
  <c r="A1701" i="12" s="1"/>
  <c r="A1836" i="12" s="1"/>
  <c r="A1971" i="12" s="1"/>
  <c r="A2106" i="12" s="1"/>
  <c r="A2241" i="12" s="1"/>
  <c r="A2376" i="12" s="1"/>
  <c r="A2511" i="12" s="1"/>
  <c r="A2646" i="12"/>
  <c r="A2781" i="12" s="1"/>
  <c r="A2916" i="12" s="1"/>
  <c r="A3051" i="12" s="1"/>
  <c r="A3186" i="12" s="1"/>
  <c r="A3321" i="12" s="1"/>
  <c r="A3456" i="12" s="1"/>
  <c r="A3591" i="12"/>
  <c r="A3726" i="12" s="1"/>
  <c r="A3861" i="12" s="1"/>
  <c r="A3996" i="12" s="1"/>
  <c r="A4131" i="12" s="1"/>
  <c r="A4266" i="12" s="1"/>
  <c r="A4401" i="12" s="1"/>
  <c r="A4536" i="12" s="1"/>
  <c r="A4671" i="12" s="1"/>
  <c r="A4806" i="12" s="1"/>
  <c r="A4941" i="12" s="1"/>
  <c r="A5076" i="12" s="1"/>
  <c r="A5211" i="12" s="1"/>
  <c r="A217" i="12"/>
  <c r="A352" i="12" s="1"/>
  <c r="A487" i="12" s="1"/>
  <c r="A622" i="12" s="1"/>
  <c r="A757" i="12" s="1"/>
  <c r="A892" i="12" s="1"/>
  <c r="A1027" i="12" s="1"/>
  <c r="A1162" i="12" s="1"/>
  <c r="A1297" i="12" s="1"/>
  <c r="A1432" i="12" s="1"/>
  <c r="A1567" i="12" s="1"/>
  <c r="A1702" i="12"/>
  <c r="A1837" i="12" s="1"/>
  <c r="A1972" i="12" s="1"/>
  <c r="A2107" i="12" s="1"/>
  <c r="A2242" i="12" s="1"/>
  <c r="A2377" i="12" s="1"/>
  <c r="A2512" i="12" s="1"/>
  <c r="A2647" i="12" s="1"/>
  <c r="A2782" i="12" s="1"/>
  <c r="A2917" i="12" s="1"/>
  <c r="A3052" i="12" s="1"/>
  <c r="A3187" i="12" s="1"/>
  <c r="A3322" i="12" s="1"/>
  <c r="A3457" i="12" s="1"/>
  <c r="A3592" i="12" s="1"/>
  <c r="A3727" i="12" s="1"/>
  <c r="A3862" i="12" s="1"/>
  <c r="A3997" i="12" s="1"/>
  <c r="A4132" i="12" s="1"/>
  <c r="A4267" i="12" s="1"/>
  <c r="A4402" i="12" s="1"/>
  <c r="A4537" i="12" s="1"/>
  <c r="A4672" i="12" s="1"/>
  <c r="A4807" i="12" s="1"/>
  <c r="A4942" i="12" s="1"/>
  <c r="A5077" i="12" s="1"/>
  <c r="A5212" i="12" s="1"/>
  <c r="A218" i="12"/>
  <c r="A353" i="12"/>
  <c r="A488" i="12" s="1"/>
  <c r="A623" i="12" s="1"/>
  <c r="A758" i="12" s="1"/>
  <c r="A893" i="12" s="1"/>
  <c r="A1028" i="12" s="1"/>
  <c r="A1163" i="12" s="1"/>
  <c r="A1298" i="12" s="1"/>
  <c r="A1433" i="12" s="1"/>
  <c r="A1568" i="12" s="1"/>
  <c r="A1703" i="12" s="1"/>
  <c r="A1838" i="12" s="1"/>
  <c r="A1973" i="12" s="1"/>
  <c r="A2108" i="12" s="1"/>
  <c r="A219" i="12"/>
  <c r="A220" i="12"/>
  <c r="A355" i="12" s="1"/>
  <c r="A490" i="12" s="1"/>
  <c r="A625" i="12" s="1"/>
  <c r="A760" i="12" s="1"/>
  <c r="A895" i="12" s="1"/>
  <c r="A1030" i="12"/>
  <c r="A1165" i="12" s="1"/>
  <c r="A1300" i="12" s="1"/>
  <c r="A1435" i="12" s="1"/>
  <c r="A1570" i="12" s="1"/>
  <c r="A1705" i="12" s="1"/>
  <c r="A1840" i="12" s="1"/>
  <c r="A1975" i="12" s="1"/>
  <c r="A2110" i="12" s="1"/>
  <c r="A2245" i="12" s="1"/>
  <c r="A2380" i="12" s="1"/>
  <c r="A2515" i="12" s="1"/>
  <c r="A2650" i="12" s="1"/>
  <c r="A2785" i="12" s="1"/>
  <c r="A2920" i="12" s="1"/>
  <c r="A221" i="12"/>
  <c r="A356" i="12"/>
  <c r="A491" i="12" s="1"/>
  <c r="A626" i="12" s="1"/>
  <c r="A761" i="12" s="1"/>
  <c r="A896" i="12" s="1"/>
  <c r="A1031" i="12" s="1"/>
  <c r="A1166" i="12" s="1"/>
  <c r="A1301" i="12" s="1"/>
  <c r="A1436" i="12" s="1"/>
  <c r="A1571" i="12" s="1"/>
  <c r="A1706" i="12" s="1"/>
  <c r="A1841" i="12" s="1"/>
  <c r="A1976" i="12" s="1"/>
  <c r="A2111" i="12" s="1"/>
  <c r="A2246" i="12" s="1"/>
  <c r="A2381" i="12" s="1"/>
  <c r="A2516" i="12" s="1"/>
  <c r="A2651" i="12" s="1"/>
  <c r="A2786" i="12"/>
  <c r="A2921" i="12" s="1"/>
  <c r="A3056" i="12" s="1"/>
  <c r="A3191" i="12" s="1"/>
  <c r="A3326" i="12" s="1"/>
  <c r="A3461" i="12" s="1"/>
  <c r="A3596" i="12" s="1"/>
  <c r="A3731" i="12" s="1"/>
  <c r="A3866" i="12" s="1"/>
  <c r="A4001" i="12" s="1"/>
  <c r="A4136" i="12" s="1"/>
  <c r="A4271" i="12" s="1"/>
  <c r="A4406" i="12" s="1"/>
  <c r="A4541" i="12" s="1"/>
  <c r="A4676" i="12" s="1"/>
  <c r="A4811" i="12" s="1"/>
  <c r="A4946" i="12" s="1"/>
  <c r="A5081" i="12" s="1"/>
  <c r="A5216" i="12" s="1"/>
  <c r="A222" i="12"/>
  <c r="A357" i="12"/>
  <c r="A492" i="12" s="1"/>
  <c r="A627" i="12" s="1"/>
  <c r="A762" i="12" s="1"/>
  <c r="A897" i="12" s="1"/>
  <c r="A1032" i="12" s="1"/>
  <c r="A1167" i="12" s="1"/>
  <c r="A1302" i="12" s="1"/>
  <c r="A1437" i="12"/>
  <c r="A1572" i="12"/>
  <c r="A1707" i="12" s="1"/>
  <c r="A1842" i="12" s="1"/>
  <c r="A1977" i="12" s="1"/>
  <c r="A2112" i="12" s="1"/>
  <c r="A2247" i="12" s="1"/>
  <c r="A2382" i="12" s="1"/>
  <c r="A2517" i="12" s="1"/>
  <c r="A2652" i="12" s="1"/>
  <c r="A2787" i="12" s="1"/>
  <c r="A2922" i="12" s="1"/>
  <c r="A3057" i="12" s="1"/>
  <c r="A3192" i="12" s="1"/>
  <c r="A3327" i="12" s="1"/>
  <c r="A3462" i="12" s="1"/>
  <c r="A3597" i="12" s="1"/>
  <c r="A3732" i="12" s="1"/>
  <c r="A3867" i="12" s="1"/>
  <c r="A4002" i="12" s="1"/>
  <c r="A4137" i="12" s="1"/>
  <c r="A4272" i="12" s="1"/>
  <c r="A4407" i="12" s="1"/>
  <c r="A4542" i="12" s="1"/>
  <c r="A4677" i="12" s="1"/>
  <c r="A4812" i="12" s="1"/>
  <c r="A4947" i="12" s="1"/>
  <c r="A5082" i="12" s="1"/>
  <c r="A5217" i="12" s="1"/>
  <c r="A223" i="12"/>
  <c r="A358" i="12" s="1"/>
  <c r="A493" i="12" s="1"/>
  <c r="A628" i="12"/>
  <c r="A763" i="12" s="1"/>
  <c r="A898" i="12" s="1"/>
  <c r="A1033" i="12" s="1"/>
  <c r="A1168" i="12" s="1"/>
  <c r="A1303" i="12" s="1"/>
  <c r="A1438" i="12" s="1"/>
  <c r="A1573" i="12" s="1"/>
  <c r="A1708" i="12" s="1"/>
  <c r="A1843" i="12" s="1"/>
  <c r="A1978" i="12" s="1"/>
  <c r="A2113" i="12" s="1"/>
  <c r="A2248" i="12" s="1"/>
  <c r="A2383" i="12" s="1"/>
  <c r="A2518" i="12" s="1"/>
  <c r="A2653" i="12" s="1"/>
  <c r="A2788" i="12" s="1"/>
  <c r="A2923" i="12" s="1"/>
  <c r="A3058" i="12" s="1"/>
  <c r="A3193" i="12" s="1"/>
  <c r="A3328" i="12" s="1"/>
  <c r="A3463" i="12" s="1"/>
  <c r="A3598" i="12" s="1"/>
  <c r="A3733" i="12" s="1"/>
  <c r="A3868" i="12" s="1"/>
  <c r="A4003" i="12" s="1"/>
  <c r="A4138" i="12" s="1"/>
  <c r="A4273" i="12" s="1"/>
  <c r="A4408" i="12" s="1"/>
  <c r="A4543" i="12" s="1"/>
  <c r="A4678" i="12" s="1"/>
  <c r="A4813" i="12" s="1"/>
  <c r="A4948" i="12" s="1"/>
  <c r="A5083" i="12" s="1"/>
  <c r="A5218" i="12" s="1"/>
  <c r="A224" i="12"/>
  <c r="A359" i="12"/>
  <c r="A494" i="12" s="1"/>
  <c r="A629" i="12" s="1"/>
  <c r="A764" i="12" s="1"/>
  <c r="A899" i="12"/>
  <c r="A1034" i="12" s="1"/>
  <c r="A1169" i="12"/>
  <c r="A1304" i="12" s="1"/>
  <c r="A1439" i="12" s="1"/>
  <c r="A1574" i="12" s="1"/>
  <c r="A1709" i="12" s="1"/>
  <c r="A1844" i="12" s="1"/>
  <c r="A1979" i="12"/>
  <c r="A2114" i="12" s="1"/>
  <c r="A2249" i="12" s="1"/>
  <c r="A2384" i="12" s="1"/>
  <c r="A2519" i="12" s="1"/>
  <c r="A2654" i="12" s="1"/>
  <c r="A2789" i="12" s="1"/>
  <c r="A2924" i="12" s="1"/>
  <c r="A3059" i="12" s="1"/>
  <c r="A3194" i="12" s="1"/>
  <c r="A3329" i="12" s="1"/>
  <c r="A3464" i="12" s="1"/>
  <c r="A3599" i="12" s="1"/>
  <c r="A3734" i="12" s="1"/>
  <c r="A3869" i="12" s="1"/>
  <c r="A4004" i="12" s="1"/>
  <c r="A4139" i="12" s="1"/>
  <c r="A4274" i="12" s="1"/>
  <c r="A4409" i="12" s="1"/>
  <c r="A4544" i="12" s="1"/>
  <c r="A4679" i="12" s="1"/>
  <c r="A4814" i="12" s="1"/>
  <c r="A4949" i="12" s="1"/>
  <c r="A5084" i="12" s="1"/>
  <c r="A5219" i="12" s="1"/>
  <c r="A225" i="12"/>
  <c r="A360" i="12"/>
  <c r="A495" i="12" s="1"/>
  <c r="A630" i="12"/>
  <c r="A765" i="12" s="1"/>
  <c r="A900" i="12" s="1"/>
  <c r="A1035" i="12" s="1"/>
  <c r="A1170" i="12" s="1"/>
  <c r="A1305" i="12" s="1"/>
  <c r="A1440" i="12" s="1"/>
  <c r="A1575" i="12" s="1"/>
  <c r="A1710" i="12" s="1"/>
  <c r="A1845" i="12" s="1"/>
  <c r="A1980" i="12" s="1"/>
  <c r="A2115" i="12" s="1"/>
  <c r="A2250" i="12" s="1"/>
  <c r="A2385" i="12" s="1"/>
  <c r="A2520" i="12" s="1"/>
  <c r="A2655" i="12" s="1"/>
  <c r="A2790" i="12" s="1"/>
  <c r="A2925" i="12" s="1"/>
  <c r="A3060" i="12" s="1"/>
  <c r="A3195" i="12" s="1"/>
  <c r="A3330" i="12" s="1"/>
  <c r="A3465" i="12" s="1"/>
  <c r="A3600" i="12" s="1"/>
  <c r="A3735" i="12" s="1"/>
  <c r="A3870" i="12" s="1"/>
  <c r="A4005" i="12" s="1"/>
  <c r="A4140" i="12" s="1"/>
  <c r="A4275" i="12" s="1"/>
  <c r="A4410" i="12" s="1"/>
  <c r="A4545" i="12" s="1"/>
  <c r="A4680" i="12" s="1"/>
  <c r="A4815" i="12" s="1"/>
  <c r="A4950" i="12"/>
  <c r="A5085" i="12" s="1"/>
  <c r="A5220" i="12" s="1"/>
  <c r="A226" i="12"/>
  <c r="A361" i="12"/>
  <c r="A496" i="12"/>
  <c r="A631" i="12" s="1"/>
  <c r="A766" i="12" s="1"/>
  <c r="A901" i="12" s="1"/>
  <c r="A1036" i="12" s="1"/>
  <c r="A1171" i="12" s="1"/>
  <c r="A1306" i="12" s="1"/>
  <c r="A1441" i="12" s="1"/>
  <c r="A1576" i="12"/>
  <c r="A1711" i="12" s="1"/>
  <c r="A1846" i="12" s="1"/>
  <c r="A1981" i="12" s="1"/>
  <c r="A2116" i="12" s="1"/>
  <c r="A2251" i="12" s="1"/>
  <c r="A2386" i="12" s="1"/>
  <c r="A2521" i="12" s="1"/>
  <c r="A2656" i="12" s="1"/>
  <c r="A2791" i="12" s="1"/>
  <c r="A2926" i="12" s="1"/>
  <c r="A3061" i="12" s="1"/>
  <c r="A3196" i="12" s="1"/>
  <c r="A3331" i="12" s="1"/>
  <c r="A3466" i="12" s="1"/>
  <c r="A3601" i="12" s="1"/>
  <c r="A3736" i="12" s="1"/>
  <c r="A3871" i="12" s="1"/>
  <c r="A4006" i="12" s="1"/>
  <c r="A4141" i="12" s="1"/>
  <c r="A4276" i="12" s="1"/>
  <c r="A4411" i="12" s="1"/>
  <c r="A4546" i="12" s="1"/>
  <c r="A4681" i="12" s="1"/>
  <c r="A4816" i="12" s="1"/>
  <c r="A4951" i="12" s="1"/>
  <c r="A5086" i="12" s="1"/>
  <c r="A5221" i="12" s="1"/>
  <c r="A227" i="12"/>
  <c r="A362" i="12"/>
  <c r="A497" i="12" s="1"/>
  <c r="A632" i="12"/>
  <c r="A767" i="12" s="1"/>
  <c r="A902" i="12" s="1"/>
  <c r="A1037" i="12" s="1"/>
  <c r="A1172" i="12" s="1"/>
  <c r="A1307" i="12" s="1"/>
  <c r="A1442" i="12" s="1"/>
  <c r="A1577" i="12" s="1"/>
  <c r="A1712" i="12" s="1"/>
  <c r="A1847" i="12" s="1"/>
  <c r="A1982" i="12" s="1"/>
  <c r="A2117" i="12" s="1"/>
  <c r="A2252" i="12"/>
  <c r="A2387" i="12" s="1"/>
  <c r="A2522" i="12" s="1"/>
  <c r="A2657" i="12" s="1"/>
  <c r="A2792" i="12" s="1"/>
  <c r="A2927" i="12" s="1"/>
  <c r="A3062" i="12" s="1"/>
  <c r="A3197" i="12" s="1"/>
  <c r="A3332" i="12" s="1"/>
  <c r="A3467" i="12" s="1"/>
  <c r="A3602" i="12" s="1"/>
  <c r="A3737" i="12" s="1"/>
  <c r="A3872" i="12" s="1"/>
  <c r="A4007" i="12" s="1"/>
  <c r="A4142" i="12" s="1"/>
  <c r="A4277" i="12" s="1"/>
  <c r="A4412" i="12" s="1"/>
  <c r="A4547" i="12" s="1"/>
  <c r="A4682" i="12" s="1"/>
  <c r="A4817" i="12" s="1"/>
  <c r="A4952" i="12" s="1"/>
  <c r="A5087" i="12" s="1"/>
  <c r="A5222" i="12" s="1"/>
  <c r="A228" i="12"/>
  <c r="A363" i="12"/>
  <c r="A498" i="12" s="1"/>
  <c r="A633" i="12" s="1"/>
  <c r="A768" i="12" s="1"/>
  <c r="A903" i="12"/>
  <c r="A1038" i="12" s="1"/>
  <c r="A1173" i="12" s="1"/>
  <c r="A1308" i="12" s="1"/>
  <c r="A1443" i="12"/>
  <c r="A1578" i="12" s="1"/>
  <c r="A1713" i="12" s="1"/>
  <c r="A1848" i="12" s="1"/>
  <c r="A1983" i="12" s="1"/>
  <c r="A2118" i="12" s="1"/>
  <c r="A2253" i="12" s="1"/>
  <c r="A2388" i="12" s="1"/>
  <c r="A2523" i="12" s="1"/>
  <c r="A2658" i="12" s="1"/>
  <c r="A2793" i="12" s="1"/>
  <c r="A2928" i="12" s="1"/>
  <c r="A3063" i="12" s="1"/>
  <c r="A3198" i="12" s="1"/>
  <c r="A3333" i="12" s="1"/>
  <c r="A3468" i="12" s="1"/>
  <c r="A3603" i="12" s="1"/>
  <c r="A3738" i="12" s="1"/>
  <c r="A3873" i="12" s="1"/>
  <c r="A4008" i="12" s="1"/>
  <c r="A4143" i="12" s="1"/>
  <c r="A4278" i="12" s="1"/>
  <c r="A4413" i="12" s="1"/>
  <c r="A4548" i="12" s="1"/>
  <c r="A4683" i="12" s="1"/>
  <c r="A4818" i="12" s="1"/>
  <c r="A4953" i="12" s="1"/>
  <c r="A5088" i="12" s="1"/>
  <c r="A5223" i="12" s="1"/>
  <c r="A229" i="12"/>
  <c r="A364" i="12"/>
  <c r="A499" i="12" s="1"/>
  <c r="A634" i="12" s="1"/>
  <c r="A769" i="12" s="1"/>
  <c r="A904" i="12" s="1"/>
  <c r="A1039" i="12" s="1"/>
  <c r="A1174" i="12" s="1"/>
  <c r="A1309" i="12" s="1"/>
  <c r="A1444" i="12" s="1"/>
  <c r="A1579" i="12" s="1"/>
  <c r="A1714" i="12" s="1"/>
  <c r="A1849" i="12" s="1"/>
  <c r="A1984" i="12" s="1"/>
  <c r="A2119" i="12" s="1"/>
  <c r="A2254" i="12" s="1"/>
  <c r="A2389" i="12" s="1"/>
  <c r="A2524" i="12"/>
  <c r="A2659" i="12" s="1"/>
  <c r="A2794" i="12" s="1"/>
  <c r="A2929" i="12" s="1"/>
  <c r="A3064" i="12" s="1"/>
  <c r="A3199" i="12" s="1"/>
  <c r="A3334" i="12"/>
  <c r="A3469" i="12" s="1"/>
  <c r="A3604" i="12" s="1"/>
  <c r="A3739" i="12" s="1"/>
  <c r="A3874" i="12" s="1"/>
  <c r="A4009" i="12" s="1"/>
  <c r="A4144" i="12" s="1"/>
  <c r="A4279" i="12" s="1"/>
  <c r="A4414" i="12" s="1"/>
  <c r="A4549" i="12" s="1"/>
  <c r="A4684" i="12" s="1"/>
  <c r="A4819" i="12" s="1"/>
  <c r="A4954" i="12" s="1"/>
  <c r="A5089" i="12" s="1"/>
  <c r="A5224" i="12" s="1"/>
  <c r="A230" i="12"/>
  <c r="A365" i="12"/>
  <c r="A500" i="12"/>
  <c r="A635" i="12" s="1"/>
  <c r="A770" i="12" s="1"/>
  <c r="A905" i="12" s="1"/>
  <c r="A1040" i="12" s="1"/>
  <c r="A1175" i="12" s="1"/>
  <c r="A1310" i="12" s="1"/>
  <c r="A1445" i="12" s="1"/>
  <c r="A1580" i="12" s="1"/>
  <c r="A1715" i="12"/>
  <c r="A1850" i="12" s="1"/>
  <c r="A1985" i="12" s="1"/>
  <c r="A2120" i="12" s="1"/>
  <c r="A2255" i="12" s="1"/>
  <c r="A2390" i="12" s="1"/>
  <c r="A2525" i="12" s="1"/>
  <c r="A2660" i="12" s="1"/>
  <c r="A2795" i="12" s="1"/>
  <c r="A2930" i="12" s="1"/>
  <c r="A3065" i="12" s="1"/>
  <c r="A3200" i="12" s="1"/>
  <c r="A3335" i="12" s="1"/>
  <c r="A3470" i="12" s="1"/>
  <c r="A3605" i="12" s="1"/>
  <c r="A3740" i="12" s="1"/>
  <c r="A3875" i="12" s="1"/>
  <c r="A4010" i="12" s="1"/>
  <c r="A4145" i="12" s="1"/>
  <c r="A4280" i="12" s="1"/>
  <c r="A4415" i="12" s="1"/>
  <c r="A4550" i="12" s="1"/>
  <c r="A4685" i="12" s="1"/>
  <c r="A4820" i="12" s="1"/>
  <c r="A4955" i="12" s="1"/>
  <c r="A5090" i="12" s="1"/>
  <c r="A5225" i="12" s="1"/>
  <c r="A231" i="12"/>
  <c r="A366" i="12" s="1"/>
  <c r="A501" i="12" s="1"/>
  <c r="A636" i="12"/>
  <c r="A771" i="12" s="1"/>
  <c r="A906" i="12" s="1"/>
  <c r="A1041" i="12" s="1"/>
  <c r="A1176" i="12" s="1"/>
  <c r="A1311" i="12" s="1"/>
  <c r="A1446" i="12" s="1"/>
  <c r="A1581" i="12" s="1"/>
  <c r="A1716" i="12" s="1"/>
  <c r="A1851" i="12" s="1"/>
  <c r="A1986" i="12" s="1"/>
  <c r="A2121" i="12" s="1"/>
  <c r="A2256" i="12" s="1"/>
  <c r="A2391" i="12" s="1"/>
  <c r="A2526" i="12" s="1"/>
  <c r="A2661" i="12" s="1"/>
  <c r="A2796" i="12" s="1"/>
  <c r="A2931" i="12" s="1"/>
  <c r="A3066" i="12" s="1"/>
  <c r="A3201" i="12" s="1"/>
  <c r="A3336" i="12" s="1"/>
  <c r="A3471" i="12" s="1"/>
  <c r="A3606" i="12" s="1"/>
  <c r="A3741" i="12" s="1"/>
  <c r="A3876" i="12" s="1"/>
  <c r="A4011" i="12" s="1"/>
  <c r="A4146" i="12" s="1"/>
  <c r="A4281" i="12" s="1"/>
  <c r="A4416" i="12" s="1"/>
  <c r="A4551" i="12" s="1"/>
  <c r="A4686" i="12" s="1"/>
  <c r="A4821" i="12" s="1"/>
  <c r="A4956" i="12" s="1"/>
  <c r="A5091" i="12" s="1"/>
  <c r="A5226" i="12" s="1"/>
  <c r="A232" i="12"/>
  <c r="A367" i="12"/>
  <c r="A502" i="12" s="1"/>
  <c r="A637" i="12" s="1"/>
  <c r="A772" i="12" s="1"/>
  <c r="A907" i="12" s="1"/>
  <c r="A1042" i="12" s="1"/>
  <c r="A1177" i="12" s="1"/>
  <c r="A1312" i="12" s="1"/>
  <c r="A1447" i="12" s="1"/>
  <c r="A1582" i="12" s="1"/>
  <c r="A1717" i="12" s="1"/>
  <c r="A1852" i="12" s="1"/>
  <c r="A1987" i="12"/>
  <c r="A2122" i="12" s="1"/>
  <c r="A2257" i="12" s="1"/>
  <c r="A2392" i="12" s="1"/>
  <c r="A2527" i="12" s="1"/>
  <c r="A2662" i="12" s="1"/>
  <c r="A2797" i="12" s="1"/>
  <c r="A2932" i="12" s="1"/>
  <c r="A3067" i="12" s="1"/>
  <c r="A3202" i="12" s="1"/>
  <c r="A3337" i="12" s="1"/>
  <c r="A3472" i="12" s="1"/>
  <c r="A3607" i="12" s="1"/>
  <c r="A3742" i="12" s="1"/>
  <c r="A3877" i="12" s="1"/>
  <c r="A4012" i="12" s="1"/>
  <c r="A4147" i="12" s="1"/>
  <c r="A4282" i="12" s="1"/>
  <c r="A4417" i="12" s="1"/>
  <c r="A4552" i="12" s="1"/>
  <c r="A4687" i="12" s="1"/>
  <c r="A4822" i="12" s="1"/>
  <c r="A4957" i="12"/>
  <c r="A5092" i="12" s="1"/>
  <c r="A5227" i="12" s="1"/>
  <c r="A233" i="12"/>
  <c r="A368" i="12" s="1"/>
  <c r="A503" i="12" s="1"/>
  <c r="A638" i="12" s="1"/>
  <c r="A773" i="12" s="1"/>
  <c r="A908" i="12" s="1"/>
  <c r="A1043" i="12" s="1"/>
  <c r="A1178" i="12" s="1"/>
  <c r="A1313" i="12" s="1"/>
  <c r="A1448" i="12" s="1"/>
  <c r="A1583" i="12" s="1"/>
  <c r="A1718" i="12" s="1"/>
  <c r="A1853" i="12" s="1"/>
  <c r="A1988" i="12" s="1"/>
  <c r="A2123" i="12" s="1"/>
  <c r="A2258" i="12" s="1"/>
  <c r="A2393" i="12" s="1"/>
  <c r="A2528" i="12" s="1"/>
  <c r="A2663" i="12" s="1"/>
  <c r="A2798" i="12" s="1"/>
  <c r="A2933" i="12" s="1"/>
  <c r="A3068" i="12" s="1"/>
  <c r="A3203" i="12" s="1"/>
  <c r="A3338" i="12" s="1"/>
  <c r="A3473" i="12" s="1"/>
  <c r="A3608" i="12" s="1"/>
  <c r="A3743" i="12" s="1"/>
  <c r="A3878" i="12" s="1"/>
  <c r="A4013" i="12" s="1"/>
  <c r="A4148" i="12" s="1"/>
  <c r="A4283" i="12" s="1"/>
  <c r="A4418" i="12" s="1"/>
  <c r="A4553" i="12"/>
  <c r="A4688" i="12" s="1"/>
  <c r="A4823" i="12" s="1"/>
  <c r="A4958" i="12" s="1"/>
  <c r="A5093" i="12" s="1"/>
  <c r="A5228" i="12" s="1"/>
  <c r="A234" i="12"/>
  <c r="A369" i="12" s="1"/>
  <c r="A504" i="12"/>
  <c r="A235" i="12"/>
  <c r="A370" i="12"/>
  <c r="A236" i="12"/>
  <c r="A371" i="12"/>
  <c r="A506" i="12" s="1"/>
  <c r="A641" i="12" s="1"/>
  <c r="A776" i="12" s="1"/>
  <c r="A911" i="12" s="1"/>
  <c r="A1046" i="12" s="1"/>
  <c r="A1181" i="12" s="1"/>
  <c r="A1316" i="12" s="1"/>
  <c r="A1451" i="12" s="1"/>
  <c r="A1586" i="12" s="1"/>
  <c r="A1721" i="12" s="1"/>
  <c r="A1856" i="12" s="1"/>
  <c r="A1991" i="12" s="1"/>
  <c r="A2126" i="12" s="1"/>
  <c r="A2261" i="12" s="1"/>
  <c r="A2396" i="12" s="1"/>
  <c r="A2531" i="12" s="1"/>
  <c r="A2666" i="12" s="1"/>
  <c r="A2801" i="12" s="1"/>
  <c r="A2936" i="12" s="1"/>
  <c r="A3071" i="12" s="1"/>
  <c r="A3206" i="12" s="1"/>
  <c r="A3341" i="12" s="1"/>
  <c r="A3476" i="12" s="1"/>
  <c r="A3611" i="12" s="1"/>
  <c r="A3746" i="12" s="1"/>
  <c r="A3881" i="12" s="1"/>
  <c r="A237" i="12"/>
  <c r="A372" i="12" s="1"/>
  <c r="A507" i="12" s="1"/>
  <c r="A642" i="12" s="1"/>
  <c r="A777" i="12" s="1"/>
  <c r="A912" i="12" s="1"/>
  <c r="A1047" i="12" s="1"/>
  <c r="A1182" i="12" s="1"/>
  <c r="A1317" i="12" s="1"/>
  <c r="A1452" i="12" s="1"/>
  <c r="A1587" i="12"/>
  <c r="A1722" i="12" s="1"/>
  <c r="A1857" i="12" s="1"/>
  <c r="A1992" i="12" s="1"/>
  <c r="A2127" i="12" s="1"/>
  <c r="A2262" i="12" s="1"/>
  <c r="A2397" i="12"/>
  <c r="A2532" i="12" s="1"/>
  <c r="A2667" i="12" s="1"/>
  <c r="A2802" i="12" s="1"/>
  <c r="A2937" i="12" s="1"/>
  <c r="A3072" i="12" s="1"/>
  <c r="A3207" i="12" s="1"/>
  <c r="A3342" i="12" s="1"/>
  <c r="A3477" i="12" s="1"/>
  <c r="A3612" i="12" s="1"/>
  <c r="A3747" i="12" s="1"/>
  <c r="A3882" i="12" s="1"/>
  <c r="A4017" i="12" s="1"/>
  <c r="A4152" i="12" s="1"/>
  <c r="A4287" i="12" s="1"/>
  <c r="A4422" i="12" s="1"/>
  <c r="A4557" i="12" s="1"/>
  <c r="A4692" i="12" s="1"/>
  <c r="A4827" i="12" s="1"/>
  <c r="A4962" i="12" s="1"/>
  <c r="A5097" i="12" s="1"/>
  <c r="A5232" i="12" s="1"/>
  <c r="A238" i="12"/>
  <c r="A373" i="12" s="1"/>
  <c r="A508" i="12"/>
  <c r="A643" i="12" s="1"/>
  <c r="A778" i="12"/>
  <c r="A913" i="12" s="1"/>
  <c r="A1048" i="12" s="1"/>
  <c r="A1183" i="12" s="1"/>
  <c r="A1318" i="12"/>
  <c r="A1453" i="12" s="1"/>
  <c r="A1588" i="12" s="1"/>
  <c r="A1723" i="12" s="1"/>
  <c r="A1858" i="12" s="1"/>
  <c r="A1993" i="12" s="1"/>
  <c r="A2128" i="12" s="1"/>
  <c r="A2263" i="12" s="1"/>
  <c r="A2398" i="12" s="1"/>
  <c r="A2533" i="12" s="1"/>
  <c r="A2668" i="12" s="1"/>
  <c r="A2803" i="12" s="1"/>
  <c r="A2938" i="12" s="1"/>
  <c r="A3073" i="12" s="1"/>
  <c r="A239" i="12"/>
  <c r="A374" i="12" s="1"/>
  <c r="A509" i="12" s="1"/>
  <c r="A644" i="12" s="1"/>
  <c r="A779" i="12" s="1"/>
  <c r="A914" i="12" s="1"/>
  <c r="A1049" i="12" s="1"/>
  <c r="A1184" i="12" s="1"/>
  <c r="A1319" i="12" s="1"/>
  <c r="A1454" i="12" s="1"/>
  <c r="A1589" i="12" s="1"/>
  <c r="A1724" i="12"/>
  <c r="A1859" i="12" s="1"/>
  <c r="A1994" i="12" s="1"/>
  <c r="A2129" i="12" s="1"/>
  <c r="A2264" i="12" s="1"/>
  <c r="A2399" i="12" s="1"/>
  <c r="A2534" i="12" s="1"/>
  <c r="A2669" i="12" s="1"/>
  <c r="A2804" i="12" s="1"/>
  <c r="A2939" i="12" s="1"/>
  <c r="A3074" i="12" s="1"/>
  <c r="A3209" i="12" s="1"/>
  <c r="A3344" i="12" s="1"/>
  <c r="A3479" i="12" s="1"/>
  <c r="A3614" i="12" s="1"/>
  <c r="A3749" i="12" s="1"/>
  <c r="A3884" i="12" s="1"/>
  <c r="A4019" i="12" s="1"/>
  <c r="A4154" i="12" s="1"/>
  <c r="A4289" i="12" s="1"/>
  <c r="A4424" i="12" s="1"/>
  <c r="A4559" i="12" s="1"/>
  <c r="A4694" i="12" s="1"/>
  <c r="A4829" i="12" s="1"/>
  <c r="A4964" i="12" s="1"/>
  <c r="A5099" i="12" s="1"/>
  <c r="A5234" i="12" s="1"/>
  <c r="A240" i="12"/>
  <c r="A375" i="12" s="1"/>
  <c r="A510" i="12" s="1"/>
  <c r="A645" i="12" s="1"/>
  <c r="A780" i="12" s="1"/>
  <c r="A915" i="12" s="1"/>
  <c r="A241" i="12"/>
  <c r="A376" i="12"/>
  <c r="A511" i="12" s="1"/>
  <c r="A646" i="12" s="1"/>
  <c r="A242" i="12"/>
  <c r="A377" i="12"/>
  <c r="A512" i="12" s="1"/>
  <c r="A647" i="12" s="1"/>
  <c r="A782" i="12" s="1"/>
  <c r="A917" i="12"/>
  <c r="A1052" i="12"/>
  <c r="A1187" i="12" s="1"/>
  <c r="A1322" i="12" s="1"/>
  <c r="A1457" i="12" s="1"/>
  <c r="A1592" i="12" s="1"/>
  <c r="A1727" i="12" s="1"/>
  <c r="A1862" i="12" s="1"/>
  <c r="A1997" i="12" s="1"/>
  <c r="A2132" i="12" s="1"/>
  <c r="A2267" i="12" s="1"/>
  <c r="A2402" i="12" s="1"/>
  <c r="A2537" i="12" s="1"/>
  <c r="A2672" i="12" s="1"/>
  <c r="A2807" i="12" s="1"/>
  <c r="A2942" i="12" s="1"/>
  <c r="A3077" i="12"/>
  <c r="A3212" i="12" s="1"/>
  <c r="A3347" i="12" s="1"/>
  <c r="A3482" i="12" s="1"/>
  <c r="A3617" i="12" s="1"/>
  <c r="A3752" i="12" s="1"/>
  <c r="A3887" i="12" s="1"/>
  <c r="A4022" i="12" s="1"/>
  <c r="A4157" i="12" s="1"/>
  <c r="A4292" i="12" s="1"/>
  <c r="A4427" i="12" s="1"/>
  <c r="A4562" i="12" s="1"/>
  <c r="A4697" i="12" s="1"/>
  <c r="A4832" i="12" s="1"/>
  <c r="A4967" i="12" s="1"/>
  <c r="A5102" i="12" s="1"/>
  <c r="A5237" i="12" s="1"/>
  <c r="A243" i="12"/>
  <c r="A378" i="12" s="1"/>
  <c r="A513" i="12" s="1"/>
  <c r="A648" i="12" s="1"/>
  <c r="A783" i="12" s="1"/>
  <c r="A918" i="12" s="1"/>
  <c r="A1053" i="12" s="1"/>
  <c r="A1188" i="12" s="1"/>
  <c r="A1323" i="12" s="1"/>
  <c r="A1458" i="12" s="1"/>
  <c r="A1593" i="12" s="1"/>
  <c r="A1728" i="12" s="1"/>
  <c r="A1863" i="12" s="1"/>
  <c r="A1998" i="12" s="1"/>
  <c r="A2133" i="12" s="1"/>
  <c r="A2268" i="12" s="1"/>
  <c r="A2403" i="12" s="1"/>
  <c r="A2538" i="12" s="1"/>
  <c r="A2673" i="12" s="1"/>
  <c r="A2808" i="12" s="1"/>
  <c r="A2943" i="12" s="1"/>
  <c r="A3078" i="12" s="1"/>
  <c r="A3213" i="12" s="1"/>
  <c r="A3348" i="12" s="1"/>
  <c r="A3483" i="12" s="1"/>
  <c r="A3618" i="12" s="1"/>
  <c r="A3753" i="12" s="1"/>
  <c r="A3888" i="12" s="1"/>
  <c r="A4023" i="12" s="1"/>
  <c r="A4158" i="12" s="1"/>
  <c r="A4293" i="12" s="1"/>
  <c r="A4428" i="12" s="1"/>
  <c r="A4563" i="12"/>
  <c r="A4698" i="12" s="1"/>
  <c r="A4833" i="12" s="1"/>
  <c r="A4968" i="12" s="1"/>
  <c r="A5103" i="12" s="1"/>
  <c r="A5238" i="12" s="1"/>
  <c r="A244" i="12"/>
  <c r="A379" i="12"/>
  <c r="A514" i="12" s="1"/>
  <c r="A649" i="12" s="1"/>
  <c r="A784" i="12" s="1"/>
  <c r="A919" i="12" s="1"/>
  <c r="A1054" i="12" s="1"/>
  <c r="A1189" i="12" s="1"/>
  <c r="A1324" i="12" s="1"/>
  <c r="A1459" i="12" s="1"/>
  <c r="A1594" i="12" s="1"/>
  <c r="A1729" i="12"/>
  <c r="A1864" i="12" s="1"/>
  <c r="A1999" i="12" s="1"/>
  <c r="A2134" i="12" s="1"/>
  <c r="A2269" i="12" s="1"/>
  <c r="A2404" i="12" s="1"/>
  <c r="A2539" i="12" s="1"/>
  <c r="A2674" i="12" s="1"/>
  <c r="A2809" i="12" s="1"/>
  <c r="A2944" i="12" s="1"/>
  <c r="A3079" i="12" s="1"/>
  <c r="A3214" i="12" s="1"/>
  <c r="A3349" i="12" s="1"/>
  <c r="A3484" i="12" s="1"/>
  <c r="A3619" i="12" s="1"/>
  <c r="A3754" i="12" s="1"/>
  <c r="A3889" i="12" s="1"/>
  <c r="A4024" i="12" s="1"/>
  <c r="A4159" i="12" s="1"/>
  <c r="A4294" i="12" s="1"/>
  <c r="A4429" i="12" s="1"/>
  <c r="A4564" i="12" s="1"/>
  <c r="A4699" i="12" s="1"/>
  <c r="A4834" i="12" s="1"/>
  <c r="A4969" i="12" s="1"/>
  <c r="A5104" i="12" s="1"/>
  <c r="A5239" i="12" s="1"/>
  <c r="A245" i="12"/>
  <c r="A380" i="12"/>
  <c r="A515" i="12" s="1"/>
  <c r="A650" i="12"/>
  <c r="A785" i="12" s="1"/>
  <c r="A920" i="12" s="1"/>
  <c r="A1055" i="12" s="1"/>
  <c r="A1190" i="12" s="1"/>
  <c r="A1325" i="12" s="1"/>
  <c r="A1460" i="12" s="1"/>
  <c r="A1595" i="12" s="1"/>
  <c r="A1730" i="12" s="1"/>
  <c r="A1865" i="12" s="1"/>
  <c r="A2000" i="12"/>
  <c r="A2135" i="12" s="1"/>
  <c r="A2270" i="12" s="1"/>
  <c r="A2405" i="12" s="1"/>
  <c r="A2540" i="12" s="1"/>
  <c r="A2675" i="12" s="1"/>
  <c r="A2810" i="12" s="1"/>
  <c r="A2945" i="12" s="1"/>
  <c r="A3080" i="12" s="1"/>
  <c r="A3215" i="12" s="1"/>
  <c r="A3350" i="12" s="1"/>
  <c r="A3485" i="12" s="1"/>
  <c r="A3620" i="12" s="1"/>
  <c r="A3755" i="12" s="1"/>
  <c r="A3890" i="12" s="1"/>
  <c r="A4025" i="12" s="1"/>
  <c r="A4160" i="12" s="1"/>
  <c r="A4295" i="12" s="1"/>
  <c r="A4430" i="12" s="1"/>
  <c r="A4565" i="12" s="1"/>
  <c r="A4700" i="12" s="1"/>
  <c r="A4835" i="12" s="1"/>
  <c r="A4970" i="12" s="1"/>
  <c r="A5105" i="12" s="1"/>
  <c r="A5240" i="12" s="1"/>
  <c r="A246" i="12"/>
  <c r="A381" i="12"/>
  <c r="A516" i="12" s="1"/>
  <c r="A651" i="12" s="1"/>
  <c r="A786" i="12" s="1"/>
  <c r="A921" i="12"/>
  <c r="A1056" i="12" s="1"/>
  <c r="A1191" i="12" s="1"/>
  <c r="A1326" i="12" s="1"/>
  <c r="A1461" i="12" s="1"/>
  <c r="A1596" i="12" s="1"/>
  <c r="A1731" i="12" s="1"/>
  <c r="A1866" i="12" s="1"/>
  <c r="A2001" i="12" s="1"/>
  <c r="A2136" i="12" s="1"/>
  <c r="A2271" i="12" s="1"/>
  <c r="A2406" i="12" s="1"/>
  <c r="A2541" i="12" s="1"/>
  <c r="A2676" i="12" s="1"/>
  <c r="A2811" i="12" s="1"/>
  <c r="A2946" i="12" s="1"/>
  <c r="A3081" i="12"/>
  <c r="A3216" i="12" s="1"/>
  <c r="A3351" i="12" s="1"/>
  <c r="A3486" i="12" s="1"/>
  <c r="A3621" i="12" s="1"/>
  <c r="A3756" i="12" s="1"/>
  <c r="A3891" i="12" s="1"/>
  <c r="A4026" i="12" s="1"/>
  <c r="A4161" i="12" s="1"/>
  <c r="A4296" i="12" s="1"/>
  <c r="A4431" i="12" s="1"/>
  <c r="A4566" i="12" s="1"/>
  <c r="A4701" i="12" s="1"/>
  <c r="A4836" i="12" s="1"/>
  <c r="A4971" i="12" s="1"/>
  <c r="A5106" i="12" s="1"/>
  <c r="A5241" i="12" s="1"/>
  <c r="A247" i="12"/>
  <c r="A382" i="12" s="1"/>
  <c r="A517" i="12" s="1"/>
  <c r="A652" i="12"/>
  <c r="A787" i="12" s="1"/>
  <c r="A922" i="12" s="1"/>
  <c r="A1057" i="12" s="1"/>
  <c r="A1192" i="12" s="1"/>
  <c r="A1327" i="12" s="1"/>
  <c r="A1462" i="12" s="1"/>
  <c r="A1597" i="12" s="1"/>
  <c r="A1732" i="12" s="1"/>
  <c r="A1867" i="12" s="1"/>
  <c r="A2002" i="12" s="1"/>
  <c r="A2137" i="12" s="1"/>
  <c r="A2272" i="12"/>
  <c r="A2407" i="12" s="1"/>
  <c r="A2542" i="12" s="1"/>
  <c r="A2677" i="12" s="1"/>
  <c r="A2812" i="12" s="1"/>
  <c r="A2947" i="12" s="1"/>
  <c r="A3082" i="12" s="1"/>
  <c r="A3217" i="12" s="1"/>
  <c r="A3352" i="12" s="1"/>
  <c r="A3487" i="12" s="1"/>
  <c r="A3622" i="12" s="1"/>
  <c r="A3757" i="12" s="1"/>
  <c r="A3892" i="12" s="1"/>
  <c r="A4027" i="12" s="1"/>
  <c r="A4162" i="12" s="1"/>
  <c r="A4297" i="12" s="1"/>
  <c r="A4432" i="12" s="1"/>
  <c r="A4567" i="12" s="1"/>
  <c r="A4702" i="12" s="1"/>
  <c r="A4837" i="12" s="1"/>
  <c r="A4972" i="12" s="1"/>
  <c r="A5107" i="12" s="1"/>
  <c r="A5242" i="12" s="1"/>
  <c r="A248" i="12"/>
  <c r="A383" i="12"/>
  <c r="A518" i="12" s="1"/>
  <c r="A653" i="12"/>
  <c r="A788" i="12" s="1"/>
  <c r="A923" i="12" s="1"/>
  <c r="A1058" i="12" s="1"/>
  <c r="A1193" i="12" s="1"/>
  <c r="A1328" i="12" s="1"/>
  <c r="A1463" i="12" s="1"/>
  <c r="A1598" i="12" s="1"/>
  <c r="A1733" i="12"/>
  <c r="A1868" i="12" s="1"/>
  <c r="A2003" i="12" s="1"/>
  <c r="A2138" i="12" s="1"/>
  <c r="A2273" i="12" s="1"/>
  <c r="A2408" i="12" s="1"/>
  <c r="A2543" i="12" s="1"/>
  <c r="A2678" i="12" s="1"/>
  <c r="A2813" i="12" s="1"/>
  <c r="A2948" i="12" s="1"/>
  <c r="A3083" i="12" s="1"/>
  <c r="A3218" i="12" s="1"/>
  <c r="A3353" i="12" s="1"/>
  <c r="A3488" i="12" s="1"/>
  <c r="A3623" i="12" s="1"/>
  <c r="A3758" i="12" s="1"/>
  <c r="A3893" i="12" s="1"/>
  <c r="A4028" i="12" s="1"/>
  <c r="A4163" i="12" s="1"/>
  <c r="A4298" i="12" s="1"/>
  <c r="A4433" i="12" s="1"/>
  <c r="A4568" i="12" s="1"/>
  <c r="A4703" i="12" s="1"/>
  <c r="A4838" i="12" s="1"/>
  <c r="A4973" i="12" s="1"/>
  <c r="A5108" i="12" s="1"/>
  <c r="A5243" i="12" s="1"/>
  <c r="A249" i="12"/>
  <c r="A384" i="12"/>
  <c r="A519" i="12" s="1"/>
  <c r="A654" i="12"/>
  <c r="A789" i="12" s="1"/>
  <c r="A924" i="12" s="1"/>
  <c r="A250" i="12"/>
  <c r="A385" i="12"/>
  <c r="A520" i="12" s="1"/>
  <c r="A655" i="12" s="1"/>
  <c r="A790" i="12" s="1"/>
  <c r="A925" i="12"/>
  <c r="A1060" i="12" s="1"/>
  <c r="A1195" i="12" s="1"/>
  <c r="A1330" i="12" s="1"/>
  <c r="A1465" i="12" s="1"/>
  <c r="A1600" i="12" s="1"/>
  <c r="A1735" i="12" s="1"/>
  <c r="A1870" i="12" s="1"/>
  <c r="A2005" i="12" s="1"/>
  <c r="A2140" i="12" s="1"/>
  <c r="A2275" i="12" s="1"/>
  <c r="A2410" i="12" s="1"/>
  <c r="A2545" i="12" s="1"/>
  <c r="A2680" i="12" s="1"/>
  <c r="A2815" i="12" s="1"/>
  <c r="A2950" i="12" s="1"/>
  <c r="A3085" i="12"/>
  <c r="A3220" i="12" s="1"/>
  <c r="A3355" i="12" s="1"/>
  <c r="A3490" i="12" s="1"/>
  <c r="A3625" i="12" s="1"/>
  <c r="A3760" i="12" s="1"/>
  <c r="A3895" i="12" s="1"/>
  <c r="A4030" i="12" s="1"/>
  <c r="A4165" i="12" s="1"/>
  <c r="A4300" i="12" s="1"/>
  <c r="A4435" i="12" s="1"/>
  <c r="A4570" i="12" s="1"/>
  <c r="A4705" i="12" s="1"/>
  <c r="A4840" i="12" s="1"/>
  <c r="A4975" i="12" s="1"/>
  <c r="A5110" i="12" s="1"/>
  <c r="A5245" i="12" s="1"/>
  <c r="A251" i="12"/>
  <c r="A386" i="12" s="1"/>
  <c r="A521" i="12" s="1"/>
  <c r="A656" i="12" s="1"/>
  <c r="A791" i="12" s="1"/>
  <c r="A926" i="12" s="1"/>
  <c r="A1061" i="12" s="1"/>
  <c r="A1196" i="12" s="1"/>
  <c r="A1331" i="12" s="1"/>
  <c r="A1466" i="12" s="1"/>
  <c r="A1601" i="12" s="1"/>
  <c r="A1736" i="12" s="1"/>
  <c r="A1871" i="12" s="1"/>
  <c r="A2006" i="12" s="1"/>
  <c r="A2141" i="12" s="1"/>
  <c r="A2276" i="12"/>
  <c r="A2411" i="12" s="1"/>
  <c r="A2546" i="12" s="1"/>
  <c r="A2681" i="12" s="1"/>
  <c r="A2816" i="12" s="1"/>
  <c r="A2951" i="12" s="1"/>
  <c r="A3086" i="12" s="1"/>
  <c r="A3221" i="12" s="1"/>
  <c r="A3356" i="12" s="1"/>
  <c r="A3491" i="12" s="1"/>
  <c r="A3626" i="12" s="1"/>
  <c r="A3761" i="12" s="1"/>
  <c r="A3896" i="12" s="1"/>
  <c r="A4031" i="12" s="1"/>
  <c r="A4166" i="12" s="1"/>
  <c r="A4301" i="12" s="1"/>
  <c r="A4436" i="12"/>
  <c r="A4571" i="12"/>
  <c r="A4706" i="12" s="1"/>
  <c r="A4841" i="12" s="1"/>
  <c r="A4976" i="12" s="1"/>
  <c r="A5111" i="12" s="1"/>
  <c r="A5246" i="12" s="1"/>
  <c r="A252" i="12"/>
  <c r="A387" i="12"/>
  <c r="A253" i="12"/>
  <c r="A388" i="12"/>
  <c r="A523" i="12" s="1"/>
  <c r="A658" i="12" s="1"/>
  <c r="A793" i="12" s="1"/>
  <c r="A928" i="12" s="1"/>
  <c r="A1063" i="12" s="1"/>
  <c r="A1198" i="12"/>
  <c r="A1333" i="12" s="1"/>
  <c r="A1468" i="12"/>
  <c r="A1603" i="12" s="1"/>
  <c r="A1738" i="12" s="1"/>
  <c r="A1873" i="12" s="1"/>
  <c r="A2008" i="12" s="1"/>
  <c r="A2143" i="12" s="1"/>
  <c r="A2278" i="12" s="1"/>
  <c r="A2413" i="12" s="1"/>
  <c r="A2548" i="12"/>
  <c r="A2683" i="12" s="1"/>
  <c r="A2818" i="12" s="1"/>
  <c r="A2953" i="12" s="1"/>
  <c r="A3088" i="12" s="1"/>
  <c r="A3223" i="12" s="1"/>
  <c r="A3358" i="12" s="1"/>
  <c r="A3493" i="12" s="1"/>
  <c r="A3628" i="12" s="1"/>
  <c r="A3763" i="12" s="1"/>
  <c r="A3898" i="12" s="1"/>
  <c r="A4033" i="12" s="1"/>
  <c r="A4168" i="12" s="1"/>
  <c r="A4303" i="12" s="1"/>
  <c r="A4438" i="12" s="1"/>
  <c r="A4573" i="12" s="1"/>
  <c r="A4708" i="12" s="1"/>
  <c r="A4843" i="12" s="1"/>
  <c r="A4978" i="12" s="1"/>
  <c r="A5113" i="12" s="1"/>
  <c r="A5248" i="12" s="1"/>
  <c r="A254" i="12"/>
  <c r="A389" i="12"/>
  <c r="A524" i="12"/>
  <c r="A659" i="12" s="1"/>
  <c r="A794" i="12" s="1"/>
  <c r="A929" i="12" s="1"/>
  <c r="A1064" i="12" s="1"/>
  <c r="A1199" i="12" s="1"/>
  <c r="A1334" i="12" s="1"/>
  <c r="A1469" i="12" s="1"/>
  <c r="A1604" i="12" s="1"/>
  <c r="A1739" i="12" s="1"/>
  <c r="A1874" i="12" s="1"/>
  <c r="A2009" i="12" s="1"/>
  <c r="A2144" i="12" s="1"/>
  <c r="A2279" i="12" s="1"/>
  <c r="A2414" i="12" s="1"/>
  <c r="A2549" i="12" s="1"/>
  <c r="A2684" i="12" s="1"/>
  <c r="A2819" i="12" s="1"/>
  <c r="A2954" i="12" s="1"/>
  <c r="A3089" i="12" s="1"/>
  <c r="A3224" i="12" s="1"/>
  <c r="A3359" i="12" s="1"/>
  <c r="A3494" i="12" s="1"/>
  <c r="A3629" i="12" s="1"/>
  <c r="A3764" i="12" s="1"/>
  <c r="A3899" i="12" s="1"/>
  <c r="A4034" i="12" s="1"/>
  <c r="A4169" i="12"/>
  <c r="A4304" i="12" s="1"/>
  <c r="A4439" i="12" s="1"/>
  <c r="A4574" i="12" s="1"/>
  <c r="A4709" i="12" s="1"/>
  <c r="A4844" i="12" s="1"/>
  <c r="A4979" i="12" s="1"/>
  <c r="A5114" i="12" s="1"/>
  <c r="A5249" i="12" s="1"/>
  <c r="A255" i="12"/>
  <c r="A390" i="12"/>
  <c r="A525" i="12" s="1"/>
  <c r="A660" i="12" s="1"/>
  <c r="A795" i="12" s="1"/>
  <c r="A930" i="12" s="1"/>
  <c r="A1065" i="12" s="1"/>
  <c r="A1200" i="12" s="1"/>
  <c r="A1335" i="12" s="1"/>
  <c r="A1470" i="12" s="1"/>
  <c r="A1605" i="12" s="1"/>
  <c r="A1740" i="12" s="1"/>
  <c r="A1875" i="12" s="1"/>
  <c r="A2010" i="12" s="1"/>
  <c r="A2145" i="12" s="1"/>
  <c r="A2280" i="12" s="1"/>
  <c r="A2415" i="12" s="1"/>
  <c r="A2550" i="12" s="1"/>
  <c r="A2685" i="12" s="1"/>
  <c r="A2820" i="12" s="1"/>
  <c r="A2955" i="12" s="1"/>
  <c r="A3090" i="12" s="1"/>
  <c r="A3225" i="12" s="1"/>
  <c r="A3360" i="12" s="1"/>
  <c r="A3495" i="12" s="1"/>
  <c r="A3630" i="12" s="1"/>
  <c r="A3765" i="12" s="1"/>
  <c r="A3900" i="12" s="1"/>
  <c r="A4035" i="12" s="1"/>
  <c r="A4170" i="12" s="1"/>
  <c r="A4305" i="12" s="1"/>
  <c r="A4440" i="12"/>
  <c r="A4575" i="12" s="1"/>
  <c r="A4710" i="12" s="1"/>
  <c r="A4845" i="12" s="1"/>
  <c r="A4980" i="12" s="1"/>
  <c r="A5115" i="12" s="1"/>
  <c r="A5250" i="12" s="1"/>
  <c r="A256" i="12"/>
  <c r="A391" i="12"/>
  <c r="A526" i="12" s="1"/>
  <c r="A661" i="12" s="1"/>
  <c r="A796" i="12" s="1"/>
  <c r="A931" i="12"/>
  <c r="A1066" i="12" s="1"/>
  <c r="A1201" i="12"/>
  <c r="A1336" i="12" s="1"/>
  <c r="A1471" i="12" s="1"/>
  <c r="A1606" i="12" s="1"/>
  <c r="A1741" i="12" s="1"/>
  <c r="A1876" i="12" s="1"/>
  <c r="A2011" i="12" s="1"/>
  <c r="A2146" i="12" s="1"/>
  <c r="A2281" i="12" s="1"/>
  <c r="A2416" i="12" s="1"/>
  <c r="A2551" i="12" s="1"/>
  <c r="A2686" i="12" s="1"/>
  <c r="A2821" i="12" s="1"/>
  <c r="A2956" i="12" s="1"/>
  <c r="A3091" i="12" s="1"/>
  <c r="A3226" i="12" s="1"/>
  <c r="A3361" i="12" s="1"/>
  <c r="A3496" i="12" s="1"/>
  <c r="A3631" i="12" s="1"/>
  <c r="A3766" i="12" s="1"/>
  <c r="A3901" i="12" s="1"/>
  <c r="A4036" i="12" s="1"/>
  <c r="A4171" i="12" s="1"/>
  <c r="A4306" i="12" s="1"/>
  <c r="A4441" i="12" s="1"/>
  <c r="A4576" i="12" s="1"/>
  <c r="A4711" i="12" s="1"/>
  <c r="A4846" i="12" s="1"/>
  <c r="A4981" i="12" s="1"/>
  <c r="A5116" i="12" s="1"/>
  <c r="A5251" i="12" s="1"/>
  <c r="A257" i="12"/>
  <c r="A392" i="12"/>
  <c r="A527" i="12" s="1"/>
  <c r="A258" i="12"/>
  <c r="A393" i="12" s="1"/>
  <c r="A528" i="12" s="1"/>
  <c r="A663" i="12" s="1"/>
  <c r="A798" i="12" s="1"/>
  <c r="A933" i="12" s="1"/>
  <c r="A1068" i="12" s="1"/>
  <c r="A1203" i="12" s="1"/>
  <c r="A1338" i="12" s="1"/>
  <c r="A1473" i="12" s="1"/>
  <c r="A1608" i="12" s="1"/>
  <c r="A1743" i="12" s="1"/>
  <c r="A1878" i="12" s="1"/>
  <c r="A2013" i="12" s="1"/>
  <c r="A2148" i="12" s="1"/>
  <c r="A2283" i="12" s="1"/>
  <c r="A2418" i="12" s="1"/>
  <c r="A2553" i="12" s="1"/>
  <c r="A2688" i="12" s="1"/>
  <c r="A2823" i="12" s="1"/>
  <c r="A2958" i="12" s="1"/>
  <c r="A3093" i="12" s="1"/>
  <c r="A3228" i="12" s="1"/>
  <c r="A3363" i="12" s="1"/>
  <c r="A3498" i="12" s="1"/>
  <c r="A3633" i="12" s="1"/>
  <c r="A3768" i="12" s="1"/>
  <c r="A3903" i="12" s="1"/>
  <c r="A4038" i="12" s="1"/>
  <c r="A4173" i="12" s="1"/>
  <c r="A4308" i="12" s="1"/>
  <c r="A4443" i="12" s="1"/>
  <c r="A4578" i="12" s="1"/>
  <c r="A4713" i="12" s="1"/>
  <c r="A4848" i="12" s="1"/>
  <c r="A4983" i="12" s="1"/>
  <c r="A5118" i="12" s="1"/>
  <c r="A5253" i="12" s="1"/>
  <c r="A259" i="12"/>
  <c r="A394" i="12" s="1"/>
  <c r="A529" i="12" s="1"/>
  <c r="A664" i="12" s="1"/>
  <c r="A799" i="12"/>
  <c r="A934" i="12" s="1"/>
  <c r="A1069" i="12" s="1"/>
  <c r="A1204" i="12" s="1"/>
  <c r="A1339" i="12" s="1"/>
  <c r="A1474" i="12" s="1"/>
  <c r="A1609" i="12" s="1"/>
  <c r="A1744" i="12" s="1"/>
  <c r="A1879" i="12" s="1"/>
  <c r="A2014" i="12" s="1"/>
  <c r="A2149" i="12" s="1"/>
  <c r="A2284" i="12" s="1"/>
  <c r="A2419" i="12" s="1"/>
  <c r="A2554" i="12" s="1"/>
  <c r="A2689" i="12" s="1"/>
  <c r="A2824" i="12" s="1"/>
  <c r="A2959" i="12" s="1"/>
  <c r="A3094" i="12" s="1"/>
  <c r="A3229" i="12" s="1"/>
  <c r="A3364" i="12" s="1"/>
  <c r="A3499" i="12" s="1"/>
  <c r="A3634" i="12" s="1"/>
  <c r="A3769" i="12" s="1"/>
  <c r="A3904" i="12" s="1"/>
  <c r="A4039" i="12" s="1"/>
  <c r="A4174" i="12" s="1"/>
  <c r="A4309" i="12" s="1"/>
  <c r="A4444" i="12" s="1"/>
  <c r="A4579" i="12" s="1"/>
  <c r="A4714" i="12" s="1"/>
  <c r="A4849" i="12" s="1"/>
  <c r="A4984" i="12" s="1"/>
  <c r="A5119" i="12" s="1"/>
  <c r="A5254" i="12" s="1"/>
  <c r="A260" i="12"/>
  <c r="A395" i="12" s="1"/>
  <c r="A530" i="12"/>
  <c r="A665" i="12" s="1"/>
  <c r="A800" i="12" s="1"/>
  <c r="A935" i="12" s="1"/>
  <c r="A1070" i="12" s="1"/>
  <c r="A1205" i="12" s="1"/>
  <c r="A1340" i="12" s="1"/>
  <c r="A1475" i="12" s="1"/>
  <c r="A1610" i="12" s="1"/>
  <c r="A1745" i="12" s="1"/>
  <c r="A1880" i="12" s="1"/>
  <c r="A2015" i="12" s="1"/>
  <c r="A2150" i="12" s="1"/>
  <c r="A2285" i="12" s="1"/>
  <c r="A2420" i="12" s="1"/>
  <c r="A2555" i="12" s="1"/>
  <c r="A2690" i="12" s="1"/>
  <c r="A2825" i="12" s="1"/>
  <c r="A261" i="12"/>
  <c r="A396" i="12"/>
  <c r="A531" i="12" s="1"/>
  <c r="A666" i="12" s="1"/>
  <c r="A801" i="12" s="1"/>
  <c r="A936" i="12"/>
  <c r="A1071" i="12" s="1"/>
  <c r="A1206" i="12" s="1"/>
  <c r="A1341" i="12" s="1"/>
  <c r="A1476" i="12" s="1"/>
  <c r="A1611" i="12" s="1"/>
  <c r="A1746" i="12" s="1"/>
  <c r="A1881" i="12" s="1"/>
  <c r="A2016" i="12" s="1"/>
  <c r="A2151" i="12" s="1"/>
  <c r="A2286" i="12" s="1"/>
  <c r="A2421" i="12" s="1"/>
  <c r="A2556" i="12" s="1"/>
  <c r="A2691" i="12" s="1"/>
  <c r="A2826" i="12" s="1"/>
  <c r="A2961" i="12" s="1"/>
  <c r="A3096" i="12" s="1"/>
  <c r="A3231" i="12" s="1"/>
  <c r="A3366" i="12" s="1"/>
  <c r="A3501" i="12" s="1"/>
  <c r="A3636" i="12" s="1"/>
  <c r="A3771" i="12" s="1"/>
  <c r="A3906" i="12" s="1"/>
  <c r="A4041" i="12" s="1"/>
  <c r="A4176" i="12" s="1"/>
  <c r="A4311" i="12" s="1"/>
  <c r="A4446" i="12" s="1"/>
  <c r="A4581" i="12" s="1"/>
  <c r="A4716" i="12" s="1"/>
  <c r="A4851" i="12" s="1"/>
  <c r="A4986" i="12" s="1"/>
  <c r="A5121" i="12" s="1"/>
  <c r="A5256" i="12" s="1"/>
  <c r="A262" i="12"/>
  <c r="A397" i="12"/>
  <c r="A532" i="12" s="1"/>
  <c r="A667" i="12"/>
  <c r="A802" i="12" s="1"/>
  <c r="A937" i="12" s="1"/>
  <c r="A263" i="12"/>
  <c r="A398" i="12"/>
  <c r="A533" i="12"/>
  <c r="A668" i="12" s="1"/>
  <c r="A803" i="12" s="1"/>
  <c r="A938" i="12" s="1"/>
  <c r="A1073" i="12" s="1"/>
  <c r="A1208" i="12" s="1"/>
  <c r="A1343" i="12" s="1"/>
  <c r="A1478" i="12" s="1"/>
  <c r="A1613" i="12"/>
  <c r="A1748" i="12"/>
  <c r="A1883" i="12" s="1"/>
  <c r="A2018" i="12" s="1"/>
  <c r="A2153" i="12" s="1"/>
  <c r="A2288" i="12" s="1"/>
  <c r="A2423" i="12" s="1"/>
  <c r="A2558" i="12" s="1"/>
  <c r="A2693" i="12" s="1"/>
  <c r="A2828" i="12" s="1"/>
  <c r="A2963" i="12" s="1"/>
  <c r="A3098" i="12" s="1"/>
  <c r="A3233" i="12" s="1"/>
  <c r="A3368" i="12" s="1"/>
  <c r="A3503" i="12" s="1"/>
  <c r="A3638" i="12" s="1"/>
  <c r="A3773" i="12" s="1"/>
  <c r="A3908" i="12" s="1"/>
  <c r="A4043" i="12" s="1"/>
  <c r="A4178" i="12" s="1"/>
  <c r="A4313" i="12" s="1"/>
  <c r="A4448" i="12" s="1"/>
  <c r="A4583" i="12" s="1"/>
  <c r="A4718" i="12" s="1"/>
  <c r="A4853" i="12" s="1"/>
  <c r="A4988" i="12" s="1"/>
  <c r="A5123" i="12" s="1"/>
  <c r="A5258" i="12" s="1"/>
  <c r="A264" i="12"/>
  <c r="A399" i="12"/>
  <c r="A534" i="12" s="1"/>
  <c r="A669" i="12"/>
  <c r="A804" i="12" s="1"/>
  <c r="A939" i="12" s="1"/>
  <c r="A1074" i="12" s="1"/>
  <c r="A1209" i="12"/>
  <c r="A1344" i="12" s="1"/>
  <c r="A1479" i="12" s="1"/>
  <c r="A1614" i="12" s="1"/>
  <c r="A265" i="12"/>
  <c r="A400" i="12" s="1"/>
  <c r="A535" i="12"/>
  <c r="A670" i="12" s="1"/>
  <c r="A805" i="12" s="1"/>
  <c r="A940" i="12" s="1"/>
  <c r="A1075" i="12" s="1"/>
  <c r="A1210" i="12" s="1"/>
  <c r="A1345" i="12" s="1"/>
  <c r="A1480" i="12" s="1"/>
  <c r="A1615" i="12" s="1"/>
  <c r="A1750" i="12" s="1"/>
  <c r="A1885" i="12" s="1"/>
  <c r="A2020" i="12" s="1"/>
  <c r="A2155" i="12" s="1"/>
  <c r="A2290" i="12" s="1"/>
  <c r="A2425" i="12" s="1"/>
  <c r="A2560" i="12" s="1"/>
  <c r="A2695" i="12" s="1"/>
  <c r="A2830" i="12" s="1"/>
  <c r="A2965" i="12" s="1"/>
  <c r="A3100" i="12" s="1"/>
  <c r="A3235" i="12"/>
  <c r="A3370" i="12" s="1"/>
  <c r="A3505" i="12" s="1"/>
  <c r="A3640" i="12" s="1"/>
  <c r="A3775" i="12" s="1"/>
  <c r="A3910" i="12" s="1"/>
  <c r="A4045" i="12" s="1"/>
  <c r="A4180" i="12" s="1"/>
  <c r="A4315" i="12" s="1"/>
  <c r="A4450" i="12" s="1"/>
  <c r="A4585" i="12" s="1"/>
  <c r="A4720" i="12" s="1"/>
  <c r="A4855" i="12" s="1"/>
  <c r="A4990" i="12" s="1"/>
  <c r="A5125" i="12" s="1"/>
  <c r="A5260" i="12" s="1"/>
  <c r="A266" i="12"/>
  <c r="A401" i="12" s="1"/>
  <c r="A536" i="12" s="1"/>
  <c r="A671" i="12" s="1"/>
  <c r="A806" i="12"/>
  <c r="A941" i="12" s="1"/>
  <c r="A1076" i="12" s="1"/>
  <c r="A1211" i="12" s="1"/>
  <c r="A1346" i="12" s="1"/>
  <c r="A1481" i="12" s="1"/>
  <c r="A1616" i="12" s="1"/>
  <c r="A1751" i="12" s="1"/>
  <c r="A1886" i="12" s="1"/>
  <c r="A2021" i="12" s="1"/>
  <c r="A2156" i="12" s="1"/>
  <c r="A2291" i="12" s="1"/>
  <c r="A2426" i="12"/>
  <c r="A2561" i="12" s="1"/>
  <c r="A2696" i="12" s="1"/>
  <c r="A2831" i="12" s="1"/>
  <c r="A2966" i="12" s="1"/>
  <c r="A3101" i="12" s="1"/>
  <c r="A3236" i="12" s="1"/>
  <c r="A3371" i="12" s="1"/>
  <c r="A3506" i="12" s="1"/>
  <c r="A3641" i="12" s="1"/>
  <c r="A3776" i="12" s="1"/>
  <c r="A3911" i="12" s="1"/>
  <c r="A4046" i="12" s="1"/>
  <c r="A4181" i="12" s="1"/>
  <c r="A4316" i="12" s="1"/>
  <c r="A4451" i="12" s="1"/>
  <c r="A4586" i="12" s="1"/>
  <c r="A4721" i="12" s="1"/>
  <c r="A4856" i="12" s="1"/>
  <c r="A4991" i="12" s="1"/>
  <c r="A5126" i="12" s="1"/>
  <c r="A5261" i="12" s="1"/>
  <c r="A267" i="12"/>
  <c r="A402" i="12" s="1"/>
  <c r="A537" i="12" s="1"/>
  <c r="A672" i="12" s="1"/>
  <c r="A807" i="12" s="1"/>
  <c r="A942" i="12" s="1"/>
  <c r="A1077" i="12" s="1"/>
  <c r="A1212" i="12" s="1"/>
  <c r="A1347" i="12" s="1"/>
  <c r="A1482" i="12" s="1"/>
  <c r="A268" i="12"/>
  <c r="A269" i="12"/>
  <c r="A404" i="12"/>
  <c r="A539" i="12" s="1"/>
  <c r="A674" i="12"/>
  <c r="A809" i="12" s="1"/>
  <c r="A944" i="12" s="1"/>
  <c r="A1079" i="12" s="1"/>
  <c r="A1214" i="12" s="1"/>
  <c r="A1349" i="12" s="1"/>
  <c r="A1484" i="12" s="1"/>
  <c r="A1619" i="12" s="1"/>
  <c r="A1754" i="12"/>
  <c r="A1889" i="12" s="1"/>
  <c r="A2024" i="12" s="1"/>
  <c r="A2159" i="12" s="1"/>
  <c r="A2294" i="12" s="1"/>
  <c r="A2429" i="12" s="1"/>
  <c r="A270" i="12"/>
  <c r="A405" i="12"/>
  <c r="A540" i="12" s="1"/>
  <c r="A675" i="12" s="1"/>
  <c r="A810" i="12" s="1"/>
  <c r="A945" i="12" s="1"/>
  <c r="A1080" i="12" s="1"/>
  <c r="A1215" i="12" s="1"/>
  <c r="A1350" i="12" s="1"/>
  <c r="A1485" i="12" s="1"/>
  <c r="A1620" i="12" s="1"/>
  <c r="A1755" i="12" s="1"/>
  <c r="A1890" i="12" s="1"/>
  <c r="A2025" i="12" s="1"/>
  <c r="A2160" i="12" s="1"/>
  <c r="A2295" i="12"/>
  <c r="A2430" i="12" s="1"/>
  <c r="A2565" i="12" s="1"/>
  <c r="A2700" i="12" s="1"/>
  <c r="A2835" i="12" s="1"/>
  <c r="A2970" i="12" s="1"/>
  <c r="A3105" i="12" s="1"/>
  <c r="A3240" i="12" s="1"/>
  <c r="A3375" i="12" s="1"/>
  <c r="A3510" i="12" s="1"/>
  <c r="A3645" i="12" s="1"/>
  <c r="A3780" i="12" s="1"/>
  <c r="A3915" i="12" s="1"/>
  <c r="A4050" i="12" s="1"/>
  <c r="A4185" i="12" s="1"/>
  <c r="A4320" i="12" s="1"/>
  <c r="A4455" i="12"/>
  <c r="A4590" i="12" s="1"/>
  <c r="A4725" i="12" s="1"/>
  <c r="A4860" i="12" s="1"/>
  <c r="A4995" i="12" s="1"/>
  <c r="A5130" i="12" s="1"/>
  <c r="A5265" i="12" s="1"/>
  <c r="A271" i="12"/>
  <c r="A406" i="12"/>
  <c r="A541" i="12"/>
  <c r="A676" i="12" s="1"/>
  <c r="A811" i="12" s="1"/>
  <c r="A946" i="12"/>
  <c r="A1081" i="12" s="1"/>
  <c r="A1216" i="12" s="1"/>
  <c r="A1351" i="12" s="1"/>
  <c r="A1486" i="12" s="1"/>
  <c r="A1621" i="12"/>
  <c r="A1756" i="12" s="1"/>
  <c r="A1891" i="12" s="1"/>
  <c r="A2026" i="12"/>
  <c r="A2161" i="12" s="1"/>
  <c r="A2296" i="12" s="1"/>
  <c r="A2431" i="12" s="1"/>
  <c r="A2566" i="12" s="1"/>
  <c r="A2701" i="12" s="1"/>
  <c r="A2836" i="12" s="1"/>
  <c r="A2971" i="12" s="1"/>
  <c r="A3106" i="12"/>
  <c r="A3241" i="12" s="1"/>
  <c r="A3376" i="12" s="1"/>
  <c r="A3511" i="12" s="1"/>
  <c r="A3646" i="12" s="1"/>
  <c r="A3781" i="12" s="1"/>
  <c r="A3916" i="12" s="1"/>
  <c r="A4051" i="12" s="1"/>
  <c r="A4186" i="12" s="1"/>
  <c r="A4321" i="12" s="1"/>
  <c r="A4456" i="12" s="1"/>
  <c r="A4591" i="12" s="1"/>
  <c r="A4726" i="12" s="1"/>
  <c r="A4861" i="12" s="1"/>
  <c r="A4996" i="12" s="1"/>
  <c r="A5131" i="12" s="1"/>
  <c r="A5266" i="12" s="1"/>
  <c r="A316" i="12"/>
  <c r="A451" i="12"/>
  <c r="A586" i="12" s="1"/>
  <c r="A721" i="12" s="1"/>
  <c r="A856" i="12" s="1"/>
  <c r="A991" i="12" s="1"/>
  <c r="A1126" i="12" s="1"/>
  <c r="A1261" i="12" s="1"/>
  <c r="A1396" i="12" s="1"/>
  <c r="A1531" i="12" s="1"/>
  <c r="A1666" i="12" s="1"/>
  <c r="A1801" i="12" s="1"/>
  <c r="A1936" i="12" s="1"/>
  <c r="A2071" i="12" s="1"/>
  <c r="A2206" i="12" s="1"/>
  <c r="A2341" i="12" s="1"/>
  <c r="A2476" i="12" s="1"/>
  <c r="A2611" i="12" s="1"/>
  <c r="A2746" i="12" s="1"/>
  <c r="A2881" i="12" s="1"/>
  <c r="A3016" i="12" s="1"/>
  <c r="A3151" i="12" s="1"/>
  <c r="A3286" i="12" s="1"/>
  <c r="A3421" i="12" s="1"/>
  <c r="A3556" i="12" s="1"/>
  <c r="A3691" i="12" s="1"/>
  <c r="A3826" i="12" s="1"/>
  <c r="A3961" i="12" s="1"/>
  <c r="A4096" i="12" s="1"/>
  <c r="A4231" i="12" s="1"/>
  <c r="A4366" i="12" s="1"/>
  <c r="A4501" i="12"/>
  <c r="A4636" i="12" s="1"/>
  <c r="A4771" i="12" s="1"/>
  <c r="A4906" i="12" s="1"/>
  <c r="A5041" i="12" s="1"/>
  <c r="A5176" i="12"/>
  <c r="A1269" i="12"/>
  <c r="A1404" i="12" s="1"/>
  <c r="A1539" i="12" s="1"/>
  <c r="A1674" i="12" s="1"/>
  <c r="A1809" i="12" s="1"/>
  <c r="A1944" i="12" s="1"/>
  <c r="A2079" i="12" s="1"/>
  <c r="A2214" i="12" s="1"/>
  <c r="A2349" i="12" s="1"/>
  <c r="A2484" i="12" s="1"/>
  <c r="A2619" i="12" s="1"/>
  <c r="A2754" i="12" s="1"/>
  <c r="A2889" i="12" s="1"/>
  <c r="A3024" i="12" s="1"/>
  <c r="A3159" i="12" s="1"/>
  <c r="A3294" i="12" s="1"/>
  <c r="A3429" i="12" s="1"/>
  <c r="A3564" i="12" s="1"/>
  <c r="A3699" i="12" s="1"/>
  <c r="A3834" i="12"/>
  <c r="A3969" i="12" s="1"/>
  <c r="A4104" i="12" s="1"/>
  <c r="A4239" i="12" s="1"/>
  <c r="A4374" i="12" s="1"/>
  <c r="A4509" i="12" s="1"/>
  <c r="A4644" i="12" s="1"/>
  <c r="A4779" i="12" s="1"/>
  <c r="A4914" i="12" s="1"/>
  <c r="A5049" i="12" s="1"/>
  <c r="A5184" i="12" s="1"/>
  <c r="A354" i="12"/>
  <c r="A489" i="12"/>
  <c r="A624" i="12"/>
  <c r="A759" i="12" s="1"/>
  <c r="A894" i="12" s="1"/>
  <c r="A1029" i="12" s="1"/>
  <c r="A1164" i="12" s="1"/>
  <c r="A1299" i="12" s="1"/>
  <c r="A1434" i="12" s="1"/>
  <c r="A1569" i="12" s="1"/>
  <c r="A1704" i="12" s="1"/>
  <c r="A1839" i="12" s="1"/>
  <c r="A1974" i="12" s="1"/>
  <c r="A2109" i="12" s="1"/>
  <c r="A2244" i="12" s="1"/>
  <c r="A2379" i="12" s="1"/>
  <c r="A2514" i="12" s="1"/>
  <c r="A2649" i="12" s="1"/>
  <c r="A2784" i="12" s="1"/>
  <c r="A2919" i="12" s="1"/>
  <c r="A3054" i="12" s="1"/>
  <c r="A3189" i="12" s="1"/>
  <c r="A3324" i="12" s="1"/>
  <c r="A3459" i="12" s="1"/>
  <c r="A3594" i="12" s="1"/>
  <c r="A3729" i="12" s="1"/>
  <c r="A3864" i="12" s="1"/>
  <c r="A3999" i="12" s="1"/>
  <c r="A4134" i="12" s="1"/>
  <c r="A4269" i="12" s="1"/>
  <c r="A4404" i="12" s="1"/>
  <c r="A4539" i="12" s="1"/>
  <c r="A4674" i="12" s="1"/>
  <c r="A4809" i="12" s="1"/>
  <c r="A4944" i="12" s="1"/>
  <c r="A5079" i="12" s="1"/>
  <c r="A5214" i="12" s="1"/>
  <c r="A639" i="12"/>
  <c r="A774" i="12" s="1"/>
  <c r="A909" i="12" s="1"/>
  <c r="A1044" i="12" s="1"/>
  <c r="A1179" i="12"/>
  <c r="A1314" i="12" s="1"/>
  <c r="A1449" i="12" s="1"/>
  <c r="A1584" i="12" s="1"/>
  <c r="A1719" i="12" s="1"/>
  <c r="A1854" i="12" s="1"/>
  <c r="A1989" i="12" s="1"/>
  <c r="A2124" i="12" s="1"/>
  <c r="A2259" i="12"/>
  <c r="A2394" i="12"/>
  <c r="A2529" i="12"/>
  <c r="A2664" i="12" s="1"/>
  <c r="A2799" i="12" s="1"/>
  <c r="A2934" i="12" s="1"/>
  <c r="A3069" i="12" s="1"/>
  <c r="A3204" i="12" s="1"/>
  <c r="A3339" i="12" s="1"/>
  <c r="A3474" i="12" s="1"/>
  <c r="A3609" i="12" s="1"/>
  <c r="A3744" i="12" s="1"/>
  <c r="A3879" i="12" s="1"/>
  <c r="A4014" i="12" s="1"/>
  <c r="A4149" i="12" s="1"/>
  <c r="A4284" i="12" s="1"/>
  <c r="A4419" i="12" s="1"/>
  <c r="A4554" i="12" s="1"/>
  <c r="A4689" i="12" s="1"/>
  <c r="A4824" i="12" s="1"/>
  <c r="A4959" i="12" s="1"/>
  <c r="A5094" i="12" s="1"/>
  <c r="A5229" i="12" s="1"/>
  <c r="A138" i="12"/>
  <c r="A273" i="12"/>
  <c r="A408" i="12" s="1"/>
  <c r="A543" i="12"/>
  <c r="A678" i="12" s="1"/>
  <c r="A813" i="12"/>
  <c r="A948" i="12" s="1"/>
  <c r="A1083" i="12" s="1"/>
  <c r="A1218" i="12" s="1"/>
  <c r="A1353" i="12" s="1"/>
  <c r="A1488" i="12" s="1"/>
  <c r="A1623" i="12" s="1"/>
  <c r="A1758" i="12" s="1"/>
  <c r="A1893" i="12" s="1"/>
  <c r="A2028" i="12" s="1"/>
  <c r="A2163" i="12" s="1"/>
  <c r="A2298" i="12" s="1"/>
  <c r="A2433" i="12" s="1"/>
  <c r="A2568" i="12" s="1"/>
  <c r="A2703" i="12" s="1"/>
  <c r="A2838" i="12" s="1"/>
  <c r="A2973" i="12" s="1"/>
  <c r="A3108" i="12" s="1"/>
  <c r="A3243" i="12" s="1"/>
  <c r="A3378" i="12" s="1"/>
  <c r="A3513" i="12" s="1"/>
  <c r="A3648" i="12" s="1"/>
  <c r="A3783" i="12" s="1"/>
  <c r="A3918" i="12" s="1"/>
  <c r="A4053" i="12" s="1"/>
  <c r="A4188" i="12" s="1"/>
  <c r="A4323" i="12" s="1"/>
  <c r="A4458" i="12" s="1"/>
  <c r="A4593" i="12" s="1"/>
  <c r="A4728" i="12" s="1"/>
  <c r="A4863" i="12" s="1"/>
  <c r="A4998" i="12" s="1"/>
  <c r="A5133" i="12" s="1"/>
  <c r="A139" i="12"/>
  <c r="A274" i="12"/>
  <c r="A409" i="12" s="1"/>
  <c r="A544" i="12" s="1"/>
  <c r="A679" i="12" s="1"/>
  <c r="A140" i="12"/>
  <c r="A275" i="12"/>
  <c r="A410" i="12" s="1"/>
  <c r="A545" i="12" s="1"/>
  <c r="A680" i="12" s="1"/>
  <c r="A815" i="12" s="1"/>
  <c r="A950" i="12" s="1"/>
  <c r="A1085" i="12" s="1"/>
  <c r="A137" i="12"/>
  <c r="A272" i="12"/>
  <c r="B134" i="12"/>
  <c r="B269" i="12" s="1"/>
  <c r="B404" i="12" s="1"/>
  <c r="B539" i="12" s="1"/>
  <c r="B674" i="12" s="1"/>
  <c r="B809" i="12" s="1"/>
  <c r="B944" i="12" s="1"/>
  <c r="B1079" i="12" s="1"/>
  <c r="B1214" i="12" s="1"/>
  <c r="B1349" i="12" s="1"/>
  <c r="B1484" i="12" s="1"/>
  <c r="B135" i="12"/>
  <c r="B270" i="12"/>
  <c r="B405" i="12" s="1"/>
  <c r="B540" i="12" s="1"/>
  <c r="B675" i="12" s="1"/>
  <c r="B810" i="12"/>
  <c r="B136" i="12"/>
  <c r="B271" i="12" s="1"/>
  <c r="B406" i="12" s="1"/>
  <c r="X53" i="8"/>
  <c r="V53" i="8"/>
  <c r="F35" i="26"/>
  <c r="E35" i="26"/>
  <c r="D35" i="26"/>
  <c r="B35" i="26"/>
  <c r="F34" i="26"/>
  <c r="E34" i="26"/>
  <c r="D34" i="26"/>
  <c r="B34" i="26"/>
  <c r="F33" i="26"/>
  <c r="E33" i="26"/>
  <c r="D33" i="26"/>
  <c r="B33" i="26"/>
  <c r="F32" i="26"/>
  <c r="E32" i="26"/>
  <c r="D32" i="26"/>
  <c r="B32" i="26"/>
  <c r="F31" i="26"/>
  <c r="E31" i="26"/>
  <c r="D31" i="26"/>
  <c r="B31" i="26"/>
  <c r="F30" i="26"/>
  <c r="E30" i="26"/>
  <c r="D30" i="26"/>
  <c r="B30" i="26"/>
  <c r="F29" i="26"/>
  <c r="E29" i="26"/>
  <c r="D29" i="26"/>
  <c r="B29" i="26"/>
  <c r="F28" i="26"/>
  <c r="E28" i="26"/>
  <c r="D28" i="26"/>
  <c r="B28" i="26"/>
  <c r="F27" i="26"/>
  <c r="E27" i="26"/>
  <c r="D27" i="26"/>
  <c r="B27" i="26"/>
  <c r="F26" i="26"/>
  <c r="E26" i="26"/>
  <c r="D26" i="26"/>
  <c r="B26" i="26"/>
  <c r="F25" i="26"/>
  <c r="E25" i="26"/>
  <c r="D25" i="26"/>
  <c r="B25" i="26"/>
  <c r="F24" i="26"/>
  <c r="E24" i="26"/>
  <c r="D24" i="26"/>
  <c r="B24" i="26"/>
  <c r="F23" i="26"/>
  <c r="E23" i="26"/>
  <c r="D23" i="26"/>
  <c r="B23" i="26"/>
  <c r="F22" i="26"/>
  <c r="E22" i="26"/>
  <c r="D22" i="26"/>
  <c r="B22" i="26"/>
  <c r="F21" i="26"/>
  <c r="E21" i="26"/>
  <c r="D21" i="26"/>
  <c r="B21" i="26"/>
  <c r="F20" i="26"/>
  <c r="E20" i="26"/>
  <c r="D20" i="26"/>
  <c r="B20" i="26"/>
  <c r="F19" i="26"/>
  <c r="E19" i="26"/>
  <c r="D19" i="26"/>
  <c r="B19" i="26"/>
  <c r="F18" i="26"/>
  <c r="E18" i="26"/>
  <c r="D18" i="26"/>
  <c r="B18" i="26"/>
  <c r="F17" i="26"/>
  <c r="E17" i="26"/>
  <c r="D17" i="26"/>
  <c r="B17" i="26"/>
  <c r="F16" i="26"/>
  <c r="E16" i="26"/>
  <c r="D16" i="26"/>
  <c r="B16" i="26"/>
  <c r="F15" i="26"/>
  <c r="E15" i="26"/>
  <c r="D15" i="26"/>
  <c r="B15" i="26"/>
  <c r="F14" i="26"/>
  <c r="E14" i="26"/>
  <c r="D14" i="26"/>
  <c r="B14" i="26"/>
  <c r="F13" i="26"/>
  <c r="E13" i="26"/>
  <c r="D13" i="26"/>
  <c r="B13" i="26"/>
  <c r="F12" i="26"/>
  <c r="E12" i="26"/>
  <c r="D12" i="26"/>
  <c r="B12" i="26"/>
  <c r="F11" i="26"/>
  <c r="E11" i="26"/>
  <c r="D11" i="26"/>
  <c r="B11" i="26"/>
  <c r="F10" i="26"/>
  <c r="E10" i="26"/>
  <c r="D10" i="26"/>
  <c r="B10" i="26"/>
  <c r="F9" i="26"/>
  <c r="E9" i="26"/>
  <c r="D9" i="26"/>
  <c r="B9" i="26"/>
  <c r="F8" i="26"/>
  <c r="E8" i="26"/>
  <c r="D8" i="26"/>
  <c r="B8" i="26"/>
  <c r="F7" i="26"/>
  <c r="E7" i="26"/>
  <c r="D7" i="26"/>
  <c r="B7" i="26"/>
  <c r="F6" i="26"/>
  <c r="E6" i="26"/>
  <c r="D6" i="26"/>
  <c r="B6" i="26"/>
  <c r="F5" i="26"/>
  <c r="E5" i="26"/>
  <c r="D5" i="26"/>
  <c r="B5" i="26"/>
  <c r="F4" i="26"/>
  <c r="E4" i="26"/>
  <c r="D4" i="26"/>
  <c r="B4" i="26"/>
  <c r="F3" i="26"/>
  <c r="E3" i="26"/>
  <c r="D3" i="26"/>
  <c r="B3" i="26"/>
  <c r="F2" i="26"/>
  <c r="E2" i="26"/>
  <c r="D2" i="26"/>
  <c r="B2" i="26"/>
  <c r="A522" i="12"/>
  <c r="A657" i="12" s="1"/>
  <c r="A792" i="12"/>
  <c r="A927" i="12" s="1"/>
  <c r="A1062" i="12" s="1"/>
  <c r="A1197" i="12" s="1"/>
  <c r="A1332" i="12" s="1"/>
  <c r="A1467" i="12" s="1"/>
  <c r="A1602" i="12" s="1"/>
  <c r="A1737" i="12" s="1"/>
  <c r="A1872" i="12" s="1"/>
  <c r="A2007" i="12" s="1"/>
  <c r="A2142" i="12" s="1"/>
  <c r="A2277" i="12" s="1"/>
  <c r="A2412" i="12"/>
  <c r="A2547" i="12" s="1"/>
  <c r="A2682" i="12" s="1"/>
  <c r="A2817" i="12" s="1"/>
  <c r="A2952" i="12" s="1"/>
  <c r="A3087" i="12" s="1"/>
  <c r="A3222" i="12" s="1"/>
  <c r="A3357" i="12" s="1"/>
  <c r="A3492" i="12" s="1"/>
  <c r="A3627" i="12" s="1"/>
  <c r="A3762" i="12" s="1"/>
  <c r="A3897" i="12" s="1"/>
  <c r="A4032" i="12" s="1"/>
  <c r="A4167" i="12" s="1"/>
  <c r="A4302" i="12" s="1"/>
  <c r="A4437" i="12" s="1"/>
  <c r="A4572" i="12" s="1"/>
  <c r="A4707" i="12" s="1"/>
  <c r="A4842" i="12" s="1"/>
  <c r="A4977" i="12" s="1"/>
  <c r="A5112" i="12" s="1"/>
  <c r="A5247" i="12" s="1"/>
  <c r="A442" i="12"/>
  <c r="A577" i="12"/>
  <c r="A712" i="12"/>
  <c r="A847" i="12"/>
  <c r="A982" i="12"/>
  <c r="Q1599" i="7"/>
  <c r="P1599" i="7"/>
  <c r="Q1598" i="7"/>
  <c r="P1598" i="7"/>
  <c r="Q1597" i="7"/>
  <c r="P1597" i="7"/>
  <c r="Q1596" i="7"/>
  <c r="P1596" i="7"/>
  <c r="Q1595" i="7"/>
  <c r="P1595" i="7"/>
  <c r="Q1594" i="7"/>
  <c r="P1594" i="7"/>
  <c r="Q1593" i="7"/>
  <c r="P1593" i="7"/>
  <c r="Q1592" i="7"/>
  <c r="P1592" i="7"/>
  <c r="Q1591" i="7"/>
  <c r="P1591" i="7"/>
  <c r="Q1590" i="7"/>
  <c r="P1590" i="7"/>
  <c r="Q1279" i="7"/>
  <c r="P1279" i="7"/>
  <c r="Q1278" i="7"/>
  <c r="P1278" i="7"/>
  <c r="Q1277" i="7"/>
  <c r="P1277" i="7"/>
  <c r="Q1276" i="7"/>
  <c r="P1276" i="7"/>
  <c r="Q1275" i="7"/>
  <c r="P1275" i="7"/>
  <c r="Q1274" i="7"/>
  <c r="P1274" i="7"/>
  <c r="Q1273" i="7"/>
  <c r="P1273" i="7"/>
  <c r="Q1272" i="7"/>
  <c r="P1272" i="7"/>
  <c r="Q1271" i="7"/>
  <c r="P1271" i="7"/>
  <c r="Q1270" i="7"/>
  <c r="P1270" i="7"/>
  <c r="Q1269" i="7"/>
  <c r="P1269" i="7"/>
  <c r="Q1268" i="7"/>
  <c r="P1268" i="7"/>
  <c r="Q1267" i="7"/>
  <c r="P1267" i="7"/>
  <c r="Q1266" i="7"/>
  <c r="P1266" i="7"/>
  <c r="Q1265" i="7"/>
  <c r="P1265" i="7"/>
  <c r="Q1264" i="7"/>
  <c r="P1264" i="7"/>
  <c r="Q1254" i="7"/>
  <c r="P1254" i="7"/>
  <c r="Q1253" i="7"/>
  <c r="P1253" i="7"/>
  <c r="Q1252" i="7"/>
  <c r="P1252" i="7"/>
  <c r="Q1251" i="7"/>
  <c r="P1251" i="7"/>
  <c r="Q1250" i="7"/>
  <c r="P1250" i="7"/>
  <c r="Q1249" i="7"/>
  <c r="P1249" i="7"/>
  <c r="Q1248" i="7"/>
  <c r="P1248" i="7"/>
  <c r="Q1247" i="7"/>
  <c r="P1247" i="7"/>
  <c r="Q1183" i="7"/>
  <c r="P1183" i="7"/>
  <c r="Q1173" i="7"/>
  <c r="P1173" i="7"/>
  <c r="Q1172" i="7"/>
  <c r="P1172" i="7"/>
  <c r="Q1153" i="7"/>
  <c r="P1153" i="7"/>
  <c r="Q1121" i="7"/>
  <c r="P1121" i="7"/>
  <c r="Q1120" i="7"/>
  <c r="P1120" i="7"/>
  <c r="Q1119" i="7"/>
  <c r="P1119" i="7"/>
  <c r="Q1103" i="7"/>
  <c r="P1103" i="7"/>
  <c r="Q1102" i="7"/>
  <c r="P1102" i="7"/>
  <c r="Q1101" i="7"/>
  <c r="P1101" i="7"/>
  <c r="Q1100" i="7"/>
  <c r="P1100" i="7"/>
  <c r="Q1099" i="7"/>
  <c r="P1099" i="7"/>
  <c r="Q1098" i="7"/>
  <c r="P1098" i="7"/>
  <c r="Q1096" i="7"/>
  <c r="P1096" i="7"/>
  <c r="Q1095" i="7"/>
  <c r="P1095" i="7"/>
  <c r="N1095" i="7" s="1"/>
  <c r="Q1094" i="7"/>
  <c r="P1094" i="7"/>
  <c r="Q1031" i="7"/>
  <c r="P1031" i="7"/>
  <c r="Q1030" i="7"/>
  <c r="P1030" i="7"/>
  <c r="Q1029" i="7"/>
  <c r="P1029" i="7"/>
  <c r="Q964" i="7"/>
  <c r="P964" i="7"/>
  <c r="Q920" i="7"/>
  <c r="P920" i="7"/>
  <c r="Q919" i="7"/>
  <c r="P919" i="7"/>
  <c r="Q918" i="7"/>
  <c r="P918" i="7"/>
  <c r="Q810" i="7"/>
  <c r="P810" i="7"/>
  <c r="Q809" i="7"/>
  <c r="P809" i="7"/>
  <c r="Q808" i="7"/>
  <c r="P808" i="7"/>
  <c r="Q807" i="7"/>
  <c r="P807" i="7"/>
  <c r="Q695" i="7"/>
  <c r="P695" i="7"/>
  <c r="Q612" i="7"/>
  <c r="P612" i="7"/>
  <c r="Q595" i="7"/>
  <c r="P595" i="7"/>
  <c r="Q460" i="7"/>
  <c r="P460" i="7"/>
  <c r="Q458" i="7"/>
  <c r="P458" i="7"/>
  <c r="Q454" i="7"/>
  <c r="P454" i="7"/>
  <c r="Q293" i="7"/>
  <c r="P293" i="7"/>
  <c r="Q256" i="7"/>
  <c r="P256" i="7"/>
  <c r="Q253" i="7"/>
  <c r="P253" i="7"/>
  <c r="L1599" i="7"/>
  <c r="K1599" i="7"/>
  <c r="L1598" i="7"/>
  <c r="K1598" i="7"/>
  <c r="L1597" i="7"/>
  <c r="K1597" i="7"/>
  <c r="L1596" i="7"/>
  <c r="K1596" i="7"/>
  <c r="L1595" i="7"/>
  <c r="K1595" i="7"/>
  <c r="L1594" i="7"/>
  <c r="K1594" i="7"/>
  <c r="L1593" i="7"/>
  <c r="K1593" i="7"/>
  <c r="L1592" i="7"/>
  <c r="K1592" i="7"/>
  <c r="L1591" i="7"/>
  <c r="K1591" i="7"/>
  <c r="L1590" i="7"/>
  <c r="K1590" i="7"/>
  <c r="L1279" i="7"/>
  <c r="K1279" i="7"/>
  <c r="L1278" i="7"/>
  <c r="K1278" i="7"/>
  <c r="L1277" i="7"/>
  <c r="K1277" i="7"/>
  <c r="L1276" i="7"/>
  <c r="K1276" i="7"/>
  <c r="L1275" i="7"/>
  <c r="K1275" i="7"/>
  <c r="L1274" i="7"/>
  <c r="K1274" i="7"/>
  <c r="L1273" i="7"/>
  <c r="K1273" i="7"/>
  <c r="L1272" i="7"/>
  <c r="K1272" i="7"/>
  <c r="L1271" i="7"/>
  <c r="K1271" i="7"/>
  <c r="L1270" i="7"/>
  <c r="K1270" i="7"/>
  <c r="L1269" i="7"/>
  <c r="K1269" i="7"/>
  <c r="L1268" i="7"/>
  <c r="K1268" i="7"/>
  <c r="L1267" i="7"/>
  <c r="K1267" i="7"/>
  <c r="L1266" i="7"/>
  <c r="K1266" i="7"/>
  <c r="L1265" i="7"/>
  <c r="K1265" i="7"/>
  <c r="L1264" i="7"/>
  <c r="K1264" i="7"/>
  <c r="L1254" i="7"/>
  <c r="K1254" i="7"/>
  <c r="L1253" i="7"/>
  <c r="K1253" i="7"/>
  <c r="L1252" i="7"/>
  <c r="K1252" i="7"/>
  <c r="L1251" i="7"/>
  <c r="K1251" i="7"/>
  <c r="L1250" i="7"/>
  <c r="K1250" i="7"/>
  <c r="L1249" i="7"/>
  <c r="K1249" i="7"/>
  <c r="L1248" i="7"/>
  <c r="K1248" i="7"/>
  <c r="L1247" i="7"/>
  <c r="K1247" i="7"/>
  <c r="L1183" i="7"/>
  <c r="K1183" i="7"/>
  <c r="L1173" i="7"/>
  <c r="K1173" i="7"/>
  <c r="L1172" i="7"/>
  <c r="K1172" i="7"/>
  <c r="L1153" i="7"/>
  <c r="K1153" i="7"/>
  <c r="L1121" i="7"/>
  <c r="K1121" i="7"/>
  <c r="L1120" i="7"/>
  <c r="K1120" i="7"/>
  <c r="L1119" i="7"/>
  <c r="K1119" i="7"/>
  <c r="L1103" i="7"/>
  <c r="K1103" i="7"/>
  <c r="L1102" i="7"/>
  <c r="K1102" i="7"/>
  <c r="L1101" i="7"/>
  <c r="K1101" i="7"/>
  <c r="L1100" i="7"/>
  <c r="K1100" i="7"/>
  <c r="L1099" i="7"/>
  <c r="K1099" i="7"/>
  <c r="L1098" i="7"/>
  <c r="K1098" i="7"/>
  <c r="L1096" i="7"/>
  <c r="K1096" i="7"/>
  <c r="L1095" i="7"/>
  <c r="K1095" i="7"/>
  <c r="L1094" i="7"/>
  <c r="K1094" i="7"/>
  <c r="L1031" i="7"/>
  <c r="K1031" i="7"/>
  <c r="L1030" i="7"/>
  <c r="K1030" i="7"/>
  <c r="L1029" i="7"/>
  <c r="K1029" i="7"/>
  <c r="L964" i="7"/>
  <c r="K964" i="7"/>
  <c r="L920" i="7"/>
  <c r="K920" i="7"/>
  <c r="L919" i="7"/>
  <c r="K919" i="7"/>
  <c r="L918" i="7"/>
  <c r="K918" i="7"/>
  <c r="L810" i="7"/>
  <c r="K810" i="7"/>
  <c r="L809" i="7"/>
  <c r="K809" i="7"/>
  <c r="L808" i="7"/>
  <c r="K808" i="7"/>
  <c r="L807" i="7"/>
  <c r="K807" i="7"/>
  <c r="L695" i="7"/>
  <c r="K695" i="7"/>
  <c r="L612" i="7"/>
  <c r="K612" i="7"/>
  <c r="L595" i="7"/>
  <c r="K595" i="7"/>
  <c r="L460" i="7"/>
  <c r="K460" i="7"/>
  <c r="L458" i="7"/>
  <c r="K458" i="7"/>
  <c r="L454" i="7"/>
  <c r="K454" i="7"/>
  <c r="L293" i="7"/>
  <c r="K293" i="7"/>
  <c r="L256" i="7"/>
  <c r="K256" i="7"/>
  <c r="L253" i="7"/>
  <c r="K253" i="7"/>
  <c r="Q1608" i="7"/>
  <c r="P1608" i="7"/>
  <c r="Q1607" i="7"/>
  <c r="P1607" i="7"/>
  <c r="Q1606" i="7"/>
  <c r="P1606" i="7"/>
  <c r="Q1605" i="7"/>
  <c r="P1605" i="7"/>
  <c r="Q1604" i="7"/>
  <c r="P1604" i="7"/>
  <c r="Q1603" i="7"/>
  <c r="P1603" i="7"/>
  <c r="Q1602" i="7"/>
  <c r="P1602" i="7"/>
  <c r="Q1601" i="7"/>
  <c r="P1601" i="7"/>
  <c r="Q1600" i="7"/>
  <c r="P1600" i="7"/>
  <c r="Q1263" i="7"/>
  <c r="P1263" i="7"/>
  <c r="Q1262" i="7"/>
  <c r="P1262" i="7"/>
  <c r="Q1261" i="7"/>
  <c r="P1261" i="7"/>
  <c r="Q1260" i="7"/>
  <c r="P1260" i="7"/>
  <c r="Q1259" i="7"/>
  <c r="P1259" i="7"/>
  <c r="Q1258" i="7"/>
  <c r="P1258" i="7"/>
  <c r="Q1257" i="7"/>
  <c r="P1257" i="7"/>
  <c r="Q1256" i="7"/>
  <c r="P1256" i="7"/>
  <c r="Q1255" i="7"/>
  <c r="P1255" i="7"/>
  <c r="Q1152" i="7"/>
  <c r="P1152" i="7"/>
  <c r="Q1028" i="7"/>
  <c r="P1028" i="7"/>
  <c r="Q1027" i="7"/>
  <c r="P1027" i="7"/>
  <c r="Q1026" i="7"/>
  <c r="P1026" i="7"/>
  <c r="Q1025" i="7"/>
  <c r="P1025" i="7"/>
  <c r="Q965" i="7"/>
  <c r="P965" i="7"/>
  <c r="Q459" i="7"/>
  <c r="P459" i="7"/>
  <c r="Q341" i="7"/>
  <c r="P341" i="7"/>
  <c r="Q258" i="7"/>
  <c r="P258" i="7"/>
  <c r="Q255" i="7"/>
  <c r="P255" i="7"/>
  <c r="Q251" i="7"/>
  <c r="P251" i="7"/>
  <c r="L1608" i="7"/>
  <c r="K1608" i="7"/>
  <c r="L1607" i="7"/>
  <c r="K1607" i="7"/>
  <c r="L1606" i="7"/>
  <c r="K1606" i="7"/>
  <c r="L1605" i="7"/>
  <c r="K1605" i="7"/>
  <c r="L1604" i="7"/>
  <c r="K1604" i="7"/>
  <c r="L1603" i="7"/>
  <c r="K1603" i="7"/>
  <c r="L1602" i="7"/>
  <c r="K1602" i="7"/>
  <c r="L1601" i="7"/>
  <c r="K1601" i="7"/>
  <c r="L1600" i="7"/>
  <c r="K1600" i="7"/>
  <c r="L1263" i="7"/>
  <c r="K1263" i="7"/>
  <c r="L1262" i="7"/>
  <c r="K1262" i="7"/>
  <c r="L1261" i="7"/>
  <c r="K1261" i="7"/>
  <c r="L1260" i="7"/>
  <c r="K1260" i="7"/>
  <c r="L1259" i="7"/>
  <c r="K1259" i="7"/>
  <c r="L1258" i="7"/>
  <c r="K1258" i="7"/>
  <c r="L1257" i="7"/>
  <c r="K1257" i="7"/>
  <c r="L1256" i="7"/>
  <c r="K1256" i="7"/>
  <c r="L1255" i="7"/>
  <c r="K1255" i="7"/>
  <c r="L1152" i="7"/>
  <c r="K1152" i="7"/>
  <c r="L1028" i="7"/>
  <c r="K1028" i="7"/>
  <c r="L1027" i="7"/>
  <c r="K1027" i="7"/>
  <c r="L1026" i="7"/>
  <c r="K1026" i="7"/>
  <c r="L1025" i="7"/>
  <c r="K1025" i="7"/>
  <c r="L965" i="7"/>
  <c r="K965" i="7"/>
  <c r="L459" i="7"/>
  <c r="K459" i="7"/>
  <c r="L341" i="7"/>
  <c r="K341" i="7"/>
  <c r="L258" i="7"/>
  <c r="K258" i="7"/>
  <c r="L255" i="7"/>
  <c r="K255" i="7"/>
  <c r="L251" i="7"/>
  <c r="K251" i="7"/>
  <c r="A617" i="12"/>
  <c r="A752" i="12"/>
  <c r="A887" i="12"/>
  <c r="A1022" i="12" s="1"/>
  <c r="A1157" i="12"/>
  <c r="A1292" i="12" s="1"/>
  <c r="A1427" i="12" s="1"/>
  <c r="A1562" i="12" s="1"/>
  <c r="A1697" i="12" s="1"/>
  <c r="A1832" i="12"/>
  <c r="A1967" i="12" s="1"/>
  <c r="A2102" i="12" s="1"/>
  <c r="A2237" i="12" s="1"/>
  <c r="A2372" i="12" s="1"/>
  <c r="A2507" i="12" s="1"/>
  <c r="A2642" i="12" s="1"/>
  <c r="A2777" i="12" s="1"/>
  <c r="A2912" i="12" s="1"/>
  <c r="B109" i="6"/>
  <c r="A109" i="6"/>
  <c r="B107" i="6"/>
  <c r="A107" i="6"/>
  <c r="B105" i="6"/>
  <c r="A105" i="6"/>
  <c r="B98" i="6"/>
  <c r="B99" i="6"/>
  <c r="B100" i="6" s="1"/>
  <c r="A98" i="6"/>
  <c r="A99" i="6"/>
  <c r="A100" i="6"/>
  <c r="B96" i="6"/>
  <c r="A96" i="6"/>
  <c r="B93" i="6"/>
  <c r="A93" i="6"/>
  <c r="B84" i="6"/>
  <c r="B85" i="6" s="1"/>
  <c r="A84" i="6"/>
  <c r="A85" i="6"/>
  <c r="B76" i="6"/>
  <c r="A76" i="6"/>
  <c r="B74" i="6"/>
  <c r="A74" i="6"/>
  <c r="B70" i="6"/>
  <c r="A70" i="6"/>
  <c r="B63" i="6"/>
  <c r="A63" i="6"/>
  <c r="B56" i="6"/>
  <c r="B57" i="6" s="1"/>
  <c r="A56" i="6"/>
  <c r="A57" i="6"/>
  <c r="B44" i="6"/>
  <c r="A44" i="6"/>
  <c r="B39" i="6"/>
  <c r="A39" i="6"/>
  <c r="B32" i="6"/>
  <c r="B33" i="6" s="1"/>
  <c r="B34" i="6" s="1"/>
  <c r="B35" i="6" s="1"/>
  <c r="B36" i="6" s="1"/>
  <c r="A32" i="6"/>
  <c r="A33" i="6" s="1"/>
  <c r="A34" i="6" s="1"/>
  <c r="A35" i="6" s="1"/>
  <c r="A36" i="6" s="1"/>
  <c r="B28" i="6"/>
  <c r="B29" i="6"/>
  <c r="B30" i="6" s="1"/>
  <c r="A28" i="6"/>
  <c r="A29" i="6" s="1"/>
  <c r="A30" i="6" s="1"/>
  <c r="B25" i="6"/>
  <c r="A25" i="6"/>
  <c r="B22" i="6"/>
  <c r="A22" i="6"/>
  <c r="B17" i="6"/>
  <c r="B18" i="6" s="1"/>
  <c r="B19" i="6" s="1"/>
  <c r="A17" i="6"/>
  <c r="A18" i="6"/>
  <c r="A19" i="6" s="1"/>
  <c r="A20" i="6" s="1"/>
  <c r="B12" i="6"/>
  <c r="B13" i="6"/>
  <c r="B14" i="6" s="1"/>
  <c r="A12" i="6"/>
  <c r="A13" i="6" s="1"/>
  <c r="A14" i="6" s="1"/>
  <c r="B10" i="6"/>
  <c r="A10" i="6"/>
  <c r="B8" i="6"/>
  <c r="A8" i="6"/>
  <c r="Y159" i="3"/>
  <c r="R159" i="3"/>
  <c r="M159" i="3"/>
  <c r="Y158" i="3"/>
  <c r="R158" i="3"/>
  <c r="M158" i="3"/>
  <c r="Y157" i="3"/>
  <c r="R157" i="3"/>
  <c r="M157" i="3"/>
  <c r="Y156" i="3"/>
  <c r="R156" i="3"/>
  <c r="M156" i="3"/>
  <c r="Y155" i="3"/>
  <c r="R155" i="3"/>
  <c r="M155" i="3"/>
  <c r="Y154" i="3"/>
  <c r="R154" i="3"/>
  <c r="M154" i="3"/>
  <c r="Y153" i="3"/>
  <c r="R153" i="3"/>
  <c r="M153" i="3"/>
  <c r="Y152" i="3"/>
  <c r="R152" i="3"/>
  <c r="M152" i="3"/>
  <c r="Y151" i="3"/>
  <c r="R151" i="3"/>
  <c r="M151" i="3"/>
  <c r="Y150" i="3"/>
  <c r="R150" i="3"/>
  <c r="M150" i="3"/>
  <c r="Y125" i="3"/>
  <c r="R125" i="3"/>
  <c r="M125" i="3"/>
  <c r="Y149" i="3"/>
  <c r="R149" i="3"/>
  <c r="M149" i="3"/>
  <c r="Y148" i="3"/>
  <c r="R148" i="3"/>
  <c r="M148" i="3"/>
  <c r="Y147" i="3"/>
  <c r="R147" i="3"/>
  <c r="M147" i="3"/>
  <c r="Y146" i="3"/>
  <c r="R146" i="3"/>
  <c r="M146" i="3"/>
  <c r="Y144" i="3"/>
  <c r="R144" i="3"/>
  <c r="M144" i="3"/>
  <c r="Y143" i="3"/>
  <c r="R143" i="3"/>
  <c r="M143" i="3"/>
  <c r="Y142" i="3"/>
  <c r="R142" i="3"/>
  <c r="M142" i="3"/>
  <c r="Y141" i="3"/>
  <c r="R141" i="3"/>
  <c r="M141" i="3"/>
  <c r="Y140" i="3"/>
  <c r="R140" i="3"/>
  <c r="M140" i="3"/>
  <c r="Y139" i="3"/>
  <c r="R139" i="3"/>
  <c r="M139" i="3"/>
  <c r="Y138" i="3"/>
  <c r="R138" i="3"/>
  <c r="M138" i="3"/>
  <c r="Y137" i="3"/>
  <c r="R137" i="3"/>
  <c r="M137" i="3"/>
  <c r="Y136" i="3"/>
  <c r="R136" i="3"/>
  <c r="M136" i="3"/>
  <c r="Y135" i="3"/>
  <c r="R135" i="3"/>
  <c r="M135" i="3"/>
  <c r="Y134" i="3"/>
  <c r="R134" i="3"/>
  <c r="M134" i="3"/>
  <c r="Y133" i="3"/>
  <c r="R133" i="3"/>
  <c r="M133" i="3"/>
  <c r="Y132" i="3"/>
  <c r="R132" i="3"/>
  <c r="M132" i="3"/>
  <c r="Y131" i="3"/>
  <c r="R131" i="3"/>
  <c r="M131" i="3"/>
  <c r="Y130" i="3"/>
  <c r="R130" i="3"/>
  <c r="M130" i="3"/>
  <c r="Y129" i="3"/>
  <c r="R129" i="3"/>
  <c r="M129" i="3"/>
  <c r="Y145" i="3"/>
  <c r="R145" i="3"/>
  <c r="M145" i="3"/>
  <c r="Y128" i="3"/>
  <c r="R128" i="3"/>
  <c r="M128" i="3"/>
  <c r="Y127" i="3"/>
  <c r="R127" i="3"/>
  <c r="M127" i="3"/>
  <c r="Y126" i="3"/>
  <c r="R126" i="3"/>
  <c r="M126" i="3"/>
  <c r="Y124" i="3"/>
  <c r="R124" i="3"/>
  <c r="M124" i="3"/>
  <c r="Y123" i="3"/>
  <c r="R123" i="3"/>
  <c r="M123" i="3"/>
  <c r="Y122" i="3"/>
  <c r="R122" i="3"/>
  <c r="M122" i="3"/>
  <c r="Y121" i="3"/>
  <c r="R121" i="3"/>
  <c r="M121" i="3"/>
  <c r="Y120" i="3"/>
  <c r="R120" i="3"/>
  <c r="M120" i="3"/>
  <c r="Y119" i="3"/>
  <c r="R119" i="3"/>
  <c r="M119" i="3"/>
  <c r="Y118" i="3"/>
  <c r="R118" i="3"/>
  <c r="M118" i="3"/>
  <c r="Y117" i="3"/>
  <c r="R117" i="3"/>
  <c r="M117" i="3"/>
  <c r="Y116" i="3"/>
  <c r="R116" i="3"/>
  <c r="M116" i="3"/>
  <c r="Y115" i="3"/>
  <c r="R115" i="3"/>
  <c r="M115" i="3"/>
  <c r="Y114" i="3"/>
  <c r="R114" i="3"/>
  <c r="M114" i="3"/>
  <c r="Y113" i="3"/>
  <c r="R113" i="3"/>
  <c r="M113" i="3"/>
  <c r="Y108" i="3"/>
  <c r="R108" i="3"/>
  <c r="M108" i="3"/>
  <c r="Y109" i="3"/>
  <c r="R109" i="3"/>
  <c r="M109" i="3"/>
  <c r="Y110" i="3"/>
  <c r="R110" i="3"/>
  <c r="M110" i="3"/>
  <c r="Y112" i="3"/>
  <c r="R112" i="3"/>
  <c r="M112" i="3"/>
  <c r="Y111" i="3"/>
  <c r="R111" i="3"/>
  <c r="M111" i="3"/>
  <c r="Y107" i="3"/>
  <c r="R107" i="3"/>
  <c r="M107" i="3"/>
  <c r="Y106" i="3"/>
  <c r="R106" i="3"/>
  <c r="M106" i="3"/>
  <c r="Y105" i="3"/>
  <c r="R105" i="3"/>
  <c r="M105" i="3"/>
  <c r="Y104" i="3"/>
  <c r="R104" i="3"/>
  <c r="M104" i="3"/>
  <c r="Y103" i="3"/>
  <c r="R103" i="3"/>
  <c r="M103" i="3"/>
  <c r="Y102" i="3"/>
  <c r="R102" i="3"/>
  <c r="M102" i="3"/>
  <c r="Y101" i="3"/>
  <c r="R101" i="3"/>
  <c r="M101" i="3"/>
  <c r="Y100" i="3"/>
  <c r="R100" i="3"/>
  <c r="M100" i="3"/>
  <c r="Y99" i="3"/>
  <c r="R99" i="3"/>
  <c r="M99" i="3"/>
  <c r="Y98" i="3"/>
  <c r="R98" i="3"/>
  <c r="M98" i="3"/>
  <c r="Y97" i="3"/>
  <c r="R97" i="3"/>
  <c r="M97" i="3"/>
  <c r="Y96" i="3"/>
  <c r="R96" i="3"/>
  <c r="M96" i="3"/>
  <c r="Y95" i="3"/>
  <c r="R95" i="3"/>
  <c r="M95" i="3"/>
  <c r="Y94" i="3"/>
  <c r="R94" i="3"/>
  <c r="M94" i="3"/>
  <c r="Y93" i="3"/>
  <c r="R93" i="3"/>
  <c r="M93" i="3"/>
  <c r="Y92" i="3"/>
  <c r="R92" i="3"/>
  <c r="M92" i="3"/>
  <c r="Y91" i="3"/>
  <c r="R91" i="3"/>
  <c r="M91" i="3"/>
  <c r="Y90" i="3"/>
  <c r="R90" i="3"/>
  <c r="M90" i="3"/>
  <c r="Y89" i="3"/>
  <c r="R89" i="3"/>
  <c r="M89" i="3"/>
  <c r="Y88" i="3"/>
  <c r="R88" i="3"/>
  <c r="M88" i="3"/>
  <c r="Y87" i="3"/>
  <c r="R87" i="3"/>
  <c r="M87" i="3"/>
  <c r="Y86" i="3"/>
  <c r="R86" i="3"/>
  <c r="M86" i="3"/>
  <c r="Y85" i="3"/>
  <c r="R85" i="3"/>
  <c r="M85" i="3"/>
  <c r="Y84" i="3"/>
  <c r="R84" i="3"/>
  <c r="M84" i="3"/>
  <c r="Y83" i="3"/>
  <c r="R83" i="3"/>
  <c r="M83" i="3"/>
  <c r="Y82" i="3"/>
  <c r="R82" i="3"/>
  <c r="M82" i="3"/>
  <c r="Y81" i="3"/>
  <c r="R81" i="3"/>
  <c r="M81" i="3"/>
  <c r="Y80" i="3"/>
  <c r="R80" i="3"/>
  <c r="M80" i="3"/>
  <c r="Y79" i="3"/>
  <c r="R79" i="3"/>
  <c r="M79" i="3"/>
  <c r="Y78" i="3"/>
  <c r="R78" i="3"/>
  <c r="M78" i="3"/>
  <c r="Y77" i="3"/>
  <c r="R77" i="3"/>
  <c r="M77" i="3"/>
  <c r="Y76" i="3"/>
  <c r="R76" i="3"/>
  <c r="M76" i="3"/>
  <c r="Y75" i="3"/>
  <c r="R75" i="3"/>
  <c r="M75" i="3"/>
  <c r="Y74" i="3"/>
  <c r="R74" i="3"/>
  <c r="M74" i="3"/>
  <c r="Y73" i="3"/>
  <c r="R73" i="3"/>
  <c r="M73" i="3"/>
  <c r="Y72" i="3"/>
  <c r="R72" i="3"/>
  <c r="M72" i="3"/>
  <c r="Y71" i="3"/>
  <c r="R71" i="3"/>
  <c r="M71" i="3"/>
  <c r="Y70" i="3"/>
  <c r="R70" i="3"/>
  <c r="M70" i="3"/>
  <c r="Y69" i="3"/>
  <c r="R69" i="3"/>
  <c r="M69" i="3"/>
  <c r="Y68" i="3"/>
  <c r="R68" i="3"/>
  <c r="M68" i="3"/>
  <c r="Y67" i="3"/>
  <c r="R67" i="3"/>
  <c r="M67" i="3"/>
  <c r="Y66" i="3"/>
  <c r="R66" i="3"/>
  <c r="M66" i="3"/>
  <c r="Y65" i="3"/>
  <c r="R65" i="3"/>
  <c r="M65" i="3"/>
  <c r="Y64" i="3"/>
  <c r="R64" i="3"/>
  <c r="M64" i="3"/>
  <c r="Y63" i="3"/>
  <c r="R63" i="3"/>
  <c r="M63" i="3"/>
  <c r="Y62" i="3"/>
  <c r="R62" i="3"/>
  <c r="M62" i="3"/>
  <c r="Y61" i="3"/>
  <c r="R61" i="3"/>
  <c r="M61" i="3"/>
  <c r="Y60" i="3"/>
  <c r="R60" i="3"/>
  <c r="M60" i="3"/>
  <c r="Y59" i="3"/>
  <c r="R59" i="3"/>
  <c r="M59" i="3"/>
  <c r="Y58" i="3"/>
  <c r="R58" i="3"/>
  <c r="M58" i="3"/>
  <c r="Y57" i="3"/>
  <c r="R57" i="3"/>
  <c r="M57" i="3"/>
  <c r="Y56" i="3"/>
  <c r="R56" i="3"/>
  <c r="M56" i="3"/>
  <c r="Y55" i="3"/>
  <c r="R55" i="3"/>
  <c r="M55" i="3"/>
  <c r="Y54" i="3"/>
  <c r="R54" i="3"/>
  <c r="M54" i="3"/>
  <c r="Y53" i="3"/>
  <c r="R53" i="3"/>
  <c r="M53" i="3"/>
  <c r="Y52" i="3"/>
  <c r="R52" i="3"/>
  <c r="M52" i="3"/>
  <c r="Y51" i="3"/>
  <c r="R51" i="3"/>
  <c r="M51" i="3"/>
  <c r="Y50" i="3"/>
  <c r="R50" i="3"/>
  <c r="M50" i="3"/>
  <c r="Y49" i="3"/>
  <c r="R49" i="3"/>
  <c r="M49" i="3"/>
  <c r="Y48" i="3"/>
  <c r="R48" i="3"/>
  <c r="M48" i="3"/>
  <c r="Y47" i="3"/>
  <c r="R47" i="3"/>
  <c r="M47" i="3"/>
  <c r="Y46" i="3"/>
  <c r="R46" i="3"/>
  <c r="M46" i="3"/>
  <c r="Y45" i="3"/>
  <c r="R45" i="3"/>
  <c r="M45" i="3"/>
  <c r="Y44" i="3"/>
  <c r="R44" i="3"/>
  <c r="M44" i="3"/>
  <c r="Y43" i="3"/>
  <c r="R43" i="3"/>
  <c r="M43" i="3"/>
  <c r="Y42" i="3"/>
  <c r="R42" i="3"/>
  <c r="M42" i="3"/>
  <c r="Y41" i="3"/>
  <c r="R41" i="3"/>
  <c r="M41" i="3"/>
  <c r="Y40" i="3"/>
  <c r="R40" i="3"/>
  <c r="M40" i="3"/>
  <c r="Y39" i="3"/>
  <c r="R39" i="3"/>
  <c r="M39" i="3"/>
  <c r="Y38" i="3"/>
  <c r="R38" i="3"/>
  <c r="M38" i="3"/>
  <c r="Y37" i="3"/>
  <c r="R37" i="3"/>
  <c r="M37" i="3"/>
  <c r="Y36" i="3"/>
  <c r="R36" i="3"/>
  <c r="M36" i="3"/>
  <c r="Y35" i="3"/>
  <c r="R35" i="3"/>
  <c r="M35" i="3"/>
  <c r="Y34" i="3"/>
  <c r="R34" i="3"/>
  <c r="M34" i="3"/>
  <c r="Y33" i="3"/>
  <c r="R33" i="3"/>
  <c r="M33" i="3"/>
  <c r="Y32" i="3"/>
  <c r="R32" i="3"/>
  <c r="M32" i="3"/>
  <c r="Y31" i="3"/>
  <c r="R31" i="3"/>
  <c r="M31" i="3"/>
  <c r="Y30" i="3"/>
  <c r="R30" i="3"/>
  <c r="M30" i="3"/>
  <c r="Y29" i="3"/>
  <c r="R29" i="3"/>
  <c r="M29" i="3"/>
  <c r="Y28" i="3"/>
  <c r="R28" i="3"/>
  <c r="M28" i="3"/>
  <c r="Y27" i="3"/>
  <c r="R27" i="3"/>
  <c r="M27" i="3"/>
  <c r="Y26" i="3"/>
  <c r="R26" i="3"/>
  <c r="M26" i="3"/>
  <c r="Y25" i="3"/>
  <c r="R25" i="3"/>
  <c r="M25" i="3"/>
  <c r="Y24" i="3"/>
  <c r="R24" i="3"/>
  <c r="M24" i="3"/>
  <c r="Y23" i="3"/>
  <c r="R23" i="3"/>
  <c r="M23" i="3"/>
  <c r="Y22" i="3"/>
  <c r="R22" i="3"/>
  <c r="M22" i="3"/>
  <c r="Y20" i="3"/>
  <c r="R20" i="3"/>
  <c r="M20" i="3"/>
  <c r="Y21" i="3"/>
  <c r="R21" i="3"/>
  <c r="M21" i="3"/>
  <c r="Y19" i="3"/>
  <c r="R19" i="3"/>
  <c r="M19" i="3"/>
  <c r="Y18" i="3"/>
  <c r="R18" i="3"/>
  <c r="M18" i="3"/>
  <c r="Y17" i="3"/>
  <c r="R17" i="3"/>
  <c r="M17" i="3"/>
  <c r="Y16" i="3"/>
  <c r="R16" i="3"/>
  <c r="M16" i="3"/>
  <c r="Y15" i="3"/>
  <c r="R15" i="3"/>
  <c r="M15" i="3"/>
  <c r="Y14" i="3"/>
  <c r="R14" i="3"/>
  <c r="M14" i="3"/>
  <c r="Y13" i="3"/>
  <c r="R13" i="3"/>
  <c r="M13" i="3"/>
  <c r="Y12" i="3"/>
  <c r="R12" i="3"/>
  <c r="M12" i="3"/>
  <c r="Y11" i="3"/>
  <c r="R11" i="3"/>
  <c r="M11" i="3"/>
  <c r="Y10" i="3"/>
  <c r="R10" i="3"/>
  <c r="M10" i="3"/>
  <c r="Y9" i="3"/>
  <c r="R9" i="3"/>
  <c r="M9" i="3"/>
  <c r="Y8" i="3"/>
  <c r="R8" i="3"/>
  <c r="M8" i="3"/>
  <c r="Y7" i="3"/>
  <c r="R7" i="3"/>
  <c r="M7" i="3"/>
  <c r="Y6" i="3"/>
  <c r="R6" i="3"/>
  <c r="M6" i="3"/>
  <c r="Y5" i="3"/>
  <c r="R5" i="3"/>
  <c r="M5" i="3"/>
  <c r="Y4" i="3"/>
  <c r="R4" i="3"/>
  <c r="M4" i="3"/>
  <c r="Y3" i="3"/>
  <c r="R3" i="3"/>
  <c r="M3" i="3"/>
  <c r="Y2" i="3"/>
  <c r="R2" i="3"/>
  <c r="M2" i="3"/>
  <c r="N1589" i="7"/>
  <c r="I1589" i="7"/>
  <c r="N1588" i="7"/>
  <c r="I1588" i="7"/>
  <c r="N1587" i="7"/>
  <c r="I1587" i="7"/>
  <c r="N1586" i="7"/>
  <c r="I1586" i="7"/>
  <c r="N1585" i="7"/>
  <c r="I1585" i="7"/>
  <c r="N1584" i="7"/>
  <c r="I1584" i="7"/>
  <c r="N1583" i="7"/>
  <c r="I1583" i="7"/>
  <c r="N1582" i="7"/>
  <c r="I1582" i="7"/>
  <c r="N1581" i="7"/>
  <c r="I1581" i="7"/>
  <c r="N1580" i="7"/>
  <c r="I1580" i="7"/>
  <c r="N1579" i="7"/>
  <c r="I1579" i="7"/>
  <c r="N1468" i="7"/>
  <c r="I1468" i="7"/>
  <c r="B1468" i="7"/>
  <c r="A1468" i="7"/>
  <c r="N1467" i="7"/>
  <c r="I1467" i="7"/>
  <c r="B1467" i="7"/>
  <c r="A1467" i="7"/>
  <c r="N1466" i="7"/>
  <c r="I1466" i="7"/>
  <c r="B1466" i="7"/>
  <c r="A1466" i="7"/>
  <c r="N1465" i="7"/>
  <c r="I1465" i="7"/>
  <c r="B1465" i="7"/>
  <c r="A1465" i="7"/>
  <c r="N1464" i="7"/>
  <c r="I1464" i="7"/>
  <c r="B1464" i="7"/>
  <c r="A1464" i="7"/>
  <c r="N1463" i="7"/>
  <c r="I1463" i="7"/>
  <c r="B1463" i="7"/>
  <c r="A1463" i="7"/>
  <c r="N1462" i="7"/>
  <c r="I1462" i="7"/>
  <c r="B1462" i="7"/>
  <c r="A1462" i="7"/>
  <c r="N1461" i="7"/>
  <c r="I1461" i="7"/>
  <c r="B1461" i="7"/>
  <c r="A1461" i="7"/>
  <c r="N1460" i="7"/>
  <c r="I1460" i="7"/>
  <c r="B1460" i="7"/>
  <c r="A1460" i="7"/>
  <c r="N1459" i="7"/>
  <c r="I1459" i="7"/>
  <c r="B1459" i="7"/>
  <c r="A1459" i="7"/>
  <c r="N1458" i="7"/>
  <c r="I1458" i="7"/>
  <c r="B1458" i="7"/>
  <c r="A1458" i="7"/>
  <c r="N1457" i="7"/>
  <c r="I1457" i="7"/>
  <c r="B1457" i="7"/>
  <c r="A1457" i="7"/>
  <c r="N1456" i="7"/>
  <c r="I1456" i="7"/>
  <c r="B1456" i="7"/>
  <c r="A1456" i="7"/>
  <c r="N1455" i="7"/>
  <c r="I1455" i="7"/>
  <c r="B1455" i="7"/>
  <c r="A1455" i="7"/>
  <c r="N1454" i="7"/>
  <c r="I1454" i="7"/>
  <c r="B1454" i="7"/>
  <c r="A1454" i="7"/>
  <c r="N1453" i="7"/>
  <c r="I1453" i="7"/>
  <c r="B1453" i="7"/>
  <c r="A1453" i="7"/>
  <c r="N1452" i="7"/>
  <c r="I1452" i="7"/>
  <c r="B1452" i="7"/>
  <c r="A1452" i="7"/>
  <c r="N1451" i="7"/>
  <c r="I1451" i="7"/>
  <c r="B1451" i="7"/>
  <c r="A1451" i="7"/>
  <c r="N1450" i="7"/>
  <c r="I1450" i="7"/>
  <c r="B1450" i="7"/>
  <c r="A1450" i="7"/>
  <c r="N1449" i="7"/>
  <c r="I1449" i="7"/>
  <c r="B1449" i="7"/>
  <c r="A1449" i="7"/>
  <c r="N1448" i="7"/>
  <c r="I1448" i="7"/>
  <c r="B1448" i="7"/>
  <c r="A1448" i="7"/>
  <c r="N1447" i="7"/>
  <c r="I1447" i="7"/>
  <c r="B1447" i="7"/>
  <c r="A1447" i="7"/>
  <c r="N1446" i="7"/>
  <c r="I1446" i="7"/>
  <c r="B1446" i="7"/>
  <c r="A1446" i="7"/>
  <c r="N1445" i="7"/>
  <c r="I1445" i="7"/>
  <c r="B1445" i="7"/>
  <c r="A1445" i="7"/>
  <c r="N1444" i="7"/>
  <c r="I1444" i="7"/>
  <c r="B1444" i="7"/>
  <c r="A1444" i="7"/>
  <c r="N1443" i="7"/>
  <c r="I1443" i="7"/>
  <c r="B1443" i="7"/>
  <c r="A1443" i="7"/>
  <c r="N1442" i="7"/>
  <c r="I1442" i="7"/>
  <c r="B1442" i="7"/>
  <c r="A1442" i="7"/>
  <c r="N1441" i="7"/>
  <c r="I1441" i="7"/>
  <c r="B1441" i="7"/>
  <c r="A1441" i="7"/>
  <c r="N1440" i="7"/>
  <c r="I1440" i="7"/>
  <c r="B1440" i="7"/>
  <c r="A1440" i="7"/>
  <c r="N1439" i="7"/>
  <c r="I1439" i="7"/>
  <c r="B1439" i="7"/>
  <c r="A1439" i="7"/>
  <c r="N1438" i="7"/>
  <c r="I1438" i="7"/>
  <c r="B1438" i="7"/>
  <c r="A1438" i="7"/>
  <c r="N1437" i="7"/>
  <c r="I1437" i="7"/>
  <c r="B1437" i="7"/>
  <c r="A1437" i="7"/>
  <c r="N1436" i="7"/>
  <c r="I1436" i="7"/>
  <c r="B1436" i="7"/>
  <c r="A1436" i="7"/>
  <c r="N1435" i="7"/>
  <c r="I1435" i="7"/>
  <c r="B1435" i="7"/>
  <c r="A1435" i="7"/>
  <c r="N1434" i="7"/>
  <c r="I1434" i="7"/>
  <c r="B1434" i="7"/>
  <c r="A1434" i="7"/>
  <c r="N1433" i="7"/>
  <c r="I1433" i="7"/>
  <c r="B1433" i="7"/>
  <c r="A1433" i="7"/>
  <c r="N1432" i="7"/>
  <c r="I1432" i="7"/>
  <c r="B1432" i="7"/>
  <c r="A1432" i="7"/>
  <c r="N1431" i="7"/>
  <c r="I1431" i="7"/>
  <c r="B1431" i="7"/>
  <c r="A1431" i="7"/>
  <c r="N1430" i="7"/>
  <c r="I1430" i="7"/>
  <c r="B1430" i="7"/>
  <c r="A1430" i="7"/>
  <c r="N1429" i="7"/>
  <c r="I1429" i="7"/>
  <c r="B1429" i="7"/>
  <c r="A1429" i="7"/>
  <c r="N1428" i="7"/>
  <c r="I1428" i="7"/>
  <c r="B1428" i="7"/>
  <c r="A1428" i="7"/>
  <c r="N1427" i="7"/>
  <c r="I1427" i="7"/>
  <c r="B1427" i="7"/>
  <c r="A1427" i="7"/>
  <c r="N1426" i="7"/>
  <c r="I1426" i="7"/>
  <c r="B1426" i="7"/>
  <c r="A1426" i="7"/>
  <c r="N1425" i="7"/>
  <c r="I1425" i="7"/>
  <c r="B1425" i="7"/>
  <c r="A1425" i="7"/>
  <c r="N1424" i="7"/>
  <c r="I1424" i="7"/>
  <c r="B1424" i="7"/>
  <c r="A1424" i="7"/>
  <c r="N1423" i="7"/>
  <c r="I1423" i="7"/>
  <c r="B1423" i="7"/>
  <c r="A1423" i="7"/>
  <c r="N1422" i="7"/>
  <c r="I1422" i="7"/>
  <c r="B1422" i="7"/>
  <c r="A1422" i="7"/>
  <c r="N1421" i="7"/>
  <c r="I1421" i="7"/>
  <c r="B1421" i="7"/>
  <c r="A1421" i="7"/>
  <c r="N1420" i="7"/>
  <c r="I1420" i="7"/>
  <c r="B1420" i="7"/>
  <c r="A1420" i="7"/>
  <c r="N1419" i="7"/>
  <c r="I1419" i="7"/>
  <c r="B1419" i="7"/>
  <c r="A1419" i="7"/>
  <c r="N1418" i="7"/>
  <c r="I1418" i="7"/>
  <c r="B1418" i="7"/>
  <c r="A1418" i="7"/>
  <c r="N1417" i="7"/>
  <c r="I1417" i="7"/>
  <c r="B1417" i="7"/>
  <c r="A1417" i="7"/>
  <c r="N1416" i="7"/>
  <c r="I1416" i="7"/>
  <c r="B1416" i="7"/>
  <c r="A1416" i="7"/>
  <c r="N1415" i="7"/>
  <c r="I1415" i="7"/>
  <c r="B1415" i="7"/>
  <c r="A1415" i="7"/>
  <c r="N1414" i="7"/>
  <c r="I1414" i="7"/>
  <c r="B1414" i="7"/>
  <c r="A1414" i="7"/>
  <c r="N1413" i="7"/>
  <c r="I1413" i="7"/>
  <c r="B1413" i="7"/>
  <c r="A1413" i="7"/>
  <c r="N1412" i="7"/>
  <c r="I1412" i="7"/>
  <c r="B1412" i="7"/>
  <c r="A1412" i="7"/>
  <c r="N1411" i="7"/>
  <c r="I1411" i="7"/>
  <c r="B1411" i="7"/>
  <c r="A1411" i="7"/>
  <c r="N1410" i="7"/>
  <c r="I1410" i="7"/>
  <c r="B1410" i="7"/>
  <c r="A1410" i="7"/>
  <c r="N1409" i="7"/>
  <c r="I1409" i="7"/>
  <c r="B1409" i="7"/>
  <c r="A1409" i="7"/>
  <c r="N1408" i="7"/>
  <c r="I1408" i="7"/>
  <c r="B1408" i="7"/>
  <c r="A1408" i="7"/>
  <c r="N1407" i="7"/>
  <c r="I1407" i="7"/>
  <c r="B1407" i="7"/>
  <c r="A1407" i="7"/>
  <c r="N1406" i="7"/>
  <c r="I1406" i="7"/>
  <c r="B1406" i="7"/>
  <c r="A1406" i="7"/>
  <c r="N1405" i="7"/>
  <c r="I1405" i="7"/>
  <c r="B1405" i="7"/>
  <c r="A1405" i="7"/>
  <c r="N1404" i="7"/>
  <c r="I1404" i="7"/>
  <c r="B1404" i="7"/>
  <c r="A1404" i="7"/>
  <c r="N1403" i="7"/>
  <c r="I1403" i="7"/>
  <c r="B1403" i="7"/>
  <c r="A1403" i="7"/>
  <c r="N1402" i="7"/>
  <c r="I1402" i="7"/>
  <c r="B1402" i="7"/>
  <c r="A1402" i="7"/>
  <c r="N1401" i="7"/>
  <c r="I1401" i="7"/>
  <c r="B1401" i="7"/>
  <c r="A1401" i="7"/>
  <c r="N1400" i="7"/>
  <c r="I1400" i="7"/>
  <c r="B1400" i="7"/>
  <c r="A1400" i="7"/>
  <c r="N1399" i="7"/>
  <c r="I1399" i="7"/>
  <c r="B1399" i="7"/>
  <c r="A1399" i="7"/>
  <c r="N1398" i="7"/>
  <c r="I1398" i="7"/>
  <c r="B1398" i="7"/>
  <c r="A1398" i="7"/>
  <c r="N1397" i="7"/>
  <c r="I1397" i="7"/>
  <c r="B1397" i="7"/>
  <c r="A1397" i="7"/>
  <c r="N1396" i="7"/>
  <c r="I1396" i="7"/>
  <c r="B1396" i="7"/>
  <c r="A1396" i="7"/>
  <c r="N1395" i="7"/>
  <c r="I1395" i="7"/>
  <c r="B1395" i="7"/>
  <c r="A1395" i="7"/>
  <c r="N1394" i="7"/>
  <c r="I1394" i="7"/>
  <c r="B1394" i="7"/>
  <c r="A1394" i="7"/>
  <c r="N1393" i="7"/>
  <c r="I1393" i="7"/>
  <c r="B1393" i="7"/>
  <c r="A1393" i="7"/>
  <c r="N1392" i="7"/>
  <c r="I1392" i="7"/>
  <c r="B1392" i="7"/>
  <c r="A1392" i="7"/>
  <c r="N1391" i="7"/>
  <c r="I1391" i="7"/>
  <c r="B1391" i="7"/>
  <c r="A1391" i="7"/>
  <c r="N1390" i="7"/>
  <c r="I1390" i="7"/>
  <c r="B1390" i="7"/>
  <c r="A1390" i="7"/>
  <c r="N1389" i="7"/>
  <c r="I1389" i="7"/>
  <c r="B1389" i="7"/>
  <c r="A1389" i="7"/>
  <c r="N1388" i="7"/>
  <c r="I1388" i="7"/>
  <c r="B1388" i="7"/>
  <c r="A1388" i="7"/>
  <c r="N1387" i="7"/>
  <c r="I1387" i="7"/>
  <c r="B1387" i="7"/>
  <c r="A1387" i="7"/>
  <c r="N1386" i="7"/>
  <c r="I1386" i="7"/>
  <c r="B1386" i="7"/>
  <c r="A1386" i="7"/>
  <c r="N1385" i="7"/>
  <c r="I1385" i="7"/>
  <c r="B1385" i="7"/>
  <c r="A1385" i="7"/>
  <c r="N1384" i="7"/>
  <c r="I1384" i="7"/>
  <c r="B1384" i="7"/>
  <c r="A1384" i="7"/>
  <c r="N1383" i="7"/>
  <c r="I1383" i="7"/>
  <c r="B1383" i="7"/>
  <c r="A1383" i="7"/>
  <c r="N1382" i="7"/>
  <c r="I1382" i="7"/>
  <c r="B1382" i="7"/>
  <c r="A1382" i="7"/>
  <c r="N1381" i="7"/>
  <c r="I1381" i="7"/>
  <c r="B1381" i="7"/>
  <c r="A1381" i="7"/>
  <c r="N1380" i="7"/>
  <c r="I1380" i="7"/>
  <c r="B1380" i="7"/>
  <c r="A1380" i="7"/>
  <c r="N1379" i="7"/>
  <c r="I1379" i="7"/>
  <c r="B1379" i="7"/>
  <c r="A1379" i="7"/>
  <c r="N1378" i="7"/>
  <c r="I1378" i="7"/>
  <c r="B1378" i="7"/>
  <c r="A1378" i="7"/>
  <c r="N1377" i="7"/>
  <c r="I1377" i="7"/>
  <c r="B1377" i="7"/>
  <c r="A1377" i="7"/>
  <c r="N1376" i="7"/>
  <c r="I1376" i="7"/>
  <c r="B1376" i="7"/>
  <c r="A1376" i="7"/>
  <c r="N1375" i="7"/>
  <c r="I1375" i="7"/>
  <c r="B1375" i="7"/>
  <c r="A1375" i="7"/>
  <c r="N1374" i="7"/>
  <c r="I1374" i="7"/>
  <c r="B1374" i="7"/>
  <c r="A1374" i="7"/>
  <c r="N1373" i="7"/>
  <c r="I1373" i="7"/>
  <c r="B1373" i="7"/>
  <c r="A1373" i="7"/>
  <c r="N1372" i="7"/>
  <c r="I1372" i="7"/>
  <c r="B1372" i="7"/>
  <c r="A1372" i="7"/>
  <c r="N1371" i="7"/>
  <c r="I1371" i="7"/>
  <c r="B1371" i="7"/>
  <c r="A1371" i="7"/>
  <c r="N1370" i="7"/>
  <c r="I1370" i="7"/>
  <c r="B1370" i="7"/>
  <c r="A1370" i="7"/>
  <c r="N1369" i="7"/>
  <c r="I1369" i="7"/>
  <c r="B1369" i="7"/>
  <c r="A1369" i="7"/>
  <c r="N1368" i="7"/>
  <c r="I1368" i="7"/>
  <c r="B1368" i="7"/>
  <c r="A1368" i="7"/>
  <c r="N1367" i="7"/>
  <c r="I1367" i="7"/>
  <c r="B1367" i="7"/>
  <c r="A1367" i="7"/>
  <c r="N1366" i="7"/>
  <c r="I1366" i="7"/>
  <c r="B1366" i="7"/>
  <c r="A1366" i="7"/>
  <c r="N1365" i="7"/>
  <c r="I1365" i="7"/>
  <c r="B1365" i="7"/>
  <c r="A1365" i="7"/>
  <c r="N1364" i="7"/>
  <c r="I1364" i="7"/>
  <c r="B1364" i="7"/>
  <c r="A1364" i="7"/>
  <c r="N1363" i="7"/>
  <c r="I1363" i="7"/>
  <c r="B1363" i="7"/>
  <c r="A1363" i="7"/>
  <c r="N1362" i="7"/>
  <c r="I1362" i="7"/>
  <c r="B1362" i="7"/>
  <c r="A1362" i="7"/>
  <c r="N1361" i="7"/>
  <c r="I1361" i="7"/>
  <c r="B1361" i="7"/>
  <c r="A1361" i="7"/>
  <c r="N1360" i="7"/>
  <c r="I1360" i="7"/>
  <c r="B1360" i="7"/>
  <c r="A1360" i="7"/>
  <c r="N1359" i="7"/>
  <c r="I1359" i="7"/>
  <c r="B1359" i="7"/>
  <c r="A1359" i="7"/>
  <c r="N1358" i="7"/>
  <c r="I1358" i="7"/>
  <c r="B1358" i="7"/>
  <c r="A1358" i="7"/>
  <c r="N1357" i="7"/>
  <c r="I1357" i="7"/>
  <c r="B1357" i="7"/>
  <c r="A1357" i="7"/>
  <c r="N1356" i="7"/>
  <c r="I1356" i="7"/>
  <c r="B1356" i="7"/>
  <c r="A1356" i="7"/>
  <c r="N1355" i="7"/>
  <c r="I1355" i="7"/>
  <c r="B1355" i="7"/>
  <c r="A1355" i="7"/>
  <c r="N1354" i="7"/>
  <c r="I1354" i="7"/>
  <c r="B1354" i="7"/>
  <c r="A1354" i="7"/>
  <c r="N1353" i="7"/>
  <c r="I1353" i="7"/>
  <c r="B1353" i="7"/>
  <c r="A1353" i="7"/>
  <c r="N1352" i="7"/>
  <c r="I1352" i="7"/>
  <c r="B1352" i="7"/>
  <c r="A1352" i="7"/>
  <c r="N1351" i="7"/>
  <c r="I1351" i="7"/>
  <c r="B1351" i="7"/>
  <c r="A1351" i="7"/>
  <c r="N1350" i="7"/>
  <c r="I1350" i="7"/>
  <c r="B1350" i="7"/>
  <c r="A1350" i="7"/>
  <c r="N1349" i="7"/>
  <c r="I1349" i="7"/>
  <c r="B1349" i="7"/>
  <c r="A1349" i="7"/>
  <c r="N1348" i="7"/>
  <c r="I1348" i="7"/>
  <c r="B1348" i="7"/>
  <c r="A1348" i="7"/>
  <c r="N1347" i="7"/>
  <c r="I1347" i="7"/>
  <c r="B1347" i="7"/>
  <c r="A1347" i="7"/>
  <c r="N1346" i="7"/>
  <c r="I1346" i="7"/>
  <c r="B1346" i="7"/>
  <c r="A1346" i="7"/>
  <c r="N1345" i="7"/>
  <c r="I1345" i="7"/>
  <c r="B1345" i="7"/>
  <c r="A1345" i="7"/>
  <c r="N1344" i="7"/>
  <c r="I1344" i="7"/>
  <c r="B1344" i="7"/>
  <c r="A1344" i="7"/>
  <c r="N1343" i="7"/>
  <c r="I1343" i="7"/>
  <c r="B1343" i="7"/>
  <c r="A1343" i="7"/>
  <c r="N1342" i="7"/>
  <c r="I1342" i="7"/>
  <c r="B1342" i="7"/>
  <c r="A1342" i="7"/>
  <c r="N1341" i="7"/>
  <c r="I1341" i="7"/>
  <c r="B1341" i="7"/>
  <c r="A1341" i="7"/>
  <c r="N1340" i="7"/>
  <c r="I1340" i="7"/>
  <c r="B1340" i="7"/>
  <c r="A1340" i="7"/>
  <c r="N1339" i="7"/>
  <c r="I1339" i="7"/>
  <c r="B1339" i="7"/>
  <c r="A1339" i="7"/>
  <c r="N1338" i="7"/>
  <c r="I1338" i="7"/>
  <c r="B1338" i="7"/>
  <c r="A1338" i="7"/>
  <c r="N1337" i="7"/>
  <c r="I1337" i="7"/>
  <c r="B1337" i="7"/>
  <c r="A1337" i="7"/>
  <c r="N1336" i="7"/>
  <c r="I1336" i="7"/>
  <c r="B1336" i="7"/>
  <c r="A1336" i="7"/>
  <c r="N1335" i="7"/>
  <c r="I1335" i="7"/>
  <c r="B1335" i="7"/>
  <c r="A1335" i="7"/>
  <c r="N1334" i="7"/>
  <c r="I1334" i="7"/>
  <c r="B1334" i="7"/>
  <c r="A1334" i="7"/>
  <c r="N1333" i="7"/>
  <c r="I1333" i="7"/>
  <c r="B1333" i="7"/>
  <c r="A1333" i="7"/>
  <c r="N1332" i="7"/>
  <c r="I1332" i="7"/>
  <c r="B1332" i="7"/>
  <c r="A1332" i="7"/>
  <c r="N1331" i="7"/>
  <c r="I1331" i="7"/>
  <c r="B1331" i="7"/>
  <c r="A1331" i="7"/>
  <c r="N1330" i="7"/>
  <c r="I1330" i="7"/>
  <c r="B1330" i="7"/>
  <c r="A1330" i="7"/>
  <c r="N1329" i="7"/>
  <c r="I1329" i="7"/>
  <c r="B1329" i="7"/>
  <c r="A1329" i="7"/>
  <c r="N1328" i="7"/>
  <c r="I1328" i="7"/>
  <c r="B1328" i="7"/>
  <c r="A1328" i="7"/>
  <c r="N1327" i="7"/>
  <c r="I1327" i="7"/>
  <c r="B1327" i="7"/>
  <c r="A1327" i="7"/>
  <c r="N1326" i="7"/>
  <c r="I1326" i="7"/>
  <c r="B1326" i="7"/>
  <c r="A1326" i="7"/>
  <c r="N1325" i="7"/>
  <c r="I1325" i="7"/>
  <c r="B1325" i="7"/>
  <c r="A1325" i="7"/>
  <c r="N1324" i="7"/>
  <c r="I1324" i="7"/>
  <c r="B1324" i="7"/>
  <c r="A1324" i="7"/>
  <c r="N1323" i="7"/>
  <c r="I1323" i="7"/>
  <c r="B1323" i="7"/>
  <c r="A1323" i="7"/>
  <c r="N1322" i="7"/>
  <c r="I1322" i="7"/>
  <c r="B1322" i="7"/>
  <c r="A1322" i="7"/>
  <c r="N1321" i="7"/>
  <c r="I1321" i="7"/>
  <c r="B1321" i="7"/>
  <c r="A1321" i="7"/>
  <c r="N1320" i="7"/>
  <c r="I1320" i="7"/>
  <c r="B1320" i="7"/>
  <c r="A1320" i="7"/>
  <c r="N1319" i="7"/>
  <c r="I1319" i="7"/>
  <c r="B1319" i="7"/>
  <c r="A1319" i="7"/>
  <c r="N1318" i="7"/>
  <c r="I1318" i="7"/>
  <c r="B1318" i="7"/>
  <c r="A1318" i="7"/>
  <c r="N1317" i="7"/>
  <c r="I1317" i="7"/>
  <c r="B1317" i="7"/>
  <c r="A1317" i="7"/>
  <c r="N1316" i="7"/>
  <c r="I1316" i="7"/>
  <c r="B1316" i="7"/>
  <c r="A1316" i="7"/>
  <c r="N1315" i="7"/>
  <c r="I1315" i="7"/>
  <c r="B1315" i="7"/>
  <c r="A1315" i="7"/>
  <c r="N1314" i="7"/>
  <c r="I1314" i="7"/>
  <c r="B1314" i="7"/>
  <c r="A1314" i="7"/>
  <c r="N1313" i="7"/>
  <c r="I1313" i="7"/>
  <c r="B1313" i="7"/>
  <c r="A1313" i="7"/>
  <c r="N1312" i="7"/>
  <c r="I1312" i="7"/>
  <c r="B1312" i="7"/>
  <c r="A1312" i="7"/>
  <c r="N1311" i="7"/>
  <c r="I1311" i="7"/>
  <c r="B1311" i="7"/>
  <c r="A1311" i="7"/>
  <c r="N1310" i="7"/>
  <c r="I1310" i="7"/>
  <c r="B1310" i="7"/>
  <c r="A1310" i="7"/>
  <c r="N1309" i="7"/>
  <c r="I1309" i="7"/>
  <c r="B1309" i="7"/>
  <c r="A1309" i="7"/>
  <c r="N1308" i="7"/>
  <c r="I1308" i="7"/>
  <c r="B1308" i="7"/>
  <c r="A1308" i="7"/>
  <c r="N1307" i="7"/>
  <c r="I1307" i="7"/>
  <c r="B1307" i="7"/>
  <c r="A1307" i="7"/>
  <c r="N1306" i="7"/>
  <c r="I1306" i="7"/>
  <c r="B1306" i="7"/>
  <c r="A1306" i="7"/>
  <c r="N1305" i="7"/>
  <c r="I1305" i="7"/>
  <c r="B1305" i="7"/>
  <c r="A1305" i="7"/>
  <c r="N1304" i="7"/>
  <c r="I1304" i="7"/>
  <c r="B1304" i="7"/>
  <c r="A1304" i="7"/>
  <c r="N1303" i="7"/>
  <c r="I1303" i="7"/>
  <c r="B1303" i="7"/>
  <c r="A1303" i="7"/>
  <c r="N1302" i="7"/>
  <c r="I1302" i="7"/>
  <c r="B1302" i="7"/>
  <c r="A1302" i="7"/>
  <c r="N1301" i="7"/>
  <c r="I1301" i="7"/>
  <c r="B1301" i="7"/>
  <c r="A1301" i="7"/>
  <c r="N1300" i="7"/>
  <c r="I1300" i="7"/>
  <c r="B1300" i="7"/>
  <c r="A1300" i="7"/>
  <c r="N1299" i="7"/>
  <c r="I1299" i="7"/>
  <c r="B1299" i="7"/>
  <c r="A1299" i="7"/>
  <c r="N1298" i="7"/>
  <c r="I1298" i="7"/>
  <c r="B1298" i="7"/>
  <c r="A1298" i="7"/>
  <c r="N1297" i="7"/>
  <c r="I1297" i="7"/>
  <c r="B1297" i="7"/>
  <c r="A1297" i="7"/>
  <c r="N1296" i="7"/>
  <c r="I1296" i="7"/>
  <c r="B1296" i="7"/>
  <c r="A1296" i="7"/>
  <c r="N1295" i="7"/>
  <c r="I1295" i="7"/>
  <c r="B1295" i="7"/>
  <c r="A1295" i="7"/>
  <c r="N1294" i="7"/>
  <c r="I1294" i="7"/>
  <c r="B1294" i="7"/>
  <c r="A1294" i="7"/>
  <c r="N1293" i="7"/>
  <c r="I1293" i="7"/>
  <c r="B1293" i="7"/>
  <c r="A1293" i="7"/>
  <c r="N1292" i="7"/>
  <c r="I1292" i="7"/>
  <c r="B1292" i="7"/>
  <c r="A1292" i="7"/>
  <c r="N1291" i="7"/>
  <c r="I1291" i="7"/>
  <c r="B1291" i="7"/>
  <c r="A1291" i="7"/>
  <c r="N1290" i="7"/>
  <c r="I1290" i="7"/>
  <c r="B1290" i="7"/>
  <c r="A1290" i="7"/>
  <c r="N1289" i="7"/>
  <c r="I1289" i="7"/>
  <c r="B1289" i="7"/>
  <c r="A1289" i="7"/>
  <c r="N1288" i="7"/>
  <c r="I1288" i="7"/>
  <c r="B1288" i="7"/>
  <c r="A1288" i="7"/>
  <c r="N1287" i="7"/>
  <c r="I1287" i="7"/>
  <c r="B1287" i="7"/>
  <c r="A1287" i="7"/>
  <c r="N1286" i="7"/>
  <c r="I1286" i="7"/>
  <c r="B1286" i="7"/>
  <c r="A1286" i="7"/>
  <c r="N1285" i="7"/>
  <c r="I1285" i="7"/>
  <c r="B1285" i="7"/>
  <c r="A1285" i="7"/>
  <c r="N1284" i="7"/>
  <c r="I1284" i="7"/>
  <c r="B1284" i="7"/>
  <c r="A1284" i="7"/>
  <c r="N1283" i="7"/>
  <c r="I1283" i="7"/>
  <c r="B1283" i="7"/>
  <c r="A1283" i="7"/>
  <c r="N1282" i="7"/>
  <c r="I1282" i="7"/>
  <c r="B1282" i="7"/>
  <c r="A1282" i="7"/>
  <c r="N1281" i="7"/>
  <c r="I1281" i="7"/>
  <c r="B1281" i="7"/>
  <c r="A1281" i="7"/>
  <c r="N1280" i="7"/>
  <c r="I1280" i="7"/>
  <c r="B1280" i="7"/>
  <c r="A1280" i="7"/>
  <c r="B1279" i="7"/>
  <c r="A1279" i="7"/>
  <c r="B1278" i="7"/>
  <c r="A1278" i="7"/>
  <c r="B1277" i="7"/>
  <c r="A1277" i="7"/>
  <c r="B1276" i="7"/>
  <c r="A1276" i="7"/>
  <c r="B1275" i="7"/>
  <c r="A1275" i="7"/>
  <c r="B1274" i="7"/>
  <c r="A1274" i="7"/>
  <c r="B1273" i="7"/>
  <c r="A1273" i="7"/>
  <c r="B1272" i="7"/>
  <c r="A1272" i="7"/>
  <c r="B1271" i="7"/>
  <c r="A1271" i="7"/>
  <c r="B1270" i="7"/>
  <c r="A1270" i="7"/>
  <c r="B1269" i="7"/>
  <c r="A1269" i="7"/>
  <c r="B1268" i="7"/>
  <c r="A1268" i="7"/>
  <c r="B1267" i="7"/>
  <c r="A1267" i="7"/>
  <c r="B1266" i="7"/>
  <c r="A1266" i="7"/>
  <c r="B1265" i="7"/>
  <c r="A1265" i="7"/>
  <c r="B1264" i="7"/>
  <c r="A1264" i="7"/>
  <c r="B1263" i="7"/>
  <c r="A1263" i="7"/>
  <c r="B1262" i="7"/>
  <c r="A1262" i="7"/>
  <c r="B1261" i="7"/>
  <c r="A1261" i="7"/>
  <c r="B1260" i="7"/>
  <c r="A1260" i="7"/>
  <c r="B1259" i="7"/>
  <c r="A1259" i="7"/>
  <c r="B1258" i="7"/>
  <c r="A1258" i="7"/>
  <c r="B1257" i="7"/>
  <c r="A1257" i="7"/>
  <c r="B1256" i="7"/>
  <c r="A1256" i="7"/>
  <c r="B1255" i="7"/>
  <c r="A1255" i="7"/>
  <c r="B1254" i="7"/>
  <c r="A1254" i="7"/>
  <c r="B1253" i="7"/>
  <c r="A1253" i="7"/>
  <c r="B1252" i="7"/>
  <c r="A1252" i="7"/>
  <c r="B1251" i="7"/>
  <c r="A1251" i="7"/>
  <c r="B1250" i="7"/>
  <c r="A1250" i="7"/>
  <c r="B1249" i="7"/>
  <c r="A1249" i="7"/>
  <c r="B1248" i="7"/>
  <c r="A1248" i="7"/>
  <c r="B1247" i="7"/>
  <c r="A1247" i="7"/>
  <c r="N1246" i="7"/>
  <c r="I1246" i="7"/>
  <c r="B1246" i="7"/>
  <c r="A1246" i="7"/>
  <c r="N1245" i="7"/>
  <c r="I1245" i="7"/>
  <c r="B1245" i="7"/>
  <c r="A1245" i="7"/>
  <c r="N1244" i="7"/>
  <c r="I1244" i="7"/>
  <c r="B1244" i="7"/>
  <c r="A1244" i="7"/>
  <c r="N1243" i="7"/>
  <c r="I1243" i="7"/>
  <c r="B1243" i="7"/>
  <c r="A1243" i="7"/>
  <c r="N1242" i="7"/>
  <c r="I1242" i="7"/>
  <c r="B1242" i="7"/>
  <c r="A1242" i="7"/>
  <c r="N1241" i="7"/>
  <c r="I1241" i="7"/>
  <c r="B1241" i="7"/>
  <c r="A1241" i="7"/>
  <c r="N1240" i="7"/>
  <c r="I1240" i="7"/>
  <c r="B1240" i="7"/>
  <c r="A1240" i="7"/>
  <c r="N1239" i="7"/>
  <c r="I1239" i="7"/>
  <c r="B1239" i="7"/>
  <c r="A1239" i="7"/>
  <c r="N1238" i="7"/>
  <c r="I1238" i="7"/>
  <c r="B1238" i="7"/>
  <c r="A1238" i="7"/>
  <c r="N1237" i="7"/>
  <c r="I1237" i="7"/>
  <c r="B1237" i="7"/>
  <c r="A1237" i="7"/>
  <c r="N1236" i="7"/>
  <c r="I1236" i="7"/>
  <c r="B1236" i="7"/>
  <c r="A1236" i="7"/>
  <c r="N1235" i="7"/>
  <c r="I1235" i="7"/>
  <c r="B1235" i="7"/>
  <c r="A1235" i="7"/>
  <c r="N1234" i="7"/>
  <c r="I1234" i="7"/>
  <c r="B1234" i="7"/>
  <c r="A1234" i="7"/>
  <c r="N1233" i="7"/>
  <c r="I1233" i="7"/>
  <c r="B1233" i="7"/>
  <c r="A1233" i="7"/>
  <c r="N1232" i="7"/>
  <c r="I1232" i="7"/>
  <c r="B1232" i="7"/>
  <c r="A1232" i="7"/>
  <c r="N1231" i="7"/>
  <c r="I1231" i="7"/>
  <c r="B1231" i="7"/>
  <c r="A1231" i="7"/>
  <c r="N1230" i="7"/>
  <c r="I1230" i="7"/>
  <c r="B1230" i="7"/>
  <c r="A1230" i="7"/>
  <c r="N1229" i="7"/>
  <c r="I1229" i="7"/>
  <c r="B1229" i="7"/>
  <c r="A1229" i="7"/>
  <c r="N1228" i="7"/>
  <c r="I1228" i="7"/>
  <c r="B1228" i="7"/>
  <c r="A1228" i="7"/>
  <c r="N1227" i="7"/>
  <c r="I1227" i="7"/>
  <c r="B1227" i="7"/>
  <c r="A1227" i="7"/>
  <c r="N1226" i="7"/>
  <c r="I1226" i="7"/>
  <c r="B1226" i="7"/>
  <c r="A1226" i="7"/>
  <c r="N1225" i="7"/>
  <c r="I1225" i="7"/>
  <c r="B1225" i="7"/>
  <c r="A1225" i="7"/>
  <c r="N1224" i="7"/>
  <c r="I1224" i="7"/>
  <c r="B1224" i="7"/>
  <c r="A1224" i="7"/>
  <c r="N1223" i="7"/>
  <c r="I1223" i="7"/>
  <c r="B1223" i="7"/>
  <c r="A1223" i="7"/>
  <c r="N1222" i="7"/>
  <c r="I1222" i="7"/>
  <c r="B1222" i="7"/>
  <c r="A1222" i="7"/>
  <c r="N1221" i="7"/>
  <c r="I1221" i="7"/>
  <c r="B1221" i="7"/>
  <c r="A1221" i="7"/>
  <c r="N1220" i="7"/>
  <c r="I1220" i="7"/>
  <c r="B1220" i="7"/>
  <c r="A1220" i="7"/>
  <c r="N1219" i="7"/>
  <c r="I1219" i="7"/>
  <c r="B1219" i="7"/>
  <c r="A1219" i="7"/>
  <c r="N1218" i="7"/>
  <c r="I1218" i="7"/>
  <c r="B1218" i="7"/>
  <c r="A1218" i="7"/>
  <c r="N1217" i="7"/>
  <c r="I1217" i="7"/>
  <c r="B1217" i="7"/>
  <c r="A1217" i="7"/>
  <c r="N1216" i="7"/>
  <c r="I1216" i="7"/>
  <c r="B1216" i="7"/>
  <c r="A1216" i="7"/>
  <c r="N1215" i="7"/>
  <c r="I1215" i="7"/>
  <c r="B1215" i="7"/>
  <c r="A1215" i="7"/>
  <c r="N1214" i="7"/>
  <c r="I1214" i="7"/>
  <c r="B1214" i="7"/>
  <c r="A1214" i="7"/>
  <c r="N1213" i="7"/>
  <c r="I1213" i="7"/>
  <c r="B1213" i="7"/>
  <c r="A1213" i="7"/>
  <c r="N1212" i="7"/>
  <c r="I1212" i="7"/>
  <c r="B1212" i="7"/>
  <c r="A1212" i="7"/>
  <c r="N1211" i="7"/>
  <c r="I1211" i="7"/>
  <c r="B1211" i="7"/>
  <c r="A1211" i="7"/>
  <c r="N1210" i="7"/>
  <c r="I1210" i="7"/>
  <c r="B1210" i="7"/>
  <c r="A1210" i="7"/>
  <c r="N1209" i="7"/>
  <c r="I1209" i="7"/>
  <c r="B1209" i="7"/>
  <c r="A1209" i="7"/>
  <c r="N1208" i="7"/>
  <c r="I1208" i="7"/>
  <c r="B1208" i="7"/>
  <c r="A1208" i="7"/>
  <c r="N1207" i="7"/>
  <c r="I1207" i="7"/>
  <c r="B1207" i="7"/>
  <c r="A1207" i="7"/>
  <c r="N1206" i="7"/>
  <c r="I1206" i="7"/>
  <c r="B1206" i="7"/>
  <c r="A1206" i="7"/>
  <c r="N1205" i="7"/>
  <c r="I1205" i="7"/>
  <c r="B1205" i="7"/>
  <c r="A1205" i="7"/>
  <c r="N1204" i="7"/>
  <c r="I1204" i="7"/>
  <c r="B1204" i="7"/>
  <c r="A1204" i="7"/>
  <c r="N1203" i="7"/>
  <c r="I1203" i="7"/>
  <c r="B1203" i="7"/>
  <c r="A1203" i="7"/>
  <c r="N1202" i="7"/>
  <c r="I1202" i="7"/>
  <c r="B1202" i="7"/>
  <c r="A1202" i="7"/>
  <c r="N1201" i="7"/>
  <c r="I1201" i="7"/>
  <c r="B1201" i="7"/>
  <c r="A1201" i="7"/>
  <c r="N1200" i="7"/>
  <c r="I1200" i="7"/>
  <c r="B1200" i="7"/>
  <c r="A1200" i="7"/>
  <c r="N1199" i="7"/>
  <c r="I1199" i="7"/>
  <c r="B1199" i="7"/>
  <c r="A1199" i="7"/>
  <c r="N1198" i="7"/>
  <c r="I1198" i="7"/>
  <c r="B1198" i="7"/>
  <c r="A1198" i="7"/>
  <c r="N1197" i="7"/>
  <c r="I1197" i="7"/>
  <c r="B1197" i="7"/>
  <c r="A1197" i="7"/>
  <c r="N1196" i="7"/>
  <c r="I1196" i="7"/>
  <c r="B1196" i="7"/>
  <c r="A1196" i="7"/>
  <c r="N1195" i="7"/>
  <c r="I1195" i="7"/>
  <c r="B1195" i="7"/>
  <c r="A1195" i="7"/>
  <c r="N1194" i="7"/>
  <c r="I1194" i="7"/>
  <c r="B1194" i="7"/>
  <c r="A1194" i="7"/>
  <c r="N1193" i="7"/>
  <c r="I1193" i="7"/>
  <c r="B1193" i="7"/>
  <c r="A1193" i="7"/>
  <c r="N1192" i="7"/>
  <c r="I1192" i="7"/>
  <c r="B1192" i="7"/>
  <c r="A1192" i="7"/>
  <c r="N1191" i="7"/>
  <c r="I1191" i="7"/>
  <c r="B1191" i="7"/>
  <c r="A1191" i="7"/>
  <c r="N1190" i="7"/>
  <c r="I1190" i="7"/>
  <c r="B1190" i="7"/>
  <c r="A1190" i="7"/>
  <c r="N1189" i="7"/>
  <c r="I1189" i="7"/>
  <c r="B1189" i="7"/>
  <c r="A1189" i="7"/>
  <c r="N1188" i="7"/>
  <c r="I1188" i="7"/>
  <c r="B1188" i="7"/>
  <c r="A1188" i="7"/>
  <c r="N1187" i="7"/>
  <c r="I1187" i="7"/>
  <c r="B1187" i="7"/>
  <c r="A1187" i="7"/>
  <c r="N1186" i="7"/>
  <c r="I1186" i="7"/>
  <c r="B1186" i="7"/>
  <c r="A1186" i="7"/>
  <c r="N1185" i="7"/>
  <c r="I1185" i="7"/>
  <c r="B1185" i="7"/>
  <c r="A1185" i="7"/>
  <c r="N1184" i="7"/>
  <c r="I1184" i="7"/>
  <c r="B1184" i="7"/>
  <c r="A1184" i="7"/>
  <c r="B1183" i="7"/>
  <c r="A1183" i="7"/>
  <c r="N1182" i="7"/>
  <c r="I1182" i="7"/>
  <c r="B1182" i="7"/>
  <c r="A1182" i="7"/>
  <c r="N1181" i="7"/>
  <c r="I1181" i="7"/>
  <c r="B1181" i="7"/>
  <c r="A1181" i="7"/>
  <c r="N1180" i="7"/>
  <c r="I1180" i="7"/>
  <c r="B1180" i="7"/>
  <c r="A1180" i="7"/>
  <c r="N1179" i="7"/>
  <c r="I1179" i="7"/>
  <c r="B1179" i="7"/>
  <c r="A1179" i="7"/>
  <c r="N1178" i="7"/>
  <c r="I1178" i="7"/>
  <c r="B1178" i="7"/>
  <c r="A1178" i="7"/>
  <c r="N1177" i="7"/>
  <c r="I1177" i="7"/>
  <c r="B1177" i="7"/>
  <c r="A1177" i="7"/>
  <c r="N1176" i="7"/>
  <c r="I1176" i="7"/>
  <c r="B1176" i="7"/>
  <c r="A1176" i="7"/>
  <c r="N1175" i="7"/>
  <c r="I1175" i="7"/>
  <c r="B1175" i="7"/>
  <c r="A1175" i="7"/>
  <c r="N1174" i="7"/>
  <c r="I1174" i="7"/>
  <c r="B1174" i="7"/>
  <c r="A1174" i="7"/>
  <c r="B1173" i="7"/>
  <c r="A1173" i="7"/>
  <c r="B1172" i="7"/>
  <c r="A1172" i="7"/>
  <c r="N1171" i="7"/>
  <c r="I1171" i="7"/>
  <c r="B1171" i="7"/>
  <c r="A1171" i="7"/>
  <c r="N1170" i="7"/>
  <c r="I1170" i="7"/>
  <c r="B1170" i="7"/>
  <c r="A1170" i="7"/>
  <c r="N1169" i="7"/>
  <c r="I1169" i="7"/>
  <c r="B1169" i="7"/>
  <c r="A1169" i="7"/>
  <c r="N1168" i="7"/>
  <c r="I1168" i="7"/>
  <c r="B1168" i="7"/>
  <c r="A1168" i="7"/>
  <c r="N1167" i="7"/>
  <c r="I1167" i="7"/>
  <c r="B1167" i="7"/>
  <c r="A1167" i="7"/>
  <c r="N1166" i="7"/>
  <c r="I1166" i="7"/>
  <c r="B1166" i="7"/>
  <c r="A1166" i="7"/>
  <c r="N1165" i="7"/>
  <c r="I1165" i="7"/>
  <c r="B1165" i="7"/>
  <c r="A1165" i="7"/>
  <c r="N1164" i="7"/>
  <c r="I1164" i="7"/>
  <c r="B1164" i="7"/>
  <c r="A1164" i="7"/>
  <c r="N1163" i="7"/>
  <c r="I1163" i="7"/>
  <c r="B1163" i="7"/>
  <c r="A1163" i="7"/>
  <c r="N1162" i="7"/>
  <c r="I1162" i="7"/>
  <c r="B1162" i="7"/>
  <c r="A1162" i="7"/>
  <c r="N1161" i="7"/>
  <c r="I1161" i="7"/>
  <c r="B1161" i="7"/>
  <c r="A1161" i="7"/>
  <c r="N1160" i="7"/>
  <c r="I1160" i="7"/>
  <c r="B1160" i="7"/>
  <c r="A1160" i="7"/>
  <c r="N1159" i="7"/>
  <c r="I1159" i="7"/>
  <c r="B1159" i="7"/>
  <c r="A1159" i="7"/>
  <c r="N1158" i="7"/>
  <c r="I1158" i="7"/>
  <c r="B1158" i="7"/>
  <c r="A1158" i="7"/>
  <c r="N1157" i="7"/>
  <c r="I1157" i="7"/>
  <c r="B1157" i="7"/>
  <c r="A1157" i="7"/>
  <c r="N1156" i="7"/>
  <c r="I1156" i="7"/>
  <c r="B1156" i="7"/>
  <c r="A1156" i="7"/>
  <c r="N1155" i="7"/>
  <c r="I1155" i="7"/>
  <c r="B1155" i="7"/>
  <c r="A1155" i="7"/>
  <c r="N1154" i="7"/>
  <c r="I1154" i="7"/>
  <c r="B1154" i="7"/>
  <c r="A1154" i="7"/>
  <c r="B1153" i="7"/>
  <c r="A1153" i="7"/>
  <c r="B1152" i="7"/>
  <c r="A1152" i="7"/>
  <c r="N1151" i="7"/>
  <c r="I1151" i="7"/>
  <c r="B1151" i="7"/>
  <c r="A1151" i="7"/>
  <c r="N1150" i="7"/>
  <c r="I1150" i="7"/>
  <c r="B1150" i="7"/>
  <c r="A1150" i="7"/>
  <c r="N1149" i="7"/>
  <c r="I1149" i="7"/>
  <c r="B1149" i="7"/>
  <c r="A1149" i="7"/>
  <c r="N1148" i="7"/>
  <c r="I1148" i="7"/>
  <c r="B1148" i="7"/>
  <c r="A1148" i="7"/>
  <c r="N1147" i="7"/>
  <c r="I1147" i="7"/>
  <c r="B1147" i="7"/>
  <c r="A1147" i="7"/>
  <c r="N1146" i="7"/>
  <c r="I1146" i="7"/>
  <c r="B1146" i="7"/>
  <c r="A1146" i="7"/>
  <c r="N1145" i="7"/>
  <c r="I1145" i="7"/>
  <c r="B1145" i="7"/>
  <c r="A1145" i="7"/>
  <c r="N1144" i="7"/>
  <c r="I1144" i="7"/>
  <c r="B1144" i="7"/>
  <c r="A1144" i="7"/>
  <c r="N1143" i="7"/>
  <c r="I1143" i="7"/>
  <c r="B1143" i="7"/>
  <c r="A1143" i="7"/>
  <c r="N1142" i="7"/>
  <c r="I1142" i="7"/>
  <c r="B1142" i="7"/>
  <c r="A1142" i="7"/>
  <c r="N1141" i="7"/>
  <c r="I1141" i="7"/>
  <c r="B1141" i="7"/>
  <c r="A1141" i="7"/>
  <c r="N1140" i="7"/>
  <c r="I1140" i="7"/>
  <c r="B1140" i="7"/>
  <c r="A1140" i="7"/>
  <c r="N1139" i="7"/>
  <c r="I1139" i="7"/>
  <c r="B1139" i="7"/>
  <c r="A1139" i="7"/>
  <c r="N1138" i="7"/>
  <c r="I1138" i="7"/>
  <c r="B1138" i="7"/>
  <c r="A1138" i="7"/>
  <c r="N1137" i="7"/>
  <c r="I1137" i="7"/>
  <c r="B1137" i="7"/>
  <c r="A1137" i="7"/>
  <c r="N1136" i="7"/>
  <c r="I1136" i="7"/>
  <c r="B1136" i="7"/>
  <c r="A1136" i="7"/>
  <c r="N1135" i="7"/>
  <c r="I1135" i="7"/>
  <c r="B1135" i="7"/>
  <c r="A1135" i="7"/>
  <c r="N1134" i="7"/>
  <c r="I1134" i="7"/>
  <c r="B1134" i="7"/>
  <c r="A1134" i="7"/>
  <c r="N1133" i="7"/>
  <c r="I1133" i="7"/>
  <c r="B1133" i="7"/>
  <c r="A1133" i="7"/>
  <c r="N1132" i="7"/>
  <c r="I1132" i="7"/>
  <c r="B1132" i="7"/>
  <c r="A1132" i="7"/>
  <c r="N1131" i="7"/>
  <c r="I1131" i="7"/>
  <c r="B1131" i="7"/>
  <c r="A1131" i="7"/>
  <c r="N1130" i="7"/>
  <c r="I1130" i="7"/>
  <c r="B1130" i="7"/>
  <c r="A1130" i="7"/>
  <c r="N1129" i="7"/>
  <c r="I1129" i="7"/>
  <c r="B1129" i="7"/>
  <c r="A1129" i="7"/>
  <c r="N1128" i="7"/>
  <c r="I1128" i="7"/>
  <c r="B1128" i="7"/>
  <c r="A1128" i="7"/>
  <c r="N1127" i="7"/>
  <c r="I1127" i="7"/>
  <c r="B1127" i="7"/>
  <c r="A1127" i="7"/>
  <c r="N1126" i="7"/>
  <c r="I1126" i="7"/>
  <c r="B1126" i="7"/>
  <c r="A1126" i="7"/>
  <c r="N1125" i="7"/>
  <c r="I1125" i="7"/>
  <c r="B1125" i="7"/>
  <c r="A1125" i="7"/>
  <c r="N1124" i="7"/>
  <c r="I1124" i="7"/>
  <c r="B1124" i="7"/>
  <c r="A1124" i="7"/>
  <c r="N1123" i="7"/>
  <c r="I1123" i="7"/>
  <c r="B1123" i="7"/>
  <c r="A1123" i="7"/>
  <c r="N1122" i="7"/>
  <c r="I1122" i="7"/>
  <c r="B1122" i="7"/>
  <c r="A1122" i="7"/>
  <c r="B1121" i="7"/>
  <c r="A1121" i="7"/>
  <c r="B1120" i="7"/>
  <c r="A1120" i="7"/>
  <c r="B1119" i="7"/>
  <c r="A1119" i="7"/>
  <c r="N1118" i="7"/>
  <c r="I1118" i="7"/>
  <c r="B1118" i="7"/>
  <c r="A1118" i="7"/>
  <c r="N1117" i="7"/>
  <c r="I1117" i="7"/>
  <c r="B1117" i="7"/>
  <c r="A1117" i="7"/>
  <c r="N1116" i="7"/>
  <c r="I1116" i="7"/>
  <c r="B1116" i="7"/>
  <c r="A1116" i="7"/>
  <c r="N1115" i="7"/>
  <c r="I1115" i="7"/>
  <c r="B1115" i="7"/>
  <c r="A1115" i="7"/>
  <c r="N1114" i="7"/>
  <c r="I1114" i="7"/>
  <c r="B1114" i="7"/>
  <c r="A1114" i="7"/>
  <c r="N1113" i="7"/>
  <c r="I1113" i="7"/>
  <c r="B1113" i="7"/>
  <c r="A1113" i="7"/>
  <c r="N1112" i="7"/>
  <c r="I1112" i="7"/>
  <c r="B1112" i="7"/>
  <c r="A1112" i="7"/>
  <c r="N1111" i="7"/>
  <c r="I1111" i="7"/>
  <c r="B1111" i="7"/>
  <c r="A1111" i="7"/>
  <c r="N1110" i="7"/>
  <c r="I1110" i="7"/>
  <c r="B1110" i="7"/>
  <c r="A1110" i="7"/>
  <c r="N1109" i="7"/>
  <c r="I1109" i="7"/>
  <c r="B1109" i="7"/>
  <c r="A1109" i="7"/>
  <c r="N1108" i="7"/>
  <c r="I1108" i="7"/>
  <c r="B1108" i="7"/>
  <c r="A1108" i="7"/>
  <c r="N1107" i="7"/>
  <c r="I1107" i="7"/>
  <c r="B1107" i="7"/>
  <c r="A1107" i="7"/>
  <c r="N1106" i="7"/>
  <c r="I1106" i="7"/>
  <c r="B1106" i="7"/>
  <c r="A1106" i="7"/>
  <c r="N1105" i="7"/>
  <c r="I1105" i="7"/>
  <c r="B1105" i="7"/>
  <c r="A1105" i="7"/>
  <c r="N1104" i="7"/>
  <c r="I1104" i="7"/>
  <c r="B1104" i="7"/>
  <c r="A1104" i="7"/>
  <c r="B1103" i="7"/>
  <c r="A1103" i="7"/>
  <c r="B1102" i="7"/>
  <c r="A1102" i="7"/>
  <c r="B1101" i="7"/>
  <c r="A1101" i="7"/>
  <c r="B1100" i="7"/>
  <c r="A1100" i="7"/>
  <c r="B1099" i="7"/>
  <c r="A1099" i="7"/>
  <c r="B1098" i="7"/>
  <c r="A1098" i="7"/>
  <c r="N1097" i="7"/>
  <c r="I1097" i="7"/>
  <c r="B1097" i="7"/>
  <c r="A1097" i="7"/>
  <c r="B1096" i="7"/>
  <c r="A1096" i="7"/>
  <c r="B1095" i="7"/>
  <c r="A1095" i="7"/>
  <c r="B1094" i="7"/>
  <c r="A1094" i="7"/>
  <c r="N1093" i="7"/>
  <c r="I1093" i="7"/>
  <c r="B1093" i="7"/>
  <c r="A1093" i="7"/>
  <c r="N1092" i="7"/>
  <c r="I1092" i="7"/>
  <c r="B1092" i="7"/>
  <c r="A1092" i="7"/>
  <c r="N1091" i="7"/>
  <c r="I1091" i="7"/>
  <c r="B1091" i="7"/>
  <c r="A1091" i="7"/>
  <c r="N1090" i="7"/>
  <c r="I1090" i="7"/>
  <c r="B1090" i="7"/>
  <c r="A1090" i="7"/>
  <c r="N1089" i="7"/>
  <c r="I1089" i="7"/>
  <c r="B1089" i="7"/>
  <c r="A1089" i="7"/>
  <c r="N1088" i="7"/>
  <c r="I1088" i="7"/>
  <c r="B1088" i="7"/>
  <c r="A1088" i="7"/>
  <c r="N1087" i="7"/>
  <c r="I1087" i="7"/>
  <c r="B1087" i="7"/>
  <c r="A1087" i="7"/>
  <c r="N1086" i="7"/>
  <c r="I1086" i="7"/>
  <c r="B1086" i="7"/>
  <c r="A1086" i="7"/>
  <c r="N1085" i="7"/>
  <c r="I1085" i="7"/>
  <c r="B1085" i="7"/>
  <c r="A1085" i="7"/>
  <c r="N1084" i="7"/>
  <c r="I1084" i="7"/>
  <c r="B1084" i="7"/>
  <c r="A1084" i="7"/>
  <c r="N1083" i="7"/>
  <c r="I1083" i="7"/>
  <c r="B1083" i="7"/>
  <c r="A1083" i="7"/>
  <c r="N1082" i="7"/>
  <c r="I1082" i="7"/>
  <c r="B1082" i="7"/>
  <c r="A1082" i="7"/>
  <c r="N1081" i="7"/>
  <c r="I1081" i="7"/>
  <c r="B1081" i="7"/>
  <c r="A1081" i="7"/>
  <c r="N1080" i="7"/>
  <c r="I1080" i="7"/>
  <c r="B1080" i="7"/>
  <c r="A1080" i="7"/>
  <c r="N1079" i="7"/>
  <c r="I1079" i="7"/>
  <c r="B1079" i="7"/>
  <c r="A1079" i="7"/>
  <c r="N1078" i="7"/>
  <c r="I1078" i="7"/>
  <c r="B1078" i="7"/>
  <c r="A1078" i="7"/>
  <c r="N1077" i="7"/>
  <c r="I1077" i="7"/>
  <c r="B1077" i="7"/>
  <c r="A1077" i="7"/>
  <c r="N1076" i="7"/>
  <c r="I1076" i="7"/>
  <c r="B1076" i="7"/>
  <c r="A1076" i="7"/>
  <c r="N1075" i="7"/>
  <c r="I1075" i="7"/>
  <c r="B1075" i="7"/>
  <c r="A1075" i="7"/>
  <c r="N1074" i="7"/>
  <c r="I1074" i="7"/>
  <c r="B1074" i="7"/>
  <c r="A1074" i="7"/>
  <c r="N1073" i="7"/>
  <c r="I1073" i="7"/>
  <c r="B1073" i="7"/>
  <c r="A1073" i="7"/>
  <c r="N1072" i="7"/>
  <c r="I1072" i="7"/>
  <c r="B1072" i="7"/>
  <c r="A1072" i="7"/>
  <c r="N1071" i="7"/>
  <c r="I1071" i="7"/>
  <c r="B1071" i="7"/>
  <c r="A1071" i="7"/>
  <c r="N1070" i="7"/>
  <c r="I1070" i="7"/>
  <c r="B1070" i="7"/>
  <c r="A1070" i="7"/>
  <c r="N1069" i="7"/>
  <c r="I1069" i="7"/>
  <c r="B1069" i="7"/>
  <c r="A1069" i="7"/>
  <c r="N1068" i="7"/>
  <c r="I1068" i="7"/>
  <c r="B1068" i="7"/>
  <c r="A1068" i="7"/>
  <c r="N1067" i="7"/>
  <c r="I1067" i="7"/>
  <c r="B1067" i="7"/>
  <c r="A1067" i="7"/>
  <c r="N1066" i="7"/>
  <c r="I1066" i="7"/>
  <c r="B1066" i="7"/>
  <c r="A1066" i="7"/>
  <c r="N1065" i="7"/>
  <c r="I1065" i="7"/>
  <c r="B1065" i="7"/>
  <c r="A1065" i="7"/>
  <c r="N1064" i="7"/>
  <c r="I1064" i="7"/>
  <c r="B1064" i="7"/>
  <c r="A1064" i="7"/>
  <c r="N1063" i="7"/>
  <c r="I1063" i="7"/>
  <c r="B1063" i="7"/>
  <c r="A1063" i="7"/>
  <c r="N1062" i="7"/>
  <c r="I1062" i="7"/>
  <c r="B1062" i="7"/>
  <c r="A1062" i="7"/>
  <c r="N1061" i="7"/>
  <c r="I1061" i="7"/>
  <c r="B1061" i="7"/>
  <c r="A1061" i="7"/>
  <c r="N1060" i="7"/>
  <c r="I1060" i="7"/>
  <c r="B1060" i="7"/>
  <c r="A1060" i="7"/>
  <c r="N1059" i="7"/>
  <c r="I1059" i="7"/>
  <c r="B1059" i="7"/>
  <c r="A1059" i="7"/>
  <c r="N1058" i="7"/>
  <c r="I1058" i="7"/>
  <c r="B1058" i="7"/>
  <c r="A1058" i="7"/>
  <c r="N1057" i="7"/>
  <c r="I1057" i="7"/>
  <c r="B1057" i="7"/>
  <c r="A1057" i="7"/>
  <c r="N1056" i="7"/>
  <c r="I1056" i="7"/>
  <c r="B1056" i="7"/>
  <c r="A1056" i="7"/>
  <c r="N1055" i="7"/>
  <c r="I1055" i="7"/>
  <c r="B1055" i="7"/>
  <c r="A1055" i="7"/>
  <c r="N1054" i="7"/>
  <c r="I1054" i="7"/>
  <c r="B1054" i="7"/>
  <c r="A1054" i="7"/>
  <c r="N1053" i="7"/>
  <c r="I1053" i="7"/>
  <c r="B1053" i="7"/>
  <c r="A1053" i="7"/>
  <c r="N1052" i="7"/>
  <c r="I1052" i="7"/>
  <c r="B1052" i="7"/>
  <c r="A1052" i="7"/>
  <c r="N1051" i="7"/>
  <c r="I1051" i="7"/>
  <c r="B1051" i="7"/>
  <c r="A1051" i="7"/>
  <c r="N1050" i="7"/>
  <c r="I1050" i="7"/>
  <c r="B1050" i="7"/>
  <c r="A1050" i="7"/>
  <c r="N1049" i="7"/>
  <c r="I1049" i="7"/>
  <c r="B1049" i="7"/>
  <c r="A1049" i="7"/>
  <c r="N1048" i="7"/>
  <c r="I1048" i="7"/>
  <c r="B1048" i="7"/>
  <c r="A1048" i="7"/>
  <c r="N1047" i="7"/>
  <c r="I1047" i="7"/>
  <c r="B1047" i="7"/>
  <c r="A1047" i="7"/>
  <c r="N1046" i="7"/>
  <c r="I1046" i="7"/>
  <c r="B1046" i="7"/>
  <c r="A1046" i="7"/>
  <c r="N1045" i="7"/>
  <c r="I1045" i="7"/>
  <c r="B1045" i="7"/>
  <c r="A1045" i="7"/>
  <c r="N1044" i="7"/>
  <c r="I1044" i="7"/>
  <c r="B1044" i="7"/>
  <c r="A1044" i="7"/>
  <c r="N1043" i="7"/>
  <c r="I1043" i="7"/>
  <c r="B1043" i="7"/>
  <c r="A1043" i="7"/>
  <c r="N1042" i="7"/>
  <c r="I1042" i="7"/>
  <c r="B1042" i="7"/>
  <c r="A1042" i="7"/>
  <c r="N1041" i="7"/>
  <c r="I1041" i="7"/>
  <c r="B1041" i="7"/>
  <c r="A1041" i="7"/>
  <c r="N1040" i="7"/>
  <c r="I1040" i="7"/>
  <c r="B1040" i="7"/>
  <c r="A1040" i="7"/>
  <c r="N1039" i="7"/>
  <c r="I1039" i="7"/>
  <c r="B1039" i="7"/>
  <c r="A1039" i="7"/>
  <c r="N1038" i="7"/>
  <c r="I1038" i="7"/>
  <c r="B1038" i="7"/>
  <c r="A1038" i="7"/>
  <c r="N1037" i="7"/>
  <c r="I1037" i="7"/>
  <c r="B1037" i="7"/>
  <c r="A1037" i="7"/>
  <c r="N1036" i="7"/>
  <c r="I1036" i="7"/>
  <c r="B1036" i="7"/>
  <c r="A1036" i="7"/>
  <c r="N1035" i="7"/>
  <c r="I1035" i="7"/>
  <c r="B1035" i="7"/>
  <c r="A1035" i="7"/>
  <c r="N1034" i="7"/>
  <c r="I1034" i="7"/>
  <c r="B1034" i="7"/>
  <c r="A1034" i="7"/>
  <c r="N1033" i="7"/>
  <c r="I1033" i="7"/>
  <c r="B1033" i="7"/>
  <c r="A1033" i="7"/>
  <c r="N1032" i="7"/>
  <c r="I1032" i="7"/>
  <c r="B1032" i="7"/>
  <c r="A1032" i="7"/>
  <c r="B1031" i="7"/>
  <c r="A1031" i="7"/>
  <c r="B1030" i="7"/>
  <c r="A1030" i="7"/>
  <c r="B1029" i="7"/>
  <c r="A1029" i="7"/>
  <c r="B1028" i="7"/>
  <c r="A1028" i="7"/>
  <c r="B1027" i="7"/>
  <c r="A1027" i="7"/>
  <c r="B1026" i="7"/>
  <c r="A1026" i="7"/>
  <c r="B1025" i="7"/>
  <c r="A1025" i="7"/>
  <c r="N1024" i="7"/>
  <c r="I1024" i="7"/>
  <c r="B1024" i="7"/>
  <c r="A1024" i="7"/>
  <c r="N1023" i="7"/>
  <c r="I1023" i="7"/>
  <c r="B1023" i="7"/>
  <c r="A1023" i="7"/>
  <c r="N1022" i="7"/>
  <c r="I1022" i="7"/>
  <c r="B1022" i="7"/>
  <c r="A1022" i="7"/>
  <c r="N1021" i="7"/>
  <c r="I1021" i="7"/>
  <c r="B1021" i="7"/>
  <c r="A1021" i="7"/>
  <c r="N1020" i="7"/>
  <c r="I1020" i="7"/>
  <c r="B1020" i="7"/>
  <c r="A1020" i="7"/>
  <c r="N1019" i="7"/>
  <c r="I1019" i="7"/>
  <c r="B1019" i="7"/>
  <c r="A1019" i="7"/>
  <c r="N1018" i="7"/>
  <c r="I1018" i="7"/>
  <c r="B1018" i="7"/>
  <c r="A1018" i="7"/>
  <c r="N1017" i="7"/>
  <c r="I1017" i="7"/>
  <c r="B1017" i="7"/>
  <c r="A1017" i="7"/>
  <c r="N1016" i="7"/>
  <c r="I1016" i="7"/>
  <c r="B1016" i="7"/>
  <c r="A1016" i="7"/>
  <c r="N1015" i="7"/>
  <c r="I1015" i="7"/>
  <c r="B1015" i="7"/>
  <c r="A1015" i="7"/>
  <c r="N1014" i="7"/>
  <c r="I1014" i="7"/>
  <c r="B1014" i="7"/>
  <c r="A1014" i="7"/>
  <c r="N1013" i="7"/>
  <c r="I1013" i="7"/>
  <c r="B1013" i="7"/>
  <c r="A1013" i="7"/>
  <c r="N1012" i="7"/>
  <c r="I1012" i="7"/>
  <c r="B1012" i="7"/>
  <c r="A1012" i="7"/>
  <c r="N1011" i="7"/>
  <c r="I1011" i="7"/>
  <c r="B1011" i="7"/>
  <c r="A1011" i="7"/>
  <c r="N1010" i="7"/>
  <c r="I1010" i="7"/>
  <c r="B1010" i="7"/>
  <c r="A1010" i="7"/>
  <c r="N1009" i="7"/>
  <c r="I1009" i="7"/>
  <c r="B1009" i="7"/>
  <c r="A1009" i="7"/>
  <c r="N1008" i="7"/>
  <c r="I1008" i="7"/>
  <c r="B1008" i="7"/>
  <c r="A1008" i="7"/>
  <c r="N1007" i="7"/>
  <c r="I1007" i="7"/>
  <c r="B1007" i="7"/>
  <c r="A1007" i="7"/>
  <c r="N1006" i="7"/>
  <c r="I1006" i="7"/>
  <c r="B1006" i="7"/>
  <c r="A1006" i="7"/>
  <c r="N1005" i="7"/>
  <c r="I1005" i="7"/>
  <c r="B1005" i="7"/>
  <c r="A1005" i="7"/>
  <c r="N1004" i="7"/>
  <c r="I1004" i="7"/>
  <c r="B1004" i="7"/>
  <c r="A1004" i="7"/>
  <c r="N1003" i="7"/>
  <c r="I1003" i="7"/>
  <c r="B1003" i="7"/>
  <c r="A1003" i="7"/>
  <c r="N1002" i="7"/>
  <c r="I1002" i="7"/>
  <c r="B1002" i="7"/>
  <c r="A1002" i="7"/>
  <c r="N1001" i="7"/>
  <c r="I1001" i="7"/>
  <c r="B1001" i="7"/>
  <c r="A1001" i="7"/>
  <c r="N1000" i="7"/>
  <c r="I1000" i="7"/>
  <c r="B1000" i="7"/>
  <c r="A1000" i="7"/>
  <c r="N999" i="7"/>
  <c r="I999" i="7"/>
  <c r="B999" i="7"/>
  <c r="A999" i="7"/>
  <c r="N998" i="7"/>
  <c r="I998" i="7"/>
  <c r="B998" i="7"/>
  <c r="A998" i="7"/>
  <c r="N997" i="7"/>
  <c r="I997" i="7"/>
  <c r="B997" i="7"/>
  <c r="A997" i="7"/>
  <c r="N996" i="7"/>
  <c r="I996" i="7"/>
  <c r="B996" i="7"/>
  <c r="A996" i="7"/>
  <c r="N995" i="7"/>
  <c r="I995" i="7"/>
  <c r="B995" i="7"/>
  <c r="A995" i="7"/>
  <c r="N994" i="7"/>
  <c r="I994" i="7"/>
  <c r="B994" i="7"/>
  <c r="A994" i="7"/>
  <c r="N993" i="7"/>
  <c r="I993" i="7"/>
  <c r="B993" i="7"/>
  <c r="A993" i="7"/>
  <c r="N992" i="7"/>
  <c r="I992" i="7"/>
  <c r="B992" i="7"/>
  <c r="A992" i="7"/>
  <c r="N991" i="7"/>
  <c r="I991" i="7"/>
  <c r="B991" i="7"/>
  <c r="A991" i="7"/>
  <c r="N990" i="7"/>
  <c r="I990" i="7"/>
  <c r="B990" i="7"/>
  <c r="A990" i="7"/>
  <c r="N989" i="7"/>
  <c r="I989" i="7"/>
  <c r="B989" i="7"/>
  <c r="A989" i="7"/>
  <c r="N988" i="7"/>
  <c r="I988" i="7"/>
  <c r="B988" i="7"/>
  <c r="A988" i="7"/>
  <c r="N987" i="7"/>
  <c r="I987" i="7"/>
  <c r="B987" i="7"/>
  <c r="A987" i="7"/>
  <c r="N986" i="7"/>
  <c r="I986" i="7"/>
  <c r="B986" i="7"/>
  <c r="A986" i="7"/>
  <c r="N985" i="7"/>
  <c r="I985" i="7"/>
  <c r="B985" i="7"/>
  <c r="A985" i="7"/>
  <c r="N984" i="7"/>
  <c r="I984" i="7"/>
  <c r="B984" i="7"/>
  <c r="A984" i="7"/>
  <c r="N983" i="7"/>
  <c r="I983" i="7"/>
  <c r="B983" i="7"/>
  <c r="A983" i="7"/>
  <c r="N982" i="7"/>
  <c r="I982" i="7"/>
  <c r="B982" i="7"/>
  <c r="A982" i="7"/>
  <c r="N981" i="7"/>
  <c r="I981" i="7"/>
  <c r="B981" i="7"/>
  <c r="A981" i="7"/>
  <c r="N980" i="7"/>
  <c r="I980" i="7"/>
  <c r="B980" i="7"/>
  <c r="A980" i="7"/>
  <c r="N979" i="7"/>
  <c r="I979" i="7"/>
  <c r="B979" i="7"/>
  <c r="A979" i="7"/>
  <c r="N978" i="7"/>
  <c r="I978" i="7"/>
  <c r="B978" i="7"/>
  <c r="A978" i="7"/>
  <c r="N977" i="7"/>
  <c r="I977" i="7"/>
  <c r="B977" i="7"/>
  <c r="A977" i="7"/>
  <c r="N976" i="7"/>
  <c r="I976" i="7"/>
  <c r="B976" i="7"/>
  <c r="A976" i="7"/>
  <c r="N975" i="7"/>
  <c r="I975" i="7"/>
  <c r="B975" i="7"/>
  <c r="A975" i="7"/>
  <c r="N974" i="7"/>
  <c r="I974" i="7"/>
  <c r="B974" i="7"/>
  <c r="A974" i="7"/>
  <c r="N973" i="7"/>
  <c r="I973" i="7"/>
  <c r="B973" i="7"/>
  <c r="A973" i="7"/>
  <c r="N972" i="7"/>
  <c r="I972" i="7"/>
  <c r="B972" i="7"/>
  <c r="A972" i="7"/>
  <c r="N971" i="7"/>
  <c r="I971" i="7"/>
  <c r="B971" i="7"/>
  <c r="A971" i="7"/>
  <c r="N970" i="7"/>
  <c r="I970" i="7"/>
  <c r="B970" i="7"/>
  <c r="A970" i="7"/>
  <c r="N969" i="7"/>
  <c r="I969" i="7"/>
  <c r="B969" i="7"/>
  <c r="A969" i="7"/>
  <c r="N968" i="7"/>
  <c r="I968" i="7"/>
  <c r="B968" i="7"/>
  <c r="A968" i="7"/>
  <c r="N967" i="7"/>
  <c r="I967" i="7"/>
  <c r="B967" i="7"/>
  <c r="A967" i="7"/>
  <c r="N966" i="7"/>
  <c r="I966" i="7"/>
  <c r="B966" i="7"/>
  <c r="A966" i="7"/>
  <c r="B965" i="7"/>
  <c r="A965" i="7"/>
  <c r="B964" i="7"/>
  <c r="A964" i="7"/>
  <c r="N963" i="7"/>
  <c r="I963" i="7"/>
  <c r="B963" i="7"/>
  <c r="A963" i="7"/>
  <c r="N962" i="7"/>
  <c r="I962" i="7"/>
  <c r="B962" i="7"/>
  <c r="A962" i="7"/>
  <c r="N961" i="7"/>
  <c r="I961" i="7"/>
  <c r="B961" i="7"/>
  <c r="A961" i="7"/>
  <c r="N960" i="7"/>
  <c r="I960" i="7"/>
  <c r="B960" i="7"/>
  <c r="A960" i="7"/>
  <c r="N959" i="7"/>
  <c r="I959" i="7"/>
  <c r="B959" i="7"/>
  <c r="A959" i="7"/>
  <c r="N958" i="7"/>
  <c r="I958" i="7"/>
  <c r="B958" i="7"/>
  <c r="A958" i="7"/>
  <c r="N957" i="7"/>
  <c r="I957" i="7"/>
  <c r="B957" i="7"/>
  <c r="A957" i="7"/>
  <c r="N956" i="7"/>
  <c r="I956" i="7"/>
  <c r="B956" i="7"/>
  <c r="A956" i="7"/>
  <c r="N955" i="7"/>
  <c r="I955" i="7"/>
  <c r="B955" i="7"/>
  <c r="A955" i="7"/>
  <c r="N954" i="7"/>
  <c r="I954" i="7"/>
  <c r="B954" i="7"/>
  <c r="A954" i="7"/>
  <c r="N953" i="7"/>
  <c r="I953" i="7"/>
  <c r="B953" i="7"/>
  <c r="A953" i="7"/>
  <c r="N952" i="7"/>
  <c r="I952" i="7"/>
  <c r="B952" i="7"/>
  <c r="A952" i="7"/>
  <c r="N951" i="7"/>
  <c r="I951" i="7"/>
  <c r="B951" i="7"/>
  <c r="A951" i="7"/>
  <c r="N950" i="7"/>
  <c r="I950" i="7"/>
  <c r="B950" i="7"/>
  <c r="A950" i="7"/>
  <c r="N949" i="7"/>
  <c r="I949" i="7"/>
  <c r="B949" i="7"/>
  <c r="A949" i="7"/>
  <c r="N948" i="7"/>
  <c r="I948" i="7"/>
  <c r="B948" i="7"/>
  <c r="A948" i="7"/>
  <c r="N947" i="7"/>
  <c r="I947" i="7"/>
  <c r="B947" i="7"/>
  <c r="A947" i="7"/>
  <c r="N946" i="7"/>
  <c r="I946" i="7"/>
  <c r="B946" i="7"/>
  <c r="A946" i="7"/>
  <c r="N945" i="7"/>
  <c r="I945" i="7"/>
  <c r="B945" i="7"/>
  <c r="A945" i="7"/>
  <c r="N944" i="7"/>
  <c r="I944" i="7"/>
  <c r="B944" i="7"/>
  <c r="A944" i="7"/>
  <c r="N943" i="7"/>
  <c r="I943" i="7"/>
  <c r="B943" i="7"/>
  <c r="A943" i="7"/>
  <c r="N942" i="7"/>
  <c r="I942" i="7"/>
  <c r="B942" i="7"/>
  <c r="A942" i="7"/>
  <c r="N941" i="7"/>
  <c r="I941" i="7"/>
  <c r="B941" i="7"/>
  <c r="A941" i="7"/>
  <c r="N940" i="7"/>
  <c r="I940" i="7"/>
  <c r="B940" i="7"/>
  <c r="A940" i="7"/>
  <c r="N939" i="7"/>
  <c r="I939" i="7"/>
  <c r="B939" i="7"/>
  <c r="A939" i="7"/>
  <c r="N938" i="7"/>
  <c r="I938" i="7"/>
  <c r="B938" i="7"/>
  <c r="A938" i="7"/>
  <c r="N937" i="7"/>
  <c r="I937" i="7"/>
  <c r="B937" i="7"/>
  <c r="A937" i="7"/>
  <c r="N936" i="7"/>
  <c r="I936" i="7"/>
  <c r="B936" i="7"/>
  <c r="A936" i="7"/>
  <c r="N935" i="7"/>
  <c r="I935" i="7"/>
  <c r="B935" i="7"/>
  <c r="A935" i="7"/>
  <c r="N934" i="7"/>
  <c r="I934" i="7"/>
  <c r="B934" i="7"/>
  <c r="A934" i="7"/>
  <c r="N933" i="7"/>
  <c r="I933" i="7"/>
  <c r="B933" i="7"/>
  <c r="A933" i="7"/>
  <c r="N932" i="7"/>
  <c r="I932" i="7"/>
  <c r="B932" i="7"/>
  <c r="A932" i="7"/>
  <c r="N931" i="7"/>
  <c r="I931" i="7"/>
  <c r="B931" i="7"/>
  <c r="A931" i="7"/>
  <c r="N930" i="7"/>
  <c r="I930" i="7"/>
  <c r="B930" i="7"/>
  <c r="A930" i="7"/>
  <c r="N929" i="7"/>
  <c r="I929" i="7"/>
  <c r="B929" i="7"/>
  <c r="A929" i="7"/>
  <c r="N928" i="7"/>
  <c r="I928" i="7"/>
  <c r="B928" i="7"/>
  <c r="A928" i="7"/>
  <c r="N927" i="7"/>
  <c r="I927" i="7"/>
  <c r="B927" i="7"/>
  <c r="A927" i="7"/>
  <c r="N926" i="7"/>
  <c r="I926" i="7"/>
  <c r="B926" i="7"/>
  <c r="A926" i="7"/>
  <c r="N925" i="7"/>
  <c r="I925" i="7"/>
  <c r="B925" i="7"/>
  <c r="A925" i="7"/>
  <c r="N924" i="7"/>
  <c r="I924" i="7"/>
  <c r="B924" i="7"/>
  <c r="A924" i="7"/>
  <c r="N923" i="7"/>
  <c r="I923" i="7"/>
  <c r="B923" i="7"/>
  <c r="A923" i="7"/>
  <c r="N922" i="7"/>
  <c r="I922" i="7"/>
  <c r="B922" i="7"/>
  <c r="A922" i="7"/>
  <c r="N921" i="7"/>
  <c r="I921" i="7"/>
  <c r="B921" i="7"/>
  <c r="A921" i="7"/>
  <c r="B920" i="7"/>
  <c r="A920" i="7"/>
  <c r="B919" i="7"/>
  <c r="A919" i="7"/>
  <c r="B918" i="7"/>
  <c r="A918" i="7"/>
  <c r="N917" i="7"/>
  <c r="I917" i="7"/>
  <c r="B917" i="7"/>
  <c r="A917" i="7"/>
  <c r="N916" i="7"/>
  <c r="I916" i="7"/>
  <c r="B916" i="7"/>
  <c r="A916" i="7"/>
  <c r="N915" i="7"/>
  <c r="I915" i="7"/>
  <c r="B915" i="7"/>
  <c r="A915" i="7"/>
  <c r="N914" i="7"/>
  <c r="I914" i="7"/>
  <c r="B914" i="7"/>
  <c r="A914" i="7"/>
  <c r="N913" i="7"/>
  <c r="I913" i="7"/>
  <c r="B913" i="7"/>
  <c r="A913" i="7"/>
  <c r="N912" i="7"/>
  <c r="I912" i="7"/>
  <c r="B912" i="7"/>
  <c r="A912" i="7"/>
  <c r="N911" i="7"/>
  <c r="I911" i="7"/>
  <c r="B911" i="7"/>
  <c r="A911" i="7"/>
  <c r="N910" i="7"/>
  <c r="I910" i="7"/>
  <c r="B910" i="7"/>
  <c r="A910" i="7"/>
  <c r="N909" i="7"/>
  <c r="I909" i="7"/>
  <c r="B909" i="7"/>
  <c r="A909" i="7"/>
  <c r="N908" i="7"/>
  <c r="I908" i="7"/>
  <c r="B908" i="7"/>
  <c r="A908" i="7"/>
  <c r="N907" i="7"/>
  <c r="I907" i="7"/>
  <c r="B907" i="7"/>
  <c r="A907" i="7"/>
  <c r="N906" i="7"/>
  <c r="I906" i="7"/>
  <c r="B906" i="7"/>
  <c r="A906" i="7"/>
  <c r="N905" i="7"/>
  <c r="I905" i="7"/>
  <c r="B905" i="7"/>
  <c r="A905" i="7"/>
  <c r="N904" i="7"/>
  <c r="I904" i="7"/>
  <c r="B904" i="7"/>
  <c r="A904" i="7"/>
  <c r="N903" i="7"/>
  <c r="I903" i="7"/>
  <c r="B903" i="7"/>
  <c r="A903" i="7"/>
  <c r="N902" i="7"/>
  <c r="I902" i="7"/>
  <c r="B902" i="7"/>
  <c r="A902" i="7"/>
  <c r="N901" i="7"/>
  <c r="I901" i="7"/>
  <c r="B901" i="7"/>
  <c r="A901" i="7"/>
  <c r="N900" i="7"/>
  <c r="I900" i="7"/>
  <c r="B900" i="7"/>
  <c r="A900" i="7"/>
  <c r="N899" i="7"/>
  <c r="I899" i="7"/>
  <c r="B899" i="7"/>
  <c r="A899" i="7"/>
  <c r="N898" i="7"/>
  <c r="I898" i="7"/>
  <c r="B898" i="7"/>
  <c r="A898" i="7"/>
  <c r="N897" i="7"/>
  <c r="I897" i="7"/>
  <c r="B897" i="7"/>
  <c r="A897" i="7"/>
  <c r="N896" i="7"/>
  <c r="I896" i="7"/>
  <c r="B896" i="7"/>
  <c r="A896" i="7"/>
  <c r="N895" i="7"/>
  <c r="I895" i="7"/>
  <c r="B895" i="7"/>
  <c r="A895" i="7"/>
  <c r="N894" i="7"/>
  <c r="I894" i="7"/>
  <c r="B894" i="7"/>
  <c r="A894" i="7"/>
  <c r="N893" i="7"/>
  <c r="I893" i="7"/>
  <c r="B893" i="7"/>
  <c r="A893" i="7"/>
  <c r="N892" i="7"/>
  <c r="I892" i="7"/>
  <c r="B892" i="7"/>
  <c r="A892" i="7"/>
  <c r="N891" i="7"/>
  <c r="I891" i="7"/>
  <c r="B891" i="7"/>
  <c r="A891" i="7"/>
  <c r="N890" i="7"/>
  <c r="I890" i="7"/>
  <c r="B890" i="7"/>
  <c r="A890" i="7"/>
  <c r="N889" i="7"/>
  <c r="I889" i="7"/>
  <c r="B889" i="7"/>
  <c r="A889" i="7"/>
  <c r="N888" i="7"/>
  <c r="I888" i="7"/>
  <c r="B888" i="7"/>
  <c r="A888" i="7"/>
  <c r="N887" i="7"/>
  <c r="I887" i="7"/>
  <c r="B887" i="7"/>
  <c r="A887" i="7"/>
  <c r="N886" i="7"/>
  <c r="I886" i="7"/>
  <c r="B886" i="7"/>
  <c r="A886" i="7"/>
  <c r="N885" i="7"/>
  <c r="I885" i="7"/>
  <c r="B885" i="7"/>
  <c r="A885" i="7"/>
  <c r="N884" i="7"/>
  <c r="I884" i="7"/>
  <c r="B884" i="7"/>
  <c r="A884" i="7"/>
  <c r="N883" i="7"/>
  <c r="I883" i="7"/>
  <c r="B883" i="7"/>
  <c r="A883" i="7"/>
  <c r="N882" i="7"/>
  <c r="I882" i="7"/>
  <c r="B882" i="7"/>
  <c r="A882" i="7"/>
  <c r="N881" i="7"/>
  <c r="I881" i="7"/>
  <c r="B881" i="7"/>
  <c r="A881" i="7"/>
  <c r="N880" i="7"/>
  <c r="I880" i="7"/>
  <c r="B880" i="7"/>
  <c r="A880" i="7"/>
  <c r="N879" i="7"/>
  <c r="I879" i="7"/>
  <c r="B879" i="7"/>
  <c r="A879" i="7"/>
  <c r="N878" i="7"/>
  <c r="I878" i="7"/>
  <c r="B878" i="7"/>
  <c r="A878" i="7"/>
  <c r="N877" i="7"/>
  <c r="I877" i="7"/>
  <c r="B877" i="7"/>
  <c r="A877" i="7"/>
  <c r="N876" i="7"/>
  <c r="I876" i="7"/>
  <c r="B876" i="7"/>
  <c r="A876" i="7"/>
  <c r="N875" i="7"/>
  <c r="I875" i="7"/>
  <c r="B875" i="7"/>
  <c r="A875" i="7"/>
  <c r="N874" i="7"/>
  <c r="I874" i="7"/>
  <c r="B874" i="7"/>
  <c r="A874" i="7"/>
  <c r="N873" i="7"/>
  <c r="I873" i="7"/>
  <c r="B873" i="7"/>
  <c r="A873" i="7"/>
  <c r="N872" i="7"/>
  <c r="I872" i="7"/>
  <c r="B872" i="7"/>
  <c r="A872" i="7"/>
  <c r="N871" i="7"/>
  <c r="I871" i="7"/>
  <c r="B871" i="7"/>
  <c r="A871" i="7"/>
  <c r="N870" i="7"/>
  <c r="I870" i="7"/>
  <c r="B870" i="7"/>
  <c r="A870" i="7"/>
  <c r="N869" i="7"/>
  <c r="I869" i="7"/>
  <c r="B869" i="7"/>
  <c r="A869" i="7"/>
  <c r="N868" i="7"/>
  <c r="I868" i="7"/>
  <c r="B868" i="7"/>
  <c r="A868" i="7"/>
  <c r="N867" i="7"/>
  <c r="I867" i="7"/>
  <c r="B867" i="7"/>
  <c r="A867" i="7"/>
  <c r="N866" i="7"/>
  <c r="I866" i="7"/>
  <c r="B866" i="7"/>
  <c r="A866" i="7"/>
  <c r="N865" i="7"/>
  <c r="I865" i="7"/>
  <c r="B865" i="7"/>
  <c r="A865" i="7"/>
  <c r="N864" i="7"/>
  <c r="I864" i="7"/>
  <c r="B864" i="7"/>
  <c r="A864" i="7"/>
  <c r="N863" i="7"/>
  <c r="I863" i="7"/>
  <c r="B863" i="7"/>
  <c r="A863" i="7"/>
  <c r="N862" i="7"/>
  <c r="I862" i="7"/>
  <c r="B862" i="7"/>
  <c r="A862" i="7"/>
  <c r="N861" i="7"/>
  <c r="I861" i="7"/>
  <c r="B861" i="7"/>
  <c r="A861" i="7"/>
  <c r="N860" i="7"/>
  <c r="I860" i="7"/>
  <c r="B860" i="7"/>
  <c r="A860" i="7"/>
  <c r="N859" i="7"/>
  <c r="I859" i="7"/>
  <c r="B859" i="7"/>
  <c r="A859" i="7"/>
  <c r="N858" i="7"/>
  <c r="I858" i="7"/>
  <c r="B858" i="7"/>
  <c r="A858" i="7"/>
  <c r="N857" i="7"/>
  <c r="I857" i="7"/>
  <c r="B857" i="7"/>
  <c r="A857" i="7"/>
  <c r="N856" i="7"/>
  <c r="I856" i="7"/>
  <c r="B856" i="7"/>
  <c r="A856" i="7"/>
  <c r="N855" i="7"/>
  <c r="I855" i="7"/>
  <c r="B855" i="7"/>
  <c r="A855" i="7"/>
  <c r="N854" i="7"/>
  <c r="I854" i="7"/>
  <c r="B854" i="7"/>
  <c r="A854" i="7"/>
  <c r="N853" i="7"/>
  <c r="I853" i="7"/>
  <c r="B853" i="7"/>
  <c r="A853" i="7"/>
  <c r="N852" i="7"/>
  <c r="I852" i="7"/>
  <c r="B852" i="7"/>
  <c r="A852" i="7"/>
  <c r="N851" i="7"/>
  <c r="I851" i="7"/>
  <c r="B851" i="7"/>
  <c r="A851" i="7"/>
  <c r="N850" i="7"/>
  <c r="I850" i="7"/>
  <c r="B850" i="7"/>
  <c r="A850" i="7"/>
  <c r="N849" i="7"/>
  <c r="I849" i="7"/>
  <c r="B849" i="7"/>
  <c r="A849" i="7"/>
  <c r="N848" i="7"/>
  <c r="I848" i="7"/>
  <c r="B848" i="7"/>
  <c r="A848" i="7"/>
  <c r="N847" i="7"/>
  <c r="I847" i="7"/>
  <c r="B847" i="7"/>
  <c r="A847" i="7"/>
  <c r="N846" i="7"/>
  <c r="I846" i="7"/>
  <c r="B846" i="7"/>
  <c r="A846" i="7"/>
  <c r="N845" i="7"/>
  <c r="I845" i="7"/>
  <c r="B845" i="7"/>
  <c r="A845" i="7"/>
  <c r="N844" i="7"/>
  <c r="I844" i="7"/>
  <c r="B844" i="7"/>
  <c r="A844" i="7"/>
  <c r="N843" i="7"/>
  <c r="I843" i="7"/>
  <c r="B843" i="7"/>
  <c r="A843" i="7"/>
  <c r="N842" i="7"/>
  <c r="I842" i="7"/>
  <c r="B842" i="7"/>
  <c r="A842" i="7"/>
  <c r="N841" i="7"/>
  <c r="I841" i="7"/>
  <c r="B841" i="7"/>
  <c r="A841" i="7"/>
  <c r="N840" i="7"/>
  <c r="I840" i="7"/>
  <c r="B840" i="7"/>
  <c r="A840" i="7"/>
  <c r="N839" i="7"/>
  <c r="I839" i="7"/>
  <c r="B839" i="7"/>
  <c r="A839" i="7"/>
  <c r="N838" i="7"/>
  <c r="I838" i="7"/>
  <c r="B838" i="7"/>
  <c r="A838" i="7"/>
  <c r="N837" i="7"/>
  <c r="I837" i="7"/>
  <c r="B837" i="7"/>
  <c r="A837" i="7"/>
  <c r="N836" i="7"/>
  <c r="I836" i="7"/>
  <c r="B836" i="7"/>
  <c r="A836" i="7"/>
  <c r="N835" i="7"/>
  <c r="I835" i="7"/>
  <c r="B835" i="7"/>
  <c r="A835" i="7"/>
  <c r="N834" i="7"/>
  <c r="I834" i="7"/>
  <c r="B834" i="7"/>
  <c r="A834" i="7"/>
  <c r="N833" i="7"/>
  <c r="I833" i="7"/>
  <c r="B833" i="7"/>
  <c r="A833" i="7"/>
  <c r="N832" i="7"/>
  <c r="I832" i="7"/>
  <c r="B832" i="7"/>
  <c r="A832" i="7"/>
  <c r="N831" i="7"/>
  <c r="I831" i="7"/>
  <c r="B831" i="7"/>
  <c r="A831" i="7"/>
  <c r="N830" i="7"/>
  <c r="I830" i="7"/>
  <c r="B830" i="7"/>
  <c r="A830" i="7"/>
  <c r="N829" i="7"/>
  <c r="I829" i="7"/>
  <c r="B829" i="7"/>
  <c r="A829" i="7"/>
  <c r="N828" i="7"/>
  <c r="I828" i="7"/>
  <c r="B828" i="7"/>
  <c r="A828" i="7"/>
  <c r="N827" i="7"/>
  <c r="I827" i="7"/>
  <c r="B827" i="7"/>
  <c r="A827" i="7"/>
  <c r="N826" i="7"/>
  <c r="I826" i="7"/>
  <c r="B826" i="7"/>
  <c r="A826" i="7"/>
  <c r="N825" i="7"/>
  <c r="I825" i="7"/>
  <c r="B825" i="7"/>
  <c r="A825" i="7"/>
  <c r="N824" i="7"/>
  <c r="I824" i="7"/>
  <c r="B824" i="7"/>
  <c r="A824" i="7"/>
  <c r="N823" i="7"/>
  <c r="I823" i="7"/>
  <c r="B823" i="7"/>
  <c r="A823" i="7"/>
  <c r="N822" i="7"/>
  <c r="I822" i="7"/>
  <c r="B822" i="7"/>
  <c r="A822" i="7"/>
  <c r="N821" i="7"/>
  <c r="I821" i="7"/>
  <c r="B821" i="7"/>
  <c r="A821" i="7"/>
  <c r="N820" i="7"/>
  <c r="I820" i="7"/>
  <c r="B820" i="7"/>
  <c r="A820" i="7"/>
  <c r="N819" i="7"/>
  <c r="I819" i="7"/>
  <c r="B819" i="7"/>
  <c r="A819" i="7"/>
  <c r="N818" i="7"/>
  <c r="I818" i="7"/>
  <c r="B818" i="7"/>
  <c r="A818" i="7"/>
  <c r="N817" i="7"/>
  <c r="I817" i="7"/>
  <c r="B817" i="7"/>
  <c r="A817" i="7"/>
  <c r="N816" i="7"/>
  <c r="I816" i="7"/>
  <c r="B816" i="7"/>
  <c r="A816" i="7"/>
  <c r="N815" i="7"/>
  <c r="I815" i="7"/>
  <c r="B815" i="7"/>
  <c r="A815" i="7"/>
  <c r="N814" i="7"/>
  <c r="I814" i="7"/>
  <c r="B814" i="7"/>
  <c r="A814" i="7"/>
  <c r="N813" i="7"/>
  <c r="I813" i="7"/>
  <c r="B813" i="7"/>
  <c r="A813" i="7"/>
  <c r="N812" i="7"/>
  <c r="I812" i="7"/>
  <c r="B812" i="7"/>
  <c r="A812" i="7"/>
  <c r="N811" i="7"/>
  <c r="I811" i="7"/>
  <c r="B811" i="7"/>
  <c r="A811" i="7"/>
  <c r="B810" i="7"/>
  <c r="A810" i="7"/>
  <c r="B809" i="7"/>
  <c r="A809" i="7"/>
  <c r="B808" i="7"/>
  <c r="A808" i="7"/>
  <c r="B807" i="7"/>
  <c r="A807" i="7"/>
  <c r="N806" i="7"/>
  <c r="I806" i="7"/>
  <c r="B806" i="7"/>
  <c r="A806" i="7"/>
  <c r="N805" i="7"/>
  <c r="I805" i="7"/>
  <c r="B805" i="7"/>
  <c r="A805" i="7"/>
  <c r="N804" i="7"/>
  <c r="I804" i="7"/>
  <c r="B804" i="7"/>
  <c r="A804" i="7"/>
  <c r="N803" i="7"/>
  <c r="I803" i="7"/>
  <c r="B803" i="7"/>
  <c r="A803" i="7"/>
  <c r="N802" i="7"/>
  <c r="I802" i="7"/>
  <c r="B802" i="7"/>
  <c r="A802" i="7"/>
  <c r="N801" i="7"/>
  <c r="I801" i="7"/>
  <c r="B801" i="7"/>
  <c r="A801" i="7"/>
  <c r="N800" i="7"/>
  <c r="I800" i="7"/>
  <c r="B800" i="7"/>
  <c r="A800" i="7"/>
  <c r="N799" i="7"/>
  <c r="I799" i="7"/>
  <c r="B799" i="7"/>
  <c r="A799" i="7"/>
  <c r="N798" i="7"/>
  <c r="I798" i="7"/>
  <c r="B798" i="7"/>
  <c r="A798" i="7"/>
  <c r="N797" i="7"/>
  <c r="I797" i="7"/>
  <c r="B797" i="7"/>
  <c r="A797" i="7"/>
  <c r="N796" i="7"/>
  <c r="I796" i="7"/>
  <c r="B796" i="7"/>
  <c r="A796" i="7"/>
  <c r="N795" i="7"/>
  <c r="I795" i="7"/>
  <c r="B795" i="7"/>
  <c r="A795" i="7"/>
  <c r="N794" i="7"/>
  <c r="I794" i="7"/>
  <c r="B794" i="7"/>
  <c r="A794" i="7"/>
  <c r="N793" i="7"/>
  <c r="I793" i="7"/>
  <c r="B793" i="7"/>
  <c r="A793" i="7"/>
  <c r="N792" i="7"/>
  <c r="I792" i="7"/>
  <c r="B792" i="7"/>
  <c r="A792" i="7"/>
  <c r="N791" i="7"/>
  <c r="I791" i="7"/>
  <c r="B791" i="7"/>
  <c r="A791" i="7"/>
  <c r="N790" i="7"/>
  <c r="I790" i="7"/>
  <c r="B790" i="7"/>
  <c r="A790" i="7"/>
  <c r="N789" i="7"/>
  <c r="I789" i="7"/>
  <c r="B789" i="7"/>
  <c r="A789" i="7"/>
  <c r="N788" i="7"/>
  <c r="I788" i="7"/>
  <c r="B788" i="7"/>
  <c r="A788" i="7"/>
  <c r="N787" i="7"/>
  <c r="I787" i="7"/>
  <c r="B787" i="7"/>
  <c r="A787" i="7"/>
  <c r="N786" i="7"/>
  <c r="I786" i="7"/>
  <c r="B786" i="7"/>
  <c r="A786" i="7"/>
  <c r="N785" i="7"/>
  <c r="I785" i="7"/>
  <c r="B785" i="7"/>
  <c r="A785" i="7"/>
  <c r="N784" i="7"/>
  <c r="I784" i="7"/>
  <c r="B784" i="7"/>
  <c r="A784" i="7"/>
  <c r="N783" i="7"/>
  <c r="I783" i="7"/>
  <c r="B783" i="7"/>
  <c r="A783" i="7"/>
  <c r="N782" i="7"/>
  <c r="I782" i="7"/>
  <c r="B782" i="7"/>
  <c r="A782" i="7"/>
  <c r="N781" i="7"/>
  <c r="I781" i="7"/>
  <c r="B781" i="7"/>
  <c r="A781" i="7"/>
  <c r="N780" i="7"/>
  <c r="I780" i="7"/>
  <c r="B780" i="7"/>
  <c r="A780" i="7"/>
  <c r="N779" i="7"/>
  <c r="I779" i="7"/>
  <c r="B779" i="7"/>
  <c r="A779" i="7"/>
  <c r="N778" i="7"/>
  <c r="I778" i="7"/>
  <c r="B778" i="7"/>
  <c r="A778" i="7"/>
  <c r="N777" i="7"/>
  <c r="I777" i="7"/>
  <c r="B777" i="7"/>
  <c r="A777" i="7"/>
  <c r="N776" i="7"/>
  <c r="I776" i="7"/>
  <c r="B776" i="7"/>
  <c r="A776" i="7"/>
  <c r="N775" i="7"/>
  <c r="I775" i="7"/>
  <c r="B775" i="7"/>
  <c r="A775" i="7"/>
  <c r="N774" i="7"/>
  <c r="I774" i="7"/>
  <c r="B774" i="7"/>
  <c r="A774" i="7"/>
  <c r="N773" i="7"/>
  <c r="I773" i="7"/>
  <c r="B773" i="7"/>
  <c r="A773" i="7"/>
  <c r="N772" i="7"/>
  <c r="I772" i="7"/>
  <c r="B772" i="7"/>
  <c r="A772" i="7"/>
  <c r="N771" i="7"/>
  <c r="I771" i="7"/>
  <c r="B771" i="7"/>
  <c r="A771" i="7"/>
  <c r="N770" i="7"/>
  <c r="I770" i="7"/>
  <c r="B770" i="7"/>
  <c r="A770" i="7"/>
  <c r="N769" i="7"/>
  <c r="I769" i="7"/>
  <c r="B769" i="7"/>
  <c r="A769" i="7"/>
  <c r="N768" i="7"/>
  <c r="I768" i="7"/>
  <c r="B768" i="7"/>
  <c r="A768" i="7"/>
  <c r="N767" i="7"/>
  <c r="I767" i="7"/>
  <c r="B767" i="7"/>
  <c r="A767" i="7"/>
  <c r="N766" i="7"/>
  <c r="I766" i="7"/>
  <c r="B766" i="7"/>
  <c r="A766" i="7"/>
  <c r="N765" i="7"/>
  <c r="I765" i="7"/>
  <c r="B765" i="7"/>
  <c r="A765" i="7"/>
  <c r="N764" i="7"/>
  <c r="I764" i="7"/>
  <c r="B764" i="7"/>
  <c r="A764" i="7"/>
  <c r="N763" i="7"/>
  <c r="I763" i="7"/>
  <c r="B763" i="7"/>
  <c r="A763" i="7"/>
  <c r="N762" i="7"/>
  <c r="I762" i="7"/>
  <c r="B762" i="7"/>
  <c r="A762" i="7"/>
  <c r="N761" i="7"/>
  <c r="I761" i="7"/>
  <c r="B761" i="7"/>
  <c r="A761" i="7"/>
  <c r="N760" i="7"/>
  <c r="I760" i="7"/>
  <c r="B760" i="7"/>
  <c r="A760" i="7"/>
  <c r="N759" i="7"/>
  <c r="I759" i="7"/>
  <c r="B759" i="7"/>
  <c r="A759" i="7"/>
  <c r="N758" i="7"/>
  <c r="I758" i="7"/>
  <c r="B758" i="7"/>
  <c r="A758" i="7"/>
  <c r="N757" i="7"/>
  <c r="I757" i="7"/>
  <c r="B757" i="7"/>
  <c r="A757" i="7"/>
  <c r="N756" i="7"/>
  <c r="I756" i="7"/>
  <c r="B756" i="7"/>
  <c r="A756" i="7"/>
  <c r="N755" i="7"/>
  <c r="I755" i="7"/>
  <c r="B755" i="7"/>
  <c r="A755" i="7"/>
  <c r="N754" i="7"/>
  <c r="I754" i="7"/>
  <c r="B754" i="7"/>
  <c r="A754" i="7"/>
  <c r="N753" i="7"/>
  <c r="I753" i="7"/>
  <c r="B753" i="7"/>
  <c r="A753" i="7"/>
  <c r="N752" i="7"/>
  <c r="I752" i="7"/>
  <c r="B752" i="7"/>
  <c r="A752" i="7"/>
  <c r="N751" i="7"/>
  <c r="I751" i="7"/>
  <c r="B751" i="7"/>
  <c r="A751" i="7"/>
  <c r="N750" i="7"/>
  <c r="I750" i="7"/>
  <c r="B750" i="7"/>
  <c r="A750" i="7"/>
  <c r="N749" i="7"/>
  <c r="I749" i="7"/>
  <c r="B749" i="7"/>
  <c r="A749" i="7"/>
  <c r="N748" i="7"/>
  <c r="I748" i="7"/>
  <c r="B748" i="7"/>
  <c r="A748" i="7"/>
  <c r="N747" i="7"/>
  <c r="I747" i="7"/>
  <c r="B747" i="7"/>
  <c r="A747" i="7"/>
  <c r="N746" i="7"/>
  <c r="I746" i="7"/>
  <c r="B746" i="7"/>
  <c r="A746" i="7"/>
  <c r="N745" i="7"/>
  <c r="I745" i="7"/>
  <c r="B745" i="7"/>
  <c r="A745" i="7"/>
  <c r="N744" i="7"/>
  <c r="I744" i="7"/>
  <c r="B744" i="7"/>
  <c r="A744" i="7"/>
  <c r="N743" i="7"/>
  <c r="I743" i="7"/>
  <c r="B743" i="7"/>
  <c r="A743" i="7"/>
  <c r="N742" i="7"/>
  <c r="I742" i="7"/>
  <c r="B742" i="7"/>
  <c r="A742" i="7"/>
  <c r="N741" i="7"/>
  <c r="I741" i="7"/>
  <c r="B741" i="7"/>
  <c r="A741" i="7"/>
  <c r="N740" i="7"/>
  <c r="I740" i="7"/>
  <c r="B740" i="7"/>
  <c r="A740" i="7"/>
  <c r="N739" i="7"/>
  <c r="I739" i="7"/>
  <c r="B739" i="7"/>
  <c r="A739" i="7"/>
  <c r="N738" i="7"/>
  <c r="I738" i="7"/>
  <c r="B738" i="7"/>
  <c r="A738" i="7"/>
  <c r="N737" i="7"/>
  <c r="I737" i="7"/>
  <c r="B737" i="7"/>
  <c r="A737" i="7"/>
  <c r="N736" i="7"/>
  <c r="I736" i="7"/>
  <c r="B736" i="7"/>
  <c r="A736" i="7"/>
  <c r="N735" i="7"/>
  <c r="I735" i="7"/>
  <c r="B735" i="7"/>
  <c r="A735" i="7"/>
  <c r="N734" i="7"/>
  <c r="I734" i="7"/>
  <c r="B734" i="7"/>
  <c r="A734" i="7"/>
  <c r="N733" i="7"/>
  <c r="I733" i="7"/>
  <c r="B733" i="7"/>
  <c r="A733" i="7"/>
  <c r="N732" i="7"/>
  <c r="I732" i="7"/>
  <c r="B732" i="7"/>
  <c r="A732" i="7"/>
  <c r="N731" i="7"/>
  <c r="I731" i="7"/>
  <c r="B731" i="7"/>
  <c r="A731" i="7"/>
  <c r="N730" i="7"/>
  <c r="I730" i="7"/>
  <c r="B730" i="7"/>
  <c r="A730" i="7"/>
  <c r="N729" i="7"/>
  <c r="I729" i="7"/>
  <c r="B729" i="7"/>
  <c r="A729" i="7"/>
  <c r="N728" i="7"/>
  <c r="I728" i="7"/>
  <c r="B728" i="7"/>
  <c r="A728" i="7"/>
  <c r="N727" i="7"/>
  <c r="I727" i="7"/>
  <c r="B727" i="7"/>
  <c r="A727" i="7"/>
  <c r="N726" i="7"/>
  <c r="I726" i="7"/>
  <c r="B726" i="7"/>
  <c r="A726" i="7"/>
  <c r="N725" i="7"/>
  <c r="I725" i="7"/>
  <c r="B725" i="7"/>
  <c r="A725" i="7"/>
  <c r="N724" i="7"/>
  <c r="I724" i="7"/>
  <c r="B724" i="7"/>
  <c r="A724" i="7"/>
  <c r="N723" i="7"/>
  <c r="I723" i="7"/>
  <c r="B723" i="7"/>
  <c r="A723" i="7"/>
  <c r="N722" i="7"/>
  <c r="I722" i="7"/>
  <c r="B722" i="7"/>
  <c r="A722" i="7"/>
  <c r="N721" i="7"/>
  <c r="I721" i="7"/>
  <c r="B721" i="7"/>
  <c r="A721" i="7"/>
  <c r="N720" i="7"/>
  <c r="I720" i="7"/>
  <c r="B720" i="7"/>
  <c r="A720" i="7"/>
  <c r="N719" i="7"/>
  <c r="I719" i="7"/>
  <c r="B719" i="7"/>
  <c r="A719" i="7"/>
  <c r="N718" i="7"/>
  <c r="I718" i="7"/>
  <c r="B718" i="7"/>
  <c r="A718" i="7"/>
  <c r="N717" i="7"/>
  <c r="I717" i="7"/>
  <c r="B717" i="7"/>
  <c r="A717" i="7"/>
  <c r="N716" i="7"/>
  <c r="I716" i="7"/>
  <c r="B716" i="7"/>
  <c r="A716" i="7"/>
  <c r="N715" i="7"/>
  <c r="I715" i="7"/>
  <c r="B715" i="7"/>
  <c r="A715" i="7"/>
  <c r="N714" i="7"/>
  <c r="I714" i="7"/>
  <c r="B714" i="7"/>
  <c r="A714" i="7"/>
  <c r="N713" i="7"/>
  <c r="I713" i="7"/>
  <c r="B713" i="7"/>
  <c r="A713" i="7"/>
  <c r="N712" i="7"/>
  <c r="I712" i="7"/>
  <c r="B712" i="7"/>
  <c r="A712" i="7"/>
  <c r="N711" i="7"/>
  <c r="I711" i="7"/>
  <c r="B711" i="7"/>
  <c r="A711" i="7"/>
  <c r="N710" i="7"/>
  <c r="I710" i="7"/>
  <c r="B710" i="7"/>
  <c r="A710" i="7"/>
  <c r="N709" i="7"/>
  <c r="I709" i="7"/>
  <c r="B709" i="7"/>
  <c r="A709" i="7"/>
  <c r="N708" i="7"/>
  <c r="I708" i="7"/>
  <c r="B708" i="7"/>
  <c r="A708" i="7"/>
  <c r="N707" i="7"/>
  <c r="I707" i="7"/>
  <c r="B707" i="7"/>
  <c r="A707" i="7"/>
  <c r="N706" i="7"/>
  <c r="I706" i="7"/>
  <c r="B706" i="7"/>
  <c r="A706" i="7"/>
  <c r="N705" i="7"/>
  <c r="I705" i="7"/>
  <c r="B705" i="7"/>
  <c r="A705" i="7"/>
  <c r="N704" i="7"/>
  <c r="I704" i="7"/>
  <c r="B704" i="7"/>
  <c r="A704" i="7"/>
  <c r="N703" i="7"/>
  <c r="I703" i="7"/>
  <c r="B703" i="7"/>
  <c r="A703" i="7"/>
  <c r="N702" i="7"/>
  <c r="I702" i="7"/>
  <c r="B702" i="7"/>
  <c r="A702" i="7"/>
  <c r="N701" i="7"/>
  <c r="I701" i="7"/>
  <c r="B701" i="7"/>
  <c r="A701" i="7"/>
  <c r="N700" i="7"/>
  <c r="I700" i="7"/>
  <c r="B700" i="7"/>
  <c r="A700" i="7"/>
  <c r="N699" i="7"/>
  <c r="I699" i="7"/>
  <c r="B699" i="7"/>
  <c r="A699" i="7"/>
  <c r="N698" i="7"/>
  <c r="I698" i="7"/>
  <c r="B698" i="7"/>
  <c r="A698" i="7"/>
  <c r="N697" i="7"/>
  <c r="I697" i="7"/>
  <c r="B697" i="7"/>
  <c r="A697" i="7"/>
  <c r="N696" i="7"/>
  <c r="I696" i="7"/>
  <c r="B696" i="7"/>
  <c r="A696" i="7"/>
  <c r="B695" i="7"/>
  <c r="A695" i="7"/>
  <c r="N694" i="7"/>
  <c r="I694" i="7"/>
  <c r="B694" i="7"/>
  <c r="A694" i="7"/>
  <c r="N693" i="7"/>
  <c r="I693" i="7"/>
  <c r="B693" i="7"/>
  <c r="A693" i="7"/>
  <c r="N692" i="7"/>
  <c r="I692" i="7"/>
  <c r="B692" i="7"/>
  <c r="A692" i="7"/>
  <c r="N691" i="7"/>
  <c r="I691" i="7"/>
  <c r="B691" i="7"/>
  <c r="A691" i="7"/>
  <c r="N690" i="7"/>
  <c r="I690" i="7"/>
  <c r="B690" i="7"/>
  <c r="A690" i="7"/>
  <c r="N689" i="7"/>
  <c r="I689" i="7"/>
  <c r="B689" i="7"/>
  <c r="A689" i="7"/>
  <c r="N688" i="7"/>
  <c r="I688" i="7"/>
  <c r="B688" i="7"/>
  <c r="A688" i="7"/>
  <c r="N687" i="7"/>
  <c r="I687" i="7"/>
  <c r="B687" i="7"/>
  <c r="A687" i="7"/>
  <c r="N686" i="7"/>
  <c r="I686" i="7"/>
  <c r="B686" i="7"/>
  <c r="A686" i="7"/>
  <c r="N685" i="7"/>
  <c r="I685" i="7"/>
  <c r="B685" i="7"/>
  <c r="A685" i="7"/>
  <c r="N684" i="7"/>
  <c r="I684" i="7"/>
  <c r="B684" i="7"/>
  <c r="A684" i="7"/>
  <c r="N683" i="7"/>
  <c r="I683" i="7"/>
  <c r="B683" i="7"/>
  <c r="A683" i="7"/>
  <c r="N682" i="7"/>
  <c r="I682" i="7"/>
  <c r="B682" i="7"/>
  <c r="A682" i="7"/>
  <c r="N681" i="7"/>
  <c r="I681" i="7"/>
  <c r="B681" i="7"/>
  <c r="A681" i="7"/>
  <c r="N680" i="7"/>
  <c r="I680" i="7"/>
  <c r="B680" i="7"/>
  <c r="A680" i="7"/>
  <c r="N679" i="7"/>
  <c r="I679" i="7"/>
  <c r="B679" i="7"/>
  <c r="A679" i="7"/>
  <c r="N678" i="7"/>
  <c r="I678" i="7"/>
  <c r="B678" i="7"/>
  <c r="A678" i="7"/>
  <c r="N677" i="7"/>
  <c r="I677" i="7"/>
  <c r="B677" i="7"/>
  <c r="A677" i="7"/>
  <c r="N676" i="7"/>
  <c r="I676" i="7"/>
  <c r="B676" i="7"/>
  <c r="A676" i="7"/>
  <c r="N675" i="7"/>
  <c r="I675" i="7"/>
  <c r="B675" i="7"/>
  <c r="A675" i="7"/>
  <c r="N674" i="7"/>
  <c r="I674" i="7"/>
  <c r="B674" i="7"/>
  <c r="A674" i="7"/>
  <c r="N673" i="7"/>
  <c r="I673" i="7"/>
  <c r="B673" i="7"/>
  <c r="A673" i="7"/>
  <c r="N672" i="7"/>
  <c r="I672" i="7"/>
  <c r="B672" i="7"/>
  <c r="A672" i="7"/>
  <c r="N671" i="7"/>
  <c r="I671" i="7"/>
  <c r="B671" i="7"/>
  <c r="A671" i="7"/>
  <c r="N670" i="7"/>
  <c r="I670" i="7"/>
  <c r="B670" i="7"/>
  <c r="A670" i="7"/>
  <c r="N669" i="7"/>
  <c r="I669" i="7"/>
  <c r="B669" i="7"/>
  <c r="A669" i="7"/>
  <c r="N668" i="7"/>
  <c r="I668" i="7"/>
  <c r="B668" i="7"/>
  <c r="A668" i="7"/>
  <c r="N667" i="7"/>
  <c r="I667" i="7"/>
  <c r="B667" i="7"/>
  <c r="A667" i="7"/>
  <c r="N666" i="7"/>
  <c r="I666" i="7"/>
  <c r="B666" i="7"/>
  <c r="A666" i="7"/>
  <c r="N665" i="7"/>
  <c r="I665" i="7"/>
  <c r="B665" i="7"/>
  <c r="A665" i="7"/>
  <c r="N664" i="7"/>
  <c r="I664" i="7"/>
  <c r="B664" i="7"/>
  <c r="A664" i="7"/>
  <c r="N663" i="7"/>
  <c r="I663" i="7"/>
  <c r="B663" i="7"/>
  <c r="A663" i="7"/>
  <c r="N662" i="7"/>
  <c r="I662" i="7"/>
  <c r="B662" i="7"/>
  <c r="A662" i="7"/>
  <c r="N661" i="7"/>
  <c r="I661" i="7"/>
  <c r="B661" i="7"/>
  <c r="A661" i="7"/>
  <c r="N660" i="7"/>
  <c r="I660" i="7"/>
  <c r="B660" i="7"/>
  <c r="A660" i="7"/>
  <c r="N659" i="7"/>
  <c r="I659" i="7"/>
  <c r="B659" i="7"/>
  <c r="A659" i="7"/>
  <c r="N658" i="7"/>
  <c r="I658" i="7"/>
  <c r="B658" i="7"/>
  <c r="A658" i="7"/>
  <c r="N657" i="7"/>
  <c r="I657" i="7"/>
  <c r="B657" i="7"/>
  <c r="A657" i="7"/>
  <c r="N656" i="7"/>
  <c r="I656" i="7"/>
  <c r="B656" i="7"/>
  <c r="A656" i="7"/>
  <c r="N655" i="7"/>
  <c r="I655" i="7"/>
  <c r="B655" i="7"/>
  <c r="A655" i="7"/>
  <c r="N654" i="7"/>
  <c r="I654" i="7"/>
  <c r="B654" i="7"/>
  <c r="A654" i="7"/>
  <c r="N653" i="7"/>
  <c r="I653" i="7"/>
  <c r="B653" i="7"/>
  <c r="A653" i="7"/>
  <c r="N652" i="7"/>
  <c r="I652" i="7"/>
  <c r="B652" i="7"/>
  <c r="A652" i="7"/>
  <c r="N651" i="7"/>
  <c r="I651" i="7"/>
  <c r="B651" i="7"/>
  <c r="A651" i="7"/>
  <c r="N650" i="7"/>
  <c r="I650" i="7"/>
  <c r="B650" i="7"/>
  <c r="A650" i="7"/>
  <c r="N649" i="7"/>
  <c r="I649" i="7"/>
  <c r="B649" i="7"/>
  <c r="A649" i="7"/>
  <c r="N648" i="7"/>
  <c r="I648" i="7"/>
  <c r="B648" i="7"/>
  <c r="A648" i="7"/>
  <c r="N647" i="7"/>
  <c r="I647" i="7"/>
  <c r="B647" i="7"/>
  <c r="A647" i="7"/>
  <c r="N646" i="7"/>
  <c r="I646" i="7"/>
  <c r="B646" i="7"/>
  <c r="A646" i="7"/>
  <c r="N645" i="7"/>
  <c r="I645" i="7"/>
  <c r="B645" i="7"/>
  <c r="A645" i="7"/>
  <c r="N644" i="7"/>
  <c r="I644" i="7"/>
  <c r="B644" i="7"/>
  <c r="A644" i="7"/>
  <c r="N643" i="7"/>
  <c r="I643" i="7"/>
  <c r="N642" i="7"/>
  <c r="I642" i="7"/>
  <c r="N641" i="7"/>
  <c r="I641" i="7"/>
  <c r="N640" i="7"/>
  <c r="I640" i="7"/>
  <c r="N639" i="7"/>
  <c r="I639" i="7"/>
  <c r="N638" i="7"/>
  <c r="I638" i="7"/>
  <c r="N637" i="7"/>
  <c r="I637" i="7"/>
  <c r="N636" i="7"/>
  <c r="I636" i="7"/>
  <c r="N635" i="7"/>
  <c r="I635" i="7"/>
  <c r="N634" i="7"/>
  <c r="I634" i="7"/>
  <c r="N633" i="7"/>
  <c r="I633" i="7"/>
  <c r="N632" i="7"/>
  <c r="I632" i="7"/>
  <c r="N631" i="7"/>
  <c r="I631" i="7"/>
  <c r="N630" i="7"/>
  <c r="I630" i="7"/>
  <c r="N629" i="7"/>
  <c r="I629" i="7"/>
  <c r="N628" i="7"/>
  <c r="I628" i="7"/>
  <c r="N627" i="7"/>
  <c r="I627" i="7"/>
  <c r="N626" i="7"/>
  <c r="I626" i="7"/>
  <c r="N625" i="7"/>
  <c r="I625" i="7"/>
  <c r="N624" i="7"/>
  <c r="I624" i="7"/>
  <c r="N623" i="7"/>
  <c r="I623" i="7"/>
  <c r="N622" i="7"/>
  <c r="I622" i="7"/>
  <c r="N621" i="7"/>
  <c r="I621" i="7"/>
  <c r="N620" i="7"/>
  <c r="I620" i="7"/>
  <c r="N619" i="7"/>
  <c r="I619" i="7"/>
  <c r="N618" i="7"/>
  <c r="I618" i="7"/>
  <c r="N617" i="7"/>
  <c r="I617" i="7"/>
  <c r="N616" i="7"/>
  <c r="I616" i="7"/>
  <c r="N615" i="7"/>
  <c r="I615" i="7"/>
  <c r="N614" i="7"/>
  <c r="I614" i="7"/>
  <c r="N613" i="7"/>
  <c r="I613" i="7"/>
  <c r="N611" i="7"/>
  <c r="I611" i="7"/>
  <c r="N610" i="7"/>
  <c r="I610" i="7"/>
  <c r="N609" i="7"/>
  <c r="I609" i="7"/>
  <c r="N608" i="7"/>
  <c r="I608" i="7"/>
  <c r="N607" i="7"/>
  <c r="I607" i="7"/>
  <c r="N606" i="7"/>
  <c r="I606" i="7"/>
  <c r="N605" i="7"/>
  <c r="I605" i="7"/>
  <c r="N604" i="7"/>
  <c r="I604" i="7"/>
  <c r="N603" i="7"/>
  <c r="I603" i="7"/>
  <c r="N602" i="7"/>
  <c r="I602" i="7"/>
  <c r="N601" i="7"/>
  <c r="I601" i="7"/>
  <c r="N600" i="7"/>
  <c r="I600" i="7"/>
  <c r="N599" i="7"/>
  <c r="I599" i="7"/>
  <c r="N598" i="7"/>
  <c r="I598" i="7"/>
  <c r="N597" i="7"/>
  <c r="I597" i="7"/>
  <c r="N596" i="7"/>
  <c r="I596" i="7"/>
  <c r="N594" i="7"/>
  <c r="I594" i="7"/>
  <c r="N593" i="7"/>
  <c r="I593" i="7"/>
  <c r="N592" i="7"/>
  <c r="I592" i="7"/>
  <c r="N591" i="7"/>
  <c r="I591" i="7"/>
  <c r="N590" i="7"/>
  <c r="I590" i="7"/>
  <c r="N589" i="7"/>
  <c r="I589" i="7"/>
  <c r="N588" i="7"/>
  <c r="I588" i="7"/>
  <c r="N587" i="7"/>
  <c r="I587" i="7"/>
  <c r="N586" i="7"/>
  <c r="I586" i="7"/>
  <c r="N585" i="7"/>
  <c r="I585" i="7"/>
  <c r="N584" i="7"/>
  <c r="I584" i="7"/>
  <c r="N583" i="7"/>
  <c r="I583" i="7"/>
  <c r="N582" i="7"/>
  <c r="I582" i="7"/>
  <c r="N581" i="7"/>
  <c r="I581" i="7"/>
  <c r="N580" i="7"/>
  <c r="I580" i="7"/>
  <c r="N579" i="7"/>
  <c r="I579" i="7"/>
  <c r="N578" i="7"/>
  <c r="I578" i="7"/>
  <c r="N577" i="7"/>
  <c r="I577" i="7"/>
  <c r="N576" i="7"/>
  <c r="I576" i="7"/>
  <c r="N575" i="7"/>
  <c r="I575" i="7"/>
  <c r="N574" i="7"/>
  <c r="I574" i="7"/>
  <c r="N573" i="7"/>
  <c r="I573" i="7"/>
  <c r="N572" i="7"/>
  <c r="I572" i="7"/>
  <c r="N571" i="7"/>
  <c r="I571" i="7"/>
  <c r="N570" i="7"/>
  <c r="I570" i="7"/>
  <c r="N569" i="7"/>
  <c r="I569" i="7"/>
  <c r="N568" i="7"/>
  <c r="I568" i="7"/>
  <c r="N567" i="7"/>
  <c r="I567" i="7"/>
  <c r="N566" i="7"/>
  <c r="I566" i="7"/>
  <c r="N565" i="7"/>
  <c r="I565" i="7"/>
  <c r="N564" i="7"/>
  <c r="I564" i="7"/>
  <c r="N563" i="7"/>
  <c r="I563" i="7"/>
  <c r="N562" i="7"/>
  <c r="I562" i="7"/>
  <c r="N561" i="7"/>
  <c r="I561" i="7"/>
  <c r="N560" i="7"/>
  <c r="I560" i="7"/>
  <c r="N559" i="7"/>
  <c r="I559" i="7"/>
  <c r="N558" i="7"/>
  <c r="I558" i="7"/>
  <c r="N557" i="7"/>
  <c r="I557" i="7"/>
  <c r="N556" i="7"/>
  <c r="I556" i="7"/>
  <c r="N555" i="7"/>
  <c r="I555" i="7"/>
  <c r="N554" i="7"/>
  <c r="I554" i="7"/>
  <c r="N553" i="7"/>
  <c r="I553" i="7"/>
  <c r="N552" i="7"/>
  <c r="I552" i="7"/>
  <c r="N551" i="7"/>
  <c r="I551" i="7"/>
  <c r="N550" i="7"/>
  <c r="I550" i="7"/>
  <c r="N549" i="7"/>
  <c r="I549" i="7"/>
  <c r="N548" i="7"/>
  <c r="I548" i="7"/>
  <c r="N547" i="7"/>
  <c r="I547" i="7"/>
  <c r="N546" i="7"/>
  <c r="I546" i="7"/>
  <c r="N545" i="7"/>
  <c r="I545" i="7"/>
  <c r="N544" i="7"/>
  <c r="I544" i="7"/>
  <c r="N543" i="7"/>
  <c r="I543" i="7"/>
  <c r="N542" i="7"/>
  <c r="I542" i="7"/>
  <c r="N541" i="7"/>
  <c r="I541" i="7"/>
  <c r="N540" i="7"/>
  <c r="I540" i="7"/>
  <c r="N539" i="7"/>
  <c r="I539" i="7"/>
  <c r="N538" i="7"/>
  <c r="I538" i="7"/>
  <c r="N537" i="7"/>
  <c r="I537" i="7"/>
  <c r="N536" i="7"/>
  <c r="I536" i="7"/>
  <c r="N535" i="7"/>
  <c r="I535" i="7"/>
  <c r="N534" i="7"/>
  <c r="I534" i="7"/>
  <c r="N533" i="7"/>
  <c r="I533" i="7"/>
  <c r="N532" i="7"/>
  <c r="I532" i="7"/>
  <c r="N531" i="7"/>
  <c r="I531" i="7"/>
  <c r="N530" i="7"/>
  <c r="I530" i="7"/>
  <c r="N529" i="7"/>
  <c r="I529" i="7"/>
  <c r="N528" i="7"/>
  <c r="I528" i="7"/>
  <c r="N527" i="7"/>
  <c r="I527" i="7"/>
  <c r="N526" i="7"/>
  <c r="I526" i="7"/>
  <c r="N525" i="7"/>
  <c r="I525" i="7"/>
  <c r="N524" i="7"/>
  <c r="I524" i="7"/>
  <c r="N523" i="7"/>
  <c r="I523" i="7"/>
  <c r="N522" i="7"/>
  <c r="I522" i="7"/>
  <c r="N521" i="7"/>
  <c r="I521" i="7"/>
  <c r="N520" i="7"/>
  <c r="I520" i="7"/>
  <c r="N519" i="7"/>
  <c r="I519" i="7"/>
  <c r="N518" i="7"/>
  <c r="I518" i="7"/>
  <c r="N517" i="7"/>
  <c r="I517" i="7"/>
  <c r="N516" i="7"/>
  <c r="I516" i="7"/>
  <c r="N515" i="7"/>
  <c r="I515" i="7"/>
  <c r="N514" i="7"/>
  <c r="I514" i="7"/>
  <c r="N513" i="7"/>
  <c r="I513" i="7"/>
  <c r="N512" i="7"/>
  <c r="I512" i="7"/>
  <c r="N511" i="7"/>
  <c r="I511" i="7"/>
  <c r="N510" i="7"/>
  <c r="I510" i="7"/>
  <c r="N509" i="7"/>
  <c r="I509" i="7"/>
  <c r="N508" i="7"/>
  <c r="I508" i="7"/>
  <c r="N507" i="7"/>
  <c r="I507" i="7"/>
  <c r="N506" i="7"/>
  <c r="I506" i="7"/>
  <c r="N505" i="7"/>
  <c r="I505" i="7"/>
  <c r="N504" i="7"/>
  <c r="I504" i="7"/>
  <c r="N503" i="7"/>
  <c r="I503" i="7"/>
  <c r="N502" i="7"/>
  <c r="I502" i="7"/>
  <c r="N501" i="7"/>
  <c r="I501" i="7"/>
  <c r="N500" i="7"/>
  <c r="I500" i="7"/>
  <c r="N499" i="7"/>
  <c r="I499" i="7"/>
  <c r="N498" i="7"/>
  <c r="I498" i="7"/>
  <c r="N497" i="7"/>
  <c r="I497" i="7"/>
  <c r="N496" i="7"/>
  <c r="I496" i="7"/>
  <c r="N495" i="7"/>
  <c r="I495" i="7"/>
  <c r="N494" i="7"/>
  <c r="I494" i="7"/>
  <c r="N493" i="7"/>
  <c r="I493" i="7"/>
  <c r="N492" i="7"/>
  <c r="I492" i="7"/>
  <c r="N491" i="7"/>
  <c r="I491" i="7"/>
  <c r="N490" i="7"/>
  <c r="I490" i="7"/>
  <c r="N489" i="7"/>
  <c r="I489" i="7"/>
  <c r="N488" i="7"/>
  <c r="I488" i="7"/>
  <c r="N487" i="7"/>
  <c r="I487" i="7"/>
  <c r="N486" i="7"/>
  <c r="I486" i="7"/>
  <c r="N485" i="7"/>
  <c r="I485" i="7"/>
  <c r="N484" i="7"/>
  <c r="I484" i="7"/>
  <c r="N483" i="7"/>
  <c r="I483" i="7"/>
  <c r="N482" i="7"/>
  <c r="I482" i="7"/>
  <c r="N481" i="7"/>
  <c r="I481" i="7"/>
  <c r="N480" i="7"/>
  <c r="I480" i="7"/>
  <c r="N479" i="7"/>
  <c r="I479" i="7"/>
  <c r="N478" i="7"/>
  <c r="I478" i="7"/>
  <c r="N477" i="7"/>
  <c r="I477" i="7"/>
  <c r="N476" i="7"/>
  <c r="I476" i="7"/>
  <c r="N475" i="7"/>
  <c r="I475" i="7"/>
  <c r="N474" i="7"/>
  <c r="I474" i="7"/>
  <c r="N473" i="7"/>
  <c r="I473" i="7"/>
  <c r="N472" i="7"/>
  <c r="I472" i="7"/>
  <c r="N471" i="7"/>
  <c r="I471" i="7"/>
  <c r="N470" i="7"/>
  <c r="I470" i="7"/>
  <c r="N469" i="7"/>
  <c r="I469" i="7"/>
  <c r="N468" i="7"/>
  <c r="I468" i="7"/>
  <c r="N467" i="7"/>
  <c r="I467" i="7"/>
  <c r="N466" i="7"/>
  <c r="I466" i="7"/>
  <c r="N465" i="7"/>
  <c r="I465" i="7"/>
  <c r="N464" i="7"/>
  <c r="I464" i="7"/>
  <c r="N463" i="7"/>
  <c r="I463" i="7"/>
  <c r="N462" i="7"/>
  <c r="I462" i="7"/>
  <c r="N461" i="7"/>
  <c r="I461" i="7"/>
  <c r="N457" i="7"/>
  <c r="I457" i="7"/>
  <c r="N456" i="7"/>
  <c r="I456" i="7"/>
  <c r="N455" i="7"/>
  <c r="I455" i="7"/>
  <c r="N453" i="7"/>
  <c r="I453" i="7"/>
  <c r="N452" i="7"/>
  <c r="I452" i="7"/>
  <c r="N451" i="7"/>
  <c r="I451" i="7"/>
  <c r="N450" i="7"/>
  <c r="I450" i="7"/>
  <c r="N449" i="7"/>
  <c r="I449" i="7"/>
  <c r="N448" i="7"/>
  <c r="I448" i="7"/>
  <c r="N447" i="7"/>
  <c r="I447" i="7"/>
  <c r="N446" i="7"/>
  <c r="I446" i="7"/>
  <c r="N445" i="7"/>
  <c r="I445" i="7"/>
  <c r="N444" i="7"/>
  <c r="I444" i="7"/>
  <c r="N443" i="7"/>
  <c r="I443" i="7"/>
  <c r="N442" i="7"/>
  <c r="I442" i="7"/>
  <c r="N441" i="7"/>
  <c r="I441" i="7"/>
  <c r="N440" i="7"/>
  <c r="I440" i="7"/>
  <c r="N439" i="7"/>
  <c r="I439" i="7"/>
  <c r="N438" i="7"/>
  <c r="I438" i="7"/>
  <c r="N437" i="7"/>
  <c r="I437" i="7"/>
  <c r="N436" i="7"/>
  <c r="I436" i="7"/>
  <c r="N435" i="7"/>
  <c r="I435" i="7"/>
  <c r="N434" i="7"/>
  <c r="I434" i="7"/>
  <c r="N433" i="7"/>
  <c r="I433" i="7"/>
  <c r="N432" i="7"/>
  <c r="I432" i="7"/>
  <c r="N431" i="7"/>
  <c r="I431" i="7"/>
  <c r="N430" i="7"/>
  <c r="I430" i="7"/>
  <c r="N429" i="7"/>
  <c r="I429" i="7"/>
  <c r="N428" i="7"/>
  <c r="I428" i="7"/>
  <c r="N427" i="7"/>
  <c r="I427" i="7"/>
  <c r="N426" i="7"/>
  <c r="I426" i="7"/>
  <c r="N425" i="7"/>
  <c r="I425" i="7"/>
  <c r="N424" i="7"/>
  <c r="I424" i="7"/>
  <c r="N423" i="7"/>
  <c r="I423" i="7"/>
  <c r="N422" i="7"/>
  <c r="I422" i="7"/>
  <c r="N421" i="7"/>
  <c r="I421" i="7"/>
  <c r="N420" i="7"/>
  <c r="I420" i="7"/>
  <c r="N419" i="7"/>
  <c r="I419" i="7"/>
  <c r="N418" i="7"/>
  <c r="I418" i="7"/>
  <c r="N417" i="7"/>
  <c r="I417" i="7"/>
  <c r="N416" i="7"/>
  <c r="I416" i="7"/>
  <c r="N415" i="7"/>
  <c r="I415" i="7"/>
  <c r="N414" i="7"/>
  <c r="I414" i="7"/>
  <c r="N413" i="7"/>
  <c r="I413" i="7"/>
  <c r="N412" i="7"/>
  <c r="I412" i="7"/>
  <c r="N411" i="7"/>
  <c r="I411" i="7"/>
  <c r="N410" i="7"/>
  <c r="I410" i="7"/>
  <c r="N409" i="7"/>
  <c r="I409" i="7"/>
  <c r="N408" i="7"/>
  <c r="I408" i="7"/>
  <c r="N407" i="7"/>
  <c r="I407" i="7"/>
  <c r="N406" i="7"/>
  <c r="I406" i="7"/>
  <c r="N405" i="7"/>
  <c r="I405" i="7"/>
  <c r="N404" i="7"/>
  <c r="I404" i="7"/>
  <c r="N403" i="7"/>
  <c r="I403" i="7"/>
  <c r="N402" i="7"/>
  <c r="I402" i="7"/>
  <c r="N401" i="7"/>
  <c r="I401" i="7"/>
  <c r="N400" i="7"/>
  <c r="I400" i="7"/>
  <c r="N399" i="7"/>
  <c r="I399" i="7"/>
  <c r="N398" i="7"/>
  <c r="I398" i="7"/>
  <c r="N397" i="7"/>
  <c r="I397" i="7"/>
  <c r="N396" i="7"/>
  <c r="I396" i="7"/>
  <c r="N395" i="7"/>
  <c r="I395" i="7"/>
  <c r="N394" i="7"/>
  <c r="I394" i="7"/>
  <c r="N393" i="7"/>
  <c r="I393" i="7"/>
  <c r="N392" i="7"/>
  <c r="I392" i="7"/>
  <c r="N391" i="7"/>
  <c r="I391" i="7"/>
  <c r="N390" i="7"/>
  <c r="I390" i="7"/>
  <c r="N389" i="7"/>
  <c r="I389" i="7"/>
  <c r="N388" i="7"/>
  <c r="I388" i="7"/>
  <c r="N387" i="7"/>
  <c r="I387" i="7"/>
  <c r="N386" i="7"/>
  <c r="I386" i="7"/>
  <c r="N385" i="7"/>
  <c r="I385" i="7"/>
  <c r="N384" i="7"/>
  <c r="I384" i="7"/>
  <c r="N383" i="7"/>
  <c r="I383" i="7"/>
  <c r="N382" i="7"/>
  <c r="I382" i="7"/>
  <c r="N381" i="7"/>
  <c r="I381" i="7"/>
  <c r="N380" i="7"/>
  <c r="I380" i="7"/>
  <c r="N379" i="7"/>
  <c r="I379" i="7"/>
  <c r="N378" i="7"/>
  <c r="I378" i="7"/>
  <c r="N377" i="7"/>
  <c r="I377" i="7"/>
  <c r="N376" i="7"/>
  <c r="I376" i="7"/>
  <c r="N375" i="7"/>
  <c r="I375" i="7"/>
  <c r="N374" i="7"/>
  <c r="I374" i="7"/>
  <c r="N373" i="7"/>
  <c r="I373" i="7"/>
  <c r="N372" i="7"/>
  <c r="I372" i="7"/>
  <c r="N371" i="7"/>
  <c r="I371" i="7"/>
  <c r="N370" i="7"/>
  <c r="I370" i="7"/>
  <c r="N369" i="7"/>
  <c r="I369" i="7"/>
  <c r="N368" i="7"/>
  <c r="I368" i="7"/>
  <c r="N367" i="7"/>
  <c r="I367" i="7"/>
  <c r="N366" i="7"/>
  <c r="I366" i="7"/>
  <c r="N365" i="7"/>
  <c r="I365" i="7"/>
  <c r="N364" i="7"/>
  <c r="I364" i="7"/>
  <c r="N363" i="7"/>
  <c r="I363" i="7"/>
  <c r="N362" i="7"/>
  <c r="I362" i="7"/>
  <c r="N361" i="7"/>
  <c r="I361" i="7"/>
  <c r="N360" i="7"/>
  <c r="I360" i="7"/>
  <c r="N359" i="7"/>
  <c r="I359" i="7"/>
  <c r="N358" i="7"/>
  <c r="I358" i="7"/>
  <c r="N357" i="7"/>
  <c r="I357" i="7"/>
  <c r="N356" i="7"/>
  <c r="I356" i="7"/>
  <c r="N355" i="7"/>
  <c r="I355" i="7"/>
  <c r="N354" i="7"/>
  <c r="I354" i="7"/>
  <c r="N353" i="7"/>
  <c r="I353" i="7"/>
  <c r="N352" i="7"/>
  <c r="I352" i="7"/>
  <c r="N351" i="7"/>
  <c r="I351" i="7"/>
  <c r="N350" i="7"/>
  <c r="I350" i="7"/>
  <c r="N349" i="7"/>
  <c r="I349" i="7"/>
  <c r="N348" i="7"/>
  <c r="I348" i="7"/>
  <c r="N347" i="7"/>
  <c r="I347" i="7"/>
  <c r="N346" i="7"/>
  <c r="I346" i="7"/>
  <c r="N345" i="7"/>
  <c r="I345" i="7"/>
  <c r="N344" i="7"/>
  <c r="I344" i="7"/>
  <c r="N343" i="7"/>
  <c r="I343" i="7"/>
  <c r="N342" i="7"/>
  <c r="I342" i="7"/>
  <c r="N340" i="7"/>
  <c r="I340" i="7"/>
  <c r="N339" i="7"/>
  <c r="I339" i="7"/>
  <c r="N338" i="7"/>
  <c r="I338" i="7"/>
  <c r="N337" i="7"/>
  <c r="I337" i="7"/>
  <c r="N336" i="7"/>
  <c r="I336" i="7"/>
  <c r="N335" i="7"/>
  <c r="I335" i="7"/>
  <c r="N334" i="7"/>
  <c r="I334" i="7"/>
  <c r="N333" i="7"/>
  <c r="I333" i="7"/>
  <c r="N332" i="7"/>
  <c r="I332" i="7"/>
  <c r="N331" i="7"/>
  <c r="I331" i="7"/>
  <c r="N330" i="7"/>
  <c r="I330" i="7"/>
  <c r="N329" i="7"/>
  <c r="I329" i="7"/>
  <c r="N328" i="7"/>
  <c r="I328" i="7"/>
  <c r="N327" i="7"/>
  <c r="I327" i="7"/>
  <c r="N326" i="7"/>
  <c r="I326" i="7"/>
  <c r="N325" i="7"/>
  <c r="I325" i="7"/>
  <c r="N324" i="7"/>
  <c r="I324" i="7"/>
  <c r="N323" i="7"/>
  <c r="I323" i="7"/>
  <c r="N322" i="7"/>
  <c r="I322" i="7"/>
  <c r="N321" i="7"/>
  <c r="I321" i="7"/>
  <c r="N320" i="7"/>
  <c r="I320" i="7"/>
  <c r="N319" i="7"/>
  <c r="I319" i="7"/>
  <c r="N318" i="7"/>
  <c r="I318" i="7"/>
  <c r="N317" i="7"/>
  <c r="I317" i="7"/>
  <c r="N316" i="7"/>
  <c r="I316" i="7"/>
  <c r="N315" i="7"/>
  <c r="I315" i="7"/>
  <c r="N314" i="7"/>
  <c r="I314" i="7"/>
  <c r="N313" i="7"/>
  <c r="I313" i="7"/>
  <c r="N312" i="7"/>
  <c r="I312" i="7"/>
  <c r="N311" i="7"/>
  <c r="I311" i="7"/>
  <c r="N310" i="7"/>
  <c r="I310" i="7"/>
  <c r="N309" i="7"/>
  <c r="I309" i="7"/>
  <c r="N308" i="7"/>
  <c r="I308" i="7"/>
  <c r="N307" i="7"/>
  <c r="I307" i="7"/>
  <c r="N306" i="7"/>
  <c r="I306" i="7"/>
  <c r="N305" i="7"/>
  <c r="I305" i="7"/>
  <c r="N304" i="7"/>
  <c r="I304" i="7"/>
  <c r="N303" i="7"/>
  <c r="I303" i="7"/>
  <c r="N302" i="7"/>
  <c r="I302" i="7"/>
  <c r="N301" i="7"/>
  <c r="I301" i="7"/>
  <c r="N300" i="7"/>
  <c r="I300" i="7"/>
  <c r="N299" i="7"/>
  <c r="I299" i="7"/>
  <c r="N298" i="7"/>
  <c r="I298" i="7"/>
  <c r="N297" i="7"/>
  <c r="I297" i="7"/>
  <c r="N296" i="7"/>
  <c r="I296" i="7"/>
  <c r="N295" i="7"/>
  <c r="I295" i="7"/>
  <c r="N294" i="7"/>
  <c r="I294" i="7"/>
  <c r="N292" i="7"/>
  <c r="I292" i="7"/>
  <c r="N291" i="7"/>
  <c r="I291" i="7"/>
  <c r="N290" i="7"/>
  <c r="I290" i="7"/>
  <c r="N289" i="7"/>
  <c r="I289" i="7"/>
  <c r="N288" i="7"/>
  <c r="I288" i="7"/>
  <c r="N287" i="7"/>
  <c r="I287" i="7"/>
  <c r="N286" i="7"/>
  <c r="I286" i="7"/>
  <c r="N285" i="7"/>
  <c r="I285" i="7"/>
  <c r="N284" i="7"/>
  <c r="I284" i="7"/>
  <c r="N283" i="7"/>
  <c r="I283" i="7"/>
  <c r="N282" i="7"/>
  <c r="I282" i="7"/>
  <c r="N281" i="7"/>
  <c r="I281" i="7"/>
  <c r="N280" i="7"/>
  <c r="I280" i="7"/>
  <c r="N279" i="7"/>
  <c r="I279" i="7"/>
  <c r="N278" i="7"/>
  <c r="I278" i="7"/>
  <c r="N277" i="7"/>
  <c r="I277" i="7"/>
  <c r="N276" i="7"/>
  <c r="I276" i="7"/>
  <c r="N275" i="7"/>
  <c r="I275" i="7"/>
  <c r="N274" i="7"/>
  <c r="I274" i="7"/>
  <c r="N273" i="7"/>
  <c r="I273" i="7"/>
  <c r="N272" i="7"/>
  <c r="I272" i="7"/>
  <c r="N271" i="7"/>
  <c r="I271" i="7"/>
  <c r="N270" i="7"/>
  <c r="I270" i="7"/>
  <c r="N269" i="7"/>
  <c r="I269" i="7"/>
  <c r="N268" i="7"/>
  <c r="I268" i="7"/>
  <c r="N267" i="7"/>
  <c r="I267" i="7"/>
  <c r="N266" i="7"/>
  <c r="I266" i="7"/>
  <c r="N265" i="7"/>
  <c r="I265" i="7"/>
  <c r="N264" i="7"/>
  <c r="I264" i="7"/>
  <c r="N263" i="7"/>
  <c r="I263" i="7"/>
  <c r="N262" i="7"/>
  <c r="I262" i="7"/>
  <c r="N261" i="7"/>
  <c r="I261" i="7"/>
  <c r="N260" i="7"/>
  <c r="I260" i="7"/>
  <c r="N259" i="7"/>
  <c r="I259" i="7"/>
  <c r="N257" i="7"/>
  <c r="I257" i="7"/>
  <c r="N254" i="7"/>
  <c r="I254" i="7"/>
  <c r="N252" i="7"/>
  <c r="I252" i="7"/>
  <c r="N250" i="7"/>
  <c r="I250" i="7"/>
  <c r="N249" i="7"/>
  <c r="I249" i="7"/>
  <c r="N248" i="7"/>
  <c r="I248" i="7"/>
  <c r="N247" i="7"/>
  <c r="I247" i="7"/>
  <c r="N246" i="7"/>
  <c r="I246" i="7"/>
  <c r="N245" i="7"/>
  <c r="I245" i="7"/>
  <c r="N244" i="7"/>
  <c r="I244" i="7"/>
  <c r="N243" i="7"/>
  <c r="I243" i="7"/>
  <c r="N242" i="7"/>
  <c r="I242" i="7"/>
  <c r="N241" i="7"/>
  <c r="I241" i="7"/>
  <c r="N240" i="7"/>
  <c r="I240" i="7"/>
  <c r="N239" i="7"/>
  <c r="I239" i="7"/>
  <c r="N238" i="7"/>
  <c r="I238" i="7"/>
  <c r="N237" i="7"/>
  <c r="I237" i="7"/>
  <c r="N236" i="7"/>
  <c r="I236" i="7"/>
  <c r="N235" i="7"/>
  <c r="I235" i="7"/>
  <c r="N234" i="7"/>
  <c r="I234" i="7"/>
  <c r="N233" i="7"/>
  <c r="I233" i="7"/>
  <c r="N232" i="7"/>
  <c r="I232" i="7"/>
  <c r="N231" i="7"/>
  <c r="I231" i="7"/>
  <c r="N230" i="7"/>
  <c r="I230" i="7"/>
  <c r="N229" i="7"/>
  <c r="I229" i="7"/>
  <c r="N228" i="7"/>
  <c r="I228" i="7"/>
  <c r="N227" i="7"/>
  <c r="I227" i="7"/>
  <c r="N226" i="7"/>
  <c r="I226" i="7"/>
  <c r="N225" i="7"/>
  <c r="I225" i="7"/>
  <c r="N224" i="7"/>
  <c r="I224" i="7"/>
  <c r="N223" i="7"/>
  <c r="I223" i="7"/>
  <c r="N222" i="7"/>
  <c r="I222" i="7"/>
  <c r="N221" i="7"/>
  <c r="I221" i="7"/>
  <c r="N220" i="7"/>
  <c r="I220" i="7"/>
  <c r="N219" i="7"/>
  <c r="I219" i="7"/>
  <c r="N218" i="7"/>
  <c r="I218" i="7"/>
  <c r="N217" i="7"/>
  <c r="I217" i="7"/>
  <c r="N216" i="7"/>
  <c r="I216" i="7"/>
  <c r="N215" i="7"/>
  <c r="I215" i="7"/>
  <c r="N214" i="7"/>
  <c r="I214" i="7"/>
  <c r="N213" i="7"/>
  <c r="I213" i="7"/>
  <c r="N212" i="7"/>
  <c r="I212" i="7"/>
  <c r="N211" i="7"/>
  <c r="I211" i="7"/>
  <c r="N210" i="7"/>
  <c r="I210" i="7"/>
  <c r="N209" i="7"/>
  <c r="I209" i="7"/>
  <c r="N208" i="7"/>
  <c r="I208" i="7"/>
  <c r="N207" i="7"/>
  <c r="I207" i="7"/>
  <c r="N206" i="7"/>
  <c r="I206" i="7"/>
  <c r="N205" i="7"/>
  <c r="I205" i="7"/>
  <c r="N204" i="7"/>
  <c r="I204" i="7"/>
  <c r="N203" i="7"/>
  <c r="I203" i="7"/>
  <c r="N202" i="7"/>
  <c r="I202" i="7"/>
  <c r="N201" i="7"/>
  <c r="I201" i="7"/>
  <c r="N200" i="7"/>
  <c r="I200" i="7"/>
  <c r="N199" i="7"/>
  <c r="I199" i="7"/>
  <c r="N198" i="7"/>
  <c r="I198" i="7"/>
  <c r="N197" i="7"/>
  <c r="I197" i="7"/>
  <c r="N196" i="7"/>
  <c r="I196" i="7"/>
  <c r="N195" i="7"/>
  <c r="I195" i="7"/>
  <c r="N194" i="7"/>
  <c r="I194" i="7"/>
  <c r="N193" i="7"/>
  <c r="I193" i="7"/>
  <c r="N192" i="7"/>
  <c r="I192" i="7"/>
  <c r="N191" i="7"/>
  <c r="I191" i="7"/>
  <c r="N190" i="7"/>
  <c r="I190" i="7"/>
  <c r="N189" i="7"/>
  <c r="I189" i="7"/>
  <c r="N188" i="7"/>
  <c r="I188" i="7"/>
  <c r="N187" i="7"/>
  <c r="I187" i="7"/>
  <c r="N186" i="7"/>
  <c r="I186" i="7"/>
  <c r="N185" i="7"/>
  <c r="I185" i="7"/>
  <c r="N184" i="7"/>
  <c r="I184" i="7"/>
  <c r="N183" i="7"/>
  <c r="I183" i="7"/>
  <c r="N182" i="7"/>
  <c r="I182" i="7"/>
  <c r="N181" i="7"/>
  <c r="I181" i="7"/>
  <c r="N180" i="7"/>
  <c r="I180" i="7"/>
  <c r="N179" i="7"/>
  <c r="I179" i="7"/>
  <c r="N178" i="7"/>
  <c r="I178" i="7"/>
  <c r="N177" i="7"/>
  <c r="I177" i="7"/>
  <c r="N176" i="7"/>
  <c r="I176" i="7"/>
  <c r="N175" i="7"/>
  <c r="I175" i="7"/>
  <c r="N174" i="7"/>
  <c r="I174" i="7"/>
  <c r="N173" i="7"/>
  <c r="I173" i="7"/>
  <c r="N172" i="7"/>
  <c r="I172" i="7"/>
  <c r="N171" i="7"/>
  <c r="I171" i="7"/>
  <c r="N170" i="7"/>
  <c r="I170" i="7"/>
  <c r="N169" i="7"/>
  <c r="I169" i="7"/>
  <c r="N168" i="7"/>
  <c r="I168" i="7"/>
  <c r="N167" i="7"/>
  <c r="I167" i="7"/>
  <c r="N166" i="7"/>
  <c r="I166" i="7"/>
  <c r="N165" i="7"/>
  <c r="I165" i="7"/>
  <c r="N164" i="7"/>
  <c r="I164" i="7"/>
  <c r="N163" i="7"/>
  <c r="I163" i="7"/>
  <c r="N162" i="7"/>
  <c r="I162" i="7"/>
  <c r="N161" i="7"/>
  <c r="I161" i="7"/>
  <c r="N160" i="7"/>
  <c r="I160" i="7"/>
  <c r="N159" i="7"/>
  <c r="I159" i="7"/>
  <c r="N158" i="7"/>
  <c r="I158" i="7"/>
  <c r="N157" i="7"/>
  <c r="I157" i="7"/>
  <c r="N156" i="7"/>
  <c r="I156" i="7"/>
  <c r="N155" i="7"/>
  <c r="I155" i="7"/>
  <c r="N154" i="7"/>
  <c r="I154" i="7"/>
  <c r="N153" i="7"/>
  <c r="I153" i="7"/>
  <c r="N152" i="7"/>
  <c r="I152" i="7"/>
  <c r="N151" i="7"/>
  <c r="I151" i="7"/>
  <c r="N150" i="7"/>
  <c r="I150" i="7"/>
  <c r="N149" i="7"/>
  <c r="I149" i="7"/>
  <c r="N148" i="7"/>
  <c r="I148" i="7"/>
  <c r="N147" i="7"/>
  <c r="I147" i="7"/>
  <c r="N146" i="7"/>
  <c r="I146" i="7"/>
  <c r="N145" i="7"/>
  <c r="I145" i="7"/>
  <c r="N144" i="7"/>
  <c r="I144" i="7"/>
  <c r="N143" i="7"/>
  <c r="I143" i="7"/>
  <c r="N142" i="7"/>
  <c r="I142" i="7"/>
  <c r="N141" i="7"/>
  <c r="I141" i="7"/>
  <c r="N140" i="7"/>
  <c r="I140" i="7"/>
  <c r="N139" i="7"/>
  <c r="I139" i="7"/>
  <c r="N138" i="7"/>
  <c r="I138" i="7"/>
  <c r="N137" i="7"/>
  <c r="I137" i="7"/>
  <c r="N136" i="7"/>
  <c r="I136" i="7"/>
  <c r="N135" i="7"/>
  <c r="I135" i="7"/>
  <c r="N134" i="7"/>
  <c r="I134" i="7"/>
  <c r="N133" i="7"/>
  <c r="I133" i="7"/>
  <c r="N132" i="7"/>
  <c r="I132" i="7"/>
  <c r="N131" i="7"/>
  <c r="I131" i="7"/>
  <c r="N130" i="7"/>
  <c r="I130" i="7"/>
  <c r="N129" i="7"/>
  <c r="I129" i="7"/>
  <c r="N128" i="7"/>
  <c r="I128" i="7"/>
  <c r="N127" i="7"/>
  <c r="I127" i="7"/>
  <c r="N126" i="7"/>
  <c r="I126" i="7"/>
  <c r="N125" i="7"/>
  <c r="I125" i="7"/>
  <c r="N124" i="7"/>
  <c r="I124" i="7"/>
  <c r="N123" i="7"/>
  <c r="I123" i="7"/>
  <c r="N122" i="7"/>
  <c r="I122" i="7"/>
  <c r="N121" i="7"/>
  <c r="I121" i="7"/>
  <c r="N120" i="7"/>
  <c r="I120" i="7"/>
  <c r="N119" i="7"/>
  <c r="I119" i="7"/>
  <c r="N118" i="7"/>
  <c r="I118" i="7"/>
  <c r="N117" i="7"/>
  <c r="I117" i="7"/>
  <c r="N116" i="7"/>
  <c r="I116" i="7"/>
  <c r="N115" i="7"/>
  <c r="I115" i="7"/>
  <c r="N114" i="7"/>
  <c r="I114" i="7"/>
  <c r="N113" i="7"/>
  <c r="I113" i="7"/>
  <c r="N112" i="7"/>
  <c r="I112" i="7"/>
  <c r="N111" i="7"/>
  <c r="I111" i="7"/>
  <c r="N110" i="7"/>
  <c r="I110" i="7"/>
  <c r="N109" i="7"/>
  <c r="I109" i="7"/>
  <c r="N108" i="7"/>
  <c r="I108" i="7"/>
  <c r="N107" i="7"/>
  <c r="I107" i="7"/>
  <c r="N106" i="7"/>
  <c r="I106" i="7"/>
  <c r="N105" i="7"/>
  <c r="I105" i="7"/>
  <c r="N104" i="7"/>
  <c r="I104" i="7"/>
  <c r="N103" i="7"/>
  <c r="I103" i="7"/>
  <c r="N102" i="7"/>
  <c r="I102" i="7"/>
  <c r="N101" i="7"/>
  <c r="I101" i="7"/>
  <c r="N100" i="7"/>
  <c r="I100" i="7"/>
  <c r="N99" i="7"/>
  <c r="I99" i="7"/>
  <c r="N98" i="7"/>
  <c r="I98" i="7"/>
  <c r="N97" i="7"/>
  <c r="I97" i="7"/>
  <c r="N96" i="7"/>
  <c r="I96" i="7"/>
  <c r="N95" i="7"/>
  <c r="I95" i="7"/>
  <c r="N94" i="7"/>
  <c r="I94" i="7"/>
  <c r="N93" i="7"/>
  <c r="I93" i="7"/>
  <c r="N92" i="7"/>
  <c r="I92" i="7"/>
  <c r="N91" i="7"/>
  <c r="I91" i="7"/>
  <c r="N90" i="7"/>
  <c r="I90" i="7"/>
  <c r="N89" i="7"/>
  <c r="I89" i="7"/>
  <c r="N88" i="7"/>
  <c r="I88" i="7"/>
  <c r="N87" i="7"/>
  <c r="I87" i="7"/>
  <c r="N86" i="7"/>
  <c r="I86" i="7"/>
  <c r="N85" i="7"/>
  <c r="I85" i="7"/>
  <c r="N84" i="7"/>
  <c r="I84" i="7"/>
  <c r="N83" i="7"/>
  <c r="I83" i="7"/>
  <c r="N82" i="7"/>
  <c r="I82" i="7"/>
  <c r="N81" i="7"/>
  <c r="I81" i="7"/>
  <c r="N80" i="7"/>
  <c r="I80" i="7"/>
  <c r="N79" i="7"/>
  <c r="I79" i="7"/>
  <c r="N78" i="7"/>
  <c r="I78" i="7"/>
  <c r="N77" i="7"/>
  <c r="I77" i="7"/>
  <c r="N76" i="7"/>
  <c r="I76" i="7"/>
  <c r="N75" i="7"/>
  <c r="I75" i="7"/>
  <c r="N74" i="7"/>
  <c r="I74" i="7"/>
  <c r="N73" i="7"/>
  <c r="I73" i="7"/>
  <c r="N72" i="7"/>
  <c r="I72" i="7"/>
  <c r="N71" i="7"/>
  <c r="I71" i="7"/>
  <c r="N70" i="7"/>
  <c r="I70" i="7"/>
  <c r="N69" i="7"/>
  <c r="I69" i="7"/>
  <c r="N68" i="7"/>
  <c r="I68" i="7"/>
  <c r="N67" i="7"/>
  <c r="I67" i="7"/>
  <c r="N66" i="7"/>
  <c r="I66" i="7"/>
  <c r="N65" i="7"/>
  <c r="I65" i="7"/>
  <c r="N64" i="7"/>
  <c r="I64" i="7"/>
  <c r="N63" i="7"/>
  <c r="I63" i="7"/>
  <c r="N62" i="7"/>
  <c r="I62" i="7"/>
  <c r="N61" i="7"/>
  <c r="I61" i="7"/>
  <c r="N60" i="7"/>
  <c r="I60" i="7"/>
  <c r="N59" i="7"/>
  <c r="I59" i="7"/>
  <c r="N58" i="7"/>
  <c r="I58" i="7"/>
  <c r="N57" i="7"/>
  <c r="I57" i="7"/>
  <c r="N56" i="7"/>
  <c r="I56" i="7"/>
  <c r="N55" i="7"/>
  <c r="I55" i="7"/>
  <c r="N54" i="7"/>
  <c r="I54" i="7"/>
  <c r="N53" i="7"/>
  <c r="I53" i="7"/>
  <c r="N52" i="7"/>
  <c r="I52" i="7"/>
  <c r="N51" i="7"/>
  <c r="I51" i="7"/>
  <c r="N50" i="7"/>
  <c r="I50" i="7"/>
  <c r="N49" i="7"/>
  <c r="I49" i="7"/>
  <c r="N48" i="7"/>
  <c r="I48" i="7"/>
  <c r="N47" i="7"/>
  <c r="I47" i="7"/>
  <c r="N46" i="7"/>
  <c r="I46" i="7"/>
  <c r="N45" i="7"/>
  <c r="I45" i="7"/>
  <c r="N44" i="7"/>
  <c r="I44" i="7"/>
  <c r="N43" i="7"/>
  <c r="I43" i="7"/>
  <c r="N42" i="7"/>
  <c r="I42" i="7"/>
  <c r="N41" i="7"/>
  <c r="I41" i="7"/>
  <c r="N40" i="7"/>
  <c r="I40" i="7"/>
  <c r="N39" i="7"/>
  <c r="I39" i="7"/>
  <c r="N38" i="7"/>
  <c r="I38" i="7"/>
  <c r="N37" i="7"/>
  <c r="I37" i="7"/>
  <c r="N36" i="7"/>
  <c r="I36" i="7"/>
  <c r="N35" i="7"/>
  <c r="I35" i="7"/>
  <c r="N34" i="7"/>
  <c r="I34" i="7"/>
  <c r="N33" i="7"/>
  <c r="I33" i="7"/>
  <c r="N32" i="7"/>
  <c r="I32" i="7"/>
  <c r="N31" i="7"/>
  <c r="I31" i="7"/>
  <c r="N30" i="7"/>
  <c r="I30" i="7"/>
  <c r="N29" i="7"/>
  <c r="I29" i="7"/>
  <c r="N28" i="7"/>
  <c r="I28" i="7"/>
  <c r="N27" i="7"/>
  <c r="I27" i="7"/>
  <c r="N26" i="7"/>
  <c r="I26" i="7"/>
  <c r="N25" i="7"/>
  <c r="I25" i="7"/>
  <c r="N24" i="7"/>
  <c r="I24" i="7"/>
  <c r="N23" i="7"/>
  <c r="I23" i="7"/>
  <c r="N22" i="7"/>
  <c r="I22" i="7"/>
  <c r="N21" i="7"/>
  <c r="I21" i="7"/>
  <c r="N20" i="7"/>
  <c r="I20" i="7"/>
  <c r="N19" i="7"/>
  <c r="I19" i="7"/>
  <c r="N18" i="7"/>
  <c r="I18" i="7"/>
  <c r="N17" i="7"/>
  <c r="I17" i="7"/>
  <c r="N16" i="7"/>
  <c r="I16" i="7"/>
  <c r="N15" i="7"/>
  <c r="I15" i="7"/>
  <c r="N14" i="7"/>
  <c r="I14" i="7"/>
  <c r="N13" i="7"/>
  <c r="I13" i="7"/>
  <c r="N12" i="7"/>
  <c r="I12" i="7"/>
  <c r="N11" i="7"/>
  <c r="I11" i="7"/>
  <c r="N10" i="7"/>
  <c r="I10" i="7"/>
  <c r="N9" i="7"/>
  <c r="I9" i="7"/>
  <c r="N8" i="7"/>
  <c r="I8" i="7"/>
  <c r="N7" i="7"/>
  <c r="I7" i="7"/>
  <c r="N6" i="7"/>
  <c r="I6" i="7"/>
  <c r="N5" i="7"/>
  <c r="I5" i="7"/>
  <c r="N4" i="7"/>
  <c r="I4" i="7"/>
  <c r="N3" i="7"/>
  <c r="I3" i="7"/>
  <c r="N2" i="7"/>
  <c r="I2" i="7"/>
  <c r="AO87" i="32"/>
  <c r="B1619" i="12"/>
  <c r="V40" i="8"/>
  <c r="B20" i="15"/>
  <c r="AF24" i="15"/>
  <c r="AH24" i="15"/>
  <c r="S212" i="28"/>
  <c r="Y212" i="28"/>
  <c r="S213" i="28"/>
  <c r="S214" i="28"/>
  <c r="S215" i="28"/>
  <c r="S216" i="28"/>
  <c r="Y216" i="28"/>
  <c r="S217" i="28"/>
  <c r="Y217" i="28" s="1"/>
  <c r="S218" i="28"/>
  <c r="Y218" i="28" s="1"/>
  <c r="S2" i="28"/>
  <c r="B8" i="32"/>
  <c r="U318" i="28"/>
  <c r="S318" i="28"/>
  <c r="Y318" i="28"/>
  <c r="D318" i="28"/>
  <c r="B318" i="28"/>
  <c r="U317" i="28"/>
  <c r="S317" i="28"/>
  <c r="Y317" i="28" s="1"/>
  <c r="D317" i="28"/>
  <c r="B317" i="28"/>
  <c r="U316" i="28"/>
  <c r="S316" i="28"/>
  <c r="Y316" i="28"/>
  <c r="D316" i="28"/>
  <c r="B316" i="28" s="1"/>
  <c r="U315" i="28"/>
  <c r="S315" i="28"/>
  <c r="D315" i="28"/>
  <c r="B315" i="28" s="1"/>
  <c r="U314" i="28"/>
  <c r="S314" i="28"/>
  <c r="Y314" i="28"/>
  <c r="D314" i="28"/>
  <c r="B314" i="28" s="1"/>
  <c r="U313" i="28"/>
  <c r="S313" i="28"/>
  <c r="Y313" i="28"/>
  <c r="D313" i="28"/>
  <c r="B313" i="28"/>
  <c r="U312" i="28"/>
  <c r="S312" i="28"/>
  <c r="D312" i="28"/>
  <c r="B312" i="28" s="1"/>
  <c r="U311" i="28"/>
  <c r="S311" i="28"/>
  <c r="Y311" i="28"/>
  <c r="D311" i="28"/>
  <c r="B311" i="28" s="1"/>
  <c r="U310" i="28"/>
  <c r="S310" i="28"/>
  <c r="Y310" i="28" s="1"/>
  <c r="D310" i="28"/>
  <c r="B310" i="28" s="1"/>
  <c r="U309" i="28"/>
  <c r="S309" i="28"/>
  <c r="Y309" i="28"/>
  <c r="D309" i="28"/>
  <c r="B309" i="28"/>
  <c r="U308" i="28"/>
  <c r="S308" i="28"/>
  <c r="Y308" i="28" s="1"/>
  <c r="D308" i="28"/>
  <c r="B308" i="28"/>
  <c r="U307" i="28"/>
  <c r="S307" i="28"/>
  <c r="Y307" i="28"/>
  <c r="D307" i="28"/>
  <c r="B307" i="28" s="1"/>
  <c r="U306" i="28"/>
  <c r="S306" i="28"/>
  <c r="Y306" i="28"/>
  <c r="D306" i="28"/>
  <c r="B306" i="28" s="1"/>
  <c r="U305" i="28"/>
  <c r="S305" i="28"/>
  <c r="Y305" i="28"/>
  <c r="D305" i="28"/>
  <c r="B305" i="28"/>
  <c r="U304" i="28"/>
  <c r="S304" i="28"/>
  <c r="Y304" i="28"/>
  <c r="D304" i="28"/>
  <c r="B304" i="28" s="1"/>
  <c r="U303" i="28"/>
  <c r="S303" i="28"/>
  <c r="Y303" i="28"/>
  <c r="D303" i="28"/>
  <c r="B303" i="28"/>
  <c r="U302" i="28"/>
  <c r="S302" i="28"/>
  <c r="Y302" i="28" s="1"/>
  <c r="D302" i="28"/>
  <c r="B302" i="28"/>
  <c r="U301" i="28"/>
  <c r="S301" i="28"/>
  <c r="Y301" i="28"/>
  <c r="D301" i="28"/>
  <c r="B301" i="28"/>
  <c r="U300" i="28"/>
  <c r="S300" i="28"/>
  <c r="Y300" i="28"/>
  <c r="D300" i="28"/>
  <c r="B300" i="28"/>
  <c r="U299" i="28"/>
  <c r="S299" i="28"/>
  <c r="Y299" i="28"/>
  <c r="D299" i="28"/>
  <c r="B299" i="28" s="1"/>
  <c r="U298" i="28"/>
  <c r="S298" i="28"/>
  <c r="Y298" i="28" s="1"/>
  <c r="D298" i="28"/>
  <c r="B298" i="28"/>
  <c r="U297" i="28"/>
  <c r="S297" i="28"/>
  <c r="Y297" i="28" s="1"/>
  <c r="D297" i="28"/>
  <c r="B297" i="28" s="1"/>
  <c r="U296" i="28"/>
  <c r="S296" i="28"/>
  <c r="Y296" i="28"/>
  <c r="D296" i="28"/>
  <c r="B296" i="28" s="1"/>
  <c r="U295" i="28"/>
  <c r="S295" i="28"/>
  <c r="Y295" i="28" s="1"/>
  <c r="D295" i="28"/>
  <c r="B295" i="28"/>
  <c r="U294" i="28"/>
  <c r="S294" i="28"/>
  <c r="D294" i="28"/>
  <c r="B294" i="28"/>
  <c r="U293" i="28"/>
  <c r="S293" i="28"/>
  <c r="Y293" i="28"/>
  <c r="D293" i="28"/>
  <c r="B293" i="28"/>
  <c r="U292" i="28"/>
  <c r="S292" i="28"/>
  <c r="Y292" i="28"/>
  <c r="D292" i="28"/>
  <c r="B292" i="28" s="1"/>
  <c r="U291" i="28"/>
  <c r="S291" i="28"/>
  <c r="Y291" i="28" s="1"/>
  <c r="D291" i="28"/>
  <c r="B291" i="28" s="1"/>
  <c r="U290" i="28"/>
  <c r="S290" i="28"/>
  <c r="Y290" i="28" s="1"/>
  <c r="D290" i="28"/>
  <c r="B290" i="28"/>
  <c r="U289" i="28"/>
  <c r="S289" i="28"/>
  <c r="D289" i="28"/>
  <c r="B289" i="28" s="1"/>
  <c r="U288" i="28"/>
  <c r="S288" i="28"/>
  <c r="Y288" i="28"/>
  <c r="D288" i="28"/>
  <c r="B288" i="28"/>
  <c r="U287" i="28"/>
  <c r="S287" i="28"/>
  <c r="Y287" i="28" s="1"/>
  <c r="D287" i="28"/>
  <c r="B287" i="28"/>
  <c r="U286" i="28"/>
  <c r="S286" i="28"/>
  <c r="Y286" i="28"/>
  <c r="D286" i="28"/>
  <c r="B286" i="28"/>
  <c r="U285" i="28"/>
  <c r="S285" i="28"/>
  <c r="Y285" i="28"/>
  <c r="D285" i="28"/>
  <c r="B285" i="28" s="1"/>
  <c r="U284" i="28"/>
  <c r="S284" i="28"/>
  <c r="Y284" i="28"/>
  <c r="D284" i="28"/>
  <c r="B284" i="28" s="1"/>
  <c r="U283" i="28"/>
  <c r="S283" i="28"/>
  <c r="Y283" i="28" s="1"/>
  <c r="D283" i="28"/>
  <c r="B283" i="28" s="1"/>
  <c r="U282" i="28"/>
  <c r="S282" i="28"/>
  <c r="Y282" i="28" s="1"/>
  <c r="D282" i="28"/>
  <c r="B282" i="28"/>
  <c r="U281" i="28"/>
  <c r="S281" i="28"/>
  <c r="Y281" i="28" s="1"/>
  <c r="D281" i="28"/>
  <c r="B281" i="28" s="1"/>
  <c r="U280" i="28"/>
  <c r="S280" i="28"/>
  <c r="Y280" i="28"/>
  <c r="D280" i="28"/>
  <c r="B280" i="28" s="1"/>
  <c r="U279" i="28"/>
  <c r="S279" i="28"/>
  <c r="Y279" i="28" s="1"/>
  <c r="D279" i="28"/>
  <c r="B279" i="28" s="1"/>
  <c r="U278" i="28"/>
  <c r="S278" i="28"/>
  <c r="Y278" i="28"/>
  <c r="D278" i="28"/>
  <c r="B278" i="28" s="1"/>
  <c r="U277" i="28"/>
  <c r="S277" i="28"/>
  <c r="Y277" i="28" s="1"/>
  <c r="D277" i="28"/>
  <c r="B277" i="28"/>
  <c r="U276" i="28"/>
  <c r="S276" i="28"/>
  <c r="D276" i="28"/>
  <c r="B276" i="28"/>
  <c r="AB275" i="28"/>
  <c r="U275" i="28"/>
  <c r="S275" i="28"/>
  <c r="Y275" i="28"/>
  <c r="D275" i="28"/>
  <c r="B275" i="28"/>
  <c r="U274" i="28"/>
  <c r="S274" i="28"/>
  <c r="D274" i="28"/>
  <c r="B274" i="28"/>
  <c r="U273" i="28"/>
  <c r="S273" i="28"/>
  <c r="D273" i="28"/>
  <c r="B273" i="28" s="1"/>
  <c r="U272" i="28"/>
  <c r="S272" i="28"/>
  <c r="Y272" i="28" s="1"/>
  <c r="D272" i="28"/>
  <c r="B272" i="28"/>
  <c r="U271" i="28"/>
  <c r="S271" i="28"/>
  <c r="Y271" i="28" s="1"/>
  <c r="D271" i="28"/>
  <c r="B271" i="28" s="1"/>
  <c r="U270" i="28"/>
  <c r="S270" i="28"/>
  <c r="Y270" i="28"/>
  <c r="D270" i="28"/>
  <c r="B270" i="28" s="1"/>
  <c r="U269" i="28"/>
  <c r="S269" i="28"/>
  <c r="D269" i="28"/>
  <c r="B269" i="28" s="1"/>
  <c r="U268" i="28"/>
  <c r="S268" i="28"/>
  <c r="Y268" i="28"/>
  <c r="D268" i="28"/>
  <c r="B268" i="28" s="1"/>
  <c r="U267" i="28"/>
  <c r="S267" i="28"/>
  <c r="Y267" i="28" s="1"/>
  <c r="D267" i="28"/>
  <c r="B267" i="28"/>
  <c r="U266" i="28"/>
  <c r="S266" i="28"/>
  <c r="Y266" i="28" s="1"/>
  <c r="D266" i="28"/>
  <c r="B266" i="28" s="1"/>
  <c r="U265" i="28"/>
  <c r="S265" i="28"/>
  <c r="Y265" i="28"/>
  <c r="D265" i="28"/>
  <c r="B265" i="28" s="1"/>
  <c r="U264" i="28"/>
  <c r="S264" i="28"/>
  <c r="Y264" i="28" s="1"/>
  <c r="D264" i="28"/>
  <c r="B264" i="28"/>
  <c r="U263" i="28"/>
  <c r="S263" i="28"/>
  <c r="Y263" i="28"/>
  <c r="D263" i="28"/>
  <c r="B263" i="28"/>
  <c r="U262" i="28"/>
  <c r="S262" i="28"/>
  <c r="D262" i="28"/>
  <c r="B262" i="28"/>
  <c r="U261" i="28"/>
  <c r="S261" i="28"/>
  <c r="Y261" i="28" s="1"/>
  <c r="D261" i="28"/>
  <c r="B261" i="28"/>
  <c r="U260" i="28"/>
  <c r="S260" i="28"/>
  <c r="Y260" i="28"/>
  <c r="D260" i="28"/>
  <c r="B260" i="28" s="1"/>
  <c r="U259" i="28"/>
  <c r="S259" i="28"/>
  <c r="Y259" i="28"/>
  <c r="D259" i="28"/>
  <c r="B259" i="28" s="1"/>
  <c r="U258" i="28"/>
  <c r="S258" i="28"/>
  <c r="Y258" i="28"/>
  <c r="D258" i="28"/>
  <c r="B258" i="28" s="1"/>
  <c r="U257" i="28"/>
  <c r="S257" i="28"/>
  <c r="Y257" i="28" s="1"/>
  <c r="D257" i="28"/>
  <c r="B257" i="28"/>
  <c r="U256" i="28"/>
  <c r="S256" i="28"/>
  <c r="Y256" i="28" s="1"/>
  <c r="D256" i="28"/>
  <c r="B256" i="28" s="1"/>
  <c r="U112" i="28"/>
  <c r="S112" i="28"/>
  <c r="Y112" i="28"/>
  <c r="D112" i="28"/>
  <c r="B112" i="28"/>
  <c r="U111" i="28"/>
  <c r="S111" i="28"/>
  <c r="Y111" i="28" s="1"/>
  <c r="D111" i="28"/>
  <c r="B111" i="28"/>
  <c r="U110" i="28"/>
  <c r="S110" i="28"/>
  <c r="D110" i="28"/>
  <c r="B110" i="28" s="1"/>
  <c r="U109" i="28"/>
  <c r="S109" i="28"/>
  <c r="D109" i="28"/>
  <c r="B109" i="28"/>
  <c r="U108" i="28"/>
  <c r="S108" i="28"/>
  <c r="D108" i="28"/>
  <c r="B108" i="28" s="1"/>
  <c r="U107" i="28"/>
  <c r="S107" i="28"/>
  <c r="Y107" i="28" s="1"/>
  <c r="D107" i="28"/>
  <c r="B107" i="28"/>
  <c r="U106" i="28"/>
  <c r="S106" i="28"/>
  <c r="Y106" i="28" s="1"/>
  <c r="D106" i="28"/>
  <c r="B106" i="28"/>
  <c r="U105" i="28"/>
  <c r="S105" i="28"/>
  <c r="D105" i="28"/>
  <c r="B105" i="28"/>
  <c r="U104" i="28"/>
  <c r="S104" i="28"/>
  <c r="Y104" i="28" s="1"/>
  <c r="D104" i="28"/>
  <c r="B104" i="28" s="1"/>
  <c r="U103" i="28"/>
  <c r="S103" i="28"/>
  <c r="Y103" i="28"/>
  <c r="D103" i="28"/>
  <c r="B103" i="28"/>
  <c r="U102" i="28"/>
  <c r="S102" i="28"/>
  <c r="Y102" i="28" s="1"/>
  <c r="D102" i="28"/>
  <c r="B102" i="28"/>
  <c r="U101" i="28"/>
  <c r="S101" i="28"/>
  <c r="D101" i="28"/>
  <c r="B101" i="28" s="1"/>
  <c r="U100" i="28"/>
  <c r="S100" i="28"/>
  <c r="Y100" i="28" s="1"/>
  <c r="D100" i="28"/>
  <c r="B100" i="28"/>
  <c r="U99" i="28"/>
  <c r="S99" i="28"/>
  <c r="Y99" i="28" s="1"/>
  <c r="D99" i="28"/>
  <c r="B99" i="28" s="1"/>
  <c r="U98" i="28"/>
  <c r="S98" i="28"/>
  <c r="Y98" i="28"/>
  <c r="D98" i="28"/>
  <c r="B98" i="28"/>
  <c r="U97" i="28"/>
  <c r="S97" i="28"/>
  <c r="Y97" i="28" s="1"/>
  <c r="D97" i="28"/>
  <c r="B97" i="28"/>
  <c r="U96" i="28"/>
  <c r="S96" i="28"/>
  <c r="Y96" i="28" s="1"/>
  <c r="D96" i="28"/>
  <c r="B96" i="28" s="1"/>
  <c r="U95" i="28"/>
  <c r="S95" i="28"/>
  <c r="Y95" i="28" s="1"/>
  <c r="D95" i="28"/>
  <c r="B95" i="28"/>
  <c r="U94" i="28"/>
  <c r="S94" i="28"/>
  <c r="Y94" i="28" s="1"/>
  <c r="D94" i="28"/>
  <c r="B94" i="28" s="1"/>
  <c r="U93" i="28"/>
  <c r="S93" i="28"/>
  <c r="Y93" i="28"/>
  <c r="D93" i="28"/>
  <c r="B93" i="28"/>
  <c r="U92" i="28"/>
  <c r="S92" i="28"/>
  <c r="Y92" i="28" s="1"/>
  <c r="D92" i="28"/>
  <c r="B92" i="28"/>
  <c r="U91" i="28"/>
  <c r="S91" i="28"/>
  <c r="Y91" i="28" s="1"/>
  <c r="D91" i="28"/>
  <c r="B91" i="28"/>
  <c r="U90" i="28"/>
  <c r="S90" i="28"/>
  <c r="Y90" i="28"/>
  <c r="D90" i="28"/>
  <c r="B90" i="28" s="1"/>
  <c r="U89" i="28"/>
  <c r="S89" i="28"/>
  <c r="Y89" i="28"/>
  <c r="D89" i="28"/>
  <c r="B89" i="28" s="1"/>
  <c r="U88" i="28"/>
  <c r="S88" i="28"/>
  <c r="Y88" i="28"/>
  <c r="D88" i="28"/>
  <c r="B88" i="28" s="1"/>
  <c r="U87" i="28"/>
  <c r="S87" i="28"/>
  <c r="Y87" i="28" s="1"/>
  <c r="D87" i="28"/>
  <c r="B87" i="28"/>
  <c r="U86" i="28"/>
  <c r="S86" i="28"/>
  <c r="D86" i="28"/>
  <c r="B86" i="28"/>
  <c r="U85" i="28"/>
  <c r="S85" i="28"/>
  <c r="Y85" i="28"/>
  <c r="D85" i="28"/>
  <c r="B85" i="28"/>
  <c r="U84" i="28"/>
  <c r="S84" i="28"/>
  <c r="Y84" i="28"/>
  <c r="D84" i="28"/>
  <c r="B84" i="28" s="1"/>
  <c r="U83" i="28"/>
  <c r="S83" i="28"/>
  <c r="Y83" i="28" s="1"/>
  <c r="D83" i="28"/>
  <c r="B83" i="28" s="1"/>
  <c r="U82" i="28"/>
  <c r="S82" i="28"/>
  <c r="Y82" i="28" s="1"/>
  <c r="D82" i="28"/>
  <c r="B82" i="28"/>
  <c r="U81" i="28"/>
  <c r="S81" i="28"/>
  <c r="Y81" i="28" s="1"/>
  <c r="D81" i="28"/>
  <c r="B81" i="28" s="1"/>
  <c r="U80" i="28"/>
  <c r="S80" i="28"/>
  <c r="Y80" i="28"/>
  <c r="D80" i="28"/>
  <c r="B80" i="28" s="1"/>
  <c r="U79" i="28"/>
  <c r="S79" i="28"/>
  <c r="D79" i="28"/>
  <c r="B79" i="28"/>
  <c r="U78" i="28"/>
  <c r="S78" i="28"/>
  <c r="Y78" i="28" s="1"/>
  <c r="D78" i="28"/>
  <c r="B78" i="28"/>
  <c r="U77" i="28"/>
  <c r="S77" i="28"/>
  <c r="Y77" i="28"/>
  <c r="D77" i="28"/>
  <c r="B77" i="28"/>
  <c r="U76" i="28"/>
  <c r="S76" i="28"/>
  <c r="Y76" i="28"/>
  <c r="D76" i="28"/>
  <c r="B76" i="28" s="1"/>
  <c r="U75" i="28"/>
  <c r="S75" i="28"/>
  <c r="Y75" i="28" s="1"/>
  <c r="D75" i="28"/>
  <c r="B75" i="28" s="1"/>
  <c r="U74" i="28"/>
  <c r="S74" i="28"/>
  <c r="Y74" i="28" s="1"/>
  <c r="D74" i="28"/>
  <c r="B74" i="28"/>
  <c r="U73" i="28"/>
  <c r="S73" i="28"/>
  <c r="Y73" i="28" s="1"/>
  <c r="D73" i="28"/>
  <c r="B73" i="28" s="1"/>
  <c r="U72" i="28"/>
  <c r="S72" i="28"/>
  <c r="Y72" i="28"/>
  <c r="D72" i="28"/>
  <c r="B72" i="28"/>
  <c r="U71" i="28"/>
  <c r="S71" i="28"/>
  <c r="Y71" i="28" s="1"/>
  <c r="D71" i="28"/>
  <c r="B71" i="28"/>
  <c r="U70" i="28"/>
  <c r="S70" i="28"/>
  <c r="Y70" i="28"/>
  <c r="D70" i="28"/>
  <c r="B70" i="28"/>
  <c r="U69" i="28"/>
  <c r="S69" i="28"/>
  <c r="Y69" i="28"/>
  <c r="D69" i="28"/>
  <c r="B69" i="28" s="1"/>
  <c r="U68" i="28"/>
  <c r="S68" i="28"/>
  <c r="Y68" i="28"/>
  <c r="D68" i="28"/>
  <c r="B68" i="28" s="1"/>
  <c r="U67" i="28"/>
  <c r="S67" i="28"/>
  <c r="Y67" i="28" s="1"/>
  <c r="D67" i="28"/>
  <c r="B67" i="28" s="1"/>
  <c r="U66" i="28"/>
  <c r="S66" i="28"/>
  <c r="Y66" i="28" s="1"/>
  <c r="D66" i="28"/>
  <c r="B66" i="28"/>
  <c r="U65" i="28"/>
  <c r="S65" i="28"/>
  <c r="Y65" i="28" s="1"/>
  <c r="D65" i="28"/>
  <c r="B65" i="28" s="1"/>
  <c r="U64" i="28"/>
  <c r="S64" i="28"/>
  <c r="Y64" i="28"/>
  <c r="D64" i="28"/>
  <c r="B64" i="28"/>
  <c r="U63" i="28"/>
  <c r="S63" i="28"/>
  <c r="D63" i="28"/>
  <c r="B63" i="28"/>
  <c r="U62" i="28"/>
  <c r="S62" i="28"/>
  <c r="Y62" i="28"/>
  <c r="D62" i="28"/>
  <c r="B62" i="28"/>
  <c r="U61" i="28"/>
  <c r="S61" i="28"/>
  <c r="Y61" i="28"/>
  <c r="D61" i="28"/>
  <c r="B61" i="28"/>
  <c r="U60" i="28"/>
  <c r="S60" i="28"/>
  <c r="Y60" i="28"/>
  <c r="D60" i="28"/>
  <c r="B60" i="28" s="1"/>
  <c r="U59" i="28"/>
  <c r="S59" i="28"/>
  <c r="Y59" i="28"/>
  <c r="D59" i="28"/>
  <c r="B59" i="28" s="1"/>
  <c r="U58" i="28"/>
  <c r="S58" i="28"/>
  <c r="Y58" i="28" s="1"/>
  <c r="D58" i="28"/>
  <c r="B58" i="28"/>
  <c r="U57" i="28"/>
  <c r="S57" i="28"/>
  <c r="Y57" i="28" s="1"/>
  <c r="D57" i="28"/>
  <c r="B57" i="28" s="1"/>
  <c r="U56" i="28"/>
  <c r="S56" i="28"/>
  <c r="Y56" i="28"/>
  <c r="D56" i="28"/>
  <c r="B56" i="28"/>
  <c r="U55" i="28"/>
  <c r="S55" i="28"/>
  <c r="Y55" i="28" s="1"/>
  <c r="D55" i="28"/>
  <c r="B55" i="28"/>
  <c r="U54" i="28"/>
  <c r="S54" i="28"/>
  <c r="Y54" i="28" s="1"/>
  <c r="D54" i="28"/>
  <c r="B54" i="28"/>
  <c r="U53" i="28"/>
  <c r="S53" i="28"/>
  <c r="Y53" i="28"/>
  <c r="D53" i="28"/>
  <c r="B53" i="28"/>
  <c r="U52" i="28"/>
  <c r="S52" i="28"/>
  <c r="Y52" i="28"/>
  <c r="D52" i="28"/>
  <c r="B52" i="28" s="1"/>
  <c r="U51" i="28"/>
  <c r="S51" i="28"/>
  <c r="Y51" i="28"/>
  <c r="D51" i="28"/>
  <c r="B51" i="28" s="1"/>
  <c r="U50" i="28"/>
  <c r="S50" i="28"/>
  <c r="Y50" i="28" s="1"/>
  <c r="D50" i="28"/>
  <c r="B50" i="28"/>
  <c r="U49" i="28"/>
  <c r="S49" i="28"/>
  <c r="Y49" i="28" s="1"/>
  <c r="D49" i="28"/>
  <c r="B49" i="28" s="1"/>
  <c r="U48" i="28"/>
  <c r="S48" i="28"/>
  <c r="Y48" i="28"/>
  <c r="D48" i="28"/>
  <c r="B48" i="28" s="1"/>
  <c r="U47" i="28"/>
  <c r="S47" i="28"/>
  <c r="D47" i="28"/>
  <c r="B47" i="28" s="1"/>
  <c r="U46" i="28"/>
  <c r="S46" i="28"/>
  <c r="Y46" i="28"/>
  <c r="D46" i="28"/>
  <c r="B46" i="28" s="1"/>
  <c r="U45" i="28"/>
  <c r="S45" i="28"/>
  <c r="Y45" i="28" s="1"/>
  <c r="D45" i="28"/>
  <c r="B45" i="28"/>
  <c r="U44" i="28"/>
  <c r="S44" i="28"/>
  <c r="Y44" i="28" s="1"/>
  <c r="D44" i="28"/>
  <c r="B44" i="28" s="1"/>
  <c r="U43" i="28"/>
  <c r="S43" i="28"/>
  <c r="Y43" i="28"/>
  <c r="D43" i="28"/>
  <c r="B43" i="28"/>
  <c r="U42" i="28"/>
  <c r="S42" i="28"/>
  <c r="Y42" i="28" s="1"/>
  <c r="D42" i="28"/>
  <c r="B42" i="28"/>
  <c r="U41" i="28"/>
  <c r="S41" i="28"/>
  <c r="Y41" i="28"/>
  <c r="D41" i="28"/>
  <c r="B41" i="28"/>
  <c r="U40" i="28"/>
  <c r="S40" i="28"/>
  <c r="Y40" i="28"/>
  <c r="D40" i="28"/>
  <c r="B40" i="28" s="1"/>
  <c r="U39" i="28"/>
  <c r="S39" i="28"/>
  <c r="Y39" i="28"/>
  <c r="D39" i="28"/>
  <c r="B39" i="28" s="1"/>
  <c r="U38" i="28"/>
  <c r="S38" i="28"/>
  <c r="Y38" i="28" s="1"/>
  <c r="D38" i="28"/>
  <c r="B38" i="28" s="1"/>
  <c r="U37" i="28"/>
  <c r="S37" i="28"/>
  <c r="Y37" i="28" s="1"/>
  <c r="D37" i="28"/>
  <c r="B37" i="28"/>
  <c r="U36" i="28"/>
  <c r="S36" i="28"/>
  <c r="Y36" i="28" s="1"/>
  <c r="D36" i="28"/>
  <c r="B36" i="28" s="1"/>
  <c r="U35" i="28"/>
  <c r="S35" i="28"/>
  <c r="Y35" i="28"/>
  <c r="D35" i="28"/>
  <c r="B35" i="28" s="1"/>
  <c r="U34" i="28"/>
  <c r="S34" i="28"/>
  <c r="Y34" i="28" s="1"/>
  <c r="D34" i="28"/>
  <c r="B34" i="28"/>
  <c r="U33" i="28"/>
  <c r="S33" i="28"/>
  <c r="D33" i="28"/>
  <c r="B33" i="28"/>
  <c r="U32" i="28"/>
  <c r="S32" i="28"/>
  <c r="Y32" i="28"/>
  <c r="D32" i="28"/>
  <c r="B32" i="28"/>
  <c r="U31" i="28"/>
  <c r="S31" i="28"/>
  <c r="Y31" i="28"/>
  <c r="D31" i="28"/>
  <c r="B31" i="28" s="1"/>
  <c r="U30" i="28"/>
  <c r="S30" i="28"/>
  <c r="Y30" i="28"/>
  <c r="D30" i="28"/>
  <c r="B30" i="28" s="1"/>
  <c r="Y86" i="28"/>
  <c r="Y108" i="28"/>
  <c r="Y110" i="28"/>
  <c r="Y315" i="28"/>
  <c r="V3" i="8"/>
  <c r="V4" i="8"/>
  <c r="V5" i="8"/>
  <c r="V6" i="8"/>
  <c r="V7" i="8"/>
  <c r="V8" i="8"/>
  <c r="V10" i="8"/>
  <c r="V12" i="8"/>
  <c r="V13" i="8"/>
  <c r="V14" i="8"/>
  <c r="V15" i="8"/>
  <c r="V16" i="8"/>
  <c r="V20" i="8"/>
  <c r="V21" i="8"/>
  <c r="V22" i="8"/>
  <c r="V23" i="8"/>
  <c r="V24" i="8"/>
  <c r="V25" i="8"/>
  <c r="V26" i="8"/>
  <c r="V27" i="8"/>
  <c r="V28" i="8"/>
  <c r="V29" i="8"/>
  <c r="V30" i="8"/>
  <c r="V31" i="8"/>
  <c r="V32" i="8"/>
  <c r="V33" i="8"/>
  <c r="V34" i="8"/>
  <c r="V35" i="8"/>
  <c r="V36" i="8"/>
  <c r="V37" i="8"/>
  <c r="V38" i="8"/>
  <c r="V39" i="8"/>
  <c r="AM13" i="8"/>
  <c r="H31" i="31"/>
  <c r="AF13" i="8"/>
  <c r="AD13" i="8" s="1"/>
  <c r="AJ13" i="8" s="1"/>
  <c r="AK13" i="8" s="1"/>
  <c r="X13" i="8"/>
  <c r="N31" i="31" s="1"/>
  <c r="O13" i="8"/>
  <c r="J13" i="8"/>
  <c r="C108" i="32"/>
  <c r="J3" i="33"/>
  <c r="D108" i="32"/>
  <c r="J4" i="33" s="1"/>
  <c r="E108" i="32"/>
  <c r="J5" i="33" s="1"/>
  <c r="F108" i="32"/>
  <c r="J6" i="33"/>
  <c r="G108" i="32"/>
  <c r="J7" i="33" s="1"/>
  <c r="H108" i="32"/>
  <c r="J8" i="33" s="1"/>
  <c r="I108" i="32"/>
  <c r="J9" i="33" s="1"/>
  <c r="J108" i="32"/>
  <c r="J10" i="33"/>
  <c r="K108" i="32"/>
  <c r="J11" i="33"/>
  <c r="L108" i="32"/>
  <c r="J12" i="33" s="1"/>
  <c r="M108" i="32"/>
  <c r="J13" i="33" s="1"/>
  <c r="N108" i="32"/>
  <c r="J14" i="33"/>
  <c r="O108" i="32"/>
  <c r="J15" i="33" s="1"/>
  <c r="P108" i="32"/>
  <c r="J16" i="33" s="1"/>
  <c r="Q108" i="32"/>
  <c r="J17" i="33" s="1"/>
  <c r="R108" i="32"/>
  <c r="J18" i="33"/>
  <c r="S108" i="32"/>
  <c r="J19" i="33"/>
  <c r="T108" i="32"/>
  <c r="J20" i="33" s="1"/>
  <c r="U108" i="32"/>
  <c r="J21" i="33" s="1"/>
  <c r="V108" i="32"/>
  <c r="J22" i="33"/>
  <c r="W108" i="32"/>
  <c r="J23" i="33" s="1"/>
  <c r="X108" i="32"/>
  <c r="J24" i="33" s="1"/>
  <c r="Y108" i="32"/>
  <c r="J25" i="33" s="1"/>
  <c r="Z108" i="32"/>
  <c r="J26" i="33"/>
  <c r="AA108" i="32"/>
  <c r="J27" i="33"/>
  <c r="AB108" i="32"/>
  <c r="J28" i="33" s="1"/>
  <c r="AC108" i="32"/>
  <c r="J29" i="33" s="1"/>
  <c r="AD108" i="32"/>
  <c r="J30" i="33"/>
  <c r="AE108" i="32"/>
  <c r="J31" i="33" s="1"/>
  <c r="AF108" i="32"/>
  <c r="J32" i="33" s="1"/>
  <c r="AG108" i="32"/>
  <c r="J33" i="33" s="1"/>
  <c r="AH108" i="32"/>
  <c r="J34" i="33"/>
  <c r="AI108" i="32"/>
  <c r="J35" i="33"/>
  <c r="AJ108" i="32"/>
  <c r="J36" i="33" s="1"/>
  <c r="AK108" i="32"/>
  <c r="J37" i="33" s="1"/>
  <c r="AL108" i="32"/>
  <c r="J38" i="33"/>
  <c r="AM108" i="32"/>
  <c r="J39" i="33" s="1"/>
  <c r="AN108" i="32"/>
  <c r="J40" i="33" s="1"/>
  <c r="A3055" i="12"/>
  <c r="A3190" i="12" s="1"/>
  <c r="A3325" i="12" s="1"/>
  <c r="A3460" i="12" s="1"/>
  <c r="A3595" i="12"/>
  <c r="A3730" i="12"/>
  <c r="A3865" i="12" s="1"/>
  <c r="A4000" i="12" s="1"/>
  <c r="A4135" i="12" s="1"/>
  <c r="A4270" i="12" s="1"/>
  <c r="A4405" i="12" s="1"/>
  <c r="A4540" i="12" s="1"/>
  <c r="A4675" i="12" s="1"/>
  <c r="A4810" i="12" s="1"/>
  <c r="A4945" i="12" s="1"/>
  <c r="A5080" i="12" s="1"/>
  <c r="A5215" i="12" s="1"/>
  <c r="AS20" i="8"/>
  <c r="AQ33" i="8"/>
  <c r="AE134" i="4"/>
  <c r="AE133" i="4"/>
  <c r="AE132" i="4"/>
  <c r="AE131" i="4"/>
  <c r="AE130" i="4"/>
  <c r="AE129" i="4"/>
  <c r="AL40" i="33"/>
  <c r="AK40" i="33"/>
  <c r="AJ40" i="33"/>
  <c r="AH40" i="33"/>
  <c r="AG40" i="33"/>
  <c r="AF40" i="33"/>
  <c r="AE40" i="33"/>
  <c r="AD40" i="33"/>
  <c r="AC40" i="33"/>
  <c r="V40" i="33"/>
  <c r="U40" i="33"/>
  <c r="T40" i="33"/>
  <c r="S40" i="33"/>
  <c r="R40" i="33"/>
  <c r="Q40" i="33"/>
  <c r="P40" i="33"/>
  <c r="O40" i="33"/>
  <c r="N40" i="33"/>
  <c r="M40" i="33"/>
  <c r="L40" i="33"/>
  <c r="K40" i="33"/>
  <c r="I40" i="33"/>
  <c r="H40" i="33"/>
  <c r="G40" i="33"/>
  <c r="F40" i="33"/>
  <c r="E40" i="33"/>
  <c r="D40" i="33"/>
  <c r="C40" i="33"/>
  <c r="B40" i="33"/>
  <c r="AL39" i="33"/>
  <c r="AK39" i="33"/>
  <c r="AJ39" i="33"/>
  <c r="AH39" i="33"/>
  <c r="AG39" i="33"/>
  <c r="AF39" i="33"/>
  <c r="AE39" i="33"/>
  <c r="AD39" i="33"/>
  <c r="AC39" i="33"/>
  <c r="V39" i="33"/>
  <c r="U39" i="33"/>
  <c r="T39" i="33"/>
  <c r="S39" i="33"/>
  <c r="R39" i="33"/>
  <c r="Q39" i="33"/>
  <c r="P39" i="33"/>
  <c r="O39" i="33"/>
  <c r="N39" i="33"/>
  <c r="M39" i="33"/>
  <c r="L39" i="33"/>
  <c r="K39" i="33"/>
  <c r="I39" i="33"/>
  <c r="H39" i="33"/>
  <c r="G39" i="33"/>
  <c r="F39" i="33"/>
  <c r="E39" i="33"/>
  <c r="D39" i="33"/>
  <c r="C39" i="33"/>
  <c r="B39" i="33"/>
  <c r="AL38" i="33"/>
  <c r="AK38" i="33"/>
  <c r="AJ38" i="33"/>
  <c r="AH38" i="33"/>
  <c r="AG38" i="33"/>
  <c r="AF38" i="33"/>
  <c r="AE38" i="33"/>
  <c r="AD38" i="33"/>
  <c r="AC38" i="33"/>
  <c r="V38" i="33"/>
  <c r="U38" i="33"/>
  <c r="T38" i="33"/>
  <c r="S38" i="33"/>
  <c r="R38" i="33"/>
  <c r="Q38" i="33"/>
  <c r="P38" i="33"/>
  <c r="O38" i="33"/>
  <c r="N38" i="33"/>
  <c r="M38" i="33"/>
  <c r="L38" i="33"/>
  <c r="K38" i="33"/>
  <c r="I38" i="33"/>
  <c r="H38" i="33"/>
  <c r="G38" i="33"/>
  <c r="F38" i="33"/>
  <c r="E38" i="33"/>
  <c r="D38" i="33"/>
  <c r="C38" i="33"/>
  <c r="B38" i="33"/>
  <c r="AL37" i="33"/>
  <c r="AK37" i="33"/>
  <c r="AJ37" i="33"/>
  <c r="AH37" i="33"/>
  <c r="AG37" i="33"/>
  <c r="AF37" i="33"/>
  <c r="AE37" i="33"/>
  <c r="AD37" i="33"/>
  <c r="AC37" i="33"/>
  <c r="V37" i="33"/>
  <c r="U37" i="33"/>
  <c r="T37" i="33"/>
  <c r="S37" i="33"/>
  <c r="R37" i="33"/>
  <c r="Q37" i="33"/>
  <c r="P37" i="33"/>
  <c r="O37" i="33"/>
  <c r="N37" i="33"/>
  <c r="M37" i="33"/>
  <c r="L37" i="33"/>
  <c r="K37" i="33"/>
  <c r="I37" i="33"/>
  <c r="H37" i="33"/>
  <c r="G37" i="33"/>
  <c r="F37" i="33"/>
  <c r="E37" i="33"/>
  <c r="D37" i="33"/>
  <c r="C37" i="33"/>
  <c r="B37" i="33"/>
  <c r="AL36" i="33"/>
  <c r="AK36" i="33"/>
  <c r="AJ36" i="33"/>
  <c r="AH36" i="33"/>
  <c r="AG36" i="33"/>
  <c r="AF36" i="33"/>
  <c r="AE36" i="33"/>
  <c r="AD36" i="33"/>
  <c r="AC36" i="33"/>
  <c r="V36" i="33"/>
  <c r="U36" i="33"/>
  <c r="T36" i="33"/>
  <c r="S36" i="33"/>
  <c r="R36" i="33"/>
  <c r="Q36" i="33"/>
  <c r="P36" i="33"/>
  <c r="O36" i="33"/>
  <c r="N36" i="33"/>
  <c r="M36" i="33"/>
  <c r="L36" i="33"/>
  <c r="K36" i="33"/>
  <c r="I36" i="33"/>
  <c r="H36" i="33"/>
  <c r="G36" i="33"/>
  <c r="F36" i="33"/>
  <c r="E36" i="33"/>
  <c r="D36" i="33"/>
  <c r="C36" i="33"/>
  <c r="B36" i="33"/>
  <c r="AL35" i="33"/>
  <c r="AK35" i="33"/>
  <c r="AJ35" i="33"/>
  <c r="AH35" i="33"/>
  <c r="AG35" i="33"/>
  <c r="AF35" i="33"/>
  <c r="AE35" i="33"/>
  <c r="AD35" i="33"/>
  <c r="AC35" i="33"/>
  <c r="V35" i="33"/>
  <c r="U35" i="33"/>
  <c r="T35" i="33"/>
  <c r="S35" i="33"/>
  <c r="R35" i="33"/>
  <c r="Q35" i="33"/>
  <c r="P35" i="33"/>
  <c r="O35" i="33"/>
  <c r="N35" i="33"/>
  <c r="M35" i="33"/>
  <c r="L35" i="33"/>
  <c r="K35" i="33"/>
  <c r="I35" i="33"/>
  <c r="H35" i="33"/>
  <c r="G35" i="33"/>
  <c r="F35" i="33"/>
  <c r="E35" i="33"/>
  <c r="D35" i="33"/>
  <c r="C35" i="33"/>
  <c r="B35" i="33"/>
  <c r="AL34" i="33"/>
  <c r="AK34" i="33"/>
  <c r="AJ34" i="33"/>
  <c r="AH34" i="33"/>
  <c r="AG34" i="33"/>
  <c r="AF34" i="33"/>
  <c r="AE34" i="33"/>
  <c r="AD34" i="33"/>
  <c r="AC34" i="33"/>
  <c r="V34" i="33"/>
  <c r="U34" i="33"/>
  <c r="T34" i="33"/>
  <c r="S34" i="33"/>
  <c r="R34" i="33"/>
  <c r="Q34" i="33"/>
  <c r="P34" i="33"/>
  <c r="O34" i="33"/>
  <c r="N34" i="33"/>
  <c r="M34" i="33"/>
  <c r="L34" i="33"/>
  <c r="K34" i="33"/>
  <c r="I34" i="33"/>
  <c r="H34" i="33"/>
  <c r="G34" i="33"/>
  <c r="F34" i="33"/>
  <c r="E34" i="33"/>
  <c r="D34" i="33"/>
  <c r="C34" i="33"/>
  <c r="B34" i="33"/>
  <c r="AL33" i="33"/>
  <c r="AK33" i="33"/>
  <c r="AJ33" i="33"/>
  <c r="AH33" i="33"/>
  <c r="AG33" i="33"/>
  <c r="AF33" i="33"/>
  <c r="AE33" i="33"/>
  <c r="AD33" i="33"/>
  <c r="AC33" i="33"/>
  <c r="V33" i="33"/>
  <c r="U33" i="33"/>
  <c r="T33" i="33"/>
  <c r="S33" i="33"/>
  <c r="R33" i="33"/>
  <c r="Q33" i="33"/>
  <c r="P33" i="33"/>
  <c r="O33" i="33"/>
  <c r="N33" i="33"/>
  <c r="M33" i="33"/>
  <c r="L33" i="33"/>
  <c r="K33" i="33"/>
  <c r="I33" i="33"/>
  <c r="H33" i="33"/>
  <c r="G33" i="33"/>
  <c r="F33" i="33"/>
  <c r="E33" i="33"/>
  <c r="D33" i="33"/>
  <c r="C33" i="33"/>
  <c r="B33" i="33"/>
  <c r="AL32" i="33"/>
  <c r="AK32" i="33"/>
  <c r="AJ32" i="33"/>
  <c r="AH32" i="33"/>
  <c r="AG32" i="33"/>
  <c r="AF32" i="33"/>
  <c r="AE32" i="33"/>
  <c r="AD32" i="33"/>
  <c r="AC32" i="33"/>
  <c r="V32" i="33"/>
  <c r="U32" i="33"/>
  <c r="T32" i="33"/>
  <c r="S32" i="33"/>
  <c r="R32" i="33"/>
  <c r="Q32" i="33"/>
  <c r="P32" i="33"/>
  <c r="O32" i="33"/>
  <c r="N32" i="33"/>
  <c r="M32" i="33"/>
  <c r="L32" i="33"/>
  <c r="K32" i="33"/>
  <c r="I32" i="33"/>
  <c r="H32" i="33"/>
  <c r="G32" i="33"/>
  <c r="F32" i="33"/>
  <c r="E32" i="33"/>
  <c r="D32" i="33"/>
  <c r="C32" i="33"/>
  <c r="B32" i="33"/>
  <c r="AL31" i="33"/>
  <c r="AK31" i="33"/>
  <c r="AJ31" i="33"/>
  <c r="AH31" i="33"/>
  <c r="AG31" i="33"/>
  <c r="AF31" i="33"/>
  <c r="AE31" i="33"/>
  <c r="AD31" i="33"/>
  <c r="AC31" i="33"/>
  <c r="V31" i="33"/>
  <c r="U31" i="33"/>
  <c r="T31" i="33"/>
  <c r="S31" i="33"/>
  <c r="R31" i="33"/>
  <c r="Q31" i="33"/>
  <c r="P31" i="33"/>
  <c r="O31" i="33"/>
  <c r="N31" i="33"/>
  <c r="M31" i="33"/>
  <c r="L31" i="33"/>
  <c r="K31" i="33"/>
  <c r="I31" i="33"/>
  <c r="H31" i="33"/>
  <c r="G31" i="33"/>
  <c r="F31" i="33"/>
  <c r="E31" i="33"/>
  <c r="D31" i="33"/>
  <c r="C31" i="33"/>
  <c r="B31" i="33"/>
  <c r="AL30" i="33"/>
  <c r="AK30" i="33"/>
  <c r="AJ30" i="33"/>
  <c r="AH30" i="33"/>
  <c r="AG30" i="33"/>
  <c r="AF30" i="33"/>
  <c r="AE30" i="33"/>
  <c r="AD30" i="33"/>
  <c r="AC30" i="33"/>
  <c r="V30" i="33"/>
  <c r="U30" i="33"/>
  <c r="T30" i="33"/>
  <c r="S30" i="33"/>
  <c r="R30" i="33"/>
  <c r="Q30" i="33"/>
  <c r="P30" i="33"/>
  <c r="O30" i="33"/>
  <c r="N30" i="33"/>
  <c r="M30" i="33"/>
  <c r="L30" i="33"/>
  <c r="K30" i="33"/>
  <c r="I30" i="33"/>
  <c r="H30" i="33"/>
  <c r="G30" i="33"/>
  <c r="F30" i="33"/>
  <c r="E30" i="33"/>
  <c r="D30" i="33"/>
  <c r="C30" i="33"/>
  <c r="B30" i="33"/>
  <c r="AL29" i="33"/>
  <c r="AK29" i="33"/>
  <c r="AJ29" i="33"/>
  <c r="AH29" i="33"/>
  <c r="AG29" i="33"/>
  <c r="AF29" i="33"/>
  <c r="AE29" i="33"/>
  <c r="AD29" i="33"/>
  <c r="AC29" i="33"/>
  <c r="V29" i="33"/>
  <c r="U29" i="33"/>
  <c r="T29" i="33"/>
  <c r="S29" i="33"/>
  <c r="R29" i="33"/>
  <c r="Q29" i="33"/>
  <c r="P29" i="33"/>
  <c r="O29" i="33"/>
  <c r="N29" i="33"/>
  <c r="M29" i="33"/>
  <c r="L29" i="33"/>
  <c r="K29" i="33"/>
  <c r="I29" i="33"/>
  <c r="H29" i="33"/>
  <c r="G29" i="33"/>
  <c r="F29" i="33"/>
  <c r="E29" i="33"/>
  <c r="D29" i="33"/>
  <c r="C29" i="33"/>
  <c r="B29" i="33"/>
  <c r="AL28" i="33"/>
  <c r="AK28" i="33"/>
  <c r="AJ28" i="33"/>
  <c r="AH28" i="33"/>
  <c r="AG28" i="33"/>
  <c r="AF28" i="33"/>
  <c r="AE28" i="33"/>
  <c r="AD28" i="33"/>
  <c r="AC28" i="33"/>
  <c r="V28" i="33"/>
  <c r="U28" i="33"/>
  <c r="T28" i="33"/>
  <c r="S28" i="33"/>
  <c r="R28" i="33"/>
  <c r="Q28" i="33"/>
  <c r="P28" i="33"/>
  <c r="O28" i="33"/>
  <c r="N28" i="33"/>
  <c r="M28" i="33"/>
  <c r="L28" i="33"/>
  <c r="K28" i="33"/>
  <c r="I28" i="33"/>
  <c r="H28" i="33"/>
  <c r="G28" i="33"/>
  <c r="F28" i="33"/>
  <c r="E28" i="33"/>
  <c r="D28" i="33"/>
  <c r="C28" i="33"/>
  <c r="B28" i="33"/>
  <c r="AL27" i="33"/>
  <c r="AK27" i="33"/>
  <c r="AJ27" i="33"/>
  <c r="AH27" i="33"/>
  <c r="AG27" i="33"/>
  <c r="AF27" i="33"/>
  <c r="AE27" i="33"/>
  <c r="AD27" i="33"/>
  <c r="AC27" i="33"/>
  <c r="V27" i="33"/>
  <c r="U27" i="33"/>
  <c r="T27" i="33"/>
  <c r="S27" i="33"/>
  <c r="R27" i="33"/>
  <c r="Q27" i="33"/>
  <c r="P27" i="33"/>
  <c r="O27" i="33"/>
  <c r="N27" i="33"/>
  <c r="M27" i="33"/>
  <c r="L27" i="33"/>
  <c r="K27" i="33"/>
  <c r="I27" i="33"/>
  <c r="H27" i="33"/>
  <c r="G27" i="33"/>
  <c r="F27" i="33"/>
  <c r="E27" i="33"/>
  <c r="D27" i="33"/>
  <c r="C27" i="33"/>
  <c r="B27" i="33"/>
  <c r="AL26" i="33"/>
  <c r="AK26" i="33"/>
  <c r="AJ26" i="33"/>
  <c r="AH26" i="33"/>
  <c r="AG26" i="33"/>
  <c r="AF26" i="33"/>
  <c r="AE26" i="33"/>
  <c r="AD26" i="33"/>
  <c r="AC26" i="33"/>
  <c r="V26" i="33"/>
  <c r="U26" i="33"/>
  <c r="T26" i="33"/>
  <c r="S26" i="33"/>
  <c r="R26" i="33"/>
  <c r="Q26" i="33"/>
  <c r="P26" i="33"/>
  <c r="O26" i="33"/>
  <c r="N26" i="33"/>
  <c r="M26" i="33"/>
  <c r="L26" i="33"/>
  <c r="K26" i="33"/>
  <c r="I26" i="33"/>
  <c r="H26" i="33"/>
  <c r="G26" i="33"/>
  <c r="F26" i="33"/>
  <c r="E26" i="33"/>
  <c r="D26" i="33"/>
  <c r="C26" i="33"/>
  <c r="B26" i="33"/>
  <c r="AL25" i="33"/>
  <c r="AK25" i="33"/>
  <c r="AJ25" i="33"/>
  <c r="AH25" i="33"/>
  <c r="AG25" i="33"/>
  <c r="AF25" i="33"/>
  <c r="AE25" i="33"/>
  <c r="AD25" i="33"/>
  <c r="AC25" i="33"/>
  <c r="V25" i="33"/>
  <c r="U25" i="33"/>
  <c r="T25" i="33"/>
  <c r="S25" i="33"/>
  <c r="R25" i="33"/>
  <c r="Q25" i="33"/>
  <c r="P25" i="33"/>
  <c r="O25" i="33"/>
  <c r="N25" i="33"/>
  <c r="M25" i="33"/>
  <c r="L25" i="33"/>
  <c r="K25" i="33"/>
  <c r="I25" i="33"/>
  <c r="H25" i="33"/>
  <c r="G25" i="33"/>
  <c r="F25" i="33"/>
  <c r="E25" i="33"/>
  <c r="D25" i="33"/>
  <c r="C25" i="33"/>
  <c r="B25" i="33"/>
  <c r="AL24" i="33"/>
  <c r="AK24" i="33"/>
  <c r="AJ24" i="33"/>
  <c r="AH24" i="33"/>
  <c r="AG24" i="33"/>
  <c r="AF24" i="33"/>
  <c r="AE24" i="33"/>
  <c r="AD24" i="33"/>
  <c r="AC24" i="33"/>
  <c r="V24" i="33"/>
  <c r="U24" i="33"/>
  <c r="T24" i="33"/>
  <c r="S24" i="33"/>
  <c r="R24" i="33"/>
  <c r="Q24" i="33"/>
  <c r="P24" i="33"/>
  <c r="O24" i="33"/>
  <c r="N24" i="33"/>
  <c r="M24" i="33"/>
  <c r="L24" i="33"/>
  <c r="K24" i="33"/>
  <c r="I24" i="33"/>
  <c r="H24" i="33"/>
  <c r="G24" i="33"/>
  <c r="F24" i="33"/>
  <c r="E24" i="33"/>
  <c r="D24" i="33"/>
  <c r="C24" i="33"/>
  <c r="B24" i="33"/>
  <c r="AL23" i="33"/>
  <c r="AK23" i="33"/>
  <c r="AJ23" i="33"/>
  <c r="AH23" i="33"/>
  <c r="AG23" i="33"/>
  <c r="AF23" i="33"/>
  <c r="AE23" i="33"/>
  <c r="AD23" i="33"/>
  <c r="AC23" i="33"/>
  <c r="V23" i="33"/>
  <c r="U23" i="33"/>
  <c r="T23" i="33"/>
  <c r="S23" i="33"/>
  <c r="R23" i="33"/>
  <c r="Q23" i="33"/>
  <c r="P23" i="33"/>
  <c r="O23" i="33"/>
  <c r="N23" i="33"/>
  <c r="M23" i="33"/>
  <c r="L23" i="33"/>
  <c r="K23" i="33"/>
  <c r="I23" i="33"/>
  <c r="H23" i="33"/>
  <c r="G23" i="33"/>
  <c r="F23" i="33"/>
  <c r="E23" i="33"/>
  <c r="D23" i="33"/>
  <c r="C23" i="33"/>
  <c r="B23" i="33"/>
  <c r="AL22" i="33"/>
  <c r="AK22" i="33"/>
  <c r="AJ22" i="33"/>
  <c r="AH22" i="33"/>
  <c r="AG22" i="33"/>
  <c r="AF22" i="33"/>
  <c r="AE22" i="33"/>
  <c r="AD22" i="33"/>
  <c r="AC22" i="33"/>
  <c r="V22" i="33"/>
  <c r="U22" i="33"/>
  <c r="T22" i="33"/>
  <c r="S22" i="33"/>
  <c r="R22" i="33"/>
  <c r="Q22" i="33"/>
  <c r="P22" i="33"/>
  <c r="O22" i="33"/>
  <c r="N22" i="33"/>
  <c r="M22" i="33"/>
  <c r="L22" i="33"/>
  <c r="K22" i="33"/>
  <c r="I22" i="33"/>
  <c r="H22" i="33"/>
  <c r="G22" i="33"/>
  <c r="F22" i="33"/>
  <c r="E22" i="33"/>
  <c r="D22" i="33"/>
  <c r="C22" i="33"/>
  <c r="B22" i="33"/>
  <c r="AL21" i="33"/>
  <c r="AK21" i="33"/>
  <c r="AJ21" i="33"/>
  <c r="AH21" i="33"/>
  <c r="AG21" i="33"/>
  <c r="AF21" i="33"/>
  <c r="AE21" i="33"/>
  <c r="AD21" i="33"/>
  <c r="AC21" i="33"/>
  <c r="V21" i="33"/>
  <c r="U21" i="33"/>
  <c r="T21" i="33"/>
  <c r="S21" i="33"/>
  <c r="R21" i="33"/>
  <c r="Q21" i="33"/>
  <c r="P21" i="33"/>
  <c r="O21" i="33"/>
  <c r="N21" i="33"/>
  <c r="M21" i="33"/>
  <c r="L21" i="33"/>
  <c r="K21" i="33"/>
  <c r="I21" i="33"/>
  <c r="H21" i="33"/>
  <c r="G21" i="33"/>
  <c r="F21" i="33"/>
  <c r="E21" i="33"/>
  <c r="D21" i="33"/>
  <c r="C21" i="33"/>
  <c r="B21" i="33"/>
  <c r="AL20" i="33"/>
  <c r="AK20" i="33"/>
  <c r="AJ20" i="33"/>
  <c r="AH20" i="33"/>
  <c r="AG20" i="33"/>
  <c r="AF20" i="33"/>
  <c r="AE20" i="33"/>
  <c r="AD20" i="33"/>
  <c r="AC20" i="33"/>
  <c r="V20" i="33"/>
  <c r="U20" i="33"/>
  <c r="T20" i="33"/>
  <c r="S20" i="33"/>
  <c r="R20" i="33"/>
  <c r="Q20" i="33"/>
  <c r="P20" i="33"/>
  <c r="O20" i="33"/>
  <c r="N20" i="33"/>
  <c r="M20" i="33"/>
  <c r="L20" i="33"/>
  <c r="K20" i="33"/>
  <c r="I20" i="33"/>
  <c r="H20" i="33"/>
  <c r="G20" i="33"/>
  <c r="F20" i="33"/>
  <c r="E20" i="33"/>
  <c r="D20" i="33"/>
  <c r="C20" i="33"/>
  <c r="B20" i="33"/>
  <c r="AL19" i="33"/>
  <c r="AK19" i="33"/>
  <c r="AJ19" i="33"/>
  <c r="AI19" i="33"/>
  <c r="AH19" i="33"/>
  <c r="AG19" i="33"/>
  <c r="AF19" i="33"/>
  <c r="AE19" i="33"/>
  <c r="AD19" i="33"/>
  <c r="AC19" i="33"/>
  <c r="V19" i="33"/>
  <c r="U19" i="33"/>
  <c r="T19" i="33"/>
  <c r="S19" i="33"/>
  <c r="R19" i="33"/>
  <c r="Q19" i="33"/>
  <c r="P19" i="33"/>
  <c r="O19" i="33"/>
  <c r="N19" i="33"/>
  <c r="M19" i="33"/>
  <c r="L19" i="33"/>
  <c r="K19" i="33"/>
  <c r="I19" i="33"/>
  <c r="H19" i="33"/>
  <c r="G19" i="33"/>
  <c r="F19" i="33"/>
  <c r="E19" i="33"/>
  <c r="D19" i="33"/>
  <c r="C19" i="33"/>
  <c r="B19" i="33"/>
  <c r="AL18" i="33"/>
  <c r="AK18" i="33"/>
  <c r="AJ18" i="33"/>
  <c r="AI18" i="33"/>
  <c r="AH18" i="33"/>
  <c r="AG18" i="33"/>
  <c r="AF18" i="33"/>
  <c r="AE18" i="33"/>
  <c r="AD18" i="33"/>
  <c r="AC18" i="33"/>
  <c r="V18" i="33"/>
  <c r="U18" i="33"/>
  <c r="T18" i="33"/>
  <c r="S18" i="33"/>
  <c r="R18" i="33"/>
  <c r="Q18" i="33"/>
  <c r="P18" i="33"/>
  <c r="O18" i="33"/>
  <c r="N18" i="33"/>
  <c r="M18" i="33"/>
  <c r="L18" i="33"/>
  <c r="K18" i="33"/>
  <c r="I18" i="33"/>
  <c r="H18" i="33"/>
  <c r="G18" i="33"/>
  <c r="F18" i="33"/>
  <c r="E18" i="33"/>
  <c r="D18" i="33"/>
  <c r="C18" i="33"/>
  <c r="B18" i="33"/>
  <c r="AL17" i="33"/>
  <c r="AK17" i="33"/>
  <c r="AJ17" i="33"/>
  <c r="AI17" i="33"/>
  <c r="AH17" i="33"/>
  <c r="AG17" i="33"/>
  <c r="AF17" i="33"/>
  <c r="AE17" i="33"/>
  <c r="AD17" i="33"/>
  <c r="AC17" i="33"/>
  <c r="V17" i="33"/>
  <c r="U17" i="33"/>
  <c r="T17" i="33"/>
  <c r="S17" i="33"/>
  <c r="R17" i="33"/>
  <c r="Q17" i="33"/>
  <c r="P17" i="33"/>
  <c r="O17" i="33"/>
  <c r="N17" i="33"/>
  <c r="M17" i="33"/>
  <c r="L17" i="33"/>
  <c r="K17" i="33"/>
  <c r="I17" i="33"/>
  <c r="H17" i="33"/>
  <c r="G17" i="33"/>
  <c r="F17" i="33"/>
  <c r="E17" i="33"/>
  <c r="D17" i="33"/>
  <c r="C17" i="33"/>
  <c r="B17" i="33"/>
  <c r="AL16" i="33"/>
  <c r="AK16" i="33"/>
  <c r="AJ16" i="33"/>
  <c r="AI16" i="33"/>
  <c r="AH16" i="33"/>
  <c r="AG16" i="33"/>
  <c r="AF16" i="33"/>
  <c r="AE16" i="33"/>
  <c r="AD16" i="33"/>
  <c r="AC16" i="33"/>
  <c r="AB16" i="33"/>
  <c r="AA16" i="33"/>
  <c r="Z16" i="33"/>
  <c r="Y16" i="33"/>
  <c r="X16" i="33"/>
  <c r="W16" i="33"/>
  <c r="V16" i="33"/>
  <c r="U16" i="33"/>
  <c r="T16" i="33"/>
  <c r="S16" i="33"/>
  <c r="R16" i="33"/>
  <c r="Q16" i="33"/>
  <c r="P16" i="33"/>
  <c r="O16" i="33"/>
  <c r="N16" i="33"/>
  <c r="M16" i="33"/>
  <c r="L16" i="33"/>
  <c r="K16" i="33"/>
  <c r="I16" i="33"/>
  <c r="H16" i="33"/>
  <c r="G16" i="33"/>
  <c r="F16" i="33"/>
  <c r="E16" i="33"/>
  <c r="D16" i="33"/>
  <c r="C16" i="33"/>
  <c r="B16" i="33"/>
  <c r="AL15" i="33"/>
  <c r="AK15" i="33"/>
  <c r="AJ15" i="33"/>
  <c r="AI15" i="33"/>
  <c r="AH15" i="33"/>
  <c r="AG15" i="33"/>
  <c r="AF15" i="33"/>
  <c r="AE15" i="33"/>
  <c r="AD15" i="33"/>
  <c r="AC15" i="33"/>
  <c r="AB15" i="33"/>
  <c r="AA15" i="33"/>
  <c r="Z15" i="33"/>
  <c r="Y15" i="33"/>
  <c r="X15" i="33"/>
  <c r="W15" i="33"/>
  <c r="V15" i="33"/>
  <c r="U15" i="33"/>
  <c r="T15" i="33"/>
  <c r="S15" i="33"/>
  <c r="R15" i="33"/>
  <c r="Q15" i="33"/>
  <c r="P15" i="33"/>
  <c r="O15" i="33"/>
  <c r="N15" i="33"/>
  <c r="M15" i="33"/>
  <c r="L15" i="33"/>
  <c r="K15" i="33"/>
  <c r="I15" i="33"/>
  <c r="H15" i="33"/>
  <c r="G15" i="33"/>
  <c r="F15" i="33"/>
  <c r="E15" i="33"/>
  <c r="D15" i="33"/>
  <c r="C15" i="33"/>
  <c r="B15" i="33"/>
  <c r="AL14" i="33"/>
  <c r="AK14" i="33"/>
  <c r="AJ14" i="33"/>
  <c r="AI14" i="33"/>
  <c r="AH14" i="33"/>
  <c r="AG14" i="33"/>
  <c r="AF14" i="33"/>
  <c r="AE14" i="33"/>
  <c r="AD14" i="33"/>
  <c r="AC14" i="33"/>
  <c r="AB14" i="33"/>
  <c r="AA14" i="33"/>
  <c r="Z14" i="33"/>
  <c r="Y14" i="33"/>
  <c r="X14" i="33"/>
  <c r="W14" i="33"/>
  <c r="V14" i="33"/>
  <c r="U14" i="33"/>
  <c r="T14" i="33"/>
  <c r="S14" i="33"/>
  <c r="R14" i="33"/>
  <c r="Q14" i="33"/>
  <c r="P14" i="33"/>
  <c r="O14" i="33"/>
  <c r="N14" i="33"/>
  <c r="M14" i="33"/>
  <c r="L14" i="33"/>
  <c r="K14" i="33"/>
  <c r="I14" i="33"/>
  <c r="H14" i="33"/>
  <c r="G14" i="33"/>
  <c r="F14" i="33"/>
  <c r="E14" i="33"/>
  <c r="D14" i="33"/>
  <c r="C14" i="33"/>
  <c r="B14" i="33"/>
  <c r="AL13" i="33"/>
  <c r="AK13" i="33"/>
  <c r="AJ13" i="33"/>
  <c r="AI13" i="33"/>
  <c r="AH13" i="33"/>
  <c r="AG13" i="33"/>
  <c r="AF13" i="33"/>
  <c r="AE13" i="33"/>
  <c r="AD13" i="33"/>
  <c r="AC13" i="33"/>
  <c r="AB13" i="33"/>
  <c r="AA13" i="33"/>
  <c r="Z13" i="33"/>
  <c r="Y13" i="33"/>
  <c r="X13" i="33"/>
  <c r="W13" i="33"/>
  <c r="V13" i="33"/>
  <c r="U13" i="33"/>
  <c r="T13" i="33"/>
  <c r="S13" i="33"/>
  <c r="R13" i="33"/>
  <c r="Q13" i="33"/>
  <c r="P13" i="33"/>
  <c r="O13" i="33"/>
  <c r="N13" i="33"/>
  <c r="M13" i="33"/>
  <c r="L13" i="33"/>
  <c r="K13" i="33"/>
  <c r="I13" i="33"/>
  <c r="H13" i="33"/>
  <c r="G13" i="33"/>
  <c r="F13" i="33"/>
  <c r="E13" i="33"/>
  <c r="D13" i="33"/>
  <c r="C13" i="33"/>
  <c r="B13" i="33"/>
  <c r="AL12" i="33"/>
  <c r="AK12" i="33"/>
  <c r="AJ12" i="33"/>
  <c r="AI12" i="33"/>
  <c r="AH12" i="33"/>
  <c r="AG12" i="33"/>
  <c r="AF12" i="33"/>
  <c r="AE12" i="33"/>
  <c r="AD12" i="33"/>
  <c r="AC12" i="33"/>
  <c r="AB12" i="33"/>
  <c r="AA12" i="33"/>
  <c r="Z12" i="33"/>
  <c r="Y12" i="33"/>
  <c r="X12" i="33"/>
  <c r="W12" i="33"/>
  <c r="V12" i="33"/>
  <c r="U12" i="33"/>
  <c r="T12" i="33"/>
  <c r="S12" i="33"/>
  <c r="R12" i="33"/>
  <c r="Q12" i="33"/>
  <c r="P12" i="33"/>
  <c r="O12" i="33"/>
  <c r="N12" i="33"/>
  <c r="M12" i="33"/>
  <c r="L12" i="33"/>
  <c r="K12" i="33"/>
  <c r="I12" i="33"/>
  <c r="H12" i="33"/>
  <c r="G12" i="33"/>
  <c r="F12" i="33"/>
  <c r="E12" i="33"/>
  <c r="D12" i="33"/>
  <c r="C12" i="33"/>
  <c r="B12" i="33"/>
  <c r="AL11" i="33"/>
  <c r="AK11" i="33"/>
  <c r="AJ11" i="33"/>
  <c r="AI11" i="33"/>
  <c r="AH11" i="33"/>
  <c r="AG11" i="33"/>
  <c r="AF11" i="33"/>
  <c r="AE11" i="33"/>
  <c r="AD11" i="33"/>
  <c r="AC11" i="33"/>
  <c r="AB11" i="33"/>
  <c r="AA11" i="33"/>
  <c r="Z11" i="33"/>
  <c r="Y11" i="33"/>
  <c r="X11" i="33"/>
  <c r="W11" i="33"/>
  <c r="V11" i="33"/>
  <c r="U11" i="33"/>
  <c r="T11" i="33"/>
  <c r="S11" i="33"/>
  <c r="R11" i="33"/>
  <c r="Q11" i="33"/>
  <c r="P11" i="33"/>
  <c r="O11" i="33"/>
  <c r="N11" i="33"/>
  <c r="M11" i="33"/>
  <c r="L11" i="33"/>
  <c r="K11" i="33"/>
  <c r="I11" i="33"/>
  <c r="H11" i="33"/>
  <c r="G11" i="33"/>
  <c r="F11" i="33"/>
  <c r="E11" i="33"/>
  <c r="D11" i="33"/>
  <c r="C11" i="33"/>
  <c r="B11" i="33"/>
  <c r="AL10" i="33"/>
  <c r="AK10" i="33"/>
  <c r="AJ10" i="33"/>
  <c r="AI10" i="33"/>
  <c r="AH10" i="33"/>
  <c r="AG10" i="33"/>
  <c r="AF10" i="33"/>
  <c r="AE10" i="33"/>
  <c r="AD10" i="33"/>
  <c r="AC10" i="33"/>
  <c r="AB10" i="33"/>
  <c r="AA10" i="33"/>
  <c r="Z10" i="33"/>
  <c r="Y10" i="33"/>
  <c r="X10" i="33"/>
  <c r="W10" i="33"/>
  <c r="V10" i="33"/>
  <c r="U10" i="33"/>
  <c r="T10" i="33"/>
  <c r="S10" i="33"/>
  <c r="R10" i="33"/>
  <c r="Q10" i="33"/>
  <c r="P10" i="33"/>
  <c r="O10" i="33"/>
  <c r="N10" i="33"/>
  <c r="M10" i="33"/>
  <c r="L10" i="33"/>
  <c r="K10" i="33"/>
  <c r="I10" i="33"/>
  <c r="H10" i="33"/>
  <c r="G10" i="33"/>
  <c r="F10" i="33"/>
  <c r="E10" i="33"/>
  <c r="D10" i="33"/>
  <c r="C10" i="33"/>
  <c r="B10" i="33"/>
  <c r="AL9" i="33"/>
  <c r="AK9" i="33"/>
  <c r="AJ9" i="33"/>
  <c r="AI9" i="33"/>
  <c r="AH9" i="33"/>
  <c r="AG9" i="33"/>
  <c r="AF9" i="33"/>
  <c r="AE9" i="33"/>
  <c r="AD9" i="33"/>
  <c r="AC9" i="33"/>
  <c r="AB9" i="33"/>
  <c r="AA9" i="33"/>
  <c r="Z9" i="33"/>
  <c r="Y9" i="33"/>
  <c r="X9" i="33"/>
  <c r="W9" i="33"/>
  <c r="V9" i="33"/>
  <c r="U9" i="33"/>
  <c r="T9" i="33"/>
  <c r="S9" i="33"/>
  <c r="R9" i="33"/>
  <c r="Q9" i="33"/>
  <c r="P9" i="33"/>
  <c r="O9" i="33"/>
  <c r="N9" i="33"/>
  <c r="M9" i="33"/>
  <c r="L9" i="33"/>
  <c r="K9" i="33"/>
  <c r="I9" i="33"/>
  <c r="H9" i="33"/>
  <c r="G9" i="33"/>
  <c r="F9" i="33"/>
  <c r="E9" i="33"/>
  <c r="D9" i="33"/>
  <c r="C9" i="33"/>
  <c r="B9" i="33"/>
  <c r="AL8" i="33"/>
  <c r="AK8" i="33"/>
  <c r="AJ8" i="33"/>
  <c r="AI8" i="33"/>
  <c r="AH8" i="33"/>
  <c r="AG8" i="33"/>
  <c r="AF8" i="33"/>
  <c r="AE8" i="33"/>
  <c r="AD8" i="33"/>
  <c r="AC8" i="33"/>
  <c r="AB8" i="33"/>
  <c r="AA8" i="33"/>
  <c r="Z8" i="33"/>
  <c r="Y8" i="33"/>
  <c r="X8" i="33"/>
  <c r="W8" i="33"/>
  <c r="V8" i="33"/>
  <c r="U8" i="33"/>
  <c r="T8" i="33"/>
  <c r="S8" i="33"/>
  <c r="R8" i="33"/>
  <c r="Q8" i="33"/>
  <c r="P8" i="33"/>
  <c r="O8" i="33"/>
  <c r="N8" i="33"/>
  <c r="M8" i="33"/>
  <c r="L8" i="33"/>
  <c r="K8" i="33"/>
  <c r="I8" i="33"/>
  <c r="H8" i="33"/>
  <c r="G8" i="33"/>
  <c r="F8" i="33"/>
  <c r="E8" i="33"/>
  <c r="D8" i="33"/>
  <c r="C8" i="33"/>
  <c r="B8" i="33"/>
  <c r="AL7" i="33"/>
  <c r="AK7" i="33"/>
  <c r="AJ7" i="33"/>
  <c r="AI7" i="33"/>
  <c r="AH7" i="33"/>
  <c r="AG7" i="33"/>
  <c r="AF7" i="33"/>
  <c r="AE7" i="33"/>
  <c r="AD7" i="33"/>
  <c r="AC7" i="33"/>
  <c r="AB7" i="33"/>
  <c r="AA7" i="33"/>
  <c r="Z7" i="33"/>
  <c r="Y7" i="33"/>
  <c r="X7" i="33"/>
  <c r="W7" i="33"/>
  <c r="V7" i="33"/>
  <c r="U7" i="33"/>
  <c r="T7" i="33"/>
  <c r="S7" i="33"/>
  <c r="R7" i="33"/>
  <c r="Q7" i="33"/>
  <c r="P7" i="33"/>
  <c r="O7" i="33"/>
  <c r="N7" i="33"/>
  <c r="M7" i="33"/>
  <c r="L7" i="33"/>
  <c r="K7" i="33"/>
  <c r="I7" i="33"/>
  <c r="H7" i="33"/>
  <c r="G7" i="33"/>
  <c r="F7" i="33"/>
  <c r="E7" i="33"/>
  <c r="D7" i="33"/>
  <c r="C7" i="33"/>
  <c r="B7" i="33"/>
  <c r="AL6" i="33"/>
  <c r="AK6" i="33"/>
  <c r="AJ6" i="33"/>
  <c r="AI6" i="33"/>
  <c r="AH6" i="33"/>
  <c r="AG6" i="33"/>
  <c r="AF6" i="33"/>
  <c r="AE6" i="33"/>
  <c r="AD6" i="33"/>
  <c r="AC6" i="33"/>
  <c r="AB6" i="33"/>
  <c r="AA6" i="33"/>
  <c r="Z6" i="33"/>
  <c r="Y6" i="33"/>
  <c r="X6" i="33"/>
  <c r="W6" i="33"/>
  <c r="V6" i="33"/>
  <c r="U6" i="33"/>
  <c r="T6" i="33"/>
  <c r="S6" i="33"/>
  <c r="R6" i="33"/>
  <c r="Q6" i="33"/>
  <c r="P6" i="33"/>
  <c r="O6" i="33"/>
  <c r="N6" i="33"/>
  <c r="M6" i="33"/>
  <c r="L6" i="33"/>
  <c r="K6" i="33"/>
  <c r="I6" i="33"/>
  <c r="H6" i="33"/>
  <c r="G6" i="33"/>
  <c r="F6" i="33"/>
  <c r="E6" i="33"/>
  <c r="D6" i="33"/>
  <c r="C6" i="33"/>
  <c r="B6" i="33"/>
  <c r="AL5" i="33"/>
  <c r="AK5" i="33"/>
  <c r="AJ5" i="33"/>
  <c r="AI5" i="33"/>
  <c r="AH5" i="33"/>
  <c r="AG5" i="33"/>
  <c r="AF5" i="33"/>
  <c r="AE5" i="33"/>
  <c r="AD5" i="33"/>
  <c r="AC5" i="33"/>
  <c r="AB5" i="33"/>
  <c r="AA5" i="33"/>
  <c r="Z5" i="33"/>
  <c r="Y5" i="33"/>
  <c r="X5" i="33"/>
  <c r="W5" i="33"/>
  <c r="V5" i="33"/>
  <c r="U5" i="33"/>
  <c r="T5" i="33"/>
  <c r="S5" i="33"/>
  <c r="R5" i="33"/>
  <c r="Q5" i="33"/>
  <c r="P5" i="33"/>
  <c r="O5" i="33"/>
  <c r="N5" i="33"/>
  <c r="M5" i="33"/>
  <c r="L5" i="33"/>
  <c r="K5" i="33"/>
  <c r="I5" i="33"/>
  <c r="H5" i="33"/>
  <c r="G5" i="33"/>
  <c r="F5" i="33"/>
  <c r="E5" i="33"/>
  <c r="D5" i="33"/>
  <c r="C5" i="33"/>
  <c r="B5" i="33"/>
  <c r="AL4" i="33"/>
  <c r="AK4" i="33"/>
  <c r="AJ4" i="33"/>
  <c r="AI4" i="33"/>
  <c r="AH4" i="33"/>
  <c r="AG4" i="33"/>
  <c r="AF4" i="33"/>
  <c r="AE4" i="33"/>
  <c r="AD4" i="33"/>
  <c r="AC4" i="33"/>
  <c r="AB4" i="33"/>
  <c r="AA4" i="33"/>
  <c r="Z4" i="33"/>
  <c r="Y4" i="33"/>
  <c r="X4" i="33"/>
  <c r="W4" i="33"/>
  <c r="V4" i="33"/>
  <c r="U4" i="33"/>
  <c r="T4" i="33"/>
  <c r="S4" i="33"/>
  <c r="R4" i="33"/>
  <c r="Q4" i="33"/>
  <c r="P4" i="33"/>
  <c r="O4" i="33"/>
  <c r="N4" i="33"/>
  <c r="M4" i="33"/>
  <c r="L4" i="33"/>
  <c r="K4" i="33"/>
  <c r="I4" i="33"/>
  <c r="H4" i="33"/>
  <c r="G4" i="33"/>
  <c r="F4" i="33"/>
  <c r="E4" i="33"/>
  <c r="D4" i="33"/>
  <c r="C4" i="33"/>
  <c r="B4" i="33"/>
  <c r="AL3" i="33"/>
  <c r="AK3" i="33"/>
  <c r="AJ3" i="33"/>
  <c r="AI3" i="33"/>
  <c r="AH3" i="33"/>
  <c r="AG3" i="33"/>
  <c r="AF3" i="33"/>
  <c r="AE3" i="33"/>
  <c r="AD3" i="33"/>
  <c r="AC3" i="33"/>
  <c r="AB3" i="33"/>
  <c r="AA3" i="33"/>
  <c r="Z3" i="33"/>
  <c r="Y3" i="33"/>
  <c r="X3" i="33"/>
  <c r="W3" i="33"/>
  <c r="V3" i="33"/>
  <c r="U3" i="33"/>
  <c r="T3" i="33"/>
  <c r="S3" i="33"/>
  <c r="R3" i="33"/>
  <c r="Q3" i="33"/>
  <c r="P3" i="33"/>
  <c r="O3" i="33"/>
  <c r="N3" i="33"/>
  <c r="M3" i="33"/>
  <c r="L3" i="33"/>
  <c r="K3" i="33"/>
  <c r="I3" i="33"/>
  <c r="H3" i="33"/>
  <c r="G3" i="33"/>
  <c r="F3" i="33"/>
  <c r="E3" i="33"/>
  <c r="D3" i="33"/>
  <c r="C3" i="33"/>
  <c r="B3" i="33"/>
  <c r="AL2" i="33"/>
  <c r="AK2" i="33"/>
  <c r="AJ2" i="33"/>
  <c r="AI2" i="33"/>
  <c r="AH2" i="33"/>
  <c r="AG2" i="33"/>
  <c r="AF2" i="33"/>
  <c r="AE2" i="33"/>
  <c r="AD2" i="33"/>
  <c r="AC2" i="33"/>
  <c r="AB2" i="33"/>
  <c r="AA2" i="33"/>
  <c r="Z2" i="33"/>
  <c r="Y2" i="33"/>
  <c r="X2" i="33"/>
  <c r="W2" i="33"/>
  <c r="V2" i="33"/>
  <c r="U2" i="33"/>
  <c r="T2" i="33"/>
  <c r="S2" i="33"/>
  <c r="R2" i="33"/>
  <c r="Q2" i="33"/>
  <c r="P2" i="33"/>
  <c r="O2" i="33"/>
  <c r="N2" i="33"/>
  <c r="M2" i="33"/>
  <c r="L2" i="33"/>
  <c r="K2" i="33"/>
  <c r="J2" i="33"/>
  <c r="I2" i="33"/>
  <c r="H2" i="33"/>
  <c r="G2" i="33"/>
  <c r="F2" i="33"/>
  <c r="E2" i="33"/>
  <c r="D2" i="33"/>
  <c r="C2" i="33"/>
  <c r="B2" i="33"/>
  <c r="AM9" i="8"/>
  <c r="AF20" i="8"/>
  <c r="AD20" i="8" s="1"/>
  <c r="AJ20" i="8" s="1"/>
  <c r="X3" i="11"/>
  <c r="AR50" i="4"/>
  <c r="X4" i="11"/>
  <c r="X5" i="11"/>
  <c r="AR108" i="4"/>
  <c r="X6" i="11"/>
  <c r="X7" i="11"/>
  <c r="AR136" i="4" s="1"/>
  <c r="X8" i="11"/>
  <c r="X9" i="11"/>
  <c r="X10" i="11"/>
  <c r="X11" i="11"/>
  <c r="X12" i="11"/>
  <c r="X13" i="11"/>
  <c r="X14" i="11"/>
  <c r="X2" i="11"/>
  <c r="AL63" i="8" s="1"/>
  <c r="AR83" i="4"/>
  <c r="AR113" i="4"/>
  <c r="AR185" i="4"/>
  <c r="AR215" i="4"/>
  <c r="AR171" i="4"/>
  <c r="AR46" i="4"/>
  <c r="AR80" i="4"/>
  <c r="AR118" i="4"/>
  <c r="AR202" i="4"/>
  <c r="AR14" i="4"/>
  <c r="AR210" i="4"/>
  <c r="AR68" i="4"/>
  <c r="AR117" i="4"/>
  <c r="AR191" i="4"/>
  <c r="AR110" i="4"/>
  <c r="AR188" i="4"/>
  <c r="AR9" i="4"/>
  <c r="AR177" i="4"/>
  <c r="AR81" i="4"/>
  <c r="AR96" i="4"/>
  <c r="AR120" i="4"/>
  <c r="AR55" i="4"/>
  <c r="AR214" i="4"/>
  <c r="AQ31" i="8"/>
  <c r="AM31" i="8"/>
  <c r="AF31" i="8"/>
  <c r="AD31" i="8" s="1"/>
  <c r="AJ31" i="8" s="1"/>
  <c r="X31" i="8"/>
  <c r="AQ30" i="8"/>
  <c r="AM30" i="8"/>
  <c r="AF30" i="8"/>
  <c r="AD30" i="8" s="1"/>
  <c r="AJ30" i="8" s="1"/>
  <c r="X30" i="8"/>
  <c r="AQ29" i="8"/>
  <c r="AM29" i="8"/>
  <c r="AF29" i="8"/>
  <c r="AD29" i="8" s="1"/>
  <c r="AJ29" i="8" s="1"/>
  <c r="X29" i="8"/>
  <c r="AQ28" i="8"/>
  <c r="AM28" i="8"/>
  <c r="AF28" i="8"/>
  <c r="AD28" i="8"/>
  <c r="AJ28" i="8" s="1"/>
  <c r="X28" i="8"/>
  <c r="B2" i="11"/>
  <c r="B4" i="11"/>
  <c r="B5" i="11"/>
  <c r="B6" i="11"/>
  <c r="B7" i="11"/>
  <c r="B8" i="11"/>
  <c r="B9" i="11"/>
  <c r="B10" i="11"/>
  <c r="B11" i="11"/>
  <c r="B12" i="11"/>
  <c r="B13" i="11"/>
  <c r="B14" i="11"/>
  <c r="B3" i="11"/>
  <c r="AR22" i="8"/>
  <c r="AQ22" i="8"/>
  <c r="AQ21" i="8"/>
  <c r="B131" i="12"/>
  <c r="B266" i="12"/>
  <c r="B132" i="12"/>
  <c r="B267" i="12" s="1"/>
  <c r="B133" i="12"/>
  <c r="B268" i="12"/>
  <c r="B403" i="12" s="1"/>
  <c r="B538" i="12" s="1"/>
  <c r="B119" i="12"/>
  <c r="B254" i="12"/>
  <c r="B389" i="12"/>
  <c r="B120" i="12"/>
  <c r="B121" i="12"/>
  <c r="B122" i="12"/>
  <c r="B257" i="12" s="1"/>
  <c r="B392" i="12" s="1"/>
  <c r="B527" i="12" s="1"/>
  <c r="B662" i="12"/>
  <c r="B797" i="12" s="1"/>
  <c r="B932" i="12" s="1"/>
  <c r="B1067" i="12" s="1"/>
  <c r="B1202" i="12" s="1"/>
  <c r="B1337" i="12" s="1"/>
  <c r="B1472" i="12" s="1"/>
  <c r="B1607" i="12" s="1"/>
  <c r="B1742" i="12"/>
  <c r="B1877" i="12"/>
  <c r="B2012" i="12" s="1"/>
  <c r="B123" i="12"/>
  <c r="B124" i="12"/>
  <c r="B125" i="12"/>
  <c r="B260" i="12" s="1"/>
  <c r="B126" i="12"/>
  <c r="B261" i="12"/>
  <c r="B396" i="12" s="1"/>
  <c r="B531" i="12"/>
  <c r="B127" i="12"/>
  <c r="B262" i="12"/>
  <c r="B397" i="12"/>
  <c r="B532" i="12"/>
  <c r="B128" i="12"/>
  <c r="B129" i="12"/>
  <c r="B264" i="12" s="1"/>
  <c r="B399" i="12" s="1"/>
  <c r="B534" i="12" s="1"/>
  <c r="B669" i="12"/>
  <c r="B804" i="12" s="1"/>
  <c r="B130" i="12"/>
  <c r="B395" i="12"/>
  <c r="AX130" i="4"/>
  <c r="AX134" i="4"/>
  <c r="AX133" i="4"/>
  <c r="AX132" i="4"/>
  <c r="AX131" i="4"/>
  <c r="AX137" i="4"/>
  <c r="AX136" i="4"/>
  <c r="AX135" i="4"/>
  <c r="AX139" i="4"/>
  <c r="AX138" i="4"/>
  <c r="AX141" i="4"/>
  <c r="AX140" i="4"/>
  <c r="AX145" i="4"/>
  <c r="AX144" i="4"/>
  <c r="AX143" i="4"/>
  <c r="AX142" i="4"/>
  <c r="AX129" i="4"/>
  <c r="AI129" i="4"/>
  <c r="AO129" i="4" s="1"/>
  <c r="AJ129" i="4"/>
  <c r="AJ130" i="4"/>
  <c r="AJ134" i="4"/>
  <c r="AJ133" i="4"/>
  <c r="AJ132" i="4"/>
  <c r="AJ131" i="4"/>
  <c r="AJ137" i="4"/>
  <c r="AJ136" i="4"/>
  <c r="AJ135" i="4"/>
  <c r="AJ139" i="4"/>
  <c r="AJ138" i="4"/>
  <c r="AJ141" i="4"/>
  <c r="AJ140" i="4"/>
  <c r="AJ145" i="4"/>
  <c r="AJ144" i="4"/>
  <c r="AJ143" i="4"/>
  <c r="AJ142" i="4"/>
  <c r="AK3" i="4"/>
  <c r="AJ3" i="4" s="1"/>
  <c r="AK4" i="4"/>
  <c r="AJ4" i="4"/>
  <c r="AK5" i="4"/>
  <c r="AJ5" i="4"/>
  <c r="AK6" i="4"/>
  <c r="AJ6" i="4"/>
  <c r="AK7" i="4"/>
  <c r="AJ7" i="4" s="1"/>
  <c r="AK8" i="4"/>
  <c r="AJ8" i="4" s="1"/>
  <c r="AK9" i="4"/>
  <c r="AJ9" i="4" s="1"/>
  <c r="AK10" i="4"/>
  <c r="AJ10" i="4"/>
  <c r="AK11" i="4"/>
  <c r="AJ11" i="4" s="1"/>
  <c r="AK12" i="4"/>
  <c r="AJ12" i="4"/>
  <c r="AK13" i="4"/>
  <c r="AJ13" i="4" s="1"/>
  <c r="AK14" i="4"/>
  <c r="AJ14" i="4"/>
  <c r="AK15" i="4"/>
  <c r="AJ15" i="4" s="1"/>
  <c r="AK16" i="4"/>
  <c r="AJ16" i="4" s="1"/>
  <c r="AK17" i="4"/>
  <c r="AJ17" i="4" s="1"/>
  <c r="AK18" i="4"/>
  <c r="AJ18" i="4"/>
  <c r="AK19" i="4"/>
  <c r="AJ19" i="4" s="1"/>
  <c r="AK20" i="4"/>
  <c r="AJ20" i="4" s="1"/>
  <c r="AK21" i="4"/>
  <c r="AJ21" i="4"/>
  <c r="AK22" i="4"/>
  <c r="AJ22" i="4"/>
  <c r="AK23" i="4"/>
  <c r="AJ23" i="4" s="1"/>
  <c r="AK24" i="4"/>
  <c r="AJ24" i="4" s="1"/>
  <c r="AK25" i="4"/>
  <c r="AJ25" i="4" s="1"/>
  <c r="AK26" i="4"/>
  <c r="AJ26" i="4"/>
  <c r="AK27" i="4"/>
  <c r="AJ27" i="4"/>
  <c r="AK28" i="4"/>
  <c r="AJ28" i="4"/>
  <c r="AK29" i="4"/>
  <c r="AJ29" i="4" s="1"/>
  <c r="AK30" i="4"/>
  <c r="AJ30" i="4"/>
  <c r="AK31" i="4"/>
  <c r="AJ31" i="4" s="1"/>
  <c r="AK32" i="4"/>
  <c r="AJ32" i="4"/>
  <c r="AK33" i="4"/>
  <c r="AJ33" i="4"/>
  <c r="AK34" i="4"/>
  <c r="AJ34" i="4"/>
  <c r="AK35" i="4"/>
  <c r="AJ35" i="4" s="1"/>
  <c r="AK36" i="4"/>
  <c r="AJ36" i="4" s="1"/>
  <c r="AK37" i="4"/>
  <c r="AJ37" i="4"/>
  <c r="AK38" i="4"/>
  <c r="AJ38" i="4"/>
  <c r="AK39" i="4"/>
  <c r="AJ39" i="4" s="1"/>
  <c r="AK40" i="4"/>
  <c r="AJ40" i="4" s="1"/>
  <c r="AK41" i="4"/>
  <c r="AJ41" i="4"/>
  <c r="AK42" i="4"/>
  <c r="AJ42" i="4"/>
  <c r="AK43" i="4"/>
  <c r="AJ43" i="4" s="1"/>
  <c r="AK44" i="4"/>
  <c r="AJ44" i="4" s="1"/>
  <c r="AK45" i="4"/>
  <c r="AJ45" i="4" s="1"/>
  <c r="AK46" i="4"/>
  <c r="AJ46" i="4"/>
  <c r="AK47" i="4"/>
  <c r="AJ47" i="4"/>
  <c r="AK48" i="4"/>
  <c r="AJ48" i="4" s="1"/>
  <c r="AK49" i="4"/>
  <c r="AJ49" i="4" s="1"/>
  <c r="AK50" i="4"/>
  <c r="AJ50" i="4"/>
  <c r="AK51" i="4"/>
  <c r="AJ51" i="4"/>
  <c r="AK52" i="4"/>
  <c r="AJ52" i="4" s="1"/>
  <c r="AK53" i="4"/>
  <c r="AJ53" i="4" s="1"/>
  <c r="AK54" i="4"/>
  <c r="AJ54" i="4"/>
  <c r="AK55" i="4"/>
  <c r="AJ55" i="4"/>
  <c r="AK56" i="4"/>
  <c r="AJ56" i="4" s="1"/>
  <c r="AK57" i="4"/>
  <c r="AJ57" i="4" s="1"/>
  <c r="AK58" i="4"/>
  <c r="AJ58" i="4"/>
  <c r="AK59" i="4"/>
  <c r="AJ59" i="4"/>
  <c r="AK60" i="4"/>
  <c r="AJ60" i="4" s="1"/>
  <c r="AK61" i="4"/>
  <c r="AJ61" i="4" s="1"/>
  <c r="AK62" i="4"/>
  <c r="AJ62" i="4"/>
  <c r="AK63" i="4"/>
  <c r="AJ63" i="4"/>
  <c r="AK64" i="4"/>
  <c r="AJ64" i="4" s="1"/>
  <c r="AK65" i="4"/>
  <c r="AJ65" i="4" s="1"/>
  <c r="AK66" i="4"/>
  <c r="AJ66" i="4"/>
  <c r="AK67" i="4"/>
  <c r="AJ67" i="4" s="1"/>
  <c r="AK68" i="4"/>
  <c r="AJ68" i="4"/>
  <c r="AK69" i="4"/>
  <c r="AJ69" i="4" s="1"/>
  <c r="AK70" i="4"/>
  <c r="AJ70" i="4"/>
  <c r="AK71" i="4"/>
  <c r="AJ71" i="4" s="1"/>
  <c r="AK72" i="4"/>
  <c r="AJ72" i="4" s="1"/>
  <c r="AK73" i="4"/>
  <c r="AJ73" i="4" s="1"/>
  <c r="AK74" i="4"/>
  <c r="AJ74" i="4"/>
  <c r="AK75" i="4"/>
  <c r="AJ75" i="4"/>
  <c r="AK76" i="4"/>
  <c r="AJ76" i="4" s="1"/>
  <c r="AK77" i="4"/>
  <c r="AJ77" i="4" s="1"/>
  <c r="AK78" i="4"/>
  <c r="AJ78" i="4"/>
  <c r="AK79" i="4"/>
  <c r="AJ79" i="4"/>
  <c r="AK80" i="4"/>
  <c r="AJ80" i="4" s="1"/>
  <c r="AK81" i="4"/>
  <c r="AJ81" i="4" s="1"/>
  <c r="AK82" i="4"/>
  <c r="AJ82" i="4"/>
  <c r="AK83" i="4"/>
  <c r="AJ83" i="4"/>
  <c r="AK84" i="4"/>
  <c r="AJ84" i="4" s="1"/>
  <c r="AK85" i="4"/>
  <c r="AJ85" i="4" s="1"/>
  <c r="AK86" i="4"/>
  <c r="AJ86" i="4"/>
  <c r="AK87" i="4"/>
  <c r="AJ87" i="4" s="1"/>
  <c r="AK88" i="4"/>
  <c r="AJ88" i="4" s="1"/>
  <c r="AK89" i="4"/>
  <c r="AJ89" i="4"/>
  <c r="AK90" i="4"/>
  <c r="AJ90" i="4"/>
  <c r="AK91" i="4"/>
  <c r="AJ91" i="4" s="1"/>
  <c r="AK92" i="4"/>
  <c r="AJ92" i="4"/>
  <c r="AK93" i="4"/>
  <c r="AJ93" i="4" s="1"/>
  <c r="AK94" i="4"/>
  <c r="AJ94" i="4"/>
  <c r="AK95" i="4"/>
  <c r="AJ95" i="4"/>
  <c r="AK96" i="4"/>
  <c r="AJ96" i="4" s="1"/>
  <c r="AK97" i="4"/>
  <c r="AJ97" i="4" s="1"/>
  <c r="AK98" i="4"/>
  <c r="AJ98" i="4"/>
  <c r="AK99" i="4"/>
  <c r="AJ99" i="4" s="1"/>
  <c r="AK100" i="4"/>
  <c r="AJ100" i="4"/>
  <c r="AK101" i="4"/>
  <c r="AJ101" i="4" s="1"/>
  <c r="AK102" i="4"/>
  <c r="AJ102" i="4"/>
  <c r="AK103" i="4"/>
  <c r="AJ103" i="4"/>
  <c r="AK104" i="4"/>
  <c r="AJ104" i="4"/>
  <c r="AK105" i="4"/>
  <c r="AJ105" i="4" s="1"/>
  <c r="AK106" i="4"/>
  <c r="AJ106" i="4"/>
  <c r="AK107" i="4"/>
  <c r="AJ107" i="4"/>
  <c r="AK108" i="4"/>
  <c r="AJ108" i="4"/>
  <c r="AK109" i="4"/>
  <c r="AJ109" i="4" s="1"/>
  <c r="AK110" i="4"/>
  <c r="AJ110" i="4"/>
  <c r="AK111" i="4"/>
  <c r="AJ111" i="4"/>
  <c r="AK112" i="4"/>
  <c r="AJ112" i="4"/>
  <c r="AK113" i="4"/>
  <c r="AJ113" i="4" s="1"/>
  <c r="AK114" i="4"/>
  <c r="AJ114" i="4"/>
  <c r="AK115" i="4"/>
  <c r="AJ115" i="4"/>
  <c r="AK116" i="4"/>
  <c r="AJ116" i="4"/>
  <c r="AK117" i="4"/>
  <c r="AJ117" i="4" s="1"/>
  <c r="AK118" i="4"/>
  <c r="AJ118" i="4"/>
  <c r="AK119" i="4"/>
  <c r="AJ119" i="4"/>
  <c r="AK120" i="4"/>
  <c r="AJ120" i="4"/>
  <c r="AK121" i="4"/>
  <c r="AJ121" i="4" s="1"/>
  <c r="AK122" i="4"/>
  <c r="AJ122" i="4"/>
  <c r="AK123" i="4"/>
  <c r="AJ123" i="4"/>
  <c r="AK124" i="4"/>
  <c r="AJ124" i="4"/>
  <c r="AK125" i="4"/>
  <c r="AJ125" i="4" s="1"/>
  <c r="AK126" i="4"/>
  <c r="AJ126" i="4"/>
  <c r="AK127" i="4"/>
  <c r="AJ127" i="4"/>
  <c r="AK128" i="4"/>
  <c r="AJ128" i="4"/>
  <c r="AK153" i="4"/>
  <c r="AJ153" i="4" s="1"/>
  <c r="AK154" i="4"/>
  <c r="AJ154" i="4"/>
  <c r="AK155" i="4"/>
  <c r="AJ155" i="4" s="1"/>
  <c r="AK156" i="4"/>
  <c r="AJ156" i="4" s="1"/>
  <c r="AK157" i="4"/>
  <c r="AJ157" i="4"/>
  <c r="AK158" i="4"/>
  <c r="AJ158" i="4"/>
  <c r="AK159" i="4"/>
  <c r="AJ159" i="4" s="1"/>
  <c r="AK160" i="4"/>
  <c r="AJ160" i="4" s="1"/>
  <c r="AK161" i="4"/>
  <c r="AJ161" i="4"/>
  <c r="AK162" i="4"/>
  <c r="AJ162" i="4"/>
  <c r="AK163" i="4"/>
  <c r="AJ163" i="4" s="1"/>
  <c r="AK164" i="4"/>
  <c r="AJ164" i="4" s="1"/>
  <c r="AK165" i="4"/>
  <c r="AJ165" i="4" s="1"/>
  <c r="AK166" i="4"/>
  <c r="AJ166" i="4"/>
  <c r="AK167" i="4"/>
  <c r="AJ167" i="4" s="1"/>
  <c r="AK168" i="4"/>
  <c r="AJ168" i="4"/>
  <c r="AK169" i="4"/>
  <c r="AJ169" i="4" s="1"/>
  <c r="AK170" i="4"/>
  <c r="AJ170" i="4"/>
  <c r="AK171" i="4"/>
  <c r="AJ171" i="4" s="1"/>
  <c r="AK172" i="4"/>
  <c r="AJ172" i="4" s="1"/>
  <c r="AK173" i="4"/>
  <c r="AJ173" i="4" s="1"/>
  <c r="AK174" i="4"/>
  <c r="AJ174" i="4"/>
  <c r="AK175" i="4"/>
  <c r="AJ175" i="4" s="1"/>
  <c r="AK176" i="4"/>
  <c r="AJ176" i="4"/>
  <c r="AK177" i="4"/>
  <c r="AJ177" i="4"/>
  <c r="AK178" i="4"/>
  <c r="AJ178" i="4"/>
  <c r="AK179" i="4"/>
  <c r="AJ179" i="4"/>
  <c r="AK180" i="4"/>
  <c r="AJ180" i="4"/>
  <c r="AK181" i="4"/>
  <c r="AJ181" i="4"/>
  <c r="AK182" i="4"/>
  <c r="AJ182" i="4"/>
  <c r="AK183" i="4"/>
  <c r="AJ183" i="4"/>
  <c r="AK184" i="4"/>
  <c r="AJ184" i="4"/>
  <c r="AK185" i="4"/>
  <c r="AJ185" i="4"/>
  <c r="AK186" i="4"/>
  <c r="AJ186" i="4"/>
  <c r="AK187" i="4"/>
  <c r="AJ187" i="4"/>
  <c r="AK188" i="4"/>
  <c r="AJ188" i="4"/>
  <c r="AK189" i="4"/>
  <c r="AJ189" i="4"/>
  <c r="AK190" i="4"/>
  <c r="AJ190" i="4"/>
  <c r="AK191" i="4"/>
  <c r="AJ191" i="4"/>
  <c r="AK192" i="4"/>
  <c r="AJ192" i="4"/>
  <c r="AK193" i="4"/>
  <c r="AJ193" i="4"/>
  <c r="AK194" i="4"/>
  <c r="AJ194" i="4"/>
  <c r="AK195" i="4"/>
  <c r="AJ195" i="4"/>
  <c r="AK196" i="4"/>
  <c r="AJ196" i="4"/>
  <c r="AK197" i="4"/>
  <c r="AJ197" i="4"/>
  <c r="AK198" i="4"/>
  <c r="AJ198" i="4"/>
  <c r="AK199" i="4"/>
  <c r="AJ199" i="4"/>
  <c r="AK200" i="4"/>
  <c r="AJ200" i="4"/>
  <c r="AK201" i="4"/>
  <c r="AJ201" i="4"/>
  <c r="AK202" i="4"/>
  <c r="AJ202" i="4"/>
  <c r="AK203" i="4"/>
  <c r="AJ203" i="4"/>
  <c r="AK204" i="4"/>
  <c r="AJ204" i="4"/>
  <c r="AK205" i="4"/>
  <c r="AJ205" i="4"/>
  <c r="AK206" i="4"/>
  <c r="AJ206" i="4"/>
  <c r="AK207" i="4"/>
  <c r="AJ207" i="4"/>
  <c r="AK208" i="4"/>
  <c r="AJ208" i="4"/>
  <c r="AK209" i="4"/>
  <c r="AJ209" i="4"/>
  <c r="AK210" i="4"/>
  <c r="AJ210" i="4"/>
  <c r="AK211" i="4"/>
  <c r="AJ211" i="4" s="1"/>
  <c r="AK212" i="4"/>
  <c r="AJ212" i="4" s="1"/>
  <c r="AK213" i="4"/>
  <c r="AJ213" i="4" s="1"/>
  <c r="AK214" i="4"/>
  <c r="AJ214" i="4"/>
  <c r="AK215" i="4"/>
  <c r="AJ215" i="4" s="1"/>
  <c r="AK216" i="4"/>
  <c r="AJ216" i="4"/>
  <c r="X216" i="4"/>
  <c r="W216" i="4" s="1"/>
  <c r="Q216" i="4"/>
  <c r="R216" i="4"/>
  <c r="X215" i="4"/>
  <c r="W215" i="4" s="1"/>
  <c r="Q215" i="4"/>
  <c r="R215" i="4" s="1"/>
  <c r="X214" i="4"/>
  <c r="Q214" i="4"/>
  <c r="P214" i="4" s="1"/>
  <c r="X213" i="4"/>
  <c r="W213" i="4" s="1"/>
  <c r="Q213" i="4"/>
  <c r="P213" i="4"/>
  <c r="X212" i="4"/>
  <c r="Q212" i="4"/>
  <c r="P212" i="4" s="1"/>
  <c r="X211" i="4"/>
  <c r="Q211" i="4"/>
  <c r="R211" i="4" s="1"/>
  <c r="X210" i="4"/>
  <c r="Q210" i="4"/>
  <c r="R210" i="4"/>
  <c r="X209" i="4"/>
  <c r="W209" i="4" s="1"/>
  <c r="Q209" i="4"/>
  <c r="P209" i="4"/>
  <c r="X208" i="4"/>
  <c r="Q208" i="4"/>
  <c r="P208" i="4"/>
  <c r="X207" i="4"/>
  <c r="W207" i="4" s="1"/>
  <c r="Q207" i="4"/>
  <c r="R207" i="4" s="1"/>
  <c r="X206" i="4"/>
  <c r="Q206" i="4"/>
  <c r="P206" i="4" s="1"/>
  <c r="X205" i="4"/>
  <c r="W205" i="4"/>
  <c r="Q205" i="4"/>
  <c r="P205" i="4"/>
  <c r="X204" i="4"/>
  <c r="W204" i="4"/>
  <c r="Q204" i="4"/>
  <c r="P204" i="4" s="1"/>
  <c r="X203" i="4"/>
  <c r="W203" i="4" s="1"/>
  <c r="Q203" i="4"/>
  <c r="R203" i="4" s="1"/>
  <c r="X202" i="4"/>
  <c r="W202" i="4"/>
  <c r="Q202" i="4"/>
  <c r="R202" i="4" s="1"/>
  <c r="X201" i="4"/>
  <c r="W201" i="4"/>
  <c r="Q201" i="4"/>
  <c r="Y201" i="4" s="1"/>
  <c r="X200" i="4"/>
  <c r="W200" i="4"/>
  <c r="Q200" i="4"/>
  <c r="R200" i="4" s="1"/>
  <c r="X199" i="4"/>
  <c r="W199" i="4" s="1"/>
  <c r="Q199" i="4"/>
  <c r="X198" i="4"/>
  <c r="W198" i="4" s="1"/>
  <c r="Q198" i="4"/>
  <c r="R198" i="4" s="1"/>
  <c r="X197" i="4"/>
  <c r="Q197" i="4"/>
  <c r="R197" i="4" s="1"/>
  <c r="X196" i="4"/>
  <c r="W196" i="4" s="1"/>
  <c r="Q196" i="4"/>
  <c r="X195" i="4"/>
  <c r="Q195" i="4"/>
  <c r="P195" i="4"/>
  <c r="X194" i="4"/>
  <c r="W194" i="4" s="1"/>
  <c r="Q194" i="4"/>
  <c r="R194" i="4" s="1"/>
  <c r="X193" i="4"/>
  <c r="W193" i="4" s="1"/>
  <c r="Q193" i="4"/>
  <c r="R193" i="4"/>
  <c r="X192" i="4"/>
  <c r="Q192" i="4"/>
  <c r="X191" i="4"/>
  <c r="W191" i="4"/>
  <c r="Q191" i="4"/>
  <c r="R191" i="4"/>
  <c r="X190" i="4"/>
  <c r="Q190" i="4"/>
  <c r="X189" i="4"/>
  <c r="W189" i="4" s="1"/>
  <c r="Q189" i="4"/>
  <c r="X188" i="4"/>
  <c r="W188" i="4" s="1"/>
  <c r="Q188" i="4"/>
  <c r="P188" i="4"/>
  <c r="X187" i="4"/>
  <c r="Q187" i="4"/>
  <c r="X186" i="4"/>
  <c r="Q186" i="4"/>
  <c r="R186" i="4" s="1"/>
  <c r="X185" i="4"/>
  <c r="W185" i="4" s="1"/>
  <c r="Q185" i="4"/>
  <c r="X184" i="4"/>
  <c r="Q184" i="4"/>
  <c r="P184" i="4"/>
  <c r="X183" i="4"/>
  <c r="W183" i="4" s="1"/>
  <c r="Q183" i="4"/>
  <c r="X182" i="4"/>
  <c r="W182" i="4" s="1"/>
  <c r="Q182" i="4"/>
  <c r="R182" i="4" s="1"/>
  <c r="X181" i="4"/>
  <c r="W181" i="4" s="1"/>
  <c r="Q181" i="4"/>
  <c r="X180" i="4"/>
  <c r="W180" i="4" s="1"/>
  <c r="Q180" i="4"/>
  <c r="R180" i="4" s="1"/>
  <c r="X179" i="4"/>
  <c r="W179" i="4"/>
  <c r="Q179" i="4"/>
  <c r="R179" i="4" s="1"/>
  <c r="X178" i="4"/>
  <c r="Q178" i="4"/>
  <c r="R178" i="4" s="1"/>
  <c r="X177" i="4"/>
  <c r="W177" i="4" s="1"/>
  <c r="Q177" i="4"/>
  <c r="X176" i="4"/>
  <c r="W176" i="4" s="1"/>
  <c r="Q176" i="4"/>
  <c r="R176" i="4"/>
  <c r="X175" i="4"/>
  <c r="Q175" i="4"/>
  <c r="P175" i="4" s="1"/>
  <c r="X174" i="4"/>
  <c r="W174" i="4" s="1"/>
  <c r="Q174" i="4"/>
  <c r="R174" i="4"/>
  <c r="X173" i="4"/>
  <c r="Q173" i="4"/>
  <c r="R173" i="4"/>
  <c r="X172" i="4"/>
  <c r="W172" i="4"/>
  <c r="Q172" i="4"/>
  <c r="P172" i="4" s="1"/>
  <c r="X171" i="4"/>
  <c r="W171" i="4" s="1"/>
  <c r="Q171" i="4"/>
  <c r="R171" i="4" s="1"/>
  <c r="X170" i="4"/>
  <c r="W170" i="4"/>
  <c r="Q170" i="4"/>
  <c r="R170" i="4" s="1"/>
  <c r="X169" i="4"/>
  <c r="W169" i="4"/>
  <c r="Q169" i="4"/>
  <c r="X168" i="4"/>
  <c r="Q168" i="4"/>
  <c r="R168" i="4"/>
  <c r="X167" i="4"/>
  <c r="W167" i="4" s="1"/>
  <c r="Q167" i="4"/>
  <c r="X166" i="4"/>
  <c r="Q166" i="4"/>
  <c r="R166" i="4" s="1"/>
  <c r="X165" i="4"/>
  <c r="Q165" i="4"/>
  <c r="R165" i="4" s="1"/>
  <c r="X164" i="4"/>
  <c r="W164" i="4"/>
  <c r="Q164" i="4"/>
  <c r="X163" i="4"/>
  <c r="W163" i="4"/>
  <c r="Q163" i="4"/>
  <c r="X162" i="4"/>
  <c r="W162" i="4"/>
  <c r="Q162" i="4"/>
  <c r="P162" i="4"/>
  <c r="X161" i="4"/>
  <c r="Q161" i="4"/>
  <c r="P161" i="4"/>
  <c r="X160" i="4"/>
  <c r="W160" i="4" s="1"/>
  <c r="Q160" i="4"/>
  <c r="R160" i="4"/>
  <c r="X159" i="4"/>
  <c r="W159" i="4"/>
  <c r="Q159" i="4"/>
  <c r="R159" i="4"/>
  <c r="X158" i="4"/>
  <c r="Q158" i="4"/>
  <c r="R158" i="4"/>
  <c r="X157" i="4"/>
  <c r="Q157" i="4"/>
  <c r="R157" i="4"/>
  <c r="X156" i="4"/>
  <c r="W156" i="4"/>
  <c r="Q156" i="4"/>
  <c r="X155" i="4"/>
  <c r="W155" i="4"/>
  <c r="Q155" i="4"/>
  <c r="P155" i="4" s="1"/>
  <c r="X154" i="4"/>
  <c r="Q154" i="4"/>
  <c r="P154" i="4"/>
  <c r="X153" i="4"/>
  <c r="W153" i="4" s="1"/>
  <c r="Q153" i="4"/>
  <c r="R153" i="4" s="1"/>
  <c r="X142" i="4"/>
  <c r="W142" i="4" s="1"/>
  <c r="Q142" i="4"/>
  <c r="R142" i="4"/>
  <c r="X143" i="4"/>
  <c r="W143" i="4" s="1"/>
  <c r="Q143" i="4"/>
  <c r="R143" i="4" s="1"/>
  <c r="X144" i="4"/>
  <c r="Q144" i="4"/>
  <c r="X145" i="4"/>
  <c r="W145" i="4"/>
  <c r="Q145" i="4"/>
  <c r="X140" i="4"/>
  <c r="W140" i="4"/>
  <c r="Q140" i="4"/>
  <c r="R140" i="4" s="1"/>
  <c r="X141" i="4"/>
  <c r="Q141" i="4"/>
  <c r="P141" i="4" s="1"/>
  <c r="X138" i="4"/>
  <c r="W138" i="4"/>
  <c r="Q138" i="4"/>
  <c r="X139" i="4"/>
  <c r="W139" i="4" s="1"/>
  <c r="Q139" i="4"/>
  <c r="X135" i="4"/>
  <c r="W135" i="4" s="1"/>
  <c r="Q135" i="4"/>
  <c r="R135" i="4"/>
  <c r="X136" i="4"/>
  <c r="W136" i="4"/>
  <c r="Q136" i="4"/>
  <c r="X137" i="4"/>
  <c r="W137" i="4"/>
  <c r="Q137" i="4"/>
  <c r="R137" i="4" s="1"/>
  <c r="X131" i="4"/>
  <c r="Q131" i="4"/>
  <c r="P131" i="4" s="1"/>
  <c r="X132" i="4"/>
  <c r="Q132" i="4"/>
  <c r="X133" i="4"/>
  <c r="W133" i="4" s="1"/>
  <c r="Q133" i="4"/>
  <c r="R133" i="4"/>
  <c r="X134" i="4"/>
  <c r="W134" i="4"/>
  <c r="Q134" i="4"/>
  <c r="X130" i="4"/>
  <c r="Q130" i="4"/>
  <c r="P130" i="4"/>
  <c r="X129" i="4"/>
  <c r="W129" i="4"/>
  <c r="Q129" i="4"/>
  <c r="AT129" i="4"/>
  <c r="AY129" i="4"/>
  <c r="AT130" i="4"/>
  <c r="AY130" i="4"/>
  <c r="AT134" i="4"/>
  <c r="AY134" i="4"/>
  <c r="AT133" i="4"/>
  <c r="AY133" i="4"/>
  <c r="AT132" i="4"/>
  <c r="AY132" i="4"/>
  <c r="AT131" i="4"/>
  <c r="AY131" i="4"/>
  <c r="AE137" i="4"/>
  <c r="AT137" i="4"/>
  <c r="AY137" i="4"/>
  <c r="AE136" i="4"/>
  <c r="AT136" i="4"/>
  <c r="AY136" i="4"/>
  <c r="AE135" i="4"/>
  <c r="AT135" i="4"/>
  <c r="AY135" i="4"/>
  <c r="AE139" i="4"/>
  <c r="AT139" i="4"/>
  <c r="AY139" i="4"/>
  <c r="AE138" i="4"/>
  <c r="AT138" i="4"/>
  <c r="AY138" i="4"/>
  <c r="AE141" i="4"/>
  <c r="AT141" i="4"/>
  <c r="AY141" i="4"/>
  <c r="AE140" i="4"/>
  <c r="AT140" i="4"/>
  <c r="AY140" i="4"/>
  <c r="AE145" i="4"/>
  <c r="AT145" i="4"/>
  <c r="AY145" i="4"/>
  <c r="AE144" i="4"/>
  <c r="AT144" i="4"/>
  <c r="AY144" i="4"/>
  <c r="AE143" i="4"/>
  <c r="AT143" i="4"/>
  <c r="AY143" i="4"/>
  <c r="AE142" i="4"/>
  <c r="AT142" i="4"/>
  <c r="AY142" i="4"/>
  <c r="X128" i="4"/>
  <c r="W128" i="4"/>
  <c r="Q128" i="4"/>
  <c r="X127" i="4"/>
  <c r="Q127" i="4"/>
  <c r="X126" i="4"/>
  <c r="Q126" i="4"/>
  <c r="X125" i="4"/>
  <c r="W125" i="4" s="1"/>
  <c r="Q125" i="4"/>
  <c r="R125" i="4" s="1"/>
  <c r="X124" i="4"/>
  <c r="Q124" i="4"/>
  <c r="R124" i="4" s="1"/>
  <c r="X123" i="4"/>
  <c r="Q123" i="4"/>
  <c r="P123" i="4"/>
  <c r="X122" i="4"/>
  <c r="W122" i="4"/>
  <c r="Q122" i="4"/>
  <c r="P122" i="4" s="1"/>
  <c r="X121" i="4"/>
  <c r="Q121" i="4"/>
  <c r="P121" i="4" s="1"/>
  <c r="X120" i="4"/>
  <c r="Q120" i="4"/>
  <c r="P120" i="4" s="1"/>
  <c r="X119" i="4"/>
  <c r="Q119" i="4"/>
  <c r="X118" i="4"/>
  <c r="Q118" i="4"/>
  <c r="R118" i="4"/>
  <c r="X117" i="4"/>
  <c r="W117" i="4" s="1"/>
  <c r="Q117" i="4"/>
  <c r="R117" i="4"/>
  <c r="X116" i="4"/>
  <c r="Q116" i="4"/>
  <c r="R116" i="4" s="1"/>
  <c r="X115" i="4"/>
  <c r="W115" i="4" s="1"/>
  <c r="Q115" i="4"/>
  <c r="R115" i="4"/>
  <c r="X114" i="4"/>
  <c r="W114" i="4" s="1"/>
  <c r="Q114" i="4"/>
  <c r="R114" i="4" s="1"/>
  <c r="X113" i="4"/>
  <c r="Q113" i="4"/>
  <c r="P113" i="4"/>
  <c r="X112" i="4"/>
  <c r="W112" i="4" s="1"/>
  <c r="Q112" i="4"/>
  <c r="R112" i="4" s="1"/>
  <c r="X111" i="4"/>
  <c r="W111" i="4" s="1"/>
  <c r="Q111" i="4"/>
  <c r="X110" i="4"/>
  <c r="Q110" i="4"/>
  <c r="X109" i="4"/>
  <c r="Q109" i="4"/>
  <c r="P109" i="4" s="1"/>
  <c r="X108" i="4"/>
  <c r="W108" i="4" s="1"/>
  <c r="Q108" i="4"/>
  <c r="X107" i="4"/>
  <c r="Q107" i="4"/>
  <c r="X106" i="4"/>
  <c r="W106" i="4"/>
  <c r="Q106" i="4"/>
  <c r="X105" i="4"/>
  <c r="Q105" i="4"/>
  <c r="X104" i="4"/>
  <c r="W104" i="4"/>
  <c r="Q104" i="4"/>
  <c r="R104" i="4" s="1"/>
  <c r="X103" i="4"/>
  <c r="Q103" i="4"/>
  <c r="X102" i="4"/>
  <c r="W102" i="4" s="1"/>
  <c r="Q102" i="4"/>
  <c r="X101" i="4"/>
  <c r="W101" i="4" s="1"/>
  <c r="Q101" i="4"/>
  <c r="P101" i="4" s="1"/>
  <c r="X100" i="4"/>
  <c r="Q100" i="4"/>
  <c r="P100" i="4"/>
  <c r="X99" i="4"/>
  <c r="W99" i="4" s="1"/>
  <c r="Q99" i="4"/>
  <c r="R99" i="4" s="1"/>
  <c r="X98" i="4"/>
  <c r="Q98" i="4"/>
  <c r="P98" i="4" s="1"/>
  <c r="X97" i="4"/>
  <c r="Q97" i="4"/>
  <c r="X96" i="4"/>
  <c r="W96" i="4" s="1"/>
  <c r="Q96" i="4"/>
  <c r="X95" i="4"/>
  <c r="W95" i="4" s="1"/>
  <c r="Q95" i="4"/>
  <c r="R95" i="4"/>
  <c r="X94" i="4"/>
  <c r="W94" i="4"/>
  <c r="Q94" i="4"/>
  <c r="R94" i="4"/>
  <c r="X93" i="4"/>
  <c r="W93" i="4" s="1"/>
  <c r="Q93" i="4"/>
  <c r="R93" i="4" s="1"/>
  <c r="X92" i="4"/>
  <c r="Q92" i="4"/>
  <c r="X91" i="4"/>
  <c r="W91" i="4"/>
  <c r="Q91" i="4"/>
  <c r="R91" i="4"/>
  <c r="X90" i="4"/>
  <c r="W90" i="4" s="1"/>
  <c r="Q90" i="4"/>
  <c r="X89" i="4"/>
  <c r="W89" i="4" s="1"/>
  <c r="Q89" i="4"/>
  <c r="P89" i="4" s="1"/>
  <c r="X88" i="4"/>
  <c r="W88" i="4"/>
  <c r="Q88" i="4"/>
  <c r="P88" i="4" s="1"/>
  <c r="X87" i="4"/>
  <c r="W87" i="4" s="1"/>
  <c r="Q87" i="4"/>
  <c r="X86" i="4"/>
  <c r="Q86" i="4"/>
  <c r="R86" i="4" s="1"/>
  <c r="X85" i="4"/>
  <c r="W85" i="4" s="1"/>
  <c r="Q85" i="4"/>
  <c r="R85" i="4" s="1"/>
  <c r="X84" i="4"/>
  <c r="W84" i="4"/>
  <c r="Q84" i="4"/>
  <c r="X83" i="4"/>
  <c r="W83" i="4"/>
  <c r="Q83" i="4"/>
  <c r="R83" i="4" s="1"/>
  <c r="X82" i="4"/>
  <c r="W82" i="4"/>
  <c r="Q82" i="4"/>
  <c r="X81" i="4"/>
  <c r="Q81" i="4"/>
  <c r="R81" i="4" s="1"/>
  <c r="X80" i="4"/>
  <c r="W80" i="4" s="1"/>
  <c r="Q80" i="4"/>
  <c r="X79" i="4"/>
  <c r="W79" i="4"/>
  <c r="Q79" i="4"/>
  <c r="R79" i="4"/>
  <c r="X78" i="4"/>
  <c r="W78" i="4" s="1"/>
  <c r="Q78" i="4"/>
  <c r="P78" i="4"/>
  <c r="X77" i="4"/>
  <c r="Q77" i="4"/>
  <c r="R77" i="4" s="1"/>
  <c r="X76" i="4"/>
  <c r="W76" i="4" s="1"/>
  <c r="Q76" i="4"/>
  <c r="X75" i="4"/>
  <c r="Q75" i="4"/>
  <c r="X74" i="4"/>
  <c r="Q74" i="4"/>
  <c r="R74" i="4" s="1"/>
  <c r="X73" i="4"/>
  <c r="Q73" i="4"/>
  <c r="R73" i="4"/>
  <c r="X72" i="4"/>
  <c r="W72" i="4"/>
  <c r="Q72" i="4"/>
  <c r="P72" i="4"/>
  <c r="X71" i="4"/>
  <c r="W71" i="4" s="1"/>
  <c r="Q71" i="4"/>
  <c r="P71" i="4"/>
  <c r="X70" i="4"/>
  <c r="W70" i="4" s="1"/>
  <c r="Q70" i="4"/>
  <c r="X69" i="4"/>
  <c r="W69" i="4"/>
  <c r="Q69" i="4"/>
  <c r="P69" i="4" s="1"/>
  <c r="X68" i="4"/>
  <c r="W68" i="4"/>
  <c r="Q68" i="4"/>
  <c r="P68" i="4"/>
  <c r="X67" i="4"/>
  <c r="W67" i="4"/>
  <c r="Q67" i="4"/>
  <c r="P67" i="4" s="1"/>
  <c r="X66" i="4"/>
  <c r="W66" i="4"/>
  <c r="Q66" i="4"/>
  <c r="X65" i="4"/>
  <c r="W65" i="4" s="1"/>
  <c r="Q65" i="4"/>
  <c r="X64" i="4"/>
  <c r="Q64" i="4"/>
  <c r="X63" i="4"/>
  <c r="W63" i="4"/>
  <c r="Q63" i="4"/>
  <c r="P63" i="4"/>
  <c r="X62" i="4"/>
  <c r="W62" i="4" s="1"/>
  <c r="Q62" i="4"/>
  <c r="X61" i="4"/>
  <c r="W61" i="4"/>
  <c r="Q61" i="4"/>
  <c r="P61" i="4" s="1"/>
  <c r="X60" i="4"/>
  <c r="W60" i="4" s="1"/>
  <c r="Q60" i="4"/>
  <c r="X59" i="4"/>
  <c r="W59" i="4"/>
  <c r="Q59" i="4"/>
  <c r="R59" i="4"/>
  <c r="X58" i="4"/>
  <c r="W58" i="4"/>
  <c r="Q58" i="4"/>
  <c r="R58" i="4" s="1"/>
  <c r="X57" i="4"/>
  <c r="W57" i="4"/>
  <c r="Q57" i="4"/>
  <c r="P57" i="4"/>
  <c r="X56" i="4"/>
  <c r="W56" i="4"/>
  <c r="Q56" i="4"/>
  <c r="R56" i="4" s="1"/>
  <c r="X55" i="4"/>
  <c r="W55" i="4"/>
  <c r="Q55" i="4"/>
  <c r="P55" i="4"/>
  <c r="X54" i="4"/>
  <c r="W54" i="4"/>
  <c r="Q54" i="4"/>
  <c r="X53" i="4"/>
  <c r="Q53" i="4"/>
  <c r="R53" i="4"/>
  <c r="X52" i="4"/>
  <c r="W52" i="4"/>
  <c r="Q52" i="4"/>
  <c r="Y52" i="4"/>
  <c r="X51" i="4"/>
  <c r="W51" i="4" s="1"/>
  <c r="Q51" i="4"/>
  <c r="P51" i="4"/>
  <c r="X50" i="4"/>
  <c r="W50" i="4" s="1"/>
  <c r="Q50" i="4"/>
  <c r="R50" i="4"/>
  <c r="X49" i="4"/>
  <c r="Q49" i="4"/>
  <c r="R49" i="4" s="1"/>
  <c r="X48" i="4"/>
  <c r="W48" i="4"/>
  <c r="Q48" i="4"/>
  <c r="P48" i="4" s="1"/>
  <c r="X47" i="4"/>
  <c r="Q47" i="4"/>
  <c r="R47" i="4" s="1"/>
  <c r="X46" i="4"/>
  <c r="W46" i="4"/>
  <c r="Q46" i="4"/>
  <c r="X45" i="4"/>
  <c r="W45" i="4" s="1"/>
  <c r="Q45" i="4"/>
  <c r="X44" i="4"/>
  <c r="Q44" i="4"/>
  <c r="X43" i="4"/>
  <c r="W43" i="4"/>
  <c r="Q43" i="4"/>
  <c r="P43" i="4"/>
  <c r="X42" i="4"/>
  <c r="Q42" i="4"/>
  <c r="Y42" i="4" s="1"/>
  <c r="X41" i="4"/>
  <c r="W41" i="4" s="1"/>
  <c r="Q41" i="4"/>
  <c r="R41" i="4"/>
  <c r="X40" i="4"/>
  <c r="W40" i="4" s="1"/>
  <c r="Q40" i="4"/>
  <c r="R40" i="4" s="1"/>
  <c r="X39" i="4"/>
  <c r="W39" i="4" s="1"/>
  <c r="Q39" i="4"/>
  <c r="X38" i="4"/>
  <c r="Q38" i="4"/>
  <c r="R38" i="4" s="1"/>
  <c r="X37" i="4"/>
  <c r="W37" i="4" s="1"/>
  <c r="Q37" i="4"/>
  <c r="X36" i="4"/>
  <c r="Q36" i="4"/>
  <c r="X35" i="4"/>
  <c r="W35" i="4"/>
  <c r="Q35" i="4"/>
  <c r="P35" i="4" s="1"/>
  <c r="X34" i="4"/>
  <c r="W34" i="4" s="1"/>
  <c r="Q34" i="4"/>
  <c r="P34" i="4" s="1"/>
  <c r="X33" i="4"/>
  <c r="Q33" i="4"/>
  <c r="R33" i="4" s="1"/>
  <c r="X32" i="4"/>
  <c r="W32" i="4"/>
  <c r="Q32" i="4"/>
  <c r="P32" i="4" s="1"/>
  <c r="X31" i="4"/>
  <c r="W31" i="4"/>
  <c r="Q31" i="4"/>
  <c r="Y31" i="4" s="1"/>
  <c r="R31" i="4"/>
  <c r="X30" i="4"/>
  <c r="W30" i="4"/>
  <c r="Q30" i="4"/>
  <c r="R30" i="4" s="1"/>
  <c r="X29" i="4"/>
  <c r="Q29" i="4"/>
  <c r="P29" i="4"/>
  <c r="X28" i="4"/>
  <c r="W28" i="4" s="1"/>
  <c r="Q28" i="4"/>
  <c r="P28" i="4"/>
  <c r="X27" i="4"/>
  <c r="W27" i="4" s="1"/>
  <c r="Q27" i="4"/>
  <c r="R27" i="4"/>
  <c r="X26" i="4"/>
  <c r="W26" i="4"/>
  <c r="Q26" i="4"/>
  <c r="P26" i="4"/>
  <c r="X25" i="4"/>
  <c r="W25" i="4" s="1"/>
  <c r="Q25" i="4"/>
  <c r="P25" i="4"/>
  <c r="X24" i="4"/>
  <c r="W24" i="4" s="1"/>
  <c r="Q24" i="4"/>
  <c r="P24" i="4"/>
  <c r="X23" i="4"/>
  <c r="W23" i="4" s="1"/>
  <c r="Q23" i="4"/>
  <c r="R23" i="4"/>
  <c r="X22" i="4"/>
  <c r="W22" i="4" s="1"/>
  <c r="Q22" i="4"/>
  <c r="R22" i="4"/>
  <c r="X21" i="4"/>
  <c r="Q21" i="4"/>
  <c r="R21" i="4"/>
  <c r="X20" i="4"/>
  <c r="W20" i="4"/>
  <c r="Q20" i="4"/>
  <c r="X19" i="4"/>
  <c r="W19" i="4" s="1"/>
  <c r="Q19" i="4"/>
  <c r="R19" i="4" s="1"/>
  <c r="X18" i="4"/>
  <c r="Q18" i="4"/>
  <c r="R18" i="4" s="1"/>
  <c r="P18" i="4"/>
  <c r="X17" i="4"/>
  <c r="Q17" i="4"/>
  <c r="X16" i="4"/>
  <c r="W16" i="4" s="1"/>
  <c r="Q16" i="4"/>
  <c r="P16" i="4"/>
  <c r="X15" i="4"/>
  <c r="Q15" i="4"/>
  <c r="R15" i="4"/>
  <c r="X14" i="4"/>
  <c r="W14" i="4" s="1"/>
  <c r="Q14" i="4"/>
  <c r="X13" i="4"/>
  <c r="Q13" i="4"/>
  <c r="X12" i="4"/>
  <c r="W12" i="4" s="1"/>
  <c r="Q12" i="4"/>
  <c r="X11" i="4"/>
  <c r="Q11" i="4"/>
  <c r="R11" i="4"/>
  <c r="X10" i="4"/>
  <c r="W10" i="4" s="1"/>
  <c r="Q10" i="4"/>
  <c r="X9" i="4"/>
  <c r="W9" i="4" s="1"/>
  <c r="Q9" i="4"/>
  <c r="R9" i="4"/>
  <c r="X8" i="4"/>
  <c r="W8" i="4" s="1"/>
  <c r="Q8" i="4"/>
  <c r="P8" i="4"/>
  <c r="X7" i="4"/>
  <c r="W7" i="4" s="1"/>
  <c r="Q7" i="4"/>
  <c r="R7" i="4"/>
  <c r="X6" i="4"/>
  <c r="Q6" i="4"/>
  <c r="P6" i="4"/>
  <c r="X5" i="4"/>
  <c r="W5" i="4" s="1"/>
  <c r="Q5" i="4"/>
  <c r="P5" i="4"/>
  <c r="X4" i="4"/>
  <c r="W4" i="4"/>
  <c r="Q4" i="4"/>
  <c r="P4" i="4"/>
  <c r="X3" i="4"/>
  <c r="W3" i="4" s="1"/>
  <c r="Q3" i="4"/>
  <c r="R3" i="4"/>
  <c r="X2" i="4"/>
  <c r="W2" i="4"/>
  <c r="Q2" i="4"/>
  <c r="P2" i="4"/>
  <c r="AE2" i="4"/>
  <c r="AK2" i="4"/>
  <c r="AJ2" i="4" s="1"/>
  <c r="AO2" i="4"/>
  <c r="AQ2" i="4" s="1"/>
  <c r="AT2" i="4"/>
  <c r="AX2" i="4"/>
  <c r="AY2" i="4"/>
  <c r="AE3" i="4"/>
  <c r="AO3" i="4"/>
  <c r="AS3" i="4" s="1"/>
  <c r="AT3" i="4"/>
  <c r="AX3" i="4"/>
  <c r="AY3" i="4"/>
  <c r="AE4" i="4"/>
  <c r="AO4" i="4"/>
  <c r="AQ4" i="4" s="1"/>
  <c r="AT4" i="4"/>
  <c r="AX4" i="4"/>
  <c r="AY4" i="4"/>
  <c r="AE5" i="4"/>
  <c r="AO5" i="4"/>
  <c r="AT5" i="4"/>
  <c r="AX5" i="4"/>
  <c r="AY5" i="4"/>
  <c r="AE6" i="4"/>
  <c r="AO6" i="4"/>
  <c r="AS6" i="4"/>
  <c r="AT6" i="4"/>
  <c r="AX6" i="4"/>
  <c r="AY6" i="4"/>
  <c r="AE7" i="4"/>
  <c r="AO7" i="4"/>
  <c r="AT7" i="4"/>
  <c r="AX7" i="4"/>
  <c r="AY7" i="4"/>
  <c r="AE8" i="4"/>
  <c r="AO8" i="4"/>
  <c r="AT8" i="4"/>
  <c r="AX8" i="4"/>
  <c r="AY8" i="4"/>
  <c r="AE9" i="4"/>
  <c r="AO9" i="4"/>
  <c r="AS9" i="4"/>
  <c r="AT9" i="4"/>
  <c r="AX9" i="4"/>
  <c r="AY9" i="4"/>
  <c r="AE10" i="4"/>
  <c r="AO10" i="4"/>
  <c r="AQ10" i="4" s="1"/>
  <c r="AT10" i="4"/>
  <c r="AX10" i="4"/>
  <c r="AY10" i="4"/>
  <c r="AO11" i="4"/>
  <c r="AQ11" i="4" s="1"/>
  <c r="AT11" i="4"/>
  <c r="AX11" i="4"/>
  <c r="AY11" i="4"/>
  <c r="AO12" i="4"/>
  <c r="AQ12" i="4"/>
  <c r="AT12" i="4"/>
  <c r="AX12" i="4"/>
  <c r="AY12" i="4"/>
  <c r="AO13" i="4"/>
  <c r="AT13" i="4"/>
  <c r="AX13" i="4"/>
  <c r="AY13" i="4"/>
  <c r="AE14" i="4"/>
  <c r="AO14" i="4"/>
  <c r="AT14" i="4"/>
  <c r="AX14" i="4"/>
  <c r="AY14" i="4"/>
  <c r="AE15" i="4"/>
  <c r="AO15" i="4"/>
  <c r="AT15" i="4"/>
  <c r="AX15" i="4"/>
  <c r="AY15" i="4"/>
  <c r="AO16" i="4"/>
  <c r="AQ16" i="4" s="1"/>
  <c r="AT16" i="4"/>
  <c r="AX16" i="4"/>
  <c r="AY16" i="4"/>
  <c r="AE17" i="4"/>
  <c r="AO17" i="4"/>
  <c r="AT17" i="4"/>
  <c r="AX17" i="4"/>
  <c r="AY17" i="4"/>
  <c r="AE18" i="4"/>
  <c r="AO18" i="4"/>
  <c r="AQ18" i="4" s="1"/>
  <c r="AT18" i="4"/>
  <c r="AX18" i="4"/>
  <c r="AY18" i="4"/>
  <c r="AE19" i="4"/>
  <c r="AO19" i="4"/>
  <c r="AQ19" i="4"/>
  <c r="AT19" i="4"/>
  <c r="AX19" i="4"/>
  <c r="AY19" i="4"/>
  <c r="AO20" i="4"/>
  <c r="AS20" i="4"/>
  <c r="AT20" i="4"/>
  <c r="AX20" i="4"/>
  <c r="AY20" i="4"/>
  <c r="AE21" i="4"/>
  <c r="AO21" i="4"/>
  <c r="AS21" i="4" s="1"/>
  <c r="AT21" i="4"/>
  <c r="AX21" i="4"/>
  <c r="AY21" i="4"/>
  <c r="AO22" i="4"/>
  <c r="AT22" i="4"/>
  <c r="AX22" i="4"/>
  <c r="AY22" i="4"/>
  <c r="AE23" i="4"/>
  <c r="AO23" i="4"/>
  <c r="AS23" i="4"/>
  <c r="AT23" i="4"/>
  <c r="AX23" i="4"/>
  <c r="AY23" i="4"/>
  <c r="AE24" i="4"/>
  <c r="AO24" i="4"/>
  <c r="AQ24" i="4" s="1"/>
  <c r="AT24" i="4"/>
  <c r="AX24" i="4"/>
  <c r="AY24" i="4"/>
  <c r="AE25" i="4"/>
  <c r="AO25" i="4"/>
  <c r="AQ25" i="4" s="1"/>
  <c r="AT25" i="4"/>
  <c r="AX25" i="4"/>
  <c r="AY25" i="4"/>
  <c r="AE26" i="4"/>
  <c r="AO26" i="4"/>
  <c r="AQ26" i="4" s="1"/>
  <c r="AT26" i="4"/>
  <c r="AX26" i="4"/>
  <c r="AY26" i="4"/>
  <c r="AE27" i="4"/>
  <c r="AO27" i="4"/>
  <c r="AT27" i="4"/>
  <c r="AX27" i="4"/>
  <c r="AY27" i="4"/>
  <c r="AE28" i="4"/>
  <c r="AO28" i="4"/>
  <c r="AQ28" i="4" s="1"/>
  <c r="AT28" i="4"/>
  <c r="AX28" i="4"/>
  <c r="AY28" i="4"/>
  <c r="AE29" i="4"/>
  <c r="AO29" i="4"/>
  <c r="AT29" i="4"/>
  <c r="AX29" i="4"/>
  <c r="AY29" i="4"/>
  <c r="AE30" i="4"/>
  <c r="AO30" i="4"/>
  <c r="AT30" i="4"/>
  <c r="AX30" i="4"/>
  <c r="AY30" i="4"/>
  <c r="AE31" i="4"/>
  <c r="AO31" i="4"/>
  <c r="AS31" i="4" s="1"/>
  <c r="AT31" i="4"/>
  <c r="AX31" i="4"/>
  <c r="AY31" i="4"/>
  <c r="AE32" i="4"/>
  <c r="AO32" i="4"/>
  <c r="AT32" i="4"/>
  <c r="AX32" i="4"/>
  <c r="AY32" i="4"/>
  <c r="AE33" i="4"/>
  <c r="AO33" i="4"/>
  <c r="AQ33" i="4" s="1"/>
  <c r="AS33" i="4"/>
  <c r="AT33" i="4"/>
  <c r="AX33" i="4"/>
  <c r="AY33" i="4"/>
  <c r="AE34" i="4"/>
  <c r="AO34" i="4"/>
  <c r="AT34" i="4"/>
  <c r="AX34" i="4"/>
  <c r="AY34" i="4"/>
  <c r="AE35" i="4"/>
  <c r="AO35" i="4"/>
  <c r="AT35" i="4"/>
  <c r="AX35" i="4"/>
  <c r="AY35" i="4"/>
  <c r="AE36" i="4"/>
  <c r="AO36" i="4"/>
  <c r="AQ36" i="4" s="1"/>
  <c r="AS36" i="4"/>
  <c r="AT36" i="4"/>
  <c r="AX36" i="4"/>
  <c r="AY36" i="4"/>
  <c r="AE37" i="4"/>
  <c r="AO37" i="4"/>
  <c r="AT37" i="4"/>
  <c r="AX37" i="4"/>
  <c r="AY37" i="4"/>
  <c r="AE38" i="4"/>
  <c r="AO38" i="4"/>
  <c r="AQ38" i="4"/>
  <c r="AT38" i="4"/>
  <c r="AX38" i="4"/>
  <c r="AY38" i="4"/>
  <c r="AE39" i="4"/>
  <c r="AO39" i="4"/>
  <c r="AT39" i="4"/>
  <c r="AX39" i="4"/>
  <c r="AY39" i="4"/>
  <c r="AE40" i="4"/>
  <c r="AO40" i="4"/>
  <c r="AT40" i="4"/>
  <c r="AX40" i="4"/>
  <c r="AY40" i="4"/>
  <c r="AE41" i="4"/>
  <c r="AO41" i="4"/>
  <c r="AQ41" i="4" s="1"/>
  <c r="AT41" i="4"/>
  <c r="AX41" i="4"/>
  <c r="AY41" i="4"/>
  <c r="AE42" i="4"/>
  <c r="AO42" i="4"/>
  <c r="AQ42" i="4" s="1"/>
  <c r="AT42" i="4"/>
  <c r="AX42" i="4"/>
  <c r="AY42" i="4"/>
  <c r="AE43" i="4"/>
  <c r="AO43" i="4"/>
  <c r="AT43" i="4"/>
  <c r="AX43" i="4"/>
  <c r="AY43" i="4"/>
  <c r="AE44" i="4"/>
  <c r="AO44" i="4"/>
  <c r="AQ44" i="4" s="1"/>
  <c r="AT44" i="4"/>
  <c r="AX44" i="4"/>
  <c r="AY44" i="4"/>
  <c r="AE45" i="4"/>
  <c r="AO45" i="4"/>
  <c r="AQ45" i="4"/>
  <c r="AT45" i="4"/>
  <c r="AX45" i="4"/>
  <c r="AY45" i="4"/>
  <c r="AE46" i="4"/>
  <c r="AO46" i="4"/>
  <c r="AQ46" i="4"/>
  <c r="AT46" i="4"/>
  <c r="AX46" i="4"/>
  <c r="AY46" i="4"/>
  <c r="AE47" i="4"/>
  <c r="AO47" i="4"/>
  <c r="AS47" i="4"/>
  <c r="AT47" i="4"/>
  <c r="AX47" i="4"/>
  <c r="AY47" i="4"/>
  <c r="AE48" i="4"/>
  <c r="AO48" i="4"/>
  <c r="AT48" i="4"/>
  <c r="AX48" i="4"/>
  <c r="AY48" i="4"/>
  <c r="AE49" i="4"/>
  <c r="AO49" i="4"/>
  <c r="AS49" i="4" s="1"/>
  <c r="AT49" i="4"/>
  <c r="AX49" i="4"/>
  <c r="AY49" i="4"/>
  <c r="AE50" i="4"/>
  <c r="AO50" i="4"/>
  <c r="AQ50" i="4" s="1"/>
  <c r="AT50" i="4"/>
  <c r="AX50" i="4"/>
  <c r="AY50" i="4"/>
  <c r="AE51" i="4"/>
  <c r="AO51" i="4"/>
  <c r="AT51" i="4"/>
  <c r="AX51" i="4"/>
  <c r="AY51" i="4"/>
  <c r="AE52" i="4"/>
  <c r="AO52" i="4"/>
  <c r="AS52" i="4"/>
  <c r="AT52" i="4"/>
  <c r="AX52" i="4"/>
  <c r="AY52" i="4"/>
  <c r="AE53" i="4"/>
  <c r="AO53" i="4"/>
  <c r="AT53" i="4"/>
  <c r="AX53" i="4"/>
  <c r="AY53" i="4"/>
  <c r="AE54" i="4"/>
  <c r="AO54" i="4"/>
  <c r="AQ54" i="4" s="1"/>
  <c r="AT54" i="4"/>
  <c r="AX54" i="4"/>
  <c r="AY54" i="4"/>
  <c r="AE55" i="4"/>
  <c r="AO55" i="4"/>
  <c r="AT55" i="4"/>
  <c r="AX55" i="4"/>
  <c r="AY55" i="4"/>
  <c r="AE56" i="4"/>
  <c r="AO56" i="4"/>
  <c r="AT56" i="4"/>
  <c r="AX56" i="4"/>
  <c r="AY56" i="4"/>
  <c r="AE57" i="4"/>
  <c r="AO57" i="4"/>
  <c r="AQ57" i="4"/>
  <c r="AT57" i="4"/>
  <c r="AX57" i="4"/>
  <c r="AY57" i="4"/>
  <c r="AE58" i="4"/>
  <c r="AO58" i="4"/>
  <c r="AS58" i="4" s="1"/>
  <c r="AT58" i="4"/>
  <c r="AX58" i="4"/>
  <c r="AY58" i="4"/>
  <c r="AE59" i="4"/>
  <c r="AO59" i="4"/>
  <c r="AQ59" i="4"/>
  <c r="AT59" i="4"/>
  <c r="AX59" i="4"/>
  <c r="AY59" i="4"/>
  <c r="AE60" i="4"/>
  <c r="AO60" i="4"/>
  <c r="AS60" i="4"/>
  <c r="AT60" i="4"/>
  <c r="AX60" i="4"/>
  <c r="AY60" i="4"/>
  <c r="AE61" i="4"/>
  <c r="AO61" i="4"/>
  <c r="AQ61" i="4"/>
  <c r="AT61" i="4"/>
  <c r="AX61" i="4"/>
  <c r="AY61" i="4"/>
  <c r="AE62" i="4"/>
  <c r="AO62" i="4"/>
  <c r="AQ62" i="4" s="1"/>
  <c r="AT62" i="4"/>
  <c r="AX62" i="4"/>
  <c r="AY62" i="4"/>
  <c r="AE63" i="4"/>
  <c r="AO63" i="4"/>
  <c r="AS63" i="4"/>
  <c r="AT63" i="4"/>
  <c r="AX63" i="4"/>
  <c r="AY63" i="4"/>
  <c r="AE64" i="4"/>
  <c r="AO64" i="4"/>
  <c r="AT64" i="4"/>
  <c r="AX64" i="4"/>
  <c r="AY64" i="4"/>
  <c r="AE65" i="4"/>
  <c r="AO65" i="4"/>
  <c r="AT65" i="4"/>
  <c r="AX65" i="4"/>
  <c r="AY65" i="4"/>
  <c r="AE66" i="4"/>
  <c r="AO66" i="4"/>
  <c r="AS66" i="4"/>
  <c r="AT66" i="4"/>
  <c r="AX66" i="4"/>
  <c r="AY66" i="4"/>
  <c r="AE67" i="4"/>
  <c r="AO67" i="4"/>
  <c r="AQ67" i="4" s="1"/>
  <c r="AT67" i="4"/>
  <c r="AX67" i="4"/>
  <c r="AY67" i="4"/>
  <c r="AE68" i="4"/>
  <c r="AO68" i="4"/>
  <c r="AS68" i="4"/>
  <c r="AT68" i="4"/>
  <c r="AX68" i="4"/>
  <c r="AY68" i="4"/>
  <c r="AE69" i="4"/>
  <c r="AO69" i="4"/>
  <c r="AT69" i="4"/>
  <c r="AX69" i="4"/>
  <c r="AY69" i="4"/>
  <c r="AE70" i="4"/>
  <c r="AO70" i="4"/>
  <c r="AQ70" i="4" s="1"/>
  <c r="AT70" i="4"/>
  <c r="AX70" i="4"/>
  <c r="AY70" i="4"/>
  <c r="AE71" i="4"/>
  <c r="AO71" i="4"/>
  <c r="AT71" i="4"/>
  <c r="AX71" i="4"/>
  <c r="AY71" i="4"/>
  <c r="AE72" i="4"/>
  <c r="AO72" i="4"/>
  <c r="AT72" i="4"/>
  <c r="AX72" i="4"/>
  <c r="AY72" i="4"/>
  <c r="AE73" i="4"/>
  <c r="AO73" i="4"/>
  <c r="AS73" i="4"/>
  <c r="AT73" i="4"/>
  <c r="AX73" i="4"/>
  <c r="AY73" i="4"/>
  <c r="AE74" i="4"/>
  <c r="AO74" i="4"/>
  <c r="AQ74" i="4"/>
  <c r="AT74" i="4"/>
  <c r="AX74" i="4"/>
  <c r="AY74" i="4"/>
  <c r="AE75" i="4"/>
  <c r="AO75" i="4"/>
  <c r="AT75" i="4"/>
  <c r="AX75" i="4"/>
  <c r="AY75" i="4"/>
  <c r="AE76" i="4"/>
  <c r="AO76" i="4"/>
  <c r="AT76" i="4"/>
  <c r="AX76" i="4"/>
  <c r="AY76" i="4"/>
  <c r="AE77" i="4"/>
  <c r="AO77" i="4"/>
  <c r="AQ77" i="4" s="1"/>
  <c r="AT77" i="4"/>
  <c r="AX77" i="4"/>
  <c r="AY77" i="4"/>
  <c r="AE78" i="4"/>
  <c r="AO78" i="4"/>
  <c r="AT78" i="4"/>
  <c r="AX78" i="4"/>
  <c r="AY78" i="4"/>
  <c r="AE79" i="4"/>
  <c r="AO79" i="4"/>
  <c r="AQ79" i="4" s="1"/>
  <c r="AT79" i="4"/>
  <c r="AX79" i="4"/>
  <c r="AY79" i="4"/>
  <c r="AE80" i="4"/>
  <c r="AO80" i="4"/>
  <c r="AQ80" i="4"/>
  <c r="AT80" i="4"/>
  <c r="AX80" i="4"/>
  <c r="AY80" i="4"/>
  <c r="AE81" i="4"/>
  <c r="AO81" i="4"/>
  <c r="AS81" i="4"/>
  <c r="AT81" i="4"/>
  <c r="AX81" i="4"/>
  <c r="AY81" i="4"/>
  <c r="AE82" i="4"/>
  <c r="AO82" i="4"/>
  <c r="AQ82" i="4"/>
  <c r="AT82" i="4"/>
  <c r="AX82" i="4"/>
  <c r="AY82" i="4"/>
  <c r="AE83" i="4"/>
  <c r="AO83" i="4"/>
  <c r="AT83" i="4"/>
  <c r="AX83" i="4"/>
  <c r="AY83" i="4"/>
  <c r="AE84" i="4"/>
  <c r="AO84" i="4"/>
  <c r="AT84" i="4"/>
  <c r="AX84" i="4"/>
  <c r="AY84" i="4"/>
  <c r="AE85" i="4"/>
  <c r="AO85" i="4"/>
  <c r="AQ85" i="4"/>
  <c r="AT85" i="4"/>
  <c r="AX85" i="4"/>
  <c r="AY85" i="4"/>
  <c r="AE86" i="4"/>
  <c r="AO86" i="4"/>
  <c r="AT86" i="4"/>
  <c r="AX86" i="4"/>
  <c r="AY86" i="4"/>
  <c r="AE87" i="4"/>
  <c r="AO87" i="4"/>
  <c r="AS87" i="4" s="1"/>
  <c r="AT87" i="4"/>
  <c r="AX87" i="4"/>
  <c r="AY87" i="4"/>
  <c r="AE88" i="4"/>
  <c r="AO88" i="4"/>
  <c r="AS88" i="4" s="1"/>
  <c r="AT88" i="4"/>
  <c r="AX88" i="4"/>
  <c r="AY88" i="4"/>
  <c r="AE89" i="4"/>
  <c r="AO89" i="4"/>
  <c r="AQ89" i="4" s="1"/>
  <c r="AT89" i="4"/>
  <c r="AX89" i="4"/>
  <c r="AY89" i="4"/>
  <c r="AE90" i="4"/>
  <c r="AO90" i="4"/>
  <c r="AQ90" i="4"/>
  <c r="AT90" i="4"/>
  <c r="AX90" i="4"/>
  <c r="AY90" i="4"/>
  <c r="AE91" i="4"/>
  <c r="AO91" i="4"/>
  <c r="AT91" i="4"/>
  <c r="AX91" i="4"/>
  <c r="AY91" i="4"/>
  <c r="AE92" i="4"/>
  <c r="AO92" i="4"/>
  <c r="AQ92" i="4" s="1"/>
  <c r="AT92" i="4"/>
  <c r="AX92" i="4"/>
  <c r="AY92" i="4"/>
  <c r="AE93" i="4"/>
  <c r="AO93" i="4"/>
  <c r="AT93" i="4"/>
  <c r="AX93" i="4"/>
  <c r="AY93" i="4"/>
  <c r="AE94" i="4"/>
  <c r="AO94" i="4"/>
  <c r="AS94" i="4"/>
  <c r="AT94" i="4"/>
  <c r="AX94" i="4"/>
  <c r="AY94" i="4"/>
  <c r="AE95" i="4"/>
  <c r="AO95" i="4"/>
  <c r="AS95" i="4"/>
  <c r="AT95" i="4"/>
  <c r="AX95" i="4"/>
  <c r="AY95" i="4"/>
  <c r="AE96" i="4"/>
  <c r="AO96" i="4"/>
  <c r="AQ96" i="4" s="1"/>
  <c r="AT96" i="4"/>
  <c r="AX96" i="4"/>
  <c r="AY96" i="4"/>
  <c r="AE97" i="4"/>
  <c r="AO97" i="4"/>
  <c r="AS97" i="4"/>
  <c r="AT97" i="4"/>
  <c r="AX97" i="4"/>
  <c r="AY97" i="4"/>
  <c r="AE98" i="4"/>
  <c r="AO98" i="4"/>
  <c r="AT98" i="4"/>
  <c r="AX98" i="4"/>
  <c r="AY98" i="4"/>
  <c r="AE99" i="4"/>
  <c r="AO99" i="4"/>
  <c r="AQ99" i="4" s="1"/>
  <c r="AT99" i="4"/>
  <c r="AX99" i="4"/>
  <c r="AY99" i="4"/>
  <c r="AE100" i="4"/>
  <c r="AO100" i="4"/>
  <c r="AT100" i="4"/>
  <c r="AX100" i="4"/>
  <c r="AY100" i="4"/>
  <c r="AE101" i="4"/>
  <c r="AO101" i="4"/>
  <c r="AQ101" i="4" s="1"/>
  <c r="AT101" i="4"/>
  <c r="AX101" i="4"/>
  <c r="AY101" i="4"/>
  <c r="AE102" i="4"/>
  <c r="AO102" i="4"/>
  <c r="AT102" i="4"/>
  <c r="AX102" i="4"/>
  <c r="AY102" i="4"/>
  <c r="AE103" i="4"/>
  <c r="AO103" i="4"/>
  <c r="AS103" i="4" s="1"/>
  <c r="AT103" i="4"/>
  <c r="AX103" i="4"/>
  <c r="AY103" i="4"/>
  <c r="AE104" i="4"/>
  <c r="AO104" i="4"/>
  <c r="AT104" i="4"/>
  <c r="AX104" i="4"/>
  <c r="AY104" i="4"/>
  <c r="AE105" i="4"/>
  <c r="AO105" i="4"/>
  <c r="AS105" i="4" s="1"/>
  <c r="AT105" i="4"/>
  <c r="AX105" i="4"/>
  <c r="AY105" i="4"/>
  <c r="AE106" i="4"/>
  <c r="AO106" i="4"/>
  <c r="AS106" i="4" s="1"/>
  <c r="AT106" i="4"/>
  <c r="AX106" i="4"/>
  <c r="AY106" i="4"/>
  <c r="AE107" i="4"/>
  <c r="AO107" i="4"/>
  <c r="AT107" i="4"/>
  <c r="AX107" i="4"/>
  <c r="AY107" i="4"/>
  <c r="AE108" i="4"/>
  <c r="AO108" i="4"/>
  <c r="AS108" i="4" s="1"/>
  <c r="AT108" i="4"/>
  <c r="AX108" i="4"/>
  <c r="AY108" i="4"/>
  <c r="AE109" i="4"/>
  <c r="AO109" i="4"/>
  <c r="AT109" i="4"/>
  <c r="AX109" i="4"/>
  <c r="AY109" i="4"/>
  <c r="AE110" i="4"/>
  <c r="AO110" i="4"/>
  <c r="AT110" i="4"/>
  <c r="AX110" i="4"/>
  <c r="AY110" i="4"/>
  <c r="AE111" i="4"/>
  <c r="AO111" i="4"/>
  <c r="AQ111" i="4" s="1"/>
  <c r="AT111" i="4"/>
  <c r="AX111" i="4"/>
  <c r="AY111" i="4"/>
  <c r="AE112" i="4"/>
  <c r="AO112" i="4"/>
  <c r="AT112" i="4"/>
  <c r="AX112" i="4"/>
  <c r="AY112" i="4"/>
  <c r="AE113" i="4"/>
  <c r="AO113" i="4"/>
  <c r="AT113" i="4"/>
  <c r="AX113" i="4"/>
  <c r="AY113" i="4"/>
  <c r="AE114" i="4"/>
  <c r="AO114" i="4"/>
  <c r="AT114" i="4"/>
  <c r="AX114" i="4"/>
  <c r="AY114" i="4"/>
  <c r="AE115" i="4"/>
  <c r="AO115" i="4"/>
  <c r="AQ115" i="4"/>
  <c r="AT115" i="4"/>
  <c r="AX115" i="4"/>
  <c r="AY115" i="4"/>
  <c r="AE116" i="4"/>
  <c r="AO116" i="4"/>
  <c r="AQ116" i="4" s="1"/>
  <c r="AT116" i="4"/>
  <c r="AX116" i="4"/>
  <c r="AY116" i="4"/>
  <c r="AE117" i="4"/>
  <c r="AO117" i="4"/>
  <c r="AT117" i="4"/>
  <c r="AX117" i="4"/>
  <c r="AY117" i="4"/>
  <c r="AE118" i="4"/>
  <c r="AO118" i="4"/>
  <c r="AT118" i="4"/>
  <c r="AX118" i="4"/>
  <c r="AY118" i="4"/>
  <c r="AE119" i="4"/>
  <c r="AO119" i="4"/>
  <c r="AQ119" i="4" s="1"/>
  <c r="AT119" i="4"/>
  <c r="AX119" i="4"/>
  <c r="AY119" i="4"/>
  <c r="AE120" i="4"/>
  <c r="AO120" i="4"/>
  <c r="AT120" i="4"/>
  <c r="AX120" i="4"/>
  <c r="AY120" i="4"/>
  <c r="AE121" i="4"/>
  <c r="AO121" i="4"/>
  <c r="AT121" i="4"/>
  <c r="AX121" i="4"/>
  <c r="AY121" i="4"/>
  <c r="AE122" i="4"/>
  <c r="AO122" i="4"/>
  <c r="AT122" i="4"/>
  <c r="AX122" i="4"/>
  <c r="AY122" i="4"/>
  <c r="AE123" i="4"/>
  <c r="AO123" i="4"/>
  <c r="AT123" i="4"/>
  <c r="AX123" i="4"/>
  <c r="AY123" i="4"/>
  <c r="AE124" i="4"/>
  <c r="AO124" i="4"/>
  <c r="AT124" i="4"/>
  <c r="AX124" i="4"/>
  <c r="AY124" i="4"/>
  <c r="AE125" i="4"/>
  <c r="AO125" i="4"/>
  <c r="AT125" i="4"/>
  <c r="AX125" i="4"/>
  <c r="AY125" i="4"/>
  <c r="AE126" i="4"/>
  <c r="AO126" i="4"/>
  <c r="AT126" i="4"/>
  <c r="AX126" i="4"/>
  <c r="AY126" i="4"/>
  <c r="AE127" i="4"/>
  <c r="AO127" i="4"/>
  <c r="AQ127" i="4" s="1"/>
  <c r="AT127" i="4"/>
  <c r="AX127" i="4"/>
  <c r="AY127" i="4"/>
  <c r="AE128" i="4"/>
  <c r="AO128" i="4"/>
  <c r="AQ128" i="4"/>
  <c r="AT128" i="4"/>
  <c r="AX128" i="4"/>
  <c r="AY128" i="4"/>
  <c r="AE153" i="4"/>
  <c r="AO153" i="4"/>
  <c r="AS153" i="4" s="1"/>
  <c r="AT153" i="4"/>
  <c r="AX153" i="4"/>
  <c r="AY153" i="4"/>
  <c r="AE154" i="4"/>
  <c r="AO154" i="4"/>
  <c r="AQ154" i="4" s="1"/>
  <c r="AT154" i="4"/>
  <c r="AX154" i="4"/>
  <c r="AY154" i="4"/>
  <c r="AE155" i="4"/>
  <c r="AO155" i="4"/>
  <c r="AT155" i="4"/>
  <c r="AX155" i="4"/>
  <c r="AY155" i="4"/>
  <c r="AE156" i="4"/>
  <c r="AO156" i="4"/>
  <c r="AT156" i="4"/>
  <c r="AX156" i="4"/>
  <c r="AY156" i="4"/>
  <c r="AE157" i="4"/>
  <c r="AO157" i="4"/>
  <c r="AT157" i="4"/>
  <c r="AX157" i="4"/>
  <c r="AY157" i="4"/>
  <c r="AE158" i="4"/>
  <c r="AO158" i="4"/>
  <c r="AT158" i="4"/>
  <c r="AX158" i="4"/>
  <c r="AY158" i="4"/>
  <c r="AE159" i="4"/>
  <c r="AO159" i="4"/>
  <c r="AQ159" i="4" s="1"/>
  <c r="AT159" i="4"/>
  <c r="AX159" i="4"/>
  <c r="AY159" i="4"/>
  <c r="AE160" i="4"/>
  <c r="AO160" i="4"/>
  <c r="AT160" i="4"/>
  <c r="AX160" i="4"/>
  <c r="AY160" i="4"/>
  <c r="AE161" i="4"/>
  <c r="AO161" i="4"/>
  <c r="AS161" i="4" s="1"/>
  <c r="AT161" i="4"/>
  <c r="AX161" i="4"/>
  <c r="AY161" i="4"/>
  <c r="AE162" i="4"/>
  <c r="AO162" i="4"/>
  <c r="AS162" i="4"/>
  <c r="AT162" i="4"/>
  <c r="AX162" i="4"/>
  <c r="AY162" i="4"/>
  <c r="AE163" i="4"/>
  <c r="AO163" i="4"/>
  <c r="AQ163" i="4" s="1"/>
  <c r="AT163" i="4"/>
  <c r="AX163" i="4"/>
  <c r="AY163" i="4"/>
  <c r="AE164" i="4"/>
  <c r="AO164" i="4"/>
  <c r="AQ164" i="4"/>
  <c r="AT164" i="4"/>
  <c r="AX164" i="4"/>
  <c r="AY164" i="4"/>
  <c r="AE165" i="4"/>
  <c r="AO165" i="4"/>
  <c r="AQ165" i="4"/>
  <c r="AT165" i="4"/>
  <c r="AX165" i="4"/>
  <c r="AY165" i="4"/>
  <c r="AE166" i="4"/>
  <c r="AO166" i="4"/>
  <c r="AT166" i="4"/>
  <c r="AX166" i="4"/>
  <c r="AY166" i="4"/>
  <c r="AE167" i="4"/>
  <c r="AO167" i="4"/>
  <c r="AT167" i="4"/>
  <c r="AX167" i="4"/>
  <c r="AY167" i="4"/>
  <c r="AE168" i="4"/>
  <c r="AO168" i="4"/>
  <c r="AT168" i="4"/>
  <c r="AX168" i="4"/>
  <c r="AY168" i="4"/>
  <c r="AE169" i="4"/>
  <c r="AO169" i="4"/>
  <c r="AT169" i="4"/>
  <c r="AX169" i="4"/>
  <c r="AY169" i="4"/>
  <c r="AE170" i="4"/>
  <c r="AO170" i="4"/>
  <c r="AT170" i="4"/>
  <c r="AX170" i="4"/>
  <c r="AY170" i="4"/>
  <c r="AE171" i="4"/>
  <c r="AO171" i="4"/>
  <c r="AQ171" i="4"/>
  <c r="AT171" i="4"/>
  <c r="AX171" i="4"/>
  <c r="AY171" i="4"/>
  <c r="AE172" i="4"/>
  <c r="AO172" i="4"/>
  <c r="AQ172" i="4" s="1"/>
  <c r="AT172" i="4"/>
  <c r="AX172" i="4"/>
  <c r="AY172" i="4"/>
  <c r="AE173" i="4"/>
  <c r="AO173" i="4"/>
  <c r="AT173" i="4"/>
  <c r="AX173" i="4"/>
  <c r="AY173" i="4"/>
  <c r="AE174" i="4"/>
  <c r="AO174" i="4"/>
  <c r="AT174" i="4"/>
  <c r="AX174" i="4"/>
  <c r="AY174" i="4"/>
  <c r="AE175" i="4"/>
  <c r="AO175" i="4"/>
  <c r="AS175" i="4"/>
  <c r="AT175" i="4"/>
  <c r="AX175" i="4"/>
  <c r="AY175" i="4"/>
  <c r="AE176" i="4"/>
  <c r="AO176" i="4"/>
  <c r="AQ176" i="4"/>
  <c r="AT176" i="4"/>
  <c r="AX176" i="4"/>
  <c r="AY176" i="4"/>
  <c r="AE177" i="4"/>
  <c r="AO177" i="4"/>
  <c r="AT177" i="4"/>
  <c r="AX177" i="4"/>
  <c r="AY177" i="4"/>
  <c r="AE178" i="4"/>
  <c r="AO178" i="4"/>
  <c r="AQ178" i="4" s="1"/>
  <c r="AT178" i="4"/>
  <c r="AX178" i="4"/>
  <c r="AY178" i="4"/>
  <c r="AE179" i="4"/>
  <c r="AO179" i="4"/>
  <c r="AQ179" i="4" s="1"/>
  <c r="AT179" i="4"/>
  <c r="AX179" i="4"/>
  <c r="AY179" i="4"/>
  <c r="AE180" i="4"/>
  <c r="AO180" i="4"/>
  <c r="AS180" i="4"/>
  <c r="AT180" i="4"/>
  <c r="AX180" i="4"/>
  <c r="AY180" i="4"/>
  <c r="AE181" i="4"/>
  <c r="AO181" i="4"/>
  <c r="AT181" i="4"/>
  <c r="AX181" i="4"/>
  <c r="AY181" i="4"/>
  <c r="AE182" i="4"/>
  <c r="AO182" i="4"/>
  <c r="AT182" i="4"/>
  <c r="AX182" i="4"/>
  <c r="AY182" i="4"/>
  <c r="AE183" i="4"/>
  <c r="AO183" i="4"/>
  <c r="AS183" i="4"/>
  <c r="AT183" i="4"/>
  <c r="AX183" i="4"/>
  <c r="AY183" i="4"/>
  <c r="AE184" i="4"/>
  <c r="AO184" i="4"/>
  <c r="AT184" i="4"/>
  <c r="AX184" i="4"/>
  <c r="AY184" i="4"/>
  <c r="AE185" i="4"/>
  <c r="AO185" i="4"/>
  <c r="AT185" i="4"/>
  <c r="AX185" i="4"/>
  <c r="AY185" i="4"/>
  <c r="AE186" i="4"/>
  <c r="AO186" i="4"/>
  <c r="AS186" i="4"/>
  <c r="AT186" i="4"/>
  <c r="AX186" i="4"/>
  <c r="AY186" i="4"/>
  <c r="AE187" i="4"/>
  <c r="AO187" i="4"/>
  <c r="AT187" i="4"/>
  <c r="AX187" i="4"/>
  <c r="AY187" i="4"/>
  <c r="AE188" i="4"/>
  <c r="AO188" i="4"/>
  <c r="AS188" i="4"/>
  <c r="AT188" i="4"/>
  <c r="AX188" i="4"/>
  <c r="AY188" i="4"/>
  <c r="AE189" i="4"/>
  <c r="AO189" i="4"/>
  <c r="AQ189" i="4" s="1"/>
  <c r="AT189" i="4"/>
  <c r="AX189" i="4"/>
  <c r="AY189" i="4"/>
  <c r="AE190" i="4"/>
  <c r="AO190" i="4"/>
  <c r="AT190" i="4"/>
  <c r="AX190" i="4"/>
  <c r="AY190" i="4"/>
  <c r="AE191" i="4"/>
  <c r="AO191" i="4"/>
  <c r="AT191" i="4"/>
  <c r="AX191" i="4"/>
  <c r="AY191" i="4"/>
  <c r="AE192" i="4"/>
  <c r="AO192" i="4"/>
  <c r="AS192" i="4" s="1"/>
  <c r="AT192" i="4"/>
  <c r="AX192" i="4"/>
  <c r="AY192" i="4"/>
  <c r="AE193" i="4"/>
  <c r="AO193" i="4"/>
  <c r="AQ193" i="4"/>
  <c r="AT193" i="4"/>
  <c r="AX193" i="4"/>
  <c r="AY193" i="4"/>
  <c r="AE194" i="4"/>
  <c r="AO194" i="4"/>
  <c r="AS194" i="4" s="1"/>
  <c r="AT194" i="4"/>
  <c r="AX194" i="4"/>
  <c r="AY194" i="4"/>
  <c r="AE195" i="4"/>
  <c r="AO195" i="4"/>
  <c r="AQ195" i="4"/>
  <c r="AT195" i="4"/>
  <c r="AX195" i="4"/>
  <c r="AY195" i="4"/>
  <c r="AE196" i="4"/>
  <c r="AO196" i="4"/>
  <c r="AS196" i="4"/>
  <c r="AT196" i="4"/>
  <c r="AX196" i="4"/>
  <c r="AY196" i="4"/>
  <c r="AE197" i="4"/>
  <c r="AO197" i="4"/>
  <c r="AQ197" i="4"/>
  <c r="AT197" i="4"/>
  <c r="AX197" i="4"/>
  <c r="AY197" i="4"/>
  <c r="AE198" i="4"/>
  <c r="AO198" i="4"/>
  <c r="AQ198" i="4" s="1"/>
  <c r="AT198" i="4"/>
  <c r="AX198" i="4"/>
  <c r="AY198" i="4"/>
  <c r="AE199" i="4"/>
  <c r="AO199" i="4"/>
  <c r="AQ199" i="4"/>
  <c r="AT199" i="4"/>
  <c r="AX199" i="4"/>
  <c r="AY199" i="4"/>
  <c r="AE200" i="4"/>
  <c r="AO200" i="4"/>
  <c r="AT200" i="4"/>
  <c r="AX200" i="4"/>
  <c r="AY200" i="4"/>
  <c r="AE201" i="4"/>
  <c r="AO201" i="4"/>
  <c r="AQ201" i="4"/>
  <c r="AT201" i="4"/>
  <c r="AX201" i="4"/>
  <c r="AY201" i="4"/>
  <c r="AE202" i="4"/>
  <c r="AO202" i="4"/>
  <c r="AQ202" i="4" s="1"/>
  <c r="AT202" i="4"/>
  <c r="AX202" i="4"/>
  <c r="AY202" i="4"/>
  <c r="AE203" i="4"/>
  <c r="AO203" i="4"/>
  <c r="AT203" i="4"/>
  <c r="AX203" i="4"/>
  <c r="AY203" i="4"/>
  <c r="AE204" i="4"/>
  <c r="AO204" i="4"/>
  <c r="AS204" i="4"/>
  <c r="AT204" i="4"/>
  <c r="AX204" i="4"/>
  <c r="AY204" i="4"/>
  <c r="AE205" i="4"/>
  <c r="AO205" i="4"/>
  <c r="AT205" i="4"/>
  <c r="AX205" i="4"/>
  <c r="AY205" i="4"/>
  <c r="AE206" i="4"/>
  <c r="AO206" i="4"/>
  <c r="AQ206" i="4"/>
  <c r="AT206" i="4"/>
  <c r="AX206" i="4"/>
  <c r="AY206" i="4"/>
  <c r="AE207" i="4"/>
  <c r="AO207" i="4"/>
  <c r="AT207" i="4"/>
  <c r="AX207" i="4"/>
  <c r="AY207" i="4"/>
  <c r="AE208" i="4"/>
  <c r="AO208" i="4"/>
  <c r="AQ208" i="4"/>
  <c r="AT208" i="4"/>
  <c r="AX208" i="4"/>
  <c r="AY208" i="4"/>
  <c r="AE209" i="4"/>
  <c r="AO209" i="4"/>
  <c r="AQ209" i="4" s="1"/>
  <c r="AT209" i="4"/>
  <c r="AX209" i="4"/>
  <c r="AY209" i="4"/>
  <c r="AE210" i="4"/>
  <c r="AO210" i="4"/>
  <c r="AT210" i="4"/>
  <c r="AX210" i="4"/>
  <c r="AY210" i="4"/>
  <c r="AE211" i="4"/>
  <c r="AO211" i="4"/>
  <c r="AT211" i="4"/>
  <c r="AX211" i="4"/>
  <c r="AY211" i="4"/>
  <c r="AE212" i="4"/>
  <c r="AO212" i="4"/>
  <c r="AS212" i="4" s="1"/>
  <c r="AT212" i="4"/>
  <c r="AX212" i="4"/>
  <c r="AY212" i="4"/>
  <c r="AE213" i="4"/>
  <c r="AO213" i="4"/>
  <c r="AT213" i="4"/>
  <c r="AX213" i="4"/>
  <c r="AY213" i="4"/>
  <c r="AE214" i="4"/>
  <c r="AO214" i="4"/>
  <c r="AQ214" i="4"/>
  <c r="AT214" i="4"/>
  <c r="AX214" i="4"/>
  <c r="AY214" i="4"/>
  <c r="AE215" i="4"/>
  <c r="AO215" i="4"/>
  <c r="AS215" i="4" s="1"/>
  <c r="AT215" i="4"/>
  <c r="AX215" i="4"/>
  <c r="AY215" i="4"/>
  <c r="AE216" i="4"/>
  <c r="AO216" i="4"/>
  <c r="AT216" i="4"/>
  <c r="AX216" i="4"/>
  <c r="AY216" i="4"/>
  <c r="AQ10" i="8"/>
  <c r="B97" i="12"/>
  <c r="B98" i="12"/>
  <c r="B99" i="12"/>
  <c r="B234" i="12" s="1"/>
  <c r="B369" i="12" s="1"/>
  <c r="B504" i="12" s="1"/>
  <c r="B100" i="12"/>
  <c r="B101" i="12"/>
  <c r="B236" i="12" s="1"/>
  <c r="B371" i="12" s="1"/>
  <c r="B506" i="12" s="1"/>
  <c r="B102" i="12"/>
  <c r="B103" i="12"/>
  <c r="B104" i="12"/>
  <c r="B239" i="12" s="1"/>
  <c r="B105" i="12"/>
  <c r="B240" i="12"/>
  <c r="B375" i="12" s="1"/>
  <c r="B106" i="12"/>
  <c r="B107" i="12"/>
  <c r="B242" i="12" s="1"/>
  <c r="B108" i="12"/>
  <c r="B109" i="12"/>
  <c r="B244" i="12"/>
  <c r="B379" i="12" s="1"/>
  <c r="B514" i="12" s="1"/>
  <c r="B649" i="12" s="1"/>
  <c r="B784" i="12"/>
  <c r="B919" i="12"/>
  <c r="B1054" i="12"/>
  <c r="B110" i="12"/>
  <c r="B245" i="12" s="1"/>
  <c r="B380" i="12" s="1"/>
  <c r="B111" i="12"/>
  <c r="B246" i="12"/>
  <c r="B381" i="12"/>
  <c r="B516" i="12"/>
  <c r="B651" i="12" s="1"/>
  <c r="B786" i="12"/>
  <c r="B112" i="12"/>
  <c r="B247" i="12" s="1"/>
  <c r="B113" i="12"/>
  <c r="B248" i="12"/>
  <c r="B383" i="12" s="1"/>
  <c r="B114" i="12"/>
  <c r="B249" i="12" s="1"/>
  <c r="B384" i="12" s="1"/>
  <c r="B519" i="12"/>
  <c r="B654" i="12"/>
  <c r="B115" i="12"/>
  <c r="B250" i="12" s="1"/>
  <c r="B385" i="12" s="1"/>
  <c r="B116" i="12"/>
  <c r="B251" i="12"/>
  <c r="B386" i="12" s="1"/>
  <c r="B521" i="12"/>
  <c r="B656" i="12" s="1"/>
  <c r="B791" i="12" s="1"/>
  <c r="B117" i="12"/>
  <c r="B252" i="12"/>
  <c r="B387" i="12" s="1"/>
  <c r="B522" i="12"/>
  <c r="B118" i="12"/>
  <c r="B253" i="12" s="1"/>
  <c r="B81" i="12"/>
  <c r="B82" i="12"/>
  <c r="B217" i="12"/>
  <c r="B83" i="12"/>
  <c r="B218" i="12" s="1"/>
  <c r="B353" i="12" s="1"/>
  <c r="B488" i="12"/>
  <c r="B84" i="12"/>
  <c r="B85" i="12"/>
  <c r="B220" i="12" s="1"/>
  <c r="B86" i="12"/>
  <c r="B87" i="12"/>
  <c r="B88" i="12"/>
  <c r="B89" i="12"/>
  <c r="B224" i="12"/>
  <c r="B359" i="12"/>
  <c r="B90" i="12"/>
  <c r="B225" i="12"/>
  <c r="B360" i="12" s="1"/>
  <c r="B91" i="12"/>
  <c r="B92" i="12"/>
  <c r="B227" i="12"/>
  <c r="B362" i="12"/>
  <c r="B497" i="12" s="1"/>
  <c r="B632" i="12" s="1"/>
  <c r="B93" i="12"/>
  <c r="B94" i="12"/>
  <c r="B229" i="12"/>
  <c r="B364" i="12" s="1"/>
  <c r="B499" i="12" s="1"/>
  <c r="B634" i="12" s="1"/>
  <c r="B769" i="12" s="1"/>
  <c r="B95" i="12"/>
  <c r="B230" i="12"/>
  <c r="B365" i="12"/>
  <c r="B96" i="12"/>
  <c r="B231" i="12" s="1"/>
  <c r="B366" i="12" s="1"/>
  <c r="B3" i="12"/>
  <c r="B138" i="12" s="1"/>
  <c r="B273" i="12"/>
  <c r="B408" i="12"/>
  <c r="B4" i="12"/>
  <c r="B5" i="12"/>
  <c r="B140" i="12" s="1"/>
  <c r="B275" i="12" s="1"/>
  <c r="B410" i="12" s="1"/>
  <c r="B6" i="12"/>
  <c r="B141" i="12" s="1"/>
  <c r="B276" i="12"/>
  <c r="B7" i="12"/>
  <c r="B8" i="12"/>
  <c r="B143" i="12" s="1"/>
  <c r="B9" i="12"/>
  <c r="B144" i="12" s="1"/>
  <c r="B10" i="12"/>
  <c r="B145" i="12" s="1"/>
  <c r="B11" i="12"/>
  <c r="B12" i="12"/>
  <c r="B147" i="12"/>
  <c r="B13" i="12"/>
  <c r="B148" i="12" s="1"/>
  <c r="B283" i="12" s="1"/>
  <c r="B418" i="12"/>
  <c r="B553" i="12"/>
  <c r="B688" i="12"/>
  <c r="B14" i="12"/>
  <c r="B149" i="12" s="1"/>
  <c r="B284" i="12"/>
  <c r="B15" i="12"/>
  <c r="B150" i="12" s="1"/>
  <c r="B16" i="12"/>
  <c r="B17" i="12"/>
  <c r="B152" i="12"/>
  <c r="B18" i="12"/>
  <c r="B153" i="12"/>
  <c r="B19" i="12"/>
  <c r="B154" i="12" s="1"/>
  <c r="B289" i="12" s="1"/>
  <c r="B424" i="12"/>
  <c r="B20" i="12"/>
  <c r="B155" i="12"/>
  <c r="B21" i="12"/>
  <c r="B22" i="12"/>
  <c r="B157" i="12" s="1"/>
  <c r="B292" i="12" s="1"/>
  <c r="B427" i="12" s="1"/>
  <c r="B23" i="12"/>
  <c r="B24" i="12"/>
  <c r="B159" i="12"/>
  <c r="B294" i="12" s="1"/>
  <c r="B429" i="12"/>
  <c r="B25" i="12"/>
  <c r="B160" i="12" s="1"/>
  <c r="B295" i="12"/>
  <c r="B26" i="12"/>
  <c r="B161" i="12" s="1"/>
  <c r="B27" i="12"/>
  <c r="B162" i="12"/>
  <c r="B297" i="12"/>
  <c r="B28" i="12"/>
  <c r="B29" i="12"/>
  <c r="B164" i="12" s="1"/>
  <c r="B299" i="12" s="1"/>
  <c r="B434" i="12"/>
  <c r="B30" i="12"/>
  <c r="B165" i="12" s="1"/>
  <c r="B31" i="12"/>
  <c r="B166" i="12"/>
  <c r="B301" i="12" s="1"/>
  <c r="B436" i="12" s="1"/>
  <c r="B571" i="12" s="1"/>
  <c r="B706" i="12"/>
  <c r="B841" i="12" s="1"/>
  <c r="B976" i="12"/>
  <c r="B1111" i="12" s="1"/>
  <c r="B1246" i="12" s="1"/>
  <c r="B1381" i="12" s="1"/>
  <c r="B1516" i="12" s="1"/>
  <c r="B32" i="12"/>
  <c r="B167" i="12"/>
  <c r="B302" i="12"/>
  <c r="B437" i="12" s="1"/>
  <c r="B33" i="12"/>
  <c r="B168" i="12"/>
  <c r="B303" i="12" s="1"/>
  <c r="B438" i="12" s="1"/>
  <c r="B573" i="12" s="1"/>
  <c r="B708" i="12" s="1"/>
  <c r="B843" i="12" s="1"/>
  <c r="B34" i="12"/>
  <c r="B169" i="12"/>
  <c r="B35" i="12"/>
  <c r="B36" i="12"/>
  <c r="B37" i="12"/>
  <c r="B38" i="12"/>
  <c r="B39" i="12"/>
  <c r="B174" i="12"/>
  <c r="B309" i="12" s="1"/>
  <c r="B444" i="12" s="1"/>
  <c r="B40" i="12"/>
  <c r="B175" i="12" s="1"/>
  <c r="B310" i="12" s="1"/>
  <c r="B445" i="12" s="1"/>
  <c r="B580" i="12"/>
  <c r="B41" i="12"/>
  <c r="B42" i="12"/>
  <c r="B43" i="12"/>
  <c r="B178" i="12" s="1"/>
  <c r="B313" i="12" s="1"/>
  <c r="B448" i="12"/>
  <c r="B44" i="12"/>
  <c r="B179" i="12" s="1"/>
  <c r="B314" i="12"/>
  <c r="B449" i="12" s="1"/>
  <c r="B45" i="12"/>
  <c r="B180" i="12" s="1"/>
  <c r="B315" i="12"/>
  <c r="B450" i="12" s="1"/>
  <c r="B46" i="12"/>
  <c r="B181" i="12" s="1"/>
  <c r="B47" i="12"/>
  <c r="B182" i="12" s="1"/>
  <c r="B48" i="12"/>
  <c r="B183" i="12"/>
  <c r="B318" i="12"/>
  <c r="B453" i="12"/>
  <c r="B49" i="12"/>
  <c r="B184" i="12" s="1"/>
  <c r="B319" i="12" s="1"/>
  <c r="B50" i="12"/>
  <c r="B185" i="12" s="1"/>
  <c r="B320" i="12" s="1"/>
  <c r="B455" i="12"/>
  <c r="B590" i="12"/>
  <c r="B51" i="12"/>
  <c r="B186" i="12"/>
  <c r="B52" i="12"/>
  <c r="B187" i="12" s="1"/>
  <c r="B53" i="12"/>
  <c r="B54" i="12"/>
  <c r="B189" i="12"/>
  <c r="B324" i="12"/>
  <c r="B55" i="12"/>
  <c r="B190" i="12"/>
  <c r="B325" i="12" s="1"/>
  <c r="B56" i="12"/>
  <c r="B57" i="12"/>
  <c r="B58" i="12"/>
  <c r="B59" i="12"/>
  <c r="B194" i="12" s="1"/>
  <c r="B329" i="12"/>
  <c r="B464" i="12"/>
  <c r="B599" i="12" s="1"/>
  <c r="B60" i="12"/>
  <c r="B195" i="12" s="1"/>
  <c r="B61" i="12"/>
  <c r="B196" i="12" s="1"/>
  <c r="B62" i="12"/>
  <c r="B197" i="12"/>
  <c r="B63" i="12"/>
  <c r="B198" i="12" s="1"/>
  <c r="B333" i="12" s="1"/>
  <c r="B64" i="12"/>
  <c r="B199" i="12"/>
  <c r="B65" i="12"/>
  <c r="B66" i="12"/>
  <c r="B201" i="12"/>
  <c r="B336" i="12" s="1"/>
  <c r="B471" i="12" s="1"/>
  <c r="B606" i="12" s="1"/>
  <c r="B67" i="12"/>
  <c r="B68" i="12"/>
  <c r="B69" i="12"/>
  <c r="B204" i="12"/>
  <c r="B70" i="12"/>
  <c r="B71" i="12"/>
  <c r="B72" i="12"/>
  <c r="B207" i="12"/>
  <c r="B73" i="12"/>
  <c r="B208" i="12" s="1"/>
  <c r="B343" i="12"/>
  <c r="B478" i="12"/>
  <c r="B74" i="12"/>
  <c r="B209" i="12" s="1"/>
  <c r="B344" i="12" s="1"/>
  <c r="B479" i="12" s="1"/>
  <c r="B75" i="12"/>
  <c r="B210" i="12" s="1"/>
  <c r="B76" i="12"/>
  <c r="B211" i="12" s="1"/>
  <c r="B346" i="12" s="1"/>
  <c r="B481" i="12" s="1"/>
  <c r="B77" i="12"/>
  <c r="B212" i="12"/>
  <c r="B347" i="12"/>
  <c r="B78" i="12"/>
  <c r="B213" i="12" s="1"/>
  <c r="B348" i="12" s="1"/>
  <c r="B483" i="12" s="1"/>
  <c r="B618" i="12" s="1"/>
  <c r="B79" i="12"/>
  <c r="B214" i="12"/>
  <c r="B80" i="12"/>
  <c r="B215" i="12" s="1"/>
  <c r="B350" i="12"/>
  <c r="B485" i="12" s="1"/>
  <c r="AM37" i="8"/>
  <c r="AQ37" i="8"/>
  <c r="AM38" i="8"/>
  <c r="AQ38" i="8"/>
  <c r="AM39" i="8"/>
  <c r="AQ39" i="8"/>
  <c r="AM40" i="8"/>
  <c r="AQ40" i="8"/>
  <c r="AF37" i="8"/>
  <c r="AD37" i="8" s="1"/>
  <c r="AJ37" i="8" s="1"/>
  <c r="AF38" i="8"/>
  <c r="AD38" i="8" s="1"/>
  <c r="AJ38" i="8" s="1"/>
  <c r="AK38" i="8" s="1"/>
  <c r="AF39" i="8"/>
  <c r="AD39" i="8" s="1"/>
  <c r="AJ39" i="8" s="1"/>
  <c r="AL39" i="8" s="1"/>
  <c r="AN39" i="8" s="1"/>
  <c r="AF40" i="8"/>
  <c r="AD40" i="8"/>
  <c r="AJ40" i="8" s="1"/>
  <c r="AK40" i="8" s="1"/>
  <c r="X37" i="8"/>
  <c r="X38" i="8"/>
  <c r="X39" i="8"/>
  <c r="X40" i="8"/>
  <c r="J37" i="8"/>
  <c r="J38" i="8"/>
  <c r="J39" i="8"/>
  <c r="J40" i="8"/>
  <c r="O38" i="8"/>
  <c r="O40" i="8"/>
  <c r="O37" i="8"/>
  <c r="O39" i="8"/>
  <c r="C2" i="14"/>
  <c r="O95" i="32"/>
  <c r="P95" i="32"/>
  <c r="J34" i="8"/>
  <c r="X34" i="8"/>
  <c r="AF34" i="8"/>
  <c r="AD34" i="8" s="1"/>
  <c r="AJ34" i="8"/>
  <c r="AK34" i="8" s="1"/>
  <c r="AM34" i="8"/>
  <c r="AQ34" i="8"/>
  <c r="AF3" i="8"/>
  <c r="AD3" i="8"/>
  <c r="AJ3" i="8" s="1"/>
  <c r="AK3" i="8" s="1"/>
  <c r="AF4" i="8"/>
  <c r="AD4" i="8" s="1"/>
  <c r="AJ4" i="8" s="1"/>
  <c r="AF5" i="8"/>
  <c r="AD5" i="8" s="1"/>
  <c r="AJ5" i="8"/>
  <c r="AK5" i="8" s="1"/>
  <c r="AF6" i="8"/>
  <c r="AD6" i="8" s="1"/>
  <c r="AJ6" i="8"/>
  <c r="AF7" i="8"/>
  <c r="AD7" i="8" s="1"/>
  <c r="AJ7" i="8" s="1"/>
  <c r="AL7" i="8" s="1"/>
  <c r="AF8" i="8"/>
  <c r="AD8" i="8" s="1"/>
  <c r="AJ8" i="8" s="1"/>
  <c r="AF33" i="8"/>
  <c r="AD33" i="8" s="1"/>
  <c r="AJ33" i="8" s="1"/>
  <c r="AF35" i="8"/>
  <c r="AD35" i="8"/>
  <c r="AJ35" i="8"/>
  <c r="AL35" i="8" s="1"/>
  <c r="AF36" i="8"/>
  <c r="AD36" i="8"/>
  <c r="AJ36" i="8" s="1"/>
  <c r="AK36" i="8" s="1"/>
  <c r="AF10" i="8"/>
  <c r="AD10" i="8" s="1"/>
  <c r="AJ10" i="8"/>
  <c r="AF12" i="8"/>
  <c r="AD12" i="8" s="1"/>
  <c r="AJ12" i="8" s="1"/>
  <c r="AF14" i="8"/>
  <c r="AD14" i="8" s="1"/>
  <c r="AJ14" i="8" s="1"/>
  <c r="AF15" i="8"/>
  <c r="AD15" i="8"/>
  <c r="AJ15" i="8"/>
  <c r="AF16" i="8"/>
  <c r="AD16" i="8" s="1"/>
  <c r="AJ16" i="8" s="1"/>
  <c r="AF21" i="8"/>
  <c r="AD21" i="8" s="1"/>
  <c r="AJ21" i="8" s="1"/>
  <c r="AF22" i="8"/>
  <c r="AD22" i="8"/>
  <c r="AJ22" i="8" s="1"/>
  <c r="AK22" i="8" s="1"/>
  <c r="AF23" i="8"/>
  <c r="AD23" i="8" s="1"/>
  <c r="AJ23" i="8" s="1"/>
  <c r="AF24" i="8"/>
  <c r="AD24" i="8"/>
  <c r="AJ24" i="8"/>
  <c r="AF25" i="8"/>
  <c r="AD25" i="8" s="1"/>
  <c r="AJ25" i="8" s="1"/>
  <c r="AK25" i="8" s="1"/>
  <c r="AF26" i="8"/>
  <c r="AD26" i="8" s="1"/>
  <c r="AJ26" i="8" s="1"/>
  <c r="AF27" i="8"/>
  <c r="AD27" i="8" s="1"/>
  <c r="AJ27" i="8" s="1"/>
  <c r="AL27" i="8" s="1"/>
  <c r="AF32" i="8"/>
  <c r="AD32" i="8" s="1"/>
  <c r="AJ32" i="8" s="1"/>
  <c r="AL32" i="8" s="1"/>
  <c r="O34" i="8"/>
  <c r="AM33" i="8"/>
  <c r="X33" i="8"/>
  <c r="J33" i="8"/>
  <c r="AQ35" i="8"/>
  <c r="AM35" i="8"/>
  <c r="X35" i="8"/>
  <c r="J35" i="8"/>
  <c r="O33" i="8"/>
  <c r="O35" i="8"/>
  <c r="AB191" i="28"/>
  <c r="S190" i="28"/>
  <c r="Y190" i="28"/>
  <c r="AB141" i="28"/>
  <c r="C58" i="40"/>
  <c r="D58" i="40"/>
  <c r="E58" i="40"/>
  <c r="F58" i="40"/>
  <c r="C59" i="40"/>
  <c r="D59" i="40"/>
  <c r="E59" i="40"/>
  <c r="F59" i="40"/>
  <c r="C56" i="40"/>
  <c r="D56" i="40"/>
  <c r="E56" i="40"/>
  <c r="F56" i="40"/>
  <c r="C57" i="40"/>
  <c r="D57" i="40"/>
  <c r="E57" i="40"/>
  <c r="F57" i="40"/>
  <c r="C54" i="40"/>
  <c r="D54" i="40"/>
  <c r="E54" i="40"/>
  <c r="F54" i="40"/>
  <c r="C55" i="40"/>
  <c r="D55" i="40"/>
  <c r="E55" i="40"/>
  <c r="F55" i="40"/>
  <c r="C53" i="40"/>
  <c r="D53" i="40"/>
  <c r="E53" i="40"/>
  <c r="F53" i="40"/>
  <c r="F52" i="40"/>
  <c r="D52" i="40"/>
  <c r="E52" i="40"/>
  <c r="F51" i="40"/>
  <c r="E51" i="40"/>
  <c r="D51" i="40"/>
  <c r="C52" i="40"/>
  <c r="C51" i="40"/>
  <c r="K47" i="40"/>
  <c r="J47" i="40"/>
  <c r="I47" i="40"/>
  <c r="H47" i="40"/>
  <c r="K46" i="40"/>
  <c r="J46" i="40"/>
  <c r="I46" i="40"/>
  <c r="H46" i="40"/>
  <c r="D46" i="40"/>
  <c r="N46" i="40" s="1"/>
  <c r="C47" i="40"/>
  <c r="D47" i="40"/>
  <c r="N47" i="40" s="1"/>
  <c r="E47" i="40"/>
  <c r="F47" i="40"/>
  <c r="F46" i="40"/>
  <c r="P46" i="40" s="1"/>
  <c r="E46" i="40"/>
  <c r="O46" i="40" s="1"/>
  <c r="C46" i="40"/>
  <c r="F19" i="40"/>
  <c r="D14" i="40"/>
  <c r="E14" i="40"/>
  <c r="F14" i="40"/>
  <c r="D15" i="40"/>
  <c r="E15" i="40"/>
  <c r="F15" i="40"/>
  <c r="D16" i="40"/>
  <c r="E16" i="40"/>
  <c r="F16" i="40"/>
  <c r="D17" i="40"/>
  <c r="E17" i="40"/>
  <c r="F17" i="40"/>
  <c r="D18" i="40"/>
  <c r="E18" i="40"/>
  <c r="F18" i="40"/>
  <c r="D19" i="40"/>
  <c r="E19" i="40"/>
  <c r="F13" i="40"/>
  <c r="E13" i="40"/>
  <c r="D13" i="40"/>
  <c r="C13" i="40"/>
  <c r="C14" i="40"/>
  <c r="C15" i="40"/>
  <c r="C16" i="40"/>
  <c r="C17" i="40"/>
  <c r="C18" i="40"/>
  <c r="C19" i="40"/>
  <c r="G16" i="34"/>
  <c r="H3" i="14"/>
  <c r="H4" i="14"/>
  <c r="H5" i="14"/>
  <c r="H6" i="14"/>
  <c r="H7" i="14"/>
  <c r="H8" i="14"/>
  <c r="H9" i="14"/>
  <c r="H10" i="14"/>
  <c r="H11" i="14"/>
  <c r="H12" i="14"/>
  <c r="H13" i="14"/>
  <c r="H14" i="14"/>
  <c r="H15" i="14"/>
  <c r="H16" i="14"/>
  <c r="H17" i="14"/>
  <c r="H18" i="14"/>
  <c r="H19" i="14"/>
  <c r="H20" i="14"/>
  <c r="H21" i="14"/>
  <c r="H22" i="14"/>
  <c r="H23" i="14"/>
  <c r="H24" i="14"/>
  <c r="H25" i="14"/>
  <c r="H26" i="14"/>
  <c r="H27" i="14"/>
  <c r="H28" i="14"/>
  <c r="H29" i="14"/>
  <c r="H30" i="14"/>
  <c r="H31" i="14"/>
  <c r="H32" i="14"/>
  <c r="H33" i="14"/>
  <c r="H34" i="14"/>
  <c r="H35" i="14"/>
  <c r="H36" i="14"/>
  <c r="H37" i="14"/>
  <c r="H38" i="14"/>
  <c r="H39" i="14"/>
  <c r="H40" i="14"/>
  <c r="H2" i="14"/>
  <c r="I3" i="14"/>
  <c r="I4" i="14"/>
  <c r="I5" i="14"/>
  <c r="I6" i="14"/>
  <c r="I7" i="14"/>
  <c r="I8" i="14"/>
  <c r="I9" i="14"/>
  <c r="I10" i="14"/>
  <c r="I11" i="14"/>
  <c r="I12" i="14"/>
  <c r="I13" i="14"/>
  <c r="I14" i="14"/>
  <c r="I15" i="14"/>
  <c r="I16" i="14"/>
  <c r="I17" i="14"/>
  <c r="I18" i="14"/>
  <c r="I19" i="14"/>
  <c r="I20" i="14"/>
  <c r="I21" i="14"/>
  <c r="I22" i="14"/>
  <c r="I23" i="14"/>
  <c r="I24" i="14"/>
  <c r="I25" i="14"/>
  <c r="I26" i="14"/>
  <c r="I27" i="14"/>
  <c r="I28" i="14"/>
  <c r="I29" i="14"/>
  <c r="I30" i="14"/>
  <c r="I31" i="14"/>
  <c r="I32" i="14"/>
  <c r="I33" i="14"/>
  <c r="I34" i="14"/>
  <c r="I35" i="14"/>
  <c r="I36" i="14"/>
  <c r="I37" i="14"/>
  <c r="I38" i="14"/>
  <c r="I39" i="14"/>
  <c r="I40" i="14"/>
  <c r="I2" i="14"/>
  <c r="G3" i="14"/>
  <c r="G4" i="14"/>
  <c r="G5" i="14"/>
  <c r="G6" i="14"/>
  <c r="G7" i="14"/>
  <c r="G8" i="14"/>
  <c r="G9" i="14"/>
  <c r="G10" i="14"/>
  <c r="G11" i="14"/>
  <c r="G12" i="14"/>
  <c r="G13" i="14"/>
  <c r="G14" i="14"/>
  <c r="G15" i="14"/>
  <c r="G16" i="14"/>
  <c r="G17" i="14"/>
  <c r="G18" i="14"/>
  <c r="G19" i="14"/>
  <c r="G20" i="14"/>
  <c r="G21" i="14"/>
  <c r="G22" i="14"/>
  <c r="G23" i="14"/>
  <c r="G24" i="14"/>
  <c r="G25" i="14"/>
  <c r="G26" i="14"/>
  <c r="G27" i="14"/>
  <c r="G28" i="14"/>
  <c r="G29" i="14"/>
  <c r="G30" i="14"/>
  <c r="G31" i="14"/>
  <c r="G32" i="14"/>
  <c r="G33" i="14"/>
  <c r="G34" i="14"/>
  <c r="G35" i="14"/>
  <c r="G36" i="14"/>
  <c r="G37" i="14"/>
  <c r="G38" i="14"/>
  <c r="G39" i="14"/>
  <c r="G40" i="14"/>
  <c r="G2" i="14"/>
  <c r="AO90" i="32"/>
  <c r="M83" i="32"/>
  <c r="S77" i="32"/>
  <c r="X19" i="33"/>
  <c r="T77" i="32"/>
  <c r="X20" i="33" s="1"/>
  <c r="R78" i="32"/>
  <c r="T78" i="32"/>
  <c r="Y20" i="33" s="1"/>
  <c r="Q79" i="32"/>
  <c r="Z17" i="33"/>
  <c r="T79" i="32"/>
  <c r="Q80" i="32"/>
  <c r="AA17" i="33" s="1"/>
  <c r="R80" i="32"/>
  <c r="AA18" i="33" s="1"/>
  <c r="S80" i="32"/>
  <c r="AA19" i="33"/>
  <c r="S81" i="32"/>
  <c r="AB19" i="33" s="1"/>
  <c r="T81" i="32"/>
  <c r="AB20" i="33" s="1"/>
  <c r="P51" i="32"/>
  <c r="O61" i="32"/>
  <c r="P61" i="32"/>
  <c r="Q61" i="32"/>
  <c r="R61" i="32"/>
  <c r="S61" i="32"/>
  <c r="T61" i="32"/>
  <c r="Q78" i="32"/>
  <c r="R79" i="32"/>
  <c r="Z18" i="33" s="1"/>
  <c r="S79" i="32"/>
  <c r="Z19" i="33"/>
  <c r="T80" i="32"/>
  <c r="AA20" i="33" s="1"/>
  <c r="R81" i="32"/>
  <c r="AB18" i="33" s="1"/>
  <c r="S51" i="32"/>
  <c r="Q51" i="32"/>
  <c r="R77" i="32"/>
  <c r="Q77" i="32"/>
  <c r="Q81" i="32"/>
  <c r="AB17" i="33" s="1"/>
  <c r="S78" i="32"/>
  <c r="Y19" i="33" s="1"/>
  <c r="O51" i="32"/>
  <c r="T51" i="32"/>
  <c r="R51" i="32"/>
  <c r="T42" i="32"/>
  <c r="T76" i="32"/>
  <c r="R42" i="32"/>
  <c r="R76" i="32"/>
  <c r="W18" i="33" s="1"/>
  <c r="P42" i="32"/>
  <c r="P82" i="32"/>
  <c r="S42" i="32"/>
  <c r="S76" i="32"/>
  <c r="Q42" i="32"/>
  <c r="Q76" i="32"/>
  <c r="W17" i="33"/>
  <c r="O42" i="32"/>
  <c r="O82" i="32"/>
  <c r="T72" i="32"/>
  <c r="O72" i="32"/>
  <c r="P72" i="32"/>
  <c r="Q72" i="32"/>
  <c r="S72" i="32"/>
  <c r="R72" i="32"/>
  <c r="J36" i="8"/>
  <c r="AO88" i="32"/>
  <c r="AO89" i="32"/>
  <c r="AO91" i="32"/>
  <c r="AO93" i="32"/>
  <c r="AO86" i="32"/>
  <c r="AN63" i="17"/>
  <c r="AM63" i="17"/>
  <c r="AL63" i="17"/>
  <c r="AK63" i="17"/>
  <c r="AJ63" i="17"/>
  <c r="AI63" i="17"/>
  <c r="AH63" i="17"/>
  <c r="AG63" i="17"/>
  <c r="AF63" i="17"/>
  <c r="AE63" i="17"/>
  <c r="AD63" i="17"/>
  <c r="AC63" i="17"/>
  <c r="AB63" i="17"/>
  <c r="AA63" i="17"/>
  <c r="Z63" i="17"/>
  <c r="Y63" i="17"/>
  <c r="X63" i="17"/>
  <c r="W63" i="17"/>
  <c r="V63" i="17"/>
  <c r="U63" i="17"/>
  <c r="T63" i="17"/>
  <c r="S63" i="17"/>
  <c r="R63" i="17"/>
  <c r="Q63" i="17"/>
  <c r="P63" i="17"/>
  <c r="O63" i="17"/>
  <c r="N63" i="17"/>
  <c r="M63" i="17"/>
  <c r="L63" i="17"/>
  <c r="K63" i="17"/>
  <c r="J63" i="17"/>
  <c r="I63" i="17"/>
  <c r="H63" i="17"/>
  <c r="G63" i="17"/>
  <c r="F63" i="17"/>
  <c r="E63" i="17"/>
  <c r="D63" i="17"/>
  <c r="C63" i="17"/>
  <c r="B63" i="17"/>
  <c r="C69" i="17"/>
  <c r="D69" i="17"/>
  <c r="E69" i="17"/>
  <c r="F69" i="17"/>
  <c r="G69" i="17"/>
  <c r="H69" i="17"/>
  <c r="I69" i="17"/>
  <c r="J69" i="17"/>
  <c r="K69" i="17"/>
  <c r="L69" i="17"/>
  <c r="M69" i="17"/>
  <c r="N69" i="17"/>
  <c r="O69" i="17"/>
  <c r="P69" i="17"/>
  <c r="Q69" i="17"/>
  <c r="R69" i="17"/>
  <c r="S69" i="17"/>
  <c r="T69" i="17"/>
  <c r="U69" i="17"/>
  <c r="V69" i="17"/>
  <c r="W69" i="17"/>
  <c r="X69" i="17"/>
  <c r="Y69" i="17"/>
  <c r="Z69" i="17"/>
  <c r="AA69" i="17"/>
  <c r="AB69" i="17"/>
  <c r="AC69" i="17"/>
  <c r="AD69" i="17"/>
  <c r="AE69" i="17"/>
  <c r="AF69" i="17"/>
  <c r="AG69" i="17"/>
  <c r="AH69" i="17"/>
  <c r="AI69" i="17"/>
  <c r="AJ69" i="17"/>
  <c r="AK69" i="17"/>
  <c r="AL69" i="17"/>
  <c r="AM69" i="17"/>
  <c r="AN69" i="17"/>
  <c r="C70" i="17"/>
  <c r="D70" i="17"/>
  <c r="E70" i="17"/>
  <c r="F70" i="17"/>
  <c r="G70" i="17"/>
  <c r="H70" i="17"/>
  <c r="I70" i="17"/>
  <c r="J70" i="17"/>
  <c r="K70" i="17"/>
  <c r="L70" i="17"/>
  <c r="M70" i="17"/>
  <c r="N70" i="17"/>
  <c r="O70" i="17"/>
  <c r="P70" i="17"/>
  <c r="Q70" i="17"/>
  <c r="R70" i="17"/>
  <c r="S70" i="17"/>
  <c r="T70" i="17"/>
  <c r="U70" i="17"/>
  <c r="V70" i="17"/>
  <c r="W70" i="17"/>
  <c r="X70" i="17"/>
  <c r="Y70" i="17"/>
  <c r="Z70" i="17"/>
  <c r="AA70" i="17"/>
  <c r="AB70" i="17"/>
  <c r="AC70" i="17"/>
  <c r="AD70" i="17"/>
  <c r="AE70" i="17"/>
  <c r="AF70" i="17"/>
  <c r="AG70" i="17"/>
  <c r="AH70" i="17"/>
  <c r="AI70" i="17"/>
  <c r="AJ70" i="17"/>
  <c r="AK70" i="17"/>
  <c r="AL70" i="17"/>
  <c r="AM70" i="17"/>
  <c r="AN70" i="17"/>
  <c r="C71" i="17"/>
  <c r="D71" i="17"/>
  <c r="E71" i="17"/>
  <c r="F71" i="17"/>
  <c r="G71" i="17"/>
  <c r="H71" i="17"/>
  <c r="I71" i="17"/>
  <c r="J71" i="17"/>
  <c r="K71" i="17"/>
  <c r="L71" i="17"/>
  <c r="M71" i="17"/>
  <c r="N71" i="17"/>
  <c r="O71" i="17"/>
  <c r="P71" i="17"/>
  <c r="Q71" i="17"/>
  <c r="R71" i="17"/>
  <c r="S71" i="17"/>
  <c r="T71" i="17"/>
  <c r="U71" i="17"/>
  <c r="V71" i="17"/>
  <c r="W71" i="17"/>
  <c r="X71" i="17"/>
  <c r="Y71" i="17"/>
  <c r="Z71" i="17"/>
  <c r="AA71" i="17"/>
  <c r="AB71" i="17"/>
  <c r="AC71" i="17"/>
  <c r="AD71" i="17"/>
  <c r="AE71" i="17"/>
  <c r="AF71" i="17"/>
  <c r="AG71" i="17"/>
  <c r="AH71" i="17"/>
  <c r="AI71" i="17"/>
  <c r="AJ71" i="17"/>
  <c r="AK71" i="17"/>
  <c r="AL71" i="17"/>
  <c r="AM71" i="17"/>
  <c r="AN71" i="17"/>
  <c r="C72" i="17"/>
  <c r="D72" i="17"/>
  <c r="E72" i="17"/>
  <c r="F72" i="17"/>
  <c r="G72" i="17"/>
  <c r="H72" i="17"/>
  <c r="I72" i="17"/>
  <c r="J72" i="17"/>
  <c r="K72" i="17"/>
  <c r="L72" i="17"/>
  <c r="M72" i="17"/>
  <c r="N72" i="17"/>
  <c r="O72" i="17"/>
  <c r="P72" i="17"/>
  <c r="Q72" i="17"/>
  <c r="R72" i="17"/>
  <c r="S72" i="17"/>
  <c r="T72" i="17"/>
  <c r="U72" i="17"/>
  <c r="V72" i="17"/>
  <c r="W72" i="17"/>
  <c r="X72" i="17"/>
  <c r="Y72" i="17"/>
  <c r="Z72" i="17"/>
  <c r="AA72" i="17"/>
  <c r="AB72" i="17"/>
  <c r="AC72" i="17"/>
  <c r="AD72" i="17"/>
  <c r="AE72" i="17"/>
  <c r="AF72" i="17"/>
  <c r="AG72" i="17"/>
  <c r="AH72" i="17"/>
  <c r="AI72" i="17"/>
  <c r="AJ72" i="17"/>
  <c r="AK72" i="17"/>
  <c r="AL72" i="17"/>
  <c r="AM72" i="17"/>
  <c r="AN72" i="17"/>
  <c r="C73" i="17"/>
  <c r="D73" i="17"/>
  <c r="E73" i="17"/>
  <c r="F73" i="17"/>
  <c r="G73" i="17"/>
  <c r="H73" i="17"/>
  <c r="I73" i="17"/>
  <c r="J73" i="17"/>
  <c r="K73" i="17"/>
  <c r="L73" i="17"/>
  <c r="M73" i="17"/>
  <c r="N73" i="17"/>
  <c r="O73" i="17"/>
  <c r="P73" i="17"/>
  <c r="Q73" i="17"/>
  <c r="R73" i="17"/>
  <c r="S73" i="17"/>
  <c r="T73" i="17"/>
  <c r="U73" i="17"/>
  <c r="V73" i="17"/>
  <c r="W73" i="17"/>
  <c r="X73" i="17"/>
  <c r="Y73" i="17"/>
  <c r="Z73" i="17"/>
  <c r="AA73" i="17"/>
  <c r="AB73" i="17"/>
  <c r="AC73" i="17"/>
  <c r="AD73" i="17"/>
  <c r="AE73" i="17"/>
  <c r="AF73" i="17"/>
  <c r="AG73" i="17"/>
  <c r="AH73" i="17"/>
  <c r="AI73" i="17"/>
  <c r="AJ73" i="17"/>
  <c r="AK73" i="17"/>
  <c r="AL73" i="17"/>
  <c r="AM73" i="17"/>
  <c r="AN73" i="17"/>
  <c r="C74" i="17"/>
  <c r="D74" i="17"/>
  <c r="E74" i="17"/>
  <c r="F74" i="17"/>
  <c r="G74" i="17"/>
  <c r="H74" i="17"/>
  <c r="I74" i="17"/>
  <c r="J74" i="17"/>
  <c r="K74" i="17"/>
  <c r="L74" i="17"/>
  <c r="M74" i="17"/>
  <c r="N74" i="17"/>
  <c r="O74" i="17"/>
  <c r="P74" i="17"/>
  <c r="Q74" i="17"/>
  <c r="R74" i="17"/>
  <c r="S74" i="17"/>
  <c r="T74" i="17"/>
  <c r="U74" i="17"/>
  <c r="V74" i="17"/>
  <c r="W74" i="17"/>
  <c r="X74" i="17"/>
  <c r="Y74" i="17"/>
  <c r="Z74" i="17"/>
  <c r="AA74" i="17"/>
  <c r="AB74" i="17"/>
  <c r="AC74" i="17"/>
  <c r="AD74" i="17"/>
  <c r="AE74" i="17"/>
  <c r="AF74" i="17"/>
  <c r="AG74" i="17"/>
  <c r="AH74" i="17"/>
  <c r="AI74" i="17"/>
  <c r="AJ74" i="17"/>
  <c r="AK74" i="17"/>
  <c r="AL74" i="17"/>
  <c r="AM74" i="17"/>
  <c r="AN74" i="17"/>
  <c r="C75" i="17"/>
  <c r="D75" i="17"/>
  <c r="E75" i="17"/>
  <c r="F75" i="17"/>
  <c r="G75" i="17"/>
  <c r="H75" i="17"/>
  <c r="I75" i="17"/>
  <c r="J75" i="17"/>
  <c r="K75" i="17"/>
  <c r="L75" i="17"/>
  <c r="M75" i="17"/>
  <c r="N75" i="17"/>
  <c r="O75" i="17"/>
  <c r="P75" i="17"/>
  <c r="Q75" i="17"/>
  <c r="R75" i="17"/>
  <c r="S75" i="17"/>
  <c r="T75" i="17"/>
  <c r="U75" i="17"/>
  <c r="V75" i="17"/>
  <c r="W75" i="17"/>
  <c r="X75" i="17"/>
  <c r="Y75" i="17"/>
  <c r="Z75" i="17"/>
  <c r="AA75" i="17"/>
  <c r="AB75" i="17"/>
  <c r="AC75" i="17"/>
  <c r="AD75" i="17"/>
  <c r="AE75" i="17"/>
  <c r="AF75" i="17"/>
  <c r="AG75" i="17"/>
  <c r="AH75" i="17"/>
  <c r="AI75" i="17"/>
  <c r="AJ75" i="17"/>
  <c r="AK75" i="17"/>
  <c r="AL75" i="17"/>
  <c r="AM75" i="17"/>
  <c r="AN75" i="17"/>
  <c r="B70" i="17"/>
  <c r="B71" i="17"/>
  <c r="B72" i="17"/>
  <c r="B73" i="17"/>
  <c r="B74" i="17"/>
  <c r="B75" i="17"/>
  <c r="B69" i="17"/>
  <c r="AN43" i="17"/>
  <c r="AM43" i="17"/>
  <c r="AL43" i="17"/>
  <c r="AK43" i="17"/>
  <c r="AJ43" i="17"/>
  <c r="AI43" i="17"/>
  <c r="AH43" i="17"/>
  <c r="AG43" i="17"/>
  <c r="AF43" i="17"/>
  <c r="AE43" i="17"/>
  <c r="AD43" i="17"/>
  <c r="AC43" i="17"/>
  <c r="AB43" i="17"/>
  <c r="AA43" i="17"/>
  <c r="Z43" i="17"/>
  <c r="Y43" i="17"/>
  <c r="X43" i="17"/>
  <c r="W43" i="17"/>
  <c r="V43" i="17"/>
  <c r="U43" i="17"/>
  <c r="T43" i="17"/>
  <c r="S43" i="17"/>
  <c r="R43" i="17"/>
  <c r="Q43" i="17"/>
  <c r="P43" i="17"/>
  <c r="O43" i="17"/>
  <c r="N43" i="17"/>
  <c r="M43" i="17"/>
  <c r="L43" i="17"/>
  <c r="K43" i="17"/>
  <c r="J43" i="17"/>
  <c r="I43" i="17"/>
  <c r="H43" i="17"/>
  <c r="G43" i="17"/>
  <c r="F43" i="17"/>
  <c r="E43" i="17"/>
  <c r="D43" i="17"/>
  <c r="C43" i="17"/>
  <c r="B43" i="17"/>
  <c r="AU32" i="8"/>
  <c r="I30" i="5"/>
  <c r="J30" i="5"/>
  <c r="L30" i="5"/>
  <c r="I31" i="5"/>
  <c r="J31" i="5"/>
  <c r="L31" i="5"/>
  <c r="I32" i="5"/>
  <c r="J32" i="5"/>
  <c r="L32" i="5"/>
  <c r="I33" i="5"/>
  <c r="J33" i="5"/>
  <c r="L33" i="5"/>
  <c r="D215" i="28"/>
  <c r="B215" i="28"/>
  <c r="U215" i="28"/>
  <c r="Y215" i="28"/>
  <c r="D216" i="28"/>
  <c r="B216" i="28" s="1"/>
  <c r="U216" i="28"/>
  <c r="D217" i="28"/>
  <c r="B217" i="28"/>
  <c r="U217" i="28"/>
  <c r="D19" i="28"/>
  <c r="B19" i="28"/>
  <c r="S19" i="28"/>
  <c r="Y19" i="28" s="1"/>
  <c r="U19" i="28"/>
  <c r="D20" i="28"/>
  <c r="B20" i="28"/>
  <c r="S20" i="28"/>
  <c r="T20" i="28" s="1"/>
  <c r="U20" i="28"/>
  <c r="D18" i="28"/>
  <c r="B18" i="28" s="1"/>
  <c r="S18" i="28"/>
  <c r="Y18" i="28"/>
  <c r="U18" i="28"/>
  <c r="D17" i="28"/>
  <c r="B17" i="28"/>
  <c r="S17" i="28"/>
  <c r="Y17" i="28"/>
  <c r="U17" i="28"/>
  <c r="X32" i="8"/>
  <c r="AQ32" i="8"/>
  <c r="AM32" i="8"/>
  <c r="O32" i="8"/>
  <c r="J32" i="8"/>
  <c r="D7" i="34"/>
  <c r="D18" i="34"/>
  <c r="E7" i="34"/>
  <c r="E18" i="34" s="1"/>
  <c r="F7" i="34"/>
  <c r="F18" i="34"/>
  <c r="G7" i="34"/>
  <c r="G18" i="34" s="1"/>
  <c r="H7" i="34"/>
  <c r="H18" i="34" s="1"/>
  <c r="I7" i="34"/>
  <c r="I18" i="34" s="1"/>
  <c r="J7" i="34"/>
  <c r="J18" i="34"/>
  <c r="K7" i="34"/>
  <c r="K18" i="34" s="1"/>
  <c r="L7" i="34"/>
  <c r="L18" i="34" s="1"/>
  <c r="M7" i="34"/>
  <c r="M18" i="34" s="1"/>
  <c r="N7" i="34"/>
  <c r="N18" i="34"/>
  <c r="O7" i="34"/>
  <c r="O18" i="34" s="1"/>
  <c r="P7" i="34"/>
  <c r="P18" i="34" s="1"/>
  <c r="Q7" i="34"/>
  <c r="Q18" i="34" s="1"/>
  <c r="R7" i="34"/>
  <c r="R18" i="34"/>
  <c r="S7" i="34"/>
  <c r="S18" i="34" s="1"/>
  <c r="T7" i="34"/>
  <c r="T18" i="34" s="1"/>
  <c r="U7" i="34"/>
  <c r="U18" i="34" s="1"/>
  <c r="V7" i="34"/>
  <c r="V18" i="34"/>
  <c r="W7" i="34"/>
  <c r="W18" i="34"/>
  <c r="X7" i="34"/>
  <c r="X18" i="34" s="1"/>
  <c r="Y7" i="34"/>
  <c r="Y18" i="34" s="1"/>
  <c r="Z7" i="34"/>
  <c r="Z18" i="34"/>
  <c r="AA7" i="34"/>
  <c r="AA18" i="34" s="1"/>
  <c r="AB7" i="34"/>
  <c r="AB18" i="34" s="1"/>
  <c r="AC7" i="34"/>
  <c r="AC18" i="34" s="1"/>
  <c r="AD7" i="34"/>
  <c r="AD18" i="34"/>
  <c r="AE7" i="34"/>
  <c r="AE18" i="34" s="1"/>
  <c r="AF7" i="34"/>
  <c r="AG7" i="34"/>
  <c r="AG18" i="34"/>
  <c r="AH7" i="34"/>
  <c r="AH18" i="34" s="1"/>
  <c r="AI7" i="34"/>
  <c r="AI18" i="34"/>
  <c r="AJ7" i="34"/>
  <c r="AJ18" i="34" s="1"/>
  <c r="AK7" i="34"/>
  <c r="AK18" i="34"/>
  <c r="AL7" i="34"/>
  <c r="AL18" i="34" s="1"/>
  <c r="AM7" i="34"/>
  <c r="AM18" i="34"/>
  <c r="AN7" i="34"/>
  <c r="AN18" i="34" s="1"/>
  <c r="AO7" i="34"/>
  <c r="AO18" i="34"/>
  <c r="C7" i="34"/>
  <c r="C18" i="34" s="1"/>
  <c r="U172" i="28"/>
  <c r="D172" i="28"/>
  <c r="U171" i="28"/>
  <c r="D171" i="28"/>
  <c r="B171" i="28" s="1"/>
  <c r="U240" i="28"/>
  <c r="D240" i="28"/>
  <c r="B240" i="28" s="1"/>
  <c r="U239" i="28"/>
  <c r="D239" i="28"/>
  <c r="B239" i="28" s="1"/>
  <c r="U252" i="28"/>
  <c r="D252" i="28"/>
  <c r="B252" i="28"/>
  <c r="U255" i="28"/>
  <c r="D255" i="28"/>
  <c r="B255" i="28"/>
  <c r="U246" i="28"/>
  <c r="D246" i="28"/>
  <c r="B246" i="28"/>
  <c r="U249" i="28"/>
  <c r="D249" i="28"/>
  <c r="B249" i="28" s="1"/>
  <c r="U243" i="28"/>
  <c r="D243" i="28"/>
  <c r="B243" i="28"/>
  <c r="U251" i="28"/>
  <c r="D251" i="28"/>
  <c r="B251" i="28" s="1"/>
  <c r="U254" i="28"/>
  <c r="D254" i="28"/>
  <c r="B254" i="28" s="1"/>
  <c r="U245" i="28"/>
  <c r="D245" i="28"/>
  <c r="B245" i="28" s="1"/>
  <c r="U248" i="28"/>
  <c r="D248" i="28"/>
  <c r="B248" i="28"/>
  <c r="U242" i="28"/>
  <c r="D242" i="28"/>
  <c r="B242" i="28"/>
  <c r="U250" i="28"/>
  <c r="D250" i="28"/>
  <c r="B250" i="28"/>
  <c r="U253" i="28"/>
  <c r="D253" i="28"/>
  <c r="B253" i="28" s="1"/>
  <c r="U244" i="28"/>
  <c r="D244" i="28"/>
  <c r="B244" i="28"/>
  <c r="U247" i="28"/>
  <c r="D247" i="28"/>
  <c r="B247" i="28" s="1"/>
  <c r="U241" i="28"/>
  <c r="D241" i="28"/>
  <c r="B241" i="28" s="1"/>
  <c r="U238" i="28"/>
  <c r="D238" i="28"/>
  <c r="B238" i="28"/>
  <c r="U235" i="28"/>
  <c r="D235" i="28"/>
  <c r="B235" i="28"/>
  <c r="U232" i="28"/>
  <c r="D232" i="28"/>
  <c r="B232" i="28"/>
  <c r="U237" i="28"/>
  <c r="D237" i="28"/>
  <c r="B237" i="28"/>
  <c r="U234" i="28"/>
  <c r="D234" i="28"/>
  <c r="B234" i="28" s="1"/>
  <c r="U231" i="28"/>
  <c r="D231" i="28"/>
  <c r="B231" i="28"/>
  <c r="U236" i="28"/>
  <c r="D236" i="28"/>
  <c r="B236" i="28" s="1"/>
  <c r="U233" i="28"/>
  <c r="D233" i="28"/>
  <c r="B233" i="28" s="1"/>
  <c r="U230" i="28"/>
  <c r="D230" i="28"/>
  <c r="B230" i="28" s="1"/>
  <c r="U229" i="28"/>
  <c r="D229" i="28"/>
  <c r="B229" i="28"/>
  <c r="U225" i="28"/>
  <c r="D225" i="28"/>
  <c r="B225" i="28"/>
  <c r="U221" i="28"/>
  <c r="D221" i="28"/>
  <c r="B221" i="28" s="1"/>
  <c r="U228" i="28"/>
  <c r="D228" i="28"/>
  <c r="B228" i="28" s="1"/>
  <c r="U224" i="28"/>
  <c r="D224" i="28"/>
  <c r="B224" i="28"/>
  <c r="U220" i="28"/>
  <c r="D220" i="28"/>
  <c r="B220" i="28" s="1"/>
  <c r="U227" i="28"/>
  <c r="D227" i="28"/>
  <c r="B227" i="28" s="1"/>
  <c r="U223" i="28"/>
  <c r="D223" i="28"/>
  <c r="B223" i="28"/>
  <c r="U219" i="28"/>
  <c r="D219" i="28"/>
  <c r="B219" i="28"/>
  <c r="U226" i="28"/>
  <c r="D226" i="28"/>
  <c r="B226" i="28"/>
  <c r="U222" i="28"/>
  <c r="D222" i="28"/>
  <c r="B222" i="28" s="1"/>
  <c r="U218" i="28"/>
  <c r="D218" i="28"/>
  <c r="B218" i="28" s="1"/>
  <c r="U214" i="28"/>
  <c r="D214" i="28"/>
  <c r="B214" i="28"/>
  <c r="U211" i="28"/>
  <c r="D211" i="28"/>
  <c r="B211" i="28" s="1"/>
  <c r="U208" i="28"/>
  <c r="D208" i="28"/>
  <c r="B208" i="28" s="1"/>
  <c r="U213" i="28"/>
  <c r="D213" i="28"/>
  <c r="B213" i="28"/>
  <c r="U210" i="28"/>
  <c r="D210" i="28"/>
  <c r="B210" i="28"/>
  <c r="U207" i="28"/>
  <c r="D207" i="28"/>
  <c r="B207" i="28"/>
  <c r="U212" i="28"/>
  <c r="D212" i="28"/>
  <c r="B212" i="28"/>
  <c r="U209" i="28"/>
  <c r="D209" i="28"/>
  <c r="B209" i="28" s="1"/>
  <c r="U206" i="28"/>
  <c r="D206" i="28"/>
  <c r="B206" i="28"/>
  <c r="U202" i="28"/>
  <c r="D202" i="28"/>
  <c r="B202" i="28" s="1"/>
  <c r="U205" i="28"/>
  <c r="D205" i="28"/>
  <c r="B205" i="28" s="1"/>
  <c r="U196" i="28"/>
  <c r="D196" i="28"/>
  <c r="B196" i="28"/>
  <c r="U199" i="28"/>
  <c r="D199" i="28"/>
  <c r="B199" i="28"/>
  <c r="U193" i="28"/>
  <c r="D193" i="28"/>
  <c r="B193" i="28"/>
  <c r="U201" i="28"/>
  <c r="D201" i="28"/>
  <c r="B201" i="28" s="1"/>
  <c r="U204" i="28"/>
  <c r="D204" i="28"/>
  <c r="B204" i="28" s="1"/>
  <c r="U195" i="28"/>
  <c r="D195" i="28"/>
  <c r="B195" i="28"/>
  <c r="U198" i="28"/>
  <c r="D198" i="28"/>
  <c r="B198" i="28" s="1"/>
  <c r="U192" i="28"/>
  <c r="D192" i="28"/>
  <c r="B192" i="28" s="1"/>
  <c r="U200" i="28"/>
  <c r="D200" i="28"/>
  <c r="B200" i="28"/>
  <c r="U203" i="28"/>
  <c r="D203" i="28"/>
  <c r="B203" i="28"/>
  <c r="U194" i="28"/>
  <c r="D194" i="28"/>
  <c r="B194" i="28"/>
  <c r="U197" i="28"/>
  <c r="D197" i="28"/>
  <c r="B197" i="28" s="1"/>
  <c r="U191" i="28"/>
  <c r="D191" i="28"/>
  <c r="B191" i="28" s="1"/>
  <c r="U190" i="28"/>
  <c r="D190" i="28"/>
  <c r="B190" i="28"/>
  <c r="U184" i="28"/>
  <c r="D184" i="28"/>
  <c r="B184" i="28" s="1"/>
  <c r="U178" i="28"/>
  <c r="D178" i="28"/>
  <c r="B178" i="28" s="1"/>
  <c r="U189" i="28"/>
  <c r="D189" i="28"/>
  <c r="B189" i="28" s="1"/>
  <c r="U183" i="28"/>
  <c r="D183" i="28"/>
  <c r="B183" i="28"/>
  <c r="U177" i="28"/>
  <c r="D177" i="28"/>
  <c r="B177" i="28"/>
  <c r="U188" i="28"/>
  <c r="D188" i="28"/>
  <c r="B188" i="28"/>
  <c r="U182" i="28"/>
  <c r="D182" i="28"/>
  <c r="B182" i="28" s="1"/>
  <c r="U176" i="28"/>
  <c r="D176" i="28"/>
  <c r="B176" i="28"/>
  <c r="U187" i="28"/>
  <c r="D187" i="28"/>
  <c r="B187" i="28" s="1"/>
  <c r="U181" i="28"/>
  <c r="D181" i="28"/>
  <c r="B181" i="28" s="1"/>
  <c r="U175" i="28"/>
  <c r="D175" i="28"/>
  <c r="B175" i="28" s="1"/>
  <c r="U186" i="28"/>
  <c r="D186" i="28"/>
  <c r="B186" i="28"/>
  <c r="U180" i="28"/>
  <c r="D180" i="28"/>
  <c r="B180" i="28"/>
  <c r="U174" i="28"/>
  <c r="D174" i="28"/>
  <c r="B174" i="28"/>
  <c r="U185" i="28"/>
  <c r="D185" i="28"/>
  <c r="B185" i="28" s="1"/>
  <c r="U179" i="28"/>
  <c r="D179" i="28"/>
  <c r="B179" i="28"/>
  <c r="U173" i="28"/>
  <c r="D173" i="28"/>
  <c r="B173" i="28" s="1"/>
  <c r="U166" i="28"/>
  <c r="D166" i="28"/>
  <c r="B166" i="28" s="1"/>
  <c r="U170" i="28"/>
  <c r="D170" i="28"/>
  <c r="B170" i="28"/>
  <c r="U162" i="28"/>
  <c r="D162" i="28"/>
  <c r="B162" i="28"/>
  <c r="U158" i="28"/>
  <c r="D158" i="28"/>
  <c r="B158" i="28"/>
  <c r="U165" i="28"/>
  <c r="D165" i="28"/>
  <c r="B165" i="28" s="1"/>
  <c r="U169" i="28"/>
  <c r="D169" i="28"/>
  <c r="B169" i="28" s="1"/>
  <c r="U161" i="28"/>
  <c r="D161" i="28"/>
  <c r="B161" i="28"/>
  <c r="U157" i="28"/>
  <c r="D157" i="28"/>
  <c r="B157" i="28" s="1"/>
  <c r="U164" i="28"/>
  <c r="D164" i="28"/>
  <c r="B164" i="28" s="1"/>
  <c r="U168" i="28"/>
  <c r="D168" i="28"/>
  <c r="B168" i="28" s="1"/>
  <c r="U160" i="28"/>
  <c r="D160" i="28"/>
  <c r="B160" i="28"/>
  <c r="U156" i="28"/>
  <c r="D156" i="28"/>
  <c r="B156" i="28"/>
  <c r="U163" i="28"/>
  <c r="D163" i="28"/>
  <c r="B163" i="28" s="1"/>
  <c r="U167" i="28"/>
  <c r="D167" i="28"/>
  <c r="B167" i="28" s="1"/>
  <c r="U159" i="28"/>
  <c r="D159" i="28"/>
  <c r="B159" i="28"/>
  <c r="U155" i="28"/>
  <c r="D155" i="28"/>
  <c r="B155" i="28" s="1"/>
  <c r="U154" i="28"/>
  <c r="D154" i="28"/>
  <c r="B154" i="28" s="1"/>
  <c r="U149" i="28"/>
  <c r="D149" i="28"/>
  <c r="B149" i="28"/>
  <c r="U144" i="28"/>
  <c r="D144" i="28"/>
  <c r="B144" i="28"/>
  <c r="U139" i="28"/>
  <c r="D139" i="28"/>
  <c r="B139" i="28"/>
  <c r="U153" i="28"/>
  <c r="D153" i="28"/>
  <c r="B153" i="28" s="1"/>
  <c r="U148" i="28"/>
  <c r="D148" i="28"/>
  <c r="B148" i="28" s="1"/>
  <c r="U143" i="28"/>
  <c r="D143" i="28"/>
  <c r="B143" i="28"/>
  <c r="U138" i="28"/>
  <c r="D138" i="28"/>
  <c r="B138" i="28" s="1"/>
  <c r="U152" i="28"/>
  <c r="D152" i="28"/>
  <c r="B152" i="28" s="1"/>
  <c r="U147" i="28"/>
  <c r="D147" i="28"/>
  <c r="B147" i="28"/>
  <c r="U142" i="28"/>
  <c r="D142" i="28"/>
  <c r="B142" i="28"/>
  <c r="U137" i="28"/>
  <c r="D137" i="28"/>
  <c r="B137" i="28"/>
  <c r="U151" i="28"/>
  <c r="D151" i="28"/>
  <c r="B151" i="28"/>
  <c r="U146" i="28"/>
  <c r="D146" i="28"/>
  <c r="B146" i="28" s="1"/>
  <c r="U141" i="28"/>
  <c r="D141" i="28"/>
  <c r="B141" i="28"/>
  <c r="U136" i="28"/>
  <c r="D136" i="28"/>
  <c r="B136" i="28" s="1"/>
  <c r="U150" i="28"/>
  <c r="D150" i="28"/>
  <c r="B150" i="28" s="1"/>
  <c r="U145" i="28"/>
  <c r="D145" i="28"/>
  <c r="B145" i="28"/>
  <c r="U140" i="28"/>
  <c r="D140" i="28"/>
  <c r="B140" i="28"/>
  <c r="U135" i="28"/>
  <c r="D135" i="28"/>
  <c r="B135" i="28"/>
  <c r="U124" i="28"/>
  <c r="D124" i="28"/>
  <c r="B124" i="28" s="1"/>
  <c r="U130" i="28"/>
  <c r="D130" i="28"/>
  <c r="B130" i="28" s="1"/>
  <c r="U118" i="28"/>
  <c r="D118" i="28"/>
  <c r="B118" i="28"/>
  <c r="U123" i="28"/>
  <c r="D123" i="28"/>
  <c r="B123" i="28" s="1"/>
  <c r="U129" i="28"/>
  <c r="D129" i="28"/>
  <c r="B129" i="28" s="1"/>
  <c r="U117" i="28"/>
  <c r="D117" i="28"/>
  <c r="B117" i="28"/>
  <c r="U134" i="28"/>
  <c r="D134" i="28"/>
  <c r="B134" i="28"/>
  <c r="U122" i="28"/>
  <c r="D122" i="28"/>
  <c r="B122" i="28"/>
  <c r="U128" i="28"/>
  <c r="D128" i="28"/>
  <c r="B128" i="28"/>
  <c r="U116" i="28"/>
  <c r="D116" i="28"/>
  <c r="B116" i="28" s="1"/>
  <c r="U133" i="28"/>
  <c r="D133" i="28"/>
  <c r="B133" i="28"/>
  <c r="U121" i="28"/>
  <c r="D121" i="28"/>
  <c r="B121" i="28" s="1"/>
  <c r="U127" i="28"/>
  <c r="D127" i="28"/>
  <c r="B127" i="28" s="1"/>
  <c r="U115" i="28"/>
  <c r="D115" i="28"/>
  <c r="B115" i="28" s="1"/>
  <c r="U132" i="28"/>
  <c r="D132" i="28"/>
  <c r="B132" i="28"/>
  <c r="U120" i="28"/>
  <c r="D120" i="28"/>
  <c r="B120" i="28"/>
  <c r="U126" i="28"/>
  <c r="D126" i="28"/>
  <c r="B126" i="28"/>
  <c r="U114" i="28"/>
  <c r="D114" i="28"/>
  <c r="B114" i="28" s="1"/>
  <c r="U131" i="28"/>
  <c r="D131" i="28"/>
  <c r="B131" i="28"/>
  <c r="U119" i="28"/>
  <c r="D119" i="28"/>
  <c r="B119" i="28" s="1"/>
  <c r="U125" i="28"/>
  <c r="D125" i="28"/>
  <c r="B125" i="28" s="1"/>
  <c r="U113" i="28"/>
  <c r="D113" i="28"/>
  <c r="B113" i="28" s="1"/>
  <c r="U29" i="28"/>
  <c r="D29" i="28"/>
  <c r="B29" i="28"/>
  <c r="U26" i="28"/>
  <c r="D26" i="28"/>
  <c r="B26" i="28"/>
  <c r="U23" i="28"/>
  <c r="D23" i="28"/>
  <c r="B23" i="28"/>
  <c r="U16" i="28"/>
  <c r="D16" i="28"/>
  <c r="B16" i="28" s="1"/>
  <c r="U28" i="28"/>
  <c r="D28" i="28"/>
  <c r="B28" i="28"/>
  <c r="U25" i="28"/>
  <c r="D25" i="28"/>
  <c r="B25" i="28" s="1"/>
  <c r="U22" i="28"/>
  <c r="D22" i="28"/>
  <c r="B22" i="28" s="1"/>
  <c r="U15" i="28"/>
  <c r="D15" i="28"/>
  <c r="B15" i="28"/>
  <c r="U27" i="28"/>
  <c r="D27" i="28"/>
  <c r="B27" i="28"/>
  <c r="U24" i="28"/>
  <c r="D24" i="28"/>
  <c r="B24" i="28"/>
  <c r="U21" i="28"/>
  <c r="D21" i="28"/>
  <c r="B21" i="28" s="1"/>
  <c r="U14" i="28"/>
  <c r="D14" i="28"/>
  <c r="B14" i="28" s="1"/>
  <c r="U13" i="28"/>
  <c r="D13" i="28"/>
  <c r="B13" i="28"/>
  <c r="U9" i="28"/>
  <c r="D9" i="28"/>
  <c r="B9" i="28" s="1"/>
  <c r="U5" i="28"/>
  <c r="D5" i="28"/>
  <c r="B5" i="28" s="1"/>
  <c r="U12" i="28"/>
  <c r="D12" i="28"/>
  <c r="B12" i="28" s="1"/>
  <c r="U8" i="28"/>
  <c r="D8" i="28"/>
  <c r="B8" i="28"/>
  <c r="U3" i="28"/>
  <c r="D3" i="28"/>
  <c r="B3" i="28"/>
  <c r="U11" i="28"/>
  <c r="D11" i="28"/>
  <c r="B11" i="28" s="1"/>
  <c r="U7" i="28"/>
  <c r="D7" i="28"/>
  <c r="B7" i="28" s="1"/>
  <c r="U4" i="28"/>
  <c r="D4" i="28"/>
  <c r="B4" i="28"/>
  <c r="U10" i="28"/>
  <c r="D10" i="28"/>
  <c r="B10" i="28" s="1"/>
  <c r="U6" i="28"/>
  <c r="D6" i="28"/>
  <c r="B6" i="28" s="1"/>
  <c r="U2" i="28"/>
  <c r="D2" i="28"/>
  <c r="B2" i="28"/>
  <c r="S172" i="28"/>
  <c r="Y172" i="28" s="1"/>
  <c r="B172" i="28"/>
  <c r="S171" i="28"/>
  <c r="T171" i="28" s="1"/>
  <c r="S240" i="28"/>
  <c r="S239" i="28"/>
  <c r="Y239" i="28"/>
  <c r="S252" i="28"/>
  <c r="Y252" i="28"/>
  <c r="S255" i="28"/>
  <c r="S246" i="28"/>
  <c r="T246" i="28"/>
  <c r="S249" i="28"/>
  <c r="S243" i="28"/>
  <c r="Y243" i="28"/>
  <c r="S251" i="28"/>
  <c r="S254" i="28"/>
  <c r="S245" i="28"/>
  <c r="Y245" i="28" s="1"/>
  <c r="S248" i="28"/>
  <c r="S242" i="28"/>
  <c r="Y242" i="28" s="1"/>
  <c r="S250" i="28"/>
  <c r="S253" i="28"/>
  <c r="S244" i="28"/>
  <c r="S247" i="28"/>
  <c r="T247" i="28" s="1"/>
  <c r="V247" i="28" s="1"/>
  <c r="W247" i="28" s="1"/>
  <c r="S241" i="28"/>
  <c r="Y241" i="28"/>
  <c r="S238" i="28"/>
  <c r="S235" i="28"/>
  <c r="Y235" i="28" s="1"/>
  <c r="S232" i="28"/>
  <c r="Y232" i="28" s="1"/>
  <c r="S237" i="28"/>
  <c r="Y237" i="28"/>
  <c r="S234" i="28"/>
  <c r="T234" i="28" s="1"/>
  <c r="V234" i="28" s="1"/>
  <c r="X234" i="28" s="1"/>
  <c r="S231" i="28"/>
  <c r="S236" i="28"/>
  <c r="S233" i="28"/>
  <c r="Y233" i="28" s="1"/>
  <c r="S230" i="28"/>
  <c r="S229" i="28"/>
  <c r="S225" i="28"/>
  <c r="S221" i="28"/>
  <c r="S228" i="28"/>
  <c r="Y228" i="28" s="1"/>
  <c r="S224" i="28"/>
  <c r="T224" i="28" s="1"/>
  <c r="V224" i="28" s="1"/>
  <c r="W224" i="28" s="1"/>
  <c r="S220" i="28"/>
  <c r="S227" i="28"/>
  <c r="S223" i="28"/>
  <c r="T223" i="28"/>
  <c r="V223" i="28" s="1"/>
  <c r="W223" i="28" s="1"/>
  <c r="S219" i="28"/>
  <c r="S226" i="28"/>
  <c r="S222" i="28"/>
  <c r="S211" i="28"/>
  <c r="Y211" i="28" s="1"/>
  <c r="S208" i="28"/>
  <c r="S210" i="28"/>
  <c r="S207" i="28"/>
  <c r="Y207" i="28"/>
  <c r="S209" i="28"/>
  <c r="S206" i="28"/>
  <c r="Y206" i="28" s="1"/>
  <c r="S202" i="28"/>
  <c r="S205" i="28"/>
  <c r="S196" i="28"/>
  <c r="S199" i="28"/>
  <c r="S193" i="28"/>
  <c r="Y193" i="28"/>
  <c r="S201" i="28"/>
  <c r="S204" i="28"/>
  <c r="Y204" i="28"/>
  <c r="S195" i="28"/>
  <c r="S198" i="28"/>
  <c r="Y198" i="28"/>
  <c r="S192" i="28"/>
  <c r="Y192" i="28"/>
  <c r="S200" i="28"/>
  <c r="S203" i="28"/>
  <c r="S194" i="28"/>
  <c r="S197" i="28"/>
  <c r="Y197" i="28"/>
  <c r="S191" i="28"/>
  <c r="T191" i="28"/>
  <c r="V191" i="28" s="1"/>
  <c r="X191" i="28" s="1"/>
  <c r="S184" i="28"/>
  <c r="S178" i="28"/>
  <c r="Y178" i="28" s="1"/>
  <c r="S189" i="28"/>
  <c r="S183" i="28"/>
  <c r="S177" i="28"/>
  <c r="S188" i="28"/>
  <c r="Y188" i="28"/>
  <c r="S182" i="28"/>
  <c r="S176" i="28"/>
  <c r="S187" i="28"/>
  <c r="S181" i="28"/>
  <c r="S175" i="28"/>
  <c r="Y175" i="28"/>
  <c r="S186" i="28"/>
  <c r="T186" i="28" s="1"/>
  <c r="S180" i="28"/>
  <c r="S174" i="28"/>
  <c r="Y174" i="28" s="1"/>
  <c r="S185" i="28"/>
  <c r="S179" i="28"/>
  <c r="Y179" i="28"/>
  <c r="S173" i="28"/>
  <c r="S166" i="28"/>
  <c r="S170" i="28"/>
  <c r="Y170" i="28" s="1"/>
  <c r="S162" i="28"/>
  <c r="S158" i="28"/>
  <c r="S165" i="28"/>
  <c r="S169" i="28"/>
  <c r="Y169" i="28"/>
  <c r="S161" i="28"/>
  <c r="S157" i="28"/>
  <c r="S164" i="28"/>
  <c r="S168" i="28"/>
  <c r="S160" i="28"/>
  <c r="S156" i="28"/>
  <c r="S163" i="28"/>
  <c r="T163" i="28"/>
  <c r="V163" i="28" s="1"/>
  <c r="S167" i="28"/>
  <c r="Y167" i="28"/>
  <c r="S159" i="28"/>
  <c r="Y159" i="28" s="1"/>
  <c r="S155" i="28"/>
  <c r="S154" i="28"/>
  <c r="T154" i="28" s="1"/>
  <c r="V154" i="28" s="1"/>
  <c r="X154" i="28" s="1"/>
  <c r="Y154" i="28"/>
  <c r="S149" i="28"/>
  <c r="S144" i="28"/>
  <c r="Y144" i="28"/>
  <c r="S139" i="28"/>
  <c r="S153" i="28"/>
  <c r="Y153" i="28"/>
  <c r="S148" i="28"/>
  <c r="Y148" i="28"/>
  <c r="S143" i="28"/>
  <c r="S138" i="28"/>
  <c r="Y138" i="28"/>
  <c r="S152" i="28"/>
  <c r="Y152" i="28" s="1"/>
  <c r="S147" i="28"/>
  <c r="S142" i="28"/>
  <c r="Y142" i="28" s="1"/>
  <c r="S137" i="28"/>
  <c r="Y137" i="28" s="1"/>
  <c r="S151" i="28"/>
  <c r="S146" i="28"/>
  <c r="S141" i="28"/>
  <c r="S136" i="28"/>
  <c r="Y136" i="28" s="1"/>
  <c r="S150" i="28"/>
  <c r="Y150" i="28"/>
  <c r="S145" i="28"/>
  <c r="Y145" i="28"/>
  <c r="S140" i="28"/>
  <c r="S135" i="28"/>
  <c r="Y135" i="28" s="1"/>
  <c r="S124" i="28"/>
  <c r="S130" i="28"/>
  <c r="S118" i="28"/>
  <c r="S123" i="28"/>
  <c r="Y123" i="28" s="1"/>
  <c r="S129" i="28"/>
  <c r="Y129" i="28" s="1"/>
  <c r="S117" i="28"/>
  <c r="T117" i="28" s="1"/>
  <c r="V117" i="28" s="1"/>
  <c r="W117" i="28" s="1"/>
  <c r="S134" i="28"/>
  <c r="S122" i="28"/>
  <c r="S128" i="28"/>
  <c r="S116" i="28"/>
  <c r="S133" i="28"/>
  <c r="Y133" i="28"/>
  <c r="S121" i="28"/>
  <c r="T121" i="28" s="1"/>
  <c r="V121" i="28" s="1"/>
  <c r="W121" i="28" s="1"/>
  <c r="S127" i="28"/>
  <c r="S115" i="28"/>
  <c r="S132" i="28"/>
  <c r="S120" i="28"/>
  <c r="S126" i="28"/>
  <c r="S114" i="28"/>
  <c r="Y114" i="28"/>
  <c r="S131" i="28"/>
  <c r="S119" i="28"/>
  <c r="S125" i="28"/>
  <c r="S113" i="28"/>
  <c r="S29" i="28"/>
  <c r="Y29" i="28"/>
  <c r="S26" i="28"/>
  <c r="S23" i="28"/>
  <c r="Y23" i="28"/>
  <c r="S16" i="28"/>
  <c r="S28" i="28"/>
  <c r="S25" i="28"/>
  <c r="S22" i="28"/>
  <c r="S15" i="28"/>
  <c r="T15" i="28" s="1"/>
  <c r="V15" i="28" s="1"/>
  <c r="S27" i="28"/>
  <c r="S24" i="28"/>
  <c r="S21" i="28"/>
  <c r="Y21" i="28" s="1"/>
  <c r="S14" i="28"/>
  <c r="Y14" i="28" s="1"/>
  <c r="S13" i="28"/>
  <c r="Y13" i="28"/>
  <c r="S9" i="28"/>
  <c r="S5" i="28"/>
  <c r="Y5" i="28" s="1"/>
  <c r="S12" i="28"/>
  <c r="S8" i="28"/>
  <c r="Y8" i="28" s="1"/>
  <c r="S3" i="28"/>
  <c r="Y3" i="28"/>
  <c r="S11" i="28"/>
  <c r="T11" i="28" s="1"/>
  <c r="Y11" i="28"/>
  <c r="S7" i="28"/>
  <c r="S4" i="28"/>
  <c r="Y4" i="28" s="1"/>
  <c r="S10" i="28"/>
  <c r="S6" i="28"/>
  <c r="Y213" i="28"/>
  <c r="Y214" i="28"/>
  <c r="Y10" i="28"/>
  <c r="Y189" i="28"/>
  <c r="P118" i="5"/>
  <c r="P117" i="5"/>
  <c r="P116" i="5"/>
  <c r="P115" i="5"/>
  <c r="P114" i="5"/>
  <c r="P113" i="5"/>
  <c r="B42" i="32"/>
  <c r="M42" i="32"/>
  <c r="K42" i="32"/>
  <c r="I42" i="32"/>
  <c r="G42" i="32"/>
  <c r="E42" i="32"/>
  <c r="C42" i="32"/>
  <c r="L42" i="32"/>
  <c r="J42" i="32"/>
  <c r="H42" i="32"/>
  <c r="F42" i="32"/>
  <c r="D42" i="32"/>
  <c r="AN61" i="32"/>
  <c r="AM61" i="32"/>
  <c r="AL61" i="32"/>
  <c r="AK61" i="32"/>
  <c r="AJ61" i="32"/>
  <c r="AI61" i="32"/>
  <c r="AH61" i="32"/>
  <c r="AG61" i="32"/>
  <c r="AF61" i="32"/>
  <c r="AE61" i="32"/>
  <c r="AD61" i="32"/>
  <c r="AC61" i="32"/>
  <c r="AB61" i="32"/>
  <c r="AA61" i="32"/>
  <c r="Z61" i="32"/>
  <c r="Y61" i="32"/>
  <c r="X61" i="32"/>
  <c r="W61" i="32"/>
  <c r="V61" i="32"/>
  <c r="U61" i="32"/>
  <c r="N61" i="32"/>
  <c r="M61" i="32"/>
  <c r="L61" i="32"/>
  <c r="K61" i="32"/>
  <c r="J61" i="32"/>
  <c r="I61" i="32"/>
  <c r="H61" i="32"/>
  <c r="G61" i="32"/>
  <c r="F61" i="32"/>
  <c r="E61" i="32"/>
  <c r="D61" i="32"/>
  <c r="C61" i="32"/>
  <c r="B61" i="32"/>
  <c r="C51" i="32"/>
  <c r="E51" i="32"/>
  <c r="G51" i="32"/>
  <c r="I51" i="32"/>
  <c r="K51" i="32"/>
  <c r="M51" i="32"/>
  <c r="B51" i="32"/>
  <c r="D51" i="32"/>
  <c r="F51" i="32"/>
  <c r="H51" i="32"/>
  <c r="J51" i="32"/>
  <c r="L51" i="32"/>
  <c r="N51" i="32"/>
  <c r="V51" i="32"/>
  <c r="X51" i="32"/>
  <c r="Z51" i="32"/>
  <c r="AB51" i="32"/>
  <c r="AD51" i="32"/>
  <c r="AF51" i="32"/>
  <c r="AH51" i="32"/>
  <c r="AJ51" i="32"/>
  <c r="AL51" i="32"/>
  <c r="AM51" i="32"/>
  <c r="AN51" i="32"/>
  <c r="AI42" i="32"/>
  <c r="AE42" i="32"/>
  <c r="AA42" i="32"/>
  <c r="Y42" i="32"/>
  <c r="W42" i="32"/>
  <c r="U42" i="32"/>
  <c r="AM42" i="32"/>
  <c r="AK42" i="32"/>
  <c r="AG42" i="32"/>
  <c r="AC42" i="32"/>
  <c r="AN42" i="32"/>
  <c r="AL42" i="32"/>
  <c r="AJ42" i="32"/>
  <c r="AH42" i="32"/>
  <c r="AF42" i="32"/>
  <c r="AD42" i="32"/>
  <c r="AB42" i="32"/>
  <c r="Z42" i="32"/>
  <c r="X42" i="32"/>
  <c r="V42" i="32"/>
  <c r="N42" i="32"/>
  <c r="AI51" i="32"/>
  <c r="AG51" i="32"/>
  <c r="AE51" i="32"/>
  <c r="AC51" i="32"/>
  <c r="AA51" i="32"/>
  <c r="Y51" i="32"/>
  <c r="W51" i="32"/>
  <c r="U51" i="32"/>
  <c r="AK51" i="32"/>
  <c r="U76" i="32"/>
  <c r="W21" i="33"/>
  <c r="V76" i="32"/>
  <c r="W22" i="33" s="1"/>
  <c r="W76" i="32"/>
  <c r="X76" i="32"/>
  <c r="W24" i="33"/>
  <c r="Y76" i="32"/>
  <c r="W25" i="33" s="1"/>
  <c r="Z76" i="32"/>
  <c r="AA76" i="32"/>
  <c r="AB76" i="32"/>
  <c r="W28" i="33"/>
  <c r="AC76" i="32"/>
  <c r="W29" i="33"/>
  <c r="AD76" i="32"/>
  <c r="W30" i="33" s="1"/>
  <c r="AE76" i="32"/>
  <c r="AF76" i="32"/>
  <c r="W32" i="33"/>
  <c r="AG76" i="32"/>
  <c r="W33" i="33" s="1"/>
  <c r="AH76" i="32"/>
  <c r="AI76" i="32"/>
  <c r="W35" i="33" s="1"/>
  <c r="AJ76" i="32"/>
  <c r="W36" i="33"/>
  <c r="AK76" i="32"/>
  <c r="AL76" i="32"/>
  <c r="AM76" i="32"/>
  <c r="W39" i="33" s="1"/>
  <c r="AN76" i="32"/>
  <c r="U77" i="32"/>
  <c r="X21" i="33"/>
  <c r="V77" i="32"/>
  <c r="X22" i="33"/>
  <c r="W77" i="32"/>
  <c r="X77" i="32"/>
  <c r="Y77" i="32"/>
  <c r="X25" i="33"/>
  <c r="Z77" i="32"/>
  <c r="X26" i="33"/>
  <c r="AA77" i="32"/>
  <c r="X27" i="33" s="1"/>
  <c r="AB77" i="32"/>
  <c r="AC77" i="32"/>
  <c r="X29" i="33"/>
  <c r="AD77" i="32"/>
  <c r="X30" i="33"/>
  <c r="AE77" i="32"/>
  <c r="X31" i="33" s="1"/>
  <c r="AF77" i="32"/>
  <c r="AG77" i="32"/>
  <c r="X33" i="33"/>
  <c r="AH77" i="32"/>
  <c r="X34" i="33"/>
  <c r="AI77" i="32"/>
  <c r="AJ77" i="32"/>
  <c r="AK77" i="32"/>
  <c r="X37" i="33" s="1"/>
  <c r="AL77" i="32"/>
  <c r="X38" i="33"/>
  <c r="AM77" i="32"/>
  <c r="AN77" i="32"/>
  <c r="X40" i="33" s="1"/>
  <c r="U78" i="32"/>
  <c r="V78" i="32"/>
  <c r="Y22" i="33"/>
  <c r="W78" i="32"/>
  <c r="Y23" i="33" s="1"/>
  <c r="X78" i="32"/>
  <c r="Y24" i="33" s="1"/>
  <c r="Y78" i="32"/>
  <c r="Y25" i="33" s="1"/>
  <c r="Z78" i="32"/>
  <c r="Y26" i="33"/>
  <c r="AA78" i="32"/>
  <c r="Y27" i="33" s="1"/>
  <c r="AB78" i="32"/>
  <c r="Y28" i="33" s="1"/>
  <c r="AC78" i="32"/>
  <c r="Y29" i="33" s="1"/>
  <c r="AD78" i="32"/>
  <c r="Y30" i="33"/>
  <c r="AE78" i="32"/>
  <c r="AF78" i="32"/>
  <c r="Y32" i="33" s="1"/>
  <c r="AG78" i="32"/>
  <c r="AH78" i="32"/>
  <c r="Y34" i="33"/>
  <c r="AI78" i="32"/>
  <c r="Y35" i="33" s="1"/>
  <c r="AJ78" i="32"/>
  <c r="Y36" i="33" s="1"/>
  <c r="AK78" i="32"/>
  <c r="Y37" i="33" s="1"/>
  <c r="AL78" i="32"/>
  <c r="Y38" i="33"/>
  <c r="AM78" i="32"/>
  <c r="Y39" i="33" s="1"/>
  <c r="AN78" i="32"/>
  <c r="Y40" i="33" s="1"/>
  <c r="U79" i="32"/>
  <c r="Z21" i="33" s="1"/>
  <c r="V79" i="32"/>
  <c r="Z22" i="33"/>
  <c r="W79" i="32"/>
  <c r="Z23" i="33"/>
  <c r="X79" i="32"/>
  <c r="Z24" i="33" s="1"/>
  <c r="Y79" i="32"/>
  <c r="Z25" i="33" s="1"/>
  <c r="Z79" i="32"/>
  <c r="Z26" i="33"/>
  <c r="AA79" i="32"/>
  <c r="Z27" i="33" s="1"/>
  <c r="AB79" i="32"/>
  <c r="Z28" i="33" s="1"/>
  <c r="AC79" i="32"/>
  <c r="AD79" i="32"/>
  <c r="Z30" i="33"/>
  <c r="AE79" i="32"/>
  <c r="Z31" i="33" s="1"/>
  <c r="AF79" i="32"/>
  <c r="Z32" i="33"/>
  <c r="AG79" i="32"/>
  <c r="Z33" i="33"/>
  <c r="AH79" i="32"/>
  <c r="Z34" i="33" s="1"/>
  <c r="AI79" i="32"/>
  <c r="Z35" i="33"/>
  <c r="AJ79" i="32"/>
  <c r="AK79" i="32"/>
  <c r="Z37" i="33"/>
  <c r="AL79" i="32"/>
  <c r="Z38" i="33" s="1"/>
  <c r="AM79" i="32"/>
  <c r="Z39" i="33"/>
  <c r="AN79" i="32"/>
  <c r="Z40" i="33"/>
  <c r="U80" i="32"/>
  <c r="AA21" i="33"/>
  <c r="V80" i="32"/>
  <c r="AA22" i="33" s="1"/>
  <c r="W80" i="32"/>
  <c r="AA23" i="33"/>
  <c r="X80" i="32"/>
  <c r="AA24" i="33" s="1"/>
  <c r="Y80" i="32"/>
  <c r="AA25" i="33"/>
  <c r="Z80" i="32"/>
  <c r="AA26" i="33" s="1"/>
  <c r="AA80" i="32"/>
  <c r="AA27" i="33"/>
  <c r="AB80" i="32"/>
  <c r="AA28" i="33"/>
  <c r="AC80" i="32"/>
  <c r="AA29" i="33"/>
  <c r="AD80" i="32"/>
  <c r="AA30" i="33" s="1"/>
  <c r="AE80" i="32"/>
  <c r="AA31" i="33"/>
  <c r="AF80" i="32"/>
  <c r="AA32" i="33"/>
  <c r="AG80" i="32"/>
  <c r="AA33" i="33"/>
  <c r="AH80" i="32"/>
  <c r="AA34" i="33" s="1"/>
  <c r="AI80" i="32"/>
  <c r="AA35" i="33"/>
  <c r="AJ80" i="32"/>
  <c r="AA36" i="33"/>
  <c r="AK80" i="32"/>
  <c r="AA37" i="33"/>
  <c r="AL80" i="32"/>
  <c r="AA38" i="33" s="1"/>
  <c r="AM80" i="32"/>
  <c r="AA39" i="33"/>
  <c r="AN80" i="32"/>
  <c r="U81" i="32"/>
  <c r="AB21" i="33" s="1"/>
  <c r="V81" i="32"/>
  <c r="AB22" i="33" s="1"/>
  <c r="W81" i="32"/>
  <c r="AB23" i="33"/>
  <c r="X81" i="32"/>
  <c r="AB24" i="33"/>
  <c r="Y81" i="32"/>
  <c r="AB25" i="33" s="1"/>
  <c r="Z81" i="32"/>
  <c r="AA81" i="32"/>
  <c r="AB27" i="33"/>
  <c r="AB81" i="32"/>
  <c r="AC81" i="32"/>
  <c r="AB29" i="33" s="1"/>
  <c r="AD81" i="32"/>
  <c r="AB30" i="33"/>
  <c r="AE81" i="32"/>
  <c r="AB31" i="33" s="1"/>
  <c r="AF81" i="32"/>
  <c r="AB32" i="33"/>
  <c r="AG81" i="32"/>
  <c r="AB33" i="33"/>
  <c r="AH81" i="32"/>
  <c r="AB34" i="33"/>
  <c r="AI81" i="32"/>
  <c r="AB35" i="33" s="1"/>
  <c r="AJ81" i="32"/>
  <c r="AB36" i="33"/>
  <c r="AK81" i="32"/>
  <c r="AB37" i="33" s="1"/>
  <c r="AL81" i="32"/>
  <c r="AB38" i="33"/>
  <c r="AM81" i="32"/>
  <c r="AN81" i="32"/>
  <c r="AB40" i="33"/>
  <c r="C82" i="32"/>
  <c r="AA72" i="32"/>
  <c r="K72" i="32"/>
  <c r="AI72" i="32"/>
  <c r="AM72" i="32"/>
  <c r="AE72" i="32"/>
  <c r="W72" i="32"/>
  <c r="K82" i="32"/>
  <c r="AK72" i="32"/>
  <c r="AG72" i="32"/>
  <c r="AC72" i="32"/>
  <c r="Y72" i="32"/>
  <c r="U72" i="32"/>
  <c r="M72" i="32"/>
  <c r="I72" i="32"/>
  <c r="M82" i="32"/>
  <c r="I82" i="32"/>
  <c r="C72" i="32"/>
  <c r="G82" i="32"/>
  <c r="G72" i="32"/>
  <c r="E72" i="32"/>
  <c r="B72" i="32"/>
  <c r="E82" i="32"/>
  <c r="B82" i="32"/>
  <c r="AN72" i="32"/>
  <c r="AL72" i="32"/>
  <c r="AJ72" i="32"/>
  <c r="AH72" i="32"/>
  <c r="AF72" i="32"/>
  <c r="AD72" i="32"/>
  <c r="AB72" i="32"/>
  <c r="Z72" i="32"/>
  <c r="X72" i="32"/>
  <c r="V72" i="32"/>
  <c r="N72" i="32"/>
  <c r="L72" i="32"/>
  <c r="J72" i="32"/>
  <c r="H72" i="32"/>
  <c r="F72" i="32"/>
  <c r="D72" i="32"/>
  <c r="N82" i="32"/>
  <c r="L82" i="32"/>
  <c r="J82" i="32"/>
  <c r="H82" i="32"/>
  <c r="F82" i="32"/>
  <c r="D82" i="32"/>
  <c r="AM7" i="8"/>
  <c r="H40" i="31"/>
  <c r="X7" i="8"/>
  <c r="N40" i="31"/>
  <c r="O7" i="8"/>
  <c r="J7" i="8"/>
  <c r="AM5" i="8"/>
  <c r="H28" i="31" s="1"/>
  <c r="X5" i="8"/>
  <c r="N28" i="31"/>
  <c r="AM4" i="8"/>
  <c r="X4" i="8"/>
  <c r="AQ5" i="8"/>
  <c r="O5" i="8"/>
  <c r="J5" i="8"/>
  <c r="O4" i="8"/>
  <c r="J4" i="8"/>
  <c r="J6" i="8"/>
  <c r="O6" i="8"/>
  <c r="X6" i="8"/>
  <c r="N26" i="31" s="1"/>
  <c r="AM6" i="8"/>
  <c r="H26" i="31" s="1"/>
  <c r="AQ6" i="8"/>
  <c r="AM8" i="8"/>
  <c r="H27" i="31"/>
  <c r="X8" i="8"/>
  <c r="N27" i="31"/>
  <c r="O8" i="8"/>
  <c r="J8" i="8"/>
  <c r="K16" i="34"/>
  <c r="L16" i="34"/>
  <c r="M16" i="34"/>
  <c r="N16" i="34"/>
  <c r="O16" i="34"/>
  <c r="P16" i="34"/>
  <c r="Q16" i="34"/>
  <c r="R16" i="34"/>
  <c r="S16" i="34"/>
  <c r="T16" i="34"/>
  <c r="U16" i="34"/>
  <c r="V16" i="34"/>
  <c r="W16" i="34"/>
  <c r="X16" i="34"/>
  <c r="Y16" i="34"/>
  <c r="Z16" i="34"/>
  <c r="AA16" i="34"/>
  <c r="AB16" i="34"/>
  <c r="AC16" i="34"/>
  <c r="AD16" i="34"/>
  <c r="AE16" i="34"/>
  <c r="AF16" i="34"/>
  <c r="AG16" i="34"/>
  <c r="AH16" i="34"/>
  <c r="AI16" i="34"/>
  <c r="AJ16" i="34"/>
  <c r="AK16" i="34"/>
  <c r="AL16" i="34"/>
  <c r="AM16" i="34"/>
  <c r="AN16" i="34"/>
  <c r="AO16" i="34"/>
  <c r="M15" i="34"/>
  <c r="N15" i="34"/>
  <c r="O15" i="34"/>
  <c r="P15" i="34"/>
  <c r="Q15" i="34"/>
  <c r="R15" i="34"/>
  <c r="S15" i="34"/>
  <c r="T15" i="34"/>
  <c r="U15" i="34"/>
  <c r="V15" i="34"/>
  <c r="W15" i="34"/>
  <c r="X15" i="34"/>
  <c r="Y15" i="34"/>
  <c r="Z15" i="34"/>
  <c r="AA15" i="34"/>
  <c r="AB15" i="34"/>
  <c r="AC15" i="34"/>
  <c r="AD15" i="34"/>
  <c r="AE15" i="34"/>
  <c r="AF15" i="34"/>
  <c r="AG15" i="34"/>
  <c r="AH15" i="34"/>
  <c r="AI15" i="34"/>
  <c r="AJ15" i="34"/>
  <c r="AK15" i="34"/>
  <c r="AL15" i="34"/>
  <c r="AM15" i="34"/>
  <c r="AN15" i="34"/>
  <c r="AO15" i="34"/>
  <c r="K15" i="34"/>
  <c r="L15" i="34"/>
  <c r="J16" i="34"/>
  <c r="I16" i="34"/>
  <c r="H16" i="34"/>
  <c r="F16" i="34"/>
  <c r="E16" i="34"/>
  <c r="D16" i="34"/>
  <c r="C16" i="34"/>
  <c r="J20" i="8"/>
  <c r="O20" i="8"/>
  <c r="X20" i="8"/>
  <c r="AM20" i="8"/>
  <c r="AQ20" i="8"/>
  <c r="AM27" i="8"/>
  <c r="X27" i="8"/>
  <c r="AQ27" i="8"/>
  <c r="AM26" i="8"/>
  <c r="AQ26" i="8"/>
  <c r="X26" i="8"/>
  <c r="AM25" i="8"/>
  <c r="AQ25" i="8"/>
  <c r="X25" i="8"/>
  <c r="AM24" i="8"/>
  <c r="AQ24" i="8"/>
  <c r="X24" i="8"/>
  <c r="AM23" i="8"/>
  <c r="H13" i="31" s="1"/>
  <c r="X23" i="8"/>
  <c r="N13" i="31"/>
  <c r="AM22" i="8"/>
  <c r="X22" i="8"/>
  <c r="AM21" i="8"/>
  <c r="X21" i="8"/>
  <c r="AM16" i="8"/>
  <c r="X16" i="8"/>
  <c r="AM15" i="8"/>
  <c r="X15" i="8"/>
  <c r="AM14" i="8"/>
  <c r="H37" i="31"/>
  <c r="X14" i="8"/>
  <c r="N37" i="31" s="1"/>
  <c r="AM12" i="8"/>
  <c r="H34" i="31" s="1"/>
  <c r="X12" i="8"/>
  <c r="N34" i="31"/>
  <c r="N33" i="31"/>
  <c r="AM10" i="8"/>
  <c r="H32" i="31" s="1"/>
  <c r="X10" i="8"/>
  <c r="N32" i="31"/>
  <c r="AM36" i="8"/>
  <c r="X36" i="8"/>
  <c r="AM3" i="8"/>
  <c r="H12" i="31"/>
  <c r="X3" i="8"/>
  <c r="N12" i="31" s="1"/>
  <c r="AQ23" i="8"/>
  <c r="O23" i="8"/>
  <c r="J23" i="8"/>
  <c r="O22" i="8"/>
  <c r="J22" i="8"/>
  <c r="O21" i="8"/>
  <c r="J21" i="8"/>
  <c r="AQ16" i="8"/>
  <c r="O16" i="8"/>
  <c r="J16" i="8"/>
  <c r="AQ15" i="8"/>
  <c r="O15" i="8"/>
  <c r="J15" i="8"/>
  <c r="AQ14" i="8"/>
  <c r="O14" i="8"/>
  <c r="J14" i="8"/>
  <c r="AQ12" i="8"/>
  <c r="O12" i="8"/>
  <c r="J12" i="8"/>
  <c r="O10" i="8"/>
  <c r="J10" i="8"/>
  <c r="AQ36" i="8"/>
  <c r="O36" i="8"/>
  <c r="AQ3" i="8"/>
  <c r="O3" i="8"/>
  <c r="J3" i="8"/>
  <c r="J17" i="15"/>
  <c r="O17" i="15"/>
  <c r="Q17" i="15"/>
  <c r="W17" i="15"/>
  <c r="X17" i="15"/>
  <c r="Z17" i="15"/>
  <c r="AE17" i="15"/>
  <c r="AN17" i="15"/>
  <c r="S17" i="15"/>
  <c r="AG17" i="15"/>
  <c r="AH17" i="15"/>
  <c r="V17" i="15"/>
  <c r="AJ17" i="15"/>
  <c r="AM17" i="15"/>
  <c r="D10" i="32"/>
  <c r="C19" i="34"/>
  <c r="AO19" i="34"/>
  <c r="AN19" i="34"/>
  <c r="AM19" i="34"/>
  <c r="AL19" i="34"/>
  <c r="AK19" i="34"/>
  <c r="AJ19" i="34"/>
  <c r="AI19" i="34"/>
  <c r="AH19" i="34"/>
  <c r="AG19" i="34"/>
  <c r="AF19" i="34"/>
  <c r="AE19" i="34"/>
  <c r="AD19" i="34"/>
  <c r="AC19" i="34"/>
  <c r="AB19" i="34"/>
  <c r="AA19" i="34"/>
  <c r="Z19" i="34"/>
  <c r="Y19" i="34"/>
  <c r="X19" i="34"/>
  <c r="W19" i="34"/>
  <c r="V19" i="34"/>
  <c r="U19" i="34"/>
  <c r="T19" i="34"/>
  <c r="S19" i="34"/>
  <c r="R19" i="34"/>
  <c r="Q19" i="34"/>
  <c r="P19" i="34"/>
  <c r="O19" i="34"/>
  <c r="N19" i="34"/>
  <c r="M19" i="34"/>
  <c r="L19" i="34"/>
  <c r="K19" i="34"/>
  <c r="J19" i="34"/>
  <c r="I19" i="34"/>
  <c r="H19" i="34"/>
  <c r="G19" i="34"/>
  <c r="F19" i="34"/>
  <c r="E19" i="34"/>
  <c r="D19" i="34"/>
  <c r="C14" i="34"/>
  <c r="C15" i="34"/>
  <c r="D15" i="34"/>
  <c r="E15" i="34"/>
  <c r="F15" i="34"/>
  <c r="G15" i="34"/>
  <c r="H15" i="34"/>
  <c r="I15" i="34"/>
  <c r="J15" i="34"/>
  <c r="AP1" i="13"/>
  <c r="D17" i="34"/>
  <c r="E17" i="34"/>
  <c r="F17" i="34"/>
  <c r="G17" i="34"/>
  <c r="H17" i="34"/>
  <c r="I17" i="34"/>
  <c r="J17" i="34"/>
  <c r="K17" i="34"/>
  <c r="L17" i="34"/>
  <c r="M17" i="34"/>
  <c r="N17" i="34"/>
  <c r="O17" i="34"/>
  <c r="P17" i="34"/>
  <c r="Q17" i="34"/>
  <c r="R17" i="34"/>
  <c r="S17" i="34"/>
  <c r="T17" i="34"/>
  <c r="U17" i="34"/>
  <c r="V17" i="34"/>
  <c r="W17" i="34"/>
  <c r="X17" i="34"/>
  <c r="Y17" i="34"/>
  <c r="Z17" i="34"/>
  <c r="AA17" i="34"/>
  <c r="AB17" i="34"/>
  <c r="AC17" i="34"/>
  <c r="AD17" i="34"/>
  <c r="AE17" i="34"/>
  <c r="AF17" i="34"/>
  <c r="AG17" i="34"/>
  <c r="AH17" i="34"/>
  <c r="AI17" i="34"/>
  <c r="AJ17" i="34"/>
  <c r="AK17" i="34"/>
  <c r="AL17" i="34"/>
  <c r="AM17" i="34"/>
  <c r="AN17" i="34"/>
  <c r="AO17" i="34"/>
  <c r="AF18" i="34"/>
  <c r="C17" i="34"/>
  <c r="D14" i="34"/>
  <c r="E14" i="34"/>
  <c r="F14" i="34"/>
  <c r="G14" i="34"/>
  <c r="H14" i="34"/>
  <c r="I14" i="34"/>
  <c r="J14" i="34"/>
  <c r="K14" i="34"/>
  <c r="L14" i="34"/>
  <c r="M14" i="34"/>
  <c r="N14" i="34"/>
  <c r="O14" i="34"/>
  <c r="P14" i="34"/>
  <c r="Q14" i="34"/>
  <c r="R14" i="34"/>
  <c r="S14" i="34"/>
  <c r="T14" i="34"/>
  <c r="U14" i="34"/>
  <c r="V14" i="34"/>
  <c r="W14" i="34"/>
  <c r="X14" i="34"/>
  <c r="Y14" i="34"/>
  <c r="Z14" i="34"/>
  <c r="AA14" i="34"/>
  <c r="AB14" i="34"/>
  <c r="AC14" i="34"/>
  <c r="AD14" i="34"/>
  <c r="AE14" i="34"/>
  <c r="AF14" i="34"/>
  <c r="AG14" i="34"/>
  <c r="AH14" i="34"/>
  <c r="AI14" i="34"/>
  <c r="AJ14" i="34"/>
  <c r="AK14" i="34"/>
  <c r="AL14" i="34"/>
  <c r="AM14" i="34"/>
  <c r="AN14" i="34"/>
  <c r="AO14" i="34"/>
  <c r="B16" i="32"/>
  <c r="C16" i="32"/>
  <c r="D16" i="32"/>
  <c r="E16" i="32"/>
  <c r="F16" i="32"/>
  <c r="G16" i="32"/>
  <c r="G54" i="32" s="1"/>
  <c r="H16" i="32"/>
  <c r="H30" i="32"/>
  <c r="H44" i="32"/>
  <c r="H97" i="32"/>
  <c r="I16" i="32"/>
  <c r="J16" i="32"/>
  <c r="K16" i="32"/>
  <c r="K97" i="32" s="1"/>
  <c r="L16" i="32"/>
  <c r="L97" i="32"/>
  <c r="M16" i="32"/>
  <c r="N16" i="32"/>
  <c r="O16" i="32"/>
  <c r="P16" i="32"/>
  <c r="Q16" i="32"/>
  <c r="Q75" i="32"/>
  <c r="Q65" i="32"/>
  <c r="R16" i="32"/>
  <c r="S16" i="32"/>
  <c r="S75" i="32"/>
  <c r="T16" i="32"/>
  <c r="T75" i="32" s="1"/>
  <c r="U16" i="32"/>
  <c r="U35" i="32"/>
  <c r="V16" i="32"/>
  <c r="W16" i="32"/>
  <c r="W35" i="32" s="1"/>
  <c r="W97" i="32"/>
  <c r="X16" i="32"/>
  <c r="X97" i="32" s="1"/>
  <c r="Y16" i="32"/>
  <c r="Y65" i="32"/>
  <c r="Z16" i="32"/>
  <c r="AA16" i="32"/>
  <c r="AA44" i="32"/>
  <c r="AB16" i="32"/>
  <c r="AC16" i="32"/>
  <c r="AD16" i="32"/>
  <c r="AD85" i="32"/>
  <c r="AE16" i="32"/>
  <c r="AF16" i="32"/>
  <c r="AG16" i="32"/>
  <c r="AG65" i="32" s="1"/>
  <c r="AH16" i="32"/>
  <c r="AH97" i="32" s="1"/>
  <c r="AI16" i="32"/>
  <c r="AJ16" i="32"/>
  <c r="AK16" i="32"/>
  <c r="AL16" i="32"/>
  <c r="AL54" i="32"/>
  <c r="AM16" i="32"/>
  <c r="AN16" i="32"/>
  <c r="B27" i="32"/>
  <c r="C27" i="32"/>
  <c r="D27" i="32"/>
  <c r="E27" i="32"/>
  <c r="F27" i="32"/>
  <c r="G27" i="32"/>
  <c r="H27" i="32"/>
  <c r="I27" i="32"/>
  <c r="J27" i="32"/>
  <c r="K27" i="32"/>
  <c r="L27" i="32"/>
  <c r="M27" i="32"/>
  <c r="N27" i="32"/>
  <c r="O27" i="32"/>
  <c r="P27" i="32"/>
  <c r="Q27" i="32"/>
  <c r="R27" i="32"/>
  <c r="S27" i="32"/>
  <c r="T27" i="32"/>
  <c r="U27" i="32"/>
  <c r="V27" i="32"/>
  <c r="W27" i="32"/>
  <c r="X27" i="32"/>
  <c r="Y27" i="32"/>
  <c r="Z27" i="32"/>
  <c r="AA27" i="32"/>
  <c r="AB27" i="32"/>
  <c r="AC27" i="32"/>
  <c r="AD27" i="32"/>
  <c r="AE27" i="32"/>
  <c r="AF27" i="32"/>
  <c r="AG27" i="32"/>
  <c r="AH27" i="32"/>
  <c r="AI27" i="32"/>
  <c r="AJ27" i="32"/>
  <c r="AK27" i="32"/>
  <c r="AL27" i="32"/>
  <c r="AM27" i="32"/>
  <c r="AN27" i="32"/>
  <c r="F44" i="32"/>
  <c r="U21" i="32"/>
  <c r="A42" i="14"/>
  <c r="A43" i="14"/>
  <c r="A82" i="14"/>
  <c r="A44" i="14"/>
  <c r="A45" i="14"/>
  <c r="A46" i="14"/>
  <c r="A85" i="14"/>
  <c r="A47" i="14"/>
  <c r="A48" i="14"/>
  <c r="A49" i="14"/>
  <c r="A50" i="14"/>
  <c r="A51" i="14"/>
  <c r="A52" i="14"/>
  <c r="A91" i="14"/>
  <c r="A53" i="14"/>
  <c r="A92" i="14"/>
  <c r="A54" i="14"/>
  <c r="A55" i="14"/>
  <c r="A56" i="14"/>
  <c r="A57" i="14"/>
  <c r="A58" i="14"/>
  <c r="A59" i="14"/>
  <c r="A60" i="14"/>
  <c r="A61" i="14"/>
  <c r="A62" i="14"/>
  <c r="A63" i="14"/>
  <c r="A64" i="14"/>
  <c r="A65" i="14"/>
  <c r="A66" i="14"/>
  <c r="A67" i="14"/>
  <c r="A68" i="14"/>
  <c r="A69" i="14"/>
  <c r="A108" i="14"/>
  <c r="A70" i="14"/>
  <c r="A71" i="14"/>
  <c r="A72" i="14"/>
  <c r="A73" i="14"/>
  <c r="A74" i="14"/>
  <c r="A75" i="14"/>
  <c r="A114" i="14" s="1"/>
  <c r="A76" i="14"/>
  <c r="A115" i="14"/>
  <c r="A154" i="14" s="1"/>
  <c r="A77" i="14"/>
  <c r="A78" i="14"/>
  <c r="A79" i="14"/>
  <c r="A118" i="14" s="1"/>
  <c r="A88" i="14"/>
  <c r="N43" i="31"/>
  <c r="H43" i="31"/>
  <c r="G43" i="31"/>
  <c r="F43" i="31"/>
  <c r="E43" i="31"/>
  <c r="D43" i="31"/>
  <c r="B43" i="31"/>
  <c r="G40" i="31"/>
  <c r="F40" i="31"/>
  <c r="E40" i="31"/>
  <c r="D40" i="31"/>
  <c r="B40" i="31"/>
  <c r="G37" i="31"/>
  <c r="F37" i="31"/>
  <c r="E37" i="31"/>
  <c r="D37" i="31"/>
  <c r="B37" i="31"/>
  <c r="G34" i="31"/>
  <c r="F34" i="31"/>
  <c r="E34" i="31"/>
  <c r="D34" i="31"/>
  <c r="B34" i="31"/>
  <c r="G33" i="31"/>
  <c r="F33" i="31"/>
  <c r="E33" i="31"/>
  <c r="D33" i="31"/>
  <c r="B33" i="31"/>
  <c r="G32" i="31"/>
  <c r="F32" i="31"/>
  <c r="E32" i="31"/>
  <c r="D32" i="31"/>
  <c r="B32" i="31"/>
  <c r="G31" i="31"/>
  <c r="F31" i="31"/>
  <c r="E31" i="31"/>
  <c r="D31" i="31"/>
  <c r="B31" i="31"/>
  <c r="G28" i="31"/>
  <c r="F28" i="31"/>
  <c r="E28" i="31"/>
  <c r="D28" i="31"/>
  <c r="B28" i="31"/>
  <c r="G27" i="31"/>
  <c r="F27" i="31"/>
  <c r="E27" i="31"/>
  <c r="D27" i="31"/>
  <c r="B27" i="31"/>
  <c r="G26" i="31"/>
  <c r="F26" i="31"/>
  <c r="E26" i="31"/>
  <c r="D26" i="31"/>
  <c r="B26" i="31"/>
  <c r="B22" i="31"/>
  <c r="A22" i="31"/>
  <c r="F22" i="31" s="1"/>
  <c r="N19" i="31"/>
  <c r="J19" i="31"/>
  <c r="G19" i="31"/>
  <c r="F19" i="31"/>
  <c r="E19" i="31"/>
  <c r="D19" i="31"/>
  <c r="B19" i="31"/>
  <c r="N18" i="31"/>
  <c r="J18" i="31"/>
  <c r="G18" i="31"/>
  <c r="F18" i="31"/>
  <c r="E18" i="31"/>
  <c r="D18" i="31"/>
  <c r="B18" i="31"/>
  <c r="N17" i="31"/>
  <c r="P14" i="31"/>
  <c r="J13" i="31"/>
  <c r="G13" i="31"/>
  <c r="F13" i="31"/>
  <c r="E13" i="31"/>
  <c r="D13" i="31"/>
  <c r="B13" i="31"/>
  <c r="P12" i="31"/>
  <c r="K12" i="31"/>
  <c r="J12" i="31"/>
  <c r="G12" i="31"/>
  <c r="F12" i="31"/>
  <c r="E12" i="31"/>
  <c r="D12" i="31"/>
  <c r="B12" i="31"/>
  <c r="P11" i="31"/>
  <c r="K11" i="31"/>
  <c r="J11" i="31"/>
  <c r="G11" i="31"/>
  <c r="F11" i="31"/>
  <c r="E11" i="31"/>
  <c r="D11" i="31"/>
  <c r="B11" i="31"/>
  <c r="C8" i="31"/>
  <c r="A8" i="31"/>
  <c r="A7" i="31"/>
  <c r="C18" i="31"/>
  <c r="C11" i="31"/>
  <c r="C34" i="31"/>
  <c r="C26" i="31"/>
  <c r="C7" i="31"/>
  <c r="C45" i="31" s="1"/>
  <c r="C33" i="31"/>
  <c r="C12" i="31"/>
  <c r="C31" i="31"/>
  <c r="C13" i="31"/>
  <c r="C27" i="31"/>
  <c r="C43" i="31"/>
  <c r="C40" i="31"/>
  <c r="C37" i="31"/>
  <c r="C19" i="31"/>
  <c r="C28" i="31"/>
  <c r="C32" i="31"/>
  <c r="B41" i="14"/>
  <c r="A41" i="14"/>
  <c r="B42" i="14"/>
  <c r="B43" i="14"/>
  <c r="B82" i="14" s="1"/>
  <c r="B121" i="14" s="1"/>
  <c r="B160" i="14" s="1"/>
  <c r="B199" i="14" s="1"/>
  <c r="B238" i="14" s="1"/>
  <c r="B44" i="14"/>
  <c r="B83" i="14"/>
  <c r="B122" i="14" s="1"/>
  <c r="B161" i="14" s="1"/>
  <c r="B200" i="14" s="1"/>
  <c r="B239" i="14"/>
  <c r="B45" i="14"/>
  <c r="B46" i="14"/>
  <c r="B47" i="14"/>
  <c r="B48" i="14"/>
  <c r="B49" i="14"/>
  <c r="B50" i="14"/>
  <c r="B51" i="14"/>
  <c r="B52" i="14"/>
  <c r="B53" i="14"/>
  <c r="B54" i="14"/>
  <c r="B55" i="14"/>
  <c r="C55" i="14" s="1"/>
  <c r="B94" i="14"/>
  <c r="B133" i="14" s="1"/>
  <c r="B172" i="14" s="1"/>
  <c r="B211" i="14" s="1"/>
  <c r="B250" i="14" s="1"/>
  <c r="B56" i="14"/>
  <c r="B95" i="14"/>
  <c r="B134" i="14"/>
  <c r="B173" i="14"/>
  <c r="B212" i="14" s="1"/>
  <c r="B251" i="14" s="1"/>
  <c r="B57" i="14"/>
  <c r="B58" i="14"/>
  <c r="B97" i="14" s="1"/>
  <c r="B59" i="14"/>
  <c r="B98" i="14"/>
  <c r="B137" i="14" s="1"/>
  <c r="B176" i="14" s="1"/>
  <c r="B215" i="14" s="1"/>
  <c r="B254" i="14" s="1"/>
  <c r="B60" i="14"/>
  <c r="B61" i="14"/>
  <c r="C61" i="14" s="1"/>
  <c r="B100" i="14"/>
  <c r="B62" i="14"/>
  <c r="B63" i="14"/>
  <c r="B102" i="14"/>
  <c r="B141" i="14"/>
  <c r="B180" i="14"/>
  <c r="B219" i="14" s="1"/>
  <c r="B258" i="14"/>
  <c r="B64" i="14"/>
  <c r="B65" i="14"/>
  <c r="B104" i="14"/>
  <c r="B143" i="14"/>
  <c r="B182" i="14" s="1"/>
  <c r="B221" i="14"/>
  <c r="B260" i="14" s="1"/>
  <c r="B66" i="14"/>
  <c r="B67" i="14"/>
  <c r="B106" i="14" s="1"/>
  <c r="B145" i="14" s="1"/>
  <c r="B68" i="14"/>
  <c r="I68" i="14" s="1"/>
  <c r="B69" i="14"/>
  <c r="B70" i="14"/>
  <c r="B109" i="14"/>
  <c r="B71" i="14"/>
  <c r="G71" i="14" s="1"/>
  <c r="B110" i="14"/>
  <c r="B149" i="14" s="1"/>
  <c r="B188" i="14" s="1"/>
  <c r="B227" i="14"/>
  <c r="B266" i="14" s="1"/>
  <c r="B72" i="14"/>
  <c r="C72" i="14" s="1"/>
  <c r="B73" i="14"/>
  <c r="B74" i="14"/>
  <c r="B113" i="14"/>
  <c r="B75" i="14"/>
  <c r="B76" i="14"/>
  <c r="B77" i="14"/>
  <c r="B116" i="14"/>
  <c r="B155" i="14"/>
  <c r="B78" i="14"/>
  <c r="B79" i="14"/>
  <c r="B118" i="14" s="1"/>
  <c r="AC17" i="17"/>
  <c r="AD17" i="17"/>
  <c r="AE17" i="17"/>
  <c r="AF17" i="17"/>
  <c r="AG17" i="17"/>
  <c r="AH17" i="17"/>
  <c r="AI17" i="17"/>
  <c r="AJ17" i="17"/>
  <c r="AK17" i="17"/>
  <c r="AL17" i="17"/>
  <c r="AM17" i="17"/>
  <c r="AN17" i="17"/>
  <c r="Y17" i="17"/>
  <c r="Z17" i="17"/>
  <c r="AA17" i="17"/>
  <c r="AB17" i="17"/>
  <c r="B157" i="14"/>
  <c r="I57" i="14"/>
  <c r="B92" i="14"/>
  <c r="V17" i="17"/>
  <c r="X17" i="17"/>
  <c r="W17" i="17"/>
  <c r="AL1" i="13"/>
  <c r="B2" i="12"/>
  <c r="AN1" i="17"/>
  <c r="AM1" i="17"/>
  <c r="AL1" i="17"/>
  <c r="AK1" i="17"/>
  <c r="AJ1" i="17"/>
  <c r="AI1" i="17"/>
  <c r="AH1" i="17"/>
  <c r="AG1" i="17"/>
  <c r="AF1" i="17"/>
  <c r="AE1" i="17"/>
  <c r="AD1" i="17"/>
  <c r="AC1" i="17"/>
  <c r="AB1" i="17"/>
  <c r="AA1" i="17"/>
  <c r="Z1" i="17"/>
  <c r="Y1" i="17"/>
  <c r="X1" i="17"/>
  <c r="W1" i="17"/>
  <c r="V1" i="17"/>
  <c r="U1" i="17"/>
  <c r="T1" i="17"/>
  <c r="S1" i="17"/>
  <c r="R1" i="17"/>
  <c r="Q1" i="17"/>
  <c r="P1" i="17"/>
  <c r="O1" i="17"/>
  <c r="N1" i="17"/>
  <c r="M1" i="17"/>
  <c r="L1" i="17"/>
  <c r="K1" i="17"/>
  <c r="J1" i="17"/>
  <c r="I1" i="17"/>
  <c r="H1" i="17"/>
  <c r="G1" i="17"/>
  <c r="F1" i="17"/>
  <c r="E1" i="17"/>
  <c r="D1" i="17"/>
  <c r="C1" i="17"/>
  <c r="B1" i="17"/>
  <c r="AN1" i="16"/>
  <c r="AM1" i="16"/>
  <c r="AL1" i="16"/>
  <c r="AK1" i="16"/>
  <c r="AJ1" i="16"/>
  <c r="AI1" i="16"/>
  <c r="AH1" i="16"/>
  <c r="AG1" i="16"/>
  <c r="AF1" i="16"/>
  <c r="AE1" i="16"/>
  <c r="AD1" i="16"/>
  <c r="AC1" i="16"/>
  <c r="AB1" i="16"/>
  <c r="AA1" i="16"/>
  <c r="Z1" i="16"/>
  <c r="Y1" i="16"/>
  <c r="X1" i="16"/>
  <c r="W1" i="16"/>
  <c r="V1" i="16"/>
  <c r="U1" i="16"/>
  <c r="T1" i="16"/>
  <c r="S1" i="16"/>
  <c r="R1" i="16"/>
  <c r="Q1" i="16"/>
  <c r="P1" i="16"/>
  <c r="O1" i="16"/>
  <c r="N1" i="16"/>
  <c r="M1" i="16"/>
  <c r="L1" i="16"/>
  <c r="K1" i="16"/>
  <c r="J1" i="16"/>
  <c r="I1" i="16"/>
  <c r="H1" i="16"/>
  <c r="G1" i="16"/>
  <c r="F1" i="16"/>
  <c r="E1" i="16"/>
  <c r="D1" i="16"/>
  <c r="C1" i="16"/>
  <c r="B1" i="16"/>
  <c r="AC1" i="13"/>
  <c r="AD1" i="13"/>
  <c r="AE1" i="13"/>
  <c r="AF1" i="13"/>
  <c r="AG1" i="13"/>
  <c r="AH1" i="13"/>
  <c r="AI1" i="13"/>
  <c r="AJ1" i="13"/>
  <c r="AK1" i="13"/>
  <c r="AM1" i="13"/>
  <c r="AN1" i="13"/>
  <c r="AO1" i="13"/>
  <c r="AB1" i="13"/>
  <c r="AA1" i="13"/>
  <c r="Z1" i="13"/>
  <c r="Y1" i="13"/>
  <c r="X1" i="13"/>
  <c r="W1" i="13"/>
  <c r="V1" i="13"/>
  <c r="U1" i="13"/>
  <c r="T1" i="13"/>
  <c r="S1" i="13"/>
  <c r="R1" i="13"/>
  <c r="Q1" i="13"/>
  <c r="P1" i="13"/>
  <c r="O1" i="13"/>
  <c r="N1" i="13"/>
  <c r="M1" i="13"/>
  <c r="L1" i="13"/>
  <c r="K1" i="13"/>
  <c r="J1" i="13"/>
  <c r="I1" i="13"/>
  <c r="H1" i="13"/>
  <c r="G1" i="13"/>
  <c r="F1" i="13"/>
  <c r="E1" i="13"/>
  <c r="D1" i="13"/>
  <c r="U17" i="17"/>
  <c r="M17" i="17"/>
  <c r="E17" i="17"/>
  <c r="I17" i="17"/>
  <c r="Q17" i="17"/>
  <c r="C17" i="17"/>
  <c r="G17" i="17"/>
  <c r="K17" i="17"/>
  <c r="O17" i="17"/>
  <c r="S17" i="17"/>
  <c r="B17" i="17"/>
  <c r="D17" i="17"/>
  <c r="F17" i="17"/>
  <c r="H17" i="17"/>
  <c r="J17" i="17"/>
  <c r="L17" i="17"/>
  <c r="N17" i="17"/>
  <c r="P17" i="17"/>
  <c r="R17" i="17"/>
  <c r="T17" i="17"/>
  <c r="C4" i="14"/>
  <c r="C6" i="14"/>
  <c r="C8" i="14"/>
  <c r="C10" i="14"/>
  <c r="C12" i="14"/>
  <c r="C14" i="14"/>
  <c r="C16" i="14"/>
  <c r="C18" i="14"/>
  <c r="C20" i="14"/>
  <c r="C22" i="14"/>
  <c r="C24" i="14"/>
  <c r="C26" i="14"/>
  <c r="C28" i="14"/>
  <c r="C30" i="14"/>
  <c r="C32" i="14"/>
  <c r="C34" i="14"/>
  <c r="C36" i="14"/>
  <c r="C38" i="14"/>
  <c r="C40" i="14"/>
  <c r="C3" i="14"/>
  <c r="C5" i="14"/>
  <c r="C7" i="14"/>
  <c r="C9" i="14"/>
  <c r="C11" i="14"/>
  <c r="C13" i="14"/>
  <c r="C15" i="14"/>
  <c r="C17" i="14"/>
  <c r="C19" i="14"/>
  <c r="C21" i="14"/>
  <c r="C23" i="14"/>
  <c r="C25" i="14"/>
  <c r="C27" i="14"/>
  <c r="C29" i="14"/>
  <c r="C31" i="14"/>
  <c r="C33" i="14"/>
  <c r="C35" i="14"/>
  <c r="C37" i="14"/>
  <c r="C39" i="14"/>
  <c r="H33" i="31"/>
  <c r="H18" i="31"/>
  <c r="H19" i="31"/>
  <c r="I110" i="5"/>
  <c r="I109" i="5"/>
  <c r="I108" i="5"/>
  <c r="I107" i="5"/>
  <c r="I106" i="5"/>
  <c r="I105" i="5"/>
  <c r="I104" i="5"/>
  <c r="I103" i="5"/>
  <c r="J102" i="5"/>
  <c r="J109" i="5"/>
  <c r="J91" i="5"/>
  <c r="J97" i="5"/>
  <c r="I91" i="5"/>
  <c r="I88" i="5"/>
  <c r="I87" i="5"/>
  <c r="I86" i="5"/>
  <c r="I85" i="5"/>
  <c r="I84" i="5"/>
  <c r="I83" i="5"/>
  <c r="I82" i="5"/>
  <c r="I81" i="5"/>
  <c r="K80" i="5"/>
  <c r="J80" i="5"/>
  <c r="J87" i="5"/>
  <c r="J81" i="5"/>
  <c r="I77" i="5"/>
  <c r="I76" i="5"/>
  <c r="I75" i="5"/>
  <c r="I74" i="5"/>
  <c r="I73" i="5"/>
  <c r="I72" i="5"/>
  <c r="I71" i="5"/>
  <c r="I70" i="5"/>
  <c r="K69" i="5"/>
  <c r="J69" i="5"/>
  <c r="J58" i="5"/>
  <c r="J66" i="5"/>
  <c r="I58" i="5"/>
  <c r="I55" i="5"/>
  <c r="I54" i="5"/>
  <c r="I53" i="5"/>
  <c r="I52" i="5"/>
  <c r="I51" i="5"/>
  <c r="I50" i="5"/>
  <c r="I49" i="5"/>
  <c r="I48" i="5"/>
  <c r="M47" i="5"/>
  <c r="M52" i="5" s="1"/>
  <c r="M54" i="5"/>
  <c r="L47" i="5"/>
  <c r="L54" i="5"/>
  <c r="K47" i="5"/>
  <c r="K55" i="5" s="1"/>
  <c r="J47" i="5"/>
  <c r="J55" i="5"/>
  <c r="I44" i="5"/>
  <c r="I43" i="5"/>
  <c r="I42" i="5"/>
  <c r="I41" i="5"/>
  <c r="I40" i="5"/>
  <c r="I39" i="5"/>
  <c r="I38" i="5"/>
  <c r="I37" i="5"/>
  <c r="S36" i="5"/>
  <c r="S38" i="5" s="1"/>
  <c r="R36" i="5"/>
  <c r="Q36" i="5"/>
  <c r="P36" i="5"/>
  <c r="O36" i="5"/>
  <c r="O42" i="5"/>
  <c r="N36" i="5"/>
  <c r="N38" i="5"/>
  <c r="M36" i="5"/>
  <c r="M39" i="5" s="1"/>
  <c r="L36" i="5"/>
  <c r="L39" i="5"/>
  <c r="K36" i="5"/>
  <c r="J36" i="5"/>
  <c r="L29" i="5"/>
  <c r="J29" i="5"/>
  <c r="I29" i="5"/>
  <c r="L28" i="5"/>
  <c r="J28" i="5"/>
  <c r="I28" i="5"/>
  <c r="L27" i="5"/>
  <c r="J27" i="5"/>
  <c r="I27" i="5"/>
  <c r="L26" i="5"/>
  <c r="J26" i="5"/>
  <c r="I26" i="5"/>
  <c r="K25" i="5"/>
  <c r="K33" i="5"/>
  <c r="M14" i="5"/>
  <c r="L14" i="5"/>
  <c r="K14" i="5"/>
  <c r="J14" i="5"/>
  <c r="I14" i="5"/>
  <c r="U2" i="5"/>
  <c r="T2" i="5"/>
  <c r="S117" i="5"/>
  <c r="S2" i="5"/>
  <c r="R2" i="5"/>
  <c r="Q2" i="5"/>
  <c r="P2" i="5"/>
  <c r="K2" i="5"/>
  <c r="J2" i="5"/>
  <c r="I2" i="5"/>
  <c r="K31" i="5"/>
  <c r="M41" i="5"/>
  <c r="B11" i="32"/>
  <c r="AI143" i="4"/>
  <c r="AO143" i="4" s="1"/>
  <c r="AQ143" i="4"/>
  <c r="AI131" i="4"/>
  <c r="AO131" i="4" s="1"/>
  <c r="AI138" i="4"/>
  <c r="AO138" i="4"/>
  <c r="AI139" i="4"/>
  <c r="AO139" i="4" s="1"/>
  <c r="AQ139" i="4" s="1"/>
  <c r="AI141" i="4"/>
  <c r="AO141" i="4" s="1"/>
  <c r="AS141" i="4" s="1"/>
  <c r="AU141" i="4" s="1"/>
  <c r="AI130" i="4"/>
  <c r="AO130" i="4"/>
  <c r="AI144" i="4"/>
  <c r="AO144" i="4"/>
  <c r="AI140" i="4"/>
  <c r="AO140" i="4"/>
  <c r="AI134" i="4"/>
  <c r="AO134" i="4"/>
  <c r="AQ134" i="4"/>
  <c r="AI132" i="4"/>
  <c r="AO132" i="4" s="1"/>
  <c r="AS132" i="4" s="1"/>
  <c r="AU132" i="4" s="1"/>
  <c r="AI133" i="4"/>
  <c r="AO133" i="4" s="1"/>
  <c r="AI137" i="4"/>
  <c r="AO137" i="4"/>
  <c r="AQ137" i="4" s="1"/>
  <c r="AI136" i="4"/>
  <c r="AO136" i="4"/>
  <c r="AQ136" i="4" s="1"/>
  <c r="AI145" i="4"/>
  <c r="AO145" i="4" s="1"/>
  <c r="AI135" i="4"/>
  <c r="AO135" i="4"/>
  <c r="AQ135" i="4"/>
  <c r="AI142" i="4"/>
  <c r="AO142" i="4"/>
  <c r="AS142" i="4" s="1"/>
  <c r="AQ13" i="8"/>
  <c r="AQ9" i="8"/>
  <c r="J99" i="5"/>
  <c r="H54" i="32"/>
  <c r="T193" i="28"/>
  <c r="V193" i="28" s="1"/>
  <c r="T220" i="28"/>
  <c r="V220" i="28" s="1"/>
  <c r="I1028" i="7"/>
  <c r="N251" i="7"/>
  <c r="N459" i="7"/>
  <c r="N1027" i="7"/>
  <c r="N1600" i="7"/>
  <c r="N1608" i="7"/>
  <c r="I454" i="7"/>
  <c r="I809" i="7"/>
  <c r="I920" i="7"/>
  <c r="I1031" i="7"/>
  <c r="I1098" i="7"/>
  <c r="I1102" i="7"/>
  <c r="I1121" i="7"/>
  <c r="I1183" i="7"/>
  <c r="I1250" i="7"/>
  <c r="I1254" i="7"/>
  <c r="I1267" i="7"/>
  <c r="I1271" i="7"/>
  <c r="I1275" i="7"/>
  <c r="I1279" i="7"/>
  <c r="N807" i="7"/>
  <c r="N1029" i="7"/>
  <c r="N1119" i="7"/>
  <c r="N1273" i="7"/>
  <c r="J98" i="5"/>
  <c r="C44" i="12"/>
  <c r="L85" i="32"/>
  <c r="H65" i="32"/>
  <c r="J95" i="5"/>
  <c r="H85" i="32"/>
  <c r="AR23" i="4"/>
  <c r="AR103" i="4"/>
  <c r="AR12" i="4"/>
  <c r="AR38" i="4"/>
  <c r="AR197" i="4"/>
  <c r="AR98" i="4"/>
  <c r="C26" i="12"/>
  <c r="H35" i="32"/>
  <c r="J93" i="5"/>
  <c r="T44" i="32"/>
  <c r="A64" i="6"/>
  <c r="K53" i="5"/>
  <c r="L35" i="32"/>
  <c r="J96" i="5"/>
  <c r="J52" i="5"/>
  <c r="K50" i="5"/>
  <c r="C234" i="12"/>
  <c r="G53" i="14"/>
  <c r="I58" i="14"/>
  <c r="S21" i="32"/>
  <c r="L75" i="32"/>
  <c r="T164" i="28"/>
  <c r="T189" i="28"/>
  <c r="V189" i="28" s="1"/>
  <c r="W189" i="28" s="1"/>
  <c r="T243" i="28"/>
  <c r="V243" i="28" s="1"/>
  <c r="W243" i="28" s="1"/>
  <c r="AR162" i="4"/>
  <c r="AR95" i="4"/>
  <c r="AR157" i="4"/>
  <c r="AR84" i="4"/>
  <c r="AR54" i="4"/>
  <c r="AR172" i="4"/>
  <c r="AR86" i="4"/>
  <c r="AR112" i="4"/>
  <c r="AR97" i="4"/>
  <c r="AR121" i="4"/>
  <c r="AR137" i="4"/>
  <c r="J94" i="5"/>
  <c r="K49" i="5"/>
  <c r="L55" i="5"/>
  <c r="C79" i="14"/>
  <c r="U85" i="32"/>
  <c r="L44" i="32"/>
  <c r="AR72" i="4"/>
  <c r="AR126" i="4"/>
  <c r="AR17" i="4"/>
  <c r="AR111" i="4"/>
  <c r="AR45" i="4"/>
  <c r="AR77" i="4"/>
  <c r="AR75" i="4"/>
  <c r="AR195" i="4"/>
  <c r="AR163" i="4"/>
  <c r="AR41" i="4"/>
  <c r="AR187" i="4"/>
  <c r="AR212" i="4"/>
  <c r="AR39" i="4"/>
  <c r="AR161" i="4"/>
  <c r="AR175" i="4"/>
  <c r="AR170" i="4"/>
  <c r="AR153" i="4"/>
  <c r="AR20" i="4"/>
  <c r="AR182" i="4"/>
  <c r="AR27" i="4"/>
  <c r="L42" i="5"/>
  <c r="L41" i="5"/>
  <c r="J92" i="5"/>
  <c r="T188" i="28"/>
  <c r="V188" i="28" s="1"/>
  <c r="W188" i="28" s="1"/>
  <c r="T197" i="28"/>
  <c r="T204" i="28"/>
  <c r="V204" i="28" s="1"/>
  <c r="X204" i="28" s="1"/>
  <c r="J74" i="5"/>
  <c r="U30" i="32"/>
  <c r="Y251" i="28"/>
  <c r="T18" i="28"/>
  <c r="V18" i="28" s="1"/>
  <c r="AR180" i="4"/>
  <c r="G61" i="14"/>
  <c r="G75" i="32"/>
  <c r="C53" i="14"/>
  <c r="T199" i="28"/>
  <c r="V199" i="28" s="1"/>
  <c r="X199" i="28" s="1"/>
  <c r="N22" i="31"/>
  <c r="C218" i="12"/>
  <c r="C10" i="12"/>
  <c r="C76" i="12"/>
  <c r="C22" i="12"/>
  <c r="C99" i="12"/>
  <c r="C72" i="12"/>
  <c r="C213" i="12"/>
  <c r="C5" i="12"/>
  <c r="AM65" i="32"/>
  <c r="AM97" i="32"/>
  <c r="AM54" i="32"/>
  <c r="A313" i="12"/>
  <c r="A448" i="12" s="1"/>
  <c r="A583" i="12" s="1"/>
  <c r="A718" i="12"/>
  <c r="A853" i="12" s="1"/>
  <c r="A988" i="12"/>
  <c r="A1123" i="12" s="1"/>
  <c r="A1258" i="12" s="1"/>
  <c r="A1393" i="12" s="1"/>
  <c r="A1528" i="12" s="1"/>
  <c r="A1663" i="12" s="1"/>
  <c r="A1798" i="12" s="1"/>
  <c r="A1933" i="12" s="1"/>
  <c r="A2068" i="12" s="1"/>
  <c r="A2203" i="12" s="1"/>
  <c r="A2338" i="12" s="1"/>
  <c r="A2473" i="12" s="1"/>
  <c r="A2608" i="12" s="1"/>
  <c r="A2743" i="12" s="1"/>
  <c r="A2878" i="12" s="1"/>
  <c r="A3013" i="12" s="1"/>
  <c r="A3148" i="12" s="1"/>
  <c r="A3283" i="12" s="1"/>
  <c r="A3418" i="12" s="1"/>
  <c r="A3553" i="12" s="1"/>
  <c r="A3688" i="12" s="1"/>
  <c r="A3823" i="12" s="1"/>
  <c r="A3958" i="12" s="1"/>
  <c r="A4093" i="12" s="1"/>
  <c r="A4228" i="12" s="1"/>
  <c r="A4363" i="12" s="1"/>
  <c r="A4498" i="12" s="1"/>
  <c r="A4633" i="12" s="1"/>
  <c r="A4768" i="12" s="1"/>
  <c r="A4903" i="12" s="1"/>
  <c r="A5038" i="12" s="1"/>
  <c r="A5173" i="12" s="1"/>
  <c r="K81" i="5"/>
  <c r="L80" i="5"/>
  <c r="I92" i="5"/>
  <c r="I98" i="5"/>
  <c r="P8" i="5"/>
  <c r="P9" i="5"/>
  <c r="Y120" i="28"/>
  <c r="T120" i="28"/>
  <c r="V120" i="28" s="1"/>
  <c r="W120" i="28" s="1"/>
  <c r="T135" i="28"/>
  <c r="V135" i="28" s="1"/>
  <c r="X135" i="28" s="1"/>
  <c r="T245" i="28"/>
  <c r="V245" i="28" s="1"/>
  <c r="X245" i="28" s="1"/>
  <c r="B259" i="12"/>
  <c r="M15" i="5"/>
  <c r="M38" i="5"/>
  <c r="S118" i="5"/>
  <c r="B107" i="14"/>
  <c r="B146" i="14"/>
  <c r="B185" i="14" s="1"/>
  <c r="B224" i="14"/>
  <c r="B263" i="14" s="1"/>
  <c r="G68" i="14"/>
  <c r="Y168" i="28"/>
  <c r="T168" i="28"/>
  <c r="V168" i="28" s="1"/>
  <c r="A505" i="12"/>
  <c r="A640" i="12"/>
  <c r="A775" i="12"/>
  <c r="A910" i="12" s="1"/>
  <c r="A1045" i="12" s="1"/>
  <c r="A1180" i="12"/>
  <c r="A1315" i="12" s="1"/>
  <c r="A1450" i="12" s="1"/>
  <c r="A1585" i="12" s="1"/>
  <c r="A1720" i="12"/>
  <c r="A1855" i="12"/>
  <c r="A1990" i="12" s="1"/>
  <c r="A2125" i="12" s="1"/>
  <c r="A2260" i="12" s="1"/>
  <c r="A2395" i="12" s="1"/>
  <c r="A2530" i="12" s="1"/>
  <c r="A2665" i="12" s="1"/>
  <c r="A2800" i="12" s="1"/>
  <c r="A2935" i="12" s="1"/>
  <c r="A3070" i="12" s="1"/>
  <c r="A3205" i="12" s="1"/>
  <c r="A3340" i="12" s="1"/>
  <c r="A3475" i="12" s="1"/>
  <c r="A3610" i="12" s="1"/>
  <c r="A3745" i="12" s="1"/>
  <c r="A3880" i="12" s="1"/>
  <c r="A4015" i="12" s="1"/>
  <c r="A4150" i="12" s="1"/>
  <c r="A4285" i="12" s="1"/>
  <c r="A4420" i="12" s="1"/>
  <c r="A4555" i="12" s="1"/>
  <c r="A4690" i="12" s="1"/>
  <c r="A4825" i="12" s="1"/>
  <c r="A4960" i="12" s="1"/>
  <c r="A5095" i="12" s="1"/>
  <c r="A5230" i="12" s="1"/>
  <c r="U115" i="5"/>
  <c r="M43" i="5"/>
  <c r="J53" i="5"/>
  <c r="J50" i="5"/>
  <c r="J104" i="5"/>
  <c r="A113" i="14"/>
  <c r="C74" i="14"/>
  <c r="A2637" i="12"/>
  <c r="A2772" i="12"/>
  <c r="A2907" i="12"/>
  <c r="A3042" i="12"/>
  <c r="A3177" i="12" s="1"/>
  <c r="A3312" i="12" s="1"/>
  <c r="A3447" i="12" s="1"/>
  <c r="A3582" i="12" s="1"/>
  <c r="A3717" i="12" s="1"/>
  <c r="A3852" i="12" s="1"/>
  <c r="A3987" i="12" s="1"/>
  <c r="A4122" i="12" s="1"/>
  <c r="A4257" i="12" s="1"/>
  <c r="A4392" i="12" s="1"/>
  <c r="A4527" i="12" s="1"/>
  <c r="A4662" i="12" s="1"/>
  <c r="A4797" i="12" s="1"/>
  <c r="A4932" i="12" s="1"/>
  <c r="A5067" i="12" s="1"/>
  <c r="A5202" i="12" s="1"/>
  <c r="A280" i="12"/>
  <c r="A415" i="12"/>
  <c r="R9" i="5"/>
  <c r="Y82" i="32"/>
  <c r="Y196" i="28"/>
  <c r="B206" i="12"/>
  <c r="B341" i="12"/>
  <c r="B191" i="12"/>
  <c r="C191" i="12" s="1"/>
  <c r="B326" i="12"/>
  <c r="B461" i="12" s="1"/>
  <c r="B177" i="12"/>
  <c r="B312" i="12" s="1"/>
  <c r="B226" i="12"/>
  <c r="C79" i="12"/>
  <c r="AG54" i="32"/>
  <c r="Y205" i="28"/>
  <c r="Y253" i="28"/>
  <c r="T253" i="28"/>
  <c r="V253" i="28" s="1"/>
  <c r="AL35" i="32"/>
  <c r="AL65" i="32"/>
  <c r="AL44" i="32"/>
  <c r="O97" i="32"/>
  <c r="B173" i="12"/>
  <c r="A711" i="12"/>
  <c r="A846" i="12"/>
  <c r="A981" i="12"/>
  <c r="A1116" i="12" s="1"/>
  <c r="A2307" i="12"/>
  <c r="A2442" i="12"/>
  <c r="A2577" i="12" s="1"/>
  <c r="A2712" i="12" s="1"/>
  <c r="A2847" i="12" s="1"/>
  <c r="A2982" i="12"/>
  <c r="A3117" i="12" s="1"/>
  <c r="A3252" i="12" s="1"/>
  <c r="A3387" i="12" s="1"/>
  <c r="A3522" i="12" s="1"/>
  <c r="A3657" i="12" s="1"/>
  <c r="A3792" i="12" s="1"/>
  <c r="A3927" i="12" s="1"/>
  <c r="A4062" i="12"/>
  <c r="A4197" i="12" s="1"/>
  <c r="A4332" i="12" s="1"/>
  <c r="A4467" i="12" s="1"/>
  <c r="A4602" i="12" s="1"/>
  <c r="A4737" i="12" s="1"/>
  <c r="A4872" i="12" s="1"/>
  <c r="A5007" i="12" s="1"/>
  <c r="A5142" i="12" s="1"/>
  <c r="T115" i="5"/>
  <c r="C68" i="14"/>
  <c r="C34" i="12"/>
  <c r="C198" i="12"/>
  <c r="Y21" i="32"/>
  <c r="Y225" i="28"/>
  <c r="AR8" i="4"/>
  <c r="AR92" i="4"/>
  <c r="AR79" i="4"/>
  <c r="AR205" i="4"/>
  <c r="AR194" i="4"/>
  <c r="AA21" i="32"/>
  <c r="T9" i="28"/>
  <c r="V9" i="28" s="1"/>
  <c r="W9" i="28" s="1"/>
  <c r="Y9" i="28"/>
  <c r="B510" i="12"/>
  <c r="B645" i="12" s="1"/>
  <c r="B780" i="12" s="1"/>
  <c r="B915" i="12" s="1"/>
  <c r="B1050" i="12"/>
  <c r="G72" i="14"/>
  <c r="B111" i="14"/>
  <c r="AA97" i="32"/>
  <c r="AA30" i="32"/>
  <c r="Y183" i="28"/>
  <c r="S65" i="32"/>
  <c r="S30" i="32"/>
  <c r="L65" i="32"/>
  <c r="L54" i="32"/>
  <c r="Y240" i="28"/>
  <c r="T240" i="28"/>
  <c r="V240" i="28" s="1"/>
  <c r="AR208" i="4"/>
  <c r="H75" i="32"/>
  <c r="U44" i="32"/>
  <c r="T4" i="28"/>
  <c r="V4" i="28" s="1"/>
  <c r="W4" i="28" s="1"/>
  <c r="O47" i="40"/>
  <c r="AR24" i="4"/>
  <c r="AR99" i="4"/>
  <c r="AR169" i="4"/>
  <c r="AR59" i="4"/>
  <c r="AR66" i="4"/>
  <c r="AR71" i="4"/>
  <c r="AR176" i="4"/>
  <c r="AR34" i="4"/>
  <c r="AR115" i="4"/>
  <c r="AR11" i="4"/>
  <c r="AR186" i="4"/>
  <c r="AR5" i="4"/>
  <c r="AR70" i="4"/>
  <c r="AR216" i="4"/>
  <c r="AR158" i="4"/>
  <c r="AR51" i="4"/>
  <c r="AR207" i="4"/>
  <c r="AR184" i="4"/>
  <c r="AR206" i="4"/>
  <c r="AR69" i="4"/>
  <c r="AR35" i="4"/>
  <c r="AR33" i="4"/>
  <c r="AR127" i="4"/>
  <c r="AR183" i="4"/>
  <c r="AR104" i="4"/>
  <c r="AR193" i="4"/>
  <c r="AR125" i="4"/>
  <c r="AR73" i="4"/>
  <c r="AR67" i="4"/>
  <c r="AR168" i="4"/>
  <c r="AR26" i="4"/>
  <c r="AR213" i="4"/>
  <c r="AR63" i="4"/>
  <c r="AR119" i="4"/>
  <c r="AR60" i="4"/>
  <c r="AR198" i="4"/>
  <c r="AR87" i="4"/>
  <c r="AR82" i="4"/>
  <c r="AR40" i="4"/>
  <c r="AR166" i="4"/>
  <c r="AR179" i="4"/>
  <c r="AR164" i="4"/>
  <c r="AR57" i="4"/>
  <c r="AR10" i="4"/>
  <c r="AR211" i="4"/>
  <c r="AR173" i="4"/>
  <c r="AR30" i="4"/>
  <c r="AR199" i="4"/>
  <c r="AR74" i="4"/>
  <c r="AR159" i="4"/>
  <c r="AR3" i="4"/>
  <c r="AR42" i="4"/>
  <c r="AR49" i="4"/>
  <c r="AR107" i="4"/>
  <c r="AR4" i="4"/>
  <c r="AR101" i="4"/>
  <c r="AR15" i="4"/>
  <c r="AR114" i="4"/>
  <c r="AR29" i="4"/>
  <c r="AR32" i="4"/>
  <c r="AR116" i="4"/>
  <c r="AR196" i="4"/>
  <c r="AR167" i="4"/>
  <c r="AR56" i="4"/>
  <c r="AR2" i="4"/>
  <c r="AR91" i="4"/>
  <c r="AR155" i="4"/>
  <c r="AR31" i="4"/>
  <c r="AR21" i="4"/>
  <c r="AR106" i="4"/>
  <c r="AR53" i="4"/>
  <c r="AR102" i="4"/>
  <c r="AR90" i="4"/>
  <c r="AR128" i="4"/>
  <c r="AR64" i="4"/>
  <c r="AR16" i="4"/>
  <c r="AR178" i="4"/>
  <c r="AR190" i="4"/>
  <c r="AR204" i="4"/>
  <c r="AR43" i="4"/>
  <c r="AR52" i="4"/>
  <c r="AR181" i="4"/>
  <c r="Y220" i="28"/>
  <c r="AR145" i="4"/>
  <c r="AR129" i="4"/>
  <c r="U24" i="15"/>
  <c r="Z24" i="15"/>
  <c r="AS59" i="4"/>
  <c r="AU59" i="4" s="1"/>
  <c r="P56" i="4"/>
  <c r="P192" i="4"/>
  <c r="P27" i="4"/>
  <c r="B904" i="12"/>
  <c r="A109" i="14"/>
  <c r="AN97" i="32"/>
  <c r="AN54" i="32"/>
  <c r="AN21" i="32"/>
  <c r="AN75" i="32"/>
  <c r="J19" i="5"/>
  <c r="M49" i="5"/>
  <c r="T227" i="28"/>
  <c r="V227" i="28" s="1"/>
  <c r="Y227" i="28"/>
  <c r="B223" i="12"/>
  <c r="B358" i="12" s="1"/>
  <c r="B493" i="12"/>
  <c r="C493" i="12" s="1"/>
  <c r="B628" i="12"/>
  <c r="B673" i="12"/>
  <c r="B808" i="12"/>
  <c r="B943" i="12" s="1"/>
  <c r="B1078" i="12" s="1"/>
  <c r="B1213" i="12" s="1"/>
  <c r="B256" i="12"/>
  <c r="B391" i="12" s="1"/>
  <c r="B526" i="12"/>
  <c r="C121" i="12"/>
  <c r="Y273" i="28"/>
  <c r="T273" i="28"/>
  <c r="A2174" i="12"/>
  <c r="A2309" i="12"/>
  <c r="A2444" i="12" s="1"/>
  <c r="A2579" i="12" s="1"/>
  <c r="A2714" i="12"/>
  <c r="A2849" i="12" s="1"/>
  <c r="N43" i="5"/>
  <c r="N42" i="5"/>
  <c r="N40" i="5"/>
  <c r="Y234" i="28"/>
  <c r="AN65" i="32"/>
  <c r="Y130" i="28"/>
  <c r="T237" i="28"/>
  <c r="Q9" i="5"/>
  <c r="T114" i="5"/>
  <c r="Q3" i="5"/>
  <c r="Y132" i="28"/>
  <c r="P5" i="5"/>
  <c r="U113" i="5"/>
  <c r="K85" i="5"/>
  <c r="J65" i="32"/>
  <c r="J21" i="32"/>
  <c r="J75" i="32"/>
  <c r="T5" i="28"/>
  <c r="V5" i="28" s="1"/>
  <c r="Y230" i="28"/>
  <c r="A1794" i="12"/>
  <c r="A1929" i="12"/>
  <c r="A2064" i="12" s="1"/>
  <c r="A2199" i="12" s="1"/>
  <c r="A2334" i="12" s="1"/>
  <c r="A2469" i="12" s="1"/>
  <c r="A2604" i="12" s="1"/>
  <c r="A2739" i="12" s="1"/>
  <c r="A2874" i="12" s="1"/>
  <c r="A3009" i="12" s="1"/>
  <c r="A3144" i="12" s="1"/>
  <c r="A3279" i="12" s="1"/>
  <c r="A3414" i="12" s="1"/>
  <c r="A3549" i="12" s="1"/>
  <c r="A3684" i="12" s="1"/>
  <c r="A3819" i="12" s="1"/>
  <c r="A3954" i="12" s="1"/>
  <c r="A4089" i="12" s="1"/>
  <c r="A4224" i="12" s="1"/>
  <c r="A4359" i="12" s="1"/>
  <c r="A4494" i="12" s="1"/>
  <c r="A4629" i="12" s="1"/>
  <c r="A4764" i="12" s="1"/>
  <c r="A4899" i="12" s="1"/>
  <c r="A5034" i="12" s="1"/>
  <c r="A5169" i="12" s="1"/>
  <c r="H62" i="14"/>
  <c r="AI85" i="32"/>
  <c r="AI21" i="32"/>
  <c r="AI65" i="32"/>
  <c r="AI35" i="32"/>
  <c r="AI75" i="32"/>
  <c r="AI44" i="32"/>
  <c r="Y24" i="28"/>
  <c r="T24" i="28"/>
  <c r="V24" i="28" s="1"/>
  <c r="X24" i="28" s="1"/>
  <c r="J17" i="5"/>
  <c r="P6" i="5"/>
  <c r="R113" i="5"/>
  <c r="P54" i="32"/>
  <c r="P65" i="32"/>
  <c r="T160" i="28"/>
  <c r="V160" i="28" s="1"/>
  <c r="Y160" i="28"/>
  <c r="T47" i="28"/>
  <c r="V47" i="28" s="1"/>
  <c r="X47" i="28" s="1"/>
  <c r="Y47" i="28"/>
  <c r="AJ21" i="32"/>
  <c r="AC65" i="32"/>
  <c r="AC44" i="32"/>
  <c r="AC35" i="32"/>
  <c r="W65" i="32"/>
  <c r="W44" i="32"/>
  <c r="W85" i="32"/>
  <c r="W54" i="32"/>
  <c r="O75" i="32"/>
  <c r="A1117" i="12"/>
  <c r="N39" i="5"/>
  <c r="R114" i="5"/>
  <c r="G70" i="14"/>
  <c r="AI30" i="32"/>
  <c r="I97" i="32"/>
  <c r="I30" i="32"/>
  <c r="I85" i="32"/>
  <c r="A1810" i="12"/>
  <c r="A1945" i="12"/>
  <c r="A2080" i="12" s="1"/>
  <c r="A2215" i="12" s="1"/>
  <c r="A2350" i="12"/>
  <c r="A2485" i="12" s="1"/>
  <c r="A2620" i="12" s="1"/>
  <c r="A2755" i="12" s="1"/>
  <c r="A2890" i="12" s="1"/>
  <c r="A3025" i="12" s="1"/>
  <c r="A3160" i="12" s="1"/>
  <c r="A3295" i="12" s="1"/>
  <c r="A3430" i="12" s="1"/>
  <c r="A3565" i="12" s="1"/>
  <c r="A3700" i="12" s="1"/>
  <c r="A3835" i="12" s="1"/>
  <c r="A3970" i="12" s="1"/>
  <c r="A4105" i="12" s="1"/>
  <c r="A4240" i="12" s="1"/>
  <c r="A4375" i="12" s="1"/>
  <c r="A4510" i="12" s="1"/>
  <c r="A4645" i="12" s="1"/>
  <c r="A4780" i="12" s="1"/>
  <c r="R38" i="5"/>
  <c r="K6" i="5"/>
  <c r="S113" i="5"/>
  <c r="M42" i="5"/>
  <c r="M37" i="5"/>
  <c r="J60" i="5"/>
  <c r="Q8" i="5"/>
  <c r="M44" i="5"/>
  <c r="R37" i="5"/>
  <c r="P3" i="5"/>
  <c r="J22" i="5"/>
  <c r="P4" i="5"/>
  <c r="P10" i="5"/>
  <c r="N44" i="5"/>
  <c r="H118" i="14"/>
  <c r="AN30" i="32"/>
  <c r="AI54" i="32"/>
  <c r="AI97" i="32"/>
  <c r="T116" i="28"/>
  <c r="V116" i="28" s="1"/>
  <c r="W116" i="28" s="1"/>
  <c r="Y116" i="28"/>
  <c r="T155" i="28"/>
  <c r="V155" i="28" s="1"/>
  <c r="Y155" i="28"/>
  <c r="K28" i="5"/>
  <c r="B88" i="14"/>
  <c r="B81" i="14"/>
  <c r="I53" i="14"/>
  <c r="H53" i="14"/>
  <c r="A84" i="14"/>
  <c r="Q85" i="32"/>
  <c r="X35" i="32"/>
  <c r="AD44" i="32"/>
  <c r="AM35" i="32"/>
  <c r="AM75" i="32"/>
  <c r="AM21" i="32"/>
  <c r="T153" i="28"/>
  <c r="Y186" i="28"/>
  <c r="K27" i="5"/>
  <c r="L49" i="5"/>
  <c r="I74" i="14"/>
  <c r="A80" i="14"/>
  <c r="X85" i="32"/>
  <c r="K35" i="32"/>
  <c r="Y222" i="28"/>
  <c r="T202" i="28"/>
  <c r="V202" i="28" s="1"/>
  <c r="W202" i="28" s="1"/>
  <c r="Y202" i="28"/>
  <c r="T214" i="28"/>
  <c r="V214" i="28" s="1"/>
  <c r="X214" i="28" s="1"/>
  <c r="T277" i="28"/>
  <c r="V277" i="28" s="1"/>
  <c r="X277" i="28" s="1"/>
  <c r="T76" i="28"/>
  <c r="V76" i="28" s="1"/>
  <c r="X76" i="28" s="1"/>
  <c r="T106" i="28"/>
  <c r="T55" i="28"/>
  <c r="V55" i="28" s="1"/>
  <c r="X55" i="28" s="1"/>
  <c r="T307" i="28"/>
  <c r="V307" i="28" s="1"/>
  <c r="T96" i="28"/>
  <c r="V96" i="28" s="1"/>
  <c r="X96" i="28" s="1"/>
  <c r="T282" i="28"/>
  <c r="V282" i="28" s="1"/>
  <c r="W282" i="28" s="1"/>
  <c r="T302" i="28"/>
  <c r="V302" i="28" s="1"/>
  <c r="X302" i="28" s="1"/>
  <c r="T88" i="28"/>
  <c r="V88" i="28" s="1"/>
  <c r="T98" i="28"/>
  <c r="V98" i="28" s="1"/>
  <c r="T216" i="28"/>
  <c r="V216" i="28" s="1"/>
  <c r="W216" i="28" s="1"/>
  <c r="T70" i="28"/>
  <c r="V70" i="28" s="1"/>
  <c r="T83" i="28"/>
  <c r="V83" i="28" s="1"/>
  <c r="X83" i="28" s="1"/>
  <c r="T295" i="28"/>
  <c r="V295" i="28" s="1"/>
  <c r="X295" i="28" s="1"/>
  <c r="T123" i="28"/>
  <c r="V123" i="28" s="1"/>
  <c r="W123" i="28" s="1"/>
  <c r="T19" i="28"/>
  <c r="V19" i="28" s="1"/>
  <c r="T172" i="28"/>
  <c r="V172" i="28" s="1"/>
  <c r="T239" i="28"/>
  <c r="V239" i="28" s="1"/>
  <c r="W239" i="28" s="1"/>
  <c r="T242" i="28"/>
  <c r="V242" i="28" s="1"/>
  <c r="X242" i="28" s="1"/>
  <c r="T8" i="28"/>
  <c r="V8" i="28" s="1"/>
  <c r="X8" i="28" s="1"/>
  <c r="T275" i="28"/>
  <c r="V275" i="28" s="1"/>
  <c r="W275" i="28" s="1"/>
  <c r="T259" i="28"/>
  <c r="V259" i="28" s="1"/>
  <c r="W259" i="28" s="1"/>
  <c r="T91" i="28"/>
  <c r="V91" i="28" s="1"/>
  <c r="W91" i="28" s="1"/>
  <c r="T17" i="28"/>
  <c r="V17" i="28" s="1"/>
  <c r="T170" i="28"/>
  <c r="V170" i="28" s="1"/>
  <c r="X170" i="28" s="1"/>
  <c r="T167" i="28"/>
  <c r="V167" i="28" s="1"/>
  <c r="X167" i="28" s="1"/>
  <c r="T144" i="28"/>
  <c r="V144" i="28" s="1"/>
  <c r="X144" i="28" s="1"/>
  <c r="T152" i="28"/>
  <c r="V152" i="28" s="1"/>
  <c r="AR147" i="4"/>
  <c r="AR146" i="4"/>
  <c r="AR143" i="4"/>
  <c r="AR140" i="4"/>
  <c r="AR131" i="4"/>
  <c r="AR144" i="4"/>
  <c r="AR133" i="4"/>
  <c r="AR132" i="4"/>
  <c r="AR151" i="4"/>
  <c r="AR150" i="4"/>
  <c r="AR148" i="4"/>
  <c r="AR152" i="4"/>
  <c r="AR134" i="4"/>
  <c r="AR149" i="4"/>
  <c r="AR130" i="4"/>
  <c r="AR138" i="4"/>
  <c r="AR139" i="4"/>
  <c r="AR141" i="4"/>
  <c r="AR142" i="4"/>
  <c r="AR135" i="4"/>
  <c r="A346" i="12"/>
  <c r="A90" i="14"/>
  <c r="I51" i="14"/>
  <c r="AE97" i="32"/>
  <c r="AE35" i="32"/>
  <c r="AE44" i="32"/>
  <c r="AE54" i="32"/>
  <c r="AE85" i="32"/>
  <c r="E97" i="32"/>
  <c r="E65" i="32"/>
  <c r="E44" i="32"/>
  <c r="T150" i="28"/>
  <c r="V150" i="28" s="1"/>
  <c r="X150" i="28" s="1"/>
  <c r="B86" i="14"/>
  <c r="B125" i="14" s="1"/>
  <c r="B164" i="14" s="1"/>
  <c r="B203" i="14" s="1"/>
  <c r="B242" i="14" s="1"/>
  <c r="H79" i="14"/>
  <c r="G79" i="14"/>
  <c r="I79" i="14"/>
  <c r="A112" i="14"/>
  <c r="AD75" i="32"/>
  <c r="AD65" i="32"/>
  <c r="X44" i="32"/>
  <c r="X54" i="32"/>
  <c r="X75" i="32"/>
  <c r="Q97" i="32"/>
  <c r="Q35" i="32"/>
  <c r="Q21" i="32"/>
  <c r="Q44" i="32"/>
  <c r="Q54" i="32"/>
  <c r="Q30" i="32"/>
  <c r="K85" i="32"/>
  <c r="K44" i="32"/>
  <c r="X35" i="33"/>
  <c r="AI82" i="32"/>
  <c r="X23" i="33"/>
  <c r="T165" i="28"/>
  <c r="V165" i="28" s="1"/>
  <c r="X165" i="28" s="1"/>
  <c r="Y165" i="28"/>
  <c r="Y20" i="28"/>
  <c r="C270" i="12"/>
  <c r="G85" i="32"/>
  <c r="AG84" i="17"/>
  <c r="AM84" i="17"/>
  <c r="W20" i="33"/>
  <c r="C251" i="12"/>
  <c r="L21" i="32"/>
  <c r="C85" i="32"/>
  <c r="L30" i="32"/>
  <c r="Y223" i="28"/>
  <c r="T13" i="28"/>
  <c r="V13" i="28" s="1"/>
  <c r="X13" i="28" s="1"/>
  <c r="Y176" i="28"/>
  <c r="T176" i="28"/>
  <c r="V176" i="28" s="1"/>
  <c r="W176" i="28" s="1"/>
  <c r="C71" i="14"/>
  <c r="T169" i="28"/>
  <c r="V169" i="28" s="1"/>
  <c r="T241" i="28"/>
  <c r="Y24" i="15"/>
  <c r="AI24" i="15"/>
  <c r="P24" i="15"/>
  <c r="Q24" i="15"/>
  <c r="AA24" i="15"/>
  <c r="N24" i="15"/>
  <c r="AD24" i="15"/>
  <c r="V24" i="15"/>
  <c r="I24" i="15"/>
  <c r="AJ24" i="15"/>
  <c r="AB24" i="15"/>
  <c r="M24" i="15"/>
  <c r="W24" i="15"/>
  <c r="R24" i="15"/>
  <c r="AL24" i="15"/>
  <c r="AK24" i="15"/>
  <c r="AN24" i="15"/>
  <c r="O24" i="15"/>
  <c r="AC24" i="15"/>
  <c r="T24" i="15"/>
  <c r="H24" i="15"/>
  <c r="AM24" i="15"/>
  <c r="X24" i="15"/>
  <c r="K24" i="15"/>
  <c r="J24" i="15"/>
  <c r="AE24" i="15"/>
  <c r="L24" i="15"/>
  <c r="S24" i="15"/>
  <c r="AG24" i="15"/>
  <c r="M47" i="40"/>
  <c r="Y101" i="28"/>
  <c r="T10" i="28"/>
  <c r="V10" i="28" s="1"/>
  <c r="T23" i="28"/>
  <c r="T145" i="28"/>
  <c r="V145" i="28" s="1"/>
  <c r="Y269" i="28"/>
  <c r="T269" i="28"/>
  <c r="V269" i="28" s="1"/>
  <c r="W269" i="28" s="1"/>
  <c r="Y276" i="28"/>
  <c r="T298" i="28"/>
  <c r="V298" i="28" s="1"/>
  <c r="T97" i="28"/>
  <c r="V97" i="28" s="1"/>
  <c r="X97" i="28" s="1"/>
  <c r="N1257" i="7"/>
  <c r="I1247" i="7"/>
  <c r="I341" i="7"/>
  <c r="I1026" i="7"/>
  <c r="I1255" i="7"/>
  <c r="I1603" i="7"/>
  <c r="I1607" i="7"/>
  <c r="N1025" i="7"/>
  <c r="I256" i="7"/>
  <c r="I460" i="7"/>
  <c r="I807" i="7"/>
  <c r="I918" i="7"/>
  <c r="I1029" i="7"/>
  <c r="I1095" i="7"/>
  <c r="I1100" i="7"/>
  <c r="I1119" i="7"/>
  <c r="I1172" i="7"/>
  <c r="I1248" i="7"/>
  <c r="I1252" i="7"/>
  <c r="I1265" i="7"/>
  <c r="I1269" i="7"/>
  <c r="I1273" i="7"/>
  <c r="I1277" i="7"/>
  <c r="I1591" i="7"/>
  <c r="I1595" i="7"/>
  <c r="I1599" i="7"/>
  <c r="N454" i="7"/>
  <c r="N612" i="7"/>
  <c r="N809" i="7"/>
  <c r="N920" i="7"/>
  <c r="N1031" i="7"/>
  <c r="N1098" i="7"/>
  <c r="N1102" i="7"/>
  <c r="N1183" i="7"/>
  <c r="N1250" i="7"/>
  <c r="N1254" i="7"/>
  <c r="N1267" i="7"/>
  <c r="N1271" i="7"/>
  <c r="N1275" i="7"/>
  <c r="N1279" i="7"/>
  <c r="N1593" i="7"/>
  <c r="N1597" i="7"/>
  <c r="I1260" i="7"/>
  <c r="I1600" i="7"/>
  <c r="I1266" i="7"/>
  <c r="N458" i="7"/>
  <c r="N1153" i="7"/>
  <c r="T215" i="28"/>
  <c r="V215" i="28" s="1"/>
  <c r="N1265" i="7"/>
  <c r="N1269" i="7"/>
  <c r="N1277" i="7"/>
  <c r="N1591" i="7"/>
  <c r="N1595" i="7"/>
  <c r="N1599" i="7"/>
  <c r="I258" i="7"/>
  <c r="I1025" i="7"/>
  <c r="I1152" i="7"/>
  <c r="I1258" i="7"/>
  <c r="I1262" i="7"/>
  <c r="I1602" i="7"/>
  <c r="I1606" i="7"/>
  <c r="N255" i="7"/>
  <c r="N965" i="7"/>
  <c r="N1261" i="7"/>
  <c r="I253" i="7"/>
  <c r="I458" i="7"/>
  <c r="I695" i="7"/>
  <c r="I810" i="7"/>
  <c r="I964" i="7"/>
  <c r="I1094" i="7"/>
  <c r="I1099" i="7"/>
  <c r="I1103" i="7"/>
  <c r="I1153" i="7"/>
  <c r="I1251" i="7"/>
  <c r="I1264" i="7"/>
  <c r="I1268" i="7"/>
  <c r="I1272" i="7"/>
  <c r="I1276" i="7"/>
  <c r="I1590" i="7"/>
  <c r="I1594" i="7"/>
  <c r="I1598" i="7"/>
  <c r="N595" i="7"/>
  <c r="N919" i="7"/>
  <c r="N1101" i="7"/>
  <c r="N1173" i="7"/>
  <c r="N1249" i="7"/>
  <c r="N1253" i="7"/>
  <c r="N1592" i="7"/>
  <c r="N1596" i="7"/>
  <c r="I1259" i="7"/>
  <c r="I1263" i="7"/>
  <c r="N258" i="7"/>
  <c r="N1121" i="7"/>
  <c r="I251" i="7"/>
  <c r="I459" i="7"/>
  <c r="I1027" i="7"/>
  <c r="I1256" i="7"/>
  <c r="I1604" i="7"/>
  <c r="I1608" i="7"/>
  <c r="N341" i="7"/>
  <c r="N1026" i="7"/>
  <c r="N1255" i="7"/>
  <c r="N1259" i="7"/>
  <c r="N1263" i="7"/>
  <c r="N1603" i="7"/>
  <c r="N1607" i="7"/>
  <c r="I293" i="7"/>
  <c r="I595" i="7"/>
  <c r="I808" i="7"/>
  <c r="I919" i="7"/>
  <c r="I1030" i="7"/>
  <c r="I1096" i="7"/>
  <c r="I1101" i="7"/>
  <c r="I1120" i="7"/>
  <c r="I1173" i="7"/>
  <c r="I1249" i="7"/>
  <c r="I1253" i="7"/>
  <c r="I1270" i="7"/>
  <c r="I1274" i="7"/>
  <c r="I1278" i="7"/>
  <c r="I1592" i="7"/>
  <c r="I1596" i="7"/>
  <c r="N253" i="7"/>
  <c r="N695" i="7"/>
  <c r="N810" i="7"/>
  <c r="N964" i="7"/>
  <c r="N1094" i="7"/>
  <c r="N1099" i="7"/>
  <c r="N1103" i="7"/>
  <c r="N1247" i="7"/>
  <c r="N1251" i="7"/>
  <c r="N1264" i="7"/>
  <c r="N1268" i="7"/>
  <c r="N1272" i="7"/>
  <c r="N1276" i="7"/>
  <c r="N1590" i="7"/>
  <c r="N1594" i="7"/>
  <c r="N1598" i="7"/>
  <c r="N1152" i="7"/>
  <c r="N1258" i="7"/>
  <c r="N1262" i="7"/>
  <c r="N1602" i="7"/>
  <c r="N1606" i="7"/>
  <c r="I255" i="7"/>
  <c r="I965" i="7"/>
  <c r="I1257" i="7"/>
  <c r="I1261" i="7"/>
  <c r="I1601" i="7"/>
  <c r="I1605" i="7"/>
  <c r="N1256" i="7"/>
  <c r="N1260" i="7"/>
  <c r="N1604" i="7"/>
  <c r="N293" i="7"/>
  <c r="N808" i="7"/>
  <c r="N1030" i="7"/>
  <c r="N1096" i="7"/>
  <c r="N1120" i="7"/>
  <c r="N1266" i="7"/>
  <c r="N1270" i="7"/>
  <c r="N1274" i="7"/>
  <c r="N1278" i="7"/>
  <c r="A48" i="6"/>
  <c r="A49" i="6"/>
  <c r="B48" i="6"/>
  <c r="B49" i="6"/>
  <c r="B20" i="6"/>
  <c r="B64" i="6"/>
  <c r="AS2" i="4"/>
  <c r="AU2" i="4" s="1"/>
  <c r="AW2" i="4" s="1"/>
  <c r="R120" i="4"/>
  <c r="P157" i="4"/>
  <c r="P153" i="4"/>
  <c r="AQ153" i="4"/>
  <c r="P165" i="4"/>
  <c r="R214" i="4"/>
  <c r="AS12" i="4"/>
  <c r="P3" i="4"/>
  <c r="P74" i="4"/>
  <c r="W38" i="4"/>
  <c r="R150" i="4"/>
  <c r="K19" i="5"/>
  <c r="L22" i="5"/>
  <c r="L53" i="5"/>
  <c r="L50" i="5"/>
  <c r="D31" i="14"/>
  <c r="D2" i="14"/>
  <c r="D37" i="14"/>
  <c r="W40" i="33"/>
  <c r="T178" i="28"/>
  <c r="V178" i="28" s="1"/>
  <c r="W178" i="28" s="1"/>
  <c r="J70" i="5"/>
  <c r="M53" i="5"/>
  <c r="S41" i="5"/>
  <c r="J40" i="5"/>
  <c r="L38" i="5"/>
  <c r="Q6" i="5"/>
  <c r="I99" i="5"/>
  <c r="N41" i="5"/>
  <c r="P37" i="5"/>
  <c r="L51" i="5"/>
  <c r="L20" i="5"/>
  <c r="J71" i="5"/>
  <c r="J49" i="5"/>
  <c r="J20" i="5"/>
  <c r="I22" i="5"/>
  <c r="O43" i="5"/>
  <c r="S43" i="5"/>
  <c r="M55" i="5"/>
  <c r="J88" i="5"/>
  <c r="J84" i="5"/>
  <c r="D53" i="14"/>
  <c r="C54" i="14"/>
  <c r="AC97" i="32"/>
  <c r="AC85" i="32"/>
  <c r="AC21" i="32"/>
  <c r="AC75" i="32"/>
  <c r="AC54" i="32"/>
  <c r="AC30" i="32"/>
  <c r="P75" i="32"/>
  <c r="P97" i="32"/>
  <c r="P30" i="32"/>
  <c r="P85" i="32"/>
  <c r="P21" i="32"/>
  <c r="P44" i="32"/>
  <c r="P35" i="32"/>
  <c r="Y117" i="28"/>
  <c r="B205" i="12"/>
  <c r="C205" i="12" s="1"/>
  <c r="C70" i="12"/>
  <c r="B468" i="12"/>
  <c r="C468" i="12"/>
  <c r="C333" i="12"/>
  <c r="I10" i="5"/>
  <c r="G64" i="14"/>
  <c r="H64" i="14"/>
  <c r="T210" i="28"/>
  <c r="V210" i="28" s="1"/>
  <c r="W210" i="28" s="1"/>
  <c r="Y210" i="28"/>
  <c r="J9" i="5"/>
  <c r="L48" i="5"/>
  <c r="L15" i="5"/>
  <c r="U3" i="5"/>
  <c r="N37" i="5"/>
  <c r="K30" i="5"/>
  <c r="K29" i="5"/>
  <c r="C294" i="12"/>
  <c r="I71" i="14"/>
  <c r="A110" i="14"/>
  <c r="H71" i="14"/>
  <c r="F71" i="14"/>
  <c r="H56" i="14"/>
  <c r="AH35" i="32"/>
  <c r="AH21" i="32"/>
  <c r="AH65" i="32"/>
  <c r="AH30" i="32"/>
  <c r="AH85" i="32"/>
  <c r="AH54" i="32"/>
  <c r="AH44" i="32"/>
  <c r="AH75" i="32"/>
  <c r="AB54" i="32"/>
  <c r="AB35" i="32"/>
  <c r="AB21" i="32"/>
  <c r="AB44" i="32"/>
  <c r="AB97" i="32"/>
  <c r="AB75" i="32"/>
  <c r="AB65" i="32"/>
  <c r="AB30" i="32"/>
  <c r="T131" i="28"/>
  <c r="V131" i="28" s="1"/>
  <c r="X131" i="28" s="1"/>
  <c r="Y131" i="28"/>
  <c r="Y121" i="28"/>
  <c r="Y157" i="28"/>
  <c r="T157" i="28"/>
  <c r="V157" i="28" s="1"/>
  <c r="Y250" i="28"/>
  <c r="T250" i="28"/>
  <c r="A3208" i="12"/>
  <c r="A3343" i="12" s="1"/>
  <c r="A3478" i="12" s="1"/>
  <c r="A3613" i="12" s="1"/>
  <c r="A3748" i="12" s="1"/>
  <c r="A3883" i="12" s="1"/>
  <c r="A596" i="12"/>
  <c r="A731" i="12"/>
  <c r="A866" i="12" s="1"/>
  <c r="A435" i="12"/>
  <c r="J82" i="5"/>
  <c r="L52" i="5"/>
  <c r="J48" i="5"/>
  <c r="J15" i="5"/>
  <c r="S3" i="5"/>
  <c r="I97" i="5"/>
  <c r="M50" i="5"/>
  <c r="R43" i="5"/>
  <c r="J41" i="5"/>
  <c r="L37" i="5"/>
  <c r="K5" i="5"/>
  <c r="J16" i="5"/>
  <c r="M25" i="5"/>
  <c r="U116" i="5"/>
  <c r="T113" i="5"/>
  <c r="P7" i="5"/>
  <c r="L44" i="5"/>
  <c r="P44" i="5"/>
  <c r="I66" i="5"/>
  <c r="D42" i="14"/>
  <c r="I92" i="14"/>
  <c r="B99" i="14"/>
  <c r="B138" i="14" s="1"/>
  <c r="B177" i="14" s="1"/>
  <c r="B216" i="14" s="1"/>
  <c r="B255" i="14" s="1"/>
  <c r="I60" i="14"/>
  <c r="H63" i="14"/>
  <c r="G63" i="14"/>
  <c r="A94" i="14"/>
  <c r="H55" i="14"/>
  <c r="G55" i="14"/>
  <c r="I55" i="14"/>
  <c r="H47" i="14"/>
  <c r="X36" i="33"/>
  <c r="S4" i="5"/>
  <c r="L21" i="5"/>
  <c r="L19" i="5"/>
  <c r="K77" i="5"/>
  <c r="K71" i="5"/>
  <c r="J38" i="5"/>
  <c r="O40" i="5"/>
  <c r="O39" i="5"/>
  <c r="K74" i="5"/>
  <c r="J37" i="5"/>
  <c r="I95" i="5"/>
  <c r="I96" i="5"/>
  <c r="C571" i="12"/>
  <c r="D38" i="14"/>
  <c r="B103" i="14"/>
  <c r="B142" i="14"/>
  <c r="B181" i="14"/>
  <c r="B220" i="14" s="1"/>
  <c r="B259" i="14" s="1"/>
  <c r="AK54" i="32"/>
  <c r="AK75" i="32"/>
  <c r="AK35" i="32"/>
  <c r="M54" i="32"/>
  <c r="M85" i="32"/>
  <c r="M30" i="32"/>
  <c r="M75" i="32"/>
  <c r="M44" i="32"/>
  <c r="B97" i="32"/>
  <c r="B54" i="32"/>
  <c r="W34" i="33"/>
  <c r="J72" i="5"/>
  <c r="J75" i="5"/>
  <c r="L69" i="5"/>
  <c r="K21" i="5"/>
  <c r="L18" i="5"/>
  <c r="K38" i="5"/>
  <c r="N47" i="5"/>
  <c r="K18" i="5"/>
  <c r="S5" i="5"/>
  <c r="R39" i="5"/>
  <c r="K42" i="5"/>
  <c r="S10" i="5"/>
  <c r="K75" i="5"/>
  <c r="M51" i="5"/>
  <c r="R42" i="5"/>
  <c r="R40" i="5"/>
  <c r="K39" i="5"/>
  <c r="Q5" i="5"/>
  <c r="M48" i="5"/>
  <c r="P39" i="5"/>
  <c r="U114" i="5"/>
  <c r="C64" i="14"/>
  <c r="D45" i="14"/>
  <c r="D77" i="14"/>
  <c r="G118" i="14"/>
  <c r="A157" i="14"/>
  <c r="I118" i="14"/>
  <c r="C118" i="14"/>
  <c r="C113" i="14"/>
  <c r="C69" i="14"/>
  <c r="AB85" i="32"/>
  <c r="AF44" i="32"/>
  <c r="AF65" i="32"/>
  <c r="AF85" i="32"/>
  <c r="AF30" i="32"/>
  <c r="AF75" i="32"/>
  <c r="AF35" i="32"/>
  <c r="T35" i="32"/>
  <c r="T85" i="32"/>
  <c r="T65" i="32"/>
  <c r="T21" i="32"/>
  <c r="T54" i="32"/>
  <c r="T97" i="32"/>
  <c r="T30" i="32"/>
  <c r="G65" i="32"/>
  <c r="G44" i="32"/>
  <c r="G35" i="32"/>
  <c r="G97" i="32"/>
  <c r="G21" i="32"/>
  <c r="G30" i="32"/>
  <c r="T137" i="28"/>
  <c r="V137" i="28" s="1"/>
  <c r="W137" i="28" s="1"/>
  <c r="S82" i="32"/>
  <c r="W19" i="33"/>
  <c r="C229" i="12"/>
  <c r="B87" i="14"/>
  <c r="G48" i="14"/>
  <c r="I62" i="14"/>
  <c r="A101" i="14"/>
  <c r="Y6" i="28"/>
  <c r="T6" i="28"/>
  <c r="V6" i="28" s="1"/>
  <c r="W6" i="28" s="1"/>
  <c r="T21" i="28"/>
  <c r="V21" i="28" s="1"/>
  <c r="T181" i="28"/>
  <c r="V181" i="28" s="1"/>
  <c r="W181" i="28" s="1"/>
  <c r="Y181" i="28"/>
  <c r="Y177" i="28"/>
  <c r="T177" i="28"/>
  <c r="V177" i="28" s="1"/>
  <c r="X177" i="28" s="1"/>
  <c r="T249" i="28"/>
  <c r="V249" i="28" s="1"/>
  <c r="Y249" i="28"/>
  <c r="B1651" i="12"/>
  <c r="B1786" i="12" s="1"/>
  <c r="B524" i="12"/>
  <c r="C524" i="12" s="1"/>
  <c r="G45" i="14"/>
  <c r="B84" i="14"/>
  <c r="B123" i="14"/>
  <c r="H22" i="31"/>
  <c r="C22" i="31"/>
  <c r="G22" i="31"/>
  <c r="D22" i="31"/>
  <c r="I22" i="31"/>
  <c r="E22" i="31"/>
  <c r="G59" i="14"/>
  <c r="I43" i="14"/>
  <c r="G43" i="14"/>
  <c r="H43" i="14"/>
  <c r="Y97" i="32"/>
  <c r="Y35" i="32"/>
  <c r="Y44" i="32"/>
  <c r="Y54" i="32"/>
  <c r="Y30" i="32"/>
  <c r="Y75" i="32"/>
  <c r="Y85" i="32"/>
  <c r="S44" i="32"/>
  <c r="S97" i="32"/>
  <c r="S85" i="32"/>
  <c r="S35" i="32"/>
  <c r="S54" i="32"/>
  <c r="F65" i="32"/>
  <c r="F75" i="32"/>
  <c r="F85" i="32"/>
  <c r="F35" i="32"/>
  <c r="Y15" i="28"/>
  <c r="Y195" i="28"/>
  <c r="T195" i="28"/>
  <c r="V195" i="28" s="1"/>
  <c r="X195" i="28" s="1"/>
  <c r="F84" i="17"/>
  <c r="AJ84" i="17"/>
  <c r="AB84" i="17"/>
  <c r="L84" i="17"/>
  <c r="C134" i="12"/>
  <c r="C133" i="12"/>
  <c r="C224" i="12"/>
  <c r="C245" i="12"/>
  <c r="C244" i="12"/>
  <c r="C138" i="12"/>
  <c r="C379" i="12"/>
  <c r="C148" i="12"/>
  <c r="C179" i="12"/>
  <c r="C162" i="12"/>
  <c r="C348" i="12"/>
  <c r="C135" i="12"/>
  <c r="C262" i="12"/>
  <c r="C249" i="12"/>
  <c r="C252" i="12"/>
  <c r="C190" i="12"/>
  <c r="C183" i="12"/>
  <c r="C184" i="12"/>
  <c r="C310" i="12"/>
  <c r="C303" i="12"/>
  <c r="C136" i="12"/>
  <c r="C540" i="12"/>
  <c r="C225" i="12"/>
  <c r="C201" i="12"/>
  <c r="C209" i="12"/>
  <c r="C521" i="12"/>
  <c r="C261" i="12"/>
  <c r="C254" i="12"/>
  <c r="C166" i="12"/>
  <c r="C215" i="12"/>
  <c r="C157" i="12"/>
  <c r="C160" i="12"/>
  <c r="C780" i="12"/>
  <c r="G58" i="14"/>
  <c r="H58" i="14"/>
  <c r="B136" i="14"/>
  <c r="B175" i="14" s="1"/>
  <c r="A105" i="14"/>
  <c r="G66" i="14"/>
  <c r="A89" i="14"/>
  <c r="Y113" i="28"/>
  <c r="T113" i="28"/>
  <c r="V113" i="28" s="1"/>
  <c r="X113" i="28" s="1"/>
  <c r="T122" i="28"/>
  <c r="V122" i="28" s="1"/>
  <c r="W122" i="28" s="1"/>
  <c r="Y122" i="28"/>
  <c r="Y139" i="28"/>
  <c r="T139" i="28"/>
  <c r="V139" i="28" s="1"/>
  <c r="T194" i="28"/>
  <c r="V194" i="28" s="1"/>
  <c r="W194" i="28" s="1"/>
  <c r="Y194" i="28"/>
  <c r="Y224" i="28"/>
  <c r="AK84" i="17"/>
  <c r="AC84" i="17"/>
  <c r="AI84" i="17"/>
  <c r="AA84" i="17"/>
  <c r="K84" i="17"/>
  <c r="C84" i="17"/>
  <c r="Y84" i="17"/>
  <c r="G65" i="14"/>
  <c r="A104" i="14"/>
  <c r="H104" i="14"/>
  <c r="A96" i="14"/>
  <c r="G57" i="14"/>
  <c r="AD97" i="32"/>
  <c r="AD54" i="32"/>
  <c r="AD30" i="32"/>
  <c r="AD35" i="32"/>
  <c r="AD21" i="32"/>
  <c r="K75" i="32"/>
  <c r="K21" i="32"/>
  <c r="K30" i="32"/>
  <c r="K54" i="32"/>
  <c r="K65" i="32"/>
  <c r="Y22" i="28"/>
  <c r="T22" i="28"/>
  <c r="V22" i="28" s="1"/>
  <c r="W22" i="28" s="1"/>
  <c r="T115" i="28"/>
  <c r="V115" i="28" s="1"/>
  <c r="Y115" i="28"/>
  <c r="Y203" i="28"/>
  <c r="T203" i="28"/>
  <c r="V203" i="28" s="1"/>
  <c r="W203" i="28" s="1"/>
  <c r="C273" i="12"/>
  <c r="H68" i="14"/>
  <c r="A103" i="14"/>
  <c r="I64" i="14"/>
  <c r="E75" i="32"/>
  <c r="U54" i="32"/>
  <c r="AL75" i="32"/>
  <c r="AL30" i="32"/>
  <c r="AG75" i="32"/>
  <c r="W38" i="33"/>
  <c r="AL82" i="32"/>
  <c r="V82" i="32"/>
  <c r="Y26" i="28"/>
  <c r="Y247" i="28"/>
  <c r="Y25" i="28"/>
  <c r="T25" i="28"/>
  <c r="V25" i="28" s="1"/>
  <c r="W25" i="28" s="1"/>
  <c r="Y124" i="28"/>
  <c r="T124" i="28"/>
  <c r="V124" i="28" s="1"/>
  <c r="W124" i="28" s="1"/>
  <c r="T147" i="28"/>
  <c r="V147" i="28" s="1"/>
  <c r="W147" i="28" s="1"/>
  <c r="Y147" i="28"/>
  <c r="Y229" i="28"/>
  <c r="T229" i="28"/>
  <c r="V229" i="28" s="1"/>
  <c r="X229" i="28" s="1"/>
  <c r="AD17" i="15"/>
  <c r="A127" i="14"/>
  <c r="H74" i="14"/>
  <c r="A107" i="14"/>
  <c r="A100" i="14"/>
  <c r="A93" i="14"/>
  <c r="AN35" i="32"/>
  <c r="U75" i="32"/>
  <c r="J97" i="32"/>
  <c r="J35" i="32"/>
  <c r="J85" i="32"/>
  <c r="AD82" i="32"/>
  <c r="Y128" i="28"/>
  <c r="Y164" i="28"/>
  <c r="Y126" i="28"/>
  <c r="T126" i="28"/>
  <c r="V126" i="28" s="1"/>
  <c r="T138" i="28"/>
  <c r="Y208" i="28"/>
  <c r="T208" i="28"/>
  <c r="V208" i="28" s="1"/>
  <c r="X208" i="28" s="1"/>
  <c r="I54" i="32"/>
  <c r="AN85" i="32"/>
  <c r="AN44" i="32"/>
  <c r="N75" i="32"/>
  <c r="N85" i="32"/>
  <c r="E54" i="32"/>
  <c r="E35" i="32"/>
  <c r="E30" i="32"/>
  <c r="E21" i="32"/>
  <c r="E85" i="32"/>
  <c r="Y199" i="28"/>
  <c r="T29" i="28"/>
  <c r="V29" i="28" s="1"/>
  <c r="X29" i="28" s="1"/>
  <c r="T198" i="28"/>
  <c r="V198" i="28" s="1"/>
  <c r="T206" i="28"/>
  <c r="V206" i="28" s="1"/>
  <c r="T232" i="28"/>
  <c r="V232" i="28" s="1"/>
  <c r="X232" i="28" s="1"/>
  <c r="A98" i="14"/>
  <c r="I59" i="14"/>
  <c r="A130" i="14"/>
  <c r="A169" i="14" s="1"/>
  <c r="A208" i="14" s="1"/>
  <c r="A247" i="14" s="1"/>
  <c r="U97" i="32"/>
  <c r="U65" i="32"/>
  <c r="I44" i="32"/>
  <c r="I75" i="32"/>
  <c r="Y118" i="28"/>
  <c r="T118" i="28"/>
  <c r="V118" i="28" s="1"/>
  <c r="Y158" i="28"/>
  <c r="T158" i="28"/>
  <c r="V158" i="28" s="1"/>
  <c r="H84" i="17"/>
  <c r="Y17" i="33"/>
  <c r="AS4" i="4"/>
  <c r="AU4" i="4" s="1"/>
  <c r="AW4" i="4" s="1"/>
  <c r="Y246" i="28"/>
  <c r="AS80" i="4"/>
  <c r="AU80" i="4" s="1"/>
  <c r="AQ66" i="4"/>
  <c r="P168" i="4"/>
  <c r="P84" i="17"/>
  <c r="V84" i="17"/>
  <c r="W17" i="4"/>
  <c r="R209" i="4"/>
  <c r="W212" i="4"/>
  <c r="AR192" i="4"/>
  <c r="AR174" i="4"/>
  <c r="AR94" i="4"/>
  <c r="AR62" i="4"/>
  <c r="AR47" i="4"/>
  <c r="AR189" i="4"/>
  <c r="Y2" i="28"/>
  <c r="T2" i="28"/>
  <c r="V2" i="28" s="1"/>
  <c r="P164" i="4"/>
  <c r="P198" i="4"/>
  <c r="T87" i="28"/>
  <c r="V87" i="28" s="1"/>
  <c r="X87" i="28" s="1"/>
  <c r="T257" i="28"/>
  <c r="V257" i="28" s="1"/>
  <c r="X257" i="28" s="1"/>
  <c r="T61" i="28"/>
  <c r="V61" i="28" s="1"/>
  <c r="W61" i="28" s="1"/>
  <c r="T286" i="28"/>
  <c r="V286" i="28" s="1"/>
  <c r="T278" i="28"/>
  <c r="V278" i="28" s="1"/>
  <c r="T35" i="28"/>
  <c r="V35" i="28" s="1"/>
  <c r="T315" i="28"/>
  <c r="V315" i="28" s="1"/>
  <c r="T304" i="28"/>
  <c r="V304" i="28" s="1"/>
  <c r="X304" i="28" s="1"/>
  <c r="T99" i="28"/>
  <c r="V99" i="28" s="1"/>
  <c r="X99" i="28" s="1"/>
  <c r="AR36" i="4"/>
  <c r="AR61" i="4"/>
  <c r="AR85" i="4"/>
  <c r="AR209" i="4"/>
  <c r="AR28" i="4"/>
  <c r="AR37" i="4"/>
  <c r="AR88" i="4"/>
  <c r="AR122" i="4"/>
  <c r="AR165" i="4"/>
  <c r="AR7" i="4"/>
  <c r="P125" i="4"/>
  <c r="T301" i="28"/>
  <c r="V301" i="28" s="1"/>
  <c r="W301" i="28" s="1"/>
  <c r="T292" i="28"/>
  <c r="V292" i="28" s="1"/>
  <c r="T263" i="28"/>
  <c r="T44" i="28"/>
  <c r="T60" i="28"/>
  <c r="V60" i="28" s="1"/>
  <c r="X60" i="28" s="1"/>
  <c r="T74" i="28"/>
  <c r="V74" i="28" s="1"/>
  <c r="W74" i="28" s="1"/>
  <c r="T300" i="28"/>
  <c r="T57" i="28"/>
  <c r="V57" i="28" s="1"/>
  <c r="X57" i="28" s="1"/>
  <c r="T82" i="28"/>
  <c r="V82" i="28" s="1"/>
  <c r="X82" i="28" s="1"/>
  <c r="P77" i="4"/>
  <c r="T42" i="28"/>
  <c r="V42" i="28" s="1"/>
  <c r="T311" i="28"/>
  <c r="V311" i="28" s="1"/>
  <c r="X311" i="28" s="1"/>
  <c r="T265" i="28"/>
  <c r="V265" i="28" s="1"/>
  <c r="T95" i="28"/>
  <c r="V95" i="28" s="1"/>
  <c r="T58" i="28"/>
  <c r="T107" i="28"/>
  <c r="V107" i="28" s="1"/>
  <c r="X107" i="28" s="1"/>
  <c r="T297" i="28"/>
  <c r="V297" i="28" s="1"/>
  <c r="X297" i="28" s="1"/>
  <c r="T68" i="28"/>
  <c r="V68" i="28" s="1"/>
  <c r="T53" i="28"/>
  <c r="V53" i="28" s="1"/>
  <c r="X53" i="28" s="1"/>
  <c r="T30" i="28"/>
  <c r="V30" i="28" s="1"/>
  <c r="W30" i="28" s="1"/>
  <c r="T77" i="28"/>
  <c r="V77" i="28" s="1"/>
  <c r="X77" i="28" s="1"/>
  <c r="T266" i="28"/>
  <c r="V266" i="28" s="1"/>
  <c r="T309" i="28"/>
  <c r="T281" i="28"/>
  <c r="V281" i="28" s="1"/>
  <c r="W281" i="28" s="1"/>
  <c r="T38" i="28"/>
  <c r="V38" i="28" s="1"/>
  <c r="W38" i="28" s="1"/>
  <c r="T305" i="28"/>
  <c r="V305" i="28" s="1"/>
  <c r="W305" i="28" s="1"/>
  <c r="T89" i="28"/>
  <c r="V89" i="28" s="1"/>
  <c r="X89" i="28" s="1"/>
  <c r="T73" i="28"/>
  <c r="V73" i="28" s="1"/>
  <c r="W73" i="28" s="1"/>
  <c r="T212" i="28"/>
  <c r="V212" i="28" s="1"/>
  <c r="T62" i="28"/>
  <c r="V62" i="28" s="1"/>
  <c r="W62" i="28" s="1"/>
  <c r="T318" i="28"/>
  <c r="V318" i="28" s="1"/>
  <c r="T45" i="28"/>
  <c r="V45" i="28" s="1"/>
  <c r="X45" i="28" s="1"/>
  <c r="T69" i="28"/>
  <c r="V69" i="28" s="1"/>
  <c r="W69" i="28" s="1"/>
  <c r="T46" i="28"/>
  <c r="V46" i="28" s="1"/>
  <c r="W46" i="28" s="1"/>
  <c r="T31" i="28"/>
  <c r="V31" i="28" s="1"/>
  <c r="X31" i="28" s="1"/>
  <c r="T51" i="28"/>
  <c r="V51" i="28" s="1"/>
  <c r="W51" i="28" s="1"/>
  <c r="T54" i="28"/>
  <c r="V54" i="28" s="1"/>
  <c r="T32" i="28"/>
  <c r="V32" i="28" s="1"/>
  <c r="T306" i="28"/>
  <c r="V306" i="28" s="1"/>
  <c r="X306" i="28" s="1"/>
  <c r="T110" i="28"/>
  <c r="V110" i="28" s="1"/>
  <c r="X110" i="28" s="1"/>
  <c r="T260" i="28"/>
  <c r="V260" i="28" s="1"/>
  <c r="X260" i="28" s="1"/>
  <c r="T56" i="28"/>
  <c r="V56" i="28" s="1"/>
  <c r="T40" i="28"/>
  <c r="V40" i="28" s="1"/>
  <c r="X40" i="28" s="1"/>
  <c r="T314" i="28"/>
  <c r="V314" i="28" s="1"/>
  <c r="W314" i="28" s="1"/>
  <c r="T261" i="28"/>
  <c r="V261" i="28" s="1"/>
  <c r="T111" i="28"/>
  <c r="V111" i="28" s="1"/>
  <c r="X111" i="28" s="1"/>
  <c r="T313" i="28"/>
  <c r="V313" i="28" s="1"/>
  <c r="X313" i="28" s="1"/>
  <c r="T290" i="28"/>
  <c r="V290" i="28" s="1"/>
  <c r="W290" i="28" s="1"/>
  <c r="T102" i="28"/>
  <c r="V102" i="28" s="1"/>
  <c r="X102" i="28" s="1"/>
  <c r="T310" i="28"/>
  <c r="V310" i="28" s="1"/>
  <c r="W310" i="28" s="1"/>
  <c r="T78" i="28"/>
  <c r="V78" i="28" s="1"/>
  <c r="W78" i="28" s="1"/>
  <c r="T93" i="28"/>
  <c r="V93" i="28" s="1"/>
  <c r="T86" i="28"/>
  <c r="V86" i="28" s="1"/>
  <c r="T85" i="28"/>
  <c r="V85" i="28" s="1"/>
  <c r="X85" i="28" s="1"/>
  <c r="T104" i="28"/>
  <c r="T81" i="28"/>
  <c r="V81" i="28" s="1"/>
  <c r="X81" i="28" s="1"/>
  <c r="T41" i="28"/>
  <c r="V41" i="28" s="1"/>
  <c r="T34" i="28"/>
  <c r="V34" i="28" s="1"/>
  <c r="T39" i="28"/>
  <c r="V39" i="28" s="1"/>
  <c r="W39" i="28" s="1"/>
  <c r="T112" i="28"/>
  <c r="V112" i="28" s="1"/>
  <c r="T272" i="28"/>
  <c r="V272" i="28" s="1"/>
  <c r="X272" i="28" s="1"/>
  <c r="T65" i="28"/>
  <c r="V65" i="28" s="1"/>
  <c r="T66" i="28"/>
  <c r="V66" i="28" s="1"/>
  <c r="T103" i="28"/>
  <c r="V103" i="28" s="1"/>
  <c r="X103" i="28" s="1"/>
  <c r="T217" i="28"/>
  <c r="V217" i="28" s="1"/>
  <c r="X217" i="28" s="1"/>
  <c r="T64" i="28"/>
  <c r="V64" i="28" s="1"/>
  <c r="W64" i="28" s="1"/>
  <c r="T308" i="28"/>
  <c r="V308" i="28" s="1"/>
  <c r="X308" i="28" s="1"/>
  <c r="T100" i="28"/>
  <c r="V100" i="28" s="1"/>
  <c r="T317" i="28"/>
  <c r="V317" i="28" s="1"/>
  <c r="W317" i="28" s="1"/>
  <c r="T92" i="28"/>
  <c r="V92" i="28" s="1"/>
  <c r="T52" i="28"/>
  <c r="V52" i="28" s="1"/>
  <c r="T264" i="28"/>
  <c r="V264" i="28" s="1"/>
  <c r="W264" i="28" s="1"/>
  <c r="T283" i="28"/>
  <c r="V283" i="28" s="1"/>
  <c r="X283" i="28" s="1"/>
  <c r="T256" i="28"/>
  <c r="V256" i="28" s="1"/>
  <c r="T67" i="28"/>
  <c r="V67" i="28" s="1"/>
  <c r="X67" i="28" s="1"/>
  <c r="T280" i="28"/>
  <c r="V280" i="28" s="1"/>
  <c r="W280" i="28" s="1"/>
  <c r="T49" i="28"/>
  <c r="V49" i="28" s="1"/>
  <c r="W49" i="28" s="1"/>
  <c r="T50" i="28"/>
  <c r="V50" i="28" s="1"/>
  <c r="X50" i="28" s="1"/>
  <c r="T75" i="28"/>
  <c r="V75" i="28" s="1"/>
  <c r="W75" i="28" s="1"/>
  <c r="T288" i="28"/>
  <c r="V288" i="28" s="1"/>
  <c r="X288" i="28" s="1"/>
  <c r="T270" i="28"/>
  <c r="V270" i="28" s="1"/>
  <c r="T303" i="28"/>
  <c r="V303" i="28" s="1"/>
  <c r="X303" i="28" s="1"/>
  <c r="T293" i="28"/>
  <c r="V293" i="28" s="1"/>
  <c r="X293" i="28" s="1"/>
  <c r="T90" i="28"/>
  <c r="V90" i="28" s="1"/>
  <c r="T287" i="28"/>
  <c r="V287" i="28" s="1"/>
  <c r="X287" i="28" s="1"/>
  <c r="T299" i="28"/>
  <c r="V299" i="28" s="1"/>
  <c r="X299" i="28" s="1"/>
  <c r="T279" i="28"/>
  <c r="V279" i="28" s="1"/>
  <c r="X279" i="28" s="1"/>
  <c r="T268" i="28"/>
  <c r="V268" i="28" s="1"/>
  <c r="W268" i="28" s="1"/>
  <c r="T72" i="28"/>
  <c r="V72" i="28" s="1"/>
  <c r="W72" i="28" s="1"/>
  <c r="T71" i="28"/>
  <c r="V71" i="28" s="1"/>
  <c r="X71" i="28" s="1"/>
  <c r="T59" i="28"/>
  <c r="V59" i="28" s="1"/>
  <c r="W59" i="28" s="1"/>
  <c r="T218" i="28"/>
  <c r="V218" i="28" s="1"/>
  <c r="W218" i="28" s="1"/>
  <c r="AR19" i="4"/>
  <c r="AR200" i="4"/>
  <c r="AR76" i="4"/>
  <c r="AR18" i="4"/>
  <c r="N1028" i="7"/>
  <c r="N1601" i="7"/>
  <c r="N1605" i="7"/>
  <c r="I612" i="7"/>
  <c r="I1593" i="7"/>
  <c r="I1597" i="7"/>
  <c r="N256" i="7"/>
  <c r="N460" i="7"/>
  <c r="N918" i="7"/>
  <c r="N1100" i="7"/>
  <c r="N1172" i="7"/>
  <c r="N1248" i="7"/>
  <c r="N1252" i="7"/>
  <c r="U49" i="16"/>
  <c r="D49" i="16"/>
  <c r="F49" i="16"/>
  <c r="B49" i="16"/>
  <c r="C49" i="16"/>
  <c r="AQ87" i="4"/>
  <c r="P203" i="4"/>
  <c r="R131" i="4"/>
  <c r="R175" i="4"/>
  <c r="R32" i="4"/>
  <c r="R128" i="4"/>
  <c r="P128" i="4"/>
  <c r="W97" i="4"/>
  <c r="R204" i="4"/>
  <c r="AS61" i="4"/>
  <c r="R5" i="4"/>
  <c r="W49" i="4"/>
  <c r="AQ88" i="4"/>
  <c r="P160" i="4"/>
  <c r="Y117" i="4"/>
  <c r="P210" i="4"/>
  <c r="P182" i="4"/>
  <c r="P41" i="4"/>
  <c r="P191" i="4"/>
  <c r="P93" i="4"/>
  <c r="P117" i="4"/>
  <c r="AQ185" i="4"/>
  <c r="AS185" i="4"/>
  <c r="AU185" i="4" s="1"/>
  <c r="AV185" i="4" s="1"/>
  <c r="AS176" i="4"/>
  <c r="R24" i="4"/>
  <c r="W105" i="4"/>
  <c r="W116" i="4"/>
  <c r="R57" i="4"/>
  <c r="AQ212" i="4"/>
  <c r="Y109" i="4"/>
  <c r="W109" i="4"/>
  <c r="W73" i="4"/>
  <c r="R103" i="4"/>
  <c r="P103" i="4"/>
  <c r="AQ161" i="4"/>
  <c r="AQ27" i="4"/>
  <c r="AS27" i="4"/>
  <c r="AU27" i="4" s="1"/>
  <c r="AS74" i="4"/>
  <c r="AU74" i="4" s="1"/>
  <c r="W124" i="4"/>
  <c r="AQ204" i="4"/>
  <c r="R66" i="4"/>
  <c r="R88" i="4"/>
  <c r="P52" i="4"/>
  <c r="AQ63" i="4"/>
  <c r="P46" i="4"/>
  <c r="AS79" i="4"/>
  <c r="AU79" i="4" s="1"/>
  <c r="AW79" i="4" s="1"/>
  <c r="R145" i="4"/>
  <c r="P145" i="4"/>
  <c r="AS11" i="4"/>
  <c r="AU11" i="4" s="1"/>
  <c r="R48" i="4"/>
  <c r="P76" i="4"/>
  <c r="W147" i="4"/>
  <c r="C358" i="12"/>
  <c r="I18" i="31"/>
  <c r="I43" i="31"/>
  <c r="I19" i="31"/>
  <c r="B150" i="14"/>
  <c r="B189" i="14"/>
  <c r="B228" i="14" s="1"/>
  <c r="B267" i="14"/>
  <c r="C177" i="12"/>
  <c r="A1681" i="12"/>
  <c r="A1816" i="12" s="1"/>
  <c r="A1951" i="12" s="1"/>
  <c r="B1039" i="12"/>
  <c r="C904" i="12"/>
  <c r="A129" i="14"/>
  <c r="A1252" i="12"/>
  <c r="A1387" i="12" s="1"/>
  <c r="A124" i="14"/>
  <c r="A135" i="14"/>
  <c r="A174" i="14" s="1"/>
  <c r="A213" i="14" s="1"/>
  <c r="D84" i="14"/>
  <c r="B603" i="12"/>
  <c r="B194" i="14"/>
  <c r="B233" i="14" s="1"/>
  <c r="H107" i="14"/>
  <c r="C107" i="14"/>
  <c r="A128" i="14"/>
  <c r="A166" i="14"/>
  <c r="C497" i="12"/>
  <c r="A144" i="14"/>
  <c r="B184" i="14"/>
  <c r="B223" i="14" s="1"/>
  <c r="B262" i="14" s="1"/>
  <c r="B340" i="12"/>
  <c r="A196" i="14"/>
  <c r="H157" i="14"/>
  <c r="G157" i="14"/>
  <c r="I157" i="14"/>
  <c r="A4018" i="12"/>
  <c r="A4153" i="12" s="1"/>
  <c r="A4288" i="12"/>
  <c r="A4423" i="12" s="1"/>
  <c r="A4558" i="12" s="1"/>
  <c r="A4693" i="12" s="1"/>
  <c r="A4828" i="12"/>
  <c r="A4963" i="12" s="1"/>
  <c r="A5098" i="12" s="1"/>
  <c r="A5233" i="12" s="1"/>
  <c r="G110" i="14"/>
  <c r="A570" i="12"/>
  <c r="A705" i="12" s="1"/>
  <c r="A840" i="12" s="1"/>
  <c r="A975" i="12" s="1"/>
  <c r="A1110" i="12" s="1"/>
  <c r="G103" i="14"/>
  <c r="I103" i="14"/>
  <c r="A1251" i="12"/>
  <c r="A1386" i="12" s="1"/>
  <c r="A1521" i="12"/>
  <c r="A1656" i="12" s="1"/>
  <c r="A1791" i="12" s="1"/>
  <c r="B126" i="14"/>
  <c r="B165" i="14" s="1"/>
  <c r="B204" i="14" s="1"/>
  <c r="B243" i="14" s="1"/>
  <c r="A193" i="14"/>
  <c r="A232" i="14" s="1"/>
  <c r="A271" i="14" s="1"/>
  <c r="A550" i="12"/>
  <c r="A685" i="12" s="1"/>
  <c r="B1174" i="12"/>
  <c r="C1174" i="12" s="1"/>
  <c r="A163" i="14"/>
  <c r="A2984" i="12"/>
  <c r="A3119" i="12" s="1"/>
  <c r="A3254" i="12" s="1"/>
  <c r="A3389" i="12" s="1"/>
  <c r="A3524" i="12" s="1"/>
  <c r="B767" i="12"/>
  <c r="C632" i="12"/>
  <c r="A202" i="14"/>
  <c r="A2086" i="12"/>
  <c r="A2221" i="12" s="1"/>
  <c r="A2356" i="12"/>
  <c r="A2491" i="12" s="1"/>
  <c r="A2626" i="12"/>
  <c r="A2761" i="12" s="1"/>
  <c r="A2896" i="12" s="1"/>
  <c r="A3031" i="12" s="1"/>
  <c r="A3166" i="12"/>
  <c r="A3301" i="12" s="1"/>
  <c r="A3436" i="12" s="1"/>
  <c r="A3571" i="12" s="1"/>
  <c r="A3706" i="12" s="1"/>
  <c r="A3841" i="12" s="1"/>
  <c r="A3976" i="12" s="1"/>
  <c r="A4111" i="12" s="1"/>
  <c r="A4246" i="12" s="1"/>
  <c r="A4381" i="12" s="1"/>
  <c r="A4516" i="12"/>
  <c r="A4651" i="12" s="1"/>
  <c r="A4786" i="12" s="1"/>
  <c r="A4921" i="12" s="1"/>
  <c r="A5056" i="12" s="1"/>
  <c r="A5191" i="12" s="1"/>
  <c r="A1001" i="12"/>
  <c r="A1136" i="12"/>
  <c r="A1271" i="12"/>
  <c r="A1406" i="12" s="1"/>
  <c r="A1541" i="12"/>
  <c r="A1676" i="12" s="1"/>
  <c r="A1811" i="12" s="1"/>
  <c r="A1946" i="12" s="1"/>
  <c r="A2081" i="12" s="1"/>
  <c r="A2216" i="12" s="1"/>
  <c r="A2351" i="12" s="1"/>
  <c r="A2486" i="12" s="1"/>
  <c r="A2621" i="12" s="1"/>
  <c r="A2756" i="12" s="1"/>
  <c r="A2891" i="12" s="1"/>
  <c r="A3026" i="12" s="1"/>
  <c r="A3161" i="12" s="1"/>
  <c r="A3296" i="12" s="1"/>
  <c r="A3431" i="12" s="1"/>
  <c r="A3566" i="12" s="1"/>
  <c r="A3701" i="12" s="1"/>
  <c r="A3836" i="12" s="1"/>
  <c r="A3971" i="12" s="1"/>
  <c r="A4106" i="12" s="1"/>
  <c r="A4241" i="12" s="1"/>
  <c r="A4376" i="12" s="1"/>
  <c r="A4511" i="12" s="1"/>
  <c r="A4646" i="12" s="1"/>
  <c r="A4781" i="12" s="1"/>
  <c r="A4916" i="12" s="1"/>
  <c r="A5051" i="12" s="1"/>
  <c r="A5186" i="12" s="1"/>
  <c r="B272" i="14"/>
  <c r="A820" i="12"/>
  <c r="A955" i="12" s="1"/>
  <c r="A1090" i="12" s="1"/>
  <c r="A1225" i="12" s="1"/>
  <c r="A1360" i="12"/>
  <c r="A1495" i="12" s="1"/>
  <c r="A1630" i="12" s="1"/>
  <c r="A1765" i="12" s="1"/>
  <c r="A1900" i="12" s="1"/>
  <c r="A2035" i="12" s="1"/>
  <c r="A2170" i="12" s="1"/>
  <c r="A2305" i="12" s="1"/>
  <c r="A2440" i="12" s="1"/>
  <c r="A2575" i="12" s="1"/>
  <c r="A2710" i="12" s="1"/>
  <c r="A2845" i="12" s="1"/>
  <c r="A2980" i="12" s="1"/>
  <c r="A3115" i="12" s="1"/>
  <c r="A3250" i="12" s="1"/>
  <c r="A3385" i="12" s="1"/>
  <c r="A3520" i="12" s="1"/>
  <c r="A3655" i="12" s="1"/>
  <c r="A3790" i="12" s="1"/>
  <c r="A3925" i="12" s="1"/>
  <c r="A4060" i="12" s="1"/>
  <c r="A4195" i="12" s="1"/>
  <c r="A4330" i="12" s="1"/>
  <c r="A4465" i="12" s="1"/>
  <c r="A4600" i="12" s="1"/>
  <c r="A4735" i="12" s="1"/>
  <c r="A4870" i="12" s="1"/>
  <c r="A5005" i="12" s="1"/>
  <c r="A5140" i="12" s="1"/>
  <c r="A4016" i="12"/>
  <c r="A4151" i="12" s="1"/>
  <c r="A4286" i="12" s="1"/>
  <c r="A4421" i="12" s="1"/>
  <c r="A4556" i="12" s="1"/>
  <c r="A4691" i="12" s="1"/>
  <c r="A4826" i="12" s="1"/>
  <c r="A4961" i="12" s="1"/>
  <c r="A5096" i="12" s="1"/>
  <c r="A5231" i="12" s="1"/>
  <c r="A2960" i="12"/>
  <c r="A3095" i="12" s="1"/>
  <c r="A3230" i="12"/>
  <c r="A3365" i="12" s="1"/>
  <c r="A3500" i="12" s="1"/>
  <c r="A3635" i="12" s="1"/>
  <c r="A3770" i="12" s="1"/>
  <c r="A3905" i="12" s="1"/>
  <c r="A4040" i="12" s="1"/>
  <c r="A4175" i="12" s="1"/>
  <c r="A4310" i="12" s="1"/>
  <c r="A4445" i="12" s="1"/>
  <c r="A4580" i="12" s="1"/>
  <c r="A4715" i="12" s="1"/>
  <c r="A4850" i="12" s="1"/>
  <c r="A4985" i="12" s="1"/>
  <c r="A5120" i="12" s="1"/>
  <c r="A5255" i="12" s="1"/>
  <c r="A3047" i="12"/>
  <c r="A3182" i="12" s="1"/>
  <c r="A3317" i="12" s="1"/>
  <c r="A3452" i="12" s="1"/>
  <c r="A3587" i="12" s="1"/>
  <c r="A3722" i="12" s="1"/>
  <c r="A3857" i="12" s="1"/>
  <c r="A3992" i="12" s="1"/>
  <c r="A4127" i="12" s="1"/>
  <c r="A4262" i="12" s="1"/>
  <c r="A4397" i="12" s="1"/>
  <c r="A4532" i="12" s="1"/>
  <c r="A4667" i="12" s="1"/>
  <c r="A1926" i="12"/>
  <c r="A2061" i="12"/>
  <c r="A2196" i="12"/>
  <c r="A2331" i="12" s="1"/>
  <c r="A2466" i="12" s="1"/>
  <c r="A2601" i="12" s="1"/>
  <c r="A2736" i="12" s="1"/>
  <c r="A2871" i="12" s="1"/>
  <c r="A3006" i="12" s="1"/>
  <c r="A3141" i="12" s="1"/>
  <c r="A3276" i="12" s="1"/>
  <c r="A3411" i="12" s="1"/>
  <c r="A3546" i="12" s="1"/>
  <c r="A3681" i="12" s="1"/>
  <c r="A3816" i="12" s="1"/>
  <c r="A3951" i="12" s="1"/>
  <c r="A4086" i="12" s="1"/>
  <c r="A4221" i="12" s="1"/>
  <c r="A4356" i="12" s="1"/>
  <c r="A4491" i="12" s="1"/>
  <c r="A4626" i="12" s="1"/>
  <c r="A4761" i="12" s="1"/>
  <c r="A4896" i="12" s="1"/>
  <c r="A5031" i="12" s="1"/>
  <c r="A5166" i="12" s="1"/>
  <c r="A4802" i="12"/>
  <c r="A4937" i="12" s="1"/>
  <c r="A5072" i="12" s="1"/>
  <c r="A5207" i="12" s="1"/>
  <c r="A2243" i="12"/>
  <c r="A2378" i="12" s="1"/>
  <c r="A2513" i="12" s="1"/>
  <c r="A3659" i="12"/>
  <c r="A3794" i="12" s="1"/>
  <c r="A3929" i="12" s="1"/>
  <c r="A4064" i="12" s="1"/>
  <c r="A4199" i="12" s="1"/>
  <c r="A4334" i="12" s="1"/>
  <c r="A4469" i="12" s="1"/>
  <c r="A4604" i="12" s="1"/>
  <c r="A4739" i="12" s="1"/>
  <c r="A4874" i="12" s="1"/>
  <c r="A5009" i="12" s="1"/>
  <c r="A5144" i="12" s="1"/>
  <c r="A2648" i="12"/>
  <c r="A2783" i="12" s="1"/>
  <c r="A2918" i="12" s="1"/>
  <c r="A3053" i="12" s="1"/>
  <c r="A3188" i="12" s="1"/>
  <c r="A3323" i="12" s="1"/>
  <c r="A3458" i="12" s="1"/>
  <c r="A3593" i="12" s="1"/>
  <c r="A3728" i="12" s="1"/>
  <c r="A3863" i="12" s="1"/>
  <c r="A3998" i="12" s="1"/>
  <c r="A4915" i="12"/>
  <c r="A5050" i="12" s="1"/>
  <c r="A5185" i="12" s="1"/>
  <c r="A4133" i="12"/>
  <c r="A4268" i="12" s="1"/>
  <c r="A4403" i="12"/>
  <c r="A4538" i="12" s="1"/>
  <c r="A4673" i="12"/>
  <c r="A4808" i="12" s="1"/>
  <c r="A4943" i="12"/>
  <c r="A5078" i="12" s="1"/>
  <c r="A5213" i="12" s="1"/>
  <c r="F12" i="14"/>
  <c r="F10" i="14"/>
  <c r="F8" i="14"/>
  <c r="F49" i="14"/>
  <c r="F7" i="14"/>
  <c r="F57" i="14"/>
  <c r="E2" i="14"/>
  <c r="X17" i="33"/>
  <c r="Q82" i="32"/>
  <c r="A1617" i="12"/>
  <c r="A1752" i="12" s="1"/>
  <c r="A1887" i="12" s="1"/>
  <c r="A2022" i="12" s="1"/>
  <c r="A2157" i="12" s="1"/>
  <c r="G50" i="14"/>
  <c r="H50" i="14"/>
  <c r="Y262" i="28"/>
  <c r="T262" i="28"/>
  <c r="V262" i="28" s="1"/>
  <c r="Y231" i="28"/>
  <c r="T231" i="28"/>
  <c r="V231" i="28" s="1"/>
  <c r="X231" i="28" s="1"/>
  <c r="Y255" i="28"/>
  <c r="T255" i="28"/>
  <c r="V255" i="28" s="1"/>
  <c r="W255" i="28" s="1"/>
  <c r="A1245" i="12"/>
  <c r="A1380" i="12" s="1"/>
  <c r="A137" i="14"/>
  <c r="G98" i="14"/>
  <c r="H98" i="14"/>
  <c r="B214" i="14"/>
  <c r="B253" i="14" s="1"/>
  <c r="B659" i="12"/>
  <c r="AB39" i="33"/>
  <c r="A1220" i="12"/>
  <c r="A1355" i="12" s="1"/>
  <c r="Y163" i="28"/>
  <c r="G44" i="14"/>
  <c r="A83" i="14"/>
  <c r="F44" i="14"/>
  <c r="H44" i="14"/>
  <c r="C44" i="14"/>
  <c r="I44" i="14"/>
  <c r="D44" i="14"/>
  <c r="W23" i="33"/>
  <c r="Y127" i="28"/>
  <c r="T127" i="28"/>
  <c r="V127" i="28" s="1"/>
  <c r="X127" i="28" s="1"/>
  <c r="T248" i="28"/>
  <c r="Y248" i="28"/>
  <c r="B137" i="12"/>
  <c r="C2" i="12"/>
  <c r="B543" i="12"/>
  <c r="B678" i="12" s="1"/>
  <c r="Y109" i="28"/>
  <c r="T109" i="28"/>
  <c r="V109" i="28" s="1"/>
  <c r="W109" i="28" s="1"/>
  <c r="B152" i="14"/>
  <c r="A781" i="12"/>
  <c r="A916" i="12"/>
  <c r="B902" i="12"/>
  <c r="C767" i="12"/>
  <c r="C173" i="12"/>
  <c r="B308" i="12"/>
  <c r="K84" i="5"/>
  <c r="K87" i="5"/>
  <c r="K88" i="5"/>
  <c r="K83" i="5"/>
  <c r="K82" i="5"/>
  <c r="K86" i="5"/>
  <c r="F24" i="14"/>
  <c r="F37" i="14"/>
  <c r="F31" i="14"/>
  <c r="F3" i="14"/>
  <c r="F2" i="14"/>
  <c r="F45" i="14"/>
  <c r="F27" i="14"/>
  <c r="F75" i="14"/>
  <c r="F103" i="14"/>
  <c r="F68" i="14"/>
  <c r="D25" i="14"/>
  <c r="D17" i="14"/>
  <c r="D36" i="14"/>
  <c r="D30" i="14"/>
  <c r="D43" i="14"/>
  <c r="D118" i="14"/>
  <c r="D63" i="14"/>
  <c r="D5" i="14"/>
  <c r="D55" i="14"/>
  <c r="D78" i="14"/>
  <c r="D3" i="14"/>
  <c r="D57" i="14"/>
  <c r="D70" i="14"/>
  <c r="D107" i="14"/>
  <c r="D104" i="14"/>
  <c r="D49" i="14"/>
  <c r="D64" i="14"/>
  <c r="D15" i="14"/>
  <c r="D29" i="14"/>
  <c r="D71" i="14"/>
  <c r="D68" i="14"/>
  <c r="D110" i="14"/>
  <c r="D39" i="14"/>
  <c r="D20" i="14"/>
  <c r="D58" i="14"/>
  <c r="D12" i="14"/>
  <c r="D4" i="14"/>
  <c r="D18" i="14"/>
  <c r="B331" i="12"/>
  <c r="C196" i="12"/>
  <c r="B282" i="12"/>
  <c r="A1072" i="12"/>
  <c r="B1309" i="12"/>
  <c r="H84" i="14"/>
  <c r="A123" i="14"/>
  <c r="C84" i="14"/>
  <c r="H88" i="14"/>
  <c r="B127" i="14"/>
  <c r="E127" i="14"/>
  <c r="I88" i="14"/>
  <c r="G88" i="14"/>
  <c r="C88" i="14"/>
  <c r="B1348" i="12"/>
  <c r="B361" i="12"/>
  <c r="C226" i="12"/>
  <c r="C60" i="12"/>
  <c r="C315" i="12"/>
  <c r="AH82" i="32"/>
  <c r="C299" i="12"/>
  <c r="C326" i="12"/>
  <c r="B263" i="12"/>
  <c r="C128" i="12"/>
  <c r="T175" i="28"/>
  <c r="V175" i="28" s="1"/>
  <c r="W175" i="28" s="1"/>
  <c r="B641" i="12"/>
  <c r="C506" i="12"/>
  <c r="A139" i="14"/>
  <c r="B120" i="14"/>
  <c r="B159" i="14" s="1"/>
  <c r="B198" i="14" s="1"/>
  <c r="B237" i="14" s="1"/>
  <c r="U10" i="5"/>
  <c r="T118" i="5"/>
  <c r="U8" i="5"/>
  <c r="U6" i="5"/>
  <c r="U118" i="5"/>
  <c r="U4" i="5"/>
  <c r="R118" i="5"/>
  <c r="U5" i="5"/>
  <c r="U9" i="5"/>
  <c r="U7" i="5"/>
  <c r="C534" i="12"/>
  <c r="C553" i="12"/>
  <c r="C318" i="12"/>
  <c r="C389" i="12"/>
  <c r="C944" i="12"/>
  <c r="C353" i="12"/>
  <c r="C344" i="12"/>
  <c r="C404" i="12"/>
  <c r="C573" i="12"/>
  <c r="C438" i="12"/>
  <c r="C1381" i="12"/>
  <c r="C1246" i="12"/>
  <c r="C483" i="12"/>
  <c r="C405" i="12"/>
  <c r="C292" i="12"/>
  <c r="C464" i="12"/>
  <c r="C516" i="12"/>
  <c r="C675" i="12"/>
  <c r="C708" i="12"/>
  <c r="C1111" i="12"/>
  <c r="C809" i="12"/>
  <c r="C674" i="12"/>
  <c r="C392" i="12"/>
  <c r="C301" i="12"/>
  <c r="C706" i="12"/>
  <c r="C418" i="12"/>
  <c r="C510" i="12"/>
  <c r="C976" i="12"/>
  <c r="C649" i="12"/>
  <c r="C336" i="12"/>
  <c r="C539" i="12"/>
  <c r="C343" i="12"/>
  <c r="C656" i="12"/>
  <c r="C1349" i="12"/>
  <c r="C391" i="12"/>
  <c r="C471" i="12"/>
  <c r="C350" i="12"/>
  <c r="C841" i="12"/>
  <c r="C1484" i="12"/>
  <c r="C302" i="12"/>
  <c r="C499" i="12"/>
  <c r="C1214" i="12"/>
  <c r="C1516" i="12"/>
  <c r="C669" i="12"/>
  <c r="C283" i="12"/>
  <c r="C369" i="12"/>
  <c r="C634" i="12"/>
  <c r="C313" i="12"/>
  <c r="C309" i="12"/>
  <c r="C289" i="12"/>
  <c r="C1079" i="12"/>
  <c r="C645" i="12"/>
  <c r="C397" i="12"/>
  <c r="C387" i="12"/>
  <c r="C275" i="12"/>
  <c r="C362" i="12"/>
  <c r="C1651" i="12"/>
  <c r="C76" i="14"/>
  <c r="B115" i="14"/>
  <c r="D76" i="14"/>
  <c r="I76" i="14"/>
  <c r="H76" i="14"/>
  <c r="F76" i="14"/>
  <c r="G76" i="14"/>
  <c r="G109" i="14"/>
  <c r="B148" i="14"/>
  <c r="B187" i="14" s="1"/>
  <c r="B226" i="14"/>
  <c r="B265" i="14" s="1"/>
  <c r="G52" i="14"/>
  <c r="D52" i="14"/>
  <c r="B91" i="14"/>
  <c r="C52" i="14"/>
  <c r="H52" i="14"/>
  <c r="I52" i="14"/>
  <c r="AB28" i="33"/>
  <c r="T7" i="28"/>
  <c r="V7" i="28" s="1"/>
  <c r="X7" i="28" s="1"/>
  <c r="Y7" i="28"/>
  <c r="T166" i="28"/>
  <c r="V166" i="28" s="1"/>
  <c r="Y166" i="28"/>
  <c r="R80" i="4"/>
  <c r="P80" i="4"/>
  <c r="R84" i="4"/>
  <c r="P84" i="4"/>
  <c r="Y84" i="4"/>
  <c r="A152" i="14"/>
  <c r="I17" i="5"/>
  <c r="I19" i="5"/>
  <c r="I20" i="5"/>
  <c r="I16" i="5"/>
  <c r="I21" i="5"/>
  <c r="I18" i="5"/>
  <c r="I15" i="5"/>
  <c r="N14" i="5"/>
  <c r="B90" i="14"/>
  <c r="D51" i="14"/>
  <c r="C51" i="14"/>
  <c r="G51" i="14"/>
  <c r="H51" i="14"/>
  <c r="D41" i="14"/>
  <c r="G41" i="14"/>
  <c r="C77" i="14"/>
  <c r="G77" i="14"/>
  <c r="A116" i="14"/>
  <c r="V97" i="32"/>
  <c r="V35" i="32"/>
  <c r="V54" i="32"/>
  <c r="V21" i="32"/>
  <c r="V85" i="32"/>
  <c r="V44" i="32"/>
  <c r="V75" i="32"/>
  <c r="T134" i="28"/>
  <c r="V134" i="28" s="1"/>
  <c r="X134" i="28" s="1"/>
  <c r="Y134" i="28"/>
  <c r="Y140" i="28"/>
  <c r="T140" i="28"/>
  <c r="V140" i="28" s="1"/>
  <c r="X140" i="28" s="1"/>
  <c r="Y173" i="28"/>
  <c r="T173" i="28"/>
  <c r="B156" i="12"/>
  <c r="C21" i="12"/>
  <c r="B288" i="12"/>
  <c r="B423" i="12" s="1"/>
  <c r="B558" i="12" s="1"/>
  <c r="C153" i="12"/>
  <c r="B1185" i="12"/>
  <c r="B1320" i="12" s="1"/>
  <c r="C182" i="12"/>
  <c r="B317" i="12"/>
  <c r="B559" i="12"/>
  <c r="C424" i="12"/>
  <c r="B243" i="12"/>
  <c r="C243" i="12" s="1"/>
  <c r="C108" i="12"/>
  <c r="B530" i="12"/>
  <c r="B665" i="12" s="1"/>
  <c r="B800" i="12" s="1"/>
  <c r="B188" i="12"/>
  <c r="C53" i="12"/>
  <c r="B374" i="12"/>
  <c r="C239" i="12"/>
  <c r="A814" i="12"/>
  <c r="M35" i="32"/>
  <c r="M65" i="32"/>
  <c r="M97" i="32"/>
  <c r="M21" i="32"/>
  <c r="W26" i="33"/>
  <c r="Y12" i="28"/>
  <c r="T12" i="28"/>
  <c r="V12" i="28" s="1"/>
  <c r="Y27" i="28"/>
  <c r="T27" i="28"/>
  <c r="V27" i="28" s="1"/>
  <c r="T143" i="28"/>
  <c r="V143" i="28" s="1"/>
  <c r="X143" i="28" s="1"/>
  <c r="Y143" i="28"/>
  <c r="Y180" i="28"/>
  <c r="T180" i="28"/>
  <c r="V180" i="28" s="1"/>
  <c r="Q84" i="17"/>
  <c r="I84" i="17"/>
  <c r="AE84" i="17"/>
  <c r="W84" i="17"/>
  <c r="O84" i="17"/>
  <c r="G84" i="17"/>
  <c r="B296" i="12"/>
  <c r="C161" i="12"/>
  <c r="B222" i="12"/>
  <c r="C87" i="12"/>
  <c r="B639" i="12"/>
  <c r="C504" i="12"/>
  <c r="C60" i="14"/>
  <c r="H65" i="14"/>
  <c r="C65" i="14"/>
  <c r="I65" i="14"/>
  <c r="AG30" i="32"/>
  <c r="AG44" i="32"/>
  <c r="AG85" i="32"/>
  <c r="AG35" i="32"/>
  <c r="AG97" i="32"/>
  <c r="W31" i="33"/>
  <c r="T146" i="28"/>
  <c r="V146" i="28" s="1"/>
  <c r="X146" i="28" s="1"/>
  <c r="Y146" i="28"/>
  <c r="B454" i="12"/>
  <c r="C319" i="12"/>
  <c r="C16" i="12"/>
  <c r="B151" i="12"/>
  <c r="B221" i="12"/>
  <c r="B356" i="12" s="1"/>
  <c r="C86" i="12"/>
  <c r="C103" i="12"/>
  <c r="B238" i="12"/>
  <c r="B541" i="12"/>
  <c r="C406" i="12"/>
  <c r="J44" i="5"/>
  <c r="J42" i="5"/>
  <c r="J39" i="5"/>
  <c r="J43" i="5"/>
  <c r="I49" i="14"/>
  <c r="H49" i="14"/>
  <c r="C49" i="14"/>
  <c r="G49" i="14"/>
  <c r="X18" i="33"/>
  <c r="B349" i="12"/>
  <c r="C214" i="12"/>
  <c r="C65" i="12"/>
  <c r="B200" i="12"/>
  <c r="J62" i="5"/>
  <c r="J59" i="5"/>
  <c r="J61" i="5"/>
  <c r="J63" i="5"/>
  <c r="J64" i="5"/>
  <c r="T16" i="28"/>
  <c r="V16" i="28" s="1"/>
  <c r="Y16" i="28"/>
  <c r="T149" i="28"/>
  <c r="V149" i="28" s="1"/>
  <c r="Y149" i="28"/>
  <c r="S84" i="17"/>
  <c r="B584" i="12"/>
  <c r="C449" i="12"/>
  <c r="T105" i="28"/>
  <c r="V105" i="28" s="1"/>
  <c r="X105" i="28" s="1"/>
  <c r="Y105" i="28"/>
  <c r="J65" i="5"/>
  <c r="Y191" i="28"/>
  <c r="P42" i="5"/>
  <c r="P41" i="5"/>
  <c r="P38" i="5"/>
  <c r="P43" i="5"/>
  <c r="P40" i="5"/>
  <c r="C83" i="12"/>
  <c r="C122" i="12"/>
  <c r="C168" i="12"/>
  <c r="C127" i="12"/>
  <c r="C126" i="12"/>
  <c r="C13" i="12"/>
  <c r="C3" i="12"/>
  <c r="C63" i="12"/>
  <c r="C92" i="12"/>
  <c r="C29" i="12"/>
  <c r="C132" i="12"/>
  <c r="C52" i="12"/>
  <c r="C112" i="12"/>
  <c r="C15" i="12"/>
  <c r="C30" i="12"/>
  <c r="C88" i="12"/>
  <c r="C211" i="12"/>
  <c r="C119" i="12"/>
  <c r="C54" i="12"/>
  <c r="C269" i="12"/>
  <c r="C66" i="12"/>
  <c r="C105" i="12"/>
  <c r="C40" i="12"/>
  <c r="C46" i="12"/>
  <c r="C189" i="12"/>
  <c r="C77" i="12"/>
  <c r="C59" i="12"/>
  <c r="C33" i="12"/>
  <c r="C64" i="12"/>
  <c r="C95" i="12"/>
  <c r="C164" i="12"/>
  <c r="C73" i="12"/>
  <c r="C50" i="12"/>
  <c r="C43" i="12"/>
  <c r="C71" i="12"/>
  <c r="C6" i="12"/>
  <c r="C17" i="12"/>
  <c r="C140" i="12"/>
  <c r="C85" i="12"/>
  <c r="C75" i="12"/>
  <c r="C227" i="12"/>
  <c r="C396" i="12"/>
  <c r="C14" i="12"/>
  <c r="C115" i="12"/>
  <c r="C48" i="12"/>
  <c r="C149" i="12"/>
  <c r="C111" i="12"/>
  <c r="C20" i="12"/>
  <c r="C8" i="12"/>
  <c r="C231" i="12"/>
  <c r="C271" i="12"/>
  <c r="C250" i="12"/>
  <c r="C51" i="12"/>
  <c r="C113" i="12"/>
  <c r="C96" i="12"/>
  <c r="C117" i="12"/>
  <c r="C49" i="12"/>
  <c r="C125" i="12"/>
  <c r="C25" i="12"/>
  <c r="C31" i="12"/>
  <c r="C314" i="12"/>
  <c r="C116" i="12"/>
  <c r="C178" i="12"/>
  <c r="C114" i="12"/>
  <c r="C91" i="12"/>
  <c r="C141" i="12"/>
  <c r="C240" i="12"/>
  <c r="C104" i="12"/>
  <c r="C436" i="12"/>
  <c r="C18" i="12"/>
  <c r="C101" i="12"/>
  <c r="C131" i="12"/>
  <c r="C38" i="12"/>
  <c r="C129" i="12"/>
  <c r="C62" i="12"/>
  <c r="C154" i="12"/>
  <c r="C24" i="12"/>
  <c r="C174" i="12"/>
  <c r="C74" i="12"/>
  <c r="C118" i="12"/>
  <c r="C109" i="12"/>
  <c r="C78" i="12"/>
  <c r="C32" i="12"/>
  <c r="C56" i="12"/>
  <c r="C248" i="12"/>
  <c r="C80" i="12"/>
  <c r="C167" i="12"/>
  <c r="C45" i="12"/>
  <c r="C651" i="12"/>
  <c r="C39" i="12"/>
  <c r="C69" i="12"/>
  <c r="C27" i="12"/>
  <c r="C260" i="12"/>
  <c r="C61" i="12"/>
  <c r="C82" i="12"/>
  <c r="C9" i="12"/>
  <c r="D74" i="14"/>
  <c r="I67" i="14"/>
  <c r="H67" i="14"/>
  <c r="D54" i="14"/>
  <c r="A1059" i="12"/>
  <c r="A1194" i="12" s="1"/>
  <c r="A1329" i="12" s="1"/>
  <c r="A1464" i="12" s="1"/>
  <c r="A1599" i="12" s="1"/>
  <c r="A1734" i="12" s="1"/>
  <c r="A1869" i="12" s="1"/>
  <c r="A2004" i="12" s="1"/>
  <c r="A2139" i="12" s="1"/>
  <c r="A2274" i="12" s="1"/>
  <c r="A2409" i="12" s="1"/>
  <c r="A2544" i="12" s="1"/>
  <c r="A2679" i="12" s="1"/>
  <c r="I7" i="5"/>
  <c r="R6" i="5"/>
  <c r="S115" i="5"/>
  <c r="R10" i="5"/>
  <c r="R3" i="5"/>
  <c r="R7" i="5"/>
  <c r="J21" i="5"/>
  <c r="J18" i="5"/>
  <c r="I45" i="14"/>
  <c r="H45" i="14"/>
  <c r="AM85" i="32"/>
  <c r="AM44" i="32"/>
  <c r="AM30" i="32"/>
  <c r="AF97" i="32"/>
  <c r="AF54" i="32"/>
  <c r="AF21" i="32"/>
  <c r="AA35" i="32"/>
  <c r="AA85" i="32"/>
  <c r="AA75" i="32"/>
  <c r="M46" i="40"/>
  <c r="B219" i="12"/>
  <c r="C84" i="12"/>
  <c r="B921" i="12"/>
  <c r="B1056" i="12" s="1"/>
  <c r="B1191" i="12" s="1"/>
  <c r="C1191" i="12" s="1"/>
  <c r="C786" i="12"/>
  <c r="I63" i="5"/>
  <c r="J86" i="5"/>
  <c r="J85" i="5"/>
  <c r="B101" i="14"/>
  <c r="C62" i="14"/>
  <c r="AL85" i="32"/>
  <c r="AL21" i="32"/>
  <c r="AL97" i="32"/>
  <c r="Y238" i="28"/>
  <c r="T238" i="28"/>
  <c r="V238" i="28" s="1"/>
  <c r="W238" i="28" s="1"/>
  <c r="B192" i="12"/>
  <c r="C192" i="12" s="1"/>
  <c r="B322" i="12"/>
  <c r="C187" i="12"/>
  <c r="C42" i="12"/>
  <c r="A662" i="12"/>
  <c r="C662" i="12" s="1"/>
  <c r="C527" i="12"/>
  <c r="K58" i="5"/>
  <c r="AA65" i="32"/>
  <c r="J83" i="5"/>
  <c r="R4" i="5"/>
  <c r="I64" i="5"/>
  <c r="B96" i="14"/>
  <c r="M16" i="5"/>
  <c r="M21" i="5"/>
  <c r="M18" i="5"/>
  <c r="K43" i="5"/>
  <c r="K44" i="5"/>
  <c r="K37" i="5"/>
  <c r="J54" i="5"/>
  <c r="J51" i="5"/>
  <c r="I94" i="5"/>
  <c r="K91" i="5"/>
  <c r="I93" i="5"/>
  <c r="D79" i="14"/>
  <c r="D34" i="14"/>
  <c r="D23" i="14"/>
  <c r="D28" i="14"/>
  <c r="D32" i="14"/>
  <c r="D14" i="14"/>
  <c r="D21" i="14"/>
  <c r="D22" i="14"/>
  <c r="D11" i="14"/>
  <c r="D26" i="14"/>
  <c r="D27" i="14"/>
  <c r="D6" i="14"/>
  <c r="D13" i="14"/>
  <c r="D16" i="14"/>
  <c r="H60" i="14"/>
  <c r="C92" i="14"/>
  <c r="A131" i="14"/>
  <c r="AA54" i="32"/>
  <c r="I35" i="32"/>
  <c r="I21" i="32"/>
  <c r="I65" i="32"/>
  <c r="C65" i="32"/>
  <c r="C35" i="32"/>
  <c r="B203" i="12"/>
  <c r="C68" i="12"/>
  <c r="B176" i="12"/>
  <c r="C41" i="12"/>
  <c r="Q4" i="5"/>
  <c r="Q7" i="5"/>
  <c r="Q10" i="5"/>
  <c r="S114" i="5"/>
  <c r="K32" i="5"/>
  <c r="K26" i="5"/>
  <c r="L40" i="5"/>
  <c r="L43" i="5"/>
  <c r="K51" i="5"/>
  <c r="K48" i="5"/>
  <c r="K54" i="5"/>
  <c r="C75" i="14"/>
  <c r="H75" i="14"/>
  <c r="I75" i="14"/>
  <c r="G75" i="14"/>
  <c r="I70" i="14"/>
  <c r="C70" i="14"/>
  <c r="H70" i="14"/>
  <c r="H72" i="14"/>
  <c r="C145" i="12"/>
  <c r="B280" i="12"/>
  <c r="B401" i="12"/>
  <c r="C401" i="12" s="1"/>
  <c r="C266" i="12"/>
  <c r="T128" i="28"/>
  <c r="V128" i="28" s="1"/>
  <c r="X128" i="28" s="1"/>
  <c r="T211" i="28"/>
  <c r="V211" i="28" s="1"/>
  <c r="W211" i="28" s="1"/>
  <c r="T129" i="28"/>
  <c r="V129" i="28" s="1"/>
  <c r="X129" i="28" s="1"/>
  <c r="T132" i="28"/>
  <c r="V132" i="28" s="1"/>
  <c r="W132" i="28" s="1"/>
  <c r="T43" i="28"/>
  <c r="V43" i="28" s="1"/>
  <c r="X43" i="28" s="1"/>
  <c r="T316" i="28"/>
  <c r="V316" i="28" s="1"/>
  <c r="W316" i="28" s="1"/>
  <c r="T291" i="28"/>
  <c r="V291" i="28" s="1"/>
  <c r="W291" i="28" s="1"/>
  <c r="T48" i="28"/>
  <c r="V48" i="28" s="1"/>
  <c r="W48" i="28" s="1"/>
  <c r="T148" i="28"/>
  <c r="V148" i="28" s="1"/>
  <c r="X148" i="28" s="1"/>
  <c r="T133" i="28"/>
  <c r="V133" i="28" s="1"/>
  <c r="X133" i="28" s="1"/>
  <c r="T235" i="28"/>
  <c r="V235" i="28" s="1"/>
  <c r="X235" i="28" s="1"/>
  <c r="T142" i="28"/>
  <c r="V142" i="28" s="1"/>
  <c r="T114" i="28"/>
  <c r="V114" i="28" s="1"/>
  <c r="T252" i="28"/>
  <c r="V252" i="28" s="1"/>
  <c r="W252" i="28" s="1"/>
  <c r="T276" i="28"/>
  <c r="V276" i="28" s="1"/>
  <c r="X276" i="28" s="1"/>
  <c r="T192" i="28"/>
  <c r="V192" i="28" s="1"/>
  <c r="T130" i="28"/>
  <c r="V130" i="28" s="1"/>
  <c r="X130" i="28" s="1"/>
  <c r="T196" i="28"/>
  <c r="V196" i="28" s="1"/>
  <c r="T225" i="28"/>
  <c r="V225" i="28" s="1"/>
  <c r="W225" i="28" s="1"/>
  <c r="T230" i="28"/>
  <c r="V230" i="28" s="1"/>
  <c r="T267" i="28"/>
  <c r="V267" i="28" s="1"/>
  <c r="W267" i="28" s="1"/>
  <c r="T296" i="28"/>
  <c r="V296" i="28" s="1"/>
  <c r="X296" i="28" s="1"/>
  <c r="T94" i="28"/>
  <c r="V94" i="28" s="1"/>
  <c r="T213" i="28"/>
  <c r="V213" i="28" s="1"/>
  <c r="T36" i="28"/>
  <c r="V36" i="28" s="1"/>
  <c r="T233" i="28"/>
  <c r="T80" i="28"/>
  <c r="V80" i="28" s="1"/>
  <c r="W80" i="28" s="1"/>
  <c r="T207" i="28"/>
  <c r="V207" i="28" s="1"/>
  <c r="T190" i="28"/>
  <c r="V190" i="28" s="1"/>
  <c r="X190" i="28" s="1"/>
  <c r="T222" i="28"/>
  <c r="V222" i="28" s="1"/>
  <c r="X222" i="28" s="1"/>
  <c r="T251" i="28"/>
  <c r="V251" i="28" s="1"/>
  <c r="T159" i="28"/>
  <c r="V159" i="28" s="1"/>
  <c r="X159" i="28" s="1"/>
  <c r="T205" i="28"/>
  <c r="V205" i="28" s="1"/>
  <c r="W205" i="28" s="1"/>
  <c r="T37" i="28"/>
  <c r="T108" i="28"/>
  <c r="V108" i="28" s="1"/>
  <c r="X108" i="28" s="1"/>
  <c r="T285" i="28"/>
  <c r="V285" i="28" s="1"/>
  <c r="T84" i="28"/>
  <c r="V84" i="28" s="1"/>
  <c r="W84" i="28" s="1"/>
  <c r="T14" i="28"/>
  <c r="V14" i="28" s="1"/>
  <c r="W14" i="28" s="1"/>
  <c r="T228" i="28"/>
  <c r="V228" i="28" s="1"/>
  <c r="X228" i="28" s="1"/>
  <c r="T179" i="28"/>
  <c r="V179" i="28" s="1"/>
  <c r="X179" i="28" s="1"/>
  <c r="T3" i="28"/>
  <c r="V3" i="28" s="1"/>
  <c r="X3" i="28" s="1"/>
  <c r="T101" i="28"/>
  <c r="V101" i="28" s="1"/>
  <c r="X101" i="28" s="1"/>
  <c r="T258" i="28"/>
  <c r="V258" i="28" s="1"/>
  <c r="W258" i="28" s="1"/>
  <c r="T136" i="28"/>
  <c r="V136" i="28" s="1"/>
  <c r="W136" i="28" s="1"/>
  <c r="T26" i="28"/>
  <c r="V26" i="28" s="1"/>
  <c r="T183" i="28"/>
  <c r="V183" i="28" s="1"/>
  <c r="T271" i="28"/>
  <c r="V271" i="28" s="1"/>
  <c r="H21" i="32"/>
  <c r="R126" i="4"/>
  <c r="P126" i="4"/>
  <c r="X65" i="32"/>
  <c r="X21" i="32"/>
  <c r="Y14" i="4"/>
  <c r="R68" i="4"/>
  <c r="T284" i="28"/>
  <c r="V284" i="28" s="1"/>
  <c r="X284" i="28" s="1"/>
  <c r="AR25" i="4"/>
  <c r="AR78" i="4"/>
  <c r="AR100" i="4"/>
  <c r="AR13" i="4"/>
  <c r="AR22" i="4"/>
  <c r="AR201" i="4"/>
  <c r="AR44" i="4"/>
  <c r="AR65" i="4"/>
  <c r="AR58" i="4"/>
  <c r="AR105" i="4"/>
  <c r="AR89" i="4"/>
  <c r="AR109" i="4"/>
  <c r="AR154" i="4"/>
  <c r="AR123" i="4"/>
  <c r="AR6" i="4"/>
  <c r="AR93" i="4"/>
  <c r="AR156" i="4"/>
  <c r="AR203" i="4"/>
  <c r="AR160" i="4"/>
  <c r="AR48" i="4"/>
  <c r="AR124" i="4"/>
  <c r="AS213" i="4"/>
  <c r="AU213" i="4" s="1"/>
  <c r="AV213" i="4" s="1"/>
  <c r="AS205" i="4"/>
  <c r="AU205" i="4" s="1"/>
  <c r="AS173" i="4"/>
  <c r="AU173" i="4" s="1"/>
  <c r="AV173" i="4" s="1"/>
  <c r="AS125" i="4"/>
  <c r="AS117" i="4"/>
  <c r="AU117" i="4" s="1"/>
  <c r="AS109" i="4"/>
  <c r="AU109" i="4" s="1"/>
  <c r="AW109" i="4" s="1"/>
  <c r="AS29" i="4"/>
  <c r="AU29" i="4" s="1"/>
  <c r="AW29" i="4" s="1"/>
  <c r="AS7" i="4"/>
  <c r="AU7" i="4" s="1"/>
  <c r="Y66" i="4"/>
  <c r="Y92" i="4"/>
  <c r="Y168" i="4"/>
  <c r="R208" i="4"/>
  <c r="AS216" i="4"/>
  <c r="AU216" i="4" s="1"/>
  <c r="AS168" i="4"/>
  <c r="AU168" i="4" s="1"/>
  <c r="AW168" i="4" s="1"/>
  <c r="AS160" i="4"/>
  <c r="AU160" i="4" s="1"/>
  <c r="AV160" i="4" s="1"/>
  <c r="AS120" i="4"/>
  <c r="AU120" i="4" s="1"/>
  <c r="AS112" i="4"/>
  <c r="AU112" i="4" s="1"/>
  <c r="AS104" i="4"/>
  <c r="AU104" i="4" s="1"/>
  <c r="AV104" i="4" s="1"/>
  <c r="AS64" i="4"/>
  <c r="AU64" i="4" s="1"/>
  <c r="AV64" i="4" s="1"/>
  <c r="AS56" i="4"/>
  <c r="AU56" i="4" s="1"/>
  <c r="AS48" i="4"/>
  <c r="AU48" i="4" s="1"/>
  <c r="AW48" i="4" s="1"/>
  <c r="Y181" i="4"/>
  <c r="AS211" i="4"/>
  <c r="AU211" i="4" s="1"/>
  <c r="AW211" i="4" s="1"/>
  <c r="AS163" i="4"/>
  <c r="AU163" i="4" s="1"/>
  <c r="AS155" i="4"/>
  <c r="AS123" i="4"/>
  <c r="AU123" i="4" s="1"/>
  <c r="AS107" i="4"/>
  <c r="AU107" i="4" s="1"/>
  <c r="AS83" i="4"/>
  <c r="AU83" i="4" s="1"/>
  <c r="AS75" i="4"/>
  <c r="AS35" i="4"/>
  <c r="AU35" i="4" s="1"/>
  <c r="AW35" i="4" s="1"/>
  <c r="AS190" i="4"/>
  <c r="AU190" i="4" s="1"/>
  <c r="AV190" i="4" s="1"/>
  <c r="AS182" i="4"/>
  <c r="AU182" i="4" s="1"/>
  <c r="AV182" i="4" s="1"/>
  <c r="AS158" i="4"/>
  <c r="AU158" i="4" s="1"/>
  <c r="AS126" i="4"/>
  <c r="AU126" i="4" s="1"/>
  <c r="AV126" i="4" s="1"/>
  <c r="AS86" i="4"/>
  <c r="AU86" i="4" s="1"/>
  <c r="AS78" i="4"/>
  <c r="AS22" i="4"/>
  <c r="AS15" i="4"/>
  <c r="AU15" i="4" s="1"/>
  <c r="AV15" i="4" s="1"/>
  <c r="Y17" i="4"/>
  <c r="Y60" i="4"/>
  <c r="Y106" i="4"/>
  <c r="I100" i="18"/>
  <c r="I46" i="16"/>
  <c r="I49" i="16"/>
  <c r="X100" i="18"/>
  <c r="X46" i="16"/>
  <c r="X49" i="16" s="1"/>
  <c r="AJ46" i="16"/>
  <c r="AJ49" i="16" s="1"/>
  <c r="AJ100" i="18"/>
  <c r="AB17" i="16"/>
  <c r="J100" i="18"/>
  <c r="J46" i="16"/>
  <c r="J49" i="16"/>
  <c r="AN100" i="18"/>
  <c r="AN46" i="16"/>
  <c r="AN49" i="16" s="1"/>
  <c r="AE13" i="18"/>
  <c r="O13" i="18"/>
  <c r="G13" i="18"/>
  <c r="AH13" i="18"/>
  <c r="Z13" i="18"/>
  <c r="R13" i="18"/>
  <c r="K46" i="16"/>
  <c r="K100" i="18"/>
  <c r="Z100" i="18"/>
  <c r="Z46" i="16"/>
  <c r="Z49" i="16" s="1"/>
  <c r="AM100" i="18"/>
  <c r="AM46" i="16"/>
  <c r="AM49" i="16"/>
  <c r="AE100" i="18"/>
  <c r="AE46" i="16"/>
  <c r="AE49" i="16"/>
  <c r="W100" i="18"/>
  <c r="W46" i="16"/>
  <c r="O100" i="18"/>
  <c r="O46" i="16"/>
  <c r="O49" i="16" s="1"/>
  <c r="G100" i="18"/>
  <c r="G46" i="16"/>
  <c r="G49" i="16"/>
  <c r="AL46" i="16"/>
  <c r="AL49" i="16" s="1"/>
  <c r="AL100" i="18"/>
  <c r="AD100" i="18"/>
  <c r="AD46" i="16"/>
  <c r="AD49" i="16"/>
  <c r="V46" i="16"/>
  <c r="V49" i="16"/>
  <c r="V100" i="18"/>
  <c r="N100" i="18"/>
  <c r="N46" i="16"/>
  <c r="N49" i="16" s="1"/>
  <c r="L46" i="16"/>
  <c r="L49" i="16"/>
  <c r="L100" i="18"/>
  <c r="AA46" i="16"/>
  <c r="AA49" i="16"/>
  <c r="AA100" i="18"/>
  <c r="P100" i="18"/>
  <c r="P46" i="16"/>
  <c r="P49" i="16"/>
  <c r="B13" i="18"/>
  <c r="AC46" i="16"/>
  <c r="AC49" i="16"/>
  <c r="AC100" i="18"/>
  <c r="E46" i="16"/>
  <c r="E100" i="18"/>
  <c r="AB46" i="16"/>
  <c r="AB49" i="16"/>
  <c r="AB100" i="18"/>
  <c r="S46" i="16"/>
  <c r="S49" i="16"/>
  <c r="S100" i="18"/>
  <c r="C13" i="18"/>
  <c r="AG46" i="16"/>
  <c r="AG49" i="16" s="1"/>
  <c r="H46" i="16"/>
  <c r="H49" i="16" s="1"/>
  <c r="AC13" i="18"/>
  <c r="U13" i="18"/>
  <c r="M13" i="18"/>
  <c r="AF13" i="18"/>
  <c r="P13" i="18"/>
  <c r="AS152" i="4"/>
  <c r="AU152" i="4" s="1"/>
  <c r="D13" i="18"/>
  <c r="T13" i="18"/>
  <c r="AM13" i="18"/>
  <c r="AL13" i="18"/>
  <c r="AS149" i="4"/>
  <c r="AU149" i="4" s="1"/>
  <c r="P211" i="4"/>
  <c r="P21" i="4"/>
  <c r="AQ108" i="4"/>
  <c r="AS82" i="4"/>
  <c r="AU82" i="4" s="1"/>
  <c r="AW82" i="4" s="1"/>
  <c r="P200" i="4"/>
  <c r="Y58" i="4"/>
  <c r="AS90" i="4"/>
  <c r="AU90" i="4" s="1"/>
  <c r="Y33" i="4"/>
  <c r="R63" i="4"/>
  <c r="P66" i="4"/>
  <c r="Y163" i="4"/>
  <c r="Y151" i="4"/>
  <c r="AQ3" i="4"/>
  <c r="Y104" i="4"/>
  <c r="AS111" i="4"/>
  <c r="AU111" i="4" s="1"/>
  <c r="AS119" i="4"/>
  <c r="AS127" i="4"/>
  <c r="AU127" i="4" s="1"/>
  <c r="P202" i="4"/>
  <c r="AS116" i="4"/>
  <c r="P178" i="4"/>
  <c r="AS164" i="4"/>
  <c r="AS62" i="4"/>
  <c r="AU62" i="4" s="1"/>
  <c r="AV62" i="4" s="1"/>
  <c r="R195" i="4"/>
  <c r="Y102" i="4"/>
  <c r="P104" i="4"/>
  <c r="W21" i="4"/>
  <c r="AQ73" i="4"/>
  <c r="AQ21" i="4"/>
  <c r="AS16" i="4"/>
  <c r="P114" i="4"/>
  <c r="AQ126" i="4"/>
  <c r="Y202" i="4"/>
  <c r="AQ97" i="4"/>
  <c r="Y80" i="4"/>
  <c r="AQ6" i="4"/>
  <c r="AS18" i="4"/>
  <c r="AU18" i="4" s="1"/>
  <c r="Y210" i="4"/>
  <c r="Y147" i="4"/>
  <c r="AS19" i="4"/>
  <c r="AU19" i="4" s="1"/>
  <c r="Y198" i="4"/>
  <c r="W11" i="4"/>
  <c r="P81" i="4"/>
  <c r="AQ56" i="4"/>
  <c r="Y24" i="4"/>
  <c r="R163" i="4"/>
  <c r="Y5" i="4"/>
  <c r="Y30" i="4"/>
  <c r="AQ194" i="4"/>
  <c r="Y143" i="4"/>
  <c r="AS139" i="4"/>
  <c r="P31" i="4"/>
  <c r="AS45" i="4"/>
  <c r="AU45" i="4" s="1"/>
  <c r="AW45" i="4" s="1"/>
  <c r="AQ104" i="4"/>
  <c r="Y20" i="4"/>
  <c r="Y46" i="4"/>
  <c r="Y49" i="4"/>
  <c r="P116" i="4"/>
  <c r="W168" i="4"/>
  <c r="Y152" i="4"/>
  <c r="AQ182" i="4"/>
  <c r="R61" i="4"/>
  <c r="AQ106" i="4"/>
  <c r="W214" i="4"/>
  <c r="AQ186" i="4"/>
  <c r="R52" i="4"/>
  <c r="R141" i="4"/>
  <c r="AS24" i="4"/>
  <c r="AU24" i="4" s="1"/>
  <c r="AW24" i="4" s="1"/>
  <c r="AS193" i="4"/>
  <c r="AS99" i="4"/>
  <c r="P166" i="4"/>
  <c r="R109" i="4"/>
  <c r="R71" i="4"/>
  <c r="R28" i="4"/>
  <c r="P171" i="4"/>
  <c r="AS159" i="4"/>
  <c r="AU159" i="4" s="1"/>
  <c r="AW159" i="4" s="1"/>
  <c r="R60" i="4"/>
  <c r="R55" i="4"/>
  <c r="AQ107" i="4"/>
  <c r="R161" i="4"/>
  <c r="AQ60" i="4"/>
  <c r="AQ175" i="4"/>
  <c r="AQ215" i="4"/>
  <c r="AQ78" i="4"/>
  <c r="R152" i="4"/>
  <c r="AQ75" i="4"/>
  <c r="P49" i="4"/>
  <c r="Y135" i="4"/>
  <c r="AS179" i="4"/>
  <c r="AU179" i="4" s="1"/>
  <c r="AW179" i="4" s="1"/>
  <c r="P58" i="4"/>
  <c r="AS115" i="4"/>
  <c r="AU115" i="4" s="1"/>
  <c r="AV115" i="4" s="1"/>
  <c r="R188" i="4"/>
  <c r="R100" i="4"/>
  <c r="Y171" i="4"/>
  <c r="R35" i="4"/>
  <c r="AS89" i="4"/>
  <c r="AU89" i="4" s="1"/>
  <c r="AW89" i="4" s="1"/>
  <c r="R122" i="4"/>
  <c r="AQ68" i="4"/>
  <c r="Y180" i="4"/>
  <c r="P53" i="4"/>
  <c r="P118" i="4"/>
  <c r="AQ47" i="4"/>
  <c r="R123" i="4"/>
  <c r="R101" i="4"/>
  <c r="Y29" i="4"/>
  <c r="Y53" i="4"/>
  <c r="Y82" i="4"/>
  <c r="Y85" i="4"/>
  <c r="Y204" i="4"/>
  <c r="P148" i="4"/>
  <c r="P59" i="4"/>
  <c r="P176" i="4"/>
  <c r="P163" i="4"/>
  <c r="AS77" i="4"/>
  <c r="AU77" i="4" s="1"/>
  <c r="AW77" i="4" s="1"/>
  <c r="AS41" i="4"/>
  <c r="AU41" i="4" s="1"/>
  <c r="AW41" i="4" s="1"/>
  <c r="Y9" i="4"/>
  <c r="AQ23" i="4"/>
  <c r="W33" i="4"/>
  <c r="Y76" i="4"/>
  <c r="Y169" i="4"/>
  <c r="Y148" i="4"/>
  <c r="R151" i="4"/>
  <c r="AQ180" i="4"/>
  <c r="Y50" i="4"/>
  <c r="Y157" i="4"/>
  <c r="R172" i="4"/>
  <c r="Y128" i="4"/>
  <c r="P115" i="4"/>
  <c r="P91" i="4"/>
  <c r="R6" i="4"/>
  <c r="R2" i="4"/>
  <c r="AQ9" i="4"/>
  <c r="P181" i="4"/>
  <c r="Y137" i="4"/>
  <c r="R29" i="4"/>
  <c r="W157" i="4"/>
  <c r="W75" i="4"/>
  <c r="Y71" i="4"/>
  <c r="P85" i="4"/>
  <c r="AS135" i="4"/>
  <c r="AS50" i="4"/>
  <c r="AU50" i="4" s="1"/>
  <c r="AW50" i="4" s="1"/>
  <c r="AS206" i="4"/>
  <c r="AU206" i="4" s="1"/>
  <c r="AW206" i="4" s="1"/>
  <c r="AQ49" i="4"/>
  <c r="AS46" i="4"/>
  <c r="AU46" i="4" s="1"/>
  <c r="AV46" i="4" s="1"/>
  <c r="R14" i="4"/>
  <c r="Y55" i="4"/>
  <c r="Y105" i="4"/>
  <c r="Y208" i="4"/>
  <c r="Y211" i="4"/>
  <c r="AQ196" i="4"/>
  <c r="P47" i="4"/>
  <c r="AS189" i="4"/>
  <c r="AU189" i="4" s="1"/>
  <c r="AW189" i="4" s="1"/>
  <c r="Y2" i="4"/>
  <c r="AQ183" i="4"/>
  <c r="Y160" i="4"/>
  <c r="R130" i="4"/>
  <c r="Y8" i="4"/>
  <c r="R154" i="4"/>
  <c r="P112" i="4"/>
  <c r="P40" i="4"/>
  <c r="P11" i="4"/>
  <c r="AQ120" i="4"/>
  <c r="Y73" i="4"/>
  <c r="P15" i="4"/>
  <c r="Y184" i="4"/>
  <c r="P179" i="4"/>
  <c r="AQ149" i="4"/>
  <c r="Y41" i="4"/>
  <c r="AS44" i="4"/>
  <c r="AU44" i="4" s="1"/>
  <c r="P33" i="4"/>
  <c r="Y61" i="4"/>
  <c r="R8" i="4"/>
  <c r="AS28" i="4"/>
  <c r="AQ22" i="4"/>
  <c r="AQ109" i="4"/>
  <c r="AQ64" i="4"/>
  <c r="Y28" i="4"/>
  <c r="Y43" i="4"/>
  <c r="Y203" i="4"/>
  <c r="P207" i="4"/>
  <c r="AQ129" i="4"/>
  <c r="AS129" i="4"/>
  <c r="Y95" i="4"/>
  <c r="Y19" i="4"/>
  <c r="Y193" i="4"/>
  <c r="Y196" i="4"/>
  <c r="Y68" i="4"/>
  <c r="R16" i="4"/>
  <c r="Y176" i="4"/>
  <c r="AQ103" i="4"/>
  <c r="P86" i="4"/>
  <c r="R213" i="4"/>
  <c r="P79" i="4"/>
  <c r="R72" i="4"/>
  <c r="AS134" i="4"/>
  <c r="AU134" i="4" s="1"/>
  <c r="AV134" i="4" s="1"/>
  <c r="P19" i="4"/>
  <c r="Y34" i="4"/>
  <c r="Y179" i="4"/>
  <c r="R181" i="4"/>
  <c r="AQ132" i="4"/>
  <c r="Y199" i="4"/>
  <c r="Y207" i="4"/>
  <c r="P170" i="4"/>
  <c r="P140" i="4"/>
  <c r="Y78" i="4"/>
  <c r="R121" i="4"/>
  <c r="Y12" i="4"/>
  <c r="R155" i="4"/>
  <c r="P174" i="4"/>
  <c r="P95" i="4"/>
  <c r="P23" i="4"/>
  <c r="AS67" i="4"/>
  <c r="AU67" i="4" s="1"/>
  <c r="AW67" i="4" s="1"/>
  <c r="AQ192" i="4"/>
  <c r="AQ31" i="4"/>
  <c r="AQ20" i="4"/>
  <c r="AQ15" i="4"/>
  <c r="AQ7" i="4"/>
  <c r="W29" i="4"/>
  <c r="Y38" i="4"/>
  <c r="Y57" i="4"/>
  <c r="W92" i="4"/>
  <c r="Y144" i="4"/>
  <c r="Y209" i="4"/>
  <c r="W148" i="4"/>
  <c r="P173" i="4"/>
  <c r="Y65" i="4"/>
  <c r="R76" i="4"/>
  <c r="R82" i="4"/>
  <c r="Y3" i="4"/>
  <c r="P143" i="4"/>
  <c r="Y23" i="4"/>
  <c r="P82" i="4"/>
  <c r="AS198" i="4"/>
  <c r="AU198" i="4" s="1"/>
  <c r="AW198" i="4" s="1"/>
  <c r="P193" i="4"/>
  <c r="P135" i="4"/>
  <c r="W211" i="4"/>
  <c r="AS128" i="4"/>
  <c r="R149" i="4"/>
  <c r="R184" i="4"/>
  <c r="AS10" i="4"/>
  <c r="AS197" i="4"/>
  <c r="AU197" i="4" s="1"/>
  <c r="Y213" i="4"/>
  <c r="P22" i="4"/>
  <c r="W190" i="4"/>
  <c r="P60" i="4"/>
  <c r="R46" i="4"/>
  <c r="P201" i="4"/>
  <c r="Y72" i="4"/>
  <c r="Y70" i="4"/>
  <c r="Y159" i="4"/>
  <c r="Y162" i="4"/>
  <c r="AQ125" i="4"/>
  <c r="R98" i="4"/>
  <c r="AQ173" i="4"/>
  <c r="AQ83" i="4"/>
  <c r="R162" i="4"/>
  <c r="Y197" i="4"/>
  <c r="R147" i="4"/>
  <c r="AQ94" i="4"/>
  <c r="P38" i="4"/>
  <c r="W208" i="4"/>
  <c r="AS195" i="4"/>
  <c r="AU195" i="4" s="1"/>
  <c r="AW195" i="4" s="1"/>
  <c r="P180" i="4"/>
  <c r="AS25" i="4"/>
  <c r="AU25" i="4" s="1"/>
  <c r="AW25" i="4" s="1"/>
  <c r="AS201" i="4"/>
  <c r="Y114" i="4"/>
  <c r="AQ52" i="4"/>
  <c r="R43" i="4"/>
  <c r="R206" i="4"/>
  <c r="R201" i="4"/>
  <c r="AQ105" i="4"/>
  <c r="AQ112" i="4"/>
  <c r="P159" i="4"/>
  <c r="P9" i="4"/>
  <c r="AQ160" i="4"/>
  <c r="R34" i="4"/>
  <c r="Y93" i="4"/>
  <c r="Y189" i="4"/>
  <c r="R192" i="4"/>
  <c r="Y173" i="4"/>
  <c r="AS209" i="4"/>
  <c r="AU209" i="4" s="1"/>
  <c r="AW209" i="4" s="1"/>
  <c r="Y88" i="4"/>
  <c r="AQ95" i="4"/>
  <c r="AQ190" i="4"/>
  <c r="AQ158" i="4"/>
  <c r="P194" i="4"/>
  <c r="AQ58" i="4"/>
  <c r="Y182" i="4"/>
  <c r="W184" i="4"/>
  <c r="P197" i="4"/>
  <c r="P124" i="4"/>
  <c r="AS154" i="4"/>
  <c r="AU154" i="4" s="1"/>
  <c r="AW154" i="4" s="1"/>
  <c r="AQ86" i="4"/>
  <c r="AS208" i="4"/>
  <c r="AU208" i="4" s="1"/>
  <c r="AW208" i="4" s="1"/>
  <c r="Y64" i="4"/>
  <c r="Y178" i="4"/>
  <c r="P186" i="4"/>
  <c r="AS137" i="4"/>
  <c r="AU137" i="4" s="1"/>
  <c r="W178" i="4"/>
  <c r="AS151" i="4"/>
  <c r="AU151" i="4" s="1"/>
  <c r="P14" i="4"/>
  <c r="AS69" i="4"/>
  <c r="AU69" i="4" s="1"/>
  <c r="AW69" i="4" s="1"/>
  <c r="AQ69" i="4"/>
  <c r="AS37" i="4"/>
  <c r="AQ37" i="4"/>
  <c r="R13" i="4"/>
  <c r="P13" i="4"/>
  <c r="W44" i="4"/>
  <c r="Y44" i="4"/>
  <c r="R62" i="4"/>
  <c r="Y62" i="4"/>
  <c r="R105" i="4"/>
  <c r="P105" i="4"/>
  <c r="Y108" i="4"/>
  <c r="R108" i="4"/>
  <c r="R138" i="4"/>
  <c r="P138" i="4"/>
  <c r="Y172" i="4"/>
  <c r="Y27" i="4"/>
  <c r="Y91" i="4"/>
  <c r="Y200" i="4"/>
  <c r="W210" i="4"/>
  <c r="AQ35" i="4"/>
  <c r="W53" i="4"/>
  <c r="R113" i="4"/>
  <c r="Y90" i="4"/>
  <c r="AQ205" i="4"/>
  <c r="AS191" i="4"/>
  <c r="AU191" i="4" s="1"/>
  <c r="AW191" i="4" s="1"/>
  <c r="AQ191" i="4"/>
  <c r="AQ188" i="4"/>
  <c r="AS156" i="4"/>
  <c r="AU156" i="4" s="1"/>
  <c r="AQ156" i="4"/>
  <c r="AQ123" i="4"/>
  <c r="AQ72" i="4"/>
  <c r="AS72" i="4"/>
  <c r="AU72" i="4" s="1"/>
  <c r="AW72" i="4" s="1"/>
  <c r="AQ40" i="4"/>
  <c r="AS40" i="4"/>
  <c r="R10" i="4"/>
  <c r="P10" i="4"/>
  <c r="Y13" i="4"/>
  <c r="W13" i="4"/>
  <c r="Y54" i="4"/>
  <c r="P102" i="4"/>
  <c r="R102" i="4"/>
  <c r="R144" i="4"/>
  <c r="P144" i="4"/>
  <c r="W197" i="4"/>
  <c r="W149" i="4"/>
  <c r="Y149" i="4"/>
  <c r="AQ98" i="4"/>
  <c r="AS98" i="4"/>
  <c r="AU98" i="4" s="1"/>
  <c r="AW98" i="4" s="1"/>
  <c r="P106" i="4"/>
  <c r="Y32" i="4"/>
  <c r="AS169" i="4"/>
  <c r="AU169" i="4" s="1"/>
  <c r="AQ169" i="4"/>
  <c r="AQ32" i="4"/>
  <c r="AS32" i="4"/>
  <c r="AU32" i="4" s="1"/>
  <c r="AV32" i="4" s="1"/>
  <c r="AS5" i="4"/>
  <c r="AU5" i="4" s="1"/>
  <c r="AQ5" i="4"/>
  <c r="R36" i="4"/>
  <c r="P36" i="4"/>
  <c r="R106" i="4"/>
  <c r="Y51" i="4"/>
  <c r="AQ152" i="4"/>
  <c r="AS214" i="4"/>
  <c r="AU214" i="4" s="1"/>
  <c r="AS150" i="4"/>
  <c r="AU150" i="4" s="1"/>
  <c r="AV150" i="4" s="1"/>
  <c r="Y125" i="4"/>
  <c r="Y129" i="4"/>
  <c r="AS92" i="4"/>
  <c r="AU92" i="4" s="1"/>
  <c r="AW92" i="4" s="1"/>
  <c r="P62" i="4"/>
  <c r="Y133" i="4"/>
  <c r="Y153" i="4"/>
  <c r="AS96" i="4"/>
  <c r="AU96" i="4" s="1"/>
  <c r="AW96" i="4" s="1"/>
  <c r="R70" i="4"/>
  <c r="Y188" i="4"/>
  <c r="AS181" i="4"/>
  <c r="AU181" i="4" s="1"/>
  <c r="AV181" i="4" s="1"/>
  <c r="AQ181" i="4"/>
  <c r="AS178" i="4"/>
  <c r="AU178" i="4" s="1"/>
  <c r="AV178" i="4" s="1"/>
  <c r="AQ53" i="4"/>
  <c r="AS53" i="4"/>
  <c r="AU53" i="4" s="1"/>
  <c r="AV53" i="4" s="1"/>
  <c r="P142" i="4"/>
  <c r="Y142" i="4"/>
  <c r="W173" i="4"/>
  <c r="R199" i="4"/>
  <c r="P199" i="4"/>
  <c r="W144" i="4"/>
  <c r="AS93" i="4"/>
  <c r="AU93" i="4" s="1"/>
  <c r="AQ93" i="4"/>
  <c r="AQ84" i="4"/>
  <c r="AS84" i="4"/>
  <c r="AU84" i="4" s="1"/>
  <c r="AW84" i="4" s="1"/>
  <c r="Y35" i="4"/>
  <c r="AS131" i="4"/>
  <c r="AU131" i="4" s="1"/>
  <c r="AW131" i="4" s="1"/>
  <c r="AQ131" i="4"/>
  <c r="AS172" i="4"/>
  <c r="AU172" i="4" s="1"/>
  <c r="AW172" i="4" s="1"/>
  <c r="AS65" i="4"/>
  <c r="AU65" i="4" s="1"/>
  <c r="AQ65" i="4"/>
  <c r="W36" i="4"/>
  <c r="Y36" i="4"/>
  <c r="W158" i="4"/>
  <c r="Y158" i="4"/>
  <c r="P133" i="4"/>
  <c r="Y191" i="4"/>
  <c r="Y194" i="4"/>
  <c r="Y22" i="4"/>
  <c r="AS199" i="4"/>
  <c r="AU199" i="4" s="1"/>
  <c r="AW199" i="4" s="1"/>
  <c r="Y67" i="4"/>
  <c r="P73" i="4"/>
  <c r="AQ211" i="4"/>
  <c r="AQ117" i="4"/>
  <c r="AQ207" i="4"/>
  <c r="AS207" i="4"/>
  <c r="AU207" i="4" s="1"/>
  <c r="AS184" i="4"/>
  <c r="AU184" i="4" s="1"/>
  <c r="AV184" i="4" s="1"/>
  <c r="AQ184" i="4"/>
  <c r="AQ170" i="4"/>
  <c r="AS170" i="4"/>
  <c r="AU170" i="4" s="1"/>
  <c r="AW170" i="4" s="1"/>
  <c r="AQ102" i="4"/>
  <c r="AS102" i="4"/>
  <c r="AU102" i="4" s="1"/>
  <c r="P64" i="4"/>
  <c r="R64" i="4"/>
  <c r="R89" i="4"/>
  <c r="Y110" i="4"/>
  <c r="W110" i="4"/>
  <c r="P134" i="4"/>
  <c r="R134" i="4"/>
  <c r="P196" i="4"/>
  <c r="R196" i="4"/>
  <c r="P215" i="4"/>
  <c r="AQ166" i="4"/>
  <c r="AS166" i="4"/>
  <c r="AU166" i="4" s="1"/>
  <c r="AV166" i="4" s="1"/>
  <c r="AQ43" i="4"/>
  <c r="AS43" i="4"/>
  <c r="AU43" i="4" s="1"/>
  <c r="P20" i="4"/>
  <c r="R20" i="4"/>
  <c r="Y118" i="4"/>
  <c r="W118" i="4"/>
  <c r="R185" i="4"/>
  <c r="P185" i="4"/>
  <c r="R119" i="4"/>
  <c r="P119" i="4"/>
  <c r="Y150" i="4"/>
  <c r="Y185" i="4"/>
  <c r="Y122" i="4"/>
  <c r="Y124" i="4"/>
  <c r="Y16" i="4"/>
  <c r="Y170" i="4"/>
  <c r="AQ213" i="4"/>
  <c r="R67" i="4"/>
  <c r="AQ210" i="4"/>
  <c r="AS210" i="4"/>
  <c r="AU210" i="4" s="1"/>
  <c r="AW210" i="4" s="1"/>
  <c r="AS187" i="4"/>
  <c r="AU187" i="4" s="1"/>
  <c r="AQ187" i="4"/>
  <c r="AS122" i="4"/>
  <c r="AQ122" i="4"/>
  <c r="AS57" i="4"/>
  <c r="R44" i="4"/>
  <c r="P44" i="4"/>
  <c r="W64" i="4"/>
  <c r="P70" i="4"/>
  <c r="P108" i="4"/>
  <c r="R127" i="4"/>
  <c r="P127" i="4"/>
  <c r="R212" i="4"/>
  <c r="Y59" i="4"/>
  <c r="Y167" i="4"/>
  <c r="Y212" i="4"/>
  <c r="Y174" i="4"/>
  <c r="Y112" i="4"/>
  <c r="AQ114" i="4"/>
  <c r="AS114" i="4"/>
  <c r="AU114" i="4" s="1"/>
  <c r="R39" i="4"/>
  <c r="P39" i="4"/>
  <c r="P42" i="4"/>
  <c r="R42" i="4"/>
  <c r="Y45" i="4"/>
  <c r="R96" i="4"/>
  <c r="P96" i="4"/>
  <c r="R54" i="4"/>
  <c r="Y39" i="4"/>
  <c r="P83" i="4"/>
  <c r="AS51" i="4"/>
  <c r="AU51" i="4" s="1"/>
  <c r="AV51" i="4" s="1"/>
  <c r="AQ51" i="4"/>
  <c r="AS17" i="4"/>
  <c r="AQ17" i="4"/>
  <c r="R111" i="4"/>
  <c r="P111" i="4"/>
  <c r="R136" i="4"/>
  <c r="P136" i="4"/>
  <c r="P54" i="4"/>
  <c r="AQ168" i="4"/>
  <c r="Y63" i="4"/>
  <c r="R132" i="4"/>
  <c r="P132" i="4"/>
  <c r="W165" i="4"/>
  <c r="Y165" i="4"/>
  <c r="R177" i="4"/>
  <c r="P177" i="4"/>
  <c r="Y177" i="4"/>
  <c r="Y115" i="4"/>
  <c r="R4" i="4"/>
  <c r="AS143" i="4"/>
  <c r="AU143" i="4" s="1"/>
  <c r="AW143" i="4" s="1"/>
  <c r="AQ155" i="4"/>
  <c r="AQ162" i="4"/>
  <c r="AS171" i="4"/>
  <c r="AU171" i="4" s="1"/>
  <c r="Y86" i="4"/>
  <c r="W86" i="4"/>
  <c r="P90" i="4"/>
  <c r="R90" i="4"/>
  <c r="Y26" i="4"/>
  <c r="Y96" i="4"/>
  <c r="Y138" i="4"/>
  <c r="AS177" i="4"/>
  <c r="AU177" i="4" s="1"/>
  <c r="AQ177" i="4"/>
  <c r="AS34" i="4"/>
  <c r="AQ34" i="4"/>
  <c r="Y7" i="4"/>
  <c r="P7" i="4"/>
  <c r="R25" i="4"/>
  <c r="Y25" i="4"/>
  <c r="Y77" i="4"/>
  <c r="W77" i="4"/>
  <c r="AS146" i="4"/>
  <c r="AU146" i="4" s="1"/>
  <c r="AV146" i="4" s="1"/>
  <c r="AQ141" i="4"/>
  <c r="AQ142" i="4"/>
  <c r="Y99" i="4"/>
  <c r="AQ81" i="4"/>
  <c r="AS85" i="4"/>
  <c r="AU85" i="4" s="1"/>
  <c r="AW85" i="4" s="1"/>
  <c r="AQ216" i="4"/>
  <c r="AQ29" i="4"/>
  <c r="Y10" i="4"/>
  <c r="AS136" i="4"/>
  <c r="AU136" i="4" s="1"/>
  <c r="AW136" i="4" s="1"/>
  <c r="AS13" i="4"/>
  <c r="AU13" i="4" s="1"/>
  <c r="AQ13" i="4"/>
  <c r="Y69" i="4"/>
  <c r="R69" i="4"/>
  <c r="W161" i="4"/>
  <c r="Y161" i="4"/>
  <c r="AS202" i="4"/>
  <c r="AU202" i="4" s="1"/>
  <c r="AQ145" i="4"/>
  <c r="AS145" i="4"/>
  <c r="AU145" i="4" s="1"/>
  <c r="AQ174" i="4"/>
  <c r="AS174" i="4"/>
  <c r="AU174" i="4" s="1"/>
  <c r="Y40" i="4"/>
  <c r="Y120" i="4"/>
  <c r="W120" i="4"/>
  <c r="W154" i="4"/>
  <c r="Y154" i="4"/>
  <c r="P146" i="4"/>
  <c r="R146" i="4"/>
  <c r="AQ48" i="4"/>
  <c r="Y48" i="4"/>
  <c r="P99" i="4"/>
  <c r="R26" i="4"/>
  <c r="AS26" i="4"/>
  <c r="AU26" i="4" s="1"/>
  <c r="AW26" i="4" s="1"/>
  <c r="P30" i="4"/>
  <c r="Y111" i="4"/>
  <c r="AS165" i="4"/>
  <c r="AU165" i="4" s="1"/>
  <c r="AV165" i="4" s="1"/>
  <c r="Y101" i="4"/>
  <c r="AQ138" i="4"/>
  <c r="AS138" i="4"/>
  <c r="AU138" i="4" s="1"/>
  <c r="AW138" i="4" s="1"/>
  <c r="AS8" i="4"/>
  <c r="AU8" i="4" s="1"/>
  <c r="AW8" i="4" s="1"/>
  <c r="AQ8" i="4"/>
  <c r="Y146" i="4"/>
  <c r="Y145" i="4"/>
  <c r="Y79" i="4"/>
  <c r="Y136" i="4"/>
  <c r="AS54" i="4"/>
  <c r="Y215" i="4"/>
  <c r="AS147" i="4"/>
  <c r="AU147" i="4" s="1"/>
  <c r="AW147" i="4" s="1"/>
  <c r="AS70" i="4"/>
  <c r="AU70" i="4" s="1"/>
  <c r="W98" i="4"/>
  <c r="Y98" i="4"/>
  <c r="W107" i="4"/>
  <c r="Y107" i="4"/>
  <c r="P156" i="4"/>
  <c r="Y156" i="4"/>
  <c r="R156" i="4"/>
  <c r="P94" i="4"/>
  <c r="Y94" i="4"/>
  <c r="Y116" i="4"/>
  <c r="P216" i="4"/>
  <c r="Y155" i="4"/>
  <c r="Y140" i="4"/>
  <c r="W47" i="4"/>
  <c r="Y47" i="4"/>
  <c r="R92" i="4"/>
  <c r="P92" i="4"/>
  <c r="R189" i="4"/>
  <c r="P189" i="4"/>
  <c r="W206" i="4"/>
  <c r="Y206" i="4"/>
  <c r="Y83" i="4"/>
  <c r="R139" i="4"/>
  <c r="P139" i="4"/>
  <c r="P158" i="4"/>
  <c r="Y56" i="4"/>
  <c r="AS38" i="4"/>
  <c r="AU38" i="4" s="1"/>
  <c r="AS101" i="4"/>
  <c r="AU101" i="4" s="1"/>
  <c r="Y89" i="4"/>
  <c r="R169" i="4"/>
  <c r="P169" i="4"/>
  <c r="AS167" i="4"/>
  <c r="AU167" i="4" s="1"/>
  <c r="AQ167" i="4"/>
  <c r="R17" i="4"/>
  <c r="P17" i="4"/>
  <c r="W42" i="4"/>
  <c r="W186" i="4"/>
  <c r="Y186" i="4"/>
  <c r="R78" i="4"/>
  <c r="R51" i="4"/>
  <c r="Y216" i="4"/>
  <c r="AS42" i="4"/>
  <c r="AU42" i="4" s="1"/>
  <c r="AW42" i="4" s="1"/>
  <c r="P137" i="4"/>
  <c r="P50" i="4"/>
  <c r="Y139" i="4"/>
  <c r="W187" i="4"/>
  <c r="Y187" i="4"/>
  <c r="R205" i="4"/>
  <c r="Y205" i="4"/>
  <c r="E43" i="14"/>
  <c r="E37" i="14"/>
  <c r="E3" i="14"/>
  <c r="E4" i="14"/>
  <c r="E24" i="14"/>
  <c r="E17" i="14"/>
  <c r="E18" i="14"/>
  <c r="AO92" i="32"/>
  <c r="E63" i="14"/>
  <c r="E25" i="14"/>
  <c r="E22" i="14"/>
  <c r="E88" i="14"/>
  <c r="E16" i="14"/>
  <c r="E64" i="14"/>
  <c r="AI20" i="33"/>
  <c r="E59" i="14"/>
  <c r="E60" i="14"/>
  <c r="E79" i="14"/>
  <c r="E77" i="14"/>
  <c r="E19" i="14"/>
  <c r="E40" i="14"/>
  <c r="E27" i="14"/>
  <c r="E58" i="14"/>
  <c r="E35" i="14"/>
  <c r="E116" i="14"/>
  <c r="E39" i="14"/>
  <c r="E49" i="14"/>
  <c r="E65" i="14"/>
  <c r="E91" i="14"/>
  <c r="E84" i="14"/>
  <c r="E92" i="14"/>
  <c r="E9" i="14"/>
  <c r="E53" i="14"/>
  <c r="E13" i="14"/>
  <c r="E68" i="14"/>
  <c r="E66" i="14"/>
  <c r="E107" i="14"/>
  <c r="E10" i="14"/>
  <c r="E157" i="14"/>
  <c r="E75" i="14"/>
  <c r="E48" i="14"/>
  <c r="E5" i="14"/>
  <c r="E101" i="14"/>
  <c r="E47" i="14"/>
  <c r="E55" i="14"/>
  <c r="E76" i="14"/>
  <c r="E57" i="14"/>
  <c r="E62" i="14"/>
  <c r="E33" i="14"/>
  <c r="E11" i="14"/>
  <c r="E21" i="14"/>
  <c r="E12" i="14"/>
  <c r="E45" i="14"/>
  <c r="E74" i="14"/>
  <c r="E8" i="14"/>
  <c r="E38" i="14"/>
  <c r="E29" i="14"/>
  <c r="E28" i="14"/>
  <c r="E44" i="14"/>
  <c r="E72" i="14"/>
  <c r="E15" i="14"/>
  <c r="E14" i="14"/>
  <c r="E104" i="14"/>
  <c r="E56" i="14"/>
  <c r="E34" i="14"/>
  <c r="E98" i="14"/>
  <c r="E7" i="14"/>
  <c r="E118" i="14"/>
  <c r="E50" i="14"/>
  <c r="E23" i="14"/>
  <c r="E6" i="14"/>
  <c r="E36" i="14"/>
  <c r="E31" i="14"/>
  <c r="E71" i="14"/>
  <c r="E51" i="14"/>
  <c r="E137" i="14"/>
  <c r="E20" i="14"/>
  <c r="E90" i="14"/>
  <c r="E26" i="14"/>
  <c r="E67" i="14"/>
  <c r="E52" i="14"/>
  <c r="E30" i="14"/>
  <c r="E103" i="14"/>
  <c r="E70" i="14"/>
  <c r="E32" i="14"/>
  <c r="AL12" i="8"/>
  <c r="AK12" i="8"/>
  <c r="AL20" i="8"/>
  <c r="AN20" i="8" s="1"/>
  <c r="AK20" i="8"/>
  <c r="AK15" i="8"/>
  <c r="AK11" i="8"/>
  <c r="AK32" i="8"/>
  <c r="AL10" i="8"/>
  <c r="AN10" i="8" s="1"/>
  <c r="AK10" i="8"/>
  <c r="AL53" i="8"/>
  <c r="AN53" i="8" s="1"/>
  <c r="AL26" i="8"/>
  <c r="AK26" i="8"/>
  <c r="AK21" i="8"/>
  <c r="AL21" i="8"/>
  <c r="AK33" i="8"/>
  <c r="AL33" i="8"/>
  <c r="AN33" i="8" s="1"/>
  <c r="AL38" i="8"/>
  <c r="AN38" i="8" s="1"/>
  <c r="AO38" i="8" s="1"/>
  <c r="AL36" i="8"/>
  <c r="AK19" i="8"/>
  <c r="AL19" i="8"/>
  <c r="AN19" i="8" s="1"/>
  <c r="AP19" i="8" s="1"/>
  <c r="AL23" i="8"/>
  <c r="AK23" i="8"/>
  <c r="AL13" i="8"/>
  <c r="AN13" i="8" s="1"/>
  <c r="AL22" i="8"/>
  <c r="AN22" i="8" s="1"/>
  <c r="AO22" i="8" s="1"/>
  <c r="AK27" i="8"/>
  <c r="AL5" i="8"/>
  <c r="B589" i="12"/>
  <c r="C454" i="12"/>
  <c r="A2564" i="12"/>
  <c r="A2699" i="12" s="1"/>
  <c r="A2834" i="12" s="1"/>
  <c r="A2969" i="12" s="1"/>
  <c r="A3104" i="12" s="1"/>
  <c r="D96" i="14"/>
  <c r="A1522" i="12"/>
  <c r="A1657" i="12" s="1"/>
  <c r="A1792" i="12" s="1"/>
  <c r="A1927" i="12" s="1"/>
  <c r="B457" i="12"/>
  <c r="B592" i="12" s="1"/>
  <c r="C322" i="12"/>
  <c r="C530" i="12"/>
  <c r="B291" i="12"/>
  <c r="C156" i="12"/>
  <c r="B330" i="12"/>
  <c r="C195" i="12"/>
  <c r="B496" i="12"/>
  <c r="C361" i="12"/>
  <c r="B1483" i="12"/>
  <c r="A162" i="14"/>
  <c r="C659" i="12"/>
  <c r="B794" i="12"/>
  <c r="C794" i="12" s="1"/>
  <c r="B509" i="12"/>
  <c r="C374" i="12"/>
  <c r="A252" i="14"/>
  <c r="C137" i="12"/>
  <c r="B272" i="12"/>
  <c r="B676" i="12"/>
  <c r="C676" i="12" s="1"/>
  <c r="C541" i="12"/>
  <c r="C288" i="12"/>
  <c r="B1444" i="12"/>
  <c r="C1444" i="12" s="1"/>
  <c r="C1309" i="12"/>
  <c r="B373" i="12"/>
  <c r="C238" i="12"/>
  <c r="B694" i="12"/>
  <c r="C559" i="12"/>
  <c r="B338" i="12"/>
  <c r="C203" i="12"/>
  <c r="B431" i="12"/>
  <c r="C296" i="12"/>
  <c r="C116" i="14"/>
  <c r="D116" i="14"/>
  <c r="G116" i="14"/>
  <c r="I116" i="14"/>
  <c r="A155" i="14"/>
  <c r="H116" i="14"/>
  <c r="A178" i="14"/>
  <c r="B2147" i="12"/>
  <c r="A122" i="14"/>
  <c r="D83" i="14"/>
  <c r="C921" i="12"/>
  <c r="B129" i="14"/>
  <c r="I90" i="14"/>
  <c r="D90" i="14"/>
  <c r="H90" i="14"/>
  <c r="C90" i="14"/>
  <c r="G90" i="14"/>
  <c r="F90" i="14"/>
  <c r="B166" i="14"/>
  <c r="D127" i="14"/>
  <c r="I127" i="14"/>
  <c r="G127" i="14"/>
  <c r="C127" i="14"/>
  <c r="H127" i="14"/>
  <c r="A1207" i="12"/>
  <c r="A1342" i="12" s="1"/>
  <c r="A1477" i="12" s="1"/>
  <c r="A1051" i="12"/>
  <c r="C221" i="12"/>
  <c r="A949" i="12"/>
  <c r="A1084" i="12" s="1"/>
  <c r="A1219" i="12" s="1"/>
  <c r="A1354" i="12" s="1"/>
  <c r="A1489" i="12" s="1"/>
  <c r="A1624" i="12" s="1"/>
  <c r="B323" i="12"/>
  <c r="C188" i="12"/>
  <c r="G91" i="14"/>
  <c r="B776" i="12"/>
  <c r="B911" i="12" s="1"/>
  <c r="B1046" i="12" s="1"/>
  <c r="C1046" i="12" s="1"/>
  <c r="C641" i="12"/>
  <c r="B443" i="12"/>
  <c r="C308" i="12"/>
  <c r="B466" i="12"/>
  <c r="C466" i="12" s="1"/>
  <c r="C331" i="12"/>
  <c r="C152" i="14"/>
  <c r="B415" i="12"/>
  <c r="C280" i="12"/>
  <c r="A797" i="12"/>
  <c r="C797" i="12" s="1"/>
  <c r="B774" i="12"/>
  <c r="C639" i="12"/>
  <c r="B378" i="12"/>
  <c r="B398" i="12"/>
  <c r="C398" i="12" s="1"/>
  <c r="C263" i="12"/>
  <c r="B417" i="12"/>
  <c r="C282" i="12"/>
  <c r="C543" i="12"/>
  <c r="H137" i="14"/>
  <c r="C137" i="14"/>
  <c r="D137" i="14"/>
  <c r="A176" i="14"/>
  <c r="G137" i="14"/>
  <c r="F137" i="14"/>
  <c r="I137" i="14"/>
  <c r="A194" i="14"/>
  <c r="H155" i="14"/>
  <c r="C155" i="14"/>
  <c r="D155" i="14"/>
  <c r="G155" i="14"/>
  <c r="I155" i="14"/>
  <c r="E155" i="14"/>
  <c r="B491" i="12"/>
  <c r="B626" i="12" s="1"/>
  <c r="C626" i="12" s="1"/>
  <c r="C356" i="12"/>
  <c r="C1056" i="12"/>
  <c r="B465" i="12"/>
  <c r="C465" i="12" s="1"/>
  <c r="C330" i="12"/>
  <c r="B426" i="12"/>
  <c r="C291" i="12"/>
  <c r="B724" i="12"/>
  <c r="C589" i="12"/>
  <c r="A1749" i="12"/>
  <c r="B2282" i="12"/>
  <c r="A217" i="14"/>
  <c r="A1490" i="12"/>
  <c r="A1625" i="12" s="1"/>
  <c r="B168" i="14"/>
  <c r="G129" i="14"/>
  <c r="C129" i="14"/>
  <c r="F129" i="14"/>
  <c r="E129" i="14"/>
  <c r="B1579" i="12"/>
  <c r="A932" i="12"/>
  <c r="C932" i="12" s="1"/>
  <c r="B1618" i="12"/>
  <c r="C417" i="12"/>
  <c r="B552" i="12"/>
  <c r="B687" i="12" s="1"/>
  <c r="C687" i="12" s="1"/>
  <c r="B601" i="12"/>
  <c r="B205" i="14"/>
  <c r="B244" i="14" s="1"/>
  <c r="G166" i="14"/>
  <c r="C166" i="14"/>
  <c r="F166" i="14"/>
  <c r="D166" i="14"/>
  <c r="G122" i="14"/>
  <c r="B644" i="12"/>
  <c r="C509" i="12"/>
  <c r="B811" i="12"/>
  <c r="A1515" i="12"/>
  <c r="A1650" i="12" s="1"/>
  <c r="A201" i="14"/>
  <c r="C457" i="12"/>
  <c r="C776" i="12"/>
  <c r="A1186" i="12"/>
  <c r="C423" i="12"/>
  <c r="B929" i="12"/>
  <c r="B1064" i="12" s="1"/>
  <c r="F176" i="14"/>
  <c r="G176" i="14"/>
  <c r="A215" i="14"/>
  <c r="I215" i="14" s="1"/>
  <c r="B533" i="12"/>
  <c r="B566" i="12"/>
  <c r="C431" i="12"/>
  <c r="B407" i="12"/>
  <c r="A1321" i="12"/>
  <c r="A1456" i="12" s="1"/>
  <c r="A1591" i="12" s="1"/>
  <c r="B207" i="14"/>
  <c r="C491" i="12"/>
  <c r="B2417" i="12"/>
  <c r="B2552" i="12" s="1"/>
  <c r="B600" i="12"/>
  <c r="B701" i="12"/>
  <c r="C566" i="12"/>
  <c r="B779" i="12"/>
  <c r="C644" i="12"/>
  <c r="C552" i="12"/>
  <c r="A1884" i="12"/>
  <c r="A1067" i="12"/>
  <c r="B1714" i="12"/>
  <c r="C1579" i="12"/>
  <c r="B668" i="12"/>
  <c r="B803" i="12" s="1"/>
  <c r="C533" i="12"/>
  <c r="B561" i="12"/>
  <c r="C426" i="12"/>
  <c r="B935" i="12"/>
  <c r="B1070" i="12" s="1"/>
  <c r="C800" i="12"/>
  <c r="B1753" i="12"/>
  <c r="B1888" i="12" s="1"/>
  <c r="B2023" i="12" s="1"/>
  <c r="A256" i="14"/>
  <c r="B1326" i="12"/>
  <c r="B1461" i="12" s="1"/>
  <c r="B1596" i="12" s="1"/>
  <c r="G194" i="14"/>
  <c r="B542" i="12"/>
  <c r="C929" i="12"/>
  <c r="B246" i="14"/>
  <c r="B1181" i="12"/>
  <c r="A2019" i="12"/>
  <c r="A2154" i="12" s="1"/>
  <c r="A2289" i="12" s="1"/>
  <c r="A2424" i="12" s="1"/>
  <c r="A2559" i="12" s="1"/>
  <c r="A2694" i="12" s="1"/>
  <c r="A1612" i="12"/>
  <c r="B822" i="12"/>
  <c r="B696" i="12"/>
  <c r="C561" i="12"/>
  <c r="B914" i="12"/>
  <c r="C779" i="12"/>
  <c r="C668" i="12"/>
  <c r="C1326" i="12"/>
  <c r="B677" i="12"/>
  <c r="B1199" i="12"/>
  <c r="C1064" i="12"/>
  <c r="A1785" i="12"/>
  <c r="A1760" i="12"/>
  <c r="A1895" i="12" s="1"/>
  <c r="A2030" i="12" s="1"/>
  <c r="A2165" i="12" s="1"/>
  <c r="B831" i="12"/>
  <c r="C696" i="12"/>
  <c r="A1920" i="12"/>
  <c r="A1747" i="12"/>
  <c r="B812" i="12"/>
  <c r="B947" i="12" s="1"/>
  <c r="C1461" i="12"/>
  <c r="B957" i="12"/>
  <c r="C957" i="12" s="1"/>
  <c r="C822" i="12"/>
  <c r="B1049" i="12"/>
  <c r="C1049" i="12" s="1"/>
  <c r="C914" i="12"/>
  <c r="A2292" i="12"/>
  <c r="A2062" i="12"/>
  <c r="A2197" i="12" s="1"/>
  <c r="A2332" i="12" s="1"/>
  <c r="B2687" i="12"/>
  <c r="B2822" i="12" s="1"/>
  <c r="C803" i="12"/>
  <c r="B938" i="12"/>
  <c r="C938" i="12" s="1"/>
  <c r="B1205" i="12"/>
  <c r="B1340" i="12" s="1"/>
  <c r="C1070" i="12"/>
  <c r="A2055" i="12"/>
  <c r="A2190" i="12" s="1"/>
  <c r="A2325" i="12" s="1"/>
  <c r="A2460" i="12" s="1"/>
  <c r="B2158" i="12"/>
  <c r="B2293" i="12" s="1"/>
  <c r="B966" i="12"/>
  <c r="C831" i="12"/>
  <c r="A1726" i="12"/>
  <c r="B1092" i="12"/>
  <c r="B1227" i="12" s="1"/>
  <c r="A2427" i="12"/>
  <c r="C1205" i="12"/>
  <c r="B1073" i="12"/>
  <c r="B1184" i="12"/>
  <c r="A1882" i="12"/>
  <c r="A3239" i="12"/>
  <c r="A2562" i="12"/>
  <c r="C1092" i="12"/>
  <c r="B1101" i="12"/>
  <c r="C966" i="12"/>
  <c r="A3374" i="12"/>
  <c r="A3509" i="12" s="1"/>
  <c r="A3644" i="12" s="1"/>
  <c r="A3779" i="12" s="1"/>
  <c r="A3914" i="12" s="1"/>
  <c r="A2017" i="12"/>
  <c r="A2152" i="12" s="1"/>
  <c r="A2287" i="12" s="1"/>
  <c r="A2422" i="12" s="1"/>
  <c r="A2557" i="12" s="1"/>
  <c r="A2692" i="12" s="1"/>
  <c r="A2827" i="12" s="1"/>
  <c r="A2962" i="12" s="1"/>
  <c r="A3097" i="12" s="1"/>
  <c r="A1759" i="12"/>
  <c r="A1894" i="12" s="1"/>
  <c r="A2029" i="12" s="1"/>
  <c r="A2164" i="12" s="1"/>
  <c r="B2957" i="12"/>
  <c r="A1861" i="12"/>
  <c r="A1996" i="12" s="1"/>
  <c r="B1082" i="12"/>
  <c r="B1236" i="12"/>
  <c r="C1101" i="12"/>
  <c r="B1217" i="12"/>
  <c r="A2300" i="12"/>
  <c r="A2435" i="12" s="1"/>
  <c r="A2570" i="12" s="1"/>
  <c r="A2705" i="12" s="1"/>
  <c r="A2840" i="12" s="1"/>
  <c r="A2467" i="12"/>
  <c r="A2602" i="12" s="1"/>
  <c r="A2737" i="12" s="1"/>
  <c r="B1362" i="12"/>
  <c r="C1227" i="12"/>
  <c r="A2697" i="12"/>
  <c r="B3092" i="12"/>
  <c r="B3227" i="12" s="1"/>
  <c r="A2131" i="12"/>
  <c r="A2266" i="12" s="1"/>
  <c r="A2401" i="12" s="1"/>
  <c r="A2536" i="12" s="1"/>
  <c r="A2671" i="12" s="1"/>
  <c r="A2806" i="12" s="1"/>
  <c r="A2941" i="12" s="1"/>
  <c r="A3076" i="12" s="1"/>
  <c r="A3211" i="12" s="1"/>
  <c r="A3346" i="12" s="1"/>
  <c r="A2832" i="12"/>
  <c r="A2967" i="12" s="1"/>
  <c r="A3102" i="12" s="1"/>
  <c r="A3237" i="12" s="1"/>
  <c r="A3372" i="12" s="1"/>
  <c r="B1352" i="12"/>
  <c r="B1487" i="12"/>
  <c r="A2829" i="12"/>
  <c r="A2964" i="12" s="1"/>
  <c r="A3099" i="12" s="1"/>
  <c r="A3234" i="12" s="1"/>
  <c r="A3369" i="12" s="1"/>
  <c r="A2595" i="12"/>
  <c r="A2730" i="12" s="1"/>
  <c r="A2865" i="12" s="1"/>
  <c r="A2872" i="12"/>
  <c r="B1622" i="12"/>
  <c r="A2299" i="12"/>
  <c r="A2434" i="12"/>
  <c r="A2569" i="12" s="1"/>
  <c r="A2704" i="12" s="1"/>
  <c r="A2839" i="12" s="1"/>
  <c r="A3007" i="12"/>
  <c r="A3142" i="12" s="1"/>
  <c r="A4049" i="12"/>
  <c r="A3000" i="12"/>
  <c r="A3135" i="12" s="1"/>
  <c r="A3270" i="12" s="1"/>
  <c r="A3405" i="12" s="1"/>
  <c r="A3540" i="12" s="1"/>
  <c r="A3675" i="12" s="1"/>
  <c r="A2975" i="12"/>
  <c r="A3110" i="12" s="1"/>
  <c r="A3245" i="12" s="1"/>
  <c r="A3380" i="12" s="1"/>
  <c r="A3515" i="12" s="1"/>
  <c r="A2814" i="12"/>
  <c r="A2949" i="12" s="1"/>
  <c r="A4184" i="12"/>
  <c r="A4319" i="12" s="1"/>
  <c r="A3277" i="12"/>
  <c r="A3507" i="12"/>
  <c r="A3642" i="12" s="1"/>
  <c r="A3504" i="12"/>
  <c r="A3084" i="12"/>
  <c r="A3219" i="12" s="1"/>
  <c r="A3354" i="12" s="1"/>
  <c r="A3489" i="12" s="1"/>
  <c r="A3624" i="12" s="1"/>
  <c r="A3759" i="12" s="1"/>
  <c r="A3894" i="12" s="1"/>
  <c r="A4029" i="12" s="1"/>
  <c r="A4164" i="12" s="1"/>
  <c r="A4299" i="12" s="1"/>
  <c r="A4434" i="12" s="1"/>
  <c r="A4569" i="12" s="1"/>
  <c r="A4704" i="12" s="1"/>
  <c r="A4839" i="12" s="1"/>
  <c r="A4974" i="12" s="1"/>
  <c r="A5109" i="12" s="1"/>
  <c r="A5244" i="12" s="1"/>
  <c r="A4454" i="12"/>
  <c r="A3412" i="12"/>
  <c r="A3547" i="12" s="1"/>
  <c r="A3682" i="12" s="1"/>
  <c r="A3817" i="12" s="1"/>
  <c r="A3952" i="12" s="1"/>
  <c r="A4087" i="12" s="1"/>
  <c r="A4222" i="12" s="1"/>
  <c r="A4357" i="12" s="1"/>
  <c r="A4492" i="12" s="1"/>
  <c r="A4627" i="12" s="1"/>
  <c r="A4762" i="12" s="1"/>
  <c r="A4897" i="12" s="1"/>
  <c r="A5032" i="12" s="1"/>
  <c r="A5167" i="12" s="1"/>
  <c r="A3232" i="12"/>
  <c r="A3367" i="12" s="1"/>
  <c r="A3502" i="12" s="1"/>
  <c r="A4589" i="12"/>
  <c r="A3639" i="12"/>
  <c r="A3774" i="12" s="1"/>
  <c r="A3909" i="12" s="1"/>
  <c r="A4044" i="12" s="1"/>
  <c r="A4179" i="12" s="1"/>
  <c r="A4314" i="12" s="1"/>
  <c r="A4449" i="12" s="1"/>
  <c r="A4584" i="12" s="1"/>
  <c r="A4719" i="12" s="1"/>
  <c r="A4854" i="12" s="1"/>
  <c r="A4989" i="12" s="1"/>
  <c r="A5124" i="12" s="1"/>
  <c r="A5259" i="12" s="1"/>
  <c r="A2974" i="12"/>
  <c r="A3109" i="12" s="1"/>
  <c r="A3244" i="12" s="1"/>
  <c r="A3379" i="12" s="1"/>
  <c r="A3514" i="12" s="1"/>
  <c r="A3649" i="12" s="1"/>
  <c r="A3784" i="12" s="1"/>
  <c r="A3919" i="12" s="1"/>
  <c r="A4054" i="12" s="1"/>
  <c r="A4189" i="12" s="1"/>
  <c r="A4324" i="12" s="1"/>
  <c r="A4459" i="12" s="1"/>
  <c r="A4594" i="12" s="1"/>
  <c r="A4729" i="12" s="1"/>
  <c r="A4864" i="12" s="1"/>
  <c r="A4999" i="12" s="1"/>
  <c r="A5134" i="12" s="1"/>
  <c r="A3777" i="12"/>
  <c r="A3912" i="12" s="1"/>
  <c r="A4047" i="12" s="1"/>
  <c r="A4182" i="12" s="1"/>
  <c r="A4317" i="12" s="1"/>
  <c r="A4452" i="12" s="1"/>
  <c r="A4587" i="12" s="1"/>
  <c r="A4722" i="12" s="1"/>
  <c r="A4857" i="12" s="1"/>
  <c r="A4992" i="12" s="1"/>
  <c r="A5127" i="12" s="1"/>
  <c r="A5262" i="12" s="1"/>
  <c r="A4724" i="12"/>
  <c r="A4859" i="12" s="1"/>
  <c r="A4994" i="12" s="1"/>
  <c r="A3650" i="12"/>
  <c r="A3785" i="12" s="1"/>
  <c r="A3920" i="12" s="1"/>
  <c r="A4055" i="12" s="1"/>
  <c r="A4190" i="12" s="1"/>
  <c r="A4325" i="12" s="1"/>
  <c r="A4460" i="12" s="1"/>
  <c r="A4595" i="12" s="1"/>
  <c r="A4730" i="12" s="1"/>
  <c r="A4865" i="12" s="1"/>
  <c r="A5000" i="12" s="1"/>
  <c r="A5135" i="12" s="1"/>
  <c r="A3810" i="12"/>
  <c r="A3945" i="12" s="1"/>
  <c r="A3637" i="12"/>
  <c r="A3772" i="12" s="1"/>
  <c r="A3907" i="12" s="1"/>
  <c r="A4042" i="12" s="1"/>
  <c r="A4177" i="12" s="1"/>
  <c r="A4312" i="12" s="1"/>
  <c r="A4447" i="12" s="1"/>
  <c r="A4582" i="12" s="1"/>
  <c r="A4717" i="12" s="1"/>
  <c r="A4852" i="12" s="1"/>
  <c r="A4987" i="12" s="1"/>
  <c r="A5122" i="12" s="1"/>
  <c r="A5257" i="12" s="1"/>
  <c r="A3481" i="12"/>
  <c r="A3616" i="12"/>
  <c r="A3751" i="12" s="1"/>
  <c r="A3886" i="12" s="1"/>
  <c r="A4021" i="12" s="1"/>
  <c r="A4156" i="12" s="1"/>
  <c r="A4291" i="12" s="1"/>
  <c r="A4426" i="12" s="1"/>
  <c r="A4561" i="12" s="1"/>
  <c r="A4696" i="12" s="1"/>
  <c r="A4831" i="12" s="1"/>
  <c r="A4966" i="12" s="1"/>
  <c r="A5101" i="12" s="1"/>
  <c r="A5236" i="12" s="1"/>
  <c r="A5129" i="12"/>
  <c r="A5264" i="12" s="1"/>
  <c r="A4080" i="12"/>
  <c r="A4215" i="12" s="1"/>
  <c r="A4350" i="12" s="1"/>
  <c r="A4485" i="12" s="1"/>
  <c r="A4620" i="12" s="1"/>
  <c r="A4755" i="12" s="1"/>
  <c r="A4890" i="12" s="1"/>
  <c r="A5025" i="12" s="1"/>
  <c r="A5160" i="12" s="1"/>
  <c r="F127" i="14" l="1"/>
  <c r="G74" i="14"/>
  <c r="G62" i="14"/>
  <c r="C45" i="14"/>
  <c r="C43" i="14"/>
  <c r="V20" i="28"/>
  <c r="W20" i="28" s="1"/>
  <c r="B84" i="17"/>
  <c r="M84" i="17"/>
  <c r="AL84" i="17"/>
  <c r="AD84" i="17"/>
  <c r="N84" i="17"/>
  <c r="T84" i="17"/>
  <c r="D84" i="17"/>
  <c r="AH84" i="17"/>
  <c r="Z84" i="17"/>
  <c r="R84" i="17"/>
  <c r="J84" i="17"/>
  <c r="P47" i="40"/>
  <c r="AN32" i="8"/>
  <c r="AP32" i="8" s="1"/>
  <c r="AN35" i="8"/>
  <c r="AP35" i="8" s="1"/>
  <c r="AN7" i="8"/>
  <c r="C329" i="12"/>
  <c r="C57" i="12"/>
  <c r="C455" i="12"/>
  <c r="C180" i="12"/>
  <c r="C519" i="12"/>
  <c r="C919" i="12"/>
  <c r="AU215" i="4"/>
  <c r="AW215" i="4" s="1"/>
  <c r="AU212" i="4"/>
  <c r="AU196" i="4"/>
  <c r="AU192" i="4"/>
  <c r="AU188" i="4"/>
  <c r="AV188" i="4" s="1"/>
  <c r="AU186" i="4"/>
  <c r="AW186" i="4" s="1"/>
  <c r="AU183" i="4"/>
  <c r="AU180" i="4"/>
  <c r="AU175" i="4"/>
  <c r="AV175" i="4" s="1"/>
  <c r="AU161" i="4"/>
  <c r="AU153" i="4"/>
  <c r="AW153" i="4" s="1"/>
  <c r="AU105" i="4"/>
  <c r="AW105" i="4" s="1"/>
  <c r="AU97" i="4"/>
  <c r="AU94" i="4"/>
  <c r="AV94" i="4" s="1"/>
  <c r="AU88" i="4"/>
  <c r="AW88" i="4" s="1"/>
  <c r="AU73" i="4"/>
  <c r="AV73" i="4" s="1"/>
  <c r="AU66" i="4"/>
  <c r="AV66" i="4" s="1"/>
  <c r="AU63" i="4"/>
  <c r="AW63" i="4" s="1"/>
  <c r="AU60" i="4"/>
  <c r="AU52" i="4"/>
  <c r="AU36" i="4"/>
  <c r="AV36" i="4" s="1"/>
  <c r="AU33" i="4"/>
  <c r="AV33" i="4" s="1"/>
  <c r="AU21" i="4"/>
  <c r="AW21" i="4" s="1"/>
  <c r="Y4" i="4"/>
  <c r="Y11" i="4"/>
  <c r="Y21" i="4"/>
  <c r="Y134" i="4"/>
  <c r="Y214" i="4"/>
  <c r="C395" i="12"/>
  <c r="AL52" i="8"/>
  <c r="AN52" i="8" s="1"/>
  <c r="AL47" i="8"/>
  <c r="AN47" i="8" s="1"/>
  <c r="AL45" i="8"/>
  <c r="AN45" i="8" s="1"/>
  <c r="AL50" i="8"/>
  <c r="AN50" i="8" s="1"/>
  <c r="AL42" i="8"/>
  <c r="AN42" i="8" s="1"/>
  <c r="AL43" i="8"/>
  <c r="AN43" i="8" s="1"/>
  <c r="AL48" i="8"/>
  <c r="AN48" i="8" s="1"/>
  <c r="AL46" i="8"/>
  <c r="AN46" i="8" s="1"/>
  <c r="AL51" i="8"/>
  <c r="AN51" i="8" s="1"/>
  <c r="AL49" i="8"/>
  <c r="AN49" i="8" s="1"/>
  <c r="AL41" i="8"/>
  <c r="AN41" i="8" s="1"/>
  <c r="AL44" i="8"/>
  <c r="AN44" i="8" s="1"/>
  <c r="AL18" i="8"/>
  <c r="AN18" i="8" s="1"/>
  <c r="AL17" i="8"/>
  <c r="AN17" i="8" s="1"/>
  <c r="J160" i="3"/>
  <c r="AL11" i="8"/>
  <c r="AN11" i="8" s="1"/>
  <c r="AK46" i="16"/>
  <c r="AK49" i="16" s="1"/>
  <c r="AK100" i="18"/>
  <c r="AF46" i="16"/>
  <c r="AF49" i="16" s="1"/>
  <c r="AF100" i="18"/>
  <c r="T100" i="18"/>
  <c r="T46" i="16"/>
  <c r="T49" i="16" s="1"/>
  <c r="R46" i="16"/>
  <c r="R49" i="16" s="1"/>
  <c r="R100" i="18"/>
  <c r="F43" i="14"/>
  <c r="F155" i="14"/>
  <c r="F152" i="14"/>
  <c r="AI17" i="16"/>
  <c r="F96" i="14"/>
  <c r="F92" i="14"/>
  <c r="F84" i="14"/>
  <c r="F77" i="14"/>
  <c r="F70" i="14"/>
  <c r="F62" i="14"/>
  <c r="F59" i="14"/>
  <c r="F58" i="14"/>
  <c r="F55" i="14"/>
  <c r="F51" i="14"/>
  <c r="F50" i="14"/>
  <c r="J17" i="16"/>
  <c r="F40" i="14"/>
  <c r="F36" i="14"/>
  <c r="F29" i="14"/>
  <c r="F20" i="14"/>
  <c r="F19" i="14"/>
  <c r="F14" i="14"/>
  <c r="Y13" i="18"/>
  <c r="AJ13" i="18"/>
  <c r="AA13" i="18"/>
  <c r="AD13" i="18"/>
  <c r="X13" i="18"/>
  <c r="V13" i="18"/>
  <c r="AK13" i="18"/>
  <c r="AG13" i="18"/>
  <c r="AB13" i="18"/>
  <c r="Q13" i="18"/>
  <c r="N13" i="18"/>
  <c r="L13" i="18"/>
  <c r="I13" i="18"/>
  <c r="F13" i="18"/>
  <c r="AL57" i="8"/>
  <c r="AN57" i="8" s="1"/>
  <c r="AK57" i="8"/>
  <c r="AL58" i="8"/>
  <c r="AN58" i="8" s="1"/>
  <c r="AK58" i="8"/>
  <c r="AK4" i="8"/>
  <c r="AL4" i="8"/>
  <c r="AN4" i="8" s="1"/>
  <c r="AP4" i="8" s="1"/>
  <c r="AK56" i="8"/>
  <c r="AL56" i="8"/>
  <c r="AN56" i="8" s="1"/>
  <c r="AP56" i="8" s="1"/>
  <c r="AK8" i="8"/>
  <c r="AL8" i="8"/>
  <c r="AN8" i="8" s="1"/>
  <c r="AL55" i="8"/>
  <c r="AN55" i="8" s="1"/>
  <c r="AK55" i="8"/>
  <c r="AL28" i="8"/>
  <c r="AN28" i="8" s="1"/>
  <c r="AO28" i="8" s="1"/>
  <c r="AK28" i="8"/>
  <c r="AL25" i="8"/>
  <c r="AN25" i="8" s="1"/>
  <c r="AP25" i="8" s="1"/>
  <c r="AL15" i="8"/>
  <c r="AN15" i="8" s="1"/>
  <c r="AP15" i="8" s="1"/>
  <c r="AL34" i="8"/>
  <c r="AN34" i="8" s="1"/>
  <c r="AO34" i="8" s="1"/>
  <c r="AK39" i="8"/>
  <c r="AL9" i="8"/>
  <c r="AN9" i="8" s="1"/>
  <c r="AP9" i="8" s="1"/>
  <c r="AV9" i="8" s="1"/>
  <c r="AL3" i="8"/>
  <c r="AN3" i="8" s="1"/>
  <c r="AK17" i="8"/>
  <c r="AL40" i="8"/>
  <c r="AN40" i="8" s="1"/>
  <c r="AP40" i="8" s="1"/>
  <c r="AL59" i="8"/>
  <c r="AN59" i="8" s="1"/>
  <c r="AP59" i="8" s="1"/>
  <c r="AK35" i="8"/>
  <c r="AK7" i="8"/>
  <c r="AK18" i="8"/>
  <c r="AL54" i="8"/>
  <c r="AN54" i="8" s="1"/>
  <c r="AP54" i="8" s="1"/>
  <c r="AK54" i="8"/>
  <c r="R17" i="16"/>
  <c r="AD17" i="16"/>
  <c r="AL17" i="16"/>
  <c r="AK17" i="16"/>
  <c r="F30" i="14"/>
  <c r="AK37" i="8"/>
  <c r="AL37" i="8"/>
  <c r="AN37" i="8" s="1"/>
  <c r="AO37" i="8" s="1"/>
  <c r="C601" i="12"/>
  <c r="B736" i="12"/>
  <c r="B1757" i="12"/>
  <c r="Z65" i="32"/>
  <c r="Z85" i="32"/>
  <c r="Z54" i="32"/>
  <c r="Z21" i="32"/>
  <c r="Z30" i="32"/>
  <c r="Z97" i="32"/>
  <c r="Z35" i="32"/>
  <c r="Z44" i="32"/>
  <c r="Z75" i="32"/>
  <c r="AB26" i="33"/>
  <c r="Z82" i="32"/>
  <c r="AA40" i="33"/>
  <c r="AN82" i="32"/>
  <c r="Z36" i="33"/>
  <c r="AJ82" i="32"/>
  <c r="Y33" i="33"/>
  <c r="AG82" i="32"/>
  <c r="Y201" i="28"/>
  <c r="T201" i="28"/>
  <c r="V201" i="28" s="1"/>
  <c r="W201" i="28" s="1"/>
  <c r="T209" i="28"/>
  <c r="V209" i="28" s="1"/>
  <c r="X209" i="28" s="1"/>
  <c r="Y209" i="28"/>
  <c r="T219" i="28"/>
  <c r="V219" i="28" s="1"/>
  <c r="W219" i="28" s="1"/>
  <c r="Y219" i="28"/>
  <c r="AK14" i="8"/>
  <c r="AL14" i="8"/>
  <c r="AN14" i="8" s="1"/>
  <c r="AO14" i="8" s="1"/>
  <c r="B725" i="12"/>
  <c r="C590" i="12"/>
  <c r="B235" i="12"/>
  <c r="C100" i="12"/>
  <c r="AQ121" i="4"/>
  <c r="AS121" i="4"/>
  <c r="AU121" i="4" s="1"/>
  <c r="AW121" i="4" s="1"/>
  <c r="AS110" i="4"/>
  <c r="AU110" i="4" s="1"/>
  <c r="AW110" i="4" s="1"/>
  <c r="AQ110" i="4"/>
  <c r="AQ39" i="4"/>
  <c r="AS39" i="4"/>
  <c r="AU39" i="4" s="1"/>
  <c r="AV39" i="4" s="1"/>
  <c r="AQ14" i="4"/>
  <c r="AS14" i="4"/>
  <c r="AU14" i="4" s="1"/>
  <c r="AW14" i="4" s="1"/>
  <c r="B667" i="12"/>
  <c r="C532" i="12"/>
  <c r="B258" i="12"/>
  <c r="C123" i="12"/>
  <c r="AN17" i="16"/>
  <c r="K4" i="16"/>
  <c r="K17" i="16" s="1"/>
  <c r="K49" i="16"/>
  <c r="E4" i="16"/>
  <c r="F83" i="14" s="1"/>
  <c r="E49" i="16"/>
  <c r="D85" i="32"/>
  <c r="D30" i="32"/>
  <c r="D44" i="32"/>
  <c r="D35" i="32"/>
  <c r="D54" i="32"/>
  <c r="D75" i="32"/>
  <c r="D97" i="32"/>
  <c r="D65" i="32"/>
  <c r="D21" i="32"/>
  <c r="A151" i="14"/>
  <c r="B459" i="12"/>
  <c r="C324" i="12"/>
  <c r="AS30" i="4"/>
  <c r="AU30" i="4" s="1"/>
  <c r="AV30" i="4" s="1"/>
  <c r="AQ30" i="4"/>
  <c r="B3362" i="12"/>
  <c r="AQ148" i="4"/>
  <c r="AS148" i="4"/>
  <c r="AU148" i="4" s="1"/>
  <c r="AV148" i="4" s="1"/>
  <c r="AS124" i="4"/>
  <c r="AU124" i="4" s="1"/>
  <c r="AV124" i="4" s="1"/>
  <c r="AQ124" i="4"/>
  <c r="W4" i="16"/>
  <c r="F101" i="14" s="1"/>
  <c r="W49" i="16"/>
  <c r="A240" i="14"/>
  <c r="B859" i="12"/>
  <c r="C724" i="12"/>
  <c r="D194" i="14"/>
  <c r="H194" i="14"/>
  <c r="F194" i="14"/>
  <c r="I194" i="14"/>
  <c r="E194" i="14"/>
  <c r="A233" i="14"/>
  <c r="C194" i="14"/>
  <c r="AU119" i="4"/>
  <c r="AW119" i="4" s="1"/>
  <c r="B2428" i="12"/>
  <c r="E123" i="14"/>
  <c r="C123" i="14"/>
  <c r="B162" i="14"/>
  <c r="G123" i="14"/>
  <c r="I123" i="14"/>
  <c r="D123" i="14"/>
  <c r="F123" i="14"/>
  <c r="H123" i="14"/>
  <c r="B382" i="12"/>
  <c r="C247" i="12"/>
  <c r="C496" i="12"/>
  <c r="B631" i="12"/>
  <c r="B452" i="12"/>
  <c r="C317" i="12"/>
  <c r="B1475" i="12"/>
  <c r="C1340" i="12"/>
  <c r="B1371" i="12"/>
  <c r="C1236" i="12"/>
  <c r="B1208" i="12"/>
  <c r="C1073" i="12"/>
  <c r="B473" i="12"/>
  <c r="C338" i="12"/>
  <c r="B1497" i="12"/>
  <c r="C1362" i="12"/>
  <c r="B735" i="12"/>
  <c r="C600" i="12"/>
  <c r="B508" i="12"/>
  <c r="C373" i="12"/>
  <c r="H115" i="14"/>
  <c r="G115" i="14"/>
  <c r="I115" i="14"/>
  <c r="D115" i="14"/>
  <c r="F115" i="14"/>
  <c r="B154" i="14"/>
  <c r="C115" i="14"/>
  <c r="E115" i="14"/>
  <c r="B1319" i="12"/>
  <c r="C1184" i="12"/>
  <c r="C811" i="12"/>
  <c r="B946" i="12"/>
  <c r="C415" i="12"/>
  <c r="B550" i="12"/>
  <c r="B430" i="12"/>
  <c r="C295" i="12"/>
  <c r="B727" i="12"/>
  <c r="C592" i="12"/>
  <c r="B719" i="12"/>
  <c r="C584" i="12"/>
  <c r="C1199" i="12"/>
  <c r="B1334" i="12"/>
  <c r="B513" i="12"/>
  <c r="C378" i="12"/>
  <c r="A153" i="14"/>
  <c r="AJ44" i="32"/>
  <c r="AJ65" i="32"/>
  <c r="AJ35" i="32"/>
  <c r="AJ85" i="32"/>
  <c r="AJ54" i="32"/>
  <c r="AJ75" i="32"/>
  <c r="AJ97" i="32"/>
  <c r="AJ30" i="32"/>
  <c r="R97" i="32"/>
  <c r="R30" i="32"/>
  <c r="R85" i="32"/>
  <c r="R35" i="32"/>
  <c r="R44" i="32"/>
  <c r="R65" i="32"/>
  <c r="R21" i="32"/>
  <c r="R75" i="32"/>
  <c r="R54" i="32"/>
  <c r="AL16" i="8"/>
  <c r="AN16" i="8" s="1"/>
  <c r="AO16" i="8" s="1"/>
  <c r="AK16" i="8"/>
  <c r="C450" i="12"/>
  <c r="B585" i="12"/>
  <c r="C1067" i="12"/>
  <c r="A1202" i="12"/>
  <c r="B536" i="12"/>
  <c r="D122" i="14"/>
  <c r="C122" i="14"/>
  <c r="A161" i="14"/>
  <c r="E122" i="14"/>
  <c r="I122" i="14"/>
  <c r="H122" i="14"/>
  <c r="C340" i="12"/>
  <c r="B475" i="12"/>
  <c r="C654" i="12"/>
  <c r="B789" i="12"/>
  <c r="C701" i="12"/>
  <c r="B836" i="12"/>
  <c r="B763" i="12"/>
  <c r="C628" i="12"/>
  <c r="C347" i="12"/>
  <c r="B482" i="12"/>
  <c r="B494" i="12"/>
  <c r="C359" i="12"/>
  <c r="AN36" i="8"/>
  <c r="AO36" i="8" s="1"/>
  <c r="AN21" i="8"/>
  <c r="AO21" i="8" s="1"/>
  <c r="C259" i="12"/>
  <c r="B394" i="12"/>
  <c r="B579" i="12"/>
  <c r="C444" i="12"/>
  <c r="B142" i="12"/>
  <c r="C7" i="12"/>
  <c r="C93" i="12"/>
  <c r="B228" i="12"/>
  <c r="AK29" i="8"/>
  <c r="AL29" i="8"/>
  <c r="AN29" i="8" s="1"/>
  <c r="AP29" i="8" s="1"/>
  <c r="AK31" i="8"/>
  <c r="AL31" i="8"/>
  <c r="AN31" i="8" s="1"/>
  <c r="AP31" i="8" s="1"/>
  <c r="A407" i="12"/>
  <c r="C272" i="12"/>
  <c r="C935" i="12"/>
  <c r="B1316" i="12"/>
  <c r="C1181" i="12"/>
  <c r="B1849" i="12"/>
  <c r="C1714" i="12"/>
  <c r="C443" i="12"/>
  <c r="B578" i="12"/>
  <c r="B327" i="12"/>
  <c r="AN5" i="8"/>
  <c r="I28" i="31" s="1"/>
  <c r="B286" i="12"/>
  <c r="C151" i="12"/>
  <c r="B693" i="12"/>
  <c r="C558" i="12"/>
  <c r="B738" i="12"/>
  <c r="C603" i="12"/>
  <c r="AQ133" i="4"/>
  <c r="AS133" i="4"/>
  <c r="AU133" i="4" s="1"/>
  <c r="AV133" i="4" s="1"/>
  <c r="B613" i="12"/>
  <c r="C478" i="12"/>
  <c r="B278" i="12"/>
  <c r="C143" i="12"/>
  <c r="F215" i="14"/>
  <c r="E215" i="14"/>
  <c r="D215" i="14"/>
  <c r="A254" i="14"/>
  <c r="H215" i="14"/>
  <c r="C215" i="14"/>
  <c r="G215" i="14"/>
  <c r="AU17" i="4"/>
  <c r="AV17" i="4" s="1"/>
  <c r="B354" i="12"/>
  <c r="C219" i="12"/>
  <c r="G83" i="14"/>
  <c r="H83" i="14"/>
  <c r="E83" i="14"/>
  <c r="I83" i="14"/>
  <c r="C83" i="14"/>
  <c r="A183" i="14"/>
  <c r="C1786" i="12"/>
  <c r="B1921" i="12"/>
  <c r="B447" i="12"/>
  <c r="C312" i="12"/>
  <c r="B139" i="14"/>
  <c r="I100" i="14"/>
  <c r="H100" i="14"/>
  <c r="E100" i="14"/>
  <c r="D100" i="14"/>
  <c r="C100" i="14"/>
  <c r="X39" i="33"/>
  <c r="AM82" i="32"/>
  <c r="X28" i="33"/>
  <c r="AB82" i="32"/>
  <c r="Y28" i="28"/>
  <c r="T28" i="28"/>
  <c r="V28" i="28" s="1"/>
  <c r="X28" i="28" s="1"/>
  <c r="Y125" i="28"/>
  <c r="T125" i="28"/>
  <c r="V125" i="28" s="1"/>
  <c r="W125" i="28" s="1"/>
  <c r="Y151" i="28"/>
  <c r="T151" i="28"/>
  <c r="V151" i="28" s="1"/>
  <c r="W151" i="28" s="1"/>
  <c r="Y156" i="28"/>
  <c r="T156" i="28"/>
  <c r="V156" i="28" s="1"/>
  <c r="X156" i="28" s="1"/>
  <c r="Y185" i="28"/>
  <c r="T185" i="28"/>
  <c r="V185" i="28" s="1"/>
  <c r="W185" i="28" s="1"/>
  <c r="T184" i="28"/>
  <c r="V184" i="28" s="1"/>
  <c r="X184" i="28" s="1"/>
  <c r="Y184" i="28"/>
  <c r="B332" i="12"/>
  <c r="C197" i="12"/>
  <c r="B564" i="12"/>
  <c r="C429" i="12"/>
  <c r="C366" i="12"/>
  <c r="B501" i="12"/>
  <c r="B237" i="12"/>
  <c r="C102" i="12"/>
  <c r="AQ203" i="4"/>
  <c r="AS203" i="4"/>
  <c r="AU203" i="4" s="1"/>
  <c r="AV203" i="4" s="1"/>
  <c r="AQ200" i="4"/>
  <c r="AS200" i="4"/>
  <c r="AU200" i="4" s="1"/>
  <c r="AW200" i="4" s="1"/>
  <c r="AQ71" i="4"/>
  <c r="AS71" i="4"/>
  <c r="AU71" i="4" s="1"/>
  <c r="AV71" i="4" s="1"/>
  <c r="C915" i="12"/>
  <c r="A1050" i="12"/>
  <c r="B140" i="14"/>
  <c r="B179" i="14" s="1"/>
  <c r="B218" i="14" s="1"/>
  <c r="B257" i="14" s="1"/>
  <c r="H101" i="14"/>
  <c r="D101" i="14"/>
  <c r="G101" i="14"/>
  <c r="B191" i="14"/>
  <c r="B230" i="14" s="1"/>
  <c r="B269" i="14" s="1"/>
  <c r="G152" i="14"/>
  <c r="B596" i="12"/>
  <c r="C461" i="12"/>
  <c r="Q41" i="5"/>
  <c r="Q40" i="5"/>
  <c r="Q42" i="5"/>
  <c r="Q38" i="5"/>
  <c r="Q44" i="5"/>
  <c r="Q37" i="5"/>
  <c r="T36" i="5"/>
  <c r="Q43" i="5"/>
  <c r="Q39" i="5"/>
  <c r="B108" i="14"/>
  <c r="H69" i="14"/>
  <c r="F69" i="14"/>
  <c r="D69" i="14"/>
  <c r="I69" i="14"/>
  <c r="G69" i="14"/>
  <c r="E69" i="14"/>
  <c r="N44" i="32"/>
  <c r="N30" i="32"/>
  <c r="N21" i="32"/>
  <c r="N65" i="32"/>
  <c r="N35" i="32"/>
  <c r="N54" i="32"/>
  <c r="N97" i="32"/>
  <c r="B65" i="32"/>
  <c r="B85" i="32"/>
  <c r="B21" i="32"/>
  <c r="B35" i="32"/>
  <c r="B75" i="32"/>
  <c r="B44" i="32"/>
  <c r="B30" i="32"/>
  <c r="Y31" i="33"/>
  <c r="AE82" i="32"/>
  <c r="B620" i="12"/>
  <c r="C485" i="12"/>
  <c r="B304" i="12"/>
  <c r="C169" i="12"/>
  <c r="Y15" i="4"/>
  <c r="W15" i="4"/>
  <c r="Y18" i="4"/>
  <c r="W18" i="4"/>
  <c r="P45" i="4"/>
  <c r="R45" i="4"/>
  <c r="P75" i="4"/>
  <c r="R75" i="4"/>
  <c r="Y75" i="4"/>
  <c r="W81" i="4"/>
  <c r="Y81" i="4"/>
  <c r="P97" i="4"/>
  <c r="Y97" i="4"/>
  <c r="R97" i="4"/>
  <c r="W100" i="4"/>
  <c r="Y100" i="4"/>
  <c r="W121" i="4"/>
  <c r="Y121" i="4"/>
  <c r="B1731" i="12"/>
  <c r="C1596" i="12"/>
  <c r="I176" i="14"/>
  <c r="D176" i="14"/>
  <c r="H176" i="14"/>
  <c r="E176" i="14"/>
  <c r="C176" i="14"/>
  <c r="B311" i="12"/>
  <c r="C176" i="12"/>
  <c r="B357" i="12"/>
  <c r="C222" i="12"/>
  <c r="AQ140" i="4"/>
  <c r="AS140" i="4"/>
  <c r="AU140" i="4" s="1"/>
  <c r="AW140" i="4" s="1"/>
  <c r="I6" i="5"/>
  <c r="I5" i="5"/>
  <c r="I9" i="5"/>
  <c r="I3" i="5"/>
  <c r="L2" i="5"/>
  <c r="I4" i="5"/>
  <c r="I8" i="5"/>
  <c r="T10" i="5"/>
  <c r="T5" i="5"/>
  <c r="U117" i="5"/>
  <c r="T8" i="5"/>
  <c r="T7" i="5"/>
  <c r="R117" i="5"/>
  <c r="T6" i="5"/>
  <c r="V2" i="5"/>
  <c r="T9" i="5"/>
  <c r="T3" i="5"/>
  <c r="T117" i="5"/>
  <c r="T4" i="5"/>
  <c r="B117" i="14"/>
  <c r="B156" i="14" s="1"/>
  <c r="B195" i="14" s="1"/>
  <c r="B234" i="14" s="1"/>
  <c r="B273" i="14" s="1"/>
  <c r="E78" i="14"/>
  <c r="G73" i="14"/>
  <c r="B112" i="14"/>
  <c r="I73" i="14"/>
  <c r="F73" i="14"/>
  <c r="C73" i="14"/>
  <c r="E73" i="14"/>
  <c r="H73" i="14"/>
  <c r="D73" i="14"/>
  <c r="F82" i="14"/>
  <c r="C82" i="14"/>
  <c r="H82" i="14"/>
  <c r="D82" i="14"/>
  <c r="E82" i="14"/>
  <c r="G82" i="14"/>
  <c r="A121" i="14"/>
  <c r="I82" i="14"/>
  <c r="AK65" i="32"/>
  <c r="AK85" i="32"/>
  <c r="AK44" i="32"/>
  <c r="AK97" i="32"/>
  <c r="AK30" i="32"/>
  <c r="AK21" i="32"/>
  <c r="C242" i="12"/>
  <c r="B377" i="12"/>
  <c r="Y6" i="4"/>
  <c r="W6" i="4"/>
  <c r="B255" i="12"/>
  <c r="C120" i="12"/>
  <c r="A403" i="12"/>
  <c r="C268" i="12"/>
  <c r="B909" i="12"/>
  <c r="C774" i="12"/>
  <c r="AU54" i="4"/>
  <c r="AW54" i="4" s="1"/>
  <c r="G100" i="14"/>
  <c r="A133" i="14"/>
  <c r="F94" i="14"/>
  <c r="D94" i="14"/>
  <c r="G94" i="14"/>
  <c r="E94" i="14"/>
  <c r="H94" i="14"/>
  <c r="I94" i="14"/>
  <c r="C94" i="14"/>
  <c r="C48" i="14"/>
  <c r="H48" i="14"/>
  <c r="I48" i="14"/>
  <c r="A87" i="14"/>
  <c r="D48" i="14"/>
  <c r="A81" i="14"/>
  <c r="G42" i="14"/>
  <c r="H42" i="14"/>
  <c r="I42" i="14"/>
  <c r="E42" i="14"/>
  <c r="C42" i="14"/>
  <c r="T254" i="28"/>
  <c r="V254" i="28" s="1"/>
  <c r="W254" i="28" s="1"/>
  <c r="Y254" i="28"/>
  <c r="AK24" i="8"/>
  <c r="AL24" i="8"/>
  <c r="AN24" i="8" s="1"/>
  <c r="AO24" i="8" s="1"/>
  <c r="B623" i="12"/>
  <c r="C488" i="12"/>
  <c r="AU108" i="4"/>
  <c r="AV108" i="4" s="1"/>
  <c r="AQ100" i="4"/>
  <c r="AS100" i="4"/>
  <c r="AU100" i="4" s="1"/>
  <c r="AV100" i="4" s="1"/>
  <c r="AS91" i="4"/>
  <c r="AU91" i="4" s="1"/>
  <c r="AV91" i="4" s="1"/>
  <c r="AQ91" i="4"/>
  <c r="AQ76" i="4"/>
  <c r="AS76" i="4"/>
  <c r="AU76" i="4" s="1"/>
  <c r="AW76" i="4" s="1"/>
  <c r="W119" i="4"/>
  <c r="Y119" i="4"/>
  <c r="W126" i="4"/>
  <c r="Y126" i="4"/>
  <c r="W130" i="4"/>
  <c r="Y130" i="4"/>
  <c r="W132" i="4"/>
  <c r="Y132" i="4"/>
  <c r="Y166" i="4"/>
  <c r="W166" i="4"/>
  <c r="W175" i="4"/>
  <c r="Y175" i="4"/>
  <c r="W192" i="4"/>
  <c r="Y192" i="4"/>
  <c r="W195" i="4"/>
  <c r="Y195" i="4"/>
  <c r="C911" i="12"/>
  <c r="I162" i="14"/>
  <c r="AU139" i="4"/>
  <c r="AW139" i="4" s="1"/>
  <c r="B135" i="14"/>
  <c r="G96" i="14"/>
  <c r="E96" i="14"/>
  <c r="H96" i="14"/>
  <c r="I96" i="14"/>
  <c r="C96" i="14"/>
  <c r="B335" i="12"/>
  <c r="C200" i="12"/>
  <c r="C91" i="14"/>
  <c r="H91" i="14"/>
  <c r="I91" i="14"/>
  <c r="B130" i="14"/>
  <c r="F91" i="14"/>
  <c r="D91" i="14"/>
  <c r="A241" i="14"/>
  <c r="AU61" i="4"/>
  <c r="AW61" i="4" s="1"/>
  <c r="H109" i="14"/>
  <c r="D109" i="14"/>
  <c r="F109" i="14"/>
  <c r="I109" i="14"/>
  <c r="A148" i="14"/>
  <c r="E109" i="14"/>
  <c r="C109" i="14"/>
  <c r="B85" i="14"/>
  <c r="G46" i="14"/>
  <c r="C46" i="14"/>
  <c r="I46" i="14"/>
  <c r="F46" i="14"/>
  <c r="D46" i="14"/>
  <c r="H46" i="14"/>
  <c r="E46" i="14"/>
  <c r="H41" i="14"/>
  <c r="I41" i="14"/>
  <c r="C41" i="14"/>
  <c r="B80" i="14"/>
  <c r="G80" i="14" s="1"/>
  <c r="F41" i="14"/>
  <c r="E41" i="14"/>
  <c r="G47" i="14"/>
  <c r="A86" i="14"/>
  <c r="D47" i="14"/>
  <c r="C47" i="14"/>
  <c r="I47" i="14"/>
  <c r="F47" i="14"/>
  <c r="C186" i="12"/>
  <c r="B321" i="12"/>
  <c r="B572" i="12"/>
  <c r="C437" i="12"/>
  <c r="C165" i="12"/>
  <c r="B300" i="12"/>
  <c r="B232" i="12"/>
  <c r="C97" i="12"/>
  <c r="AQ157" i="4"/>
  <c r="AS157" i="4"/>
  <c r="AU157" i="4" s="1"/>
  <c r="AW157" i="4" s="1"/>
  <c r="R37" i="4"/>
  <c r="P37" i="4"/>
  <c r="Y37" i="4"/>
  <c r="P110" i="4"/>
  <c r="R110" i="4"/>
  <c r="W113" i="4"/>
  <c r="Y113" i="4"/>
  <c r="P167" i="4"/>
  <c r="R167" i="4"/>
  <c r="R183" i="4"/>
  <c r="P183" i="4"/>
  <c r="Y183" i="4"/>
  <c r="P190" i="4"/>
  <c r="R190" i="4"/>
  <c r="B761" i="12"/>
  <c r="C665" i="12"/>
  <c r="H152" i="14"/>
  <c r="I152" i="14"/>
  <c r="E152" i="14"/>
  <c r="D152" i="14"/>
  <c r="A191" i="14"/>
  <c r="B661" i="12"/>
  <c r="C526" i="12"/>
  <c r="C67" i="14"/>
  <c r="D67" i="14"/>
  <c r="A106" i="14"/>
  <c r="F67" i="14"/>
  <c r="G67" i="14"/>
  <c r="A99" i="14"/>
  <c r="G60" i="14"/>
  <c r="D60" i="14"/>
  <c r="X24" i="33"/>
  <c r="X82" i="32"/>
  <c r="T141" i="28"/>
  <c r="V141" i="28" s="1"/>
  <c r="X141" i="28" s="1"/>
  <c r="Y141" i="28"/>
  <c r="T221" i="28"/>
  <c r="V221" i="28" s="1"/>
  <c r="X221" i="28" s="1"/>
  <c r="Y221" i="28"/>
  <c r="T244" i="28"/>
  <c r="V244" i="28" s="1"/>
  <c r="X244" i="28" s="1"/>
  <c r="Y244" i="28"/>
  <c r="B460" i="12"/>
  <c r="C325" i="12"/>
  <c r="B171" i="12"/>
  <c r="C36" i="12"/>
  <c r="B287" i="12"/>
  <c r="C152" i="12"/>
  <c r="B279" i="12"/>
  <c r="C144" i="12"/>
  <c r="B139" i="12"/>
  <c r="C4" i="12"/>
  <c r="B352" i="12"/>
  <c r="C217" i="12"/>
  <c r="B515" i="12"/>
  <c r="C380" i="12"/>
  <c r="AK30" i="8"/>
  <c r="AL30" i="8"/>
  <c r="AN30" i="8" s="1"/>
  <c r="AO30" i="8" s="1"/>
  <c r="F162" i="14"/>
  <c r="AU122" i="4"/>
  <c r="AW122" i="4" s="1"/>
  <c r="AU201" i="4"/>
  <c r="AV201" i="4" s="1"/>
  <c r="AU135" i="4"/>
  <c r="AV135" i="4" s="1"/>
  <c r="AU125" i="4"/>
  <c r="AW125" i="4" s="1"/>
  <c r="V233" i="28"/>
  <c r="W233" i="28" s="1"/>
  <c r="V173" i="28"/>
  <c r="W173" i="28" s="1"/>
  <c r="B813" i="12"/>
  <c r="C678" i="12"/>
  <c r="G113" i="14"/>
  <c r="D113" i="14"/>
  <c r="H113" i="14"/>
  <c r="I113" i="14"/>
  <c r="F113" i="14"/>
  <c r="E113" i="14"/>
  <c r="AQ130" i="4"/>
  <c r="AS130" i="4"/>
  <c r="AU130" i="4" s="1"/>
  <c r="AW130" i="4" s="1"/>
  <c r="C108" i="14"/>
  <c r="I108" i="14"/>
  <c r="D108" i="14"/>
  <c r="A147" i="14"/>
  <c r="F108" i="14"/>
  <c r="G108" i="14"/>
  <c r="H108" i="14"/>
  <c r="C63" i="14"/>
  <c r="I63" i="14"/>
  <c r="A102" i="14"/>
  <c r="F63" i="14"/>
  <c r="A95" i="14"/>
  <c r="C56" i="14"/>
  <c r="I56" i="14"/>
  <c r="G56" i="14"/>
  <c r="D56" i="14"/>
  <c r="AE30" i="32"/>
  <c r="AE21" i="32"/>
  <c r="AE65" i="32"/>
  <c r="AE75" i="32"/>
  <c r="O35" i="32"/>
  <c r="O21" i="32"/>
  <c r="O85" i="32"/>
  <c r="O44" i="32"/>
  <c r="O65" i="32"/>
  <c r="O54" i="32"/>
  <c r="O30" i="32"/>
  <c r="C21" i="32"/>
  <c r="C97" i="32"/>
  <c r="C30" i="32"/>
  <c r="C44" i="32"/>
  <c r="C75" i="32"/>
  <c r="C54" i="32"/>
  <c r="W37" i="33"/>
  <c r="AK82" i="32"/>
  <c r="T187" i="28"/>
  <c r="V187" i="28" s="1"/>
  <c r="X187" i="28" s="1"/>
  <c r="Y187" i="28"/>
  <c r="Y200" i="28"/>
  <c r="T200" i="28"/>
  <c r="V200" i="28" s="1"/>
  <c r="W200" i="28" s="1"/>
  <c r="T226" i="28"/>
  <c r="V226" i="28" s="1"/>
  <c r="W226" i="28" s="1"/>
  <c r="Y226" i="28"/>
  <c r="B345" i="12"/>
  <c r="C210" i="12"/>
  <c r="B741" i="12"/>
  <c r="C606" i="12"/>
  <c r="C37" i="12"/>
  <c r="B172" i="12"/>
  <c r="B163" i="12"/>
  <c r="C28" i="12"/>
  <c r="B290" i="12"/>
  <c r="C155" i="12"/>
  <c r="B545" i="12"/>
  <c r="C410" i="12"/>
  <c r="B495" i="12"/>
  <c r="C360" i="12"/>
  <c r="B657" i="12"/>
  <c r="C522" i="12"/>
  <c r="AS113" i="4"/>
  <c r="AU113" i="4" s="1"/>
  <c r="AW113" i="4" s="1"/>
  <c r="AQ113" i="4"/>
  <c r="B1754" i="12"/>
  <c r="C1619" i="12"/>
  <c r="AU155" i="4"/>
  <c r="AW155" i="4" s="1"/>
  <c r="B484" i="12"/>
  <c r="C349" i="12"/>
  <c r="B1037" i="12"/>
  <c r="C902" i="12"/>
  <c r="A132" i="14"/>
  <c r="B196" i="14"/>
  <c r="D157" i="14"/>
  <c r="I54" i="14"/>
  <c r="H54" i="14"/>
  <c r="F54" i="14"/>
  <c r="G54" i="14"/>
  <c r="E54" i="14"/>
  <c r="Z29" i="33"/>
  <c r="AC82" i="32"/>
  <c r="Y119" i="28"/>
  <c r="T119" i="28"/>
  <c r="V119" i="28" s="1"/>
  <c r="X119" i="28" s="1"/>
  <c r="Y182" i="28"/>
  <c r="T182" i="28"/>
  <c r="V182" i="28" s="1"/>
  <c r="X182" i="28" s="1"/>
  <c r="B614" i="12"/>
  <c r="C479" i="12"/>
  <c r="B339" i="12"/>
  <c r="C204" i="12"/>
  <c r="B316" i="12"/>
  <c r="C181" i="12"/>
  <c r="B170" i="12"/>
  <c r="C35" i="12"/>
  <c r="B432" i="12"/>
  <c r="C297" i="12"/>
  <c r="Y33" i="28"/>
  <c r="T33" i="28"/>
  <c r="V33" i="28" s="1"/>
  <c r="W33" i="28" s="1"/>
  <c r="Y63" i="28"/>
  <c r="T63" i="28"/>
  <c r="V63" i="28" s="1"/>
  <c r="W63" i="28" s="1"/>
  <c r="Y79" i="28"/>
  <c r="T79" i="28"/>
  <c r="V79" i="28" s="1"/>
  <c r="W79" i="28" s="1"/>
  <c r="Y274" i="28"/>
  <c r="T274" i="28"/>
  <c r="V274" i="28" s="1"/>
  <c r="X274" i="28" s="1"/>
  <c r="Y294" i="28"/>
  <c r="T294" i="28"/>
  <c r="V294" i="28" s="1"/>
  <c r="X294" i="28" s="1"/>
  <c r="B458" i="12"/>
  <c r="C323" i="12"/>
  <c r="AN12" i="8"/>
  <c r="I34" i="31" s="1"/>
  <c r="AU128" i="4"/>
  <c r="AV128" i="4" s="1"/>
  <c r="AU129" i="4"/>
  <c r="AV129" i="4" s="1"/>
  <c r="AU22" i="4"/>
  <c r="AW22" i="4" s="1"/>
  <c r="B1455" i="12"/>
  <c r="H129" i="14"/>
  <c r="I129" i="14"/>
  <c r="A168" i="14"/>
  <c r="D129" i="14"/>
  <c r="A149" i="14"/>
  <c r="F110" i="14"/>
  <c r="I110" i="14"/>
  <c r="H110" i="14"/>
  <c r="E110" i="14"/>
  <c r="C110" i="14"/>
  <c r="A481" i="12"/>
  <c r="A616" i="12" s="1"/>
  <c r="A751" i="12" s="1"/>
  <c r="A886" i="12" s="1"/>
  <c r="A1021" i="12" s="1"/>
  <c r="A1156" i="12" s="1"/>
  <c r="A1291" i="12" s="1"/>
  <c r="A1426" i="12" s="1"/>
  <c r="A1561" i="12" s="1"/>
  <c r="A1696" i="12" s="1"/>
  <c r="A1831" i="12" s="1"/>
  <c r="A1966" i="12" s="1"/>
  <c r="A2101" i="12" s="1"/>
  <c r="A2236" i="12" s="1"/>
  <c r="A2371" i="12" s="1"/>
  <c r="A2506" i="12" s="1"/>
  <c r="A2641" i="12" s="1"/>
  <c r="A2776" i="12" s="1"/>
  <c r="A2911" i="12" s="1"/>
  <c r="A3046" i="12" s="1"/>
  <c r="A3181" i="12" s="1"/>
  <c r="A3316" i="12" s="1"/>
  <c r="A3451" i="12" s="1"/>
  <c r="A3586" i="12" s="1"/>
  <c r="A3721" i="12" s="1"/>
  <c r="A3856" i="12" s="1"/>
  <c r="A3991" i="12" s="1"/>
  <c r="A4126" i="12" s="1"/>
  <c r="A4261" i="12" s="1"/>
  <c r="A4396" i="12" s="1"/>
  <c r="A4531" i="12" s="1"/>
  <c r="A4666" i="12" s="1"/>
  <c r="A4801" i="12" s="1"/>
  <c r="A4936" i="12" s="1"/>
  <c r="A5071" i="12" s="1"/>
  <c r="A5206" i="12" s="1"/>
  <c r="C346" i="12"/>
  <c r="A119" i="14"/>
  <c r="AU142" i="4"/>
  <c r="AV142" i="4" s="1"/>
  <c r="J4" i="5"/>
  <c r="J3" i="5"/>
  <c r="J7" i="5"/>
  <c r="J8" i="5"/>
  <c r="J6" i="5"/>
  <c r="J10" i="5"/>
  <c r="J5" i="5"/>
  <c r="S37" i="5"/>
  <c r="S39" i="5"/>
  <c r="S40" i="5"/>
  <c r="S42" i="5"/>
  <c r="S44" i="5"/>
  <c r="I61" i="5"/>
  <c r="I65" i="5"/>
  <c r="I60" i="5"/>
  <c r="I59" i="5"/>
  <c r="I62" i="5"/>
  <c r="I61" i="14"/>
  <c r="E61" i="14"/>
  <c r="D61" i="14"/>
  <c r="H61" i="14"/>
  <c r="F61" i="14"/>
  <c r="Y18" i="33"/>
  <c r="R82" i="32"/>
  <c r="AL6" i="8"/>
  <c r="AN6" i="8" s="1"/>
  <c r="AP6" i="8" s="1"/>
  <c r="AK6" i="8"/>
  <c r="B734" i="12"/>
  <c r="C599" i="12"/>
  <c r="B588" i="12"/>
  <c r="C453" i="12"/>
  <c r="B158" i="12"/>
  <c r="C23" i="12"/>
  <c r="B411" i="12"/>
  <c r="C276" i="12"/>
  <c r="B388" i="12"/>
  <c r="C253" i="12"/>
  <c r="B1189" i="12"/>
  <c r="C1054" i="12"/>
  <c r="C98" i="12"/>
  <c r="B233" i="12"/>
  <c r="R87" i="4"/>
  <c r="P87" i="4"/>
  <c r="Y87" i="4"/>
  <c r="W103" i="4"/>
  <c r="Y103" i="4"/>
  <c r="W123" i="4"/>
  <c r="Y123" i="4"/>
  <c r="W127" i="4"/>
  <c r="Y127" i="4"/>
  <c r="W131" i="4"/>
  <c r="Y131" i="4"/>
  <c r="W141" i="4"/>
  <c r="Y141" i="4"/>
  <c r="R164" i="4"/>
  <c r="Y164" i="4"/>
  <c r="R187" i="4"/>
  <c r="P187" i="4"/>
  <c r="Y190" i="4"/>
  <c r="B265" i="12"/>
  <c r="C130" i="12"/>
  <c r="B829" i="12"/>
  <c r="C694" i="12"/>
  <c r="A170" i="14"/>
  <c r="E139" i="14"/>
  <c r="F139" i="14"/>
  <c r="D139" i="14"/>
  <c r="H139" i="14"/>
  <c r="D196" i="14"/>
  <c r="F196" i="14"/>
  <c r="C196" i="14"/>
  <c r="A235" i="14"/>
  <c r="H196" i="14"/>
  <c r="E196" i="14"/>
  <c r="I166" i="14"/>
  <c r="H166" i="14"/>
  <c r="A205" i="14"/>
  <c r="E166" i="14"/>
  <c r="A167" i="14"/>
  <c r="V263" i="28"/>
  <c r="W263" i="28" s="1"/>
  <c r="H103" i="14"/>
  <c r="C103" i="14"/>
  <c r="A142" i="14"/>
  <c r="D103" i="14"/>
  <c r="A140" i="14"/>
  <c r="I101" i="14"/>
  <c r="C101" i="14"/>
  <c r="B93" i="14"/>
  <c r="T174" i="28"/>
  <c r="V174" i="28" s="1"/>
  <c r="W174" i="28" s="1"/>
  <c r="B476" i="12"/>
  <c r="C341" i="12"/>
  <c r="AS144" i="4"/>
  <c r="AU144" i="4" s="1"/>
  <c r="AW144" i="4" s="1"/>
  <c r="AQ144" i="4"/>
  <c r="K7" i="5"/>
  <c r="K3" i="5"/>
  <c r="K8" i="5"/>
  <c r="K10" i="5"/>
  <c r="K9" i="5"/>
  <c r="K4" i="5"/>
  <c r="C50" i="14"/>
  <c r="I50" i="14"/>
  <c r="B89" i="14"/>
  <c r="D50" i="14"/>
  <c r="W27" i="33"/>
  <c r="AA82" i="32"/>
  <c r="Y161" i="28"/>
  <c r="T161" i="28"/>
  <c r="V161" i="28" s="1"/>
  <c r="X161" i="28" s="1"/>
  <c r="Y236" i="28"/>
  <c r="T236" i="28"/>
  <c r="V236" i="28" s="1"/>
  <c r="X236" i="28" s="1"/>
  <c r="AN84" i="17"/>
  <c r="AF84" i="17"/>
  <c r="X84" i="17"/>
  <c r="B562" i="12"/>
  <c r="C427" i="12"/>
  <c r="B419" i="12"/>
  <c r="C284" i="12"/>
  <c r="B520" i="12"/>
  <c r="C385" i="12"/>
  <c r="B241" i="12"/>
  <c r="C106" i="12"/>
  <c r="AQ118" i="4"/>
  <c r="AS118" i="4"/>
  <c r="AU118" i="4" s="1"/>
  <c r="AV118" i="4" s="1"/>
  <c r="R12" i="4"/>
  <c r="P12" i="4"/>
  <c r="W74" i="4"/>
  <c r="Y74" i="4"/>
  <c r="P107" i="4"/>
  <c r="R107" i="4"/>
  <c r="P129" i="4"/>
  <c r="R129" i="4"/>
  <c r="B939" i="12"/>
  <c r="C804" i="12"/>
  <c r="AU34" i="4"/>
  <c r="AV34" i="4" s="1"/>
  <c r="AU10" i="4"/>
  <c r="AW10" i="4" s="1"/>
  <c r="AU16" i="4"/>
  <c r="AW16" i="4" s="1"/>
  <c r="AU164" i="4"/>
  <c r="AW164" i="4" s="1"/>
  <c r="AU78" i="4"/>
  <c r="AV78" i="4" s="1"/>
  <c r="AU75" i="4"/>
  <c r="AW75" i="4" s="1"/>
  <c r="C104" i="14"/>
  <c r="G104" i="14"/>
  <c r="V250" i="28"/>
  <c r="X250" i="28" s="1"/>
  <c r="K17" i="5"/>
  <c r="K15" i="5"/>
  <c r="K22" i="5"/>
  <c r="K16" i="5"/>
  <c r="K20" i="5"/>
  <c r="B105" i="14"/>
  <c r="C66" i="14"/>
  <c r="H66" i="14"/>
  <c r="F66" i="14"/>
  <c r="D66" i="14"/>
  <c r="I78" i="14"/>
  <c r="C78" i="14"/>
  <c r="A117" i="14"/>
  <c r="H78" i="14"/>
  <c r="G78" i="14"/>
  <c r="I72" i="14"/>
  <c r="F72" i="14"/>
  <c r="A111" i="14"/>
  <c r="X32" i="33"/>
  <c r="AF82" i="32"/>
  <c r="W82" i="32"/>
  <c r="Z20" i="33"/>
  <c r="T82" i="32"/>
  <c r="AN27" i="8"/>
  <c r="AO27" i="8" s="1"/>
  <c r="B616" i="12"/>
  <c r="C481" i="12"/>
  <c r="B334" i="12"/>
  <c r="C199" i="12"/>
  <c r="B583" i="12"/>
  <c r="C448" i="12"/>
  <c r="B715" i="12"/>
  <c r="C580" i="12"/>
  <c r="B569" i="12"/>
  <c r="C434" i="12"/>
  <c r="C408" i="12"/>
  <c r="B500" i="12"/>
  <c r="C365" i="12"/>
  <c r="B355" i="12"/>
  <c r="C220" i="12"/>
  <c r="B216" i="12"/>
  <c r="C81" i="12"/>
  <c r="C384" i="12"/>
  <c r="C784" i="12"/>
  <c r="AU20" i="4"/>
  <c r="AW20" i="4" s="1"/>
  <c r="AU57" i="4"/>
  <c r="AW57" i="4" s="1"/>
  <c r="AU40" i="4"/>
  <c r="AV40" i="4" s="1"/>
  <c r="AU28" i="4"/>
  <c r="AV28" i="4" s="1"/>
  <c r="AU99" i="4"/>
  <c r="AW99" i="4" s="1"/>
  <c r="A143" i="14"/>
  <c r="AU176" i="4"/>
  <c r="AW176" i="4" s="1"/>
  <c r="F157" i="14"/>
  <c r="C157" i="14"/>
  <c r="V153" i="28"/>
  <c r="X153" i="28" s="1"/>
  <c r="G84" i="14"/>
  <c r="I84" i="14"/>
  <c r="O41" i="5"/>
  <c r="O44" i="5"/>
  <c r="O37" i="5"/>
  <c r="O38" i="5"/>
  <c r="K73" i="5"/>
  <c r="K76" i="5"/>
  <c r="K70" i="5"/>
  <c r="K72" i="5"/>
  <c r="C246" i="12"/>
  <c r="C364" i="12"/>
  <c r="C212" i="12"/>
  <c r="C769" i="12"/>
  <c r="C371" i="12"/>
  <c r="C381" i="12"/>
  <c r="C375" i="12"/>
  <c r="C264" i="12"/>
  <c r="C257" i="12"/>
  <c r="C236" i="12"/>
  <c r="C159" i="12"/>
  <c r="C206" i="12"/>
  <c r="C1039" i="12"/>
  <c r="C386" i="12"/>
  <c r="C208" i="12"/>
  <c r="C175" i="12"/>
  <c r="C185" i="12"/>
  <c r="C223" i="12"/>
  <c r="C147" i="12"/>
  <c r="C514" i="12"/>
  <c r="C320" i="12"/>
  <c r="C399" i="12"/>
  <c r="F5" i="14"/>
  <c r="F9" i="14"/>
  <c r="F15" i="14"/>
  <c r="F23" i="14"/>
  <c r="F79" i="14"/>
  <c r="F18" i="14"/>
  <c r="F16" i="14"/>
  <c r="F32" i="14"/>
  <c r="F6" i="14"/>
  <c r="F88" i="14"/>
  <c r="F22" i="14"/>
  <c r="F28" i="14"/>
  <c r="D40" i="14"/>
  <c r="D19" i="14"/>
  <c r="D9" i="14"/>
  <c r="D8" i="14"/>
  <c r="D10" i="14"/>
  <c r="D7" i="14"/>
  <c r="D65" i="14"/>
  <c r="D62" i="14"/>
  <c r="D59" i="14"/>
  <c r="D33" i="14"/>
  <c r="D35" i="14"/>
  <c r="D24" i="14"/>
  <c r="D88" i="14"/>
  <c r="D92" i="14"/>
  <c r="G92" i="14"/>
  <c r="B131" i="14"/>
  <c r="H92" i="14"/>
  <c r="H77" i="14"/>
  <c r="I77" i="14"/>
  <c r="A97" i="14"/>
  <c r="C58" i="14"/>
  <c r="V30" i="32"/>
  <c r="V65" i="32"/>
  <c r="F21" i="32"/>
  <c r="F97" i="32"/>
  <c r="F30" i="32"/>
  <c r="F54" i="32"/>
  <c r="U84" i="17"/>
  <c r="C445" i="12"/>
  <c r="B978" i="12"/>
  <c r="C843" i="12"/>
  <c r="B823" i="12"/>
  <c r="C688" i="12"/>
  <c r="B146" i="12"/>
  <c r="C11" i="12"/>
  <c r="C230" i="12"/>
  <c r="B518" i="12"/>
  <c r="C383" i="12"/>
  <c r="AU204" i="4"/>
  <c r="AW204" i="4" s="1"/>
  <c r="AU194" i="4"/>
  <c r="AW194" i="4" s="1"/>
  <c r="AU95" i="4"/>
  <c r="AW95" i="4" s="1"/>
  <c r="AU49" i="4"/>
  <c r="AV49" i="4" s="1"/>
  <c r="AN23" i="8"/>
  <c r="I13" i="31" s="1"/>
  <c r="AN26" i="8"/>
  <c r="AP26" i="8" s="1"/>
  <c r="AU37" i="4"/>
  <c r="AV37" i="4" s="1"/>
  <c r="AU193" i="4"/>
  <c r="AV193" i="4" s="1"/>
  <c r="AU116" i="4"/>
  <c r="AW116" i="4" s="1"/>
  <c r="V37" i="28"/>
  <c r="W37" i="28" s="1"/>
  <c r="F100" i="14"/>
  <c r="D72" i="14"/>
  <c r="F104" i="14"/>
  <c r="V248" i="28"/>
  <c r="W248" i="28" s="1"/>
  <c r="C98" i="14"/>
  <c r="I104" i="14"/>
  <c r="C256" i="12"/>
  <c r="V300" i="28"/>
  <c r="X300" i="28" s="1"/>
  <c r="D98" i="14"/>
  <c r="I98" i="14"/>
  <c r="G107" i="14"/>
  <c r="F107" i="14"/>
  <c r="A146" i="14"/>
  <c r="F146" i="14" s="1"/>
  <c r="I107" i="14"/>
  <c r="I66" i="14"/>
  <c r="S9" i="5"/>
  <c r="T116" i="5"/>
  <c r="R116" i="5"/>
  <c r="S116" i="5"/>
  <c r="S7" i="5"/>
  <c r="S6" i="5"/>
  <c r="S8" i="5"/>
  <c r="M20" i="5"/>
  <c r="M17" i="5"/>
  <c r="M19" i="5"/>
  <c r="M22" i="5"/>
  <c r="K41" i="5"/>
  <c r="K40" i="5"/>
  <c r="K102" i="5"/>
  <c r="L102" i="5" s="1"/>
  <c r="J110" i="5"/>
  <c r="J106" i="5"/>
  <c r="J105" i="5"/>
  <c r="J107" i="5"/>
  <c r="J108" i="5"/>
  <c r="J103" i="5"/>
  <c r="B114" i="14"/>
  <c r="D75" i="14"/>
  <c r="B753" i="12"/>
  <c r="C618" i="12"/>
  <c r="C207" i="12"/>
  <c r="B342" i="12"/>
  <c r="C67" i="12"/>
  <c r="B202" i="12"/>
  <c r="B926" i="12"/>
  <c r="C791" i="12"/>
  <c r="AU68" i="4"/>
  <c r="AW68" i="4" s="1"/>
  <c r="AU58" i="4"/>
  <c r="AW58" i="4" s="1"/>
  <c r="AS55" i="4"/>
  <c r="AU55" i="4" s="1"/>
  <c r="AW55" i="4" s="1"/>
  <c r="AQ55" i="4"/>
  <c r="R65" i="4"/>
  <c r="P65" i="4"/>
  <c r="B666" i="12"/>
  <c r="C531" i="12"/>
  <c r="B945" i="12"/>
  <c r="C810" i="12"/>
  <c r="V309" i="28"/>
  <c r="X309" i="28" s="1"/>
  <c r="V58" i="28"/>
  <c r="W58" i="28" s="1"/>
  <c r="V138" i="28"/>
  <c r="X138" i="28" s="1"/>
  <c r="AG21" i="32"/>
  <c r="V197" i="28"/>
  <c r="W197" i="28" s="1"/>
  <c r="R8" i="5"/>
  <c r="R115" i="5"/>
  <c r="R5" i="5"/>
  <c r="L16" i="5"/>
  <c r="L17" i="5"/>
  <c r="J77" i="5"/>
  <c r="J73" i="5"/>
  <c r="J76" i="5"/>
  <c r="C90" i="12"/>
  <c r="C12" i="12"/>
  <c r="C110" i="12"/>
  <c r="C107" i="12"/>
  <c r="C47" i="12"/>
  <c r="C94" i="12"/>
  <c r="C124" i="12"/>
  <c r="C89" i="12"/>
  <c r="C19" i="12"/>
  <c r="F118" i="14"/>
  <c r="J44" i="32"/>
  <c r="J54" i="32"/>
  <c r="J30" i="32"/>
  <c r="V11" i="28"/>
  <c r="X11" i="28" s="1"/>
  <c r="C55" i="12"/>
  <c r="B285" i="12"/>
  <c r="C150" i="12"/>
  <c r="AU106" i="4"/>
  <c r="AW106" i="4" s="1"/>
  <c r="AU103" i="4"/>
  <c r="AW103" i="4" s="1"/>
  <c r="AU9" i="4"/>
  <c r="AW9" i="4" s="1"/>
  <c r="AU6" i="4"/>
  <c r="AV6" i="4" s="1"/>
  <c r="AU3" i="4"/>
  <c r="AV3" i="4" s="1"/>
  <c r="B402" i="12"/>
  <c r="C267" i="12"/>
  <c r="V44" i="28"/>
  <c r="W44" i="28" s="1"/>
  <c r="AU12" i="4"/>
  <c r="AV12" i="4" s="1"/>
  <c r="V241" i="28"/>
  <c r="W241" i="28" s="1"/>
  <c r="V164" i="28"/>
  <c r="W164" i="28" s="1"/>
  <c r="R44" i="5"/>
  <c r="R41" i="5"/>
  <c r="H57" i="14"/>
  <c r="C57" i="14"/>
  <c r="Y21" i="33"/>
  <c r="U82" i="32"/>
  <c r="Y162" i="28"/>
  <c r="T162" i="28"/>
  <c r="V162" i="28" s="1"/>
  <c r="X162" i="28" s="1"/>
  <c r="E84" i="17"/>
  <c r="C194" i="12"/>
  <c r="AU87" i="4"/>
  <c r="AV87" i="4" s="1"/>
  <c r="AU81" i="4"/>
  <c r="AV81" i="4" s="1"/>
  <c r="AU31" i="4"/>
  <c r="AW31" i="4" s="1"/>
  <c r="AU23" i="4"/>
  <c r="AW23" i="4" s="1"/>
  <c r="Y312" i="28"/>
  <c r="T312" i="28"/>
  <c r="V312" i="28" s="1"/>
  <c r="X312" i="28" s="1"/>
  <c r="V186" i="28"/>
  <c r="X186" i="28" s="1"/>
  <c r="AU47" i="4"/>
  <c r="AV47" i="4" s="1"/>
  <c r="V104" i="28"/>
  <c r="W104" i="28" s="1"/>
  <c r="V23" i="28"/>
  <c r="W23" i="28" s="1"/>
  <c r="H59" i="14"/>
  <c r="C59" i="14"/>
  <c r="W75" i="32"/>
  <c r="W30" i="32"/>
  <c r="W21" i="32"/>
  <c r="V171" i="28"/>
  <c r="X171" i="28" s="1"/>
  <c r="C58" i="12"/>
  <c r="B193" i="12"/>
  <c r="Y289" i="28"/>
  <c r="T289" i="28"/>
  <c r="V289" i="28" s="1"/>
  <c r="W289" i="28" s="1"/>
  <c r="K52" i="5"/>
  <c r="M40" i="5"/>
  <c r="V246" i="28"/>
  <c r="X246" i="28" s="1"/>
  <c r="Y171" i="28"/>
  <c r="AU162" i="4"/>
  <c r="AW162" i="4" s="1"/>
  <c r="V106" i="28"/>
  <c r="W106" i="28" s="1"/>
  <c r="V237" i="28"/>
  <c r="W237" i="28" s="1"/>
  <c r="V273" i="28"/>
  <c r="X273" i="28" s="1"/>
  <c r="X30" i="32"/>
  <c r="M100" i="18"/>
  <c r="M46" i="16"/>
  <c r="M49" i="16" s="1"/>
  <c r="O17" i="16"/>
  <c r="F106" i="14"/>
  <c r="Q100" i="18"/>
  <c r="Q46" i="16"/>
  <c r="Q49" i="16" s="1"/>
  <c r="AK61" i="8"/>
  <c r="AL61" i="8"/>
  <c r="AN61" i="8" s="1"/>
  <c r="AO61" i="8" s="1"/>
  <c r="F42" i="14"/>
  <c r="Y17" i="16"/>
  <c r="F4" i="14"/>
  <c r="W13" i="18"/>
  <c r="AJ17" i="16"/>
  <c r="AH46" i="16"/>
  <c r="AH49" i="16" s="1"/>
  <c r="F48" i="14"/>
  <c r="F38" i="14"/>
  <c r="AG17" i="16"/>
  <c r="L17" i="16"/>
  <c r="F111" i="14"/>
  <c r="P17" i="16"/>
  <c r="F64" i="14"/>
  <c r="F122" i="14"/>
  <c r="U100" i="18"/>
  <c r="Y100" i="18"/>
  <c r="Y46" i="16"/>
  <c r="Y49" i="16" s="1"/>
  <c r="AI100" i="18"/>
  <c r="AI46" i="16"/>
  <c r="AI49" i="16" s="1"/>
  <c r="J13" i="18"/>
  <c r="AL64" i="8"/>
  <c r="AN64" i="8" s="1"/>
  <c r="AP64" i="8" s="1"/>
  <c r="AR62" i="8"/>
  <c r="AQ62" i="8" s="1"/>
  <c r="AF62" i="8"/>
  <c r="AD62" i="8" s="1"/>
  <c r="AJ62" i="8" s="1"/>
  <c r="AF17" i="16"/>
  <c r="AI13" i="18"/>
  <c r="S13" i="18"/>
  <c r="AL60" i="8"/>
  <c r="AN60" i="8" s="1"/>
  <c r="AP60" i="8" s="1"/>
  <c r="AK60" i="8"/>
  <c r="AE17" i="16"/>
  <c r="F56" i="14"/>
  <c r="F35" i="14"/>
  <c r="M17" i="16"/>
  <c r="B17" i="16"/>
  <c r="F254" i="14"/>
  <c r="X17" i="16"/>
  <c r="F53" i="14"/>
  <c r="AC17" i="16"/>
  <c r="F13" i="14"/>
  <c r="F60" i="14"/>
  <c r="AH17" i="16"/>
  <c r="V17" i="16"/>
  <c r="F17" i="14"/>
  <c r="H17" i="16"/>
  <c r="K13" i="18"/>
  <c r="T17" i="16"/>
  <c r="F65" i="14"/>
  <c r="AM17" i="16"/>
  <c r="Z17" i="16"/>
  <c r="F21" i="14"/>
  <c r="AN13" i="18"/>
  <c r="AN63" i="8"/>
  <c r="AP63" i="8" s="1"/>
  <c r="F81" i="14"/>
  <c r="N17" i="16"/>
  <c r="F116" i="14"/>
  <c r="F112" i="14"/>
  <c r="F78" i="14"/>
  <c r="F74" i="14"/>
  <c r="F25" i="14"/>
  <c r="F102" i="14"/>
  <c r="G17" i="16"/>
  <c r="F17" i="16"/>
  <c r="AA17" i="16"/>
  <c r="U17" i="16"/>
  <c r="F33" i="14"/>
  <c r="F98" i="14"/>
  <c r="F11" i="14"/>
  <c r="C17" i="16"/>
  <c r="Q17" i="16"/>
  <c r="D17" i="16"/>
  <c r="I17" i="16"/>
  <c r="F26" i="14"/>
  <c r="F34" i="14"/>
  <c r="F52" i="14"/>
  <c r="F39" i="14"/>
  <c r="S17" i="16"/>
  <c r="X78" i="28"/>
  <c r="X247" i="28"/>
  <c r="W29" i="28"/>
  <c r="W13" i="28"/>
  <c r="X290" i="28"/>
  <c r="W214" i="28"/>
  <c r="X281" i="28"/>
  <c r="AW134" i="4"/>
  <c r="X189" i="28"/>
  <c r="W217" i="28"/>
  <c r="AV198" i="4"/>
  <c r="W231" i="28"/>
  <c r="AW182" i="4"/>
  <c r="X238" i="28"/>
  <c r="X137" i="28"/>
  <c r="W83" i="28"/>
  <c r="X84" i="28"/>
  <c r="W135" i="28"/>
  <c r="X4" i="28"/>
  <c r="X203" i="28"/>
  <c r="X20" i="28"/>
  <c r="AV45" i="4"/>
  <c r="W195" i="28"/>
  <c r="AV154" i="4"/>
  <c r="AW80" i="4"/>
  <c r="AV80" i="4"/>
  <c r="AW46" i="4"/>
  <c r="X210" i="28"/>
  <c r="W127" i="28"/>
  <c r="X61" i="28"/>
  <c r="W47" i="28"/>
  <c r="X239" i="28"/>
  <c r="W96" i="28"/>
  <c r="AW178" i="4"/>
  <c r="AV131" i="4"/>
  <c r="W292" i="28"/>
  <c r="X292" i="28"/>
  <c r="X32" i="28"/>
  <c r="W32" i="28"/>
  <c r="X252" i="28"/>
  <c r="AV211" i="4"/>
  <c r="X73" i="28"/>
  <c r="W85" i="28"/>
  <c r="AV50" i="4"/>
  <c r="X49" i="28"/>
  <c r="X194" i="28"/>
  <c r="W40" i="28"/>
  <c r="W3" i="28"/>
  <c r="X225" i="28"/>
  <c r="W308" i="28"/>
  <c r="X220" i="28"/>
  <c r="W220" i="28"/>
  <c r="AV132" i="4"/>
  <c r="AW132" i="4"/>
  <c r="W152" i="28"/>
  <c r="X152" i="28"/>
  <c r="AV84" i="4"/>
  <c r="W150" i="28"/>
  <c r="X178" i="28"/>
  <c r="W165" i="28"/>
  <c r="AV208" i="4"/>
  <c r="W7" i="28"/>
  <c r="W103" i="28"/>
  <c r="W297" i="28"/>
  <c r="AV82" i="4"/>
  <c r="X48" i="28"/>
  <c r="W222" i="28"/>
  <c r="W55" i="28"/>
  <c r="X264" i="28"/>
  <c r="AV25" i="4"/>
  <c r="X202" i="28"/>
  <c r="W77" i="28"/>
  <c r="W131" i="28"/>
  <c r="W228" i="28"/>
  <c r="W99" i="28"/>
  <c r="X223" i="28"/>
  <c r="W108" i="28"/>
  <c r="X39" i="28"/>
  <c r="W190" i="28"/>
  <c r="W167" i="28"/>
  <c r="X75" i="28"/>
  <c r="AV72" i="4"/>
  <c r="X282" i="28"/>
  <c r="X25" i="28"/>
  <c r="W295" i="28"/>
  <c r="X91" i="28"/>
  <c r="AV186" i="4"/>
  <c r="X132" i="28"/>
  <c r="W56" i="28"/>
  <c r="X56" i="28"/>
  <c r="W212" i="28"/>
  <c r="X212" i="28"/>
  <c r="I33" i="31"/>
  <c r="AP11" i="8"/>
  <c r="W265" i="28"/>
  <c r="X265" i="28"/>
  <c r="X88" i="28"/>
  <c r="W88" i="28"/>
  <c r="W86" i="28"/>
  <c r="X86" i="28"/>
  <c r="AV27" i="4"/>
  <c r="AW27" i="4"/>
  <c r="W261" i="28"/>
  <c r="X261" i="28"/>
  <c r="X180" i="28"/>
  <c r="W180" i="28"/>
  <c r="W118" i="28"/>
  <c r="X118" i="28"/>
  <c r="W112" i="28"/>
  <c r="X112" i="28"/>
  <c r="I12" i="31"/>
  <c r="AO3" i="8"/>
  <c r="AW202" i="4"/>
  <c r="AV202" i="4"/>
  <c r="AV2" i="4"/>
  <c r="X211" i="28"/>
  <c r="W276" i="28"/>
  <c r="X269" i="28"/>
  <c r="X181" i="28"/>
  <c r="X30" i="28"/>
  <c r="X147" i="28"/>
  <c r="W245" i="28"/>
  <c r="AP22" i="8"/>
  <c r="W71" i="28"/>
  <c r="AW53" i="4"/>
  <c r="AV191" i="4"/>
  <c r="AW213" i="4"/>
  <c r="AW184" i="4"/>
  <c r="W87" i="28"/>
  <c r="AV96" i="4"/>
  <c r="W204" i="28"/>
  <c r="X74" i="28"/>
  <c r="W229" i="28"/>
  <c r="W257" i="28"/>
  <c r="W313" i="28"/>
  <c r="AW126" i="4"/>
  <c r="X59" i="28"/>
  <c r="AW115" i="4"/>
  <c r="X109" i="28"/>
  <c r="W232" i="28"/>
  <c r="W283" i="28"/>
  <c r="W306" i="28"/>
  <c r="W102" i="28"/>
  <c r="W304" i="28"/>
  <c r="X136" i="28"/>
  <c r="W208" i="28"/>
  <c r="W296" i="28"/>
  <c r="X301" i="28"/>
  <c r="W154" i="28"/>
  <c r="AV67" i="4"/>
  <c r="X175" i="28"/>
  <c r="W287" i="28"/>
  <c r="W272" i="28"/>
  <c r="X120" i="28"/>
  <c r="W311" i="28"/>
  <c r="AV215" i="4"/>
  <c r="W82" i="28"/>
  <c r="W27" i="28"/>
  <c r="X27" i="28"/>
  <c r="AV169" i="4"/>
  <c r="AW169" i="4"/>
  <c r="AW196" i="4"/>
  <c r="AV196" i="4"/>
  <c r="AV192" i="4"/>
  <c r="AW192" i="4"/>
  <c r="AW60" i="4"/>
  <c r="AV60" i="4"/>
  <c r="X16" i="28"/>
  <c r="W16" i="28"/>
  <c r="AV112" i="4"/>
  <c r="AW112" i="4"/>
  <c r="W285" i="28"/>
  <c r="X285" i="28"/>
  <c r="X21" i="28"/>
  <c r="W21" i="28"/>
  <c r="W157" i="28"/>
  <c r="X157" i="28"/>
  <c r="X193" i="28"/>
  <c r="W193" i="28"/>
  <c r="AW74" i="4"/>
  <c r="AV74" i="4"/>
  <c r="AV205" i="4"/>
  <c r="AW205" i="4"/>
  <c r="W318" i="28"/>
  <c r="X318" i="28"/>
  <c r="X158" i="28"/>
  <c r="W158" i="28"/>
  <c r="W249" i="28"/>
  <c r="X249" i="28"/>
  <c r="W5" i="28"/>
  <c r="X5" i="28"/>
  <c r="X253" i="28"/>
  <c r="W253" i="28"/>
  <c r="W168" i="28"/>
  <c r="X168" i="28"/>
  <c r="AW175" i="4"/>
  <c r="X6" i="28"/>
  <c r="AV183" i="4"/>
  <c r="AW183" i="4"/>
  <c r="W70" i="28"/>
  <c r="X70" i="28"/>
  <c r="AW15" i="4"/>
  <c r="AV63" i="4"/>
  <c r="X268" i="28"/>
  <c r="AV38" i="4"/>
  <c r="AW38" i="4"/>
  <c r="AW173" i="4"/>
  <c r="X66" i="28"/>
  <c r="W66" i="28"/>
  <c r="W41" i="28"/>
  <c r="X41" i="28"/>
  <c r="W298" i="28"/>
  <c r="X298" i="28"/>
  <c r="AW188" i="4"/>
  <c r="AW32" i="4"/>
  <c r="W303" i="28"/>
  <c r="X22" i="28"/>
  <c r="AV79" i="4"/>
  <c r="AW150" i="4"/>
  <c r="AW11" i="4"/>
  <c r="AV11" i="4"/>
  <c r="AV163" i="4"/>
  <c r="AW163" i="4"/>
  <c r="X169" i="28"/>
  <c r="W169" i="28"/>
  <c r="X92" i="28"/>
  <c r="W92" i="28"/>
  <c r="W315" i="28"/>
  <c r="X315" i="28"/>
  <c r="AV145" i="4"/>
  <c r="AW145" i="4"/>
  <c r="W196" i="28"/>
  <c r="X196" i="28"/>
  <c r="W163" i="28"/>
  <c r="X163" i="28"/>
  <c r="AW7" i="4"/>
  <c r="AV7" i="4"/>
  <c r="X54" i="28"/>
  <c r="W54" i="28"/>
  <c r="W278" i="28"/>
  <c r="X278" i="28"/>
  <c r="AV172" i="4"/>
  <c r="W53" i="28"/>
  <c r="X280" i="28"/>
  <c r="AV70" i="4"/>
  <c r="AW70" i="4"/>
  <c r="AV18" i="4"/>
  <c r="AW18" i="4"/>
  <c r="AV56" i="4"/>
  <c r="AW56" i="4"/>
  <c r="AV138" i="4"/>
  <c r="AW66" i="4"/>
  <c r="W235" i="28"/>
  <c r="X122" i="28"/>
  <c r="W111" i="28"/>
  <c r="W43" i="28"/>
  <c r="AW180" i="4"/>
  <c r="AV180" i="4"/>
  <c r="W183" i="28"/>
  <c r="X183" i="28"/>
  <c r="W93" i="28"/>
  <c r="X93" i="28"/>
  <c r="W286" i="28"/>
  <c r="X286" i="28"/>
  <c r="W17" i="28"/>
  <c r="X17" i="28"/>
  <c r="X172" i="28"/>
  <c r="W172" i="28"/>
  <c r="X307" i="28"/>
  <c r="W307" i="28"/>
  <c r="W155" i="28"/>
  <c r="X155" i="28"/>
  <c r="AV102" i="4"/>
  <c r="AW102" i="4"/>
  <c r="AW65" i="4"/>
  <c r="AV65" i="4"/>
  <c r="AV5" i="4"/>
  <c r="AW5" i="4"/>
  <c r="AV97" i="4"/>
  <c r="AW97" i="4"/>
  <c r="AO10" i="8"/>
  <c r="AP10" i="8"/>
  <c r="I32" i="31"/>
  <c r="AW83" i="4"/>
  <c r="AV83" i="4"/>
  <c r="AV120" i="4"/>
  <c r="AW120" i="4"/>
  <c r="AV93" i="4"/>
  <c r="AW93" i="4"/>
  <c r="X166" i="28"/>
  <c r="W166" i="28"/>
  <c r="W240" i="28"/>
  <c r="X240" i="28"/>
  <c r="AV170" i="4"/>
  <c r="X271" i="28"/>
  <c r="W271" i="28"/>
  <c r="X270" i="28"/>
  <c r="W270" i="28"/>
  <c r="X2" i="28"/>
  <c r="W2" i="28"/>
  <c r="X198" i="28"/>
  <c r="W198" i="28"/>
  <c r="W227" i="28"/>
  <c r="X227" i="28"/>
  <c r="AV143" i="4"/>
  <c r="AW73" i="4"/>
  <c r="AV21" i="4"/>
  <c r="X216" i="28"/>
  <c r="AW101" i="4"/>
  <c r="AV101" i="4"/>
  <c r="AV147" i="4"/>
  <c r="AV197" i="4"/>
  <c r="AW197" i="4"/>
  <c r="X26" i="28"/>
  <c r="W26" i="28"/>
  <c r="X42" i="28"/>
  <c r="W42" i="28"/>
  <c r="X34" i="28"/>
  <c r="W34" i="28"/>
  <c r="AW190" i="4"/>
  <c r="W284" i="28"/>
  <c r="W177" i="28"/>
  <c r="X123" i="28"/>
  <c r="W113" i="28"/>
  <c r="AV168" i="4"/>
  <c r="X116" i="28"/>
  <c r="X69" i="28"/>
  <c r="W110" i="28"/>
  <c r="W89" i="28"/>
  <c r="AW187" i="4"/>
  <c r="AV187" i="4"/>
  <c r="AV151" i="4"/>
  <c r="AW151" i="4"/>
  <c r="AW149" i="4"/>
  <c r="AV149" i="4"/>
  <c r="X251" i="28"/>
  <c r="W251" i="28"/>
  <c r="W266" i="28"/>
  <c r="X266" i="28"/>
  <c r="W145" i="28"/>
  <c r="X145" i="28"/>
  <c r="AV114" i="4"/>
  <c r="AW114" i="4"/>
  <c r="AW127" i="4"/>
  <c r="AV127" i="4"/>
  <c r="X90" i="28"/>
  <c r="W90" i="28"/>
  <c r="X15" i="28"/>
  <c r="W15" i="28"/>
  <c r="X151" i="28"/>
  <c r="X100" i="28"/>
  <c r="W100" i="28"/>
  <c r="X98" i="28"/>
  <c r="W98" i="28"/>
  <c r="X68" i="28"/>
  <c r="W68" i="28"/>
  <c r="AW107" i="4"/>
  <c r="AV107" i="4"/>
  <c r="AV158" i="4"/>
  <c r="AW158" i="4"/>
  <c r="W36" i="28"/>
  <c r="X36" i="28"/>
  <c r="AW185" i="4"/>
  <c r="AV105" i="4"/>
  <c r="X62" i="28"/>
  <c r="W105" i="28"/>
  <c r="X310" i="28"/>
  <c r="X215" i="28"/>
  <c r="W215" i="28"/>
  <c r="AP38" i="8"/>
  <c r="AO11" i="8"/>
  <c r="AV42" i="4"/>
  <c r="AV206" i="4"/>
  <c r="AW36" i="4"/>
  <c r="AV92" i="4"/>
  <c r="W140" i="28"/>
  <c r="W128" i="28"/>
  <c r="W279" i="28"/>
  <c r="W130" i="28"/>
  <c r="X51" i="28"/>
  <c r="AO9" i="8"/>
  <c r="AV109" i="4"/>
  <c r="W12" i="28"/>
  <c r="X12" i="28"/>
  <c r="W35" i="28"/>
  <c r="X35" i="28"/>
  <c r="X243" i="28"/>
  <c r="X267" i="28"/>
  <c r="W288" i="28"/>
  <c r="X218" i="28"/>
  <c r="W76" i="28"/>
  <c r="W67" i="28"/>
  <c r="AV171" i="4"/>
  <c r="AW171" i="4"/>
  <c r="AV179" i="4"/>
  <c r="AV136" i="4"/>
  <c r="AV24" i="4"/>
  <c r="AW94" i="4"/>
  <c r="W133" i="28"/>
  <c r="W129" i="28"/>
  <c r="X316" i="28"/>
  <c r="W299" i="28"/>
  <c r="W260" i="28"/>
  <c r="X224" i="28"/>
  <c r="X117" i="28"/>
  <c r="W45" i="28"/>
  <c r="X305" i="28"/>
  <c r="AW13" i="4"/>
  <c r="AV13" i="4"/>
  <c r="AV212" i="4"/>
  <c r="AW212" i="4"/>
  <c r="W8" i="28"/>
  <c r="W107" i="28"/>
  <c r="W256" i="28"/>
  <c r="X256" i="28"/>
  <c r="W18" i="28"/>
  <c r="X18" i="28"/>
  <c r="AV141" i="4"/>
  <c r="AW141" i="4"/>
  <c r="AV89" i="4"/>
  <c r="AV41" i="4"/>
  <c r="W97" i="28"/>
  <c r="AV35" i="4"/>
  <c r="AV69" i="4"/>
  <c r="AW104" i="4"/>
  <c r="W57" i="28"/>
  <c r="X38" i="28"/>
  <c r="X176" i="28"/>
  <c r="W277" i="28"/>
  <c r="W242" i="28"/>
  <c r="W24" i="28"/>
  <c r="AP34" i="8"/>
  <c r="AW152" i="4"/>
  <c r="AV152" i="4"/>
  <c r="AW174" i="4"/>
  <c r="AV174" i="4"/>
  <c r="W206" i="28"/>
  <c r="X206" i="28"/>
  <c r="AL2" i="8"/>
  <c r="AN2" i="8" s="1"/>
  <c r="I11" i="31" s="1"/>
  <c r="AW64" i="4"/>
  <c r="W101" i="28"/>
  <c r="W159" i="28"/>
  <c r="X14" i="28"/>
  <c r="AO35" i="8"/>
  <c r="W31" i="28"/>
  <c r="X9" i="28"/>
  <c r="W199" i="28"/>
  <c r="W81" i="28"/>
  <c r="W50" i="28"/>
  <c r="W60" i="28"/>
  <c r="X259" i="28"/>
  <c r="X258" i="28"/>
  <c r="X317" i="28"/>
  <c r="AP3" i="8"/>
  <c r="AW51" i="4"/>
  <c r="W146" i="28"/>
  <c r="W302" i="28"/>
  <c r="AO57" i="8"/>
  <c r="AP57" i="8"/>
  <c r="AO33" i="8"/>
  <c r="AP33" i="8"/>
  <c r="AP18" i="8"/>
  <c r="AO18" i="8"/>
  <c r="AW177" i="4"/>
  <c r="AV177" i="4"/>
  <c r="I31" i="31"/>
  <c r="AO13" i="8"/>
  <c r="AP13" i="8"/>
  <c r="AV13" i="8" s="1"/>
  <c r="AW167" i="4"/>
  <c r="AV167" i="4"/>
  <c r="AO7" i="8"/>
  <c r="AP7" i="8"/>
  <c r="I40" i="31"/>
  <c r="AV43" i="4"/>
  <c r="AW43" i="4"/>
  <c r="W230" i="28"/>
  <c r="X230" i="28"/>
  <c r="AO39" i="8"/>
  <c r="AP39" i="8"/>
  <c r="AW86" i="4"/>
  <c r="AV86" i="4"/>
  <c r="AW44" i="4"/>
  <c r="AV44" i="4"/>
  <c r="W19" i="28"/>
  <c r="X19" i="28"/>
  <c r="AO58" i="8"/>
  <c r="AP58" i="8"/>
  <c r="AO53" i="8"/>
  <c r="AP53" i="8"/>
  <c r="AW137" i="4"/>
  <c r="AV137" i="4"/>
  <c r="W149" i="28"/>
  <c r="X149" i="28"/>
  <c r="AP55" i="8"/>
  <c r="AV55" i="8" s="1"/>
  <c r="AO55" i="8"/>
  <c r="I27" i="31"/>
  <c r="AP8" i="8"/>
  <c r="AO8" i="8"/>
  <c r="AO20" i="8"/>
  <c r="AP20" i="8"/>
  <c r="AW19" i="4"/>
  <c r="AV19" i="4"/>
  <c r="X94" i="28"/>
  <c r="W94" i="28"/>
  <c r="AO17" i="8"/>
  <c r="AP17" i="8"/>
  <c r="AW161" i="4"/>
  <c r="AV161" i="4"/>
  <c r="X139" i="28"/>
  <c r="W139" i="28"/>
  <c r="AO19" i="8"/>
  <c r="AW146" i="4"/>
  <c r="AV98" i="4"/>
  <c r="AV189" i="4"/>
  <c r="AV29" i="4"/>
  <c r="X124" i="28"/>
  <c r="W170" i="28"/>
  <c r="AW33" i="4"/>
  <c r="AW160" i="4"/>
  <c r="AV8" i="4"/>
  <c r="AW165" i="4"/>
  <c r="W179" i="28"/>
  <c r="W262" i="28"/>
  <c r="X262" i="28"/>
  <c r="W134" i="28"/>
  <c r="AV52" i="4"/>
  <c r="AW52" i="4"/>
  <c r="W65" i="28"/>
  <c r="X65" i="28"/>
  <c r="X80" i="28"/>
  <c r="X46" i="28"/>
  <c r="AV159" i="4"/>
  <c r="AW166" i="4"/>
  <c r="AV210" i="4"/>
  <c r="AV77" i="4"/>
  <c r="X188" i="28"/>
  <c r="W144" i="28"/>
  <c r="X64" i="28"/>
  <c r="AO32" i="8"/>
  <c r="AV88" i="4"/>
  <c r="AW62" i="4"/>
  <c r="W207" i="28"/>
  <c r="X207" i="28"/>
  <c r="W142" i="28"/>
  <c r="X142" i="28"/>
  <c r="X72" i="28"/>
  <c r="W95" i="28"/>
  <c r="X95" i="28"/>
  <c r="X275" i="28"/>
  <c r="X255" i="28"/>
  <c r="AV111" i="4"/>
  <c r="AW111" i="4"/>
  <c r="AV4" i="4"/>
  <c r="AV209" i="4"/>
  <c r="X205" i="28"/>
  <c r="X291" i="28"/>
  <c r="X314" i="28"/>
  <c r="W293" i="28"/>
  <c r="AV59" i="4"/>
  <c r="AW59" i="4"/>
  <c r="AV48" i="4"/>
  <c r="AW207" i="4"/>
  <c r="AV207" i="4"/>
  <c r="AW214" i="4"/>
  <c r="AV214" i="4"/>
  <c r="AV90" i="4"/>
  <c r="AW90" i="4"/>
  <c r="AW117" i="4"/>
  <c r="AV117" i="4"/>
  <c r="X114" i="28"/>
  <c r="W114" i="28"/>
  <c r="W52" i="28"/>
  <c r="X52" i="28"/>
  <c r="W126" i="28"/>
  <c r="X126" i="28"/>
  <c r="AW123" i="4"/>
  <c r="AV123" i="4"/>
  <c r="AV199" i="4"/>
  <c r="AV26" i="4"/>
  <c r="X121" i="28"/>
  <c r="W234" i="28"/>
  <c r="AV156" i="4"/>
  <c r="AW156" i="4"/>
  <c r="X115" i="28"/>
  <c r="W115" i="28"/>
  <c r="W160" i="28"/>
  <c r="X160" i="28"/>
  <c r="X10" i="28"/>
  <c r="W10" i="28"/>
  <c r="AV153" i="4"/>
  <c r="AV195" i="4"/>
  <c r="AW181" i="4"/>
  <c r="W191" i="28"/>
  <c r="AP28" i="8"/>
  <c r="AV85" i="4"/>
  <c r="AV216" i="4"/>
  <c r="AW216" i="4"/>
  <c r="W213" i="28"/>
  <c r="X213" i="28"/>
  <c r="W192" i="28"/>
  <c r="X192" i="28"/>
  <c r="W148" i="28"/>
  <c r="W143" i="28"/>
  <c r="D114" i="14" l="1"/>
  <c r="E114" i="14"/>
  <c r="G131" i="14"/>
  <c r="H131" i="14"/>
  <c r="C131" i="14"/>
  <c r="F93" i="14"/>
  <c r="G93" i="14"/>
  <c r="C93" i="14"/>
  <c r="H93" i="14"/>
  <c r="B151" i="14"/>
  <c r="B190" i="14" s="1"/>
  <c r="B229" i="14" s="1"/>
  <c r="B268" i="14" s="1"/>
  <c r="E112" i="14"/>
  <c r="D112" i="14"/>
  <c r="AP44" i="8"/>
  <c r="AO44" i="8"/>
  <c r="AO41" i="8"/>
  <c r="AP41" i="8"/>
  <c r="AP49" i="8"/>
  <c r="AO49" i="8"/>
  <c r="AP51" i="8"/>
  <c r="AO51" i="8"/>
  <c r="AP46" i="8"/>
  <c r="AO46" i="8"/>
  <c r="AP48" i="8"/>
  <c r="AO48" i="8"/>
  <c r="AP43" i="8"/>
  <c r="AO43" i="8"/>
  <c r="AP42" i="8"/>
  <c r="AO42" i="8"/>
  <c r="AP50" i="8"/>
  <c r="AO50" i="8"/>
  <c r="AP45" i="8"/>
  <c r="AO45" i="8"/>
  <c r="AP47" i="8"/>
  <c r="AO47" i="8"/>
  <c r="AP52" i="8"/>
  <c r="AO52" i="8"/>
  <c r="AO15" i="8"/>
  <c r="AO59" i="8"/>
  <c r="AO40" i="8"/>
  <c r="AO25" i="8"/>
  <c r="AO56" i="8"/>
  <c r="AO54" i="8"/>
  <c r="X58" i="28"/>
  <c r="AW6" i="4"/>
  <c r="W186" i="28"/>
  <c r="AW129" i="4"/>
  <c r="AV119" i="4"/>
  <c r="X173" i="28"/>
  <c r="AV155" i="4"/>
  <c r="AV10" i="4"/>
  <c r="AV55" i="4"/>
  <c r="AV194" i="4"/>
  <c r="AW128" i="4"/>
  <c r="W309" i="28"/>
  <c r="X164" i="28"/>
  <c r="AO31" i="8"/>
  <c r="W312" i="28"/>
  <c r="AV95" i="4"/>
  <c r="AV110" i="4"/>
  <c r="AV176" i="4"/>
  <c r="I37" i="31"/>
  <c r="AW47" i="4"/>
  <c r="W138" i="28"/>
  <c r="AV22" i="4"/>
  <c r="X226" i="28"/>
  <c r="AP30" i="8"/>
  <c r="W141" i="28"/>
  <c r="X200" i="28"/>
  <c r="AW203" i="4"/>
  <c r="AW133" i="4"/>
  <c r="W294" i="28"/>
  <c r="AP5" i="8"/>
  <c r="W11" i="28"/>
  <c r="AW201" i="4"/>
  <c r="AV54" i="4"/>
  <c r="AP24" i="8"/>
  <c r="X263" i="28"/>
  <c r="AW3" i="4"/>
  <c r="AV16" i="4"/>
  <c r="AV164" i="4"/>
  <c r="W119" i="28"/>
  <c r="AV113" i="4"/>
  <c r="X237" i="28"/>
  <c r="AO5" i="8"/>
  <c r="AW142" i="4"/>
  <c r="AP23" i="8"/>
  <c r="W171" i="28"/>
  <c r="AV130" i="4"/>
  <c r="AP36" i="8"/>
  <c r="AW49" i="4"/>
  <c r="X104" i="28"/>
  <c r="AO12" i="8"/>
  <c r="AW100" i="4"/>
  <c r="AO64" i="8"/>
  <c r="AV204" i="4"/>
  <c r="AP61" i="8"/>
  <c r="X241" i="28"/>
  <c r="AV20" i="4"/>
  <c r="AV58" i="4"/>
  <c r="AV103" i="4"/>
  <c r="AV125" i="4"/>
  <c r="AW118" i="4"/>
  <c r="AV157" i="4"/>
  <c r="W156" i="28"/>
  <c r="X44" i="28"/>
  <c r="W274" i="28"/>
  <c r="AV106" i="4"/>
  <c r="W17" i="16"/>
  <c r="AP37" i="8"/>
  <c r="W28" i="28"/>
  <c r="AV14" i="4"/>
  <c r="AP21" i="8"/>
  <c r="I26" i="31"/>
  <c r="W209" i="28"/>
  <c r="AV76" i="4"/>
  <c r="AW39" i="4"/>
  <c r="AW30" i="4"/>
  <c r="X174" i="28"/>
  <c r="AP16" i="8"/>
  <c r="X201" i="28"/>
  <c r="W246" i="28"/>
  <c r="AO6" i="8"/>
  <c r="AV200" i="4"/>
  <c r="AW81" i="4"/>
  <c r="AO26" i="8"/>
  <c r="AV140" i="4"/>
  <c r="AV9" i="4"/>
  <c r="W162" i="28"/>
  <c r="AW78" i="4"/>
  <c r="X106" i="28"/>
  <c r="W153" i="28"/>
  <c r="AO63" i="8"/>
  <c r="AO23" i="8"/>
  <c r="AO60" i="8"/>
  <c r="X37" i="28"/>
  <c r="X33" i="28"/>
  <c r="X233" i="28"/>
  <c r="AV139" i="4"/>
  <c r="W300" i="28"/>
  <c r="X185" i="28"/>
  <c r="AL62" i="8"/>
  <c r="AN62" i="8" s="1"/>
  <c r="AP62" i="8" s="1"/>
  <c r="AK62" i="8"/>
  <c r="C661" i="12"/>
  <c r="B796" i="12"/>
  <c r="C377" i="12"/>
  <c r="B512" i="12"/>
  <c r="C1202" i="12"/>
  <c r="A1337" i="12"/>
  <c r="C513" i="12"/>
  <c r="B648" i="12"/>
  <c r="B1081" i="12"/>
  <c r="C946" i="12"/>
  <c r="B1506" i="12"/>
  <c r="C1371" i="12"/>
  <c r="B850" i="12"/>
  <c r="C715" i="12"/>
  <c r="B293" i="12"/>
  <c r="C158" i="12"/>
  <c r="B680" i="12"/>
  <c r="C545" i="12"/>
  <c r="B876" i="12"/>
  <c r="C741" i="12"/>
  <c r="A186" i="14"/>
  <c r="C121" i="14"/>
  <c r="I121" i="14"/>
  <c r="D121" i="14"/>
  <c r="E121" i="14"/>
  <c r="H121" i="14"/>
  <c r="G121" i="14"/>
  <c r="A160" i="14"/>
  <c r="B2056" i="12"/>
  <c r="C1921" i="12"/>
  <c r="B413" i="12"/>
  <c r="C278" i="12"/>
  <c r="AW193" i="4"/>
  <c r="AW17" i="4"/>
  <c r="F121" i="14"/>
  <c r="B420" i="12"/>
  <c r="C285" i="12"/>
  <c r="C926" i="12"/>
  <c r="B1061" i="12"/>
  <c r="B653" i="12"/>
  <c r="C518" i="12"/>
  <c r="B144" i="14"/>
  <c r="E105" i="14"/>
  <c r="I105" i="14"/>
  <c r="D105" i="14"/>
  <c r="C105" i="14"/>
  <c r="H105" i="14"/>
  <c r="F105" i="14"/>
  <c r="AV144" i="4"/>
  <c r="AV31" i="4"/>
  <c r="AW91" i="4"/>
  <c r="B1324" i="12"/>
  <c r="C1189" i="12"/>
  <c r="H85" i="14"/>
  <c r="C85" i="14"/>
  <c r="D85" i="14"/>
  <c r="G85" i="14"/>
  <c r="B124" i="14"/>
  <c r="F85" i="14"/>
  <c r="E85" i="14"/>
  <c r="I85" i="14"/>
  <c r="A538" i="12"/>
  <c r="C403" i="12"/>
  <c r="B421" i="12"/>
  <c r="C286" i="12"/>
  <c r="B720" i="12"/>
  <c r="C585" i="12"/>
  <c r="C114" i="14"/>
  <c r="C667" i="12"/>
  <c r="B802" i="12"/>
  <c r="AV99" i="4"/>
  <c r="AP12" i="8"/>
  <c r="X254" i="28"/>
  <c r="AW135" i="4"/>
  <c r="AW37" i="4"/>
  <c r="W273" i="28"/>
  <c r="X125" i="28"/>
  <c r="AV162" i="4"/>
  <c r="B635" i="12"/>
  <c r="C500" i="12"/>
  <c r="B697" i="12"/>
  <c r="C562" i="12"/>
  <c r="B235" i="14"/>
  <c r="B274" i="14" s="1"/>
  <c r="I196" i="14"/>
  <c r="G196" i="14"/>
  <c r="C1037" i="12"/>
  <c r="B1172" i="12"/>
  <c r="B948" i="12"/>
  <c r="C813" i="12"/>
  <c r="B487" i="12"/>
  <c r="C352" i="12"/>
  <c r="B306" i="12"/>
  <c r="C171" i="12"/>
  <c r="A145" i="14"/>
  <c r="I106" i="14"/>
  <c r="E106" i="14"/>
  <c r="C106" i="14"/>
  <c r="H106" i="14"/>
  <c r="G106" i="14"/>
  <c r="D106" i="14"/>
  <c r="H86" i="14"/>
  <c r="G86" i="14"/>
  <c r="A125" i="14"/>
  <c r="F86" i="14"/>
  <c r="C86" i="14"/>
  <c r="D86" i="14"/>
  <c r="I86" i="14"/>
  <c r="E86" i="14"/>
  <c r="C133" i="14"/>
  <c r="I133" i="14"/>
  <c r="F133" i="14"/>
  <c r="H133" i="14"/>
  <c r="A172" i="14"/>
  <c r="G133" i="14"/>
  <c r="D133" i="14"/>
  <c r="E133" i="14"/>
  <c r="H254" i="14"/>
  <c r="I254" i="14"/>
  <c r="E254" i="14"/>
  <c r="G254" i="14"/>
  <c r="C254" i="14"/>
  <c r="D254" i="14"/>
  <c r="H161" i="14"/>
  <c r="D161" i="14"/>
  <c r="C161" i="14"/>
  <c r="A200" i="14"/>
  <c r="G161" i="14"/>
  <c r="F161" i="14"/>
  <c r="E161" i="14"/>
  <c r="I161" i="14"/>
  <c r="B854" i="12"/>
  <c r="C719" i="12"/>
  <c r="B608" i="12"/>
  <c r="C473" i="12"/>
  <c r="C452" i="12"/>
  <c r="B587" i="12"/>
  <c r="B3497" i="12"/>
  <c r="I112" i="14"/>
  <c r="A209" i="14"/>
  <c r="A171" i="14"/>
  <c r="F135" i="14"/>
  <c r="D135" i="14"/>
  <c r="C135" i="14"/>
  <c r="B174" i="14"/>
  <c r="H135" i="14"/>
  <c r="E135" i="14"/>
  <c r="I135" i="14"/>
  <c r="G135" i="14"/>
  <c r="L9" i="5"/>
  <c r="L3" i="5"/>
  <c r="L6" i="5"/>
  <c r="L5" i="5"/>
  <c r="L10" i="5"/>
  <c r="L7" i="5"/>
  <c r="L8" i="5"/>
  <c r="L4" i="5"/>
  <c r="M2" i="5"/>
  <c r="W244" i="28"/>
  <c r="B1113" i="12"/>
  <c r="C978" i="12"/>
  <c r="A206" i="14"/>
  <c r="A138" i="14"/>
  <c r="C99" i="14"/>
  <c r="G99" i="14"/>
  <c r="E99" i="14"/>
  <c r="D99" i="14"/>
  <c r="H99" i="14"/>
  <c r="I99" i="14"/>
  <c r="B1866" i="12"/>
  <c r="C1731" i="12"/>
  <c r="B731" i="12"/>
  <c r="C596" i="12"/>
  <c r="B828" i="12"/>
  <c r="C693" i="12"/>
  <c r="A192" i="14"/>
  <c r="AP14" i="8"/>
  <c r="AO29" i="8"/>
  <c r="AV116" i="4"/>
  <c r="B153" i="14"/>
  <c r="I114" i="14"/>
  <c r="G142" i="14"/>
  <c r="A181" i="14"/>
  <c r="I142" i="14"/>
  <c r="C142" i="14"/>
  <c r="E142" i="14"/>
  <c r="H142" i="14"/>
  <c r="D142" i="14"/>
  <c r="B964" i="12"/>
  <c r="C829" i="12"/>
  <c r="B650" i="12"/>
  <c r="C515" i="12"/>
  <c r="C287" i="12"/>
  <c r="B422" i="12"/>
  <c r="B1610" i="12"/>
  <c r="C1475" i="12"/>
  <c r="B1892" i="12"/>
  <c r="F142" i="14"/>
  <c r="B718" i="12"/>
  <c r="C583" i="12"/>
  <c r="A156" i="14"/>
  <c r="D117" i="14"/>
  <c r="I117" i="14"/>
  <c r="C117" i="14"/>
  <c r="G117" i="14"/>
  <c r="E117" i="14"/>
  <c r="H117" i="14"/>
  <c r="F117" i="14"/>
  <c r="G205" i="14"/>
  <c r="D205" i="14"/>
  <c r="C205" i="14"/>
  <c r="A244" i="14"/>
  <c r="H205" i="14"/>
  <c r="E205" i="14"/>
  <c r="I205" i="14"/>
  <c r="F205" i="14"/>
  <c r="C588" i="12"/>
  <c r="B723" i="12"/>
  <c r="A158" i="14"/>
  <c r="G149" i="14"/>
  <c r="D149" i="14"/>
  <c r="A188" i="14"/>
  <c r="I149" i="14"/>
  <c r="C149" i="14"/>
  <c r="H149" i="14"/>
  <c r="E149" i="14"/>
  <c r="F149" i="14"/>
  <c r="B593" i="12"/>
  <c r="C458" i="12"/>
  <c r="B451" i="12"/>
  <c r="C316" i="12"/>
  <c r="C290" i="12"/>
  <c r="B425" i="12"/>
  <c r="B1454" i="12"/>
  <c r="C1319" i="12"/>
  <c r="C736" i="12"/>
  <c r="B871" i="12"/>
  <c r="AW12" i="4"/>
  <c r="AW87" i="4"/>
  <c r="X23" i="28"/>
  <c r="AW108" i="4"/>
  <c r="X63" i="28"/>
  <c r="AV57" i="4"/>
  <c r="AW40" i="4"/>
  <c r="AW28" i="4"/>
  <c r="X79" i="28"/>
  <c r="AW148" i="4"/>
  <c r="AV61" i="4"/>
  <c r="AW71" i="4"/>
  <c r="B477" i="12"/>
  <c r="C342" i="12"/>
  <c r="B281" i="12"/>
  <c r="C146" i="12"/>
  <c r="C334" i="12"/>
  <c r="B469" i="12"/>
  <c r="B132" i="14"/>
  <c r="I93" i="14"/>
  <c r="E93" i="14"/>
  <c r="B400" i="12"/>
  <c r="C265" i="12"/>
  <c r="B523" i="12"/>
  <c r="C388" i="12"/>
  <c r="B869" i="12"/>
  <c r="C734" i="12"/>
  <c r="A207" i="14"/>
  <c r="H168" i="14"/>
  <c r="C168" i="14"/>
  <c r="F168" i="14"/>
  <c r="I168" i="14"/>
  <c r="G168" i="14"/>
  <c r="E168" i="14"/>
  <c r="D168" i="14"/>
  <c r="C339" i="12"/>
  <c r="B474" i="12"/>
  <c r="D93" i="14"/>
  <c r="B792" i="12"/>
  <c r="C657" i="12"/>
  <c r="B298" i="12"/>
  <c r="C163" i="12"/>
  <c r="C572" i="12"/>
  <c r="B707" i="12"/>
  <c r="H130" i="14"/>
  <c r="F130" i="14"/>
  <c r="E130" i="14"/>
  <c r="C130" i="14"/>
  <c r="I130" i="14"/>
  <c r="G130" i="14"/>
  <c r="B169" i="14"/>
  <c r="D130" i="14"/>
  <c r="C623" i="12"/>
  <c r="B758" i="12"/>
  <c r="G105" i="14"/>
  <c r="B390" i="12"/>
  <c r="C255" i="12"/>
  <c r="B439" i="12"/>
  <c r="C304" i="12"/>
  <c r="B462" i="12"/>
  <c r="C327" i="12"/>
  <c r="B924" i="12"/>
  <c r="C789" i="12"/>
  <c r="G114" i="14"/>
  <c r="C508" i="12"/>
  <c r="B643" i="12"/>
  <c r="C631" i="12"/>
  <c r="B766" i="12"/>
  <c r="C859" i="12"/>
  <c r="B994" i="12"/>
  <c r="C112" i="14"/>
  <c r="F89" i="14"/>
  <c r="C235" i="12"/>
  <c r="B370" i="12"/>
  <c r="B351" i="12"/>
  <c r="C216" i="12"/>
  <c r="C140" i="14"/>
  <c r="H140" i="14"/>
  <c r="G140" i="14"/>
  <c r="F140" i="14"/>
  <c r="I140" i="14"/>
  <c r="A179" i="14"/>
  <c r="D140" i="14"/>
  <c r="E140" i="14"/>
  <c r="G235" i="14"/>
  <c r="F235" i="14"/>
  <c r="A274" i="14"/>
  <c r="B414" i="12"/>
  <c r="C279" i="12"/>
  <c r="B467" i="12"/>
  <c r="C332" i="12"/>
  <c r="C447" i="12"/>
  <c r="B582" i="12"/>
  <c r="C579" i="12"/>
  <c r="B714" i="12"/>
  <c r="B517" i="12"/>
  <c r="C382" i="12"/>
  <c r="E151" i="14"/>
  <c r="A190" i="14"/>
  <c r="I151" i="14"/>
  <c r="C151" i="14"/>
  <c r="H151" i="14"/>
  <c r="D151" i="14"/>
  <c r="G151" i="14"/>
  <c r="F151" i="14"/>
  <c r="C170" i="12"/>
  <c r="B305" i="12"/>
  <c r="B1889" i="12"/>
  <c r="C1754" i="12"/>
  <c r="F191" i="14"/>
  <c r="C191" i="14"/>
  <c r="E191" i="14"/>
  <c r="D191" i="14"/>
  <c r="H191" i="14"/>
  <c r="A230" i="14"/>
  <c r="G191" i="14"/>
  <c r="I191" i="14"/>
  <c r="B367" i="12"/>
  <c r="C232" i="12"/>
  <c r="B1984" i="12"/>
  <c r="C1849" i="12"/>
  <c r="B529" i="12"/>
  <c r="C394" i="12"/>
  <c r="C459" i="12"/>
  <c r="B594" i="12"/>
  <c r="W236" i="28"/>
  <c r="B328" i="12"/>
  <c r="C193" i="12"/>
  <c r="K103" i="5"/>
  <c r="K109" i="5"/>
  <c r="K106" i="5"/>
  <c r="K104" i="5"/>
  <c r="K110" i="5"/>
  <c r="K107" i="5"/>
  <c r="K105" i="5"/>
  <c r="K108" i="5"/>
  <c r="C146" i="14"/>
  <c r="A185" i="14"/>
  <c r="G146" i="14"/>
  <c r="E146" i="14"/>
  <c r="H146" i="14"/>
  <c r="I146" i="14"/>
  <c r="D146" i="14"/>
  <c r="C300" i="12"/>
  <c r="B435" i="12"/>
  <c r="B470" i="12"/>
  <c r="C335" i="12"/>
  <c r="C763" i="12"/>
  <c r="B898" i="12"/>
  <c r="F114" i="14"/>
  <c r="B1632" i="12"/>
  <c r="C1497" i="12"/>
  <c r="AV121" i="4"/>
  <c r="W184" i="28"/>
  <c r="A136" i="14"/>
  <c r="I97" i="14"/>
  <c r="D97" i="14"/>
  <c r="H97" i="14"/>
  <c r="C97" i="14"/>
  <c r="G97" i="14"/>
  <c r="E97" i="14"/>
  <c r="F97" i="14"/>
  <c r="B636" i="12"/>
  <c r="C501" i="12"/>
  <c r="B748" i="12"/>
  <c r="C613" i="12"/>
  <c r="B1451" i="12"/>
  <c r="C1316" i="12"/>
  <c r="C228" i="12"/>
  <c r="B363" i="12"/>
  <c r="B971" i="12"/>
  <c r="C836" i="12"/>
  <c r="AV68" i="4"/>
  <c r="AO4" i="8"/>
  <c r="X197" i="28"/>
  <c r="AV75" i="4"/>
  <c r="W161" i="28"/>
  <c r="AP27" i="8"/>
  <c r="X219" i="28"/>
  <c r="W250" i="28"/>
  <c r="X248" i="28"/>
  <c r="E17" i="16"/>
  <c r="F99" i="14"/>
  <c r="H111" i="14"/>
  <c r="D111" i="14"/>
  <c r="G111" i="14"/>
  <c r="E111" i="14"/>
  <c r="A150" i="14"/>
  <c r="I111" i="14"/>
  <c r="C111" i="14"/>
  <c r="C241" i="12"/>
  <c r="B376" i="12"/>
  <c r="B619" i="12"/>
  <c r="C484" i="12"/>
  <c r="B307" i="12"/>
  <c r="C172" i="12"/>
  <c r="C139" i="12"/>
  <c r="B274" i="12"/>
  <c r="B595" i="12"/>
  <c r="C460" i="12"/>
  <c r="C321" i="12"/>
  <c r="B456" i="12"/>
  <c r="G148" i="14"/>
  <c r="D148" i="14"/>
  <c r="I148" i="14"/>
  <c r="E148" i="14"/>
  <c r="F148" i="14"/>
  <c r="C148" i="14"/>
  <c r="H148" i="14"/>
  <c r="A187" i="14"/>
  <c r="B147" i="14"/>
  <c r="E108" i="14"/>
  <c r="B699" i="12"/>
  <c r="C564" i="12"/>
  <c r="B178" i="14"/>
  <c r="C139" i="14"/>
  <c r="I139" i="14"/>
  <c r="G139" i="14"/>
  <c r="C578" i="12"/>
  <c r="B713" i="12"/>
  <c r="A542" i="12"/>
  <c r="C407" i="12"/>
  <c r="B277" i="12"/>
  <c r="C142" i="12"/>
  <c r="C494" i="12"/>
  <c r="B629" i="12"/>
  <c r="H114" i="14"/>
  <c r="B862" i="12"/>
  <c r="C727" i="12"/>
  <c r="C550" i="12"/>
  <c r="B685" i="12"/>
  <c r="B193" i="14"/>
  <c r="D154" i="14"/>
  <c r="I154" i="14"/>
  <c r="C154" i="14"/>
  <c r="G154" i="14"/>
  <c r="E154" i="14"/>
  <c r="F154" i="14"/>
  <c r="H154" i="14"/>
  <c r="B1343" i="12"/>
  <c r="C1208" i="12"/>
  <c r="B201" i="14"/>
  <c r="C162" i="14"/>
  <c r="G162" i="14"/>
  <c r="D162" i="14"/>
  <c r="E162" i="14"/>
  <c r="H162" i="14"/>
  <c r="A272" i="14"/>
  <c r="H233" i="14"/>
  <c r="D233" i="14"/>
  <c r="C233" i="14"/>
  <c r="F233" i="14"/>
  <c r="G233" i="14"/>
  <c r="I233" i="14"/>
  <c r="E233" i="14"/>
  <c r="G112" i="14"/>
  <c r="B1080" i="12"/>
  <c r="C945" i="12"/>
  <c r="C753" i="12"/>
  <c r="B888" i="12"/>
  <c r="B655" i="12"/>
  <c r="C520" i="12"/>
  <c r="B368" i="12"/>
  <c r="C233" i="12"/>
  <c r="B119" i="14"/>
  <c r="B158" i="14" s="1"/>
  <c r="B197" i="14" s="1"/>
  <c r="B236" i="14" s="1"/>
  <c r="E80" i="14"/>
  <c r="C80" i="14"/>
  <c r="D80" i="14"/>
  <c r="I80" i="14"/>
  <c r="B492" i="12"/>
  <c r="C357" i="12"/>
  <c r="A222" i="14"/>
  <c r="B565" i="12"/>
  <c r="C430" i="12"/>
  <c r="H80" i="14"/>
  <c r="B1590" i="12"/>
  <c r="C95" i="14"/>
  <c r="H95" i="14"/>
  <c r="A134" i="14"/>
  <c r="G95" i="14"/>
  <c r="D95" i="14"/>
  <c r="I95" i="14"/>
  <c r="E95" i="14"/>
  <c r="A126" i="14"/>
  <c r="H87" i="14"/>
  <c r="C87" i="14"/>
  <c r="G87" i="14"/>
  <c r="I87" i="14"/>
  <c r="F87" i="14"/>
  <c r="E87" i="14"/>
  <c r="D87" i="14"/>
  <c r="B1044" i="12"/>
  <c r="C909" i="12"/>
  <c r="A1185" i="12"/>
  <c r="C1050" i="12"/>
  <c r="B1469" i="12"/>
  <c r="C1334" i="12"/>
  <c r="B393" i="12"/>
  <c r="C258" i="12"/>
  <c r="W182" i="28"/>
  <c r="X289" i="28"/>
  <c r="B801" i="12"/>
  <c r="C666" i="12"/>
  <c r="B490" i="12"/>
  <c r="C355" i="12"/>
  <c r="B1074" i="12"/>
  <c r="C939" i="12"/>
  <c r="B554" i="12"/>
  <c r="C419" i="12"/>
  <c r="B446" i="12"/>
  <c r="C311" i="12"/>
  <c r="B372" i="12"/>
  <c r="C237" i="12"/>
  <c r="B2563" i="12"/>
  <c r="F95" i="14"/>
  <c r="B537" i="12"/>
  <c r="C402" i="12"/>
  <c r="B337" i="12"/>
  <c r="C202" i="12"/>
  <c r="B611" i="12"/>
  <c r="C476" i="12"/>
  <c r="C345" i="12"/>
  <c r="B480" i="12"/>
  <c r="G102" i="14"/>
  <c r="D102" i="14"/>
  <c r="H102" i="14"/>
  <c r="A141" i="14"/>
  <c r="C102" i="14"/>
  <c r="E102" i="14"/>
  <c r="I102" i="14"/>
  <c r="W187" i="28"/>
  <c r="AW34" i="4"/>
  <c r="AV122" i="4"/>
  <c r="AW124" i="4"/>
  <c r="W221" i="28"/>
  <c r="AV23" i="4"/>
  <c r="F80" i="14"/>
  <c r="F153" i="14"/>
  <c r="B958" i="12"/>
  <c r="C823" i="12"/>
  <c r="B170" i="14"/>
  <c r="D131" i="14"/>
  <c r="I131" i="14"/>
  <c r="E131" i="14"/>
  <c r="F131" i="14"/>
  <c r="H143" i="14"/>
  <c r="F143" i="14"/>
  <c r="C143" i="14"/>
  <c r="E143" i="14"/>
  <c r="D143" i="14"/>
  <c r="I143" i="14"/>
  <c r="A182" i="14"/>
  <c r="G143" i="14"/>
  <c r="B704" i="12"/>
  <c r="C569" i="12"/>
  <c r="C616" i="12"/>
  <c r="B751" i="12"/>
  <c r="I89" i="14"/>
  <c r="D89" i="14"/>
  <c r="C89" i="14"/>
  <c r="E89" i="14"/>
  <c r="B128" i="14"/>
  <c r="G89" i="14"/>
  <c r="H89" i="14"/>
  <c r="B546" i="12"/>
  <c r="C411" i="12"/>
  <c r="C432" i="12"/>
  <c r="B567" i="12"/>
  <c r="B749" i="12"/>
  <c r="C614" i="12"/>
  <c r="B630" i="12"/>
  <c r="C495" i="12"/>
  <c r="B896" i="12"/>
  <c r="C761" i="12"/>
  <c r="H81" i="14"/>
  <c r="G81" i="14"/>
  <c r="D81" i="14"/>
  <c r="E81" i="14"/>
  <c r="C81" i="14"/>
  <c r="A120" i="14"/>
  <c r="I81" i="14"/>
  <c r="B755" i="12"/>
  <c r="C620" i="12"/>
  <c r="B489" i="12"/>
  <c r="C354" i="12"/>
  <c r="B873" i="12"/>
  <c r="C738" i="12"/>
  <c r="C482" i="12"/>
  <c r="B617" i="12"/>
  <c r="B610" i="12"/>
  <c r="C475" i="12"/>
  <c r="B671" i="12"/>
  <c r="C536" i="12"/>
  <c r="C735" i="12"/>
  <c r="B870" i="12"/>
  <c r="H112" i="14"/>
  <c r="C725" i="12"/>
  <c r="B860" i="12"/>
  <c r="AO2" i="8"/>
  <c r="AP2" i="8"/>
  <c r="B209" i="14" l="1"/>
  <c r="B248" i="14" s="1"/>
  <c r="G170" i="14"/>
  <c r="H170" i="14"/>
  <c r="E170" i="14"/>
  <c r="B186" i="14"/>
  <c r="B225" i="14" s="1"/>
  <c r="B264" i="14" s="1"/>
  <c r="I147" i="14"/>
  <c r="E147" i="14"/>
  <c r="D147" i="14"/>
  <c r="B171" i="14"/>
  <c r="B210" i="14" s="1"/>
  <c r="B249" i="14" s="1"/>
  <c r="G132" i="14"/>
  <c r="B192" i="14"/>
  <c r="B231" i="14" s="1"/>
  <c r="B270" i="14" s="1"/>
  <c r="H153" i="14"/>
  <c r="D153" i="14"/>
  <c r="C153" i="14"/>
  <c r="C414" i="12"/>
  <c r="B549" i="12"/>
  <c r="B612" i="12"/>
  <c r="C477" i="12"/>
  <c r="C1454" i="12"/>
  <c r="B1589" i="12"/>
  <c r="I156" i="14"/>
  <c r="F156" i="14"/>
  <c r="C156" i="14"/>
  <c r="H156" i="14"/>
  <c r="E156" i="14"/>
  <c r="A195" i="14"/>
  <c r="D156" i="14"/>
  <c r="G156" i="14"/>
  <c r="A231" i="14"/>
  <c r="E192" i="14"/>
  <c r="I192" i="14"/>
  <c r="D192" i="14"/>
  <c r="H192" i="14"/>
  <c r="G192" i="14"/>
  <c r="F192" i="14"/>
  <c r="C192" i="14"/>
  <c r="A210" i="14"/>
  <c r="H171" i="14"/>
  <c r="E171" i="14"/>
  <c r="G171" i="14"/>
  <c r="F171" i="14"/>
  <c r="D171" i="14"/>
  <c r="I171" i="14"/>
  <c r="C171" i="14"/>
  <c r="C2056" i="12"/>
  <c r="B2191" i="12"/>
  <c r="C512" i="12"/>
  <c r="B647" i="12"/>
  <c r="B806" i="12"/>
  <c r="C671" i="12"/>
  <c r="B746" i="12"/>
  <c r="C611" i="12"/>
  <c r="B700" i="12"/>
  <c r="C565" i="12"/>
  <c r="B1586" i="12"/>
  <c r="C1451" i="12"/>
  <c r="B1767" i="12"/>
  <c r="C1632" i="12"/>
  <c r="B463" i="12"/>
  <c r="C328" i="12"/>
  <c r="F207" i="14"/>
  <c r="E207" i="14"/>
  <c r="A246" i="14"/>
  <c r="G207" i="14"/>
  <c r="I207" i="14"/>
  <c r="C207" i="14"/>
  <c r="D207" i="14"/>
  <c r="H207" i="14"/>
  <c r="B560" i="12"/>
  <c r="C425" i="12"/>
  <c r="B441" i="12"/>
  <c r="C306" i="12"/>
  <c r="B1459" i="12"/>
  <c r="C1324" i="12"/>
  <c r="B555" i="12"/>
  <c r="C420" i="12"/>
  <c r="H160" i="14"/>
  <c r="C160" i="14"/>
  <c r="I160" i="14"/>
  <c r="A199" i="14"/>
  <c r="F160" i="14"/>
  <c r="G160" i="14"/>
  <c r="E160" i="14"/>
  <c r="D160" i="14"/>
  <c r="B1641" i="12"/>
  <c r="C1506" i="12"/>
  <c r="B507" i="12"/>
  <c r="C372" i="12"/>
  <c r="B503" i="12"/>
  <c r="C368" i="12"/>
  <c r="B409" i="12"/>
  <c r="C274" i="12"/>
  <c r="B502" i="12"/>
  <c r="C367" i="12"/>
  <c r="F119" i="14"/>
  <c r="C718" i="12"/>
  <c r="B853" i="12"/>
  <c r="G134" i="14"/>
  <c r="A173" i="14"/>
  <c r="H134" i="14"/>
  <c r="C134" i="14"/>
  <c r="E134" i="14"/>
  <c r="D134" i="14"/>
  <c r="I134" i="14"/>
  <c r="F134" i="14"/>
  <c r="B883" i="12"/>
  <c r="C748" i="12"/>
  <c r="B1033" i="12"/>
  <c r="C898" i="12"/>
  <c r="E179" i="14"/>
  <c r="F179" i="14"/>
  <c r="I179" i="14"/>
  <c r="G179" i="14"/>
  <c r="H179" i="14"/>
  <c r="C179" i="14"/>
  <c r="A218" i="14"/>
  <c r="D179" i="14"/>
  <c r="B778" i="12"/>
  <c r="C643" i="12"/>
  <c r="C439" i="12"/>
  <c r="B574" i="12"/>
  <c r="B785" i="12"/>
  <c r="C650" i="12"/>
  <c r="I181" i="14"/>
  <c r="D181" i="14"/>
  <c r="H181" i="14"/>
  <c r="E181" i="14"/>
  <c r="G181" i="14"/>
  <c r="A220" i="14"/>
  <c r="C181" i="14"/>
  <c r="F181" i="14"/>
  <c r="B622" i="12"/>
  <c r="C487" i="12"/>
  <c r="B752" i="12"/>
  <c r="C617" i="12"/>
  <c r="B581" i="12"/>
  <c r="C446" i="12"/>
  <c r="B936" i="12"/>
  <c r="C801" i="12"/>
  <c r="A1320" i="12"/>
  <c r="C1185" i="12"/>
  <c r="B790" i="12"/>
  <c r="C655" i="12"/>
  <c r="A677" i="12"/>
  <c r="C542" i="12"/>
  <c r="B834" i="12"/>
  <c r="C699" i="12"/>
  <c r="A189" i="14"/>
  <c r="D150" i="14"/>
  <c r="C150" i="14"/>
  <c r="E150" i="14"/>
  <c r="I150" i="14"/>
  <c r="H150" i="14"/>
  <c r="G150" i="14"/>
  <c r="F150" i="14"/>
  <c r="B2024" i="12"/>
  <c r="C1889" i="12"/>
  <c r="C235" i="14"/>
  <c r="B433" i="12"/>
  <c r="C298" i="12"/>
  <c r="B586" i="12"/>
  <c r="C451" i="12"/>
  <c r="H188" i="14"/>
  <c r="I188" i="14"/>
  <c r="D188" i="14"/>
  <c r="C188" i="14"/>
  <c r="A227" i="14"/>
  <c r="G188" i="14"/>
  <c r="F188" i="14"/>
  <c r="E188" i="14"/>
  <c r="E119" i="14"/>
  <c r="I153" i="14"/>
  <c r="B866" i="12"/>
  <c r="C731" i="12"/>
  <c r="H132" i="14"/>
  <c r="C170" i="14"/>
  <c r="B3632" i="12"/>
  <c r="F172" i="14"/>
  <c r="D172" i="14"/>
  <c r="G172" i="14"/>
  <c r="H172" i="14"/>
  <c r="E172" i="14"/>
  <c r="I172" i="14"/>
  <c r="A211" i="14"/>
  <c r="C172" i="14"/>
  <c r="B832" i="12"/>
  <c r="C697" i="12"/>
  <c r="F147" i="14"/>
  <c r="C648" i="12"/>
  <c r="B783" i="12"/>
  <c r="AO62" i="8"/>
  <c r="B884" i="12"/>
  <c r="C749" i="12"/>
  <c r="B528" i="12"/>
  <c r="C393" i="12"/>
  <c r="C1984" i="12"/>
  <c r="B2119" i="12"/>
  <c r="B652" i="12"/>
  <c r="C517" i="12"/>
  <c r="H182" i="14"/>
  <c r="E182" i="14"/>
  <c r="I182" i="14"/>
  <c r="C182" i="14"/>
  <c r="D182" i="14"/>
  <c r="A221" i="14"/>
  <c r="F182" i="14"/>
  <c r="G182" i="14"/>
  <c r="I272" i="14"/>
  <c r="D272" i="14"/>
  <c r="G272" i="14"/>
  <c r="H272" i="14"/>
  <c r="C272" i="14"/>
  <c r="E272" i="14"/>
  <c r="F272" i="14"/>
  <c r="C193" i="14"/>
  <c r="I193" i="14"/>
  <c r="D193" i="14"/>
  <c r="B232" i="14"/>
  <c r="H193" i="14"/>
  <c r="E193" i="14"/>
  <c r="G193" i="14"/>
  <c r="F193" i="14"/>
  <c r="B730" i="12"/>
  <c r="C595" i="12"/>
  <c r="B849" i="12"/>
  <c r="C714" i="12"/>
  <c r="H274" i="14"/>
  <c r="D274" i="14"/>
  <c r="G274" i="14"/>
  <c r="E274" i="14"/>
  <c r="C274" i="14"/>
  <c r="I274" i="14"/>
  <c r="F274" i="14"/>
  <c r="B901" i="12"/>
  <c r="C766" i="12"/>
  <c r="D186" i="14"/>
  <c r="G186" i="14"/>
  <c r="A225" i="14"/>
  <c r="H186" i="14"/>
  <c r="I186" i="14"/>
  <c r="E186" i="14"/>
  <c r="F186" i="14"/>
  <c r="C186" i="14"/>
  <c r="I141" i="14"/>
  <c r="F141" i="14"/>
  <c r="A180" i="14"/>
  <c r="E141" i="14"/>
  <c r="D141" i="14"/>
  <c r="H141" i="14"/>
  <c r="G141" i="14"/>
  <c r="C141" i="14"/>
  <c r="B625" i="12"/>
  <c r="C490" i="12"/>
  <c r="C1469" i="12"/>
  <c r="B1604" i="12"/>
  <c r="I169" i="14"/>
  <c r="B208" i="14"/>
  <c r="D169" i="14"/>
  <c r="F169" i="14"/>
  <c r="H169" i="14"/>
  <c r="C169" i="14"/>
  <c r="E169" i="14"/>
  <c r="G169" i="14"/>
  <c r="B963" i="12"/>
  <c r="C828" i="12"/>
  <c r="C610" i="12"/>
  <c r="B745" i="12"/>
  <c r="B472" i="12"/>
  <c r="C337" i="12"/>
  <c r="B505" i="12"/>
  <c r="C370" i="12"/>
  <c r="B855" i="12"/>
  <c r="C720" i="12"/>
  <c r="B183" i="14"/>
  <c r="I144" i="14"/>
  <c r="H144" i="14"/>
  <c r="F144" i="14"/>
  <c r="D144" i="14"/>
  <c r="G144" i="14"/>
  <c r="E144" i="14"/>
  <c r="C144" i="14"/>
  <c r="B1216" i="12"/>
  <c r="C1081" i="12"/>
  <c r="C896" i="12"/>
  <c r="B1031" i="12"/>
  <c r="B681" i="12"/>
  <c r="C546" i="12"/>
  <c r="B886" i="12"/>
  <c r="C751" i="12"/>
  <c r="A159" i="14"/>
  <c r="G120" i="14"/>
  <c r="E120" i="14"/>
  <c r="F120" i="14"/>
  <c r="I120" i="14"/>
  <c r="H120" i="14"/>
  <c r="D120" i="14"/>
  <c r="C120" i="14"/>
  <c r="B672" i="12"/>
  <c r="C537" i="12"/>
  <c r="C888" i="12"/>
  <c r="B1023" i="12"/>
  <c r="B997" i="12"/>
  <c r="C862" i="12"/>
  <c r="B848" i="12"/>
  <c r="C713" i="12"/>
  <c r="B442" i="12"/>
  <c r="C307" i="12"/>
  <c r="C971" i="12"/>
  <c r="B1106" i="12"/>
  <c r="C636" i="12"/>
  <c r="B771" i="12"/>
  <c r="A175" i="14"/>
  <c r="C136" i="14"/>
  <c r="I136" i="14"/>
  <c r="G136" i="14"/>
  <c r="E136" i="14"/>
  <c r="H136" i="14"/>
  <c r="D136" i="14"/>
  <c r="F136" i="14"/>
  <c r="D230" i="14"/>
  <c r="G230" i="14"/>
  <c r="I230" i="14"/>
  <c r="H230" i="14"/>
  <c r="C230" i="14"/>
  <c r="A269" i="14"/>
  <c r="E230" i="14"/>
  <c r="F230" i="14"/>
  <c r="B440" i="12"/>
  <c r="C305" i="12"/>
  <c r="H190" i="14"/>
  <c r="D190" i="14"/>
  <c r="C190" i="14"/>
  <c r="G190" i="14"/>
  <c r="A229" i="14"/>
  <c r="F190" i="14"/>
  <c r="E190" i="14"/>
  <c r="I190" i="14"/>
  <c r="H235" i="14"/>
  <c r="B525" i="12"/>
  <c r="C390" i="12"/>
  <c r="C523" i="12"/>
  <c r="B658" i="12"/>
  <c r="B1006" i="12"/>
  <c r="C871" i="12"/>
  <c r="C119" i="14"/>
  <c r="E244" i="14"/>
  <c r="C244" i="14"/>
  <c r="D244" i="14"/>
  <c r="H244" i="14"/>
  <c r="G244" i="14"/>
  <c r="F244" i="14"/>
  <c r="I244" i="14"/>
  <c r="B2027" i="12"/>
  <c r="C964" i="12"/>
  <c r="B1099" i="12"/>
  <c r="G153" i="14"/>
  <c r="C138" i="14"/>
  <c r="I138" i="14"/>
  <c r="H138" i="14"/>
  <c r="G138" i="14"/>
  <c r="A177" i="14"/>
  <c r="D138" i="14"/>
  <c r="E138" i="14"/>
  <c r="F138" i="14"/>
  <c r="A245" i="14"/>
  <c r="E132" i="14"/>
  <c r="F170" i="14"/>
  <c r="C587" i="12"/>
  <c r="B722" i="12"/>
  <c r="C948" i="12"/>
  <c r="B1083" i="12"/>
  <c r="B556" i="12"/>
  <c r="C421" i="12"/>
  <c r="B788" i="12"/>
  <c r="C653" i="12"/>
  <c r="G147" i="14"/>
  <c r="B428" i="12"/>
  <c r="C293" i="12"/>
  <c r="B1209" i="12"/>
  <c r="C1074" i="12"/>
  <c r="B557" i="12"/>
  <c r="C422" i="12"/>
  <c r="C489" i="12"/>
  <c r="B624" i="12"/>
  <c r="B702" i="12"/>
  <c r="C567" i="12"/>
  <c r="C1343" i="12"/>
  <c r="B1478" i="12"/>
  <c r="B1011" i="12"/>
  <c r="C876" i="12"/>
  <c r="C685" i="12"/>
  <c r="B820" i="12"/>
  <c r="F178" i="14"/>
  <c r="B217" i="14"/>
  <c r="H178" i="14"/>
  <c r="I178" i="14"/>
  <c r="G178" i="14"/>
  <c r="E178" i="14"/>
  <c r="C178" i="14"/>
  <c r="D178" i="14"/>
  <c r="B486" i="12"/>
  <c r="C351" i="12"/>
  <c r="C854" i="12"/>
  <c r="B989" i="12"/>
  <c r="C796" i="12"/>
  <c r="B931" i="12"/>
  <c r="B995" i="12"/>
  <c r="C860" i="12"/>
  <c r="B890" i="12"/>
  <c r="C755" i="12"/>
  <c r="B729" i="12"/>
  <c r="C594" i="12"/>
  <c r="B717" i="12"/>
  <c r="C582" i="12"/>
  <c r="B1004" i="12"/>
  <c r="C869" i="12"/>
  <c r="B163" i="14"/>
  <c r="F124" i="14"/>
  <c r="H124" i="14"/>
  <c r="E124" i="14"/>
  <c r="C124" i="14"/>
  <c r="D124" i="14"/>
  <c r="G124" i="14"/>
  <c r="I124" i="14"/>
  <c r="B815" i="12"/>
  <c r="C680" i="12"/>
  <c r="B1005" i="12"/>
  <c r="C870" i="12"/>
  <c r="B765" i="12"/>
  <c r="C630" i="12"/>
  <c r="B1093" i="12"/>
  <c r="C958" i="12"/>
  <c r="B615" i="12"/>
  <c r="C480" i="12"/>
  <c r="B689" i="12"/>
  <c r="C554" i="12"/>
  <c r="B1179" i="12"/>
  <c r="C1044" i="12"/>
  <c r="G126" i="14"/>
  <c r="C126" i="14"/>
  <c r="I126" i="14"/>
  <c r="F126" i="14"/>
  <c r="A165" i="14"/>
  <c r="H126" i="14"/>
  <c r="D126" i="14"/>
  <c r="E126" i="14"/>
  <c r="B1725" i="12"/>
  <c r="A261" i="14"/>
  <c r="E187" i="14"/>
  <c r="C187" i="14"/>
  <c r="F187" i="14"/>
  <c r="I187" i="14"/>
  <c r="H187" i="14"/>
  <c r="G187" i="14"/>
  <c r="D187" i="14"/>
  <c r="A226" i="14"/>
  <c r="C456" i="12"/>
  <c r="B591" i="12"/>
  <c r="B498" i="12"/>
  <c r="C363" i="12"/>
  <c r="C470" i="12"/>
  <c r="B605" i="12"/>
  <c r="C185" i="14"/>
  <c r="I185" i="14"/>
  <c r="D185" i="14"/>
  <c r="G185" i="14"/>
  <c r="F185" i="14"/>
  <c r="H185" i="14"/>
  <c r="E185" i="14"/>
  <c r="A224" i="14"/>
  <c r="C529" i="12"/>
  <c r="B664" i="12"/>
  <c r="B602" i="12"/>
  <c r="C467" i="12"/>
  <c r="E235" i="14"/>
  <c r="B927" i="12"/>
  <c r="C792" i="12"/>
  <c r="B416" i="12"/>
  <c r="C281" i="12"/>
  <c r="B728" i="12"/>
  <c r="C593" i="12"/>
  <c r="G119" i="14"/>
  <c r="E153" i="14"/>
  <c r="C1866" i="12"/>
  <c r="B2001" i="12"/>
  <c r="I174" i="14"/>
  <c r="D174" i="14"/>
  <c r="F174" i="14"/>
  <c r="G174" i="14"/>
  <c r="H174" i="14"/>
  <c r="E174" i="14"/>
  <c r="C174" i="14"/>
  <c r="B213" i="14"/>
  <c r="I132" i="14"/>
  <c r="I170" i="14"/>
  <c r="D125" i="14"/>
  <c r="I125" i="14"/>
  <c r="H125" i="14"/>
  <c r="G125" i="14"/>
  <c r="A164" i="14"/>
  <c r="E125" i="14"/>
  <c r="C125" i="14"/>
  <c r="F125" i="14"/>
  <c r="C1172" i="12"/>
  <c r="B1307" i="12"/>
  <c r="B770" i="12"/>
  <c r="C635" i="12"/>
  <c r="C1061" i="12"/>
  <c r="B1196" i="12"/>
  <c r="B548" i="12"/>
  <c r="C413" i="12"/>
  <c r="H147" i="14"/>
  <c r="A1472" i="12"/>
  <c r="C1337" i="12"/>
  <c r="B2698" i="12"/>
  <c r="B1215" i="12"/>
  <c r="C1080" i="12"/>
  <c r="B511" i="12"/>
  <c r="C376" i="12"/>
  <c r="C474" i="12"/>
  <c r="B609" i="12"/>
  <c r="H119" i="14"/>
  <c r="B743" i="12"/>
  <c r="C608" i="12"/>
  <c r="B597" i="12"/>
  <c r="C462" i="12"/>
  <c r="B842" i="12"/>
  <c r="C707" i="12"/>
  <c r="D119" i="14"/>
  <c r="G209" i="14"/>
  <c r="A248" i="14"/>
  <c r="C209" i="14"/>
  <c r="H209" i="14"/>
  <c r="E209" i="14"/>
  <c r="D209" i="14"/>
  <c r="I209" i="14"/>
  <c r="F209" i="14"/>
  <c r="B412" i="12"/>
  <c r="C277" i="12"/>
  <c r="F132" i="14"/>
  <c r="C492" i="12"/>
  <c r="B627" i="12"/>
  <c r="D235" i="14"/>
  <c r="C469" i="12"/>
  <c r="B604" i="12"/>
  <c r="I119" i="14"/>
  <c r="D132" i="14"/>
  <c r="C873" i="12"/>
  <c r="B1008" i="12"/>
  <c r="B167" i="14"/>
  <c r="C128" i="14"/>
  <c r="E128" i="14"/>
  <c r="I128" i="14"/>
  <c r="G128" i="14"/>
  <c r="H128" i="14"/>
  <c r="D128" i="14"/>
  <c r="F128" i="14"/>
  <c r="B839" i="12"/>
  <c r="C704" i="12"/>
  <c r="B240" i="14"/>
  <c r="E201" i="14"/>
  <c r="I201" i="14"/>
  <c r="H201" i="14"/>
  <c r="F201" i="14"/>
  <c r="G201" i="14"/>
  <c r="C201" i="14"/>
  <c r="D201" i="14"/>
  <c r="B764" i="12"/>
  <c r="C629" i="12"/>
  <c r="C619" i="12"/>
  <c r="B754" i="12"/>
  <c r="B570" i="12"/>
  <c r="C435" i="12"/>
  <c r="I235" i="14"/>
  <c r="B1129" i="12"/>
  <c r="C994" i="12"/>
  <c r="B1059" i="12"/>
  <c r="C924" i="12"/>
  <c r="B893" i="12"/>
  <c r="C758" i="12"/>
  <c r="B535" i="12"/>
  <c r="C400" i="12"/>
  <c r="E158" i="14"/>
  <c r="D158" i="14"/>
  <c r="C158" i="14"/>
  <c r="A197" i="14"/>
  <c r="G158" i="14"/>
  <c r="F158" i="14"/>
  <c r="I158" i="14"/>
  <c r="H158" i="14"/>
  <c r="B858" i="12"/>
  <c r="C723" i="12"/>
  <c r="B1745" i="12"/>
  <c r="C1610" i="12"/>
  <c r="B1248" i="12"/>
  <c r="C1113" i="12"/>
  <c r="C132" i="14"/>
  <c r="D170" i="14"/>
  <c r="H200" i="14"/>
  <c r="A239" i="14"/>
  <c r="C200" i="14"/>
  <c r="I200" i="14"/>
  <c r="D200" i="14"/>
  <c r="E200" i="14"/>
  <c r="G200" i="14"/>
  <c r="F200" i="14"/>
  <c r="E145" i="14"/>
  <c r="A184" i="14"/>
  <c r="F145" i="14"/>
  <c r="I145" i="14"/>
  <c r="D145" i="14"/>
  <c r="C145" i="14"/>
  <c r="H145" i="14"/>
  <c r="G145" i="14"/>
  <c r="B937" i="12"/>
  <c r="C802" i="12"/>
  <c r="A673" i="12"/>
  <c r="C538" i="12"/>
  <c r="C147" i="14"/>
  <c r="B985" i="12"/>
  <c r="C850" i="12"/>
  <c r="I221" i="14" l="1"/>
  <c r="E221" i="14"/>
  <c r="D221" i="14"/>
  <c r="A260" i="14"/>
  <c r="C221" i="14"/>
  <c r="G221" i="14"/>
  <c r="H221" i="14"/>
  <c r="F221" i="14"/>
  <c r="B2254" i="12"/>
  <c r="C2119" i="12"/>
  <c r="B889" i="12"/>
  <c r="C754" i="12"/>
  <c r="G248" i="14"/>
  <c r="D248" i="14"/>
  <c r="F248" i="14"/>
  <c r="I248" i="14"/>
  <c r="C248" i="14"/>
  <c r="H248" i="14"/>
  <c r="E248" i="14"/>
  <c r="B878" i="12"/>
  <c r="C743" i="12"/>
  <c r="H164" i="14"/>
  <c r="F164" i="14"/>
  <c r="D164" i="14"/>
  <c r="C164" i="14"/>
  <c r="G164" i="14"/>
  <c r="I164" i="14"/>
  <c r="E164" i="14"/>
  <c r="A203" i="14"/>
  <c r="B1234" i="12"/>
  <c r="C1099" i="12"/>
  <c r="B607" i="12"/>
  <c r="C472" i="12"/>
  <c r="C866" i="12"/>
  <c r="B1001" i="12"/>
  <c r="B637" i="12"/>
  <c r="C502" i="12"/>
  <c r="A249" i="14"/>
  <c r="G210" i="14"/>
  <c r="I210" i="14"/>
  <c r="H210" i="14"/>
  <c r="C210" i="14"/>
  <c r="E210" i="14"/>
  <c r="D210" i="14"/>
  <c r="F210" i="14"/>
  <c r="B880" i="12"/>
  <c r="C745" i="12"/>
  <c r="B2159" i="12"/>
  <c r="C2024" i="12"/>
  <c r="B757" i="12"/>
  <c r="C622" i="12"/>
  <c r="B1880" i="12"/>
  <c r="C1745" i="12"/>
  <c r="B1194" i="12"/>
  <c r="C1059" i="12"/>
  <c r="C604" i="12"/>
  <c r="B739" i="12"/>
  <c r="B744" i="12"/>
  <c r="C609" i="12"/>
  <c r="B905" i="12"/>
  <c r="C770" i="12"/>
  <c r="B577" i="12"/>
  <c r="C442" i="12"/>
  <c r="B807" i="12"/>
  <c r="C672" i="12"/>
  <c r="A198" i="14"/>
  <c r="C159" i="14"/>
  <c r="E159" i="14"/>
  <c r="H159" i="14"/>
  <c r="G159" i="14"/>
  <c r="D159" i="14"/>
  <c r="I159" i="14"/>
  <c r="F159" i="14"/>
  <c r="B1351" i="12"/>
  <c r="C1216" i="12"/>
  <c r="B222" i="14"/>
  <c r="I183" i="14"/>
  <c r="G183" i="14"/>
  <c r="C183" i="14"/>
  <c r="D183" i="14"/>
  <c r="F183" i="14"/>
  <c r="E183" i="14"/>
  <c r="H183" i="14"/>
  <c r="C901" i="12"/>
  <c r="B1036" i="12"/>
  <c r="B544" i="12"/>
  <c r="C409" i="12"/>
  <c r="B881" i="12"/>
  <c r="C746" i="12"/>
  <c r="D184" i="14"/>
  <c r="H184" i="14"/>
  <c r="C184" i="14"/>
  <c r="E184" i="14"/>
  <c r="G184" i="14"/>
  <c r="F184" i="14"/>
  <c r="I184" i="14"/>
  <c r="A223" i="14"/>
  <c r="I239" i="14"/>
  <c r="F239" i="14"/>
  <c r="G239" i="14"/>
  <c r="D239" i="14"/>
  <c r="H239" i="14"/>
  <c r="C239" i="14"/>
  <c r="E239" i="14"/>
  <c r="D240" i="14"/>
  <c r="C240" i="14"/>
  <c r="G240" i="14"/>
  <c r="I240" i="14"/>
  <c r="E240" i="14"/>
  <c r="H240" i="14"/>
  <c r="F240" i="14"/>
  <c r="A1607" i="12"/>
  <c r="C1472" i="12"/>
  <c r="C1307" i="12"/>
  <c r="B1442" i="12"/>
  <c r="C615" i="12"/>
  <c r="B750" i="12"/>
  <c r="C815" i="12"/>
  <c r="B950" i="12"/>
  <c r="B202" i="14"/>
  <c r="E163" i="14"/>
  <c r="I163" i="14"/>
  <c r="F163" i="14"/>
  <c r="H163" i="14"/>
  <c r="C163" i="14"/>
  <c r="D163" i="14"/>
  <c r="G163" i="14"/>
  <c r="C890" i="12"/>
  <c r="B1025" i="12"/>
  <c r="B621" i="12"/>
  <c r="C486" i="12"/>
  <c r="B837" i="12"/>
  <c r="C702" i="12"/>
  <c r="C428" i="12"/>
  <c r="B563" i="12"/>
  <c r="B857" i="12"/>
  <c r="C722" i="12"/>
  <c r="B2162" i="12"/>
  <c r="C208" i="14"/>
  <c r="H208" i="14"/>
  <c r="B247" i="14"/>
  <c r="D208" i="14"/>
  <c r="I208" i="14"/>
  <c r="F208" i="14"/>
  <c r="E208" i="14"/>
  <c r="G208" i="14"/>
  <c r="B984" i="12"/>
  <c r="C849" i="12"/>
  <c r="B969" i="12"/>
  <c r="C834" i="12"/>
  <c r="B1071" i="12"/>
  <c r="C936" i="12"/>
  <c r="B920" i="12"/>
  <c r="C785" i="12"/>
  <c r="B1018" i="12"/>
  <c r="C883" i="12"/>
  <c r="I195" i="14"/>
  <c r="G195" i="14"/>
  <c r="D195" i="14"/>
  <c r="E195" i="14"/>
  <c r="A234" i="14"/>
  <c r="F195" i="14"/>
  <c r="H195" i="14"/>
  <c r="C195" i="14"/>
  <c r="B1120" i="12"/>
  <c r="C985" i="12"/>
  <c r="B705" i="12"/>
  <c r="C570" i="12"/>
  <c r="D213" i="14"/>
  <c r="E213" i="14"/>
  <c r="G213" i="14"/>
  <c r="I213" i="14"/>
  <c r="C213" i="14"/>
  <c r="B252" i="14"/>
  <c r="H213" i="14"/>
  <c r="F213" i="14"/>
  <c r="B2136" i="12"/>
  <c r="C2001" i="12"/>
  <c r="B1314" i="12"/>
  <c r="C1179" i="12"/>
  <c r="B900" i="12"/>
  <c r="C765" i="12"/>
  <c r="C717" i="12"/>
  <c r="B852" i="12"/>
  <c r="E269" i="14"/>
  <c r="H269" i="14"/>
  <c r="D269" i="14"/>
  <c r="C269" i="14"/>
  <c r="G269" i="14"/>
  <c r="F269" i="14"/>
  <c r="I269" i="14"/>
  <c r="B1166" i="12"/>
  <c r="C1031" i="12"/>
  <c r="B913" i="12"/>
  <c r="C778" i="12"/>
  <c r="B2326" i="12"/>
  <c r="C2191" i="12"/>
  <c r="B1062" i="12"/>
  <c r="C927" i="12"/>
  <c r="B760" i="12"/>
  <c r="C625" i="12"/>
  <c r="B1776" i="12"/>
  <c r="C1641" i="12"/>
  <c r="B547" i="12"/>
  <c r="C412" i="12"/>
  <c r="B824" i="12"/>
  <c r="C689" i="12"/>
  <c r="C1005" i="12"/>
  <c r="B1140" i="12"/>
  <c r="C1083" i="12"/>
  <c r="B1218" i="12"/>
  <c r="B660" i="12"/>
  <c r="C525" i="12"/>
  <c r="F189" i="14"/>
  <c r="D189" i="14"/>
  <c r="G189" i="14"/>
  <c r="C189" i="14"/>
  <c r="I189" i="14"/>
  <c r="A228" i="14"/>
  <c r="H189" i="14"/>
  <c r="E189" i="14"/>
  <c r="G177" i="14"/>
  <c r="D177" i="14"/>
  <c r="I177" i="14"/>
  <c r="F177" i="14"/>
  <c r="C177" i="14"/>
  <c r="A216" i="14"/>
  <c r="H177" i="14"/>
  <c r="E177" i="14"/>
  <c r="G232" i="14"/>
  <c r="C232" i="14"/>
  <c r="H232" i="14"/>
  <c r="E232" i="14"/>
  <c r="D232" i="14"/>
  <c r="I232" i="14"/>
  <c r="B271" i="14"/>
  <c r="F232" i="14"/>
  <c r="B663" i="12"/>
  <c r="C528" i="12"/>
  <c r="C832" i="12"/>
  <c r="B967" i="12"/>
  <c r="D173" i="14"/>
  <c r="F173" i="14"/>
  <c r="A212" i="14"/>
  <c r="I173" i="14"/>
  <c r="H173" i="14"/>
  <c r="E173" i="14"/>
  <c r="G173" i="14"/>
  <c r="C173" i="14"/>
  <c r="B690" i="12"/>
  <c r="C555" i="12"/>
  <c r="C463" i="12"/>
  <c r="B598" i="12"/>
  <c r="C764" i="12"/>
  <c r="B899" i="12"/>
  <c r="C602" i="12"/>
  <c r="B737" i="12"/>
  <c r="B1072" i="12"/>
  <c r="C937" i="12"/>
  <c r="B993" i="12"/>
  <c r="C858" i="12"/>
  <c r="B1264" i="12"/>
  <c r="C1129" i="12"/>
  <c r="B977" i="12"/>
  <c r="C842" i="12"/>
  <c r="B863" i="12"/>
  <c r="C728" i="12"/>
  <c r="B799" i="12"/>
  <c r="C664" i="12"/>
  <c r="D226" i="14"/>
  <c r="G226" i="14"/>
  <c r="I226" i="14"/>
  <c r="A265" i="14"/>
  <c r="C226" i="14"/>
  <c r="F226" i="14"/>
  <c r="H226" i="14"/>
  <c r="E226" i="14"/>
  <c r="B1860" i="12"/>
  <c r="C820" i="12"/>
  <c r="B955" i="12"/>
  <c r="C624" i="12"/>
  <c r="B759" i="12"/>
  <c r="B575" i="12"/>
  <c r="C440" i="12"/>
  <c r="I175" i="14"/>
  <c r="C175" i="14"/>
  <c r="F175" i="14"/>
  <c r="H175" i="14"/>
  <c r="D175" i="14"/>
  <c r="G175" i="14"/>
  <c r="E175" i="14"/>
  <c r="A214" i="14"/>
  <c r="B983" i="12"/>
  <c r="C848" i="12"/>
  <c r="C886" i="12"/>
  <c r="B1021" i="12"/>
  <c r="C855" i="12"/>
  <c r="B990" i="12"/>
  <c r="C963" i="12"/>
  <c r="B1098" i="12"/>
  <c r="B1019" i="12"/>
  <c r="C884" i="12"/>
  <c r="I211" i="14"/>
  <c r="G211" i="14"/>
  <c r="A250" i="14"/>
  <c r="H211" i="14"/>
  <c r="E211" i="14"/>
  <c r="D211" i="14"/>
  <c r="C211" i="14"/>
  <c r="F211" i="14"/>
  <c r="B3767" i="12"/>
  <c r="C586" i="12"/>
  <c r="B721" i="12"/>
  <c r="G220" i="14"/>
  <c r="C220" i="14"/>
  <c r="E220" i="14"/>
  <c r="F220" i="14"/>
  <c r="H220" i="14"/>
  <c r="A259" i="14"/>
  <c r="I220" i="14"/>
  <c r="D220" i="14"/>
  <c r="B709" i="12"/>
  <c r="C574" i="12"/>
  <c r="B988" i="12"/>
  <c r="C853" i="12"/>
  <c r="B638" i="12"/>
  <c r="C503" i="12"/>
  <c r="B1594" i="12"/>
  <c r="C1459" i="12"/>
  <c r="B1902" i="12"/>
  <c r="C1767" i="12"/>
  <c r="C806" i="12"/>
  <c r="B941" i="12"/>
  <c r="B747" i="12"/>
  <c r="C612" i="12"/>
  <c r="B1331" i="12"/>
  <c r="C1196" i="12"/>
  <c r="B1146" i="12"/>
  <c r="C1011" i="12"/>
  <c r="C1248" i="12"/>
  <c r="B1383" i="12"/>
  <c r="B695" i="12"/>
  <c r="C560" i="12"/>
  <c r="B835" i="12"/>
  <c r="C700" i="12"/>
  <c r="A270" i="14"/>
  <c r="H231" i="14"/>
  <c r="C231" i="14"/>
  <c r="G231" i="14"/>
  <c r="D231" i="14"/>
  <c r="E231" i="14"/>
  <c r="I231" i="14"/>
  <c r="F231" i="14"/>
  <c r="B2833" i="12"/>
  <c r="H218" i="14"/>
  <c r="D218" i="14"/>
  <c r="F218" i="14"/>
  <c r="I218" i="14"/>
  <c r="C218" i="14"/>
  <c r="A257" i="14"/>
  <c r="G218" i="14"/>
  <c r="E218" i="14"/>
  <c r="B1168" i="12"/>
  <c r="C1033" i="12"/>
  <c r="C673" i="12"/>
  <c r="A808" i="12"/>
  <c r="B206" i="14"/>
  <c r="F167" i="14"/>
  <c r="H167" i="14"/>
  <c r="E167" i="14"/>
  <c r="G167" i="14"/>
  <c r="I167" i="14"/>
  <c r="C167" i="14"/>
  <c r="D167" i="14"/>
  <c r="B762" i="12"/>
  <c r="C627" i="12"/>
  <c r="C511" i="12"/>
  <c r="B646" i="12"/>
  <c r="B1228" i="12"/>
  <c r="C1093" i="12"/>
  <c r="B1139" i="12"/>
  <c r="C1004" i="12"/>
  <c r="C995" i="12"/>
  <c r="B1130" i="12"/>
  <c r="C1006" i="12"/>
  <c r="B1141" i="12"/>
  <c r="B906" i="12"/>
  <c r="C771" i="12"/>
  <c r="B1739" i="12"/>
  <c r="C1604" i="12"/>
  <c r="B865" i="12"/>
  <c r="C730" i="12"/>
  <c r="A812" i="12"/>
  <c r="C677" i="12"/>
  <c r="C581" i="12"/>
  <c r="B716" i="12"/>
  <c r="G199" i="14"/>
  <c r="D199" i="14"/>
  <c r="I199" i="14"/>
  <c r="E199" i="14"/>
  <c r="C199" i="14"/>
  <c r="H199" i="14"/>
  <c r="A238" i="14"/>
  <c r="F199" i="14"/>
  <c r="B782" i="12"/>
  <c r="C647" i="12"/>
  <c r="C549" i="12"/>
  <c r="B684" i="12"/>
  <c r="B1350" i="12"/>
  <c r="C1215" i="12"/>
  <c r="C557" i="12"/>
  <c r="B692" i="12"/>
  <c r="C1106" i="12"/>
  <c r="B1241" i="12"/>
  <c r="C1023" i="12"/>
  <c r="B1158" i="12"/>
  <c r="B925" i="12"/>
  <c r="C790" i="12"/>
  <c r="B887" i="12"/>
  <c r="C752" i="12"/>
  <c r="B1028" i="12"/>
  <c r="C893" i="12"/>
  <c r="C989" i="12"/>
  <c r="B1124" i="12"/>
  <c r="C1478" i="12"/>
  <c r="B1613" i="12"/>
  <c r="C556" i="12"/>
  <c r="B691" i="12"/>
  <c r="H197" i="14"/>
  <c r="D197" i="14"/>
  <c r="G197" i="14"/>
  <c r="A236" i="14"/>
  <c r="F197" i="14"/>
  <c r="I197" i="14"/>
  <c r="E197" i="14"/>
  <c r="C197" i="14"/>
  <c r="B633" i="12"/>
  <c r="C498" i="12"/>
  <c r="A204" i="14"/>
  <c r="H165" i="14"/>
  <c r="F165" i="14"/>
  <c r="E165" i="14"/>
  <c r="G165" i="14"/>
  <c r="D165" i="14"/>
  <c r="I165" i="14"/>
  <c r="C165" i="14"/>
  <c r="B864" i="12"/>
  <c r="C729" i="12"/>
  <c r="B1344" i="12"/>
  <c r="C1209" i="12"/>
  <c r="A1455" i="12"/>
  <c r="C1320" i="12"/>
  <c r="B1724" i="12"/>
  <c r="C1589" i="12"/>
  <c r="B726" i="12"/>
  <c r="C591" i="12"/>
  <c r="B256" i="14"/>
  <c r="D217" i="14"/>
  <c r="H217" i="14"/>
  <c r="C217" i="14"/>
  <c r="F217" i="14"/>
  <c r="I217" i="14"/>
  <c r="G217" i="14"/>
  <c r="E217" i="14"/>
  <c r="B974" i="12"/>
  <c r="C839" i="12"/>
  <c r="B670" i="12"/>
  <c r="C535" i="12"/>
  <c r="C1008" i="12"/>
  <c r="B1143" i="12"/>
  <c r="B732" i="12"/>
  <c r="C597" i="12"/>
  <c r="C548" i="12"/>
  <c r="B683" i="12"/>
  <c r="C416" i="12"/>
  <c r="B551" i="12"/>
  <c r="G224" i="14"/>
  <c r="H224" i="14"/>
  <c r="C224" i="14"/>
  <c r="I224" i="14"/>
  <c r="F224" i="14"/>
  <c r="D224" i="14"/>
  <c r="A263" i="14"/>
  <c r="E224" i="14"/>
  <c r="C605" i="12"/>
  <c r="B740" i="12"/>
  <c r="C931" i="12"/>
  <c r="B1066" i="12"/>
  <c r="B923" i="12"/>
  <c r="C788" i="12"/>
  <c r="B793" i="12"/>
  <c r="C658" i="12"/>
  <c r="H229" i="14"/>
  <c r="G229" i="14"/>
  <c r="I229" i="14"/>
  <c r="A268" i="14"/>
  <c r="C229" i="14"/>
  <c r="E229" i="14"/>
  <c r="D229" i="14"/>
  <c r="F229" i="14"/>
  <c r="C997" i="12"/>
  <c r="B1132" i="12"/>
  <c r="B816" i="12"/>
  <c r="C681" i="12"/>
  <c r="B640" i="12"/>
  <c r="C505" i="12"/>
  <c r="H180" i="14"/>
  <c r="I180" i="14"/>
  <c r="F180" i="14"/>
  <c r="E180" i="14"/>
  <c r="A219" i="14"/>
  <c r="C180" i="14"/>
  <c r="G180" i="14"/>
  <c r="D180" i="14"/>
  <c r="I225" i="14"/>
  <c r="C225" i="14"/>
  <c r="E225" i="14"/>
  <c r="H225" i="14"/>
  <c r="D225" i="14"/>
  <c r="G225" i="14"/>
  <c r="A264" i="14"/>
  <c r="F225" i="14"/>
  <c r="B787" i="12"/>
  <c r="C652" i="12"/>
  <c r="C783" i="12"/>
  <c r="B918" i="12"/>
  <c r="I227" i="14"/>
  <c r="D227" i="14"/>
  <c r="E227" i="14"/>
  <c r="G227" i="14"/>
  <c r="H227" i="14"/>
  <c r="C227" i="14"/>
  <c r="A266" i="14"/>
  <c r="F227" i="14"/>
  <c r="B568" i="12"/>
  <c r="C433" i="12"/>
  <c r="C507" i="12"/>
  <c r="B642" i="12"/>
  <c r="B576" i="12"/>
  <c r="C441" i="12"/>
  <c r="I246" i="14"/>
  <c r="H246" i="14"/>
  <c r="G246" i="14"/>
  <c r="C246" i="14"/>
  <c r="E246" i="14"/>
  <c r="F246" i="14"/>
  <c r="D246" i="14"/>
  <c r="C1586" i="12"/>
  <c r="B1721" i="12"/>
  <c r="C1724" i="12" l="1"/>
  <c r="B1859" i="12"/>
  <c r="B1112" i="12"/>
  <c r="C977" i="12"/>
  <c r="B1160" i="12"/>
  <c r="C1025" i="12"/>
  <c r="C881" i="12"/>
  <c r="B1016" i="12"/>
  <c r="B942" i="12"/>
  <c r="C807" i="12"/>
  <c r="B1995" i="12"/>
  <c r="B241" i="14"/>
  <c r="C202" i="14"/>
  <c r="H202" i="14"/>
  <c r="D202" i="14"/>
  <c r="F202" i="14"/>
  <c r="G202" i="14"/>
  <c r="E202" i="14"/>
  <c r="I202" i="14"/>
  <c r="B1041" i="12"/>
  <c r="C906" i="12"/>
  <c r="C1168" i="12"/>
  <c r="B1303" i="12"/>
  <c r="C1019" i="12"/>
  <c r="B1154" i="12"/>
  <c r="C983" i="12"/>
  <c r="B1118" i="12"/>
  <c r="B1399" i="12"/>
  <c r="C1264" i="12"/>
  <c r="C563" i="12"/>
  <c r="B698" i="12"/>
  <c r="B679" i="12"/>
  <c r="C544" i="12"/>
  <c r="B1329" i="12"/>
  <c r="C1194" i="12"/>
  <c r="D249" i="14"/>
  <c r="E249" i="14"/>
  <c r="F249" i="14"/>
  <c r="C249" i="14"/>
  <c r="I249" i="14"/>
  <c r="G249" i="14"/>
  <c r="H249" i="14"/>
  <c r="B922" i="12"/>
  <c r="C787" i="12"/>
  <c r="B1276" i="12"/>
  <c r="C1141" i="12"/>
  <c r="B1233" i="12"/>
  <c r="C1098" i="12"/>
  <c r="B733" i="12"/>
  <c r="C598" i="12"/>
  <c r="B1035" i="12"/>
  <c r="C900" i="12"/>
  <c r="C969" i="12"/>
  <c r="B1104" i="12"/>
  <c r="B1171" i="12"/>
  <c r="C1036" i="12"/>
  <c r="D203" i="14"/>
  <c r="G203" i="14"/>
  <c r="A242" i="14"/>
  <c r="H203" i="14"/>
  <c r="I203" i="14"/>
  <c r="C203" i="14"/>
  <c r="E203" i="14"/>
  <c r="F203" i="14"/>
  <c r="B777" i="12"/>
  <c r="C642" i="12"/>
  <c r="C923" i="12"/>
  <c r="B1058" i="12"/>
  <c r="B1109" i="12"/>
  <c r="C974" i="12"/>
  <c r="C256" i="14"/>
  <c r="H256" i="14"/>
  <c r="F256" i="14"/>
  <c r="D256" i="14"/>
  <c r="E256" i="14"/>
  <c r="G256" i="14"/>
  <c r="I256" i="14"/>
  <c r="B1479" i="12"/>
  <c r="C1344" i="12"/>
  <c r="C925" i="12"/>
  <c r="B1060" i="12"/>
  <c r="B1485" i="12"/>
  <c r="C1350" i="12"/>
  <c r="A947" i="12"/>
  <c r="C812" i="12"/>
  <c r="B2968" i="12"/>
  <c r="C270" i="14"/>
  <c r="D270" i="14"/>
  <c r="E270" i="14"/>
  <c r="G270" i="14"/>
  <c r="I270" i="14"/>
  <c r="H270" i="14"/>
  <c r="F270" i="14"/>
  <c r="C1146" i="12"/>
  <c r="B1281" i="12"/>
  <c r="B2037" i="12"/>
  <c r="C1902" i="12"/>
  <c r="B844" i="12"/>
  <c r="C709" i="12"/>
  <c r="B710" i="12"/>
  <c r="C575" i="12"/>
  <c r="B934" i="12"/>
  <c r="C799" i="12"/>
  <c r="B1128" i="12"/>
  <c r="C993" i="12"/>
  <c r="A251" i="14"/>
  <c r="F212" i="14"/>
  <c r="H212" i="14"/>
  <c r="G212" i="14"/>
  <c r="D212" i="14"/>
  <c r="I212" i="14"/>
  <c r="C212" i="14"/>
  <c r="E212" i="14"/>
  <c r="I271" i="14"/>
  <c r="C271" i="14"/>
  <c r="E271" i="14"/>
  <c r="F271" i="14"/>
  <c r="D271" i="14"/>
  <c r="G271" i="14"/>
  <c r="H271" i="14"/>
  <c r="C660" i="12"/>
  <c r="B795" i="12"/>
  <c r="B682" i="12"/>
  <c r="C547" i="12"/>
  <c r="B2461" i="12"/>
  <c r="C2326" i="12"/>
  <c r="B885" i="12"/>
  <c r="C750" i="12"/>
  <c r="B261" i="14"/>
  <c r="D222" i="14"/>
  <c r="F222" i="14"/>
  <c r="C222" i="14"/>
  <c r="I222" i="14"/>
  <c r="E222" i="14"/>
  <c r="G222" i="14"/>
  <c r="H222" i="14"/>
  <c r="B1040" i="12"/>
  <c r="C905" i="12"/>
  <c r="B2015" i="12"/>
  <c r="C1880" i="12"/>
  <c r="B772" i="12"/>
  <c r="C637" i="12"/>
  <c r="C878" i="12"/>
  <c r="B1013" i="12"/>
  <c r="I260" i="14"/>
  <c r="G260" i="14"/>
  <c r="C260" i="14"/>
  <c r="F260" i="14"/>
  <c r="H260" i="14"/>
  <c r="D260" i="14"/>
  <c r="E260" i="14"/>
  <c r="B1274" i="12"/>
  <c r="C1139" i="12"/>
  <c r="B742" i="12"/>
  <c r="C607" i="12"/>
  <c r="B1076" i="12"/>
  <c r="C941" i="12"/>
  <c r="B840" i="12"/>
  <c r="C705" i="12"/>
  <c r="B1206" i="12"/>
  <c r="C1071" i="12"/>
  <c r="C857" i="12"/>
  <c r="B992" i="12"/>
  <c r="G263" i="14"/>
  <c r="C263" i="14"/>
  <c r="F263" i="14"/>
  <c r="E263" i="14"/>
  <c r="H263" i="14"/>
  <c r="D263" i="14"/>
  <c r="I263" i="14"/>
  <c r="B805" i="12"/>
  <c r="C670" i="12"/>
  <c r="A1590" i="12"/>
  <c r="C1455" i="12"/>
  <c r="B1363" i="12"/>
  <c r="C1228" i="12"/>
  <c r="B798" i="12"/>
  <c r="C663" i="12"/>
  <c r="B712" i="12"/>
  <c r="C577" i="12"/>
  <c r="B1015" i="12"/>
  <c r="C880" i="12"/>
  <c r="C1234" i="12"/>
  <c r="B1369" i="12"/>
  <c r="B928" i="12"/>
  <c r="C793" i="12"/>
  <c r="B1748" i="12"/>
  <c r="C1613" i="12"/>
  <c r="C646" i="12"/>
  <c r="B781" i="12"/>
  <c r="D214" i="14"/>
  <c r="F214" i="14"/>
  <c r="E214" i="14"/>
  <c r="H214" i="14"/>
  <c r="G214" i="14"/>
  <c r="A253" i="14"/>
  <c r="C214" i="14"/>
  <c r="I214" i="14"/>
  <c r="B1255" i="12"/>
  <c r="C1120" i="12"/>
  <c r="G264" i="14"/>
  <c r="F264" i="14"/>
  <c r="D264" i="14"/>
  <c r="C264" i="14"/>
  <c r="I264" i="14"/>
  <c r="E264" i="14"/>
  <c r="H264" i="14"/>
  <c r="C640" i="12"/>
  <c r="B775" i="12"/>
  <c r="B1201" i="12"/>
  <c r="C1066" i="12"/>
  <c r="D236" i="14"/>
  <c r="E236" i="14"/>
  <c r="C236" i="14"/>
  <c r="I236" i="14"/>
  <c r="H236" i="14"/>
  <c r="G236" i="14"/>
  <c r="F236" i="14"/>
  <c r="C1124" i="12"/>
  <c r="B1259" i="12"/>
  <c r="C1158" i="12"/>
  <c r="B1293" i="12"/>
  <c r="B819" i="12"/>
  <c r="C684" i="12"/>
  <c r="C1130" i="12"/>
  <c r="B1265" i="12"/>
  <c r="F257" i="14"/>
  <c r="H257" i="14"/>
  <c r="E257" i="14"/>
  <c r="G257" i="14"/>
  <c r="C257" i="14"/>
  <c r="I257" i="14"/>
  <c r="D257" i="14"/>
  <c r="B856" i="12"/>
  <c r="C721" i="12"/>
  <c r="B1125" i="12"/>
  <c r="C990" i="12"/>
  <c r="C759" i="12"/>
  <c r="B894" i="12"/>
  <c r="E216" i="14"/>
  <c r="C216" i="14"/>
  <c r="D216" i="14"/>
  <c r="F216" i="14"/>
  <c r="I216" i="14"/>
  <c r="A255" i="14"/>
  <c r="G216" i="14"/>
  <c r="H216" i="14"/>
  <c r="C228" i="14"/>
  <c r="H228" i="14"/>
  <c r="I228" i="14"/>
  <c r="E228" i="14"/>
  <c r="A267" i="14"/>
  <c r="F228" i="14"/>
  <c r="G228" i="14"/>
  <c r="D228" i="14"/>
  <c r="C1218" i="12"/>
  <c r="B1353" i="12"/>
  <c r="C1314" i="12"/>
  <c r="B1449" i="12"/>
  <c r="B1153" i="12"/>
  <c r="C1018" i="12"/>
  <c r="B1119" i="12"/>
  <c r="C984" i="12"/>
  <c r="B972" i="12"/>
  <c r="C837" i="12"/>
  <c r="B1577" i="12"/>
  <c r="C1442" i="12"/>
  <c r="B1136" i="12"/>
  <c r="C1001" i="12"/>
  <c r="C889" i="12"/>
  <c r="B1024" i="12"/>
  <c r="C918" i="12"/>
  <c r="B1053" i="12"/>
  <c r="C695" i="12"/>
  <c r="B830" i="12"/>
  <c r="B882" i="12"/>
  <c r="C747" i="12"/>
  <c r="B773" i="12"/>
  <c r="C638" i="12"/>
  <c r="B895" i="12"/>
  <c r="C760" i="12"/>
  <c r="B987" i="12"/>
  <c r="C852" i="12"/>
  <c r="A1742" i="12"/>
  <c r="C1607" i="12"/>
  <c r="B2294" i="12"/>
  <c r="C2159" i="12"/>
  <c r="H266" i="14"/>
  <c r="E266" i="14"/>
  <c r="I266" i="14"/>
  <c r="G266" i="14"/>
  <c r="D266" i="14"/>
  <c r="C266" i="14"/>
  <c r="F266" i="14"/>
  <c r="B826" i="12"/>
  <c r="C691" i="12"/>
  <c r="B827" i="12"/>
  <c r="C692" i="12"/>
  <c r="E238" i="14"/>
  <c r="G238" i="14"/>
  <c r="D238" i="14"/>
  <c r="H238" i="14"/>
  <c r="I238" i="14"/>
  <c r="C238" i="14"/>
  <c r="F238" i="14"/>
  <c r="I252" i="14"/>
  <c r="F252" i="14"/>
  <c r="E252" i="14"/>
  <c r="D252" i="14"/>
  <c r="G252" i="14"/>
  <c r="H252" i="14"/>
  <c r="C252" i="14"/>
  <c r="C950" i="12"/>
  <c r="B1085" i="12"/>
  <c r="B711" i="12"/>
  <c r="C576" i="12"/>
  <c r="G268" i="14"/>
  <c r="H268" i="14"/>
  <c r="C268" i="14"/>
  <c r="I268" i="14"/>
  <c r="D268" i="14"/>
  <c r="E268" i="14"/>
  <c r="F268" i="14"/>
  <c r="B867" i="12"/>
  <c r="C732" i="12"/>
  <c r="C726" i="12"/>
  <c r="B861" i="12"/>
  <c r="B999" i="12"/>
  <c r="C864" i="12"/>
  <c r="C204" i="14"/>
  <c r="G204" i="14"/>
  <c r="H204" i="14"/>
  <c r="D204" i="14"/>
  <c r="E204" i="14"/>
  <c r="I204" i="14"/>
  <c r="A243" i="14"/>
  <c r="F204" i="14"/>
  <c r="B1000" i="12"/>
  <c r="C865" i="12"/>
  <c r="C762" i="12"/>
  <c r="B897" i="12"/>
  <c r="B245" i="14"/>
  <c r="D206" i="14"/>
  <c r="I206" i="14"/>
  <c r="C206" i="14"/>
  <c r="G206" i="14"/>
  <c r="H206" i="14"/>
  <c r="E206" i="14"/>
  <c r="F206" i="14"/>
  <c r="B970" i="12"/>
  <c r="C835" i="12"/>
  <c r="B1466" i="12"/>
  <c r="C1331" i="12"/>
  <c r="B1729" i="12"/>
  <c r="C1594" i="12"/>
  <c r="E250" i="14"/>
  <c r="G250" i="14"/>
  <c r="H250" i="14"/>
  <c r="C250" i="14"/>
  <c r="D250" i="14"/>
  <c r="I250" i="14"/>
  <c r="F250" i="14"/>
  <c r="B998" i="12"/>
  <c r="C863" i="12"/>
  <c r="B1207" i="12"/>
  <c r="C1072" i="12"/>
  <c r="C690" i="12"/>
  <c r="B825" i="12"/>
  <c r="B1911" i="12"/>
  <c r="C1776" i="12"/>
  <c r="B1048" i="12"/>
  <c r="C913" i="12"/>
  <c r="C1351" i="12"/>
  <c r="B1486" i="12"/>
  <c r="A237" i="14"/>
  <c r="I198" i="14"/>
  <c r="G198" i="14"/>
  <c r="H198" i="14"/>
  <c r="E198" i="14"/>
  <c r="F198" i="14"/>
  <c r="C198" i="14"/>
  <c r="D198" i="14"/>
  <c r="C744" i="12"/>
  <c r="B879" i="12"/>
  <c r="B892" i="12"/>
  <c r="C757" i="12"/>
  <c r="B1267" i="12"/>
  <c r="C1132" i="12"/>
  <c r="B768" i="12"/>
  <c r="C633" i="12"/>
  <c r="B1163" i="12"/>
  <c r="C1028" i="12"/>
  <c r="B917" i="12"/>
  <c r="C782" i="12"/>
  <c r="B1874" i="12"/>
  <c r="C1739" i="12"/>
  <c r="B3902" i="12"/>
  <c r="B1301" i="12"/>
  <c r="C1166" i="12"/>
  <c r="C1721" i="12"/>
  <c r="B1856" i="12"/>
  <c r="B686" i="12"/>
  <c r="C551" i="12"/>
  <c r="B851" i="12"/>
  <c r="C716" i="12"/>
  <c r="C1383" i="12"/>
  <c r="B1518" i="12"/>
  <c r="B1034" i="12"/>
  <c r="C899" i="12"/>
  <c r="B1022" i="12"/>
  <c r="C887" i="12"/>
  <c r="B1123" i="12"/>
  <c r="C988" i="12"/>
  <c r="B959" i="12"/>
  <c r="C824" i="12"/>
  <c r="B1197" i="12"/>
  <c r="C1062" i="12"/>
  <c r="B818" i="12"/>
  <c r="C683" i="12"/>
  <c r="I247" i="14"/>
  <c r="E247" i="14"/>
  <c r="C247" i="14"/>
  <c r="D247" i="14"/>
  <c r="G247" i="14"/>
  <c r="H247" i="14"/>
  <c r="F247" i="14"/>
  <c r="B703" i="12"/>
  <c r="C568" i="12"/>
  <c r="C219" i="14"/>
  <c r="I219" i="14"/>
  <c r="F219" i="14"/>
  <c r="D219" i="14"/>
  <c r="G219" i="14"/>
  <c r="A258" i="14"/>
  <c r="E219" i="14"/>
  <c r="H219" i="14"/>
  <c r="B951" i="12"/>
  <c r="C816" i="12"/>
  <c r="B875" i="12"/>
  <c r="C740" i="12"/>
  <c r="C1143" i="12"/>
  <c r="B1278" i="12"/>
  <c r="B1376" i="12"/>
  <c r="C1241" i="12"/>
  <c r="A943" i="12"/>
  <c r="C808" i="12"/>
  <c r="D259" i="14"/>
  <c r="G259" i="14"/>
  <c r="H259" i="14"/>
  <c r="I259" i="14"/>
  <c r="E259" i="14"/>
  <c r="C259" i="14"/>
  <c r="F259" i="14"/>
  <c r="B1156" i="12"/>
  <c r="C1021" i="12"/>
  <c r="C955" i="12"/>
  <c r="B1090" i="12"/>
  <c r="G265" i="14"/>
  <c r="C265" i="14"/>
  <c r="D265" i="14"/>
  <c r="H265" i="14"/>
  <c r="I265" i="14"/>
  <c r="E265" i="14"/>
  <c r="F265" i="14"/>
  <c r="C737" i="12"/>
  <c r="B872" i="12"/>
  <c r="C967" i="12"/>
  <c r="B1102" i="12"/>
  <c r="C1140" i="12"/>
  <c r="B1275" i="12"/>
  <c r="B2271" i="12"/>
  <c r="C2136" i="12"/>
  <c r="D234" i="14"/>
  <c r="I234" i="14"/>
  <c r="C234" i="14"/>
  <c r="H234" i="14"/>
  <c r="A273" i="14"/>
  <c r="F234" i="14"/>
  <c r="E234" i="14"/>
  <c r="G234" i="14"/>
  <c r="B1055" i="12"/>
  <c r="C920" i="12"/>
  <c r="B2297" i="12"/>
  <c r="C621" i="12"/>
  <c r="B756" i="12"/>
  <c r="D223" i="14"/>
  <c r="I223" i="14"/>
  <c r="C223" i="14"/>
  <c r="A262" i="14"/>
  <c r="H223" i="14"/>
  <c r="G223" i="14"/>
  <c r="E223" i="14"/>
  <c r="F223" i="14"/>
  <c r="B874" i="12"/>
  <c r="C739" i="12"/>
  <c r="B2389" i="12"/>
  <c r="C2254" i="12"/>
  <c r="B2432" i="12" l="1"/>
  <c r="B1511" i="12"/>
  <c r="C1376" i="12"/>
  <c r="B1002" i="12"/>
  <c r="C867" i="12"/>
  <c r="A1877" i="12"/>
  <c r="C1742" i="12"/>
  <c r="B1271" i="12"/>
  <c r="C1136" i="12"/>
  <c r="C1153" i="12"/>
  <c r="B1288" i="12"/>
  <c r="B1260" i="12"/>
  <c r="C1125" i="12"/>
  <c r="C1276" i="12"/>
  <c r="B1411" i="12"/>
  <c r="C1022" i="12"/>
  <c r="B1157" i="12"/>
  <c r="I273" i="14"/>
  <c r="D273" i="14"/>
  <c r="F273" i="14"/>
  <c r="H273" i="14"/>
  <c r="G273" i="14"/>
  <c r="E273" i="14"/>
  <c r="C273" i="14"/>
  <c r="A1078" i="12"/>
  <c r="C943" i="12"/>
  <c r="B1086" i="12"/>
  <c r="C951" i="12"/>
  <c r="B1621" i="12"/>
  <c r="C1486" i="12"/>
  <c r="B1105" i="12"/>
  <c r="C970" i="12"/>
  <c r="G245" i="14"/>
  <c r="I245" i="14"/>
  <c r="D245" i="14"/>
  <c r="E245" i="14"/>
  <c r="C245" i="14"/>
  <c r="H245" i="14"/>
  <c r="F245" i="14"/>
  <c r="C2294" i="12"/>
  <c r="B2429" i="12"/>
  <c r="B908" i="12"/>
  <c r="C773" i="12"/>
  <c r="C1119" i="12"/>
  <c r="B1254" i="12"/>
  <c r="B1428" i="12"/>
  <c r="C1293" i="12"/>
  <c r="B916" i="12"/>
  <c r="C781" i="12"/>
  <c r="B975" i="12"/>
  <c r="C840" i="12"/>
  <c r="B1069" i="12"/>
  <c r="C934" i="12"/>
  <c r="B1306" i="12"/>
  <c r="C1171" i="12"/>
  <c r="B1368" i="12"/>
  <c r="C1233" i="12"/>
  <c r="B833" i="12"/>
  <c r="C698" i="12"/>
  <c r="C1303" i="12"/>
  <c r="B1438" i="12"/>
  <c r="B1151" i="12"/>
  <c r="C1016" i="12"/>
  <c r="C1102" i="12"/>
  <c r="B1237" i="12"/>
  <c r="C1123" i="12"/>
  <c r="B1258" i="12"/>
  <c r="B986" i="12"/>
  <c r="C851" i="12"/>
  <c r="B4037" i="12"/>
  <c r="B903" i="12"/>
  <c r="C768" i="12"/>
  <c r="B1342" i="12"/>
  <c r="C1207" i="12"/>
  <c r="B1032" i="12"/>
  <c r="C897" i="12"/>
  <c r="I255" i="14"/>
  <c r="E255" i="14"/>
  <c r="H255" i="14"/>
  <c r="C255" i="14"/>
  <c r="D255" i="14"/>
  <c r="G255" i="14"/>
  <c r="F255" i="14"/>
  <c r="B1150" i="12"/>
  <c r="C1015" i="12"/>
  <c r="A1725" i="12"/>
  <c r="C1590" i="12"/>
  <c r="B907" i="12"/>
  <c r="C772" i="12"/>
  <c r="B2596" i="12"/>
  <c r="C2461" i="12"/>
  <c r="B3103" i="12"/>
  <c r="B1614" i="12"/>
  <c r="C1479" i="12"/>
  <c r="B1239" i="12"/>
  <c r="C1104" i="12"/>
  <c r="B1017" i="12"/>
  <c r="C882" i="12"/>
  <c r="B1394" i="12"/>
  <c r="C1259" i="12"/>
  <c r="B1244" i="12"/>
  <c r="C1109" i="12"/>
  <c r="B1007" i="12"/>
  <c r="C872" i="12"/>
  <c r="C998" i="12"/>
  <c r="B1133" i="12"/>
  <c r="C711" i="12"/>
  <c r="B846" i="12"/>
  <c r="B965" i="12"/>
  <c r="C830" i="12"/>
  <c r="B2150" i="12"/>
  <c r="C2015" i="12"/>
  <c r="B1295" i="12"/>
  <c r="C1160" i="12"/>
  <c r="B2524" i="12"/>
  <c r="C2389" i="12"/>
  <c r="C1090" i="12"/>
  <c r="B1225" i="12"/>
  <c r="C1729" i="12"/>
  <c r="B1864" i="12"/>
  <c r="B1220" i="12"/>
  <c r="C1085" i="12"/>
  <c r="C987" i="12"/>
  <c r="B1122" i="12"/>
  <c r="B1712" i="12"/>
  <c r="C1577" i="12"/>
  <c r="B991" i="12"/>
  <c r="C856" i="12"/>
  <c r="B1400" i="12"/>
  <c r="C1265" i="12"/>
  <c r="B877" i="12"/>
  <c r="C742" i="12"/>
  <c r="C795" i="12"/>
  <c r="B930" i="12"/>
  <c r="B1332" i="12"/>
  <c r="C1197" i="12"/>
  <c r="B1169" i="12"/>
  <c r="C1034" i="12"/>
  <c r="C917" i="12"/>
  <c r="B1052" i="12"/>
  <c r="B1027" i="12"/>
  <c r="C892" i="12"/>
  <c r="B2046" i="12"/>
  <c r="C1911" i="12"/>
  <c r="C827" i="12"/>
  <c r="B962" i="12"/>
  <c r="C1053" i="12"/>
  <c r="B1188" i="12"/>
  <c r="C1353" i="12"/>
  <c r="B1488" i="12"/>
  <c r="C775" i="12"/>
  <c r="B910" i="12"/>
  <c r="B1063" i="12"/>
  <c r="C928" i="12"/>
  <c r="C798" i="12"/>
  <c r="B933" i="12"/>
  <c r="B1175" i="12"/>
  <c r="C1040" i="12"/>
  <c r="F261" i="14"/>
  <c r="C261" i="14"/>
  <c r="I261" i="14"/>
  <c r="E261" i="14"/>
  <c r="D261" i="14"/>
  <c r="G261" i="14"/>
  <c r="H261" i="14"/>
  <c r="B1620" i="12"/>
  <c r="C1485" i="12"/>
  <c r="C1329" i="12"/>
  <c r="B1464" i="12"/>
  <c r="B1247" i="12"/>
  <c r="C1112" i="12"/>
  <c r="I253" i="14"/>
  <c r="H253" i="14"/>
  <c r="G253" i="14"/>
  <c r="F253" i="14"/>
  <c r="E253" i="14"/>
  <c r="C253" i="14"/>
  <c r="D253" i="14"/>
  <c r="C710" i="12"/>
  <c r="B845" i="12"/>
  <c r="C262" i="14"/>
  <c r="E262" i="14"/>
  <c r="D262" i="14"/>
  <c r="H262" i="14"/>
  <c r="G262" i="14"/>
  <c r="I262" i="14"/>
  <c r="F262" i="14"/>
  <c r="B1413" i="12"/>
  <c r="C1278" i="12"/>
  <c r="B1584" i="12"/>
  <c r="C1449" i="12"/>
  <c r="B1883" i="12"/>
  <c r="C1748" i="12"/>
  <c r="B847" i="12"/>
  <c r="C712" i="12"/>
  <c r="B940" i="12"/>
  <c r="C805" i="12"/>
  <c r="B1127" i="12"/>
  <c r="C992" i="12"/>
  <c r="C682" i="12"/>
  <c r="B817" i="12"/>
  <c r="A1082" i="12"/>
  <c r="C947" i="12"/>
  <c r="B1193" i="12"/>
  <c r="C1058" i="12"/>
  <c r="B1534" i="12"/>
  <c r="C1399" i="12"/>
  <c r="B1176" i="12"/>
  <c r="C1041" i="12"/>
  <c r="B1190" i="12"/>
  <c r="C1055" i="12"/>
  <c r="B1336" i="12"/>
  <c r="C1201" i="12"/>
  <c r="B2130" i="12"/>
  <c r="B1009" i="12"/>
  <c r="C874" i="12"/>
  <c r="B2406" i="12"/>
  <c r="C2271" i="12"/>
  <c r="B1010" i="12"/>
  <c r="C875" i="12"/>
  <c r="C1518" i="12"/>
  <c r="B1653" i="12"/>
  <c r="B1014" i="12"/>
  <c r="C879" i="12"/>
  <c r="B960" i="12"/>
  <c r="C825" i="12"/>
  <c r="C1466" i="12"/>
  <c r="B1601" i="12"/>
  <c r="E243" i="14"/>
  <c r="H243" i="14"/>
  <c r="D243" i="14"/>
  <c r="C243" i="14"/>
  <c r="F243" i="14"/>
  <c r="I243" i="14"/>
  <c r="G243" i="14"/>
  <c r="B1134" i="12"/>
  <c r="C999" i="12"/>
  <c r="C895" i="12"/>
  <c r="B1030" i="12"/>
  <c r="B1107" i="12"/>
  <c r="C972" i="12"/>
  <c r="C1369" i="12"/>
  <c r="B1504" i="12"/>
  <c r="B1341" i="12"/>
  <c r="C1206" i="12"/>
  <c r="C1274" i="12"/>
  <c r="B1409" i="12"/>
  <c r="B1148" i="12"/>
  <c r="C1013" i="12"/>
  <c r="B1263" i="12"/>
  <c r="C1128" i="12"/>
  <c r="B2172" i="12"/>
  <c r="C2037" i="12"/>
  <c r="C1060" i="12"/>
  <c r="B1195" i="12"/>
  <c r="B912" i="12"/>
  <c r="C777" i="12"/>
  <c r="B868" i="12"/>
  <c r="C733" i="12"/>
  <c r="B1289" i="12"/>
  <c r="C1154" i="12"/>
  <c r="B1994" i="12"/>
  <c r="C1859" i="12"/>
  <c r="B838" i="12"/>
  <c r="C703" i="12"/>
  <c r="G267" i="14"/>
  <c r="H267" i="14"/>
  <c r="D267" i="14"/>
  <c r="E267" i="14"/>
  <c r="C267" i="14"/>
  <c r="I267" i="14"/>
  <c r="F267" i="14"/>
  <c r="B1211" i="12"/>
  <c r="C1076" i="12"/>
  <c r="C258" i="14"/>
  <c r="G258" i="14"/>
  <c r="I258" i="14"/>
  <c r="E258" i="14"/>
  <c r="H258" i="14"/>
  <c r="D258" i="14"/>
  <c r="F258" i="14"/>
  <c r="B953" i="12"/>
  <c r="C818" i="12"/>
  <c r="B821" i="12"/>
  <c r="C686" i="12"/>
  <c r="B2009" i="12"/>
  <c r="C1874" i="12"/>
  <c r="B1402" i="12"/>
  <c r="C1267" i="12"/>
  <c r="B1183" i="12"/>
  <c r="C1048" i="12"/>
  <c r="E241" i="14"/>
  <c r="C241" i="14"/>
  <c r="F241" i="14"/>
  <c r="I241" i="14"/>
  <c r="D241" i="14"/>
  <c r="H241" i="14"/>
  <c r="G241" i="14"/>
  <c r="B1991" i="12"/>
  <c r="C1856" i="12"/>
  <c r="B1135" i="12"/>
  <c r="C1000" i="12"/>
  <c r="F251" i="14"/>
  <c r="C251" i="14"/>
  <c r="H251" i="14"/>
  <c r="E251" i="14"/>
  <c r="I251" i="14"/>
  <c r="G251" i="14"/>
  <c r="D251" i="14"/>
  <c r="C844" i="12"/>
  <c r="B979" i="12"/>
  <c r="G242" i="14"/>
  <c r="H242" i="14"/>
  <c r="F242" i="14"/>
  <c r="C242" i="14"/>
  <c r="I242" i="14"/>
  <c r="D242" i="14"/>
  <c r="E242" i="14"/>
  <c r="C1035" i="12"/>
  <c r="B1170" i="12"/>
  <c r="B1057" i="12"/>
  <c r="C922" i="12"/>
  <c r="B1253" i="12"/>
  <c r="C1118" i="12"/>
  <c r="B891" i="12"/>
  <c r="C756" i="12"/>
  <c r="C1275" i="12"/>
  <c r="B1410" i="12"/>
  <c r="B1291" i="12"/>
  <c r="C1156" i="12"/>
  <c r="B1094" i="12"/>
  <c r="C959" i="12"/>
  <c r="B1436" i="12"/>
  <c r="C1301" i="12"/>
  <c r="B1298" i="12"/>
  <c r="C1163" i="12"/>
  <c r="E237" i="14"/>
  <c r="G237" i="14"/>
  <c r="H237" i="14"/>
  <c r="D237" i="14"/>
  <c r="I237" i="14"/>
  <c r="C237" i="14"/>
  <c r="F237" i="14"/>
  <c r="B996" i="12"/>
  <c r="C861" i="12"/>
  <c r="C826" i="12"/>
  <c r="B961" i="12"/>
  <c r="C1024" i="12"/>
  <c r="B1159" i="12"/>
  <c r="C894" i="12"/>
  <c r="B1029" i="12"/>
  <c r="C819" i="12"/>
  <c r="B954" i="12"/>
  <c r="B1390" i="12"/>
  <c r="C1255" i="12"/>
  <c r="C1363" i="12"/>
  <c r="B1498" i="12"/>
  <c r="B1020" i="12"/>
  <c r="C885" i="12"/>
  <c r="B1416" i="12"/>
  <c r="C1281" i="12"/>
  <c r="B814" i="12"/>
  <c r="C679" i="12"/>
  <c r="C942" i="12"/>
  <c r="B1077" i="12"/>
  <c r="B2659" i="12" l="1"/>
  <c r="C2524" i="12"/>
  <c r="B1573" i="12"/>
  <c r="C1438" i="12"/>
  <c r="B1756" i="12"/>
  <c r="C1621" i="12"/>
  <c r="B1382" i="12"/>
  <c r="C1247" i="12"/>
  <c r="B956" i="12"/>
  <c r="C821" i="12"/>
  <c r="B1424" i="12"/>
  <c r="C1289" i="12"/>
  <c r="B2307" i="12"/>
  <c r="C2172" i="12"/>
  <c r="B1476" i="12"/>
  <c r="C1341" i="12"/>
  <c r="C1134" i="12"/>
  <c r="B1269" i="12"/>
  <c r="C1601" i="12"/>
  <c r="B1736" i="12"/>
  <c r="B1310" i="12"/>
  <c r="C1175" i="12"/>
  <c r="B1162" i="12"/>
  <c r="C1027" i="12"/>
  <c r="C1712" i="12"/>
  <c r="B1847" i="12"/>
  <c r="C965" i="12"/>
  <c r="B1100" i="12"/>
  <c r="B1379" i="12"/>
  <c r="C1244" i="12"/>
  <c r="B1749" i="12"/>
  <c r="C1614" i="12"/>
  <c r="A1860" i="12"/>
  <c r="C1725" i="12"/>
  <c r="B4172" i="12"/>
  <c r="C1105" i="12"/>
  <c r="B1240" i="12"/>
  <c r="B1546" i="12"/>
  <c r="C1411" i="12"/>
  <c r="B1096" i="12"/>
  <c r="C961" i="12"/>
  <c r="B1229" i="12"/>
  <c r="C1094" i="12"/>
  <c r="B1388" i="12"/>
  <c r="C1253" i="12"/>
  <c r="B2126" i="12"/>
  <c r="C1991" i="12"/>
  <c r="B1639" i="12"/>
  <c r="C1504" i="12"/>
  <c r="B1145" i="12"/>
  <c r="C1010" i="12"/>
  <c r="B1471" i="12"/>
  <c r="C1336" i="12"/>
  <c r="C1193" i="12"/>
  <c r="B1328" i="12"/>
  <c r="B1075" i="12"/>
  <c r="C940" i="12"/>
  <c r="B1548" i="12"/>
  <c r="C1413" i="12"/>
  <c r="B980" i="12"/>
  <c r="C845" i="12"/>
  <c r="B1068" i="12"/>
  <c r="C933" i="12"/>
  <c r="C1188" i="12"/>
  <c r="B1323" i="12"/>
  <c r="B1187" i="12"/>
  <c r="C1052" i="12"/>
  <c r="B1257" i="12"/>
  <c r="C1122" i="12"/>
  <c r="B981" i="12"/>
  <c r="C846" i="12"/>
  <c r="B3238" i="12"/>
  <c r="C1151" i="12"/>
  <c r="B1286" i="12"/>
  <c r="C1306" i="12"/>
  <c r="B1441" i="12"/>
  <c r="C1428" i="12"/>
  <c r="B1563" i="12"/>
  <c r="C1877" i="12"/>
  <c r="A2012" i="12"/>
  <c r="C1263" i="12"/>
  <c r="B1398" i="12"/>
  <c r="B1012" i="12"/>
  <c r="C877" i="12"/>
  <c r="B1089" i="12"/>
  <c r="C954" i="12"/>
  <c r="B2541" i="12"/>
  <c r="C2406" i="12"/>
  <c r="B1325" i="12"/>
  <c r="C1190" i="12"/>
  <c r="B982" i="12"/>
  <c r="C847" i="12"/>
  <c r="B1097" i="12"/>
  <c r="C962" i="12"/>
  <c r="B1167" i="12"/>
  <c r="C1032" i="12"/>
  <c r="B1121" i="12"/>
  <c r="C986" i="12"/>
  <c r="B1204" i="12"/>
  <c r="C1069" i="12"/>
  <c r="B1047" i="12"/>
  <c r="C912" i="12"/>
  <c r="C1148" i="12"/>
  <c r="B1283" i="12"/>
  <c r="C1107" i="12"/>
  <c r="B1242" i="12"/>
  <c r="B1164" i="12"/>
  <c r="C1029" i="12"/>
  <c r="B1433" i="12"/>
  <c r="C1298" i="12"/>
  <c r="B1114" i="12"/>
  <c r="C979" i="12"/>
  <c r="B1330" i="12"/>
  <c r="C1195" i="12"/>
  <c r="C1409" i="12"/>
  <c r="B1544" i="12"/>
  <c r="B1165" i="12"/>
  <c r="C1030" i="12"/>
  <c r="B1149" i="12"/>
  <c r="C1014" i="12"/>
  <c r="C1009" i="12"/>
  <c r="B1144" i="12"/>
  <c r="B1311" i="12"/>
  <c r="C1176" i="12"/>
  <c r="B2018" i="12"/>
  <c r="C1883" i="12"/>
  <c r="B1045" i="12"/>
  <c r="C910" i="12"/>
  <c r="B1999" i="12"/>
  <c r="C1864" i="12"/>
  <c r="B1477" i="12"/>
  <c r="C1342" i="12"/>
  <c r="B968" i="12"/>
  <c r="C833" i="12"/>
  <c r="B1110" i="12"/>
  <c r="C975" i="12"/>
  <c r="B1043" i="12"/>
  <c r="C908" i="12"/>
  <c r="C1511" i="12"/>
  <c r="B1646" i="12"/>
  <c r="B1525" i="12"/>
  <c r="C1390" i="12"/>
  <c r="B1318" i="12"/>
  <c r="C1183" i="12"/>
  <c r="B1088" i="12"/>
  <c r="C953" i="12"/>
  <c r="C868" i="12"/>
  <c r="B1003" i="12"/>
  <c r="C1394" i="12"/>
  <c r="B1529" i="12"/>
  <c r="B1285" i="12"/>
  <c r="C1150" i="12"/>
  <c r="B1426" i="12"/>
  <c r="C1291" i="12"/>
  <c r="C1211" i="12"/>
  <c r="B1346" i="12"/>
  <c r="C1260" i="12"/>
  <c r="B1395" i="12"/>
  <c r="C1410" i="12"/>
  <c r="B1545" i="12"/>
  <c r="C1170" i="12"/>
  <c r="B1305" i="12"/>
  <c r="B1198" i="12"/>
  <c r="C1063" i="12"/>
  <c r="C1169" i="12"/>
  <c r="B1304" i="12"/>
  <c r="B1535" i="12"/>
  <c r="C1400" i="12"/>
  <c r="B1355" i="12"/>
  <c r="C1220" i="12"/>
  <c r="B1430" i="12"/>
  <c r="C1295" i="12"/>
  <c r="C1017" i="12"/>
  <c r="B1152" i="12"/>
  <c r="C2596" i="12"/>
  <c r="B2731" i="12"/>
  <c r="B1221" i="12"/>
  <c r="C1086" i="12"/>
  <c r="C1288" i="12"/>
  <c r="B1423" i="12"/>
  <c r="C1020" i="12"/>
  <c r="B1155" i="12"/>
  <c r="B2144" i="12"/>
  <c r="C2009" i="12"/>
  <c r="C1994" i="12"/>
  <c r="B2129" i="12"/>
  <c r="B1788" i="12"/>
  <c r="C1653" i="12"/>
  <c r="B2265" i="12"/>
  <c r="C2046" i="12"/>
  <c r="B2181" i="12"/>
  <c r="B1467" i="12"/>
  <c r="C1332" i="12"/>
  <c r="C991" i="12"/>
  <c r="B1126" i="12"/>
  <c r="B2285" i="12"/>
  <c r="C2150" i="12"/>
  <c r="B1142" i="12"/>
  <c r="C1007" i="12"/>
  <c r="B1374" i="12"/>
  <c r="C1239" i="12"/>
  <c r="B1042" i="12"/>
  <c r="C907" i="12"/>
  <c r="C1237" i="12"/>
  <c r="B1372" i="12"/>
  <c r="B2564" i="12"/>
  <c r="C2429" i="12"/>
  <c r="C1078" i="12"/>
  <c r="A1213" i="12"/>
  <c r="B1292" i="12"/>
  <c r="C1157" i="12"/>
  <c r="C814" i="12"/>
  <c r="B949" i="12"/>
  <c r="C1254" i="12"/>
  <c r="B1389" i="12"/>
  <c r="B1192" i="12"/>
  <c r="C1057" i="12"/>
  <c r="B1095" i="12"/>
  <c r="C960" i="12"/>
  <c r="A1217" i="12"/>
  <c r="C1082" i="12"/>
  <c r="B1268" i="12"/>
  <c r="C1133" i="12"/>
  <c r="C1002" i="12"/>
  <c r="B1137" i="12"/>
  <c r="B1551" i="12"/>
  <c r="C1416" i="12"/>
  <c r="B1131" i="12"/>
  <c r="C996" i="12"/>
  <c r="B1537" i="12"/>
  <c r="C1402" i="12"/>
  <c r="C838" i="12"/>
  <c r="B973" i="12"/>
  <c r="B952" i="12"/>
  <c r="C817" i="12"/>
  <c r="B1599" i="12"/>
  <c r="C1464" i="12"/>
  <c r="B1393" i="12"/>
  <c r="C1258" i="12"/>
  <c r="B1212" i="12"/>
  <c r="C1077" i="12"/>
  <c r="B1633" i="12"/>
  <c r="C1498" i="12"/>
  <c r="B1294" i="12"/>
  <c r="C1159" i="12"/>
  <c r="B1571" i="12"/>
  <c r="C1436" i="12"/>
  <c r="C891" i="12"/>
  <c r="B1026" i="12"/>
  <c r="C1135" i="12"/>
  <c r="B1270" i="12"/>
  <c r="B1669" i="12"/>
  <c r="C1534" i="12"/>
  <c r="B1262" i="12"/>
  <c r="C1127" i="12"/>
  <c r="B1719" i="12"/>
  <c r="C1584" i="12"/>
  <c r="B1755" i="12"/>
  <c r="C1620" i="12"/>
  <c r="C1488" i="12"/>
  <c r="B1623" i="12"/>
  <c r="B1065" i="12"/>
  <c r="C930" i="12"/>
  <c r="B1360" i="12"/>
  <c r="C1225" i="12"/>
  <c r="C903" i="12"/>
  <c r="B1038" i="12"/>
  <c r="B1503" i="12"/>
  <c r="C1368" i="12"/>
  <c r="B1051" i="12"/>
  <c r="C916" i="12"/>
  <c r="B1406" i="12"/>
  <c r="C1271" i="12"/>
  <c r="B2567" i="12"/>
  <c r="B1758" i="12" l="1"/>
  <c r="C1623" i="12"/>
  <c r="C949" i="12"/>
  <c r="B1084" i="12"/>
  <c r="C1328" i="12"/>
  <c r="B1463" i="12"/>
  <c r="C1503" i="12"/>
  <c r="B1638" i="12"/>
  <c r="B1804" i="12"/>
  <c r="C1669" i="12"/>
  <c r="B1429" i="12"/>
  <c r="C1294" i="12"/>
  <c r="B1734" i="12"/>
  <c r="C1599" i="12"/>
  <c r="B1266" i="12"/>
  <c r="C1131" i="12"/>
  <c r="A1352" i="12"/>
  <c r="C1217" i="12"/>
  <c r="B2420" i="12"/>
  <c r="C2285" i="12"/>
  <c r="C1525" i="12"/>
  <c r="B1660" i="12"/>
  <c r="C968" i="12"/>
  <c r="B1103" i="12"/>
  <c r="B2153" i="12"/>
  <c r="C2018" i="12"/>
  <c r="B1300" i="12"/>
  <c r="C1165" i="12"/>
  <c r="C1433" i="12"/>
  <c r="B1568" i="12"/>
  <c r="B1182" i="12"/>
  <c r="C1047" i="12"/>
  <c r="C1097" i="12"/>
  <c r="B1232" i="12"/>
  <c r="B1224" i="12"/>
  <c r="C1089" i="12"/>
  <c r="B1116" i="12"/>
  <c r="C981" i="12"/>
  <c r="B1203" i="12"/>
  <c r="C1068" i="12"/>
  <c r="B2261" i="12"/>
  <c r="C2126" i="12"/>
  <c r="B1681" i="12"/>
  <c r="C1546" i="12"/>
  <c r="C1749" i="12"/>
  <c r="B1884" i="12"/>
  <c r="B1297" i="12"/>
  <c r="C1162" i="12"/>
  <c r="B1611" i="12"/>
  <c r="C1476" i="12"/>
  <c r="B1517" i="12"/>
  <c r="C1382" i="12"/>
  <c r="B2400" i="12"/>
  <c r="C1395" i="12"/>
  <c r="B1530" i="12"/>
  <c r="C1563" i="12"/>
  <c r="B1698" i="12"/>
  <c r="C1213" i="12"/>
  <c r="A1348" i="12"/>
  <c r="B1377" i="12"/>
  <c r="C1242" i="12"/>
  <c r="C1406" i="12"/>
  <c r="B1541" i="12"/>
  <c r="B1495" i="12"/>
  <c r="C1360" i="12"/>
  <c r="C1719" i="12"/>
  <c r="B1854" i="12"/>
  <c r="B1347" i="12"/>
  <c r="C1212" i="12"/>
  <c r="B1327" i="12"/>
  <c r="C1192" i="12"/>
  <c r="C1374" i="12"/>
  <c r="B1509" i="12"/>
  <c r="C1467" i="12"/>
  <c r="B1602" i="12"/>
  <c r="C1221" i="12"/>
  <c r="B1356" i="12"/>
  <c r="B1490" i="12"/>
  <c r="C1355" i="12"/>
  <c r="B1561" i="12"/>
  <c r="C1426" i="12"/>
  <c r="C1088" i="12"/>
  <c r="B1223" i="12"/>
  <c r="B1178" i="12"/>
  <c r="C1043" i="12"/>
  <c r="B2134" i="12"/>
  <c r="C1999" i="12"/>
  <c r="C1330" i="12"/>
  <c r="B1465" i="12"/>
  <c r="B1256" i="12"/>
  <c r="C1121" i="12"/>
  <c r="B1460" i="12"/>
  <c r="C1325" i="12"/>
  <c r="C1187" i="12"/>
  <c r="B1322" i="12"/>
  <c r="B1683" i="12"/>
  <c r="C1548" i="12"/>
  <c r="C1145" i="12"/>
  <c r="B1280" i="12"/>
  <c r="C1229" i="12"/>
  <c r="B1364" i="12"/>
  <c r="B4307" i="12"/>
  <c r="C1424" i="12"/>
  <c r="B1559" i="12"/>
  <c r="B1708" i="12"/>
  <c r="C1573" i="12"/>
  <c r="B1290" i="12"/>
  <c r="C1155" i="12"/>
  <c r="C1152" i="12"/>
  <c r="B1287" i="12"/>
  <c r="B1439" i="12"/>
  <c r="C1304" i="12"/>
  <c r="B1664" i="12"/>
  <c r="C1529" i="12"/>
  <c r="B1173" i="12"/>
  <c r="C1038" i="12"/>
  <c r="B1405" i="12"/>
  <c r="C1270" i="12"/>
  <c r="C1126" i="12"/>
  <c r="B1261" i="12"/>
  <c r="B1558" i="12"/>
  <c r="C1423" i="12"/>
  <c r="B1481" i="12"/>
  <c r="C1346" i="12"/>
  <c r="C1646" i="12"/>
  <c r="B1781" i="12"/>
  <c r="B1375" i="12"/>
  <c r="C1240" i="12"/>
  <c r="B2702" i="12"/>
  <c r="B1565" i="12"/>
  <c r="C1430" i="12"/>
  <c r="B1333" i="12"/>
  <c r="C1198" i="12"/>
  <c r="B1299" i="12"/>
  <c r="C1164" i="12"/>
  <c r="B1339" i="12"/>
  <c r="C1204" i="12"/>
  <c r="C982" i="12"/>
  <c r="B1117" i="12"/>
  <c r="B1147" i="12"/>
  <c r="C1012" i="12"/>
  <c r="B1514" i="12"/>
  <c r="C1379" i="12"/>
  <c r="B1445" i="12"/>
  <c r="C1310" i="12"/>
  <c r="B1891" i="12"/>
  <c r="C1756" i="12"/>
  <c r="B1440" i="12"/>
  <c r="C1305" i="12"/>
  <c r="B1524" i="12"/>
  <c r="C1389" i="12"/>
  <c r="B2316" i="12"/>
  <c r="C2181" i="12"/>
  <c r="B2866" i="12"/>
  <c r="C2731" i="12"/>
  <c r="B1680" i="12"/>
  <c r="C1545" i="12"/>
  <c r="B1418" i="12"/>
  <c r="C1283" i="12"/>
  <c r="C2012" i="12"/>
  <c r="A2147" i="12"/>
  <c r="C1323" i="12"/>
  <c r="B1458" i="12"/>
  <c r="B1982" i="12"/>
  <c r="C1847" i="12"/>
  <c r="C1269" i="12"/>
  <c r="B1404" i="12"/>
  <c r="C1372" i="12"/>
  <c r="B1507" i="12"/>
  <c r="C1003" i="12"/>
  <c r="B1138" i="12"/>
  <c r="C1544" i="12"/>
  <c r="B1679" i="12"/>
  <c r="B1576" i="12"/>
  <c r="C1441" i="12"/>
  <c r="B1890" i="12"/>
  <c r="C1755" i="12"/>
  <c r="B1768" i="12"/>
  <c r="C1633" i="12"/>
  <c r="B1087" i="12"/>
  <c r="C952" i="12"/>
  <c r="B1686" i="12"/>
  <c r="C1551" i="12"/>
  <c r="B1230" i="12"/>
  <c r="C1095" i="12"/>
  <c r="B1427" i="12"/>
  <c r="C1292" i="12"/>
  <c r="B1177" i="12"/>
  <c r="C1042" i="12"/>
  <c r="C1788" i="12"/>
  <c r="B1923" i="12"/>
  <c r="B1612" i="12"/>
  <c r="C1477" i="12"/>
  <c r="C1311" i="12"/>
  <c r="B1446" i="12"/>
  <c r="B1392" i="12"/>
  <c r="C1257" i="12"/>
  <c r="C980" i="12"/>
  <c r="B1115" i="12"/>
  <c r="B1606" i="12"/>
  <c r="C1471" i="12"/>
  <c r="B1523" i="12"/>
  <c r="C1388" i="12"/>
  <c r="B2442" i="12"/>
  <c r="C2307" i="12"/>
  <c r="C1026" i="12"/>
  <c r="B1161" i="12"/>
  <c r="C973" i="12"/>
  <c r="B1108" i="12"/>
  <c r="B1272" i="12"/>
  <c r="C1137" i="12"/>
  <c r="C2129" i="12"/>
  <c r="B2264" i="12"/>
  <c r="C1144" i="12"/>
  <c r="B1279" i="12"/>
  <c r="C1398" i="12"/>
  <c r="B1533" i="12"/>
  <c r="C1286" i="12"/>
  <c r="B1421" i="12"/>
  <c r="B1235" i="12"/>
  <c r="C1100" i="12"/>
  <c r="B1871" i="12"/>
  <c r="C1736" i="12"/>
  <c r="B1186" i="12"/>
  <c r="C1051" i="12"/>
  <c r="B1200" i="12"/>
  <c r="C1065" i="12"/>
  <c r="C1262" i="12"/>
  <c r="B1397" i="12"/>
  <c r="C1571" i="12"/>
  <c r="B1706" i="12"/>
  <c r="C1393" i="12"/>
  <c r="B1528" i="12"/>
  <c r="B1672" i="12"/>
  <c r="C1537" i="12"/>
  <c r="C1268" i="12"/>
  <c r="B1403" i="12"/>
  <c r="B2699" i="12"/>
  <c r="C2564" i="12"/>
  <c r="C1142" i="12"/>
  <c r="B1277" i="12"/>
  <c r="B2279" i="12"/>
  <c r="C2144" i="12"/>
  <c r="B1670" i="12"/>
  <c r="C1535" i="12"/>
  <c r="B1420" i="12"/>
  <c r="C1285" i="12"/>
  <c r="C1318" i="12"/>
  <c r="B1453" i="12"/>
  <c r="B1245" i="12"/>
  <c r="C1110" i="12"/>
  <c r="C1045" i="12"/>
  <c r="B1180" i="12"/>
  <c r="C1149" i="12"/>
  <c r="B1284" i="12"/>
  <c r="B1249" i="12"/>
  <c r="C1114" i="12"/>
  <c r="C1167" i="12"/>
  <c r="B1302" i="12"/>
  <c r="B2676" i="12"/>
  <c r="C2541" i="12"/>
  <c r="B3373" i="12"/>
  <c r="C1075" i="12"/>
  <c r="B1210" i="12"/>
  <c r="C1639" i="12"/>
  <c r="B1774" i="12"/>
  <c r="B1231" i="12"/>
  <c r="C1096" i="12"/>
  <c r="A1995" i="12"/>
  <c r="C1860" i="12"/>
  <c r="C956" i="12"/>
  <c r="B1091" i="12"/>
  <c r="C2659" i="12"/>
  <c r="B2794" i="12"/>
  <c r="C1397" i="12" l="1"/>
  <c r="B1532" i="12"/>
  <c r="C2264" i="12"/>
  <c r="B2399" i="12"/>
  <c r="B1916" i="12"/>
  <c r="C1781" i="12"/>
  <c r="C1287" i="12"/>
  <c r="B1422" i="12"/>
  <c r="B1665" i="12"/>
  <c r="C1530" i="12"/>
  <c r="B1238" i="12"/>
  <c r="C1103" i="12"/>
  <c r="C1231" i="12"/>
  <c r="B1366" i="12"/>
  <c r="B2811" i="12"/>
  <c r="C2676" i="12"/>
  <c r="B1805" i="12"/>
  <c r="C1670" i="12"/>
  <c r="B1370" i="12"/>
  <c r="C1235" i="12"/>
  <c r="B2577" i="12"/>
  <c r="C2442" i="12"/>
  <c r="B1312" i="12"/>
  <c r="C1177" i="12"/>
  <c r="C1680" i="12"/>
  <c r="B1815" i="12"/>
  <c r="B1540" i="12"/>
  <c r="C1405" i="12"/>
  <c r="B4442" i="12"/>
  <c r="B2269" i="12"/>
  <c r="C2134" i="12"/>
  <c r="B1625" i="12"/>
  <c r="C1490" i="12"/>
  <c r="C1327" i="12"/>
  <c r="B1462" i="12"/>
  <c r="C2794" i="12"/>
  <c r="B2929" i="12"/>
  <c r="B1593" i="12"/>
  <c r="C1458" i="12"/>
  <c r="C1364" i="12"/>
  <c r="B1499" i="12"/>
  <c r="B2019" i="12"/>
  <c r="C1884" i="12"/>
  <c r="B1795" i="12"/>
  <c r="C1660" i="12"/>
  <c r="B1380" i="12"/>
  <c r="C1245" i="12"/>
  <c r="B1562" i="12"/>
  <c r="C1427" i="12"/>
  <c r="C1768" i="12"/>
  <c r="B1903" i="12"/>
  <c r="C1481" i="12"/>
  <c r="B1616" i="12"/>
  <c r="B1595" i="12"/>
  <c r="C1460" i="12"/>
  <c r="B1313" i="12"/>
  <c r="C1178" i="12"/>
  <c r="B1482" i="12"/>
  <c r="C1347" i="12"/>
  <c r="B2535" i="12"/>
  <c r="B1869" i="12"/>
  <c r="C1734" i="12"/>
  <c r="B1668" i="12"/>
  <c r="C1533" i="12"/>
  <c r="B1243" i="12"/>
  <c r="C1108" i="12"/>
  <c r="A2282" i="12"/>
  <c r="C2147" i="12"/>
  <c r="B2837" i="12"/>
  <c r="B1415" i="12"/>
  <c r="C1280" i="12"/>
  <c r="B1219" i="12"/>
  <c r="C1084" i="12"/>
  <c r="B1384" i="12"/>
  <c r="C1249" i="12"/>
  <c r="B1321" i="12"/>
  <c r="C1186" i="12"/>
  <c r="C1606" i="12"/>
  <c r="B1741" i="12"/>
  <c r="C1612" i="12"/>
  <c r="B1747" i="12"/>
  <c r="B1365" i="12"/>
  <c r="C1230" i="12"/>
  <c r="B2025" i="12"/>
  <c r="C1890" i="12"/>
  <c r="B2451" i="12"/>
  <c r="C2316" i="12"/>
  <c r="B1580" i="12"/>
  <c r="C1445" i="12"/>
  <c r="C1339" i="12"/>
  <c r="B1474" i="12"/>
  <c r="B1693" i="12"/>
  <c r="C1558" i="12"/>
  <c r="C1664" i="12"/>
  <c r="B1799" i="12"/>
  <c r="B1843" i="12"/>
  <c r="C1708" i="12"/>
  <c r="C1256" i="12"/>
  <c r="B1391" i="12"/>
  <c r="B1652" i="12"/>
  <c r="C1517" i="12"/>
  <c r="C1681" i="12"/>
  <c r="B1816" i="12"/>
  <c r="B1359" i="12"/>
  <c r="C1224" i="12"/>
  <c r="B1435" i="12"/>
  <c r="C1300" i="12"/>
  <c r="B2555" i="12"/>
  <c r="C2420" i="12"/>
  <c r="C1429" i="12"/>
  <c r="B1564" i="12"/>
  <c r="B1315" i="12"/>
  <c r="C1180" i="12"/>
  <c r="C1403" i="12"/>
  <c r="B1538" i="12"/>
  <c r="C1440" i="12"/>
  <c r="B1575" i="12"/>
  <c r="C1446" i="12"/>
  <c r="B1581" i="12"/>
  <c r="C1356" i="12"/>
  <c r="B1491" i="12"/>
  <c r="B2414" i="12"/>
  <c r="C2279" i="12"/>
  <c r="C1672" i="12"/>
  <c r="B1807" i="12"/>
  <c r="B1335" i="12"/>
  <c r="C1200" i="12"/>
  <c r="B1407" i="12"/>
  <c r="C1272" i="12"/>
  <c r="C2866" i="12"/>
  <c r="B3001" i="12"/>
  <c r="B1308" i="12"/>
  <c r="C1173" i="12"/>
  <c r="B1226" i="12"/>
  <c r="C1091" i="12"/>
  <c r="B1345" i="12"/>
  <c r="C1210" i="12"/>
  <c r="B1588" i="12"/>
  <c r="C1453" i="12"/>
  <c r="C1528" i="12"/>
  <c r="B1663" i="12"/>
  <c r="B1419" i="12"/>
  <c r="C1284" i="12"/>
  <c r="B1841" i="12"/>
  <c r="C1706" i="12"/>
  <c r="C1279" i="12"/>
  <c r="B1414" i="12"/>
  <c r="B1296" i="12"/>
  <c r="C1161" i="12"/>
  <c r="B1250" i="12"/>
  <c r="C1115" i="12"/>
  <c r="B2058" i="12"/>
  <c r="C1923" i="12"/>
  <c r="B1539" i="12"/>
  <c r="C1404" i="12"/>
  <c r="C1261" i="12"/>
  <c r="B1396" i="12"/>
  <c r="B1694" i="12"/>
  <c r="C1559" i="12"/>
  <c r="B1600" i="12"/>
  <c r="C1465" i="12"/>
  <c r="C1509" i="12"/>
  <c r="B1644" i="12"/>
  <c r="C1698" i="12"/>
  <c r="B1833" i="12"/>
  <c r="C1232" i="12"/>
  <c r="B1367" i="12"/>
  <c r="B1814" i="12"/>
  <c r="C1679" i="12"/>
  <c r="C1322" i="12"/>
  <c r="B1457" i="12"/>
  <c r="C1541" i="12"/>
  <c r="B1676" i="12"/>
  <c r="B1773" i="12"/>
  <c r="C1638" i="12"/>
  <c r="C1392" i="12"/>
  <c r="B1527" i="12"/>
  <c r="B1222" i="12"/>
  <c r="C1087" i="12"/>
  <c r="C1982" i="12"/>
  <c r="B2117" i="12"/>
  <c r="B1282" i="12"/>
  <c r="C1147" i="12"/>
  <c r="B1468" i="12"/>
  <c r="C1333" i="12"/>
  <c r="C1297" i="12"/>
  <c r="B1432" i="12"/>
  <c r="B1338" i="12"/>
  <c r="C1203" i="12"/>
  <c r="C1182" i="12"/>
  <c r="B1317" i="12"/>
  <c r="B1401" i="12"/>
  <c r="C1266" i="12"/>
  <c r="B1909" i="12"/>
  <c r="C1774" i="12"/>
  <c r="C1302" i="12"/>
  <c r="B1437" i="12"/>
  <c r="C1421" i="12"/>
  <c r="B1556" i="12"/>
  <c r="B1273" i="12"/>
  <c r="C1138" i="12"/>
  <c r="B1252" i="12"/>
  <c r="C1117" i="12"/>
  <c r="B1703" i="12"/>
  <c r="C1568" i="12"/>
  <c r="C1463" i="12"/>
  <c r="B1598" i="12"/>
  <c r="C1523" i="12"/>
  <c r="B1658" i="12"/>
  <c r="B2026" i="12"/>
  <c r="C1891" i="12"/>
  <c r="C1565" i="12"/>
  <c r="B1700" i="12"/>
  <c r="B1425" i="12"/>
  <c r="C1290" i="12"/>
  <c r="B1512" i="12"/>
  <c r="C1377" i="12"/>
  <c r="B1251" i="12"/>
  <c r="C1116" i="12"/>
  <c r="B1412" i="12"/>
  <c r="C1277" i="12"/>
  <c r="C1507" i="12"/>
  <c r="B1642" i="12"/>
  <c r="C1223" i="12"/>
  <c r="B1358" i="12"/>
  <c r="B1737" i="12"/>
  <c r="C1602" i="12"/>
  <c r="B1989" i="12"/>
  <c r="C1854" i="12"/>
  <c r="C1348" i="12"/>
  <c r="A1483" i="12"/>
  <c r="A2130" i="12"/>
  <c r="C1995" i="12"/>
  <c r="B3508" i="12"/>
  <c r="B1555" i="12"/>
  <c r="C1420" i="12"/>
  <c r="B2834" i="12"/>
  <c r="C2699" i="12"/>
  <c r="C1871" i="12"/>
  <c r="B2006" i="12"/>
  <c r="C1686" i="12"/>
  <c r="B1821" i="12"/>
  <c r="C1576" i="12"/>
  <c r="B1711" i="12"/>
  <c r="B1553" i="12"/>
  <c r="C1418" i="12"/>
  <c r="B1659" i="12"/>
  <c r="C1524" i="12"/>
  <c r="B1649" i="12"/>
  <c r="C1514" i="12"/>
  <c r="C1299" i="12"/>
  <c r="B1434" i="12"/>
  <c r="C1375" i="12"/>
  <c r="B1510" i="12"/>
  <c r="B1574" i="12"/>
  <c r="C1439" i="12"/>
  <c r="B1818" i="12"/>
  <c r="C1683" i="12"/>
  <c r="B1696" i="12"/>
  <c r="C1561" i="12"/>
  <c r="C1495" i="12"/>
  <c r="B1630" i="12"/>
  <c r="B1746" i="12"/>
  <c r="C1611" i="12"/>
  <c r="B2396" i="12"/>
  <c r="C2261" i="12"/>
  <c r="B2288" i="12"/>
  <c r="C2153" i="12"/>
  <c r="A1487" i="12"/>
  <c r="C1352" i="12"/>
  <c r="B1939" i="12"/>
  <c r="C1804" i="12"/>
  <c r="C1758" i="12"/>
  <c r="B1893" i="12"/>
  <c r="C1711" i="12" l="1"/>
  <c r="B1846" i="12"/>
  <c r="B1572" i="12"/>
  <c r="C1437" i="12"/>
  <c r="C2288" i="12"/>
  <c r="B2423" i="12"/>
  <c r="B1473" i="12"/>
  <c r="C1338" i="12"/>
  <c r="B2028" i="12"/>
  <c r="C1893" i="12"/>
  <c r="B1567" i="12"/>
  <c r="C1432" i="12"/>
  <c r="B1673" i="12"/>
  <c r="C1538" i="12"/>
  <c r="B2670" i="12"/>
  <c r="C1616" i="12"/>
  <c r="B1751" i="12"/>
  <c r="C1737" i="12"/>
  <c r="B1872" i="12"/>
  <c r="B1386" i="12"/>
  <c r="C1251" i="12"/>
  <c r="B1387" i="12"/>
  <c r="C1252" i="12"/>
  <c r="C1909" i="12"/>
  <c r="B2044" i="12"/>
  <c r="B1674" i="12"/>
  <c r="C1539" i="12"/>
  <c r="C1435" i="12"/>
  <c r="B1570" i="12"/>
  <c r="B4577" i="12"/>
  <c r="B2712" i="12"/>
  <c r="C2577" i="12"/>
  <c r="C2006" i="12"/>
  <c r="B2141" i="12"/>
  <c r="B1493" i="12"/>
  <c r="C1358" i="12"/>
  <c r="B1793" i="12"/>
  <c r="C1658" i="12"/>
  <c r="B1662" i="12"/>
  <c r="C1527" i="12"/>
  <c r="B1626" i="12"/>
  <c r="C1491" i="12"/>
  <c r="B1882" i="12"/>
  <c r="C1747" i="12"/>
  <c r="B2038" i="12"/>
  <c r="C1903" i="12"/>
  <c r="B1597" i="12"/>
  <c r="C1462" i="12"/>
  <c r="B2534" i="12"/>
  <c r="C2399" i="12"/>
  <c r="B2252" i="12"/>
  <c r="C2117" i="12"/>
  <c r="B1811" i="12"/>
  <c r="C1676" i="12"/>
  <c r="B1968" i="12"/>
  <c r="C1833" i="12"/>
  <c r="B1531" i="12"/>
  <c r="C1396" i="12"/>
  <c r="C1663" i="12"/>
  <c r="B1798" i="12"/>
  <c r="C1422" i="12"/>
  <c r="B1557" i="12"/>
  <c r="B1831" i="12"/>
  <c r="C1696" i="12"/>
  <c r="C1652" i="12"/>
  <c r="B1787" i="12"/>
  <c r="B1515" i="12"/>
  <c r="C1380" i="12"/>
  <c r="B2404" i="12"/>
  <c r="C2269" i="12"/>
  <c r="B1526" i="12"/>
  <c r="C1391" i="12"/>
  <c r="B1609" i="12"/>
  <c r="C1474" i="12"/>
  <c r="B3064" i="12"/>
  <c r="C2929" i="12"/>
  <c r="B1501" i="12"/>
  <c r="C1366" i="12"/>
  <c r="B2531" i="12"/>
  <c r="C2396" i="12"/>
  <c r="B2051" i="12"/>
  <c r="C1916" i="12"/>
  <c r="B2074" i="12"/>
  <c r="C1939" i="12"/>
  <c r="B1881" i="12"/>
  <c r="C1746" i="12"/>
  <c r="B1709" i="12"/>
  <c r="C1574" i="12"/>
  <c r="B1794" i="12"/>
  <c r="C1659" i="12"/>
  <c r="A2265" i="12"/>
  <c r="C2130" i="12"/>
  <c r="B1647" i="12"/>
  <c r="C1512" i="12"/>
  <c r="C1273" i="12"/>
  <c r="B1408" i="12"/>
  <c r="C1401" i="12"/>
  <c r="B1536" i="12"/>
  <c r="B1603" i="12"/>
  <c r="C1468" i="12"/>
  <c r="C1814" i="12"/>
  <c r="B1949" i="12"/>
  <c r="B1735" i="12"/>
  <c r="C1600" i="12"/>
  <c r="C2058" i="12"/>
  <c r="B2193" i="12"/>
  <c r="B1976" i="12"/>
  <c r="C1841" i="12"/>
  <c r="B1480" i="12"/>
  <c r="C1345" i="12"/>
  <c r="B1542" i="12"/>
  <c r="C1407" i="12"/>
  <c r="B1450" i="12"/>
  <c r="C1315" i="12"/>
  <c r="B1494" i="12"/>
  <c r="C1359" i="12"/>
  <c r="C1843" i="12"/>
  <c r="B1978" i="12"/>
  <c r="B1715" i="12"/>
  <c r="C1580" i="12"/>
  <c r="B1354" i="12"/>
  <c r="C1219" i="12"/>
  <c r="B1378" i="12"/>
  <c r="C1243" i="12"/>
  <c r="B1617" i="12"/>
  <c r="C1482" i="12"/>
  <c r="C2019" i="12"/>
  <c r="B2154" i="12"/>
  <c r="C1540" i="12"/>
  <c r="B1675" i="12"/>
  <c r="B1505" i="12"/>
  <c r="C1370" i="12"/>
  <c r="B1373" i="12"/>
  <c r="C1238" i="12"/>
  <c r="B1569" i="12"/>
  <c r="C1434" i="12"/>
  <c r="C1807" i="12"/>
  <c r="B1942" i="12"/>
  <c r="B1710" i="12"/>
  <c r="C1575" i="12"/>
  <c r="B2972" i="12"/>
  <c r="B1431" i="12"/>
  <c r="C1296" i="12"/>
  <c r="C1308" i="12"/>
  <c r="B1443" i="12"/>
  <c r="B2690" i="12"/>
  <c r="C2555" i="12"/>
  <c r="C2025" i="12"/>
  <c r="B2160" i="12"/>
  <c r="B1730" i="12"/>
  <c r="C1595" i="12"/>
  <c r="B2946" i="12"/>
  <c r="C2811" i="12"/>
  <c r="C1821" i="12"/>
  <c r="B1956" i="12"/>
  <c r="C1588" i="12"/>
  <c r="B1723" i="12"/>
  <c r="B2549" i="12"/>
  <c r="C2414" i="12"/>
  <c r="B1500" i="12"/>
  <c r="C1365" i="12"/>
  <c r="A2417" i="12"/>
  <c r="C2282" i="12"/>
  <c r="B1930" i="12"/>
  <c r="C1795" i="12"/>
  <c r="C1630" i="12"/>
  <c r="B1765" i="12"/>
  <c r="C1510" i="12"/>
  <c r="B1645" i="12"/>
  <c r="A1618" i="12"/>
  <c r="C1483" i="12"/>
  <c r="B1777" i="12"/>
  <c r="C1642" i="12"/>
  <c r="B1733" i="12"/>
  <c r="C1598" i="12"/>
  <c r="C1556" i="12"/>
  <c r="B1691" i="12"/>
  <c r="B1452" i="12"/>
  <c r="C1317" i="12"/>
  <c r="B1502" i="12"/>
  <c r="C1367" i="12"/>
  <c r="B1716" i="12"/>
  <c r="C1581" i="12"/>
  <c r="B1699" i="12"/>
  <c r="C1564" i="12"/>
  <c r="B1951" i="12"/>
  <c r="C1816" i="12"/>
  <c r="C1799" i="12"/>
  <c r="B1934" i="12"/>
  <c r="B1876" i="12"/>
  <c r="C1741" i="12"/>
  <c r="C1499" i="12"/>
  <c r="B1634" i="12"/>
  <c r="B1950" i="12"/>
  <c r="C1815" i="12"/>
  <c r="B1667" i="12"/>
  <c r="C1532" i="12"/>
  <c r="B1835" i="12"/>
  <c r="C1700" i="12"/>
  <c r="B1690" i="12"/>
  <c r="C1555" i="12"/>
  <c r="B2124" i="12"/>
  <c r="C1989" i="12"/>
  <c r="B1547" i="12"/>
  <c r="C1412" i="12"/>
  <c r="B1838" i="12"/>
  <c r="C1703" i="12"/>
  <c r="B1828" i="12"/>
  <c r="C1693" i="12"/>
  <c r="B1456" i="12"/>
  <c r="C1321" i="12"/>
  <c r="C1869" i="12"/>
  <c r="B2004" i="12"/>
  <c r="B1728" i="12"/>
  <c r="C1593" i="12"/>
  <c r="C1312" i="12"/>
  <c r="B1447" i="12"/>
  <c r="B1592" i="12"/>
  <c r="C1457" i="12"/>
  <c r="C1644" i="12"/>
  <c r="B1779" i="12"/>
  <c r="C1414" i="12"/>
  <c r="B1549" i="12"/>
  <c r="B3136" i="12"/>
  <c r="C3001" i="12"/>
  <c r="B1953" i="12"/>
  <c r="C1818" i="12"/>
  <c r="C1649" i="12"/>
  <c r="B1784" i="12"/>
  <c r="B3643" i="12"/>
  <c r="C2026" i="12"/>
  <c r="B2161" i="12"/>
  <c r="C1222" i="12"/>
  <c r="B1357" i="12"/>
  <c r="C1384" i="12"/>
  <c r="B1519" i="12"/>
  <c r="A1622" i="12"/>
  <c r="C1487" i="12"/>
  <c r="C1553" i="12"/>
  <c r="B1688" i="12"/>
  <c r="B2969" i="12"/>
  <c r="C2834" i="12"/>
  <c r="C1425" i="12"/>
  <c r="B1560" i="12"/>
  <c r="B1417" i="12"/>
  <c r="C1282" i="12"/>
  <c r="B1908" i="12"/>
  <c r="C1773" i="12"/>
  <c r="B1829" i="12"/>
  <c r="C1694" i="12"/>
  <c r="B1385" i="12"/>
  <c r="C1250" i="12"/>
  <c r="C1419" i="12"/>
  <c r="B1554" i="12"/>
  <c r="C1226" i="12"/>
  <c r="B1361" i="12"/>
  <c r="B1470" i="12"/>
  <c r="C1335" i="12"/>
  <c r="B2586" i="12"/>
  <c r="C2451" i="12"/>
  <c r="B1550" i="12"/>
  <c r="C1415" i="12"/>
  <c r="B1803" i="12"/>
  <c r="C1668" i="12"/>
  <c r="B1448" i="12"/>
  <c r="C1313" i="12"/>
  <c r="B1697" i="12"/>
  <c r="C1562" i="12"/>
  <c r="C1625" i="12"/>
  <c r="B1760" i="12"/>
  <c r="B1940" i="12"/>
  <c r="C1805" i="12"/>
  <c r="B1800" i="12"/>
  <c r="C1665" i="12"/>
  <c r="C1723" i="12" l="1"/>
  <c r="B1858" i="12"/>
  <c r="B2295" i="12"/>
  <c r="C2160" i="12"/>
  <c r="B2113" i="12"/>
  <c r="C1978" i="12"/>
  <c r="C1697" i="12"/>
  <c r="B1832" i="12"/>
  <c r="C1385" i="12"/>
  <c r="B1520" i="12"/>
  <c r="C1502" i="12"/>
  <c r="B1637" i="12"/>
  <c r="B2065" i="12"/>
  <c r="C1930" i="12"/>
  <c r="B1636" i="12"/>
  <c r="C1501" i="12"/>
  <c r="B1946" i="12"/>
  <c r="C1811" i="12"/>
  <c r="B2173" i="12"/>
  <c r="C2038" i="12"/>
  <c r="B1522" i="12"/>
  <c r="C1387" i="12"/>
  <c r="B2558" i="12"/>
  <c r="C2423" i="12"/>
  <c r="B1605" i="12"/>
  <c r="C1470" i="12"/>
  <c r="C1710" i="12"/>
  <c r="B1845" i="12"/>
  <c r="B1640" i="12"/>
  <c r="C1505" i="12"/>
  <c r="B1513" i="12"/>
  <c r="C1378" i="12"/>
  <c r="B2111" i="12"/>
  <c r="C1976" i="12"/>
  <c r="C1603" i="12"/>
  <c r="B1738" i="12"/>
  <c r="C2074" i="12"/>
  <c r="B2209" i="12"/>
  <c r="C3064" i="12"/>
  <c r="B3199" i="12"/>
  <c r="B1650" i="12"/>
  <c r="C1515" i="12"/>
  <c r="B2387" i="12"/>
  <c r="C2252" i="12"/>
  <c r="C1361" i="12"/>
  <c r="B1496" i="12"/>
  <c r="B1823" i="12"/>
  <c r="C1688" i="12"/>
  <c r="B2296" i="12"/>
  <c r="C2161" i="12"/>
  <c r="B1582" i="12"/>
  <c r="C1447" i="12"/>
  <c r="B1769" i="12"/>
  <c r="C1634" i="12"/>
  <c r="C1691" i="12"/>
  <c r="B1826" i="12"/>
  <c r="B1780" i="12"/>
  <c r="C1645" i="12"/>
  <c r="B1578" i="12"/>
  <c r="C1443" i="12"/>
  <c r="C1942" i="12"/>
  <c r="B2077" i="12"/>
  <c r="B1810" i="12"/>
  <c r="C1675" i="12"/>
  <c r="B2328" i="12"/>
  <c r="C2193" i="12"/>
  <c r="B1671" i="12"/>
  <c r="C1536" i="12"/>
  <c r="C1787" i="12"/>
  <c r="B1922" i="12"/>
  <c r="C2141" i="12"/>
  <c r="B2276" i="12"/>
  <c r="C1872" i="12"/>
  <c r="B2007" i="12"/>
  <c r="C1560" i="12"/>
  <c r="B1695" i="12"/>
  <c r="C1779" i="12"/>
  <c r="B1914" i="12"/>
  <c r="B2721" i="12"/>
  <c r="C2586" i="12"/>
  <c r="C1956" i="12"/>
  <c r="B2091" i="12"/>
  <c r="B1583" i="12"/>
  <c r="C1448" i="12"/>
  <c r="C1829" i="12"/>
  <c r="B1964" i="12"/>
  <c r="B2088" i="12"/>
  <c r="C1953" i="12"/>
  <c r="B1591" i="12"/>
  <c r="C1456" i="12"/>
  <c r="B2085" i="12"/>
  <c r="C1950" i="12"/>
  <c r="B2086" i="12"/>
  <c r="C1951" i="12"/>
  <c r="B1587" i="12"/>
  <c r="C1452" i="12"/>
  <c r="B2825" i="12"/>
  <c r="C2690" i="12"/>
  <c r="B1629" i="12"/>
  <c r="C1494" i="12"/>
  <c r="A2400" i="12"/>
  <c r="C2265" i="12"/>
  <c r="B2017" i="12"/>
  <c r="C1882" i="12"/>
  <c r="B1808" i="12"/>
  <c r="C1673" i="12"/>
  <c r="B2075" i="12"/>
  <c r="C1940" i="12"/>
  <c r="B1938" i="12"/>
  <c r="C1803" i="12"/>
  <c r="B2043" i="12"/>
  <c r="C1908" i="12"/>
  <c r="B3271" i="12"/>
  <c r="C3136" i="12"/>
  <c r="C1828" i="12"/>
  <c r="B1963" i="12"/>
  <c r="B1825" i="12"/>
  <c r="C1690" i="12"/>
  <c r="B1834" i="12"/>
  <c r="C1699" i="12"/>
  <c r="C1500" i="12"/>
  <c r="B1635" i="12"/>
  <c r="B3081" i="12"/>
  <c r="C2946" i="12"/>
  <c r="C1354" i="12"/>
  <c r="B1489" i="12"/>
  <c r="C1450" i="12"/>
  <c r="B1585" i="12"/>
  <c r="B1929" i="12"/>
  <c r="C1794" i="12"/>
  <c r="B2186" i="12"/>
  <c r="C2051" i="12"/>
  <c r="C1609" i="12"/>
  <c r="B1744" i="12"/>
  <c r="B1666" i="12"/>
  <c r="C1531" i="12"/>
  <c r="C2534" i="12"/>
  <c r="B2669" i="12"/>
  <c r="C1626" i="12"/>
  <c r="B1761" i="12"/>
  <c r="C1674" i="12"/>
  <c r="B1809" i="12"/>
  <c r="C1567" i="12"/>
  <c r="B1702" i="12"/>
  <c r="B1707" i="12"/>
  <c r="C1572" i="12"/>
  <c r="C1934" i="12"/>
  <c r="B2069" i="12"/>
  <c r="B3107" i="12"/>
  <c r="B1508" i="12"/>
  <c r="C1373" i="12"/>
  <c r="B1752" i="12"/>
  <c r="C1617" i="12"/>
  <c r="B1615" i="12"/>
  <c r="C1480" i="12"/>
  <c r="C1647" i="12"/>
  <c r="B1782" i="12"/>
  <c r="B2539" i="12"/>
  <c r="C2404" i="12"/>
  <c r="C1793" i="12"/>
  <c r="B1928" i="12"/>
  <c r="B1608" i="12"/>
  <c r="C1473" i="12"/>
  <c r="B1492" i="12"/>
  <c r="C1357" i="12"/>
  <c r="C1570" i="12"/>
  <c r="B1705" i="12"/>
  <c r="C1800" i="12"/>
  <c r="B1935" i="12"/>
  <c r="B3104" i="12"/>
  <c r="C2969" i="12"/>
  <c r="B1727" i="12"/>
  <c r="C1592" i="12"/>
  <c r="A2552" i="12"/>
  <c r="C2417" i="12"/>
  <c r="B1628" i="12"/>
  <c r="C1493" i="12"/>
  <c r="B1895" i="12"/>
  <c r="C1760" i="12"/>
  <c r="B1689" i="12"/>
  <c r="C1554" i="12"/>
  <c r="B3778" i="12"/>
  <c r="C1549" i="12"/>
  <c r="B1684" i="12"/>
  <c r="B1900" i="12"/>
  <c r="C1765" i="12"/>
  <c r="B2289" i="12"/>
  <c r="C2154" i="12"/>
  <c r="C1408" i="12"/>
  <c r="B1543" i="12"/>
  <c r="B2179" i="12"/>
  <c r="C2044" i="12"/>
  <c r="B1886" i="12"/>
  <c r="C1751" i="12"/>
  <c r="B1981" i="12"/>
  <c r="C1846" i="12"/>
  <c r="C1519" i="12"/>
  <c r="B1654" i="12"/>
  <c r="C1784" i="12"/>
  <c r="B1919" i="12"/>
  <c r="B2139" i="12"/>
  <c r="C2004" i="12"/>
  <c r="B2084" i="12"/>
  <c r="C1949" i="12"/>
  <c r="B1692" i="12"/>
  <c r="C1557" i="12"/>
  <c r="B2805" i="12"/>
  <c r="B1682" i="12"/>
  <c r="C1547" i="12"/>
  <c r="C1667" i="12"/>
  <c r="B1802" i="12"/>
  <c r="B1912" i="12"/>
  <c r="C1777" i="12"/>
  <c r="B2016" i="12"/>
  <c r="C1881" i="12"/>
  <c r="B4712" i="12"/>
  <c r="B1933" i="12"/>
  <c r="C1798" i="12"/>
  <c r="C2124" i="12"/>
  <c r="B2259" i="12"/>
  <c r="A1753" i="12"/>
  <c r="C1618" i="12"/>
  <c r="C1386" i="12"/>
  <c r="B1521" i="12"/>
  <c r="C1550" i="12"/>
  <c r="B1685" i="12"/>
  <c r="B1552" i="12"/>
  <c r="C1417" i="12"/>
  <c r="A1757" i="12"/>
  <c r="C1622" i="12"/>
  <c r="B1863" i="12"/>
  <c r="C1728" i="12"/>
  <c r="B1973" i="12"/>
  <c r="C1838" i="12"/>
  <c r="B1970" i="12"/>
  <c r="C1835" i="12"/>
  <c r="B2011" i="12"/>
  <c r="C1876" i="12"/>
  <c r="C1716" i="12"/>
  <c r="B1851" i="12"/>
  <c r="B1868" i="12"/>
  <c r="C1733" i="12"/>
  <c r="B2684" i="12"/>
  <c r="C2549" i="12"/>
  <c r="B1865" i="12"/>
  <c r="C1730" i="12"/>
  <c r="B1566" i="12"/>
  <c r="C1431" i="12"/>
  <c r="B1704" i="12"/>
  <c r="C1569" i="12"/>
  <c r="B1850" i="12"/>
  <c r="C1715" i="12"/>
  <c r="B1677" i="12"/>
  <c r="C1542" i="12"/>
  <c r="C1735" i="12"/>
  <c r="B1870" i="12"/>
  <c r="B1844" i="12"/>
  <c r="C1709" i="12"/>
  <c r="C2531" i="12"/>
  <c r="B2666" i="12"/>
  <c r="B1661" i="12"/>
  <c r="C1526" i="12"/>
  <c r="B1966" i="12"/>
  <c r="C1831" i="12"/>
  <c r="B2103" i="12"/>
  <c r="C1968" i="12"/>
  <c r="B1732" i="12"/>
  <c r="C1597" i="12"/>
  <c r="B1797" i="12"/>
  <c r="C1662" i="12"/>
  <c r="B2847" i="12"/>
  <c r="C2712" i="12"/>
  <c r="B2163" i="12"/>
  <c r="C2028" i="12"/>
  <c r="B1837" i="12" l="1"/>
  <c r="C1702" i="12"/>
  <c r="B1720" i="12"/>
  <c r="C1585" i="12"/>
  <c r="C1732" i="12"/>
  <c r="B1867" i="12"/>
  <c r="B2105" i="12"/>
  <c r="C1970" i="12"/>
  <c r="A2687" i="12"/>
  <c r="C2552" i="12"/>
  <c r="B1945" i="12"/>
  <c r="C1810" i="12"/>
  <c r="C1685" i="12"/>
  <c r="B1820" i="12"/>
  <c r="B3242" i="12"/>
  <c r="B1879" i="12"/>
  <c r="C1744" i="12"/>
  <c r="B1624" i="12"/>
  <c r="C1489" i="12"/>
  <c r="C1914" i="12"/>
  <c r="B2049" i="12"/>
  <c r="B2212" i="12"/>
  <c r="C2077" i="12"/>
  <c r="C1496" i="12"/>
  <c r="B1631" i="12"/>
  <c r="B2344" i="12"/>
  <c r="C2209" i="12"/>
  <c r="C2163" i="12"/>
  <c r="B2298" i="12"/>
  <c r="C1973" i="12"/>
  <c r="B2108" i="12"/>
  <c r="C1981" i="12"/>
  <c r="B2116" i="12"/>
  <c r="C1689" i="12"/>
  <c r="B1824" i="12"/>
  <c r="B1960" i="12"/>
  <c r="C1825" i="12"/>
  <c r="A2535" i="12"/>
  <c r="C2400" i="12"/>
  <c r="B2221" i="12"/>
  <c r="C2086" i="12"/>
  <c r="B1904" i="12"/>
  <c r="C1769" i="12"/>
  <c r="C1640" i="12"/>
  <c r="B1775" i="12"/>
  <c r="B1657" i="12"/>
  <c r="C1522" i="12"/>
  <c r="B2200" i="12"/>
  <c r="C2065" i="12"/>
  <c r="B2005" i="12"/>
  <c r="C1870" i="12"/>
  <c r="B1986" i="12"/>
  <c r="C1851" i="12"/>
  <c r="C1521" i="12"/>
  <c r="B1656" i="12"/>
  <c r="B2204" i="12"/>
  <c r="C2069" i="12"/>
  <c r="C1761" i="12"/>
  <c r="B1896" i="12"/>
  <c r="B2098" i="12"/>
  <c r="C1963" i="12"/>
  <c r="C1695" i="12"/>
  <c r="B1830" i="12"/>
  <c r="B1873" i="12"/>
  <c r="C1738" i="12"/>
  <c r="B1980" i="12"/>
  <c r="C1845" i="12"/>
  <c r="B1772" i="12"/>
  <c r="C1637" i="12"/>
  <c r="B3913" i="12"/>
  <c r="B2411" i="12"/>
  <c r="C2276" i="12"/>
  <c r="C1826" i="12"/>
  <c r="B1961" i="12"/>
  <c r="B1985" i="12"/>
  <c r="C1850" i="12"/>
  <c r="B2178" i="12"/>
  <c r="C2043" i="12"/>
  <c r="B1958" i="12"/>
  <c r="C1823" i="12"/>
  <c r="B2693" i="12"/>
  <c r="C2558" i="12"/>
  <c r="C1782" i="12"/>
  <c r="B1917" i="12"/>
  <c r="B2099" i="12"/>
  <c r="C1964" i="12"/>
  <c r="C2103" i="12"/>
  <c r="B2238" i="12"/>
  <c r="C1868" i="12"/>
  <c r="B2003" i="12"/>
  <c r="C1933" i="12"/>
  <c r="B2068" i="12"/>
  <c r="B2219" i="12"/>
  <c r="C2084" i="12"/>
  <c r="C2289" i="12"/>
  <c r="B2424" i="12"/>
  <c r="B1862" i="12"/>
  <c r="C1727" i="12"/>
  <c r="B2073" i="12"/>
  <c r="C1938" i="12"/>
  <c r="B2248" i="12"/>
  <c r="C2113" i="12"/>
  <c r="B2982" i="12"/>
  <c r="C2847" i="12"/>
  <c r="B2101" i="12"/>
  <c r="C1966" i="12"/>
  <c r="B1701" i="12"/>
  <c r="C1566" i="12"/>
  <c r="C1863" i="12"/>
  <c r="B1998" i="12"/>
  <c r="B4847" i="12"/>
  <c r="C1682" i="12"/>
  <c r="B1817" i="12"/>
  <c r="B2274" i="12"/>
  <c r="C2139" i="12"/>
  <c r="B2021" i="12"/>
  <c r="C1886" i="12"/>
  <c r="B2035" i="12"/>
  <c r="C1900" i="12"/>
  <c r="B2030" i="12"/>
  <c r="C1895" i="12"/>
  <c r="B3239" i="12"/>
  <c r="C3104" i="12"/>
  <c r="B1743" i="12"/>
  <c r="C1608" i="12"/>
  <c r="B1750" i="12"/>
  <c r="C1615" i="12"/>
  <c r="C2186" i="12"/>
  <c r="B2321" i="12"/>
  <c r="B3216" i="12"/>
  <c r="C3081" i="12"/>
  <c r="C2075" i="12"/>
  <c r="B2210" i="12"/>
  <c r="C1629" i="12"/>
  <c r="B1764" i="12"/>
  <c r="B2220" i="12"/>
  <c r="C2085" i="12"/>
  <c r="C1583" i="12"/>
  <c r="B1718" i="12"/>
  <c r="B1806" i="12"/>
  <c r="C1671" i="12"/>
  <c r="C1578" i="12"/>
  <c r="B1713" i="12"/>
  <c r="C1582" i="12"/>
  <c r="B1717" i="12"/>
  <c r="B2522" i="12"/>
  <c r="C2387" i="12"/>
  <c r="B2308" i="12"/>
  <c r="C2173" i="12"/>
  <c r="B2430" i="12"/>
  <c r="C2295" i="12"/>
  <c r="C2666" i="12"/>
  <c r="B2801" i="12"/>
  <c r="C2259" i="12"/>
  <c r="B2394" i="12"/>
  <c r="B2819" i="12"/>
  <c r="C2684" i="12"/>
  <c r="B1687" i="12"/>
  <c r="C1552" i="12"/>
  <c r="C1912" i="12"/>
  <c r="B2047" i="12"/>
  <c r="B2152" i="12"/>
  <c r="C2017" i="12"/>
  <c r="B2856" i="12"/>
  <c r="C2721" i="12"/>
  <c r="C1513" i="12"/>
  <c r="B1648" i="12"/>
  <c r="B1839" i="12"/>
  <c r="C1704" i="12"/>
  <c r="B2054" i="12"/>
  <c r="C1919" i="12"/>
  <c r="C1684" i="12"/>
  <c r="B1819" i="12"/>
  <c r="B2070" i="12"/>
  <c r="C1935" i="12"/>
  <c r="B2063" i="12"/>
  <c r="C1928" i="12"/>
  <c r="B2804" i="12"/>
  <c r="C2669" i="12"/>
  <c r="B1770" i="12"/>
  <c r="C1635" i="12"/>
  <c r="C2091" i="12"/>
  <c r="B2226" i="12"/>
  <c r="C2007" i="12"/>
  <c r="B2142" i="12"/>
  <c r="B1655" i="12"/>
  <c r="C1520" i="12"/>
  <c r="B1993" i="12"/>
  <c r="C1858" i="12"/>
  <c r="C1654" i="12"/>
  <c r="B1789" i="12"/>
  <c r="C1543" i="12"/>
  <c r="B1678" i="12"/>
  <c r="B1840" i="12"/>
  <c r="C1705" i="12"/>
  <c r="B3334" i="12"/>
  <c r="C3199" i="12"/>
  <c r="B1967" i="12"/>
  <c r="C1832" i="12"/>
  <c r="B1827" i="12"/>
  <c r="C1692" i="12"/>
  <c r="C2539" i="12"/>
  <c r="B2674" i="12"/>
  <c r="B1643" i="12"/>
  <c r="C1508" i="12"/>
  <c r="B1801" i="12"/>
  <c r="C1666" i="12"/>
  <c r="B1969" i="12"/>
  <c r="C1834" i="12"/>
  <c r="B1722" i="12"/>
  <c r="C1587" i="12"/>
  <c r="B2223" i="12"/>
  <c r="C2088" i="12"/>
  <c r="C1636" i="12"/>
  <c r="B1771" i="12"/>
  <c r="C1802" i="12"/>
  <c r="B1937" i="12"/>
  <c r="B1944" i="12"/>
  <c r="C1809" i="12"/>
  <c r="B2057" i="12"/>
  <c r="C1922" i="12"/>
  <c r="B1979" i="12"/>
  <c r="C1844" i="12"/>
  <c r="B1627" i="12"/>
  <c r="C1492" i="12"/>
  <c r="C1797" i="12"/>
  <c r="B1932" i="12"/>
  <c r="B1796" i="12"/>
  <c r="C1661" i="12"/>
  <c r="B1812" i="12"/>
  <c r="C1677" i="12"/>
  <c r="B2000" i="12"/>
  <c r="C1865" i="12"/>
  <c r="B2146" i="12"/>
  <c r="C2011" i="12"/>
  <c r="A1892" i="12"/>
  <c r="C1757" i="12"/>
  <c r="A1888" i="12"/>
  <c r="C1753" i="12"/>
  <c r="B2151" i="12"/>
  <c r="C2016" i="12"/>
  <c r="B2940" i="12"/>
  <c r="C2179" i="12"/>
  <c r="B2314" i="12"/>
  <c r="B1763" i="12"/>
  <c r="C1628" i="12"/>
  <c r="B1887" i="12"/>
  <c r="C1752" i="12"/>
  <c r="C1707" i="12"/>
  <c r="B1842" i="12"/>
  <c r="B2064" i="12"/>
  <c r="C1929" i="12"/>
  <c r="C3271" i="12"/>
  <c r="B3406" i="12"/>
  <c r="B1943" i="12"/>
  <c r="C1808" i="12"/>
  <c r="C2825" i="12"/>
  <c r="B2960" i="12"/>
  <c r="B1726" i="12"/>
  <c r="C1591" i="12"/>
  <c r="B2463" i="12"/>
  <c r="C2328" i="12"/>
  <c r="B1915" i="12"/>
  <c r="C1780" i="12"/>
  <c r="B2431" i="12"/>
  <c r="C2296" i="12"/>
  <c r="B1785" i="12"/>
  <c r="C1650" i="12"/>
  <c r="B2246" i="12"/>
  <c r="C2111" i="12"/>
  <c r="B1740" i="12"/>
  <c r="C1605" i="12"/>
  <c r="C1946" i="12"/>
  <c r="B2081" i="12"/>
  <c r="B2243" i="12" l="1"/>
  <c r="C2108" i="12"/>
  <c r="C1796" i="12"/>
  <c r="B1931" i="12"/>
  <c r="B2358" i="12"/>
  <c r="C2223" i="12"/>
  <c r="C3334" i="12"/>
  <c r="B3469" i="12"/>
  <c r="B1905" i="12"/>
  <c r="C1770" i="12"/>
  <c r="B2991" i="12"/>
  <c r="C2856" i="12"/>
  <c r="B2443" i="12"/>
  <c r="C2308" i="12"/>
  <c r="B1878" i="12"/>
  <c r="C1743" i="12"/>
  <c r="C2674" i="12"/>
  <c r="B2809" i="12"/>
  <c r="C1718" i="12"/>
  <c r="B1853" i="12"/>
  <c r="B2203" i="12"/>
  <c r="C2068" i="12"/>
  <c r="B2052" i="12"/>
  <c r="C1917" i="12"/>
  <c r="C2298" i="12"/>
  <c r="B2433" i="12"/>
  <c r="B3075" i="12"/>
  <c r="B2281" i="12"/>
  <c r="C2146" i="12"/>
  <c r="B2079" i="12"/>
  <c r="C1944" i="12"/>
  <c r="B1857" i="12"/>
  <c r="C1722" i="12"/>
  <c r="B1975" i="12"/>
  <c r="C1840" i="12"/>
  <c r="B2939" i="12"/>
  <c r="C2804" i="12"/>
  <c r="B2287" i="12"/>
  <c r="C2152" i="12"/>
  <c r="B3374" i="12"/>
  <c r="C3239" i="12"/>
  <c r="C1985" i="12"/>
  <c r="B2120" i="12"/>
  <c r="B2095" i="12"/>
  <c r="C1960" i="12"/>
  <c r="B2072" i="12"/>
  <c r="C1937" i="12"/>
  <c r="C1678" i="12"/>
  <c r="B1813" i="12"/>
  <c r="B2277" i="12"/>
  <c r="C2142" i="12"/>
  <c r="B2182" i="12"/>
  <c r="C2047" i="12"/>
  <c r="B2936" i="12"/>
  <c r="C2801" i="12"/>
  <c r="C1717" i="12"/>
  <c r="B1852" i="12"/>
  <c r="C2321" i="12"/>
  <c r="B2456" i="12"/>
  <c r="C1817" i="12"/>
  <c r="B1952" i="12"/>
  <c r="B2138" i="12"/>
  <c r="C2003" i="12"/>
  <c r="C1961" i="12"/>
  <c r="B2096" i="12"/>
  <c r="C1896" i="12"/>
  <c r="B2031" i="12"/>
  <c r="B1959" i="12"/>
  <c r="C1824" i="12"/>
  <c r="C2314" i="12"/>
  <c r="B2449" i="12"/>
  <c r="B2345" i="12"/>
  <c r="C2210" i="12"/>
  <c r="B2133" i="12"/>
  <c r="C1998" i="12"/>
  <c r="B1861" i="12"/>
  <c r="C1726" i="12"/>
  <c r="B2192" i="12"/>
  <c r="C2057" i="12"/>
  <c r="B2128" i="12"/>
  <c r="C1993" i="12"/>
  <c r="B2383" i="12"/>
  <c r="C2248" i="12"/>
  <c r="B2354" i="12"/>
  <c r="C2219" i="12"/>
  <c r="C2099" i="12"/>
  <c r="B2234" i="12"/>
  <c r="C2178" i="12"/>
  <c r="B2313" i="12"/>
  <c r="B4048" i="12"/>
  <c r="B1792" i="12"/>
  <c r="C1657" i="12"/>
  <c r="A2670" i="12"/>
  <c r="C2535" i="12"/>
  <c r="B2347" i="12"/>
  <c r="C2212" i="12"/>
  <c r="C2081" i="12"/>
  <c r="B2216" i="12"/>
  <c r="C1842" i="12"/>
  <c r="B1977" i="12"/>
  <c r="B1955" i="12"/>
  <c r="C1820" i="12"/>
  <c r="B1790" i="12"/>
  <c r="C1655" i="12"/>
  <c r="B2189" i="12"/>
  <c r="C2054" i="12"/>
  <c r="B2657" i="12"/>
  <c r="C2522" i="12"/>
  <c r="B3351" i="12"/>
  <c r="C3216" i="12"/>
  <c r="B2409" i="12"/>
  <c r="C2274" i="12"/>
  <c r="B1836" i="12"/>
  <c r="C1701" i="12"/>
  <c r="B2208" i="12"/>
  <c r="C2073" i="12"/>
  <c r="B1907" i="12"/>
  <c r="C1772" i="12"/>
  <c r="C2098" i="12"/>
  <c r="B2233" i="12"/>
  <c r="B2121" i="12"/>
  <c r="C1986" i="12"/>
  <c r="B1875" i="12"/>
  <c r="C1740" i="12"/>
  <c r="B2050" i="12"/>
  <c r="C1915" i="12"/>
  <c r="B2078" i="12"/>
  <c r="C1943" i="12"/>
  <c r="B2022" i="12"/>
  <c r="C1887" i="12"/>
  <c r="B2286" i="12"/>
  <c r="C2151" i="12"/>
  <c r="C2000" i="12"/>
  <c r="B2135" i="12"/>
  <c r="B1762" i="12"/>
  <c r="C1627" i="12"/>
  <c r="C1969" i="12"/>
  <c r="B2104" i="12"/>
  <c r="B1962" i="12"/>
  <c r="C1827" i="12"/>
  <c r="B2198" i="12"/>
  <c r="C2063" i="12"/>
  <c r="C1839" i="12"/>
  <c r="B1974" i="12"/>
  <c r="B2355" i="12"/>
  <c r="C2220" i="12"/>
  <c r="B2165" i="12"/>
  <c r="C2030" i="12"/>
  <c r="B2236" i="12"/>
  <c r="C2101" i="12"/>
  <c r="B1997" i="12"/>
  <c r="C1862" i="12"/>
  <c r="C2693" i="12"/>
  <c r="B2828" i="12"/>
  <c r="B2115" i="12"/>
  <c r="C1980" i="12"/>
  <c r="C2005" i="12"/>
  <c r="B2140" i="12"/>
  <c r="C1904" i="12"/>
  <c r="B2039" i="12"/>
  <c r="B2479" i="12"/>
  <c r="C2344" i="12"/>
  <c r="C1624" i="12"/>
  <c r="B1759" i="12"/>
  <c r="B2080" i="12"/>
  <c r="C1945" i="12"/>
  <c r="B1855" i="12"/>
  <c r="C1720" i="12"/>
  <c r="B1791" i="12"/>
  <c r="C1656" i="12"/>
  <c r="B2199" i="12"/>
  <c r="C2064" i="12"/>
  <c r="B2954" i="12"/>
  <c r="C2819" i="12"/>
  <c r="C1806" i="12"/>
  <c r="B1941" i="12"/>
  <c r="C2021" i="12"/>
  <c r="B2156" i="12"/>
  <c r="B2240" i="12"/>
  <c r="C2105" i="12"/>
  <c r="C1932" i="12"/>
  <c r="B2067" i="12"/>
  <c r="B2184" i="12"/>
  <c r="C2049" i="12"/>
  <c r="B3541" i="12"/>
  <c r="C3406" i="12"/>
  <c r="B1906" i="12"/>
  <c r="C1771" i="12"/>
  <c r="B1924" i="12"/>
  <c r="C1789" i="12"/>
  <c r="C2226" i="12"/>
  <c r="B2361" i="12"/>
  <c r="C1648" i="12"/>
  <c r="B1783" i="12"/>
  <c r="B1848" i="12"/>
  <c r="C1713" i="12"/>
  <c r="B1899" i="12"/>
  <c r="C1764" i="12"/>
  <c r="B2559" i="12"/>
  <c r="C2424" i="12"/>
  <c r="C2238" i="12"/>
  <c r="B2373" i="12"/>
  <c r="B2251" i="12"/>
  <c r="C2116" i="12"/>
  <c r="B1766" i="12"/>
  <c r="C1631" i="12"/>
  <c r="B1954" i="12"/>
  <c r="C1819" i="12"/>
  <c r="C1830" i="12"/>
  <c r="B1965" i="12"/>
  <c r="B1920" i="12"/>
  <c r="C1785" i="12"/>
  <c r="A2027" i="12"/>
  <c r="C1892" i="12"/>
  <c r="B1778" i="12"/>
  <c r="C1643" i="12"/>
  <c r="B3377" i="12"/>
  <c r="B3095" i="12"/>
  <c r="C2960" i="12"/>
  <c r="C2394" i="12"/>
  <c r="B2529" i="12"/>
  <c r="B1910" i="12"/>
  <c r="C1775" i="12"/>
  <c r="B2002" i="12"/>
  <c r="C1867" i="12"/>
  <c r="B2566" i="12"/>
  <c r="C2431" i="12"/>
  <c r="C2246" i="12"/>
  <c r="B2381" i="12"/>
  <c r="B2598" i="12"/>
  <c r="C2463" i="12"/>
  <c r="B1898" i="12"/>
  <c r="C1763" i="12"/>
  <c r="A2023" i="12"/>
  <c r="C1888" i="12"/>
  <c r="B1947" i="12"/>
  <c r="C1812" i="12"/>
  <c r="C1979" i="12"/>
  <c r="B2114" i="12"/>
  <c r="B1936" i="12"/>
  <c r="C1801" i="12"/>
  <c r="C1967" i="12"/>
  <c r="B2102" i="12"/>
  <c r="B2205" i="12"/>
  <c r="C2070" i="12"/>
  <c r="C1687" i="12"/>
  <c r="B1822" i="12"/>
  <c r="B2565" i="12"/>
  <c r="C2430" i="12"/>
  <c r="B1885" i="12"/>
  <c r="C1750" i="12"/>
  <c r="B2170" i="12"/>
  <c r="C2035" i="12"/>
  <c r="B4982" i="12"/>
  <c r="C2982" i="12"/>
  <c r="B3117" i="12"/>
  <c r="B2093" i="12"/>
  <c r="C1958" i="12"/>
  <c r="C2411" i="12"/>
  <c r="B2546" i="12"/>
  <c r="B2008" i="12"/>
  <c r="C1873" i="12"/>
  <c r="B2339" i="12"/>
  <c r="C2204" i="12"/>
  <c r="B2335" i="12"/>
  <c r="C2200" i="12"/>
  <c r="B2356" i="12"/>
  <c r="C2221" i="12"/>
  <c r="B2014" i="12"/>
  <c r="C1879" i="12"/>
  <c r="A2822" i="12"/>
  <c r="C2687" i="12"/>
  <c r="B1972" i="12"/>
  <c r="C1837" i="12"/>
  <c r="C2529" i="12" l="1"/>
  <c r="B2664" i="12"/>
  <c r="C2067" i="12"/>
  <c r="B2202" i="12"/>
  <c r="B2270" i="12"/>
  <c r="C2135" i="12"/>
  <c r="B2333" i="12"/>
  <c r="C2198" i="12"/>
  <c r="B2185" i="12"/>
  <c r="C2050" i="12"/>
  <c r="B2042" i="12"/>
  <c r="C1907" i="12"/>
  <c r="B3486" i="12"/>
  <c r="C3351" i="12"/>
  <c r="B2090" i="12"/>
  <c r="C1955" i="12"/>
  <c r="A2805" i="12"/>
  <c r="C2670" i="12"/>
  <c r="C2192" i="12"/>
  <c r="B2327" i="12"/>
  <c r="B3071" i="12"/>
  <c r="C2936" i="12"/>
  <c r="B2214" i="12"/>
  <c r="C2079" i="12"/>
  <c r="B2107" i="12"/>
  <c r="C1972" i="12"/>
  <c r="B2470" i="12"/>
  <c r="C2335" i="12"/>
  <c r="C2093" i="12"/>
  <c r="B2228" i="12"/>
  <c r="B2020" i="12"/>
  <c r="C1885" i="12"/>
  <c r="C2023" i="12"/>
  <c r="A2158" i="12"/>
  <c r="B3230" i="12"/>
  <c r="C3095" i="12"/>
  <c r="B2055" i="12"/>
  <c r="C1920" i="12"/>
  <c r="B1983" i="12"/>
  <c r="C1848" i="12"/>
  <c r="B2375" i="12"/>
  <c r="C2240" i="12"/>
  <c r="B2334" i="12"/>
  <c r="C2199" i="12"/>
  <c r="C2354" i="12"/>
  <c r="B2489" i="12"/>
  <c r="C1861" i="12"/>
  <c r="B1996" i="12"/>
  <c r="B2094" i="12"/>
  <c r="C1959" i="12"/>
  <c r="C2443" i="12"/>
  <c r="B2578" i="12"/>
  <c r="B3252" i="12"/>
  <c r="C3117" i="12"/>
  <c r="B3512" i="12"/>
  <c r="B2100" i="12"/>
  <c r="C1965" i="12"/>
  <c r="B2508" i="12"/>
  <c r="C2373" i="12"/>
  <c r="C1783" i="12"/>
  <c r="B1918" i="12"/>
  <c r="B2291" i="12"/>
  <c r="C2156" i="12"/>
  <c r="B2963" i="12"/>
  <c r="C2828" i="12"/>
  <c r="B2239" i="12"/>
  <c r="C2104" i="12"/>
  <c r="B2351" i="12"/>
  <c r="C2216" i="12"/>
  <c r="B4183" i="12"/>
  <c r="B2166" i="12"/>
  <c r="C2031" i="12"/>
  <c r="B2591" i="12"/>
  <c r="C2456" i="12"/>
  <c r="B2255" i="12"/>
  <c r="C2120" i="12"/>
  <c r="B1988" i="12"/>
  <c r="C1853" i="12"/>
  <c r="C1931" i="12"/>
  <c r="B2066" i="12"/>
  <c r="A2162" i="12"/>
  <c r="C2027" i="12"/>
  <c r="B1901" i="12"/>
  <c r="C1766" i="12"/>
  <c r="C1899" i="12"/>
  <c r="B2034" i="12"/>
  <c r="B2059" i="12"/>
  <c r="C1924" i="12"/>
  <c r="B3089" i="12"/>
  <c r="C2954" i="12"/>
  <c r="C2080" i="12"/>
  <c r="B2215" i="12"/>
  <c r="C2138" i="12"/>
  <c r="B2273" i="12"/>
  <c r="B2422" i="12"/>
  <c r="C2287" i="12"/>
  <c r="B2187" i="12"/>
  <c r="C2052" i="12"/>
  <c r="C1977" i="12"/>
  <c r="B2112" i="12"/>
  <c r="B2087" i="12"/>
  <c r="C1952" i="12"/>
  <c r="B2701" i="12"/>
  <c r="C2566" i="12"/>
  <c r="C2251" i="12"/>
  <c r="B2386" i="12"/>
  <c r="C1906" i="12"/>
  <c r="B2041" i="12"/>
  <c r="B2250" i="12"/>
  <c r="C2115" i="12"/>
  <c r="C2165" i="12"/>
  <c r="B2300" i="12"/>
  <c r="B2097" i="12"/>
  <c r="C1962" i="12"/>
  <c r="B2421" i="12"/>
  <c r="C2286" i="12"/>
  <c r="C1875" i="12"/>
  <c r="B2010" i="12"/>
  <c r="B2343" i="12"/>
  <c r="C2208" i="12"/>
  <c r="C2657" i="12"/>
  <c r="B2792" i="12"/>
  <c r="B1927" i="12"/>
  <c r="C1792" i="12"/>
  <c r="C2182" i="12"/>
  <c r="B2317" i="12"/>
  <c r="B2230" i="12"/>
  <c r="C2095" i="12"/>
  <c r="C2939" i="12"/>
  <c r="B3074" i="12"/>
  <c r="B2416" i="12"/>
  <c r="C2281" i="12"/>
  <c r="B2338" i="12"/>
  <c r="C2203" i="12"/>
  <c r="C2358" i="12"/>
  <c r="B2493" i="12"/>
  <c r="C2822" i="12"/>
  <c r="A2957" i="12"/>
  <c r="C2339" i="12"/>
  <c r="B2474" i="12"/>
  <c r="B2700" i="12"/>
  <c r="C2565" i="12"/>
  <c r="C1936" i="12"/>
  <c r="B2071" i="12"/>
  <c r="B2033" i="12"/>
  <c r="C1898" i="12"/>
  <c r="B2137" i="12"/>
  <c r="C2002" i="12"/>
  <c r="C3541" i="12"/>
  <c r="B3676" i="12"/>
  <c r="B1926" i="12"/>
  <c r="C1791" i="12"/>
  <c r="C2479" i="12"/>
  <c r="B2614" i="12"/>
  <c r="B2490" i="12"/>
  <c r="C2355" i="12"/>
  <c r="B2157" i="12"/>
  <c r="C2022" i="12"/>
  <c r="C2121" i="12"/>
  <c r="B2256" i="12"/>
  <c r="C1836" i="12"/>
  <c r="B1971" i="12"/>
  <c r="C2189" i="12"/>
  <c r="B2324" i="12"/>
  <c r="B2518" i="12"/>
  <c r="C2383" i="12"/>
  <c r="C2133" i="12"/>
  <c r="B2268" i="12"/>
  <c r="C2277" i="12"/>
  <c r="B2412" i="12"/>
  <c r="B2110" i="12"/>
  <c r="C1975" i="12"/>
  <c r="B3210" i="12"/>
  <c r="B3126" i="12"/>
  <c r="C2991" i="12"/>
  <c r="B2516" i="12"/>
  <c r="C2381" i="12"/>
  <c r="B3604" i="12"/>
  <c r="C3469" i="12"/>
  <c r="C2205" i="12"/>
  <c r="B2340" i="12"/>
  <c r="B2371" i="12"/>
  <c r="C2236" i="12"/>
  <c r="C2102" i="12"/>
  <c r="B2237" i="12"/>
  <c r="B1894" i="12"/>
  <c r="C1759" i="12"/>
  <c r="B1957" i="12"/>
  <c r="C1822" i="12"/>
  <c r="B2249" i="12"/>
  <c r="C2114" i="12"/>
  <c r="B2496" i="12"/>
  <c r="C2361" i="12"/>
  <c r="C1941" i="12"/>
  <c r="B2076" i="12"/>
  <c r="B2174" i="12"/>
  <c r="C2039" i="12"/>
  <c r="B2109" i="12"/>
  <c r="C1974" i="12"/>
  <c r="C2233" i="12"/>
  <c r="B2368" i="12"/>
  <c r="C2313" i="12"/>
  <c r="B2448" i="12"/>
  <c r="B2231" i="12"/>
  <c r="C2096" i="12"/>
  <c r="B1987" i="12"/>
  <c r="C1852" i="12"/>
  <c r="B1948" i="12"/>
  <c r="C1813" i="12"/>
  <c r="B2568" i="12"/>
  <c r="C2433" i="12"/>
  <c r="B2944" i="12"/>
  <c r="C2809" i="12"/>
  <c r="B2681" i="12"/>
  <c r="C2546" i="12"/>
  <c r="B2275" i="12"/>
  <c r="C2140" i="12"/>
  <c r="B2369" i="12"/>
  <c r="C2234" i="12"/>
  <c r="C2449" i="12"/>
  <c r="B2584" i="12"/>
  <c r="B2491" i="12"/>
  <c r="C2356" i="12"/>
  <c r="C2170" i="12"/>
  <c r="B2305" i="12"/>
  <c r="B2082" i="12"/>
  <c r="C1947" i="12"/>
  <c r="B2207" i="12"/>
  <c r="C2072" i="12"/>
  <c r="B2013" i="12"/>
  <c r="C1878" i="12"/>
  <c r="B2149" i="12"/>
  <c r="C2014" i="12"/>
  <c r="C2008" i="12"/>
  <c r="B2143" i="12"/>
  <c r="B5117" i="12"/>
  <c r="B2733" i="12"/>
  <c r="C2598" i="12"/>
  <c r="B2045" i="12"/>
  <c r="C1910" i="12"/>
  <c r="B1913" i="12"/>
  <c r="C1778" i="12"/>
  <c r="C1954" i="12"/>
  <c r="B2089" i="12"/>
  <c r="C2559" i="12"/>
  <c r="B2694" i="12"/>
  <c r="C2184" i="12"/>
  <c r="B2319" i="12"/>
  <c r="B1990" i="12"/>
  <c r="C1855" i="12"/>
  <c r="B2132" i="12"/>
  <c r="C1997" i="12"/>
  <c r="C1762" i="12"/>
  <c r="B1897" i="12"/>
  <c r="B2213" i="12"/>
  <c r="C2078" i="12"/>
  <c r="B2544" i="12"/>
  <c r="C2409" i="12"/>
  <c r="B1925" i="12"/>
  <c r="C1790" i="12"/>
  <c r="B2482" i="12"/>
  <c r="C2347" i="12"/>
  <c r="C2128" i="12"/>
  <c r="B2263" i="12"/>
  <c r="B2480" i="12"/>
  <c r="C2345" i="12"/>
  <c r="B3509" i="12"/>
  <c r="C3374" i="12"/>
  <c r="B1992" i="12"/>
  <c r="C1857" i="12"/>
  <c r="B2040" i="12"/>
  <c r="C1905" i="12"/>
  <c r="B2378" i="12"/>
  <c r="C2243" i="12"/>
  <c r="B2224" i="12" l="1"/>
  <c r="C2089" i="12"/>
  <c r="B2452" i="12"/>
  <c r="C2317" i="12"/>
  <c r="B2145" i="12"/>
  <c r="C2010" i="12"/>
  <c r="C2273" i="12"/>
  <c r="B2408" i="12"/>
  <c r="B3644" i="12"/>
  <c r="C3509" i="12"/>
  <c r="B2267" i="12"/>
  <c r="C2132" i="12"/>
  <c r="C2207" i="12"/>
  <c r="B2342" i="12"/>
  <c r="B2309" i="12"/>
  <c r="C2174" i="12"/>
  <c r="B2653" i="12"/>
  <c r="C2518" i="12"/>
  <c r="B2349" i="12"/>
  <c r="C2214" i="12"/>
  <c r="B2583" i="12"/>
  <c r="C2448" i="12"/>
  <c r="B2211" i="12"/>
  <c r="C2076" i="12"/>
  <c r="B2176" i="12"/>
  <c r="C2041" i="12"/>
  <c r="B2350" i="12"/>
  <c r="C2215" i="12"/>
  <c r="B2679" i="12"/>
  <c r="C2544" i="12"/>
  <c r="C1990" i="12"/>
  <c r="B2125" i="12"/>
  <c r="C2082" i="12"/>
  <c r="B2217" i="12"/>
  <c r="C3604" i="12"/>
  <c r="B3739" i="12"/>
  <c r="B2062" i="12"/>
  <c r="C1927" i="12"/>
  <c r="B2556" i="12"/>
  <c r="C2421" i="12"/>
  <c r="B3387" i="12"/>
  <c r="C3252" i="12"/>
  <c r="B3621" i="12"/>
  <c r="C3486" i="12"/>
  <c r="B2398" i="12"/>
  <c r="C2263" i="12"/>
  <c r="C2319" i="12"/>
  <c r="B2454" i="12"/>
  <c r="C2305" i="12"/>
  <c r="B2440" i="12"/>
  <c r="B2503" i="12"/>
  <c r="C2368" i="12"/>
  <c r="B2372" i="12"/>
  <c r="C2237" i="12"/>
  <c r="C2412" i="12"/>
  <c r="B2547" i="12"/>
  <c r="C1971" i="12"/>
  <c r="B2106" i="12"/>
  <c r="B2749" i="12"/>
  <c r="C2614" i="12"/>
  <c r="A3092" i="12"/>
  <c r="C2957" i="12"/>
  <c r="B3209" i="12"/>
  <c r="C3074" i="12"/>
  <c r="B2927" i="12"/>
  <c r="C2792" i="12"/>
  <c r="C2386" i="12"/>
  <c r="B2521" i="12"/>
  <c r="B2713" i="12"/>
  <c r="C2578" i="12"/>
  <c r="B2462" i="12"/>
  <c r="C2327" i="12"/>
  <c r="C2202" i="12"/>
  <c r="B2337" i="12"/>
  <c r="B2719" i="12"/>
  <c r="C2584" i="12"/>
  <c r="B2475" i="12"/>
  <c r="C2340" i="12"/>
  <c r="C3676" i="12"/>
  <c r="B3811" i="12"/>
  <c r="C2034" i="12"/>
  <c r="B2169" i="12"/>
  <c r="B3079" i="12"/>
  <c r="C2944" i="12"/>
  <c r="B2835" i="12"/>
  <c r="C2700" i="12"/>
  <c r="B2473" i="12"/>
  <c r="C2338" i="12"/>
  <c r="C2250" i="12"/>
  <c r="B2385" i="12"/>
  <c r="C2333" i="12"/>
  <c r="B2468" i="12"/>
  <c r="B2609" i="12"/>
  <c r="C2474" i="12"/>
  <c r="B2624" i="12"/>
  <c r="C2489" i="12"/>
  <c r="B2504" i="12"/>
  <c r="C2369" i="12"/>
  <c r="C1894" i="12"/>
  <c r="B2029" i="12"/>
  <c r="B2625" i="12"/>
  <c r="C2490" i="12"/>
  <c r="C2137" i="12"/>
  <c r="B2272" i="12"/>
  <c r="B2551" i="12"/>
  <c r="C2416" i="12"/>
  <c r="B2036" i="12"/>
  <c r="C1901" i="12"/>
  <c r="C2255" i="12"/>
  <c r="B2390" i="12"/>
  <c r="B2486" i="12"/>
  <c r="C2351" i="12"/>
  <c r="B2190" i="12"/>
  <c r="C2055" i="12"/>
  <c r="C3071" i="12"/>
  <c r="B3206" i="12"/>
  <c r="B2405" i="12"/>
  <c r="C2270" i="12"/>
  <c r="B2175" i="12"/>
  <c r="C2040" i="12"/>
  <c r="C2213" i="12"/>
  <c r="B2348" i="12"/>
  <c r="B2180" i="12"/>
  <c r="C2045" i="12"/>
  <c r="B2284" i="12"/>
  <c r="C2149" i="12"/>
  <c r="C2275" i="12"/>
  <c r="B2410" i="12"/>
  <c r="C1948" i="12"/>
  <c r="B2083" i="12"/>
  <c r="B2631" i="12"/>
  <c r="C2496" i="12"/>
  <c r="B2651" i="12"/>
  <c r="C2516" i="12"/>
  <c r="B2168" i="12"/>
  <c r="C2033" i="12"/>
  <c r="B2232" i="12"/>
  <c r="C2097" i="12"/>
  <c r="B2322" i="12"/>
  <c r="C2187" i="12"/>
  <c r="C3089" i="12"/>
  <c r="B3224" i="12"/>
  <c r="A2297" i="12"/>
  <c r="C2162" i="12"/>
  <c r="B2726" i="12"/>
  <c r="C2591" i="12"/>
  <c r="B2374" i="12"/>
  <c r="C2239" i="12"/>
  <c r="B2643" i="12"/>
  <c r="C2508" i="12"/>
  <c r="B2469" i="12"/>
  <c r="C2334" i="12"/>
  <c r="B3365" i="12"/>
  <c r="C3230" i="12"/>
  <c r="B2605" i="12"/>
  <c r="C2470" i="12"/>
  <c r="B2177" i="12"/>
  <c r="C2042" i="12"/>
  <c r="B5252" i="12"/>
  <c r="C1925" i="12"/>
  <c r="B2060" i="12"/>
  <c r="C2087" i="12"/>
  <c r="B2222" i="12"/>
  <c r="C2020" i="12"/>
  <c r="B2155" i="12"/>
  <c r="B2278" i="12"/>
  <c r="C2143" i="12"/>
  <c r="B2459" i="12"/>
  <c r="C2324" i="12"/>
  <c r="B2247" i="12"/>
  <c r="C2112" i="12"/>
  <c r="B2053" i="12"/>
  <c r="C1918" i="12"/>
  <c r="B2363" i="12"/>
  <c r="C2228" i="12"/>
  <c r="B2615" i="12"/>
  <c r="C2480" i="12"/>
  <c r="C2568" i="12"/>
  <c r="B2703" i="12"/>
  <c r="C1897" i="12"/>
  <c r="B2032" i="12"/>
  <c r="C2694" i="12"/>
  <c r="B2829" i="12"/>
  <c r="C2268" i="12"/>
  <c r="B2403" i="12"/>
  <c r="C2256" i="12"/>
  <c r="B2391" i="12"/>
  <c r="C2071" i="12"/>
  <c r="B2206" i="12"/>
  <c r="C2493" i="12"/>
  <c r="B2628" i="12"/>
  <c r="B2435" i="12"/>
  <c r="C2300" i="12"/>
  <c r="B2201" i="12"/>
  <c r="C2066" i="12"/>
  <c r="A2293" i="12"/>
  <c r="C2158" i="12"/>
  <c r="B2799" i="12"/>
  <c r="C2664" i="12"/>
  <c r="B2131" i="12"/>
  <c r="C1996" i="12"/>
  <c r="B2366" i="12"/>
  <c r="C2231" i="12"/>
  <c r="B2092" i="12"/>
  <c r="C1957" i="12"/>
  <c r="B3345" i="12"/>
  <c r="B2292" i="12"/>
  <c r="C2157" i="12"/>
  <c r="C1988" i="12"/>
  <c r="B2123" i="12"/>
  <c r="B4318" i="12"/>
  <c r="B2426" i="12"/>
  <c r="C2291" i="12"/>
  <c r="B3647" i="12"/>
  <c r="C1983" i="12"/>
  <c r="B2118" i="12"/>
  <c r="C2090" i="12"/>
  <c r="B2225" i="12"/>
  <c r="B2513" i="12"/>
  <c r="C2378" i="12"/>
  <c r="B2048" i="12"/>
  <c r="C1913" i="12"/>
  <c r="C2110" i="12"/>
  <c r="B2245" i="12"/>
  <c r="B2127" i="12"/>
  <c r="C1992" i="12"/>
  <c r="B2617" i="12"/>
  <c r="C2482" i="12"/>
  <c r="C2733" i="12"/>
  <c r="B2868" i="12"/>
  <c r="C2013" i="12"/>
  <c r="B2148" i="12"/>
  <c r="B2626" i="12"/>
  <c r="C2491" i="12"/>
  <c r="C2681" i="12"/>
  <c r="B2816" i="12"/>
  <c r="C1987" i="12"/>
  <c r="B2122" i="12"/>
  <c r="C2109" i="12"/>
  <c r="B2244" i="12"/>
  <c r="B2384" i="12"/>
  <c r="C2249" i="12"/>
  <c r="B2506" i="12"/>
  <c r="C2371" i="12"/>
  <c r="B3261" i="12"/>
  <c r="C3126" i="12"/>
  <c r="B2061" i="12"/>
  <c r="C1926" i="12"/>
  <c r="B2365" i="12"/>
  <c r="C2230" i="12"/>
  <c r="C2343" i="12"/>
  <c r="B2478" i="12"/>
  <c r="B2836" i="12"/>
  <c r="C2701" i="12"/>
  <c r="B2557" i="12"/>
  <c r="C2422" i="12"/>
  <c r="B2194" i="12"/>
  <c r="C2059" i="12"/>
  <c r="B2301" i="12"/>
  <c r="C2166" i="12"/>
  <c r="C2963" i="12"/>
  <c r="B3098" i="12"/>
  <c r="B2235" i="12"/>
  <c r="C2100" i="12"/>
  <c r="C2094" i="12"/>
  <c r="B2229" i="12"/>
  <c r="C2375" i="12"/>
  <c r="B2510" i="12"/>
  <c r="C2107" i="12"/>
  <c r="B2242" i="12"/>
  <c r="A2940" i="12"/>
  <c r="C2805" i="12"/>
  <c r="B2320" i="12"/>
  <c r="C2185" i="12"/>
  <c r="C2390" i="12" l="1"/>
  <c r="B2525" i="12"/>
  <c r="C2510" i="12"/>
  <c r="B2645" i="12"/>
  <c r="C2478" i="12"/>
  <c r="B2613" i="12"/>
  <c r="C2816" i="12"/>
  <c r="B2951" i="12"/>
  <c r="C2628" i="12"/>
  <c r="B2763" i="12"/>
  <c r="B2964" i="12"/>
  <c r="C2829" i="12"/>
  <c r="B2545" i="12"/>
  <c r="C2410" i="12"/>
  <c r="B2407" i="12"/>
  <c r="C2272" i="12"/>
  <c r="C3811" i="12"/>
  <c r="B3946" i="12"/>
  <c r="B2682" i="12"/>
  <c r="C2547" i="12"/>
  <c r="B2589" i="12"/>
  <c r="C2454" i="12"/>
  <c r="B2260" i="12"/>
  <c r="C2125" i="12"/>
  <c r="C2408" i="12"/>
  <c r="B2543" i="12"/>
  <c r="B2436" i="12"/>
  <c r="C2301" i="12"/>
  <c r="B2641" i="12"/>
  <c r="C2506" i="12"/>
  <c r="B2752" i="12"/>
  <c r="C2617" i="12"/>
  <c r="C2513" i="12"/>
  <c r="B2648" i="12"/>
  <c r="C2426" i="12"/>
  <c r="B2561" i="12"/>
  <c r="B3480" i="12"/>
  <c r="C2799" i="12"/>
  <c r="B2934" i="12"/>
  <c r="C2363" i="12"/>
  <c r="B2498" i="12"/>
  <c r="C2278" i="12"/>
  <c r="B2413" i="12"/>
  <c r="B2604" i="12"/>
  <c r="C2469" i="12"/>
  <c r="A2432" i="12"/>
  <c r="C2297" i="12"/>
  <c r="C2168" i="12"/>
  <c r="B2303" i="12"/>
  <c r="B2310" i="12"/>
  <c r="C2175" i="12"/>
  <c r="C2486" i="12"/>
  <c r="B2621" i="12"/>
  <c r="B2759" i="12"/>
  <c r="C2624" i="12"/>
  <c r="B2608" i="12"/>
  <c r="C2473" i="12"/>
  <c r="C2462" i="12"/>
  <c r="B2597" i="12"/>
  <c r="B3344" i="12"/>
  <c r="C3209" i="12"/>
  <c r="C2556" i="12"/>
  <c r="B2691" i="12"/>
  <c r="C2211" i="12"/>
  <c r="B2346" i="12"/>
  <c r="B2444" i="12"/>
  <c r="C2309" i="12"/>
  <c r="B2364" i="12"/>
  <c r="C2229" i="12"/>
  <c r="C2342" i="12"/>
  <c r="B2477" i="12"/>
  <c r="C2365" i="12"/>
  <c r="B2500" i="12"/>
  <c r="C2127" i="12"/>
  <c r="B2262" i="12"/>
  <c r="B2419" i="12"/>
  <c r="C2284" i="12"/>
  <c r="C2405" i="12"/>
  <c r="B2540" i="12"/>
  <c r="B2744" i="12"/>
  <c r="C2609" i="12"/>
  <c r="B2970" i="12"/>
  <c r="C2835" i="12"/>
  <c r="C2713" i="12"/>
  <c r="B2848" i="12"/>
  <c r="C3092" i="12"/>
  <c r="A3227" i="12"/>
  <c r="C2372" i="12"/>
  <c r="B2507" i="12"/>
  <c r="B2533" i="12"/>
  <c r="C2398" i="12"/>
  <c r="B2197" i="12"/>
  <c r="C2062" i="12"/>
  <c r="B2814" i="12"/>
  <c r="C2679" i="12"/>
  <c r="B2280" i="12"/>
  <c r="C2145" i="12"/>
  <c r="B2526" i="12"/>
  <c r="C2391" i="12"/>
  <c r="B2838" i="12"/>
  <c r="C2703" i="12"/>
  <c r="B3341" i="12"/>
  <c r="C3206" i="12"/>
  <c r="A3075" i="12"/>
  <c r="C2940" i="12"/>
  <c r="C2235" i="12"/>
  <c r="B2370" i="12"/>
  <c r="B2692" i="12"/>
  <c r="C2557" i="12"/>
  <c r="B2196" i="12"/>
  <c r="C2061" i="12"/>
  <c r="B2501" i="12"/>
  <c r="C2366" i="12"/>
  <c r="B2336" i="12"/>
  <c r="C2201" i="12"/>
  <c r="B2382" i="12"/>
  <c r="C2247" i="12"/>
  <c r="C2605" i="12"/>
  <c r="B2740" i="12"/>
  <c r="C2374" i="12"/>
  <c r="B2509" i="12"/>
  <c r="B2457" i="12"/>
  <c r="C2322" i="12"/>
  <c r="C2631" i="12"/>
  <c r="B2766" i="12"/>
  <c r="C2180" i="12"/>
  <c r="B2315" i="12"/>
  <c r="B2171" i="12"/>
  <c r="C2036" i="12"/>
  <c r="B3214" i="12"/>
  <c r="C3079" i="12"/>
  <c r="B2854" i="12"/>
  <c r="C2719" i="12"/>
  <c r="C2749" i="12"/>
  <c r="B2884" i="12"/>
  <c r="C2503" i="12"/>
  <c r="B2638" i="12"/>
  <c r="C3621" i="12"/>
  <c r="B3756" i="12"/>
  <c r="C2350" i="12"/>
  <c r="B2485" i="12"/>
  <c r="B2484" i="12"/>
  <c r="C2349" i="12"/>
  <c r="B2402" i="12"/>
  <c r="C2267" i="12"/>
  <c r="C2452" i="12"/>
  <c r="B2587" i="12"/>
  <c r="C2032" i="12"/>
  <c r="B2167" i="12"/>
  <c r="C2155" i="12"/>
  <c r="B2290" i="12"/>
  <c r="C2320" i="12"/>
  <c r="B2455" i="12"/>
  <c r="B2329" i="12"/>
  <c r="C2194" i="12"/>
  <c r="B2519" i="12"/>
  <c r="C2384" i="12"/>
  <c r="C2626" i="12"/>
  <c r="B2761" i="12"/>
  <c r="B4453" i="12"/>
  <c r="A2428" i="12"/>
  <c r="C2293" i="12"/>
  <c r="C2177" i="12"/>
  <c r="B2312" i="12"/>
  <c r="B2778" i="12"/>
  <c r="C2643" i="12"/>
  <c r="C2651" i="12"/>
  <c r="B2786" i="12"/>
  <c r="C2625" i="12"/>
  <c r="B2760" i="12"/>
  <c r="B2718" i="12"/>
  <c r="C2583" i="12"/>
  <c r="B2283" i="12"/>
  <c r="C2148" i="12"/>
  <c r="C2029" i="12"/>
  <c r="B2164" i="12"/>
  <c r="B2603" i="12"/>
  <c r="C2468" i="12"/>
  <c r="C2242" i="12"/>
  <c r="B2377" i="12"/>
  <c r="B3233" i="12"/>
  <c r="C3098" i="12"/>
  <c r="B2257" i="12"/>
  <c r="C2122" i="12"/>
  <c r="B3003" i="12"/>
  <c r="C2868" i="12"/>
  <c r="B3782" i="12"/>
  <c r="B2538" i="12"/>
  <c r="C2403" i="12"/>
  <c r="B2195" i="12"/>
  <c r="C2060" i="12"/>
  <c r="B2218" i="12"/>
  <c r="C2083" i="12"/>
  <c r="B2483" i="12"/>
  <c r="C2348" i="12"/>
  <c r="C2385" i="12"/>
  <c r="B2520" i="12"/>
  <c r="B2304" i="12"/>
  <c r="C2169" i="12"/>
  <c r="B2472" i="12"/>
  <c r="C2337" i="12"/>
  <c r="C2106" i="12"/>
  <c r="B2241" i="12"/>
  <c r="B2575" i="12"/>
  <c r="C2440" i="12"/>
  <c r="B2352" i="12"/>
  <c r="C2217" i="12"/>
  <c r="C2225" i="12"/>
  <c r="B2360" i="12"/>
  <c r="B2341" i="12"/>
  <c r="C2206" i="12"/>
  <c r="C3224" i="12"/>
  <c r="B3359" i="12"/>
  <c r="B2227" i="12"/>
  <c r="C2092" i="12"/>
  <c r="B2188" i="12"/>
  <c r="C2053" i="12"/>
  <c r="C2475" i="12"/>
  <c r="B2610" i="12"/>
  <c r="C2244" i="12"/>
  <c r="B2379" i="12"/>
  <c r="B2380" i="12"/>
  <c r="C2245" i="12"/>
  <c r="C2118" i="12"/>
  <c r="B2253" i="12"/>
  <c r="B2258" i="12"/>
  <c r="C2123" i="12"/>
  <c r="B2357" i="12"/>
  <c r="C2222" i="12"/>
  <c r="B2656" i="12"/>
  <c r="C2521" i="12"/>
  <c r="C3739" i="12"/>
  <c r="B3874" i="12"/>
  <c r="B2971" i="12"/>
  <c r="C2836" i="12"/>
  <c r="C3261" i="12"/>
  <c r="B3396" i="12"/>
  <c r="B2183" i="12"/>
  <c r="C2048" i="12"/>
  <c r="B2427" i="12"/>
  <c r="C2292" i="12"/>
  <c r="C2131" i="12"/>
  <c r="B2266" i="12"/>
  <c r="C2435" i="12"/>
  <c r="B2570" i="12"/>
  <c r="B2750" i="12"/>
  <c r="C2615" i="12"/>
  <c r="B2594" i="12"/>
  <c r="C2459" i="12"/>
  <c r="B3500" i="12"/>
  <c r="C3365" i="12"/>
  <c r="B2861" i="12"/>
  <c r="C2726" i="12"/>
  <c r="B2367" i="12"/>
  <c r="C2232" i="12"/>
  <c r="B2325" i="12"/>
  <c r="C2190" i="12"/>
  <c r="C2551" i="12"/>
  <c r="B2686" i="12"/>
  <c r="B2639" i="12"/>
  <c r="C2504" i="12"/>
  <c r="C2927" i="12"/>
  <c r="B3062" i="12"/>
  <c r="B3522" i="12"/>
  <c r="C3387" i="12"/>
  <c r="B2311" i="12"/>
  <c r="C2176" i="12"/>
  <c r="B2788" i="12"/>
  <c r="C2653" i="12"/>
  <c r="B3779" i="12"/>
  <c r="C3644" i="12"/>
  <c r="B2359" i="12"/>
  <c r="C2224" i="12"/>
  <c r="B2923" i="12" l="1"/>
  <c r="C2788" i="12"/>
  <c r="B2774" i="12"/>
  <c r="C2639" i="12"/>
  <c r="C2861" i="12"/>
  <c r="B2996" i="12"/>
  <c r="C2357" i="12"/>
  <c r="B2492" i="12"/>
  <c r="C2575" i="12"/>
  <c r="B2710" i="12"/>
  <c r="C2538" i="12"/>
  <c r="B2673" i="12"/>
  <c r="B3368" i="12"/>
  <c r="C3233" i="12"/>
  <c r="B2418" i="12"/>
  <c r="C2283" i="12"/>
  <c r="B2913" i="12"/>
  <c r="C2778" i="12"/>
  <c r="C2484" i="12"/>
  <c r="B2619" i="12"/>
  <c r="B2331" i="12"/>
  <c r="C2196" i="12"/>
  <c r="B3476" i="12"/>
  <c r="C3341" i="12"/>
  <c r="C2814" i="12"/>
  <c r="B2949" i="12"/>
  <c r="C2759" i="12"/>
  <c r="B2894" i="12"/>
  <c r="A2567" i="12"/>
  <c r="C2432" i="12"/>
  <c r="C2752" i="12"/>
  <c r="B2887" i="12"/>
  <c r="C2260" i="12"/>
  <c r="B2395" i="12"/>
  <c r="B2542" i="12"/>
  <c r="C2407" i="12"/>
  <c r="C2951" i="12"/>
  <c r="B3086" i="12"/>
  <c r="B2821" i="12"/>
  <c r="C2686" i="12"/>
  <c r="B2401" i="12"/>
  <c r="C2266" i="12"/>
  <c r="C2610" i="12"/>
  <c r="B2745" i="12"/>
  <c r="B2376" i="12"/>
  <c r="C2241" i="12"/>
  <c r="B2512" i="12"/>
  <c r="C2377" i="12"/>
  <c r="B2447" i="12"/>
  <c r="C2312" i="12"/>
  <c r="C2167" i="12"/>
  <c r="B2302" i="12"/>
  <c r="C2485" i="12"/>
  <c r="B2620" i="12"/>
  <c r="B2901" i="12"/>
  <c r="C2766" i="12"/>
  <c r="B2983" i="12"/>
  <c r="C2848" i="12"/>
  <c r="C2621" i="12"/>
  <c r="B2756" i="12"/>
  <c r="B2446" i="12"/>
  <c r="C2311" i="12"/>
  <c r="C3500" i="12"/>
  <c r="B3635" i="12"/>
  <c r="B2393" i="12"/>
  <c r="C2258" i="12"/>
  <c r="C2419" i="12"/>
  <c r="B2554" i="12"/>
  <c r="B3479" i="12"/>
  <c r="C3344" i="12"/>
  <c r="B2739" i="12"/>
  <c r="C2604" i="12"/>
  <c r="B3615" i="12"/>
  <c r="B2776" i="12"/>
  <c r="C2641" i="12"/>
  <c r="B2748" i="12"/>
  <c r="C2613" i="12"/>
  <c r="B2388" i="12"/>
  <c r="C2253" i="12"/>
  <c r="C2587" i="12"/>
  <c r="B2722" i="12"/>
  <c r="B3891" i="12"/>
  <c r="C3756" i="12"/>
  <c r="B2505" i="12"/>
  <c r="C2370" i="12"/>
  <c r="B2397" i="12"/>
  <c r="C2262" i="12"/>
  <c r="C2597" i="12"/>
  <c r="B2732" i="12"/>
  <c r="B2696" i="12"/>
  <c r="C2561" i="12"/>
  <c r="B2607" i="12"/>
  <c r="C2472" i="12"/>
  <c r="B2579" i="12"/>
  <c r="C2444" i="12"/>
  <c r="B2445" i="12"/>
  <c r="C2310" i="12"/>
  <c r="B2571" i="12"/>
  <c r="C2436" i="12"/>
  <c r="B2817" i="12"/>
  <c r="C2682" i="12"/>
  <c r="B2780" i="12"/>
  <c r="C2645" i="12"/>
  <c r="B3197" i="12"/>
  <c r="C3062" i="12"/>
  <c r="B2299" i="12"/>
  <c r="C2164" i="12"/>
  <c r="B2921" i="12"/>
  <c r="C2786" i="12"/>
  <c r="B4588" i="12"/>
  <c r="B2590" i="12"/>
  <c r="C2455" i="12"/>
  <c r="B2773" i="12"/>
  <c r="C2638" i="12"/>
  <c r="B2644" i="12"/>
  <c r="C2509" i="12"/>
  <c r="B2642" i="12"/>
  <c r="C2507" i="12"/>
  <c r="C2500" i="12"/>
  <c r="B2635" i="12"/>
  <c r="B2481" i="12"/>
  <c r="C2346" i="12"/>
  <c r="B2438" i="12"/>
  <c r="C2303" i="12"/>
  <c r="C2498" i="12"/>
  <c r="B2633" i="12"/>
  <c r="C2648" i="12"/>
  <c r="B2783" i="12"/>
  <c r="C2543" i="12"/>
  <c r="B2678" i="12"/>
  <c r="C3946" i="12"/>
  <c r="B4081" i="12"/>
  <c r="B3099" i="12"/>
  <c r="C2964" i="12"/>
  <c r="B2476" i="12"/>
  <c r="C2341" i="12"/>
  <c r="C2854" i="12"/>
  <c r="B2989" i="12"/>
  <c r="C2545" i="12"/>
  <c r="B2680" i="12"/>
  <c r="C3874" i="12"/>
  <c r="B4009" i="12"/>
  <c r="C2760" i="12"/>
  <c r="B2895" i="12"/>
  <c r="B2548" i="12"/>
  <c r="C2413" i="12"/>
  <c r="B2494" i="12"/>
  <c r="C2359" i="12"/>
  <c r="B3657" i="12"/>
  <c r="C3522" i="12"/>
  <c r="B2460" i="12"/>
  <c r="C2325" i="12"/>
  <c r="C2594" i="12"/>
  <c r="B2729" i="12"/>
  <c r="B2562" i="12"/>
  <c r="C2427" i="12"/>
  <c r="B2353" i="12"/>
  <c r="C2218" i="12"/>
  <c r="B3138" i="12"/>
  <c r="C3003" i="12"/>
  <c r="B2738" i="12"/>
  <c r="C2603" i="12"/>
  <c r="B3349" i="12"/>
  <c r="C3214" i="12"/>
  <c r="B2592" i="12"/>
  <c r="C2457" i="12"/>
  <c r="C2336" i="12"/>
  <c r="B2471" i="12"/>
  <c r="B3914" i="12"/>
  <c r="C3779" i="12"/>
  <c r="C2367" i="12"/>
  <c r="B2502" i="12"/>
  <c r="B2885" i="12"/>
  <c r="C2750" i="12"/>
  <c r="C2183" i="12"/>
  <c r="B2318" i="12"/>
  <c r="C2656" i="12"/>
  <c r="B2791" i="12"/>
  <c r="C2380" i="12"/>
  <c r="B2515" i="12"/>
  <c r="C2227" i="12"/>
  <c r="B2362" i="12"/>
  <c r="C2352" i="12"/>
  <c r="B2487" i="12"/>
  <c r="B2439" i="12"/>
  <c r="C2304" i="12"/>
  <c r="C2195" i="12"/>
  <c r="B2330" i="12"/>
  <c r="B2392" i="12"/>
  <c r="C2257" i="12"/>
  <c r="B2537" i="12"/>
  <c r="C2402" i="12"/>
  <c r="B2306" i="12"/>
  <c r="C2171" i="12"/>
  <c r="B2636" i="12"/>
  <c r="C2501" i="12"/>
  <c r="A3210" i="12"/>
  <c r="C3075" i="12"/>
  <c r="B2415" i="12"/>
  <c r="C2280" i="12"/>
  <c r="B2879" i="12"/>
  <c r="C2744" i="12"/>
  <c r="C2608" i="12"/>
  <c r="B2743" i="12"/>
  <c r="C2763" i="12"/>
  <c r="B2898" i="12"/>
  <c r="B2660" i="12"/>
  <c r="C2525" i="12"/>
  <c r="B3106" i="12"/>
  <c r="C2971" i="12"/>
  <c r="B2618" i="12"/>
  <c r="C2483" i="12"/>
  <c r="B3917" i="12"/>
  <c r="C2718" i="12"/>
  <c r="B2853" i="12"/>
  <c r="B2654" i="12"/>
  <c r="C2519" i="12"/>
  <c r="B2517" i="12"/>
  <c r="C2382" i="12"/>
  <c r="B2827" i="12"/>
  <c r="C2692" i="12"/>
  <c r="C2838" i="12"/>
  <c r="B2973" i="12"/>
  <c r="B2332" i="12"/>
  <c r="C2197" i="12"/>
  <c r="C2364" i="12"/>
  <c r="B2499" i="12"/>
  <c r="C2589" i="12"/>
  <c r="B2724" i="12"/>
  <c r="B2495" i="12"/>
  <c r="C2360" i="12"/>
  <c r="B2323" i="12"/>
  <c r="C2188" i="12"/>
  <c r="A2563" i="12"/>
  <c r="C2428" i="12"/>
  <c r="B2464" i="12"/>
  <c r="C2329" i="12"/>
  <c r="C2526" i="12"/>
  <c r="B2661" i="12"/>
  <c r="B2668" i="12"/>
  <c r="C2533" i="12"/>
  <c r="B3105" i="12"/>
  <c r="C2970" i="12"/>
  <c r="B2705" i="12"/>
  <c r="C2570" i="12"/>
  <c r="C3396" i="12"/>
  <c r="B3531" i="12"/>
  <c r="C2379" i="12"/>
  <c r="B2514" i="12"/>
  <c r="B3494" i="12"/>
  <c r="C3359" i="12"/>
  <c r="B2655" i="12"/>
  <c r="C2520" i="12"/>
  <c r="B2896" i="12"/>
  <c r="C2761" i="12"/>
  <c r="B2425" i="12"/>
  <c r="C2290" i="12"/>
  <c r="C2884" i="12"/>
  <c r="B3019" i="12"/>
  <c r="B2450" i="12"/>
  <c r="C2315" i="12"/>
  <c r="B2875" i="12"/>
  <c r="C2740" i="12"/>
  <c r="A3362" i="12"/>
  <c r="C3227" i="12"/>
  <c r="B2675" i="12"/>
  <c r="C2540" i="12"/>
  <c r="B2612" i="12"/>
  <c r="C2477" i="12"/>
  <c r="B2826" i="12"/>
  <c r="C2691" i="12"/>
  <c r="C2934" i="12"/>
  <c r="B3069" i="12"/>
  <c r="B3154" i="12" l="1"/>
  <c r="C3019" i="12"/>
  <c r="B2634" i="12"/>
  <c r="C2499" i="12"/>
  <c r="C2724" i="12"/>
  <c r="B2859" i="12"/>
  <c r="B4052" i="12"/>
  <c r="C2898" i="12"/>
  <c r="B3033" i="12"/>
  <c r="B2497" i="12"/>
  <c r="C2362" i="12"/>
  <c r="B4144" i="12"/>
  <c r="C4009" i="12"/>
  <c r="B2768" i="12"/>
  <c r="C2633" i="12"/>
  <c r="C3635" i="12"/>
  <c r="B3770" i="12"/>
  <c r="C2887" i="12"/>
  <c r="B3022" i="12"/>
  <c r="B2627" i="12"/>
  <c r="C2492" i="12"/>
  <c r="B2747" i="12"/>
  <c r="C2612" i="12"/>
  <c r="C2450" i="12"/>
  <c r="B2585" i="12"/>
  <c r="B2790" i="12"/>
  <c r="C2655" i="12"/>
  <c r="B2840" i="12"/>
  <c r="C2705" i="12"/>
  <c r="B2599" i="12"/>
  <c r="C2464" i="12"/>
  <c r="B2962" i="12"/>
  <c r="C2827" i="12"/>
  <c r="A3345" i="12"/>
  <c r="C3210" i="12"/>
  <c r="C2392" i="12"/>
  <c r="B2527" i="12"/>
  <c r="B3020" i="12"/>
  <c r="C2885" i="12"/>
  <c r="B2727" i="12"/>
  <c r="C2592" i="12"/>
  <c r="B2488" i="12"/>
  <c r="C2353" i="12"/>
  <c r="B3792" i="12"/>
  <c r="C3657" i="12"/>
  <c r="B3234" i="12"/>
  <c r="C3099" i="12"/>
  <c r="C2642" i="12"/>
  <c r="B2777" i="12"/>
  <c r="B4723" i="12"/>
  <c r="C2780" i="12"/>
  <c r="B2915" i="12"/>
  <c r="C2579" i="12"/>
  <c r="B2714" i="12"/>
  <c r="B2532" i="12"/>
  <c r="C2397" i="12"/>
  <c r="B2523" i="12"/>
  <c r="C2388" i="12"/>
  <c r="B2874" i="12"/>
  <c r="C2739" i="12"/>
  <c r="B3036" i="12"/>
  <c r="C2901" i="12"/>
  <c r="C2512" i="12"/>
  <c r="B2647" i="12"/>
  <c r="C2821" i="12"/>
  <c r="B2956" i="12"/>
  <c r="B3611" i="12"/>
  <c r="C3476" i="12"/>
  <c r="B2553" i="12"/>
  <c r="C2418" i="12"/>
  <c r="B2650" i="12"/>
  <c r="C2515" i="12"/>
  <c r="B2637" i="12"/>
  <c r="C2502" i="12"/>
  <c r="B2652" i="12"/>
  <c r="C2517" i="12"/>
  <c r="B2779" i="12"/>
  <c r="C2644" i="12"/>
  <c r="B2952" i="12"/>
  <c r="C2817" i="12"/>
  <c r="B2883" i="12"/>
  <c r="C2748" i="12"/>
  <c r="A2702" i="12"/>
  <c r="C2567" i="12"/>
  <c r="B3503" i="12"/>
  <c r="C3368" i="12"/>
  <c r="B2649" i="12"/>
  <c r="C2514" i="12"/>
  <c r="B2689" i="12"/>
  <c r="C2554" i="12"/>
  <c r="B2891" i="12"/>
  <c r="C2756" i="12"/>
  <c r="C2302" i="12"/>
  <c r="B2437" i="12"/>
  <c r="B2880" i="12"/>
  <c r="C2745" i="12"/>
  <c r="C2619" i="12"/>
  <c r="B2754" i="12"/>
  <c r="A3497" i="12"/>
  <c r="C3362" i="12"/>
  <c r="B2560" i="12"/>
  <c r="C2425" i="12"/>
  <c r="B2803" i="12"/>
  <c r="C2668" i="12"/>
  <c r="B2458" i="12"/>
  <c r="C2323" i="12"/>
  <c r="B2467" i="12"/>
  <c r="C2332" i="12"/>
  <c r="C2654" i="12"/>
  <c r="B2789" i="12"/>
  <c r="C3106" i="12"/>
  <c r="B3241" i="12"/>
  <c r="B3014" i="12"/>
  <c r="C2879" i="12"/>
  <c r="B2441" i="12"/>
  <c r="C2306" i="12"/>
  <c r="C2439" i="12"/>
  <c r="B2574" i="12"/>
  <c r="B4049" i="12"/>
  <c r="C3914" i="12"/>
  <c r="C2738" i="12"/>
  <c r="B2873" i="12"/>
  <c r="B2683" i="12"/>
  <c r="C2548" i="12"/>
  <c r="B2616" i="12"/>
  <c r="C2481" i="12"/>
  <c r="B2908" i="12"/>
  <c r="C2773" i="12"/>
  <c r="B2434" i="12"/>
  <c r="C2299" i="12"/>
  <c r="B2706" i="12"/>
  <c r="C2571" i="12"/>
  <c r="B2831" i="12"/>
  <c r="C2696" i="12"/>
  <c r="B4026" i="12"/>
  <c r="C3891" i="12"/>
  <c r="B2911" i="12"/>
  <c r="C2776" i="12"/>
  <c r="B2677" i="12"/>
  <c r="C2542" i="12"/>
  <c r="C2774" i="12"/>
  <c r="B2909" i="12"/>
  <c r="B2465" i="12"/>
  <c r="C2330" i="12"/>
  <c r="B2815" i="12"/>
  <c r="C2680" i="12"/>
  <c r="B4216" i="12"/>
  <c r="C4081" i="12"/>
  <c r="B2755" i="12"/>
  <c r="C2620" i="12"/>
  <c r="B3240" i="12"/>
  <c r="C3105" i="12"/>
  <c r="A2698" i="12"/>
  <c r="C2563" i="12"/>
  <c r="C2618" i="12"/>
  <c r="B2753" i="12"/>
  <c r="B3056" i="12"/>
  <c r="C2921" i="12"/>
  <c r="B2742" i="12"/>
  <c r="C2607" i="12"/>
  <c r="B2640" i="12"/>
  <c r="C2505" i="12"/>
  <c r="B3614" i="12"/>
  <c r="C3479" i="12"/>
  <c r="B2581" i="12"/>
  <c r="C2446" i="12"/>
  <c r="B2511" i="12"/>
  <c r="C2376" i="12"/>
  <c r="B2466" i="12"/>
  <c r="C2331" i="12"/>
  <c r="B3204" i="12"/>
  <c r="C3069" i="12"/>
  <c r="B2926" i="12"/>
  <c r="C2791" i="12"/>
  <c r="B3029" i="12"/>
  <c r="C2894" i="12"/>
  <c r="C2673" i="12"/>
  <c r="B2808" i="12"/>
  <c r="B3666" i="12"/>
  <c r="C3531" i="12"/>
  <c r="C2661" i="12"/>
  <c r="B2796" i="12"/>
  <c r="B3108" i="12"/>
  <c r="C2973" i="12"/>
  <c r="C2853" i="12"/>
  <c r="B2988" i="12"/>
  <c r="C2487" i="12"/>
  <c r="B2622" i="12"/>
  <c r="C2318" i="12"/>
  <c r="B2453" i="12"/>
  <c r="B2606" i="12"/>
  <c r="C2471" i="12"/>
  <c r="B3030" i="12"/>
  <c r="C2895" i="12"/>
  <c r="B2918" i="12"/>
  <c r="C2783" i="12"/>
  <c r="C2635" i="12"/>
  <c r="B2770" i="12"/>
  <c r="B2867" i="12"/>
  <c r="C2732" i="12"/>
  <c r="B2857" i="12"/>
  <c r="C2722" i="12"/>
  <c r="B2530" i="12"/>
  <c r="C2395" i="12"/>
  <c r="B3084" i="12"/>
  <c r="C2949" i="12"/>
  <c r="B2845" i="12"/>
  <c r="C2710" i="12"/>
  <c r="C2743" i="12"/>
  <c r="B2878" i="12"/>
  <c r="C3086" i="12"/>
  <c r="B3221" i="12"/>
  <c r="C2996" i="12"/>
  <c r="B3131" i="12"/>
  <c r="C2675" i="12"/>
  <c r="B2810" i="12"/>
  <c r="C3494" i="12"/>
  <c r="B3629" i="12"/>
  <c r="B2771" i="12"/>
  <c r="C2636" i="12"/>
  <c r="C3349" i="12"/>
  <c r="B3484" i="12"/>
  <c r="B2697" i="12"/>
  <c r="C2562" i="12"/>
  <c r="B2629" i="12"/>
  <c r="C2494" i="12"/>
  <c r="B2573" i="12"/>
  <c r="C2438" i="12"/>
  <c r="C2729" i="12"/>
  <c r="B2864" i="12"/>
  <c r="B3124" i="12"/>
  <c r="C2989" i="12"/>
  <c r="C2678" i="12"/>
  <c r="B2813" i="12"/>
  <c r="B2961" i="12"/>
  <c r="C2826" i="12"/>
  <c r="B3010" i="12"/>
  <c r="C2875" i="12"/>
  <c r="B3031" i="12"/>
  <c r="C2896" i="12"/>
  <c r="B2630" i="12"/>
  <c r="C2495" i="12"/>
  <c r="B2795" i="12"/>
  <c r="C2660" i="12"/>
  <c r="B2550" i="12"/>
  <c r="C2415" i="12"/>
  <c r="B2672" i="12"/>
  <c r="C2537" i="12"/>
  <c r="B3273" i="12"/>
  <c r="C3138" i="12"/>
  <c r="B2595" i="12"/>
  <c r="C2460" i="12"/>
  <c r="B2611" i="12"/>
  <c r="C2476" i="12"/>
  <c r="C2590" i="12"/>
  <c r="B2725" i="12"/>
  <c r="C3197" i="12"/>
  <c r="B3332" i="12"/>
  <c r="C2445" i="12"/>
  <c r="B2580" i="12"/>
  <c r="B3750" i="12"/>
  <c r="B2528" i="12"/>
  <c r="C2393" i="12"/>
  <c r="C2983" i="12"/>
  <c r="B3118" i="12"/>
  <c r="C2447" i="12"/>
  <c r="B2582" i="12"/>
  <c r="B2536" i="12"/>
  <c r="C2401" i="12"/>
  <c r="B3048" i="12"/>
  <c r="C2913" i="12"/>
  <c r="B3058" i="12"/>
  <c r="C2923" i="12"/>
  <c r="C2582" i="12" l="1"/>
  <c r="B2717" i="12"/>
  <c r="C2580" i="12"/>
  <c r="B2715" i="12"/>
  <c r="B3885" i="12"/>
  <c r="B2999" i="12"/>
  <c r="C2864" i="12"/>
  <c r="B3619" i="12"/>
  <c r="C3484" i="12"/>
  <c r="C3131" i="12"/>
  <c r="B3266" i="12"/>
  <c r="C2770" i="12"/>
  <c r="B2905" i="12"/>
  <c r="B2588" i="12"/>
  <c r="C2453" i="12"/>
  <c r="C2796" i="12"/>
  <c r="B2931" i="12"/>
  <c r="C2909" i="12"/>
  <c r="B3044" i="12"/>
  <c r="B2709" i="12"/>
  <c r="C2574" i="12"/>
  <c r="B2924" i="12"/>
  <c r="C2789" i="12"/>
  <c r="B2572" i="12"/>
  <c r="C2437" i="12"/>
  <c r="B2849" i="12"/>
  <c r="C2714" i="12"/>
  <c r="B4187" i="12"/>
  <c r="B2671" i="12"/>
  <c r="C2536" i="12"/>
  <c r="C2611" i="12"/>
  <c r="B2746" i="12"/>
  <c r="C2550" i="12"/>
  <c r="B2685" i="12"/>
  <c r="C3010" i="12"/>
  <c r="B3145" i="12"/>
  <c r="B3219" i="12"/>
  <c r="C3084" i="12"/>
  <c r="C2926" i="12"/>
  <c r="B3061" i="12"/>
  <c r="C2581" i="12"/>
  <c r="B2716" i="12"/>
  <c r="B3191" i="12"/>
  <c r="C3056" i="12"/>
  <c r="B2890" i="12"/>
  <c r="C2755" i="12"/>
  <c r="B2966" i="12"/>
  <c r="C2831" i="12"/>
  <c r="C2616" i="12"/>
  <c r="B2751" i="12"/>
  <c r="B2695" i="12"/>
  <c r="C2560" i="12"/>
  <c r="B3638" i="12"/>
  <c r="C3503" i="12"/>
  <c r="B2914" i="12"/>
  <c r="C2779" i="12"/>
  <c r="C2553" i="12"/>
  <c r="B2688" i="12"/>
  <c r="C3036" i="12"/>
  <c r="B3171" i="12"/>
  <c r="C3234" i="12"/>
  <c r="B3369" i="12"/>
  <c r="B3155" i="12"/>
  <c r="C3020" i="12"/>
  <c r="B2734" i="12"/>
  <c r="C2599" i="12"/>
  <c r="B2882" i="12"/>
  <c r="C2747" i="12"/>
  <c r="C2768" i="12"/>
  <c r="B2903" i="12"/>
  <c r="B2757" i="12"/>
  <c r="C2622" i="12"/>
  <c r="B2730" i="12"/>
  <c r="C2595" i="12"/>
  <c r="B2930" i="12"/>
  <c r="C2795" i="12"/>
  <c r="C2573" i="12"/>
  <c r="B2708" i="12"/>
  <c r="C2771" i="12"/>
  <c r="B2906" i="12"/>
  <c r="B2841" i="12"/>
  <c r="C2706" i="12"/>
  <c r="B2602" i="12"/>
  <c r="C2467" i="12"/>
  <c r="C3792" i="12"/>
  <c r="B3927" i="12"/>
  <c r="B2975" i="12"/>
  <c r="C2840" i="12"/>
  <c r="B4279" i="12"/>
  <c r="C4144" i="12"/>
  <c r="C2873" i="12"/>
  <c r="B3008" i="12"/>
  <c r="B2889" i="12"/>
  <c r="C2754" i="12"/>
  <c r="B3091" i="12"/>
  <c r="C2956" i="12"/>
  <c r="B3157" i="12"/>
  <c r="C3022" i="12"/>
  <c r="B3193" i="12"/>
  <c r="C3058" i="12"/>
  <c r="B3408" i="12"/>
  <c r="C3273" i="12"/>
  <c r="B2765" i="12"/>
  <c r="C2630" i="12"/>
  <c r="B2764" i="12"/>
  <c r="C2629" i="12"/>
  <c r="B2992" i="12"/>
  <c r="C2857" i="12"/>
  <c r="B3165" i="12"/>
  <c r="C3030" i="12"/>
  <c r="B2601" i="12"/>
  <c r="C2466" i="12"/>
  <c r="B2775" i="12"/>
  <c r="C2640" i="12"/>
  <c r="A2833" i="12"/>
  <c r="C2698" i="12"/>
  <c r="B2950" i="12"/>
  <c r="C2815" i="12"/>
  <c r="C2911" i="12"/>
  <c r="B3046" i="12"/>
  <c r="B2569" i="12"/>
  <c r="C2434" i="12"/>
  <c r="B3149" i="12"/>
  <c r="C3014" i="12"/>
  <c r="C2458" i="12"/>
  <c r="B2593" i="12"/>
  <c r="B2824" i="12"/>
  <c r="C2689" i="12"/>
  <c r="C2883" i="12"/>
  <c r="B3018" i="12"/>
  <c r="C2637" i="12"/>
  <c r="B2772" i="12"/>
  <c r="B2658" i="12"/>
  <c r="C2523" i="12"/>
  <c r="B4858" i="12"/>
  <c r="B2623" i="12"/>
  <c r="C2488" i="12"/>
  <c r="A3480" i="12"/>
  <c r="C3345" i="12"/>
  <c r="B2925" i="12"/>
  <c r="C2790" i="12"/>
  <c r="B2632" i="12"/>
  <c r="C2497" i="12"/>
  <c r="B2769" i="12"/>
  <c r="C2634" i="12"/>
  <c r="B3050" i="12"/>
  <c r="C2915" i="12"/>
  <c r="C2530" i="12"/>
  <c r="B2665" i="12"/>
  <c r="C2918" i="12"/>
  <c r="B3053" i="12"/>
  <c r="B3339" i="12"/>
  <c r="C3204" i="12"/>
  <c r="B4351" i="12"/>
  <c r="C4216" i="12"/>
  <c r="C2683" i="12"/>
  <c r="B2818" i="12"/>
  <c r="A3632" i="12"/>
  <c r="C3497" i="12"/>
  <c r="A2837" i="12"/>
  <c r="C2702" i="12"/>
  <c r="B3746" i="12"/>
  <c r="C3611" i="12"/>
  <c r="B3009" i="12"/>
  <c r="C2874" i="12"/>
  <c r="C3118" i="12"/>
  <c r="B3253" i="12"/>
  <c r="C3332" i="12"/>
  <c r="B3467" i="12"/>
  <c r="B3764" i="12"/>
  <c r="C3629" i="12"/>
  <c r="B3013" i="12"/>
  <c r="C2878" i="12"/>
  <c r="B3123" i="12"/>
  <c r="C2988" i="12"/>
  <c r="B2943" i="12"/>
  <c r="C2808" i="12"/>
  <c r="B2860" i="12"/>
  <c r="C2725" i="12"/>
  <c r="C2810" i="12"/>
  <c r="B2945" i="12"/>
  <c r="B3376" i="12"/>
  <c r="C3241" i="12"/>
  <c r="B2782" i="12"/>
  <c r="C2647" i="12"/>
  <c r="B2912" i="12"/>
  <c r="C2777" i="12"/>
  <c r="C2585" i="12"/>
  <c r="B2720" i="12"/>
  <c r="C3770" i="12"/>
  <c r="B3905" i="12"/>
  <c r="B3168" i="12"/>
  <c r="C3033" i="12"/>
  <c r="B3356" i="12"/>
  <c r="C3221" i="12"/>
  <c r="B2888" i="12"/>
  <c r="C2753" i="12"/>
  <c r="B2662" i="12"/>
  <c r="C2527" i="12"/>
  <c r="C2859" i="12"/>
  <c r="B2994" i="12"/>
  <c r="B3096" i="12"/>
  <c r="C2961" i="12"/>
  <c r="B3801" i="12"/>
  <c r="C3666" i="12"/>
  <c r="B3749" i="12"/>
  <c r="C3614" i="12"/>
  <c r="C2677" i="12"/>
  <c r="B2812" i="12"/>
  <c r="B2576" i="12"/>
  <c r="C2441" i="12"/>
  <c r="B3026" i="12"/>
  <c r="C2891" i="12"/>
  <c r="C2652" i="12"/>
  <c r="B2787" i="12"/>
  <c r="B2762" i="12"/>
  <c r="C2627" i="12"/>
  <c r="B2948" i="12"/>
  <c r="C2813" i="12"/>
  <c r="B3183" i="12"/>
  <c r="C3048" i="12"/>
  <c r="B2663" i="12"/>
  <c r="C2528" i="12"/>
  <c r="C2672" i="12"/>
  <c r="B2807" i="12"/>
  <c r="B3166" i="12"/>
  <c r="C3031" i="12"/>
  <c r="B3259" i="12"/>
  <c r="C3124" i="12"/>
  <c r="B2832" i="12"/>
  <c r="C2697" i="12"/>
  <c r="B2980" i="12"/>
  <c r="C2845" i="12"/>
  <c r="B3002" i="12"/>
  <c r="C2867" i="12"/>
  <c r="C2606" i="12"/>
  <c r="B2741" i="12"/>
  <c r="B3243" i="12"/>
  <c r="C3108" i="12"/>
  <c r="B3164" i="12"/>
  <c r="C3029" i="12"/>
  <c r="C2511" i="12"/>
  <c r="B2646" i="12"/>
  <c r="B2877" i="12"/>
  <c r="C2742" i="12"/>
  <c r="B3375" i="12"/>
  <c r="C3240" i="12"/>
  <c r="B2600" i="12"/>
  <c r="C2465" i="12"/>
  <c r="B4161" i="12"/>
  <c r="C4026" i="12"/>
  <c r="B3043" i="12"/>
  <c r="C2908" i="12"/>
  <c r="B4184" i="12"/>
  <c r="C4049" i="12"/>
  <c r="B2938" i="12"/>
  <c r="C2803" i="12"/>
  <c r="B3015" i="12"/>
  <c r="C2880" i="12"/>
  <c r="B2784" i="12"/>
  <c r="C2649" i="12"/>
  <c r="C2952" i="12"/>
  <c r="B3087" i="12"/>
  <c r="B2785" i="12"/>
  <c r="C2650" i="12"/>
  <c r="B2667" i="12"/>
  <c r="C2532" i="12"/>
  <c r="B2862" i="12"/>
  <c r="C2727" i="12"/>
  <c r="B3097" i="12"/>
  <c r="C2962" i="12"/>
  <c r="B3289" i="12"/>
  <c r="C3154" i="12"/>
  <c r="C2646" i="12" l="1"/>
  <c r="B2781" i="12"/>
  <c r="C2741" i="12"/>
  <c r="B2876" i="12"/>
  <c r="C2720" i="12"/>
  <c r="B2855" i="12"/>
  <c r="B3080" i="12"/>
  <c r="C2945" i="12"/>
  <c r="C2818" i="12"/>
  <c r="B2953" i="12"/>
  <c r="B2800" i="12"/>
  <c r="C2665" i="12"/>
  <c r="B2728" i="12"/>
  <c r="C2593" i="12"/>
  <c r="B4062" i="12"/>
  <c r="C3927" i="12"/>
  <c r="B2843" i="12"/>
  <c r="C2708" i="12"/>
  <c r="C2903" i="12"/>
  <c r="B3038" i="12"/>
  <c r="B3504" i="12"/>
  <c r="C3369" i="12"/>
  <c r="B2997" i="12"/>
  <c r="C2862" i="12"/>
  <c r="B2919" i="12"/>
  <c r="C2784" i="12"/>
  <c r="C3043" i="12"/>
  <c r="B3178" i="12"/>
  <c r="B3012" i="12"/>
  <c r="C2877" i="12"/>
  <c r="C3259" i="12"/>
  <c r="B3394" i="12"/>
  <c r="B3318" i="12"/>
  <c r="C3183" i="12"/>
  <c r="B3161" i="12"/>
  <c r="C3026" i="12"/>
  <c r="B3936" i="12"/>
  <c r="C3801" i="12"/>
  <c r="C2888" i="12"/>
  <c r="B3023" i="12"/>
  <c r="B3148" i="12"/>
  <c r="C3013" i="12"/>
  <c r="C3009" i="12"/>
  <c r="B3144" i="12"/>
  <c r="C2925" i="12"/>
  <c r="B3060" i="12"/>
  <c r="B2793" i="12"/>
  <c r="C2658" i="12"/>
  <c r="B3085" i="12"/>
  <c r="C2950" i="12"/>
  <c r="B3300" i="12"/>
  <c r="C3165" i="12"/>
  <c r="C3408" i="12"/>
  <c r="B3543" i="12"/>
  <c r="C2889" i="12"/>
  <c r="B3024" i="12"/>
  <c r="B3773" i="12"/>
  <c r="C3638" i="12"/>
  <c r="B3025" i="12"/>
  <c r="C2890" i="12"/>
  <c r="B3354" i="12"/>
  <c r="C3219" i="12"/>
  <c r="B2806" i="12"/>
  <c r="C2671" i="12"/>
  <c r="B3059" i="12"/>
  <c r="C2924" i="12"/>
  <c r="B2723" i="12"/>
  <c r="C2588" i="12"/>
  <c r="B3134" i="12"/>
  <c r="C2999" i="12"/>
  <c r="C2905" i="12"/>
  <c r="B3040" i="12"/>
  <c r="B3137" i="12"/>
  <c r="C3002" i="12"/>
  <c r="B3083" i="12"/>
  <c r="C2948" i="12"/>
  <c r="B3491" i="12"/>
  <c r="C3356" i="12"/>
  <c r="C2860" i="12"/>
  <c r="B2995" i="12"/>
  <c r="B3881" i="12"/>
  <c r="C3746" i="12"/>
  <c r="A3615" i="12"/>
  <c r="C3480" i="12"/>
  <c r="C2807" i="12"/>
  <c r="B2942" i="12"/>
  <c r="B2947" i="12"/>
  <c r="C2812" i="12"/>
  <c r="C3018" i="12"/>
  <c r="B3153" i="12"/>
  <c r="C2688" i="12"/>
  <c r="B2823" i="12"/>
  <c r="C2751" i="12"/>
  <c r="B2886" i="12"/>
  <c r="B2851" i="12"/>
  <c r="C2716" i="12"/>
  <c r="C2685" i="12"/>
  <c r="B2820" i="12"/>
  <c r="B3179" i="12"/>
  <c r="C3044" i="12"/>
  <c r="C3266" i="12"/>
  <c r="B3401" i="12"/>
  <c r="B2850" i="12"/>
  <c r="C2715" i="12"/>
  <c r="B3424" i="12"/>
  <c r="C3289" i="12"/>
  <c r="B2920" i="12"/>
  <c r="C2785" i="12"/>
  <c r="B3073" i="12"/>
  <c r="C2938" i="12"/>
  <c r="B2735" i="12"/>
  <c r="C2600" i="12"/>
  <c r="C3164" i="12"/>
  <c r="B3299" i="12"/>
  <c r="B3115" i="12"/>
  <c r="C2980" i="12"/>
  <c r="C2762" i="12"/>
  <c r="B2897" i="12"/>
  <c r="B3303" i="12"/>
  <c r="C3168" i="12"/>
  <c r="B2917" i="12"/>
  <c r="C2782" i="12"/>
  <c r="B3078" i="12"/>
  <c r="C2943" i="12"/>
  <c r="A2972" i="12"/>
  <c r="C2837" i="12"/>
  <c r="B3474" i="12"/>
  <c r="C3339" i="12"/>
  <c r="C2769" i="12"/>
  <c r="B2904" i="12"/>
  <c r="C2623" i="12"/>
  <c r="B2758" i="12"/>
  <c r="B2704" i="12"/>
  <c r="C2569" i="12"/>
  <c r="C2775" i="12"/>
  <c r="B2910" i="12"/>
  <c r="B2899" i="12"/>
  <c r="C2764" i="12"/>
  <c r="B3292" i="12"/>
  <c r="C3157" i="12"/>
  <c r="B4414" i="12"/>
  <c r="C4279" i="12"/>
  <c r="C2841" i="12"/>
  <c r="B2976" i="12"/>
  <c r="B2865" i="12"/>
  <c r="C2730" i="12"/>
  <c r="C2734" i="12"/>
  <c r="B2869" i="12"/>
  <c r="B2984" i="12"/>
  <c r="C2849" i="12"/>
  <c r="C3145" i="12"/>
  <c r="B3280" i="12"/>
  <c r="B3150" i="12"/>
  <c r="C3015" i="12"/>
  <c r="B2711" i="12"/>
  <c r="C2576" i="12"/>
  <c r="B3284" i="12"/>
  <c r="C3149" i="12"/>
  <c r="A2968" i="12"/>
  <c r="C2833" i="12"/>
  <c r="B3127" i="12"/>
  <c r="C2992" i="12"/>
  <c r="C3193" i="12"/>
  <c r="B3328" i="12"/>
  <c r="B2737" i="12"/>
  <c r="C2602" i="12"/>
  <c r="B4322" i="12"/>
  <c r="B4020" i="12"/>
  <c r="C2994" i="12"/>
  <c r="B3129" i="12"/>
  <c r="B3602" i="12"/>
  <c r="C3467" i="12"/>
  <c r="B3222" i="12"/>
  <c r="C3087" i="12"/>
  <c r="C2787" i="12"/>
  <c r="B2922" i="12"/>
  <c r="C3905" i="12"/>
  <c r="B4040" i="12"/>
  <c r="C3253" i="12"/>
  <c r="B3388" i="12"/>
  <c r="B3188" i="12"/>
  <c r="C3053" i="12"/>
  <c r="B3181" i="12"/>
  <c r="C3046" i="12"/>
  <c r="B3041" i="12"/>
  <c r="C2906" i="12"/>
  <c r="B3196" i="12"/>
  <c r="C3061" i="12"/>
  <c r="C2746" i="12"/>
  <c r="B2881" i="12"/>
  <c r="B3066" i="12"/>
  <c r="C2931" i="12"/>
  <c r="B2852" i="12"/>
  <c r="C2717" i="12"/>
  <c r="B2907" i="12"/>
  <c r="C2772" i="12"/>
  <c r="B3143" i="12"/>
  <c r="C3008" i="12"/>
  <c r="B3306" i="12"/>
  <c r="C3171" i="12"/>
  <c r="B2802" i="12"/>
  <c r="C2667" i="12"/>
  <c r="C4161" i="12"/>
  <c r="B4296" i="12"/>
  <c r="B3301" i="12"/>
  <c r="C3166" i="12"/>
  <c r="B3231" i="12"/>
  <c r="C3096" i="12"/>
  <c r="C2912" i="12"/>
  <c r="B3047" i="12"/>
  <c r="B3899" i="12"/>
  <c r="C3764" i="12"/>
  <c r="C4351" i="12"/>
  <c r="B4486" i="12"/>
  <c r="B3185" i="12"/>
  <c r="C3050" i="12"/>
  <c r="B3065" i="12"/>
  <c r="C2930" i="12"/>
  <c r="B3017" i="12"/>
  <c r="C2882" i="12"/>
  <c r="B2830" i="12"/>
  <c r="C2695" i="12"/>
  <c r="B3326" i="12"/>
  <c r="C3191" i="12"/>
  <c r="C2709" i="12"/>
  <c r="B2844" i="12"/>
  <c r="B3232" i="12"/>
  <c r="C3097" i="12"/>
  <c r="B4319" i="12"/>
  <c r="C4184" i="12"/>
  <c r="B3510" i="12"/>
  <c r="C3375" i="12"/>
  <c r="B3378" i="12"/>
  <c r="C3243" i="12"/>
  <c r="C2832" i="12"/>
  <c r="B2967" i="12"/>
  <c r="B2798" i="12"/>
  <c r="C2663" i="12"/>
  <c r="B3884" i="12"/>
  <c r="C3749" i="12"/>
  <c r="B2797" i="12"/>
  <c r="C2662" i="12"/>
  <c r="B3511" i="12"/>
  <c r="C3376" i="12"/>
  <c r="B3258" i="12"/>
  <c r="C3123" i="12"/>
  <c r="A3767" i="12"/>
  <c r="C3632" i="12"/>
  <c r="B2767" i="12"/>
  <c r="C2632" i="12"/>
  <c r="B4993" i="12"/>
  <c r="C2824" i="12"/>
  <c r="B2959" i="12"/>
  <c r="B2736" i="12"/>
  <c r="C2601" i="12"/>
  <c r="B2900" i="12"/>
  <c r="C2765" i="12"/>
  <c r="C3091" i="12"/>
  <c r="B3226" i="12"/>
  <c r="B3110" i="12"/>
  <c r="C2975" i="12"/>
  <c r="C2757" i="12"/>
  <c r="B2892" i="12"/>
  <c r="C3155" i="12"/>
  <c r="B3290" i="12"/>
  <c r="C2914" i="12"/>
  <c r="B3049" i="12"/>
  <c r="B3101" i="12"/>
  <c r="C2966" i="12"/>
  <c r="B2707" i="12"/>
  <c r="C2572" i="12"/>
  <c r="B3754" i="12"/>
  <c r="C3619" i="12"/>
  <c r="B3102" i="12" l="1"/>
  <c r="C2967" i="12"/>
  <c r="B3094" i="12"/>
  <c r="C2959" i="12"/>
  <c r="B4621" i="12"/>
  <c r="C4486" i="12"/>
  <c r="B3016" i="12"/>
  <c r="C2881" i="12"/>
  <c r="B4457" i="12"/>
  <c r="B3415" i="12"/>
  <c r="C3280" i="12"/>
  <c r="B3111" i="12"/>
  <c r="C2976" i="12"/>
  <c r="B3045" i="12"/>
  <c r="C2910" i="12"/>
  <c r="B3130" i="12"/>
  <c r="C2995" i="12"/>
  <c r="B3175" i="12"/>
  <c r="C3040" i="12"/>
  <c r="B3159" i="12"/>
  <c r="C3024" i="12"/>
  <c r="B3158" i="12"/>
  <c r="C3023" i="12"/>
  <c r="B3529" i="12"/>
  <c r="C3394" i="12"/>
  <c r="B3236" i="12"/>
  <c r="C3101" i="12"/>
  <c r="C3110" i="12"/>
  <c r="B3245" i="12"/>
  <c r="C3258" i="12"/>
  <c r="B3393" i="12"/>
  <c r="B2933" i="12"/>
  <c r="C2798" i="12"/>
  <c r="B4454" i="12"/>
  <c r="C4319" i="12"/>
  <c r="B2965" i="12"/>
  <c r="C2830" i="12"/>
  <c r="B3436" i="12"/>
  <c r="C3301" i="12"/>
  <c r="B3278" i="12"/>
  <c r="C3143" i="12"/>
  <c r="C3188" i="12"/>
  <c r="B3323" i="12"/>
  <c r="B3357" i="12"/>
  <c r="C3222" i="12"/>
  <c r="A3103" i="12"/>
  <c r="C2968" i="12"/>
  <c r="B3609" i="12"/>
  <c r="C3474" i="12"/>
  <c r="C3303" i="12"/>
  <c r="B3438" i="12"/>
  <c r="B2870" i="12"/>
  <c r="C2735" i="12"/>
  <c r="B2985" i="12"/>
  <c r="C2850" i="12"/>
  <c r="B2986" i="12"/>
  <c r="C2851" i="12"/>
  <c r="B3082" i="12"/>
  <c r="C2947" i="12"/>
  <c r="C2806" i="12"/>
  <c r="B2941" i="12"/>
  <c r="B2928" i="12"/>
  <c r="C2793" i="12"/>
  <c r="C2997" i="12"/>
  <c r="B3132" i="12"/>
  <c r="B4197" i="12"/>
  <c r="C4062" i="12"/>
  <c r="C3080" i="12"/>
  <c r="B3215" i="12"/>
  <c r="B3361" i="12"/>
  <c r="C3226" i="12"/>
  <c r="B3032" i="12"/>
  <c r="C2897" i="12"/>
  <c r="B3021" i="12"/>
  <c r="C2886" i="12"/>
  <c r="B3195" i="12"/>
  <c r="C3060" i="12"/>
  <c r="C2855" i="12"/>
  <c r="B2990" i="12"/>
  <c r="C3196" i="12"/>
  <c r="B3331" i="12"/>
  <c r="C3602" i="12"/>
  <c r="B3737" i="12"/>
  <c r="B2872" i="12"/>
  <c r="C2737" i="12"/>
  <c r="B3419" i="12"/>
  <c r="C3284" i="12"/>
  <c r="B3119" i="12"/>
  <c r="C2984" i="12"/>
  <c r="C2704" i="12"/>
  <c r="B2839" i="12"/>
  <c r="A3107" i="12"/>
  <c r="C2972" i="12"/>
  <c r="C3073" i="12"/>
  <c r="B3208" i="12"/>
  <c r="C3491" i="12"/>
  <c r="B3626" i="12"/>
  <c r="C3134" i="12"/>
  <c r="B3269" i="12"/>
  <c r="B3489" i="12"/>
  <c r="C3354" i="12"/>
  <c r="C3290" i="12"/>
  <c r="B3425" i="12"/>
  <c r="C4040" i="12"/>
  <c r="B4175" i="12"/>
  <c r="B3313" i="12"/>
  <c r="C3178" i="12"/>
  <c r="B3173" i="12"/>
  <c r="C3038" i="12"/>
  <c r="B3011" i="12"/>
  <c r="C2876" i="12"/>
  <c r="B3889" i="12"/>
  <c r="C3754" i="12"/>
  <c r="B3035" i="12"/>
  <c r="C2900" i="12"/>
  <c r="B2902" i="12"/>
  <c r="C2767" i="12"/>
  <c r="C2797" i="12"/>
  <c r="B2932" i="12"/>
  <c r="B3513" i="12"/>
  <c r="C3378" i="12"/>
  <c r="C3065" i="12"/>
  <c r="B3200" i="12"/>
  <c r="B2937" i="12"/>
  <c r="C2802" i="12"/>
  <c r="B2987" i="12"/>
  <c r="C2852" i="12"/>
  <c r="B3176" i="12"/>
  <c r="C3041" i="12"/>
  <c r="B2846" i="12"/>
  <c r="C2711" i="12"/>
  <c r="B3427" i="12"/>
  <c r="C3292" i="12"/>
  <c r="B3213" i="12"/>
  <c r="C3078" i="12"/>
  <c r="C3115" i="12"/>
  <c r="B3250" i="12"/>
  <c r="C2920" i="12"/>
  <c r="B3055" i="12"/>
  <c r="B3314" i="12"/>
  <c r="C3179" i="12"/>
  <c r="A3750" i="12"/>
  <c r="C3615" i="12"/>
  <c r="C3083" i="12"/>
  <c r="B3218" i="12"/>
  <c r="B2858" i="12"/>
  <c r="C2723" i="12"/>
  <c r="C3025" i="12"/>
  <c r="B3160" i="12"/>
  <c r="C3300" i="12"/>
  <c r="B3435" i="12"/>
  <c r="B3296" i="12"/>
  <c r="C3161" i="12"/>
  <c r="C2800" i="12"/>
  <c r="B2935" i="12"/>
  <c r="C3049" i="12"/>
  <c r="B3184" i="12"/>
  <c r="B4431" i="12"/>
  <c r="C4296" i="12"/>
  <c r="B3536" i="12"/>
  <c r="C3401" i="12"/>
  <c r="B3077" i="12"/>
  <c r="C2942" i="12"/>
  <c r="C3543" i="12"/>
  <c r="B3678" i="12"/>
  <c r="B5128" i="12"/>
  <c r="B3646" i="12"/>
  <c r="C3511" i="12"/>
  <c r="B3367" i="12"/>
  <c r="C3232" i="12"/>
  <c r="C4414" i="12"/>
  <c r="B4549" i="12"/>
  <c r="B4071" i="12"/>
  <c r="C3936" i="12"/>
  <c r="B2863" i="12"/>
  <c r="C2728" i="12"/>
  <c r="B2979" i="12"/>
  <c r="C2844" i="12"/>
  <c r="B3182" i="12"/>
  <c r="C3047" i="12"/>
  <c r="B3264" i="12"/>
  <c r="C3129" i="12"/>
  <c r="B3004" i="12"/>
  <c r="C2869" i="12"/>
  <c r="B2893" i="12"/>
  <c r="C2758" i="12"/>
  <c r="C2823" i="12"/>
  <c r="B2958" i="12"/>
  <c r="B3027" i="12"/>
  <c r="C2892" i="12"/>
  <c r="C2922" i="12"/>
  <c r="B3057" i="12"/>
  <c r="B4155" i="12"/>
  <c r="B3039" i="12"/>
  <c r="C2904" i="12"/>
  <c r="C3299" i="12"/>
  <c r="B3434" i="12"/>
  <c r="B2955" i="12"/>
  <c r="C2820" i="12"/>
  <c r="C3153" i="12"/>
  <c r="B3288" i="12"/>
  <c r="C2953" i="12"/>
  <c r="B3088" i="12"/>
  <c r="B2916" i="12"/>
  <c r="C2781" i="12"/>
  <c r="B3523" i="12"/>
  <c r="C3388" i="12"/>
  <c r="C3017" i="12"/>
  <c r="B3152" i="12"/>
  <c r="C3899" i="12"/>
  <c r="B4034" i="12"/>
  <c r="C2907" i="12"/>
  <c r="B3042" i="12"/>
  <c r="C3012" i="12"/>
  <c r="B3147" i="12"/>
  <c r="C3504" i="12"/>
  <c r="B3639" i="12"/>
  <c r="B3463" i="12"/>
  <c r="C3328" i="12"/>
  <c r="C3144" i="12"/>
  <c r="B3279" i="12"/>
  <c r="C2707" i="12"/>
  <c r="B2842" i="12"/>
  <c r="B2871" i="12"/>
  <c r="C2736" i="12"/>
  <c r="A3902" i="12"/>
  <c r="C3767" i="12"/>
  <c r="B4019" i="12"/>
  <c r="C3884" i="12"/>
  <c r="C3510" i="12"/>
  <c r="B3645" i="12"/>
  <c r="B3461" i="12"/>
  <c r="C3326" i="12"/>
  <c r="B3320" i="12"/>
  <c r="C3185" i="12"/>
  <c r="B3366" i="12"/>
  <c r="C3231" i="12"/>
  <c r="B3441" i="12"/>
  <c r="C3306" i="12"/>
  <c r="B3201" i="12"/>
  <c r="C3066" i="12"/>
  <c r="B3316" i="12"/>
  <c r="C3181" i="12"/>
  <c r="B3262" i="12"/>
  <c r="C3127" i="12"/>
  <c r="C3150" i="12"/>
  <c r="B3285" i="12"/>
  <c r="B3000" i="12"/>
  <c r="C2865" i="12"/>
  <c r="B3034" i="12"/>
  <c r="C2899" i="12"/>
  <c r="C2917" i="12"/>
  <c r="B3052" i="12"/>
  <c r="C3424" i="12"/>
  <c r="B3559" i="12"/>
  <c r="C3881" i="12"/>
  <c r="B4016" i="12"/>
  <c r="C3137" i="12"/>
  <c r="B3272" i="12"/>
  <c r="B3194" i="12"/>
  <c r="C3059" i="12"/>
  <c r="C3773" i="12"/>
  <c r="B3908" i="12"/>
  <c r="C3085" i="12"/>
  <c r="B3220" i="12"/>
  <c r="C3148" i="12"/>
  <c r="B3283" i="12"/>
  <c r="B3453" i="12"/>
  <c r="C3318" i="12"/>
  <c r="C2919" i="12"/>
  <c r="B3054" i="12"/>
  <c r="B2978" i="12"/>
  <c r="C2843" i="12"/>
  <c r="B3418" i="12" l="1"/>
  <c r="C3283" i="12"/>
  <c r="C3052" i="12"/>
  <c r="B3187" i="12"/>
  <c r="B3414" i="12"/>
  <c r="C3279" i="12"/>
  <c r="B3177" i="12"/>
  <c r="C3042" i="12"/>
  <c r="B3569" i="12"/>
  <c r="C3434" i="12"/>
  <c r="B5263" i="12"/>
  <c r="C3435" i="12"/>
  <c r="B3570" i="12"/>
  <c r="B3067" i="12"/>
  <c r="C2932" i="12"/>
  <c r="B3560" i="12"/>
  <c r="C3425" i="12"/>
  <c r="B3343" i="12"/>
  <c r="C3208" i="12"/>
  <c r="B3125" i="12"/>
  <c r="C2990" i="12"/>
  <c r="C3393" i="12"/>
  <c r="B3528" i="12"/>
  <c r="B3588" i="12"/>
  <c r="C3453" i="12"/>
  <c r="B3329" i="12"/>
  <c r="C3194" i="12"/>
  <c r="B3397" i="12"/>
  <c r="C3262" i="12"/>
  <c r="B3501" i="12"/>
  <c r="C3366" i="12"/>
  <c r="B4154" i="12"/>
  <c r="C4019" i="12"/>
  <c r="B3051" i="12"/>
  <c r="C2916" i="12"/>
  <c r="B3162" i="12"/>
  <c r="C3027" i="12"/>
  <c r="B3399" i="12"/>
  <c r="C3264" i="12"/>
  <c r="B4206" i="12"/>
  <c r="C4071" i="12"/>
  <c r="B4566" i="12"/>
  <c r="C4431" i="12"/>
  <c r="A3885" i="12"/>
  <c r="C3750" i="12"/>
  <c r="B3348" i="12"/>
  <c r="C3213" i="12"/>
  <c r="B3122" i="12"/>
  <c r="C2987" i="12"/>
  <c r="B3146" i="12"/>
  <c r="C3011" i="12"/>
  <c r="B3554" i="12"/>
  <c r="C3419" i="12"/>
  <c r="B3496" i="12"/>
  <c r="C3361" i="12"/>
  <c r="C2928" i="12"/>
  <c r="B3063" i="12"/>
  <c r="B3120" i="12"/>
  <c r="C2985" i="12"/>
  <c r="A3238" i="12"/>
  <c r="C3103" i="12"/>
  <c r="B3571" i="12"/>
  <c r="C3436" i="12"/>
  <c r="B3293" i="12"/>
  <c r="C3158" i="12"/>
  <c r="C3045" i="12"/>
  <c r="B3180" i="12"/>
  <c r="B3151" i="12"/>
  <c r="C3016" i="12"/>
  <c r="B4169" i="12"/>
  <c r="C4034" i="12"/>
  <c r="B3223" i="12"/>
  <c r="C3088" i="12"/>
  <c r="B4684" i="12"/>
  <c r="C4549" i="12"/>
  <c r="B3076" i="12"/>
  <c r="C2941" i="12"/>
  <c r="C3245" i="12"/>
  <c r="B3380" i="12"/>
  <c r="A4037" i="12"/>
  <c r="C3902" i="12"/>
  <c r="C3039" i="12"/>
  <c r="B3174" i="12"/>
  <c r="B3317" i="12"/>
  <c r="C3182" i="12"/>
  <c r="B3449" i="12"/>
  <c r="C3314" i="12"/>
  <c r="C3427" i="12"/>
  <c r="B3562" i="12"/>
  <c r="C2902" i="12"/>
  <c r="B3037" i="12"/>
  <c r="B3308" i="12"/>
  <c r="C3173" i="12"/>
  <c r="C3489" i="12"/>
  <c r="B3624" i="12"/>
  <c r="A3242" i="12"/>
  <c r="C3107" i="12"/>
  <c r="B3007" i="12"/>
  <c r="C2872" i="12"/>
  <c r="B3330" i="12"/>
  <c r="C3195" i="12"/>
  <c r="B3246" i="12"/>
  <c r="C3111" i="12"/>
  <c r="B3355" i="12"/>
  <c r="C3220" i="12"/>
  <c r="B3070" i="12"/>
  <c r="C2935" i="12"/>
  <c r="C3055" i="12"/>
  <c r="B3190" i="12"/>
  <c r="C3269" i="12"/>
  <c r="B3404" i="12"/>
  <c r="B3872" i="12"/>
  <c r="C3737" i="12"/>
  <c r="C3438" i="12"/>
  <c r="B3573" i="12"/>
  <c r="B3458" i="12"/>
  <c r="C3323" i="12"/>
  <c r="B3113" i="12"/>
  <c r="C2978" i="12"/>
  <c r="B3135" i="12"/>
  <c r="C3000" i="12"/>
  <c r="B3336" i="12"/>
  <c r="C3201" i="12"/>
  <c r="C3461" i="12"/>
  <c r="B3596" i="12"/>
  <c r="C2871" i="12"/>
  <c r="B3006" i="12"/>
  <c r="B4290" i="12"/>
  <c r="C2893" i="12"/>
  <c r="B3028" i="12"/>
  <c r="C2979" i="12"/>
  <c r="B3114" i="12"/>
  <c r="B3502" i="12"/>
  <c r="C3367" i="12"/>
  <c r="C3077" i="12"/>
  <c r="B3212" i="12"/>
  <c r="B2993" i="12"/>
  <c r="C2858" i="12"/>
  <c r="B2981" i="12"/>
  <c r="C2846" i="12"/>
  <c r="B3170" i="12"/>
  <c r="C3035" i="12"/>
  <c r="C3313" i="12"/>
  <c r="B3448" i="12"/>
  <c r="B3156" i="12"/>
  <c r="C3021" i="12"/>
  <c r="B4332" i="12"/>
  <c r="C4197" i="12"/>
  <c r="B3217" i="12"/>
  <c r="C3082" i="12"/>
  <c r="B4589" i="12"/>
  <c r="C4454" i="12"/>
  <c r="B3371" i="12"/>
  <c r="C3236" i="12"/>
  <c r="C3175" i="12"/>
  <c r="B3310" i="12"/>
  <c r="B3550" i="12"/>
  <c r="C3415" i="12"/>
  <c r="B3229" i="12"/>
  <c r="C3094" i="12"/>
  <c r="B3407" i="12"/>
  <c r="C3272" i="12"/>
  <c r="C3678" i="12"/>
  <c r="B3813" i="12"/>
  <c r="B3295" i="12"/>
  <c r="C3160" i="12"/>
  <c r="B3350" i="12"/>
  <c r="C3215" i="12"/>
  <c r="C3034" i="12"/>
  <c r="B3169" i="12"/>
  <c r="B3451" i="12"/>
  <c r="C3316" i="12"/>
  <c r="C3320" i="12"/>
  <c r="B3455" i="12"/>
  <c r="B3598" i="12"/>
  <c r="C3463" i="12"/>
  <c r="B3072" i="12"/>
  <c r="C2937" i="12"/>
  <c r="B3005" i="12"/>
  <c r="C2870" i="12"/>
  <c r="B3492" i="12"/>
  <c r="C3357" i="12"/>
  <c r="B3100" i="12"/>
  <c r="C2965" i="12"/>
  <c r="B4756" i="12"/>
  <c r="C4621" i="12"/>
  <c r="C2839" i="12"/>
  <c r="B2974" i="12"/>
  <c r="B3189" i="12"/>
  <c r="C3054" i="12"/>
  <c r="C3908" i="12"/>
  <c r="B4043" i="12"/>
  <c r="B3694" i="12"/>
  <c r="C3559" i="12"/>
  <c r="B3420" i="12"/>
  <c r="C3285" i="12"/>
  <c r="B3780" i="12"/>
  <c r="C3645" i="12"/>
  <c r="C2842" i="12"/>
  <c r="B2977" i="12"/>
  <c r="B3282" i="12"/>
  <c r="C3147" i="12"/>
  <c r="C3057" i="12"/>
  <c r="B3192" i="12"/>
  <c r="C3218" i="12"/>
  <c r="B3353" i="12"/>
  <c r="B3385" i="12"/>
  <c r="C3250" i="12"/>
  <c r="C4175" i="12"/>
  <c r="B4310" i="12"/>
  <c r="B3761" i="12"/>
  <c r="C3626" i="12"/>
  <c r="C3331" i="12"/>
  <c r="B3466" i="12"/>
  <c r="B3267" i="12"/>
  <c r="C3132" i="12"/>
  <c r="B4592" i="12"/>
  <c r="B3093" i="12"/>
  <c r="C2958" i="12"/>
  <c r="B3319" i="12"/>
  <c r="C3184" i="12"/>
  <c r="C3159" i="12"/>
  <c r="B3294" i="12"/>
  <c r="B4151" i="12"/>
  <c r="C4016" i="12"/>
  <c r="B3774" i="12"/>
  <c r="C3639" i="12"/>
  <c r="B3287" i="12"/>
  <c r="C3152" i="12"/>
  <c r="C3288" i="12"/>
  <c r="B3423" i="12"/>
  <c r="B3335" i="12"/>
  <c r="C3200" i="12"/>
  <c r="B3576" i="12"/>
  <c r="C3441" i="12"/>
  <c r="B3658" i="12"/>
  <c r="C3523" i="12"/>
  <c r="C2955" i="12"/>
  <c r="B3090" i="12"/>
  <c r="C3004" i="12"/>
  <c r="B3139" i="12"/>
  <c r="B2998" i="12"/>
  <c r="C2863" i="12"/>
  <c r="B3781" i="12"/>
  <c r="C3646" i="12"/>
  <c r="C3536" i="12"/>
  <c r="B3671" i="12"/>
  <c r="B3431" i="12"/>
  <c r="C3296" i="12"/>
  <c r="C3176" i="12"/>
  <c r="B3311" i="12"/>
  <c r="C3513" i="12"/>
  <c r="B3648" i="12"/>
  <c r="C3889" i="12"/>
  <c r="B4024" i="12"/>
  <c r="B3254" i="12"/>
  <c r="C3119" i="12"/>
  <c r="C3032" i="12"/>
  <c r="B3167" i="12"/>
  <c r="B3121" i="12"/>
  <c r="C2986" i="12"/>
  <c r="B3744" i="12"/>
  <c r="C3609" i="12"/>
  <c r="B3413" i="12"/>
  <c r="C3278" i="12"/>
  <c r="C2933" i="12"/>
  <c r="B3068" i="12"/>
  <c r="B3664" i="12"/>
  <c r="C3529" i="12"/>
  <c r="B3265" i="12"/>
  <c r="C3130" i="12"/>
  <c r="B3237" i="12"/>
  <c r="C3102" i="12"/>
  <c r="B3302" i="12" l="1"/>
  <c r="C3167" i="12"/>
  <c r="B3446" i="12"/>
  <c r="C3311" i="12"/>
  <c r="B3948" i="12"/>
  <c r="C3813" i="12"/>
  <c r="C3648" i="12"/>
  <c r="B3783" i="12"/>
  <c r="B3601" i="12"/>
  <c r="C3466" i="12"/>
  <c r="B3488" i="12"/>
  <c r="C3353" i="12"/>
  <c r="C3455" i="12"/>
  <c r="B3590" i="12"/>
  <c r="B3141" i="12"/>
  <c r="C3006" i="12"/>
  <c r="B3539" i="12"/>
  <c r="C3404" i="12"/>
  <c r="B3759" i="12"/>
  <c r="C3624" i="12"/>
  <c r="C3380" i="12"/>
  <c r="B3515" i="12"/>
  <c r="B3663" i="12"/>
  <c r="C3528" i="12"/>
  <c r="B3799" i="12"/>
  <c r="C3664" i="12"/>
  <c r="C3121" i="12"/>
  <c r="B3256" i="12"/>
  <c r="B3916" i="12"/>
  <c r="C3781" i="12"/>
  <c r="C3658" i="12"/>
  <c r="B3793" i="12"/>
  <c r="C3287" i="12"/>
  <c r="B3422" i="12"/>
  <c r="B3454" i="12"/>
  <c r="C3319" i="12"/>
  <c r="C3780" i="12"/>
  <c r="B3915" i="12"/>
  <c r="B3324" i="12"/>
  <c r="C3189" i="12"/>
  <c r="B3627" i="12"/>
  <c r="C3492" i="12"/>
  <c r="B3430" i="12"/>
  <c r="C3295" i="12"/>
  <c r="B3685" i="12"/>
  <c r="C3550" i="12"/>
  <c r="B3352" i="12"/>
  <c r="C3217" i="12"/>
  <c r="B3305" i="12"/>
  <c r="C3170" i="12"/>
  <c r="B3637" i="12"/>
  <c r="C3502" i="12"/>
  <c r="B3248" i="12"/>
  <c r="C3113" i="12"/>
  <c r="C3246" i="12"/>
  <c r="B3381" i="12"/>
  <c r="C3449" i="12"/>
  <c r="B3584" i="12"/>
  <c r="B4304" i="12"/>
  <c r="C4169" i="12"/>
  <c r="B3706" i="12"/>
  <c r="C3571" i="12"/>
  <c r="B3631" i="12"/>
  <c r="C3496" i="12"/>
  <c r="C3348" i="12"/>
  <c r="B3483" i="12"/>
  <c r="B3534" i="12"/>
  <c r="C3399" i="12"/>
  <c r="B3636" i="12"/>
  <c r="C3501" i="12"/>
  <c r="B3202" i="12"/>
  <c r="C3067" i="12"/>
  <c r="C3177" i="12"/>
  <c r="B3312" i="12"/>
  <c r="B3203" i="12"/>
  <c r="C3068" i="12"/>
  <c r="C3114" i="12"/>
  <c r="B3249" i="12"/>
  <c r="C3596" i="12"/>
  <c r="B3731" i="12"/>
  <c r="B3705" i="12"/>
  <c r="C3570" i="12"/>
  <c r="B3133" i="12"/>
  <c r="C2998" i="12"/>
  <c r="B3228" i="12"/>
  <c r="C3093" i="12"/>
  <c r="B3140" i="12"/>
  <c r="C3005" i="12"/>
  <c r="B3586" i="12"/>
  <c r="C3451" i="12"/>
  <c r="B4445" i="12"/>
  <c r="C4310" i="12"/>
  <c r="B3322" i="12"/>
  <c r="C3187" i="12"/>
  <c r="B3372" i="12"/>
  <c r="C3237" i="12"/>
  <c r="C3413" i="12"/>
  <c r="B3548" i="12"/>
  <c r="C3254" i="12"/>
  <c r="B3389" i="12"/>
  <c r="C3431" i="12"/>
  <c r="B3566" i="12"/>
  <c r="C3335" i="12"/>
  <c r="B3470" i="12"/>
  <c r="B4286" i="12"/>
  <c r="C4151" i="12"/>
  <c r="B4727" i="12"/>
  <c r="B3417" i="12"/>
  <c r="C3282" i="12"/>
  <c r="B3829" i="12"/>
  <c r="C3694" i="12"/>
  <c r="B4891" i="12"/>
  <c r="C4756" i="12"/>
  <c r="B3207" i="12"/>
  <c r="C3072" i="12"/>
  <c r="B3542" i="12"/>
  <c r="C3407" i="12"/>
  <c r="B3506" i="12"/>
  <c r="C3371" i="12"/>
  <c r="B3291" i="12"/>
  <c r="C3156" i="12"/>
  <c r="C2993" i="12"/>
  <c r="B3128" i="12"/>
  <c r="B3471" i="12"/>
  <c r="C3336" i="12"/>
  <c r="C3070" i="12"/>
  <c r="B3205" i="12"/>
  <c r="B3142" i="12"/>
  <c r="C3007" i="12"/>
  <c r="B4819" i="12"/>
  <c r="C4684" i="12"/>
  <c r="C3120" i="12"/>
  <c r="B3255" i="12"/>
  <c r="B3281" i="12"/>
  <c r="C3146" i="12"/>
  <c r="B4701" i="12"/>
  <c r="C4566" i="12"/>
  <c r="B3186" i="12"/>
  <c r="C3051" i="12"/>
  <c r="B3464" i="12"/>
  <c r="C3329" i="12"/>
  <c r="C3343" i="12"/>
  <c r="B3478" i="12"/>
  <c r="B3445" i="12"/>
  <c r="C3310" i="12"/>
  <c r="C3190" i="12"/>
  <c r="B3325" i="12"/>
  <c r="B3711" i="12"/>
  <c r="C3576" i="12"/>
  <c r="C3774" i="12"/>
  <c r="B3909" i="12"/>
  <c r="B3896" i="12"/>
  <c r="C3761" i="12"/>
  <c r="B4467" i="12"/>
  <c r="C4332" i="12"/>
  <c r="B3465" i="12"/>
  <c r="C3330" i="12"/>
  <c r="C3317" i="12"/>
  <c r="B3452" i="12"/>
  <c r="C3151" i="12"/>
  <c r="B3286" i="12"/>
  <c r="C3554" i="12"/>
  <c r="B3689" i="12"/>
  <c r="C3162" i="12"/>
  <c r="B3297" i="12"/>
  <c r="B3260" i="12"/>
  <c r="C3125" i="12"/>
  <c r="C3139" i="12"/>
  <c r="B3274" i="12"/>
  <c r="B3304" i="12"/>
  <c r="C3169" i="12"/>
  <c r="B4159" i="12"/>
  <c r="C4024" i="12"/>
  <c r="B3806" i="12"/>
  <c r="C3671" i="12"/>
  <c r="B3225" i="12"/>
  <c r="C3090" i="12"/>
  <c r="B3558" i="12"/>
  <c r="C3423" i="12"/>
  <c r="B3429" i="12"/>
  <c r="C3294" i="12"/>
  <c r="B3112" i="12"/>
  <c r="C2977" i="12"/>
  <c r="C4043" i="12"/>
  <c r="B4178" i="12"/>
  <c r="C3448" i="12"/>
  <c r="B3583" i="12"/>
  <c r="C3212" i="12"/>
  <c r="B3347" i="12"/>
  <c r="B3697" i="12"/>
  <c r="C3562" i="12"/>
  <c r="C3063" i="12"/>
  <c r="B3198" i="12"/>
  <c r="C3192" i="12"/>
  <c r="B3327" i="12"/>
  <c r="B3109" i="12"/>
  <c r="C2974" i="12"/>
  <c r="B3555" i="12"/>
  <c r="C3420" i="12"/>
  <c r="B3116" i="12"/>
  <c r="C2981" i="12"/>
  <c r="B3593" i="12"/>
  <c r="C3458" i="12"/>
  <c r="B3443" i="12"/>
  <c r="C3308" i="12"/>
  <c r="B3211" i="12"/>
  <c r="C3076" i="12"/>
  <c r="A3373" i="12"/>
  <c r="C3238" i="12"/>
  <c r="A4020" i="12"/>
  <c r="C3885" i="12"/>
  <c r="B3532" i="12"/>
  <c r="C3397" i="12"/>
  <c r="B3549" i="12"/>
  <c r="C3414" i="12"/>
  <c r="B3163" i="12"/>
  <c r="C3028" i="12"/>
  <c r="B3708" i="12"/>
  <c r="C3573" i="12"/>
  <c r="C3037" i="12"/>
  <c r="B3172" i="12"/>
  <c r="B3309" i="12"/>
  <c r="C3174" i="12"/>
  <c r="B3315" i="12"/>
  <c r="C3180" i="12"/>
  <c r="B3400" i="12"/>
  <c r="C3265" i="12"/>
  <c r="C3744" i="12"/>
  <c r="B3879" i="12"/>
  <c r="C3267" i="12"/>
  <c r="B3402" i="12"/>
  <c r="C3385" i="12"/>
  <c r="B3520" i="12"/>
  <c r="B3235" i="12"/>
  <c r="C3100" i="12"/>
  <c r="B3733" i="12"/>
  <c r="C3598" i="12"/>
  <c r="C3350" i="12"/>
  <c r="B3485" i="12"/>
  <c r="B3364" i="12"/>
  <c r="C3229" i="12"/>
  <c r="B4724" i="12"/>
  <c r="C4589" i="12"/>
  <c r="B4425" i="12"/>
  <c r="B3270" i="12"/>
  <c r="C3135" i="12"/>
  <c r="B4007" i="12"/>
  <c r="C3872" i="12"/>
  <c r="B3490" i="12"/>
  <c r="C3355" i="12"/>
  <c r="A3377" i="12"/>
  <c r="C3242" i="12"/>
  <c r="A4172" i="12"/>
  <c r="C4037" i="12"/>
  <c r="C3223" i="12"/>
  <c r="B3358" i="12"/>
  <c r="B3428" i="12"/>
  <c r="C3293" i="12"/>
  <c r="B3257" i="12"/>
  <c r="C3122" i="12"/>
  <c r="B4341" i="12"/>
  <c r="C4206" i="12"/>
  <c r="B4289" i="12"/>
  <c r="C4154" i="12"/>
  <c r="B3723" i="12"/>
  <c r="C3588" i="12"/>
  <c r="C3560" i="12"/>
  <c r="B3695" i="12"/>
  <c r="B3704" i="12"/>
  <c r="C3569" i="12"/>
  <c r="C3418" i="12"/>
  <c r="B3553" i="12"/>
  <c r="B4560" i="12" l="1"/>
  <c r="B3564" i="12"/>
  <c r="C3429" i="12"/>
  <c r="B3600" i="12"/>
  <c r="C3465" i="12"/>
  <c r="C3704" i="12"/>
  <c r="B3839" i="12"/>
  <c r="C4341" i="12"/>
  <c r="B4476" i="12"/>
  <c r="A4307" i="12"/>
  <c r="C4172" i="12"/>
  <c r="B3405" i="12"/>
  <c r="C3270" i="12"/>
  <c r="B3444" i="12"/>
  <c r="C3309" i="12"/>
  <c r="B3684" i="12"/>
  <c r="C3549" i="12"/>
  <c r="C3211" i="12"/>
  <c r="B3346" i="12"/>
  <c r="B3690" i="12"/>
  <c r="C3555" i="12"/>
  <c r="C3697" i="12"/>
  <c r="B3832" i="12"/>
  <c r="C3112" i="12"/>
  <c r="B3247" i="12"/>
  <c r="B3941" i="12"/>
  <c r="C3806" i="12"/>
  <c r="C3260" i="12"/>
  <c r="B3395" i="12"/>
  <c r="B3613" i="12"/>
  <c r="C3478" i="12"/>
  <c r="B3340" i="12"/>
  <c r="C3205" i="12"/>
  <c r="B3605" i="12"/>
  <c r="C3470" i="12"/>
  <c r="C3731" i="12"/>
  <c r="B3866" i="12"/>
  <c r="B3516" i="12"/>
  <c r="C3381" i="12"/>
  <c r="C3793" i="12"/>
  <c r="B3928" i="12"/>
  <c r="C3783" i="12"/>
  <c r="B3918" i="12"/>
  <c r="B3830" i="12"/>
  <c r="C3695" i="12"/>
  <c r="B4014" i="12"/>
  <c r="C3879" i="12"/>
  <c r="B3307" i="12"/>
  <c r="C3172" i="12"/>
  <c r="C3347" i="12"/>
  <c r="B3482" i="12"/>
  <c r="B3432" i="12"/>
  <c r="C3297" i="12"/>
  <c r="B3416" i="12"/>
  <c r="C3281" i="12"/>
  <c r="C3506" i="12"/>
  <c r="B3641" i="12"/>
  <c r="B3964" i="12"/>
  <c r="C3829" i="12"/>
  <c r="B3507" i="12"/>
  <c r="C3372" i="12"/>
  <c r="B3275" i="12"/>
  <c r="C3140" i="12"/>
  <c r="C3202" i="12"/>
  <c r="B3337" i="12"/>
  <c r="B3766" i="12"/>
  <c r="C3631" i="12"/>
  <c r="B3487" i="12"/>
  <c r="C3352" i="12"/>
  <c r="C3324" i="12"/>
  <c r="B3459" i="12"/>
  <c r="B3798" i="12"/>
  <c r="C3663" i="12"/>
  <c r="C3141" i="12"/>
  <c r="B3276" i="12"/>
  <c r="C3711" i="12"/>
  <c r="B3846" i="12"/>
  <c r="C3566" i="12"/>
  <c r="B3701" i="12"/>
  <c r="B3650" i="12"/>
  <c r="C3515" i="12"/>
  <c r="B3462" i="12"/>
  <c r="C3327" i="12"/>
  <c r="C3689" i="12"/>
  <c r="B3824" i="12"/>
  <c r="B3460" i="12"/>
  <c r="C3325" i="12"/>
  <c r="B3599" i="12"/>
  <c r="C3464" i="12"/>
  <c r="B3606" i="12"/>
  <c r="C3471" i="12"/>
  <c r="C3706" i="12"/>
  <c r="B3841" i="12"/>
  <c r="B3383" i="12"/>
  <c r="C3248" i="12"/>
  <c r="C3723" i="12"/>
  <c r="B3858" i="12"/>
  <c r="B4859" i="12"/>
  <c r="C4724" i="12"/>
  <c r="C3400" i="12"/>
  <c r="B3535" i="12"/>
  <c r="A4155" i="12"/>
  <c r="C4020" i="12"/>
  <c r="B3728" i="12"/>
  <c r="C3593" i="12"/>
  <c r="C3256" i="12"/>
  <c r="B3391" i="12"/>
  <c r="B3688" i="12"/>
  <c r="C3553" i="12"/>
  <c r="B3493" i="12"/>
  <c r="C3358" i="12"/>
  <c r="C3520" i="12"/>
  <c r="B3655" i="12"/>
  <c r="B3333" i="12"/>
  <c r="C3198" i="12"/>
  <c r="C4178" i="12"/>
  <c r="B4313" i="12"/>
  <c r="B3409" i="12"/>
  <c r="C3274" i="12"/>
  <c r="C3286" i="12"/>
  <c r="B3421" i="12"/>
  <c r="C3186" i="12"/>
  <c r="B3321" i="12"/>
  <c r="B4954" i="12"/>
  <c r="C4819" i="12"/>
  <c r="C3207" i="12"/>
  <c r="B3342" i="12"/>
  <c r="B4862" i="12"/>
  <c r="B4580" i="12"/>
  <c r="C4445" i="12"/>
  <c r="C3133" i="12"/>
  <c r="B3268" i="12"/>
  <c r="B3338" i="12"/>
  <c r="C3203" i="12"/>
  <c r="B3669" i="12"/>
  <c r="C3534" i="12"/>
  <c r="B4439" i="12"/>
  <c r="C4304" i="12"/>
  <c r="B3772" i="12"/>
  <c r="C3637" i="12"/>
  <c r="B3565" i="12"/>
  <c r="C3430" i="12"/>
  <c r="C3454" i="12"/>
  <c r="B3589" i="12"/>
  <c r="B3894" i="12"/>
  <c r="C3759" i="12"/>
  <c r="B3623" i="12"/>
  <c r="C3488" i="12"/>
  <c r="C3446" i="12"/>
  <c r="B3581" i="12"/>
  <c r="B3392" i="12"/>
  <c r="C3257" i="12"/>
  <c r="A3512" i="12"/>
  <c r="C3377" i="12"/>
  <c r="B3868" i="12"/>
  <c r="C3733" i="12"/>
  <c r="B3667" i="12"/>
  <c r="C3532" i="12"/>
  <c r="C3255" i="12"/>
  <c r="B3390" i="12"/>
  <c r="C3542" i="12"/>
  <c r="B3677" i="12"/>
  <c r="B3552" i="12"/>
  <c r="C3417" i="12"/>
  <c r="C3322" i="12"/>
  <c r="B3457" i="12"/>
  <c r="B4051" i="12"/>
  <c r="C3916" i="12"/>
  <c r="B4083" i="12"/>
  <c r="C3948" i="12"/>
  <c r="C4289" i="12"/>
  <c r="B4424" i="12"/>
  <c r="C4007" i="12"/>
  <c r="B4142" i="12"/>
  <c r="B3499" i="12"/>
  <c r="C3364" i="12"/>
  <c r="B3450" i="12"/>
  <c r="C3315" i="12"/>
  <c r="B3298" i="12"/>
  <c r="C3163" i="12"/>
  <c r="A3508" i="12"/>
  <c r="C3373" i="12"/>
  <c r="C3116" i="12"/>
  <c r="B3251" i="12"/>
  <c r="B3360" i="12"/>
  <c r="C3225" i="12"/>
  <c r="B4031" i="12"/>
  <c r="C3896" i="12"/>
  <c r="B3580" i="12"/>
  <c r="C3445" i="12"/>
  <c r="C3548" i="12"/>
  <c r="B3683" i="12"/>
  <c r="B3447" i="12"/>
  <c r="C3312" i="12"/>
  <c r="B3618" i="12"/>
  <c r="C3483" i="12"/>
  <c r="B3719" i="12"/>
  <c r="C3584" i="12"/>
  <c r="B3557" i="12"/>
  <c r="C3422" i="12"/>
  <c r="C3443" i="12"/>
  <c r="B3578" i="12"/>
  <c r="C3109" i="12"/>
  <c r="B3244" i="12"/>
  <c r="B4294" i="12"/>
  <c r="C4159" i="12"/>
  <c r="B3384" i="12"/>
  <c r="C3249" i="12"/>
  <c r="B4050" i="12"/>
  <c r="C3915" i="12"/>
  <c r="B3725" i="12"/>
  <c r="C3590" i="12"/>
  <c r="C3583" i="12"/>
  <c r="B3718" i="12"/>
  <c r="B3363" i="12"/>
  <c r="C3228" i="12"/>
  <c r="C3636" i="12"/>
  <c r="B3771" i="12"/>
  <c r="B3820" i="12"/>
  <c r="C3685" i="12"/>
  <c r="B3563" i="12"/>
  <c r="C3428" i="12"/>
  <c r="C3490" i="12"/>
  <c r="B3625" i="12"/>
  <c r="B3370" i="12"/>
  <c r="C3235" i="12"/>
  <c r="B3843" i="12"/>
  <c r="C3708" i="12"/>
  <c r="C3558" i="12"/>
  <c r="B3693" i="12"/>
  <c r="B3439" i="12"/>
  <c r="C3304" i="12"/>
  <c r="B4602" i="12"/>
  <c r="C4467" i="12"/>
  <c r="C3128" i="12"/>
  <c r="B3263" i="12"/>
  <c r="C3389" i="12"/>
  <c r="B3524" i="12"/>
  <c r="B3620" i="12"/>
  <c r="C3485" i="12"/>
  <c r="B3537" i="12"/>
  <c r="C3402" i="12"/>
  <c r="C3452" i="12"/>
  <c r="B3587" i="12"/>
  <c r="B4044" i="12"/>
  <c r="C3909" i="12"/>
  <c r="B4836" i="12"/>
  <c r="C4701" i="12"/>
  <c r="B3277" i="12"/>
  <c r="C3142" i="12"/>
  <c r="B3426" i="12"/>
  <c r="C3291" i="12"/>
  <c r="B5026" i="12"/>
  <c r="C4891" i="12"/>
  <c r="B4421" i="12"/>
  <c r="C4286" i="12"/>
  <c r="B3721" i="12"/>
  <c r="C3586" i="12"/>
  <c r="B3840" i="12"/>
  <c r="C3705" i="12"/>
  <c r="C3305" i="12"/>
  <c r="B3440" i="12"/>
  <c r="B3762" i="12"/>
  <c r="C3627" i="12"/>
  <c r="B3934" i="12"/>
  <c r="C3799" i="12"/>
  <c r="C3539" i="12"/>
  <c r="B3674" i="12"/>
  <c r="B3736" i="12"/>
  <c r="C3601" i="12"/>
  <c r="B3437" i="12"/>
  <c r="C3302" i="12"/>
  <c r="C3674" i="12" l="1"/>
  <c r="B3809" i="12"/>
  <c r="B3575" i="12"/>
  <c r="C3440" i="12"/>
  <c r="C3524" i="12"/>
  <c r="B3659" i="12"/>
  <c r="B3828" i="12"/>
  <c r="C3693" i="12"/>
  <c r="B3853" i="12"/>
  <c r="C3718" i="12"/>
  <c r="C4142" i="12"/>
  <c r="B4277" i="12"/>
  <c r="B3592" i="12"/>
  <c r="C3457" i="12"/>
  <c r="C3581" i="12"/>
  <c r="B3716" i="12"/>
  <c r="C3342" i="12"/>
  <c r="B3477" i="12"/>
  <c r="B3836" i="12"/>
  <c r="C3701" i="12"/>
  <c r="C3459" i="12"/>
  <c r="B3594" i="12"/>
  <c r="C3832" i="12"/>
  <c r="B3967" i="12"/>
  <c r="B3974" i="12"/>
  <c r="C3839" i="12"/>
  <c r="C3736" i="12"/>
  <c r="B3871" i="12"/>
  <c r="C5026" i="12"/>
  <c r="B5161" i="12"/>
  <c r="C5161" i="12" s="1"/>
  <c r="B4179" i="12"/>
  <c r="C4044" i="12"/>
  <c r="B3698" i="12"/>
  <c r="C3563" i="12"/>
  <c r="C4294" i="12"/>
  <c r="B4429" i="12"/>
  <c r="B3854" i="12"/>
  <c r="C3719" i="12"/>
  <c r="C3580" i="12"/>
  <c r="B3715" i="12"/>
  <c r="A3643" i="12"/>
  <c r="C3508" i="12"/>
  <c r="B3802" i="12"/>
  <c r="C3667" i="12"/>
  <c r="C3565" i="12"/>
  <c r="B3700" i="12"/>
  <c r="B3473" i="12"/>
  <c r="C3338" i="12"/>
  <c r="C3409" i="12"/>
  <c r="B3544" i="12"/>
  <c r="B3628" i="12"/>
  <c r="C3493" i="12"/>
  <c r="A4290" i="12"/>
  <c r="C4155" i="12"/>
  <c r="B3518" i="12"/>
  <c r="C3383" i="12"/>
  <c r="C3460" i="12"/>
  <c r="B3595" i="12"/>
  <c r="B3410" i="12"/>
  <c r="C3275" i="12"/>
  <c r="B3551" i="12"/>
  <c r="C3416" i="12"/>
  <c r="B4149" i="12"/>
  <c r="C4014" i="12"/>
  <c r="C3516" i="12"/>
  <c r="B3651" i="12"/>
  <c r="B3748" i="12"/>
  <c r="C3613" i="12"/>
  <c r="B3579" i="12"/>
  <c r="C3444" i="12"/>
  <c r="B3722" i="12"/>
  <c r="C3587" i="12"/>
  <c r="C3263" i="12"/>
  <c r="B3398" i="12"/>
  <c r="B4448" i="12"/>
  <c r="C4313" i="12"/>
  <c r="B3687" i="12"/>
  <c r="C3552" i="12"/>
  <c r="C3868" i="12"/>
  <c r="B4003" i="12"/>
  <c r="B3758" i="12"/>
  <c r="C3623" i="12"/>
  <c r="B3907" i="12"/>
  <c r="C3772" i="12"/>
  <c r="B5089" i="12"/>
  <c r="C4954" i="12"/>
  <c r="B3735" i="12"/>
  <c r="C3600" i="12"/>
  <c r="B3906" i="12"/>
  <c r="C3771" i="12"/>
  <c r="C3276" i="12"/>
  <c r="B3411" i="12"/>
  <c r="B3617" i="12"/>
  <c r="C3482" i="12"/>
  <c r="C3918" i="12"/>
  <c r="B4053" i="12"/>
  <c r="C3934" i="12"/>
  <c r="B4069" i="12"/>
  <c r="B3856" i="12"/>
  <c r="C3721" i="12"/>
  <c r="C3277" i="12"/>
  <c r="B3412" i="12"/>
  <c r="B3672" i="12"/>
  <c r="C3537" i="12"/>
  <c r="B4737" i="12"/>
  <c r="C4602" i="12"/>
  <c r="B3505" i="12"/>
  <c r="C3370" i="12"/>
  <c r="C4050" i="12"/>
  <c r="B4185" i="12"/>
  <c r="B3582" i="12"/>
  <c r="C3447" i="12"/>
  <c r="B3495" i="12"/>
  <c r="C3360" i="12"/>
  <c r="B3585" i="12"/>
  <c r="C3450" i="12"/>
  <c r="B4218" i="12"/>
  <c r="C4083" i="12"/>
  <c r="A3647" i="12"/>
  <c r="C3512" i="12"/>
  <c r="B4029" i="12"/>
  <c r="C3894" i="12"/>
  <c r="C4439" i="12"/>
  <c r="B4574" i="12"/>
  <c r="B4715" i="12"/>
  <c r="C4580" i="12"/>
  <c r="B3468" i="12"/>
  <c r="C3333" i="12"/>
  <c r="B4994" i="12"/>
  <c r="C4859" i="12"/>
  <c r="C3606" i="12"/>
  <c r="B3741" i="12"/>
  <c r="C3462" i="12"/>
  <c r="B3597" i="12"/>
  <c r="B3901" i="12"/>
  <c r="C3766" i="12"/>
  <c r="B4099" i="12"/>
  <c r="C3964" i="12"/>
  <c r="C3605" i="12"/>
  <c r="B3740" i="12"/>
  <c r="C3941" i="12"/>
  <c r="B4076" i="12"/>
  <c r="A4442" i="12"/>
  <c r="C4307" i="12"/>
  <c r="C3564" i="12"/>
  <c r="B3699" i="12"/>
  <c r="B3670" i="12"/>
  <c r="C3535" i="12"/>
  <c r="C3841" i="12"/>
  <c r="B3976" i="12"/>
  <c r="C3824" i="12"/>
  <c r="B3959" i="12"/>
  <c r="C3846" i="12"/>
  <c r="B3981" i="12"/>
  <c r="B4001" i="12"/>
  <c r="C3866" i="12"/>
  <c r="C3840" i="12"/>
  <c r="B3975" i="12"/>
  <c r="B3561" i="12"/>
  <c r="C3426" i="12"/>
  <c r="C4031" i="12"/>
  <c r="B4166" i="12"/>
  <c r="C3487" i="12"/>
  <c r="B3622" i="12"/>
  <c r="B3642" i="12"/>
  <c r="C3507" i="12"/>
  <c r="B3567" i="12"/>
  <c r="C3432" i="12"/>
  <c r="C3830" i="12"/>
  <c r="B3965" i="12"/>
  <c r="B3825" i="12"/>
  <c r="C3690" i="12"/>
  <c r="B3713" i="12"/>
  <c r="C3578" i="12"/>
  <c r="B3812" i="12"/>
  <c r="C3677" i="12"/>
  <c r="C3321" i="12"/>
  <c r="B3456" i="12"/>
  <c r="C3625" i="12"/>
  <c r="B3760" i="12"/>
  <c r="C3683" i="12"/>
  <c r="B3818" i="12"/>
  <c r="B3386" i="12"/>
  <c r="C3251" i="12"/>
  <c r="C3390" i="12"/>
  <c r="B3525" i="12"/>
  <c r="C3589" i="12"/>
  <c r="B3724" i="12"/>
  <c r="B3556" i="12"/>
  <c r="C3421" i="12"/>
  <c r="B3790" i="12"/>
  <c r="C3655" i="12"/>
  <c r="C3858" i="12"/>
  <c r="B3993" i="12"/>
  <c r="B3472" i="12"/>
  <c r="C3337" i="12"/>
  <c r="B3776" i="12"/>
  <c r="C3641" i="12"/>
  <c r="C3928" i="12"/>
  <c r="B4063" i="12"/>
  <c r="B3382" i="12"/>
  <c r="C3247" i="12"/>
  <c r="C4476" i="12"/>
  <c r="B4611" i="12"/>
  <c r="C3244" i="12"/>
  <c r="B3379" i="12"/>
  <c r="B4559" i="12"/>
  <c r="C4424" i="12"/>
  <c r="B3403" i="12"/>
  <c r="C3268" i="12"/>
  <c r="B3530" i="12"/>
  <c r="C3395" i="12"/>
  <c r="C3843" i="12"/>
  <c r="B3978" i="12"/>
  <c r="C3820" i="12"/>
  <c r="B3955" i="12"/>
  <c r="B3860" i="12"/>
  <c r="C3725" i="12"/>
  <c r="B3753" i="12"/>
  <c r="C3618" i="12"/>
  <c r="C3298" i="12"/>
  <c r="B3433" i="12"/>
  <c r="B3823" i="12"/>
  <c r="C3688" i="12"/>
  <c r="B3540" i="12"/>
  <c r="C3405" i="12"/>
  <c r="C3391" i="12"/>
  <c r="B3526" i="12"/>
  <c r="B3481" i="12"/>
  <c r="C3346" i="12"/>
  <c r="C3437" i="12"/>
  <c r="B3572" i="12"/>
  <c r="B3897" i="12"/>
  <c r="C3762" i="12"/>
  <c r="C4421" i="12"/>
  <c r="B4556" i="12"/>
  <c r="C4836" i="12"/>
  <c r="B4971" i="12"/>
  <c r="B3755" i="12"/>
  <c r="C3620" i="12"/>
  <c r="B3574" i="12"/>
  <c r="C3439" i="12"/>
  <c r="B3498" i="12"/>
  <c r="C3363" i="12"/>
  <c r="B3519" i="12"/>
  <c r="C3384" i="12"/>
  <c r="B3692" i="12"/>
  <c r="C3557" i="12"/>
  <c r="B3634" i="12"/>
  <c r="C3499" i="12"/>
  <c r="B4186" i="12"/>
  <c r="C4051" i="12"/>
  <c r="B3527" i="12"/>
  <c r="C3392" i="12"/>
  <c r="C3669" i="12"/>
  <c r="B3804" i="12"/>
  <c r="B4997" i="12"/>
  <c r="B3863" i="12"/>
  <c r="C3728" i="12"/>
  <c r="C3599" i="12"/>
  <c r="B3734" i="12"/>
  <c r="B3785" i="12"/>
  <c r="C3650" i="12"/>
  <c r="B3933" i="12"/>
  <c r="C3798" i="12"/>
  <c r="B3442" i="12"/>
  <c r="C3307" i="12"/>
  <c r="B3475" i="12"/>
  <c r="C3340" i="12"/>
  <c r="C3684" i="12"/>
  <c r="B3819" i="12"/>
  <c r="B4695" i="12"/>
  <c r="C3379" i="12" l="1"/>
  <c r="B3514" i="12"/>
  <c r="C3818" i="12"/>
  <c r="B3953" i="12"/>
  <c r="C3975" i="12"/>
  <c r="B4110" i="12"/>
  <c r="B4211" i="12"/>
  <c r="C4076" i="12"/>
  <c r="C3597" i="12"/>
  <c r="B3732" i="12"/>
  <c r="B3835" i="12"/>
  <c r="C3700" i="12"/>
  <c r="B3729" i="12"/>
  <c r="C3594" i="12"/>
  <c r="B3954" i="12"/>
  <c r="C3819" i="12"/>
  <c r="B3939" i="12"/>
  <c r="C3804" i="12"/>
  <c r="C3572" i="12"/>
  <c r="B3707" i="12"/>
  <c r="B4090" i="12"/>
  <c r="C3955" i="12"/>
  <c r="C4063" i="12"/>
  <c r="B4198" i="12"/>
  <c r="B4094" i="12"/>
  <c r="C3959" i="12"/>
  <c r="C4053" i="12"/>
  <c r="B4188" i="12"/>
  <c r="C4003" i="12"/>
  <c r="B4138" i="12"/>
  <c r="C3715" i="12"/>
  <c r="B3850" i="12"/>
  <c r="B4102" i="12"/>
  <c r="C3967" i="12"/>
  <c r="B3851" i="12"/>
  <c r="C3716" i="12"/>
  <c r="B3920" i="12"/>
  <c r="C3785" i="12"/>
  <c r="C3692" i="12"/>
  <c r="B3827" i="12"/>
  <c r="B3890" i="12"/>
  <c r="C3755" i="12"/>
  <c r="B3958" i="12"/>
  <c r="C3823" i="12"/>
  <c r="B4694" i="12"/>
  <c r="C4559" i="12"/>
  <c r="C3790" i="12"/>
  <c r="B3925" i="12"/>
  <c r="C3386" i="12"/>
  <c r="B3521" i="12"/>
  <c r="C3812" i="12"/>
  <c r="B3947" i="12"/>
  <c r="C3567" i="12"/>
  <c r="B3702" i="12"/>
  <c r="B3696" i="12"/>
  <c r="C3561" i="12"/>
  <c r="A4577" i="12"/>
  <c r="C4442" i="12"/>
  <c r="B4036" i="12"/>
  <c r="C3901" i="12"/>
  <c r="B3603" i="12"/>
  <c r="C3468" i="12"/>
  <c r="A3782" i="12"/>
  <c r="C3647" i="12"/>
  <c r="B3717" i="12"/>
  <c r="C3582" i="12"/>
  <c r="B3807" i="12"/>
  <c r="C3672" i="12"/>
  <c r="C3735" i="12"/>
  <c r="B3870" i="12"/>
  <c r="B3857" i="12"/>
  <c r="C3722" i="12"/>
  <c r="B4284" i="12"/>
  <c r="C4149" i="12"/>
  <c r="B3653" i="12"/>
  <c r="C3518" i="12"/>
  <c r="B3608" i="12"/>
  <c r="C3473" i="12"/>
  <c r="B4314" i="12"/>
  <c r="C4179" i="12"/>
  <c r="B3963" i="12"/>
  <c r="C3828" i="12"/>
  <c r="B3568" i="12"/>
  <c r="C3433" i="12"/>
  <c r="B4320" i="12"/>
  <c r="C4185" i="12"/>
  <c r="B3547" i="12"/>
  <c r="C3412" i="12"/>
  <c r="C3713" i="12"/>
  <c r="B3848" i="12"/>
  <c r="B3777" i="12"/>
  <c r="C3642" i="12"/>
  <c r="B3727" i="12"/>
  <c r="C3592" i="12"/>
  <c r="B3577" i="12"/>
  <c r="C3442" i="12"/>
  <c r="B3998" i="12"/>
  <c r="C3863" i="12"/>
  <c r="B4321" i="12"/>
  <c r="C4186" i="12"/>
  <c r="B3633" i="12"/>
  <c r="C3498" i="12"/>
  <c r="C3753" i="12"/>
  <c r="B3888" i="12"/>
  <c r="C3530" i="12"/>
  <c r="B3665" i="12"/>
  <c r="C3472" i="12"/>
  <c r="B3607" i="12"/>
  <c r="B3960" i="12"/>
  <c r="C3825" i="12"/>
  <c r="B4136" i="12"/>
  <c r="C4001" i="12"/>
  <c r="B3805" i="12"/>
  <c r="C3670" i="12"/>
  <c r="B3720" i="12"/>
  <c r="C3585" i="12"/>
  <c r="B3640" i="12"/>
  <c r="C3505" i="12"/>
  <c r="B3991" i="12"/>
  <c r="C3856" i="12"/>
  <c r="B4042" i="12"/>
  <c r="C3907" i="12"/>
  <c r="B4583" i="12"/>
  <c r="C4448" i="12"/>
  <c r="B3883" i="12"/>
  <c r="C3748" i="12"/>
  <c r="C3410" i="12"/>
  <c r="B3545" i="12"/>
  <c r="B3763" i="12"/>
  <c r="C3628" i="12"/>
  <c r="B3937" i="12"/>
  <c r="C3802" i="12"/>
  <c r="B3971" i="12"/>
  <c r="C3836" i="12"/>
  <c r="C3575" i="12"/>
  <c r="B3710" i="12"/>
  <c r="C3475" i="12"/>
  <c r="B3610" i="12"/>
  <c r="B3662" i="12"/>
  <c r="C3527" i="12"/>
  <c r="B3654" i="12"/>
  <c r="C3519" i="12"/>
  <c r="B3911" i="12"/>
  <c r="C3776" i="12"/>
  <c r="B4850" i="12"/>
  <c r="C4715" i="12"/>
  <c r="C4218" i="12"/>
  <c r="B4353" i="12"/>
  <c r="B3752" i="12"/>
  <c r="C3617" i="12"/>
  <c r="B3822" i="12"/>
  <c r="C3687" i="12"/>
  <c r="B3714" i="12"/>
  <c r="C3579" i="12"/>
  <c r="C3551" i="12"/>
  <c r="B3686" i="12"/>
  <c r="A4425" i="12"/>
  <c r="C4290" i="12"/>
  <c r="C3854" i="12"/>
  <c r="B3989" i="12"/>
  <c r="B4746" i="12"/>
  <c r="C4611" i="12"/>
  <c r="B3757" i="12"/>
  <c r="C3622" i="12"/>
  <c r="B4128" i="12"/>
  <c r="C3993" i="12"/>
  <c r="C3525" i="12"/>
  <c r="B3660" i="12"/>
  <c r="C3456" i="12"/>
  <c r="B3591" i="12"/>
  <c r="B4100" i="12"/>
  <c r="C3965" i="12"/>
  <c r="B4301" i="12"/>
  <c r="C4166" i="12"/>
  <c r="B4116" i="12"/>
  <c r="C3981" i="12"/>
  <c r="B3834" i="12"/>
  <c r="C3699" i="12"/>
  <c r="C4069" i="12"/>
  <c r="B4204" i="12"/>
  <c r="C3398" i="12"/>
  <c r="B3533" i="12"/>
  <c r="B3786" i="12"/>
  <c r="C3651" i="12"/>
  <c r="B3730" i="12"/>
  <c r="C3595" i="12"/>
  <c r="B3679" i="12"/>
  <c r="C3544" i="12"/>
  <c r="B3612" i="12"/>
  <c r="C3477" i="12"/>
  <c r="B3944" i="12"/>
  <c r="C3809" i="12"/>
  <c r="C3734" i="12"/>
  <c r="B3869" i="12"/>
  <c r="B5106" i="12"/>
  <c r="C4971" i="12"/>
  <c r="B4113" i="12"/>
  <c r="C3978" i="12"/>
  <c r="B4111" i="12"/>
  <c r="C3976" i="12"/>
  <c r="B3794" i="12"/>
  <c r="C3659" i="12"/>
  <c r="B3616" i="12"/>
  <c r="C3481" i="12"/>
  <c r="C3556" i="12"/>
  <c r="B3691" i="12"/>
  <c r="B5224" i="12"/>
  <c r="C5224" i="12" s="1"/>
  <c r="C5089" i="12"/>
  <c r="C4556" i="12"/>
  <c r="B4691" i="12"/>
  <c r="B3661" i="12"/>
  <c r="C3526" i="12"/>
  <c r="B3859" i="12"/>
  <c r="C3724" i="12"/>
  <c r="B3895" i="12"/>
  <c r="C3760" i="12"/>
  <c r="B3875" i="12"/>
  <c r="C3740" i="12"/>
  <c r="B3876" i="12"/>
  <c r="C3741" i="12"/>
  <c r="B4709" i="12"/>
  <c r="C4574" i="12"/>
  <c r="C3411" i="12"/>
  <c r="B3546" i="12"/>
  <c r="B4564" i="12"/>
  <c r="C4429" i="12"/>
  <c r="B4006" i="12"/>
  <c r="C3871" i="12"/>
  <c r="B4412" i="12"/>
  <c r="C4277" i="12"/>
  <c r="B4830" i="12"/>
  <c r="C3933" i="12"/>
  <c r="B4068" i="12"/>
  <c r="B5132" i="12"/>
  <c r="B3769" i="12"/>
  <c r="C3634" i="12"/>
  <c r="B3709" i="12"/>
  <c r="C3574" i="12"/>
  <c r="B4032" i="12"/>
  <c r="C3897" i="12"/>
  <c r="B3675" i="12"/>
  <c r="C3540" i="12"/>
  <c r="C3860" i="12"/>
  <c r="B3995" i="12"/>
  <c r="B3538" i="12"/>
  <c r="C3403" i="12"/>
  <c r="B3517" i="12"/>
  <c r="C3382" i="12"/>
  <c r="C4099" i="12"/>
  <c r="B4234" i="12"/>
  <c r="B5129" i="12"/>
  <c r="C4994" i="12"/>
  <c r="C4029" i="12"/>
  <c r="B4164" i="12"/>
  <c r="B3630" i="12"/>
  <c r="C3495" i="12"/>
  <c r="B4872" i="12"/>
  <c r="C4737" i="12"/>
  <c r="C3906" i="12"/>
  <c r="B4041" i="12"/>
  <c r="B3893" i="12"/>
  <c r="C3758" i="12"/>
  <c r="A3778" i="12"/>
  <c r="C3643" i="12"/>
  <c r="B3833" i="12"/>
  <c r="C3698" i="12"/>
  <c r="C3974" i="12"/>
  <c r="B4109" i="12"/>
  <c r="C3853" i="12"/>
  <c r="B3988" i="12"/>
  <c r="B4176" i="12" l="1"/>
  <c r="C4041" i="12"/>
  <c r="C3533" i="12"/>
  <c r="B3668" i="12"/>
  <c r="C3988" i="12"/>
  <c r="B4123" i="12"/>
  <c r="B4299" i="12"/>
  <c r="C4164" i="12"/>
  <c r="B4965" i="12"/>
  <c r="C3546" i="12"/>
  <c r="B3681" i="12"/>
  <c r="B3795" i="12"/>
  <c r="C3660" i="12"/>
  <c r="C3989" i="12"/>
  <c r="B4124" i="12"/>
  <c r="C3710" i="12"/>
  <c r="B3845" i="12"/>
  <c r="C3545" i="12"/>
  <c r="B3680" i="12"/>
  <c r="C3888" i="12"/>
  <c r="B4023" i="12"/>
  <c r="B4060" i="12"/>
  <c r="C3925" i="12"/>
  <c r="C3827" i="12"/>
  <c r="B3962" i="12"/>
  <c r="B3985" i="12"/>
  <c r="C3850" i="12"/>
  <c r="B4333" i="12"/>
  <c r="C4198" i="12"/>
  <c r="C3893" i="12"/>
  <c r="B4028" i="12"/>
  <c r="B3673" i="12"/>
  <c r="C3538" i="12"/>
  <c r="B3844" i="12"/>
  <c r="C3709" i="12"/>
  <c r="B4030" i="12"/>
  <c r="C3895" i="12"/>
  <c r="B4246" i="12"/>
  <c r="C4111" i="12"/>
  <c r="C3944" i="12"/>
  <c r="B4079" i="12"/>
  <c r="B3921" i="12"/>
  <c r="C3786" i="12"/>
  <c r="B4251" i="12"/>
  <c r="C4116" i="12"/>
  <c r="B3957" i="12"/>
  <c r="C3822" i="12"/>
  <c r="B4046" i="12"/>
  <c r="C3911" i="12"/>
  <c r="C3991" i="12"/>
  <c r="B4126" i="12"/>
  <c r="C4136" i="12"/>
  <c r="B4271" i="12"/>
  <c r="B3712" i="12"/>
  <c r="C3577" i="12"/>
  <c r="B3682" i="12"/>
  <c r="C3547" i="12"/>
  <c r="B4449" i="12"/>
  <c r="C4314" i="12"/>
  <c r="B3992" i="12"/>
  <c r="C3857" i="12"/>
  <c r="A3917" i="12"/>
  <c r="C3782" i="12"/>
  <c r="B3831" i="12"/>
  <c r="C3696" i="12"/>
  <c r="B4089" i="12"/>
  <c r="C3954" i="12"/>
  <c r="C4211" i="12"/>
  <c r="B4346" i="12"/>
  <c r="C3995" i="12"/>
  <c r="B4130" i="12"/>
  <c r="C3691" i="12"/>
  <c r="B3826" i="12"/>
  <c r="B4005" i="12"/>
  <c r="C3870" i="12"/>
  <c r="B3837" i="12"/>
  <c r="C3702" i="12"/>
  <c r="B4547" i="12"/>
  <c r="C4412" i="12"/>
  <c r="A4560" i="12"/>
  <c r="C4425" i="12"/>
  <c r="B3789" i="12"/>
  <c r="C3654" i="12"/>
  <c r="B4095" i="12"/>
  <c r="C3960" i="12"/>
  <c r="B4455" i="12"/>
  <c r="C4320" i="12"/>
  <c r="C4090" i="12"/>
  <c r="B4225" i="12"/>
  <c r="C4234" i="12"/>
  <c r="B4369" i="12"/>
  <c r="C3607" i="12"/>
  <c r="B3742" i="12"/>
  <c r="B4082" i="12"/>
  <c r="C3947" i="12"/>
  <c r="C4188" i="12"/>
  <c r="B4323" i="12"/>
  <c r="B4088" i="12"/>
  <c r="C3953" i="12"/>
  <c r="B3968" i="12"/>
  <c r="C3833" i="12"/>
  <c r="C4872" i="12"/>
  <c r="B5007" i="12"/>
  <c r="B3810" i="12"/>
  <c r="C3675" i="12"/>
  <c r="C4006" i="12"/>
  <c r="B4141" i="12"/>
  <c r="C3876" i="12"/>
  <c r="B4011" i="12"/>
  <c r="B3796" i="12"/>
  <c r="C3661" i="12"/>
  <c r="B3751" i="12"/>
  <c r="C3616" i="12"/>
  <c r="C5106" i="12"/>
  <c r="B5241" i="12"/>
  <c r="C5241" i="12" s="1"/>
  <c r="C3679" i="12"/>
  <c r="B3814" i="12"/>
  <c r="C4100" i="12"/>
  <c r="B4235" i="12"/>
  <c r="B3892" i="12"/>
  <c r="C3757" i="12"/>
  <c r="B3797" i="12"/>
  <c r="C3662" i="12"/>
  <c r="B4072" i="12"/>
  <c r="C3937" i="12"/>
  <c r="B4718" i="12"/>
  <c r="C4583" i="12"/>
  <c r="B3855" i="12"/>
  <c r="C3720" i="12"/>
  <c r="C4321" i="12"/>
  <c r="B4456" i="12"/>
  <c r="B3912" i="12"/>
  <c r="C3777" i="12"/>
  <c r="C3568" i="12"/>
  <c r="B3703" i="12"/>
  <c r="B3788" i="12"/>
  <c r="C3653" i="12"/>
  <c r="B3942" i="12"/>
  <c r="C3807" i="12"/>
  <c r="B4171" i="12"/>
  <c r="C4036" i="12"/>
  <c r="C3958" i="12"/>
  <c r="B4093" i="12"/>
  <c r="C3851" i="12"/>
  <c r="B3986" i="12"/>
  <c r="B3970" i="12"/>
  <c r="C3835" i="12"/>
  <c r="B4244" i="12"/>
  <c r="C4109" i="12"/>
  <c r="C4138" i="12"/>
  <c r="B4273" i="12"/>
  <c r="B4245" i="12"/>
  <c r="C4110" i="12"/>
  <c r="B5264" i="12"/>
  <c r="C5264" i="12" s="1"/>
  <c r="C5129" i="12"/>
  <c r="C3769" i="12"/>
  <c r="B3904" i="12"/>
  <c r="C4709" i="12"/>
  <c r="B4844" i="12"/>
  <c r="B3994" i="12"/>
  <c r="C3859" i="12"/>
  <c r="C4301" i="12"/>
  <c r="B4436" i="12"/>
  <c r="C3603" i="12"/>
  <c r="B3738" i="12"/>
  <c r="B4488" i="12"/>
  <c r="C4353" i="12"/>
  <c r="C3707" i="12"/>
  <c r="B3842" i="12"/>
  <c r="C4068" i="12"/>
  <c r="B4203" i="12"/>
  <c r="C4691" i="12"/>
  <c r="B4826" i="12"/>
  <c r="C3869" i="12"/>
  <c r="B4004" i="12"/>
  <c r="C3591" i="12"/>
  <c r="B3726" i="12"/>
  <c r="B3745" i="12"/>
  <c r="C3610" i="12"/>
  <c r="C3665" i="12"/>
  <c r="B3800" i="12"/>
  <c r="B3983" i="12"/>
  <c r="C3848" i="12"/>
  <c r="B3656" i="12"/>
  <c r="C3521" i="12"/>
  <c r="B3867" i="12"/>
  <c r="C3732" i="12"/>
  <c r="B3649" i="12"/>
  <c r="C3514" i="12"/>
  <c r="B4248" i="12"/>
  <c r="C4113" i="12"/>
  <c r="B3747" i="12"/>
  <c r="C3612" i="12"/>
  <c r="C4128" i="12"/>
  <c r="B4263" i="12"/>
  <c r="C3752" i="12"/>
  <c r="B3887" i="12"/>
  <c r="B4106" i="12"/>
  <c r="C3971" i="12"/>
  <c r="B4018" i="12"/>
  <c r="C3883" i="12"/>
  <c r="C3640" i="12"/>
  <c r="B3775" i="12"/>
  <c r="B3768" i="12"/>
  <c r="C3633" i="12"/>
  <c r="B3862" i="12"/>
  <c r="C3727" i="12"/>
  <c r="B3743" i="12"/>
  <c r="C3608" i="12"/>
  <c r="B4829" i="12"/>
  <c r="C4694" i="12"/>
  <c r="B4055" i="12"/>
  <c r="C3920" i="12"/>
  <c r="B3864" i="12"/>
  <c r="C3729" i="12"/>
  <c r="C4204" i="12"/>
  <c r="B4339" i="12"/>
  <c r="C3686" i="12"/>
  <c r="B3821" i="12"/>
  <c r="A3913" i="12"/>
  <c r="C3778" i="12"/>
  <c r="B3765" i="12"/>
  <c r="C3630" i="12"/>
  <c r="C3517" i="12"/>
  <c r="B3652" i="12"/>
  <c r="C4032" i="12"/>
  <c r="B4167" i="12"/>
  <c r="B4699" i="12"/>
  <c r="C4564" i="12"/>
  <c r="B4010" i="12"/>
  <c r="C3875" i="12"/>
  <c r="B3929" i="12"/>
  <c r="C3794" i="12"/>
  <c r="C3730" i="12"/>
  <c r="B3865" i="12"/>
  <c r="B3969" i="12"/>
  <c r="C3834" i="12"/>
  <c r="B4881" i="12"/>
  <c r="C4746" i="12"/>
  <c r="B3849" i="12"/>
  <c r="C3714" i="12"/>
  <c r="B4985" i="12"/>
  <c r="C4850" i="12"/>
  <c r="B3898" i="12"/>
  <c r="C3763" i="12"/>
  <c r="B4177" i="12"/>
  <c r="C4042" i="12"/>
  <c r="B3940" i="12"/>
  <c r="C3805" i="12"/>
  <c r="B4133" i="12"/>
  <c r="C3998" i="12"/>
  <c r="C3963" i="12"/>
  <c r="B4098" i="12"/>
  <c r="B4419" i="12"/>
  <c r="C4284" i="12"/>
  <c r="B3852" i="12"/>
  <c r="C3717" i="12"/>
  <c r="A4712" i="12"/>
  <c r="C4577" i="12"/>
  <c r="B4025" i="12"/>
  <c r="C3890" i="12"/>
  <c r="C4102" i="12"/>
  <c r="B4237" i="12"/>
  <c r="C4094" i="12"/>
  <c r="B4229" i="12"/>
  <c r="C3939" i="12"/>
  <c r="B4074" i="12"/>
  <c r="A4048" i="12" l="1"/>
  <c r="C3913" i="12"/>
  <c r="B4481" i="12"/>
  <c r="C4346" i="12"/>
  <c r="B4554" i="12"/>
  <c r="C4419" i="12"/>
  <c r="B4312" i="12"/>
  <c r="C4177" i="12"/>
  <c r="B5016" i="12"/>
  <c r="C4881" i="12"/>
  <c r="B4145" i="12"/>
  <c r="C4010" i="12"/>
  <c r="B3900" i="12"/>
  <c r="C3765" i="12"/>
  <c r="C3864" i="12"/>
  <c r="B3999" i="12"/>
  <c r="B3997" i="12"/>
  <c r="C3862" i="12"/>
  <c r="B4241" i="12"/>
  <c r="C4106" i="12"/>
  <c r="B4383" i="12"/>
  <c r="C4248" i="12"/>
  <c r="C3983" i="12"/>
  <c r="B4118" i="12"/>
  <c r="C4488" i="12"/>
  <c r="B4623" i="12"/>
  <c r="B4853" i="12"/>
  <c r="C4718" i="12"/>
  <c r="C3796" i="12"/>
  <c r="B3931" i="12"/>
  <c r="B5142" i="12"/>
  <c r="C5142" i="12" s="1"/>
  <c r="C5007" i="12"/>
  <c r="C4130" i="12"/>
  <c r="B4265" i="12"/>
  <c r="B4163" i="12"/>
  <c r="C4028" i="12"/>
  <c r="C4124" i="12"/>
  <c r="B4259" i="12"/>
  <c r="B4233" i="12"/>
  <c r="C4098" i="12"/>
  <c r="B4022" i="12"/>
  <c r="C3887" i="12"/>
  <c r="B3935" i="12"/>
  <c r="C3800" i="12"/>
  <c r="B4961" i="12"/>
  <c r="C4826" i="12"/>
  <c r="B3873" i="12"/>
  <c r="C3738" i="12"/>
  <c r="B4039" i="12"/>
  <c r="C3904" i="12"/>
  <c r="B3949" i="12"/>
  <c r="C3814" i="12"/>
  <c r="B4146" i="12"/>
  <c r="C4011" i="12"/>
  <c r="C4082" i="12"/>
  <c r="B4217" i="12"/>
  <c r="B4590" i="12"/>
  <c r="C4455" i="12"/>
  <c r="B4682" i="12"/>
  <c r="C4547" i="12"/>
  <c r="A4052" i="12"/>
  <c r="C3917" i="12"/>
  <c r="B3847" i="12"/>
  <c r="C3712" i="12"/>
  <c r="B4092" i="12"/>
  <c r="C3957" i="12"/>
  <c r="C4246" i="12"/>
  <c r="B4381" i="12"/>
  <c r="C4060" i="12"/>
  <c r="B4195" i="12"/>
  <c r="C4299" i="12"/>
  <c r="B4434" i="12"/>
  <c r="B3877" i="12"/>
  <c r="C3742" i="12"/>
  <c r="B4000" i="12"/>
  <c r="C3865" i="12"/>
  <c r="C3992" i="12"/>
  <c r="B4127" i="12"/>
  <c r="B4964" i="12"/>
  <c r="C4829" i="12"/>
  <c r="C3867" i="12"/>
  <c r="B4002" i="12"/>
  <c r="B4261" i="12"/>
  <c r="C4126" i="12"/>
  <c r="C3668" i="12"/>
  <c r="B3803" i="12"/>
  <c r="C4229" i="12"/>
  <c r="B4364" i="12"/>
  <c r="B3787" i="12"/>
  <c r="C3652" i="12"/>
  <c r="C4339" i="12"/>
  <c r="B4474" i="12"/>
  <c r="B3861" i="12"/>
  <c r="C3726" i="12"/>
  <c r="B3977" i="12"/>
  <c r="C3842" i="12"/>
  <c r="B4121" i="12"/>
  <c r="C3986" i="12"/>
  <c r="B4223" i="12"/>
  <c r="C4088" i="12"/>
  <c r="B3924" i="12"/>
  <c r="C3789" i="12"/>
  <c r="B4140" i="12"/>
  <c r="C4005" i="12"/>
  <c r="B4224" i="12"/>
  <c r="C4089" i="12"/>
  <c r="B4584" i="12"/>
  <c r="C4449" i="12"/>
  <c r="B4056" i="12"/>
  <c r="C3921" i="12"/>
  <c r="C3844" i="12"/>
  <c r="B3979" i="12"/>
  <c r="B4120" i="12"/>
  <c r="C3985" i="12"/>
  <c r="B4033" i="12"/>
  <c r="C3898" i="12"/>
  <c r="C4699" i="12"/>
  <c r="B4834" i="12"/>
  <c r="B4190" i="12"/>
  <c r="C4055" i="12"/>
  <c r="B3784" i="12"/>
  <c r="C3649" i="12"/>
  <c r="B4379" i="12"/>
  <c r="C4244" i="12"/>
  <c r="C4171" i="12"/>
  <c r="B4306" i="12"/>
  <c r="B4047" i="12"/>
  <c r="C3912" i="12"/>
  <c r="B4207" i="12"/>
  <c r="C4072" i="12"/>
  <c r="B4158" i="12"/>
  <c r="C4023" i="12"/>
  <c r="B3910" i="12"/>
  <c r="C3775" i="12"/>
  <c r="C4263" i="12"/>
  <c r="B4398" i="12"/>
  <c r="C4141" i="12"/>
  <c r="B4276" i="12"/>
  <c r="B4103" i="12"/>
  <c r="C3968" i="12"/>
  <c r="B4230" i="12"/>
  <c r="C4095" i="12"/>
  <c r="C4251" i="12"/>
  <c r="B4386" i="12"/>
  <c r="B4165" i="12"/>
  <c r="C4030" i="12"/>
  <c r="B4468" i="12"/>
  <c r="C4333" i="12"/>
  <c r="B3930" i="12"/>
  <c r="C3795" i="12"/>
  <c r="B3932" i="12"/>
  <c r="C3797" i="12"/>
  <c r="C4369" i="12"/>
  <c r="B4504" i="12"/>
  <c r="B3816" i="12"/>
  <c r="C3681" i="12"/>
  <c r="B3987" i="12"/>
  <c r="C3852" i="12"/>
  <c r="C3940" i="12"/>
  <c r="B4075" i="12"/>
  <c r="C3849" i="12"/>
  <c r="B3984" i="12"/>
  <c r="C3929" i="12"/>
  <c r="B4064" i="12"/>
  <c r="B3878" i="12"/>
  <c r="C3743" i="12"/>
  <c r="C4018" i="12"/>
  <c r="B4153" i="12"/>
  <c r="B3882" i="12"/>
  <c r="C3747" i="12"/>
  <c r="B3791" i="12"/>
  <c r="C3656" i="12"/>
  <c r="B4129" i="12"/>
  <c r="C3994" i="12"/>
  <c r="B4380" i="12"/>
  <c r="C4245" i="12"/>
  <c r="B3923" i="12"/>
  <c r="C3788" i="12"/>
  <c r="B3990" i="12"/>
  <c r="C3855" i="12"/>
  <c r="B4027" i="12"/>
  <c r="C3892" i="12"/>
  <c r="B3886" i="12"/>
  <c r="C3751" i="12"/>
  <c r="B4458" i="12"/>
  <c r="C4323" i="12"/>
  <c r="C4225" i="12"/>
  <c r="B4360" i="12"/>
  <c r="B3961" i="12"/>
  <c r="C3826" i="12"/>
  <c r="B4214" i="12"/>
  <c r="C4079" i="12"/>
  <c r="B4097" i="12"/>
  <c r="C3962" i="12"/>
  <c r="C3845" i="12"/>
  <c r="B3980" i="12"/>
  <c r="B4160" i="12"/>
  <c r="C4025" i="12"/>
  <c r="C3969" i="12"/>
  <c r="B4104" i="12"/>
  <c r="C3768" i="12"/>
  <c r="B3903" i="12"/>
  <c r="B4406" i="12"/>
  <c r="C4271" i="12"/>
  <c r="C4123" i="12"/>
  <c r="B4258" i="12"/>
  <c r="B4209" i="12"/>
  <c r="C4074" i="12"/>
  <c r="B4302" i="12"/>
  <c r="C4167" i="12"/>
  <c r="B3956" i="12"/>
  <c r="C3821" i="12"/>
  <c r="B4338" i="12"/>
  <c r="C4203" i="12"/>
  <c r="C4436" i="12"/>
  <c r="B4571" i="12"/>
  <c r="C4456" i="12"/>
  <c r="B4591" i="12"/>
  <c r="C3837" i="12"/>
  <c r="B3972" i="12"/>
  <c r="A4847" i="12"/>
  <c r="C4712" i="12"/>
  <c r="C4133" i="12"/>
  <c r="B4268" i="12"/>
  <c r="B5120" i="12"/>
  <c r="C4985" i="12"/>
  <c r="C3745" i="12"/>
  <c r="B3880" i="12"/>
  <c r="B4105" i="12"/>
  <c r="C3970" i="12"/>
  <c r="C3942" i="12"/>
  <c r="B4077" i="12"/>
  <c r="C3680" i="12"/>
  <c r="B3815" i="12"/>
  <c r="B4372" i="12"/>
  <c r="C4237" i="12"/>
  <c r="C4004" i="12"/>
  <c r="B4139" i="12"/>
  <c r="B4979" i="12"/>
  <c r="C4844" i="12"/>
  <c r="B4408" i="12"/>
  <c r="C4273" i="12"/>
  <c r="B4228" i="12"/>
  <c r="C4093" i="12"/>
  <c r="B3838" i="12"/>
  <c r="C3703" i="12"/>
  <c r="C4235" i="12"/>
  <c r="B4370" i="12"/>
  <c r="C3810" i="12"/>
  <c r="B3945" i="12"/>
  <c r="A4695" i="12"/>
  <c r="C4560" i="12"/>
  <c r="B3966" i="12"/>
  <c r="C3831" i="12"/>
  <c r="B3817" i="12"/>
  <c r="C3682" i="12"/>
  <c r="C4046" i="12"/>
  <c r="B4181" i="12"/>
  <c r="B3808" i="12"/>
  <c r="C3673" i="12"/>
  <c r="B5100" i="12"/>
  <c r="B4311" i="12"/>
  <c r="C4176" i="12"/>
  <c r="B4441" i="12" l="1"/>
  <c r="C4306" i="12"/>
  <c r="B4969" i="12"/>
  <c r="C4834" i="12"/>
  <c r="C4259" i="12"/>
  <c r="B4394" i="12"/>
  <c r="B4505" i="12"/>
  <c r="C4370" i="12"/>
  <c r="B4212" i="12"/>
  <c r="C4077" i="12"/>
  <c r="B4403" i="12"/>
  <c r="C4268" i="12"/>
  <c r="B4706" i="12"/>
  <c r="C4571" i="12"/>
  <c r="C4104" i="12"/>
  <c r="B4239" i="12"/>
  <c r="B4288" i="12"/>
  <c r="C4153" i="12"/>
  <c r="C4075" i="12"/>
  <c r="B4210" i="12"/>
  <c r="B4521" i="12"/>
  <c r="C4386" i="12"/>
  <c r="B4533" i="12"/>
  <c r="C4398" i="12"/>
  <c r="B4114" i="12"/>
  <c r="C3979" i="12"/>
  <c r="B4499" i="12"/>
  <c r="C4364" i="12"/>
  <c r="B4569" i="12"/>
  <c r="C4434" i="12"/>
  <c r="C4217" i="12"/>
  <c r="B4352" i="12"/>
  <c r="B4253" i="12"/>
  <c r="C4118" i="12"/>
  <c r="B4134" i="12"/>
  <c r="C3999" i="12"/>
  <c r="B4446" i="12"/>
  <c r="C4311" i="12"/>
  <c r="B3952" i="12"/>
  <c r="C3817" i="12"/>
  <c r="B5114" i="12"/>
  <c r="C4979" i="12"/>
  <c r="B4344" i="12"/>
  <c r="C4209" i="12"/>
  <c r="B4349" i="12"/>
  <c r="C4214" i="12"/>
  <c r="C3886" i="12"/>
  <c r="B4021" i="12"/>
  <c r="C4380" i="12"/>
  <c r="B4515" i="12"/>
  <c r="C3932" i="12"/>
  <c r="B4067" i="12"/>
  <c r="B4182" i="12"/>
  <c r="C4047" i="12"/>
  <c r="C4190" i="12"/>
  <c r="B4325" i="12"/>
  <c r="C4140" i="12"/>
  <c r="B4275" i="12"/>
  <c r="B4112" i="12"/>
  <c r="C3977" i="12"/>
  <c r="B5099" i="12"/>
  <c r="C4964" i="12"/>
  <c r="B3982" i="12"/>
  <c r="C3847" i="12"/>
  <c r="B4008" i="12"/>
  <c r="C3873" i="12"/>
  <c r="C4233" i="12"/>
  <c r="B4368" i="12"/>
  <c r="C4312" i="12"/>
  <c r="B4447" i="12"/>
  <c r="B5235" i="12"/>
  <c r="C4127" i="12"/>
  <c r="B4262" i="12"/>
  <c r="C4056" i="12"/>
  <c r="B4191" i="12"/>
  <c r="B4059" i="12"/>
  <c r="C3924" i="12"/>
  <c r="B3996" i="12"/>
  <c r="C3861" i="12"/>
  <c r="C4961" i="12"/>
  <c r="B5096" i="12"/>
  <c r="C3900" i="12"/>
  <c r="B4035" i="12"/>
  <c r="B4015" i="12"/>
  <c r="C3880" i="12"/>
  <c r="B4107" i="12"/>
  <c r="C3972" i="12"/>
  <c r="B4199" i="12"/>
  <c r="C4064" i="12"/>
  <c r="C4474" i="12"/>
  <c r="B4609" i="12"/>
  <c r="B3943" i="12"/>
  <c r="C3808" i="12"/>
  <c r="A4830" i="12"/>
  <c r="C4695" i="12"/>
  <c r="C4228" i="12"/>
  <c r="B4363" i="12"/>
  <c r="B4507" i="12"/>
  <c r="C4372" i="12"/>
  <c r="C3956" i="12"/>
  <c r="B4091" i="12"/>
  <c r="B4541" i="12"/>
  <c r="C4406" i="12"/>
  <c r="B4125" i="12"/>
  <c r="C3990" i="12"/>
  <c r="B3926" i="12"/>
  <c r="C3791" i="12"/>
  <c r="C3816" i="12"/>
  <c r="B3951" i="12"/>
  <c r="C4468" i="12"/>
  <c r="B4603" i="12"/>
  <c r="C4103" i="12"/>
  <c r="B4238" i="12"/>
  <c r="C4158" i="12"/>
  <c r="B4293" i="12"/>
  <c r="B4514" i="12"/>
  <c r="C4379" i="12"/>
  <c r="C4033" i="12"/>
  <c r="B4168" i="12"/>
  <c r="C4584" i="12"/>
  <c r="B4719" i="12"/>
  <c r="B4358" i="12"/>
  <c r="C4223" i="12"/>
  <c r="C4261" i="12"/>
  <c r="B4396" i="12"/>
  <c r="C4000" i="12"/>
  <c r="B4135" i="12"/>
  <c r="C4682" i="12"/>
  <c r="B4817" i="12"/>
  <c r="B4084" i="12"/>
  <c r="C3949" i="12"/>
  <c r="B4070" i="12"/>
  <c r="C3935" i="12"/>
  <c r="B4298" i="12"/>
  <c r="C4163" i="12"/>
  <c r="C4853" i="12"/>
  <c r="B4988" i="12"/>
  <c r="B4376" i="12"/>
  <c r="C4241" i="12"/>
  <c r="C4145" i="12"/>
  <c r="B4280" i="12"/>
  <c r="B4616" i="12"/>
  <c r="C4481" i="12"/>
  <c r="A4982" i="12"/>
  <c r="C4847" i="12"/>
  <c r="B4473" i="12"/>
  <c r="C4338" i="12"/>
  <c r="C3961" i="12"/>
  <c r="B4096" i="12"/>
  <c r="B4162" i="12"/>
  <c r="C4027" i="12"/>
  <c r="B4264" i="12"/>
  <c r="C4129" i="12"/>
  <c r="C3878" i="12"/>
  <c r="B4013" i="12"/>
  <c r="C3987" i="12"/>
  <c r="B4122" i="12"/>
  <c r="B4065" i="12"/>
  <c r="C3930" i="12"/>
  <c r="C4230" i="12"/>
  <c r="B4365" i="12"/>
  <c r="B4045" i="12"/>
  <c r="C3910" i="12"/>
  <c r="B4689" i="12"/>
  <c r="C4554" i="12"/>
  <c r="B4115" i="12"/>
  <c r="C3980" i="12"/>
  <c r="C4381" i="12"/>
  <c r="B4516" i="12"/>
  <c r="B4316" i="12"/>
  <c r="C4181" i="12"/>
  <c r="B4080" i="12"/>
  <c r="C3945" i="12"/>
  <c r="B3950" i="12"/>
  <c r="C3815" i="12"/>
  <c r="C4591" i="12"/>
  <c r="B4726" i="12"/>
  <c r="B4038" i="12"/>
  <c r="C3903" i="12"/>
  <c r="C3984" i="12"/>
  <c r="B4119" i="12"/>
  <c r="B4639" i="12"/>
  <c r="C4504" i="12"/>
  <c r="B4411" i="12"/>
  <c r="C4276" i="12"/>
  <c r="C4002" i="12"/>
  <c r="B4137" i="12"/>
  <c r="B4400" i="12"/>
  <c r="C4265" i="12"/>
  <c r="B4758" i="12"/>
  <c r="C4623" i="12"/>
  <c r="C4139" i="12"/>
  <c r="B4274" i="12"/>
  <c r="B4393" i="12"/>
  <c r="C4258" i="12"/>
  <c r="B3938" i="12"/>
  <c r="C3803" i="12"/>
  <c r="C4195" i="12"/>
  <c r="B4330" i="12"/>
  <c r="C3931" i="12"/>
  <c r="B4066" i="12"/>
  <c r="B4101" i="12"/>
  <c r="C3966" i="12"/>
  <c r="C3838" i="12"/>
  <c r="B3973" i="12"/>
  <c r="B4240" i="12"/>
  <c r="C4105" i="12"/>
  <c r="B4295" i="12"/>
  <c r="C4160" i="12"/>
  <c r="A4187" i="12"/>
  <c r="C4052" i="12"/>
  <c r="C4146" i="12"/>
  <c r="B4281" i="12"/>
  <c r="B4518" i="12"/>
  <c r="C4383" i="12"/>
  <c r="B4495" i="12"/>
  <c r="C4360" i="12"/>
  <c r="B4543" i="12"/>
  <c r="C4408" i="12"/>
  <c r="C5120" i="12"/>
  <c r="B5255" i="12"/>
  <c r="C5255" i="12" s="1"/>
  <c r="C4302" i="12"/>
  <c r="B4437" i="12"/>
  <c r="B4232" i="12"/>
  <c r="C4097" i="12"/>
  <c r="B4593" i="12"/>
  <c r="C4458" i="12"/>
  <c r="B4058" i="12"/>
  <c r="C3923" i="12"/>
  <c r="C3882" i="12"/>
  <c r="B4017" i="12"/>
  <c r="C4165" i="12"/>
  <c r="B4300" i="12"/>
  <c r="B4342" i="12"/>
  <c r="C4207" i="12"/>
  <c r="C3784" i="12"/>
  <c r="B3919" i="12"/>
  <c r="B4255" i="12"/>
  <c r="C4120" i="12"/>
  <c r="C4224" i="12"/>
  <c r="B4359" i="12"/>
  <c r="C4121" i="12"/>
  <c r="B4256" i="12"/>
  <c r="B3922" i="12"/>
  <c r="C3787" i="12"/>
  <c r="C3877" i="12"/>
  <c r="B4012" i="12"/>
  <c r="B4227" i="12"/>
  <c r="C4092" i="12"/>
  <c r="B4725" i="12"/>
  <c r="C4590" i="12"/>
  <c r="B4174" i="12"/>
  <c r="C4039" i="12"/>
  <c r="B4157" i="12"/>
  <c r="C4022" i="12"/>
  <c r="C3997" i="12"/>
  <c r="B4132" i="12"/>
  <c r="B5151" i="12"/>
  <c r="C5151" i="12" s="1"/>
  <c r="C5016" i="12"/>
  <c r="A4183" i="12"/>
  <c r="C4048" i="12"/>
  <c r="B4147" i="12" l="1"/>
  <c r="C4012" i="12"/>
  <c r="C4017" i="12"/>
  <c r="B4152" i="12"/>
  <c r="B4572" i="12"/>
  <c r="C4437" i="12"/>
  <c r="C4330" i="12"/>
  <c r="B4465" i="12"/>
  <c r="B4270" i="12"/>
  <c r="C4135" i="12"/>
  <c r="B4303" i="12"/>
  <c r="C4168" i="12"/>
  <c r="C4603" i="12"/>
  <c r="B4738" i="12"/>
  <c r="B4460" i="12"/>
  <c r="C4325" i="12"/>
  <c r="B4156" i="12"/>
  <c r="C4021" i="12"/>
  <c r="C4352" i="12"/>
  <c r="B4487" i="12"/>
  <c r="B4374" i="12"/>
  <c r="C4239" i="12"/>
  <c r="B4292" i="12"/>
  <c r="C4157" i="12"/>
  <c r="C4255" i="12"/>
  <c r="B4390" i="12"/>
  <c r="B4653" i="12"/>
  <c r="C4518" i="12"/>
  <c r="C4240" i="12"/>
  <c r="B4375" i="12"/>
  <c r="C4758" i="12"/>
  <c r="B4893" i="12"/>
  <c r="C4639" i="12"/>
  <c r="B4774" i="12"/>
  <c r="C3950" i="12"/>
  <c r="B4085" i="12"/>
  <c r="C4115" i="12"/>
  <c r="B4250" i="12"/>
  <c r="B4200" i="12"/>
  <c r="C4065" i="12"/>
  <c r="B4297" i="12"/>
  <c r="C4162" i="12"/>
  <c r="B4751" i="12"/>
  <c r="C4616" i="12"/>
  <c r="B4433" i="12"/>
  <c r="C4298" i="12"/>
  <c r="C4541" i="12"/>
  <c r="B4676" i="12"/>
  <c r="A4965" i="12"/>
  <c r="C4830" i="12"/>
  <c r="B4242" i="12"/>
  <c r="C4107" i="12"/>
  <c r="C3996" i="12"/>
  <c r="B4131" i="12"/>
  <c r="B4117" i="12"/>
  <c r="C3982" i="12"/>
  <c r="B4087" i="12"/>
  <c r="C3952" i="12"/>
  <c r="B4668" i="12"/>
  <c r="C4533" i="12"/>
  <c r="B4640" i="12"/>
  <c r="C4505" i="12"/>
  <c r="C4119" i="12"/>
  <c r="B4254" i="12"/>
  <c r="C3951" i="12"/>
  <c r="B4086" i="12"/>
  <c r="B4226" i="12"/>
  <c r="C4091" i="12"/>
  <c r="A4318" i="12"/>
  <c r="C4183" i="12"/>
  <c r="B4193" i="12"/>
  <c r="C4058" i="12"/>
  <c r="B4073" i="12"/>
  <c r="C3938" i="12"/>
  <c r="C4400" i="12"/>
  <c r="B4535" i="12"/>
  <c r="B4215" i="12"/>
  <c r="C4080" i="12"/>
  <c r="B4428" i="12"/>
  <c r="C4293" i="12"/>
  <c r="B4202" i="12"/>
  <c r="C4067" i="12"/>
  <c r="B4860" i="12"/>
  <c r="C4725" i="12"/>
  <c r="C4342" i="12"/>
  <c r="B4477" i="12"/>
  <c r="B4728" i="12"/>
  <c r="C4593" i="12"/>
  <c r="C4543" i="12"/>
  <c r="B4678" i="12"/>
  <c r="A4322" i="12"/>
  <c r="C4187" i="12"/>
  <c r="B4236" i="12"/>
  <c r="C4101" i="12"/>
  <c r="B4528" i="12"/>
  <c r="C4393" i="12"/>
  <c r="C4038" i="12"/>
  <c r="B4173" i="12"/>
  <c r="B4451" i="12"/>
  <c r="C4316" i="12"/>
  <c r="C4045" i="12"/>
  <c r="B4180" i="12"/>
  <c r="B4608" i="12"/>
  <c r="C4473" i="12"/>
  <c r="C4376" i="12"/>
  <c r="B4511" i="12"/>
  <c r="B4219" i="12"/>
  <c r="C4084" i="12"/>
  <c r="B4493" i="12"/>
  <c r="C4358" i="12"/>
  <c r="C3926" i="12"/>
  <c r="B4061" i="12"/>
  <c r="B4642" i="12"/>
  <c r="C4507" i="12"/>
  <c r="B4247" i="12"/>
  <c r="C4112" i="12"/>
  <c r="B4479" i="12"/>
  <c r="C4344" i="12"/>
  <c r="B4269" i="12"/>
  <c r="C4134" i="12"/>
  <c r="C4499" i="12"/>
  <c r="B4634" i="12"/>
  <c r="B4538" i="12"/>
  <c r="C4403" i="12"/>
  <c r="C4969" i="12"/>
  <c r="B5104" i="12"/>
  <c r="B4416" i="12"/>
  <c r="C4281" i="12"/>
  <c r="B4108" i="12"/>
  <c r="C3973" i="12"/>
  <c r="C4122" i="12"/>
  <c r="B4257" i="12"/>
  <c r="C4096" i="12"/>
  <c r="B4231" i="12"/>
  <c r="C4280" i="12"/>
  <c r="B4415" i="12"/>
  <c r="B4824" i="12"/>
  <c r="C4689" i="12"/>
  <c r="C4070" i="12"/>
  <c r="B4205" i="12"/>
  <c r="B4078" i="12"/>
  <c r="C3943" i="12"/>
  <c r="B4150" i="12"/>
  <c r="C4015" i="12"/>
  <c r="B4194" i="12"/>
  <c r="C4059" i="12"/>
  <c r="C5099" i="12"/>
  <c r="B5234" i="12"/>
  <c r="C5234" i="12" s="1"/>
  <c r="B4484" i="12"/>
  <c r="C4349" i="12"/>
  <c r="B4704" i="12"/>
  <c r="C4569" i="12"/>
  <c r="B4841" i="12"/>
  <c r="C4706" i="12"/>
  <c r="C4137" i="12"/>
  <c r="B4272" i="12"/>
  <c r="B4744" i="12"/>
  <c r="C4609" i="12"/>
  <c r="B4326" i="12"/>
  <c r="C4191" i="12"/>
  <c r="C4132" i="12"/>
  <c r="B4267" i="12"/>
  <c r="B4494" i="12"/>
  <c r="C4359" i="12"/>
  <c r="B4435" i="12"/>
  <c r="C4300" i="12"/>
  <c r="B4201" i="12"/>
  <c r="C4066" i="12"/>
  <c r="B4409" i="12"/>
  <c r="C4274" i="12"/>
  <c r="B4861" i="12"/>
  <c r="C4726" i="12"/>
  <c r="B4651" i="12"/>
  <c r="C4516" i="12"/>
  <c r="B4500" i="12"/>
  <c r="C4365" i="12"/>
  <c r="B5123" i="12"/>
  <c r="C4988" i="12"/>
  <c r="C4817" i="12"/>
  <c r="B4952" i="12"/>
  <c r="C4719" i="12"/>
  <c r="B4854" i="12"/>
  <c r="B4373" i="12"/>
  <c r="C4238" i="12"/>
  <c r="B4498" i="12"/>
  <c r="C4363" i="12"/>
  <c r="C5096" i="12"/>
  <c r="B5231" i="12"/>
  <c r="C5231" i="12" s="1"/>
  <c r="B4397" i="12"/>
  <c r="C4262" i="12"/>
  <c r="C4275" i="12"/>
  <c r="B4410" i="12"/>
  <c r="B4650" i="12"/>
  <c r="C4515" i="12"/>
  <c r="B4054" i="12"/>
  <c r="C3919" i="12"/>
  <c r="B4531" i="12"/>
  <c r="C4396" i="12"/>
  <c r="B4582" i="12"/>
  <c r="C4447" i="12"/>
  <c r="B4529" i="12"/>
  <c r="C4394" i="12"/>
  <c r="B4309" i="12"/>
  <c r="C4174" i="12"/>
  <c r="B4057" i="12"/>
  <c r="C3922" i="12"/>
  <c r="B4649" i="12"/>
  <c r="C4514" i="12"/>
  <c r="B4317" i="12"/>
  <c r="C4182" i="12"/>
  <c r="B4581" i="12"/>
  <c r="C4446" i="12"/>
  <c r="B4656" i="12"/>
  <c r="C4521" i="12"/>
  <c r="C4256" i="12"/>
  <c r="B4391" i="12"/>
  <c r="B4148" i="12"/>
  <c r="C4013" i="12"/>
  <c r="B4170" i="12"/>
  <c r="C4035" i="12"/>
  <c r="B4503" i="12"/>
  <c r="C4368" i="12"/>
  <c r="B4345" i="12"/>
  <c r="C4210" i="12"/>
  <c r="B4362" i="12"/>
  <c r="C4227" i="12"/>
  <c r="B4367" i="12"/>
  <c r="C4232" i="12"/>
  <c r="B4630" i="12"/>
  <c r="C4495" i="12"/>
  <c r="C4295" i="12"/>
  <c r="B4430" i="12"/>
  <c r="C4411" i="12"/>
  <c r="B4546" i="12"/>
  <c r="B4399" i="12"/>
  <c r="C4264" i="12"/>
  <c r="A5117" i="12"/>
  <c r="C4982" i="12"/>
  <c r="C4125" i="12"/>
  <c r="B4260" i="12"/>
  <c r="B4334" i="12"/>
  <c r="C4199" i="12"/>
  <c r="C4008" i="12"/>
  <c r="B4143" i="12"/>
  <c r="B5249" i="12"/>
  <c r="C5249" i="12" s="1"/>
  <c r="C5114" i="12"/>
  <c r="B4388" i="12"/>
  <c r="C4253" i="12"/>
  <c r="B4249" i="12"/>
  <c r="C4114" i="12"/>
  <c r="C4288" i="12"/>
  <c r="B4423" i="12"/>
  <c r="B4347" i="12"/>
  <c r="C4212" i="12"/>
  <c r="B4576" i="12"/>
  <c r="C4441" i="12"/>
  <c r="C4651" i="12" l="1"/>
  <c r="B4786" i="12"/>
  <c r="C4435" i="12"/>
  <c r="B4570" i="12"/>
  <c r="C4744" i="12"/>
  <c r="B4879" i="12"/>
  <c r="B4619" i="12"/>
  <c r="C4484" i="12"/>
  <c r="C4078" i="12"/>
  <c r="B4213" i="12"/>
  <c r="C4215" i="12"/>
  <c r="B4350" i="12"/>
  <c r="A4453" i="12"/>
  <c r="C4318" i="12"/>
  <c r="B4266" i="12"/>
  <c r="C4131" i="12"/>
  <c r="B4510" i="12"/>
  <c r="C4375" i="12"/>
  <c r="B4711" i="12"/>
  <c r="C4576" i="12"/>
  <c r="B4523" i="12"/>
  <c r="C4388" i="12"/>
  <c r="B4480" i="12"/>
  <c r="C4345" i="12"/>
  <c r="B4784" i="12"/>
  <c r="C4649" i="12"/>
  <c r="B4717" i="12"/>
  <c r="C4582" i="12"/>
  <c r="B4508" i="12"/>
  <c r="C4373" i="12"/>
  <c r="C4500" i="12"/>
  <c r="B4635" i="12"/>
  <c r="B4336" i="12"/>
  <c r="C4201" i="12"/>
  <c r="C4326" i="12"/>
  <c r="B4461" i="12"/>
  <c r="C4704" i="12"/>
  <c r="B4839" i="12"/>
  <c r="B4285" i="12"/>
  <c r="C4150" i="12"/>
  <c r="B4551" i="12"/>
  <c r="C4416" i="12"/>
  <c r="B4404" i="12"/>
  <c r="C4269" i="12"/>
  <c r="C4608" i="12"/>
  <c r="B4743" i="12"/>
  <c r="C4528" i="12"/>
  <c r="B4663" i="12"/>
  <c r="B4863" i="12"/>
  <c r="C4728" i="12"/>
  <c r="B4563" i="12"/>
  <c r="C4428" i="12"/>
  <c r="B4328" i="12"/>
  <c r="C4193" i="12"/>
  <c r="C4117" i="12"/>
  <c r="B4252" i="12"/>
  <c r="C4676" i="12"/>
  <c r="B4811" i="12"/>
  <c r="C4893" i="12"/>
  <c r="B5028" i="12"/>
  <c r="B4600" i="12"/>
  <c r="C4465" i="12"/>
  <c r="C4854" i="12"/>
  <c r="B4989" i="12"/>
  <c r="B4366" i="12"/>
  <c r="C4231" i="12"/>
  <c r="B5239" i="12"/>
  <c r="C5239" i="12" s="1"/>
  <c r="C5104" i="12"/>
  <c r="C4180" i="12"/>
  <c r="B4315" i="12"/>
  <c r="C4477" i="12"/>
  <c r="B4612" i="12"/>
  <c r="C4200" i="12"/>
  <c r="B4335" i="12"/>
  <c r="C4292" i="12"/>
  <c r="B4427" i="12"/>
  <c r="B4595" i="12"/>
  <c r="C4460" i="12"/>
  <c r="B4482" i="12"/>
  <c r="C4347" i="12"/>
  <c r="C4630" i="12"/>
  <c r="B4765" i="12"/>
  <c r="B4192" i="12"/>
  <c r="C4057" i="12"/>
  <c r="B4385" i="12"/>
  <c r="C4250" i="12"/>
  <c r="C4738" i="12"/>
  <c r="B4873" i="12"/>
  <c r="B4558" i="12"/>
  <c r="C4423" i="12"/>
  <c r="C4143" i="12"/>
  <c r="B4278" i="12"/>
  <c r="B4407" i="12"/>
  <c r="C4272" i="12"/>
  <c r="B4670" i="12"/>
  <c r="C4535" i="12"/>
  <c r="C4433" i="12"/>
  <c r="B4568" i="12"/>
  <c r="B4707" i="12"/>
  <c r="C4572" i="12"/>
  <c r="B4502" i="12"/>
  <c r="C4367" i="12"/>
  <c r="B4996" i="12"/>
  <c r="C4861" i="12"/>
  <c r="C4494" i="12"/>
  <c r="B4629" i="12"/>
  <c r="B4382" i="12"/>
  <c r="C4247" i="12"/>
  <c r="C4451" i="12"/>
  <c r="B4586" i="12"/>
  <c r="A4457" i="12"/>
  <c r="C4322" i="12"/>
  <c r="C4860" i="12"/>
  <c r="B4995" i="12"/>
  <c r="B4220" i="12"/>
  <c r="C4085" i="12"/>
  <c r="C4152" i="12"/>
  <c r="B4287" i="12"/>
  <c r="B4681" i="12"/>
  <c r="C4546" i="12"/>
  <c r="C4267" i="12"/>
  <c r="B4402" i="12"/>
  <c r="C4634" i="12"/>
  <c r="B4769" i="12"/>
  <c r="B4646" i="12"/>
  <c r="C4511" i="12"/>
  <c r="C4173" i="12"/>
  <c r="B4308" i="12"/>
  <c r="C4678" i="12"/>
  <c r="B4813" i="12"/>
  <c r="B4221" i="12"/>
  <c r="C4086" i="12"/>
  <c r="C4242" i="12"/>
  <c r="B4377" i="12"/>
  <c r="C4751" i="12"/>
  <c r="B4886" i="12"/>
  <c r="B4788" i="12"/>
  <c r="C4653" i="12"/>
  <c r="C4303" i="12"/>
  <c r="B4438" i="12"/>
  <c r="A5252" i="12"/>
  <c r="C5252" i="12" s="1"/>
  <c r="C5117" i="12"/>
  <c r="B4791" i="12"/>
  <c r="C4656" i="12"/>
  <c r="C4397" i="12"/>
  <c r="B4532" i="12"/>
  <c r="B4614" i="12"/>
  <c r="C4479" i="12"/>
  <c r="C4493" i="12"/>
  <c r="B4628" i="12"/>
  <c r="B4371" i="12"/>
  <c r="C4236" i="12"/>
  <c r="B4775" i="12"/>
  <c r="C4640" i="12"/>
  <c r="C4374" i="12"/>
  <c r="B4509" i="12"/>
  <c r="B4534" i="12"/>
  <c r="C4399" i="12"/>
  <c r="B4305" i="12"/>
  <c r="C4170" i="12"/>
  <c r="B4716" i="12"/>
  <c r="C4581" i="12"/>
  <c r="B4444" i="12"/>
  <c r="C4309" i="12"/>
  <c r="C4054" i="12"/>
  <c r="B4189" i="12"/>
  <c r="B4673" i="12"/>
  <c r="C4538" i="12"/>
  <c r="B4354" i="12"/>
  <c r="C4219" i="12"/>
  <c r="C4249" i="12"/>
  <c r="B4384" i="12"/>
  <c r="B4469" i="12"/>
  <c r="C4334" i="12"/>
  <c r="C4362" i="12"/>
  <c r="B4497" i="12"/>
  <c r="B4283" i="12"/>
  <c r="C4148" i="12"/>
  <c r="B4452" i="12"/>
  <c r="C4317" i="12"/>
  <c r="C4529" i="12"/>
  <c r="B4664" i="12"/>
  <c r="C4650" i="12"/>
  <c r="B4785" i="12"/>
  <c r="C4498" i="12"/>
  <c r="B4633" i="12"/>
  <c r="B5258" i="12"/>
  <c r="C5258" i="12" s="1"/>
  <c r="C5123" i="12"/>
  <c r="B4544" i="12"/>
  <c r="C4409" i="12"/>
  <c r="B4976" i="12"/>
  <c r="C4841" i="12"/>
  <c r="C4194" i="12"/>
  <c r="B4329" i="12"/>
  <c r="B4959" i="12"/>
  <c r="C4824" i="12"/>
  <c r="B4243" i="12"/>
  <c r="C4108" i="12"/>
  <c r="C4642" i="12"/>
  <c r="B4777" i="12"/>
  <c r="B4337" i="12"/>
  <c r="C4202" i="12"/>
  <c r="B4208" i="12"/>
  <c r="C4073" i="12"/>
  <c r="B4222" i="12"/>
  <c r="C4087" i="12"/>
  <c r="B4909" i="12"/>
  <c r="C4774" i="12"/>
  <c r="C4390" i="12"/>
  <c r="B4525" i="12"/>
  <c r="B4638" i="12"/>
  <c r="C4503" i="12"/>
  <c r="B4666" i="12"/>
  <c r="C4531" i="12"/>
  <c r="B5087" i="12"/>
  <c r="C4952" i="12"/>
  <c r="C4205" i="12"/>
  <c r="B4340" i="12"/>
  <c r="B4392" i="12"/>
  <c r="C4257" i="12"/>
  <c r="B4361" i="12"/>
  <c r="C4226" i="12"/>
  <c r="B4803" i="12"/>
  <c r="C4668" i="12"/>
  <c r="B4622" i="12"/>
  <c r="C4487" i="12"/>
  <c r="C4260" i="12"/>
  <c r="B4395" i="12"/>
  <c r="B4565" i="12"/>
  <c r="C4430" i="12"/>
  <c r="B4526" i="12"/>
  <c r="C4391" i="12"/>
  <c r="B4545" i="12"/>
  <c r="C4410" i="12"/>
  <c r="B4550" i="12"/>
  <c r="C4415" i="12"/>
  <c r="B4196" i="12"/>
  <c r="C4061" i="12"/>
  <c r="C4254" i="12"/>
  <c r="B4389" i="12"/>
  <c r="A5100" i="12"/>
  <c r="C4965" i="12"/>
  <c r="B4432" i="12"/>
  <c r="C4297" i="12"/>
  <c r="C4156" i="12"/>
  <c r="B4291" i="12"/>
  <c r="B4405" i="12"/>
  <c r="C4270" i="12"/>
  <c r="C4147" i="12"/>
  <c r="B4282" i="12"/>
  <c r="B4524" i="12" l="1"/>
  <c r="C4389" i="12"/>
  <c r="C4777" i="12"/>
  <c r="B4912" i="12"/>
  <c r="B4920" i="12"/>
  <c r="C4785" i="12"/>
  <c r="C4497" i="12"/>
  <c r="B4632" i="12"/>
  <c r="B5021" i="12"/>
  <c r="C4886" i="12"/>
  <c r="C4308" i="12"/>
  <c r="B4443" i="12"/>
  <c r="C4873" i="12"/>
  <c r="B5008" i="12"/>
  <c r="C4612" i="12"/>
  <c r="B4747" i="12"/>
  <c r="C4989" i="12"/>
  <c r="B5124" i="12"/>
  <c r="B4387" i="12"/>
  <c r="C4252" i="12"/>
  <c r="B4798" i="12"/>
  <c r="C4663" i="12"/>
  <c r="C4635" i="12"/>
  <c r="B4770" i="12"/>
  <c r="B4540" i="12"/>
  <c r="C4405" i="12"/>
  <c r="C4526" i="12"/>
  <c r="B4661" i="12"/>
  <c r="B4938" i="12"/>
  <c r="C4803" i="12"/>
  <c r="B5222" i="12"/>
  <c r="C5222" i="12" s="1"/>
  <c r="C5087" i="12"/>
  <c r="B5044" i="12"/>
  <c r="C4909" i="12"/>
  <c r="B5111" i="12"/>
  <c r="C4976" i="12"/>
  <c r="C4673" i="12"/>
  <c r="B4808" i="12"/>
  <c r="B4440" i="12"/>
  <c r="C4305" i="12"/>
  <c r="C4371" i="12"/>
  <c r="B4506" i="12"/>
  <c r="B4926" i="12"/>
  <c r="C4791" i="12"/>
  <c r="B4816" i="12"/>
  <c r="C4681" i="12"/>
  <c r="A4592" i="12"/>
  <c r="C4457" i="12"/>
  <c r="B5131" i="12"/>
  <c r="C4996" i="12"/>
  <c r="B4805" i="12"/>
  <c r="C4670" i="12"/>
  <c r="C4482" i="12"/>
  <c r="B4617" i="12"/>
  <c r="B4420" i="12"/>
  <c r="C4285" i="12"/>
  <c r="B4615" i="12"/>
  <c r="C4480" i="12"/>
  <c r="C4266" i="12"/>
  <c r="B4401" i="12"/>
  <c r="B4754" i="12"/>
  <c r="C4619" i="12"/>
  <c r="B4422" i="12"/>
  <c r="C4287" i="12"/>
  <c r="B4878" i="12"/>
  <c r="C4743" i="12"/>
  <c r="B4974" i="12"/>
  <c r="C4839" i="12"/>
  <c r="B5014" i="12"/>
  <c r="C4879" i="12"/>
  <c r="C4646" i="12"/>
  <c r="B4781" i="12"/>
  <c r="B4735" i="12"/>
  <c r="C4600" i="12"/>
  <c r="B4463" i="12"/>
  <c r="C4328" i="12"/>
  <c r="B4519" i="12"/>
  <c r="C4384" i="12"/>
  <c r="B4904" i="12"/>
  <c r="C4769" i="12"/>
  <c r="B4596" i="12"/>
  <c r="C4461" i="12"/>
  <c r="B4705" i="12"/>
  <c r="C4570" i="12"/>
  <c r="B4567" i="12"/>
  <c r="C4432" i="12"/>
  <c r="B4685" i="12"/>
  <c r="C4550" i="12"/>
  <c r="B4527" i="12"/>
  <c r="C4392" i="12"/>
  <c r="C4638" i="12"/>
  <c r="B4773" i="12"/>
  <c r="C4208" i="12"/>
  <c r="B4343" i="12"/>
  <c r="C4959" i="12"/>
  <c r="B5094" i="12"/>
  <c r="B4587" i="12"/>
  <c r="C4452" i="12"/>
  <c r="C4444" i="12"/>
  <c r="B4579" i="12"/>
  <c r="C4614" i="12"/>
  <c r="B4749" i="12"/>
  <c r="B4356" i="12"/>
  <c r="C4221" i="12"/>
  <c r="C4220" i="12"/>
  <c r="B4355" i="12"/>
  <c r="B4517" i="12"/>
  <c r="C4382" i="12"/>
  <c r="B4842" i="12"/>
  <c r="C4707" i="12"/>
  <c r="B4327" i="12"/>
  <c r="C4192" i="12"/>
  <c r="B4698" i="12"/>
  <c r="C4563" i="12"/>
  <c r="B4539" i="12"/>
  <c r="C4404" i="12"/>
  <c r="B4852" i="12"/>
  <c r="C4717" i="12"/>
  <c r="B4846" i="12"/>
  <c r="C4711" i="12"/>
  <c r="B4426" i="12"/>
  <c r="C4291" i="12"/>
  <c r="B4799" i="12"/>
  <c r="C4664" i="12"/>
  <c r="C4628" i="12"/>
  <c r="B4763" i="12"/>
  <c r="C4377" i="12"/>
  <c r="B4512" i="12"/>
  <c r="C4586" i="12"/>
  <c r="B4721" i="12"/>
  <c r="B4450" i="12"/>
  <c r="C4315" i="12"/>
  <c r="C4196" i="12"/>
  <c r="B4331" i="12"/>
  <c r="B4700" i="12"/>
  <c r="C4565" i="12"/>
  <c r="C4666" i="12"/>
  <c r="B4801" i="12"/>
  <c r="B4357" i="12"/>
  <c r="C4222" i="12"/>
  <c r="B4378" i="12"/>
  <c r="C4243" i="12"/>
  <c r="B4679" i="12"/>
  <c r="C4544" i="12"/>
  <c r="B4604" i="12"/>
  <c r="C4469" i="12"/>
  <c r="C4502" i="12"/>
  <c r="B4637" i="12"/>
  <c r="C4523" i="12"/>
  <c r="B4658" i="12"/>
  <c r="B4644" i="12"/>
  <c r="C4509" i="12"/>
  <c r="B4573" i="12"/>
  <c r="C4438" i="12"/>
  <c r="C4278" i="12"/>
  <c r="B4413" i="12"/>
  <c r="B4562" i="12"/>
  <c r="C4427" i="12"/>
  <c r="B5163" i="12"/>
  <c r="C5163" i="12" s="1"/>
  <c r="C5028" i="12"/>
  <c r="B4485" i="12"/>
  <c r="C4350" i="12"/>
  <c r="B4417" i="12"/>
  <c r="C4282" i="12"/>
  <c r="B4475" i="12"/>
  <c r="C4340" i="12"/>
  <c r="B4660" i="12"/>
  <c r="C4525" i="12"/>
  <c r="B4464" i="12"/>
  <c r="C4329" i="12"/>
  <c r="C4633" i="12"/>
  <c r="B4768" i="12"/>
  <c r="B4667" i="12"/>
  <c r="C4532" i="12"/>
  <c r="B4948" i="12"/>
  <c r="C4813" i="12"/>
  <c r="B4537" i="12"/>
  <c r="C4402" i="12"/>
  <c r="B5130" i="12"/>
  <c r="C4995" i="12"/>
  <c r="B4764" i="12"/>
  <c r="C4629" i="12"/>
  <c r="C4568" i="12"/>
  <c r="B4703" i="12"/>
  <c r="C4765" i="12"/>
  <c r="B4900" i="12"/>
  <c r="C4335" i="12"/>
  <c r="B4470" i="12"/>
  <c r="B4946" i="12"/>
  <c r="C4811" i="12"/>
  <c r="C4213" i="12"/>
  <c r="B4348" i="12"/>
  <c r="C4786" i="12"/>
  <c r="B4921" i="12"/>
  <c r="B4324" i="12"/>
  <c r="C4189" i="12"/>
  <c r="C4361" i="12"/>
  <c r="B4496" i="12"/>
  <c r="B4669" i="12"/>
  <c r="C4534" i="12"/>
  <c r="B4542" i="12"/>
  <c r="C4407" i="12"/>
  <c r="B4520" i="12"/>
  <c r="C4385" i="12"/>
  <c r="B4730" i="12"/>
  <c r="C4595" i="12"/>
  <c r="C4508" i="12"/>
  <c r="B4643" i="12"/>
  <c r="A4588" i="12"/>
  <c r="C4453" i="12"/>
  <c r="B4530" i="12"/>
  <c r="C4395" i="12"/>
  <c r="A5235" i="12"/>
  <c r="C5235" i="12" s="1"/>
  <c r="C5100" i="12"/>
  <c r="C4545" i="12"/>
  <c r="B4680" i="12"/>
  <c r="B4757" i="12"/>
  <c r="C4622" i="12"/>
  <c r="B4472" i="12"/>
  <c r="C4337" i="12"/>
  <c r="B4418" i="12"/>
  <c r="C4283" i="12"/>
  <c r="B4489" i="12"/>
  <c r="C4354" i="12"/>
  <c r="B4851" i="12"/>
  <c r="C4716" i="12"/>
  <c r="B4910" i="12"/>
  <c r="C4775" i="12"/>
  <c r="B4923" i="12"/>
  <c r="C4788" i="12"/>
  <c r="B4693" i="12"/>
  <c r="C4558" i="12"/>
  <c r="C4366" i="12"/>
  <c r="B4501" i="12"/>
  <c r="C4863" i="12"/>
  <c r="B4998" i="12"/>
  <c r="B4686" i="12"/>
  <c r="C4551" i="12"/>
  <c r="B4471" i="12"/>
  <c r="C4336" i="12"/>
  <c r="C4784" i="12"/>
  <c r="B4919" i="12"/>
  <c r="B4645" i="12"/>
  <c r="C4510" i="12"/>
  <c r="B4815" i="12" l="1"/>
  <c r="C4680" i="12"/>
  <c r="B4647" i="12"/>
  <c r="C4512" i="12"/>
  <c r="B4916" i="12"/>
  <c r="C4781" i="12"/>
  <c r="B4905" i="12"/>
  <c r="C4770" i="12"/>
  <c r="B4882" i="12"/>
  <c r="C4747" i="12"/>
  <c r="B4767" i="12"/>
  <c r="C4632" i="12"/>
  <c r="B4606" i="12"/>
  <c r="C4471" i="12"/>
  <c r="B4828" i="12"/>
  <c r="C4693" i="12"/>
  <c r="B4624" i="12"/>
  <c r="C4489" i="12"/>
  <c r="B4804" i="12"/>
  <c r="C4669" i="12"/>
  <c r="C4948" i="12"/>
  <c r="B5083" i="12"/>
  <c r="B4795" i="12"/>
  <c r="C4660" i="12"/>
  <c r="B4779" i="12"/>
  <c r="C4644" i="12"/>
  <c r="B4814" i="12"/>
  <c r="C4679" i="12"/>
  <c r="B4835" i="12"/>
  <c r="C4700" i="12"/>
  <c r="C4846" i="12"/>
  <c r="B4981" i="12"/>
  <c r="B4462" i="12"/>
  <c r="C4327" i="12"/>
  <c r="C4356" i="12"/>
  <c r="B4491" i="12"/>
  <c r="B4820" i="12"/>
  <c r="C4685" i="12"/>
  <c r="C4904" i="12"/>
  <c r="B5039" i="12"/>
  <c r="B4557" i="12"/>
  <c r="C4422" i="12"/>
  <c r="C4420" i="12"/>
  <c r="B4555" i="12"/>
  <c r="A4727" i="12"/>
  <c r="C4592" i="12"/>
  <c r="B4575" i="12"/>
  <c r="C4440" i="12"/>
  <c r="B4631" i="12"/>
  <c r="C4496" i="12"/>
  <c r="C4658" i="12"/>
  <c r="B4793" i="12"/>
  <c r="B4466" i="12"/>
  <c r="C4331" i="12"/>
  <c r="C4763" i="12"/>
  <c r="B4898" i="12"/>
  <c r="B4884" i="12"/>
  <c r="C4749" i="12"/>
  <c r="B4478" i="12"/>
  <c r="C4343" i="12"/>
  <c r="B4752" i="12"/>
  <c r="C4617" i="12"/>
  <c r="C4808" i="12"/>
  <c r="B4943" i="12"/>
  <c r="B5143" i="12"/>
  <c r="C5143" i="12" s="1"/>
  <c r="C5008" i="12"/>
  <c r="C4643" i="12"/>
  <c r="B4778" i="12"/>
  <c r="C4686" i="12"/>
  <c r="B4821" i="12"/>
  <c r="C4923" i="12"/>
  <c r="B5058" i="12"/>
  <c r="B4553" i="12"/>
  <c r="C4418" i="12"/>
  <c r="B4865" i="12"/>
  <c r="C4730" i="12"/>
  <c r="C4946" i="12"/>
  <c r="B5081" i="12"/>
  <c r="B4802" i="12"/>
  <c r="C4667" i="12"/>
  <c r="C4475" i="12"/>
  <c r="B4610" i="12"/>
  <c r="C4519" i="12"/>
  <c r="B4654" i="12"/>
  <c r="B4889" i="12"/>
  <c r="C4754" i="12"/>
  <c r="B4548" i="12"/>
  <c r="C4413" i="12"/>
  <c r="B4772" i="12"/>
  <c r="C4637" i="12"/>
  <c r="C4661" i="12"/>
  <c r="B4796" i="12"/>
  <c r="C4912" i="12"/>
  <c r="B5047" i="12"/>
  <c r="B4780" i="12"/>
  <c r="C4645" i="12"/>
  <c r="B5045" i="12"/>
  <c r="C4910" i="12"/>
  <c r="B4607" i="12"/>
  <c r="C4472" i="12"/>
  <c r="B4665" i="12"/>
  <c r="C4530" i="12"/>
  <c r="B4655" i="12"/>
  <c r="C4520" i="12"/>
  <c r="B4459" i="12"/>
  <c r="C4324" i="12"/>
  <c r="B5265" i="12"/>
  <c r="C5265" i="12" s="1"/>
  <c r="C5130" i="12"/>
  <c r="B4552" i="12"/>
  <c r="C4417" i="12"/>
  <c r="B4492" i="12"/>
  <c r="C4357" i="12"/>
  <c r="B4585" i="12"/>
  <c r="C4450" i="12"/>
  <c r="C4799" i="12"/>
  <c r="B4934" i="12"/>
  <c r="B4674" i="12"/>
  <c r="C4539" i="12"/>
  <c r="B4652" i="12"/>
  <c r="C4517" i="12"/>
  <c r="B4840" i="12"/>
  <c r="C4705" i="12"/>
  <c r="B4598" i="12"/>
  <c r="C4463" i="12"/>
  <c r="C4974" i="12"/>
  <c r="B5109" i="12"/>
  <c r="C4805" i="12"/>
  <c r="B4940" i="12"/>
  <c r="B5061" i="12"/>
  <c r="C4926" i="12"/>
  <c r="C5111" i="12"/>
  <c r="B5246" i="12"/>
  <c r="C5246" i="12" s="1"/>
  <c r="C4387" i="12"/>
  <c r="B4522" i="12"/>
  <c r="C5094" i="12"/>
  <c r="B5229" i="12"/>
  <c r="C5229" i="12" s="1"/>
  <c r="B4899" i="12"/>
  <c r="C4764" i="12"/>
  <c r="C4562" i="12"/>
  <c r="B4697" i="12"/>
  <c r="C4852" i="12"/>
  <c r="B4987" i="12"/>
  <c r="C4842" i="12"/>
  <c r="B4977" i="12"/>
  <c r="C4816" i="12"/>
  <c r="B4951" i="12"/>
  <c r="C4798" i="12"/>
  <c r="B4933" i="12"/>
  <c r="C4768" i="12"/>
  <c r="B4903" i="12"/>
  <c r="B4714" i="12"/>
  <c r="C4579" i="12"/>
  <c r="B4536" i="12"/>
  <c r="C4401" i="12"/>
  <c r="B4578" i="12"/>
  <c r="C4443" i="12"/>
  <c r="C4919" i="12"/>
  <c r="B5054" i="12"/>
  <c r="B4636" i="12"/>
  <c r="C4501" i="12"/>
  <c r="B5056" i="12"/>
  <c r="C4921" i="12"/>
  <c r="B5035" i="12"/>
  <c r="C4900" i="12"/>
  <c r="B4936" i="12"/>
  <c r="C4801" i="12"/>
  <c r="B4856" i="12"/>
  <c r="C4721" i="12"/>
  <c r="C4355" i="12"/>
  <c r="B4490" i="12"/>
  <c r="C4506" i="12"/>
  <c r="B4641" i="12"/>
  <c r="C5124" i="12"/>
  <c r="B5259" i="12"/>
  <c r="C5259" i="12" s="1"/>
  <c r="B4483" i="12"/>
  <c r="C4348" i="12"/>
  <c r="B4838" i="12"/>
  <c r="C4703" i="12"/>
  <c r="B4513" i="12"/>
  <c r="C4378" i="12"/>
  <c r="B4702" i="12"/>
  <c r="C4567" i="12"/>
  <c r="C5014" i="12"/>
  <c r="B5149" i="12"/>
  <c r="C5149" i="12" s="1"/>
  <c r="B5073" i="12"/>
  <c r="C4938" i="12"/>
  <c r="B5055" i="12"/>
  <c r="C4920" i="12"/>
  <c r="C4998" i="12"/>
  <c r="B5133" i="12"/>
  <c r="C5133" i="12" s="1"/>
  <c r="B4605" i="12"/>
  <c r="C4470" i="12"/>
  <c r="C4773" i="12"/>
  <c r="B4908" i="12"/>
  <c r="C4851" i="12"/>
  <c r="B4986" i="12"/>
  <c r="C4757" i="12"/>
  <c r="B4892" i="12"/>
  <c r="A4723" i="12"/>
  <c r="C4588" i="12"/>
  <c r="B4677" i="12"/>
  <c r="C4542" i="12"/>
  <c r="C4537" i="12"/>
  <c r="B4672" i="12"/>
  <c r="B4599" i="12"/>
  <c r="C4464" i="12"/>
  <c r="C4485" i="12"/>
  <c r="B4620" i="12"/>
  <c r="C4573" i="12"/>
  <c r="B4708" i="12"/>
  <c r="B4739" i="12"/>
  <c r="C4604" i="12"/>
  <c r="C4426" i="12"/>
  <c r="B4561" i="12"/>
  <c r="B4833" i="12"/>
  <c r="C4698" i="12"/>
  <c r="B4722" i="12"/>
  <c r="C4587" i="12"/>
  <c r="B4662" i="12"/>
  <c r="C4527" i="12"/>
  <c r="C4596" i="12"/>
  <c r="B4731" i="12"/>
  <c r="C4735" i="12"/>
  <c r="B4870" i="12"/>
  <c r="C4878" i="12"/>
  <c r="B5013" i="12"/>
  <c r="B4750" i="12"/>
  <c r="C4615" i="12"/>
  <c r="C5131" i="12"/>
  <c r="B5266" i="12"/>
  <c r="C5266" i="12" s="1"/>
  <c r="B5179" i="12"/>
  <c r="C5179" i="12" s="1"/>
  <c r="C5044" i="12"/>
  <c r="B4675" i="12"/>
  <c r="C4540" i="12"/>
  <c r="C5021" i="12"/>
  <c r="B5156" i="12"/>
  <c r="C5156" i="12" s="1"/>
  <c r="B4659" i="12"/>
  <c r="C4524" i="12"/>
  <c r="B5189" i="12" l="1"/>
  <c r="C5189" i="12" s="1"/>
  <c r="C5054" i="12"/>
  <c r="C4903" i="12"/>
  <c r="B5038" i="12"/>
  <c r="B4657" i="12"/>
  <c r="C4522" i="12"/>
  <c r="B5244" i="12"/>
  <c r="C5244" i="12" s="1"/>
  <c r="C5109" i="12"/>
  <c r="B5216" i="12"/>
  <c r="C5216" i="12" s="1"/>
  <c r="C5081" i="12"/>
  <c r="B5005" i="12"/>
  <c r="C4870" i="12"/>
  <c r="C4620" i="12"/>
  <c r="B4755" i="12"/>
  <c r="B5112" i="12"/>
  <c r="C4977" i="12"/>
  <c r="B5075" i="12"/>
  <c r="C4940" i="12"/>
  <c r="C5058" i="12"/>
  <c r="B5193" i="12"/>
  <c r="C5193" i="12" s="1"/>
  <c r="B5078" i="12"/>
  <c r="C4943" i="12"/>
  <c r="C4898" i="12"/>
  <c r="B5033" i="12"/>
  <c r="C5039" i="12"/>
  <c r="B5174" i="12"/>
  <c r="C5174" i="12" s="1"/>
  <c r="B5116" i="12"/>
  <c r="C4981" i="12"/>
  <c r="B4968" i="12"/>
  <c r="C4833" i="12"/>
  <c r="A4858" i="12"/>
  <c r="C4723" i="12"/>
  <c r="C4605" i="12"/>
  <c r="B4740" i="12"/>
  <c r="C4483" i="12"/>
  <c r="B4618" i="12"/>
  <c r="B4991" i="12"/>
  <c r="C4856" i="12"/>
  <c r="C4636" i="12"/>
  <c r="B4771" i="12"/>
  <c r="C4714" i="12"/>
  <c r="B4849" i="12"/>
  <c r="B4787" i="12"/>
  <c r="C4652" i="12"/>
  <c r="B4627" i="12"/>
  <c r="C4492" i="12"/>
  <c r="C4655" i="12"/>
  <c r="B4790" i="12"/>
  <c r="B4915" i="12"/>
  <c r="C4780" i="12"/>
  <c r="B4683" i="12"/>
  <c r="C4548" i="12"/>
  <c r="B4937" i="12"/>
  <c r="C4802" i="12"/>
  <c r="C4575" i="12"/>
  <c r="B4710" i="12"/>
  <c r="B4930" i="12"/>
  <c r="C4795" i="12"/>
  <c r="C4828" i="12"/>
  <c r="B4963" i="12"/>
  <c r="C4905" i="12"/>
  <c r="B5040" i="12"/>
  <c r="C4821" i="12"/>
  <c r="B4956" i="12"/>
  <c r="B5218" i="12"/>
  <c r="C5218" i="12" s="1"/>
  <c r="C5083" i="12"/>
  <c r="B4794" i="12"/>
  <c r="C4659" i="12"/>
  <c r="C4599" i="12"/>
  <c r="B4734" i="12"/>
  <c r="C4552" i="12"/>
  <c r="B4687" i="12"/>
  <c r="B4800" i="12"/>
  <c r="C4665" i="12"/>
  <c r="B4601" i="12"/>
  <c r="C4466" i="12"/>
  <c r="C4606" i="12"/>
  <c r="B4741" i="12"/>
  <c r="C4796" i="12"/>
  <c r="B4931" i="12"/>
  <c r="C4778" i="12"/>
  <c r="B4913" i="12"/>
  <c r="B4928" i="12"/>
  <c r="C4793" i="12"/>
  <c r="B4690" i="12"/>
  <c r="C4555" i="12"/>
  <c r="B4626" i="12"/>
  <c r="C4491" i="12"/>
  <c r="B4885" i="12"/>
  <c r="C4750" i="12"/>
  <c r="B4797" i="12"/>
  <c r="C4662" i="12"/>
  <c r="B4874" i="12"/>
  <c r="C4739" i="12"/>
  <c r="C5055" i="12"/>
  <c r="B5190" i="12"/>
  <c r="C5190" i="12" s="1"/>
  <c r="B4648" i="12"/>
  <c r="C4513" i="12"/>
  <c r="B5170" i="12"/>
  <c r="C5170" i="12" s="1"/>
  <c r="C5035" i="12"/>
  <c r="B4713" i="12"/>
  <c r="C4578" i="12"/>
  <c r="B4733" i="12"/>
  <c r="C4598" i="12"/>
  <c r="B4742" i="12"/>
  <c r="C4607" i="12"/>
  <c r="B5000" i="12"/>
  <c r="C4865" i="12"/>
  <c r="B4613" i="12"/>
  <c r="C4478" i="12"/>
  <c r="B4949" i="12"/>
  <c r="C4814" i="12"/>
  <c r="B4939" i="12"/>
  <c r="C4804" i="12"/>
  <c r="B4902" i="12"/>
  <c r="C4767" i="12"/>
  <c r="C4647" i="12"/>
  <c r="B4782" i="12"/>
  <c r="C4731" i="12"/>
  <c r="B4866" i="12"/>
  <c r="C4561" i="12"/>
  <c r="B4696" i="12"/>
  <c r="B5027" i="12"/>
  <c r="C4892" i="12"/>
  <c r="C4987" i="12"/>
  <c r="B5122" i="12"/>
  <c r="C5047" i="12"/>
  <c r="B5182" i="12"/>
  <c r="C5182" i="12" s="1"/>
  <c r="C4674" i="12"/>
  <c r="B4809" i="12"/>
  <c r="C4889" i="12"/>
  <c r="B5024" i="12"/>
  <c r="B5068" i="12"/>
  <c r="C4933" i="12"/>
  <c r="B4832" i="12"/>
  <c r="C4697" i="12"/>
  <c r="C4934" i="12"/>
  <c r="B5069" i="12"/>
  <c r="B4789" i="12"/>
  <c r="C4654" i="12"/>
  <c r="C5013" i="12"/>
  <c r="B5148" i="12"/>
  <c r="C5148" i="12" s="1"/>
  <c r="C4708" i="12"/>
  <c r="B4843" i="12"/>
  <c r="C4908" i="12"/>
  <c r="B5043" i="12"/>
  <c r="C4490" i="12"/>
  <c r="B4625" i="12"/>
  <c r="B5086" i="12"/>
  <c r="C4951" i="12"/>
  <c r="C4610" i="12"/>
  <c r="B4745" i="12"/>
  <c r="C4702" i="12"/>
  <c r="B4837" i="12"/>
  <c r="B5071" i="12"/>
  <c r="C4936" i="12"/>
  <c r="B4887" i="12"/>
  <c r="C4752" i="12"/>
  <c r="A4862" i="12"/>
  <c r="C4727" i="12"/>
  <c r="B4955" i="12"/>
  <c r="C4820" i="12"/>
  <c r="C4835" i="12"/>
  <c r="B4970" i="12"/>
  <c r="C4916" i="12"/>
  <c r="B5051" i="12"/>
  <c r="B4807" i="12"/>
  <c r="C4672" i="12"/>
  <c r="B5121" i="12"/>
  <c r="C4986" i="12"/>
  <c r="B4776" i="12"/>
  <c r="C4641" i="12"/>
  <c r="C4675" i="12"/>
  <c r="B4810" i="12"/>
  <c r="B4857" i="12"/>
  <c r="C4722" i="12"/>
  <c r="B4812" i="12"/>
  <c r="C4677" i="12"/>
  <c r="B5208" i="12"/>
  <c r="C5208" i="12" s="1"/>
  <c r="C5073" i="12"/>
  <c r="B4973" i="12"/>
  <c r="C4838" i="12"/>
  <c r="C5056" i="12"/>
  <c r="B5191" i="12"/>
  <c r="C5191" i="12" s="1"/>
  <c r="B4671" i="12"/>
  <c r="C4536" i="12"/>
  <c r="B5034" i="12"/>
  <c r="C4899" i="12"/>
  <c r="B5196" i="12"/>
  <c r="C5196" i="12" s="1"/>
  <c r="C5061" i="12"/>
  <c r="B4975" i="12"/>
  <c r="C4840" i="12"/>
  <c r="B4720" i="12"/>
  <c r="C4585" i="12"/>
  <c r="C4459" i="12"/>
  <c r="B4594" i="12"/>
  <c r="B5180" i="12"/>
  <c r="C5180" i="12" s="1"/>
  <c r="C5045" i="12"/>
  <c r="C4772" i="12"/>
  <c r="B4907" i="12"/>
  <c r="B4688" i="12"/>
  <c r="C4553" i="12"/>
  <c r="B5019" i="12"/>
  <c r="C4884" i="12"/>
  <c r="B4766" i="12"/>
  <c r="C4631" i="12"/>
  <c r="B4692" i="12"/>
  <c r="C4557" i="12"/>
  <c r="C4462" i="12"/>
  <c r="B4597" i="12"/>
  <c r="C4779" i="12"/>
  <c r="B4914" i="12"/>
  <c r="C4624" i="12"/>
  <c r="B4759" i="12"/>
  <c r="B5017" i="12"/>
  <c r="C4882" i="12"/>
  <c r="C4815" i="12"/>
  <c r="B4950" i="12"/>
  <c r="C4741" i="12" l="1"/>
  <c r="B4876" i="12"/>
  <c r="B5175" i="12"/>
  <c r="C5175" i="12" s="1"/>
  <c r="C5040" i="12"/>
  <c r="C4907" i="12"/>
  <c r="B5042" i="12"/>
  <c r="B4880" i="12"/>
  <c r="C4745" i="12"/>
  <c r="C4843" i="12"/>
  <c r="B4978" i="12"/>
  <c r="C4866" i="12"/>
  <c r="B5001" i="12"/>
  <c r="B5066" i="12"/>
  <c r="C4931" i="12"/>
  <c r="C4687" i="12"/>
  <c r="B4822" i="12"/>
  <c r="B5091" i="12"/>
  <c r="C4956" i="12"/>
  <c r="C4710" i="12"/>
  <c r="B4845" i="12"/>
  <c r="B4925" i="12"/>
  <c r="C4790" i="12"/>
  <c r="B4906" i="12"/>
  <c r="C4771" i="12"/>
  <c r="C5033" i="12"/>
  <c r="B5168" i="12"/>
  <c r="C5168" i="12" s="1"/>
  <c r="C5017" i="12"/>
  <c r="B5152" i="12"/>
  <c r="C5152" i="12" s="1"/>
  <c r="B4827" i="12"/>
  <c r="C4692" i="12"/>
  <c r="B5110" i="12"/>
  <c r="C4975" i="12"/>
  <c r="B4992" i="12"/>
  <c r="C4857" i="12"/>
  <c r="B4942" i="12"/>
  <c r="C4807" i="12"/>
  <c r="A4997" i="12"/>
  <c r="C4862" i="12"/>
  <c r="B4967" i="12"/>
  <c r="C4832" i="12"/>
  <c r="B5084" i="12"/>
  <c r="C4949" i="12"/>
  <c r="C4733" i="12"/>
  <c r="B4868" i="12"/>
  <c r="B4761" i="12"/>
  <c r="C4626" i="12"/>
  <c r="A4993" i="12"/>
  <c r="C4858" i="12"/>
  <c r="C5112" i="12"/>
  <c r="B5247" i="12"/>
  <c r="C5247" i="12" s="1"/>
  <c r="B4869" i="12"/>
  <c r="C4734" i="12"/>
  <c r="C4973" i="12"/>
  <c r="B5108" i="12"/>
  <c r="B5022" i="12"/>
  <c r="C4887" i="12"/>
  <c r="B4748" i="12"/>
  <c r="C4613" i="12"/>
  <c r="B5009" i="12"/>
  <c r="C4874" i="12"/>
  <c r="B5072" i="12"/>
  <c r="C4937" i="12"/>
  <c r="B5213" i="12"/>
  <c r="C5213" i="12" s="1"/>
  <c r="C5078" i="12"/>
  <c r="B5105" i="12"/>
  <c r="C4970" i="12"/>
  <c r="B5159" i="12"/>
  <c r="C5159" i="12" s="1"/>
  <c r="C5024" i="12"/>
  <c r="C4963" i="12"/>
  <c r="B5098" i="12"/>
  <c r="B5154" i="12"/>
  <c r="C5154" i="12" s="1"/>
  <c r="C5019" i="12"/>
  <c r="C5034" i="12"/>
  <c r="B5169" i="12"/>
  <c r="C5169" i="12" s="1"/>
  <c r="C4776" i="12"/>
  <c r="B4911" i="12"/>
  <c r="B5206" i="12"/>
  <c r="C5206" i="12" s="1"/>
  <c r="C5071" i="12"/>
  <c r="B4924" i="12"/>
  <c r="C4789" i="12"/>
  <c r="C5027" i="12"/>
  <c r="B5162" i="12"/>
  <c r="C5162" i="12" s="1"/>
  <c r="C4902" i="12"/>
  <c r="B5037" i="12"/>
  <c r="B5135" i="12"/>
  <c r="C5135" i="12" s="1"/>
  <c r="C5000" i="12"/>
  <c r="B4932" i="12"/>
  <c r="C4797" i="12"/>
  <c r="C4928" i="12"/>
  <c r="B5063" i="12"/>
  <c r="C4601" i="12"/>
  <c r="B4736" i="12"/>
  <c r="C4794" i="12"/>
  <c r="B4929" i="12"/>
  <c r="B4818" i="12"/>
  <c r="C4683" i="12"/>
  <c r="C4787" i="12"/>
  <c r="B4922" i="12"/>
  <c r="C5116" i="12"/>
  <c r="B5251" i="12"/>
  <c r="C5251" i="12" s="1"/>
  <c r="C5005" i="12"/>
  <c r="B5140" i="12"/>
  <c r="C5140" i="12" s="1"/>
  <c r="B4890" i="12"/>
  <c r="C4755" i="12"/>
  <c r="B4901" i="12"/>
  <c r="C4766" i="12"/>
  <c r="B5203" i="12"/>
  <c r="C5203" i="12" s="1"/>
  <c r="C5068" i="12"/>
  <c r="C4594" i="12"/>
  <c r="B4729" i="12"/>
  <c r="B4760" i="12"/>
  <c r="C4625" i="12"/>
  <c r="B4753" i="12"/>
  <c r="C4618" i="12"/>
  <c r="C5038" i="12"/>
  <c r="B5173" i="12"/>
  <c r="C5173" i="12" s="1"/>
  <c r="C4950" i="12"/>
  <c r="B5085" i="12"/>
  <c r="B4732" i="12"/>
  <c r="C4597" i="12"/>
  <c r="B4972" i="12"/>
  <c r="C4837" i="12"/>
  <c r="C5043" i="12"/>
  <c r="B5178" i="12"/>
  <c r="C5178" i="12" s="1"/>
  <c r="B5204" i="12"/>
  <c r="C5204" i="12" s="1"/>
  <c r="C5069" i="12"/>
  <c r="B4944" i="12"/>
  <c r="C4809" i="12"/>
  <c r="B4831" i="12"/>
  <c r="C4696" i="12"/>
  <c r="C4913" i="12"/>
  <c r="B5048" i="12"/>
  <c r="C4849" i="12"/>
  <c r="B4984" i="12"/>
  <c r="B4875" i="12"/>
  <c r="C4740" i="12"/>
  <c r="C4759" i="12"/>
  <c r="B4894" i="12"/>
  <c r="C4810" i="12"/>
  <c r="B4945" i="12"/>
  <c r="C5051" i="12"/>
  <c r="B5186" i="12"/>
  <c r="C5186" i="12" s="1"/>
  <c r="B5257" i="12"/>
  <c r="C5257" i="12" s="1"/>
  <c r="C5122" i="12"/>
  <c r="C4782" i="12"/>
  <c r="B4917" i="12"/>
  <c r="C5086" i="12"/>
  <c r="B5221" i="12"/>
  <c r="C5221" i="12" s="1"/>
  <c r="C4713" i="12"/>
  <c r="B4848" i="12"/>
  <c r="C4690" i="12"/>
  <c r="B4825" i="12"/>
  <c r="B4762" i="12"/>
  <c r="C4627" i="12"/>
  <c r="C4991" i="12"/>
  <c r="B5126" i="12"/>
  <c r="B5103" i="12"/>
  <c r="C4968" i="12"/>
  <c r="C4657" i="12"/>
  <c r="B4792" i="12"/>
  <c r="B5049" i="12"/>
  <c r="C4914" i="12"/>
  <c r="B4823" i="12"/>
  <c r="C4688" i="12"/>
  <c r="B4855" i="12"/>
  <c r="C4720" i="12"/>
  <c r="B4806" i="12"/>
  <c r="C4671" i="12"/>
  <c r="B4947" i="12"/>
  <c r="C4812" i="12"/>
  <c r="C5121" i="12"/>
  <c r="B5256" i="12"/>
  <c r="C5256" i="12" s="1"/>
  <c r="B5090" i="12"/>
  <c r="C4955" i="12"/>
  <c r="B5074" i="12"/>
  <c r="C4939" i="12"/>
  <c r="B4877" i="12"/>
  <c r="C4742" i="12"/>
  <c r="B4783" i="12"/>
  <c r="C4648" i="12"/>
  <c r="C4885" i="12"/>
  <c r="B5020" i="12"/>
  <c r="C4800" i="12"/>
  <c r="B4935" i="12"/>
  <c r="B5065" i="12"/>
  <c r="C4930" i="12"/>
  <c r="C4915" i="12"/>
  <c r="B5050" i="12"/>
  <c r="C5075" i="12"/>
  <c r="B5210" i="12"/>
  <c r="C5210" i="12" s="1"/>
  <c r="B5177" i="12" l="1"/>
  <c r="C5177" i="12" s="1"/>
  <c r="C5042" i="12"/>
  <c r="C4935" i="12"/>
  <c r="B5070" i="12"/>
  <c r="B4927" i="12"/>
  <c r="C4792" i="12"/>
  <c r="B4960" i="12"/>
  <c r="C4825" i="12"/>
  <c r="C4822" i="12"/>
  <c r="B4957" i="12"/>
  <c r="C5074" i="12"/>
  <c r="B5209" i="12"/>
  <c r="C5209" i="12" s="1"/>
  <c r="B4941" i="12"/>
  <c r="C4806" i="12"/>
  <c r="B5010" i="12"/>
  <c r="C4875" i="12"/>
  <c r="B5079" i="12"/>
  <c r="C4944" i="12"/>
  <c r="C4732" i="12"/>
  <c r="B4867" i="12"/>
  <c r="B4895" i="12"/>
  <c r="C4760" i="12"/>
  <c r="C4890" i="12"/>
  <c r="B5025" i="12"/>
  <c r="B4953" i="12"/>
  <c r="C4818" i="12"/>
  <c r="C4932" i="12"/>
  <c r="B5067" i="12"/>
  <c r="B5059" i="12"/>
  <c r="C4924" i="12"/>
  <c r="B5157" i="12"/>
  <c r="C5157" i="12" s="1"/>
  <c r="C5022" i="12"/>
  <c r="A5128" i="12"/>
  <c r="C4993" i="12"/>
  <c r="B5102" i="12"/>
  <c r="C4967" i="12"/>
  <c r="B5245" i="12"/>
  <c r="C5245" i="12" s="1"/>
  <c r="C5110" i="12"/>
  <c r="B5041" i="12"/>
  <c r="C4906" i="12"/>
  <c r="C4880" i="12"/>
  <c r="B5015" i="12"/>
  <c r="B5064" i="12"/>
  <c r="C4929" i="12"/>
  <c r="B4990" i="12"/>
  <c r="C4855" i="12"/>
  <c r="B4871" i="12"/>
  <c r="C4736" i="12"/>
  <c r="C5037" i="12"/>
  <c r="B5172" i="12"/>
  <c r="C5172" i="12" s="1"/>
  <c r="B5046" i="12"/>
  <c r="C4911" i="12"/>
  <c r="C4845" i="12"/>
  <c r="B4980" i="12"/>
  <c r="C5001" i="12"/>
  <c r="B5136" i="12"/>
  <c r="C5136" i="12" s="1"/>
  <c r="B4918" i="12"/>
  <c r="C4783" i="12"/>
  <c r="C4823" i="12"/>
  <c r="B4958" i="12"/>
  <c r="B5144" i="12"/>
  <c r="C5144" i="12" s="1"/>
  <c r="C5009" i="12"/>
  <c r="B5004" i="12"/>
  <c r="C4869" i="12"/>
  <c r="C4942" i="12"/>
  <c r="B5077" i="12"/>
  <c r="B4983" i="12"/>
  <c r="C4848" i="12"/>
  <c r="B5119" i="12"/>
  <c r="C4984" i="12"/>
  <c r="B5233" i="12"/>
  <c r="C5233" i="12" s="1"/>
  <c r="C5098" i="12"/>
  <c r="B5243" i="12"/>
  <c r="C5243" i="12" s="1"/>
  <c r="C5108" i="12"/>
  <c r="C5090" i="12"/>
  <c r="B5225" i="12"/>
  <c r="C5225" i="12" s="1"/>
  <c r="C5103" i="12"/>
  <c r="B5238" i="12"/>
  <c r="C5238" i="12" s="1"/>
  <c r="B5207" i="12"/>
  <c r="C5207" i="12" s="1"/>
  <c r="C5072" i="12"/>
  <c r="B4896" i="12"/>
  <c r="C4761" i="12"/>
  <c r="B5060" i="12"/>
  <c r="C4925" i="12"/>
  <c r="B5183" i="12"/>
  <c r="C5183" i="12" s="1"/>
  <c r="C5048" i="12"/>
  <c r="B5003" i="12"/>
  <c r="C4868" i="12"/>
  <c r="C4917" i="12"/>
  <c r="B5052" i="12"/>
  <c r="B5029" i="12"/>
  <c r="C4894" i="12"/>
  <c r="C4922" i="12"/>
  <c r="B5057" i="12"/>
  <c r="B5198" i="12"/>
  <c r="C5198" i="12" s="1"/>
  <c r="C5063" i="12"/>
  <c r="B5113" i="12"/>
  <c r="C4978" i="12"/>
  <c r="B5011" i="12"/>
  <c r="C4876" i="12"/>
  <c r="C5020" i="12"/>
  <c r="B5155" i="12"/>
  <c r="C5155" i="12" s="1"/>
  <c r="B5220" i="12"/>
  <c r="C5220" i="12" s="1"/>
  <c r="C5085" i="12"/>
  <c r="C4729" i="12"/>
  <c r="B4864" i="12"/>
  <c r="A5132" i="12"/>
  <c r="C5132" i="12" s="1"/>
  <c r="C4997" i="12"/>
  <c r="C4827" i="12"/>
  <c r="B4962" i="12"/>
  <c r="B5201" i="12"/>
  <c r="C5201" i="12" s="1"/>
  <c r="C5066" i="12"/>
  <c r="B5185" i="12"/>
  <c r="C5185" i="12" s="1"/>
  <c r="C5050" i="12"/>
  <c r="C5126" i="12"/>
  <c r="B5261" i="12"/>
  <c r="C5261" i="12" s="1"/>
  <c r="C4945" i="12"/>
  <c r="B5080" i="12"/>
  <c r="C5065" i="12"/>
  <c r="B5200" i="12"/>
  <c r="C5200" i="12" s="1"/>
  <c r="B5012" i="12"/>
  <c r="C4877" i="12"/>
  <c r="B5082" i="12"/>
  <c r="C4947" i="12"/>
  <c r="B5184" i="12"/>
  <c r="C5184" i="12" s="1"/>
  <c r="C5049" i="12"/>
  <c r="B4897" i="12"/>
  <c r="C4762" i="12"/>
  <c r="C4831" i="12"/>
  <c r="B4966" i="12"/>
  <c r="B5107" i="12"/>
  <c r="C4972" i="12"/>
  <c r="C4753" i="12"/>
  <c r="B4888" i="12"/>
  <c r="B5036" i="12"/>
  <c r="C4901" i="12"/>
  <c r="B5240" i="12"/>
  <c r="C5240" i="12" s="1"/>
  <c r="C5105" i="12"/>
  <c r="C4748" i="12"/>
  <c r="B4883" i="12"/>
  <c r="B5219" i="12"/>
  <c r="C5219" i="12" s="1"/>
  <c r="C5084" i="12"/>
  <c r="B5127" i="12"/>
  <c r="C4992" i="12"/>
  <c r="C5091" i="12"/>
  <c r="B5226" i="12"/>
  <c r="C5226" i="12" s="1"/>
  <c r="B5097" i="12" l="1"/>
  <c r="C4962" i="12"/>
  <c r="B5115" i="12"/>
  <c r="C4980" i="12"/>
  <c r="C5025" i="12"/>
  <c r="B5160" i="12"/>
  <c r="C5160" i="12" s="1"/>
  <c r="B5262" i="12"/>
  <c r="C5262" i="12" s="1"/>
  <c r="C5127" i="12"/>
  <c r="B5171" i="12"/>
  <c r="C5171" i="12" s="1"/>
  <c r="C5036" i="12"/>
  <c r="C4897" i="12"/>
  <c r="B5032" i="12"/>
  <c r="B5138" i="12"/>
  <c r="C5138" i="12" s="1"/>
  <c r="C5003" i="12"/>
  <c r="C5004" i="12"/>
  <c r="B5139" i="12"/>
  <c r="C5139" i="12" s="1"/>
  <c r="B5006" i="12"/>
  <c r="C4871" i="12"/>
  <c r="C5041" i="12"/>
  <c r="B5176" i="12"/>
  <c r="C5176" i="12" s="1"/>
  <c r="B5145" i="12"/>
  <c r="C5145" i="12" s="1"/>
  <c r="C5010" i="12"/>
  <c r="B5095" i="12"/>
  <c r="C4960" i="12"/>
  <c r="B5192" i="12"/>
  <c r="C5192" i="12" s="1"/>
  <c r="C5057" i="12"/>
  <c r="C5119" i="12"/>
  <c r="B5254" i="12"/>
  <c r="C5254" i="12" s="1"/>
  <c r="B5030" i="12"/>
  <c r="C4895" i="12"/>
  <c r="B5093" i="12"/>
  <c r="C4958" i="12"/>
  <c r="C5070" i="12"/>
  <c r="B5205" i="12"/>
  <c r="C5205" i="12" s="1"/>
  <c r="B5242" i="12"/>
  <c r="C5242" i="12" s="1"/>
  <c r="C5107" i="12"/>
  <c r="B5217" i="12"/>
  <c r="C5217" i="12" s="1"/>
  <c r="C5082" i="12"/>
  <c r="C5011" i="12"/>
  <c r="B5146" i="12"/>
  <c r="C5146" i="12" s="1"/>
  <c r="B5164" i="12"/>
  <c r="C5164" i="12" s="1"/>
  <c r="C5029" i="12"/>
  <c r="B5195" i="12"/>
  <c r="C5195" i="12" s="1"/>
  <c r="C5060" i="12"/>
  <c r="B5118" i="12"/>
  <c r="C4983" i="12"/>
  <c r="C5046" i="12"/>
  <c r="B5181" i="12"/>
  <c r="C5181" i="12" s="1"/>
  <c r="B5199" i="12"/>
  <c r="C5199" i="12" s="1"/>
  <c r="C5064" i="12"/>
  <c r="C5102" i="12"/>
  <c r="B5237" i="12"/>
  <c r="C5237" i="12" s="1"/>
  <c r="B5215" i="12"/>
  <c r="C5215" i="12" s="1"/>
  <c r="C5080" i="12"/>
  <c r="B5076" i="12"/>
  <c r="C4941" i="12"/>
  <c r="C5067" i="12"/>
  <c r="B5202" i="12"/>
  <c r="C5202" i="12" s="1"/>
  <c r="C4966" i="12"/>
  <c r="B5101" i="12"/>
  <c r="C4864" i="12"/>
  <c r="B4999" i="12"/>
  <c r="C5052" i="12"/>
  <c r="B5187" i="12"/>
  <c r="C5187" i="12" s="1"/>
  <c r="C5077" i="12"/>
  <c r="B5212" i="12"/>
  <c r="C5212" i="12" s="1"/>
  <c r="C5015" i="12"/>
  <c r="B5150" i="12"/>
  <c r="C5150" i="12" s="1"/>
  <c r="B5092" i="12"/>
  <c r="C4957" i="12"/>
  <c r="B5023" i="12"/>
  <c r="C4888" i="12"/>
  <c r="C4990" i="12"/>
  <c r="B5125" i="12"/>
  <c r="B5194" i="12"/>
  <c r="C5194" i="12" s="1"/>
  <c r="C5059" i="12"/>
  <c r="B5062" i="12"/>
  <c r="C4927" i="12"/>
  <c r="B5018" i="12"/>
  <c r="C4883" i="12"/>
  <c r="B5002" i="12"/>
  <c r="C4867" i="12"/>
  <c r="B5147" i="12"/>
  <c r="C5147" i="12" s="1"/>
  <c r="C5012" i="12"/>
  <c r="C5113" i="12"/>
  <c r="B5248" i="12"/>
  <c r="C5248" i="12" s="1"/>
  <c r="B5031" i="12"/>
  <c r="C4896" i="12"/>
  <c r="C4918" i="12"/>
  <c r="B5053" i="12"/>
  <c r="A5263" i="12"/>
  <c r="C5263" i="12" s="1"/>
  <c r="C5128" i="12"/>
  <c r="C4953" i="12"/>
  <c r="B5088" i="12"/>
  <c r="C5079" i="12"/>
  <c r="B5214" i="12"/>
  <c r="C5214" i="12" s="1"/>
  <c r="C5088" i="12" l="1"/>
  <c r="B5223" i="12"/>
  <c r="C5223" i="12" s="1"/>
  <c r="B5166" i="12"/>
  <c r="C5166" i="12" s="1"/>
  <c r="C5031" i="12"/>
  <c r="C5018" i="12"/>
  <c r="B5153" i="12"/>
  <c r="C5153" i="12" s="1"/>
  <c r="B5158" i="12"/>
  <c r="C5158" i="12" s="1"/>
  <c r="C5023" i="12"/>
  <c r="C5076" i="12"/>
  <c r="B5211" i="12"/>
  <c r="C5211" i="12" s="1"/>
  <c r="B5228" i="12"/>
  <c r="C5228" i="12" s="1"/>
  <c r="C5093" i="12"/>
  <c r="C5095" i="12"/>
  <c r="B5230" i="12"/>
  <c r="C5230" i="12" s="1"/>
  <c r="C5118" i="12"/>
  <c r="B5253" i="12"/>
  <c r="C5253" i="12" s="1"/>
  <c r="C5101" i="12"/>
  <c r="B5236" i="12"/>
  <c r="C5236" i="12" s="1"/>
  <c r="C5032" i="12"/>
  <c r="B5167" i="12"/>
  <c r="C5167" i="12" s="1"/>
  <c r="B5250" i="12"/>
  <c r="C5250" i="12" s="1"/>
  <c r="C5115" i="12"/>
  <c r="C5053" i="12"/>
  <c r="B5188" i="12"/>
  <c r="C5188" i="12" s="1"/>
  <c r="C5125" i="12"/>
  <c r="B5260" i="12"/>
  <c r="C5260" i="12" s="1"/>
  <c r="B5134" i="12"/>
  <c r="C5134" i="12" s="1"/>
  <c r="C4999" i="12"/>
  <c r="B5197" i="12"/>
  <c r="C5197" i="12" s="1"/>
  <c r="C5062" i="12"/>
  <c r="B5227" i="12"/>
  <c r="C5227" i="12" s="1"/>
  <c r="C5092" i="12"/>
  <c r="B5165" i="12"/>
  <c r="C5165" i="12" s="1"/>
  <c r="C5030" i="12"/>
  <c r="B5137" i="12"/>
  <c r="C5137" i="12" s="1"/>
  <c r="C5002" i="12"/>
  <c r="C5006" i="12"/>
  <c r="B5141" i="12"/>
  <c r="C5141" i="12" s="1"/>
  <c r="C5097" i="12"/>
  <c r="B5232" i="12"/>
  <c r="C5232" i="12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  <author>sergio.cunha</author>
    <author>Marcos Ribeiro Conde</author>
    <author>Sidney Massami Koto</author>
    <author>Renata.Silva</author>
    <author>Bianca Nunes de Oliveira</author>
    <author>andre.rodrigues</author>
  </authors>
  <commentList>
    <comment ref="C1" authorId="0" shapeId="0" xr:uid="{00000000-0006-0000-0500-000001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1" authorId="0" shapeId="0" xr:uid="{00000000-0006-0000-0500-000002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1" authorId="0" shapeId="0" xr:uid="{00000000-0006-0000-0500-000003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1" authorId="0" shapeId="0" xr:uid="{00000000-0006-0000-0500-000004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K1" authorId="0" shapeId="0" xr:uid="{00000000-0006-0000-0500-000005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L1" authorId="0" shapeId="0" xr:uid="{00000000-0006-0000-0500-000006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M1" authorId="0" shapeId="0" xr:uid="{00000000-0006-0000-0500-000007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1" authorId="0" shapeId="0" xr:uid="{00000000-0006-0000-0500-000008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O1" authorId="0" shapeId="0" xr:uid="{00000000-0006-0000-0500-000009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P1" authorId="0" shapeId="0" xr:uid="{00000000-0006-0000-0500-00000A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Q1" authorId="0" shapeId="0" xr:uid="{00000000-0006-0000-0500-00000B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R1" authorId="0" shapeId="0" xr:uid="{00000000-0006-0000-0500-00000C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S1" authorId="0" shapeId="0" xr:uid="{00000000-0006-0000-0500-00000D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T1" authorId="0" shapeId="0" xr:uid="{00000000-0006-0000-0500-00000E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U1" authorId="0" shapeId="0" xr:uid="{00000000-0006-0000-0500-00000F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A1" authorId="0" shapeId="0" xr:uid="{00000000-0006-0000-0500-000010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anos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B1" authorId="0" shapeId="0" xr:uid="{00000000-0006-0000-0500-000011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
p.u.</t>
        </r>
      </text>
    </comment>
    <comment ref="AC1" authorId="0" shapeId="0" xr:uid="{00000000-0006-0000-0500-000012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
(tCO2 / MWh)</t>
        </r>
      </text>
    </comment>
    <comment ref="AD1" authorId="0" shapeId="0" xr:uid="{00000000-0006-0000-0500-000013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10^6R$</t>
        </r>
      </text>
    </comment>
    <comment ref="AH1" authorId="0" shapeId="0" xr:uid="{00000000-0006-0000-0500-000014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AI1" authorId="0" shapeId="0" xr:uid="{00000000-0006-0000-0500-000015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AJ1" authorId="0" shapeId="0" xr:uid="{00000000-0006-0000-0500-000016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 
R$
</t>
        </r>
      </text>
    </comment>
    <comment ref="AK1" authorId="0" shapeId="0" xr:uid="{00000000-0006-0000-0500-000017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R$/kW
</t>
        </r>
      </text>
    </comment>
    <comment ref="AP1" authorId="0" shapeId="0" xr:uid="{00000000-0006-0000-0500-000018000000}">
      <text>
        <r>
          <rPr>
            <b/>
            <sz val="8"/>
            <color indexed="81"/>
            <rFont val="Tahoma"/>
            <family val="2"/>
          </rPr>
          <t xml:space="preserve">Unidade:
 </t>
        </r>
        <r>
          <rPr>
            <sz val="8"/>
            <color indexed="81"/>
            <rFont val="Tahoma"/>
            <family val="2"/>
          </rPr>
          <t xml:space="preserve">(M R$/ano)
</t>
        </r>
      </text>
    </comment>
    <comment ref="AQ1" authorId="0" shapeId="0" xr:uid="{00000000-0006-0000-0500-000019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R$/ano
</t>
        </r>
      </text>
    </comment>
    <comment ref="AR1" authorId="0" shapeId="0" xr:uid="{00000000-0006-0000-0500-00001A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R$/kW
</t>
        </r>
      </text>
    </comment>
    <comment ref="AS1" authorId="0" shapeId="0" xr:uid="{00000000-0006-0000-0500-00001B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R$/MWh
</t>
        </r>
      </text>
    </comment>
    <comment ref="AT1" authorId="1" shapeId="0" xr:uid="{00000000-0006-0000-0500-00001C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
kg ou m3 / MWh</t>
        </r>
      </text>
    </comment>
    <comment ref="F2" authorId="2" shapeId="0" xr:uid="{00000000-0006-0000-0500-00001D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Não encontrei dado no MDI</t>
        </r>
      </text>
    </comment>
    <comment ref="AU2" authorId="3" shapeId="0" xr:uid="{00000000-0006-0000-0500-00001E000000}">
      <text>
        <r>
          <rPr>
            <sz val="9"/>
            <color indexed="81"/>
            <rFont val="Tahoma"/>
            <family val="2"/>
          </rPr>
          <t xml:space="preserve">
tep/ton
</t>
        </r>
      </text>
    </comment>
    <comment ref="F3" authorId="2" shapeId="0" xr:uid="{00000000-0006-0000-0500-00001F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Não encontrei dado no MDI</t>
        </r>
      </text>
    </comment>
    <comment ref="AT4" authorId="4" shapeId="0" xr:uid="{00000000-0006-0000-0500-000020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T5" authorId="4" shapeId="0" xr:uid="{00000000-0006-0000-0500-000021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T6" authorId="4" shapeId="0" xr:uid="{00000000-0006-0000-0500-000022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U6" authorId="3" shapeId="0" xr:uid="{00000000-0006-0000-0500-000023000000}">
      <text>
        <r>
          <rPr>
            <sz val="9"/>
            <color indexed="81"/>
            <rFont val="Tahoma"/>
            <family val="2"/>
          </rPr>
          <t>1000kg/tep</t>
        </r>
      </text>
    </comment>
    <comment ref="AT7" authorId="4" shapeId="0" xr:uid="{00000000-0006-0000-0500-000024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T8" authorId="4" shapeId="0" xr:uid="{00000000-0006-0000-0500-000025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S10" authorId="5" shapeId="0" xr:uid="{00000000-0006-0000-0500-000026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10" authorId="4" shapeId="0" xr:uid="{00000000-0006-0000-0500-000027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AS11" authorId="5" shapeId="0" xr:uid="{00000000-0006-0000-0500-000028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11" authorId="4" shapeId="0" xr:uid="{00000000-0006-0000-0500-000029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AS12" authorId="5" shapeId="0" xr:uid="{00000000-0006-0000-0500-00002A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12" authorId="4" shapeId="0" xr:uid="{00000000-0006-0000-0500-00002B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AU12" authorId="3" shapeId="0" xr:uid="{00000000-0006-0000-0500-00002C000000}">
      <text>
        <r>
          <rPr>
            <sz val="9"/>
            <color indexed="81"/>
            <rFont val="Tahoma"/>
            <family val="2"/>
          </rPr>
          <t xml:space="preserve">tep/1000m3
</t>
        </r>
      </text>
    </comment>
    <comment ref="AS13" authorId="5" shapeId="0" xr:uid="{00000000-0006-0000-0500-00002D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13" authorId="4" shapeId="0" xr:uid="{00000000-0006-0000-0500-00002E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D14" authorId="5" shapeId="0" xr:uid="{00000000-0006-0000-0500-00002F000000}">
      <text>
        <r>
          <rPr>
            <sz val="9"/>
            <color indexed="81"/>
            <rFont val="Tahoma"/>
            <family val="2"/>
          </rPr>
          <t>estimado com base FC médio de 90%</t>
        </r>
      </text>
    </comment>
    <comment ref="AR14" authorId="6" shapeId="0" xr:uid="{00000000-0006-0000-0500-000030000000}">
      <text>
        <r>
          <rPr>
            <b/>
            <sz val="9"/>
            <color rgb="FF000000"/>
            <rFont val="Tahoma"/>
            <family val="2"/>
          </rPr>
          <t>andre.rodrigues:</t>
        </r>
        <r>
          <rPr>
            <sz val="9"/>
            <color rgb="FF000000"/>
            <rFont val="Tahoma"/>
            <family val="2"/>
          </rPr>
          <t xml:space="preserve">
fgv indica 112 R$/kw-ano e 8,4 R$/MWh</t>
        </r>
      </text>
    </comment>
    <comment ref="AT14" authorId="4" shapeId="0" xr:uid="{00000000-0006-0000-0500-000031000000}">
      <text>
        <r>
          <rPr>
            <b/>
            <sz val="9"/>
            <color rgb="FF000000"/>
            <rFont val="Tahoma"/>
            <family val="2"/>
          </rPr>
          <t>Unidade:</t>
        </r>
        <r>
          <rPr>
            <sz val="9"/>
            <color rgb="FF000000"/>
            <rFont val="Tahoma"/>
            <family val="2"/>
          </rPr>
          <t xml:space="preserve">
kg/MWh</t>
        </r>
      </text>
    </comment>
    <comment ref="AU14" authorId="3" shapeId="0" xr:uid="{00000000-0006-0000-0500-000032000000}">
      <text>
        <r>
          <rPr>
            <sz val="9"/>
            <color indexed="81"/>
            <rFont val="Tahoma"/>
            <family val="2"/>
          </rPr>
          <t xml:space="preserve">kg/tep
</t>
        </r>
      </text>
    </comment>
    <comment ref="AT15" authorId="4" shapeId="0" xr:uid="{00000000-0006-0000-0500-000033000000}">
      <text>
        <r>
          <rPr>
            <b/>
            <sz val="9"/>
            <color rgb="FF000000"/>
            <rFont val="Tahoma"/>
            <family val="2"/>
          </rPr>
          <t>Unidade:</t>
        </r>
        <r>
          <rPr>
            <sz val="9"/>
            <color rgb="FF000000"/>
            <rFont val="Tahoma"/>
            <family val="2"/>
          </rPr>
          <t xml:space="preserve"> kg/MWh 
</t>
        </r>
      </text>
    </comment>
    <comment ref="AU15" authorId="3" shapeId="0" xr:uid="{00000000-0006-0000-0500-000034000000}">
      <text>
        <r>
          <rPr>
            <sz val="9"/>
            <color indexed="81"/>
            <rFont val="Tahoma"/>
            <family val="2"/>
          </rPr>
          <t>tep/m3 (oleo comb medio)</t>
        </r>
      </text>
    </comment>
    <comment ref="AT16" authorId="4" shapeId="0" xr:uid="{00000000-0006-0000-0500-000035000000}">
      <text>
        <r>
          <rPr>
            <b/>
            <sz val="9"/>
            <color rgb="FF000000"/>
            <rFont val="Tahoma"/>
            <family val="2"/>
          </rPr>
          <t>Unidade:</t>
        </r>
        <r>
          <rPr>
            <sz val="9"/>
            <color rgb="FF000000"/>
            <rFont val="Tahoma"/>
            <family val="2"/>
          </rPr>
          <t xml:space="preserve"> l/MWh 
</t>
        </r>
      </text>
    </comment>
    <comment ref="AU16" authorId="3" shapeId="0" xr:uid="{00000000-0006-0000-0500-000036000000}">
      <text>
        <r>
          <rPr>
            <sz val="9"/>
            <color indexed="81"/>
            <rFont val="Tahoma"/>
            <family val="2"/>
          </rPr>
          <t xml:space="preserve">tep/m3
</t>
        </r>
      </text>
    </comment>
    <comment ref="F22" authorId="2" shapeId="0" xr:uid="{00000000-0006-0000-0500-000037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Dados de energia de PCH estão na aba UHE projetos</t>
        </r>
      </text>
    </comment>
    <comment ref="AU32" authorId="3" shapeId="0" xr:uid="{00000000-0006-0000-0500-000038000000}">
      <text>
        <r>
          <rPr>
            <sz val="9"/>
            <color indexed="81"/>
            <rFont val="Tahoma"/>
            <family val="2"/>
          </rPr>
          <t>tep/m3</t>
        </r>
      </text>
    </comment>
    <comment ref="F33" authorId="2" shapeId="0" xr:uid="{00000000-0006-0000-0500-000039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Atualizado conforme MDI</t>
        </r>
      </text>
    </comment>
    <comment ref="F35" authorId="2" shapeId="0" xr:uid="{00000000-0006-0000-0500-00003A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Atualizado conforme MDI</t>
        </r>
      </text>
    </comment>
    <comment ref="F37" authorId="2" shapeId="0" xr:uid="{00000000-0006-0000-0500-00003B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Atualizado conforme MDI</t>
        </r>
      </text>
    </comment>
    <comment ref="F39" authorId="2" shapeId="0" xr:uid="{00000000-0006-0000-0500-00003C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Atualizado conforme MDI</t>
        </r>
      </text>
    </comment>
    <comment ref="AT54" authorId="4" shapeId="0" xr:uid="{00000000-0006-0000-0500-00003D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U54" authorId="3" shapeId="0" xr:uid="{00000000-0006-0000-0500-00003E000000}">
      <text>
        <r>
          <rPr>
            <sz val="9"/>
            <color indexed="81"/>
            <rFont val="Tahoma"/>
            <family val="2"/>
          </rPr>
          <t>1000kg/tep</t>
        </r>
      </text>
    </comment>
    <comment ref="AS56" authorId="5" shapeId="0" xr:uid="{00000000-0006-0000-0500-00003F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56" authorId="4" shapeId="0" xr:uid="{00000000-0006-0000-0500-000040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AS57" authorId="5" shapeId="0" xr:uid="{00000000-0006-0000-0500-000041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57" authorId="4" shapeId="0" xr:uid="{00000000-0006-0000-0500-000042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AS58" authorId="5" shapeId="0" xr:uid="{00000000-0006-0000-0500-000043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58" authorId="4" shapeId="0" xr:uid="{00000000-0006-0000-0500-000044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AT59" authorId="4" shapeId="0" xr:uid="{00000000-0006-0000-0500-000045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U59" authorId="3" shapeId="0" xr:uid="{00000000-0006-0000-0500-000046000000}">
      <text>
        <r>
          <rPr>
            <sz val="9"/>
            <color indexed="81"/>
            <rFont val="Tahoma"/>
            <family val="2"/>
          </rPr>
          <t>1000kg/tep</t>
        </r>
      </text>
    </comment>
    <comment ref="F60" authorId="2" shapeId="0" xr:uid="{00000000-0006-0000-0500-000047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Não encontrei dado no MDI</t>
        </r>
      </text>
    </comment>
    <comment ref="AU60" authorId="3" shapeId="0" xr:uid="{00000000-0006-0000-0500-000048000000}">
      <text>
        <r>
          <rPr>
            <sz val="9"/>
            <color indexed="81"/>
            <rFont val="Tahoma"/>
            <family val="2"/>
          </rPr>
          <t xml:space="preserve">
tep/ton
</t>
        </r>
      </text>
    </comment>
    <comment ref="AS61" authorId="5" shapeId="0" xr:uid="{00000000-0006-0000-0500-000049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61" authorId="4" shapeId="0" xr:uid="{00000000-0006-0000-0500-00004A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AU61" authorId="3" shapeId="0" xr:uid="{00000000-0006-0000-0500-00004B000000}">
      <text>
        <r>
          <rPr>
            <sz val="9"/>
            <color indexed="81"/>
            <rFont val="Tahoma"/>
            <family val="2"/>
          </rPr>
          <t xml:space="preserve">tep/1000m3
</t>
        </r>
      </text>
    </comment>
    <comment ref="AT62" authorId="4" shapeId="0" xr:uid="{00000000-0006-0000-0500-00004C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S64" authorId="5" shapeId="0" xr:uid="{00000000-0006-0000-0500-00004D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64" authorId="4" shapeId="0" xr:uid="{00000000-0006-0000-0500-00004E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  <author>sergio.cunha</author>
  </authors>
  <commentList>
    <comment ref="E1" authorId="0" shapeId="0" xr:uid="{00000000-0006-0000-2000-000001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G1" authorId="0" shapeId="0" xr:uid="{00000000-0006-0000-2000-000002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1" authorId="0" shapeId="0" xr:uid="{00000000-0006-0000-2000-000003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1" authorId="0" shapeId="0" xr:uid="{00000000-0006-0000-2000-000004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1" authorId="0" shapeId="0" xr:uid="{00000000-0006-0000-2000-000005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P1" authorId="0" shapeId="0" xr:uid="{00000000-0006-0000-2000-000006000000}">
      <text>
        <r>
          <rPr>
            <b/>
            <sz val="8"/>
            <color indexed="81"/>
            <rFont val="Tahoma"/>
            <family val="2"/>
          </rPr>
          <t xml:space="preserve">Unidade: 
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R1" authorId="0" shapeId="0" xr:uid="{00000000-0006-0000-2000-000007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S1" authorId="0" shapeId="0" xr:uid="{00000000-0006-0000-2000-000008000000}">
      <text>
        <r>
          <rPr>
            <b/>
            <sz val="8"/>
            <color indexed="81"/>
            <rFont val="Tahoma"/>
            <family val="2"/>
          </rPr>
          <t xml:space="preserve">Unidade: 
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T1" authorId="0" shapeId="0" xr:uid="{00000000-0006-0000-2000-000009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10^6 R$</t>
        </r>
      </text>
    </comment>
    <comment ref="V1" authorId="0" shapeId="0" xr:uid="{00000000-0006-0000-2000-00000A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(M R$/ano)
</t>
        </r>
      </text>
    </comment>
    <comment ref="W1" authorId="0" shapeId="0" xr:uid="{00000000-0006-0000-2000-00000B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X1" authorId="0" shapeId="0" xr:uid="{00000000-0006-0000-2000-00000C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(M R$/ano)
Custo anualizado de investimento (com jdc)</t>
        </r>
      </text>
    </comment>
    <comment ref="Y1" authorId="1" shapeId="0" xr:uid="{00000000-0006-0000-2000-00000D000000}">
      <text>
        <r>
          <rPr>
            <b/>
            <sz val="8"/>
            <color indexed="81"/>
            <rFont val="Tahoma"/>
            <family val="2"/>
          </rPr>
          <t>sergio.cunha:</t>
        </r>
        <r>
          <rPr>
            <sz val="8"/>
            <color indexed="81"/>
            <rFont val="Tahoma"/>
            <family val="2"/>
          </rPr>
          <t xml:space="preserve">
Unidade: R$/kw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  <author>Sergio Henrique Ferreira da Cunha</author>
  </authors>
  <commentList>
    <comment ref="G1" authorId="0" shapeId="0" xr:uid="{00000000-0006-0000-0600-000001000000}">
      <text>
        <r>
          <rPr>
            <b/>
            <sz val="8"/>
            <color indexed="81"/>
            <rFont val="Tahoma"/>
            <family val="2"/>
          </rPr>
          <t>Unidade: MW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1" authorId="0" shapeId="0" xr:uid="{00000000-0006-0000-0600-000002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1" authorId="0" shapeId="0" xr:uid="{00000000-0006-0000-0600-000003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1" authorId="0" shapeId="0" xr:uid="{00000000-0006-0000-0600-000004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K1" authorId="0" shapeId="0" xr:uid="{00000000-0006-0000-0600-000005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L1" authorId="0" shapeId="0" xr:uid="{00000000-0006-0000-0600-000006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M1" authorId="0" shapeId="0" xr:uid="{00000000-0006-0000-0600-000007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1" authorId="0" shapeId="0" xr:uid="{00000000-0006-0000-0600-000008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O1" authorId="0" shapeId="0" xr:uid="{00000000-0006-0000-0600-000009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P1" authorId="0" shapeId="0" xr:uid="{00000000-0006-0000-0600-00000A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Q1" authorId="0" shapeId="0" xr:uid="{00000000-0006-0000-0600-00000B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R1" authorId="0" shapeId="0" xr:uid="{00000000-0006-0000-0600-00000C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S1" authorId="0" shapeId="0" xr:uid="{00000000-0006-0000-0600-00000D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T1" authorId="0" shapeId="0" xr:uid="{00000000-0006-0000-0600-00000E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U1" authorId="0" shapeId="0" xr:uid="{00000000-0006-0000-0600-00000F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D1" authorId="0" shapeId="0" xr:uid="{00000000-0006-0000-0600-000010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US$/kW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E1" authorId="0" shapeId="0" xr:uid="{00000000-0006-0000-0600-000011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US$/MWh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G1" authorId="1" shapeId="0" xr:uid="{00000000-0006-0000-0600-000012000000}">
      <text>
        <r>
          <rPr>
            <b/>
            <sz val="9"/>
            <color indexed="81"/>
            <rFont val="Tahoma"/>
            <family val="2"/>
          </rPr>
          <t>Unidade:</t>
        </r>
        <r>
          <rPr>
            <sz val="9"/>
            <color indexed="81"/>
            <rFont val="Tahoma"/>
            <family val="2"/>
          </rPr>
          <t xml:space="preserve">
kg ou m3 / MWh</t>
        </r>
      </text>
    </comment>
    <comment ref="AH1" authorId="0" shapeId="0" xr:uid="{00000000-0006-0000-0600-000013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
p.u.</t>
        </r>
      </text>
    </comment>
    <comment ref="AI1" authorId="0" shapeId="0" xr:uid="{00000000-0006-0000-0600-000014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
(tCO2 / MWh)</t>
        </r>
      </text>
    </comment>
    <comment ref="AP1" authorId="0" shapeId="0" xr:uid="{00000000-0006-0000-0600-000015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</authors>
  <commentList>
    <comment ref="F1" authorId="0" shapeId="0" xr:uid="{00000000-0006-0000-0700-000001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G1" authorId="0" shapeId="0" xr:uid="{00000000-0006-0000-0700-000002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1" authorId="0" shapeId="0" xr:uid="{00000000-0006-0000-0700-000003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1" authorId="0" shapeId="0" xr:uid="{00000000-0006-0000-0700-000004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1" authorId="0" shapeId="0" xr:uid="{00000000-0006-0000-0700-000005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K1" authorId="0" shapeId="0" xr:uid="{00000000-0006-0000-0700-000006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L1" authorId="0" shapeId="0" xr:uid="{00000000-0006-0000-0700-000007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M1" authorId="0" shapeId="0" xr:uid="{00000000-0006-0000-0700-000008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1" authorId="0" shapeId="0" xr:uid="{00000000-0006-0000-0700-000009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O1" authorId="0" shapeId="0" xr:uid="{00000000-0006-0000-0700-00000A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P1" authorId="0" shapeId="0" xr:uid="{00000000-0006-0000-0700-00000B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Q1" authorId="0" shapeId="0" xr:uid="{00000000-0006-0000-0700-00000C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R1" authorId="0" shapeId="0" xr:uid="{00000000-0006-0000-0700-00000D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S1" authorId="0" shapeId="0" xr:uid="{00000000-0006-0000-0700-00000E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T1" authorId="0" shapeId="0" xr:uid="{00000000-0006-0000-0700-00000F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W1" authorId="0" shapeId="0" xr:uid="{00000000-0006-0000-0700-000010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US$/kW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X1" authorId="0" shapeId="0" xr:uid="{00000000-0006-0000-0700-000011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US$/MWh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  <author>Marcos Ribeiro Conde</author>
  </authors>
  <commentList>
    <comment ref="J1" authorId="0" shapeId="0" xr:uid="{00000000-0006-0000-0800-000001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K1" authorId="0" shapeId="0" xr:uid="{00000000-0006-0000-0800-000002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L1" authorId="0" shapeId="0" xr:uid="{00000000-0006-0000-0800-000003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M1" authorId="0" shapeId="0" xr:uid="{00000000-0006-0000-0800-000004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1" authorId="0" shapeId="0" xr:uid="{00000000-0006-0000-0800-000005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O1" authorId="0" shapeId="0" xr:uid="{00000000-0006-0000-0800-000006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P1" authorId="0" shapeId="0" xr:uid="{00000000-0006-0000-0800-000007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Q1" authorId="0" shapeId="0" xr:uid="{00000000-0006-0000-0800-000008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R1" authorId="0" shapeId="0" xr:uid="{00000000-0006-0000-0800-000009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S1" authorId="0" shapeId="0" xr:uid="{00000000-0006-0000-0800-00000A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T1" authorId="0" shapeId="0" xr:uid="{00000000-0006-0000-0800-00000B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U1" authorId="0" shapeId="0" xr:uid="{00000000-0006-0000-0800-00000C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V1" authorId="0" shapeId="0" xr:uid="{00000000-0006-0000-0800-00000D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Y1" authorId="0" shapeId="0" xr:uid="{00000000-0006-0000-0800-00000E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US$/MWh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16" authorId="1" shapeId="0" xr:uid="{00000000-0006-0000-0800-00000F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fatores derivados do dado primário de energia mensal para as duas unidades de B.Monte somadas.</t>
        </r>
      </text>
    </comment>
    <comment ref="W154" authorId="1" shapeId="0" xr:uid="{00000000-0006-0000-0800-000010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colocada data de 2018 apenas para comparação com pde 2026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</authors>
  <commentList>
    <comment ref="E1" authorId="0" shapeId="0" xr:uid="{00000000-0006-0000-0900-000001000000}">
      <text>
        <r>
          <rPr>
            <b/>
            <sz val="8"/>
            <color indexed="81"/>
            <rFont val="Tahoma"/>
            <family val="2"/>
          </rPr>
          <t>Unidade: MW</t>
        </r>
        <r>
          <rPr>
            <sz val="8"/>
            <color indexed="81"/>
            <rFont val="Tahoma"/>
            <family val="2"/>
          </rPr>
          <t xml:space="preserve">
MW
</t>
        </r>
      </text>
    </comment>
    <comment ref="N1" authorId="0" shapeId="0" xr:uid="{00000000-0006-0000-0900-000002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
Modelo carrega dados mas valor é calculado internamente na definição de energia firme e média</t>
        </r>
      </text>
    </comment>
    <comment ref="O1" authorId="0" shapeId="0" xr:uid="{00000000-0006-0000-0900-000003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
Modelo carrega dados mas valor é calculado internamente na definição de energia firme e média</t>
        </r>
      </text>
    </comment>
    <comment ref="Q1" authorId="0" shapeId="0" xr:uid="{00000000-0006-0000-0900-000004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S1" authorId="0" shapeId="0" xr:uid="{00000000-0006-0000-0900-000005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T1" authorId="0" shapeId="0" xr:uid="{00000000-0006-0000-0900-000006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U1" authorId="0" shapeId="0" xr:uid="{00000000-0006-0000-0900-000007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V1" authorId="0" shapeId="0" xr:uid="{00000000-0006-0000-0900-000008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X1" authorId="0" shapeId="0" xr:uid="{00000000-0006-0000-0900-000009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Z1" authorId="0" shapeId="0" xr:uid="{00000000-0006-0000-0900-00000A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A1" authorId="0" shapeId="0" xr:uid="{00000000-0006-0000-0900-00000B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B1" authorId="0" shapeId="0" xr:uid="{00000000-0006-0000-0900-00000C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C1" authorId="0" shapeId="0" xr:uid="{00000000-0006-0000-0900-00000D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H1" authorId="0" shapeId="0" xr:uid="{00000000-0006-0000-0900-00000E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anos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I1" authorId="0" shapeId="0" xr:uid="{00000000-0006-0000-0900-00000F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AM1" authorId="0" shapeId="0" xr:uid="{00000000-0006-0000-0900-000010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AN1" authorId="0" shapeId="0" xr:uid="{00000000-0006-0000-0900-000011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AO1" authorId="0" shapeId="0" xr:uid="{00000000-0006-0000-0900-000012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AQ1" authorId="0" shapeId="0" xr:uid="{00000000-0006-0000-0900-000013000000}">
      <text>
        <r>
          <rPr>
            <b/>
            <sz val="8"/>
            <color indexed="81"/>
            <rFont val="Tahoma"/>
            <family val="2"/>
          </rPr>
          <t>Unidade: R</t>
        </r>
        <r>
          <rPr>
            <sz val="8"/>
            <color indexed="81"/>
            <rFont val="Tahoma"/>
            <family val="2"/>
          </rPr>
          <t xml:space="preserve">$/kW
</t>
        </r>
      </text>
    </comment>
    <comment ref="AV1" authorId="0" shapeId="0" xr:uid="{00000000-0006-0000-0900-000014000000}">
      <text>
        <r>
          <rPr>
            <sz val="8"/>
            <color indexed="81"/>
            <rFont val="Tahoma"/>
            <family val="2"/>
          </rPr>
          <t xml:space="preserve">Valor presente das infinitas parcelas anuais [M R$].
</t>
        </r>
      </text>
    </comment>
    <comment ref="AW1" authorId="0" shapeId="0" xr:uid="{00000000-0006-0000-0900-000015000000}">
      <text>
        <r>
          <rPr>
            <b/>
            <sz val="8"/>
            <color indexed="81"/>
            <rFont val="Tahoma"/>
            <family val="2"/>
          </rPr>
          <t>Unidade: (M R$/ano)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X1" authorId="0" shapeId="0" xr:uid="{00000000-0006-0000-0900-000016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MR$/ano
</t>
        </r>
      </text>
    </comment>
    <comment ref="AY1" authorId="0" shapeId="0" xr:uid="{00000000-0006-0000-0900-000017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US$/MWh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</authors>
  <commentList>
    <comment ref="B1" authorId="0" shapeId="0" xr:uid="{00000000-0006-0000-0E00-000001000000}">
      <text>
        <r>
          <rPr>
            <sz val="8"/>
            <color indexed="81"/>
            <rFont val="Tahoma"/>
            <family val="2"/>
          </rPr>
          <t xml:space="preserve">Os custos de geração desta tabela estão expressos em R$/MWh
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</authors>
  <commentList>
    <comment ref="B17" authorId="0" shapeId="0" xr:uid="{00000000-0006-0000-1000-000001000000}">
      <text>
        <r>
          <rPr>
            <b/>
            <sz val="9"/>
            <color indexed="81"/>
            <rFont val="Tahoma"/>
            <family val="2"/>
          </rPr>
          <t xml:space="preserve">Fonte: </t>
        </r>
        <r>
          <rPr>
            <sz val="9"/>
            <color indexed="81"/>
            <rFont val="Tahoma"/>
            <family val="2"/>
          </rPr>
          <t>BEN  1 m3 GN --&gt; 34.920 BTU</t>
        </r>
      </text>
    </comment>
    <comment ref="B18" authorId="0" shapeId="0" xr:uid="{00000000-0006-0000-1000-000002000000}">
      <text>
        <r>
          <rPr>
            <b/>
            <sz val="9"/>
            <color indexed="81"/>
            <rFont val="Tahoma"/>
            <family val="2"/>
          </rPr>
          <t xml:space="preserve">Fonte: </t>
        </r>
        <r>
          <rPr>
            <sz val="9"/>
            <color indexed="81"/>
            <rFont val="Tahoma"/>
            <family val="2"/>
          </rPr>
          <t>BEN  1 m3 GN --&gt; 34.920 BTU</t>
        </r>
      </text>
    </comment>
    <comment ref="B19" authorId="0" shapeId="0" xr:uid="{00000000-0006-0000-1000-000003000000}">
      <text>
        <r>
          <rPr>
            <b/>
            <sz val="9"/>
            <color indexed="81"/>
            <rFont val="Tahoma"/>
            <family val="2"/>
          </rPr>
          <t xml:space="preserve">Fonte: </t>
        </r>
        <r>
          <rPr>
            <sz val="9"/>
            <color indexed="81"/>
            <rFont val="Tahoma"/>
            <family val="2"/>
          </rPr>
          <t>BEN  1 m3 GN --&gt; 34.920 BTU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</authors>
  <commentList>
    <comment ref="B18" authorId="0" shapeId="0" xr:uid="{00000000-0006-0000-1E00-000001000000}">
      <text>
        <r>
          <rPr>
            <sz val="9"/>
            <color indexed="81"/>
            <rFont val="Tahoma"/>
            <family val="2"/>
          </rPr>
          <t xml:space="preserve">Corredor de intercâmbio incuído para compatibilização com o PDE2023
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</authors>
  <commentList>
    <comment ref="G1" authorId="0" shapeId="0" xr:uid="{00000000-0006-0000-1F00-000001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1" authorId="0" shapeId="0" xr:uid="{00000000-0006-0000-1F00-000002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<sst xmlns="http://schemas.openxmlformats.org/spreadsheetml/2006/main" count="9360" uniqueCount="2720">
  <si>
    <t>cod_tec</t>
  </si>
  <si>
    <t>Nome</t>
  </si>
  <si>
    <t>Potencial</t>
  </si>
  <si>
    <t>Potência do</t>
  </si>
  <si>
    <t>FCmin</t>
  </si>
  <si>
    <t>FCmax</t>
  </si>
  <si>
    <t>Custo Investimento</t>
  </si>
  <si>
    <t xml:space="preserve">Custo Fixo de </t>
  </si>
  <si>
    <t xml:space="preserve">Custo Variável de </t>
  </si>
  <si>
    <t>Custo de combustível</t>
  </si>
  <si>
    <t>CVU (R$/MWh)</t>
  </si>
  <si>
    <t xml:space="preserve">Coef Emissão </t>
  </si>
  <si>
    <t>Tecnologia</t>
  </si>
  <si>
    <t>(MW)</t>
  </si>
  <si>
    <t>Bloco (MW)</t>
  </si>
  <si>
    <t>(US$/kW)</t>
  </si>
  <si>
    <t>Operação (R$/kW/ano)</t>
  </si>
  <si>
    <t>Operação (R$/MWh)</t>
  </si>
  <si>
    <t>(ton CO2/MWh)</t>
  </si>
  <si>
    <t>RENOVÁVEIS</t>
  </si>
  <si>
    <t>Hidraulicas</t>
  </si>
  <si>
    <t>UHE</t>
  </si>
  <si>
    <t>PCH</t>
  </si>
  <si>
    <t>Biomassa</t>
  </si>
  <si>
    <t>Eólica</t>
  </si>
  <si>
    <t>Solar</t>
  </si>
  <si>
    <t>NÃO-RENOVÁVEIS</t>
  </si>
  <si>
    <t>Carvão</t>
  </si>
  <si>
    <t>Gás Natural</t>
  </si>
  <si>
    <t>Nuclear</t>
  </si>
  <si>
    <t>Óleo Combustível</t>
  </si>
  <si>
    <t>Outros</t>
  </si>
  <si>
    <t>TOTAL</t>
  </si>
  <si>
    <t>w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</si>
  <si>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</si>
  <si>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Parâmetro_escalar</t>
  </si>
  <si>
    <t>Valor_Parâmetro_escalar</t>
  </si>
  <si>
    <t>Unidade</t>
  </si>
  <si>
    <t>Comentário</t>
  </si>
  <si>
    <t>taxa_desconto</t>
  </si>
  <si>
    <t>Mercado</t>
  </si>
  <si>
    <t>taxa_cambio</t>
  </si>
  <si>
    <t>Mercado Ponta</t>
  </si>
  <si>
    <t>ano_inic_estudo</t>
  </si>
  <si>
    <t>Tecnologias</t>
  </si>
  <si>
    <t>ano_fim_estudo</t>
  </si>
  <si>
    <t>custo_deficit</t>
  </si>
  <si>
    <t>R$/MWh</t>
  </si>
  <si>
    <t>custo_deficit_ponta</t>
  </si>
  <si>
    <t>prob_cond_critica</t>
  </si>
  <si>
    <t>custo_fixo_O&amp;M_UHE</t>
  </si>
  <si>
    <t>R$/kWano</t>
  </si>
  <si>
    <t>US$/kWano</t>
  </si>
  <si>
    <t>custo_fixo_O&amp;M_Interl</t>
  </si>
  <si>
    <t>custo_var_O&amp;M_UHE</t>
  </si>
  <si>
    <t>US$/MWh</t>
  </si>
  <si>
    <t>O&amp;M Fixo Potencia Complementar</t>
  </si>
  <si>
    <t>US$/kW.ano</t>
  </si>
  <si>
    <t>Teto_emissao_CO2</t>
  </si>
  <si>
    <t>MtCO2</t>
  </si>
  <si>
    <t>PIB</t>
  </si>
  <si>
    <t>Piso_Consumo_Dia_GN_adhoc (Mm3/dia)</t>
  </si>
  <si>
    <t>(s,t)</t>
  </si>
  <si>
    <t>SE/CO</t>
  </si>
  <si>
    <t>Sul</t>
  </si>
  <si>
    <t>Nordeste</t>
  </si>
  <si>
    <t>Norte</t>
  </si>
  <si>
    <t>Manaus</t>
  </si>
  <si>
    <t>SIN</t>
  </si>
  <si>
    <t>Teto_Germed_OC</t>
  </si>
  <si>
    <t>MWmed</t>
  </si>
  <si>
    <t>TETO DE CONSUMO DE GÁS NATURAL (Mm3/dia)</t>
  </si>
  <si>
    <r>
      <t>Teto_Consumo_Dia_GN_</t>
    </r>
    <r>
      <rPr>
        <b/>
        <sz val="10"/>
        <color rgb="FFC00000"/>
        <rFont val="Arial"/>
        <family val="2"/>
      </rPr>
      <t>MÉDIO</t>
    </r>
    <r>
      <rPr>
        <b/>
        <sz val="10"/>
        <rFont val="Arial"/>
        <family val="2"/>
      </rPr>
      <t xml:space="preserve"> (Mm3/dia)</t>
    </r>
  </si>
  <si>
    <t>(cop,s,t)</t>
  </si>
  <si>
    <t>AC/RO</t>
  </si>
  <si>
    <r>
      <t>Gás Natural</t>
    </r>
    <r>
      <rPr>
        <b/>
        <sz val="10"/>
        <color rgb="FFFFFF00"/>
        <rFont val="Arial"/>
        <family val="2"/>
      </rPr>
      <t xml:space="preserve"> IMPORTAÇÃO</t>
    </r>
    <r>
      <rPr>
        <b/>
        <sz val="10"/>
        <rFont val="Arial"/>
        <family val="2"/>
      </rPr>
      <t xml:space="preserve"> (Mm3/dia)</t>
    </r>
  </si>
  <si>
    <t xml:space="preserve">Gás Natural - </t>
  </si>
  <si>
    <r>
      <t>Oferta</t>
    </r>
    <r>
      <rPr>
        <b/>
        <sz val="10"/>
        <color rgb="FFFFFF00"/>
        <rFont val="Arial"/>
        <family val="2"/>
      </rPr>
      <t xml:space="preserve"> INTERNA </t>
    </r>
    <r>
      <rPr>
        <b/>
        <sz val="10"/>
        <rFont val="Arial"/>
        <family val="2"/>
      </rPr>
      <t>(Mm3/dia)</t>
    </r>
  </si>
  <si>
    <r>
      <t>Teto_Consumo_Dia_GN_</t>
    </r>
    <r>
      <rPr>
        <b/>
        <sz val="10"/>
        <color rgb="FFC00000"/>
        <rFont val="Arial"/>
        <family val="2"/>
      </rPr>
      <t>CRÍTICO</t>
    </r>
    <r>
      <rPr>
        <b/>
        <sz val="10"/>
        <rFont val="Arial"/>
        <family val="2"/>
      </rPr>
      <t xml:space="preserve"> (Mm3/dia)</t>
    </r>
  </si>
  <si>
    <r>
      <t>Teto_Consumo_Dia_GN_</t>
    </r>
    <r>
      <rPr>
        <b/>
        <sz val="10"/>
        <color rgb="FFC00000"/>
        <rFont val="Arial"/>
        <family val="2"/>
      </rPr>
      <t>PONTA</t>
    </r>
    <r>
      <rPr>
        <b/>
        <sz val="10"/>
        <rFont val="Arial"/>
        <family val="2"/>
      </rPr>
      <t xml:space="preserve"> (Mm3/dia)</t>
    </r>
  </si>
  <si>
    <r>
      <t xml:space="preserve">Acréscimo máximo </t>
    </r>
    <r>
      <rPr>
        <b/>
        <sz val="10"/>
        <color theme="5" tint="-0.499984740745262"/>
        <rFont val="Arial"/>
        <family val="2"/>
      </rPr>
      <t>NÃO</t>
    </r>
    <r>
      <rPr>
        <b/>
        <sz val="10"/>
        <rFont val="Arial"/>
        <family val="2"/>
      </rPr>
      <t xml:space="preserve"> acumulado (MW)</t>
    </r>
  </si>
  <si>
    <t>Solar_PV</t>
  </si>
  <si>
    <t>Solar_CSP</t>
  </si>
  <si>
    <t>Acréscimo Máximo de PCHs (unidades)</t>
  </si>
  <si>
    <t>PCHs instaladas no ano</t>
  </si>
  <si>
    <t>Teto Consumo GN SIN</t>
  </si>
  <si>
    <t>Teto_Consumo_Dia_GN_condição (Mm3/dia)</t>
  </si>
  <si>
    <t>(cop,t)</t>
  </si>
  <si>
    <t>media</t>
  </si>
  <si>
    <t>critica</t>
  </si>
  <si>
    <t>ponta</t>
  </si>
  <si>
    <t xml:space="preserve"> </t>
  </si>
  <si>
    <t>Teto Biomassa</t>
  </si>
  <si>
    <t>Cana</t>
  </si>
  <si>
    <t>Florestas</t>
  </si>
  <si>
    <t>Total</t>
  </si>
  <si>
    <t>Ano</t>
  </si>
  <si>
    <t>Piso_ConsumoDia_GN_SE/CO</t>
  </si>
  <si>
    <t>Piso_ConsumoDia_GN_Sul</t>
  </si>
  <si>
    <t>Piso_ConsumoDia_GN_NE</t>
  </si>
  <si>
    <t>Piso_ConsumoDia_GN_N</t>
  </si>
  <si>
    <t>Piso_ConsumoDia_GN_Manaus</t>
  </si>
  <si>
    <t>Teto_ConsDia_GN_Med</t>
  </si>
  <si>
    <t>Teto_ConsDia_GN_Crit</t>
  </si>
  <si>
    <t>Teto_ConsDia_GN_PT</t>
  </si>
  <si>
    <t>Teto_GN_Medio_SE/CO</t>
  </si>
  <si>
    <t>Teto_GN_Medio_Sul</t>
  </si>
  <si>
    <t>Teto_GN_Medio_NE</t>
  </si>
  <si>
    <t>Teto_GN_Medio_N</t>
  </si>
  <si>
    <t>Teto_GN_Medio_Manaus</t>
  </si>
  <si>
    <t>Teto_GN_Medio_AC/RO</t>
  </si>
  <si>
    <t>Teto_GN_Critico_SE/CO</t>
  </si>
  <si>
    <t>Teto_GN_Critico_Sul</t>
  </si>
  <si>
    <t>Teto_GN_Critico_NE</t>
  </si>
  <si>
    <t>Teto_GN_Critico_N</t>
  </si>
  <si>
    <t>Teto_GN_Critico_Manaus</t>
  </si>
  <si>
    <t>Teto_GN_Critico_AC/RO</t>
  </si>
  <si>
    <t>Teto_GN_Ponta_SE/CO</t>
  </si>
  <si>
    <t>Teto_GN_Ponta_Sul</t>
  </si>
  <si>
    <t>Teto_GN_Ponta_NE</t>
  </si>
  <si>
    <t>Teto_GN_Ponta_N</t>
  </si>
  <si>
    <t>Teto_GN_Ponta_Manaus</t>
  </si>
  <si>
    <t>Teto_GN_Ponta_AC/RO</t>
  </si>
  <si>
    <t>Acresc_Max_UHE</t>
  </si>
  <si>
    <t>Acresc_Max_EOL</t>
  </si>
  <si>
    <t>Acresc_Max_BIO</t>
  </si>
  <si>
    <t>Acresc_Max_Carvão</t>
  </si>
  <si>
    <t>Acresc_Max_GN</t>
  </si>
  <si>
    <t>Acresc_Max_Solar_PV</t>
  </si>
  <si>
    <t>Acresc_Max_Solar_CSP</t>
  </si>
  <si>
    <t>Quant_Max_PCH</t>
  </si>
  <si>
    <t>Acresc_Max_PCH</t>
  </si>
  <si>
    <t>cod_Bloco</t>
  </si>
  <si>
    <t>cod_tecnologia</t>
  </si>
  <si>
    <t>Nome_Tecnologia</t>
  </si>
  <si>
    <t>UF</t>
  </si>
  <si>
    <t>cod_subsistema</t>
  </si>
  <si>
    <t>maxBloc</t>
  </si>
  <si>
    <t>Nome_BlocoTR</t>
  </si>
  <si>
    <t>cod_expansao</t>
  </si>
  <si>
    <t>Tipo expansao</t>
  </si>
  <si>
    <t>data_minima</t>
  </si>
  <si>
    <t>data_maxima</t>
  </si>
  <si>
    <t>Potência</t>
  </si>
  <si>
    <t>Categoria</t>
  </si>
  <si>
    <t>Comentários</t>
  </si>
  <si>
    <t>SP</t>
  </si>
  <si>
    <t>MA</t>
  </si>
  <si>
    <t>PE</t>
  </si>
  <si>
    <t>RS</t>
  </si>
  <si>
    <t>MG</t>
  </si>
  <si>
    <t>PR</t>
  </si>
  <si>
    <t>BA</t>
  </si>
  <si>
    <t>PA</t>
  </si>
  <si>
    <t>AM</t>
  </si>
  <si>
    <t>AC</t>
  </si>
  <si>
    <t>ES</t>
  </si>
  <si>
    <t>RR</t>
  </si>
  <si>
    <t>MT</t>
  </si>
  <si>
    <t>nome_tecnologia</t>
  </si>
  <si>
    <t>Potencia</t>
  </si>
  <si>
    <t>Fponta_trim1</t>
  </si>
  <si>
    <t>Fponta_trim2</t>
  </si>
  <si>
    <t>Fponta_trim3</t>
  </si>
  <si>
    <t>Fponta_trim4</t>
  </si>
  <si>
    <t>Fpcrit_ano</t>
  </si>
  <si>
    <t>FPcrit_trim1</t>
  </si>
  <si>
    <t>FPcrit_trim2</t>
  </si>
  <si>
    <t>FPcrit_trim3</t>
  </si>
  <si>
    <t>FPcrit_trim4</t>
  </si>
  <si>
    <t>FPmed_ano</t>
  </si>
  <si>
    <t>FPmed_trim1</t>
  </si>
  <si>
    <t>FPmed_trim2</t>
  </si>
  <si>
    <t>FPmed_trim3</t>
  </si>
  <si>
    <t>FPmed_trim4</t>
  </si>
  <si>
    <t>TEIF</t>
  </si>
  <si>
    <t>IP</t>
  </si>
  <si>
    <t>Disponibilidade</t>
  </si>
  <si>
    <t>cod_categoria</t>
  </si>
  <si>
    <t>Nome_categoria</t>
  </si>
  <si>
    <t>cod_combustivel</t>
  </si>
  <si>
    <t>#_anos_construção</t>
  </si>
  <si>
    <t>Vida_util</t>
  </si>
  <si>
    <t>Eficiencia</t>
  </si>
  <si>
    <t>Coef_Emissao_CO2</t>
  </si>
  <si>
    <t>custo_capital</t>
  </si>
  <si>
    <t>Custo (U$/kW)</t>
  </si>
  <si>
    <t>Custo (R$/kW)</t>
  </si>
  <si>
    <t>cod_desembolso</t>
  </si>
  <si>
    <t>custo_conexao</t>
  </si>
  <si>
    <t>custo_ambiental</t>
  </si>
  <si>
    <t>custo total</t>
  </si>
  <si>
    <t>custo unitario</t>
  </si>
  <si>
    <t>C0</t>
  </si>
  <si>
    <t>FRC</t>
  </si>
  <si>
    <t>R</t>
  </si>
  <si>
    <t>Vp</t>
  </si>
  <si>
    <t>custo_investimento</t>
  </si>
  <si>
    <t>custoOMfixo</t>
  </si>
  <si>
    <t>custoOMvar</t>
  </si>
  <si>
    <t>ConsumEsp</t>
  </si>
  <si>
    <t>BEN2014</t>
  </si>
  <si>
    <t>CANA_condensação</t>
  </si>
  <si>
    <t>CANA_gaseificação</t>
  </si>
  <si>
    <t>CARVÃO IMP_pulv</t>
  </si>
  <si>
    <t>CARVÃO IMP_pulv_CCS</t>
  </si>
  <si>
    <t>CARVÃO NAC_Supercritico</t>
  </si>
  <si>
    <t>CARVÃO NAC_fluid_CCS</t>
  </si>
  <si>
    <t>CARVÃO NAC_gas</t>
  </si>
  <si>
    <t>Potência_Complementar_2015-2029</t>
  </si>
  <si>
    <t>GAS_CC_flexível_ate2030</t>
  </si>
  <si>
    <t>GAS_CC_flexível_pos2040</t>
  </si>
  <si>
    <t>GAS_CC_flexível_30_40</t>
  </si>
  <si>
    <t>GAS_CS_Ponta</t>
  </si>
  <si>
    <t>NUCLEAR</t>
  </si>
  <si>
    <t>OLEO COMB</t>
  </si>
  <si>
    <t>DIESEL</t>
  </si>
  <si>
    <t>PV_Bateria_2015-2029</t>
  </si>
  <si>
    <t>PV_Bateria_2030-2039</t>
  </si>
  <si>
    <t>PV_Bateria_2040-2050</t>
  </si>
  <si>
    <t>CSP_2040_2050</t>
  </si>
  <si>
    <t>UPCH</t>
  </si>
  <si>
    <t>X_OUTRAS</t>
  </si>
  <si>
    <t>Solar_PV_2015_2019_S/SE</t>
  </si>
  <si>
    <t>Solar_PV_2020_2029_S/SE</t>
  </si>
  <si>
    <t>Solar_PV_2030_2039_S/SE</t>
  </si>
  <si>
    <t>Solar_PV_2040_2050_S/SE</t>
  </si>
  <si>
    <t>Solar_PV_2015_2019_NE</t>
  </si>
  <si>
    <t>Solar_PV_2020_2029_NE</t>
  </si>
  <si>
    <t>Solar_PV_2030_2039_NE</t>
  </si>
  <si>
    <t>Solar_PV_2040_2050_NE</t>
  </si>
  <si>
    <t>Outras_Biomassas</t>
  </si>
  <si>
    <t>EOLICA S/SE_2015-2019</t>
  </si>
  <si>
    <t>EOLICA-NE/N_2015-2019</t>
  </si>
  <si>
    <t>EOLICA S/SE_2020-2029</t>
  </si>
  <si>
    <t>EOLICA-NE/N_2020-2029</t>
  </si>
  <si>
    <t>EOLICA S/SE_2030-2039</t>
  </si>
  <si>
    <t>EOLICA-NE/N_2030-2039</t>
  </si>
  <si>
    <t>EOLICA S/SE_2040-2050</t>
  </si>
  <si>
    <t>EOLICA-NE/N_2040-2050</t>
  </si>
  <si>
    <t>EOL Offshore_SE_2015-2019</t>
  </si>
  <si>
    <t>EOL Offshore_SE_2020-2029</t>
  </si>
  <si>
    <t>EOL Offshore_SE_2030-2039</t>
  </si>
  <si>
    <t>EOL Offshore_SE_2040-2050</t>
  </si>
  <si>
    <t>EOL Offshore_Sul_2015-2019</t>
  </si>
  <si>
    <t>EOL Offshore_Sul_2020-2029</t>
  </si>
  <si>
    <t>EOL Offshore_Sul_2030-2039</t>
  </si>
  <si>
    <t>EOL Offshore_Sul_2040-2050</t>
  </si>
  <si>
    <t>EOL Offshore_NE_2015-2019</t>
  </si>
  <si>
    <t>EOL Offshore_NE_2020-2029</t>
  </si>
  <si>
    <t>EOL Offshore_NE_2030-2039</t>
  </si>
  <si>
    <t>EOL Offshore_NE_2040-2050</t>
  </si>
  <si>
    <t>CANA_cond_BagaçoPalha</t>
  </si>
  <si>
    <t>CARVÃO NAC_fluid_menorCAPEX</t>
  </si>
  <si>
    <t>Potência_Complementar_2030-2050</t>
  </si>
  <si>
    <t>GAS_CC_CAPEX40_pos2030</t>
  </si>
  <si>
    <t>GAS_CC_CAPEX40_ate2030</t>
  </si>
  <si>
    <t>GAS_CS_CAPEX40_ate2030</t>
  </si>
  <si>
    <t>CARVÃO NAC_CAPEX40</t>
  </si>
  <si>
    <t>CANA_condensação_CAPEX40</t>
  </si>
  <si>
    <t>GAS_CC_NAC_Não_Conv</t>
  </si>
  <si>
    <t>CARVÃO IMP_CAPEX40</t>
  </si>
  <si>
    <t>UHE_repotenciação</t>
  </si>
  <si>
    <t>GAS_CC_CAPEX40_6USD</t>
  </si>
  <si>
    <t>cod_existente_UTE</t>
  </si>
  <si>
    <t>cod_NW</t>
  </si>
  <si>
    <t>nome_usina</t>
  </si>
  <si>
    <t>Nome_NW</t>
  </si>
  <si>
    <t>LimInf</t>
  </si>
  <si>
    <t>LimSup</t>
  </si>
  <si>
    <t>CapGer_Med</t>
  </si>
  <si>
    <t>CapGer_PC</t>
  </si>
  <si>
    <t>Menor valor CapGer</t>
  </si>
  <si>
    <t>Data_Ent_Op</t>
  </si>
  <si>
    <t>Data_Saida_Op</t>
  </si>
  <si>
    <t>Classificação</t>
  </si>
  <si>
    <t>Região</t>
  </si>
  <si>
    <t>fonte</t>
  </si>
  <si>
    <t>Tipo</t>
  </si>
  <si>
    <t>ALTOS</t>
  </si>
  <si>
    <t>Diesel</t>
  </si>
  <si>
    <t>ANGRA 1</t>
  </si>
  <si>
    <t>RJ</t>
  </si>
  <si>
    <t>ANGRA 2</t>
  </si>
  <si>
    <t>ANGRA 3</t>
  </si>
  <si>
    <t>ARACATI</t>
  </si>
  <si>
    <t>CUIABA G CC</t>
  </si>
  <si>
    <t>GAS</t>
  </si>
  <si>
    <t>BAHIA 1</t>
  </si>
  <si>
    <t>BAHIA 2</t>
  </si>
  <si>
    <t>Óleo</t>
  </si>
  <si>
    <t>BAIXADA FLU</t>
  </si>
  <si>
    <t>BATURITE</t>
  </si>
  <si>
    <t>CAMACARI D/G</t>
  </si>
  <si>
    <t>Camacari PI</t>
  </si>
  <si>
    <t>CAMPINAGRAND</t>
  </si>
  <si>
    <t>CAMPO MAIOR</t>
  </si>
  <si>
    <t>CANDIOTA 3</t>
  </si>
  <si>
    <t>Carvão Nac</t>
  </si>
  <si>
    <t>CANOAS</t>
  </si>
  <si>
    <t>CARIOBA</t>
  </si>
  <si>
    <t>CAUCAIA</t>
  </si>
  <si>
    <t>CCBS</t>
  </si>
  <si>
    <t>CRATO</t>
  </si>
  <si>
    <t>PIRAT.12 G</t>
  </si>
  <si>
    <t>DAIA</t>
  </si>
  <si>
    <t>DO ATLANTICO</t>
  </si>
  <si>
    <t>GAS PROCES</t>
  </si>
  <si>
    <t>ELETROBOLT</t>
  </si>
  <si>
    <t>ENGUIA PECEM</t>
  </si>
  <si>
    <t>FAFEN</t>
  </si>
  <si>
    <t>FIGUEIRA</t>
  </si>
  <si>
    <t>FLORES LT1</t>
  </si>
  <si>
    <t>FLORES LT2</t>
  </si>
  <si>
    <t>FLORES LT3</t>
  </si>
  <si>
    <t>FORTALEZA</t>
  </si>
  <si>
    <t>GERAMAR I</t>
  </si>
  <si>
    <t>GERAMAR II</t>
  </si>
  <si>
    <t>GLOBAL 1</t>
  </si>
  <si>
    <t>GLOBAL 2</t>
  </si>
  <si>
    <t>Goiania 2 BR</t>
  </si>
  <si>
    <t>IBIRITERMO</t>
  </si>
  <si>
    <t>IGARAPE</t>
  </si>
  <si>
    <t>IGUATU</t>
  </si>
  <si>
    <t>J.LACERDA A1</t>
  </si>
  <si>
    <t>J.LACERDA A2</t>
  </si>
  <si>
    <t>J.LACERDA B</t>
  </si>
  <si>
    <t>J.LACERDA C</t>
  </si>
  <si>
    <t>JUAZEIRO</t>
  </si>
  <si>
    <t>JUIZ DE FORA</t>
  </si>
  <si>
    <t>LINHARES</t>
  </si>
  <si>
    <t>MACAE MER</t>
  </si>
  <si>
    <t>MARACANAU I</t>
  </si>
  <si>
    <t>MARAMBAIA</t>
  </si>
  <si>
    <t>MARANHAO III</t>
  </si>
  <si>
    <t>ST.CRUZ NOVA</t>
  </si>
  <si>
    <t>W.ARJONA G</t>
  </si>
  <si>
    <t>MAUA 3</t>
  </si>
  <si>
    <t>MAUA B4</t>
  </si>
  <si>
    <t>MC2 N VENECI</t>
  </si>
  <si>
    <t>MURICY</t>
  </si>
  <si>
    <t>NAZARIA</t>
  </si>
  <si>
    <t>NORTEFLU-1</t>
  </si>
  <si>
    <t>NORTEFLU-2</t>
  </si>
  <si>
    <t>NORTEFLU-3</t>
  </si>
  <si>
    <t>NORTEFLU-4</t>
  </si>
  <si>
    <t>NOVAPIRAT</t>
  </si>
  <si>
    <t>NUTEPA</t>
  </si>
  <si>
    <t>OE CANOAS 1</t>
  </si>
  <si>
    <t>P. PECEM 1</t>
  </si>
  <si>
    <t>Carvão Imp</t>
  </si>
  <si>
    <t>P. PECEM 2</t>
  </si>
  <si>
    <t>P. SERGIPE I</t>
  </si>
  <si>
    <t>P.MEDICI A</t>
  </si>
  <si>
    <t>P.MEDICI B</t>
  </si>
  <si>
    <t>PALMEIRA GOI</t>
  </si>
  <si>
    <t>PAMPA SUL</t>
  </si>
  <si>
    <t>PARNAIBA 5A E 5B</t>
  </si>
  <si>
    <t>ARAUCARIA</t>
  </si>
  <si>
    <t>Pau Ferro I</t>
  </si>
  <si>
    <t>PERNAMBUCO 3</t>
  </si>
  <si>
    <t>PETROLINA</t>
  </si>
  <si>
    <t>URUGUAIANA G</t>
  </si>
  <si>
    <t>MARANHAO IV</t>
  </si>
  <si>
    <t>MARANHAO V</t>
  </si>
  <si>
    <t>PARNAIBA IV</t>
  </si>
  <si>
    <t>PIE C ROCHA</t>
  </si>
  <si>
    <t>PIE JARAQUI</t>
  </si>
  <si>
    <t>PORTO ITAQUI</t>
  </si>
  <si>
    <t>Potiguar</t>
  </si>
  <si>
    <t>Potiguar III</t>
  </si>
  <si>
    <t>PROSPERIDADE</t>
  </si>
  <si>
    <t>R.SILVEIRA</t>
  </si>
  <si>
    <t>S.JERONIMO</t>
  </si>
  <si>
    <t>SANTANA 1 W</t>
  </si>
  <si>
    <t>SANTANA 2 GE</t>
  </si>
  <si>
    <t>ST.CRUZ 34</t>
  </si>
  <si>
    <t>PIE MANAUARA</t>
  </si>
  <si>
    <t>SUAPE II</t>
  </si>
  <si>
    <t>T.NORTE 2</t>
  </si>
  <si>
    <t>TERMOBAHIA</t>
  </si>
  <si>
    <t>TERMOCABO</t>
  </si>
  <si>
    <t>TERMOCEARA</t>
  </si>
  <si>
    <t>Termomanaus</t>
  </si>
  <si>
    <t>TERMONORDEST</t>
  </si>
  <si>
    <t>TERMOPARAIBA</t>
  </si>
  <si>
    <t>TERMOPE</t>
  </si>
  <si>
    <t>TERMORIO</t>
  </si>
  <si>
    <t>TRES LAGOAS</t>
  </si>
  <si>
    <t>PIE P NEGRA</t>
  </si>
  <si>
    <t>UTE BRASILIA</t>
  </si>
  <si>
    <t>VALE DO ACU</t>
  </si>
  <si>
    <t>VIANA</t>
  </si>
  <si>
    <t>PIE TAMBAQUI</t>
  </si>
  <si>
    <t>XAVANTE</t>
  </si>
  <si>
    <t>cod_existente_URE</t>
  </si>
  <si>
    <t>CAMPO GRANDE</t>
  </si>
  <si>
    <t>Cisframa</t>
  </si>
  <si>
    <t>COSTA RICA I</t>
  </si>
  <si>
    <t>ERB CANDEIAS</t>
  </si>
  <si>
    <t>EX_AGRENCO-ACL</t>
  </si>
  <si>
    <t>EX_AGRENCO-ACR</t>
  </si>
  <si>
    <t>EX_AGROVALE-ACL</t>
  </si>
  <si>
    <t>EX_AGROVALE-ACR</t>
  </si>
  <si>
    <t>EX_AGUA BONITA-ACL</t>
  </si>
  <si>
    <t>EX_AGUA BONITA-ACR</t>
  </si>
  <si>
    <t>EX_AGUA EMENDADA-ACL</t>
  </si>
  <si>
    <t>EX_AGUA EMENDADA-ACR</t>
  </si>
  <si>
    <t>EX_ALCIDIA-ACL</t>
  </si>
  <si>
    <t>EX_ALCIDIA-ACR</t>
  </si>
  <si>
    <t>EX_ALCON-ACL</t>
  </si>
  <si>
    <t>EX_ALCON-ACR</t>
  </si>
  <si>
    <t>EX_ALTA MOGIANA-ACL</t>
  </si>
  <si>
    <t>EX_ALTA MOGIANA-ACR</t>
  </si>
  <si>
    <t>EX_ALTEROSA-ACL</t>
  </si>
  <si>
    <t>EX_ALTEROSA-ACR</t>
  </si>
  <si>
    <t>EX_ALTO ALEGRE S INACIO-ACL</t>
  </si>
  <si>
    <t>EX_ALTO ALEGRE S INACIO-ACR</t>
  </si>
  <si>
    <t>EX_ALTO ALEGRE-UFA-ACL</t>
  </si>
  <si>
    <t>EX_ALTO ALEGRE-UFA-ACR</t>
  </si>
  <si>
    <t>EX_ALTO ALEGRE-UJU-ACL</t>
  </si>
  <si>
    <t>EX_ALTO ALEGRE-UJU-ACR</t>
  </si>
  <si>
    <t>EX_ALTO TAQUARI-ACL</t>
  </si>
  <si>
    <t>EX_ALTO TAQUARI-ACR</t>
  </si>
  <si>
    <t>EX_AMANDINA-ACL</t>
  </si>
  <si>
    <t>EX_AMANDINA-ACR</t>
  </si>
  <si>
    <t>EX_ANGELICA-ACL</t>
  </si>
  <si>
    <t>EX_ANGELICA-ACR</t>
  </si>
  <si>
    <t>EX_ARACRUZ-ACL</t>
  </si>
  <si>
    <t>EX_ARACRUZ-ACR</t>
  </si>
  <si>
    <t>EX_ARIRANHA-ACL</t>
  </si>
  <si>
    <t>EX_ARIRANHA-ACR</t>
  </si>
  <si>
    <t>EX_ATOS ENERGIA-ACL</t>
  </si>
  <si>
    <t>EX_AGUA DOCE</t>
  </si>
  <si>
    <t>EX_ALBATROZ</t>
  </si>
  <si>
    <t>EX_ALEGRIA I</t>
  </si>
  <si>
    <t>EX_ALEGRIA II</t>
  </si>
  <si>
    <t>EX_ATOS ENERGIA-ACR</t>
  </si>
  <si>
    <t>EX_AVG I-II-ACL</t>
  </si>
  <si>
    <t>EX_AVG I-II-ACR</t>
  </si>
  <si>
    <t>EX_BAHIA PULP-ACL</t>
  </si>
  <si>
    <t>EX_BAHIA PULP-ACR</t>
  </si>
  <si>
    <t>EX_BAIA FORMOSA-ACL</t>
  </si>
  <si>
    <t>EX_BAIA FORMOSA-ACR</t>
  </si>
  <si>
    <t>EX_BALDIN-ACL</t>
  </si>
  <si>
    <t>EX_BALDIN-ACR</t>
  </si>
  <si>
    <t>EX_BAMBUI-ACL</t>
  </si>
  <si>
    <t>EX_BAMBUI-ACR</t>
  </si>
  <si>
    <t>EX_BANDEIRANTES-ACL</t>
  </si>
  <si>
    <t>EX_BANDEIRANTES-ACR</t>
  </si>
  <si>
    <t>EX_BARRA (BIO BARRA)-ACL</t>
  </si>
  <si>
    <t>EX_BARRA (BIO BARRA)-ACR</t>
  </si>
  <si>
    <t>EX_BARRA GRANDE LENCOIS-ACL</t>
  </si>
  <si>
    <t>EX_BARRA GRANDE LENCOIS-ACR</t>
  </si>
  <si>
    <t>EX_BARRALCOOL-ACL</t>
  </si>
  <si>
    <t>EX_BARRALCOOL-ACR</t>
  </si>
  <si>
    <t>EX_BARREIRO-ACL</t>
  </si>
  <si>
    <t>EX_BARREIRO-ACR</t>
  </si>
  <si>
    <t>EX_BEN BIOENERGIA-ACL</t>
  </si>
  <si>
    <t>EX_BEN BIOENERGIA-ACR</t>
  </si>
  <si>
    <t>EX_BERNECK-ACL</t>
  </si>
  <si>
    <t>EX_BERNECK-ACR</t>
  </si>
  <si>
    <t>EX_BIANCOGRES-ACL</t>
  </si>
  <si>
    <t>EX_BIANCOGRES-ACR</t>
  </si>
  <si>
    <t>EX_BIO ALVORADA-ACL</t>
  </si>
  <si>
    <t>EX_BIO ALVORADA-ACR</t>
  </si>
  <si>
    <t>EX_BIO COOPCANA-ACL</t>
  </si>
  <si>
    <t>EX_BIO COOPCANA-ACR</t>
  </si>
  <si>
    <t>EX_BIO IPE-ACL</t>
  </si>
  <si>
    <t>EX_BIO IPE-ACR</t>
  </si>
  <si>
    <t>EX_BIOFLEX CAETE-ACL</t>
  </si>
  <si>
    <t>EX_BIOFLEX CAETE-ACR</t>
  </si>
  <si>
    <t>EX_BIOLINS-ACL</t>
  </si>
  <si>
    <t>EX_BIOLINS-ACR</t>
  </si>
  <si>
    <t>EX_BIOPAV II-ACL</t>
  </si>
  <si>
    <t>EX_BIOPAV II-ACR</t>
  </si>
  <si>
    <t>EX_BIOTERMICA RECREIO-ACL</t>
  </si>
  <si>
    <t>EX_BIOTERMICA RECREIO-ACR</t>
  </si>
  <si>
    <t>EX_BOA VISTA (B VISTA)-ACL</t>
  </si>
  <si>
    <t>EX_BOA VISTA (B VISTA)-ACR</t>
  </si>
  <si>
    <t>EX_BONFIM-ACL</t>
  </si>
  <si>
    <t>EX_BONFIM-ACR</t>
  </si>
  <si>
    <t>EX_BROTAS-ACL</t>
  </si>
  <si>
    <t>EX_BROTAS-ACR</t>
  </si>
  <si>
    <t>EX_BUNGE-ACL</t>
  </si>
  <si>
    <t>EX_BUNGE-ACR</t>
  </si>
  <si>
    <t>EX_BURITI (CPFL - BCE)-ACL</t>
  </si>
  <si>
    <t>EX_BURITI (CPFL - BCE)-ACR</t>
  </si>
  <si>
    <t>EX_CAAL-ACL</t>
  </si>
  <si>
    <t>EX_CAAL-ACR</t>
  </si>
  <si>
    <t>EX_CAARAPO-ACL</t>
  </si>
  <si>
    <t>EX_CAARAPO-ACR</t>
  </si>
  <si>
    <t>EX_CACHOEIRA DOURADA LE-ACL</t>
  </si>
  <si>
    <t>EX_CACHOEIRA DOURADA LE-ACR</t>
  </si>
  <si>
    <t>EX_CACU (CACU I)-ACL</t>
  </si>
  <si>
    <t>EX_CACU (CACU I)-ACR</t>
  </si>
  <si>
    <t>EX_CAETE MARITUBA-ACL</t>
  </si>
  <si>
    <t>EX_CAETE MARITUBA-ACR</t>
  </si>
  <si>
    <t>EX_CAMPO LINDO-ACL</t>
  </si>
  <si>
    <t>EX_CAMPO LINDO-ACR</t>
  </si>
  <si>
    <t>EX_CANABRAVA-ACL</t>
  </si>
  <si>
    <t>EX_CANABRAVA-ACR</t>
  </si>
  <si>
    <t>EX_CANSANCAO DO SINIMBU-ACL</t>
  </si>
  <si>
    <t>EX_CANSANCAO DO SINIMBU-ACR</t>
  </si>
  <si>
    <t>EX_CARNEIRINHO-ACL</t>
  </si>
  <si>
    <t>EX_CARNEIRINHO-ACR</t>
  </si>
  <si>
    <t>EX_CATANDUVA-ACL</t>
  </si>
  <si>
    <t>EX_CATANDUVA-ACR</t>
  </si>
  <si>
    <t>EX_CEM-ACL</t>
  </si>
  <si>
    <t>EX_CEM-ACR</t>
  </si>
  <si>
    <t>EX_CERRADAO-ACL</t>
  </si>
  <si>
    <t>EX_CERRADAO-ACR</t>
  </si>
  <si>
    <t>EX_CETRELBIO-ACL</t>
  </si>
  <si>
    <t>EX_CETRELBIO-ACR</t>
  </si>
  <si>
    <t>EX_CEVASA-ACL</t>
  </si>
  <si>
    <t>EX_CEVASA-ACR</t>
  </si>
  <si>
    <t>EX_Chapadao Agro-ACL</t>
  </si>
  <si>
    <t>EX_Chapadao Agro-ACR</t>
  </si>
  <si>
    <t>EX_CITROVITA CATANDUVA-ACL</t>
  </si>
  <si>
    <t>EX_CITROVITA CATANDUVA-ACR</t>
  </si>
  <si>
    <t>EX_CLEALCO-ACL</t>
  </si>
  <si>
    <t>EX_CLEALCO-ACR</t>
  </si>
  <si>
    <t>EX_CMPC-ACL</t>
  </si>
  <si>
    <t>EX_CMPC-ACR</t>
  </si>
  <si>
    <t>EX_COCAL II-ACL</t>
  </si>
  <si>
    <t>EX_COCAL II-ACR</t>
  </si>
  <si>
    <t>EX_CODORA-ACL</t>
  </si>
  <si>
    <t>EX_CODORA-ACR</t>
  </si>
  <si>
    <t>EX_COLOMBO PALESTINA-ACL</t>
  </si>
  <si>
    <t>EX_COLOMBO PALESTINA-ACR</t>
  </si>
  <si>
    <t>EX_COLOMBO S ALBERTINA-ACL</t>
  </si>
  <si>
    <t>EX_COLOMBO S ALBERTINA-ACR</t>
  </si>
  <si>
    <t>EX_COLOMBO S. ALBERTINA-ACL</t>
  </si>
  <si>
    <t>EX_COLOMBO S. ALBERTINA-ACR</t>
  </si>
  <si>
    <t>EX_COLORADO-ACL</t>
  </si>
  <si>
    <t>EX_COLORADO-ACR</t>
  </si>
  <si>
    <t>EX_COLUMBIAN-ACL</t>
  </si>
  <si>
    <t>EX_COLUMBIAN-ACR</t>
  </si>
  <si>
    <t>EX_COMVAP-ACL</t>
  </si>
  <si>
    <t>EX_COMVAP-ACR</t>
  </si>
  <si>
    <t>EX_CONQUISTA DO PONTAL-ACL</t>
  </si>
  <si>
    <t>EX_CONQUISTA DO PONTAL-ACR</t>
  </si>
  <si>
    <t>EX_COPESUL-ACL</t>
  </si>
  <si>
    <t>EX_COPESUL-ACR</t>
  </si>
  <si>
    <t>EX_CORURIPE (ACEP)-ACL</t>
  </si>
  <si>
    <t>EX_CORURIPE (ACEP)-ACR</t>
  </si>
  <si>
    <t>EX_CORURIPE ACU ALCOOL-ACL</t>
  </si>
  <si>
    <t>EX_CORURIPE ACU ALCOOL-ACR</t>
  </si>
  <si>
    <t>EX_CORURIPE C FLORIDO-ACL</t>
  </si>
  <si>
    <t>EX_CORURIPE C FLORIDO-ACR</t>
  </si>
  <si>
    <t>EX_CORURIPE ITURAMA-ACL</t>
  </si>
  <si>
    <t>EX_CORURIPE ITURAMA-ACR</t>
  </si>
  <si>
    <t>EX_COSIMA-ACL</t>
  </si>
  <si>
    <t>EX_COSIMA-ACR</t>
  </si>
  <si>
    <t>EX_COSTA PINTO-ACL</t>
  </si>
  <si>
    <t>EX_COSTA PINTO-ACR</t>
  </si>
  <si>
    <t>EX_COSTA RICA (BRENCO)-ACL</t>
  </si>
  <si>
    <t>EX_COSTA RICA (BRENCO)-ACR</t>
  </si>
  <si>
    <t>EX_CST-ACL</t>
  </si>
  <si>
    <t>EX_CST-ACR</t>
  </si>
  <si>
    <t>EX_CTR JUIZ DE FORA-ACL</t>
  </si>
  <si>
    <t>EX_CTR JUIZ DE FORA-ACR</t>
  </si>
  <si>
    <t>EX_CUCAU-ACL</t>
  </si>
  <si>
    <t>EX_CUCAU-ACR</t>
  </si>
  <si>
    <t>EX_DA PEDRA-ACL</t>
  </si>
  <si>
    <t>EX_DA PEDRA-ACR</t>
  </si>
  <si>
    <t>EX_DECASA-ACL</t>
  </si>
  <si>
    <t>EX_DECASA-ACR</t>
  </si>
  <si>
    <t>EX_DELTA-ACL</t>
  </si>
  <si>
    <t>EX_DELTA-ACR</t>
  </si>
  <si>
    <t>EX_DESTIL. ANDRADE-ACL</t>
  </si>
  <si>
    <t>EX_DESTIL. ANDRADE-ACR</t>
  </si>
  <si>
    <t>EX_DESTILARIA PARACATU-ACL</t>
  </si>
  <si>
    <t>EX_DESTILARIA PARACATU-ACR</t>
  </si>
  <si>
    <t>EX_ECOLUZ-ACL</t>
  </si>
  <si>
    <t>EX_ECOLUZ-ACR</t>
  </si>
  <si>
    <t>EX_ELDORADO CON BR-ACL</t>
  </si>
  <si>
    <t>EX_ELDORADO CON BR-ACR</t>
  </si>
  <si>
    <t>EX_ELDORADO-ACL</t>
  </si>
  <si>
    <t>EX_ELDORADO-ACR</t>
  </si>
  <si>
    <t>EX_ENERG. VISTA ALEGRE-ACL</t>
  </si>
  <si>
    <t>EX_ENERG. VISTA ALEGRE-ACR</t>
  </si>
  <si>
    <t>EX_ENERGETICA C FLORIDO-ACL</t>
  </si>
  <si>
    <t>EX_ENERGETICA C FLORIDO-ACR</t>
  </si>
  <si>
    <t>EX_ENERGY WORKS-ACL</t>
  </si>
  <si>
    <t>EX_ENERGY WORKS-ACR</t>
  </si>
  <si>
    <t>EX_ENERVALE-ACL</t>
  </si>
  <si>
    <t>EX_ENERVALE-ACR</t>
  </si>
  <si>
    <t>EX_EQUIPAV II-ACL</t>
  </si>
  <si>
    <t>EX_EQUIPAV II-ACR</t>
  </si>
  <si>
    <t>EX_EQUIPAV-ACL</t>
  </si>
  <si>
    <t>EX_EQUIPAV-ACR</t>
  </si>
  <si>
    <t>EX_ESTER-ACL</t>
  </si>
  <si>
    <t>EX_ESTER-ACR</t>
  </si>
  <si>
    <t>EX_ESTIVAS-ACL</t>
  </si>
  <si>
    <t>EX_ESTIVAS-ACR</t>
  </si>
  <si>
    <t>EX_FARTURA-ACL</t>
  </si>
  <si>
    <t>EX_FARTURA-ACR</t>
  </si>
  <si>
    <t>EX_FERRARI-ACL</t>
  </si>
  <si>
    <t>EX_FERRARI-ACR</t>
  </si>
  <si>
    <t>EX_FLORAPLAC-ACL</t>
  </si>
  <si>
    <t>EX_FLORAPLAC-ACR</t>
  </si>
  <si>
    <t>EX_FRUTAL-ACL</t>
  </si>
  <si>
    <t>EX_FRUTAL-ACR</t>
  </si>
  <si>
    <t>EX_FURLAN AVARE-ACL</t>
  </si>
  <si>
    <t>EX_FURLAN AVARE-ACR</t>
  </si>
  <si>
    <t>EX_GALVANI - CILEM-ACL</t>
  </si>
  <si>
    <t>EX_GALVANI - CILEM-ACR</t>
  </si>
  <si>
    <t>EX_GALVANI-ACL</t>
  </si>
  <si>
    <t>EX_GALVANI-ACR</t>
  </si>
  <si>
    <t>EX_GASA-ACL</t>
  </si>
  <si>
    <t>EX_GASA-ACR</t>
  </si>
  <si>
    <t>EX_GEEA ALEGRETE-ACL</t>
  </si>
  <si>
    <t>EX_GEEA ALEGRETE-ACR</t>
  </si>
  <si>
    <t>EX_GEO ELETR TAMBOARA-ACL</t>
  </si>
  <si>
    <t>EX_GEO ELETR TAMBOARA-ACR</t>
  </si>
  <si>
    <t>EX_GIASA II-ACL</t>
  </si>
  <si>
    <t>EX_GIASA II-ACR</t>
  </si>
  <si>
    <t>EX_GOIASA-ACL</t>
  </si>
  <si>
    <t>EX_GOIASA-ACR</t>
  </si>
  <si>
    <t>EX_GRANJA SAO ROQUE-ACL</t>
  </si>
  <si>
    <t>EX_GRANJA SAO ROQUE-ACR</t>
  </si>
  <si>
    <t>EX_GUACU-ACL</t>
  </si>
  <si>
    <t>EX_GUACU-ACR</t>
  </si>
  <si>
    <t>EX_GUAIRA ENERGETICA-ACL</t>
  </si>
  <si>
    <t>EX_GUAIRA ENERGETICA-ACR</t>
  </si>
  <si>
    <t>EX_GUARANI OLIMPIA-ACL</t>
  </si>
  <si>
    <t>EX_GUARANI OLIMPIA-ACR</t>
  </si>
  <si>
    <t>EX_GUARANI TANABI 2-ACL</t>
  </si>
  <si>
    <t>EX_GUARANI TANABI 2-ACR</t>
  </si>
  <si>
    <t>EX_GUARANI TANABI-ACL</t>
  </si>
  <si>
    <t>EX_GUARANI TANABI-ACR</t>
  </si>
  <si>
    <t>EX_GUATAPARA-ACL</t>
  </si>
  <si>
    <t>EX_GUATAPARA-ACR</t>
  </si>
  <si>
    <t>EX_GUSA NORDESTE-ACL</t>
  </si>
  <si>
    <t>EX_GUSA NORDESTE-ACR</t>
  </si>
  <si>
    <t>EX_HERINGER-ACL</t>
  </si>
  <si>
    <t>EX_HERINGER-ACR</t>
  </si>
  <si>
    <t>EX_HORIZONTE ASJA-ACL</t>
  </si>
  <si>
    <t>EX_HORIZONTE ASJA-ACR</t>
  </si>
  <si>
    <t>EX_ALVORADA</t>
  </si>
  <si>
    <t>EX_IACANGA-ACL</t>
  </si>
  <si>
    <t>EX_AMETISTA</t>
  </si>
  <si>
    <t>EX_IACANGA-ACR</t>
  </si>
  <si>
    <t>EX_IACO-ACL</t>
  </si>
  <si>
    <t>EX_MEGAWATT</t>
  </si>
  <si>
    <t>EX_IACO-ACR</t>
  </si>
  <si>
    <t>EX_TAUA</t>
  </si>
  <si>
    <t>EX_INTERLAGOS-ACL</t>
  </si>
  <si>
    <t>EX_TANQUINHO</t>
  </si>
  <si>
    <t>EX_ALTO DO RODRIGUES</t>
  </si>
  <si>
    <t>EX_INTERLAGOS-ACR</t>
  </si>
  <si>
    <t>EX_MINEIRAO</t>
  </si>
  <si>
    <t>EX_IOLANDO LEITE-ACL</t>
  </si>
  <si>
    <t>EX_IOLANDO LEITE-ACR</t>
  </si>
  <si>
    <t>EX_AMPARO</t>
  </si>
  <si>
    <t>EX_AQUIBATA</t>
  </si>
  <si>
    <t>EX_ARACAS 3LER</t>
  </si>
  <si>
    <t>EX_IPAUSSU-ACL</t>
  </si>
  <si>
    <t>EX_ARATUA 1</t>
  </si>
  <si>
    <t>EX_AREIA BRANCA (EBV)</t>
  </si>
  <si>
    <t>EX_ARIZONA 1</t>
  </si>
  <si>
    <t>EX_ASA BRANCA 1 2LFA</t>
  </si>
  <si>
    <t>EX_ASA BRANCA 2 2LFA</t>
  </si>
  <si>
    <t>EX_ASA BRANCA 3 2LFA</t>
  </si>
  <si>
    <t>EX_ASA BRANCA 4 2LFA</t>
  </si>
  <si>
    <t>EX_ASA BRANCA 5 2LFA</t>
  </si>
  <si>
    <t>EX_IPAUSSU-ACR</t>
  </si>
  <si>
    <t>EX_IPOJUCA-ACL</t>
  </si>
  <si>
    <t>EX_ASA BRANCA 6 2LFA</t>
  </si>
  <si>
    <t>EX_ASA BRANCA 7 2LFA</t>
  </si>
  <si>
    <t>EX_ASA BRANCA 8 2LFA</t>
  </si>
  <si>
    <t>EX_ATLANTICA</t>
  </si>
  <si>
    <t>EX_ATLANTICA 1 2LFA</t>
  </si>
  <si>
    <t>EX_ATLANTICA 2</t>
  </si>
  <si>
    <t>EX_IPOJUCA-ACR</t>
  </si>
  <si>
    <t>EX_ATLANTICA 4</t>
  </si>
  <si>
    <t>EX_ATLANTICA 5 2LFA</t>
  </si>
  <si>
    <t>EX_B COQUEIROS (ENERG)</t>
  </si>
  <si>
    <t>EX_BARAUNAS I</t>
  </si>
  <si>
    <t>EX_BEBERIBE - ACEP</t>
  </si>
  <si>
    <t>EX_BOA VISTA 2LFA</t>
  </si>
  <si>
    <t>EX_BOCA DO CORREGO</t>
  </si>
  <si>
    <t>EX_Bom Jardim</t>
  </si>
  <si>
    <t>EX_BOM JARDIM</t>
  </si>
  <si>
    <t>EX_BONS VENTOS</t>
  </si>
  <si>
    <t>EX_C DOS VENTOS 2 3LER</t>
  </si>
  <si>
    <t>EX_SOL MORADAS</t>
  </si>
  <si>
    <t>EX_CABECO PRETO</t>
  </si>
  <si>
    <t>EX_CABECO PRETO IV</t>
  </si>
  <si>
    <t>EX_CAETITE 1</t>
  </si>
  <si>
    <t>EX_CAETITE 2</t>
  </si>
  <si>
    <t>EX_CAETITE 3</t>
  </si>
  <si>
    <t>EX_CAETITE A</t>
  </si>
  <si>
    <t>EX_CAETITE B</t>
  </si>
  <si>
    <t>EX_CAETITE C</t>
  </si>
  <si>
    <t>EX_CAMPO BELO</t>
  </si>
  <si>
    <t>EX_CAMURIM</t>
  </si>
  <si>
    <t>EX_CANDIBA</t>
  </si>
  <si>
    <t>EX_CANOAQUBR(E-BV-ACEP)</t>
  </si>
  <si>
    <t>EX_CANOAQUBR(E-RV-ACEP)</t>
  </si>
  <si>
    <t>EX_CARAVELA</t>
  </si>
  <si>
    <t>EX_CARCARA 2</t>
  </si>
  <si>
    <t>EX_ITAENGA-ACL</t>
  </si>
  <si>
    <t>EX_CARCARA I</t>
  </si>
  <si>
    <t>EX_CASCATA (SALTO)</t>
  </si>
  <si>
    <t>EX_CERRO CHATO IV</t>
  </si>
  <si>
    <t>EX_CERRO CHATO V</t>
  </si>
  <si>
    <t>EX_CERRO CHATO VI</t>
  </si>
  <si>
    <t>EX_ITAENGA-ACR</t>
  </si>
  <si>
    <t>EX_CERRO DOS TRINDADE</t>
  </si>
  <si>
    <t>EX_CHUI I</t>
  </si>
  <si>
    <t>EX_CHUI II</t>
  </si>
  <si>
    <t>EX_CHUI IV</t>
  </si>
  <si>
    <t>EX_CHUI IX</t>
  </si>
  <si>
    <t>EX_CHUI V</t>
  </si>
  <si>
    <t>EX_COELHOS I</t>
  </si>
  <si>
    <t>EX_COELHOS II</t>
  </si>
  <si>
    <t>EX_COELHOS III</t>
  </si>
  <si>
    <t>EX_ITAJAI BIOGAS-ACL</t>
  </si>
  <si>
    <t>EX_ITAJAI BIOGAS-ACR</t>
  </si>
  <si>
    <t>EX_ITAMARATI-ACL</t>
  </si>
  <si>
    <t>EX_COELHOS IV</t>
  </si>
  <si>
    <t>EX_ITAMARATI-ACR</t>
  </si>
  <si>
    <t>EX_COLONIA</t>
  </si>
  <si>
    <t>EX_COQUEIROS</t>
  </si>
  <si>
    <t>EX_CORREDOR SENANDES 2</t>
  </si>
  <si>
    <t>EX_CORREDOR SENANDES 3</t>
  </si>
  <si>
    <t>EX_CORREDOR SENANDES IV</t>
  </si>
  <si>
    <t>EX_COSTA BRANCA 2LFA</t>
  </si>
  <si>
    <t>EX_COXILHA NEGRA V</t>
  </si>
  <si>
    <t>EX_COXILHA NEGRA VI</t>
  </si>
  <si>
    <t>EX_COXILHA NEGRA VII</t>
  </si>
  <si>
    <t>EX_CRUZ ALTA</t>
  </si>
  <si>
    <t>EX_D. DE PARACURU (VEN)</t>
  </si>
  <si>
    <t>EX_UFV NOVA AURORA</t>
  </si>
  <si>
    <t>EX_DA PRATA</t>
  </si>
  <si>
    <t>EX_DELTA DO PARNAIBA</t>
  </si>
  <si>
    <t>EX_DOIS RIACHOS</t>
  </si>
  <si>
    <t>EX_DOURADOS (UEE DOURA)</t>
  </si>
  <si>
    <t>EX_ELEBRAS CIDREIRA 1</t>
  </si>
  <si>
    <t>EX_EMBUACA</t>
  </si>
  <si>
    <t>EX_EMILIANA</t>
  </si>
  <si>
    <t>EX_ENACEL</t>
  </si>
  <si>
    <t>EX_EURUS 1 3LER</t>
  </si>
  <si>
    <t>EX_EURUS 2 3LER</t>
  </si>
  <si>
    <t>EX_EURUS 3 3LER</t>
  </si>
  <si>
    <t>EX_EURUS IV</t>
  </si>
  <si>
    <t>EX_EURUS VI</t>
  </si>
  <si>
    <t>EX_FAISA I</t>
  </si>
  <si>
    <t>EX_FAISA II</t>
  </si>
  <si>
    <t>EX_FAISA III</t>
  </si>
  <si>
    <t>EX_FAISA IV</t>
  </si>
  <si>
    <t>EX_FAISA V</t>
  </si>
  <si>
    <t>EX_FAROL</t>
  </si>
  <si>
    <t>EX_FAZ ROSARIO</t>
  </si>
  <si>
    <t>EX_FAZ ROSARIO 2 3LER</t>
  </si>
  <si>
    <t>EX_FAZ ROSARIO 3</t>
  </si>
  <si>
    <t>EX_FLEIXEIRAS I</t>
  </si>
  <si>
    <t>EX_FOZ DO RIO CHORO</t>
  </si>
  <si>
    <t>EX_GARGAU</t>
  </si>
  <si>
    <t>EX_GRAVATA</t>
  </si>
  <si>
    <t>EX_GUAJIRU</t>
  </si>
  <si>
    <t>EX_GUANAMBI</t>
  </si>
  <si>
    <t>EX_GUIRAPA</t>
  </si>
  <si>
    <t>EX_IBIRAPUITA</t>
  </si>
  <si>
    <t>EX_ICARAI</t>
  </si>
  <si>
    <t>EX_ICARAI I</t>
  </si>
  <si>
    <t>EX_ICARAÍ II</t>
  </si>
  <si>
    <t>EX_ICARAIZINHO</t>
  </si>
  <si>
    <t>EX_ITAQUI CAMIL-ACL</t>
  </si>
  <si>
    <t>EX_ITAQUI CAMIL-ACR</t>
  </si>
  <si>
    <t>EX_ITUIUTABA-ACL</t>
  </si>
  <si>
    <t>EX_ITUIUTABA-ACR</t>
  </si>
  <si>
    <t>EX_IGAPORA</t>
  </si>
  <si>
    <t>EX_ILHA GRANDE</t>
  </si>
  <si>
    <t>EX_ILHEUS (ILHEUS)</t>
  </si>
  <si>
    <t>EX_ITUMBIARA (CNAA)-ACL</t>
  </si>
  <si>
    <t>EX_ITUMBIARA (CNAA)-ACR</t>
  </si>
  <si>
    <t>EX_JALLES MACHADO-ACL</t>
  </si>
  <si>
    <t>EX_JALLES MACHADO-ACR</t>
  </si>
  <si>
    <t>EX_JATAI (COSAN)-ACL</t>
  </si>
  <si>
    <t>EX_INDIOS</t>
  </si>
  <si>
    <t>EX_INDIOS 2</t>
  </si>
  <si>
    <t>EX_INDIOS 3</t>
  </si>
  <si>
    <t>EX_JOANA</t>
  </si>
  <si>
    <t>EX_JUREMAS 2LFA</t>
  </si>
  <si>
    <t>EX_LAGOA DO MATO</t>
  </si>
  <si>
    <t>EX_LICINIO DE ALMEIDA</t>
  </si>
  <si>
    <t>EX_MACACOS 2LFA</t>
  </si>
  <si>
    <t>EX_MACAUBAS</t>
  </si>
  <si>
    <t>EX_MANDACARU</t>
  </si>
  <si>
    <t>EX_MANGUE SECO 1</t>
  </si>
  <si>
    <t>EX_MANGUE SECO 2</t>
  </si>
  <si>
    <t>EX_MANGUE SECO 3</t>
  </si>
  <si>
    <t>EX_MANGUE SECO 5</t>
  </si>
  <si>
    <t>EX_MAR E TERRA</t>
  </si>
  <si>
    <t>EX_JATAI (COSAN)-ACR</t>
  </si>
  <si>
    <t>EX_MARON</t>
  </si>
  <si>
    <t>EX_JB AC E ALC-ACL</t>
  </si>
  <si>
    <t>EX_MATARACA</t>
  </si>
  <si>
    <t>EX_MEL 2</t>
  </si>
  <si>
    <t>EX_MIASSABA 2</t>
  </si>
  <si>
    <t>EX_MIASSABA 3</t>
  </si>
  <si>
    <t>EX_MILLENNIUM</t>
  </si>
  <si>
    <t>EX_MINUANO I</t>
  </si>
  <si>
    <t>EX_MINUANO II</t>
  </si>
  <si>
    <t>EX_MODELO I</t>
  </si>
  <si>
    <t>EX_MODELO II</t>
  </si>
  <si>
    <t>EX_MORRAO</t>
  </si>
  <si>
    <t>EX_MORRO BANCO I</t>
  </si>
  <si>
    <t>EX_MORRO DOS VENTOS 2</t>
  </si>
  <si>
    <t>EX_MORRO DOS VENTOS I</t>
  </si>
  <si>
    <t>EX_MORRO DOS VENTOS III</t>
  </si>
  <si>
    <t>EX_MORRO DOS VENTOS IV</t>
  </si>
  <si>
    <t>EX_MORRO DOS VENTOS IX</t>
  </si>
  <si>
    <t>EX_MORRO DOS VENTOS VI</t>
  </si>
  <si>
    <t>EX_JB AC E ALC-ACR</t>
  </si>
  <si>
    <t>EX_JITITUBA-ACL</t>
  </si>
  <si>
    <t>EX_JITITUBA-ACR</t>
  </si>
  <si>
    <t>EX_JOAO NEIVA (CBF)-ACL</t>
  </si>
  <si>
    <t>EX_JOAO NEIVA (CBF)-ACR</t>
  </si>
  <si>
    <t>EX_MUNDAU</t>
  </si>
  <si>
    <t>EX_MUSSAMBE</t>
  </si>
  <si>
    <t>EX_N SRA CONCEIC</t>
  </si>
  <si>
    <t>EX_N.HORIZONTE - EOL NH</t>
  </si>
  <si>
    <t>EX_NOVA BURITI</t>
  </si>
  <si>
    <t>EX_NOVA CAJUCOCO</t>
  </si>
  <si>
    <t>EX_OLHO DAGUA 2LFA</t>
  </si>
  <si>
    <t>EX_OSORIO</t>
  </si>
  <si>
    <t>EX_OSORIO 2</t>
  </si>
  <si>
    <t>EX_OSORIO 3</t>
  </si>
  <si>
    <t>EX_L. DREYFUS L. PRATA-ACL</t>
  </si>
  <si>
    <t>EX_L. DREYFUS L. PRATA-ACR</t>
  </si>
  <si>
    <t>EX_PAJEU DO VENTO</t>
  </si>
  <si>
    <t>EX_PALMAS</t>
  </si>
  <si>
    <t>EX_LAGES (LAGES BIO)-ACL</t>
  </si>
  <si>
    <t>EX_PARACURU (ACEP)</t>
  </si>
  <si>
    <t>EX_LAGES (LAGES BIO)-ACR</t>
  </si>
  <si>
    <t>EX_PARQUE EOL PALMARES</t>
  </si>
  <si>
    <t>EX_LDC BIO RIO BRILH-ACL</t>
  </si>
  <si>
    <t>EX_LDC BIO RIO BRILH-ACR</t>
  </si>
  <si>
    <t>EX_LDC BIOENERGIA LEME-ACL</t>
  </si>
  <si>
    <t>EX_Parque Eólico do Horizonte</t>
  </si>
  <si>
    <t>EX_PAU FERRO</t>
  </si>
  <si>
    <t>EX_PEDRA BRANCA</t>
  </si>
  <si>
    <t>EX_LDC BIOENERGIA LEME-ACR</t>
  </si>
  <si>
    <t>EX_LUCELIA-ACL</t>
  </si>
  <si>
    <t>EX_FONTES SOLAR I</t>
  </si>
  <si>
    <t>EX_LUCELIA-ACR</t>
  </si>
  <si>
    <t>EX_LWARCEL-ACL</t>
  </si>
  <si>
    <t>EX_LWARCEL-ACR</t>
  </si>
  <si>
    <t>EX_FONTES SOLAR II</t>
  </si>
  <si>
    <t>FUT_FCR III Itapuranga_UG - 1_6º LER_-</t>
  </si>
  <si>
    <t>FUT_BJL 11_UG - 1_8º LER_-</t>
  </si>
  <si>
    <t>EX_PEDRA DO GERONIMO</t>
  </si>
  <si>
    <t>EX_PEDRA DO REINO</t>
  </si>
  <si>
    <t>EX_PEDRA DO REINO III</t>
  </si>
  <si>
    <t>EX_MACAIBA-ACL</t>
  </si>
  <si>
    <t>EX_MACAIBA-ACR</t>
  </si>
  <si>
    <t>EX_MANDU-ACL</t>
  </si>
  <si>
    <t>EX_MANDU-ACR</t>
  </si>
  <si>
    <t>EX_PEDRA DO SAL</t>
  </si>
  <si>
    <t>EX_MARACAI-ACL</t>
  </si>
  <si>
    <t>EX_MARACAI-ACR</t>
  </si>
  <si>
    <t>EX_PEDRA PRETA 2LFA</t>
  </si>
  <si>
    <t>EX_PILOES</t>
  </si>
  <si>
    <t>EX_PINDAI</t>
  </si>
  <si>
    <t>EX_PIRAUA MACAPARANA</t>
  </si>
  <si>
    <t>EX_PLANALTINA</t>
  </si>
  <si>
    <t>EX_PONTAL 2B 2LFA</t>
  </si>
  <si>
    <t>EX_PORTO DAS BARCAS</t>
  </si>
  <si>
    <t>EX_PORTO SALGADO</t>
  </si>
  <si>
    <t>EX_PORTO SEGURO</t>
  </si>
  <si>
    <t>EX_PRAIA DO MORGADO</t>
  </si>
  <si>
    <t>EX_PRAIA FORMOSA</t>
  </si>
  <si>
    <t>EX_PRAIAS DE PARAJURU</t>
  </si>
  <si>
    <t>EX_PRESIDENTE</t>
  </si>
  <si>
    <t>EX_PULPITO</t>
  </si>
  <si>
    <t>EX_QUIXABA</t>
  </si>
  <si>
    <t>EX_REB CASSINO 1 2LFA</t>
  </si>
  <si>
    <t>EX_REB CASSINO 2 2LFA</t>
  </si>
  <si>
    <t>EX_REB CASSINO 3 2LFA</t>
  </si>
  <si>
    <t>EX_REI VENTOS 1 2LER</t>
  </si>
  <si>
    <t>EX_REI VENTOS 3</t>
  </si>
  <si>
    <t>EX_RENASCENÇA 5 3LER</t>
  </si>
  <si>
    <t>EX_RENASCENÇA I</t>
  </si>
  <si>
    <t>EX_RENASCENÇA II</t>
  </si>
  <si>
    <t>EX_RENASCENÇA III</t>
  </si>
  <si>
    <t>EX_RENASCENÇA IV</t>
  </si>
  <si>
    <t>EX_RIACHAO I</t>
  </si>
  <si>
    <t>EX_RIACHAO II</t>
  </si>
  <si>
    <t>EX_RIACHAO IV</t>
  </si>
  <si>
    <t>EX_RIACHAO VI</t>
  </si>
  <si>
    <t>EX_RIACHAO VII</t>
  </si>
  <si>
    <t>EX_RIBEIRAO EOLOS</t>
  </si>
  <si>
    <t>EX_RIO DO FOGO</t>
  </si>
  <si>
    <t>EX_RIO DO OURO</t>
  </si>
  <si>
    <t>EX_RIO VERDE</t>
  </si>
  <si>
    <t>EX_SALTO (UEE SALTO)</t>
  </si>
  <si>
    <t>EX_SANGRADOURO</t>
  </si>
  <si>
    <t>EX_SANGRADOURO II</t>
  </si>
  <si>
    <t>EX_SANGRADOURO III</t>
  </si>
  <si>
    <t>EX_SANTA HELENA</t>
  </si>
  <si>
    <t>EX_MARTINS - MT-ACL</t>
  </si>
  <si>
    <t>EX_SANTA JOANA IX</t>
  </si>
  <si>
    <t>EX_SANTA JOANA XI</t>
  </si>
  <si>
    <t>EX_SANTA JOANA XII</t>
  </si>
  <si>
    <t>EX_MARTINS - MT-ACR</t>
  </si>
  <si>
    <t>EX_MATA ACUCAR E ALCOOL-ACL</t>
  </si>
  <si>
    <t>EX_MATA ACUCAR E ALCOOL-ACR</t>
  </si>
  <si>
    <t>EX_SANTA JOANA XV</t>
  </si>
  <si>
    <t>EX_MB-ACL</t>
  </si>
  <si>
    <t>EX_MB-ACR</t>
  </si>
  <si>
    <t>EX_SANTA JOANA XVI</t>
  </si>
  <si>
    <t>EX_Santa Maria</t>
  </si>
  <si>
    <t>EX_MERIDIANO-ACL</t>
  </si>
  <si>
    <t>EX_MERIDIANO-ACR</t>
  </si>
  <si>
    <t>EX_METALSIDER-ACL</t>
  </si>
  <si>
    <t>EX_SANTA MARIA</t>
  </si>
  <si>
    <t>EX_SANTO ANTONIO -SALTO</t>
  </si>
  <si>
    <t>EX_METALSIDER-ACR</t>
  </si>
  <si>
    <t>EX_SAO CRISTOVAO</t>
  </si>
  <si>
    <t>EX_SAO JORGE CE</t>
  </si>
  <si>
    <t>EX_SAO PEDRO DO LAGO</t>
  </si>
  <si>
    <t>EX_SBENTONORTE 2LFA</t>
  </si>
  <si>
    <t>EX_SEABRA</t>
  </si>
  <si>
    <t>EX_SERAIMA</t>
  </si>
  <si>
    <t>EX_SERRA DO SALTO</t>
  </si>
  <si>
    <t>EX_MOEMA ORINDIUVA-ACL</t>
  </si>
  <si>
    <t>EX_SETE GAMELEIRAS</t>
  </si>
  <si>
    <t>EX_SM (SANTA MARIA)</t>
  </si>
  <si>
    <t>EX_STA CLARA I (SCLARA)</t>
  </si>
  <si>
    <t>EX_STA CLARA II</t>
  </si>
  <si>
    <t>EX_STA CLARA III</t>
  </si>
  <si>
    <t>EX_STA CLARA IV</t>
  </si>
  <si>
    <t>EX_MOEMA ORINDIUVA-ACR</t>
  </si>
  <si>
    <t>EX_STA CLARA V</t>
  </si>
  <si>
    <t>EX_MOGIANA BIOENERGIA-ACL</t>
  </si>
  <si>
    <t>EX_MOGIANA BIOENERGIA-ACR</t>
  </si>
  <si>
    <t>EX_MONTE ALEGRE-ACL</t>
  </si>
  <si>
    <t>EX_MONTE ALEGRE-ACR</t>
  </si>
  <si>
    <t>EX_STA CLARA VI</t>
  </si>
  <si>
    <t>EX_STO ANTONIO DE PADUA</t>
  </si>
  <si>
    <t>EX_TACAICO</t>
  </si>
  <si>
    <t>EX_TAIBA AGUIA</t>
  </si>
  <si>
    <t>EX_TAIBA ALBATROZ</t>
  </si>
  <si>
    <t>EX_TAIBA ANDORINHA</t>
  </si>
  <si>
    <t>EX_TANQUE 3LER</t>
  </si>
  <si>
    <t>EX_TERRAL</t>
  </si>
  <si>
    <t>EX_TRAIRI</t>
  </si>
  <si>
    <t>EX_TUBARAO</t>
  </si>
  <si>
    <t>EX_UNIAO DOS VENTOS 01</t>
  </si>
  <si>
    <t>EX_UNIAO DOS VENTOS 02</t>
  </si>
  <si>
    <t>EX_UNIAO DOS VENTOS 03</t>
  </si>
  <si>
    <t>EX_UNIAO DOS VENTOS 04</t>
  </si>
  <si>
    <t>EX_UNIAO DOS VENTOS 05</t>
  </si>
  <si>
    <t>EX_UNIAO DOS VENTOS 06</t>
  </si>
  <si>
    <t>EX_UNIAO DOS VENTOS 07</t>
  </si>
  <si>
    <t>EX_UNIAO DOS VENTOS 08</t>
  </si>
  <si>
    <t>EX_UNIAO DOS VENTOS 09</t>
  </si>
  <si>
    <t>EX_UNIAO DOS VENTOS 10</t>
  </si>
  <si>
    <t>EX_V DO NORDESTE 3LER</t>
  </si>
  <si>
    <t>EX_VENTO ARAGANO I</t>
  </si>
  <si>
    <t>EX_VENTOS ANDORINHA</t>
  </si>
  <si>
    <t>EX_VENTOS DE SAO MIGUEL</t>
  </si>
  <si>
    <t>EX_VENTOS DE STO URIEL</t>
  </si>
  <si>
    <t>EX_VENTOS ST JOANA XIII</t>
  </si>
  <si>
    <t>EX_VENTOS STA JOANA X</t>
  </si>
  <si>
    <t>EX_VERACE 10</t>
  </si>
  <si>
    <t>EX_VERACE 24</t>
  </si>
  <si>
    <t>EX_VERACE 25</t>
  </si>
  <si>
    <t>EX_VERACE 26</t>
  </si>
  <si>
    <t>EX_VERACE 27</t>
  </si>
  <si>
    <t>EX_VERACE 5</t>
  </si>
  <si>
    <t>EX_VERACE I</t>
  </si>
  <si>
    <t>EX_VERACE II</t>
  </si>
  <si>
    <t>EX_VERACE III</t>
  </si>
  <si>
    <t>EX_VERACE IV</t>
  </si>
  <si>
    <t>EX_MONTEVERDE-ACL</t>
  </si>
  <si>
    <t>EX_VERACE IX</t>
  </si>
  <si>
    <t>EX_VERACE VI</t>
  </si>
  <si>
    <t>EX_VERACE VII</t>
  </si>
  <si>
    <t>EX_VERACE VIII</t>
  </si>
  <si>
    <t>EX_MONTEVERDE-ACR</t>
  </si>
  <si>
    <t>EX_VITORIA</t>
  </si>
  <si>
    <t>EX_MORRO VERMELHO-ACL</t>
  </si>
  <si>
    <t>EX_MORRO VERMELHO-ACR</t>
  </si>
  <si>
    <t>EX_NARDINI-ACL</t>
  </si>
  <si>
    <t>FUT_Angico 1_UG - 1_8º LER_-</t>
  </si>
  <si>
    <t>EX_VMORRINHOS 13LEN</t>
  </si>
  <si>
    <t>EX_VOLTA DO RIO</t>
  </si>
  <si>
    <t>EX_Wobben Mucuripe</t>
  </si>
  <si>
    <t>EX_Wobben Prainha I</t>
  </si>
  <si>
    <t>EX_NARDINI-ACR</t>
  </si>
  <si>
    <t>EX_NOBLE ENERGIA II-ACL</t>
  </si>
  <si>
    <t>EX_Wobben Prainha II</t>
  </si>
  <si>
    <t>EX_NOBLE ENERGIA II-ACR</t>
  </si>
  <si>
    <t>EX_Wobben Taíba</t>
  </si>
  <si>
    <t>EX_NOBLE ENERGIA-ACL</t>
  </si>
  <si>
    <t>EX_NOBLE ENERGIA-ACR</t>
  </si>
  <si>
    <t>EX_XANGRI-LA</t>
  </si>
  <si>
    <t>EX_OMETTO-ACL</t>
  </si>
  <si>
    <t>EX_XAVANTE POMBOS</t>
  </si>
  <si>
    <t>FUT_Abil_UG - 1_5º LER_-</t>
  </si>
  <si>
    <t>FUT_Acácia_UG - 1_5º LER_-</t>
  </si>
  <si>
    <t>FUT_Malta_UG - 1_8º LER_-</t>
  </si>
  <si>
    <t>FUT_Acauã_UG - 1_5º LER_-</t>
  </si>
  <si>
    <t>FUT_Amescla_UG - 1_ANEEL_-</t>
  </si>
  <si>
    <t>FUT_Angelim_UG - 1_ANEEL_-</t>
  </si>
  <si>
    <t>EX_OMETTO-ACR</t>
  </si>
  <si>
    <t>EX_OUROESTE-ACL</t>
  </si>
  <si>
    <t>FUT_Angical 2_UG - 1_5º LER_-</t>
  </si>
  <si>
    <t>FUT_Angical_UG - 1_4º LER_-</t>
  </si>
  <si>
    <t>FUT_Angico_UG - 1_5º LER_-</t>
  </si>
  <si>
    <t>FUT_Arapapá_UG - 1_5º LER_-</t>
  </si>
  <si>
    <t>FUT_ARARA AZUL_UG - 1_18º LEN_-</t>
  </si>
  <si>
    <t>EX_OUROESTE-ACR</t>
  </si>
  <si>
    <t>EX_PAMESA-EXCEDENTE-ACL</t>
  </si>
  <si>
    <t>EX_PAMESA-EXCEDENTE-ACR</t>
  </si>
  <si>
    <t>EX_PARANAPANEMA UMOE-ACL</t>
  </si>
  <si>
    <t>FUT_Aroeira_UG - 1_18º LEN_-</t>
  </si>
  <si>
    <t>FUT_Assuruá I_UG - 1_18º LEN_-</t>
  </si>
  <si>
    <t>FUT_Assuruá II_UG - 1_5º LER_-</t>
  </si>
  <si>
    <t>EX_PARANAPANEMA UMOE-ACR</t>
  </si>
  <si>
    <t>FUT_Assuruá II_UG - 2_5º LER_-</t>
  </si>
  <si>
    <t>EX_PASSA TEMPO-ACL</t>
  </si>
  <si>
    <t>EX_PASSA TEMPO-ACR</t>
  </si>
  <si>
    <t>EX_PAULICEIA-ACL</t>
  </si>
  <si>
    <t>EX_PAULICEIA-ACR</t>
  </si>
  <si>
    <t>EX_PEDRA (SERRANA)-ACL</t>
  </si>
  <si>
    <t>FUT_Assuruá III_UG - 1_6º LER_-</t>
  </si>
  <si>
    <t>FUT_Assuruá IV_UG - 1_6º LER_-</t>
  </si>
  <si>
    <t>FUT_Assuruá V_UG - 1_5º LER_-</t>
  </si>
  <si>
    <t>FUT_Assuruá V_UG - 2_5º LER_-</t>
  </si>
  <si>
    <t>FUT_Assuruá VI_UG - 1_18º LEN_-</t>
  </si>
  <si>
    <t>FUT_Assuruá VII_UG - 1_5º LER_-</t>
  </si>
  <si>
    <t>FUT_Assuruá VII_UG - 2_5º LER_-</t>
  </si>
  <si>
    <t>EX_PEDRA (SERRANA)-ACR</t>
  </si>
  <si>
    <t>EX_PEDRO AFONSO-ACL</t>
  </si>
  <si>
    <t>EX_PEDRO AFONSO-ACR</t>
  </si>
  <si>
    <t>EX_PIONEIROS II-ACL</t>
  </si>
  <si>
    <t>EX_PIONEIROS II-ACR</t>
  </si>
  <si>
    <t>EX_PIONEIROS-ACL</t>
  </si>
  <si>
    <t>EX_PIONEIROS-ACR</t>
  </si>
  <si>
    <t>EX_PIRAPAMA-ACL</t>
  </si>
  <si>
    <t>EX_PIRAPAMA-ACR</t>
  </si>
  <si>
    <t>EX_PIRATINI-ACL</t>
  </si>
  <si>
    <t>EX_PIRATINI-ACR</t>
  </si>
  <si>
    <t>EX_PITANGUEIRAS-ACL</t>
  </si>
  <si>
    <t>EX_PITANGUEIRAS-ACR</t>
  </si>
  <si>
    <t>EX_PLANTAR-ACL</t>
  </si>
  <si>
    <t>EX_PLANTAR-ACR</t>
  </si>
  <si>
    <t>FUT_Aura Mangueira IV_UG - 1_18º LEN_-</t>
  </si>
  <si>
    <t>EX_PORTO DAS AGUAS-ACL</t>
  </si>
  <si>
    <t>FUT_Aura Mangueira IV_UG - 2_18º LEN_-</t>
  </si>
  <si>
    <t>FUT_Aura Mangueira IV_UG - 3_18º LEN_-</t>
  </si>
  <si>
    <t>FUT_Aura Mangueira VI_UG - 1_18º LEN_-</t>
  </si>
  <si>
    <t>FUT_Aura Mangueira VI_UG - 2_18º LEN_-</t>
  </si>
  <si>
    <t>FUT_Aura Mangueira VI_UG - 3_18º LEN_-</t>
  </si>
  <si>
    <t>FUT_Aura Mangueira VI_UG - 4_18º LEN_-</t>
  </si>
  <si>
    <t>EX_PORTO DAS AGUAS-ACR</t>
  </si>
  <si>
    <t>EX_POTIRENDABA-ACL</t>
  </si>
  <si>
    <t>FUT_Aura Mangueira VI_UG - 5_18º LEN_-</t>
  </si>
  <si>
    <t>FUT_Aura Mangueira VI_UG - 6_18º LEN_-</t>
  </si>
  <si>
    <t>FUT_Aura Mangueira VII_UG - 1_19º LEN_-</t>
  </si>
  <si>
    <t>FUT_Aura Mangueira VII_UG - 2_19º LEN_-</t>
  </si>
  <si>
    <t>FUT_Aura Mangueira VII_UG - 3_19º LEN_-</t>
  </si>
  <si>
    <t>FUT_Aura Mangueira VII_UG - 4_19º LEN_-</t>
  </si>
  <si>
    <t>FUT_Aura Mangueira XI_UG - 1_18º LEN_-</t>
  </si>
  <si>
    <t>EX_POTIRENDABA-ACR</t>
  </si>
  <si>
    <t>EX_QUATA-ACL</t>
  </si>
  <si>
    <t>EX_QUATA-ACR</t>
  </si>
  <si>
    <t>FUT_Aura Mangueira XI_UG - 2_18º LEN_-</t>
  </si>
  <si>
    <t>EX_QUIRINOPOLIS-ACL</t>
  </si>
  <si>
    <t>FUT_Aura Mangueira XII_UG - 1_18º LEN_-</t>
  </si>
  <si>
    <t>FUT_Aura Mangueira XII_UG - 2_18º LEN_-</t>
  </si>
  <si>
    <t>EX_QUIRINOPOLIS-ACR</t>
  </si>
  <si>
    <t>EX_RAFARD COSAN-ACL</t>
  </si>
  <si>
    <t>EX_RAFARD COSAN-ACR</t>
  </si>
  <si>
    <t>EX_REFAP-ACL</t>
  </si>
  <si>
    <t>EX_REFAP-ACR</t>
  </si>
  <si>
    <t>FUT_Aura Mangueira XII_UG - 3_18º LEN_-</t>
  </si>
  <si>
    <t>FUT_Aura Mangueira XIII_UG - 1_18º LEN_-</t>
  </si>
  <si>
    <t>FUT_Aura Mangueira XIII_UG - 2_18º LEN_-</t>
  </si>
  <si>
    <t>FUT_Aura Mangueira XV_UG - 1_18º LEN_-</t>
  </si>
  <si>
    <t>FUT_Aura Mangueira XV_UG - 2_18º LEN_-</t>
  </si>
  <si>
    <t>FUT_Aura Mangueira XV_UG - 3_18º LEN_-</t>
  </si>
  <si>
    <t>FUT_Aura Mangueira XVII_UG - 1_18º LEN_-</t>
  </si>
  <si>
    <t>FUT_ITUVERAVA 1_UG - 1_6º LER_-</t>
  </si>
  <si>
    <t>EX_REPAR-ACL</t>
  </si>
  <si>
    <t>EX_REPAR-ACR</t>
  </si>
  <si>
    <t>EX_RHODIA PAULINIA-ACL</t>
  </si>
  <si>
    <t>EX_RHODIA PAULINIA-ACR</t>
  </si>
  <si>
    <t>EX_RICKLI-ACL</t>
  </si>
  <si>
    <t>EX_RICKLI-ACR</t>
  </si>
  <si>
    <t>EX_RIO PARDO-ACL</t>
  </si>
  <si>
    <t>EX_RIO PARDO-ACR</t>
  </si>
  <si>
    <t>EX_RIO VERMELHO 2 SP-ACL</t>
  </si>
  <si>
    <t>FUT_Aura Mangueira XVII_UG - 2_18º LEN_-</t>
  </si>
  <si>
    <t>FUT_Aura Mirim II_UG - 1_19º LEN_-</t>
  </si>
  <si>
    <t>FUT_Aura Mirim II_UG - 2_19º LEN_-</t>
  </si>
  <si>
    <t>FUT_Aura Mirim II_UG - 3_19º LEN_-</t>
  </si>
  <si>
    <t>FUT_Aura Mirim II_UG - 4_19º LEN_-</t>
  </si>
  <si>
    <t>FUT_Aura Mirim II_UG - 5_19º LEN_-</t>
  </si>
  <si>
    <t>FUT_Aura Mirim IV_UG - 1_18º LEN_-</t>
  </si>
  <si>
    <t>FUT_Aura Mirim IV_UG - 2_18º LEN_-</t>
  </si>
  <si>
    <t>EX_RIO VERMELHO 2 SP-ACR</t>
  </si>
  <si>
    <t>EX_RIO VERMELHO SP-ACL</t>
  </si>
  <si>
    <t>FUT_Aura Mirim VI_UG - 1_18º LEN_-</t>
  </si>
  <si>
    <t>EX_RIO VERMELHO SP-ACR</t>
  </si>
  <si>
    <t>FUT_Aura Mirim VIII_UG - 1_18º LEN_-</t>
  </si>
  <si>
    <t>FUT_Aura Mirim VIII_UG - 2_18º LEN_-</t>
  </si>
  <si>
    <t>EX_RJR-ACL</t>
  </si>
  <si>
    <t>EX_RJR-ACR</t>
  </si>
  <si>
    <t>FUT_Aventura I_UG - 1_18º LEN_-</t>
  </si>
  <si>
    <t>FUT_Baixa do Feijão I_UG - 1_13º LEN_-</t>
  </si>
  <si>
    <t>EX_RLAM-ACL</t>
  </si>
  <si>
    <t>EX_RLAM-ACR</t>
  </si>
  <si>
    <t>EX_RUETTE-ACL</t>
  </si>
  <si>
    <t>FUT_Baixa do Feijão II_UG - 1_13º LEN_-</t>
  </si>
  <si>
    <t>EX_RUETTE-ACR</t>
  </si>
  <si>
    <t>EX_S J BOA VISTA-ACL</t>
  </si>
  <si>
    <t>EX_S J BOA VISTA-ACR</t>
  </si>
  <si>
    <t>EX_S JOSE IGARASSU (NC)-ACL</t>
  </si>
  <si>
    <t>EX_S JOSE IGARASSU (NC)-ACR</t>
  </si>
  <si>
    <t>EX_S LUIZ(ACEP-ABENGOA)-ACL</t>
  </si>
  <si>
    <t>FUT_Baixa do Feijão III_UG - 1_13º LEN_-</t>
  </si>
  <si>
    <t>FUT_Baixa do Feijão IV_UG - 1_13º LEN_-</t>
  </si>
  <si>
    <t>FUT_Banda de Couro_UG - 1_18º LEN_-</t>
  </si>
  <si>
    <t>EX_S LUIZ(ACEP-ABENGOA)-ACR</t>
  </si>
  <si>
    <t>EX_S MARTINHO ENERG-ACL</t>
  </si>
  <si>
    <t>FUT_Banda de Couro_UG - 2_18º LEN_-</t>
  </si>
  <si>
    <t>FUT_Banda de Couro_UG - 3_18º LEN_-</t>
  </si>
  <si>
    <t>EX_S MARTINHO ENERG-ACR</t>
  </si>
  <si>
    <t>FUT_Baraúnas I_UG - 1_5º LER_-</t>
  </si>
  <si>
    <t>FUT_Baraúnas I_UG - 3_5º LER_-</t>
  </si>
  <si>
    <t>FUT_Baraúnas II_UG - 1_18º LEN_-</t>
  </si>
  <si>
    <t>FUT_Baraúnas II_UG - 2_18º LEN_-</t>
  </si>
  <si>
    <t>FUT_Baraúnas II_UG - 3_18º LEN_-</t>
  </si>
  <si>
    <t>FUT_Barbatimão_UG - 1_ANEEL_-</t>
  </si>
  <si>
    <t>FUT_BENTEVI_UG - 1_18º LEN_-</t>
  </si>
  <si>
    <t>FUT_BENTEVI_UG - 2_18º LEN_-</t>
  </si>
  <si>
    <t>FUT_BONS VENTOS CACIMBAS 2_UG - 1_18º LEN_-</t>
  </si>
  <si>
    <t>FUT_BONS VENTOS CACIMBAS 2_UG - 2_18º LEN_-</t>
  </si>
  <si>
    <t>FUT_BONS VENTOS CACIMBAS 3_UG - 1_18º LEN_-</t>
  </si>
  <si>
    <t>FUT_BONS VENTOS CACIMBAS 3_UG - 2_18º LEN_-</t>
  </si>
  <si>
    <t>EX_S TEREZINHA (ACEP)-ACL</t>
  </si>
  <si>
    <t>EX_S TEREZINHA (ACEP)-ACR</t>
  </si>
  <si>
    <t>FUT_BONS VENTOS CACIMBAS 4_UG - 1_18º LEN_-</t>
  </si>
  <si>
    <t>FUT_BONS VENTOS CACIMBAS 4_UG - 2_18º LEN_-</t>
  </si>
  <si>
    <t>FUT_BONS VENTOS CACIMBAS 5_UG - 1_18º LEN_-</t>
  </si>
  <si>
    <t>FUT_BONS VENTOS CACIMBAS 5_UG - 2_18º LEN_-</t>
  </si>
  <si>
    <t>EX_S. JOAO BIOGAS-ACL</t>
  </si>
  <si>
    <t>EX_S. JOAO BIOGAS-ACR</t>
  </si>
  <si>
    <t>FUT_BONS VENTOS CACIMBAS 7_UG - 1_18º LEN_-</t>
  </si>
  <si>
    <t>FUT_BONS VENTOS CACIMBAS 7_UG - 2_18º LEN_-</t>
  </si>
  <si>
    <t>FUT_Borgo_UG - 1_12º LEN_-</t>
  </si>
  <si>
    <t>FUT_Cabeço Vermelho II_UG - 1_18º LEN_-</t>
  </si>
  <si>
    <t>FUT_Cabeço Vermelho_UG - 1_18º LEN_-</t>
  </si>
  <si>
    <t>FUT_Cacimbas 1_UG - 1_22º LEN_-</t>
  </si>
  <si>
    <t>FUT_Cacimbas 1_UG - 2_22º LEN_-</t>
  </si>
  <si>
    <t>FUT_Cacimbas 1_UG - 3_22º LEN_-</t>
  </si>
  <si>
    <t>FUT_Cacimbas 1_UG - 4_22º LEN_-</t>
  </si>
  <si>
    <t>FUT_Caetité_UG - 1_12º LEN_-</t>
  </si>
  <si>
    <t>FUT_Caiçara I_UG - 1_13º LEN_-</t>
  </si>
  <si>
    <t>FUT_Caiçara I_UG - 2_13º LEN_-</t>
  </si>
  <si>
    <t>FUT_Caiçara I_UG - 3_13º LEN_-</t>
  </si>
  <si>
    <t>FUT_Caiçara I_UG - 4_13º LEN_-</t>
  </si>
  <si>
    <t>FUT_Caiçara II_UG - 1_13º LEN_-</t>
  </si>
  <si>
    <t>FUT_Caiçara II_UG - 2_13º LEN_-</t>
  </si>
  <si>
    <t>EX_S.FRANCISCO (BIOCOG)-ACL</t>
  </si>
  <si>
    <t>FUT_Caititu 2_UG - 1_5º LER_-</t>
  </si>
  <si>
    <t>EX_S.FRANCISCO (BIOCOG)-ACR</t>
  </si>
  <si>
    <t>EX_SALVADOR-ACL</t>
  </si>
  <si>
    <t>FUT_Caititu 3_UG - 1_5º LER_-</t>
  </si>
  <si>
    <t>FUT_Caititu_UG - 1_4º LER_-</t>
  </si>
  <si>
    <t>EX_SALVADOR-ACR</t>
  </si>
  <si>
    <t>FUT_Caititu_UG - 2_4º LER_-</t>
  </si>
  <si>
    <t>FUT_Calango 1_UG - 1_2º LFA_-</t>
  </si>
  <si>
    <t>FUT_Calango 2_UG - 1_2º LFA_-</t>
  </si>
  <si>
    <t>FUT_Calango 3_UG - 1_2º LFA_-</t>
  </si>
  <si>
    <t>EX_SANTA ADELIA-ACL</t>
  </si>
  <si>
    <t>EX_SANTA ADELIA-ACR</t>
  </si>
  <si>
    <t>FUT_Calango 4_UG - 1_2º LFA_-</t>
  </si>
  <si>
    <t>FUT_Calango 5_UG - 1_2º LFA_-</t>
  </si>
  <si>
    <t>FUT_Calango 6_UG - 1_19º LEN_-</t>
  </si>
  <si>
    <t>FUT_Campo dos Ventos I_UG - 1_ANEEL_-</t>
  </si>
  <si>
    <t>EX_SANTA CANDIDA-ACL</t>
  </si>
  <si>
    <t>EX_SANTA CANDIDA-ACR</t>
  </si>
  <si>
    <t>EX_SANTA ELISA-ACL</t>
  </si>
  <si>
    <t>EX_SANTA ELISA-ACR</t>
  </si>
  <si>
    <t>FUT_Campo dos Ventos I_UG - 2_ANEEL_-</t>
  </si>
  <si>
    <t>FUT_Campo dos Ventos I_UG - 3_ANEEL_-</t>
  </si>
  <si>
    <t>FUT_Campo dos Ventos I_UG - 4_ANEEL_-</t>
  </si>
  <si>
    <t>FUT_Campo dos Ventos I_UG - 5_ANEEL_-</t>
  </si>
  <si>
    <t>FUT_Campo dos Ventos I_UG - 6_ANEEL_-</t>
  </si>
  <si>
    <t>FUT_Campo dos Ventos I_UG - 7_ANEEL_-</t>
  </si>
  <si>
    <t>FUT_Campo dos Ventos III_UG - 1_ANEEL_-</t>
  </si>
  <si>
    <t>FUT_Campo dos Ventos III_UG - 2_ANEEL_-</t>
  </si>
  <si>
    <t>FUT_Campo dos Ventos III_UG - 3_ANEEL_-</t>
  </si>
  <si>
    <t>FUT_ITUVERAVA 2_UG - 1_6º LER_-</t>
  </si>
  <si>
    <t>FUT_ITUVERAVA 3_UG - 1_6º LER_-</t>
  </si>
  <si>
    <t>FUT_ITUVERAVA 4_UG - 1_6º LER_-</t>
  </si>
  <si>
    <t>FUT_ITUVERAVA 5_UG - 1_6º LER_-</t>
  </si>
  <si>
    <t>EX_SANTA JULIANA-ACL</t>
  </si>
  <si>
    <t>FUT_Campo dos Ventos III_UG - 4_ANEEL_-</t>
  </si>
  <si>
    <t>EX_SANTA JULIANA-ACR</t>
  </si>
  <si>
    <t>EX_SANTA LUZIA I-ACL</t>
  </si>
  <si>
    <t>FUT_Campo dos Ventos V_UG - 1_ANEEL_-</t>
  </si>
  <si>
    <t>EX_SANTA LUZIA I-ACR</t>
  </si>
  <si>
    <t>FUT_Campo dos Ventos V_UG - 2_ANEEL_-</t>
  </si>
  <si>
    <t>FUT_Campo dos Ventos V_UG - 3_ANEEL_-</t>
  </si>
  <si>
    <t>FUT_Campo dos Ventos V_UG - 4_ANEEL_-</t>
  </si>
  <si>
    <t>FUT_Campo dos Ventos V_UG - 5_ANEEL_-</t>
  </si>
  <si>
    <t>FUT_Campo dos Ventos V_UG - 6_ANEEL_-</t>
  </si>
  <si>
    <t>FUT_Capão do Inglês_UG - 1_17º LEN_-</t>
  </si>
  <si>
    <t>FUT_Capão do Inglês_UG - 2_17º LEN_-</t>
  </si>
  <si>
    <t>EX_SANTA TERESA-ACL</t>
  </si>
  <si>
    <t>EX_SANTA TERESA-ACR</t>
  </si>
  <si>
    <t>FUT_Capoeiras I_UG - 1_18º LEN_-</t>
  </si>
  <si>
    <t>FUT_Capoeiras II_UG - 1_18º LEN_-</t>
  </si>
  <si>
    <t>FUT_Capoeiras III_UG - 1_6º LER_-</t>
  </si>
  <si>
    <t>FUT_Carcará_UG - 1_5º LER_-</t>
  </si>
  <si>
    <t>FUT_Carnaúbas_UG - 1_4º LER_-</t>
  </si>
  <si>
    <t>FUT_Casa Nova II_UG - 1_18º LEN_-</t>
  </si>
  <si>
    <t>FUT_Casa Nova III_UG - 1_18º LEN_-</t>
  </si>
  <si>
    <t>FUT_CATANDUBA I_UG - 1_18º LEN_-</t>
  </si>
  <si>
    <t>FUT_CATANDUBA II_UG - 1_18º LEN_-</t>
  </si>
  <si>
    <t>EX_SANTO ANGELO - USA-ACL</t>
  </si>
  <si>
    <t>FUT_Cataventos Acaraú I_UG - 1_ANEEL_-</t>
  </si>
  <si>
    <t>FUT_Cedro_UG - 1_ANEEL_-</t>
  </si>
  <si>
    <t>FUT_Coqueirinho 2_UG - 1_17º LEN_-</t>
  </si>
  <si>
    <t>FUT_Coqueirinho_UG - 1_4º LER_-</t>
  </si>
  <si>
    <t>FUT_Coqueirinho_UG - 2_4º LER_-</t>
  </si>
  <si>
    <t>FUT_Corrupião 3_UG - 1_5º LER_-</t>
  </si>
  <si>
    <t>FUT_Corrupião_UG - 1_4º LER_-</t>
  </si>
  <si>
    <t>FUT_Coxilha Seca_UG - 1_17º LEN_-</t>
  </si>
  <si>
    <t>FUT_Coxilha Seca_UG - 2_17º LEN_-</t>
  </si>
  <si>
    <t>FUT_Coxilha Seca_UG - 3_17º LEN_-</t>
  </si>
  <si>
    <t>FUT_Cristal_UG - 1_3º LER_-</t>
  </si>
  <si>
    <t>FUT_Cristalândia I_UG - 1_3º LFA_-</t>
  </si>
  <si>
    <t>EX_SANTO ANGELO - USA-ACR</t>
  </si>
  <si>
    <t>FUT_Cristalândia II_UG - 1_3º LFA_-</t>
  </si>
  <si>
    <t>FUT_Cristalândia III_UG - 1_3º LFA_-</t>
  </si>
  <si>
    <t>FUT_Curral de Pedras I_UG - 1_6º LER_-</t>
  </si>
  <si>
    <t>FUT_Curral de Pedras II_UG - 1_6º LER_-</t>
  </si>
  <si>
    <t>EX_SANTO ANTONIO (CPFL)-ACL</t>
  </si>
  <si>
    <t>FUT_Curral de Pedras III_UG - 1_18º LEN_-</t>
  </si>
  <si>
    <t>FUT_Curral de Pedras IV_UG - 1_18º LEN_-</t>
  </si>
  <si>
    <t>FUT_Curupira_UG - 1_17º LEN_-</t>
  </si>
  <si>
    <t>FUT_Damascena_UG - 1_5º LER_-</t>
  </si>
  <si>
    <t>FUT_Delfina I_UG - 1_6º LER_-</t>
  </si>
  <si>
    <t>EX_SANTO ANTONIO (CPFL)-ACR</t>
  </si>
  <si>
    <t>FUT_Delfina II_UG - 1_6º LER_-</t>
  </si>
  <si>
    <t>FUT_Delfina III_UG - 1_ANEEL_-</t>
  </si>
  <si>
    <t>EX_SAO BORJA-ACL</t>
  </si>
  <si>
    <t>EX_SAO BORJA-ACR</t>
  </si>
  <si>
    <t>EX_SAO DOMINGOS -S. DOM-ACL</t>
  </si>
  <si>
    <t>FUT_Delfina V_UG - 1_6º LER_-</t>
  </si>
  <si>
    <t>FUT_Delfina VI_UG - 1_ANEEL_-</t>
  </si>
  <si>
    <t>FUT_Delfina VII_UG - 1_ANEEL_-</t>
  </si>
  <si>
    <t>FUT_Diamante II_UG - 1_6º LER_-</t>
  </si>
  <si>
    <t>FUT_Diamante III_UG - 1_6º LER_-</t>
  </si>
  <si>
    <t>FUT_Dreen Cutia_UG - 1_6º LER_-</t>
  </si>
  <si>
    <t>FUT_Dreen Guajiru_UG - 1_6º LER_-</t>
  </si>
  <si>
    <t>FUT_Esperança do Nordeste_UG - 1_6º LER_-</t>
  </si>
  <si>
    <t>FUT_Esperança_UG - 1_5º LER_-</t>
  </si>
  <si>
    <t>EX_SAO DOMINGOS -S. DOM-ACR</t>
  </si>
  <si>
    <t>FUT_Espigão_UG - 1_12º LEN_-</t>
  </si>
  <si>
    <t>EX_SAO FERNANDO I-ACL</t>
  </si>
  <si>
    <t>EX_SAO FERNANDO I-ACR</t>
  </si>
  <si>
    <t>FUT_Estrela_UG - 1_22º LEN_-</t>
  </si>
  <si>
    <t>EX_SAO FERNANDO-ACL</t>
  </si>
  <si>
    <t>EX_SAO FERNANDO-ACR</t>
  </si>
  <si>
    <t>FUT_Estrela_UG - 2_22º LEN_-</t>
  </si>
  <si>
    <t>FUT_Estrela_UG - 3_22º LEN_-</t>
  </si>
  <si>
    <t>FUT_Facheio_UG - 1_ANEEL_-</t>
  </si>
  <si>
    <t>FUT_Fazenda Vera Cruz_UG - 1_17º LEN_-</t>
  </si>
  <si>
    <t>FUT_Folha de Serra_UG - 1_5º LER_-</t>
  </si>
  <si>
    <t>FUT_Galpões_UG - 1_17º LEN_-</t>
  </si>
  <si>
    <t>EX_SAO JOAO (USJ)-ACL</t>
  </si>
  <si>
    <t>EX_SAO JOAO (USJ)-ACR</t>
  </si>
  <si>
    <t>EX_SAO JOSE (ZILLO)-ACL</t>
  </si>
  <si>
    <t>FUT_Galpões_UG - 2_17º LEN_-</t>
  </si>
  <si>
    <t>FUT_GE Jangada_UG - 1_6º LER_-</t>
  </si>
  <si>
    <t>FUT_GE Maria Helena_UG - 1_6º LER_-</t>
  </si>
  <si>
    <t>FUT_Goiabeira_UG - 1_13º LEN_-</t>
  </si>
  <si>
    <t>FUT_Imburana Macho_UG - 1_ANEEL_-</t>
  </si>
  <si>
    <t>FUT_Inhambu_UG - 1_4º LER_-</t>
  </si>
  <si>
    <t>FUT_Itaguaçu da Bahia_UG - 1_18º LEN_-</t>
  </si>
  <si>
    <t>FUT_Itarema I_UG - 1_17º LEN_-</t>
  </si>
  <si>
    <t>FUT_Itarema I_UG - 2_17º LEN_-</t>
  </si>
  <si>
    <t>FUT_Itarema II_UG - 1_17º LEN_-</t>
  </si>
  <si>
    <t>FUT_Itarema II_UG - 2_17º LEN_-</t>
  </si>
  <si>
    <t>FUT_Itarema II_UG - 3_17º LEN_-</t>
  </si>
  <si>
    <t>FUT_Itarema III_UG - 1_17º LEN_-</t>
  </si>
  <si>
    <t>FUT_Itarema IV_UG - 1_19º LEN_-</t>
  </si>
  <si>
    <t>FUT_Itarema IX_UG - 1_19º LEN_-</t>
  </si>
  <si>
    <t>EX_SAO JOSE (ZILLO)-ACR</t>
  </si>
  <si>
    <t>EX_SAO JOSE COLINA-ACL</t>
  </si>
  <si>
    <t>EX_SAO JOSE COLINA-ACR</t>
  </si>
  <si>
    <t>EX_SAO JOSE DA ESTIVA-ACL</t>
  </si>
  <si>
    <t>EX_SAO JOSE DA ESTIVA-ACR</t>
  </si>
  <si>
    <t>FUT_Itarema V_UG - 1_17º LEN_-</t>
  </si>
  <si>
    <t>EX_SAO JOSE DO PINHEIRO-ACL</t>
  </si>
  <si>
    <t>EX_SAO JOSE DO PINHEIRO-ACR</t>
  </si>
  <si>
    <t>EX_SAO JUDAS TADEU-ACL</t>
  </si>
  <si>
    <t>EX_SAO JUDAS TADEU-ACR</t>
  </si>
  <si>
    <t>EX_SAO LUIZ-OURINHOS-ACL</t>
  </si>
  <si>
    <t>EX_SAO LUIZ-OURINHOS-ACR</t>
  </si>
  <si>
    <t>FUT_Itarema VI_UG - 1_19º LEN_-</t>
  </si>
  <si>
    <t>FUT_ITUVERAVA 6_UG - 1_6º LER_-</t>
  </si>
  <si>
    <t>FUT_ITUVERAVA 7_UG - 1_6º LER_-</t>
  </si>
  <si>
    <t>FUT_SÃO PEDRO II_UG - 1_8º LER_-</t>
  </si>
  <si>
    <t>EX_SAO MARTINHO-ACL</t>
  </si>
  <si>
    <t>EX_SAO MARTINHO-ACR</t>
  </si>
  <si>
    <t>EX_SAO MIGUEL-ACL</t>
  </si>
  <si>
    <t>FUT_Itarema VII_UG - 1_19º LEN_-</t>
  </si>
  <si>
    <t>FUT_Itarema VIII_UG - 1_19º LEN_-</t>
  </si>
  <si>
    <t>FUT_Jabuticaba_UG - 1_5º LER_-</t>
  </si>
  <si>
    <t>FUT_Jacarandá do Cerrado_UG - 1_5º LER_-</t>
  </si>
  <si>
    <t>EX_SAO MIGUEL-ACR</t>
  </si>
  <si>
    <t>EX_SELECTA-ACL</t>
  </si>
  <si>
    <t>EX_SELECTA-ACR</t>
  </si>
  <si>
    <t>FUT_Jataí_UG - 1_ANEEL_-</t>
  </si>
  <si>
    <t>FUT_Jericó_UG - 1_18º LEN_-</t>
  </si>
  <si>
    <t>FUT_Juazeiro_UG - 1_ANEEL_-</t>
  </si>
  <si>
    <t>FUT_Junco I_UG - 1_13º LEN_-</t>
  </si>
  <si>
    <t>FUT_Junco I_UG - 2_13º LEN_-</t>
  </si>
  <si>
    <t>FUT_Junco I_UG - 3_13º LEN_-</t>
  </si>
  <si>
    <t>FUT_Junco II_UG - 1_13º LEN_-</t>
  </si>
  <si>
    <t>FUT_Junco II_UG - 2_13º LEN_-</t>
  </si>
  <si>
    <t>FUT_Junco II_UG - 3_13º LEN_-</t>
  </si>
  <si>
    <t>FUT_Jurema Preta_UG - 1_ANEEL_-</t>
  </si>
  <si>
    <t>FUT_Laranjeiras I_UG - 1_6º LER_-</t>
  </si>
  <si>
    <t>FUT_Laranjeiras II_UG - 1_6º LER_-</t>
  </si>
  <si>
    <t>FUT_Laranjeiras V_UG - 1_6º LER_-</t>
  </si>
  <si>
    <t>FUT_Macambira I_UG - 1_13º LEN_-</t>
  </si>
  <si>
    <t>FUT_Macambira II_UG - 1_13º LEN_-</t>
  </si>
  <si>
    <t>FUT_Malhadinha 1_UG - 1_4º LER_-</t>
  </si>
  <si>
    <t>FUT_Maniçoba_UG - 1_5º LER_-</t>
  </si>
  <si>
    <t>FUT_Manineiro_UG - 1_ANEEL_-</t>
  </si>
  <si>
    <t>FUT_Morro Branco I_UG - 2_5º LER_-</t>
  </si>
  <si>
    <t>FUT_Morro Branco I_UG - 3_5º LER_-</t>
  </si>
  <si>
    <t>FUT_Morro Branco I_UG - 4_5º LER_-</t>
  </si>
  <si>
    <t>FUT_Morro Branco I_UG - 5_5º LER_-</t>
  </si>
  <si>
    <t>EX_SERRA (BIO SERRA)-ACL</t>
  </si>
  <si>
    <t>EX_SERRA (BIO SERRA)-ACR</t>
  </si>
  <si>
    <t>FUT_Mulungu_UG - 1_6º LER_-</t>
  </si>
  <si>
    <t>FUT_Mussambê_UG - 3_5º LER_-</t>
  </si>
  <si>
    <t>FUT_Mussambê_UG - 4_5º LER_-</t>
  </si>
  <si>
    <t>FUT_Ouro Verde I_UG - 1_18º LEN_-</t>
  </si>
  <si>
    <t>FUT_Ouro Verde I_UG - 2_18º LEN_-</t>
  </si>
  <si>
    <t>FUT_Ouro Verde II_UG - 1_18º LEN_-</t>
  </si>
  <si>
    <t>FUT_Ouro Verde II_UG - 2_18º LEN_-</t>
  </si>
  <si>
    <t>FUT_Ouro Verde III_UG - 1_18º LEN_-</t>
  </si>
  <si>
    <t>FUT_Ouro Verde III_UG - 2_18º LEN_-</t>
  </si>
  <si>
    <t>FUT_SÃO PEDRO IV_UG - 1_8º LER_-</t>
  </si>
  <si>
    <t>FUT_PIRAPORA 10_UG - 1_8º LER_-</t>
  </si>
  <si>
    <t>FUT_Ouro Verde_UG - 1_22º LEN_-</t>
  </si>
  <si>
    <t>FUT_Ouro Verde_UG - 2_22º LEN_-</t>
  </si>
  <si>
    <t>FUT_Ouro Verde_UG - 3_22º LEN_-</t>
  </si>
  <si>
    <t>FUT_Papagaio_UG - 1_17º LEN_-</t>
  </si>
  <si>
    <t>FUT_Paraíso dos Ventos do Nordeste_UG - 1_6º LER_-</t>
  </si>
  <si>
    <t>FUT_Parque Eólico Cabeço Preto III_UG - 1_13º LEN_-</t>
  </si>
  <si>
    <t>FUT_Parque Eólico Cabeço Preto V_UG - 1_13º LEN_-</t>
  </si>
  <si>
    <t>FUT_Parque Eólico Cabeço Preto VI_UG - 1_13º LEN_-</t>
  </si>
  <si>
    <t>FUT_Parque Eólico Lanchinha_UG - 1_4º LER_-</t>
  </si>
  <si>
    <t>FUT_Parque Eólico Pelado_UG - 1_4º LER_-</t>
  </si>
  <si>
    <t>FUT_Pau D'Agua_UG - 1_ANEEL_-</t>
  </si>
  <si>
    <t>FUT_Pau Santo_UG - 1_6º LER_-</t>
  </si>
  <si>
    <t>FUT_Pedra Cheirosa II_UG - 1_18º LEN_-</t>
  </si>
  <si>
    <t>EX_SERRA GRANDE-ACL</t>
  </si>
  <si>
    <t>FUT_Pedra Cheirosa II_UG - 2_18º LEN_-</t>
  </si>
  <si>
    <t>FUT_Pedra Cheirosa_UG - 1_18º LEN_-</t>
  </si>
  <si>
    <t>FUT_Pedra do Reino IV_UG - 1_9º LER_-</t>
  </si>
  <si>
    <t>FUT_Pedra Rajada II_UG - 1_6º LER_-</t>
  </si>
  <si>
    <t>FUT_Pedra Rajada_UG - 1_6º LER_-</t>
  </si>
  <si>
    <t>FUT_Pelourinho_UG - 1_12º LEN_-</t>
  </si>
  <si>
    <t>FUT_Pitombeira_UG - 1_13º LEN_-</t>
  </si>
  <si>
    <t>FUT_Pontal 2A_UG - 1_17º LEN_-</t>
  </si>
  <si>
    <t>FUT_Pontal 3B_UG - 1_13º LEN_-</t>
  </si>
  <si>
    <t>FUT_Porto do Delta_UG - 1_18º LEN_-</t>
  </si>
  <si>
    <t>EX_SERRA GRANDE-ACR</t>
  </si>
  <si>
    <t>EX_SIDERPITA-ACL</t>
  </si>
  <si>
    <t>EX_SIDERPITA-ACR</t>
  </si>
  <si>
    <t>EX_SIMASA-ACL</t>
  </si>
  <si>
    <t>FUT_Potiguar_UG - 1_6º LER_-</t>
  </si>
  <si>
    <t>FUT_Povo Novo_UG - 1_17º LEN_-</t>
  </si>
  <si>
    <t>FUT_Primavera_UG - 1_3º LER_-</t>
  </si>
  <si>
    <t>FUT_Quina_UG - 1_6º LER_-</t>
  </si>
  <si>
    <t>FUT_Reduto_UG - 1_4º LER_-</t>
  </si>
  <si>
    <t>FUT_Rei dos Ventos 1_UG - 5_2º LER_-</t>
  </si>
  <si>
    <t>FUT_Rei dos Ventos 1_UG - 6_2º LER_-</t>
  </si>
  <si>
    <t>FUT_Sabiu_UG - 1_ANEEL_-</t>
  </si>
  <si>
    <t>FUT_Saboeiro_UG - 1_ANEEL_-</t>
  </si>
  <si>
    <t>FUT_Santa Catarina_UG - 1_13º LEN_-</t>
  </si>
  <si>
    <t>FUT_Santa Mônica I_UG - 1_22º LEN_-</t>
  </si>
  <si>
    <t>FUT_Santa Mônica I_UG - 2_22º LEN_-</t>
  </si>
  <si>
    <t>FUT_Santa Mônica I_UG - 3_22º LEN_-</t>
  </si>
  <si>
    <t>FUT_Santa Mônica I_UG - 4_22º LEN_-</t>
  </si>
  <si>
    <t>FUT_Santa Mônica I_UG - 5_22º LEN_-</t>
  </si>
  <si>
    <t>FUT_Santa Mônica I_UG - 6_22º LEN_-</t>
  </si>
  <si>
    <t>FUT_Santa Mônica I_UG - 7_22º LEN_-</t>
  </si>
  <si>
    <t>FUT_Santa Mônica_UG - 1_ANEEL_-</t>
  </si>
  <si>
    <t>FUT_Santa Rosa_UG - 1_18º LEN_-</t>
  </si>
  <si>
    <t>FUT_Santa Rosa_UG - 2_18º LEN_-</t>
  </si>
  <si>
    <t>FUT_Santa Rosa_UG - 3_18º LEN_-</t>
  </si>
  <si>
    <t>FUT_Santa Rosa_UG - 4_18º LEN_-</t>
  </si>
  <si>
    <t>FUT_Santa Rosa_UG - 5_18º LEN_-</t>
  </si>
  <si>
    <t>FUT_Santa Úrsula_UG - 1_ANEEL_-</t>
  </si>
  <si>
    <t>FUT_Santa Verônica_UG - 1_ANEEL_-</t>
  </si>
  <si>
    <t>FUT_Santana I_UG - 1_19º LEN_-</t>
  </si>
  <si>
    <t>FUT_Santana II_UG - 1_19º LEN_-</t>
  </si>
  <si>
    <t>FUT_Santo Amaro do Piauí_UG - 1_ANEEL_-</t>
  </si>
  <si>
    <t>FUT_Santo Anastácio_UG - 1_ANEEL_-</t>
  </si>
  <si>
    <t>FUT_Santo Cristo_UG - 1_4º LER_-</t>
  </si>
  <si>
    <t>FUT_São Basílio_UG - 1_ANEEL_-</t>
  </si>
  <si>
    <t>FUT_PIRAPORA 5_UG - 1_8º LER_-</t>
  </si>
  <si>
    <t>FUT_PIRAPORA 6_UG - 1_8º LER_-</t>
  </si>
  <si>
    <t>FUT_PIRAPORA 7_UG - 1_8º LER_-</t>
  </si>
  <si>
    <t>FUT_PIRAPORA 9_UG - 1_8º LER_-</t>
  </si>
  <si>
    <t>FUT_Assuruá_UG - 1_8º LER_-</t>
  </si>
  <si>
    <t>FUT_Bom Jesus da Lapa I_UG - 1_8º LER_-</t>
  </si>
  <si>
    <t>FUT_Bom Jesus da Lapa II_UG - 1_8º LER_-</t>
  </si>
  <si>
    <t>EX_SIMASA-ACR</t>
  </si>
  <si>
    <t>EX_SOL-ACL</t>
  </si>
  <si>
    <t>EX_SOL-ACR</t>
  </si>
  <si>
    <t>EX_STEREZIN(PARANACITY)-ACL</t>
  </si>
  <si>
    <t>FUT_São Domingos_UG - 1_ANEEL_-</t>
  </si>
  <si>
    <t>FUT_São Domingos_UG - 2_ANEEL_-</t>
  </si>
  <si>
    <t>FUT_São Domingos_UG - 3_ANEEL_-</t>
  </si>
  <si>
    <t>FUT_São Domingos_UG - 4_ANEEL_-</t>
  </si>
  <si>
    <t>FUT_São Domingos_UG - 5_ANEEL_-</t>
  </si>
  <si>
    <t>FUT_São Félix_UG - 1_ANEEL_-</t>
  </si>
  <si>
    <t>FUT_São João_UG - 1_4º LER_-</t>
  </si>
  <si>
    <t>FUT_São Judas_UG - 1_3º LER_-</t>
  </si>
  <si>
    <t>FUT_São Moisés_UG - 1_ANEEL_-</t>
  </si>
  <si>
    <t>FUT_São Salvador_UG - 1_14º LEN_-</t>
  </si>
  <si>
    <t>FUT_Serra da Babilônia II_UG - 1_9º LER_-</t>
  </si>
  <si>
    <t>FUT_Serra da Babilônia IX_UG - 1_9º LER_-</t>
  </si>
  <si>
    <t>FUT_Serra da Babilônia VI_UG - 1_9º LER_-</t>
  </si>
  <si>
    <t>FUT_Serra da Babilônia VII_UG - 1_9º LER_-</t>
  </si>
  <si>
    <t>FUT_Serra da Babilônia VIII_UG - 1_9º LER_-</t>
  </si>
  <si>
    <t>FUT_Serra da Babilônia X_UG - 1_9º LER_-</t>
  </si>
  <si>
    <t>FUT_Serra da Babilônia XI_UG - 1_9º LER_-</t>
  </si>
  <si>
    <t>FUT_Serra da Babilônia XII_UG - 1_9º LER_-</t>
  </si>
  <si>
    <t>FUT_Serra das Vacas I_UG - 1_17º LEN_-</t>
  </si>
  <si>
    <t>FUT_Serra das Vacas II_UG - 1_17º LEN_-</t>
  </si>
  <si>
    <t>FUT_Serra das Vacas III_UG - 1_17º LEN_-</t>
  </si>
  <si>
    <t>FUT_Serra das Vacas III_UG - 2_17º LEN_-</t>
  </si>
  <si>
    <t>EX_STEREZIN(PARANACITY)-ACR</t>
  </si>
  <si>
    <t>EX_SUZANO MUCURI-ACL</t>
  </si>
  <si>
    <t>FUT_Serra das Vacas IV_UG - 1_17º LEN_-</t>
  </si>
  <si>
    <t>FUT_Serra das Vacas V_UG - 1_6º LER_-</t>
  </si>
  <si>
    <t>FUT_Serra das Vacas VII_UG - 1_6º LER_-</t>
  </si>
  <si>
    <t>FUT_Serra de Santana I_UG - 1_3º LER_-</t>
  </si>
  <si>
    <t>FUT_Serra de Santana II_UG - 1_3º LER_-</t>
  </si>
  <si>
    <t>FUT_Serra de Santana III_UG - 1_3º LER_-</t>
  </si>
  <si>
    <t>FUT_Serra do Espinhaço_UG - 1_12º LEN_-</t>
  </si>
  <si>
    <t>FUT_Serra do Mel I_UG - 1_18º LEN_-</t>
  </si>
  <si>
    <t>EX_SUZANO MUCURI-ACR</t>
  </si>
  <si>
    <t>EX_TAQUARI-ACL</t>
  </si>
  <si>
    <t>FUT_Serra do Mel II_UG - 1_18º LEN_-</t>
  </si>
  <si>
    <t>FUT_Serra do Mel III_UG - 1_18º LEN_-</t>
  </si>
  <si>
    <t>FUT_Taboquinha_UG - 1_5º LER_-</t>
  </si>
  <si>
    <t>FUT_Tabua_UG - 1_5º LER_-</t>
  </si>
  <si>
    <t>FUT_Tamanduá Mirim 2_UG - 1_18º LEN_-</t>
  </si>
  <si>
    <t>FUT_Tamanduá Mirim_UG - 1_4º LER_-</t>
  </si>
  <si>
    <t>FUT_Teiú 2_UG - 1_5º LER_-</t>
  </si>
  <si>
    <t>FUT_Teiu_UG - 1_4º LER_-</t>
  </si>
  <si>
    <t>FUT_Testa Branca I_UG - 1_18º LEN_-</t>
  </si>
  <si>
    <t>FUT_Testa Branca I_UG - 10_18º LEN_-</t>
  </si>
  <si>
    <t>FUT_Testa Branca I_UG - 2_18º LEN_-</t>
  </si>
  <si>
    <t>FUT_Testa Branca I_UG - 3_18º LEN_-</t>
  </si>
  <si>
    <t>FUT_Testa Branca I_UG - 4_18º LEN_-</t>
  </si>
  <si>
    <t>FUT_Testa Branca I_UG - 5_18º LEN_-</t>
  </si>
  <si>
    <t>FUT_Testa Branca I_UG - 6_18º LEN_-</t>
  </si>
  <si>
    <t>FUT_Testa Branca I_UG - 7_18º LEN_-</t>
  </si>
  <si>
    <t>FUT_Testa Branca I_UG - 8_18º LEN_-</t>
  </si>
  <si>
    <t>FUT_Testa Branca I_UG - 9_18º LEN_-</t>
  </si>
  <si>
    <t>FUT_Testa Branca III_UG - 1_22º LEN_-</t>
  </si>
  <si>
    <t>FUT_Testa Branca III_UG - 2_22º LEN_-</t>
  </si>
  <si>
    <t>FUT_Testa Branca III_UG - 3_22º LEN_-</t>
  </si>
  <si>
    <t>FUT_Ubatuba_UG - 1_13º LEN_-</t>
  </si>
  <si>
    <t>FUT_Ubatuba_UG - 2_13º LEN_-</t>
  </si>
  <si>
    <t>EX_TAQUARI-ACR</t>
  </si>
  <si>
    <t>FUT_COREMAS II_UG - 1_8º LER_-</t>
  </si>
  <si>
    <t>FUT_LAPA 2_UG - 1_8º LER_-</t>
  </si>
  <si>
    <t>FUT_LAPA 3_UG - 1_8º LER_-</t>
  </si>
  <si>
    <t>EX_TARUMÃ-ACL</t>
  </si>
  <si>
    <t>FUT_NOVA OLINDA 10_UG - 1_8º LER_-</t>
  </si>
  <si>
    <t>FUT_NOVA OLINDA 11_UG - 1_8º LER_-</t>
  </si>
  <si>
    <t>FUT_NOVA OLINDA 12_UG - 1_8º LER_-</t>
  </si>
  <si>
    <t>FUT_NOVA OLINDA 13_UG - 1_8º LER_-</t>
  </si>
  <si>
    <t>FUT_NOVA OLINDA 14_UG - 1_8º LER_-</t>
  </si>
  <si>
    <t>FUT_NOVA OLINDA 8_UG - 1_8º LER_-</t>
  </si>
  <si>
    <t>FUT_Ubatuba_UG - 3_13º LEN_-</t>
  </si>
  <si>
    <t>FUT_Ubatuba_UG - 4_13º LEN_-</t>
  </si>
  <si>
    <t>FUT_Uirapuru_UG - 1_18º LEN_-</t>
  </si>
  <si>
    <t>FUT_Uirapuru_UG - 2_18º LEN_-</t>
  </si>
  <si>
    <t>FUT_Uirapuru_UG - 3_18º LEN_-</t>
  </si>
  <si>
    <t>FUT_Uirapuru_UG - 4_18º LEN_-</t>
  </si>
  <si>
    <t>FUT_Uirapuru_UG - 5_18º LEN_-</t>
  </si>
  <si>
    <t>FUT_Uirapuru_UG - 6_18º LEN_-</t>
  </si>
  <si>
    <t>FUT_Uirapuru_UG - 7_18º LEN_-</t>
  </si>
  <si>
    <t>FUT_Umburanas 1_UG - 1_18º LEN_-</t>
  </si>
  <si>
    <t>FUT_Umburanas 10_UG - 1_18º LEN_-</t>
  </si>
  <si>
    <t>FUT_Umburanas 11_UG - 1_18º LEN_-</t>
  </si>
  <si>
    <t>FUT_Umburanas 12_UG - 1_18º LEN_-</t>
  </si>
  <si>
    <t>FUT_Umburanas 13_UG - 1_18º LEN_-</t>
  </si>
  <si>
    <t>FUT_Umburanas 14_UG - 1_18º LEN_-</t>
  </si>
  <si>
    <t>FUT_NOVA OLINDA 9_UG - 1_8º LER_-</t>
  </si>
  <si>
    <t>FUT_Sertao 1_UG - 1_8º LER_-</t>
  </si>
  <si>
    <t>FUT_Sobral 1_UG - 1_8º LER_-</t>
  </si>
  <si>
    <t>FUT_Umburanas 15_UG - 1_18º LEN_-</t>
  </si>
  <si>
    <t>FUT_Umburanas 16_UG - 1_18º LEN_-</t>
  </si>
  <si>
    <t>FUT_Umburanas 18_UG - 1_18º LEN_-</t>
  </si>
  <si>
    <t>FUT_Umburanas 2_UG - 1_18º LEN_-</t>
  </si>
  <si>
    <t>FUT_Umburanas 3_UG - 1_18º LEN_-</t>
  </si>
  <si>
    <t>FUT_Umburanas 4_UG - 1_18º LEN_-</t>
  </si>
  <si>
    <t>FUT_Umburanas 5_UG - 1_18º LEN_-</t>
  </si>
  <si>
    <t>FUT_Umburanas 6_UG - 1_18º LEN_-</t>
  </si>
  <si>
    <t>FUT_Umburanas 7_UG - 1_18º LEN_-</t>
  </si>
  <si>
    <t>FUT_Umburanas 8_UG - 1_18º LEN_-</t>
  </si>
  <si>
    <t>FUT_Umburanas 9_UG - 1_18º LEN_-</t>
  </si>
  <si>
    <t>FUT_Umbuzeiro_UG - 1_ANEEL_-</t>
  </si>
  <si>
    <t>FUT_Umbuzeiros_UG - 1_18º LEN_-</t>
  </si>
  <si>
    <t>FUT_Unha D'Anta_UG - 1_ANEEL_-</t>
  </si>
  <si>
    <t>FUT_União dos Ventos 12_UG - 1_18º LEN_-</t>
  </si>
  <si>
    <t>FUT_União dos Ventos 13_UG - 1_18º LEN_-</t>
  </si>
  <si>
    <t>FUT_União dos Ventos 14_UG - 1_18º LEN_-</t>
  </si>
  <si>
    <t>FUT_União dos Ventos 15_UG - 1_18º LEN_-</t>
  </si>
  <si>
    <t>FUT_União dos Ventos 16_UG - 1_18º LEN_-</t>
  </si>
  <si>
    <t>FUT_Vaqueta_UG - 1_5º LER_-</t>
  </si>
  <si>
    <t>FUT_Vellozia_UG - 1_ANEEL_-</t>
  </si>
  <si>
    <t>FUT_Vento Formoso_UG - 1_2º LFA_-</t>
  </si>
  <si>
    <t>FUT_Ventos da Bahia I_UG - 1_9º LER_-</t>
  </si>
  <si>
    <t>FUT_Ventos da Bahia II_UG - 1_18º LEN_-</t>
  </si>
  <si>
    <t>FUT_Ventos da Bahia III_UG - 1_9º LER_-</t>
  </si>
  <si>
    <t>FUT_Ventos da Bahia IV_UG - 1_18º LEN_-</t>
  </si>
  <si>
    <t>FUT_Ventos da Bahia IX_UG - 1_9º LER_-</t>
  </si>
  <si>
    <t>FUT_Ventos da Bahia VIII_UG - 1_18º LEN_-</t>
  </si>
  <si>
    <t>FUT_Ventos da Bahia XVIII_UG - 1_9º LER_-</t>
  </si>
  <si>
    <t>FUT_Ventos da Santa Beatriz_UG - 1_9º LER_-</t>
  </si>
  <si>
    <t>FUT_Brisas Suaves_UG - 1_9º LER_-</t>
  </si>
  <si>
    <t>FUT_SOL MAIOR 2_UG - 1_8º LER_-</t>
  </si>
  <si>
    <t>FUT_Ventos de Angelim_UG - 1_18º LEN_-</t>
  </si>
  <si>
    <t>FUT_Ventos de Angelim_UG - 2_18º LEN_-</t>
  </si>
  <si>
    <t>FUT_Ventos de Angelim_UG - 3_18º LEN_-</t>
  </si>
  <si>
    <t>FUT_Ventos de Angelim_UG - 4_18º LEN_-</t>
  </si>
  <si>
    <t>FUT_Ventos de Angelim_UG - 5_18º LEN_-</t>
  </si>
  <si>
    <t>FUT_Ventos de Angelim_UG - 6_18º LEN_-</t>
  </si>
  <si>
    <t>FUT_Ventos de Campo Formoso I_UG - 1_13º LEN_-</t>
  </si>
  <si>
    <t>FUT_Ventos de Campo Formoso II_UG - 1_13º LEN_-</t>
  </si>
  <si>
    <t>FUT_Ventos de Guarás I_UG - 1_17º LEN_-</t>
  </si>
  <si>
    <t>FUT_Ventos de Horizonte_UG - 1_13º LEN_-</t>
  </si>
  <si>
    <t>FUT_Ventos de Santa Angelina_UG - 1_ANEEL_-</t>
  </si>
  <si>
    <t>FUT_Ventos de Santa Aparecida_UG - 1_9º LER_-</t>
  </si>
  <si>
    <t>FUT_Ventos de Santa Aurora_UG - 1_9º LER_-</t>
  </si>
  <si>
    <t>FUT_Ventos de Santa Bárbara_UG - 1_ANEEL_-</t>
  </si>
  <si>
    <t>FUT_Ventos de Santa Bárbara_UG - 2_ANEEL_-</t>
  </si>
  <si>
    <t>FUT_Ventos de Santa Brigida I_UG - 1_5º LER_-</t>
  </si>
  <si>
    <t>FUT_Ventos de Santa Brigida II_UG - 1_5º LER_-</t>
  </si>
  <si>
    <t>EX_TARUMÃ-ACR</t>
  </si>
  <si>
    <t>FUT_VERDE VALE III_UG - 1_8º LER_-</t>
  </si>
  <si>
    <t>FUT_BJL 4_UG - 1_9º LER_-</t>
  </si>
  <si>
    <t>EX_TOTAL-ACL</t>
  </si>
  <si>
    <t>EX_TOTAL-ACR</t>
  </si>
  <si>
    <t>EX_TRIALCOOL-ACL</t>
  </si>
  <si>
    <t>EX_TRIALCOOL-ACR</t>
  </si>
  <si>
    <t>EX_TROPICAL II-ACL</t>
  </si>
  <si>
    <t>EX_TROPICAL II-ACR</t>
  </si>
  <si>
    <t>EX_TROPICAL-ACL</t>
  </si>
  <si>
    <t>EX_TROPICAL-ACR</t>
  </si>
  <si>
    <t>EX_U-50 (RNEST)-ACL</t>
  </si>
  <si>
    <t>FUT_Floresta III_UG - 1_9º LER_-</t>
  </si>
  <si>
    <t>FUT_Ventos de Santa Brigida III_UG - 1_5º LER_-</t>
  </si>
  <si>
    <t>FUT_Ventos de Santa Brigida IV_UG - 1_5º LER_-</t>
  </si>
  <si>
    <t>FUT_Ventos de Santa Brigida V_UG - 1_5º LER_-</t>
  </si>
  <si>
    <t>FUT_Ventos de Santa Brigida VI_UG - 1_5º LER_-</t>
  </si>
  <si>
    <t>FUT_Ventos de Santa Brigida VII_UG - 1_5º LER_-</t>
  </si>
  <si>
    <t>FUT_Ventos de Santa Edwiges_UG - 1_ANEEL_-</t>
  </si>
  <si>
    <t>FUT_Ventos de Santa Emilia_UG - 1_9º LER_-</t>
  </si>
  <si>
    <t>FUT_Ventos de Santa Fátima_UG - 1_ANEEL_-</t>
  </si>
  <si>
    <t>FUT_Ventos de Santa Joana I_UG - 1_17º LEN_-</t>
  </si>
  <si>
    <t>FUT_Ventos de Santa Joana II_UG - 1_5º LER_-</t>
  </si>
  <si>
    <t>FUT_Ventos de Santa Joana II_UG - 2_5º LER_-</t>
  </si>
  <si>
    <t>FUT_Ventos de Santa Joana III_UG - 1_17º LEN_-</t>
  </si>
  <si>
    <t>FUT_Ventos de Santa Joana IV_UG - 1_17º LEN_-</t>
  </si>
  <si>
    <t>FUT_Ventos de Santa Joana V_UG - 1_17º LEN_-</t>
  </si>
  <si>
    <t>FUT_Ventos de Santa Joana VI_UG - 1_5º LER_-</t>
  </si>
  <si>
    <t>FUT_Ventos de Santa Joana VII_UG - 1_17º LEN_-</t>
  </si>
  <si>
    <t>FUT_Ventos de Santa Joana VIII_UG - 1_5º LER_-</t>
  </si>
  <si>
    <t>FUT_Ventos de Santa Joana XIV_UG - 1_5º LER_-</t>
  </si>
  <si>
    <t>FUT_Ventos de Santa Joana XIV_UG - 2_5º LER_-</t>
  </si>
  <si>
    <t>FUT_Ventos de Santa Luiza_UG - 1_18º LEN_-</t>
  </si>
  <si>
    <t>FUT_Ventos de Santa Madalena_UG - 1_18º LEN_-</t>
  </si>
  <si>
    <t>FUT_Ventos de Santa Marcella_UG - 1_18º LEN_-</t>
  </si>
  <si>
    <t>FUT_Ventos de Santa Regina_UG - 1_ANEEL_-</t>
  </si>
  <si>
    <t>FUT_Ventos de Santa Vera_UG - 1_18º LEN_-</t>
  </si>
  <si>
    <t>FUT_Ventos de Santa Veridiana_UG - 1_ANEEL_-</t>
  </si>
  <si>
    <t>FUT_Ventos de Santo Adriano_UG - 1_ANEEL_-</t>
  </si>
  <si>
    <t>FUT_Ventos de Santo Albano_UG - 1_ANEEL_-</t>
  </si>
  <si>
    <t>FUT_Ventos de Santo Antonio_UG - 1_18º LEN_-</t>
  </si>
  <si>
    <t>FUT_Ventos de Santo Augusto I_UG - 1_18º LEN_-</t>
  </si>
  <si>
    <t>FUT_Ventos de Santo Augusto II_UG - 1_18º LEN_-</t>
  </si>
  <si>
    <t>FUT_Ventos de Santo Augusto III_UG - 1_17º LEN_-</t>
  </si>
  <si>
    <t>FUT_Ventos de Santo Augusto IV_UG - 1_17º LEN_-</t>
  </si>
  <si>
    <t>FUT_Ventos de Santo Augusto V_UG - 1_17º LEN_-</t>
  </si>
  <si>
    <t>FUT_Ventos de Santo Augusto VI_UG - 1_18º LEN_-</t>
  </si>
  <si>
    <t>FUT_Ventos de Santo Augusto VII_UG - 1_18º LEN_-</t>
  </si>
  <si>
    <t>FUT_Ventos de Santo Augusto VIII_UG - 1_18º LEN_-</t>
  </si>
  <si>
    <t>FUT_Ventos de Santo Dimas_UG - 1_ANEEL_-</t>
  </si>
  <si>
    <t>FUT_Ventos de Santo Dimas_UG - 2_ANEEL_-</t>
  </si>
  <si>
    <t>FUT_Ventos de Santo Estevão I_UG - 1_18º LEN_-</t>
  </si>
  <si>
    <t>FUT_Ventos de Santo Estevão II_UG - 1_18º LEN_-</t>
  </si>
  <si>
    <t>FUT_Ventos de Santo Estevão III_UG - 1_18º LEN_-</t>
  </si>
  <si>
    <t>FUT_Ventos de Santo Estevão IV_UG - 1_6º LER_-</t>
  </si>
  <si>
    <t>FUT_Ventos de Santo Estevão V_UG - 1_18º LEN_-</t>
  </si>
  <si>
    <t>FUT_Ventos de Santo Onofre I_UG - 1_5º LER_-</t>
  </si>
  <si>
    <t>FUT_Ventos de Santo Onofre II_UG - 1_5º LER_-</t>
  </si>
  <si>
    <t>FUT_Ventos de Santo Onofre III_UG - 1_5º LER_-</t>
  </si>
  <si>
    <t>FUT_Ventos de Santo Onofre IV_UG - 1_6º LER_-</t>
  </si>
  <si>
    <t>FUT_Ventos de São Benedito_UG - 1_ANEEL_-</t>
  </si>
  <si>
    <t>FUT_Ventos de São Benedito_UG - 2_ANEEL_-</t>
  </si>
  <si>
    <t>FUT_Ventos de São Benedito_UG - 3_ANEEL_-</t>
  </si>
  <si>
    <t>FUT_Ventos de São Benedito_UG - 4_ANEEL_-</t>
  </si>
  <si>
    <t>FUT_Ventos de São Bento_UG - 1_18º LEN_-</t>
  </si>
  <si>
    <t>FUT_Ventos de São Cirilo_UG - 1_18º LEN_-</t>
  </si>
  <si>
    <t>FUT_Ventos de São Clemente 1_UG - 1_19º LEN_-</t>
  </si>
  <si>
    <t>FUT_Ventos de São Clemente 2_UG - 1_19º LEN_-</t>
  </si>
  <si>
    <t>FUT_Ventos de São Clemente 3_UG - 1_19º LEN_-</t>
  </si>
  <si>
    <t>FUT_Ventos de São Clemente 4_UG - 1_19º LEN_-</t>
  </si>
  <si>
    <t>FUT_Ventos de São Clemente 5_UG - 1_19º LEN_-</t>
  </si>
  <si>
    <t>FUT_Ventos de São Clemente 5_UG - 2_19º LEN_-</t>
  </si>
  <si>
    <t>FUT_Ventos de São Clemente 6_UG - 1_19º LEN_-</t>
  </si>
  <si>
    <t>FUT_Ventos de São Clemente 7_UG - 1_19º LEN_-</t>
  </si>
  <si>
    <t>FUT_Ventos de São Clemente 8_UG - 1_19º LEN_-</t>
  </si>
  <si>
    <t>FUT_Ventos de São Clemente 8_UG - 2_19º LEN_-</t>
  </si>
  <si>
    <t>FUT_HORIZONTE MP 11_UG - 1_8º LER_-</t>
  </si>
  <si>
    <t>FUT_Boa Hora 1_UG - 1_9º LER_-</t>
  </si>
  <si>
    <t>FUT_Boa Hora 2_UG - 1_9º LER_-</t>
  </si>
  <si>
    <t>FUT_Boa Hora 3_UG - 1_9º LER_-</t>
  </si>
  <si>
    <t>FUT_Juazeiro Solar I_UG - 1_9º LER_-</t>
  </si>
  <si>
    <t>FUT_Juazeiro Solar II_UG - 1_9º LER_-</t>
  </si>
  <si>
    <t>FUT_Juazeiro Solar III_UG - 1_9º LER_-</t>
  </si>
  <si>
    <t>FUT_Juazeiro Solar IV_UG - 1_9º LER_-</t>
  </si>
  <si>
    <t>FUT_Guimarania 1_UG - 1_9º LER_-</t>
  </si>
  <si>
    <t>FUT_Guimarania 2_UG - 1_9º LER_-</t>
  </si>
  <si>
    <t>FUT_Paracatu 1_UG - 1_9º LER_-</t>
  </si>
  <si>
    <t>FUT_Paracatu 2_UG - 1_9º LER_-</t>
  </si>
  <si>
    <t>FUT_Paracatu 3_UG - 1_9º LER_-</t>
  </si>
  <si>
    <t>FUT_Paracatu 4_UG - 1_9º LER_-</t>
  </si>
  <si>
    <t>FUT_Pirapora 2_UG - 1_9º LER_-</t>
  </si>
  <si>
    <t>FUT_Pirapora 3_UG - 1_9º LER_-</t>
  </si>
  <si>
    <t>FUT_Pirapora 4_UG - 1_9º LER_-</t>
  </si>
  <si>
    <t>FUT_Apodi I_UG - 1_9º LER_-</t>
  </si>
  <si>
    <t>FUT_Apodi II_UG - 1_9º LER_-</t>
  </si>
  <si>
    <t>FUT_Apodi III_UG - 1_9º LER_-</t>
  </si>
  <si>
    <t>FUT_Apodi IV_UG - 1_9º LER_-</t>
  </si>
  <si>
    <t>FUT_Assú V_UG - 1_9º LER_-</t>
  </si>
  <si>
    <t>FUT_Coremas III_UG - 1_9º LER_-</t>
  </si>
  <si>
    <t>FUT_Fazenda Esmeralda_UG - 1_9º LER_-</t>
  </si>
  <si>
    <t>FUT_Floresta I_UG - 1_9º LER_-</t>
  </si>
  <si>
    <t>FUT_Floresta II_UG - 1_9º LER_-</t>
  </si>
  <si>
    <t>FUT_HORIZONTE MP 1_UG - 1_8º LER_-</t>
  </si>
  <si>
    <t>FUT_HORIZONTE MP 2_UG - 1_8º LER_-</t>
  </si>
  <si>
    <t>FUT_Nova Cruz_UG - 1_9º LER_-</t>
  </si>
  <si>
    <t>FUT_Sobrado1_UG - 1_9º LER_-</t>
  </si>
  <si>
    <t>FUT_Sol Steelcons Miracema 1_UG - 1_9º LER_-</t>
  </si>
  <si>
    <t>FUT_Sol Steelcons Miracema 2_UG - 1_9º LER_-</t>
  </si>
  <si>
    <t>FUT_Sol Steelcons Miracema 3_UG - 1_9º LER_-</t>
  </si>
  <si>
    <t>FUT_Ventos de São João_UG - 1_18º LEN_-</t>
  </si>
  <si>
    <t>FUT_Ventos de São Martinho_UG - 1_ANEEL_-</t>
  </si>
  <si>
    <t>FUT_Ventos de São Rafael_UG - 1_18º LEN_-</t>
  </si>
  <si>
    <t>FUT_Ventos de São Vicente 08_UG - 1_22º LEN_-</t>
  </si>
  <si>
    <t>FUT_Ventos de São Vicente 09_UG - 1_22º LEN_-</t>
  </si>
  <si>
    <t>FUT_Ventos de São Vicente 10_UG - 1_22º LEN_-</t>
  </si>
  <si>
    <t>FUT_Ventos de São Vicente 11_UG - 1_22º LEN_-</t>
  </si>
  <si>
    <t>FUT_Ventos de São Vicente 12_UG - 1_22º LEN_-</t>
  </si>
  <si>
    <t>FUT_Ventos de São Vicente 13_UG - 1_22º LEN_-</t>
  </si>
  <si>
    <t>FUT_Ventos de São Vicente 14_UG - 1_22º LEN_-</t>
  </si>
  <si>
    <t>FUT_Ventos de São Virgilio 01_UG - 1_6º LER_-</t>
  </si>
  <si>
    <t>EX_U-50 (RNEST)-ACR</t>
  </si>
  <si>
    <t>EX_UBERLANDIA-ACL</t>
  </si>
  <si>
    <t>FUT_Ventos de São Virgilio 03_UG - 1_6º LER_-</t>
  </si>
  <si>
    <t>FUT_Ventos de Tianguá Norte_UG - 1_2º LFA_-</t>
  </si>
  <si>
    <t>FUT_Ventos de Tianguá_UG - 1_2º LFA_-</t>
  </si>
  <si>
    <t>EX_UBERLANDIA-ACR</t>
  </si>
  <si>
    <t>EX_UFL-ACL</t>
  </si>
  <si>
    <t>FUT_Ventos do Morro do Chapéu_UG - 1_2º LFA_-</t>
  </si>
  <si>
    <t>EX_UFL-ACR</t>
  </si>
  <si>
    <t>EX_UNIVALEM-ACL</t>
  </si>
  <si>
    <t>EX_UNIVALEM-ACR</t>
  </si>
  <si>
    <t>FUT_Ventos do Norte 13_UG - 1_22º LEN_-</t>
  </si>
  <si>
    <t>FUT_Ventos do Norte 15_UG - 1_22º LEN_-</t>
  </si>
  <si>
    <t>FUT_Ventos do Norte 18_UG - 1_22º LEN_-</t>
  </si>
  <si>
    <t>FUT_Ventos do Parazinho_UG - 1_2º LFA_-</t>
  </si>
  <si>
    <t>FUT_Ventos do São Gabriel_UG - 1_9º LER_-</t>
  </si>
  <si>
    <t>EX_URUBA-ACL</t>
  </si>
  <si>
    <t>EX_URUBA-ACR</t>
  </si>
  <si>
    <t>EX_USACIGA-ACL</t>
  </si>
  <si>
    <t>FUT_Ventos do Sertão_UG - 1_13º LEN_-</t>
  </si>
  <si>
    <t>FUT_Ventos Maranhenses 01_UG - 1_22º LEN_-</t>
  </si>
  <si>
    <t>FUT_Ventos Maranhenses 02_UG - 1_22º LEN_-</t>
  </si>
  <si>
    <t>FUT_Ventos Maranhenses 03_UG - 1_22º LEN_-</t>
  </si>
  <si>
    <t>EX_USACIGA-ACR</t>
  </si>
  <si>
    <t>EX_USACUCAR-TERRA RICA-ACL</t>
  </si>
  <si>
    <t>EX_USACUCAR-TERRA RICA-ACR</t>
  </si>
  <si>
    <t>EX_USI BIO-ACL</t>
  </si>
  <si>
    <t>EX_USI BIO-ACR</t>
  </si>
  <si>
    <t>FUT_Ventos Maranhenses 04_UG - 1_22º LEN_-</t>
  </si>
  <si>
    <t>FUT_Ventos Maranhenses 05_UG - 1_9º LER_-</t>
  </si>
  <si>
    <t>FUT_Ventos Maranhenses 05_UG - 2_9º LER_-</t>
  </si>
  <si>
    <t>EX_USIMINAS II-ACL</t>
  </si>
  <si>
    <t>EX_USIMINAS II-ACR</t>
  </si>
  <si>
    <t>EX_UTE ALVORADA-ACL</t>
  </si>
  <si>
    <t>EX_UTE ALVORADA-ACR</t>
  </si>
  <si>
    <t>EX_UTE BIOENERG AROEIRA-ACL</t>
  </si>
  <si>
    <t>EX_UTE BIOENERG AROEIRA-ACR</t>
  </si>
  <si>
    <t>FUT_Verace 28_UG - 1_17º LEN_-</t>
  </si>
  <si>
    <t>EX_UTE CANAA-ACL</t>
  </si>
  <si>
    <t>EX_UTE CANAA-ACR</t>
  </si>
  <si>
    <t>EX_UTE COCAL-ACL</t>
  </si>
  <si>
    <t>EX_UTE COCAL-ACR</t>
  </si>
  <si>
    <t>EX_UTE GOIANESIA-ACL</t>
  </si>
  <si>
    <t>EX_UTE GOIANESIA-ACR</t>
  </si>
  <si>
    <t>FUT_Verace 29_UG - 1_17º LEN_-</t>
  </si>
  <si>
    <t>EX_UTE NOROESTE PTA-ACL</t>
  </si>
  <si>
    <t>EX_UTE NOROESTE PTA-ACR</t>
  </si>
  <si>
    <t>EX_UTE OLHO DAGUA-ACL</t>
  </si>
  <si>
    <t>EX_UTE OLHO DAGUA-ACR</t>
  </si>
  <si>
    <t>EX_UTE SANTA ISABEL-ACL</t>
  </si>
  <si>
    <t>FUT_Verace 30_UG - 1_17º LEN_-</t>
  </si>
  <si>
    <t>EX_UTE SANTA ISABEL-ACR</t>
  </si>
  <si>
    <t>EX_V GRANDE (ACEP+DELT)-ACL</t>
  </si>
  <si>
    <t>EX_V GRANDE (ACEP+DELT)-ACR</t>
  </si>
  <si>
    <t>EX_V.PARACATU-BEVAP-ACL</t>
  </si>
  <si>
    <t>EX_V.PARACATU-BEVAP-ACR</t>
  </si>
  <si>
    <t>EX_VALE DO ROSARIO-ACL</t>
  </si>
  <si>
    <t>EX_VALE DO ROSARIO-ACR</t>
  </si>
  <si>
    <t>EX_VALE DO SAO SIMAO-ACL</t>
  </si>
  <si>
    <t>EX_VALE DO SAO SIMAO-ACR</t>
  </si>
  <si>
    <t>EX_VALE DO TIJUCO II-ACL</t>
  </si>
  <si>
    <t>EX_VALE DO TIJUCO II-ACR</t>
  </si>
  <si>
    <t>EX_VALE DO TIJUCO-ACL</t>
  </si>
  <si>
    <t>EX_VALE DO TIJUCO-ACR</t>
  </si>
  <si>
    <t>EX_VCP-MS-ACL</t>
  </si>
  <si>
    <t>EX_VCP-MS-ACR</t>
  </si>
  <si>
    <t>EX_VERACEL-ACL</t>
  </si>
  <si>
    <t>EX_VERACEL-ACR</t>
  </si>
  <si>
    <t>FUT_Verace 31_UG - 1_17º LEN_-</t>
  </si>
  <si>
    <t>FUT_Verace 34_UG - 1_17º LEN_-</t>
  </si>
  <si>
    <t>EX_VERTENTE-ACL</t>
  </si>
  <si>
    <t>EX_VERTENTE-ACR</t>
  </si>
  <si>
    <t>EX_VETORIAL-ACL</t>
  </si>
  <si>
    <t>EX_VETORIAL-ACR</t>
  </si>
  <si>
    <t>EX_VIENA-ACL</t>
  </si>
  <si>
    <t>EX_VIENA-ACR</t>
  </si>
  <si>
    <t>EX_VIRALCOOL 2-ACL</t>
  </si>
  <si>
    <t>EX_VIRALCOOL 2-ACR</t>
  </si>
  <si>
    <t>EX_VIRALCOOL CASTILHO-ACL</t>
  </si>
  <si>
    <t>EX_VIRALCOOL CASTILHO-ACR</t>
  </si>
  <si>
    <t>EX_VIRALCOOL PITANG.-ACL</t>
  </si>
  <si>
    <t>EX_VIRALCOOL PITANG.-ACR</t>
  </si>
  <si>
    <t>EX_VISTA ALEGRE II-ACL</t>
  </si>
  <si>
    <t>EX_VISTA ALEGRE II-ACR</t>
  </si>
  <si>
    <t>EX_VISTA ALEGRE-ACL</t>
  </si>
  <si>
    <t>EX_VISTA ALEGRE-ACR</t>
  </si>
  <si>
    <t>EX_ZANIN-ACL</t>
  </si>
  <si>
    <t>EX_ZANIN-ACR</t>
  </si>
  <si>
    <t>FUT_Agropéu_UG - 1_ANEEL_ACL</t>
  </si>
  <si>
    <t>FUT_Agropéu_UG - 1_ANEEL_ACR</t>
  </si>
  <si>
    <t>FUT_Verace 34_UG - 2_17º LEN_-</t>
  </si>
  <si>
    <t>FUT_Agropéu_UG - 2_ANEEL_ACL</t>
  </si>
  <si>
    <t>FUT_Verace 34_UG - 3_17º LEN_-</t>
  </si>
  <si>
    <t>FUT_Agropéu_UG - 2_ANEEL_ACR</t>
  </si>
  <si>
    <t>FUT_Verace 34_UG - 4_17º LEN_-</t>
  </si>
  <si>
    <t>FUT_Verace 35_UG - 1_17º LEN_-</t>
  </si>
  <si>
    <t>FUT_Verace 35_UG - 2_17º LEN_-</t>
  </si>
  <si>
    <t>FUT_Brotas II_UG - 1_ANEEL_ACL</t>
  </si>
  <si>
    <t>FUT_Brotas II_UG - 1_ANEEL_ACR</t>
  </si>
  <si>
    <t>FUT_Buriti_UG - 3_ANEEL_ACL</t>
  </si>
  <si>
    <t>FUT_Verace 35_UG - 3_17º LEN_-</t>
  </si>
  <si>
    <t>FUT_Buriti_UG - 3_ANEEL_ACR</t>
  </si>
  <si>
    <t>FUT_Caarapó_UG - 3_16º LEN_ACL</t>
  </si>
  <si>
    <t>FUT_Caarapó_UG - 3_16º LEN_ACR</t>
  </si>
  <si>
    <t>FUT_CEM (EX-CAMEN)_UG - 2_ANEEL_ACL</t>
  </si>
  <si>
    <t>FUT_CEM (EX-CAMEN)_UG - 2_ANEEL_ACR</t>
  </si>
  <si>
    <t>FUT_Conselvan_UG - 1_ANEEL_ACL</t>
  </si>
  <si>
    <t>FUT_Conselvan_UG - 1_ANEEL_ACR</t>
  </si>
  <si>
    <t>FUT_Verace 36_UG - 1_17º LEN_-</t>
  </si>
  <si>
    <t>FUT_Curitiba Energia_UG - 1_ANEEL_ACL</t>
  </si>
  <si>
    <t>FUT_Vila Acre I_UG - 1_9º LER_-</t>
  </si>
  <si>
    <t>FUT_Curitiba Energia_UG - 1_ANEEL_ACR</t>
  </si>
  <si>
    <t>FUT_Delta_UG - 3_16º LEN_ACL</t>
  </si>
  <si>
    <t>FUT_Delta_UG - 3_16º LEN_ACR</t>
  </si>
  <si>
    <t>FUT_Engenho Coradini_UG - 1_ANEEL_ACL</t>
  </si>
  <si>
    <t>FUT_Vila Amazonas V_UG - 1_18º LEN_-</t>
  </si>
  <si>
    <t>FUT_Engenho Coradini_UG - 1_ANEEL_ACR</t>
  </si>
  <si>
    <t>FUT_Geo Elétrica Tamboara_UG - 1_ANEEL_ACL</t>
  </si>
  <si>
    <t>FUT_Geo Elétrica Tamboara_UG - 1_ANEEL_ACR</t>
  </si>
  <si>
    <t>FUT_Goianésia_UG - 1_ANEEL_ACL</t>
  </si>
  <si>
    <t>FUT_Goianésia_UG - 1_ANEEL_ACR</t>
  </si>
  <si>
    <t>FUT_Guatapará_UG - 4_ANEEL_ACL</t>
  </si>
  <si>
    <t>FUT_Guatapará_UG - 4_ANEEL_ACR</t>
  </si>
  <si>
    <t>FUT_Iacanga_UG - 4_20º LEN_ACL</t>
  </si>
  <si>
    <t>FUT_Iacanga_UG - 4_20º LEN_ACR</t>
  </si>
  <si>
    <t>FUT_Japungu_UG - 1_ANEEL_ACL</t>
  </si>
  <si>
    <t>FUT_Vila Pará I_UG - 1_18º LEN_-</t>
  </si>
  <si>
    <t>FUT_Japungu_UG - 1_ANEEL_ACR</t>
  </si>
  <si>
    <t>FUT_Japungu_UG - 2_ANEEL_ACL</t>
  </si>
  <si>
    <t>FUT_Japungu_UG - 2_ANEEL_ACR</t>
  </si>
  <si>
    <t>FUT_Japungu_UG - 3_ANEEL_ACL</t>
  </si>
  <si>
    <t>FUT_Japungu_UG - 3_ANEEL_ACR</t>
  </si>
  <si>
    <t>FUT_Japungu_UG - 4_ANEEL_ACL</t>
  </si>
  <si>
    <t>FUT_Japungu_UG - 4_ANEEL_ACR</t>
  </si>
  <si>
    <t>FUT_Klabin Celulose_UG - 1_ANEEL_ACL</t>
  </si>
  <si>
    <t>FUT_Klabin Celulose_UG - 1_ANEEL_ACR</t>
  </si>
  <si>
    <t>FUT_Klabin Celulose_UG - 2_ANEEL_ACL</t>
  </si>
  <si>
    <t>FUT_Klabin Celulose_UG - 2_ANEEL_ACR</t>
  </si>
  <si>
    <t>FUT_Lwarcel_UG - 2_ANEEL_ACL</t>
  </si>
  <si>
    <t>FUT_Vila Pará II_UG - 1_18º LEN_-</t>
  </si>
  <si>
    <t>FUT_Vila Pará II_UG - 2_18º LEN_-</t>
  </si>
  <si>
    <t>FUT_Lwarcel_UG - 2_ANEEL_ACR</t>
  </si>
  <si>
    <t>FUT_N O Bioenergia_UG - 1_23º LEN_ACL</t>
  </si>
  <si>
    <t>FUT_N O Bioenergia_UG - 1_23º LEN_ACR</t>
  </si>
  <si>
    <t>FUT_NG Bioenergia I_UG - 1_ANEEL_ACL</t>
  </si>
  <si>
    <t>FUT_NG Bioenergia I_UG - 1_ANEEL_ACR</t>
  </si>
  <si>
    <t>FUT_NG Bioenergia I_UG - 2_ANEEL_ACL</t>
  </si>
  <si>
    <t>FUT_NG Bioenergia I_UG - 2_ANEEL_ACR</t>
  </si>
  <si>
    <t>FUT_Petrocoque_UG - 1_ANEEL_ACL</t>
  </si>
  <si>
    <t>FUT_Petrocoque_UG - 1_ANEEL_ACR</t>
  </si>
  <si>
    <t>FUT_Porto das Águas_UG - 3_13º LEN_ACL</t>
  </si>
  <si>
    <t>FUT_Porto das Águas_UG - 3_13º LEN_ACR</t>
  </si>
  <si>
    <t>FUT_Porto das Águas_UG - 4_20º LEN_ACL</t>
  </si>
  <si>
    <t>FUT_Porto das Águas_UG - 4_20º LEN_ACR</t>
  </si>
  <si>
    <t>FUT_Rondon II_UG - 1_ANEEL_ACL</t>
  </si>
  <si>
    <t>FUT_Rondon II_UG - 1_ANEEL_ACR</t>
  </si>
  <si>
    <t>FUT_Rondon II_UG - 2_ANEEL_ACL</t>
  </si>
  <si>
    <t>FUT_Rondon II_UG - 2_ANEEL_ACR</t>
  </si>
  <si>
    <t>FUT_Santa Cândida II_UG - 1_18º LEN_ACL</t>
  </si>
  <si>
    <t>FUT_Santa Cândida II_UG - 1_18º LEN_ACR</t>
  </si>
  <si>
    <t>FUT_Santa Cândida II_UG - 2_18º LEN_ACL</t>
  </si>
  <si>
    <t>FUT_Santa Cândida II_UG - 2_18º LEN_ACR</t>
  </si>
  <si>
    <t>FUT_Santa Vitória_UG - 2_ANEEL_ACL</t>
  </si>
  <si>
    <t>FUT_Santa Vitória_UG - 2_ANEEL_ACR</t>
  </si>
  <si>
    <t>FUT_São José do Pinheiro_UG - 4_ANEEL_ACL</t>
  </si>
  <si>
    <t>FUT_São José do Pinheiro_UG - 4_ANEEL_ACR</t>
  </si>
  <si>
    <t>FUT_Vila Pará II_UG - 3_18º LEN_-</t>
  </si>
  <si>
    <t>FUT_Vila Pará III_UG - 1_18º LEN_-</t>
  </si>
  <si>
    <t>FUT_Tecipar_UG - 1_ANEEL_ACL</t>
  </si>
  <si>
    <t>FUT_Tecipar_UG - 1_ANEEL_ACR</t>
  </si>
  <si>
    <t>FUT_Termoverde Caieiras_UG - 1_ANEEL_ACL</t>
  </si>
  <si>
    <t>FUT_Termoverde Caieiras_UG - 1_ANEEL_ACR</t>
  </si>
  <si>
    <t>Onca Pintada</t>
  </si>
  <si>
    <t>Predilecta</t>
  </si>
  <si>
    <t>SAO SEPE</t>
  </si>
  <si>
    <t>STA VITORIA</t>
  </si>
  <si>
    <t>SUZANO MA</t>
  </si>
  <si>
    <t>SYKUE I</t>
  </si>
  <si>
    <t>FUT_Campo Largo III_UG - 1_20º LEN_-</t>
  </si>
  <si>
    <t>RN</t>
  </si>
  <si>
    <t>FUT_Campo Largo IV_UG - 1_20º LEN_-</t>
  </si>
  <si>
    <t>FUT_Campo Largo V_UG - 1_20º LEN_-</t>
  </si>
  <si>
    <t>FUT_Campo Largo VI_UG - 1_20º LEN_-</t>
  </si>
  <si>
    <t>FUT_Campo Largo VII_UG - 1_20º LEN_-</t>
  </si>
  <si>
    <t>FUT_Campo Largo XXI_UG - 1_20º LEN_-</t>
  </si>
  <si>
    <t>FUT_Aura Lagoa do Barro 05_UG - 1_20º LEN_-</t>
  </si>
  <si>
    <t>FUT_Aura Lagoa do Barro 05_UG - 2_20º LEN_-</t>
  </si>
  <si>
    <t>FUT_Aura Lagoa do Barro 05_UG - 3_20º LEN_-</t>
  </si>
  <si>
    <t>FUT_Campo Largo II_UG - 1_ANEEL_-</t>
  </si>
  <si>
    <t>FUT_Campo Largo XVIII_UG - 1_ANEEL_-</t>
  </si>
  <si>
    <t>FUT_São Miguel I_UG - 1_20º LEN_-</t>
  </si>
  <si>
    <t>FUT_São Miguel II_UG - 1_20º LEN_-</t>
  </si>
  <si>
    <t>FUT_São Miguel III_UG - 1_20º LEN_-</t>
  </si>
  <si>
    <t>FUT_Abil_UG - 2_5º LER_-</t>
  </si>
  <si>
    <t>FUT_Aura Lagoa do Barro 01_UG - 1_20º LEN_-</t>
  </si>
  <si>
    <t>FUT_Aura Lagoa do Barro 01_UG - 2_20º LEN_-</t>
  </si>
  <si>
    <t>FUT_Aura Lagoa do Barro 01_UG - 3_20º LEN_-</t>
  </si>
  <si>
    <t>FUT_Aura Lagoa do Barro 02_UG - 1_20º LEN_-</t>
  </si>
  <si>
    <t>FUT_Aura Lagoa do Barro 02_UG - 2_20º LEN_-</t>
  </si>
  <si>
    <t>FUT_Aura Lagoa do Barro 02_UG - 3_20º LEN_-</t>
  </si>
  <si>
    <t>FUT_Aura Lagoa do Barro 03_UG - 1_20º LEN_-</t>
  </si>
  <si>
    <t>FUT_Aura Lagoa do Barro 03_UG - 2_20º LEN_-</t>
  </si>
  <si>
    <t>FUT_Aura Lagoa do Barro 03_UG - 3_20º LEN_-</t>
  </si>
  <si>
    <t>FUT_Aura Lagoa do Barro 06_UG - 1_20º LEN_-</t>
  </si>
  <si>
    <t>FUT_Aura Lagoa do Barro 06_UG - 2_20º LEN_-</t>
  </si>
  <si>
    <t>FUT_Aura Lagoa do Barro 06_UG - 3_20º LEN_-</t>
  </si>
  <si>
    <t>FUT_Aura Lagoa do Barro 07_UG - 1_20º LEN_-</t>
  </si>
  <si>
    <t>FUT_Aura Lagoa do Barro 07_UG - 2_20º LEN_-</t>
  </si>
  <si>
    <t>FUT_Aura Lagoa do Barro 07_UG - 3_20º LEN_-</t>
  </si>
  <si>
    <t>FUT_Aura Queimada Nova 03_UG - 1_20º LEN_-</t>
  </si>
  <si>
    <t>FUT_Campo Largo XV_UG - 1_ANEEL_-</t>
  </si>
  <si>
    <t>FUT_São Bento do Norte I_UG - 1_20º LEN_-</t>
  </si>
  <si>
    <t>FUT_São Bento do Norte II_UG - 1_20º LEN_-</t>
  </si>
  <si>
    <t>FUT_Vaqueta_UG - 2_5º LER_-</t>
  </si>
  <si>
    <t>FUT_Umburanas 25_UG - 1_20º LEN_-</t>
  </si>
  <si>
    <t>FUT_Umburanas 25_UG - 2_20º LEN_-</t>
  </si>
  <si>
    <t>FUT_Umburanas 11_UG - 1_ANEEL_-</t>
  </si>
  <si>
    <t>FUT_Aura Lagoa do Barro 04_UG - 1_20º LEN_-</t>
  </si>
  <si>
    <t>FUT_Aura Lagoa do Barro 04_UG - 2_20º LEN_-</t>
  </si>
  <si>
    <t>FUT_Aura Lagoa do Barro 04_UG - 3_20º LEN_-</t>
  </si>
  <si>
    <t>FUT_Umburanas 19_UG - 1_20º LEN_-</t>
  </si>
  <si>
    <t>FUT_Umburanas 19_UG - 2_20º LEN_-</t>
  </si>
  <si>
    <t>FUT_Umburanas 17_UG - 1_20º LEN_-</t>
  </si>
  <si>
    <t>FUT_Umburanas 23_UG - 1_20º LEN_-</t>
  </si>
  <si>
    <t>FUT_Umburanas 23_UG - 2_20º LEN_-</t>
  </si>
  <si>
    <t>FUT_Umburanas 3_UG - 1_ANEEL_-</t>
  </si>
  <si>
    <t>FUT_Laranjeiras III_UG - 1_20º LEN_-</t>
  </si>
  <si>
    <t>FUT_Laranjeiras IX_UG - 1_20º LEN_-</t>
  </si>
  <si>
    <t>FUT_Umburanas 21_UG - 1_20º LEN_-</t>
  </si>
  <si>
    <t>FUT_Boa Esperança I_UG - 1_20º LEN_-</t>
  </si>
  <si>
    <t>FUT_São Bento do Norte III_UG - 1_20º LEN_-</t>
  </si>
  <si>
    <t>FUT_Nossa Senhora de Fátima_UG - 1_13º LEN_-</t>
  </si>
  <si>
    <t>FUT_Nossa Senhora de Fátima_UG - 10_13º LEN_-</t>
  </si>
  <si>
    <t>FUT_Nossa Senhora de Fátima_UG - 2_13º LEN_-</t>
  </si>
  <si>
    <t>FUT_Nossa Senhora de Fátima_UG - 3_13º LEN_-</t>
  </si>
  <si>
    <t>FUT_Nossa Senhora de Fátima_UG - 4_13º LEN_-</t>
  </si>
  <si>
    <t>FUT_Nossa Senhora de Fátima_UG - 5_13º LEN_-</t>
  </si>
  <si>
    <t>FUT_Nossa Senhora de Fátima_UG - 6_13º LEN_-</t>
  </si>
  <si>
    <t>FUT_Nossa Senhora de Fátima_UG - 7_13º LEN_-</t>
  </si>
  <si>
    <t>FUT_Nossa Senhora de Fátima_UG - 8_13º LEN_-</t>
  </si>
  <si>
    <t>FUT_Nossa Senhora de Fátima_UG - 9_13º LEN_-</t>
  </si>
  <si>
    <t>FUT_Jandaia_UG - 1_13º LEN_-</t>
  </si>
  <si>
    <t>FUT_Jandaia_UG - 2_13º LEN_-</t>
  </si>
  <si>
    <t>FUT_Jandaia_UG - 3_13º LEN_-</t>
  </si>
  <si>
    <t>FUT_Jandaia_UG - 4_13º LEN_-</t>
  </si>
  <si>
    <t>FUT_Jandaia_UG - 5_13º LEN_-</t>
  </si>
  <si>
    <t>FUT_Jandaia_UG - 6_13º LEN_-</t>
  </si>
  <si>
    <t>FUT_Jandaia_UG - 7_13º LEN_-</t>
  </si>
  <si>
    <t>FUT_Jandaia_UG - 8_13º LEN_-</t>
  </si>
  <si>
    <t>FUT_Jandaia_UG - 9_13º LEN_-</t>
  </si>
  <si>
    <t>FUT_Jandaia I_UG - 1_13º LEN_-</t>
  </si>
  <si>
    <t>FUT_Jandaia I_UG - 2_13º LEN_-</t>
  </si>
  <si>
    <t>FUT_Jandaia I_UG - 3_13º LEN_-</t>
  </si>
  <si>
    <t>FUT_Jandaia I_UG - 4_13º LEN_-</t>
  </si>
  <si>
    <t>FUT_Jandaia I_UG - 5_13º LEN_-</t>
  </si>
  <si>
    <t>FUT_Jandaia I_UG - 6_13º LEN_-</t>
  </si>
  <si>
    <t>FUT_Fazenda Vera Cruz_UG - 10_17º LEN_-</t>
  </si>
  <si>
    <t>FUT_Fazenda Vera Cruz_UG - 2_17º LEN_-</t>
  </si>
  <si>
    <t>FUT_Fazenda Vera Cruz_UG - 3_17º LEN_-</t>
  </si>
  <si>
    <t>FUT_Fazenda Vera Cruz_UG - 4_17º LEN_-</t>
  </si>
  <si>
    <t>FUT_Fazenda Vera Cruz_UG - 5_17º LEN_-</t>
  </si>
  <si>
    <t>FUT_Fazenda Vera Cruz_UG - 6_17º LEN_-</t>
  </si>
  <si>
    <t>FUT_Fazenda Vera Cruz_UG - 7_17º LEN_-</t>
  </si>
  <si>
    <t>FUT_Fazenda Vera Cruz_UG - 8_17º LEN_-</t>
  </si>
  <si>
    <t>FUT_Fazenda Vera Cruz_UG - 9_17º LEN_-</t>
  </si>
  <si>
    <t>FUT_Caetité V_UG - 1_6º LER_-</t>
  </si>
  <si>
    <t>FUT_Steelcons Sol do Futuro I_UG - 1_9º LER_-</t>
  </si>
  <si>
    <t>FUT_Steelcons Sol do Futuro II_UG - 1_9º LER_-</t>
  </si>
  <si>
    <t>FUT_Steelcons Sol do Futuro III_UG - 1_9º LER_-</t>
  </si>
  <si>
    <t>FUT_Dracena 1_UG - 1_6º LER_-</t>
  </si>
  <si>
    <t>FUT_Dracena 2_UG - 1_6º LER_-</t>
  </si>
  <si>
    <t>FUT_Dracena 4_UG - 1_6º LER_-</t>
  </si>
  <si>
    <t>cod_existente_UHE</t>
  </si>
  <si>
    <t>cod_Melp</t>
  </si>
  <si>
    <t>nome</t>
  </si>
  <si>
    <t>Bacia</t>
  </si>
  <si>
    <t>Rio</t>
  </si>
  <si>
    <t>Latitude</t>
  </si>
  <si>
    <t>Longitude</t>
  </si>
  <si>
    <t>Efirme_ano</t>
  </si>
  <si>
    <t>Efirme_trim1</t>
  </si>
  <si>
    <t>Efirme_trim2</t>
  </si>
  <si>
    <t>Efirme_trim3</t>
  </si>
  <si>
    <t>Efirme_trim4</t>
  </si>
  <si>
    <t>Emedia_ano</t>
  </si>
  <si>
    <t>Emedia_trim1</t>
  </si>
  <si>
    <t>Emedia_trim2</t>
  </si>
  <si>
    <t>Emedia_trim3</t>
  </si>
  <si>
    <t>Emedia_trim4</t>
  </si>
  <si>
    <t>14 DE JULHO</t>
  </si>
  <si>
    <t>A. VERMELHA</t>
  </si>
  <si>
    <t>A.A. LAYDNER</t>
  </si>
  <si>
    <t>A.S.OLIVEIRA</t>
  </si>
  <si>
    <t>A.SOUZA LIMA</t>
  </si>
  <si>
    <t>AIMORES</t>
  </si>
  <si>
    <t>B. COQUEIROS</t>
  </si>
  <si>
    <t>TO</t>
  </si>
  <si>
    <t>B. ESPERANCA</t>
  </si>
  <si>
    <t>PI</t>
  </si>
  <si>
    <t>BAGUARI</t>
  </si>
  <si>
    <t>BAIXO IGUACU</t>
  </si>
  <si>
    <t>BALBINA</t>
  </si>
  <si>
    <t>BARRA BONITA</t>
  </si>
  <si>
    <t>BARRA GRANDE</t>
  </si>
  <si>
    <t>SC</t>
  </si>
  <si>
    <t>BATALHA</t>
  </si>
  <si>
    <t>Batalha</t>
  </si>
  <si>
    <t>BELO MONTE 1</t>
  </si>
  <si>
    <t>Belo Monte_Total</t>
  </si>
  <si>
    <t>BELO MONTE 2</t>
  </si>
  <si>
    <t>BELO MONTE 3</t>
  </si>
  <si>
    <t>BELO MONTE 4</t>
  </si>
  <si>
    <t>CACH CALDEIR</t>
  </si>
  <si>
    <t>Cachoeira Caldeirão</t>
  </si>
  <si>
    <t>AP</t>
  </si>
  <si>
    <t>CACH DOURADA</t>
  </si>
  <si>
    <t>CACONDE</t>
  </si>
  <si>
    <t>CACU</t>
  </si>
  <si>
    <t>GO</t>
  </si>
  <si>
    <t>CAMARGOS</t>
  </si>
  <si>
    <t>CAMPOS NOVOS</t>
  </si>
  <si>
    <t>CANA BRAVA</t>
  </si>
  <si>
    <t>CANDONGA</t>
  </si>
  <si>
    <t>CANOAS I</t>
  </si>
  <si>
    <t>CANOAS II</t>
  </si>
  <si>
    <t>CAPIM BRANC1</t>
  </si>
  <si>
    <t>CAPIM BRANC2</t>
  </si>
  <si>
    <t>CAPIVARA</t>
  </si>
  <si>
    <t>CASTRO ALVES</t>
  </si>
  <si>
    <t>CHAVANTES</t>
  </si>
  <si>
    <t>COARA NUNES</t>
  </si>
  <si>
    <t>COLIDER</t>
  </si>
  <si>
    <t>COMP PAF-MOX</t>
  </si>
  <si>
    <t>CORUMBA I</t>
  </si>
  <si>
    <t>CORUMBA III</t>
  </si>
  <si>
    <t>CORUMBA IV</t>
  </si>
  <si>
    <t>CURUA-UNA</t>
  </si>
  <si>
    <t>D. FRANCISCA</t>
  </si>
  <si>
    <t>DARDANELOS</t>
  </si>
  <si>
    <t>EMBORCACAO</t>
  </si>
  <si>
    <t>ESPORA</t>
  </si>
  <si>
    <t>ESTREITO GDE</t>
  </si>
  <si>
    <t>ESTREITO TOC</t>
  </si>
  <si>
    <t>EUCLID CUNHA</t>
  </si>
  <si>
    <t>FERREIRA GOM</t>
  </si>
  <si>
    <t>Ferreira Gomes</t>
  </si>
  <si>
    <t>FONTES</t>
  </si>
  <si>
    <t>FOZ CHAPECO</t>
  </si>
  <si>
    <t>FOZ R CLARO</t>
  </si>
  <si>
    <t>FUNDAO</t>
  </si>
  <si>
    <t>FUNIL GRANDE</t>
  </si>
  <si>
    <t>FUNIL PB SUL</t>
  </si>
  <si>
    <t>FURNAS</t>
  </si>
  <si>
    <t>G. B. MUNHOZ</t>
  </si>
  <si>
    <t>G. P. SOUZA</t>
  </si>
  <si>
    <t>GARIBALDI</t>
  </si>
  <si>
    <t>Garibaldi</t>
  </si>
  <si>
    <t>GUAPORE</t>
  </si>
  <si>
    <t>GUILMAN-AMOR</t>
  </si>
  <si>
    <t>HENRY BORDEN</t>
  </si>
  <si>
    <t>IBITINGA</t>
  </si>
  <si>
    <t>IGARAPAVA</t>
  </si>
  <si>
    <t>ILHA POMBOS</t>
  </si>
  <si>
    <t>ILHA SOLT EQ</t>
  </si>
  <si>
    <t>IRAPE</t>
  </si>
  <si>
    <t>ITA</t>
  </si>
  <si>
    <t>ITAIPU</t>
  </si>
  <si>
    <t>ITAOCARA I</t>
  </si>
  <si>
    <t>ITAPARICA</t>
  </si>
  <si>
    <t>ITAPEBI</t>
  </si>
  <si>
    <t>ITAUBA</t>
  </si>
  <si>
    <t>ITIQUIRA 1</t>
  </si>
  <si>
    <t>ITIQUIRA 2</t>
  </si>
  <si>
    <t>ITUMBIARA</t>
  </si>
  <si>
    <t>ITUTINGA</t>
  </si>
  <si>
    <t>JACUI</t>
  </si>
  <si>
    <t>JAGUARA</t>
  </si>
  <si>
    <t>JAGUARI</t>
  </si>
  <si>
    <t>JAURU</t>
  </si>
  <si>
    <t>JIRAU</t>
  </si>
  <si>
    <t>Jirau_Total</t>
  </si>
  <si>
    <t>RO</t>
  </si>
  <si>
    <t>JUPIA</t>
  </si>
  <si>
    <t>L. N. GARCEZ</t>
  </si>
  <si>
    <t>LAJEADO</t>
  </si>
  <si>
    <t>MACHADINHO</t>
  </si>
  <si>
    <t>MANSO</t>
  </si>
  <si>
    <t>MARIMBONDO</t>
  </si>
  <si>
    <t>MASC. MORAES</t>
  </si>
  <si>
    <t>MASCARENHAS</t>
  </si>
  <si>
    <t>MAUA</t>
  </si>
  <si>
    <t>Tibagi</t>
  </si>
  <si>
    <t>Transferida da planilha de projetos</t>
  </si>
  <si>
    <t>MIRANDA</t>
  </si>
  <si>
    <t>MONJOLINHO</t>
  </si>
  <si>
    <t>MONTE CLARO</t>
  </si>
  <si>
    <t>N.AVANHANDAV</t>
  </si>
  <si>
    <t>NILO PECANHA</t>
  </si>
  <si>
    <t>NOVA PONTE</t>
  </si>
  <si>
    <t>OURINHOS</t>
  </si>
  <si>
    <t>P. CAVALO</t>
  </si>
  <si>
    <t>P. COLOMBIA</t>
  </si>
  <si>
    <t>P. ESTRELA</t>
  </si>
  <si>
    <t>P. PASSOS</t>
  </si>
  <si>
    <t>P. PRIMAVERA</t>
  </si>
  <si>
    <t>MS</t>
  </si>
  <si>
    <t>PARAIBUNA/PA</t>
  </si>
  <si>
    <t>PASSO FUNDO</t>
  </si>
  <si>
    <t>PASSO REAL</t>
  </si>
  <si>
    <t>PASSO S JOAO</t>
  </si>
  <si>
    <t>Uruguai</t>
  </si>
  <si>
    <t>Ijui</t>
  </si>
  <si>
    <t>PCH_exist_AC/RO/Mad_2016</t>
  </si>
  <si>
    <t>PCH_exist_N_2016</t>
  </si>
  <si>
    <t>PCH_exist_NE_2016</t>
  </si>
  <si>
    <t>PCH_exist_SE/CO_2016</t>
  </si>
  <si>
    <t>PCH_exist_Sul_2016</t>
  </si>
  <si>
    <t>PCH_exist_T.Pires_2011</t>
  </si>
  <si>
    <t>PEIXE ANGICA</t>
  </si>
  <si>
    <t>PICADA</t>
  </si>
  <si>
    <t>PIRAJU</t>
  </si>
  <si>
    <t>PONTE PEDRA</t>
  </si>
  <si>
    <t>PROMISSAO</t>
  </si>
  <si>
    <t>QUEBRA QUEIX</t>
  </si>
  <si>
    <t>QUEIMADO</t>
  </si>
  <si>
    <t>RETIRO BAIXO</t>
  </si>
  <si>
    <t>RONDON 2</t>
  </si>
  <si>
    <t>ROSAL</t>
  </si>
  <si>
    <t>ROSANA</t>
  </si>
  <si>
    <t>S BRANCA TIB</t>
  </si>
  <si>
    <t>S.BRANCA PAR</t>
  </si>
  <si>
    <t>SA CARVALHO</t>
  </si>
  <si>
    <t>SALTO</t>
  </si>
  <si>
    <t>SALTO CAXIAS</t>
  </si>
  <si>
    <t>SALTO GRANDE</t>
  </si>
  <si>
    <t>SALTO OSORIO</t>
  </si>
  <si>
    <t>SALTO PILAO</t>
  </si>
  <si>
    <t>SAMUEL</t>
  </si>
  <si>
    <t>SAO DOMINGOS</t>
  </si>
  <si>
    <t>Paranaíba</t>
  </si>
  <si>
    <t>Verde</t>
  </si>
  <si>
    <t>SAO JOSE</t>
  </si>
  <si>
    <t>SAO MANOEL</t>
  </si>
  <si>
    <t>MT/PA</t>
  </si>
  <si>
    <t>SÃO ROQUE</t>
  </si>
  <si>
    <t>SAO SALVADOR</t>
  </si>
  <si>
    <t>SAO SIMAO</t>
  </si>
  <si>
    <t>SEGREDO</t>
  </si>
  <si>
    <t>SERRA FACAO</t>
  </si>
  <si>
    <t>SERRA MESA</t>
  </si>
  <si>
    <t>SIMPLICIO</t>
  </si>
  <si>
    <t>Paraíba do Sul</t>
  </si>
  <si>
    <t>SINOP</t>
  </si>
  <si>
    <t>SLT APIACAS</t>
  </si>
  <si>
    <t>Salto Apiacás</t>
  </si>
  <si>
    <t>SLT VERDINHO</t>
  </si>
  <si>
    <t>SLT.SANTIAGO</t>
  </si>
  <si>
    <t>SOBRADINHO</t>
  </si>
  <si>
    <t>SOBRAGI</t>
  </si>
  <si>
    <t>STA CLARA MG</t>
  </si>
  <si>
    <t>STA CLARA PR</t>
  </si>
  <si>
    <t>STO ANT JARI</t>
  </si>
  <si>
    <t>Santo Antonio do Jari</t>
  </si>
  <si>
    <t>STO ANTONIO</t>
  </si>
  <si>
    <t>Santo Antônio_Madeira_Total</t>
  </si>
  <si>
    <t>TAQUARUCU</t>
  </si>
  <si>
    <t>TELES PIRES</t>
  </si>
  <si>
    <t>Teles Pires</t>
  </si>
  <si>
    <t>TRES MARIAS</t>
  </si>
  <si>
    <t>TUCURUI</t>
  </si>
  <si>
    <t>VOLTA GRANDE</t>
  </si>
  <si>
    <t>XINGO</t>
  </si>
  <si>
    <t>SE</t>
  </si>
  <si>
    <t>cod_projeto_UHE</t>
  </si>
  <si>
    <t>UF_SMA</t>
  </si>
  <si>
    <t>cod_complexo</t>
  </si>
  <si>
    <t>FC_Firme</t>
  </si>
  <si>
    <t>PI-EF</t>
  </si>
  <si>
    <t>FC_Medio</t>
  </si>
  <si>
    <t>EM-EF</t>
  </si>
  <si>
    <t>tipo_expansão</t>
  </si>
  <si>
    <t>vida_util_UHE</t>
  </si>
  <si>
    <t>custo_conexão</t>
  </si>
  <si>
    <t>custo new</t>
  </si>
  <si>
    <t>Custo Unitario</t>
  </si>
  <si>
    <t>ICD</t>
  </si>
  <si>
    <t>R (M R$/ano)</t>
  </si>
  <si>
    <t>Classificação PLANEL</t>
  </si>
  <si>
    <t>SMA</t>
  </si>
  <si>
    <t>Cenário 1 SMA - cod exp.</t>
  </si>
  <si>
    <t>Cenário 1 SMA - Data mínima</t>
  </si>
  <si>
    <t>Cenário 2 SMA - cod exp.</t>
  </si>
  <si>
    <t>Cenário 2 SMA - Data mínima</t>
  </si>
  <si>
    <t>A17PA118 (Bacuri)</t>
  </si>
  <si>
    <t>Amazônica</t>
  </si>
  <si>
    <t>Paru</t>
  </si>
  <si>
    <t>Interfere em UC de US</t>
  </si>
  <si>
    <t>A26PA184 (Miriti)</t>
  </si>
  <si>
    <t>Interfere em UC de PI</t>
  </si>
  <si>
    <t>A29PA208 (Touré)</t>
  </si>
  <si>
    <t>A34PA250 (Samuã)</t>
  </si>
  <si>
    <t>A38PA100</t>
  </si>
  <si>
    <t>A38PA101</t>
  </si>
  <si>
    <t>A41PA008 (Panamã)</t>
  </si>
  <si>
    <t>Açaipé B</t>
  </si>
  <si>
    <t>Jari</t>
  </si>
  <si>
    <t>Água Branca</t>
  </si>
  <si>
    <t>Amapari</t>
  </si>
  <si>
    <t>Água Clara</t>
  </si>
  <si>
    <t>Paraná</t>
  </si>
  <si>
    <t>Não interfere em UC, TI e TQ</t>
  </si>
  <si>
    <t>Água Limpa</t>
  </si>
  <si>
    <t>Tocantins-Araguaia</t>
  </si>
  <si>
    <t>Mortes</t>
  </si>
  <si>
    <t>Águas de Chapecó</t>
  </si>
  <si>
    <t>Chapecó</t>
  </si>
  <si>
    <t>Águas Lindas</t>
  </si>
  <si>
    <t>Cupari</t>
  </si>
  <si>
    <t>Almenara</t>
  </si>
  <si>
    <t>Atlântico Leste</t>
  </si>
  <si>
    <t>Jequitinhonha</t>
  </si>
  <si>
    <t>Alta Floresta</t>
  </si>
  <si>
    <t>PDE 2026</t>
  </si>
  <si>
    <t>Angueretá</t>
  </si>
  <si>
    <t>São Francisco</t>
  </si>
  <si>
    <t>Paraopeba</t>
  </si>
  <si>
    <t>Apertados</t>
  </si>
  <si>
    <t>Piquiri</t>
  </si>
  <si>
    <t>Apiaká-Kayabi (PEX-093)</t>
  </si>
  <si>
    <t>Peixes</t>
  </si>
  <si>
    <t>Interfere em TI ou TQ</t>
  </si>
  <si>
    <t>Arraias</t>
  </si>
  <si>
    <t>Palma</t>
  </si>
  <si>
    <t>Arroio do Meio</t>
  </si>
  <si>
    <t>Atlântico Sul</t>
  </si>
  <si>
    <t>Taquari</t>
  </si>
  <si>
    <t>Bambu I</t>
  </si>
  <si>
    <t>Araguari</t>
  </si>
  <si>
    <t>Banharão</t>
  </si>
  <si>
    <t>Pardo</t>
  </si>
  <si>
    <t>Barra do Claro</t>
  </si>
  <si>
    <t>Arinos</t>
  </si>
  <si>
    <t>Barra do Palma</t>
  </si>
  <si>
    <t>Barra do Pomba</t>
  </si>
  <si>
    <t>Atlântico Sudeste</t>
  </si>
  <si>
    <t>Barretos</t>
  </si>
  <si>
    <t>Baú I</t>
  </si>
  <si>
    <t>Doce</t>
  </si>
  <si>
    <t>Bem Querer J1A</t>
  </si>
  <si>
    <t>Branco</t>
  </si>
  <si>
    <t>Biboca</t>
  </si>
  <si>
    <t>Boaventura</t>
  </si>
  <si>
    <t>das Garças</t>
  </si>
  <si>
    <t>Bom Retiro</t>
  </si>
  <si>
    <t>Piranga</t>
  </si>
  <si>
    <t>Buriti Queimado</t>
  </si>
  <si>
    <t>Almas</t>
  </si>
  <si>
    <t>Buritizal</t>
  </si>
  <si>
    <t>Cachoeira</t>
  </si>
  <si>
    <t>Parnaíba</t>
  </si>
  <si>
    <t>Cachoeira da Velha</t>
  </si>
  <si>
    <t>Sono</t>
  </si>
  <si>
    <t>Cachoeira do Caí</t>
  </si>
  <si>
    <t>Jamanxim</t>
  </si>
  <si>
    <t>Cachoeira dos Patos</t>
  </si>
  <si>
    <t>Cachoeira Galinha</t>
  </si>
  <si>
    <t>Roosevelt</t>
  </si>
  <si>
    <t>Cachoeirão</t>
  </si>
  <si>
    <t>Juruena</t>
  </si>
  <si>
    <t>Cambuci</t>
  </si>
  <si>
    <t>Canto do Rio</t>
  </si>
  <si>
    <t>Cantu</t>
  </si>
  <si>
    <t>Carecuru</t>
  </si>
  <si>
    <t>Castanheira (ARN-120)</t>
  </si>
  <si>
    <t>Castelhano</t>
  </si>
  <si>
    <t>Cebolão Médio</t>
  </si>
  <si>
    <t>Chacorão</t>
  </si>
  <si>
    <t>Tapajós</t>
  </si>
  <si>
    <t>Choro</t>
  </si>
  <si>
    <t>Comissário</t>
  </si>
  <si>
    <t>Couto Magalhães</t>
  </si>
  <si>
    <t>Araguaia</t>
  </si>
  <si>
    <t>Crenaque</t>
  </si>
  <si>
    <t>Cruzeiro do Sul</t>
  </si>
  <si>
    <t>Cubatão</t>
  </si>
  <si>
    <t>Davinópolis</t>
  </si>
  <si>
    <t>Doresópolis</t>
  </si>
  <si>
    <t>E01a</t>
  </si>
  <si>
    <t>da Prata</t>
  </si>
  <si>
    <t>Enawene-Nawe (JRN-720)</t>
  </si>
  <si>
    <t>Encantado</t>
  </si>
  <si>
    <t>Taquari-Antas</t>
  </si>
  <si>
    <t>Eng. Érico Bitencourt de Freitas</t>
  </si>
  <si>
    <t xml:space="preserve">Eng. Érico Bitencourt de Freitas </t>
  </si>
  <si>
    <t>Claro</t>
  </si>
  <si>
    <t>Ercilândia</t>
  </si>
  <si>
    <t xml:space="preserve">Ercilândia </t>
  </si>
  <si>
    <t>Erikpatsa (JRN-530)</t>
  </si>
  <si>
    <t>Escondido (JRN-277)</t>
  </si>
  <si>
    <t>Escura</t>
  </si>
  <si>
    <t>Estreito (PI)</t>
  </si>
  <si>
    <t>Estrela</t>
  </si>
  <si>
    <t>Fé Esperança</t>
  </si>
  <si>
    <t>Mucajaí</t>
  </si>
  <si>
    <t>Floresta</t>
  </si>
  <si>
    <t>Fontanilhas (JRN-577)</t>
  </si>
  <si>
    <t>Foz do Apiacás</t>
  </si>
  <si>
    <t>Apiacás</t>
  </si>
  <si>
    <t>Foz do Buriti (PPG-115)</t>
  </si>
  <si>
    <t>Papagaio</t>
  </si>
  <si>
    <t>Foz do formiga baixo (JUI-029b)</t>
  </si>
  <si>
    <t>Juína</t>
  </si>
  <si>
    <t>Foz do Laje II</t>
  </si>
  <si>
    <t>Veríssimo</t>
  </si>
  <si>
    <t>Foz do Piquiri</t>
  </si>
  <si>
    <t>Foz do Sacre (PPG-147)</t>
  </si>
  <si>
    <t>Foz do Xaxim</t>
  </si>
  <si>
    <t>Foz dos Bois</t>
  </si>
  <si>
    <t>Bois</t>
  </si>
  <si>
    <t>Galiléia</t>
  </si>
  <si>
    <t>Gamela</t>
  </si>
  <si>
    <t>Garabi (50%)</t>
  </si>
  <si>
    <t>Guatambú</t>
  </si>
  <si>
    <t>Pelotas</t>
  </si>
  <si>
    <t>Ilha São Pedro</t>
  </si>
  <si>
    <t>Ilha Três Quedas</t>
  </si>
  <si>
    <t>Aripuanã</t>
  </si>
  <si>
    <t>Inferninho</t>
  </si>
  <si>
    <t>Inocência</t>
  </si>
  <si>
    <t>Sucuriú</t>
  </si>
  <si>
    <t>Ipueiras (Tocantins)</t>
  </si>
  <si>
    <t>Tocantins</t>
  </si>
  <si>
    <t>Iraí</t>
  </si>
  <si>
    <t>Itaguaçu</t>
  </si>
  <si>
    <t>Itapiranga</t>
  </si>
  <si>
    <t>Itumirim</t>
  </si>
  <si>
    <t>Corrente</t>
  </si>
  <si>
    <t>Jaboti (Jatobá no Despacho)</t>
  </si>
  <si>
    <t>Jacaré (JUI-048)</t>
  </si>
  <si>
    <t>Jardim do Ouro</t>
  </si>
  <si>
    <t>Jatobá</t>
  </si>
  <si>
    <t>Jenipapo</t>
  </si>
  <si>
    <t>Jequié</t>
  </si>
  <si>
    <t>das Almas ou Jequié</t>
  </si>
  <si>
    <t>Jurumirim</t>
  </si>
  <si>
    <t>Jutuarama</t>
  </si>
  <si>
    <t>Maicuru</t>
  </si>
  <si>
    <t>Kabiara</t>
  </si>
  <si>
    <t>Sangue</t>
  </si>
  <si>
    <t>Lagoinha</t>
  </si>
  <si>
    <t>Indaiá</t>
  </si>
  <si>
    <t>Laguna</t>
  </si>
  <si>
    <t>Maranhão</t>
  </si>
  <si>
    <t>Lajeadão III</t>
  </si>
  <si>
    <t>Ivaí</t>
  </si>
  <si>
    <t>Limoeiro</t>
  </si>
  <si>
    <t>Lua Cheia</t>
  </si>
  <si>
    <t>Magessi</t>
  </si>
  <si>
    <t>Marabá</t>
  </si>
  <si>
    <t>Mirador</t>
  </si>
  <si>
    <t>Tocantinzinho</t>
  </si>
  <si>
    <t>Mocotó</t>
  </si>
  <si>
    <t>Monte Santo</t>
  </si>
  <si>
    <t>do Sono</t>
  </si>
  <si>
    <t>Mortes 2-322</t>
  </si>
  <si>
    <t>Muçum 65</t>
  </si>
  <si>
    <t>Nambikwara (JUI-008)</t>
  </si>
  <si>
    <t>Nova Roma</t>
  </si>
  <si>
    <t>Paranã</t>
  </si>
  <si>
    <t>Nova União</t>
  </si>
  <si>
    <t>Chapecozinho</t>
  </si>
  <si>
    <t>Olho D'Água</t>
  </si>
  <si>
    <t>Paca Grande I</t>
  </si>
  <si>
    <t>Bracuhy</t>
  </si>
  <si>
    <t>Pai Querê</t>
  </si>
  <si>
    <t>Paiçandu</t>
  </si>
  <si>
    <t>Panambi (50%)</t>
  </si>
  <si>
    <t>Panorama</t>
  </si>
  <si>
    <t>José Pedro</t>
  </si>
  <si>
    <t>Parecis (uhe)</t>
  </si>
  <si>
    <t>Paredão A</t>
  </si>
  <si>
    <t>Paredão M1</t>
  </si>
  <si>
    <t>Pau D'Arco</t>
  </si>
  <si>
    <t>PCH_PDE_2015_S</t>
  </si>
  <si>
    <t>PCH_PDE_2015_TELES_PIRES</t>
  </si>
  <si>
    <t>PCH_PDE_2016_AC/RO</t>
  </si>
  <si>
    <t>PCH_PDE_2016_NE</t>
  </si>
  <si>
    <t>PCH_PDE_2016_S</t>
  </si>
  <si>
    <t>PCH_PDE_2016_SE/CO</t>
  </si>
  <si>
    <t>PCH_PDE_2017_AC/RO</t>
  </si>
  <si>
    <t>PCH_PDE_2017_S</t>
  </si>
  <si>
    <t>PCH_PDE_2017_SE/CO</t>
  </si>
  <si>
    <t>PCH_PDE_2018_S</t>
  </si>
  <si>
    <t>PCH_PDE_2018_SE/CO</t>
  </si>
  <si>
    <t>PCH_PDE_2019_S</t>
  </si>
  <si>
    <t>PCH_PDE_2019_SE/CO</t>
  </si>
  <si>
    <t>PCH_PDE_2020_AC/RO</t>
  </si>
  <si>
    <t>PCH_PDE_2020_NE</t>
  </si>
  <si>
    <t>PCH_PDE_2020_S</t>
  </si>
  <si>
    <t>PCH_PDE_2020_SE/CO</t>
  </si>
  <si>
    <t>PCH_projeto_N</t>
  </si>
  <si>
    <t>PCH_projeto_NE</t>
  </si>
  <si>
    <t>PCH_projeto_S_1/2</t>
  </si>
  <si>
    <t>PCH_projeto_S_2/2</t>
  </si>
  <si>
    <t>PCH_projeto_SE/CO</t>
  </si>
  <si>
    <t>PCH_projeto_SE/CO_1/3</t>
  </si>
  <si>
    <t>PCH_projeto_SE/CO_2/3</t>
  </si>
  <si>
    <t>PCH_projeto_SE/CO_3/3</t>
  </si>
  <si>
    <t>Pedra Azul</t>
  </si>
  <si>
    <t>Tietê</t>
  </si>
  <si>
    <t>Pedra Branca</t>
  </si>
  <si>
    <t>Peixe Bravo</t>
  </si>
  <si>
    <t>Piraí I</t>
  </si>
  <si>
    <t>Pompéu</t>
  </si>
  <si>
    <t>Ponte Indaiá</t>
  </si>
  <si>
    <t>Ponte Nova</t>
  </si>
  <si>
    <t>Porteiras</t>
  </si>
  <si>
    <t>Porto da Serra I</t>
  </si>
  <si>
    <t>Porto Ferreira</t>
  </si>
  <si>
    <t>Porto Galeano</t>
  </si>
  <si>
    <t>Porto Guaritá</t>
  </si>
  <si>
    <t>Prainha</t>
  </si>
  <si>
    <t>Quebra Remo</t>
  </si>
  <si>
    <t>Resplendor</t>
  </si>
  <si>
    <t>Riacho Seco</t>
  </si>
  <si>
    <t>Ribeiro Gonçalves</t>
  </si>
  <si>
    <t>Rio Sono Baixo</t>
  </si>
  <si>
    <t>Roncador</t>
  </si>
  <si>
    <t>Sacos</t>
  </si>
  <si>
    <t>Formoso</t>
  </si>
  <si>
    <t>Salto Ariranha II</t>
  </si>
  <si>
    <t>Salto Augusto Baixo (JRN-234b)</t>
  </si>
  <si>
    <t>Salto da Divisa</t>
  </si>
  <si>
    <t>Salto Duran</t>
  </si>
  <si>
    <t>Salto Grande</t>
  </si>
  <si>
    <t>Chopim</t>
  </si>
  <si>
    <t>Salto Utiariti (PPG-159)</t>
  </si>
  <si>
    <t>Santa Barbara</t>
  </si>
  <si>
    <t>Santa Isabel</t>
  </si>
  <si>
    <t>Santa Rita (MS)</t>
  </si>
  <si>
    <t>Santo Antônio</t>
  </si>
  <si>
    <t>São Cristovão II</t>
  </si>
  <si>
    <t>São Domingos (TO)</t>
  </si>
  <si>
    <t>São Jerônimo</t>
  </si>
  <si>
    <t>São João IV</t>
  </si>
  <si>
    <t>São Luiz do Tapajós</t>
  </si>
  <si>
    <t>São Miguel</t>
  </si>
  <si>
    <t>Grande</t>
  </si>
  <si>
    <t>São Simão Alto (JRN-117a)</t>
  </si>
  <si>
    <t>Saudade</t>
  </si>
  <si>
    <t>Serra Azul</t>
  </si>
  <si>
    <t>Serra Quebrada</t>
  </si>
  <si>
    <t>Sucuri</t>
  </si>
  <si>
    <t>Paraguai</t>
  </si>
  <si>
    <t>Coxim</t>
  </si>
  <si>
    <t>Sumaúma</t>
  </si>
  <si>
    <t>Sumaúma (PA)</t>
  </si>
  <si>
    <t>Tabajara</t>
  </si>
  <si>
    <t>Ji-Paraná</t>
  </si>
  <si>
    <t>Taboa</t>
  </si>
  <si>
    <t>Balsas</t>
  </si>
  <si>
    <t>Taboca</t>
  </si>
  <si>
    <t>Tapires (SAN-020)</t>
  </si>
  <si>
    <t>Taquara</t>
  </si>
  <si>
    <t>Telêmaco Borba</t>
  </si>
  <si>
    <t>Terra Branca</t>
  </si>
  <si>
    <t>Tijuco Alto</t>
  </si>
  <si>
    <t>Ribeira do Iguape</t>
  </si>
  <si>
    <t>Toricoejo</t>
  </si>
  <si>
    <t>Torixoréu</t>
  </si>
  <si>
    <t>Travessão</t>
  </si>
  <si>
    <t>Manhuaçu</t>
  </si>
  <si>
    <t>Travessão dos Índios (ARN-026 )</t>
  </si>
  <si>
    <t>Tucumã (JRN-466)</t>
  </si>
  <si>
    <t>Tupiratins</t>
  </si>
  <si>
    <t>União II Montante</t>
  </si>
  <si>
    <t>Uruçuí</t>
  </si>
  <si>
    <t>Urucupatá</t>
  </si>
  <si>
    <t>Verde 11 Alto</t>
  </si>
  <si>
    <t>Vermelho</t>
  </si>
  <si>
    <t>Vila Rica</t>
  </si>
  <si>
    <t>Viradouro</t>
  </si>
  <si>
    <t>Rótulos de Linha</t>
  </si>
  <si>
    <t>Soma de Potencia</t>
  </si>
  <si>
    <t>Total Geral</t>
  </si>
  <si>
    <t># parcelas</t>
  </si>
  <si>
    <t>Total_desembolso</t>
  </si>
  <si>
    <t>Anos Construção</t>
  </si>
  <si>
    <t>UHEs Até 400 MW</t>
  </si>
  <si>
    <t>UHEs entre 400 e 1.000 MW</t>
  </si>
  <si>
    <t>UHE Jatobá</t>
  </si>
  <si>
    <t>UTE Gás C.Comb.</t>
  </si>
  <si>
    <t>UTE Gás C.Aberto</t>
  </si>
  <si>
    <t>UTE Carvão</t>
  </si>
  <si>
    <t>UTE Biomassa (cana)</t>
  </si>
  <si>
    <t>UTE Cavaco</t>
  </si>
  <si>
    <t>UTE Nuclear</t>
  </si>
  <si>
    <t>UHReversível</t>
  </si>
  <si>
    <t>nome_complexo</t>
  </si>
  <si>
    <t>anobase</t>
  </si>
  <si>
    <t>Potencia_Total</t>
  </si>
  <si>
    <t>n°_projetos</t>
  </si>
  <si>
    <t>S. Simao Alto</t>
  </si>
  <si>
    <t>Belo Monte</t>
  </si>
  <si>
    <t>Total Potência</t>
  </si>
  <si>
    <t>Total Efirme_Trim1</t>
  </si>
  <si>
    <t>S Luiz Tapajos</t>
  </si>
  <si>
    <t>Total Efirme_Trim2</t>
  </si>
  <si>
    <t>Total Efirme_Trim3</t>
  </si>
  <si>
    <t>Total Efirme_Trim4</t>
  </si>
  <si>
    <t>Jirau</t>
  </si>
  <si>
    <t>Total Emédia_Trim1</t>
  </si>
  <si>
    <t>Sto. Antonio</t>
  </si>
  <si>
    <t>Total Emédia_Trim2</t>
  </si>
  <si>
    <t>Jatoba</t>
  </si>
  <si>
    <t>Total Emédia_Trim3</t>
  </si>
  <si>
    <t>Maraba</t>
  </si>
  <si>
    <t>Total Emédia_Trim4</t>
  </si>
  <si>
    <t>T. Pires</t>
  </si>
  <si>
    <t>Salto Augusto Baixo</t>
  </si>
  <si>
    <t>Escondido</t>
  </si>
  <si>
    <t>Bem Querer</t>
  </si>
  <si>
    <t>nome_categoria</t>
  </si>
  <si>
    <t>Óleos Comb</t>
  </si>
  <si>
    <t>Oceano</t>
  </si>
  <si>
    <t>nome_combustivel</t>
  </si>
  <si>
    <t>Combustível</t>
  </si>
  <si>
    <t>OLEO</t>
  </si>
  <si>
    <t>CARVAO</t>
  </si>
  <si>
    <t>VAPOR</t>
  </si>
  <si>
    <t>ACRE</t>
  </si>
  <si>
    <t>Outro</t>
  </si>
  <si>
    <t>BOLTBAH</t>
  </si>
  <si>
    <t>GN_flexível_ate2030</t>
  </si>
  <si>
    <t>GN_inflexível_até_2030</t>
  </si>
  <si>
    <t>Urânio</t>
  </si>
  <si>
    <t>EOLICA/SOLAR/OCEANO</t>
  </si>
  <si>
    <t>RESID_AGROPEC</t>
  </si>
  <si>
    <t>CARVÃO NAC_pulverizado</t>
  </si>
  <si>
    <t>Carvão Nacional</t>
  </si>
  <si>
    <t>CARVÃO IMP_pulverizado</t>
  </si>
  <si>
    <t>Carvão Importado</t>
  </si>
  <si>
    <t>GAS_CC_SE_offshore</t>
  </si>
  <si>
    <t>Gas_CC_Poço</t>
  </si>
  <si>
    <t>Gás Natural Poço</t>
  </si>
  <si>
    <t>GN_pré-sal</t>
  </si>
  <si>
    <t>GN_nao_Conv</t>
  </si>
  <si>
    <t>ano</t>
  </si>
  <si>
    <t>custo_combustivel</t>
  </si>
  <si>
    <t xml:space="preserve">US$/MWh </t>
  </si>
  <si>
    <t>US$/ton</t>
  </si>
  <si>
    <t>US$/MMBTU</t>
  </si>
  <si>
    <t>Gás Natural Ponta</t>
  </si>
  <si>
    <t>R$/kg</t>
  </si>
  <si>
    <t>R$/m3</t>
  </si>
  <si>
    <t>Parcela Itaipu</t>
  </si>
  <si>
    <t>Importação Itaipu</t>
  </si>
  <si>
    <t>Damanda Paraguai</t>
  </si>
  <si>
    <t>Total Brasil (MWmédio)</t>
  </si>
  <si>
    <t>Energia média de Itaipu:</t>
  </si>
  <si>
    <t>MWmédio</t>
  </si>
  <si>
    <t>Parcela Paraguaia de Itaipu:</t>
  </si>
  <si>
    <t>Carga Paraguai advinda de Itaipu</t>
  </si>
  <si>
    <t>Demanda de Itaipu</t>
  </si>
  <si>
    <t>Total Brasil (MW)</t>
  </si>
  <si>
    <t>Mercado de Ponta</t>
  </si>
  <si>
    <t>Demanda de ponta (projeção)</t>
  </si>
  <si>
    <t>Total GD - Ponta</t>
  </si>
  <si>
    <t>Potência (MWp)</t>
  </si>
  <si>
    <t>GD FV</t>
  </si>
  <si>
    <t>Energia Total (MWméd)</t>
  </si>
  <si>
    <t>GD Biomassa</t>
  </si>
  <si>
    <t>GD eólica</t>
  </si>
  <si>
    <t>GD CGH</t>
  </si>
  <si>
    <t>Mercado_Energia</t>
  </si>
  <si>
    <t>Comp_Perdas_Interc</t>
  </si>
  <si>
    <t>GerNaoDesp</t>
  </si>
  <si>
    <t>Mercado_Ponta</t>
  </si>
  <si>
    <t>GD_Solar</t>
  </si>
  <si>
    <t>GD_Residuos</t>
  </si>
  <si>
    <t>GD_outros</t>
  </si>
  <si>
    <t>Perdas LTs</t>
  </si>
  <si>
    <t>Perda LT (p.u.)</t>
  </si>
  <si>
    <t>Mercado pós ajuste (Matriz 2030+Itaipu)</t>
  </si>
  <si>
    <t>Mercado (Matriz 2030)</t>
  </si>
  <si>
    <t>Diferença</t>
  </si>
  <si>
    <t>nome_subsistema</t>
  </si>
  <si>
    <t>Sudeste</t>
  </si>
  <si>
    <t>Itaipu</t>
  </si>
  <si>
    <t>Madeira</t>
  </si>
  <si>
    <t>Ivaiporã</t>
  </si>
  <si>
    <t>Imperatriz</t>
  </si>
  <si>
    <t>cod_UF</t>
  </si>
  <si>
    <t>Regiao</t>
  </si>
  <si>
    <t>Acre</t>
  </si>
  <si>
    <t>AL</t>
  </si>
  <si>
    <t>Alagoas</t>
  </si>
  <si>
    <t>Amazonas</t>
  </si>
  <si>
    <t>Amapá</t>
  </si>
  <si>
    <t>Bahia</t>
  </si>
  <si>
    <t>CE</t>
  </si>
  <si>
    <t>Ceará</t>
  </si>
  <si>
    <t>DF</t>
  </si>
  <si>
    <t>Distrito Federal</t>
  </si>
  <si>
    <t>Centro-Oeste</t>
  </si>
  <si>
    <t>Espírito Santo</t>
  </si>
  <si>
    <t>Goiás</t>
  </si>
  <si>
    <t>Minas Gerais</t>
  </si>
  <si>
    <t>Mato Grosso do Sul</t>
  </si>
  <si>
    <t>Mato Grosso</t>
  </si>
  <si>
    <t>Pará</t>
  </si>
  <si>
    <t>PB</t>
  </si>
  <si>
    <t>Paraíba</t>
  </si>
  <si>
    <t>Pernambuco</t>
  </si>
  <si>
    <t>Piauí</t>
  </si>
  <si>
    <t>Rio de Janeiro</t>
  </si>
  <si>
    <t>Rio Grande do Norte</t>
  </si>
  <si>
    <t>Rondônia</t>
  </si>
  <si>
    <t>Roraima</t>
  </si>
  <si>
    <t>Rio Grande do Sul</t>
  </si>
  <si>
    <t>Santa Catarina</t>
  </si>
  <si>
    <t>Sergipe</t>
  </si>
  <si>
    <t>São Paulo</t>
  </si>
  <si>
    <t>cod_periodo</t>
  </si>
  <si>
    <t>fator_sazonalidade</t>
  </si>
  <si>
    <t>FsazE_1</t>
  </si>
  <si>
    <t>FsazE_2</t>
  </si>
  <si>
    <t>FsazE_3</t>
  </si>
  <si>
    <t>FsazE_4</t>
  </si>
  <si>
    <t>FsazP_1</t>
  </si>
  <si>
    <t>FsazP_2</t>
  </si>
  <si>
    <t>FsazP_3</t>
  </si>
  <si>
    <t>FsazP_4</t>
  </si>
  <si>
    <t>nome_expansao</t>
  </si>
  <si>
    <t>opcional</t>
  </si>
  <si>
    <t>obrigatoria</t>
  </si>
  <si>
    <t>não_considerar</t>
  </si>
  <si>
    <t>nome_periodo</t>
  </si>
  <si>
    <t>1° Trim</t>
  </si>
  <si>
    <t>2° Trim</t>
  </si>
  <si>
    <t>3° Trim</t>
  </si>
  <si>
    <t>4° Trim</t>
  </si>
  <si>
    <t>Cod_ano</t>
  </si>
  <si>
    <t>FpontaHidro_trim1</t>
  </si>
  <si>
    <t>FpontaHidro_trim2</t>
  </si>
  <si>
    <t>FpontaHidro_trim3</t>
  </si>
  <si>
    <t>FpontaHidro_trim4</t>
  </si>
  <si>
    <t>cod_corredor</t>
  </si>
  <si>
    <t>subsistema_de</t>
  </si>
  <si>
    <t>subsistema_para</t>
  </si>
  <si>
    <t>SE-Sul</t>
  </si>
  <si>
    <t>SE-NE</t>
  </si>
  <si>
    <t>SE-Itaipu</t>
  </si>
  <si>
    <t>SE-Ivaip</t>
  </si>
  <si>
    <t>SE-Imp</t>
  </si>
  <si>
    <t>Sul-Itaipu</t>
  </si>
  <si>
    <t>Sul-Ivaip</t>
  </si>
  <si>
    <t>NE-Imp</t>
  </si>
  <si>
    <t>N-Manaus</t>
  </si>
  <si>
    <t>N-Imp</t>
  </si>
  <si>
    <t>Itaipu-Ivaip</t>
  </si>
  <si>
    <t>AC/RO/Mad-SE</t>
  </si>
  <si>
    <t>Manaus-AC/RO/Mad</t>
  </si>
  <si>
    <t>Tap-N</t>
  </si>
  <si>
    <t>Tap-SE/CO</t>
  </si>
  <si>
    <t>TelesP-SE</t>
  </si>
  <si>
    <t>N-SE/CO</t>
  </si>
  <si>
    <t>cod_intercambio_exist</t>
  </si>
  <si>
    <t>nome_intercambio_exist</t>
  </si>
  <si>
    <t>Limite_Interc_de_para</t>
  </si>
  <si>
    <t>Limite_Interc_para_de</t>
  </si>
  <si>
    <t>Perdas_intercambio_de_para</t>
  </si>
  <si>
    <t>Perdas_intercambio_para_de</t>
  </si>
  <si>
    <t>PDE2026: Xingu/Imp+Norte/Imp</t>
  </si>
  <si>
    <t>PDE2026</t>
  </si>
  <si>
    <t>PDE2026: Xingu/SE</t>
  </si>
  <si>
    <t>cod_intercambio_proj</t>
  </si>
  <si>
    <t>nome_intercambio_proj</t>
  </si>
  <si>
    <t>Nome_Corredor</t>
  </si>
  <si>
    <t>Tensão</t>
  </si>
  <si>
    <t>Limite_de_para</t>
  </si>
  <si>
    <t>Limite_para_de</t>
  </si>
  <si>
    <t xml:space="preserve">Custo Unitário </t>
  </si>
  <si>
    <t>MW</t>
  </si>
  <si>
    <t>R$</t>
  </si>
  <si>
    <t>R$/kW</t>
  </si>
  <si>
    <t>_</t>
  </si>
  <si>
    <t>Dados EOL</t>
  </si>
  <si>
    <t>Fator de Capacidade</t>
  </si>
  <si>
    <t>#</t>
  </si>
  <si>
    <t>Sistema</t>
  </si>
  <si>
    <t>R$/MW/mês</t>
  </si>
  <si>
    <t>Entrada Mínima</t>
  </si>
  <si>
    <t>Fat Pot</t>
  </si>
  <si>
    <t>Solar Nordeste</t>
  </si>
  <si>
    <t>Solar Sudeste</t>
  </si>
  <si>
    <t>Solar Nordeste DESCONTO</t>
  </si>
  <si>
    <t>Solar Sudeste DESCONTO</t>
  </si>
  <si>
    <t>EOL Sul</t>
  </si>
  <si>
    <t>EOL Nordeste</t>
  </si>
  <si>
    <t>Fatores Trimestrais</t>
  </si>
  <si>
    <t>Fator de Ponta para UHEs</t>
  </si>
  <si>
    <t>jan</t>
  </si>
  <si>
    <t>fev</t>
  </si>
  <si>
    <t>mar</t>
  </si>
  <si>
    <t>abr</t>
  </si>
  <si>
    <t>mai</t>
  </si>
  <si>
    <t>jun</t>
  </si>
  <si>
    <t>jul</t>
  </si>
  <si>
    <t>ago</t>
  </si>
  <si>
    <t>set</t>
  </si>
  <si>
    <t>out</t>
  </si>
  <si>
    <t>nov</t>
  </si>
  <si>
    <t>dez</t>
  </si>
  <si>
    <t>Capacidade Instalada em 2026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</si>
  <si>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</si>
  <si>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Fator de Ponta para Eólicas</t>
  </si>
  <si>
    <t>Média</t>
  </si>
  <si>
    <t>Mínimo</t>
  </si>
  <si>
    <t>Fatores Ponta Trim</t>
  </si>
  <si>
    <t>MDI</t>
  </si>
  <si>
    <t>PLANEL</t>
  </si>
  <si>
    <t>SUDESTE</t>
  </si>
  <si>
    <t>SUL</t>
  </si>
  <si>
    <t>NORDESTE</t>
  </si>
  <si>
    <t>NORTE</t>
  </si>
  <si>
    <t>AC RO</t>
  </si>
  <si>
    <t>MAN AP BV</t>
  </si>
  <si>
    <t>B.MONTE</t>
  </si>
  <si>
    <t>T. PIRES</t>
  </si>
  <si>
    <t>PARANA</t>
  </si>
  <si>
    <t>TAPAJOS</t>
  </si>
  <si>
    <t>IVAIPORA (100)</t>
  </si>
  <si>
    <t>IMPERATRIZ (200)</t>
  </si>
  <si>
    <t>XINGU (300)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</si>
</sst>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0"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_(&quot;R$ &quot;* #,##0.00_);_(&quot;R$ &quot;* \(#,##0.00\);_(&quot;R$ &quot;* &quot;-&quot;??_);_(@_)"/>
    <numFmt numFmtId="165" formatCode="_(* #,##0.00_);_(* \(#,##0.00\);_(* &quot;-&quot;??_);_(@_)"/>
    <numFmt numFmtId="166" formatCode="0.0"/>
    <numFmt numFmtId="167" formatCode="0.000"/>
    <numFmt numFmtId="168" formatCode="0.00_);\(0.00\)"/>
    <numFmt numFmtId="169" formatCode="0.00000"/>
    <numFmt numFmtId="170" formatCode="#,##0.000000"/>
    <numFmt numFmtId="171" formatCode="0.000000"/>
    <numFmt numFmtId="172" formatCode="#,##0.00000"/>
    <numFmt numFmtId="173" formatCode="_(* #,##0_);_(* \(#,##0\);_(* &quot;-&quot;??_);_(@_)"/>
    <numFmt numFmtId="174" formatCode="0.0000"/>
    <numFmt numFmtId="175" formatCode="0.0%"/>
    <numFmt numFmtId="176" formatCode="_-* #,##0.0000000_-;\-* #,##0.0000000_-;_-* &quot;-&quot;??_-;_-@_-"/>
    <numFmt numFmtId="177" formatCode="_-* #,##0.000_-;\-* #,##0.000_-;_-* &quot;-&quot;??_-;_-@_-"/>
    <numFmt numFmtId="178" formatCode="_-* #,##0.00_-;\-* #,##0.00_-;_-* &quot;-&quot;???_-;_-@_-"/>
    <numFmt numFmtId="179" formatCode="_(* #\,##0\.00_);_(* \(#\,##0\.00\);_(* &quot;-&quot;??_);_(@_)"/>
    <numFmt numFmtId="180" formatCode="_([$€-2]* #,##0.00_);_([$€-2]* \(#,##0.00\);_([$€-2]* &quot;-&quot;??_)"/>
    <numFmt numFmtId="181" formatCode="#.00"/>
  </numFmts>
  <fonts count="129"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10"/>
      <color indexed="12"/>
      <name val="Arial"/>
      <family val="2"/>
    </font>
    <font>
      <sz val="10"/>
      <color indexed="23"/>
      <name val="Arial"/>
      <family val="2"/>
    </font>
    <font>
      <sz val="11"/>
      <color theme="1"/>
      <name val="Calibri"/>
      <family val="2"/>
      <scheme val="minor"/>
    </font>
    <font>
      <sz val="10"/>
      <color indexed="58"/>
      <name val="Arial"/>
      <family val="2"/>
    </font>
    <font>
      <sz val="10"/>
      <color rgb="FF00B050"/>
      <name val="Arial"/>
      <family val="2"/>
    </font>
    <font>
      <sz val="10"/>
      <color indexed="8"/>
      <name val="Arial"/>
      <family val="2"/>
    </font>
    <font>
      <b/>
      <sz val="10"/>
      <color indexed="23"/>
      <name val="Arial"/>
      <family val="2"/>
    </font>
    <font>
      <sz val="10"/>
      <color indexed="17"/>
      <name val="Arial"/>
      <family val="2"/>
    </font>
    <font>
      <sz val="10"/>
      <color indexed="62"/>
      <name val="Arial"/>
      <family val="2"/>
    </font>
    <font>
      <b/>
      <sz val="8"/>
      <name val="Arial"/>
      <family val="2"/>
    </font>
    <font>
      <sz val="12"/>
      <name val="Times New Roman"/>
      <family val="1"/>
    </font>
    <font>
      <sz val="10"/>
      <color theme="0" tint="-0.14999847407452621"/>
      <name val="Arial"/>
      <family val="2"/>
    </font>
    <font>
      <b/>
      <sz val="10"/>
      <color indexed="8"/>
      <name val="Arial"/>
      <family val="2"/>
    </font>
    <font>
      <b/>
      <sz val="10"/>
      <color theme="6" tint="-0.499984740745262"/>
      <name val="Arial"/>
      <family val="2"/>
    </font>
    <font>
      <b/>
      <sz val="10"/>
      <color theme="0" tint="-0.499984740745262"/>
      <name val="Arial"/>
      <family val="2"/>
    </font>
    <font>
      <b/>
      <sz val="10"/>
      <color indexed="12"/>
      <name val="Arial"/>
      <family val="2"/>
    </font>
    <font>
      <sz val="10"/>
      <color theme="6" tint="-0.499984740745262"/>
      <name val="Arial"/>
      <family val="2"/>
    </font>
    <font>
      <sz val="8"/>
      <color theme="1"/>
      <name val="Arial"/>
      <family val="2"/>
    </font>
    <font>
      <sz val="8"/>
      <color rgb="FF5B5C5C"/>
      <name val="Verdana"/>
      <family val="2"/>
    </font>
    <font>
      <sz val="10"/>
      <name val="Arial"/>
      <family val="2"/>
    </font>
    <font>
      <sz val="8"/>
      <color theme="4"/>
      <name val="Arial"/>
      <family val="2"/>
    </font>
    <font>
      <sz val="8"/>
      <color theme="0" tint="-0.249977111117893"/>
      <name val="Arial"/>
      <family val="2"/>
    </font>
    <font>
      <b/>
      <sz val="10"/>
      <color theme="0"/>
      <name val="Arial"/>
      <family val="2"/>
    </font>
    <font>
      <sz val="10"/>
      <color theme="0"/>
      <name val="Arial"/>
      <family val="2"/>
    </font>
    <font>
      <b/>
      <sz val="10"/>
      <color rgb="FFFF0000"/>
      <name val="Arial"/>
      <family val="2"/>
    </font>
    <font>
      <sz val="8"/>
      <color theme="0"/>
      <name val="Arial"/>
      <family val="2"/>
    </font>
    <font>
      <b/>
      <sz val="9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0"/>
      <color theme="1"/>
      <name val="Arial"/>
      <family val="2"/>
    </font>
    <font>
      <sz val="9"/>
      <name val="Arial"/>
      <family val="2"/>
    </font>
    <font>
      <b/>
      <i/>
      <sz val="10"/>
      <name val="Arial"/>
      <family val="2"/>
    </font>
    <font>
      <i/>
      <sz val="10"/>
      <name val="Arial"/>
      <family val="2"/>
    </font>
    <font>
      <i/>
      <sz val="10"/>
      <color theme="1"/>
      <name val="Arial"/>
      <family val="2"/>
    </font>
    <font>
      <sz val="10"/>
      <color theme="9" tint="-0.249977111117893"/>
      <name val="Arial"/>
      <family val="2"/>
    </font>
    <font>
      <sz val="9"/>
      <color theme="1"/>
      <name val="Calibri"/>
      <family val="2"/>
      <scheme val="minor"/>
    </font>
    <font>
      <sz val="10"/>
      <color theme="9" tint="-0.499984740745262"/>
      <name val="Arial"/>
      <family val="2"/>
    </font>
    <font>
      <b/>
      <sz val="10"/>
      <color rgb="FFFFFFFF"/>
      <name val="Arial"/>
      <family val="2"/>
    </font>
    <font>
      <b/>
      <i/>
      <sz val="10"/>
      <color rgb="FFFFFFFF"/>
      <name val="Arial"/>
      <family val="2"/>
    </font>
    <font>
      <sz val="10"/>
      <color rgb="FFC00000"/>
      <name val="Arial"/>
      <family val="2"/>
    </font>
    <font>
      <b/>
      <sz val="10"/>
      <color rgb="FFC00000"/>
      <name val="Arial"/>
      <family val="2"/>
    </font>
    <font>
      <b/>
      <sz val="10"/>
      <color theme="4" tint="0.59999389629810485"/>
      <name val="Arial"/>
      <family val="2"/>
    </font>
    <font>
      <b/>
      <sz val="10"/>
      <color theme="9" tint="-0.249977111117893"/>
      <name val="Arial"/>
      <family val="2"/>
    </font>
    <font>
      <b/>
      <sz val="10"/>
      <color rgb="FF92D050"/>
      <name val="Arial"/>
      <family val="2"/>
    </font>
    <font>
      <b/>
      <sz val="10"/>
      <color rgb="FFFFFF00"/>
      <name val="Arial"/>
      <family val="2"/>
    </font>
    <font>
      <b/>
      <sz val="20"/>
      <color rgb="FFFF0000"/>
      <name val="Arial"/>
      <family val="2"/>
    </font>
    <font>
      <u/>
      <sz val="10"/>
      <color theme="10"/>
      <name val="Arial"/>
      <family val="2"/>
    </font>
    <font>
      <sz val="9"/>
      <color rgb="FF000000"/>
      <name val="Tahoma"/>
      <family val="2"/>
    </font>
    <font>
      <b/>
      <sz val="9"/>
      <color rgb="FF000000"/>
      <name val="Tahoma"/>
      <family val="2"/>
    </font>
    <font>
      <sz val="11"/>
      <name val="Calibri"/>
      <family val="2"/>
      <scheme val="minor"/>
    </font>
    <font>
      <sz val="10"/>
      <color theme="4" tint="0.79998168889431442"/>
      <name val="Arial"/>
      <family val="2"/>
    </font>
    <font>
      <b/>
      <sz val="10"/>
      <color theme="5" tint="-0.499984740745262"/>
      <name val="Arial"/>
      <family val="2"/>
    </font>
    <font>
      <sz val="11"/>
      <color theme="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1"/>
      <color rgb="FF1F497D"/>
      <name val="Calibri"/>
      <family val="2"/>
      <scheme val="minor"/>
    </font>
    <font>
      <b/>
      <sz val="10"/>
      <color rgb="FF00B0F0"/>
      <name val="Calibri"/>
      <family val="2"/>
      <scheme val="minor"/>
    </font>
    <font>
      <sz val="11"/>
      <color theme="1"/>
      <name val="Calibri"/>
      <family val="2"/>
    </font>
    <font>
      <sz val="10"/>
      <color theme="1"/>
      <name val="Times New Roman"/>
      <family val="1"/>
    </font>
    <font>
      <sz val="11"/>
      <color rgb="FF000000"/>
      <name val="Calibri"/>
      <family val="2"/>
    </font>
    <font>
      <sz val="8"/>
      <color indexed="23"/>
      <name val="Arial"/>
      <family val="2"/>
    </font>
    <font>
      <sz val="8"/>
      <color theme="9" tint="-0.249977111117893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u/>
      <sz val="10"/>
      <color indexed="1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0"/>
      <name val="Calibri"/>
      <family val="2"/>
    </font>
    <font>
      <sz val="10"/>
      <color indexed="8"/>
      <name val="MS Sans Serif"/>
      <family val="2"/>
    </font>
    <font>
      <u/>
      <sz val="10"/>
      <color indexed="12"/>
      <name val="MS Sans Serif"/>
      <family val="2"/>
    </font>
    <font>
      <u/>
      <sz val="11"/>
      <color theme="10"/>
      <name val="Calibri"/>
      <family val="2"/>
    </font>
    <font>
      <sz val="11"/>
      <color theme="1"/>
      <name val="Tahoma"/>
      <family val="2"/>
    </font>
    <font>
      <u/>
      <sz val="9.35"/>
      <color theme="1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9"/>
      <color indexed="8"/>
      <name val="Calibri"/>
      <family val="2"/>
    </font>
    <font>
      <b/>
      <sz val="9"/>
      <color indexed="8"/>
      <name val="Calibri"/>
      <family val="2"/>
    </font>
    <font>
      <sz val="1"/>
      <color indexed="8"/>
      <name val="Courier"/>
      <family val="3"/>
    </font>
    <font>
      <b/>
      <sz val="1"/>
      <color indexed="8"/>
      <name val="Courier"/>
      <family val="3"/>
    </font>
    <font>
      <u/>
      <sz val="8"/>
      <color indexed="12"/>
      <name val="Courier"/>
      <family val="3"/>
    </font>
    <font>
      <b/>
      <sz val="12"/>
      <color indexed="30"/>
      <name val="Calibri"/>
      <family val="2"/>
    </font>
    <font>
      <u/>
      <sz val="11"/>
      <color theme="10"/>
      <name val="Calibri"/>
      <family val="2"/>
      <scheme val="minor"/>
    </font>
    <font>
      <sz val="10"/>
      <color rgb="FFFF00FF"/>
      <name val="Arial"/>
      <family val="2"/>
    </font>
    <font>
      <b/>
      <sz val="10"/>
      <color rgb="FFFF00FF"/>
      <name val="Arial"/>
      <family val="2"/>
    </font>
    <font>
      <sz val="9"/>
      <color indexed="81"/>
      <name val="Segoe UI"/>
      <family val="2"/>
    </font>
    <font>
      <b/>
      <sz val="9"/>
      <color indexed="81"/>
      <name val="Segoe UI"/>
      <family val="2"/>
    </font>
    <font>
      <sz val="11"/>
      <color theme="0" tint="-0.14999847407452621"/>
      <name val="Calibri"/>
      <family val="2"/>
      <scheme val="minor"/>
    </font>
  </fonts>
  <fills count="128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8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7C80"/>
        <bgColor indexed="64"/>
      </patternFill>
    </fill>
    <fill>
      <patternFill patternType="solid">
        <fgColor rgb="FFFF66CC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theme="0" tint="-0.14999847407452621"/>
        <bgColor theme="0" tint="-0.14999847407452621"/>
      </patternFill>
    </fill>
    <fill>
      <patternFill patternType="solid">
        <fgColor theme="8"/>
        <bgColor theme="8"/>
      </patternFill>
    </fill>
    <fill>
      <patternFill patternType="solid">
        <fgColor theme="1" tint="0.34998626667073579"/>
        <bgColor theme="4"/>
      </patternFill>
    </fill>
    <fill>
      <patternFill patternType="solid">
        <fgColor theme="7"/>
        <bgColor theme="7"/>
      </patternFill>
    </fill>
    <fill>
      <patternFill patternType="solid">
        <fgColor theme="1" tint="0.14999847407452621"/>
        <bgColor indexed="64"/>
      </patternFill>
    </fill>
    <fill>
      <patternFill patternType="solid">
        <fgColor theme="9"/>
        <bgColor theme="9"/>
      </patternFill>
    </fill>
    <fill>
      <patternFill patternType="solid">
        <fgColor theme="7" tint="0.79998168889431442"/>
        <bgColor theme="7"/>
      </patternFill>
    </fill>
    <fill>
      <patternFill patternType="solid">
        <fgColor rgb="FF4F81BD"/>
        <bgColor rgb="FF4F81BD"/>
      </patternFill>
    </fill>
    <fill>
      <patternFill patternType="solid">
        <fgColor rgb="FFD9D9D9"/>
        <bgColor rgb="FFD9D9D9"/>
      </patternFill>
    </fill>
    <fill>
      <patternFill patternType="solid">
        <fgColor rgb="FFD9D9D9"/>
        <bgColor rgb="FF000000"/>
      </patternFill>
    </fill>
    <fill>
      <patternFill patternType="solid">
        <fgColor rgb="FFFFFFFF"/>
        <bgColor rgb="FFD9D9D9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7" tint="0.39997558519241921"/>
        <bgColor theme="7"/>
      </patternFill>
    </fill>
    <fill>
      <patternFill patternType="solid">
        <fgColor theme="0"/>
        <bgColor theme="0" tint="-0.14999847407452621"/>
      </patternFill>
    </fill>
    <fill>
      <patternFill patternType="solid">
        <fgColor theme="7" tint="-0.499984740745262"/>
        <bgColor indexed="64"/>
      </patternFill>
    </fill>
    <fill>
      <patternFill patternType="solid">
        <fgColor theme="1" tint="0.14999847407452621"/>
        <bgColor theme="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rgb="FFC5D9F1"/>
        <bgColor rgb="FF000000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D8E4BC"/>
        <bgColor rgb="FF000000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rgb="FFD9D9D9"/>
      </patternFill>
    </fill>
    <fill>
      <patternFill patternType="solid">
        <fgColor rgb="FFFFFF00"/>
        <bgColor rgb="FF000000"/>
      </patternFill>
    </fill>
    <fill>
      <patternFill patternType="solid">
        <fgColor rgb="FFFFFF00"/>
        <bgColor theme="0" tint="-0.14999847407452621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C00000"/>
        <bgColor indexed="64"/>
      </patternFill>
    </fill>
    <fill>
      <patternFill patternType="solid">
        <fgColor theme="4" tint="0.39997558519241921"/>
        <bgColor indexed="64"/>
      </patternFill>
    </fill>
  </fills>
  <borders count="50">
    <border>
      <left/>
      <right/>
      <top/>
      <bottom/>
      <diagonal/>
    </border>
    <border>
      <left/>
      <right/>
      <top/>
      <bottom style="double">
        <color indexed="48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medium">
        <color theme="1"/>
      </bottom>
      <diagonal/>
    </border>
    <border>
      <left/>
      <right/>
      <top style="medium">
        <color theme="1"/>
      </top>
      <bottom/>
      <diagonal/>
    </border>
    <border>
      <left/>
      <right/>
      <top style="medium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theme="9" tint="0.39997558519241921"/>
      </left>
      <right/>
      <top style="thin">
        <color theme="9" tint="0.39997558519241921"/>
      </top>
      <bottom/>
      <diagonal/>
    </border>
    <border>
      <left/>
      <right/>
      <top style="thin">
        <color theme="9" tint="0.39997558519241921"/>
      </top>
      <bottom/>
      <diagonal/>
    </border>
    <border>
      <left/>
      <right/>
      <top style="medium">
        <color rgb="FF000000"/>
      </top>
      <bottom/>
      <diagonal/>
    </border>
    <border>
      <left style="thin">
        <color indexed="64"/>
      </left>
      <right/>
      <top style="medium">
        <color rgb="FF000000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medium">
        <color rgb="FF000000"/>
      </bottom>
      <diagonal/>
    </border>
    <border>
      <left style="thin">
        <color indexed="64"/>
      </left>
      <right/>
      <top/>
      <bottom style="medium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rgb="FF0096D7"/>
      </bottom>
      <diagonal/>
    </border>
    <border>
      <left/>
      <right/>
      <top/>
      <bottom style="dashed">
        <color rgb="FFBFBFBF"/>
      </bottom>
      <diagonal/>
    </border>
    <border>
      <left/>
      <right/>
      <top style="medium">
        <color rgb="FF0096D7"/>
      </top>
      <bottom/>
      <diagonal/>
    </border>
    <border>
      <left/>
      <right/>
      <top/>
      <bottom style="thin">
        <color rgb="FFBFBFBF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</borders>
  <cellStyleXfs count="62114">
    <xf numFmtId="0" fontId="0" fillId="0" borderId="0"/>
    <xf numFmtId="165" fontId="5" fillId="0" borderId="0" applyFont="0" applyFill="0" applyBorder="0" applyAlignment="0" applyProtection="0"/>
    <xf numFmtId="0" fontId="7" fillId="0" borderId="0"/>
    <xf numFmtId="165" fontId="14" fillId="0" borderId="0" applyFont="0" applyFill="0" applyBorder="0" applyAlignment="0" applyProtection="0"/>
    <xf numFmtId="0" fontId="7" fillId="0" borderId="0"/>
    <xf numFmtId="0" fontId="7" fillId="0" borderId="0">
      <alignment vertical="center"/>
    </xf>
    <xf numFmtId="0" fontId="7" fillId="0" borderId="0"/>
    <xf numFmtId="0" fontId="14" fillId="0" borderId="0"/>
    <xf numFmtId="0" fontId="17" fillId="0" borderId="0"/>
    <xf numFmtId="0" fontId="31" fillId="0" borderId="0"/>
    <xf numFmtId="9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0" fontId="35" fillId="25" borderId="0" applyNumberFormat="0" applyBorder="0" applyAlignment="0" applyProtection="0"/>
    <xf numFmtId="0" fontId="7" fillId="0" borderId="0"/>
    <xf numFmtId="165" fontId="7" fillId="0" borderId="0" applyFont="0" applyFill="0" applyBorder="0" applyAlignment="0" applyProtection="0"/>
    <xf numFmtId="37" fontId="7" fillId="0" borderId="0"/>
    <xf numFmtId="0" fontId="7" fillId="0" borderId="0">
      <alignment vertical="center"/>
    </xf>
    <xf numFmtId="0" fontId="14" fillId="0" borderId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4" fillId="0" borderId="0"/>
    <xf numFmtId="9" fontId="5" fillId="0" borderId="0" applyFont="0" applyFill="0" applyBorder="0" applyAlignment="0" applyProtection="0"/>
    <xf numFmtId="0" fontId="58" fillId="0" borderId="0" applyNumberFormat="0" applyFill="0" applyBorder="0" applyAlignment="0" applyProtection="0"/>
    <xf numFmtId="0" fontId="7" fillId="0" borderId="0">
      <alignment vertical="center"/>
    </xf>
    <xf numFmtId="0" fontId="5" fillId="0" borderId="0"/>
    <xf numFmtId="0" fontId="7" fillId="0" borderId="0"/>
    <xf numFmtId="43" fontId="3" fillId="0" borderId="0" applyFont="0" applyFill="0" applyBorder="0" applyAlignment="0" applyProtection="0"/>
    <xf numFmtId="0" fontId="81" fillId="71" borderId="0" applyNumberFormat="0" applyBorder="0" applyAlignment="0" applyProtection="0"/>
    <xf numFmtId="0" fontId="82" fillId="72" borderId="0" applyNumberFormat="0" applyBorder="0" applyAlignment="0" applyProtection="0"/>
    <xf numFmtId="0" fontId="83" fillId="73" borderId="0" applyNumberFormat="0" applyBorder="0" applyAlignment="0" applyProtection="0"/>
    <xf numFmtId="0" fontId="84" fillId="74" borderId="29" applyNumberFormat="0" applyAlignment="0" applyProtection="0"/>
    <xf numFmtId="0" fontId="86" fillId="75" borderId="29" applyNumberFormat="0" applyAlignment="0" applyProtection="0"/>
    <xf numFmtId="0" fontId="87" fillId="0" borderId="31" applyNumberFormat="0" applyFill="0" applyAlignment="0" applyProtection="0"/>
    <xf numFmtId="0" fontId="88" fillId="76" borderId="32" applyNumberFormat="0" applyAlignment="0" applyProtection="0"/>
    <xf numFmtId="0" fontId="64" fillId="78" borderId="0" applyNumberFormat="0" applyBorder="0" applyAlignment="0" applyProtection="0"/>
    <xf numFmtId="0" fontId="2" fillId="79" borderId="0" applyNumberFormat="0" applyBorder="0" applyAlignment="0" applyProtection="0"/>
    <xf numFmtId="0" fontId="2" fillId="80" borderId="0" applyNumberFormat="0" applyBorder="0" applyAlignment="0" applyProtection="0"/>
    <xf numFmtId="0" fontId="64" fillId="81" borderId="0" applyNumberFormat="0" applyBorder="0" applyAlignment="0" applyProtection="0"/>
    <xf numFmtId="0" fontId="64" fillId="82" borderId="0" applyNumberFormat="0" applyBorder="0" applyAlignment="0" applyProtection="0"/>
    <xf numFmtId="0" fontId="2" fillId="83" borderId="0" applyNumberFormat="0" applyBorder="0" applyAlignment="0" applyProtection="0"/>
    <xf numFmtId="0" fontId="2" fillId="84" borderId="0" applyNumberFormat="0" applyBorder="0" applyAlignment="0" applyProtection="0"/>
    <xf numFmtId="0" fontId="64" fillId="85" borderId="0" applyNumberFormat="0" applyBorder="0" applyAlignment="0" applyProtection="0"/>
    <xf numFmtId="0" fontId="64" fillId="86" borderId="0" applyNumberFormat="0" applyBorder="0" applyAlignment="0" applyProtection="0"/>
    <xf numFmtId="0" fontId="2" fillId="87" borderId="0" applyNumberFormat="0" applyBorder="0" applyAlignment="0" applyProtection="0"/>
    <xf numFmtId="0" fontId="2" fillId="88" borderId="0" applyNumberFormat="0" applyBorder="0" applyAlignment="0" applyProtection="0"/>
    <xf numFmtId="0" fontId="64" fillId="89" borderId="0" applyNumberFormat="0" applyBorder="0" applyAlignment="0" applyProtection="0"/>
    <xf numFmtId="0" fontId="64" fillId="90" borderId="0" applyNumberFormat="0" applyBorder="0" applyAlignment="0" applyProtection="0"/>
    <xf numFmtId="0" fontId="2" fillId="91" borderId="0" applyNumberFormat="0" applyBorder="0" applyAlignment="0" applyProtection="0"/>
    <xf numFmtId="0" fontId="2" fillId="92" borderId="0" applyNumberFormat="0" applyBorder="0" applyAlignment="0" applyProtection="0"/>
    <xf numFmtId="0" fontId="64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5" borderId="0" applyNumberFormat="0" applyBorder="0" applyAlignment="0" applyProtection="0"/>
    <xf numFmtId="0" fontId="64" fillId="96" borderId="0" applyNumberFormat="0" applyBorder="0" applyAlignment="0" applyProtection="0"/>
    <xf numFmtId="0" fontId="64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99" borderId="0" applyNumberFormat="0" applyBorder="0" applyAlignment="0" applyProtection="0"/>
    <xf numFmtId="0" fontId="64" fillId="100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7" fillId="0" borderId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79" fontId="7" fillId="0" borderId="0" applyFont="0" applyFill="0" applyBorder="0" applyAlignment="0" applyProtection="0"/>
    <xf numFmtId="0" fontId="7" fillId="0" borderId="0"/>
    <xf numFmtId="43" fontId="2" fillId="0" borderId="0" applyFont="0" applyFill="0" applyBorder="0" applyAlignment="0" applyProtection="0"/>
    <xf numFmtId="0" fontId="92" fillId="0" borderId="0"/>
    <xf numFmtId="0" fontId="64" fillId="25" borderId="0" applyNumberFormat="0" applyBorder="0" applyAlignment="0" applyProtection="0"/>
    <xf numFmtId="0" fontId="7" fillId="0" borderId="0"/>
    <xf numFmtId="0" fontId="94" fillId="104" borderId="0" applyNumberFormat="0" applyBorder="0" applyAlignment="0" applyProtection="0"/>
    <xf numFmtId="0" fontId="94" fillId="105" borderId="0" applyNumberFormat="0" applyBorder="0" applyAlignment="0" applyProtection="0"/>
    <xf numFmtId="0" fontId="94" fillId="106" borderId="0" applyNumberFormat="0" applyBorder="0" applyAlignment="0" applyProtection="0"/>
    <xf numFmtId="0" fontId="94" fillId="107" borderId="0" applyNumberFormat="0" applyBorder="0" applyAlignment="0" applyProtection="0"/>
    <xf numFmtId="0" fontId="94" fillId="108" borderId="0" applyNumberFormat="0" applyBorder="0" applyAlignment="0" applyProtection="0"/>
    <xf numFmtId="0" fontId="94" fillId="10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94" fillId="104" borderId="0" applyNumberFormat="0" applyBorder="0" applyAlignment="0" applyProtection="0"/>
    <xf numFmtId="0" fontId="2" fillId="79" borderId="0" applyNumberFormat="0" applyBorder="0" applyAlignment="0" applyProtection="0"/>
    <xf numFmtId="0" fontId="94" fillId="104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94" fillId="104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94" fillId="105" borderId="0" applyNumberFormat="0" applyBorder="0" applyAlignment="0" applyProtection="0"/>
    <xf numFmtId="0" fontId="2" fillId="83" borderId="0" applyNumberFormat="0" applyBorder="0" applyAlignment="0" applyProtection="0"/>
    <xf numFmtId="0" fontId="94" fillId="105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94" fillId="105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94" fillId="106" borderId="0" applyNumberFormat="0" applyBorder="0" applyAlignment="0" applyProtection="0"/>
    <xf numFmtId="0" fontId="2" fillId="87" borderId="0" applyNumberFormat="0" applyBorder="0" applyAlignment="0" applyProtection="0"/>
    <xf numFmtId="0" fontId="94" fillId="106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94" fillId="106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94" fillId="107" borderId="0" applyNumberFormat="0" applyBorder="0" applyAlignment="0" applyProtection="0"/>
    <xf numFmtId="0" fontId="2" fillId="91" borderId="0" applyNumberFormat="0" applyBorder="0" applyAlignment="0" applyProtection="0"/>
    <xf numFmtId="0" fontId="94" fillId="107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94" fillId="107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94" fillId="108" borderId="0" applyNumberFormat="0" applyBorder="0" applyAlignment="0" applyProtection="0"/>
    <xf numFmtId="0" fontId="2" fillId="94" borderId="0" applyNumberFormat="0" applyBorder="0" applyAlignment="0" applyProtection="0"/>
    <xf numFmtId="0" fontId="94" fillId="108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94" fillId="108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94" fillId="109" borderId="0" applyNumberFormat="0" applyBorder="0" applyAlignment="0" applyProtection="0"/>
    <xf numFmtId="0" fontId="2" fillId="98" borderId="0" applyNumberFormat="0" applyBorder="0" applyAlignment="0" applyProtection="0"/>
    <xf numFmtId="0" fontId="94" fillId="109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94" fillId="109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94" fillId="110" borderId="0" applyNumberFormat="0" applyBorder="0" applyAlignment="0" applyProtection="0"/>
    <xf numFmtId="0" fontId="94" fillId="111" borderId="0" applyNumberFormat="0" applyBorder="0" applyAlignment="0" applyProtection="0"/>
    <xf numFmtId="0" fontId="94" fillId="112" borderId="0" applyNumberFormat="0" applyBorder="0" applyAlignment="0" applyProtection="0"/>
    <xf numFmtId="0" fontId="94" fillId="107" borderId="0" applyNumberFormat="0" applyBorder="0" applyAlignment="0" applyProtection="0"/>
    <xf numFmtId="0" fontId="94" fillId="110" borderId="0" applyNumberFormat="0" applyBorder="0" applyAlignment="0" applyProtection="0"/>
    <xf numFmtId="0" fontId="94" fillId="113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94" fillId="110" borderId="0" applyNumberFormat="0" applyBorder="0" applyAlignment="0" applyProtection="0"/>
    <xf numFmtId="0" fontId="2" fillId="80" borderId="0" applyNumberFormat="0" applyBorder="0" applyAlignment="0" applyProtection="0"/>
    <xf numFmtId="0" fontId="94" fillId="11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94" fillId="11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94" fillId="111" borderId="0" applyNumberFormat="0" applyBorder="0" applyAlignment="0" applyProtection="0"/>
    <xf numFmtId="0" fontId="2" fillId="84" borderId="0" applyNumberFormat="0" applyBorder="0" applyAlignment="0" applyProtection="0"/>
    <xf numFmtId="0" fontId="94" fillId="111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94" fillId="111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94" fillId="112" borderId="0" applyNumberFormat="0" applyBorder="0" applyAlignment="0" applyProtection="0"/>
    <xf numFmtId="0" fontId="2" fillId="88" borderId="0" applyNumberFormat="0" applyBorder="0" applyAlignment="0" applyProtection="0"/>
    <xf numFmtId="0" fontId="94" fillId="112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94" fillId="112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94" fillId="107" borderId="0" applyNumberFormat="0" applyBorder="0" applyAlignment="0" applyProtection="0"/>
    <xf numFmtId="0" fontId="2" fillId="92" borderId="0" applyNumberFormat="0" applyBorder="0" applyAlignment="0" applyProtection="0"/>
    <xf numFmtId="0" fontId="94" fillId="107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94" fillId="107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94" fillId="110" borderId="0" applyNumberFormat="0" applyBorder="0" applyAlignment="0" applyProtection="0"/>
    <xf numFmtId="0" fontId="2" fillId="95" borderId="0" applyNumberFormat="0" applyBorder="0" applyAlignment="0" applyProtection="0"/>
    <xf numFmtId="0" fontId="94" fillId="110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94" fillId="110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94" fillId="113" borderId="0" applyNumberFormat="0" applyBorder="0" applyAlignment="0" applyProtection="0"/>
    <xf numFmtId="0" fontId="2" fillId="99" borderId="0" applyNumberFormat="0" applyBorder="0" applyAlignment="0" applyProtection="0"/>
    <xf numFmtId="0" fontId="94" fillId="113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94" fillId="113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95" fillId="114" borderId="0" applyNumberFormat="0" applyBorder="0" applyAlignment="0" applyProtection="0"/>
    <xf numFmtId="0" fontId="95" fillId="111" borderId="0" applyNumberFormat="0" applyBorder="0" applyAlignment="0" applyProtection="0"/>
    <xf numFmtId="0" fontId="95" fillId="112" borderId="0" applyNumberFormat="0" applyBorder="0" applyAlignment="0" applyProtection="0"/>
    <xf numFmtId="0" fontId="95" fillId="115" borderId="0" applyNumberFormat="0" applyBorder="0" applyAlignment="0" applyProtection="0"/>
    <xf numFmtId="0" fontId="95" fillId="116" borderId="0" applyNumberFormat="0" applyBorder="0" applyAlignment="0" applyProtection="0"/>
    <xf numFmtId="0" fontId="95" fillId="117" borderId="0" applyNumberFormat="0" applyBorder="0" applyAlignment="0" applyProtection="0"/>
    <xf numFmtId="0" fontId="64" fillId="81" borderId="0" applyNumberFormat="0" applyBorder="0" applyAlignment="0" applyProtection="0"/>
    <xf numFmtId="0" fontId="95" fillId="114" borderId="0" applyNumberFormat="0" applyBorder="0" applyAlignment="0" applyProtection="0"/>
    <xf numFmtId="0" fontId="95" fillId="114" borderId="0" applyNumberFormat="0" applyBorder="0" applyAlignment="0" applyProtection="0"/>
    <xf numFmtId="0" fontId="95" fillId="114" borderId="0" applyNumberFormat="0" applyBorder="0" applyAlignment="0" applyProtection="0"/>
    <xf numFmtId="0" fontId="64" fillId="85" borderId="0" applyNumberFormat="0" applyBorder="0" applyAlignment="0" applyProtection="0"/>
    <xf numFmtId="0" fontId="95" fillId="111" borderId="0" applyNumberFormat="0" applyBorder="0" applyAlignment="0" applyProtection="0"/>
    <xf numFmtId="0" fontId="95" fillId="111" borderId="0" applyNumberFormat="0" applyBorder="0" applyAlignment="0" applyProtection="0"/>
    <xf numFmtId="0" fontId="95" fillId="111" borderId="0" applyNumberFormat="0" applyBorder="0" applyAlignment="0" applyProtection="0"/>
    <xf numFmtId="0" fontId="64" fillId="89" borderId="0" applyNumberFormat="0" applyBorder="0" applyAlignment="0" applyProtection="0"/>
    <xf numFmtId="0" fontId="95" fillId="112" borderId="0" applyNumberFormat="0" applyBorder="0" applyAlignment="0" applyProtection="0"/>
    <xf numFmtId="0" fontId="95" fillId="112" borderId="0" applyNumberFormat="0" applyBorder="0" applyAlignment="0" applyProtection="0"/>
    <xf numFmtId="0" fontId="95" fillId="112" borderId="0" applyNumberFormat="0" applyBorder="0" applyAlignment="0" applyProtection="0"/>
    <xf numFmtId="0" fontId="64" fillId="93" borderId="0" applyNumberFormat="0" applyBorder="0" applyAlignment="0" applyProtection="0"/>
    <xf numFmtId="0" fontId="95" fillId="115" borderId="0" applyNumberFormat="0" applyBorder="0" applyAlignment="0" applyProtection="0"/>
    <xf numFmtId="0" fontId="95" fillId="115" borderId="0" applyNumberFormat="0" applyBorder="0" applyAlignment="0" applyProtection="0"/>
    <xf numFmtId="0" fontId="95" fillId="115" borderId="0" applyNumberFormat="0" applyBorder="0" applyAlignment="0" applyProtection="0"/>
    <xf numFmtId="0" fontId="64" fillId="96" borderId="0" applyNumberFormat="0" applyBorder="0" applyAlignment="0" applyProtection="0"/>
    <xf numFmtId="0" fontId="95" fillId="116" borderId="0" applyNumberFormat="0" applyBorder="0" applyAlignment="0" applyProtection="0"/>
    <xf numFmtId="0" fontId="95" fillId="116" borderId="0" applyNumberFormat="0" applyBorder="0" applyAlignment="0" applyProtection="0"/>
    <xf numFmtId="0" fontId="95" fillId="116" borderId="0" applyNumberFormat="0" applyBorder="0" applyAlignment="0" applyProtection="0"/>
    <xf numFmtId="0" fontId="64" fillId="100" borderId="0" applyNumberFormat="0" applyBorder="0" applyAlignment="0" applyProtection="0"/>
    <xf numFmtId="0" fontId="95" fillId="117" borderId="0" applyNumberFormat="0" applyBorder="0" applyAlignment="0" applyProtection="0"/>
    <xf numFmtId="0" fontId="95" fillId="117" borderId="0" applyNumberFormat="0" applyBorder="0" applyAlignment="0" applyProtection="0"/>
    <xf numFmtId="0" fontId="95" fillId="117" borderId="0" applyNumberFormat="0" applyBorder="0" applyAlignment="0" applyProtection="0"/>
    <xf numFmtId="0" fontId="95" fillId="118" borderId="0" applyNumberFormat="0" applyBorder="0" applyAlignment="0" applyProtection="0"/>
    <xf numFmtId="0" fontId="95" fillId="119" borderId="0" applyNumberFormat="0" applyBorder="0" applyAlignment="0" applyProtection="0"/>
    <xf numFmtId="0" fontId="95" fillId="120" borderId="0" applyNumberFormat="0" applyBorder="0" applyAlignment="0" applyProtection="0"/>
    <xf numFmtId="0" fontId="95" fillId="115" borderId="0" applyNumberFormat="0" applyBorder="0" applyAlignment="0" applyProtection="0"/>
    <xf numFmtId="0" fontId="95" fillId="116" borderId="0" applyNumberFormat="0" applyBorder="0" applyAlignment="0" applyProtection="0"/>
    <xf numFmtId="0" fontId="95" fillId="121" borderId="0" applyNumberFormat="0" applyBorder="0" applyAlignment="0" applyProtection="0"/>
    <xf numFmtId="0" fontId="101" fillId="105" borderId="0" applyNumberFormat="0" applyBorder="0" applyAlignment="0" applyProtection="0"/>
    <xf numFmtId="0" fontId="81" fillId="71" borderId="0" applyNumberFormat="0" applyBorder="0" applyAlignment="0" applyProtection="0"/>
    <xf numFmtId="0" fontId="96" fillId="106" borderId="0" applyNumberFormat="0" applyBorder="0" applyAlignment="0" applyProtection="0"/>
    <xf numFmtId="0" fontId="96" fillId="106" borderId="0" applyNumberFormat="0" applyBorder="0" applyAlignment="0" applyProtection="0"/>
    <xf numFmtId="0" fontId="96" fillId="106" borderId="0" applyNumberFormat="0" applyBorder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86" fillId="75" borderId="29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88" fillId="76" borderId="32" applyNumberFormat="0" applyAlignment="0" applyProtection="0"/>
    <xf numFmtId="0" fontId="98" fillId="123" borderId="36" applyNumberFormat="0" applyAlignment="0" applyProtection="0"/>
    <xf numFmtId="0" fontId="98" fillId="123" borderId="36" applyNumberFormat="0" applyAlignment="0" applyProtection="0"/>
    <xf numFmtId="0" fontId="98" fillId="123" borderId="36" applyNumberFormat="0" applyAlignment="0" applyProtection="0"/>
    <xf numFmtId="0" fontId="87" fillId="0" borderId="31" applyNumberFormat="0" applyFill="0" applyAlignment="0" applyProtection="0"/>
    <xf numFmtId="0" fontId="99" fillId="0" borderId="37" applyNumberFormat="0" applyFill="0" applyAlignment="0" applyProtection="0"/>
    <xf numFmtId="0" fontId="99" fillId="0" borderId="37" applyNumberFormat="0" applyFill="0" applyAlignment="0" applyProtection="0"/>
    <xf numFmtId="0" fontId="99" fillId="0" borderId="37" applyNumberFormat="0" applyFill="0" applyAlignment="0" applyProtection="0"/>
    <xf numFmtId="0" fontId="98" fillId="123" borderId="36" applyNumberFormat="0" applyAlignment="0" applyProtection="0"/>
    <xf numFmtId="0" fontId="64" fillId="78" borderId="0" applyNumberFormat="0" applyBorder="0" applyAlignment="0" applyProtection="0"/>
    <xf numFmtId="0" fontId="95" fillId="118" borderId="0" applyNumberFormat="0" applyBorder="0" applyAlignment="0" applyProtection="0"/>
    <xf numFmtId="0" fontId="95" fillId="118" borderId="0" applyNumberFormat="0" applyBorder="0" applyAlignment="0" applyProtection="0"/>
    <xf numFmtId="0" fontId="95" fillId="118" borderId="0" applyNumberFormat="0" applyBorder="0" applyAlignment="0" applyProtection="0"/>
    <xf numFmtId="0" fontId="64" fillId="82" borderId="0" applyNumberFormat="0" applyBorder="0" applyAlignment="0" applyProtection="0"/>
    <xf numFmtId="0" fontId="95" fillId="119" borderId="0" applyNumberFormat="0" applyBorder="0" applyAlignment="0" applyProtection="0"/>
    <xf numFmtId="0" fontId="95" fillId="119" borderId="0" applyNumberFormat="0" applyBorder="0" applyAlignment="0" applyProtection="0"/>
    <xf numFmtId="0" fontId="95" fillId="119" borderId="0" applyNumberFormat="0" applyBorder="0" applyAlignment="0" applyProtection="0"/>
    <xf numFmtId="0" fontId="64" fillId="86" borderId="0" applyNumberFormat="0" applyBorder="0" applyAlignment="0" applyProtection="0"/>
    <xf numFmtId="0" fontId="95" fillId="120" borderId="0" applyNumberFormat="0" applyBorder="0" applyAlignment="0" applyProtection="0"/>
    <xf numFmtId="0" fontId="95" fillId="120" borderId="0" applyNumberFormat="0" applyBorder="0" applyAlignment="0" applyProtection="0"/>
    <xf numFmtId="0" fontId="95" fillId="120" borderId="0" applyNumberFormat="0" applyBorder="0" applyAlignment="0" applyProtection="0"/>
    <xf numFmtId="0" fontId="64" fillId="90" borderId="0" applyNumberFormat="0" applyBorder="0" applyAlignment="0" applyProtection="0"/>
    <xf numFmtId="0" fontId="95" fillId="115" borderId="0" applyNumberFormat="0" applyBorder="0" applyAlignment="0" applyProtection="0"/>
    <xf numFmtId="0" fontId="95" fillId="115" borderId="0" applyNumberFormat="0" applyBorder="0" applyAlignment="0" applyProtection="0"/>
    <xf numFmtId="0" fontId="95" fillId="115" borderId="0" applyNumberFormat="0" applyBorder="0" applyAlignment="0" applyProtection="0"/>
    <xf numFmtId="0" fontId="64" fillId="25" borderId="0" applyNumberFormat="0" applyBorder="0" applyAlignment="0" applyProtection="0"/>
    <xf numFmtId="0" fontId="95" fillId="116" borderId="0" applyNumberFormat="0" applyBorder="0" applyAlignment="0" applyProtection="0"/>
    <xf numFmtId="0" fontId="95" fillId="116" borderId="0" applyNumberFormat="0" applyBorder="0" applyAlignment="0" applyProtection="0"/>
    <xf numFmtId="0" fontId="95" fillId="116" borderId="0" applyNumberFormat="0" applyBorder="0" applyAlignment="0" applyProtection="0"/>
    <xf numFmtId="0" fontId="64" fillId="97" borderId="0" applyNumberFormat="0" applyBorder="0" applyAlignment="0" applyProtection="0"/>
    <xf numFmtId="0" fontId="95" fillId="121" borderId="0" applyNumberFormat="0" applyBorder="0" applyAlignment="0" applyProtection="0"/>
    <xf numFmtId="0" fontId="95" fillId="121" borderId="0" applyNumberFormat="0" applyBorder="0" applyAlignment="0" applyProtection="0"/>
    <xf numFmtId="0" fontId="95" fillId="121" borderId="0" applyNumberFormat="0" applyBorder="0" applyAlignment="0" applyProtection="0"/>
    <xf numFmtId="0" fontId="84" fillId="74" borderId="29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103" fillId="0" borderId="0" applyNumberFormat="0" applyFill="0" applyBorder="0" applyAlignment="0" applyProtection="0"/>
    <xf numFmtId="0" fontId="96" fillId="106" borderId="0" applyNumberFormat="0" applyBorder="0" applyAlignment="0" applyProtection="0"/>
    <xf numFmtId="0" fontId="104" fillId="0" borderId="38" applyNumberFormat="0" applyFill="0" applyAlignment="0" applyProtection="0"/>
    <xf numFmtId="0" fontId="105" fillId="0" borderId="39" applyNumberFormat="0" applyFill="0" applyAlignment="0" applyProtection="0"/>
    <xf numFmtId="0" fontId="106" fillId="0" borderId="40" applyNumberFormat="0" applyFill="0" applyAlignment="0" applyProtection="0"/>
    <xf numFmtId="0" fontId="106" fillId="0" borderId="0" applyNumberFormat="0" applyFill="0" applyBorder="0" applyAlignment="0" applyProtection="0"/>
    <xf numFmtId="0" fontId="110" fillId="0" borderId="0" applyNumberFormat="0" applyFill="0" applyBorder="0" applyAlignment="0" applyProtection="0">
      <alignment vertical="top"/>
      <protection locked="0"/>
    </xf>
    <xf numFmtId="0" fontId="109" fillId="0" borderId="0" applyNumberFormat="0" applyFill="0" applyBorder="0" applyAlignment="0" applyProtection="0"/>
    <xf numFmtId="0" fontId="93" fillId="0" borderId="0" applyNumberFormat="0" applyFill="0" applyBorder="0" applyAlignment="0" applyProtection="0">
      <alignment vertical="top"/>
      <protection locked="0"/>
    </xf>
    <xf numFmtId="0" fontId="82" fillId="72" borderId="0" applyNumberFormat="0" applyBorder="0" applyAlignment="0" applyProtection="0"/>
    <xf numFmtId="0" fontId="101" fillId="105" borderId="0" applyNumberFormat="0" applyBorder="0" applyAlignment="0" applyProtection="0"/>
    <xf numFmtId="0" fontId="101" fillId="105" borderId="0" applyNumberFormat="0" applyBorder="0" applyAlignment="0" applyProtection="0"/>
    <xf numFmtId="0" fontId="101" fillId="105" borderId="0" applyNumberFormat="0" applyBorder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99" fillId="0" borderId="37" applyNumberFormat="0" applyFill="0" applyAlignment="0" applyProtection="0"/>
    <xf numFmtId="0" fontId="83" fillId="73" borderId="0" applyNumberFormat="0" applyBorder="0" applyAlignment="0" applyProtection="0"/>
    <xf numFmtId="0" fontId="102" fillId="124" borderId="0" applyNumberFormat="0" applyBorder="0" applyAlignment="0" applyProtection="0"/>
    <xf numFmtId="0" fontId="102" fillId="124" borderId="0" applyNumberFormat="0" applyBorder="0" applyAlignment="0" applyProtection="0"/>
    <xf numFmtId="0" fontId="102" fillId="124" borderId="0" applyNumberFormat="0" applyBorder="0" applyAlignment="0" applyProtection="0"/>
    <xf numFmtId="0" fontId="102" fillId="124" borderId="0" applyNumberFormat="0" applyBorder="0" applyAlignment="0" applyProtection="0"/>
    <xf numFmtId="0" fontId="108" fillId="0" borderId="0"/>
    <xf numFmtId="0" fontId="108" fillId="0" borderId="0"/>
    <xf numFmtId="0" fontId="7" fillId="0" borderId="0"/>
    <xf numFmtId="0" fontId="2" fillId="0" borderId="0"/>
    <xf numFmtId="0" fontId="107" fillId="0" borderId="0"/>
    <xf numFmtId="0" fontId="107" fillId="0" borderId="0"/>
    <xf numFmtId="0" fontId="107" fillId="0" borderId="0"/>
    <xf numFmtId="0" fontId="7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1" fillId="0" borderId="0"/>
    <xf numFmtId="0" fontId="111" fillId="0" borderId="0"/>
    <xf numFmtId="0" fontId="107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10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2" fillId="0" borderId="0"/>
    <xf numFmtId="0" fontId="7" fillId="0" borderId="0"/>
    <xf numFmtId="0" fontId="107" fillId="0" borderId="0"/>
    <xf numFmtId="0" fontId="7" fillId="0" borderId="0"/>
    <xf numFmtId="0" fontId="7" fillId="0" borderId="0"/>
    <xf numFmtId="0" fontId="7" fillId="0" borderId="0"/>
    <xf numFmtId="0" fontId="107" fillId="0" borderId="0"/>
    <xf numFmtId="0" fontId="107" fillId="0" borderId="0"/>
    <xf numFmtId="0" fontId="7" fillId="0" borderId="0"/>
    <xf numFmtId="0" fontId="107" fillId="0" borderId="0"/>
    <xf numFmtId="0" fontId="107" fillId="0" borderId="0"/>
    <xf numFmtId="0" fontId="10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2" fillId="0" borderId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64" fillId="81" borderId="0" applyNumberFormat="0" applyBorder="0" applyAlignment="0" applyProtection="0"/>
    <xf numFmtId="0" fontId="95" fillId="114" borderId="0" applyNumberFormat="0" applyBorder="0" applyAlignment="0" applyProtection="0"/>
    <xf numFmtId="0" fontId="64" fillId="85" borderId="0" applyNumberFormat="0" applyBorder="0" applyAlignment="0" applyProtection="0"/>
    <xf numFmtId="0" fontId="95" fillId="111" borderId="0" applyNumberFormat="0" applyBorder="0" applyAlignment="0" applyProtection="0"/>
    <xf numFmtId="0" fontId="64" fillId="89" borderId="0" applyNumberFormat="0" applyBorder="0" applyAlignment="0" applyProtection="0"/>
    <xf numFmtId="0" fontId="95" fillId="112" borderId="0" applyNumberFormat="0" applyBorder="0" applyAlignment="0" applyProtection="0"/>
    <xf numFmtId="0" fontId="64" fillId="93" borderId="0" applyNumberFormat="0" applyBorder="0" applyAlignment="0" applyProtection="0"/>
    <xf numFmtId="0" fontId="95" fillId="115" borderId="0" applyNumberFormat="0" applyBorder="0" applyAlignment="0" applyProtection="0"/>
    <xf numFmtId="0" fontId="64" fillId="96" borderId="0" applyNumberFormat="0" applyBorder="0" applyAlignment="0" applyProtection="0"/>
    <xf numFmtId="0" fontId="95" fillId="116" borderId="0" applyNumberFormat="0" applyBorder="0" applyAlignment="0" applyProtection="0"/>
    <xf numFmtId="0" fontId="64" fillId="100" borderId="0" applyNumberFormat="0" applyBorder="0" applyAlignment="0" applyProtection="0"/>
    <xf numFmtId="0" fontId="95" fillId="117" borderId="0" applyNumberFormat="0" applyBorder="0" applyAlignment="0" applyProtection="0"/>
    <xf numFmtId="0" fontId="81" fillId="71" borderId="0" applyNumberFormat="0" applyBorder="0" applyAlignment="0" applyProtection="0"/>
    <xf numFmtId="0" fontId="96" fillId="106" borderId="0" applyNumberFormat="0" applyBorder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86" fillId="75" borderId="29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88" fillId="76" borderId="32" applyNumberFormat="0" applyAlignment="0" applyProtection="0"/>
    <xf numFmtId="0" fontId="98" fillId="123" borderId="36" applyNumberFormat="0" applyAlignment="0" applyProtection="0"/>
    <xf numFmtId="0" fontId="87" fillId="0" borderId="31" applyNumberFormat="0" applyFill="0" applyAlignment="0" applyProtection="0"/>
    <xf numFmtId="0" fontId="99" fillId="0" borderId="37" applyNumberFormat="0" applyFill="0" applyAlignment="0" applyProtection="0"/>
    <xf numFmtId="0" fontId="64" fillId="78" borderId="0" applyNumberFormat="0" applyBorder="0" applyAlignment="0" applyProtection="0"/>
    <xf numFmtId="0" fontId="95" fillId="118" borderId="0" applyNumberFormat="0" applyBorder="0" applyAlignment="0" applyProtection="0"/>
    <xf numFmtId="0" fontId="64" fillId="82" borderId="0" applyNumberFormat="0" applyBorder="0" applyAlignment="0" applyProtection="0"/>
    <xf numFmtId="0" fontId="95" fillId="119" borderId="0" applyNumberFormat="0" applyBorder="0" applyAlignment="0" applyProtection="0"/>
    <xf numFmtId="0" fontId="64" fillId="86" borderId="0" applyNumberFormat="0" applyBorder="0" applyAlignment="0" applyProtection="0"/>
    <xf numFmtId="0" fontId="95" fillId="120" borderId="0" applyNumberFormat="0" applyBorder="0" applyAlignment="0" applyProtection="0"/>
    <xf numFmtId="0" fontId="64" fillId="90" borderId="0" applyNumberFormat="0" applyBorder="0" applyAlignment="0" applyProtection="0"/>
    <xf numFmtId="0" fontId="95" fillId="115" borderId="0" applyNumberFormat="0" applyBorder="0" applyAlignment="0" applyProtection="0"/>
    <xf numFmtId="0" fontId="64" fillId="25" borderId="0" applyNumberFormat="0" applyBorder="0" applyAlignment="0" applyProtection="0"/>
    <xf numFmtId="0" fontId="95" fillId="116" borderId="0" applyNumberFormat="0" applyBorder="0" applyAlignment="0" applyProtection="0"/>
    <xf numFmtId="0" fontId="64" fillId="97" borderId="0" applyNumberFormat="0" applyBorder="0" applyAlignment="0" applyProtection="0"/>
    <xf numFmtId="0" fontId="95" fillId="121" borderId="0" applyNumberFormat="0" applyBorder="0" applyAlignment="0" applyProtection="0"/>
    <xf numFmtId="0" fontId="84" fillId="74" borderId="29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110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112" fillId="0" borderId="0" applyNumberFormat="0" applyFill="0" applyBorder="0" applyAlignment="0" applyProtection="0">
      <alignment vertical="top"/>
      <protection locked="0"/>
    </xf>
    <xf numFmtId="0" fontId="82" fillId="72" borderId="0" applyNumberFormat="0" applyBorder="0" applyAlignment="0" applyProtection="0"/>
    <xf numFmtId="0" fontId="101" fillId="105" borderId="0" applyNumberFormat="0" applyBorder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83" fillId="73" borderId="0" applyNumberFormat="0" applyBorder="0" applyAlignment="0" applyProtection="0"/>
    <xf numFmtId="0" fontId="102" fillId="124" borderId="0" applyNumberFormat="0" applyBorder="0" applyAlignment="0" applyProtection="0"/>
    <xf numFmtId="0" fontId="107" fillId="0" borderId="0"/>
    <xf numFmtId="0" fontId="7" fillId="0" borderId="0"/>
    <xf numFmtId="0" fontId="7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107" fillId="0" borderId="0"/>
    <xf numFmtId="0" fontId="10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8" fillId="0" borderId="0"/>
    <xf numFmtId="0" fontId="7" fillId="0" borderId="0"/>
    <xf numFmtId="0" fontId="7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7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10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107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2" fillId="77" borderId="33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85" fillId="75" borderId="30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94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89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78" fillId="0" borderId="26" applyNumberFormat="0" applyFill="0" applyAlignment="0" applyProtection="0"/>
    <xf numFmtId="0" fontId="104" fillId="0" borderId="38" applyNumberFormat="0" applyFill="0" applyAlignment="0" applyProtection="0"/>
    <xf numFmtId="0" fontId="79" fillId="0" borderId="27" applyNumberFormat="0" applyFill="0" applyAlignment="0" applyProtection="0"/>
    <xf numFmtId="0" fontId="105" fillId="0" borderId="39" applyNumberFormat="0" applyFill="0" applyAlignment="0" applyProtection="0"/>
    <xf numFmtId="0" fontId="80" fillId="0" borderId="28" applyNumberFormat="0" applyFill="0" applyAlignment="0" applyProtection="0"/>
    <xf numFmtId="0" fontId="106" fillId="0" borderId="40" applyNumberFormat="0" applyFill="0" applyAlignment="0" applyProtection="0"/>
    <xf numFmtId="0" fontId="80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91" fillId="0" borderId="34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117" fillId="0" borderId="0"/>
    <xf numFmtId="0" fontId="117" fillId="0" borderId="0" applyNumberFormat="0" applyFill="0" applyBorder="0" applyAlignment="0" applyProtection="0"/>
    <xf numFmtId="0" fontId="118" fillId="0" borderId="44" applyNumberFormat="0" applyProtection="0">
      <alignment wrapText="1"/>
    </xf>
    <xf numFmtId="0" fontId="117" fillId="0" borderId="45" applyNumberFormat="0" applyFont="0" applyProtection="0">
      <alignment wrapText="1"/>
    </xf>
    <xf numFmtId="0" fontId="119" fillId="0" borderId="0">
      <protection locked="0"/>
    </xf>
    <xf numFmtId="181" fontId="119" fillId="0" borderId="0">
      <protection locked="0"/>
    </xf>
    <xf numFmtId="0" fontId="117" fillId="0" borderId="46" applyNumberFormat="0" applyProtection="0">
      <alignment wrapText="1"/>
    </xf>
    <xf numFmtId="0" fontId="120" fillId="0" borderId="0">
      <protection locked="0"/>
    </xf>
    <xf numFmtId="0" fontId="120" fillId="0" borderId="0"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121" fillId="0" borderId="0" applyNumberFormat="0" applyFill="0" applyBorder="0" applyAlignment="0" applyProtection="0">
      <alignment vertical="top"/>
      <protection locked="0"/>
    </xf>
    <xf numFmtId="164" fontId="7" fillId="0" borderId="0" applyFont="0" applyFill="0" applyBorder="0" applyAlignment="0" applyProtection="0"/>
    <xf numFmtId="0" fontId="118" fillId="0" borderId="47" applyNumberFormat="0" applyProtection="0">
      <alignment wrapText="1"/>
    </xf>
    <xf numFmtId="0" fontId="122" fillId="0" borderId="0" applyNumberFormat="0" applyProtection="0">
      <alignment horizontal="left"/>
    </xf>
    <xf numFmtId="0" fontId="123" fillId="0" borderId="0" applyNumberForma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</cellStyleXfs>
  <cellXfs count="654">
    <xf numFmtId="0" fontId="0" fillId="0" borderId="0" xfId="0"/>
    <xf numFmtId="0" fontId="8" fillId="0" borderId="1" xfId="2" applyFont="1" applyBorder="1" applyAlignment="1" applyProtection="1">
      <alignment horizontal="center"/>
      <protection locked="0"/>
    </xf>
    <xf numFmtId="0" fontId="9" fillId="0" borderId="1" xfId="2" applyFont="1" applyBorder="1" applyAlignment="1" applyProtection="1">
      <alignment horizontal="center"/>
      <protection locked="0"/>
    </xf>
    <xf numFmtId="0" fontId="7" fillId="0" borderId="0" xfId="0" applyFont="1"/>
    <xf numFmtId="0" fontId="9" fillId="0" borderId="0" xfId="2" applyFont="1" applyAlignment="1">
      <alignment horizontal="center"/>
    </xf>
    <xf numFmtId="0" fontId="7" fillId="0" borderId="0" xfId="2"/>
    <xf numFmtId="2" fontId="7" fillId="0" borderId="0" xfId="2" applyNumberFormat="1"/>
    <xf numFmtId="0" fontId="9" fillId="0" borderId="0" xfId="2" applyFont="1"/>
    <xf numFmtId="167" fontId="7" fillId="0" borderId="0" xfId="2" applyNumberFormat="1"/>
    <xf numFmtId="167" fontId="0" fillId="0" borderId="0" xfId="0" applyNumberFormat="1"/>
    <xf numFmtId="0" fontId="9" fillId="2" borderId="1" xfId="2" applyFont="1" applyFill="1" applyBorder="1" applyAlignment="1">
      <alignment horizontal="center"/>
    </xf>
    <xf numFmtId="0" fontId="9" fillId="0" borderId="1" xfId="2" applyFont="1" applyBorder="1" applyAlignment="1">
      <alignment horizontal="center"/>
    </xf>
    <xf numFmtId="1" fontId="9" fillId="3" borderId="1" xfId="2" applyNumberFormat="1" applyFont="1" applyFill="1" applyBorder="1" applyAlignment="1">
      <alignment horizontal="center"/>
    </xf>
    <xf numFmtId="1" fontId="9" fillId="4" borderId="1" xfId="2" applyNumberFormat="1" applyFont="1" applyFill="1" applyBorder="1" applyAlignment="1">
      <alignment horizontal="center"/>
    </xf>
    <xf numFmtId="1" fontId="9" fillId="0" borderId="1" xfId="2" applyNumberFormat="1" applyFont="1" applyBorder="1" applyAlignment="1">
      <alignment horizontal="center"/>
    </xf>
    <xf numFmtId="0" fontId="9" fillId="2" borderId="1" xfId="2" applyFont="1" applyFill="1" applyBorder="1" applyAlignment="1" applyProtection="1">
      <alignment horizontal="center"/>
      <protection locked="0"/>
    </xf>
    <xf numFmtId="0" fontId="9" fillId="5" borderId="1" xfId="2" applyFont="1" applyFill="1" applyBorder="1" applyAlignment="1">
      <alignment horizontal="center"/>
    </xf>
    <xf numFmtId="0" fontId="7" fillId="0" borderId="0" xfId="2" applyAlignment="1">
      <alignment horizontal="center"/>
    </xf>
    <xf numFmtId="1" fontId="7" fillId="0" borderId="0" xfId="2" applyNumberFormat="1" applyAlignment="1">
      <alignment horizontal="right"/>
    </xf>
    <xf numFmtId="166" fontId="7" fillId="3" borderId="0" xfId="2" applyNumberFormat="1" applyFill="1" applyAlignment="1">
      <alignment horizontal="right"/>
    </xf>
    <xf numFmtId="1" fontId="13" fillId="0" borderId="0" xfId="2" applyNumberFormat="1" applyFont="1" applyAlignment="1">
      <alignment horizontal="center"/>
    </xf>
    <xf numFmtId="0" fontId="7" fillId="0" borderId="0" xfId="2" applyAlignment="1" applyProtection="1">
      <alignment horizontal="left"/>
      <protection locked="0"/>
    </xf>
    <xf numFmtId="1" fontId="7" fillId="0" borderId="0" xfId="2" applyNumberFormat="1" applyAlignment="1" applyProtection="1">
      <alignment horizontal="right"/>
      <protection locked="0"/>
    </xf>
    <xf numFmtId="0" fontId="7" fillId="0" borderId="0" xfId="2" applyAlignment="1" applyProtection="1">
      <alignment horizontal="center"/>
      <protection locked="0"/>
    </xf>
    <xf numFmtId="1" fontId="0" fillId="0" borderId="0" xfId="0" applyNumberFormat="1"/>
    <xf numFmtId="1" fontId="7" fillId="3" borderId="0" xfId="2" applyNumberFormat="1" applyFill="1" applyAlignment="1">
      <alignment horizontal="right"/>
    </xf>
    <xf numFmtId="0" fontId="9" fillId="4" borderId="1" xfId="2" applyFont="1" applyFill="1" applyBorder="1" applyAlignment="1" applyProtection="1">
      <alignment horizontal="center"/>
      <protection locked="0"/>
    </xf>
    <xf numFmtId="0" fontId="9" fillId="8" borderId="1" xfId="2" applyFont="1" applyFill="1" applyBorder="1" applyAlignment="1">
      <alignment horizontal="center"/>
    </xf>
    <xf numFmtId="0" fontId="9" fillId="10" borderId="1" xfId="2" applyFont="1" applyFill="1" applyBorder="1" applyAlignment="1">
      <alignment horizontal="center"/>
    </xf>
    <xf numFmtId="0" fontId="9" fillId="11" borderId="1" xfId="2" applyFont="1" applyFill="1" applyBorder="1" applyAlignment="1" applyProtection="1">
      <alignment horizontal="center"/>
      <protection locked="0"/>
    </xf>
    <xf numFmtId="166" fontId="7" fillId="3" borderId="0" xfId="2" applyNumberFormat="1" applyFill="1" applyAlignment="1">
      <alignment horizontal="center"/>
    </xf>
    <xf numFmtId="166" fontId="7" fillId="0" borderId="0" xfId="2" applyNumberFormat="1" applyAlignment="1">
      <alignment horizontal="center"/>
    </xf>
    <xf numFmtId="0" fontId="15" fillId="8" borderId="0" xfId="2" applyFont="1" applyFill="1" applyAlignment="1">
      <alignment horizontal="center"/>
    </xf>
    <xf numFmtId="2" fontId="7" fillId="0" borderId="0" xfId="2" applyNumberFormat="1" applyAlignment="1" applyProtection="1">
      <alignment horizontal="right"/>
      <protection locked="0"/>
    </xf>
    <xf numFmtId="168" fontId="7" fillId="8" borderId="0" xfId="1" applyNumberFormat="1" applyFont="1" applyFill="1" applyAlignment="1" applyProtection="1">
      <alignment horizontal="center"/>
    </xf>
    <xf numFmtId="166" fontId="7" fillId="8" borderId="0" xfId="2" applyNumberFormat="1" applyFill="1" applyAlignment="1">
      <alignment horizontal="center"/>
    </xf>
    <xf numFmtId="169" fontId="7" fillId="8" borderId="0" xfId="2" applyNumberFormat="1" applyFill="1" applyAlignment="1">
      <alignment horizontal="center"/>
    </xf>
    <xf numFmtId="3" fontId="7" fillId="8" borderId="0" xfId="2" applyNumberFormat="1" applyFill="1" applyAlignment="1">
      <alignment horizontal="center"/>
    </xf>
    <xf numFmtId="170" fontId="7" fillId="8" borderId="0" xfId="2" applyNumberFormat="1" applyFill="1" applyAlignment="1">
      <alignment horizontal="center"/>
    </xf>
    <xf numFmtId="1" fontId="7" fillId="10" borderId="0" xfId="2" applyNumberFormat="1" applyFill="1" applyAlignment="1">
      <alignment horizontal="center"/>
    </xf>
    <xf numFmtId="166" fontId="7" fillId="11" borderId="0" xfId="2" applyNumberFormat="1" applyFill="1" applyAlignment="1" applyProtection="1">
      <alignment horizontal="center"/>
      <protection locked="0"/>
    </xf>
    <xf numFmtId="166" fontId="7" fillId="0" borderId="0" xfId="2" applyNumberFormat="1" applyAlignment="1">
      <alignment horizontal="right"/>
    </xf>
    <xf numFmtId="1" fontId="0" fillId="0" borderId="0" xfId="0" applyNumberFormat="1" applyAlignment="1">
      <alignment horizontal="right"/>
    </xf>
    <xf numFmtId="1" fontId="16" fillId="0" borderId="0" xfId="2" applyNumberFormat="1" applyFont="1" applyAlignment="1" applyProtection="1">
      <alignment horizontal="center"/>
      <protection locked="0"/>
    </xf>
    <xf numFmtId="0" fontId="9" fillId="6" borderId="2" xfId="0" applyFont="1" applyFill="1" applyBorder="1"/>
    <xf numFmtId="0" fontId="0" fillId="6" borderId="2" xfId="0" applyFill="1" applyBorder="1"/>
    <xf numFmtId="0" fontId="9" fillId="6" borderId="2" xfId="0" applyFont="1" applyFill="1" applyBorder="1" applyAlignment="1">
      <alignment horizontal="center"/>
    </xf>
    <xf numFmtId="0" fontId="9" fillId="6" borderId="0" xfId="2" applyFont="1" applyFill="1" applyAlignment="1" applyProtection="1">
      <alignment horizontal="left"/>
      <protection locked="0"/>
    </xf>
    <xf numFmtId="0" fontId="0" fillId="6" borderId="0" xfId="0" applyFill="1"/>
    <xf numFmtId="0" fontId="9" fillId="6" borderId="0" xfId="0" applyFont="1" applyFill="1" applyAlignment="1">
      <alignment horizontal="center"/>
    </xf>
    <xf numFmtId="0" fontId="0" fillId="0" borderId="3" xfId="0" applyBorder="1"/>
    <xf numFmtId="1" fontId="9" fillId="0" borderId="3" xfId="0" applyNumberFormat="1" applyFont="1" applyBorder="1" applyAlignment="1">
      <alignment horizontal="left" indent="2"/>
    </xf>
    <xf numFmtId="1" fontId="0" fillId="0" borderId="3" xfId="0" applyNumberFormat="1" applyBorder="1"/>
    <xf numFmtId="1" fontId="9" fillId="0" borderId="0" xfId="2" applyNumberFormat="1" applyFont="1" applyAlignment="1">
      <alignment horizontal="left" indent="2"/>
    </xf>
    <xf numFmtId="0" fontId="0" fillId="0" borderId="2" xfId="0" applyBorder="1"/>
    <xf numFmtId="1" fontId="9" fillId="0" borderId="2" xfId="2" applyNumberFormat="1" applyFont="1" applyBorder="1" applyAlignment="1">
      <alignment horizontal="left" indent="2"/>
    </xf>
    <xf numFmtId="1" fontId="0" fillId="0" borderId="2" xfId="0" applyNumberFormat="1" applyBorder="1"/>
    <xf numFmtId="1" fontId="9" fillId="0" borderId="0" xfId="2" applyNumberFormat="1" applyFont="1" applyAlignment="1">
      <alignment horizontal="right"/>
    </xf>
    <xf numFmtId="1" fontId="7" fillId="0" borderId="0" xfId="2" applyNumberFormat="1"/>
    <xf numFmtId="1" fontId="7" fillId="0" borderId="0" xfId="2" applyNumberFormat="1" applyAlignment="1">
      <alignment horizontal="center"/>
    </xf>
    <xf numFmtId="0" fontId="9" fillId="4" borderId="1" xfId="2" applyFont="1" applyFill="1" applyBorder="1" applyAlignment="1">
      <alignment horizontal="center"/>
    </xf>
    <xf numFmtId="49" fontId="9" fillId="0" borderId="1" xfId="2" applyNumberFormat="1" applyFont="1" applyBorder="1" applyAlignment="1">
      <alignment horizontal="center"/>
    </xf>
    <xf numFmtId="0" fontId="9" fillId="16" borderId="1" xfId="2" applyFont="1" applyFill="1" applyBorder="1" applyAlignment="1">
      <alignment horizontal="center"/>
    </xf>
    <xf numFmtId="0" fontId="9" fillId="18" borderId="1" xfId="2" applyFont="1" applyFill="1" applyBorder="1" applyAlignment="1" applyProtection="1">
      <alignment horizontal="center"/>
      <protection locked="0"/>
    </xf>
    <xf numFmtId="0" fontId="7" fillId="0" borderId="0" xfId="5" applyAlignment="1">
      <alignment horizontal="center"/>
    </xf>
    <xf numFmtId="171" fontId="7" fillId="0" borderId="0" xfId="2" applyNumberFormat="1" applyAlignment="1" applyProtection="1">
      <alignment horizontal="center"/>
      <protection locked="0"/>
    </xf>
    <xf numFmtId="2" fontId="7" fillId="14" borderId="0" xfId="5" applyNumberFormat="1" applyFill="1" applyAlignment="1"/>
    <xf numFmtId="0" fontId="9" fillId="0" borderId="1" xfId="2" applyFont="1" applyBorder="1" applyProtection="1">
      <protection locked="0"/>
    </xf>
    <xf numFmtId="0" fontId="9" fillId="14" borderId="1" xfId="2" applyFont="1" applyFill="1" applyBorder="1" applyAlignment="1">
      <alignment horizontal="center"/>
    </xf>
    <xf numFmtId="0" fontId="9" fillId="14" borderId="1" xfId="2" applyFont="1" applyFill="1" applyBorder="1" applyAlignment="1" applyProtection="1">
      <alignment horizontal="center"/>
      <protection locked="0"/>
    </xf>
    <xf numFmtId="0" fontId="18" fillId="11" borderId="1" xfId="2" applyFont="1" applyFill="1" applyBorder="1" applyAlignment="1" applyProtection="1">
      <alignment horizontal="center"/>
      <protection locked="0"/>
    </xf>
    <xf numFmtId="0" fontId="9" fillId="11" borderId="1" xfId="2" applyFont="1" applyFill="1" applyBorder="1" applyAlignment="1">
      <alignment horizontal="center"/>
    </xf>
    <xf numFmtId="2" fontId="9" fillId="0" borderId="1" xfId="2" applyNumberFormat="1" applyFont="1" applyBorder="1" applyAlignment="1" applyProtection="1">
      <alignment horizontal="center"/>
      <protection locked="0"/>
    </xf>
    <xf numFmtId="0" fontId="7" fillId="0" borderId="0" xfId="5" applyAlignment="1"/>
    <xf numFmtId="2" fontId="13" fillId="0" borderId="0" xfId="2" applyNumberFormat="1" applyFont="1" applyAlignment="1">
      <alignment horizontal="center"/>
    </xf>
    <xf numFmtId="0" fontId="7" fillId="0" borderId="0" xfId="6" applyAlignment="1" applyProtection="1">
      <alignment horizontal="center"/>
      <protection locked="0"/>
    </xf>
    <xf numFmtId="1" fontId="7" fillId="0" borderId="0" xfId="6" applyNumberFormat="1" applyAlignment="1">
      <alignment horizontal="center"/>
    </xf>
    <xf numFmtId="2" fontId="7" fillId="0" borderId="0" xfId="2" applyNumberFormat="1" applyAlignment="1" applyProtection="1">
      <alignment horizontal="center"/>
      <protection locked="0"/>
    </xf>
    <xf numFmtId="0" fontId="13" fillId="11" borderId="0" xfId="6" applyFont="1" applyFill="1" applyAlignment="1" applyProtection="1">
      <alignment horizontal="center"/>
      <protection locked="0"/>
    </xf>
    <xf numFmtId="0" fontId="7" fillId="11" borderId="0" xfId="2" applyFill="1" applyAlignment="1">
      <alignment horizontal="center"/>
    </xf>
    <xf numFmtId="1" fontId="19" fillId="11" borderId="0" xfId="2" applyNumberFormat="1" applyFont="1" applyFill="1" applyAlignment="1">
      <alignment horizontal="center"/>
    </xf>
    <xf numFmtId="169" fontId="19" fillId="11" borderId="0" xfId="2" applyNumberFormat="1" applyFont="1" applyFill="1" applyAlignment="1">
      <alignment horizontal="center"/>
    </xf>
    <xf numFmtId="167" fontId="19" fillId="11" borderId="0" xfId="2" applyNumberFormat="1" applyFont="1" applyFill="1" applyAlignment="1">
      <alignment horizontal="center"/>
    </xf>
    <xf numFmtId="3" fontId="7" fillId="10" borderId="0" xfId="2" applyNumberFormat="1" applyFill="1" applyAlignment="1">
      <alignment horizontal="center"/>
    </xf>
    <xf numFmtId="2" fontId="7" fillId="11" borderId="0" xfId="2" applyNumberFormat="1" applyFill="1" applyAlignment="1" applyProtection="1">
      <alignment horizontal="right"/>
      <protection locked="0"/>
    </xf>
    <xf numFmtId="2" fontId="7" fillId="0" borderId="0" xfId="2" applyNumberFormat="1" applyProtection="1">
      <protection locked="0"/>
    </xf>
    <xf numFmtId="0" fontId="7" fillId="0" borderId="0" xfId="2" applyProtection="1">
      <protection locked="0"/>
    </xf>
    <xf numFmtId="1" fontId="7" fillId="0" borderId="0" xfId="2" applyNumberFormat="1" applyAlignment="1" applyProtection="1">
      <alignment horizontal="center"/>
      <protection locked="0"/>
    </xf>
    <xf numFmtId="1" fontId="7" fillId="11" borderId="0" xfId="2" applyNumberFormat="1" applyFill="1" applyAlignment="1">
      <alignment horizontal="center"/>
    </xf>
    <xf numFmtId="0" fontId="7" fillId="0" borderId="0" xfId="6" applyAlignment="1" applyProtection="1">
      <alignment horizontal="left"/>
      <protection locked="0"/>
    </xf>
    <xf numFmtId="0" fontId="7" fillId="0" borderId="0" xfId="6" applyProtection="1">
      <protection locked="0"/>
    </xf>
    <xf numFmtId="1" fontId="7" fillId="0" borderId="0" xfId="6" applyNumberFormat="1" applyAlignment="1" applyProtection="1">
      <alignment horizontal="center"/>
      <protection locked="0"/>
    </xf>
    <xf numFmtId="49" fontId="9" fillId="11" borderId="1" xfId="2" applyNumberFormat="1" applyFont="1" applyFill="1" applyBorder="1" applyAlignment="1">
      <alignment horizontal="center"/>
    </xf>
    <xf numFmtId="0" fontId="7" fillId="0" borderId="1" xfId="2" applyBorder="1" applyAlignment="1" applyProtection="1">
      <alignment horizontal="center"/>
      <protection locked="0"/>
    </xf>
    <xf numFmtId="1" fontId="9" fillId="11" borderId="1" xfId="2" applyNumberFormat="1" applyFont="1" applyFill="1" applyBorder="1" applyProtection="1">
      <protection locked="0"/>
    </xf>
    <xf numFmtId="1" fontId="12" fillId="0" borderId="0" xfId="2" applyNumberFormat="1" applyFont="1" applyAlignment="1" applyProtection="1">
      <alignment horizontal="center"/>
      <protection locked="0"/>
    </xf>
    <xf numFmtId="0" fontId="19" fillId="11" borderId="0" xfId="2" applyFont="1" applyFill="1" applyAlignment="1" applyProtection="1">
      <alignment horizontal="center"/>
      <protection locked="0"/>
    </xf>
    <xf numFmtId="0" fontId="20" fillId="0" borderId="0" xfId="2" applyFont="1" applyAlignment="1" applyProtection="1">
      <alignment horizontal="center"/>
      <protection locked="0"/>
    </xf>
    <xf numFmtId="1" fontId="7" fillId="11" borderId="0" xfId="2" applyNumberFormat="1" applyFill="1" applyProtection="1">
      <protection locked="0"/>
    </xf>
    <xf numFmtId="0" fontId="9" fillId="0" borderId="0" xfId="6" applyFont="1" applyAlignment="1">
      <alignment horizontal="center"/>
    </xf>
    <xf numFmtId="2" fontId="9" fillId="0" borderId="0" xfId="6" applyNumberFormat="1" applyFont="1" applyAlignment="1">
      <alignment horizontal="center"/>
    </xf>
    <xf numFmtId="0" fontId="7" fillId="0" borderId="0" xfId="6"/>
    <xf numFmtId="166" fontId="7" fillId="0" borderId="0" xfId="6" applyNumberFormat="1"/>
    <xf numFmtId="2" fontId="7" fillId="0" borderId="0" xfId="6" applyNumberFormat="1" applyAlignment="1">
      <alignment horizontal="center"/>
    </xf>
    <xf numFmtId="169" fontId="7" fillId="0" borderId="0" xfId="6" applyNumberFormat="1"/>
    <xf numFmtId="169" fontId="9" fillId="0" borderId="0" xfId="6" applyNumberFormat="1" applyFont="1" applyAlignment="1">
      <alignment horizontal="center"/>
    </xf>
    <xf numFmtId="1" fontId="7" fillId="0" borderId="0" xfId="0" applyNumberFormat="1" applyFont="1"/>
    <xf numFmtId="2" fontId="7" fillId="0" borderId="0" xfId="0" applyNumberFormat="1" applyFont="1"/>
    <xf numFmtId="49" fontId="21" fillId="0" borderId="1" xfId="2" applyNumberFormat="1" applyFont="1" applyBorder="1"/>
    <xf numFmtId="0" fontId="21" fillId="0" borderId="1" xfId="2" applyFont="1" applyBorder="1"/>
    <xf numFmtId="1" fontId="8" fillId="0" borderId="0" xfId="2" applyNumberFormat="1" applyFont="1" applyAlignment="1">
      <alignment horizontal="right"/>
    </xf>
    <xf numFmtId="166" fontId="9" fillId="0" borderId="1" xfId="2" applyNumberFormat="1" applyFont="1" applyBorder="1" applyAlignment="1">
      <alignment horizontal="center"/>
    </xf>
    <xf numFmtId="3" fontId="0" fillId="0" borderId="0" xfId="0" applyNumberFormat="1"/>
    <xf numFmtId="0" fontId="0" fillId="0" borderId="0" xfId="2" applyFont="1" applyAlignment="1">
      <alignment horizontal="center"/>
    </xf>
    <xf numFmtId="2" fontId="8" fillId="0" borderId="0" xfId="2" applyNumberFormat="1" applyFont="1" applyAlignment="1">
      <alignment horizontal="right"/>
    </xf>
    <xf numFmtId="2" fontId="7" fillId="0" borderId="0" xfId="2" applyNumberFormat="1" applyAlignment="1">
      <alignment horizontal="center"/>
    </xf>
    <xf numFmtId="0" fontId="22" fillId="0" borderId="0" xfId="0" applyFont="1" applyAlignment="1">
      <alignment horizontal="center"/>
    </xf>
    <xf numFmtId="0" fontId="9" fillId="0" borderId="0" xfId="2" applyFont="1" applyAlignment="1">
      <alignment horizontal="left"/>
    </xf>
    <xf numFmtId="0" fontId="7" fillId="16" borderId="0" xfId="2" applyFill="1" applyAlignment="1">
      <alignment horizontal="center"/>
    </xf>
    <xf numFmtId="0" fontId="7" fillId="20" borderId="0" xfId="2" applyFill="1" applyAlignment="1">
      <alignment horizontal="center"/>
    </xf>
    <xf numFmtId="0" fontId="23" fillId="0" borderId="0" xfId="2" applyFont="1"/>
    <xf numFmtId="0" fontId="9" fillId="0" borderId="0" xfId="0" applyFont="1" applyAlignment="1">
      <alignment horizontal="center"/>
    </xf>
    <xf numFmtId="0" fontId="14" fillId="0" borderId="0" xfId="7" applyAlignment="1">
      <alignment horizontal="center"/>
    </xf>
    <xf numFmtId="0" fontId="14" fillId="0" borderId="0" xfId="7" applyAlignment="1">
      <alignment horizontal="left"/>
    </xf>
    <xf numFmtId="49" fontId="7" fillId="0" borderId="0" xfId="2" applyNumberFormat="1" applyAlignment="1">
      <alignment horizontal="center"/>
    </xf>
    <xf numFmtId="0" fontId="7" fillId="0" borderId="0" xfId="0" applyFont="1" applyAlignment="1">
      <alignment horizontal="center"/>
    </xf>
    <xf numFmtId="49" fontId="9" fillId="0" borderId="0" xfId="2" applyNumberFormat="1" applyFont="1" applyAlignment="1">
      <alignment horizontal="center"/>
    </xf>
    <xf numFmtId="1" fontId="0" fillId="0" borderId="0" xfId="2" applyNumberFormat="1" applyFont="1" applyAlignment="1">
      <alignment horizontal="center"/>
    </xf>
    <xf numFmtId="49" fontId="0" fillId="0" borderId="0" xfId="2" applyNumberFormat="1" applyFont="1" applyAlignment="1">
      <alignment horizontal="center"/>
    </xf>
    <xf numFmtId="0" fontId="9" fillId="7" borderId="0" xfId="2" applyFont="1" applyFill="1" applyAlignment="1">
      <alignment horizontal="center"/>
    </xf>
    <xf numFmtId="169" fontId="0" fillId="0" borderId="0" xfId="0" applyNumberFormat="1"/>
    <xf numFmtId="0" fontId="24" fillId="0" borderId="0" xfId="8" applyFont="1" applyAlignment="1">
      <alignment horizontal="center"/>
    </xf>
    <xf numFmtId="49" fontId="24" fillId="0" borderId="0" xfId="8" applyNumberFormat="1" applyFont="1" applyAlignment="1">
      <alignment horizontal="center"/>
    </xf>
    <xf numFmtId="0" fontId="17" fillId="0" borderId="0" xfId="8" applyAlignment="1">
      <alignment horizontal="right" wrapText="1"/>
    </xf>
    <xf numFmtId="1" fontId="17" fillId="0" borderId="0" xfId="8" applyNumberFormat="1" applyAlignment="1">
      <alignment horizontal="right" wrapText="1"/>
    </xf>
    <xf numFmtId="0" fontId="0" fillId="0" borderId="0" xfId="0" applyAlignment="1">
      <alignment horizontal="center"/>
    </xf>
    <xf numFmtId="0" fontId="7" fillId="7" borderId="0" xfId="2" applyFill="1" applyAlignment="1" applyProtection="1">
      <alignment horizontal="center"/>
      <protection locked="0"/>
    </xf>
    <xf numFmtId="0" fontId="0" fillId="7" borderId="0" xfId="2" applyFont="1" applyFill="1" applyAlignment="1">
      <alignment horizontal="center"/>
    </xf>
    <xf numFmtId="0" fontId="25" fillId="11" borderId="0" xfId="0" applyFont="1" applyFill="1" applyAlignment="1">
      <alignment horizontal="center"/>
    </xf>
    <xf numFmtId="0" fontId="26" fillId="0" borderId="1" xfId="2" applyFont="1" applyBorder="1" applyAlignment="1">
      <alignment horizontal="center"/>
    </xf>
    <xf numFmtId="0" fontId="9" fillId="0" borderId="2" xfId="2" applyFont="1" applyBorder="1" applyAlignment="1">
      <alignment horizontal="left"/>
    </xf>
    <xf numFmtId="0" fontId="27" fillId="0" borderId="0" xfId="2" applyFont="1" applyAlignment="1">
      <alignment horizontal="center"/>
    </xf>
    <xf numFmtId="0" fontId="28" fillId="11" borderId="0" xfId="2" applyFont="1" applyFill="1" applyAlignment="1">
      <alignment horizontal="center"/>
    </xf>
    <xf numFmtId="0" fontId="9" fillId="0" borderId="0" xfId="0" applyFont="1"/>
    <xf numFmtId="0" fontId="9" fillId="8" borderId="1" xfId="2" applyFont="1" applyFill="1" applyBorder="1" applyAlignment="1" applyProtection="1">
      <alignment horizontal="center"/>
      <protection locked="0"/>
    </xf>
    <xf numFmtId="0" fontId="9" fillId="2" borderId="1" xfId="2" applyFont="1" applyFill="1" applyBorder="1" applyProtection="1">
      <protection locked="0"/>
    </xf>
    <xf numFmtId="0" fontId="9" fillId="9" borderId="1" xfId="2" applyFont="1" applyFill="1" applyBorder="1" applyAlignment="1" applyProtection="1">
      <alignment horizontal="center"/>
      <protection locked="0"/>
    </xf>
    <xf numFmtId="0" fontId="9" fillId="0" borderId="2" xfId="2" applyFont="1" applyBorder="1" applyAlignment="1" applyProtection="1">
      <alignment horizontal="center"/>
      <protection locked="0"/>
    </xf>
    <xf numFmtId="3" fontId="19" fillId="8" borderId="0" xfId="2" applyNumberFormat="1" applyFont="1" applyFill="1" applyAlignment="1" applyProtection="1">
      <alignment horizontal="center"/>
      <protection locked="0"/>
    </xf>
    <xf numFmtId="172" fontId="19" fillId="8" borderId="0" xfId="2" applyNumberFormat="1" applyFont="1" applyFill="1" applyAlignment="1" applyProtection="1">
      <alignment horizontal="center"/>
      <protection locked="0"/>
    </xf>
    <xf numFmtId="1" fontId="7" fillId="8" borderId="0" xfId="2" applyNumberFormat="1" applyFill="1" applyAlignment="1" applyProtection="1">
      <alignment horizontal="center"/>
      <protection locked="0"/>
    </xf>
    <xf numFmtId="49" fontId="21" fillId="0" borderId="1" xfId="2" applyNumberFormat="1" applyFont="1" applyBorder="1" applyAlignment="1">
      <alignment horizontal="center"/>
    </xf>
    <xf numFmtId="0" fontId="19" fillId="0" borderId="0" xfId="2" applyFont="1" applyAlignment="1" applyProtection="1">
      <alignment horizontal="center"/>
      <protection locked="0"/>
    </xf>
    <xf numFmtId="2" fontId="0" fillId="0" borderId="0" xfId="0" applyNumberFormat="1"/>
    <xf numFmtId="166" fontId="0" fillId="0" borderId="0" xfId="0" applyNumberFormat="1"/>
    <xf numFmtId="0" fontId="30" fillId="0" borderId="0" xfId="0" applyFont="1"/>
    <xf numFmtId="0" fontId="29" fillId="0" borderId="0" xfId="0" applyFont="1"/>
    <xf numFmtId="0" fontId="0" fillId="0" borderId="0" xfId="0" applyAlignment="1">
      <alignment horizontal="right"/>
    </xf>
    <xf numFmtId="0" fontId="32" fillId="0" borderId="0" xfId="0" applyFont="1"/>
    <xf numFmtId="1" fontId="21" fillId="0" borderId="0" xfId="2" applyNumberFormat="1" applyFont="1" applyAlignment="1">
      <alignment horizontal="right"/>
    </xf>
    <xf numFmtId="0" fontId="21" fillId="22" borderId="0" xfId="2" applyFont="1" applyFill="1"/>
    <xf numFmtId="0" fontId="8" fillId="20" borderId="0" xfId="2" applyFont="1" applyFill="1"/>
    <xf numFmtId="1" fontId="8" fillId="0" borderId="0" xfId="2" applyNumberFormat="1" applyFont="1" applyProtection="1">
      <protection locked="0"/>
    </xf>
    <xf numFmtId="0" fontId="21" fillId="23" borderId="0" xfId="2" applyFont="1" applyFill="1"/>
    <xf numFmtId="1" fontId="21" fillId="0" borderId="0" xfId="2" applyNumberFormat="1" applyFont="1" applyProtection="1">
      <protection locked="0"/>
    </xf>
    <xf numFmtId="0" fontId="8" fillId="11" borderId="0" xfId="2" applyFont="1" applyFill="1"/>
    <xf numFmtId="0" fontId="8" fillId="24" borderId="0" xfId="2" applyFont="1" applyFill="1"/>
    <xf numFmtId="0" fontId="8" fillId="15" borderId="0" xfId="2" applyFont="1" applyFill="1"/>
    <xf numFmtId="0" fontId="33" fillId="0" borderId="0" xfId="2" applyFont="1"/>
    <xf numFmtId="0" fontId="37" fillId="25" borderId="10" xfId="12" applyFont="1" applyBorder="1" applyAlignment="1" applyProtection="1">
      <alignment horizontal="center"/>
      <protection locked="0"/>
    </xf>
    <xf numFmtId="0" fontId="34" fillId="25" borderId="10" xfId="12" applyFont="1" applyBorder="1" applyAlignment="1" applyProtection="1">
      <alignment horizontal="center"/>
      <protection locked="0"/>
    </xf>
    <xf numFmtId="0" fontId="34" fillId="25" borderId="10" xfId="12" applyFont="1" applyBorder="1" applyAlignment="1">
      <alignment horizontal="center"/>
    </xf>
    <xf numFmtId="0" fontId="7" fillId="0" borderId="0" xfId="13" applyAlignment="1">
      <alignment horizontal="center"/>
    </xf>
    <xf numFmtId="0" fontId="34" fillId="25" borderId="11" xfId="12" applyFont="1" applyBorder="1" applyAlignment="1">
      <alignment horizontal="center"/>
    </xf>
    <xf numFmtId="0" fontId="34" fillId="25" borderId="11" xfId="12" applyFont="1" applyBorder="1" applyAlignment="1" applyProtection="1">
      <alignment horizontal="center"/>
      <protection locked="0"/>
    </xf>
    <xf numFmtId="0" fontId="9" fillId="0" borderId="0" xfId="13" applyFont="1" applyAlignment="1">
      <alignment horizontal="center"/>
    </xf>
    <xf numFmtId="0" fontId="34" fillId="27" borderId="0" xfId="12" applyFont="1" applyFill="1" applyBorder="1" applyAlignment="1">
      <alignment horizontal="left" vertical="center"/>
    </xf>
    <xf numFmtId="0" fontId="34" fillId="27" borderId="0" xfId="12" applyFont="1" applyFill="1" applyBorder="1" applyAlignment="1">
      <alignment horizontal="center" vertical="center"/>
    </xf>
    <xf numFmtId="0" fontId="34" fillId="27" borderId="0" xfId="12" applyFont="1" applyFill="1" applyBorder="1" applyAlignment="1" applyProtection="1">
      <alignment horizontal="center" vertical="center"/>
      <protection locked="0"/>
    </xf>
    <xf numFmtId="0" fontId="34" fillId="0" borderId="0" xfId="12" applyFont="1" applyFill="1" applyBorder="1" applyAlignment="1">
      <alignment horizontal="left" vertical="center"/>
    </xf>
    <xf numFmtId="0" fontId="34" fillId="0" borderId="0" xfId="12" applyFont="1" applyFill="1" applyBorder="1" applyAlignment="1">
      <alignment horizontal="center" vertical="center"/>
    </xf>
    <xf numFmtId="0" fontId="34" fillId="0" borderId="0" xfId="12" applyFont="1" applyFill="1" applyAlignment="1">
      <alignment horizontal="center" vertical="center"/>
    </xf>
    <xf numFmtId="0" fontId="34" fillId="0" borderId="0" xfId="12" applyFont="1" applyFill="1" applyBorder="1" applyAlignment="1" applyProtection="1">
      <alignment horizontal="center" vertical="center"/>
      <protection locked="0"/>
    </xf>
    <xf numFmtId="0" fontId="9" fillId="28" borderId="0" xfId="13" applyFont="1" applyFill="1" applyAlignment="1">
      <alignment horizontal="left" indent="2"/>
    </xf>
    <xf numFmtId="0" fontId="7" fillId="28" borderId="0" xfId="13" applyFill="1"/>
    <xf numFmtId="0" fontId="7" fillId="0" borderId="0" xfId="13"/>
    <xf numFmtId="0" fontId="9" fillId="26" borderId="0" xfId="13" applyFont="1" applyFill="1"/>
    <xf numFmtId="1" fontId="7" fillId="26" borderId="0" xfId="13" applyNumberFormat="1" applyFill="1"/>
    <xf numFmtId="0" fontId="7" fillId="26" borderId="0" xfId="13" applyFill="1"/>
    <xf numFmtId="0" fontId="9" fillId="29" borderId="0" xfId="13" applyFont="1" applyFill="1" applyAlignment="1">
      <alignment horizontal="left" indent="2"/>
    </xf>
    <xf numFmtId="0" fontId="9" fillId="29" borderId="0" xfId="13" applyFont="1" applyFill="1"/>
    <xf numFmtId="0" fontId="7" fillId="29" borderId="0" xfId="13" applyFill="1"/>
    <xf numFmtId="0" fontId="9" fillId="30" borderId="0" xfId="13" applyFont="1" applyFill="1"/>
    <xf numFmtId="0" fontId="7" fillId="30" borderId="0" xfId="13" applyFill="1"/>
    <xf numFmtId="1" fontId="7" fillId="30" borderId="0" xfId="13" applyNumberFormat="1" applyFill="1"/>
    <xf numFmtId="2" fontId="7" fillId="30" borderId="0" xfId="13" applyNumberFormat="1" applyFill="1"/>
    <xf numFmtId="0" fontId="9" fillId="31" borderId="0" xfId="13" applyFont="1" applyFill="1" applyAlignment="1">
      <alignment horizontal="left" indent="2"/>
    </xf>
    <xf numFmtId="0" fontId="9" fillId="31" borderId="0" xfId="13" applyFont="1" applyFill="1"/>
    <xf numFmtId="0" fontId="7" fillId="31" borderId="0" xfId="13" applyFill="1"/>
    <xf numFmtId="0" fontId="9" fillId="32" borderId="0" xfId="13" applyFont="1" applyFill="1"/>
    <xf numFmtId="0" fontId="7" fillId="32" borderId="0" xfId="13" applyFill="1"/>
    <xf numFmtId="0" fontId="9" fillId="13" borderId="0" xfId="13" applyFont="1" applyFill="1" applyAlignment="1">
      <alignment horizontal="left" indent="2"/>
    </xf>
    <xf numFmtId="0" fontId="9" fillId="13" borderId="0" xfId="13" applyFont="1" applyFill="1"/>
    <xf numFmtId="0" fontId="7" fillId="13" borderId="0" xfId="13" applyFill="1"/>
    <xf numFmtId="0" fontId="9" fillId="33" borderId="0" xfId="13" applyFont="1" applyFill="1"/>
    <xf numFmtId="0" fontId="38" fillId="33" borderId="0" xfId="13" applyFont="1" applyFill="1"/>
    <xf numFmtId="0" fontId="7" fillId="33" borderId="0" xfId="13" applyFill="1"/>
    <xf numFmtId="0" fontId="9" fillId="19" borderId="0" xfId="13" applyFont="1" applyFill="1"/>
    <xf numFmtId="0" fontId="7" fillId="19" borderId="0" xfId="13" applyFill="1"/>
    <xf numFmtId="0" fontId="34" fillId="34" borderId="0" xfId="13" applyFont="1" applyFill="1" applyAlignment="1">
      <alignment horizontal="left" indent="2"/>
    </xf>
    <xf numFmtId="0" fontId="34" fillId="34" borderId="0" xfId="13" applyFont="1" applyFill="1"/>
    <xf numFmtId="0" fontId="7" fillId="34" borderId="0" xfId="13" applyFill="1"/>
    <xf numFmtId="0" fontId="9" fillId="22" borderId="0" xfId="13" applyFont="1" applyFill="1"/>
    <xf numFmtId="0" fontId="38" fillId="22" borderId="0" xfId="13" applyFont="1" applyFill="1"/>
    <xf numFmtId="0" fontId="7" fillId="22" borderId="0" xfId="13" applyFill="1"/>
    <xf numFmtId="1" fontId="7" fillId="22" borderId="0" xfId="13" applyNumberFormat="1" applyFill="1"/>
    <xf numFmtId="2" fontId="7" fillId="22" borderId="0" xfId="13" applyNumberFormat="1" applyFill="1"/>
    <xf numFmtId="0" fontId="34" fillId="24" borderId="0" xfId="13" applyFont="1" applyFill="1" applyAlignment="1">
      <alignment horizontal="left" indent="2"/>
    </xf>
    <xf numFmtId="0" fontId="9" fillId="24" borderId="0" xfId="13" applyFont="1" applyFill="1"/>
    <xf numFmtId="0" fontId="7" fillId="24" borderId="0" xfId="13" applyFill="1"/>
    <xf numFmtId="2" fontId="7" fillId="24" borderId="0" xfId="13" applyNumberFormat="1" applyFill="1"/>
    <xf numFmtId="0" fontId="9" fillId="14" borderId="0" xfId="13" applyFont="1" applyFill="1"/>
    <xf numFmtId="0" fontId="38" fillId="14" borderId="0" xfId="13" applyFont="1" applyFill="1"/>
    <xf numFmtId="0" fontId="7" fillId="14" borderId="0" xfId="13" applyFill="1"/>
    <xf numFmtId="1" fontId="7" fillId="14" borderId="0" xfId="13" applyNumberFormat="1" applyFill="1"/>
    <xf numFmtId="2" fontId="7" fillId="14" borderId="0" xfId="13" applyNumberFormat="1" applyFill="1"/>
    <xf numFmtId="0" fontId="9" fillId="12" borderId="0" xfId="13" applyFont="1" applyFill="1" applyAlignment="1">
      <alignment horizontal="left" indent="2"/>
    </xf>
    <xf numFmtId="0" fontId="9" fillId="12" borderId="0" xfId="13" applyFont="1" applyFill="1"/>
    <xf numFmtId="0" fontId="7" fillId="12" borderId="0" xfId="13" applyFill="1"/>
    <xf numFmtId="2" fontId="7" fillId="12" borderId="0" xfId="13" applyNumberFormat="1" applyFill="1"/>
    <xf numFmtId="0" fontId="9" fillId="20" borderId="0" xfId="13" applyFont="1" applyFill="1"/>
    <xf numFmtId="0" fontId="38" fillId="20" borderId="0" xfId="13" applyFont="1" applyFill="1"/>
    <xf numFmtId="0" fontId="7" fillId="20" borderId="0" xfId="13" applyFill="1"/>
    <xf numFmtId="1" fontId="7" fillId="20" borderId="0" xfId="13" applyNumberFormat="1" applyFill="1"/>
    <xf numFmtId="2" fontId="7" fillId="20" borderId="0" xfId="13" applyNumberFormat="1" applyFill="1"/>
    <xf numFmtId="0" fontId="9" fillId="35" borderId="0" xfId="13" applyFont="1" applyFill="1" applyAlignment="1">
      <alignment horizontal="left" indent="2"/>
    </xf>
    <xf numFmtId="0" fontId="9" fillId="35" borderId="0" xfId="13" applyFont="1" applyFill="1"/>
    <xf numFmtId="0" fontId="7" fillId="35" borderId="0" xfId="13" applyFill="1"/>
    <xf numFmtId="2" fontId="7" fillId="35" borderId="0" xfId="13" applyNumberFormat="1" applyFill="1"/>
    <xf numFmtId="0" fontId="9" fillId="36" borderId="0" xfId="13" applyFont="1" applyFill="1"/>
    <xf numFmtId="0" fontId="7" fillId="36" borderId="0" xfId="13" applyFill="1"/>
    <xf numFmtId="1" fontId="7" fillId="36" borderId="0" xfId="13" applyNumberFormat="1" applyFill="1"/>
    <xf numFmtId="2" fontId="7" fillId="36" borderId="0" xfId="13" applyNumberFormat="1" applyFill="1"/>
    <xf numFmtId="0" fontId="9" fillId="37" borderId="0" xfId="13" applyFont="1" applyFill="1" applyAlignment="1">
      <alignment horizontal="left" indent="2"/>
    </xf>
    <xf numFmtId="0" fontId="9" fillId="37" borderId="0" xfId="13" applyFont="1" applyFill="1"/>
    <xf numFmtId="0" fontId="7" fillId="37" borderId="0" xfId="13" applyFill="1"/>
    <xf numFmtId="0" fontId="9" fillId="38" borderId="0" xfId="13" applyFont="1" applyFill="1"/>
    <xf numFmtId="0" fontId="38" fillId="38" borderId="0" xfId="13" applyFont="1" applyFill="1"/>
    <xf numFmtId="0" fontId="7" fillId="38" borderId="0" xfId="13" applyFill="1"/>
    <xf numFmtId="173" fontId="0" fillId="0" borderId="0" xfId="14" applyNumberFormat="1" applyFont="1"/>
    <xf numFmtId="1" fontId="21" fillId="0" borderId="0" xfId="2" applyNumberFormat="1" applyFont="1"/>
    <xf numFmtId="173" fontId="7" fillId="16" borderId="0" xfId="1" applyNumberFormat="1" applyFont="1" applyFill="1" applyAlignment="1">
      <alignment horizontal="center"/>
    </xf>
    <xf numFmtId="173" fontId="7" fillId="20" borderId="0" xfId="1" applyNumberFormat="1" applyFont="1" applyFill="1" applyAlignment="1">
      <alignment horizontal="center"/>
    </xf>
    <xf numFmtId="0" fontId="9" fillId="0" borderId="1" xfId="2" applyFont="1" applyBorder="1" applyAlignment="1">
      <alignment horizontal="right"/>
    </xf>
    <xf numFmtId="49" fontId="9" fillId="0" borderId="1" xfId="2" applyNumberFormat="1" applyFont="1" applyBorder="1" applyAlignment="1">
      <alignment horizontal="right"/>
    </xf>
    <xf numFmtId="0" fontId="9" fillId="39" borderId="0" xfId="2" applyFont="1" applyFill="1"/>
    <xf numFmtId="1" fontId="9" fillId="40" borderId="13" xfId="2" applyNumberFormat="1" applyFont="1" applyFill="1" applyBorder="1" applyAlignment="1">
      <alignment horizontal="right"/>
    </xf>
    <xf numFmtId="0" fontId="9" fillId="40" borderId="13" xfId="2" applyFont="1" applyFill="1" applyBorder="1"/>
    <xf numFmtId="0" fontId="7" fillId="39" borderId="14" xfId="2" applyFill="1" applyBorder="1" applyAlignment="1">
      <alignment horizontal="right"/>
    </xf>
    <xf numFmtId="0" fontId="9" fillId="39" borderId="14" xfId="2" applyFont="1" applyFill="1" applyBorder="1"/>
    <xf numFmtId="1" fontId="34" fillId="41" borderId="13" xfId="2" applyNumberFormat="1" applyFont="1" applyFill="1" applyBorder="1" applyAlignment="1">
      <alignment horizontal="right"/>
    </xf>
    <xf numFmtId="0" fontId="34" fillId="41" borderId="13" xfId="2" applyFont="1" applyFill="1" applyBorder="1"/>
    <xf numFmtId="0" fontId="9" fillId="39" borderId="15" xfId="2" applyFont="1" applyFill="1" applyBorder="1"/>
    <xf numFmtId="166" fontId="7" fillId="0" borderId="0" xfId="2" applyNumberFormat="1"/>
    <xf numFmtId="166" fontId="7" fillId="39" borderId="0" xfId="2" applyNumberFormat="1" applyFill="1"/>
    <xf numFmtId="1" fontId="34" fillId="42" borderId="12" xfId="2" applyNumberFormat="1" applyFont="1" applyFill="1" applyBorder="1"/>
    <xf numFmtId="0" fontId="34" fillId="42" borderId="12" xfId="2" applyFont="1" applyFill="1" applyBorder="1"/>
    <xf numFmtId="0" fontId="9" fillId="42" borderId="13" xfId="2" applyFont="1" applyFill="1" applyBorder="1"/>
    <xf numFmtId="0" fontId="34" fillId="42" borderId="13" xfId="2" applyFont="1" applyFill="1" applyBorder="1"/>
    <xf numFmtId="0" fontId="41" fillId="0" borderId="0" xfId="0" applyFont="1" applyAlignment="1">
      <alignment horizontal="center"/>
    </xf>
    <xf numFmtId="0" fontId="34" fillId="43" borderId="0" xfId="0" applyFont="1" applyFill="1" applyAlignment="1">
      <alignment horizontal="center"/>
    </xf>
    <xf numFmtId="0" fontId="41" fillId="22" borderId="0" xfId="0" applyFont="1" applyFill="1" applyAlignment="1">
      <alignment horizontal="center"/>
    </xf>
    <xf numFmtId="0" fontId="34" fillId="41" borderId="13" xfId="2" applyFont="1" applyFill="1" applyBorder="1" applyAlignment="1">
      <alignment horizontal="center"/>
    </xf>
    <xf numFmtId="0" fontId="0" fillId="17" borderId="0" xfId="0" applyFill="1" applyAlignment="1">
      <alignment horizontal="center"/>
    </xf>
    <xf numFmtId="0" fontId="41" fillId="0" borderId="0" xfId="0" applyFont="1"/>
    <xf numFmtId="0" fontId="34" fillId="44" borderId="17" xfId="0" applyFont="1" applyFill="1" applyBorder="1" applyAlignment="1">
      <alignment horizontal="center"/>
    </xf>
    <xf numFmtId="0" fontId="34" fillId="44" borderId="18" xfId="0" applyFont="1" applyFill="1" applyBorder="1" applyAlignment="1">
      <alignment horizontal="center"/>
    </xf>
    <xf numFmtId="0" fontId="7" fillId="0" borderId="0" xfId="0" applyFont="1" applyAlignment="1">
      <alignment horizontal="left"/>
    </xf>
    <xf numFmtId="0" fontId="9" fillId="44" borderId="17" xfId="0" applyFont="1" applyFill="1" applyBorder="1" applyAlignment="1">
      <alignment horizontal="center"/>
    </xf>
    <xf numFmtId="0" fontId="21" fillId="3" borderId="0" xfId="2" applyFont="1" applyFill="1"/>
    <xf numFmtId="1" fontId="21" fillId="0" borderId="1" xfId="2" applyNumberFormat="1" applyFont="1" applyBorder="1" applyAlignment="1">
      <alignment horizontal="center"/>
    </xf>
    <xf numFmtId="0" fontId="43" fillId="45" borderId="13" xfId="2" applyFont="1" applyFill="1" applyBorder="1"/>
    <xf numFmtId="0" fontId="44" fillId="0" borderId="0" xfId="2" applyFont="1"/>
    <xf numFmtId="0" fontId="45" fillId="0" borderId="0" xfId="0" applyFont="1"/>
    <xf numFmtId="0" fontId="43" fillId="45" borderId="12" xfId="2" applyFont="1" applyFill="1" applyBorder="1"/>
    <xf numFmtId="1" fontId="43" fillId="45" borderId="12" xfId="2" applyNumberFormat="1" applyFont="1" applyFill="1" applyBorder="1"/>
    <xf numFmtId="0" fontId="43" fillId="39" borderId="0" xfId="2" applyFont="1" applyFill="1"/>
    <xf numFmtId="167" fontId="46" fillId="0" borderId="0" xfId="2" applyNumberFormat="1" applyFont="1" applyAlignment="1" applyProtection="1">
      <alignment horizontal="right"/>
      <protection locked="0"/>
    </xf>
    <xf numFmtId="2" fontId="47" fillId="0" borderId="0" xfId="3" applyNumberFormat="1" applyFont="1" applyBorder="1" applyAlignment="1">
      <alignment horizontal="center"/>
    </xf>
    <xf numFmtId="166" fontId="42" fillId="3" borderId="0" xfId="2" applyNumberFormat="1" applyFont="1" applyFill="1" applyAlignment="1">
      <alignment horizontal="center"/>
    </xf>
    <xf numFmtId="0" fontId="7" fillId="2" borderId="0" xfId="2" applyFill="1" applyAlignment="1" applyProtection="1">
      <alignment horizontal="center"/>
      <protection locked="0"/>
    </xf>
    <xf numFmtId="0" fontId="7" fillId="8" borderId="0" xfId="2" applyFill="1" applyAlignment="1" applyProtection="1">
      <alignment horizontal="center"/>
      <protection locked="0"/>
    </xf>
    <xf numFmtId="0" fontId="7" fillId="4" borderId="0" xfId="2" applyFill="1" applyAlignment="1" applyProtection="1">
      <alignment horizontal="center"/>
      <protection locked="0"/>
    </xf>
    <xf numFmtId="1" fontId="7" fillId="4" borderId="0" xfId="2" applyNumberFormat="1" applyFill="1" applyAlignment="1" applyProtection="1">
      <alignment horizontal="right"/>
      <protection locked="0"/>
    </xf>
    <xf numFmtId="0" fontId="7" fillId="2" borderId="0" xfId="2" applyFill="1" applyProtection="1">
      <protection locked="0"/>
    </xf>
    <xf numFmtId="0" fontId="46" fillId="0" borderId="0" xfId="0" applyFont="1"/>
    <xf numFmtId="0" fontId="8" fillId="0" borderId="0" xfId="2" applyFont="1" applyAlignment="1">
      <alignment horizontal="left"/>
    </xf>
    <xf numFmtId="0" fontId="7" fillId="14" borderId="0" xfId="2" applyFill="1" applyAlignment="1" applyProtection="1">
      <alignment horizontal="left"/>
      <protection locked="0"/>
    </xf>
    <xf numFmtId="0" fontId="7" fillId="14" borderId="0" xfId="5" applyFill="1" applyAlignment="1">
      <alignment horizontal="center"/>
    </xf>
    <xf numFmtId="1" fontId="48" fillId="0" borderId="0" xfId="0" applyNumberFormat="1" applyFont="1"/>
    <xf numFmtId="0" fontId="0" fillId="15" borderId="0" xfId="0" applyFill="1"/>
    <xf numFmtId="2" fontId="7" fillId="0" borderId="0" xfId="6" applyNumberFormat="1"/>
    <xf numFmtId="1" fontId="7" fillId="12" borderId="0" xfId="2" applyNumberFormat="1" applyFill="1"/>
    <xf numFmtId="0" fontId="49" fillId="46" borderId="19" xfId="2" applyFont="1" applyFill="1" applyBorder="1" applyAlignment="1">
      <alignment horizontal="center"/>
    </xf>
    <xf numFmtId="0" fontId="49" fillId="46" borderId="19" xfId="2" applyFont="1" applyFill="1" applyBorder="1" applyAlignment="1">
      <alignment horizontal="left"/>
    </xf>
    <xf numFmtId="0" fontId="49" fillId="46" borderId="20" xfId="2" applyFont="1" applyFill="1" applyBorder="1" applyAlignment="1">
      <alignment horizontal="center"/>
    </xf>
    <xf numFmtId="0" fontId="50" fillId="46" borderId="19" xfId="2" applyFont="1" applyFill="1" applyBorder="1" applyAlignment="1">
      <alignment horizontal="center"/>
    </xf>
    <xf numFmtId="0" fontId="9" fillId="47" borderId="19" xfId="2" applyFont="1" applyFill="1" applyBorder="1"/>
    <xf numFmtId="0" fontId="7" fillId="47" borderId="19" xfId="2" applyFill="1" applyBorder="1" applyAlignment="1">
      <alignment horizontal="left"/>
    </xf>
    <xf numFmtId="0" fontId="7" fillId="47" borderId="20" xfId="2" applyFill="1" applyBorder="1" applyAlignment="1">
      <alignment horizontal="right"/>
    </xf>
    <xf numFmtId="0" fontId="7" fillId="47" borderId="19" xfId="2" applyFill="1" applyBorder="1" applyAlignment="1">
      <alignment horizontal="center"/>
    </xf>
    <xf numFmtId="0" fontId="7" fillId="0" borderId="0" xfId="2" applyAlignment="1">
      <alignment horizontal="left"/>
    </xf>
    <xf numFmtId="0" fontId="7" fillId="0" borderId="6" xfId="2" applyBorder="1" applyAlignment="1">
      <alignment horizontal="right"/>
    </xf>
    <xf numFmtId="0" fontId="9" fillId="47" borderId="9" xfId="2" applyFont="1" applyFill="1" applyBorder="1"/>
    <xf numFmtId="0" fontId="7" fillId="47" borderId="9" xfId="2" applyFill="1" applyBorder="1" applyAlignment="1">
      <alignment horizontal="left"/>
    </xf>
    <xf numFmtId="0" fontId="7" fillId="47" borderId="7" xfId="2" applyFill="1" applyBorder="1" applyAlignment="1">
      <alignment horizontal="right"/>
    </xf>
    <xf numFmtId="0" fontId="7" fillId="47" borderId="9" xfId="2" applyFill="1" applyBorder="1" applyAlignment="1">
      <alignment horizontal="center"/>
    </xf>
    <xf numFmtId="0" fontId="9" fillId="0" borderId="2" xfId="2" applyFont="1" applyBorder="1"/>
    <xf numFmtId="0" fontId="7" fillId="0" borderId="2" xfId="2" applyBorder="1" applyAlignment="1">
      <alignment horizontal="left"/>
    </xf>
    <xf numFmtId="0" fontId="7" fillId="0" borderId="16" xfId="2" applyBorder="1" applyAlignment="1">
      <alignment horizontal="right"/>
    </xf>
    <xf numFmtId="0" fontId="7" fillId="0" borderId="2" xfId="2" applyBorder="1" applyAlignment="1">
      <alignment horizontal="center"/>
    </xf>
    <xf numFmtId="0" fontId="7" fillId="0" borderId="21" xfId="2" applyBorder="1" applyAlignment="1">
      <alignment horizontal="left"/>
    </xf>
    <xf numFmtId="0" fontId="9" fillId="47" borderId="3" xfId="2" applyFont="1" applyFill="1" applyBorder="1"/>
    <xf numFmtId="0" fontId="9" fillId="47" borderId="4" xfId="2" applyFont="1" applyFill="1" applyBorder="1"/>
    <xf numFmtId="0" fontId="9" fillId="0" borderId="8" xfId="2" applyFont="1" applyBorder="1"/>
    <xf numFmtId="0" fontId="9" fillId="48" borderId="0" xfId="2" applyFont="1" applyFill="1"/>
    <xf numFmtId="0" fontId="7" fillId="48" borderId="0" xfId="2" applyFill="1" applyAlignment="1">
      <alignment horizontal="left"/>
    </xf>
    <xf numFmtId="0" fontId="7" fillId="48" borderId="6" xfId="2" applyFill="1" applyBorder="1" applyAlignment="1">
      <alignment horizontal="right"/>
    </xf>
    <xf numFmtId="0" fontId="7" fillId="48" borderId="0" xfId="2" applyFill="1" applyAlignment="1">
      <alignment horizontal="center"/>
    </xf>
    <xf numFmtId="0" fontId="9" fillId="49" borderId="22" xfId="2" applyFont="1" applyFill="1" applyBorder="1"/>
    <xf numFmtId="0" fontId="7" fillId="49" borderId="22" xfId="2" applyFill="1" applyBorder="1" applyAlignment="1">
      <alignment horizontal="left"/>
    </xf>
    <xf numFmtId="0" fontId="7" fillId="49" borderId="23" xfId="2" applyFill="1" applyBorder="1" applyAlignment="1">
      <alignment horizontal="right"/>
    </xf>
    <xf numFmtId="0" fontId="7" fillId="49" borderId="22" xfId="2" applyFill="1" applyBorder="1" applyAlignment="1">
      <alignment horizontal="center"/>
    </xf>
    <xf numFmtId="0" fontId="7" fillId="50" borderId="0" xfId="2" applyFill="1" applyAlignment="1" applyProtection="1">
      <alignment horizontal="left"/>
      <protection locked="0"/>
    </xf>
    <xf numFmtId="2" fontId="0" fillId="0" borderId="0" xfId="0" applyNumberFormat="1" applyAlignment="1">
      <alignment horizontal="center"/>
    </xf>
    <xf numFmtId="9" fontId="0" fillId="0" borderId="0" xfId="22" applyFont="1"/>
    <xf numFmtId="0" fontId="7" fillId="32" borderId="0" xfId="2" applyFill="1" applyAlignment="1" applyProtection="1">
      <alignment horizontal="left"/>
      <protection locked="0"/>
    </xf>
    <xf numFmtId="0" fontId="9" fillId="3" borderId="1" xfId="2" applyFont="1" applyFill="1" applyBorder="1" applyAlignment="1" applyProtection="1">
      <alignment horizontal="center"/>
      <protection locked="0"/>
    </xf>
    <xf numFmtId="2" fontId="9" fillId="8" borderId="1" xfId="2" applyNumberFormat="1" applyFont="1" applyFill="1" applyBorder="1" applyAlignment="1">
      <alignment horizontal="center"/>
    </xf>
    <xf numFmtId="0" fontId="9" fillId="9" borderId="1" xfId="2" applyFont="1" applyFill="1" applyBorder="1" applyAlignment="1">
      <alignment horizontal="center"/>
    </xf>
    <xf numFmtId="0" fontId="9" fillId="5" borderId="0" xfId="2" applyFont="1" applyFill="1" applyAlignment="1">
      <alignment horizontal="center"/>
    </xf>
    <xf numFmtId="0" fontId="7" fillId="52" borderId="0" xfId="2" applyFill="1" applyAlignment="1">
      <alignment horizontal="left"/>
    </xf>
    <xf numFmtId="0" fontId="7" fillId="21" borderId="0" xfId="2" applyFill="1" applyAlignment="1" applyProtection="1">
      <alignment horizontal="left"/>
      <protection locked="0"/>
    </xf>
    <xf numFmtId="0" fontId="7" fillId="21" borderId="0" xfId="2" applyFill="1" applyAlignment="1">
      <alignment horizontal="left"/>
    </xf>
    <xf numFmtId="173" fontId="0" fillId="0" borderId="0" xfId="0" applyNumberFormat="1"/>
    <xf numFmtId="0" fontId="19" fillId="11" borderId="0" xfId="2" applyFont="1" applyFill="1" applyAlignment="1">
      <alignment horizontal="center"/>
    </xf>
    <xf numFmtId="174" fontId="7" fillId="0" borderId="0" xfId="2" applyNumberFormat="1"/>
    <xf numFmtId="0" fontId="9" fillId="53" borderId="0" xfId="2" applyFont="1" applyFill="1"/>
    <xf numFmtId="0" fontId="7" fillId="53" borderId="0" xfId="2" applyFill="1"/>
    <xf numFmtId="0" fontId="0" fillId="53" borderId="0" xfId="0" applyFill="1"/>
    <xf numFmtId="0" fontId="0" fillId="3" borderId="0" xfId="0" applyFill="1"/>
    <xf numFmtId="2" fontId="6" fillId="0" borderId="0" xfId="2" applyNumberFormat="1" applyFont="1"/>
    <xf numFmtId="0" fontId="9" fillId="47" borderId="9" xfId="2" applyFont="1" applyFill="1" applyBorder="1" applyAlignment="1">
      <alignment horizontal="center"/>
    </xf>
    <xf numFmtId="0" fontId="9" fillId="0" borderId="2" xfId="2" applyFont="1" applyBorder="1" applyAlignment="1">
      <alignment horizontal="right"/>
    </xf>
    <xf numFmtId="0" fontId="9" fillId="47" borderId="9" xfId="2" applyFont="1" applyFill="1" applyBorder="1" applyAlignment="1">
      <alignment horizontal="right"/>
    </xf>
    <xf numFmtId="0" fontId="9" fillId="55" borderId="13" xfId="2" applyFont="1" applyFill="1" applyBorder="1"/>
    <xf numFmtId="0" fontId="9" fillId="55" borderId="12" xfId="2" applyFont="1" applyFill="1" applyBorder="1"/>
    <xf numFmtId="1" fontId="9" fillId="55" borderId="12" xfId="2" applyNumberFormat="1" applyFont="1" applyFill="1" applyBorder="1"/>
    <xf numFmtId="0" fontId="9" fillId="56" borderId="15" xfId="2" applyFont="1" applyFill="1" applyBorder="1"/>
    <xf numFmtId="0" fontId="9" fillId="56" borderId="0" xfId="2" applyFont="1" applyFill="1"/>
    <xf numFmtId="0" fontId="7" fillId="56" borderId="0" xfId="2" applyFill="1"/>
    <xf numFmtId="0" fontId="34" fillId="57" borderId="0" xfId="2" applyFont="1" applyFill="1"/>
    <xf numFmtId="166" fontId="7" fillId="56" borderId="15" xfId="2" applyNumberFormat="1" applyFill="1" applyBorder="1"/>
    <xf numFmtId="0" fontId="7" fillId="57" borderId="0" xfId="2" applyFill="1"/>
    <xf numFmtId="0" fontId="53" fillId="24" borderId="0" xfId="2" applyFont="1" applyFill="1" applyAlignment="1">
      <alignment horizontal="center"/>
    </xf>
    <xf numFmtId="0" fontId="54" fillId="24" borderId="0" xfId="2" applyFont="1" applyFill="1" applyAlignment="1">
      <alignment horizontal="center"/>
    </xf>
    <xf numFmtId="0" fontId="55" fillId="24" borderId="0" xfId="2" applyFont="1" applyFill="1" applyAlignment="1">
      <alignment horizontal="center"/>
    </xf>
    <xf numFmtId="0" fontId="9" fillId="39" borderId="2" xfId="2" applyFont="1" applyFill="1" applyBorder="1"/>
    <xf numFmtId="1" fontId="34" fillId="55" borderId="12" xfId="2" applyNumberFormat="1" applyFont="1" applyFill="1" applyBorder="1"/>
    <xf numFmtId="0" fontId="34" fillId="58" borderId="13" xfId="2" applyFont="1" applyFill="1" applyBorder="1"/>
    <xf numFmtId="1" fontId="34" fillId="58" borderId="13" xfId="2" applyNumberFormat="1" applyFont="1" applyFill="1" applyBorder="1" applyAlignment="1">
      <alignment horizontal="right"/>
    </xf>
    <xf numFmtId="166" fontId="9" fillId="39" borderId="15" xfId="2" applyNumberFormat="1" applyFont="1" applyFill="1" applyBorder="1"/>
    <xf numFmtId="49" fontId="21" fillId="12" borderId="1" xfId="2" applyNumberFormat="1" applyFont="1" applyFill="1" applyBorder="1" applyAlignment="1">
      <alignment horizontal="center"/>
    </xf>
    <xf numFmtId="0" fontId="41" fillId="3" borderId="0" xfId="0" applyFont="1" applyFill="1"/>
    <xf numFmtId="166" fontId="29" fillId="0" borderId="0" xfId="0" applyNumberFormat="1" applyFont="1"/>
    <xf numFmtId="0" fontId="57" fillId="0" borderId="0" xfId="2" applyFont="1"/>
    <xf numFmtId="1" fontId="46" fillId="0" borderId="0" xfId="0" applyNumberFormat="1" applyFont="1"/>
    <xf numFmtId="1" fontId="46" fillId="0" borderId="0" xfId="2" applyNumberFormat="1" applyFont="1"/>
    <xf numFmtId="49" fontId="9" fillId="14" borderId="1" xfId="2" applyNumberFormat="1" applyFont="1" applyFill="1" applyBorder="1" applyAlignment="1">
      <alignment horizontal="center"/>
    </xf>
    <xf numFmtId="0" fontId="12" fillId="59" borderId="0" xfId="2" applyFont="1" applyFill="1" applyAlignment="1">
      <alignment horizontal="center"/>
    </xf>
    <xf numFmtId="2" fontId="58" fillId="0" borderId="0" xfId="23" applyNumberFormat="1"/>
    <xf numFmtId="0" fontId="58" fillId="0" borderId="0" xfId="23"/>
    <xf numFmtId="0" fontId="7" fillId="20" borderId="0" xfId="2" applyFill="1" applyAlignment="1" applyProtection="1">
      <alignment horizontal="left"/>
      <protection locked="0"/>
    </xf>
    <xf numFmtId="0" fontId="0" fillId="21" borderId="0" xfId="0" applyFill="1"/>
    <xf numFmtId="166" fontId="7" fillId="0" borderId="0" xfId="2" applyNumberFormat="1" applyAlignment="1" applyProtection="1">
      <alignment horizontal="center"/>
      <protection locked="0"/>
    </xf>
    <xf numFmtId="0" fontId="35" fillId="60" borderId="0" xfId="0" applyFont="1" applyFill="1" applyAlignment="1">
      <alignment horizontal="center"/>
    </xf>
    <xf numFmtId="0" fontId="9" fillId="61" borderId="1" xfId="2" applyFont="1" applyFill="1" applyBorder="1" applyAlignment="1" applyProtection="1">
      <alignment horizontal="center"/>
      <protection locked="0"/>
    </xf>
    <xf numFmtId="2" fontId="9" fillId="19" borderId="0" xfId="2" applyNumberFormat="1" applyFont="1" applyFill="1" applyAlignment="1" applyProtection="1">
      <alignment horizontal="center"/>
      <protection locked="0"/>
    </xf>
    <xf numFmtId="0" fontId="52" fillId="14" borderId="0" xfId="2" applyFont="1" applyFill="1" applyAlignment="1">
      <alignment horizontal="left"/>
    </xf>
    <xf numFmtId="2" fontId="13" fillId="62" borderId="0" xfId="2" applyNumberFormat="1" applyFont="1" applyFill="1" applyAlignment="1">
      <alignment horizontal="center"/>
    </xf>
    <xf numFmtId="0" fontId="7" fillId="54" borderId="0" xfId="2" applyFill="1" applyAlignment="1" applyProtection="1">
      <alignment horizontal="left"/>
      <protection locked="0"/>
    </xf>
    <xf numFmtId="0" fontId="8" fillId="54" borderId="0" xfId="6" applyFont="1" applyFill="1" applyAlignment="1" applyProtection="1">
      <alignment horizontal="left"/>
      <protection locked="0"/>
    </xf>
    <xf numFmtId="0" fontId="9" fillId="17" borderId="1" xfId="2" applyFont="1" applyFill="1" applyBorder="1" applyAlignment="1">
      <alignment horizontal="center"/>
    </xf>
    <xf numFmtId="167" fontId="9" fillId="13" borderId="1" xfId="2" applyNumberFormat="1" applyFont="1" applyFill="1" applyBorder="1" applyAlignment="1" applyProtection="1">
      <alignment horizontal="center"/>
      <protection locked="0"/>
    </xf>
    <xf numFmtId="167" fontId="7" fillId="0" borderId="0" xfId="2" applyNumberFormat="1" applyAlignment="1" applyProtection="1">
      <alignment horizontal="center"/>
      <protection locked="0"/>
    </xf>
    <xf numFmtId="166" fontId="0" fillId="14" borderId="0" xfId="0" applyNumberFormat="1" applyFill="1"/>
    <xf numFmtId="0" fontId="0" fillId="12" borderId="0" xfId="0" applyFill="1"/>
    <xf numFmtId="2" fontId="9" fillId="5" borderId="1" xfId="2" applyNumberFormat="1" applyFont="1" applyFill="1" applyBorder="1" applyAlignment="1" applyProtection="1">
      <alignment horizontal="center"/>
      <protection locked="0"/>
    </xf>
    <xf numFmtId="166" fontId="7" fillId="5" borderId="0" xfId="2" applyNumberFormat="1" applyFill="1" applyAlignment="1" applyProtection="1">
      <alignment horizontal="center"/>
      <protection locked="0"/>
    </xf>
    <xf numFmtId="167" fontId="7" fillId="5" borderId="0" xfId="2" applyNumberFormat="1" applyFill="1" applyAlignment="1" applyProtection="1">
      <alignment horizontal="center"/>
      <protection locked="0"/>
    </xf>
    <xf numFmtId="2" fontId="7" fillId="5" borderId="0" xfId="2" applyNumberFormat="1" applyFill="1" applyAlignment="1" applyProtection="1">
      <alignment horizontal="center"/>
      <protection locked="0"/>
    </xf>
    <xf numFmtId="167" fontId="7" fillId="5" borderId="0" xfId="2" applyNumberFormat="1" applyFill="1" applyProtection="1">
      <protection locked="0"/>
    </xf>
    <xf numFmtId="0" fontId="9" fillId="0" borderId="1" xfId="2" applyFont="1" applyBorder="1"/>
    <xf numFmtId="0" fontId="7" fillId="12" borderId="0" xfId="2" applyFill="1" applyAlignment="1" applyProtection="1">
      <alignment horizontal="left"/>
      <protection locked="0"/>
    </xf>
    <xf numFmtId="2" fontId="7" fillId="12" borderId="0" xfId="2" applyNumberFormat="1" applyFill="1" applyAlignment="1" applyProtection="1">
      <alignment horizontal="center"/>
      <protection locked="0"/>
    </xf>
    <xf numFmtId="0" fontId="7" fillId="12" borderId="0" xfId="2" applyFill="1" applyAlignment="1" applyProtection="1">
      <alignment horizontal="center"/>
      <protection locked="0"/>
    </xf>
    <xf numFmtId="0" fontId="28" fillId="12" borderId="0" xfId="2" applyFont="1" applyFill="1" applyAlignment="1">
      <alignment horizontal="center"/>
    </xf>
    <xf numFmtId="1" fontId="7" fillId="12" borderId="0" xfId="2" applyNumberFormat="1" applyFill="1" applyAlignment="1" applyProtection="1">
      <alignment horizontal="right"/>
      <protection locked="0"/>
    </xf>
    <xf numFmtId="0" fontId="7" fillId="12" borderId="0" xfId="2" applyFill="1" applyProtection="1">
      <protection locked="0"/>
    </xf>
    <xf numFmtId="3" fontId="19" fillId="12" borderId="0" xfId="2" applyNumberFormat="1" applyFont="1" applyFill="1" applyAlignment="1" applyProtection="1">
      <alignment horizontal="center"/>
      <protection locked="0"/>
    </xf>
    <xf numFmtId="172" fontId="19" fillId="12" borderId="0" xfId="2" applyNumberFormat="1" applyFont="1" applyFill="1" applyAlignment="1" applyProtection="1">
      <alignment horizontal="center"/>
      <protection locked="0"/>
    </xf>
    <xf numFmtId="1" fontId="7" fillId="12" borderId="0" xfId="2" applyNumberFormat="1" applyFill="1" applyAlignment="1" applyProtection="1">
      <alignment horizontal="center"/>
      <protection locked="0"/>
    </xf>
    <xf numFmtId="2" fontId="7" fillId="12" borderId="0" xfId="2" applyNumberFormat="1" applyFill="1" applyProtection="1">
      <protection locked="0"/>
    </xf>
    <xf numFmtId="0" fontId="7" fillId="63" borderId="0" xfId="2" applyFill="1" applyAlignment="1" applyProtection="1">
      <alignment horizontal="center"/>
      <protection locked="0"/>
    </xf>
    <xf numFmtId="0" fontId="28" fillId="63" borderId="0" xfId="2" applyFont="1" applyFill="1" applyAlignment="1">
      <alignment horizontal="center"/>
    </xf>
    <xf numFmtId="1" fontId="7" fillId="63" borderId="0" xfId="2" applyNumberFormat="1" applyFill="1" applyAlignment="1" applyProtection="1">
      <alignment horizontal="right"/>
      <protection locked="0"/>
    </xf>
    <xf numFmtId="0" fontId="7" fillId="63" borderId="0" xfId="2" applyFill="1" applyProtection="1">
      <protection locked="0"/>
    </xf>
    <xf numFmtId="3" fontId="19" fillId="63" borderId="0" xfId="2" applyNumberFormat="1" applyFont="1" applyFill="1" applyAlignment="1" applyProtection="1">
      <alignment horizontal="center"/>
      <protection locked="0"/>
    </xf>
    <xf numFmtId="172" fontId="19" fillId="63" borderId="0" xfId="2" applyNumberFormat="1" applyFont="1" applyFill="1" applyAlignment="1" applyProtection="1">
      <alignment horizontal="center"/>
      <protection locked="0"/>
    </xf>
    <xf numFmtId="1" fontId="7" fillId="63" borderId="0" xfId="2" applyNumberFormat="1" applyFill="1" applyAlignment="1" applyProtection="1">
      <alignment horizontal="center"/>
      <protection locked="0"/>
    </xf>
    <xf numFmtId="2" fontId="7" fillId="63" borderId="0" xfId="2" applyNumberFormat="1" applyFill="1" applyProtection="1">
      <protection locked="0"/>
    </xf>
    <xf numFmtId="0" fontId="0" fillId="63" borderId="0" xfId="0" applyFill="1"/>
    <xf numFmtId="0" fontId="7" fillId="17" borderId="0" xfId="0" applyFont="1" applyFill="1"/>
    <xf numFmtId="2" fontId="7" fillId="19" borderId="0" xfId="0" applyNumberFormat="1" applyFont="1" applyFill="1"/>
    <xf numFmtId="173" fontId="7" fillId="0" borderId="0" xfId="2" applyNumberFormat="1" applyAlignment="1">
      <alignment horizontal="center"/>
    </xf>
    <xf numFmtId="0" fontId="0" fillId="24" borderId="0" xfId="0" applyFill="1"/>
    <xf numFmtId="0" fontId="62" fillId="24" borderId="0" xfId="0" applyFont="1" applyFill="1"/>
    <xf numFmtId="0" fontId="51" fillId="3" borderId="0" xfId="0" applyFont="1" applyFill="1"/>
    <xf numFmtId="0" fontId="9" fillId="15" borderId="1" xfId="2" applyFont="1" applyFill="1" applyBorder="1" applyAlignment="1" applyProtection="1">
      <alignment horizontal="center"/>
      <protection locked="0"/>
    </xf>
    <xf numFmtId="0" fontId="9" fillId="51" borderId="1" xfId="2" applyFont="1" applyFill="1" applyBorder="1" applyAlignment="1">
      <alignment horizontal="center"/>
    </xf>
    <xf numFmtId="0" fontId="0" fillId="65" borderId="0" xfId="0" applyFill="1"/>
    <xf numFmtId="0" fontId="0" fillId="0" borderId="0" xfId="0" applyAlignment="1">
      <alignment wrapText="1"/>
    </xf>
    <xf numFmtId="1" fontId="0" fillId="0" borderId="0" xfId="0" applyNumberFormat="1" applyAlignment="1">
      <alignment wrapText="1"/>
    </xf>
    <xf numFmtId="0" fontId="65" fillId="6" borderId="24" xfId="0" applyFont="1" applyFill="1" applyBorder="1" applyAlignment="1">
      <alignment horizontal="center"/>
    </xf>
    <xf numFmtId="0" fontId="65" fillId="6" borderId="24" xfId="0" applyFont="1" applyFill="1" applyBorder="1" applyAlignment="1">
      <alignment horizontal="center" vertical="center" wrapText="1"/>
    </xf>
    <xf numFmtId="0" fontId="67" fillId="6" borderId="24" xfId="0" applyFont="1" applyFill="1" applyBorder="1" applyAlignment="1">
      <alignment horizontal="center" vertical="center" wrapText="1"/>
    </xf>
    <xf numFmtId="0" fontId="66" fillId="6" borderId="24" xfId="0" applyFont="1" applyFill="1" applyBorder="1" applyAlignment="1">
      <alignment horizontal="center" vertical="center" wrapText="1"/>
    </xf>
    <xf numFmtId="0" fontId="68" fillId="66" borderId="24" xfId="0" applyFont="1" applyFill="1" applyBorder="1"/>
    <xf numFmtId="0" fontId="68" fillId="13" borderId="24" xfId="0" applyFont="1" applyFill="1" applyBorder="1"/>
    <xf numFmtId="0" fontId="68" fillId="13" borderId="24" xfId="0" applyFont="1" applyFill="1" applyBorder="1" applyAlignment="1">
      <alignment horizontal="center"/>
    </xf>
    <xf numFmtId="165" fontId="68" fillId="64" borderId="24" xfId="1" applyFont="1" applyFill="1" applyBorder="1" applyAlignment="1">
      <alignment horizontal="center"/>
    </xf>
    <xf numFmtId="165" fontId="68" fillId="13" borderId="24" xfId="1" applyFont="1" applyFill="1" applyBorder="1" applyAlignment="1">
      <alignment horizontal="center"/>
    </xf>
    <xf numFmtId="166" fontId="68" fillId="35" borderId="24" xfId="0" applyNumberFormat="1" applyFont="1" applyFill="1" applyBorder="1" applyAlignment="1">
      <alignment horizontal="center"/>
    </xf>
    <xf numFmtId="2" fontId="68" fillId="64" borderId="24" xfId="0" applyNumberFormat="1" applyFont="1" applyFill="1" applyBorder="1" applyAlignment="1">
      <alignment horizontal="center"/>
    </xf>
    <xf numFmtId="176" fontId="69" fillId="13" borderId="24" xfId="0" applyNumberFormat="1" applyFont="1" applyFill="1" applyBorder="1" applyAlignment="1">
      <alignment horizontal="center"/>
    </xf>
    <xf numFmtId="43" fontId="68" fillId="13" borderId="24" xfId="0" applyNumberFormat="1" applyFont="1" applyFill="1" applyBorder="1" applyAlignment="1">
      <alignment horizontal="center"/>
    </xf>
    <xf numFmtId="2" fontId="69" fillId="13" borderId="24" xfId="0" applyNumberFormat="1" applyFont="1" applyFill="1" applyBorder="1" applyAlignment="1">
      <alignment horizontal="center"/>
    </xf>
    <xf numFmtId="0" fontId="68" fillId="13" borderId="0" xfId="0" applyFont="1" applyFill="1"/>
    <xf numFmtId="177" fontId="0" fillId="0" borderId="0" xfId="0" applyNumberFormat="1"/>
    <xf numFmtId="0" fontId="68" fillId="0" borderId="0" xfId="0" applyFont="1"/>
    <xf numFmtId="0" fontId="65" fillId="22" borderId="24" xfId="0" applyFont="1" applyFill="1" applyBorder="1" applyAlignment="1">
      <alignment horizontal="center"/>
    </xf>
    <xf numFmtId="0" fontId="65" fillId="22" borderId="24" xfId="0" applyFont="1" applyFill="1" applyBorder="1"/>
    <xf numFmtId="175" fontId="0" fillId="66" borderId="21" xfId="1" applyNumberFormat="1" applyFont="1" applyFill="1" applyBorder="1" applyAlignment="1">
      <alignment horizontal="center"/>
    </xf>
    <xf numFmtId="0" fontId="68" fillId="0" borderId="0" xfId="0" applyFont="1" applyAlignment="1">
      <alignment horizontal="center"/>
    </xf>
    <xf numFmtId="17" fontId="68" fillId="0" borderId="0" xfId="0" applyNumberFormat="1" applyFont="1"/>
    <xf numFmtId="175" fontId="0" fillId="66" borderId="21" xfId="1" applyNumberFormat="1" applyFont="1" applyFill="1" applyBorder="1"/>
    <xf numFmtId="178" fontId="0" fillId="0" borderId="0" xfId="0" applyNumberFormat="1"/>
    <xf numFmtId="43" fontId="0" fillId="0" borderId="0" xfId="0" applyNumberFormat="1"/>
    <xf numFmtId="0" fontId="21" fillId="15" borderId="1" xfId="2" applyFont="1" applyFill="1" applyBorder="1" applyAlignment="1" applyProtection="1">
      <alignment horizontal="center"/>
      <protection locked="0"/>
    </xf>
    <xf numFmtId="0" fontId="21" fillId="61" borderId="1" xfId="2" applyFont="1" applyFill="1" applyBorder="1" applyAlignment="1" applyProtection="1">
      <alignment horizontal="center"/>
      <protection locked="0"/>
    </xf>
    <xf numFmtId="0" fontId="68" fillId="67" borderId="0" xfId="0" applyFont="1" applyFill="1" applyAlignment="1">
      <alignment horizontal="center"/>
    </xf>
    <xf numFmtId="17" fontId="68" fillId="67" borderId="0" xfId="0" applyNumberFormat="1" applyFont="1" applyFill="1"/>
    <xf numFmtId="0" fontId="70" fillId="0" borderId="0" xfId="0" applyFont="1" applyAlignment="1">
      <alignment vertical="center"/>
    </xf>
    <xf numFmtId="1" fontId="0" fillId="26" borderId="0" xfId="2" applyNumberFormat="1" applyFont="1" applyFill="1" applyAlignment="1">
      <alignment horizontal="center"/>
    </xf>
    <xf numFmtId="49" fontId="7" fillId="26" borderId="0" xfId="2" applyNumberFormat="1" applyFill="1" applyAlignment="1">
      <alignment horizontal="center"/>
    </xf>
    <xf numFmtId="2" fontId="0" fillId="26" borderId="0" xfId="0" applyNumberFormat="1" applyFill="1"/>
    <xf numFmtId="175" fontId="0" fillId="26" borderId="21" xfId="1" applyNumberFormat="1" applyFont="1" applyFill="1" applyBorder="1" applyAlignment="1">
      <alignment horizontal="center"/>
    </xf>
    <xf numFmtId="0" fontId="71" fillId="0" borderId="25" xfId="0" applyFont="1" applyBorder="1" applyAlignment="1">
      <alignment horizontal="left"/>
    </xf>
    <xf numFmtId="0" fontId="9" fillId="9" borderId="0" xfId="2" applyFont="1" applyFill="1" applyAlignment="1" applyProtection="1">
      <alignment horizontal="center"/>
      <protection locked="0"/>
    </xf>
    <xf numFmtId="0" fontId="7" fillId="68" borderId="0" xfId="26" applyFill="1"/>
    <xf numFmtId="0" fontId="7" fillId="68" borderId="0" xfId="26" applyFill="1" applyAlignment="1">
      <alignment horizontal="center"/>
    </xf>
    <xf numFmtId="166" fontId="72" fillId="0" borderId="0" xfId="0" applyNumberFormat="1" applyFont="1"/>
    <xf numFmtId="2" fontId="0" fillId="69" borderId="0" xfId="0" applyNumberFormat="1" applyFill="1"/>
    <xf numFmtId="2" fontId="72" fillId="0" borderId="0" xfId="22" applyNumberFormat="1" applyFont="1" applyFill="1" applyBorder="1"/>
    <xf numFmtId="1" fontId="7" fillId="68" borderId="0" xfId="26" applyNumberFormat="1" applyFill="1" applyAlignment="1">
      <alignment horizontal="center"/>
    </xf>
    <xf numFmtId="0" fontId="72" fillId="0" borderId="0" xfId="0" applyFont="1"/>
    <xf numFmtId="0" fontId="7" fillId="70" borderId="0" xfId="26" applyFill="1"/>
    <xf numFmtId="0" fontId="7" fillId="70" borderId="0" xfId="26" applyFill="1" applyAlignment="1">
      <alignment horizontal="center"/>
    </xf>
    <xf numFmtId="1" fontId="7" fillId="70" borderId="0" xfId="26" applyNumberFormat="1" applyFill="1" applyAlignment="1">
      <alignment horizontal="center"/>
    </xf>
    <xf numFmtId="0" fontId="74" fillId="0" borderId="0" xfId="0" applyFont="1" applyAlignment="1">
      <alignment horizontal="right" vertical="center"/>
    </xf>
    <xf numFmtId="0" fontId="73" fillId="0" borderId="0" xfId="0" applyFont="1"/>
    <xf numFmtId="0" fontId="41" fillId="21" borderId="0" xfId="0" applyFont="1" applyFill="1"/>
    <xf numFmtId="0" fontId="0" fillId="30" borderId="0" xfId="0" applyFill="1"/>
    <xf numFmtId="0" fontId="0" fillId="20" borderId="0" xfId="0" applyFill="1"/>
    <xf numFmtId="166" fontId="36" fillId="0" borderId="0" xfId="2" applyNumberFormat="1" applyFont="1" applyAlignment="1" applyProtection="1">
      <alignment horizontal="center"/>
      <protection locked="0"/>
    </xf>
    <xf numFmtId="0" fontId="8" fillId="0" borderId="0" xfId="2" applyFont="1" applyAlignment="1" applyProtection="1">
      <alignment horizontal="left"/>
      <protection locked="0"/>
    </xf>
    <xf numFmtId="0" fontId="29" fillId="0" borderId="0" xfId="0" applyFont="1" applyAlignment="1">
      <alignment horizontal="center"/>
    </xf>
    <xf numFmtId="0" fontId="75" fillId="0" borderId="0" xfId="2" applyFont="1" applyAlignment="1" applyProtection="1">
      <alignment horizontal="center"/>
      <protection locked="0"/>
    </xf>
    <xf numFmtId="0" fontId="8" fillId="0" borderId="0" xfId="2" applyFont="1" applyAlignment="1" applyProtection="1">
      <alignment horizontal="center"/>
      <protection locked="0"/>
    </xf>
    <xf numFmtId="0" fontId="8" fillId="0" borderId="0" xfId="2" applyFont="1" applyAlignment="1">
      <alignment horizontal="center"/>
    </xf>
    <xf numFmtId="0" fontId="76" fillId="0" borderId="0" xfId="0" applyFont="1" applyAlignment="1">
      <alignment horizontal="center"/>
    </xf>
    <xf numFmtId="3" fontId="9" fillId="0" borderId="1" xfId="2" applyNumberFormat="1" applyFont="1" applyBorder="1" applyAlignment="1">
      <alignment horizontal="center"/>
    </xf>
    <xf numFmtId="0" fontId="8" fillId="0" borderId="0" xfId="0" applyFont="1"/>
    <xf numFmtId="3" fontId="29" fillId="0" borderId="0" xfId="0" applyNumberFormat="1" applyFont="1" applyAlignment="1">
      <alignment horizontal="center"/>
    </xf>
    <xf numFmtId="0" fontId="8" fillId="0" borderId="0" xfId="2" applyFont="1" applyProtection="1">
      <protection locked="0"/>
    </xf>
    <xf numFmtId="2" fontId="29" fillId="0" borderId="0" xfId="0" applyNumberFormat="1" applyFont="1" applyAlignment="1">
      <alignment horizontal="center"/>
    </xf>
    <xf numFmtId="166" fontId="8" fillId="3" borderId="0" xfId="2" applyNumberFormat="1" applyFont="1" applyFill="1" applyAlignment="1">
      <alignment horizontal="right"/>
    </xf>
    <xf numFmtId="1" fontId="8" fillId="3" borderId="0" xfId="2" applyNumberFormat="1" applyFont="1" applyFill="1" applyAlignment="1">
      <alignment horizontal="right"/>
    </xf>
    <xf numFmtId="1" fontId="75" fillId="0" borderId="0" xfId="2" applyNumberFormat="1" applyFont="1" applyAlignment="1">
      <alignment horizontal="center"/>
    </xf>
    <xf numFmtId="2" fontId="8" fillId="0" borderId="0" xfId="2" applyNumberFormat="1" applyFont="1" applyAlignment="1" applyProtection="1">
      <alignment horizontal="center"/>
      <protection locked="0"/>
    </xf>
    <xf numFmtId="167" fontId="76" fillId="0" borderId="0" xfId="2" applyNumberFormat="1" applyFont="1" applyAlignment="1" applyProtection="1">
      <alignment horizontal="center"/>
      <protection locked="0"/>
    </xf>
    <xf numFmtId="2" fontId="76" fillId="0" borderId="0" xfId="0" applyNumberFormat="1" applyFont="1" applyAlignment="1">
      <alignment horizontal="center"/>
    </xf>
    <xf numFmtId="2" fontId="76" fillId="0" borderId="0" xfId="2" applyNumberFormat="1" applyFont="1" applyAlignment="1" applyProtection="1">
      <alignment horizontal="center"/>
      <protection locked="0"/>
    </xf>
    <xf numFmtId="1" fontId="0" fillId="0" borderId="0" xfId="0" applyNumberFormat="1" applyAlignment="1">
      <alignment horizontal="center"/>
    </xf>
    <xf numFmtId="2" fontId="0" fillId="20" borderId="0" xfId="0" applyNumberFormat="1" applyFill="1"/>
    <xf numFmtId="0" fontId="7" fillId="0" borderId="0" xfId="0" applyFont="1" applyAlignment="1">
      <alignment horizontal="right"/>
    </xf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1" fontId="29" fillId="0" borderId="0" xfId="0" applyNumberFormat="1" applyFont="1"/>
    <xf numFmtId="0" fontId="9" fillId="56" borderId="13" xfId="2" applyFont="1" applyFill="1" applyBorder="1"/>
    <xf numFmtId="2" fontId="9" fillId="0" borderId="0" xfId="2" applyNumberFormat="1" applyFont="1"/>
    <xf numFmtId="0" fontId="36" fillId="12" borderId="2" xfId="2" applyFont="1" applyFill="1" applyBorder="1"/>
    <xf numFmtId="0" fontId="9" fillId="101" borderId="3" xfId="2" applyFont="1" applyFill="1" applyBorder="1"/>
    <xf numFmtId="166" fontId="9" fillId="12" borderId="0" xfId="2" applyNumberFormat="1" applyFont="1" applyFill="1"/>
    <xf numFmtId="166" fontId="9" fillId="102" borderId="0" xfId="2" applyNumberFormat="1" applyFont="1" applyFill="1"/>
    <xf numFmtId="0" fontId="9" fillId="101" borderId="22" xfId="2" applyFont="1" applyFill="1" applyBorder="1"/>
    <xf numFmtId="166" fontId="7" fillId="103" borderId="14" xfId="2" applyNumberFormat="1" applyFill="1" applyBorder="1"/>
    <xf numFmtId="166" fontId="6" fillId="103" borderId="14" xfId="2" applyNumberFormat="1" applyFont="1" applyFill="1" applyBorder="1"/>
    <xf numFmtId="0" fontId="7" fillId="0" borderId="0" xfId="2" applyAlignment="1" applyProtection="1">
      <alignment horizontal="right"/>
      <protection locked="0"/>
    </xf>
    <xf numFmtId="0" fontId="0" fillId="0" borderId="0" xfId="0" applyAlignment="1">
      <alignment horizontal="right" vertical="center"/>
    </xf>
    <xf numFmtId="1" fontId="9" fillId="0" borderId="1" xfId="2" applyNumberFormat="1" applyFont="1" applyBorder="1" applyAlignment="1" applyProtection="1">
      <alignment horizontal="right"/>
      <protection locked="0"/>
    </xf>
    <xf numFmtId="49" fontId="9" fillId="0" borderId="1" xfId="2" applyNumberFormat="1" applyFont="1" applyBorder="1" applyAlignment="1" applyProtection="1">
      <alignment horizontal="center"/>
      <protection locked="0"/>
    </xf>
    <xf numFmtId="0" fontId="9" fillId="11" borderId="0" xfId="0" applyFont="1" applyFill="1" applyAlignment="1">
      <alignment horizontal="center"/>
    </xf>
    <xf numFmtId="0" fontId="9" fillId="21" borderId="0" xfId="0" applyFont="1" applyFill="1" applyAlignment="1">
      <alignment horizontal="center"/>
    </xf>
    <xf numFmtId="0" fontId="0" fillId="0" borderId="48" xfId="0" applyBorder="1" applyAlignment="1">
      <alignment vertical="center"/>
    </xf>
    <xf numFmtId="1" fontId="7" fillId="0" borderId="0" xfId="0" applyNumberFormat="1" applyFont="1" applyAlignment="1">
      <alignment horizontal="right"/>
    </xf>
    <xf numFmtId="169" fontId="7" fillId="0" borderId="0" xfId="0" applyNumberFormat="1" applyFont="1"/>
    <xf numFmtId="0" fontId="0" fillId="0" borderId="48" xfId="0" applyBorder="1" applyAlignment="1">
      <alignment horizontal="center" vertical="center"/>
    </xf>
    <xf numFmtId="167" fontId="7" fillId="0" borderId="0" xfId="0" applyNumberFormat="1" applyFont="1"/>
    <xf numFmtId="3" fontId="7" fillId="0" borderId="0" xfId="0" applyNumberFormat="1" applyFont="1"/>
    <xf numFmtId="2" fontId="7" fillId="0" borderId="0" xfId="1" applyNumberFormat="1" applyFont="1" applyFill="1" applyAlignment="1" applyProtection="1">
      <alignment horizontal="right"/>
      <protection locked="0"/>
    </xf>
    <xf numFmtId="2" fontId="7" fillId="8" borderId="0" xfId="1" applyNumberFormat="1" applyFont="1" applyFill="1" applyAlignment="1" applyProtection="1">
      <alignment horizontal="center"/>
    </xf>
    <xf numFmtId="2" fontId="7" fillId="11" borderId="0" xfId="1" applyNumberFormat="1" applyFont="1" applyFill="1" applyAlignment="1">
      <alignment horizontal="center"/>
    </xf>
    <xf numFmtId="1" fontId="7" fillId="11" borderId="0" xfId="0" applyNumberFormat="1" applyFont="1" applyFill="1" applyAlignment="1">
      <alignment horizontal="center"/>
    </xf>
    <xf numFmtId="0" fontId="0" fillId="11" borderId="0" xfId="0" applyFill="1" applyAlignment="1">
      <alignment horizontal="center"/>
    </xf>
    <xf numFmtId="0" fontId="0" fillId="21" borderId="0" xfId="0" applyFill="1" applyAlignment="1">
      <alignment horizontal="center"/>
    </xf>
    <xf numFmtId="0" fontId="7" fillId="21" borderId="0" xfId="0" applyFont="1" applyFill="1"/>
    <xf numFmtId="0" fontId="0" fillId="0" borderId="49" xfId="0" applyBorder="1" applyAlignment="1">
      <alignment vertical="center"/>
    </xf>
    <xf numFmtId="0" fontId="0" fillId="0" borderId="49" xfId="0" applyBorder="1" applyAlignment="1">
      <alignment horizontal="center" vertical="center"/>
    </xf>
    <xf numFmtId="1" fontId="7" fillId="0" borderId="0" xfId="0" applyNumberFormat="1" applyFont="1" applyAlignment="1">
      <alignment horizontal="center"/>
    </xf>
    <xf numFmtId="0" fontId="7" fillId="11" borderId="0" xfId="0" applyFont="1" applyFill="1"/>
    <xf numFmtId="0" fontId="0" fillId="0" borderId="0" xfId="0" applyAlignment="1">
      <alignment horizontal="left" vertical="center"/>
    </xf>
    <xf numFmtId="2" fontId="0" fillId="0" borderId="0" xfId="0" applyNumberFormat="1" applyAlignment="1">
      <alignment horizontal="center" vertical="center"/>
    </xf>
    <xf numFmtId="166" fontId="0" fillId="0" borderId="0" xfId="0" applyNumberFormat="1" applyAlignment="1">
      <alignment horizontal="center" vertical="center"/>
    </xf>
    <xf numFmtId="1" fontId="0" fillId="0" borderId="0" xfId="0" applyNumberFormat="1" applyAlignment="1">
      <alignment horizontal="right" vertical="center"/>
    </xf>
    <xf numFmtId="0" fontId="0" fillId="0" borderId="0" xfId="0" applyAlignment="1">
      <alignment vertical="center"/>
    </xf>
    <xf numFmtId="0" fontId="0" fillId="63" borderId="49" xfId="0" applyFill="1" applyBorder="1"/>
    <xf numFmtId="0" fontId="0" fillId="0" borderId="49" xfId="0" applyBorder="1" applyAlignment="1">
      <alignment horizontal="center"/>
    </xf>
    <xf numFmtId="0" fontId="0" fillId="0" borderId="0" xfId="0" applyAlignment="1">
      <alignment horizontal="center" vertical="center"/>
    </xf>
    <xf numFmtId="166" fontId="0" fillId="0" borderId="0" xfId="0" applyNumberFormat="1" applyAlignment="1">
      <alignment horizontal="center"/>
    </xf>
    <xf numFmtId="1" fontId="29" fillId="0" borderId="0" xfId="0" applyNumberFormat="1" applyFont="1" applyAlignment="1">
      <alignment horizontal="center"/>
    </xf>
    <xf numFmtId="0" fontId="7" fillId="11" borderId="0" xfId="6" applyFill="1" applyAlignment="1" applyProtection="1">
      <alignment horizontal="center"/>
      <protection locked="0"/>
    </xf>
    <xf numFmtId="1" fontId="7" fillId="11" borderId="0" xfId="6" applyNumberFormat="1" applyFill="1" applyAlignment="1" applyProtection="1">
      <alignment horizontal="center"/>
      <protection locked="0"/>
    </xf>
    <xf numFmtId="0" fontId="1" fillId="0" borderId="0" xfId="27" applyNumberFormat="1" applyFont="1" applyFill="1" applyBorder="1" applyAlignment="1">
      <alignment horizontal="center"/>
    </xf>
    <xf numFmtId="165" fontId="7" fillId="0" borderId="0" xfId="1" applyFont="1" applyFill="1" applyBorder="1" applyAlignment="1"/>
    <xf numFmtId="175" fontId="0" fillId="0" borderId="0" xfId="22" applyNumberFormat="1" applyFont="1"/>
    <xf numFmtId="2" fontId="7" fillId="0" borderId="0" xfId="0" applyNumberFormat="1" applyFont="1" applyAlignment="1">
      <alignment horizontal="center"/>
    </xf>
    <xf numFmtId="2" fontId="7" fillId="0" borderId="0" xfId="6" applyNumberFormat="1" applyAlignment="1" applyProtection="1">
      <alignment horizontal="center"/>
      <protection locked="0"/>
    </xf>
    <xf numFmtId="2" fontId="7" fillId="0" borderId="0" xfId="5" applyNumberFormat="1" applyAlignment="1"/>
    <xf numFmtId="2" fontId="7" fillId="14" borderId="0" xfId="0" applyNumberFormat="1" applyFont="1" applyFill="1"/>
    <xf numFmtId="0" fontId="43" fillId="0" borderId="13" xfId="2" applyFont="1" applyBorder="1"/>
    <xf numFmtId="0" fontId="43" fillId="0" borderId="2" xfId="2" applyFont="1" applyBorder="1"/>
    <xf numFmtId="0" fontId="0" fillId="0" borderId="13" xfId="0" applyBorder="1"/>
    <xf numFmtId="3" fontId="0" fillId="12" borderId="0" xfId="0" applyNumberFormat="1" applyFill="1"/>
    <xf numFmtId="0" fontId="51" fillId="0" borderId="0" xfId="2" applyFont="1" applyAlignment="1" applyProtection="1">
      <alignment horizontal="center"/>
      <protection locked="0"/>
    </xf>
    <xf numFmtId="2" fontId="52" fillId="19" borderId="0" xfId="2" applyNumberFormat="1" applyFont="1" applyFill="1" applyAlignment="1" applyProtection="1">
      <alignment horizontal="center"/>
      <protection locked="0"/>
    </xf>
    <xf numFmtId="2" fontId="51" fillId="0" borderId="0" xfId="5" applyNumberFormat="1" applyFont="1" applyAlignment="1"/>
    <xf numFmtId="0" fontId="51" fillId="11" borderId="0" xfId="6" applyFont="1" applyFill="1" applyAlignment="1" applyProtection="1">
      <alignment horizontal="center"/>
      <protection locked="0"/>
    </xf>
    <xf numFmtId="0" fontId="52" fillId="0" borderId="0" xfId="6" applyFont="1" applyAlignment="1" applyProtection="1">
      <alignment horizontal="center"/>
      <protection locked="0"/>
    </xf>
    <xf numFmtId="0" fontId="52" fillId="11" borderId="0" xfId="2" applyFont="1" applyFill="1" applyAlignment="1">
      <alignment horizontal="center"/>
    </xf>
    <xf numFmtId="1" fontId="51" fillId="11" borderId="0" xfId="2" applyNumberFormat="1" applyFont="1" applyFill="1" applyAlignment="1">
      <alignment horizontal="center"/>
    </xf>
    <xf numFmtId="169" fontId="52" fillId="11" borderId="0" xfId="2" applyNumberFormat="1" applyFont="1" applyFill="1" applyAlignment="1">
      <alignment horizontal="center"/>
    </xf>
    <xf numFmtId="1" fontId="52" fillId="11" borderId="0" xfId="2" applyNumberFormat="1" applyFont="1" applyFill="1" applyAlignment="1">
      <alignment horizontal="center"/>
    </xf>
    <xf numFmtId="3" fontId="52" fillId="10" borderId="0" xfId="2" applyNumberFormat="1" applyFont="1" applyFill="1" applyAlignment="1">
      <alignment horizontal="center"/>
    </xf>
    <xf numFmtId="2" fontId="52" fillId="11" borderId="0" xfId="2" applyNumberFormat="1" applyFont="1" applyFill="1" applyAlignment="1" applyProtection="1">
      <alignment horizontal="right"/>
      <protection locked="0"/>
    </xf>
    <xf numFmtId="166" fontId="52" fillId="0" borderId="0" xfId="2" applyNumberFormat="1" applyFont="1" applyAlignment="1" applyProtection="1">
      <alignment horizontal="center"/>
      <protection locked="0"/>
    </xf>
    <xf numFmtId="166" fontId="51" fillId="0" borderId="0" xfId="2" applyNumberFormat="1" applyFont="1" applyAlignment="1" applyProtection="1">
      <alignment horizontal="center"/>
      <protection locked="0"/>
    </xf>
    <xf numFmtId="0" fontId="52" fillId="0" borderId="0" xfId="0" applyFont="1"/>
    <xf numFmtId="0" fontId="52" fillId="0" borderId="0" xfId="6" applyFont="1" applyProtection="1">
      <protection locked="0"/>
    </xf>
    <xf numFmtId="2" fontId="51" fillId="0" borderId="0" xfId="6" applyNumberFormat="1" applyFont="1" applyAlignment="1" applyProtection="1">
      <alignment horizontal="center"/>
      <protection locked="0"/>
    </xf>
    <xf numFmtId="2" fontId="51" fillId="0" borderId="0" xfId="0" applyNumberFormat="1" applyFont="1" applyAlignment="1">
      <alignment horizontal="center"/>
    </xf>
    <xf numFmtId="2" fontId="52" fillId="14" borderId="0" xfId="5" applyNumberFormat="1" applyFont="1" applyFill="1" applyAlignment="1"/>
    <xf numFmtId="2" fontId="52" fillId="62" borderId="0" xfId="2" applyNumberFormat="1" applyFont="1" applyFill="1" applyAlignment="1">
      <alignment horizontal="center"/>
    </xf>
    <xf numFmtId="1" fontId="52" fillId="0" borderId="0" xfId="6" applyNumberFormat="1" applyFont="1" applyAlignment="1" applyProtection="1">
      <alignment horizontal="center"/>
      <protection locked="0"/>
    </xf>
    <xf numFmtId="0" fontId="52" fillId="8" borderId="0" xfId="2" applyFont="1" applyFill="1" applyAlignment="1">
      <alignment horizontal="center"/>
    </xf>
    <xf numFmtId="0" fontId="52" fillId="0" borderId="0" xfId="5" applyFont="1" applyAlignment="1">
      <alignment horizontal="center"/>
    </xf>
    <xf numFmtId="2" fontId="52" fillId="0" borderId="0" xfId="2" applyNumberFormat="1" applyFont="1" applyAlignment="1" applyProtection="1">
      <alignment horizontal="center"/>
      <protection locked="0"/>
    </xf>
    <xf numFmtId="171" fontId="52" fillId="0" borderId="0" xfId="2" applyNumberFormat="1" applyFont="1" applyAlignment="1" applyProtection="1">
      <alignment horizontal="center"/>
      <protection locked="0"/>
    </xf>
    <xf numFmtId="0" fontId="52" fillId="11" borderId="0" xfId="6" applyFont="1" applyFill="1" applyAlignment="1" applyProtection="1">
      <alignment horizontal="center"/>
      <protection locked="0"/>
    </xf>
    <xf numFmtId="0" fontId="52" fillId="0" borderId="0" xfId="2" applyFont="1" applyAlignment="1" applyProtection="1">
      <alignment horizontal="center"/>
      <protection locked="0"/>
    </xf>
    <xf numFmtId="167" fontId="51" fillId="11" borderId="0" xfId="2" applyNumberFormat="1" applyFont="1" applyFill="1" applyAlignment="1">
      <alignment horizontal="center"/>
    </xf>
    <xf numFmtId="166" fontId="52" fillId="5" borderId="0" xfId="2" applyNumberFormat="1" applyFont="1" applyFill="1" applyAlignment="1" applyProtection="1">
      <alignment horizontal="center"/>
      <protection locked="0"/>
    </xf>
    <xf numFmtId="2" fontId="13" fillId="30" borderId="0" xfId="2" applyNumberFormat="1" applyFont="1" applyFill="1" applyAlignment="1">
      <alignment horizontal="center"/>
    </xf>
    <xf numFmtId="0" fontId="29" fillId="56" borderId="13" xfId="0" applyFont="1" applyFill="1" applyBorder="1"/>
    <xf numFmtId="1" fontId="29" fillId="39" borderId="0" xfId="0" applyNumberFormat="1" applyFont="1" applyFill="1"/>
    <xf numFmtId="0" fontId="29" fillId="39" borderId="0" xfId="0" applyFont="1" applyFill="1"/>
    <xf numFmtId="0" fontId="29" fillId="39" borderId="2" xfId="0" applyFont="1" applyFill="1" applyBorder="1"/>
    <xf numFmtId="0" fontId="124" fillId="0" borderId="0" xfId="0" applyFont="1"/>
    <xf numFmtId="0" fontId="64" fillId="126" borderId="0" xfId="35" applyFill="1"/>
    <xf numFmtId="3" fontId="61" fillId="13" borderId="0" xfId="22" applyNumberFormat="1" applyFont="1" applyFill="1"/>
    <xf numFmtId="0" fontId="7" fillId="127" borderId="0" xfId="2" applyFill="1" applyAlignment="1" applyProtection="1">
      <alignment horizontal="left"/>
      <protection locked="0"/>
    </xf>
    <xf numFmtId="2" fontId="124" fillId="14" borderId="0" xfId="5" applyNumberFormat="1" applyFont="1" applyFill="1" applyAlignment="1"/>
    <xf numFmtId="2" fontId="124" fillId="14" borderId="0" xfId="0" applyNumberFormat="1" applyFont="1" applyFill="1"/>
    <xf numFmtId="2" fontId="124" fillId="0" borderId="0" xfId="2" applyNumberFormat="1" applyFont="1" applyAlignment="1">
      <alignment horizontal="center"/>
    </xf>
    <xf numFmtId="0" fontId="125" fillId="0" borderId="0" xfId="0" applyFont="1"/>
    <xf numFmtId="0" fontId="2" fillId="0" borderId="24" xfId="919" applyBorder="1"/>
    <xf numFmtId="0" fontId="2" fillId="3" borderId="24" xfId="919" applyFill="1" applyBorder="1"/>
    <xf numFmtId="0" fontId="2" fillId="3" borderId="10" xfId="919" applyFill="1" applyBorder="1"/>
    <xf numFmtId="2" fontId="0" fillId="12" borderId="0" xfId="0" applyNumberFormat="1" applyFill="1" applyAlignment="1">
      <alignment horizontal="center"/>
    </xf>
    <xf numFmtId="2" fontId="7" fillId="12" borderId="0" xfId="2" applyNumberFormat="1" applyFill="1" applyAlignment="1">
      <alignment horizontal="center"/>
    </xf>
    <xf numFmtId="0" fontId="0" fillId="12" borderId="0" xfId="0" applyFill="1" applyAlignment="1">
      <alignment horizontal="right"/>
    </xf>
    <xf numFmtId="1" fontId="0" fillId="12" borderId="0" xfId="0" applyNumberFormat="1" applyFill="1"/>
    <xf numFmtId="2" fontId="0" fillId="12" borderId="0" xfId="0" applyNumberFormat="1" applyFill="1"/>
    <xf numFmtId="0" fontId="7" fillId="29" borderId="0" xfId="2" applyFill="1" applyAlignment="1" applyProtection="1">
      <alignment horizontal="left"/>
      <protection locked="0"/>
    </xf>
    <xf numFmtId="0" fontId="8" fillId="29" borderId="0" xfId="2" applyFont="1" applyFill="1" applyAlignment="1" applyProtection="1">
      <alignment horizontal="left"/>
      <protection locked="0"/>
    </xf>
    <xf numFmtId="0" fontId="88" fillId="65" borderId="0" xfId="0" applyFont="1" applyFill="1"/>
    <xf numFmtId="0" fontId="91" fillId="0" borderId="0" xfId="0" applyFont="1"/>
    <xf numFmtId="0" fontId="91" fillId="62" borderId="0" xfId="0" applyFont="1" applyFill="1"/>
    <xf numFmtId="1" fontId="7" fillId="62" borderId="0" xfId="2" applyNumberFormat="1" applyFill="1"/>
    <xf numFmtId="0" fontId="88" fillId="53" borderId="0" xfId="0" applyFont="1" applyFill="1"/>
    <xf numFmtId="0" fontId="52" fillId="67" borderId="0" xfId="6" applyFont="1" applyFill="1" applyAlignment="1" applyProtection="1">
      <alignment horizontal="left"/>
      <protection locked="0"/>
    </xf>
    <xf numFmtId="1" fontId="52" fillId="67" borderId="0" xfId="2" applyNumberFormat="1" applyFont="1" applyFill="1" applyAlignment="1" applyProtection="1">
      <alignment horizontal="center"/>
      <protection locked="0"/>
    </xf>
    <xf numFmtId="166" fontId="52" fillId="67" borderId="0" xfId="2" applyNumberFormat="1" applyFont="1" applyFill="1" applyAlignment="1" applyProtection="1">
      <alignment horizontal="center"/>
      <protection locked="0"/>
    </xf>
    <xf numFmtId="0" fontId="29" fillId="12" borderId="0" xfId="0" applyFont="1" applyFill="1" applyAlignment="1">
      <alignment horizontal="center"/>
    </xf>
    <xf numFmtId="0" fontId="0" fillId="12" borderId="49" xfId="0" applyFill="1" applyBorder="1" applyAlignment="1">
      <alignment vertical="center"/>
    </xf>
    <xf numFmtId="0" fontId="0" fillId="21" borderId="49" xfId="0" applyFill="1" applyBorder="1" applyAlignment="1">
      <alignment vertical="center"/>
    </xf>
    <xf numFmtId="0" fontId="0" fillId="50" borderId="49" xfId="0" applyFill="1" applyBorder="1" applyAlignment="1">
      <alignment vertical="center"/>
    </xf>
    <xf numFmtId="1" fontId="0" fillId="12" borderId="0" xfId="0" applyNumberFormat="1" applyFill="1" applyAlignment="1">
      <alignment horizontal="center"/>
    </xf>
    <xf numFmtId="1" fontId="29" fillId="12" borderId="0" xfId="0" applyNumberFormat="1" applyFont="1" applyFill="1" applyAlignment="1">
      <alignment horizontal="center"/>
    </xf>
    <xf numFmtId="166" fontId="72" fillId="12" borderId="0" xfId="0" applyNumberFormat="1" applyFont="1" applyFill="1"/>
    <xf numFmtId="3" fontId="29" fillId="12" borderId="0" xfId="0" applyNumberFormat="1" applyFont="1" applyFill="1" applyAlignment="1">
      <alignment horizontal="center"/>
    </xf>
    <xf numFmtId="1" fontId="7" fillId="12" borderId="0" xfId="0" applyNumberFormat="1" applyFont="1" applyFill="1" applyAlignment="1">
      <alignment horizontal="right"/>
    </xf>
    <xf numFmtId="0" fontId="7" fillId="12" borderId="0" xfId="6" applyFill="1" applyAlignment="1" applyProtection="1">
      <alignment horizontal="center"/>
      <protection locked="0"/>
    </xf>
    <xf numFmtId="0" fontId="13" fillId="12" borderId="0" xfId="6" applyFont="1" applyFill="1" applyAlignment="1" applyProtection="1">
      <alignment horizontal="center"/>
      <protection locked="0"/>
    </xf>
    <xf numFmtId="0" fontId="51" fillId="12" borderId="0" xfId="6" applyFont="1" applyFill="1" applyAlignment="1" applyProtection="1">
      <alignment horizontal="center"/>
      <protection locked="0"/>
    </xf>
    <xf numFmtId="2" fontId="7" fillId="11" borderId="0" xfId="2" applyNumberFormat="1" applyFill="1" applyAlignment="1">
      <alignment horizontal="center"/>
    </xf>
    <xf numFmtId="2" fontId="52" fillId="11" borderId="0" xfId="2" applyNumberFormat="1" applyFont="1" applyFill="1" applyAlignment="1">
      <alignment horizontal="center"/>
    </xf>
    <xf numFmtId="3" fontId="7" fillId="0" borderId="0" xfId="25526" applyNumberFormat="1"/>
    <xf numFmtId="0" fontId="128" fillId="0" borderId="0" xfId="0" applyFont="1"/>
    <xf numFmtId="0" fontId="0" fillId="0" borderId="49" xfId="0" applyBorder="1"/>
    <xf numFmtId="0" fontId="0" fillId="21" borderId="0" xfId="0" applyFill="1" applyAlignment="1">
      <alignment vertical="center"/>
    </xf>
    <xf numFmtId="0" fontId="61" fillId="21" borderId="0" xfId="0" applyFont="1" applyFill="1" applyAlignment="1">
      <alignment vertical="center"/>
    </xf>
    <xf numFmtId="0" fontId="61" fillId="0" borderId="0" xfId="0" applyFont="1" applyAlignment="1">
      <alignment vertical="center"/>
    </xf>
    <xf numFmtId="0" fontId="61" fillId="0" borderId="0" xfId="0" applyFont="1" applyAlignment="1">
      <alignment horizontal="center" vertical="center"/>
    </xf>
    <xf numFmtId="3" fontId="6" fillId="0" borderId="0" xfId="0" applyNumberFormat="1" applyFont="1"/>
    <xf numFmtId="3" fontId="5" fillId="0" borderId="0" xfId="0" applyNumberFormat="1" applyFont="1"/>
    <xf numFmtId="173" fontId="29" fillId="0" borderId="0" xfId="1" applyNumberFormat="1" applyFont="1"/>
    <xf numFmtId="0" fontId="34" fillId="25" borderId="5" xfId="12" applyFont="1" applyBorder="1" applyAlignment="1" applyProtection="1">
      <alignment horizontal="center"/>
      <protection locked="0"/>
    </xf>
    <xf numFmtId="0" fontId="34" fillId="25" borderId="3" xfId="12" applyFont="1" applyBorder="1" applyAlignment="1" applyProtection="1">
      <alignment horizontal="center"/>
      <protection locked="0"/>
    </xf>
    <xf numFmtId="0" fontId="65" fillId="6" borderId="24" xfId="0" applyFont="1" applyFill="1" applyBorder="1" applyAlignment="1">
      <alignment horizontal="center"/>
    </xf>
    <xf numFmtId="0" fontId="66" fillId="6" borderId="5" xfId="0" applyFont="1" applyFill="1" applyBorder="1" applyAlignment="1">
      <alignment horizontal="center"/>
    </xf>
    <xf numFmtId="0" fontId="66" fillId="6" borderId="3" xfId="0" applyFont="1" applyFill="1" applyBorder="1" applyAlignment="1">
      <alignment horizontal="center"/>
    </xf>
    <xf numFmtId="0" fontId="66" fillId="6" borderId="4" xfId="0" applyFont="1" applyFill="1" applyBorder="1" applyAlignment="1">
      <alignment horizontal="center"/>
    </xf>
  </cellXfs>
  <cellStyles count="62114">
    <cellStyle name="20% - Accent1" xfId="72" xr:uid="{00000000-0005-0000-0000-000000000000}"/>
    <cellStyle name="20% - Accent2" xfId="73" xr:uid="{00000000-0005-0000-0000-000001000000}"/>
    <cellStyle name="20% - Accent3" xfId="74" xr:uid="{00000000-0005-0000-0000-000002000000}"/>
    <cellStyle name="20% - Accent4" xfId="75" xr:uid="{00000000-0005-0000-0000-000003000000}"/>
    <cellStyle name="20% - Accent5" xfId="76" xr:uid="{00000000-0005-0000-0000-000004000000}"/>
    <cellStyle name="20% - Accent6" xfId="77" xr:uid="{00000000-0005-0000-0000-000005000000}"/>
    <cellStyle name="20% - Ênfase1" xfId="36" builtinId="30" customBuiltin="1"/>
    <cellStyle name="20% - Ênfase1 10" xfId="78" xr:uid="{00000000-0005-0000-0000-000007000000}"/>
    <cellStyle name="20% - Ênfase1 10 2" xfId="25911" xr:uid="{00000000-0005-0000-0000-000008000000}"/>
    <cellStyle name="20% - Ênfase1 11" xfId="25912" xr:uid="{00000000-0005-0000-0000-000009000000}"/>
    <cellStyle name="20% - Ênfase1 11 2" xfId="25913" xr:uid="{00000000-0005-0000-0000-00000A000000}"/>
    <cellStyle name="20% - Ênfase1 12" xfId="25914" xr:uid="{00000000-0005-0000-0000-00000B000000}"/>
    <cellStyle name="20% - Ênfase1 12 2" xfId="25915" xr:uid="{00000000-0005-0000-0000-00000C000000}"/>
    <cellStyle name="20% - Ênfase1 13" xfId="25916" xr:uid="{00000000-0005-0000-0000-00000D000000}"/>
    <cellStyle name="20% - Ênfase1 14" xfId="25917" xr:uid="{00000000-0005-0000-0000-00000E000000}"/>
    <cellStyle name="20% - Ênfase1 2" xfId="79" xr:uid="{00000000-0005-0000-0000-00000F000000}"/>
    <cellStyle name="20% - Ênfase1 2 10" xfId="25918" xr:uid="{00000000-0005-0000-0000-000010000000}"/>
    <cellStyle name="20% - Ênfase1 2 11" xfId="25919" xr:uid="{00000000-0005-0000-0000-000011000000}"/>
    <cellStyle name="20% - Ênfase1 2 2" xfId="80" xr:uid="{00000000-0005-0000-0000-000012000000}"/>
    <cellStyle name="20% - Ênfase1 2 2 2" xfId="81" xr:uid="{00000000-0005-0000-0000-000013000000}"/>
    <cellStyle name="20% - Ênfase1 2 2 2 2" xfId="82" xr:uid="{00000000-0005-0000-0000-000014000000}"/>
    <cellStyle name="20% - Ênfase1 2 2 2 2 2" xfId="25920" xr:uid="{00000000-0005-0000-0000-000015000000}"/>
    <cellStyle name="20% - Ênfase1 2 2 2 3" xfId="83" xr:uid="{00000000-0005-0000-0000-000016000000}"/>
    <cellStyle name="20% - Ênfase1 2 2 2 3 2" xfId="25921" xr:uid="{00000000-0005-0000-0000-000017000000}"/>
    <cellStyle name="20% - Ênfase1 2 2 2 4" xfId="25922" xr:uid="{00000000-0005-0000-0000-000018000000}"/>
    <cellStyle name="20% - Ênfase1 2 2 3" xfId="84" xr:uid="{00000000-0005-0000-0000-000019000000}"/>
    <cellStyle name="20% - Ênfase1 2 2 3 2" xfId="25923" xr:uid="{00000000-0005-0000-0000-00001A000000}"/>
    <cellStyle name="20% - Ênfase1 2 2 4" xfId="85" xr:uid="{00000000-0005-0000-0000-00001B000000}"/>
    <cellStyle name="20% - Ênfase1 2 2 4 2" xfId="25924" xr:uid="{00000000-0005-0000-0000-00001C000000}"/>
    <cellStyle name="20% - Ênfase1 2 2 5" xfId="25925" xr:uid="{00000000-0005-0000-0000-00001D000000}"/>
    <cellStyle name="20% - Ênfase1 2 2 5 2" xfId="25926" xr:uid="{00000000-0005-0000-0000-00001E000000}"/>
    <cellStyle name="20% - Ênfase1 2 2 6" xfId="25927" xr:uid="{00000000-0005-0000-0000-00001F000000}"/>
    <cellStyle name="20% - Ênfase1 2 3" xfId="86" xr:uid="{00000000-0005-0000-0000-000020000000}"/>
    <cellStyle name="20% - Ênfase1 2 3 2" xfId="87" xr:uid="{00000000-0005-0000-0000-000021000000}"/>
    <cellStyle name="20% - Ênfase1 2 3 2 2" xfId="88" xr:uid="{00000000-0005-0000-0000-000022000000}"/>
    <cellStyle name="20% - Ênfase1 2 3 2 2 2" xfId="25928" xr:uid="{00000000-0005-0000-0000-000023000000}"/>
    <cellStyle name="20% - Ênfase1 2 3 2 3" xfId="89" xr:uid="{00000000-0005-0000-0000-000024000000}"/>
    <cellStyle name="20% - Ênfase1 2 3 2 3 2" xfId="25929" xr:uid="{00000000-0005-0000-0000-000025000000}"/>
    <cellStyle name="20% - Ênfase1 2 3 2 4" xfId="25930" xr:uid="{00000000-0005-0000-0000-000026000000}"/>
    <cellStyle name="20% - Ênfase1 2 3 3" xfId="90" xr:uid="{00000000-0005-0000-0000-000027000000}"/>
    <cellStyle name="20% - Ênfase1 2 3 3 2" xfId="25931" xr:uid="{00000000-0005-0000-0000-000028000000}"/>
    <cellStyle name="20% - Ênfase1 2 3 4" xfId="91" xr:uid="{00000000-0005-0000-0000-000029000000}"/>
    <cellStyle name="20% - Ênfase1 2 3 4 2" xfId="25932" xr:uid="{00000000-0005-0000-0000-00002A000000}"/>
    <cellStyle name="20% - Ênfase1 2 3 5" xfId="25933" xr:uid="{00000000-0005-0000-0000-00002B000000}"/>
    <cellStyle name="20% - Ênfase1 2 3 5 2" xfId="25934" xr:uid="{00000000-0005-0000-0000-00002C000000}"/>
    <cellStyle name="20% - Ênfase1 2 3 6" xfId="25935" xr:uid="{00000000-0005-0000-0000-00002D000000}"/>
    <cellStyle name="20% - Ênfase1 2 4" xfId="92" xr:uid="{00000000-0005-0000-0000-00002E000000}"/>
    <cellStyle name="20% - Ênfase1 2 4 2" xfId="93" xr:uid="{00000000-0005-0000-0000-00002F000000}"/>
    <cellStyle name="20% - Ênfase1 2 4 2 2" xfId="25936" xr:uid="{00000000-0005-0000-0000-000030000000}"/>
    <cellStyle name="20% - Ênfase1 2 4 3" xfId="94" xr:uid="{00000000-0005-0000-0000-000031000000}"/>
    <cellStyle name="20% - Ênfase1 2 4 3 2" xfId="25937" xr:uid="{00000000-0005-0000-0000-000032000000}"/>
    <cellStyle name="20% - Ênfase1 2 4 4" xfId="25938" xr:uid="{00000000-0005-0000-0000-000033000000}"/>
    <cellStyle name="20% - Ênfase1 2 5" xfId="95" xr:uid="{00000000-0005-0000-0000-000034000000}"/>
    <cellStyle name="20% - Ênfase1 2 5 2" xfId="25939" xr:uid="{00000000-0005-0000-0000-000035000000}"/>
    <cellStyle name="20% - Ênfase1 2 6" xfId="96" xr:uid="{00000000-0005-0000-0000-000036000000}"/>
    <cellStyle name="20% - Ênfase1 2 6 2" xfId="25940" xr:uid="{00000000-0005-0000-0000-000037000000}"/>
    <cellStyle name="20% - Ênfase1 2 7" xfId="97" xr:uid="{00000000-0005-0000-0000-000038000000}"/>
    <cellStyle name="20% - Ênfase1 2 7 2" xfId="25941" xr:uid="{00000000-0005-0000-0000-000039000000}"/>
    <cellStyle name="20% - Ênfase1 2 8" xfId="25942" xr:uid="{00000000-0005-0000-0000-00003A000000}"/>
    <cellStyle name="20% - Ênfase1 2 9" xfId="25943" xr:uid="{00000000-0005-0000-0000-00003B000000}"/>
    <cellStyle name="20% - Ênfase1 3" xfId="98" xr:uid="{00000000-0005-0000-0000-00003C000000}"/>
    <cellStyle name="20% - Ênfase1 3 2" xfId="99" xr:uid="{00000000-0005-0000-0000-00003D000000}"/>
    <cellStyle name="20% - Ênfase1 3 3" xfId="100" xr:uid="{00000000-0005-0000-0000-00003E000000}"/>
    <cellStyle name="20% - Ênfase1 3 3 2" xfId="101" xr:uid="{00000000-0005-0000-0000-00003F000000}"/>
    <cellStyle name="20% - Ênfase1 3 3 2 2" xfId="25944" xr:uid="{00000000-0005-0000-0000-000040000000}"/>
    <cellStyle name="20% - Ênfase1 3 3 3" xfId="102" xr:uid="{00000000-0005-0000-0000-000041000000}"/>
    <cellStyle name="20% - Ênfase1 3 3 3 2" xfId="25945" xr:uid="{00000000-0005-0000-0000-000042000000}"/>
    <cellStyle name="20% - Ênfase1 3 3 4" xfId="25946" xr:uid="{00000000-0005-0000-0000-000043000000}"/>
    <cellStyle name="20% - Ênfase1 3 4" xfId="103" xr:uid="{00000000-0005-0000-0000-000044000000}"/>
    <cellStyle name="20% - Ênfase1 3 4 2" xfId="25947" xr:uid="{00000000-0005-0000-0000-000045000000}"/>
    <cellStyle name="20% - Ênfase1 3 5" xfId="104" xr:uid="{00000000-0005-0000-0000-000046000000}"/>
    <cellStyle name="20% - Ênfase1 3 5 2" xfId="25948" xr:uid="{00000000-0005-0000-0000-000047000000}"/>
    <cellStyle name="20% - Ênfase1 3 6" xfId="25949" xr:uid="{00000000-0005-0000-0000-000048000000}"/>
    <cellStyle name="20% - Ênfase1 3 6 2" xfId="25950" xr:uid="{00000000-0005-0000-0000-000049000000}"/>
    <cellStyle name="20% - Ênfase1 3 7" xfId="25951" xr:uid="{00000000-0005-0000-0000-00004A000000}"/>
    <cellStyle name="20% - Ênfase1 4" xfId="105" xr:uid="{00000000-0005-0000-0000-00004B000000}"/>
    <cellStyle name="20% - Ênfase1 4 2" xfId="106" xr:uid="{00000000-0005-0000-0000-00004C000000}"/>
    <cellStyle name="20% - Ênfase1 4 2 2" xfId="107" xr:uid="{00000000-0005-0000-0000-00004D000000}"/>
    <cellStyle name="20% - Ênfase1 4 2 2 2" xfId="25952" xr:uid="{00000000-0005-0000-0000-00004E000000}"/>
    <cellStyle name="20% - Ênfase1 4 2 3" xfId="108" xr:uid="{00000000-0005-0000-0000-00004F000000}"/>
    <cellStyle name="20% - Ênfase1 4 2 3 2" xfId="25953" xr:uid="{00000000-0005-0000-0000-000050000000}"/>
    <cellStyle name="20% - Ênfase1 4 2 4" xfId="25954" xr:uid="{00000000-0005-0000-0000-000051000000}"/>
    <cellStyle name="20% - Ênfase1 4 3" xfId="109" xr:uid="{00000000-0005-0000-0000-000052000000}"/>
    <cellStyle name="20% - Ênfase1 4 3 2" xfId="25955" xr:uid="{00000000-0005-0000-0000-000053000000}"/>
    <cellStyle name="20% - Ênfase1 4 4" xfId="110" xr:uid="{00000000-0005-0000-0000-000054000000}"/>
    <cellStyle name="20% - Ênfase1 4 4 2" xfId="25956" xr:uid="{00000000-0005-0000-0000-000055000000}"/>
    <cellStyle name="20% - Ênfase1 4 5" xfId="25957" xr:uid="{00000000-0005-0000-0000-000056000000}"/>
    <cellStyle name="20% - Ênfase1 4 5 2" xfId="25958" xr:uid="{00000000-0005-0000-0000-000057000000}"/>
    <cellStyle name="20% - Ênfase1 4 6" xfId="25959" xr:uid="{00000000-0005-0000-0000-000058000000}"/>
    <cellStyle name="20% - Ênfase1 5" xfId="111" xr:uid="{00000000-0005-0000-0000-000059000000}"/>
    <cellStyle name="20% - Ênfase1 5 2" xfId="112" xr:uid="{00000000-0005-0000-0000-00005A000000}"/>
    <cellStyle name="20% - Ênfase1 5 2 2" xfId="113" xr:uid="{00000000-0005-0000-0000-00005B000000}"/>
    <cellStyle name="20% - Ênfase1 5 2 2 2" xfId="25960" xr:uid="{00000000-0005-0000-0000-00005C000000}"/>
    <cellStyle name="20% - Ênfase1 5 2 3" xfId="114" xr:uid="{00000000-0005-0000-0000-00005D000000}"/>
    <cellStyle name="20% - Ênfase1 5 2 3 2" xfId="25961" xr:uid="{00000000-0005-0000-0000-00005E000000}"/>
    <cellStyle name="20% - Ênfase1 5 2 4" xfId="25962" xr:uid="{00000000-0005-0000-0000-00005F000000}"/>
    <cellStyle name="20% - Ênfase1 5 3" xfId="115" xr:uid="{00000000-0005-0000-0000-000060000000}"/>
    <cellStyle name="20% - Ênfase1 5 3 2" xfId="25963" xr:uid="{00000000-0005-0000-0000-000061000000}"/>
    <cellStyle name="20% - Ênfase1 5 4" xfId="116" xr:uid="{00000000-0005-0000-0000-000062000000}"/>
    <cellStyle name="20% - Ênfase1 5 4 2" xfId="25964" xr:uid="{00000000-0005-0000-0000-000063000000}"/>
    <cellStyle name="20% - Ênfase1 5 5" xfId="25965" xr:uid="{00000000-0005-0000-0000-000064000000}"/>
    <cellStyle name="20% - Ênfase1 5 5 2" xfId="25966" xr:uid="{00000000-0005-0000-0000-000065000000}"/>
    <cellStyle name="20% - Ênfase1 5 6" xfId="25967" xr:uid="{00000000-0005-0000-0000-000066000000}"/>
    <cellStyle name="20% - Ênfase1 6" xfId="117" xr:uid="{00000000-0005-0000-0000-000067000000}"/>
    <cellStyle name="20% - Ênfase1 6 2" xfId="118" xr:uid="{00000000-0005-0000-0000-000068000000}"/>
    <cellStyle name="20% - Ênfase1 6 2 2" xfId="119" xr:uid="{00000000-0005-0000-0000-000069000000}"/>
    <cellStyle name="20% - Ênfase1 6 2 2 2" xfId="25968" xr:uid="{00000000-0005-0000-0000-00006A000000}"/>
    <cellStyle name="20% - Ênfase1 6 2 3" xfId="120" xr:uid="{00000000-0005-0000-0000-00006B000000}"/>
    <cellStyle name="20% - Ênfase1 6 2 3 2" xfId="25969" xr:uid="{00000000-0005-0000-0000-00006C000000}"/>
    <cellStyle name="20% - Ênfase1 6 2 4" xfId="25970" xr:uid="{00000000-0005-0000-0000-00006D000000}"/>
    <cellStyle name="20% - Ênfase1 6 3" xfId="121" xr:uid="{00000000-0005-0000-0000-00006E000000}"/>
    <cellStyle name="20% - Ênfase1 6 3 2" xfId="25971" xr:uid="{00000000-0005-0000-0000-00006F000000}"/>
    <cellStyle name="20% - Ênfase1 6 4" xfId="122" xr:uid="{00000000-0005-0000-0000-000070000000}"/>
    <cellStyle name="20% - Ênfase1 6 4 2" xfId="25972" xr:uid="{00000000-0005-0000-0000-000071000000}"/>
    <cellStyle name="20% - Ênfase1 6 5" xfId="25973" xr:uid="{00000000-0005-0000-0000-000072000000}"/>
    <cellStyle name="20% - Ênfase1 6 5 2" xfId="25974" xr:uid="{00000000-0005-0000-0000-000073000000}"/>
    <cellStyle name="20% - Ênfase1 6 6" xfId="25975" xr:uid="{00000000-0005-0000-0000-000074000000}"/>
    <cellStyle name="20% - Ênfase1 7" xfId="123" xr:uid="{00000000-0005-0000-0000-000075000000}"/>
    <cellStyle name="20% - Ênfase1 8" xfId="124" xr:uid="{00000000-0005-0000-0000-000076000000}"/>
    <cellStyle name="20% - Ênfase1 8 2" xfId="125" xr:uid="{00000000-0005-0000-0000-000077000000}"/>
    <cellStyle name="20% - Ênfase1 8 2 2" xfId="25976" xr:uid="{00000000-0005-0000-0000-000078000000}"/>
    <cellStyle name="20% - Ênfase1 8 3" xfId="126" xr:uid="{00000000-0005-0000-0000-000079000000}"/>
    <cellStyle name="20% - Ênfase1 8 3 2" xfId="25977" xr:uid="{00000000-0005-0000-0000-00007A000000}"/>
    <cellStyle name="20% - Ênfase1 8 4" xfId="25978" xr:uid="{00000000-0005-0000-0000-00007B000000}"/>
    <cellStyle name="20% - Ênfase1 9" xfId="127" xr:uid="{00000000-0005-0000-0000-00007C000000}"/>
    <cellStyle name="20% - Ênfase1 9 2" xfId="25979" xr:uid="{00000000-0005-0000-0000-00007D000000}"/>
    <cellStyle name="20% - Ênfase2" xfId="40" builtinId="34" customBuiltin="1"/>
    <cellStyle name="20% - Ênfase2 10" xfId="128" xr:uid="{00000000-0005-0000-0000-00007F000000}"/>
    <cellStyle name="20% - Ênfase2 10 2" xfId="25980" xr:uid="{00000000-0005-0000-0000-000080000000}"/>
    <cellStyle name="20% - Ênfase2 11" xfId="25981" xr:uid="{00000000-0005-0000-0000-000081000000}"/>
    <cellStyle name="20% - Ênfase2 11 2" xfId="25982" xr:uid="{00000000-0005-0000-0000-000082000000}"/>
    <cellStyle name="20% - Ênfase2 12" xfId="25983" xr:uid="{00000000-0005-0000-0000-000083000000}"/>
    <cellStyle name="20% - Ênfase2 12 2" xfId="25984" xr:uid="{00000000-0005-0000-0000-000084000000}"/>
    <cellStyle name="20% - Ênfase2 13" xfId="25985" xr:uid="{00000000-0005-0000-0000-000085000000}"/>
    <cellStyle name="20% - Ênfase2 14" xfId="25986" xr:uid="{00000000-0005-0000-0000-000086000000}"/>
    <cellStyle name="20% - Ênfase2 2" xfId="129" xr:uid="{00000000-0005-0000-0000-000087000000}"/>
    <cellStyle name="20% - Ênfase2 2 10" xfId="25987" xr:uid="{00000000-0005-0000-0000-000088000000}"/>
    <cellStyle name="20% - Ênfase2 2 11" xfId="25988" xr:uid="{00000000-0005-0000-0000-000089000000}"/>
    <cellStyle name="20% - Ênfase2 2 2" xfId="130" xr:uid="{00000000-0005-0000-0000-00008A000000}"/>
    <cellStyle name="20% - Ênfase2 2 2 2" xfId="131" xr:uid="{00000000-0005-0000-0000-00008B000000}"/>
    <cellStyle name="20% - Ênfase2 2 2 2 2" xfId="132" xr:uid="{00000000-0005-0000-0000-00008C000000}"/>
    <cellStyle name="20% - Ênfase2 2 2 2 2 2" xfId="25989" xr:uid="{00000000-0005-0000-0000-00008D000000}"/>
    <cellStyle name="20% - Ênfase2 2 2 2 3" xfId="133" xr:uid="{00000000-0005-0000-0000-00008E000000}"/>
    <cellStyle name="20% - Ênfase2 2 2 2 3 2" xfId="25990" xr:uid="{00000000-0005-0000-0000-00008F000000}"/>
    <cellStyle name="20% - Ênfase2 2 2 2 4" xfId="25991" xr:uid="{00000000-0005-0000-0000-000090000000}"/>
    <cellStyle name="20% - Ênfase2 2 2 3" xfId="134" xr:uid="{00000000-0005-0000-0000-000091000000}"/>
    <cellStyle name="20% - Ênfase2 2 2 3 2" xfId="25992" xr:uid="{00000000-0005-0000-0000-000092000000}"/>
    <cellStyle name="20% - Ênfase2 2 2 4" xfId="135" xr:uid="{00000000-0005-0000-0000-000093000000}"/>
    <cellStyle name="20% - Ênfase2 2 2 4 2" xfId="25993" xr:uid="{00000000-0005-0000-0000-000094000000}"/>
    <cellStyle name="20% - Ênfase2 2 2 5" xfId="25994" xr:uid="{00000000-0005-0000-0000-000095000000}"/>
    <cellStyle name="20% - Ênfase2 2 2 5 2" xfId="25995" xr:uid="{00000000-0005-0000-0000-000096000000}"/>
    <cellStyle name="20% - Ênfase2 2 2 6" xfId="25996" xr:uid="{00000000-0005-0000-0000-000097000000}"/>
    <cellStyle name="20% - Ênfase2 2 3" xfId="136" xr:uid="{00000000-0005-0000-0000-000098000000}"/>
    <cellStyle name="20% - Ênfase2 2 3 2" xfId="137" xr:uid="{00000000-0005-0000-0000-000099000000}"/>
    <cellStyle name="20% - Ênfase2 2 3 2 2" xfId="138" xr:uid="{00000000-0005-0000-0000-00009A000000}"/>
    <cellStyle name="20% - Ênfase2 2 3 2 2 2" xfId="25997" xr:uid="{00000000-0005-0000-0000-00009B000000}"/>
    <cellStyle name="20% - Ênfase2 2 3 2 3" xfId="139" xr:uid="{00000000-0005-0000-0000-00009C000000}"/>
    <cellStyle name="20% - Ênfase2 2 3 2 3 2" xfId="25998" xr:uid="{00000000-0005-0000-0000-00009D000000}"/>
    <cellStyle name="20% - Ênfase2 2 3 2 4" xfId="25999" xr:uid="{00000000-0005-0000-0000-00009E000000}"/>
    <cellStyle name="20% - Ênfase2 2 3 3" xfId="140" xr:uid="{00000000-0005-0000-0000-00009F000000}"/>
    <cellStyle name="20% - Ênfase2 2 3 3 2" xfId="26000" xr:uid="{00000000-0005-0000-0000-0000A0000000}"/>
    <cellStyle name="20% - Ênfase2 2 3 4" xfId="141" xr:uid="{00000000-0005-0000-0000-0000A1000000}"/>
    <cellStyle name="20% - Ênfase2 2 3 4 2" xfId="26001" xr:uid="{00000000-0005-0000-0000-0000A2000000}"/>
    <cellStyle name="20% - Ênfase2 2 3 5" xfId="26002" xr:uid="{00000000-0005-0000-0000-0000A3000000}"/>
    <cellStyle name="20% - Ênfase2 2 3 5 2" xfId="26003" xr:uid="{00000000-0005-0000-0000-0000A4000000}"/>
    <cellStyle name="20% - Ênfase2 2 3 6" xfId="26004" xr:uid="{00000000-0005-0000-0000-0000A5000000}"/>
    <cellStyle name="20% - Ênfase2 2 4" xfId="142" xr:uid="{00000000-0005-0000-0000-0000A6000000}"/>
    <cellStyle name="20% - Ênfase2 2 4 2" xfId="143" xr:uid="{00000000-0005-0000-0000-0000A7000000}"/>
    <cellStyle name="20% - Ênfase2 2 4 2 2" xfId="26005" xr:uid="{00000000-0005-0000-0000-0000A8000000}"/>
    <cellStyle name="20% - Ênfase2 2 4 3" xfId="144" xr:uid="{00000000-0005-0000-0000-0000A9000000}"/>
    <cellStyle name="20% - Ênfase2 2 4 3 2" xfId="26006" xr:uid="{00000000-0005-0000-0000-0000AA000000}"/>
    <cellStyle name="20% - Ênfase2 2 4 4" xfId="26007" xr:uid="{00000000-0005-0000-0000-0000AB000000}"/>
    <cellStyle name="20% - Ênfase2 2 5" xfId="145" xr:uid="{00000000-0005-0000-0000-0000AC000000}"/>
    <cellStyle name="20% - Ênfase2 2 5 2" xfId="26008" xr:uid="{00000000-0005-0000-0000-0000AD000000}"/>
    <cellStyle name="20% - Ênfase2 2 6" xfId="146" xr:uid="{00000000-0005-0000-0000-0000AE000000}"/>
    <cellStyle name="20% - Ênfase2 2 6 2" xfId="26009" xr:uid="{00000000-0005-0000-0000-0000AF000000}"/>
    <cellStyle name="20% - Ênfase2 2 7" xfId="147" xr:uid="{00000000-0005-0000-0000-0000B0000000}"/>
    <cellStyle name="20% - Ênfase2 2 7 2" xfId="26010" xr:uid="{00000000-0005-0000-0000-0000B1000000}"/>
    <cellStyle name="20% - Ênfase2 2 8" xfId="26011" xr:uid="{00000000-0005-0000-0000-0000B2000000}"/>
    <cellStyle name="20% - Ênfase2 2 9" xfId="26012" xr:uid="{00000000-0005-0000-0000-0000B3000000}"/>
    <cellStyle name="20% - Ênfase2 3" xfId="148" xr:uid="{00000000-0005-0000-0000-0000B4000000}"/>
    <cellStyle name="20% - Ênfase2 3 2" xfId="149" xr:uid="{00000000-0005-0000-0000-0000B5000000}"/>
    <cellStyle name="20% - Ênfase2 3 3" xfId="150" xr:uid="{00000000-0005-0000-0000-0000B6000000}"/>
    <cellStyle name="20% - Ênfase2 3 3 2" xfId="151" xr:uid="{00000000-0005-0000-0000-0000B7000000}"/>
    <cellStyle name="20% - Ênfase2 3 3 2 2" xfId="26013" xr:uid="{00000000-0005-0000-0000-0000B8000000}"/>
    <cellStyle name="20% - Ênfase2 3 3 3" xfId="152" xr:uid="{00000000-0005-0000-0000-0000B9000000}"/>
    <cellStyle name="20% - Ênfase2 3 3 3 2" xfId="26014" xr:uid="{00000000-0005-0000-0000-0000BA000000}"/>
    <cellStyle name="20% - Ênfase2 3 3 4" xfId="26015" xr:uid="{00000000-0005-0000-0000-0000BB000000}"/>
    <cellStyle name="20% - Ênfase2 3 4" xfId="153" xr:uid="{00000000-0005-0000-0000-0000BC000000}"/>
    <cellStyle name="20% - Ênfase2 3 4 2" xfId="26016" xr:uid="{00000000-0005-0000-0000-0000BD000000}"/>
    <cellStyle name="20% - Ênfase2 3 5" xfId="154" xr:uid="{00000000-0005-0000-0000-0000BE000000}"/>
    <cellStyle name="20% - Ênfase2 3 5 2" xfId="26017" xr:uid="{00000000-0005-0000-0000-0000BF000000}"/>
    <cellStyle name="20% - Ênfase2 3 6" xfId="26018" xr:uid="{00000000-0005-0000-0000-0000C0000000}"/>
    <cellStyle name="20% - Ênfase2 3 6 2" xfId="26019" xr:uid="{00000000-0005-0000-0000-0000C1000000}"/>
    <cellStyle name="20% - Ênfase2 3 7" xfId="26020" xr:uid="{00000000-0005-0000-0000-0000C2000000}"/>
    <cellStyle name="20% - Ênfase2 4" xfId="155" xr:uid="{00000000-0005-0000-0000-0000C3000000}"/>
    <cellStyle name="20% - Ênfase2 4 2" xfId="156" xr:uid="{00000000-0005-0000-0000-0000C4000000}"/>
    <cellStyle name="20% - Ênfase2 4 2 2" xfId="157" xr:uid="{00000000-0005-0000-0000-0000C5000000}"/>
    <cellStyle name="20% - Ênfase2 4 2 2 2" xfId="26021" xr:uid="{00000000-0005-0000-0000-0000C6000000}"/>
    <cellStyle name="20% - Ênfase2 4 2 3" xfId="158" xr:uid="{00000000-0005-0000-0000-0000C7000000}"/>
    <cellStyle name="20% - Ênfase2 4 2 3 2" xfId="26022" xr:uid="{00000000-0005-0000-0000-0000C8000000}"/>
    <cellStyle name="20% - Ênfase2 4 2 4" xfId="26023" xr:uid="{00000000-0005-0000-0000-0000C9000000}"/>
    <cellStyle name="20% - Ênfase2 4 3" xfId="159" xr:uid="{00000000-0005-0000-0000-0000CA000000}"/>
    <cellStyle name="20% - Ênfase2 4 3 2" xfId="26024" xr:uid="{00000000-0005-0000-0000-0000CB000000}"/>
    <cellStyle name="20% - Ênfase2 4 4" xfId="160" xr:uid="{00000000-0005-0000-0000-0000CC000000}"/>
    <cellStyle name="20% - Ênfase2 4 4 2" xfId="26025" xr:uid="{00000000-0005-0000-0000-0000CD000000}"/>
    <cellStyle name="20% - Ênfase2 4 5" xfId="26026" xr:uid="{00000000-0005-0000-0000-0000CE000000}"/>
    <cellStyle name="20% - Ênfase2 4 5 2" xfId="26027" xr:uid="{00000000-0005-0000-0000-0000CF000000}"/>
    <cellStyle name="20% - Ênfase2 4 6" xfId="26028" xr:uid="{00000000-0005-0000-0000-0000D0000000}"/>
    <cellStyle name="20% - Ênfase2 5" xfId="161" xr:uid="{00000000-0005-0000-0000-0000D1000000}"/>
    <cellStyle name="20% - Ênfase2 5 2" xfId="162" xr:uid="{00000000-0005-0000-0000-0000D2000000}"/>
    <cellStyle name="20% - Ênfase2 5 2 2" xfId="163" xr:uid="{00000000-0005-0000-0000-0000D3000000}"/>
    <cellStyle name="20% - Ênfase2 5 2 2 2" xfId="26029" xr:uid="{00000000-0005-0000-0000-0000D4000000}"/>
    <cellStyle name="20% - Ênfase2 5 2 3" xfId="164" xr:uid="{00000000-0005-0000-0000-0000D5000000}"/>
    <cellStyle name="20% - Ênfase2 5 2 3 2" xfId="26030" xr:uid="{00000000-0005-0000-0000-0000D6000000}"/>
    <cellStyle name="20% - Ênfase2 5 2 4" xfId="26031" xr:uid="{00000000-0005-0000-0000-0000D7000000}"/>
    <cellStyle name="20% - Ênfase2 5 3" xfId="165" xr:uid="{00000000-0005-0000-0000-0000D8000000}"/>
    <cellStyle name="20% - Ênfase2 5 3 2" xfId="26032" xr:uid="{00000000-0005-0000-0000-0000D9000000}"/>
    <cellStyle name="20% - Ênfase2 5 4" xfId="166" xr:uid="{00000000-0005-0000-0000-0000DA000000}"/>
    <cellStyle name="20% - Ênfase2 5 4 2" xfId="26033" xr:uid="{00000000-0005-0000-0000-0000DB000000}"/>
    <cellStyle name="20% - Ênfase2 5 5" xfId="26034" xr:uid="{00000000-0005-0000-0000-0000DC000000}"/>
    <cellStyle name="20% - Ênfase2 5 5 2" xfId="26035" xr:uid="{00000000-0005-0000-0000-0000DD000000}"/>
    <cellStyle name="20% - Ênfase2 5 6" xfId="26036" xr:uid="{00000000-0005-0000-0000-0000DE000000}"/>
    <cellStyle name="20% - Ênfase2 6" xfId="167" xr:uid="{00000000-0005-0000-0000-0000DF000000}"/>
    <cellStyle name="20% - Ênfase2 6 2" xfId="168" xr:uid="{00000000-0005-0000-0000-0000E0000000}"/>
    <cellStyle name="20% - Ênfase2 6 2 2" xfId="169" xr:uid="{00000000-0005-0000-0000-0000E1000000}"/>
    <cellStyle name="20% - Ênfase2 6 2 2 2" xfId="26037" xr:uid="{00000000-0005-0000-0000-0000E2000000}"/>
    <cellStyle name="20% - Ênfase2 6 2 3" xfId="170" xr:uid="{00000000-0005-0000-0000-0000E3000000}"/>
    <cellStyle name="20% - Ênfase2 6 2 3 2" xfId="26038" xr:uid="{00000000-0005-0000-0000-0000E4000000}"/>
    <cellStyle name="20% - Ênfase2 6 2 4" xfId="26039" xr:uid="{00000000-0005-0000-0000-0000E5000000}"/>
    <cellStyle name="20% - Ênfase2 6 3" xfId="171" xr:uid="{00000000-0005-0000-0000-0000E6000000}"/>
    <cellStyle name="20% - Ênfase2 6 3 2" xfId="26040" xr:uid="{00000000-0005-0000-0000-0000E7000000}"/>
    <cellStyle name="20% - Ênfase2 6 4" xfId="172" xr:uid="{00000000-0005-0000-0000-0000E8000000}"/>
    <cellStyle name="20% - Ênfase2 6 4 2" xfId="26041" xr:uid="{00000000-0005-0000-0000-0000E9000000}"/>
    <cellStyle name="20% - Ênfase2 6 5" xfId="26042" xr:uid="{00000000-0005-0000-0000-0000EA000000}"/>
    <cellStyle name="20% - Ênfase2 6 5 2" xfId="26043" xr:uid="{00000000-0005-0000-0000-0000EB000000}"/>
    <cellStyle name="20% - Ênfase2 6 6" xfId="26044" xr:uid="{00000000-0005-0000-0000-0000EC000000}"/>
    <cellStyle name="20% - Ênfase2 7" xfId="173" xr:uid="{00000000-0005-0000-0000-0000ED000000}"/>
    <cellStyle name="20% - Ênfase2 8" xfId="174" xr:uid="{00000000-0005-0000-0000-0000EE000000}"/>
    <cellStyle name="20% - Ênfase2 8 2" xfId="175" xr:uid="{00000000-0005-0000-0000-0000EF000000}"/>
    <cellStyle name="20% - Ênfase2 8 2 2" xfId="26045" xr:uid="{00000000-0005-0000-0000-0000F0000000}"/>
    <cellStyle name="20% - Ênfase2 8 3" xfId="176" xr:uid="{00000000-0005-0000-0000-0000F1000000}"/>
    <cellStyle name="20% - Ênfase2 8 3 2" xfId="26046" xr:uid="{00000000-0005-0000-0000-0000F2000000}"/>
    <cellStyle name="20% - Ênfase2 8 4" xfId="26047" xr:uid="{00000000-0005-0000-0000-0000F3000000}"/>
    <cellStyle name="20% - Ênfase2 9" xfId="177" xr:uid="{00000000-0005-0000-0000-0000F4000000}"/>
    <cellStyle name="20% - Ênfase2 9 2" xfId="26048" xr:uid="{00000000-0005-0000-0000-0000F5000000}"/>
    <cellStyle name="20% - Ênfase3" xfId="44" builtinId="38" customBuiltin="1"/>
    <cellStyle name="20% - Ênfase3 10" xfId="178" xr:uid="{00000000-0005-0000-0000-0000F7000000}"/>
    <cellStyle name="20% - Ênfase3 10 2" xfId="26049" xr:uid="{00000000-0005-0000-0000-0000F8000000}"/>
    <cellStyle name="20% - Ênfase3 11" xfId="26050" xr:uid="{00000000-0005-0000-0000-0000F9000000}"/>
    <cellStyle name="20% - Ênfase3 11 2" xfId="26051" xr:uid="{00000000-0005-0000-0000-0000FA000000}"/>
    <cellStyle name="20% - Ênfase3 12" xfId="26052" xr:uid="{00000000-0005-0000-0000-0000FB000000}"/>
    <cellStyle name="20% - Ênfase3 12 2" xfId="26053" xr:uid="{00000000-0005-0000-0000-0000FC000000}"/>
    <cellStyle name="20% - Ênfase3 13" xfId="26054" xr:uid="{00000000-0005-0000-0000-0000FD000000}"/>
    <cellStyle name="20% - Ênfase3 14" xfId="26055" xr:uid="{00000000-0005-0000-0000-0000FE000000}"/>
    <cellStyle name="20% - Ênfase3 2" xfId="179" xr:uid="{00000000-0005-0000-0000-0000FF000000}"/>
    <cellStyle name="20% - Ênfase3 2 10" xfId="26056" xr:uid="{00000000-0005-0000-0000-000000010000}"/>
    <cellStyle name="20% - Ênfase3 2 11" xfId="26057" xr:uid="{00000000-0005-0000-0000-000001010000}"/>
    <cellStyle name="20% - Ênfase3 2 2" xfId="180" xr:uid="{00000000-0005-0000-0000-000002010000}"/>
    <cellStyle name="20% - Ênfase3 2 2 2" xfId="181" xr:uid="{00000000-0005-0000-0000-000003010000}"/>
    <cellStyle name="20% - Ênfase3 2 2 2 2" xfId="182" xr:uid="{00000000-0005-0000-0000-000004010000}"/>
    <cellStyle name="20% - Ênfase3 2 2 2 2 2" xfId="26058" xr:uid="{00000000-0005-0000-0000-000005010000}"/>
    <cellStyle name="20% - Ênfase3 2 2 2 3" xfId="183" xr:uid="{00000000-0005-0000-0000-000006010000}"/>
    <cellStyle name="20% - Ênfase3 2 2 2 3 2" xfId="26059" xr:uid="{00000000-0005-0000-0000-000007010000}"/>
    <cellStyle name="20% - Ênfase3 2 2 2 4" xfId="26060" xr:uid="{00000000-0005-0000-0000-000008010000}"/>
    <cellStyle name="20% - Ênfase3 2 2 3" xfId="184" xr:uid="{00000000-0005-0000-0000-000009010000}"/>
    <cellStyle name="20% - Ênfase3 2 2 3 2" xfId="26061" xr:uid="{00000000-0005-0000-0000-00000A010000}"/>
    <cellStyle name="20% - Ênfase3 2 2 4" xfId="185" xr:uid="{00000000-0005-0000-0000-00000B010000}"/>
    <cellStyle name="20% - Ênfase3 2 2 4 2" xfId="26062" xr:uid="{00000000-0005-0000-0000-00000C010000}"/>
    <cellStyle name="20% - Ênfase3 2 2 5" xfId="26063" xr:uid="{00000000-0005-0000-0000-00000D010000}"/>
    <cellStyle name="20% - Ênfase3 2 2 5 2" xfId="26064" xr:uid="{00000000-0005-0000-0000-00000E010000}"/>
    <cellStyle name="20% - Ênfase3 2 2 6" xfId="26065" xr:uid="{00000000-0005-0000-0000-00000F010000}"/>
    <cellStyle name="20% - Ênfase3 2 3" xfId="186" xr:uid="{00000000-0005-0000-0000-000010010000}"/>
    <cellStyle name="20% - Ênfase3 2 3 2" xfId="187" xr:uid="{00000000-0005-0000-0000-000011010000}"/>
    <cellStyle name="20% - Ênfase3 2 3 2 2" xfId="188" xr:uid="{00000000-0005-0000-0000-000012010000}"/>
    <cellStyle name="20% - Ênfase3 2 3 2 2 2" xfId="26066" xr:uid="{00000000-0005-0000-0000-000013010000}"/>
    <cellStyle name="20% - Ênfase3 2 3 2 3" xfId="189" xr:uid="{00000000-0005-0000-0000-000014010000}"/>
    <cellStyle name="20% - Ênfase3 2 3 2 3 2" xfId="26067" xr:uid="{00000000-0005-0000-0000-000015010000}"/>
    <cellStyle name="20% - Ênfase3 2 3 2 4" xfId="26068" xr:uid="{00000000-0005-0000-0000-000016010000}"/>
    <cellStyle name="20% - Ênfase3 2 3 3" xfId="190" xr:uid="{00000000-0005-0000-0000-000017010000}"/>
    <cellStyle name="20% - Ênfase3 2 3 3 2" xfId="26069" xr:uid="{00000000-0005-0000-0000-000018010000}"/>
    <cellStyle name="20% - Ênfase3 2 3 4" xfId="191" xr:uid="{00000000-0005-0000-0000-000019010000}"/>
    <cellStyle name="20% - Ênfase3 2 3 4 2" xfId="26070" xr:uid="{00000000-0005-0000-0000-00001A010000}"/>
    <cellStyle name="20% - Ênfase3 2 3 5" xfId="26071" xr:uid="{00000000-0005-0000-0000-00001B010000}"/>
    <cellStyle name="20% - Ênfase3 2 3 5 2" xfId="26072" xr:uid="{00000000-0005-0000-0000-00001C010000}"/>
    <cellStyle name="20% - Ênfase3 2 3 6" xfId="26073" xr:uid="{00000000-0005-0000-0000-00001D010000}"/>
    <cellStyle name="20% - Ênfase3 2 4" xfId="192" xr:uid="{00000000-0005-0000-0000-00001E010000}"/>
    <cellStyle name="20% - Ênfase3 2 4 2" xfId="193" xr:uid="{00000000-0005-0000-0000-00001F010000}"/>
    <cellStyle name="20% - Ênfase3 2 4 2 2" xfId="26074" xr:uid="{00000000-0005-0000-0000-000020010000}"/>
    <cellStyle name="20% - Ênfase3 2 4 3" xfId="194" xr:uid="{00000000-0005-0000-0000-000021010000}"/>
    <cellStyle name="20% - Ênfase3 2 4 3 2" xfId="26075" xr:uid="{00000000-0005-0000-0000-000022010000}"/>
    <cellStyle name="20% - Ênfase3 2 4 4" xfId="26076" xr:uid="{00000000-0005-0000-0000-000023010000}"/>
    <cellStyle name="20% - Ênfase3 2 5" xfId="195" xr:uid="{00000000-0005-0000-0000-000024010000}"/>
    <cellStyle name="20% - Ênfase3 2 5 2" xfId="26077" xr:uid="{00000000-0005-0000-0000-000025010000}"/>
    <cellStyle name="20% - Ênfase3 2 6" xfId="196" xr:uid="{00000000-0005-0000-0000-000026010000}"/>
    <cellStyle name="20% - Ênfase3 2 6 2" xfId="26078" xr:uid="{00000000-0005-0000-0000-000027010000}"/>
    <cellStyle name="20% - Ênfase3 2 7" xfId="197" xr:uid="{00000000-0005-0000-0000-000028010000}"/>
    <cellStyle name="20% - Ênfase3 2 7 2" xfId="26079" xr:uid="{00000000-0005-0000-0000-000029010000}"/>
    <cellStyle name="20% - Ênfase3 2 8" xfId="26080" xr:uid="{00000000-0005-0000-0000-00002A010000}"/>
    <cellStyle name="20% - Ênfase3 2 9" xfId="26081" xr:uid="{00000000-0005-0000-0000-00002B010000}"/>
    <cellStyle name="20% - Ênfase3 3" xfId="198" xr:uid="{00000000-0005-0000-0000-00002C010000}"/>
    <cellStyle name="20% - Ênfase3 3 2" xfId="199" xr:uid="{00000000-0005-0000-0000-00002D010000}"/>
    <cellStyle name="20% - Ênfase3 3 3" xfId="200" xr:uid="{00000000-0005-0000-0000-00002E010000}"/>
    <cellStyle name="20% - Ênfase3 3 3 2" xfId="201" xr:uid="{00000000-0005-0000-0000-00002F010000}"/>
    <cellStyle name="20% - Ênfase3 3 3 2 2" xfId="26082" xr:uid="{00000000-0005-0000-0000-000030010000}"/>
    <cellStyle name="20% - Ênfase3 3 3 3" xfId="202" xr:uid="{00000000-0005-0000-0000-000031010000}"/>
    <cellStyle name="20% - Ênfase3 3 3 3 2" xfId="26083" xr:uid="{00000000-0005-0000-0000-000032010000}"/>
    <cellStyle name="20% - Ênfase3 3 3 4" xfId="26084" xr:uid="{00000000-0005-0000-0000-000033010000}"/>
    <cellStyle name="20% - Ênfase3 3 4" xfId="203" xr:uid="{00000000-0005-0000-0000-000034010000}"/>
    <cellStyle name="20% - Ênfase3 3 4 2" xfId="26085" xr:uid="{00000000-0005-0000-0000-000035010000}"/>
    <cellStyle name="20% - Ênfase3 3 5" xfId="204" xr:uid="{00000000-0005-0000-0000-000036010000}"/>
    <cellStyle name="20% - Ênfase3 3 5 2" xfId="26086" xr:uid="{00000000-0005-0000-0000-000037010000}"/>
    <cellStyle name="20% - Ênfase3 3 6" xfId="26087" xr:uid="{00000000-0005-0000-0000-000038010000}"/>
    <cellStyle name="20% - Ênfase3 3 6 2" xfId="26088" xr:uid="{00000000-0005-0000-0000-000039010000}"/>
    <cellStyle name="20% - Ênfase3 3 7" xfId="26089" xr:uid="{00000000-0005-0000-0000-00003A010000}"/>
    <cellStyle name="20% - Ênfase3 4" xfId="205" xr:uid="{00000000-0005-0000-0000-00003B010000}"/>
    <cellStyle name="20% - Ênfase3 4 2" xfId="206" xr:uid="{00000000-0005-0000-0000-00003C010000}"/>
    <cellStyle name="20% - Ênfase3 4 2 2" xfId="207" xr:uid="{00000000-0005-0000-0000-00003D010000}"/>
    <cellStyle name="20% - Ênfase3 4 2 2 2" xfId="26090" xr:uid="{00000000-0005-0000-0000-00003E010000}"/>
    <cellStyle name="20% - Ênfase3 4 2 3" xfId="208" xr:uid="{00000000-0005-0000-0000-00003F010000}"/>
    <cellStyle name="20% - Ênfase3 4 2 3 2" xfId="26091" xr:uid="{00000000-0005-0000-0000-000040010000}"/>
    <cellStyle name="20% - Ênfase3 4 2 4" xfId="26092" xr:uid="{00000000-0005-0000-0000-000041010000}"/>
    <cellStyle name="20% - Ênfase3 4 3" xfId="209" xr:uid="{00000000-0005-0000-0000-000042010000}"/>
    <cellStyle name="20% - Ênfase3 4 3 2" xfId="26093" xr:uid="{00000000-0005-0000-0000-000043010000}"/>
    <cellStyle name="20% - Ênfase3 4 4" xfId="210" xr:uid="{00000000-0005-0000-0000-000044010000}"/>
    <cellStyle name="20% - Ênfase3 4 4 2" xfId="26094" xr:uid="{00000000-0005-0000-0000-000045010000}"/>
    <cellStyle name="20% - Ênfase3 4 5" xfId="26095" xr:uid="{00000000-0005-0000-0000-000046010000}"/>
    <cellStyle name="20% - Ênfase3 4 5 2" xfId="26096" xr:uid="{00000000-0005-0000-0000-000047010000}"/>
    <cellStyle name="20% - Ênfase3 4 6" xfId="26097" xr:uid="{00000000-0005-0000-0000-000048010000}"/>
    <cellStyle name="20% - Ênfase3 5" xfId="211" xr:uid="{00000000-0005-0000-0000-000049010000}"/>
    <cellStyle name="20% - Ênfase3 5 2" xfId="212" xr:uid="{00000000-0005-0000-0000-00004A010000}"/>
    <cellStyle name="20% - Ênfase3 5 2 2" xfId="213" xr:uid="{00000000-0005-0000-0000-00004B010000}"/>
    <cellStyle name="20% - Ênfase3 5 2 2 2" xfId="26098" xr:uid="{00000000-0005-0000-0000-00004C010000}"/>
    <cellStyle name="20% - Ênfase3 5 2 3" xfId="214" xr:uid="{00000000-0005-0000-0000-00004D010000}"/>
    <cellStyle name="20% - Ênfase3 5 2 3 2" xfId="26099" xr:uid="{00000000-0005-0000-0000-00004E010000}"/>
    <cellStyle name="20% - Ênfase3 5 2 4" xfId="26100" xr:uid="{00000000-0005-0000-0000-00004F010000}"/>
    <cellStyle name="20% - Ênfase3 5 3" xfId="215" xr:uid="{00000000-0005-0000-0000-000050010000}"/>
    <cellStyle name="20% - Ênfase3 5 3 2" xfId="26101" xr:uid="{00000000-0005-0000-0000-000051010000}"/>
    <cellStyle name="20% - Ênfase3 5 4" xfId="216" xr:uid="{00000000-0005-0000-0000-000052010000}"/>
    <cellStyle name="20% - Ênfase3 5 4 2" xfId="26102" xr:uid="{00000000-0005-0000-0000-000053010000}"/>
    <cellStyle name="20% - Ênfase3 5 5" xfId="26103" xr:uid="{00000000-0005-0000-0000-000054010000}"/>
    <cellStyle name="20% - Ênfase3 5 5 2" xfId="26104" xr:uid="{00000000-0005-0000-0000-000055010000}"/>
    <cellStyle name="20% - Ênfase3 5 6" xfId="26105" xr:uid="{00000000-0005-0000-0000-000056010000}"/>
    <cellStyle name="20% - Ênfase3 6" xfId="217" xr:uid="{00000000-0005-0000-0000-000057010000}"/>
    <cellStyle name="20% - Ênfase3 6 2" xfId="218" xr:uid="{00000000-0005-0000-0000-000058010000}"/>
    <cellStyle name="20% - Ênfase3 6 2 2" xfId="219" xr:uid="{00000000-0005-0000-0000-000059010000}"/>
    <cellStyle name="20% - Ênfase3 6 2 2 2" xfId="26106" xr:uid="{00000000-0005-0000-0000-00005A010000}"/>
    <cellStyle name="20% - Ênfase3 6 2 3" xfId="220" xr:uid="{00000000-0005-0000-0000-00005B010000}"/>
    <cellStyle name="20% - Ênfase3 6 2 3 2" xfId="26107" xr:uid="{00000000-0005-0000-0000-00005C010000}"/>
    <cellStyle name="20% - Ênfase3 6 2 4" xfId="26108" xr:uid="{00000000-0005-0000-0000-00005D010000}"/>
    <cellStyle name="20% - Ênfase3 6 3" xfId="221" xr:uid="{00000000-0005-0000-0000-00005E010000}"/>
    <cellStyle name="20% - Ênfase3 6 3 2" xfId="26109" xr:uid="{00000000-0005-0000-0000-00005F010000}"/>
    <cellStyle name="20% - Ênfase3 6 4" xfId="222" xr:uid="{00000000-0005-0000-0000-000060010000}"/>
    <cellStyle name="20% - Ênfase3 6 4 2" xfId="26110" xr:uid="{00000000-0005-0000-0000-000061010000}"/>
    <cellStyle name="20% - Ênfase3 6 5" xfId="26111" xr:uid="{00000000-0005-0000-0000-000062010000}"/>
    <cellStyle name="20% - Ênfase3 6 5 2" xfId="26112" xr:uid="{00000000-0005-0000-0000-000063010000}"/>
    <cellStyle name="20% - Ênfase3 6 6" xfId="26113" xr:uid="{00000000-0005-0000-0000-000064010000}"/>
    <cellStyle name="20% - Ênfase3 7" xfId="223" xr:uid="{00000000-0005-0000-0000-000065010000}"/>
    <cellStyle name="20% - Ênfase3 8" xfId="224" xr:uid="{00000000-0005-0000-0000-000066010000}"/>
    <cellStyle name="20% - Ênfase3 8 2" xfId="225" xr:uid="{00000000-0005-0000-0000-000067010000}"/>
    <cellStyle name="20% - Ênfase3 8 2 2" xfId="26114" xr:uid="{00000000-0005-0000-0000-000068010000}"/>
    <cellStyle name="20% - Ênfase3 8 3" xfId="226" xr:uid="{00000000-0005-0000-0000-000069010000}"/>
    <cellStyle name="20% - Ênfase3 8 3 2" xfId="26115" xr:uid="{00000000-0005-0000-0000-00006A010000}"/>
    <cellStyle name="20% - Ênfase3 8 4" xfId="26116" xr:uid="{00000000-0005-0000-0000-00006B010000}"/>
    <cellStyle name="20% - Ênfase3 9" xfId="227" xr:uid="{00000000-0005-0000-0000-00006C010000}"/>
    <cellStyle name="20% - Ênfase3 9 2" xfId="26117" xr:uid="{00000000-0005-0000-0000-00006D010000}"/>
    <cellStyle name="20% - Ênfase4" xfId="48" builtinId="42" customBuiltin="1"/>
    <cellStyle name="20% - Ênfase4 10" xfId="228" xr:uid="{00000000-0005-0000-0000-00006F010000}"/>
    <cellStyle name="20% - Ênfase4 10 2" xfId="26118" xr:uid="{00000000-0005-0000-0000-000070010000}"/>
    <cellStyle name="20% - Ênfase4 11" xfId="26119" xr:uid="{00000000-0005-0000-0000-000071010000}"/>
    <cellStyle name="20% - Ênfase4 11 2" xfId="26120" xr:uid="{00000000-0005-0000-0000-000072010000}"/>
    <cellStyle name="20% - Ênfase4 12" xfId="26121" xr:uid="{00000000-0005-0000-0000-000073010000}"/>
    <cellStyle name="20% - Ênfase4 12 2" xfId="26122" xr:uid="{00000000-0005-0000-0000-000074010000}"/>
    <cellStyle name="20% - Ênfase4 13" xfId="26123" xr:uid="{00000000-0005-0000-0000-000075010000}"/>
    <cellStyle name="20% - Ênfase4 14" xfId="26124" xr:uid="{00000000-0005-0000-0000-000076010000}"/>
    <cellStyle name="20% - Ênfase4 2" xfId="229" xr:uid="{00000000-0005-0000-0000-000077010000}"/>
    <cellStyle name="20% - Ênfase4 2 10" xfId="26125" xr:uid="{00000000-0005-0000-0000-000078010000}"/>
    <cellStyle name="20% - Ênfase4 2 11" xfId="26126" xr:uid="{00000000-0005-0000-0000-000079010000}"/>
    <cellStyle name="20% - Ênfase4 2 2" xfId="230" xr:uid="{00000000-0005-0000-0000-00007A010000}"/>
    <cellStyle name="20% - Ênfase4 2 2 2" xfId="231" xr:uid="{00000000-0005-0000-0000-00007B010000}"/>
    <cellStyle name="20% - Ênfase4 2 2 2 2" xfId="232" xr:uid="{00000000-0005-0000-0000-00007C010000}"/>
    <cellStyle name="20% - Ênfase4 2 2 2 2 2" xfId="26127" xr:uid="{00000000-0005-0000-0000-00007D010000}"/>
    <cellStyle name="20% - Ênfase4 2 2 2 3" xfId="233" xr:uid="{00000000-0005-0000-0000-00007E010000}"/>
    <cellStyle name="20% - Ênfase4 2 2 2 3 2" xfId="26128" xr:uid="{00000000-0005-0000-0000-00007F010000}"/>
    <cellStyle name="20% - Ênfase4 2 2 2 4" xfId="26129" xr:uid="{00000000-0005-0000-0000-000080010000}"/>
    <cellStyle name="20% - Ênfase4 2 2 3" xfId="234" xr:uid="{00000000-0005-0000-0000-000081010000}"/>
    <cellStyle name="20% - Ênfase4 2 2 3 2" xfId="26130" xr:uid="{00000000-0005-0000-0000-000082010000}"/>
    <cellStyle name="20% - Ênfase4 2 2 4" xfId="235" xr:uid="{00000000-0005-0000-0000-000083010000}"/>
    <cellStyle name="20% - Ênfase4 2 2 4 2" xfId="26131" xr:uid="{00000000-0005-0000-0000-000084010000}"/>
    <cellStyle name="20% - Ênfase4 2 2 5" xfId="26132" xr:uid="{00000000-0005-0000-0000-000085010000}"/>
    <cellStyle name="20% - Ênfase4 2 2 5 2" xfId="26133" xr:uid="{00000000-0005-0000-0000-000086010000}"/>
    <cellStyle name="20% - Ênfase4 2 2 6" xfId="26134" xr:uid="{00000000-0005-0000-0000-000087010000}"/>
    <cellStyle name="20% - Ênfase4 2 3" xfId="236" xr:uid="{00000000-0005-0000-0000-000088010000}"/>
    <cellStyle name="20% - Ênfase4 2 3 2" xfId="237" xr:uid="{00000000-0005-0000-0000-000089010000}"/>
    <cellStyle name="20% - Ênfase4 2 3 2 2" xfId="238" xr:uid="{00000000-0005-0000-0000-00008A010000}"/>
    <cellStyle name="20% - Ênfase4 2 3 2 2 2" xfId="26135" xr:uid="{00000000-0005-0000-0000-00008B010000}"/>
    <cellStyle name="20% - Ênfase4 2 3 2 3" xfId="239" xr:uid="{00000000-0005-0000-0000-00008C010000}"/>
    <cellStyle name="20% - Ênfase4 2 3 2 3 2" xfId="26136" xr:uid="{00000000-0005-0000-0000-00008D010000}"/>
    <cellStyle name="20% - Ênfase4 2 3 2 4" xfId="26137" xr:uid="{00000000-0005-0000-0000-00008E010000}"/>
    <cellStyle name="20% - Ênfase4 2 3 3" xfId="240" xr:uid="{00000000-0005-0000-0000-00008F010000}"/>
    <cellStyle name="20% - Ênfase4 2 3 3 2" xfId="26138" xr:uid="{00000000-0005-0000-0000-000090010000}"/>
    <cellStyle name="20% - Ênfase4 2 3 4" xfId="241" xr:uid="{00000000-0005-0000-0000-000091010000}"/>
    <cellStyle name="20% - Ênfase4 2 3 4 2" xfId="26139" xr:uid="{00000000-0005-0000-0000-000092010000}"/>
    <cellStyle name="20% - Ênfase4 2 3 5" xfId="26140" xr:uid="{00000000-0005-0000-0000-000093010000}"/>
    <cellStyle name="20% - Ênfase4 2 3 5 2" xfId="26141" xr:uid="{00000000-0005-0000-0000-000094010000}"/>
    <cellStyle name="20% - Ênfase4 2 3 6" xfId="26142" xr:uid="{00000000-0005-0000-0000-000095010000}"/>
    <cellStyle name="20% - Ênfase4 2 4" xfId="242" xr:uid="{00000000-0005-0000-0000-000096010000}"/>
    <cellStyle name="20% - Ênfase4 2 4 2" xfId="243" xr:uid="{00000000-0005-0000-0000-000097010000}"/>
    <cellStyle name="20% - Ênfase4 2 4 2 2" xfId="26143" xr:uid="{00000000-0005-0000-0000-000098010000}"/>
    <cellStyle name="20% - Ênfase4 2 4 3" xfId="244" xr:uid="{00000000-0005-0000-0000-000099010000}"/>
    <cellStyle name="20% - Ênfase4 2 4 3 2" xfId="26144" xr:uid="{00000000-0005-0000-0000-00009A010000}"/>
    <cellStyle name="20% - Ênfase4 2 4 4" xfId="26145" xr:uid="{00000000-0005-0000-0000-00009B010000}"/>
    <cellStyle name="20% - Ênfase4 2 5" xfId="245" xr:uid="{00000000-0005-0000-0000-00009C010000}"/>
    <cellStyle name="20% - Ênfase4 2 5 2" xfId="26146" xr:uid="{00000000-0005-0000-0000-00009D010000}"/>
    <cellStyle name="20% - Ênfase4 2 6" xfId="246" xr:uid="{00000000-0005-0000-0000-00009E010000}"/>
    <cellStyle name="20% - Ênfase4 2 6 2" xfId="26147" xr:uid="{00000000-0005-0000-0000-00009F010000}"/>
    <cellStyle name="20% - Ênfase4 2 7" xfId="247" xr:uid="{00000000-0005-0000-0000-0000A0010000}"/>
    <cellStyle name="20% - Ênfase4 2 7 2" xfId="26148" xr:uid="{00000000-0005-0000-0000-0000A1010000}"/>
    <cellStyle name="20% - Ênfase4 2 8" xfId="26149" xr:uid="{00000000-0005-0000-0000-0000A2010000}"/>
    <cellStyle name="20% - Ênfase4 2 9" xfId="26150" xr:uid="{00000000-0005-0000-0000-0000A3010000}"/>
    <cellStyle name="20% - Ênfase4 3" xfId="248" xr:uid="{00000000-0005-0000-0000-0000A4010000}"/>
    <cellStyle name="20% - Ênfase4 3 2" xfId="249" xr:uid="{00000000-0005-0000-0000-0000A5010000}"/>
    <cellStyle name="20% - Ênfase4 3 3" xfId="250" xr:uid="{00000000-0005-0000-0000-0000A6010000}"/>
    <cellStyle name="20% - Ênfase4 3 3 2" xfId="251" xr:uid="{00000000-0005-0000-0000-0000A7010000}"/>
    <cellStyle name="20% - Ênfase4 3 3 2 2" xfId="26151" xr:uid="{00000000-0005-0000-0000-0000A8010000}"/>
    <cellStyle name="20% - Ênfase4 3 3 3" xfId="252" xr:uid="{00000000-0005-0000-0000-0000A9010000}"/>
    <cellStyle name="20% - Ênfase4 3 3 3 2" xfId="26152" xr:uid="{00000000-0005-0000-0000-0000AA010000}"/>
    <cellStyle name="20% - Ênfase4 3 3 4" xfId="26153" xr:uid="{00000000-0005-0000-0000-0000AB010000}"/>
    <cellStyle name="20% - Ênfase4 3 4" xfId="253" xr:uid="{00000000-0005-0000-0000-0000AC010000}"/>
    <cellStyle name="20% - Ênfase4 3 4 2" xfId="26154" xr:uid="{00000000-0005-0000-0000-0000AD010000}"/>
    <cellStyle name="20% - Ênfase4 3 5" xfId="254" xr:uid="{00000000-0005-0000-0000-0000AE010000}"/>
    <cellStyle name="20% - Ênfase4 3 5 2" xfId="26155" xr:uid="{00000000-0005-0000-0000-0000AF010000}"/>
    <cellStyle name="20% - Ênfase4 3 6" xfId="26156" xr:uid="{00000000-0005-0000-0000-0000B0010000}"/>
    <cellStyle name="20% - Ênfase4 3 6 2" xfId="26157" xr:uid="{00000000-0005-0000-0000-0000B1010000}"/>
    <cellStyle name="20% - Ênfase4 3 7" xfId="26158" xr:uid="{00000000-0005-0000-0000-0000B2010000}"/>
    <cellStyle name="20% - Ênfase4 4" xfId="255" xr:uid="{00000000-0005-0000-0000-0000B3010000}"/>
    <cellStyle name="20% - Ênfase4 4 2" xfId="256" xr:uid="{00000000-0005-0000-0000-0000B4010000}"/>
    <cellStyle name="20% - Ênfase4 4 2 2" xfId="257" xr:uid="{00000000-0005-0000-0000-0000B5010000}"/>
    <cellStyle name="20% - Ênfase4 4 2 2 2" xfId="26159" xr:uid="{00000000-0005-0000-0000-0000B6010000}"/>
    <cellStyle name="20% - Ênfase4 4 2 3" xfId="258" xr:uid="{00000000-0005-0000-0000-0000B7010000}"/>
    <cellStyle name="20% - Ênfase4 4 2 3 2" xfId="26160" xr:uid="{00000000-0005-0000-0000-0000B8010000}"/>
    <cellStyle name="20% - Ênfase4 4 2 4" xfId="26161" xr:uid="{00000000-0005-0000-0000-0000B9010000}"/>
    <cellStyle name="20% - Ênfase4 4 3" xfId="259" xr:uid="{00000000-0005-0000-0000-0000BA010000}"/>
    <cellStyle name="20% - Ênfase4 4 3 2" xfId="26162" xr:uid="{00000000-0005-0000-0000-0000BB010000}"/>
    <cellStyle name="20% - Ênfase4 4 4" xfId="260" xr:uid="{00000000-0005-0000-0000-0000BC010000}"/>
    <cellStyle name="20% - Ênfase4 4 4 2" xfId="26163" xr:uid="{00000000-0005-0000-0000-0000BD010000}"/>
    <cellStyle name="20% - Ênfase4 4 5" xfId="26164" xr:uid="{00000000-0005-0000-0000-0000BE010000}"/>
    <cellStyle name="20% - Ênfase4 4 5 2" xfId="26165" xr:uid="{00000000-0005-0000-0000-0000BF010000}"/>
    <cellStyle name="20% - Ênfase4 4 6" xfId="26166" xr:uid="{00000000-0005-0000-0000-0000C0010000}"/>
    <cellStyle name="20% - Ênfase4 5" xfId="261" xr:uid="{00000000-0005-0000-0000-0000C1010000}"/>
    <cellStyle name="20% - Ênfase4 5 2" xfId="262" xr:uid="{00000000-0005-0000-0000-0000C2010000}"/>
    <cellStyle name="20% - Ênfase4 5 2 2" xfId="263" xr:uid="{00000000-0005-0000-0000-0000C3010000}"/>
    <cellStyle name="20% - Ênfase4 5 2 2 2" xfId="26167" xr:uid="{00000000-0005-0000-0000-0000C4010000}"/>
    <cellStyle name="20% - Ênfase4 5 2 3" xfId="264" xr:uid="{00000000-0005-0000-0000-0000C5010000}"/>
    <cellStyle name="20% - Ênfase4 5 2 3 2" xfId="26168" xr:uid="{00000000-0005-0000-0000-0000C6010000}"/>
    <cellStyle name="20% - Ênfase4 5 2 4" xfId="26169" xr:uid="{00000000-0005-0000-0000-0000C7010000}"/>
    <cellStyle name="20% - Ênfase4 5 3" xfId="265" xr:uid="{00000000-0005-0000-0000-0000C8010000}"/>
    <cellStyle name="20% - Ênfase4 5 3 2" xfId="26170" xr:uid="{00000000-0005-0000-0000-0000C9010000}"/>
    <cellStyle name="20% - Ênfase4 5 4" xfId="266" xr:uid="{00000000-0005-0000-0000-0000CA010000}"/>
    <cellStyle name="20% - Ênfase4 5 4 2" xfId="26171" xr:uid="{00000000-0005-0000-0000-0000CB010000}"/>
    <cellStyle name="20% - Ênfase4 5 5" xfId="26172" xr:uid="{00000000-0005-0000-0000-0000CC010000}"/>
    <cellStyle name="20% - Ênfase4 5 5 2" xfId="26173" xr:uid="{00000000-0005-0000-0000-0000CD010000}"/>
    <cellStyle name="20% - Ênfase4 5 6" xfId="26174" xr:uid="{00000000-0005-0000-0000-0000CE010000}"/>
    <cellStyle name="20% - Ênfase4 6" xfId="267" xr:uid="{00000000-0005-0000-0000-0000CF010000}"/>
    <cellStyle name="20% - Ênfase4 6 2" xfId="268" xr:uid="{00000000-0005-0000-0000-0000D0010000}"/>
    <cellStyle name="20% - Ênfase4 6 2 2" xfId="269" xr:uid="{00000000-0005-0000-0000-0000D1010000}"/>
    <cellStyle name="20% - Ênfase4 6 2 2 2" xfId="26175" xr:uid="{00000000-0005-0000-0000-0000D2010000}"/>
    <cellStyle name="20% - Ênfase4 6 2 3" xfId="270" xr:uid="{00000000-0005-0000-0000-0000D3010000}"/>
    <cellStyle name="20% - Ênfase4 6 2 3 2" xfId="26176" xr:uid="{00000000-0005-0000-0000-0000D4010000}"/>
    <cellStyle name="20% - Ênfase4 6 2 4" xfId="26177" xr:uid="{00000000-0005-0000-0000-0000D5010000}"/>
    <cellStyle name="20% - Ênfase4 6 3" xfId="271" xr:uid="{00000000-0005-0000-0000-0000D6010000}"/>
    <cellStyle name="20% - Ênfase4 6 3 2" xfId="26178" xr:uid="{00000000-0005-0000-0000-0000D7010000}"/>
    <cellStyle name="20% - Ênfase4 6 4" xfId="272" xr:uid="{00000000-0005-0000-0000-0000D8010000}"/>
    <cellStyle name="20% - Ênfase4 6 4 2" xfId="26179" xr:uid="{00000000-0005-0000-0000-0000D9010000}"/>
    <cellStyle name="20% - Ênfase4 6 5" xfId="26180" xr:uid="{00000000-0005-0000-0000-0000DA010000}"/>
    <cellStyle name="20% - Ênfase4 6 5 2" xfId="26181" xr:uid="{00000000-0005-0000-0000-0000DB010000}"/>
    <cellStyle name="20% - Ênfase4 6 6" xfId="26182" xr:uid="{00000000-0005-0000-0000-0000DC010000}"/>
    <cellStyle name="20% - Ênfase4 7" xfId="273" xr:uid="{00000000-0005-0000-0000-0000DD010000}"/>
    <cellStyle name="20% - Ênfase4 8" xfId="274" xr:uid="{00000000-0005-0000-0000-0000DE010000}"/>
    <cellStyle name="20% - Ênfase4 8 2" xfId="275" xr:uid="{00000000-0005-0000-0000-0000DF010000}"/>
    <cellStyle name="20% - Ênfase4 8 2 2" xfId="26183" xr:uid="{00000000-0005-0000-0000-0000E0010000}"/>
    <cellStyle name="20% - Ênfase4 8 3" xfId="276" xr:uid="{00000000-0005-0000-0000-0000E1010000}"/>
    <cellStyle name="20% - Ênfase4 8 3 2" xfId="26184" xr:uid="{00000000-0005-0000-0000-0000E2010000}"/>
    <cellStyle name="20% - Ênfase4 8 4" xfId="26185" xr:uid="{00000000-0005-0000-0000-0000E3010000}"/>
    <cellStyle name="20% - Ênfase4 9" xfId="277" xr:uid="{00000000-0005-0000-0000-0000E4010000}"/>
    <cellStyle name="20% - Ênfase4 9 2" xfId="26186" xr:uid="{00000000-0005-0000-0000-0000E5010000}"/>
    <cellStyle name="20% - Ênfase5" xfId="51" builtinId="46" customBuiltin="1"/>
    <cellStyle name="20% - Ênfase5 10" xfId="278" xr:uid="{00000000-0005-0000-0000-0000E7010000}"/>
    <cellStyle name="20% - Ênfase5 10 2" xfId="26187" xr:uid="{00000000-0005-0000-0000-0000E8010000}"/>
    <cellStyle name="20% - Ênfase5 11" xfId="26188" xr:uid="{00000000-0005-0000-0000-0000E9010000}"/>
    <cellStyle name="20% - Ênfase5 11 2" xfId="26189" xr:uid="{00000000-0005-0000-0000-0000EA010000}"/>
    <cellStyle name="20% - Ênfase5 12" xfId="26190" xr:uid="{00000000-0005-0000-0000-0000EB010000}"/>
    <cellStyle name="20% - Ênfase5 12 2" xfId="26191" xr:uid="{00000000-0005-0000-0000-0000EC010000}"/>
    <cellStyle name="20% - Ênfase5 13" xfId="26192" xr:uid="{00000000-0005-0000-0000-0000ED010000}"/>
    <cellStyle name="20% - Ênfase5 14" xfId="26193" xr:uid="{00000000-0005-0000-0000-0000EE010000}"/>
    <cellStyle name="20% - Ênfase5 2" xfId="279" xr:uid="{00000000-0005-0000-0000-0000EF010000}"/>
    <cellStyle name="20% - Ênfase5 2 10" xfId="26194" xr:uid="{00000000-0005-0000-0000-0000F0010000}"/>
    <cellStyle name="20% - Ênfase5 2 11" xfId="26195" xr:uid="{00000000-0005-0000-0000-0000F1010000}"/>
    <cellStyle name="20% - Ênfase5 2 2" xfId="280" xr:uid="{00000000-0005-0000-0000-0000F2010000}"/>
    <cellStyle name="20% - Ênfase5 2 2 2" xfId="281" xr:uid="{00000000-0005-0000-0000-0000F3010000}"/>
    <cellStyle name="20% - Ênfase5 2 2 2 2" xfId="282" xr:uid="{00000000-0005-0000-0000-0000F4010000}"/>
    <cellStyle name="20% - Ênfase5 2 2 2 2 2" xfId="26196" xr:uid="{00000000-0005-0000-0000-0000F5010000}"/>
    <cellStyle name="20% - Ênfase5 2 2 2 3" xfId="283" xr:uid="{00000000-0005-0000-0000-0000F6010000}"/>
    <cellStyle name="20% - Ênfase5 2 2 2 3 2" xfId="26197" xr:uid="{00000000-0005-0000-0000-0000F7010000}"/>
    <cellStyle name="20% - Ênfase5 2 2 2 4" xfId="26198" xr:uid="{00000000-0005-0000-0000-0000F8010000}"/>
    <cellStyle name="20% - Ênfase5 2 2 3" xfId="284" xr:uid="{00000000-0005-0000-0000-0000F9010000}"/>
    <cellStyle name="20% - Ênfase5 2 2 3 2" xfId="26199" xr:uid="{00000000-0005-0000-0000-0000FA010000}"/>
    <cellStyle name="20% - Ênfase5 2 2 4" xfId="285" xr:uid="{00000000-0005-0000-0000-0000FB010000}"/>
    <cellStyle name="20% - Ênfase5 2 2 4 2" xfId="26200" xr:uid="{00000000-0005-0000-0000-0000FC010000}"/>
    <cellStyle name="20% - Ênfase5 2 2 5" xfId="26201" xr:uid="{00000000-0005-0000-0000-0000FD010000}"/>
    <cellStyle name="20% - Ênfase5 2 2 5 2" xfId="26202" xr:uid="{00000000-0005-0000-0000-0000FE010000}"/>
    <cellStyle name="20% - Ênfase5 2 2 6" xfId="26203" xr:uid="{00000000-0005-0000-0000-0000FF010000}"/>
    <cellStyle name="20% - Ênfase5 2 3" xfId="286" xr:uid="{00000000-0005-0000-0000-000000020000}"/>
    <cellStyle name="20% - Ênfase5 2 3 2" xfId="287" xr:uid="{00000000-0005-0000-0000-000001020000}"/>
    <cellStyle name="20% - Ênfase5 2 3 2 2" xfId="288" xr:uid="{00000000-0005-0000-0000-000002020000}"/>
    <cellStyle name="20% - Ênfase5 2 3 2 2 2" xfId="26204" xr:uid="{00000000-0005-0000-0000-000003020000}"/>
    <cellStyle name="20% - Ênfase5 2 3 2 3" xfId="289" xr:uid="{00000000-0005-0000-0000-000004020000}"/>
    <cellStyle name="20% - Ênfase5 2 3 2 3 2" xfId="26205" xr:uid="{00000000-0005-0000-0000-000005020000}"/>
    <cellStyle name="20% - Ênfase5 2 3 2 4" xfId="26206" xr:uid="{00000000-0005-0000-0000-000006020000}"/>
    <cellStyle name="20% - Ênfase5 2 3 3" xfId="290" xr:uid="{00000000-0005-0000-0000-000007020000}"/>
    <cellStyle name="20% - Ênfase5 2 3 3 2" xfId="26207" xr:uid="{00000000-0005-0000-0000-000008020000}"/>
    <cellStyle name="20% - Ênfase5 2 3 4" xfId="291" xr:uid="{00000000-0005-0000-0000-000009020000}"/>
    <cellStyle name="20% - Ênfase5 2 3 4 2" xfId="26208" xr:uid="{00000000-0005-0000-0000-00000A020000}"/>
    <cellStyle name="20% - Ênfase5 2 3 5" xfId="26209" xr:uid="{00000000-0005-0000-0000-00000B020000}"/>
    <cellStyle name="20% - Ênfase5 2 3 5 2" xfId="26210" xr:uid="{00000000-0005-0000-0000-00000C020000}"/>
    <cellStyle name="20% - Ênfase5 2 3 6" xfId="26211" xr:uid="{00000000-0005-0000-0000-00000D020000}"/>
    <cellStyle name="20% - Ênfase5 2 4" xfId="292" xr:uid="{00000000-0005-0000-0000-00000E020000}"/>
    <cellStyle name="20% - Ênfase5 2 4 2" xfId="293" xr:uid="{00000000-0005-0000-0000-00000F020000}"/>
    <cellStyle name="20% - Ênfase5 2 4 2 2" xfId="26212" xr:uid="{00000000-0005-0000-0000-000010020000}"/>
    <cellStyle name="20% - Ênfase5 2 4 3" xfId="294" xr:uid="{00000000-0005-0000-0000-000011020000}"/>
    <cellStyle name="20% - Ênfase5 2 4 3 2" xfId="26213" xr:uid="{00000000-0005-0000-0000-000012020000}"/>
    <cellStyle name="20% - Ênfase5 2 4 4" xfId="26214" xr:uid="{00000000-0005-0000-0000-000013020000}"/>
    <cellStyle name="20% - Ênfase5 2 5" xfId="295" xr:uid="{00000000-0005-0000-0000-000014020000}"/>
    <cellStyle name="20% - Ênfase5 2 5 2" xfId="26215" xr:uid="{00000000-0005-0000-0000-000015020000}"/>
    <cellStyle name="20% - Ênfase5 2 6" xfId="296" xr:uid="{00000000-0005-0000-0000-000016020000}"/>
    <cellStyle name="20% - Ênfase5 2 6 2" xfId="26216" xr:uid="{00000000-0005-0000-0000-000017020000}"/>
    <cellStyle name="20% - Ênfase5 2 7" xfId="297" xr:uid="{00000000-0005-0000-0000-000018020000}"/>
    <cellStyle name="20% - Ênfase5 2 7 2" xfId="26217" xr:uid="{00000000-0005-0000-0000-000019020000}"/>
    <cellStyle name="20% - Ênfase5 2 8" xfId="26218" xr:uid="{00000000-0005-0000-0000-00001A020000}"/>
    <cellStyle name="20% - Ênfase5 2 9" xfId="26219" xr:uid="{00000000-0005-0000-0000-00001B020000}"/>
    <cellStyle name="20% - Ênfase5 3" xfId="298" xr:uid="{00000000-0005-0000-0000-00001C020000}"/>
    <cellStyle name="20% - Ênfase5 3 2" xfId="299" xr:uid="{00000000-0005-0000-0000-00001D020000}"/>
    <cellStyle name="20% - Ênfase5 3 3" xfId="300" xr:uid="{00000000-0005-0000-0000-00001E020000}"/>
    <cellStyle name="20% - Ênfase5 3 3 2" xfId="301" xr:uid="{00000000-0005-0000-0000-00001F020000}"/>
    <cellStyle name="20% - Ênfase5 3 3 2 2" xfId="26220" xr:uid="{00000000-0005-0000-0000-000020020000}"/>
    <cellStyle name="20% - Ênfase5 3 3 3" xfId="302" xr:uid="{00000000-0005-0000-0000-000021020000}"/>
    <cellStyle name="20% - Ênfase5 3 3 3 2" xfId="26221" xr:uid="{00000000-0005-0000-0000-000022020000}"/>
    <cellStyle name="20% - Ênfase5 3 3 4" xfId="26222" xr:uid="{00000000-0005-0000-0000-000023020000}"/>
    <cellStyle name="20% - Ênfase5 3 4" xfId="303" xr:uid="{00000000-0005-0000-0000-000024020000}"/>
    <cellStyle name="20% - Ênfase5 3 4 2" xfId="26223" xr:uid="{00000000-0005-0000-0000-000025020000}"/>
    <cellStyle name="20% - Ênfase5 3 5" xfId="304" xr:uid="{00000000-0005-0000-0000-000026020000}"/>
    <cellStyle name="20% - Ênfase5 3 5 2" xfId="26224" xr:uid="{00000000-0005-0000-0000-000027020000}"/>
    <cellStyle name="20% - Ênfase5 3 6" xfId="26225" xr:uid="{00000000-0005-0000-0000-000028020000}"/>
    <cellStyle name="20% - Ênfase5 3 6 2" xfId="26226" xr:uid="{00000000-0005-0000-0000-000029020000}"/>
    <cellStyle name="20% - Ênfase5 3 7" xfId="26227" xr:uid="{00000000-0005-0000-0000-00002A020000}"/>
    <cellStyle name="20% - Ênfase5 4" xfId="305" xr:uid="{00000000-0005-0000-0000-00002B020000}"/>
    <cellStyle name="20% - Ênfase5 4 2" xfId="306" xr:uid="{00000000-0005-0000-0000-00002C020000}"/>
    <cellStyle name="20% - Ênfase5 4 2 2" xfId="307" xr:uid="{00000000-0005-0000-0000-00002D020000}"/>
    <cellStyle name="20% - Ênfase5 4 2 2 2" xfId="26228" xr:uid="{00000000-0005-0000-0000-00002E020000}"/>
    <cellStyle name="20% - Ênfase5 4 2 3" xfId="308" xr:uid="{00000000-0005-0000-0000-00002F020000}"/>
    <cellStyle name="20% - Ênfase5 4 2 3 2" xfId="26229" xr:uid="{00000000-0005-0000-0000-000030020000}"/>
    <cellStyle name="20% - Ênfase5 4 2 4" xfId="26230" xr:uid="{00000000-0005-0000-0000-000031020000}"/>
    <cellStyle name="20% - Ênfase5 4 3" xfId="309" xr:uid="{00000000-0005-0000-0000-000032020000}"/>
    <cellStyle name="20% - Ênfase5 4 3 2" xfId="26231" xr:uid="{00000000-0005-0000-0000-000033020000}"/>
    <cellStyle name="20% - Ênfase5 4 4" xfId="310" xr:uid="{00000000-0005-0000-0000-000034020000}"/>
    <cellStyle name="20% - Ênfase5 4 4 2" xfId="26232" xr:uid="{00000000-0005-0000-0000-000035020000}"/>
    <cellStyle name="20% - Ênfase5 4 5" xfId="26233" xr:uid="{00000000-0005-0000-0000-000036020000}"/>
    <cellStyle name="20% - Ênfase5 4 5 2" xfId="26234" xr:uid="{00000000-0005-0000-0000-000037020000}"/>
    <cellStyle name="20% - Ênfase5 4 6" xfId="26235" xr:uid="{00000000-0005-0000-0000-000038020000}"/>
    <cellStyle name="20% - Ênfase5 5" xfId="311" xr:uid="{00000000-0005-0000-0000-000039020000}"/>
    <cellStyle name="20% - Ênfase5 5 2" xfId="312" xr:uid="{00000000-0005-0000-0000-00003A020000}"/>
    <cellStyle name="20% - Ênfase5 5 2 2" xfId="313" xr:uid="{00000000-0005-0000-0000-00003B020000}"/>
    <cellStyle name="20% - Ênfase5 5 2 2 2" xfId="26236" xr:uid="{00000000-0005-0000-0000-00003C020000}"/>
    <cellStyle name="20% - Ênfase5 5 2 3" xfId="314" xr:uid="{00000000-0005-0000-0000-00003D020000}"/>
    <cellStyle name="20% - Ênfase5 5 2 3 2" xfId="26237" xr:uid="{00000000-0005-0000-0000-00003E020000}"/>
    <cellStyle name="20% - Ênfase5 5 2 4" xfId="26238" xr:uid="{00000000-0005-0000-0000-00003F020000}"/>
    <cellStyle name="20% - Ênfase5 5 3" xfId="315" xr:uid="{00000000-0005-0000-0000-000040020000}"/>
    <cellStyle name="20% - Ênfase5 5 3 2" xfId="26239" xr:uid="{00000000-0005-0000-0000-000041020000}"/>
    <cellStyle name="20% - Ênfase5 5 4" xfId="316" xr:uid="{00000000-0005-0000-0000-000042020000}"/>
    <cellStyle name="20% - Ênfase5 5 4 2" xfId="26240" xr:uid="{00000000-0005-0000-0000-000043020000}"/>
    <cellStyle name="20% - Ênfase5 5 5" xfId="26241" xr:uid="{00000000-0005-0000-0000-000044020000}"/>
    <cellStyle name="20% - Ênfase5 5 5 2" xfId="26242" xr:uid="{00000000-0005-0000-0000-000045020000}"/>
    <cellStyle name="20% - Ênfase5 5 6" xfId="26243" xr:uid="{00000000-0005-0000-0000-000046020000}"/>
    <cellStyle name="20% - Ênfase5 6" xfId="317" xr:uid="{00000000-0005-0000-0000-000047020000}"/>
    <cellStyle name="20% - Ênfase5 6 2" xfId="318" xr:uid="{00000000-0005-0000-0000-000048020000}"/>
    <cellStyle name="20% - Ênfase5 6 2 2" xfId="319" xr:uid="{00000000-0005-0000-0000-000049020000}"/>
    <cellStyle name="20% - Ênfase5 6 2 2 2" xfId="26244" xr:uid="{00000000-0005-0000-0000-00004A020000}"/>
    <cellStyle name="20% - Ênfase5 6 2 3" xfId="320" xr:uid="{00000000-0005-0000-0000-00004B020000}"/>
    <cellStyle name="20% - Ênfase5 6 2 3 2" xfId="26245" xr:uid="{00000000-0005-0000-0000-00004C020000}"/>
    <cellStyle name="20% - Ênfase5 6 2 4" xfId="26246" xr:uid="{00000000-0005-0000-0000-00004D020000}"/>
    <cellStyle name="20% - Ênfase5 6 3" xfId="321" xr:uid="{00000000-0005-0000-0000-00004E020000}"/>
    <cellStyle name="20% - Ênfase5 6 3 2" xfId="26247" xr:uid="{00000000-0005-0000-0000-00004F020000}"/>
    <cellStyle name="20% - Ênfase5 6 4" xfId="322" xr:uid="{00000000-0005-0000-0000-000050020000}"/>
    <cellStyle name="20% - Ênfase5 6 4 2" xfId="26248" xr:uid="{00000000-0005-0000-0000-000051020000}"/>
    <cellStyle name="20% - Ênfase5 6 5" xfId="26249" xr:uid="{00000000-0005-0000-0000-000052020000}"/>
    <cellStyle name="20% - Ênfase5 6 5 2" xfId="26250" xr:uid="{00000000-0005-0000-0000-000053020000}"/>
    <cellStyle name="20% - Ênfase5 6 6" xfId="26251" xr:uid="{00000000-0005-0000-0000-000054020000}"/>
    <cellStyle name="20% - Ênfase5 7" xfId="323" xr:uid="{00000000-0005-0000-0000-000055020000}"/>
    <cellStyle name="20% - Ênfase5 8" xfId="324" xr:uid="{00000000-0005-0000-0000-000056020000}"/>
    <cellStyle name="20% - Ênfase5 8 2" xfId="325" xr:uid="{00000000-0005-0000-0000-000057020000}"/>
    <cellStyle name="20% - Ênfase5 8 2 2" xfId="26252" xr:uid="{00000000-0005-0000-0000-000058020000}"/>
    <cellStyle name="20% - Ênfase5 8 3" xfId="326" xr:uid="{00000000-0005-0000-0000-000059020000}"/>
    <cellStyle name="20% - Ênfase5 8 3 2" xfId="26253" xr:uid="{00000000-0005-0000-0000-00005A020000}"/>
    <cellStyle name="20% - Ênfase5 8 4" xfId="26254" xr:uid="{00000000-0005-0000-0000-00005B020000}"/>
    <cellStyle name="20% - Ênfase5 9" xfId="327" xr:uid="{00000000-0005-0000-0000-00005C020000}"/>
    <cellStyle name="20% - Ênfase5 9 2" xfId="26255" xr:uid="{00000000-0005-0000-0000-00005D020000}"/>
    <cellStyle name="20% - Ênfase6" xfId="55" builtinId="50" customBuiltin="1"/>
    <cellStyle name="20% - Ênfase6 10" xfId="328" xr:uid="{00000000-0005-0000-0000-00005F020000}"/>
    <cellStyle name="20% - Ênfase6 10 2" xfId="26256" xr:uid="{00000000-0005-0000-0000-000060020000}"/>
    <cellStyle name="20% - Ênfase6 11" xfId="26257" xr:uid="{00000000-0005-0000-0000-000061020000}"/>
    <cellStyle name="20% - Ênfase6 11 2" xfId="26258" xr:uid="{00000000-0005-0000-0000-000062020000}"/>
    <cellStyle name="20% - Ênfase6 12" xfId="26259" xr:uid="{00000000-0005-0000-0000-000063020000}"/>
    <cellStyle name="20% - Ênfase6 12 2" xfId="26260" xr:uid="{00000000-0005-0000-0000-000064020000}"/>
    <cellStyle name="20% - Ênfase6 13" xfId="26261" xr:uid="{00000000-0005-0000-0000-000065020000}"/>
    <cellStyle name="20% - Ênfase6 14" xfId="26262" xr:uid="{00000000-0005-0000-0000-000066020000}"/>
    <cellStyle name="20% - Ênfase6 2" xfId="329" xr:uid="{00000000-0005-0000-0000-000067020000}"/>
    <cellStyle name="20% - Ênfase6 2 10" xfId="26263" xr:uid="{00000000-0005-0000-0000-000068020000}"/>
    <cellStyle name="20% - Ênfase6 2 11" xfId="26264" xr:uid="{00000000-0005-0000-0000-000069020000}"/>
    <cellStyle name="20% - Ênfase6 2 2" xfId="330" xr:uid="{00000000-0005-0000-0000-00006A020000}"/>
    <cellStyle name="20% - Ênfase6 2 2 2" xfId="331" xr:uid="{00000000-0005-0000-0000-00006B020000}"/>
    <cellStyle name="20% - Ênfase6 2 2 2 2" xfId="332" xr:uid="{00000000-0005-0000-0000-00006C020000}"/>
    <cellStyle name="20% - Ênfase6 2 2 2 2 2" xfId="26265" xr:uid="{00000000-0005-0000-0000-00006D020000}"/>
    <cellStyle name="20% - Ênfase6 2 2 2 3" xfId="333" xr:uid="{00000000-0005-0000-0000-00006E020000}"/>
    <cellStyle name="20% - Ênfase6 2 2 2 3 2" xfId="26266" xr:uid="{00000000-0005-0000-0000-00006F020000}"/>
    <cellStyle name="20% - Ênfase6 2 2 2 4" xfId="26267" xr:uid="{00000000-0005-0000-0000-000070020000}"/>
    <cellStyle name="20% - Ênfase6 2 2 3" xfId="334" xr:uid="{00000000-0005-0000-0000-000071020000}"/>
    <cellStyle name="20% - Ênfase6 2 2 3 2" xfId="26268" xr:uid="{00000000-0005-0000-0000-000072020000}"/>
    <cellStyle name="20% - Ênfase6 2 2 4" xfId="335" xr:uid="{00000000-0005-0000-0000-000073020000}"/>
    <cellStyle name="20% - Ênfase6 2 2 4 2" xfId="26269" xr:uid="{00000000-0005-0000-0000-000074020000}"/>
    <cellStyle name="20% - Ênfase6 2 2 5" xfId="26270" xr:uid="{00000000-0005-0000-0000-000075020000}"/>
    <cellStyle name="20% - Ênfase6 2 2 5 2" xfId="26271" xr:uid="{00000000-0005-0000-0000-000076020000}"/>
    <cellStyle name="20% - Ênfase6 2 2 6" xfId="26272" xr:uid="{00000000-0005-0000-0000-000077020000}"/>
    <cellStyle name="20% - Ênfase6 2 3" xfId="336" xr:uid="{00000000-0005-0000-0000-000078020000}"/>
    <cellStyle name="20% - Ênfase6 2 3 2" xfId="337" xr:uid="{00000000-0005-0000-0000-000079020000}"/>
    <cellStyle name="20% - Ênfase6 2 3 2 2" xfId="338" xr:uid="{00000000-0005-0000-0000-00007A020000}"/>
    <cellStyle name="20% - Ênfase6 2 3 2 2 2" xfId="26273" xr:uid="{00000000-0005-0000-0000-00007B020000}"/>
    <cellStyle name="20% - Ênfase6 2 3 2 3" xfId="339" xr:uid="{00000000-0005-0000-0000-00007C020000}"/>
    <cellStyle name="20% - Ênfase6 2 3 2 3 2" xfId="26274" xr:uid="{00000000-0005-0000-0000-00007D020000}"/>
    <cellStyle name="20% - Ênfase6 2 3 2 4" xfId="26275" xr:uid="{00000000-0005-0000-0000-00007E020000}"/>
    <cellStyle name="20% - Ênfase6 2 3 3" xfId="340" xr:uid="{00000000-0005-0000-0000-00007F020000}"/>
    <cellStyle name="20% - Ênfase6 2 3 3 2" xfId="26276" xr:uid="{00000000-0005-0000-0000-000080020000}"/>
    <cellStyle name="20% - Ênfase6 2 3 4" xfId="341" xr:uid="{00000000-0005-0000-0000-000081020000}"/>
    <cellStyle name="20% - Ênfase6 2 3 4 2" xfId="26277" xr:uid="{00000000-0005-0000-0000-000082020000}"/>
    <cellStyle name="20% - Ênfase6 2 3 5" xfId="26278" xr:uid="{00000000-0005-0000-0000-000083020000}"/>
    <cellStyle name="20% - Ênfase6 2 3 5 2" xfId="26279" xr:uid="{00000000-0005-0000-0000-000084020000}"/>
    <cellStyle name="20% - Ênfase6 2 3 6" xfId="26280" xr:uid="{00000000-0005-0000-0000-000085020000}"/>
    <cellStyle name="20% - Ênfase6 2 4" xfId="342" xr:uid="{00000000-0005-0000-0000-000086020000}"/>
    <cellStyle name="20% - Ênfase6 2 4 2" xfId="343" xr:uid="{00000000-0005-0000-0000-000087020000}"/>
    <cellStyle name="20% - Ênfase6 2 4 2 2" xfId="26281" xr:uid="{00000000-0005-0000-0000-000088020000}"/>
    <cellStyle name="20% - Ênfase6 2 4 3" xfId="344" xr:uid="{00000000-0005-0000-0000-000089020000}"/>
    <cellStyle name="20% - Ênfase6 2 4 3 2" xfId="26282" xr:uid="{00000000-0005-0000-0000-00008A020000}"/>
    <cellStyle name="20% - Ênfase6 2 4 4" xfId="26283" xr:uid="{00000000-0005-0000-0000-00008B020000}"/>
    <cellStyle name="20% - Ênfase6 2 5" xfId="345" xr:uid="{00000000-0005-0000-0000-00008C020000}"/>
    <cellStyle name="20% - Ênfase6 2 5 2" xfId="26284" xr:uid="{00000000-0005-0000-0000-00008D020000}"/>
    <cellStyle name="20% - Ênfase6 2 6" xfId="346" xr:uid="{00000000-0005-0000-0000-00008E020000}"/>
    <cellStyle name="20% - Ênfase6 2 6 2" xfId="26285" xr:uid="{00000000-0005-0000-0000-00008F020000}"/>
    <cellStyle name="20% - Ênfase6 2 7" xfId="347" xr:uid="{00000000-0005-0000-0000-000090020000}"/>
    <cellStyle name="20% - Ênfase6 2 7 2" xfId="26286" xr:uid="{00000000-0005-0000-0000-000091020000}"/>
    <cellStyle name="20% - Ênfase6 2 8" xfId="26287" xr:uid="{00000000-0005-0000-0000-000092020000}"/>
    <cellStyle name="20% - Ênfase6 2 9" xfId="26288" xr:uid="{00000000-0005-0000-0000-000093020000}"/>
    <cellStyle name="20% - Ênfase6 3" xfId="348" xr:uid="{00000000-0005-0000-0000-000094020000}"/>
    <cellStyle name="20% - Ênfase6 3 2" xfId="349" xr:uid="{00000000-0005-0000-0000-000095020000}"/>
    <cellStyle name="20% - Ênfase6 3 3" xfId="350" xr:uid="{00000000-0005-0000-0000-000096020000}"/>
    <cellStyle name="20% - Ênfase6 3 3 2" xfId="351" xr:uid="{00000000-0005-0000-0000-000097020000}"/>
    <cellStyle name="20% - Ênfase6 3 3 2 2" xfId="26289" xr:uid="{00000000-0005-0000-0000-000098020000}"/>
    <cellStyle name="20% - Ênfase6 3 3 3" xfId="352" xr:uid="{00000000-0005-0000-0000-000099020000}"/>
    <cellStyle name="20% - Ênfase6 3 3 3 2" xfId="26290" xr:uid="{00000000-0005-0000-0000-00009A020000}"/>
    <cellStyle name="20% - Ênfase6 3 3 4" xfId="26291" xr:uid="{00000000-0005-0000-0000-00009B020000}"/>
    <cellStyle name="20% - Ênfase6 3 4" xfId="353" xr:uid="{00000000-0005-0000-0000-00009C020000}"/>
    <cellStyle name="20% - Ênfase6 3 4 2" xfId="26292" xr:uid="{00000000-0005-0000-0000-00009D020000}"/>
    <cellStyle name="20% - Ênfase6 3 5" xfId="354" xr:uid="{00000000-0005-0000-0000-00009E020000}"/>
    <cellStyle name="20% - Ênfase6 3 5 2" xfId="26293" xr:uid="{00000000-0005-0000-0000-00009F020000}"/>
    <cellStyle name="20% - Ênfase6 3 6" xfId="26294" xr:uid="{00000000-0005-0000-0000-0000A0020000}"/>
    <cellStyle name="20% - Ênfase6 3 6 2" xfId="26295" xr:uid="{00000000-0005-0000-0000-0000A1020000}"/>
    <cellStyle name="20% - Ênfase6 3 7" xfId="26296" xr:uid="{00000000-0005-0000-0000-0000A2020000}"/>
    <cellStyle name="20% - Ênfase6 4" xfId="355" xr:uid="{00000000-0005-0000-0000-0000A3020000}"/>
    <cellStyle name="20% - Ênfase6 4 2" xfId="356" xr:uid="{00000000-0005-0000-0000-0000A4020000}"/>
    <cellStyle name="20% - Ênfase6 4 2 2" xfId="357" xr:uid="{00000000-0005-0000-0000-0000A5020000}"/>
    <cellStyle name="20% - Ênfase6 4 2 2 2" xfId="26297" xr:uid="{00000000-0005-0000-0000-0000A6020000}"/>
    <cellStyle name="20% - Ênfase6 4 2 3" xfId="358" xr:uid="{00000000-0005-0000-0000-0000A7020000}"/>
    <cellStyle name="20% - Ênfase6 4 2 3 2" xfId="26298" xr:uid="{00000000-0005-0000-0000-0000A8020000}"/>
    <cellStyle name="20% - Ênfase6 4 2 4" xfId="26299" xr:uid="{00000000-0005-0000-0000-0000A9020000}"/>
    <cellStyle name="20% - Ênfase6 4 3" xfId="359" xr:uid="{00000000-0005-0000-0000-0000AA020000}"/>
    <cellStyle name="20% - Ênfase6 4 3 2" xfId="26300" xr:uid="{00000000-0005-0000-0000-0000AB020000}"/>
    <cellStyle name="20% - Ênfase6 4 4" xfId="360" xr:uid="{00000000-0005-0000-0000-0000AC020000}"/>
    <cellStyle name="20% - Ênfase6 4 4 2" xfId="26301" xr:uid="{00000000-0005-0000-0000-0000AD020000}"/>
    <cellStyle name="20% - Ênfase6 4 5" xfId="26302" xr:uid="{00000000-0005-0000-0000-0000AE020000}"/>
    <cellStyle name="20% - Ênfase6 4 5 2" xfId="26303" xr:uid="{00000000-0005-0000-0000-0000AF020000}"/>
    <cellStyle name="20% - Ênfase6 4 6" xfId="26304" xr:uid="{00000000-0005-0000-0000-0000B0020000}"/>
    <cellStyle name="20% - Ênfase6 5" xfId="361" xr:uid="{00000000-0005-0000-0000-0000B1020000}"/>
    <cellStyle name="20% - Ênfase6 5 2" xfId="362" xr:uid="{00000000-0005-0000-0000-0000B2020000}"/>
    <cellStyle name="20% - Ênfase6 5 2 2" xfId="363" xr:uid="{00000000-0005-0000-0000-0000B3020000}"/>
    <cellStyle name="20% - Ênfase6 5 2 2 2" xfId="26305" xr:uid="{00000000-0005-0000-0000-0000B4020000}"/>
    <cellStyle name="20% - Ênfase6 5 2 3" xfId="364" xr:uid="{00000000-0005-0000-0000-0000B5020000}"/>
    <cellStyle name="20% - Ênfase6 5 2 3 2" xfId="26306" xr:uid="{00000000-0005-0000-0000-0000B6020000}"/>
    <cellStyle name="20% - Ênfase6 5 2 4" xfId="26307" xr:uid="{00000000-0005-0000-0000-0000B7020000}"/>
    <cellStyle name="20% - Ênfase6 5 3" xfId="365" xr:uid="{00000000-0005-0000-0000-0000B8020000}"/>
    <cellStyle name="20% - Ênfase6 5 3 2" xfId="26308" xr:uid="{00000000-0005-0000-0000-0000B9020000}"/>
    <cellStyle name="20% - Ênfase6 5 4" xfId="366" xr:uid="{00000000-0005-0000-0000-0000BA020000}"/>
    <cellStyle name="20% - Ênfase6 5 4 2" xfId="26309" xr:uid="{00000000-0005-0000-0000-0000BB020000}"/>
    <cellStyle name="20% - Ênfase6 5 5" xfId="26310" xr:uid="{00000000-0005-0000-0000-0000BC020000}"/>
    <cellStyle name="20% - Ênfase6 5 5 2" xfId="26311" xr:uid="{00000000-0005-0000-0000-0000BD020000}"/>
    <cellStyle name="20% - Ênfase6 5 6" xfId="26312" xr:uid="{00000000-0005-0000-0000-0000BE020000}"/>
    <cellStyle name="20% - Ênfase6 6" xfId="367" xr:uid="{00000000-0005-0000-0000-0000BF020000}"/>
    <cellStyle name="20% - Ênfase6 6 2" xfId="368" xr:uid="{00000000-0005-0000-0000-0000C0020000}"/>
    <cellStyle name="20% - Ênfase6 6 2 2" xfId="369" xr:uid="{00000000-0005-0000-0000-0000C1020000}"/>
    <cellStyle name="20% - Ênfase6 6 2 2 2" xfId="26313" xr:uid="{00000000-0005-0000-0000-0000C2020000}"/>
    <cellStyle name="20% - Ênfase6 6 2 3" xfId="370" xr:uid="{00000000-0005-0000-0000-0000C3020000}"/>
    <cellStyle name="20% - Ênfase6 6 2 3 2" xfId="26314" xr:uid="{00000000-0005-0000-0000-0000C4020000}"/>
    <cellStyle name="20% - Ênfase6 6 2 4" xfId="26315" xr:uid="{00000000-0005-0000-0000-0000C5020000}"/>
    <cellStyle name="20% - Ênfase6 6 3" xfId="371" xr:uid="{00000000-0005-0000-0000-0000C6020000}"/>
    <cellStyle name="20% - Ênfase6 6 3 2" xfId="26316" xr:uid="{00000000-0005-0000-0000-0000C7020000}"/>
    <cellStyle name="20% - Ênfase6 6 4" xfId="372" xr:uid="{00000000-0005-0000-0000-0000C8020000}"/>
    <cellStyle name="20% - Ênfase6 6 4 2" xfId="26317" xr:uid="{00000000-0005-0000-0000-0000C9020000}"/>
    <cellStyle name="20% - Ênfase6 6 5" xfId="26318" xr:uid="{00000000-0005-0000-0000-0000CA020000}"/>
    <cellStyle name="20% - Ênfase6 6 5 2" xfId="26319" xr:uid="{00000000-0005-0000-0000-0000CB020000}"/>
    <cellStyle name="20% - Ênfase6 6 6" xfId="26320" xr:uid="{00000000-0005-0000-0000-0000CC020000}"/>
    <cellStyle name="20% - Ênfase6 7" xfId="373" xr:uid="{00000000-0005-0000-0000-0000CD020000}"/>
    <cellStyle name="20% - Ênfase6 8" xfId="374" xr:uid="{00000000-0005-0000-0000-0000CE020000}"/>
    <cellStyle name="20% - Ênfase6 8 2" xfId="375" xr:uid="{00000000-0005-0000-0000-0000CF020000}"/>
    <cellStyle name="20% - Ênfase6 8 2 2" xfId="26321" xr:uid="{00000000-0005-0000-0000-0000D0020000}"/>
    <cellStyle name="20% - Ênfase6 8 3" xfId="376" xr:uid="{00000000-0005-0000-0000-0000D1020000}"/>
    <cellStyle name="20% - Ênfase6 8 3 2" xfId="26322" xr:uid="{00000000-0005-0000-0000-0000D2020000}"/>
    <cellStyle name="20% - Ênfase6 8 4" xfId="26323" xr:uid="{00000000-0005-0000-0000-0000D3020000}"/>
    <cellStyle name="20% - Ênfase6 9" xfId="377" xr:uid="{00000000-0005-0000-0000-0000D4020000}"/>
    <cellStyle name="20% - Ênfase6 9 2" xfId="26324" xr:uid="{00000000-0005-0000-0000-0000D5020000}"/>
    <cellStyle name="40% - Accent1" xfId="378" xr:uid="{00000000-0005-0000-0000-0000D6020000}"/>
    <cellStyle name="40% - Accent2" xfId="379" xr:uid="{00000000-0005-0000-0000-0000D7020000}"/>
    <cellStyle name="40% - Accent3" xfId="380" xr:uid="{00000000-0005-0000-0000-0000D8020000}"/>
    <cellStyle name="40% - Accent4" xfId="381" xr:uid="{00000000-0005-0000-0000-0000D9020000}"/>
    <cellStyle name="40% - Accent5" xfId="382" xr:uid="{00000000-0005-0000-0000-0000DA020000}"/>
    <cellStyle name="40% - Accent6" xfId="383" xr:uid="{00000000-0005-0000-0000-0000DB020000}"/>
    <cellStyle name="40% - Ênfase1" xfId="37" builtinId="31" customBuiltin="1"/>
    <cellStyle name="40% - Ênfase1 10" xfId="384" xr:uid="{00000000-0005-0000-0000-0000DD020000}"/>
    <cellStyle name="40% - Ênfase1 10 2" xfId="26325" xr:uid="{00000000-0005-0000-0000-0000DE020000}"/>
    <cellStyle name="40% - Ênfase1 11" xfId="26326" xr:uid="{00000000-0005-0000-0000-0000DF020000}"/>
    <cellStyle name="40% - Ênfase1 11 2" xfId="26327" xr:uid="{00000000-0005-0000-0000-0000E0020000}"/>
    <cellStyle name="40% - Ênfase1 12" xfId="26328" xr:uid="{00000000-0005-0000-0000-0000E1020000}"/>
    <cellStyle name="40% - Ênfase1 12 2" xfId="26329" xr:uid="{00000000-0005-0000-0000-0000E2020000}"/>
    <cellStyle name="40% - Ênfase1 13" xfId="26330" xr:uid="{00000000-0005-0000-0000-0000E3020000}"/>
    <cellStyle name="40% - Ênfase1 14" xfId="26331" xr:uid="{00000000-0005-0000-0000-0000E4020000}"/>
    <cellStyle name="40% - Ênfase1 2" xfId="385" xr:uid="{00000000-0005-0000-0000-0000E5020000}"/>
    <cellStyle name="40% - Ênfase1 2 10" xfId="26332" xr:uid="{00000000-0005-0000-0000-0000E6020000}"/>
    <cellStyle name="40% - Ênfase1 2 11" xfId="26333" xr:uid="{00000000-0005-0000-0000-0000E7020000}"/>
    <cellStyle name="40% - Ênfase1 2 2" xfId="386" xr:uid="{00000000-0005-0000-0000-0000E8020000}"/>
    <cellStyle name="40% - Ênfase1 2 2 2" xfId="387" xr:uid="{00000000-0005-0000-0000-0000E9020000}"/>
    <cellStyle name="40% - Ênfase1 2 2 2 2" xfId="388" xr:uid="{00000000-0005-0000-0000-0000EA020000}"/>
    <cellStyle name="40% - Ênfase1 2 2 2 2 2" xfId="26334" xr:uid="{00000000-0005-0000-0000-0000EB020000}"/>
    <cellStyle name="40% - Ênfase1 2 2 2 3" xfId="389" xr:uid="{00000000-0005-0000-0000-0000EC020000}"/>
    <cellStyle name="40% - Ênfase1 2 2 2 3 2" xfId="26335" xr:uid="{00000000-0005-0000-0000-0000ED020000}"/>
    <cellStyle name="40% - Ênfase1 2 2 2 4" xfId="26336" xr:uid="{00000000-0005-0000-0000-0000EE020000}"/>
    <cellStyle name="40% - Ênfase1 2 2 3" xfId="390" xr:uid="{00000000-0005-0000-0000-0000EF020000}"/>
    <cellStyle name="40% - Ênfase1 2 2 3 2" xfId="26337" xr:uid="{00000000-0005-0000-0000-0000F0020000}"/>
    <cellStyle name="40% - Ênfase1 2 2 4" xfId="391" xr:uid="{00000000-0005-0000-0000-0000F1020000}"/>
    <cellStyle name="40% - Ênfase1 2 2 4 2" xfId="26338" xr:uid="{00000000-0005-0000-0000-0000F2020000}"/>
    <cellStyle name="40% - Ênfase1 2 2 5" xfId="26339" xr:uid="{00000000-0005-0000-0000-0000F3020000}"/>
    <cellStyle name="40% - Ênfase1 2 2 5 2" xfId="26340" xr:uid="{00000000-0005-0000-0000-0000F4020000}"/>
    <cellStyle name="40% - Ênfase1 2 2 6" xfId="26341" xr:uid="{00000000-0005-0000-0000-0000F5020000}"/>
    <cellStyle name="40% - Ênfase1 2 3" xfId="392" xr:uid="{00000000-0005-0000-0000-0000F6020000}"/>
    <cellStyle name="40% - Ênfase1 2 3 2" xfId="393" xr:uid="{00000000-0005-0000-0000-0000F7020000}"/>
    <cellStyle name="40% - Ênfase1 2 3 2 2" xfId="394" xr:uid="{00000000-0005-0000-0000-0000F8020000}"/>
    <cellStyle name="40% - Ênfase1 2 3 2 2 2" xfId="26342" xr:uid="{00000000-0005-0000-0000-0000F9020000}"/>
    <cellStyle name="40% - Ênfase1 2 3 2 3" xfId="395" xr:uid="{00000000-0005-0000-0000-0000FA020000}"/>
    <cellStyle name="40% - Ênfase1 2 3 2 3 2" xfId="26343" xr:uid="{00000000-0005-0000-0000-0000FB020000}"/>
    <cellStyle name="40% - Ênfase1 2 3 2 4" xfId="26344" xr:uid="{00000000-0005-0000-0000-0000FC020000}"/>
    <cellStyle name="40% - Ênfase1 2 3 3" xfId="396" xr:uid="{00000000-0005-0000-0000-0000FD020000}"/>
    <cellStyle name="40% - Ênfase1 2 3 3 2" xfId="26345" xr:uid="{00000000-0005-0000-0000-0000FE020000}"/>
    <cellStyle name="40% - Ênfase1 2 3 4" xfId="397" xr:uid="{00000000-0005-0000-0000-0000FF020000}"/>
    <cellStyle name="40% - Ênfase1 2 3 4 2" xfId="26346" xr:uid="{00000000-0005-0000-0000-000000030000}"/>
    <cellStyle name="40% - Ênfase1 2 3 5" xfId="26347" xr:uid="{00000000-0005-0000-0000-000001030000}"/>
    <cellStyle name="40% - Ênfase1 2 3 5 2" xfId="26348" xr:uid="{00000000-0005-0000-0000-000002030000}"/>
    <cellStyle name="40% - Ênfase1 2 3 6" xfId="26349" xr:uid="{00000000-0005-0000-0000-000003030000}"/>
    <cellStyle name="40% - Ênfase1 2 4" xfId="398" xr:uid="{00000000-0005-0000-0000-000004030000}"/>
    <cellStyle name="40% - Ênfase1 2 4 2" xfId="399" xr:uid="{00000000-0005-0000-0000-000005030000}"/>
    <cellStyle name="40% - Ênfase1 2 4 2 2" xfId="26350" xr:uid="{00000000-0005-0000-0000-000006030000}"/>
    <cellStyle name="40% - Ênfase1 2 4 3" xfId="400" xr:uid="{00000000-0005-0000-0000-000007030000}"/>
    <cellStyle name="40% - Ênfase1 2 4 3 2" xfId="26351" xr:uid="{00000000-0005-0000-0000-000008030000}"/>
    <cellStyle name="40% - Ênfase1 2 4 4" xfId="26352" xr:uid="{00000000-0005-0000-0000-000009030000}"/>
    <cellStyle name="40% - Ênfase1 2 5" xfId="401" xr:uid="{00000000-0005-0000-0000-00000A030000}"/>
    <cellStyle name="40% - Ênfase1 2 5 2" xfId="26353" xr:uid="{00000000-0005-0000-0000-00000B030000}"/>
    <cellStyle name="40% - Ênfase1 2 6" xfId="402" xr:uid="{00000000-0005-0000-0000-00000C030000}"/>
    <cellStyle name="40% - Ênfase1 2 6 2" xfId="26354" xr:uid="{00000000-0005-0000-0000-00000D030000}"/>
    <cellStyle name="40% - Ênfase1 2 7" xfId="403" xr:uid="{00000000-0005-0000-0000-00000E030000}"/>
    <cellStyle name="40% - Ênfase1 2 7 2" xfId="26355" xr:uid="{00000000-0005-0000-0000-00000F030000}"/>
    <cellStyle name="40% - Ênfase1 2 8" xfId="26356" xr:uid="{00000000-0005-0000-0000-000010030000}"/>
    <cellStyle name="40% - Ênfase1 2 9" xfId="26357" xr:uid="{00000000-0005-0000-0000-000011030000}"/>
    <cellStyle name="40% - Ênfase1 3" xfId="404" xr:uid="{00000000-0005-0000-0000-000012030000}"/>
    <cellStyle name="40% - Ênfase1 3 2" xfId="405" xr:uid="{00000000-0005-0000-0000-000013030000}"/>
    <cellStyle name="40% - Ênfase1 3 3" xfId="406" xr:uid="{00000000-0005-0000-0000-000014030000}"/>
    <cellStyle name="40% - Ênfase1 3 3 2" xfId="407" xr:uid="{00000000-0005-0000-0000-000015030000}"/>
    <cellStyle name="40% - Ênfase1 3 3 2 2" xfId="26358" xr:uid="{00000000-0005-0000-0000-000016030000}"/>
    <cellStyle name="40% - Ênfase1 3 3 3" xfId="408" xr:uid="{00000000-0005-0000-0000-000017030000}"/>
    <cellStyle name="40% - Ênfase1 3 3 3 2" xfId="26359" xr:uid="{00000000-0005-0000-0000-000018030000}"/>
    <cellStyle name="40% - Ênfase1 3 3 4" xfId="26360" xr:uid="{00000000-0005-0000-0000-000019030000}"/>
    <cellStyle name="40% - Ênfase1 3 4" xfId="409" xr:uid="{00000000-0005-0000-0000-00001A030000}"/>
    <cellStyle name="40% - Ênfase1 3 4 2" xfId="26361" xr:uid="{00000000-0005-0000-0000-00001B030000}"/>
    <cellStyle name="40% - Ênfase1 3 5" xfId="410" xr:uid="{00000000-0005-0000-0000-00001C030000}"/>
    <cellStyle name="40% - Ênfase1 3 5 2" xfId="26362" xr:uid="{00000000-0005-0000-0000-00001D030000}"/>
    <cellStyle name="40% - Ênfase1 3 6" xfId="26363" xr:uid="{00000000-0005-0000-0000-00001E030000}"/>
    <cellStyle name="40% - Ênfase1 3 6 2" xfId="26364" xr:uid="{00000000-0005-0000-0000-00001F030000}"/>
    <cellStyle name="40% - Ênfase1 3 7" xfId="26365" xr:uid="{00000000-0005-0000-0000-000020030000}"/>
    <cellStyle name="40% - Ênfase1 4" xfId="411" xr:uid="{00000000-0005-0000-0000-000021030000}"/>
    <cellStyle name="40% - Ênfase1 4 2" xfId="412" xr:uid="{00000000-0005-0000-0000-000022030000}"/>
    <cellStyle name="40% - Ênfase1 4 2 2" xfId="413" xr:uid="{00000000-0005-0000-0000-000023030000}"/>
    <cellStyle name="40% - Ênfase1 4 2 2 2" xfId="26366" xr:uid="{00000000-0005-0000-0000-000024030000}"/>
    <cellStyle name="40% - Ênfase1 4 2 3" xfId="414" xr:uid="{00000000-0005-0000-0000-000025030000}"/>
    <cellStyle name="40% - Ênfase1 4 2 3 2" xfId="26367" xr:uid="{00000000-0005-0000-0000-000026030000}"/>
    <cellStyle name="40% - Ênfase1 4 2 4" xfId="26368" xr:uid="{00000000-0005-0000-0000-000027030000}"/>
    <cellStyle name="40% - Ênfase1 4 3" xfId="415" xr:uid="{00000000-0005-0000-0000-000028030000}"/>
    <cellStyle name="40% - Ênfase1 4 3 2" xfId="26369" xr:uid="{00000000-0005-0000-0000-000029030000}"/>
    <cellStyle name="40% - Ênfase1 4 4" xfId="416" xr:uid="{00000000-0005-0000-0000-00002A030000}"/>
    <cellStyle name="40% - Ênfase1 4 4 2" xfId="26370" xr:uid="{00000000-0005-0000-0000-00002B030000}"/>
    <cellStyle name="40% - Ênfase1 4 5" xfId="26371" xr:uid="{00000000-0005-0000-0000-00002C030000}"/>
    <cellStyle name="40% - Ênfase1 4 5 2" xfId="26372" xr:uid="{00000000-0005-0000-0000-00002D030000}"/>
    <cellStyle name="40% - Ênfase1 4 6" xfId="26373" xr:uid="{00000000-0005-0000-0000-00002E030000}"/>
    <cellStyle name="40% - Ênfase1 5" xfId="417" xr:uid="{00000000-0005-0000-0000-00002F030000}"/>
    <cellStyle name="40% - Ênfase1 5 2" xfId="418" xr:uid="{00000000-0005-0000-0000-000030030000}"/>
    <cellStyle name="40% - Ênfase1 5 2 2" xfId="419" xr:uid="{00000000-0005-0000-0000-000031030000}"/>
    <cellStyle name="40% - Ênfase1 5 2 2 2" xfId="26374" xr:uid="{00000000-0005-0000-0000-000032030000}"/>
    <cellStyle name="40% - Ênfase1 5 2 3" xfId="420" xr:uid="{00000000-0005-0000-0000-000033030000}"/>
    <cellStyle name="40% - Ênfase1 5 2 3 2" xfId="26375" xr:uid="{00000000-0005-0000-0000-000034030000}"/>
    <cellStyle name="40% - Ênfase1 5 2 4" xfId="26376" xr:uid="{00000000-0005-0000-0000-000035030000}"/>
    <cellStyle name="40% - Ênfase1 5 3" xfId="421" xr:uid="{00000000-0005-0000-0000-000036030000}"/>
    <cellStyle name="40% - Ênfase1 5 3 2" xfId="26377" xr:uid="{00000000-0005-0000-0000-000037030000}"/>
    <cellStyle name="40% - Ênfase1 5 4" xfId="422" xr:uid="{00000000-0005-0000-0000-000038030000}"/>
    <cellStyle name="40% - Ênfase1 5 4 2" xfId="26378" xr:uid="{00000000-0005-0000-0000-000039030000}"/>
    <cellStyle name="40% - Ênfase1 5 5" xfId="26379" xr:uid="{00000000-0005-0000-0000-00003A030000}"/>
    <cellStyle name="40% - Ênfase1 5 5 2" xfId="26380" xr:uid="{00000000-0005-0000-0000-00003B030000}"/>
    <cellStyle name="40% - Ênfase1 5 6" xfId="26381" xr:uid="{00000000-0005-0000-0000-00003C030000}"/>
    <cellStyle name="40% - Ênfase1 6" xfId="423" xr:uid="{00000000-0005-0000-0000-00003D030000}"/>
    <cellStyle name="40% - Ênfase1 6 2" xfId="424" xr:uid="{00000000-0005-0000-0000-00003E030000}"/>
    <cellStyle name="40% - Ênfase1 6 2 2" xfId="425" xr:uid="{00000000-0005-0000-0000-00003F030000}"/>
    <cellStyle name="40% - Ênfase1 6 2 2 2" xfId="26382" xr:uid="{00000000-0005-0000-0000-000040030000}"/>
    <cellStyle name="40% - Ênfase1 6 2 3" xfId="426" xr:uid="{00000000-0005-0000-0000-000041030000}"/>
    <cellStyle name="40% - Ênfase1 6 2 3 2" xfId="26383" xr:uid="{00000000-0005-0000-0000-000042030000}"/>
    <cellStyle name="40% - Ênfase1 6 2 4" xfId="26384" xr:uid="{00000000-0005-0000-0000-000043030000}"/>
    <cellStyle name="40% - Ênfase1 6 3" xfId="427" xr:uid="{00000000-0005-0000-0000-000044030000}"/>
    <cellStyle name="40% - Ênfase1 6 3 2" xfId="26385" xr:uid="{00000000-0005-0000-0000-000045030000}"/>
    <cellStyle name="40% - Ênfase1 6 4" xfId="428" xr:uid="{00000000-0005-0000-0000-000046030000}"/>
    <cellStyle name="40% - Ênfase1 6 4 2" xfId="26386" xr:uid="{00000000-0005-0000-0000-000047030000}"/>
    <cellStyle name="40% - Ênfase1 6 5" xfId="26387" xr:uid="{00000000-0005-0000-0000-000048030000}"/>
    <cellStyle name="40% - Ênfase1 6 5 2" xfId="26388" xr:uid="{00000000-0005-0000-0000-000049030000}"/>
    <cellStyle name="40% - Ênfase1 6 6" xfId="26389" xr:uid="{00000000-0005-0000-0000-00004A030000}"/>
    <cellStyle name="40% - Ênfase1 7" xfId="429" xr:uid="{00000000-0005-0000-0000-00004B030000}"/>
    <cellStyle name="40% - Ênfase1 8" xfId="430" xr:uid="{00000000-0005-0000-0000-00004C030000}"/>
    <cellStyle name="40% - Ênfase1 8 2" xfId="431" xr:uid="{00000000-0005-0000-0000-00004D030000}"/>
    <cellStyle name="40% - Ênfase1 8 2 2" xfId="26390" xr:uid="{00000000-0005-0000-0000-00004E030000}"/>
    <cellStyle name="40% - Ênfase1 8 3" xfId="432" xr:uid="{00000000-0005-0000-0000-00004F030000}"/>
    <cellStyle name="40% - Ênfase1 8 3 2" xfId="26391" xr:uid="{00000000-0005-0000-0000-000050030000}"/>
    <cellStyle name="40% - Ênfase1 8 4" xfId="26392" xr:uid="{00000000-0005-0000-0000-000051030000}"/>
    <cellStyle name="40% - Ênfase1 9" xfId="433" xr:uid="{00000000-0005-0000-0000-000052030000}"/>
    <cellStyle name="40% - Ênfase1 9 2" xfId="26393" xr:uid="{00000000-0005-0000-0000-000053030000}"/>
    <cellStyle name="40% - Ênfase2" xfId="41" builtinId="35" customBuiltin="1"/>
    <cellStyle name="40% - Ênfase2 10" xfId="434" xr:uid="{00000000-0005-0000-0000-000055030000}"/>
    <cellStyle name="40% - Ênfase2 10 2" xfId="26394" xr:uid="{00000000-0005-0000-0000-000056030000}"/>
    <cellStyle name="40% - Ênfase2 11" xfId="26395" xr:uid="{00000000-0005-0000-0000-000057030000}"/>
    <cellStyle name="40% - Ênfase2 11 2" xfId="26396" xr:uid="{00000000-0005-0000-0000-000058030000}"/>
    <cellStyle name="40% - Ênfase2 12" xfId="26397" xr:uid="{00000000-0005-0000-0000-000059030000}"/>
    <cellStyle name="40% - Ênfase2 12 2" xfId="26398" xr:uid="{00000000-0005-0000-0000-00005A030000}"/>
    <cellStyle name="40% - Ênfase2 13" xfId="26399" xr:uid="{00000000-0005-0000-0000-00005B030000}"/>
    <cellStyle name="40% - Ênfase2 14" xfId="26400" xr:uid="{00000000-0005-0000-0000-00005C030000}"/>
    <cellStyle name="40% - Ênfase2 2" xfId="435" xr:uid="{00000000-0005-0000-0000-00005D030000}"/>
    <cellStyle name="40% - Ênfase2 2 10" xfId="26401" xr:uid="{00000000-0005-0000-0000-00005E030000}"/>
    <cellStyle name="40% - Ênfase2 2 11" xfId="26402" xr:uid="{00000000-0005-0000-0000-00005F030000}"/>
    <cellStyle name="40% - Ênfase2 2 2" xfId="436" xr:uid="{00000000-0005-0000-0000-000060030000}"/>
    <cellStyle name="40% - Ênfase2 2 2 2" xfId="437" xr:uid="{00000000-0005-0000-0000-000061030000}"/>
    <cellStyle name="40% - Ênfase2 2 2 2 2" xfId="438" xr:uid="{00000000-0005-0000-0000-000062030000}"/>
    <cellStyle name="40% - Ênfase2 2 2 2 2 2" xfId="26403" xr:uid="{00000000-0005-0000-0000-000063030000}"/>
    <cellStyle name="40% - Ênfase2 2 2 2 3" xfId="439" xr:uid="{00000000-0005-0000-0000-000064030000}"/>
    <cellStyle name="40% - Ênfase2 2 2 2 3 2" xfId="26404" xr:uid="{00000000-0005-0000-0000-000065030000}"/>
    <cellStyle name="40% - Ênfase2 2 2 2 4" xfId="26405" xr:uid="{00000000-0005-0000-0000-000066030000}"/>
    <cellStyle name="40% - Ênfase2 2 2 3" xfId="440" xr:uid="{00000000-0005-0000-0000-000067030000}"/>
    <cellStyle name="40% - Ênfase2 2 2 3 2" xfId="26406" xr:uid="{00000000-0005-0000-0000-000068030000}"/>
    <cellStyle name="40% - Ênfase2 2 2 4" xfId="441" xr:uid="{00000000-0005-0000-0000-000069030000}"/>
    <cellStyle name="40% - Ênfase2 2 2 4 2" xfId="26407" xr:uid="{00000000-0005-0000-0000-00006A030000}"/>
    <cellStyle name="40% - Ênfase2 2 2 5" xfId="26408" xr:uid="{00000000-0005-0000-0000-00006B030000}"/>
    <cellStyle name="40% - Ênfase2 2 2 5 2" xfId="26409" xr:uid="{00000000-0005-0000-0000-00006C030000}"/>
    <cellStyle name="40% - Ênfase2 2 2 6" xfId="26410" xr:uid="{00000000-0005-0000-0000-00006D030000}"/>
    <cellStyle name="40% - Ênfase2 2 3" xfId="442" xr:uid="{00000000-0005-0000-0000-00006E030000}"/>
    <cellStyle name="40% - Ênfase2 2 3 2" xfId="443" xr:uid="{00000000-0005-0000-0000-00006F030000}"/>
    <cellStyle name="40% - Ênfase2 2 3 2 2" xfId="444" xr:uid="{00000000-0005-0000-0000-000070030000}"/>
    <cellStyle name="40% - Ênfase2 2 3 2 2 2" xfId="26411" xr:uid="{00000000-0005-0000-0000-000071030000}"/>
    <cellStyle name="40% - Ênfase2 2 3 2 3" xfId="445" xr:uid="{00000000-0005-0000-0000-000072030000}"/>
    <cellStyle name="40% - Ênfase2 2 3 2 3 2" xfId="26412" xr:uid="{00000000-0005-0000-0000-000073030000}"/>
    <cellStyle name="40% - Ênfase2 2 3 2 4" xfId="26413" xr:uid="{00000000-0005-0000-0000-000074030000}"/>
    <cellStyle name="40% - Ênfase2 2 3 3" xfId="446" xr:uid="{00000000-0005-0000-0000-000075030000}"/>
    <cellStyle name="40% - Ênfase2 2 3 3 2" xfId="26414" xr:uid="{00000000-0005-0000-0000-000076030000}"/>
    <cellStyle name="40% - Ênfase2 2 3 4" xfId="447" xr:uid="{00000000-0005-0000-0000-000077030000}"/>
    <cellStyle name="40% - Ênfase2 2 3 4 2" xfId="26415" xr:uid="{00000000-0005-0000-0000-000078030000}"/>
    <cellStyle name="40% - Ênfase2 2 3 5" xfId="26416" xr:uid="{00000000-0005-0000-0000-000079030000}"/>
    <cellStyle name="40% - Ênfase2 2 3 5 2" xfId="26417" xr:uid="{00000000-0005-0000-0000-00007A030000}"/>
    <cellStyle name="40% - Ênfase2 2 3 6" xfId="26418" xr:uid="{00000000-0005-0000-0000-00007B030000}"/>
    <cellStyle name="40% - Ênfase2 2 4" xfId="448" xr:uid="{00000000-0005-0000-0000-00007C030000}"/>
    <cellStyle name="40% - Ênfase2 2 4 2" xfId="449" xr:uid="{00000000-0005-0000-0000-00007D030000}"/>
    <cellStyle name="40% - Ênfase2 2 4 2 2" xfId="26419" xr:uid="{00000000-0005-0000-0000-00007E030000}"/>
    <cellStyle name="40% - Ênfase2 2 4 3" xfId="450" xr:uid="{00000000-0005-0000-0000-00007F030000}"/>
    <cellStyle name="40% - Ênfase2 2 4 3 2" xfId="26420" xr:uid="{00000000-0005-0000-0000-000080030000}"/>
    <cellStyle name="40% - Ênfase2 2 4 4" xfId="26421" xr:uid="{00000000-0005-0000-0000-000081030000}"/>
    <cellStyle name="40% - Ênfase2 2 5" xfId="451" xr:uid="{00000000-0005-0000-0000-000082030000}"/>
    <cellStyle name="40% - Ênfase2 2 5 2" xfId="26422" xr:uid="{00000000-0005-0000-0000-000083030000}"/>
    <cellStyle name="40% - Ênfase2 2 6" xfId="452" xr:uid="{00000000-0005-0000-0000-000084030000}"/>
    <cellStyle name="40% - Ênfase2 2 6 2" xfId="26423" xr:uid="{00000000-0005-0000-0000-000085030000}"/>
    <cellStyle name="40% - Ênfase2 2 7" xfId="453" xr:uid="{00000000-0005-0000-0000-000086030000}"/>
    <cellStyle name="40% - Ênfase2 2 7 2" xfId="26424" xr:uid="{00000000-0005-0000-0000-000087030000}"/>
    <cellStyle name="40% - Ênfase2 2 8" xfId="26425" xr:uid="{00000000-0005-0000-0000-000088030000}"/>
    <cellStyle name="40% - Ênfase2 2 9" xfId="26426" xr:uid="{00000000-0005-0000-0000-000089030000}"/>
    <cellStyle name="40% - Ênfase2 3" xfId="454" xr:uid="{00000000-0005-0000-0000-00008A030000}"/>
    <cellStyle name="40% - Ênfase2 3 2" xfId="455" xr:uid="{00000000-0005-0000-0000-00008B030000}"/>
    <cellStyle name="40% - Ênfase2 3 3" xfId="456" xr:uid="{00000000-0005-0000-0000-00008C030000}"/>
    <cellStyle name="40% - Ênfase2 3 3 2" xfId="457" xr:uid="{00000000-0005-0000-0000-00008D030000}"/>
    <cellStyle name="40% - Ênfase2 3 3 2 2" xfId="26427" xr:uid="{00000000-0005-0000-0000-00008E030000}"/>
    <cellStyle name="40% - Ênfase2 3 3 3" xfId="458" xr:uid="{00000000-0005-0000-0000-00008F030000}"/>
    <cellStyle name="40% - Ênfase2 3 3 3 2" xfId="26428" xr:uid="{00000000-0005-0000-0000-000090030000}"/>
    <cellStyle name="40% - Ênfase2 3 3 4" xfId="26429" xr:uid="{00000000-0005-0000-0000-000091030000}"/>
    <cellStyle name="40% - Ênfase2 3 4" xfId="459" xr:uid="{00000000-0005-0000-0000-000092030000}"/>
    <cellStyle name="40% - Ênfase2 3 4 2" xfId="26430" xr:uid="{00000000-0005-0000-0000-000093030000}"/>
    <cellStyle name="40% - Ênfase2 3 5" xfId="460" xr:uid="{00000000-0005-0000-0000-000094030000}"/>
    <cellStyle name="40% - Ênfase2 3 5 2" xfId="26431" xr:uid="{00000000-0005-0000-0000-000095030000}"/>
    <cellStyle name="40% - Ênfase2 3 6" xfId="26432" xr:uid="{00000000-0005-0000-0000-000096030000}"/>
    <cellStyle name="40% - Ênfase2 3 6 2" xfId="26433" xr:uid="{00000000-0005-0000-0000-000097030000}"/>
    <cellStyle name="40% - Ênfase2 3 7" xfId="26434" xr:uid="{00000000-0005-0000-0000-000098030000}"/>
    <cellStyle name="40% - Ênfase2 4" xfId="461" xr:uid="{00000000-0005-0000-0000-000099030000}"/>
    <cellStyle name="40% - Ênfase2 4 2" xfId="462" xr:uid="{00000000-0005-0000-0000-00009A030000}"/>
    <cellStyle name="40% - Ênfase2 4 2 2" xfId="463" xr:uid="{00000000-0005-0000-0000-00009B030000}"/>
    <cellStyle name="40% - Ênfase2 4 2 2 2" xfId="26435" xr:uid="{00000000-0005-0000-0000-00009C030000}"/>
    <cellStyle name="40% - Ênfase2 4 2 3" xfId="464" xr:uid="{00000000-0005-0000-0000-00009D030000}"/>
    <cellStyle name="40% - Ênfase2 4 2 3 2" xfId="26436" xr:uid="{00000000-0005-0000-0000-00009E030000}"/>
    <cellStyle name="40% - Ênfase2 4 2 4" xfId="26437" xr:uid="{00000000-0005-0000-0000-00009F030000}"/>
    <cellStyle name="40% - Ênfase2 4 3" xfId="465" xr:uid="{00000000-0005-0000-0000-0000A0030000}"/>
    <cellStyle name="40% - Ênfase2 4 3 2" xfId="26438" xr:uid="{00000000-0005-0000-0000-0000A1030000}"/>
    <cellStyle name="40% - Ênfase2 4 4" xfId="466" xr:uid="{00000000-0005-0000-0000-0000A2030000}"/>
    <cellStyle name="40% - Ênfase2 4 4 2" xfId="26439" xr:uid="{00000000-0005-0000-0000-0000A3030000}"/>
    <cellStyle name="40% - Ênfase2 4 5" xfId="26440" xr:uid="{00000000-0005-0000-0000-0000A4030000}"/>
    <cellStyle name="40% - Ênfase2 4 5 2" xfId="26441" xr:uid="{00000000-0005-0000-0000-0000A5030000}"/>
    <cellStyle name="40% - Ênfase2 4 6" xfId="26442" xr:uid="{00000000-0005-0000-0000-0000A6030000}"/>
    <cellStyle name="40% - Ênfase2 5" xfId="467" xr:uid="{00000000-0005-0000-0000-0000A7030000}"/>
    <cellStyle name="40% - Ênfase2 5 2" xfId="468" xr:uid="{00000000-0005-0000-0000-0000A8030000}"/>
    <cellStyle name="40% - Ênfase2 5 2 2" xfId="469" xr:uid="{00000000-0005-0000-0000-0000A9030000}"/>
    <cellStyle name="40% - Ênfase2 5 2 2 2" xfId="26443" xr:uid="{00000000-0005-0000-0000-0000AA030000}"/>
    <cellStyle name="40% - Ênfase2 5 2 3" xfId="470" xr:uid="{00000000-0005-0000-0000-0000AB030000}"/>
    <cellStyle name="40% - Ênfase2 5 2 3 2" xfId="26444" xr:uid="{00000000-0005-0000-0000-0000AC030000}"/>
    <cellStyle name="40% - Ênfase2 5 2 4" xfId="26445" xr:uid="{00000000-0005-0000-0000-0000AD030000}"/>
    <cellStyle name="40% - Ênfase2 5 3" xfId="471" xr:uid="{00000000-0005-0000-0000-0000AE030000}"/>
    <cellStyle name="40% - Ênfase2 5 3 2" xfId="26446" xr:uid="{00000000-0005-0000-0000-0000AF030000}"/>
    <cellStyle name="40% - Ênfase2 5 4" xfId="472" xr:uid="{00000000-0005-0000-0000-0000B0030000}"/>
    <cellStyle name="40% - Ênfase2 5 4 2" xfId="26447" xr:uid="{00000000-0005-0000-0000-0000B1030000}"/>
    <cellStyle name="40% - Ênfase2 5 5" xfId="26448" xr:uid="{00000000-0005-0000-0000-0000B2030000}"/>
    <cellStyle name="40% - Ênfase2 5 5 2" xfId="26449" xr:uid="{00000000-0005-0000-0000-0000B3030000}"/>
    <cellStyle name="40% - Ênfase2 5 6" xfId="26450" xr:uid="{00000000-0005-0000-0000-0000B4030000}"/>
    <cellStyle name="40% - Ênfase2 6" xfId="473" xr:uid="{00000000-0005-0000-0000-0000B5030000}"/>
    <cellStyle name="40% - Ênfase2 6 2" xfId="474" xr:uid="{00000000-0005-0000-0000-0000B6030000}"/>
    <cellStyle name="40% - Ênfase2 6 2 2" xfId="475" xr:uid="{00000000-0005-0000-0000-0000B7030000}"/>
    <cellStyle name="40% - Ênfase2 6 2 2 2" xfId="26451" xr:uid="{00000000-0005-0000-0000-0000B8030000}"/>
    <cellStyle name="40% - Ênfase2 6 2 3" xfId="476" xr:uid="{00000000-0005-0000-0000-0000B9030000}"/>
    <cellStyle name="40% - Ênfase2 6 2 3 2" xfId="26452" xr:uid="{00000000-0005-0000-0000-0000BA030000}"/>
    <cellStyle name="40% - Ênfase2 6 2 4" xfId="26453" xr:uid="{00000000-0005-0000-0000-0000BB030000}"/>
    <cellStyle name="40% - Ênfase2 6 3" xfId="477" xr:uid="{00000000-0005-0000-0000-0000BC030000}"/>
    <cellStyle name="40% - Ênfase2 6 3 2" xfId="26454" xr:uid="{00000000-0005-0000-0000-0000BD030000}"/>
    <cellStyle name="40% - Ênfase2 6 4" xfId="478" xr:uid="{00000000-0005-0000-0000-0000BE030000}"/>
    <cellStyle name="40% - Ênfase2 6 4 2" xfId="26455" xr:uid="{00000000-0005-0000-0000-0000BF030000}"/>
    <cellStyle name="40% - Ênfase2 6 5" xfId="26456" xr:uid="{00000000-0005-0000-0000-0000C0030000}"/>
    <cellStyle name="40% - Ênfase2 6 5 2" xfId="26457" xr:uid="{00000000-0005-0000-0000-0000C1030000}"/>
    <cellStyle name="40% - Ênfase2 6 6" xfId="26458" xr:uid="{00000000-0005-0000-0000-0000C2030000}"/>
    <cellStyle name="40% - Ênfase2 7" xfId="479" xr:uid="{00000000-0005-0000-0000-0000C3030000}"/>
    <cellStyle name="40% - Ênfase2 8" xfId="480" xr:uid="{00000000-0005-0000-0000-0000C4030000}"/>
    <cellStyle name="40% - Ênfase2 8 2" xfId="481" xr:uid="{00000000-0005-0000-0000-0000C5030000}"/>
    <cellStyle name="40% - Ênfase2 8 2 2" xfId="26459" xr:uid="{00000000-0005-0000-0000-0000C6030000}"/>
    <cellStyle name="40% - Ênfase2 8 3" xfId="482" xr:uid="{00000000-0005-0000-0000-0000C7030000}"/>
    <cellStyle name="40% - Ênfase2 8 3 2" xfId="26460" xr:uid="{00000000-0005-0000-0000-0000C8030000}"/>
    <cellStyle name="40% - Ênfase2 8 4" xfId="26461" xr:uid="{00000000-0005-0000-0000-0000C9030000}"/>
    <cellStyle name="40% - Ênfase2 9" xfId="483" xr:uid="{00000000-0005-0000-0000-0000CA030000}"/>
    <cellStyle name="40% - Ênfase2 9 2" xfId="26462" xr:uid="{00000000-0005-0000-0000-0000CB030000}"/>
    <cellStyle name="40% - Ênfase3" xfId="45" builtinId="39" customBuiltin="1"/>
    <cellStyle name="40% - Ênfase3 10" xfId="484" xr:uid="{00000000-0005-0000-0000-0000CD030000}"/>
    <cellStyle name="40% - Ênfase3 10 2" xfId="26463" xr:uid="{00000000-0005-0000-0000-0000CE030000}"/>
    <cellStyle name="40% - Ênfase3 11" xfId="26464" xr:uid="{00000000-0005-0000-0000-0000CF030000}"/>
    <cellStyle name="40% - Ênfase3 11 2" xfId="26465" xr:uid="{00000000-0005-0000-0000-0000D0030000}"/>
    <cellStyle name="40% - Ênfase3 12" xfId="26466" xr:uid="{00000000-0005-0000-0000-0000D1030000}"/>
    <cellStyle name="40% - Ênfase3 12 2" xfId="26467" xr:uid="{00000000-0005-0000-0000-0000D2030000}"/>
    <cellStyle name="40% - Ênfase3 13" xfId="26468" xr:uid="{00000000-0005-0000-0000-0000D3030000}"/>
    <cellStyle name="40% - Ênfase3 14" xfId="26469" xr:uid="{00000000-0005-0000-0000-0000D4030000}"/>
    <cellStyle name="40% - Ênfase3 2" xfId="485" xr:uid="{00000000-0005-0000-0000-0000D5030000}"/>
    <cellStyle name="40% - Ênfase3 2 10" xfId="26470" xr:uid="{00000000-0005-0000-0000-0000D6030000}"/>
    <cellStyle name="40% - Ênfase3 2 11" xfId="26471" xr:uid="{00000000-0005-0000-0000-0000D7030000}"/>
    <cellStyle name="40% - Ênfase3 2 2" xfId="486" xr:uid="{00000000-0005-0000-0000-0000D8030000}"/>
    <cellStyle name="40% - Ênfase3 2 2 2" xfId="487" xr:uid="{00000000-0005-0000-0000-0000D9030000}"/>
    <cellStyle name="40% - Ênfase3 2 2 2 2" xfId="488" xr:uid="{00000000-0005-0000-0000-0000DA030000}"/>
    <cellStyle name="40% - Ênfase3 2 2 2 2 2" xfId="26472" xr:uid="{00000000-0005-0000-0000-0000DB030000}"/>
    <cellStyle name="40% - Ênfase3 2 2 2 3" xfId="489" xr:uid="{00000000-0005-0000-0000-0000DC030000}"/>
    <cellStyle name="40% - Ênfase3 2 2 2 3 2" xfId="26473" xr:uid="{00000000-0005-0000-0000-0000DD030000}"/>
    <cellStyle name="40% - Ênfase3 2 2 2 4" xfId="26474" xr:uid="{00000000-0005-0000-0000-0000DE030000}"/>
    <cellStyle name="40% - Ênfase3 2 2 3" xfId="490" xr:uid="{00000000-0005-0000-0000-0000DF030000}"/>
    <cellStyle name="40% - Ênfase3 2 2 3 2" xfId="26475" xr:uid="{00000000-0005-0000-0000-0000E0030000}"/>
    <cellStyle name="40% - Ênfase3 2 2 4" xfId="491" xr:uid="{00000000-0005-0000-0000-0000E1030000}"/>
    <cellStyle name="40% - Ênfase3 2 2 4 2" xfId="26476" xr:uid="{00000000-0005-0000-0000-0000E2030000}"/>
    <cellStyle name="40% - Ênfase3 2 2 5" xfId="26477" xr:uid="{00000000-0005-0000-0000-0000E3030000}"/>
    <cellStyle name="40% - Ênfase3 2 2 5 2" xfId="26478" xr:uid="{00000000-0005-0000-0000-0000E4030000}"/>
    <cellStyle name="40% - Ênfase3 2 2 6" xfId="26479" xr:uid="{00000000-0005-0000-0000-0000E5030000}"/>
    <cellStyle name="40% - Ênfase3 2 3" xfId="492" xr:uid="{00000000-0005-0000-0000-0000E6030000}"/>
    <cellStyle name="40% - Ênfase3 2 3 2" xfId="493" xr:uid="{00000000-0005-0000-0000-0000E7030000}"/>
    <cellStyle name="40% - Ênfase3 2 3 2 2" xfId="494" xr:uid="{00000000-0005-0000-0000-0000E8030000}"/>
    <cellStyle name="40% - Ênfase3 2 3 2 2 2" xfId="26480" xr:uid="{00000000-0005-0000-0000-0000E9030000}"/>
    <cellStyle name="40% - Ênfase3 2 3 2 3" xfId="495" xr:uid="{00000000-0005-0000-0000-0000EA030000}"/>
    <cellStyle name="40% - Ênfase3 2 3 2 3 2" xfId="26481" xr:uid="{00000000-0005-0000-0000-0000EB030000}"/>
    <cellStyle name="40% - Ênfase3 2 3 2 4" xfId="26482" xr:uid="{00000000-0005-0000-0000-0000EC030000}"/>
    <cellStyle name="40% - Ênfase3 2 3 3" xfId="496" xr:uid="{00000000-0005-0000-0000-0000ED030000}"/>
    <cellStyle name="40% - Ênfase3 2 3 3 2" xfId="26483" xr:uid="{00000000-0005-0000-0000-0000EE030000}"/>
    <cellStyle name="40% - Ênfase3 2 3 4" xfId="497" xr:uid="{00000000-0005-0000-0000-0000EF030000}"/>
    <cellStyle name="40% - Ênfase3 2 3 4 2" xfId="26484" xr:uid="{00000000-0005-0000-0000-0000F0030000}"/>
    <cellStyle name="40% - Ênfase3 2 3 5" xfId="26485" xr:uid="{00000000-0005-0000-0000-0000F1030000}"/>
    <cellStyle name="40% - Ênfase3 2 3 5 2" xfId="26486" xr:uid="{00000000-0005-0000-0000-0000F2030000}"/>
    <cellStyle name="40% - Ênfase3 2 3 6" xfId="26487" xr:uid="{00000000-0005-0000-0000-0000F3030000}"/>
    <cellStyle name="40% - Ênfase3 2 4" xfId="498" xr:uid="{00000000-0005-0000-0000-0000F4030000}"/>
    <cellStyle name="40% - Ênfase3 2 4 2" xfId="499" xr:uid="{00000000-0005-0000-0000-0000F5030000}"/>
    <cellStyle name="40% - Ênfase3 2 4 2 2" xfId="26488" xr:uid="{00000000-0005-0000-0000-0000F6030000}"/>
    <cellStyle name="40% - Ênfase3 2 4 3" xfId="500" xr:uid="{00000000-0005-0000-0000-0000F7030000}"/>
    <cellStyle name="40% - Ênfase3 2 4 3 2" xfId="26489" xr:uid="{00000000-0005-0000-0000-0000F8030000}"/>
    <cellStyle name="40% - Ênfase3 2 4 4" xfId="26490" xr:uid="{00000000-0005-0000-0000-0000F9030000}"/>
    <cellStyle name="40% - Ênfase3 2 5" xfId="501" xr:uid="{00000000-0005-0000-0000-0000FA030000}"/>
    <cellStyle name="40% - Ênfase3 2 5 2" xfId="26491" xr:uid="{00000000-0005-0000-0000-0000FB030000}"/>
    <cellStyle name="40% - Ênfase3 2 6" xfId="502" xr:uid="{00000000-0005-0000-0000-0000FC030000}"/>
    <cellStyle name="40% - Ênfase3 2 6 2" xfId="26492" xr:uid="{00000000-0005-0000-0000-0000FD030000}"/>
    <cellStyle name="40% - Ênfase3 2 7" xfId="503" xr:uid="{00000000-0005-0000-0000-0000FE030000}"/>
    <cellStyle name="40% - Ênfase3 2 7 2" xfId="26493" xr:uid="{00000000-0005-0000-0000-0000FF030000}"/>
    <cellStyle name="40% - Ênfase3 2 8" xfId="26494" xr:uid="{00000000-0005-0000-0000-000000040000}"/>
    <cellStyle name="40% - Ênfase3 2 9" xfId="26495" xr:uid="{00000000-0005-0000-0000-000001040000}"/>
    <cellStyle name="40% - Ênfase3 3" xfId="504" xr:uid="{00000000-0005-0000-0000-000002040000}"/>
    <cellStyle name="40% - Ênfase3 3 2" xfId="505" xr:uid="{00000000-0005-0000-0000-000003040000}"/>
    <cellStyle name="40% - Ênfase3 3 3" xfId="506" xr:uid="{00000000-0005-0000-0000-000004040000}"/>
    <cellStyle name="40% - Ênfase3 3 3 2" xfId="507" xr:uid="{00000000-0005-0000-0000-000005040000}"/>
    <cellStyle name="40% - Ênfase3 3 3 2 2" xfId="26496" xr:uid="{00000000-0005-0000-0000-000006040000}"/>
    <cellStyle name="40% - Ênfase3 3 3 3" xfId="508" xr:uid="{00000000-0005-0000-0000-000007040000}"/>
    <cellStyle name="40% - Ênfase3 3 3 3 2" xfId="26497" xr:uid="{00000000-0005-0000-0000-000008040000}"/>
    <cellStyle name="40% - Ênfase3 3 3 4" xfId="26498" xr:uid="{00000000-0005-0000-0000-000009040000}"/>
    <cellStyle name="40% - Ênfase3 3 4" xfId="509" xr:uid="{00000000-0005-0000-0000-00000A040000}"/>
    <cellStyle name="40% - Ênfase3 3 4 2" xfId="26499" xr:uid="{00000000-0005-0000-0000-00000B040000}"/>
    <cellStyle name="40% - Ênfase3 3 5" xfId="510" xr:uid="{00000000-0005-0000-0000-00000C040000}"/>
    <cellStyle name="40% - Ênfase3 3 5 2" xfId="26500" xr:uid="{00000000-0005-0000-0000-00000D040000}"/>
    <cellStyle name="40% - Ênfase3 3 6" xfId="26501" xr:uid="{00000000-0005-0000-0000-00000E040000}"/>
    <cellStyle name="40% - Ênfase3 3 6 2" xfId="26502" xr:uid="{00000000-0005-0000-0000-00000F040000}"/>
    <cellStyle name="40% - Ênfase3 3 7" xfId="26503" xr:uid="{00000000-0005-0000-0000-000010040000}"/>
    <cellStyle name="40% - Ênfase3 4" xfId="511" xr:uid="{00000000-0005-0000-0000-000011040000}"/>
    <cellStyle name="40% - Ênfase3 4 2" xfId="512" xr:uid="{00000000-0005-0000-0000-000012040000}"/>
    <cellStyle name="40% - Ênfase3 4 2 2" xfId="513" xr:uid="{00000000-0005-0000-0000-000013040000}"/>
    <cellStyle name="40% - Ênfase3 4 2 2 2" xfId="26504" xr:uid="{00000000-0005-0000-0000-000014040000}"/>
    <cellStyle name="40% - Ênfase3 4 2 3" xfId="514" xr:uid="{00000000-0005-0000-0000-000015040000}"/>
    <cellStyle name="40% - Ênfase3 4 2 3 2" xfId="26505" xr:uid="{00000000-0005-0000-0000-000016040000}"/>
    <cellStyle name="40% - Ênfase3 4 2 4" xfId="26506" xr:uid="{00000000-0005-0000-0000-000017040000}"/>
    <cellStyle name="40% - Ênfase3 4 3" xfId="515" xr:uid="{00000000-0005-0000-0000-000018040000}"/>
    <cellStyle name="40% - Ênfase3 4 3 2" xfId="26507" xr:uid="{00000000-0005-0000-0000-000019040000}"/>
    <cellStyle name="40% - Ênfase3 4 4" xfId="516" xr:uid="{00000000-0005-0000-0000-00001A040000}"/>
    <cellStyle name="40% - Ênfase3 4 4 2" xfId="26508" xr:uid="{00000000-0005-0000-0000-00001B040000}"/>
    <cellStyle name="40% - Ênfase3 4 5" xfId="26509" xr:uid="{00000000-0005-0000-0000-00001C040000}"/>
    <cellStyle name="40% - Ênfase3 4 5 2" xfId="26510" xr:uid="{00000000-0005-0000-0000-00001D040000}"/>
    <cellStyle name="40% - Ênfase3 4 6" xfId="26511" xr:uid="{00000000-0005-0000-0000-00001E040000}"/>
    <cellStyle name="40% - Ênfase3 5" xfId="517" xr:uid="{00000000-0005-0000-0000-00001F040000}"/>
    <cellStyle name="40% - Ênfase3 5 2" xfId="518" xr:uid="{00000000-0005-0000-0000-000020040000}"/>
    <cellStyle name="40% - Ênfase3 5 2 2" xfId="519" xr:uid="{00000000-0005-0000-0000-000021040000}"/>
    <cellStyle name="40% - Ênfase3 5 2 2 2" xfId="26512" xr:uid="{00000000-0005-0000-0000-000022040000}"/>
    <cellStyle name="40% - Ênfase3 5 2 3" xfId="520" xr:uid="{00000000-0005-0000-0000-000023040000}"/>
    <cellStyle name="40% - Ênfase3 5 2 3 2" xfId="26513" xr:uid="{00000000-0005-0000-0000-000024040000}"/>
    <cellStyle name="40% - Ênfase3 5 2 4" xfId="26514" xr:uid="{00000000-0005-0000-0000-000025040000}"/>
    <cellStyle name="40% - Ênfase3 5 3" xfId="521" xr:uid="{00000000-0005-0000-0000-000026040000}"/>
    <cellStyle name="40% - Ênfase3 5 3 2" xfId="26515" xr:uid="{00000000-0005-0000-0000-000027040000}"/>
    <cellStyle name="40% - Ênfase3 5 4" xfId="522" xr:uid="{00000000-0005-0000-0000-000028040000}"/>
    <cellStyle name="40% - Ênfase3 5 4 2" xfId="26516" xr:uid="{00000000-0005-0000-0000-000029040000}"/>
    <cellStyle name="40% - Ênfase3 5 5" xfId="26517" xr:uid="{00000000-0005-0000-0000-00002A040000}"/>
    <cellStyle name="40% - Ênfase3 5 5 2" xfId="26518" xr:uid="{00000000-0005-0000-0000-00002B040000}"/>
    <cellStyle name="40% - Ênfase3 5 6" xfId="26519" xr:uid="{00000000-0005-0000-0000-00002C040000}"/>
    <cellStyle name="40% - Ênfase3 6" xfId="523" xr:uid="{00000000-0005-0000-0000-00002D040000}"/>
    <cellStyle name="40% - Ênfase3 6 2" xfId="524" xr:uid="{00000000-0005-0000-0000-00002E040000}"/>
    <cellStyle name="40% - Ênfase3 6 2 2" xfId="525" xr:uid="{00000000-0005-0000-0000-00002F040000}"/>
    <cellStyle name="40% - Ênfase3 6 2 2 2" xfId="26520" xr:uid="{00000000-0005-0000-0000-000030040000}"/>
    <cellStyle name="40% - Ênfase3 6 2 3" xfId="526" xr:uid="{00000000-0005-0000-0000-000031040000}"/>
    <cellStyle name="40% - Ênfase3 6 2 3 2" xfId="26521" xr:uid="{00000000-0005-0000-0000-000032040000}"/>
    <cellStyle name="40% - Ênfase3 6 2 4" xfId="26522" xr:uid="{00000000-0005-0000-0000-000033040000}"/>
    <cellStyle name="40% - Ênfase3 6 3" xfId="527" xr:uid="{00000000-0005-0000-0000-000034040000}"/>
    <cellStyle name="40% - Ênfase3 6 3 2" xfId="26523" xr:uid="{00000000-0005-0000-0000-000035040000}"/>
    <cellStyle name="40% - Ênfase3 6 4" xfId="528" xr:uid="{00000000-0005-0000-0000-000036040000}"/>
    <cellStyle name="40% - Ênfase3 6 4 2" xfId="26524" xr:uid="{00000000-0005-0000-0000-000037040000}"/>
    <cellStyle name="40% - Ênfase3 6 5" xfId="26525" xr:uid="{00000000-0005-0000-0000-000038040000}"/>
    <cellStyle name="40% - Ênfase3 6 5 2" xfId="26526" xr:uid="{00000000-0005-0000-0000-000039040000}"/>
    <cellStyle name="40% - Ênfase3 6 6" xfId="26527" xr:uid="{00000000-0005-0000-0000-00003A040000}"/>
    <cellStyle name="40% - Ênfase3 7" xfId="529" xr:uid="{00000000-0005-0000-0000-00003B040000}"/>
    <cellStyle name="40% - Ênfase3 8" xfId="530" xr:uid="{00000000-0005-0000-0000-00003C040000}"/>
    <cellStyle name="40% - Ênfase3 8 2" xfId="531" xr:uid="{00000000-0005-0000-0000-00003D040000}"/>
    <cellStyle name="40% - Ênfase3 8 2 2" xfId="26528" xr:uid="{00000000-0005-0000-0000-00003E040000}"/>
    <cellStyle name="40% - Ênfase3 8 3" xfId="532" xr:uid="{00000000-0005-0000-0000-00003F040000}"/>
    <cellStyle name="40% - Ênfase3 8 3 2" xfId="26529" xr:uid="{00000000-0005-0000-0000-000040040000}"/>
    <cellStyle name="40% - Ênfase3 8 4" xfId="26530" xr:uid="{00000000-0005-0000-0000-000041040000}"/>
    <cellStyle name="40% - Ênfase3 9" xfId="533" xr:uid="{00000000-0005-0000-0000-000042040000}"/>
    <cellStyle name="40% - Ênfase3 9 2" xfId="26531" xr:uid="{00000000-0005-0000-0000-000043040000}"/>
    <cellStyle name="40% - Ênfase4" xfId="49" builtinId="43" customBuiltin="1"/>
    <cellStyle name="40% - Ênfase4 10" xfId="534" xr:uid="{00000000-0005-0000-0000-000045040000}"/>
    <cellStyle name="40% - Ênfase4 10 2" xfId="26532" xr:uid="{00000000-0005-0000-0000-000046040000}"/>
    <cellStyle name="40% - Ênfase4 11" xfId="26533" xr:uid="{00000000-0005-0000-0000-000047040000}"/>
    <cellStyle name="40% - Ênfase4 11 2" xfId="26534" xr:uid="{00000000-0005-0000-0000-000048040000}"/>
    <cellStyle name="40% - Ênfase4 12" xfId="26535" xr:uid="{00000000-0005-0000-0000-000049040000}"/>
    <cellStyle name="40% - Ênfase4 12 2" xfId="26536" xr:uid="{00000000-0005-0000-0000-00004A040000}"/>
    <cellStyle name="40% - Ênfase4 13" xfId="26537" xr:uid="{00000000-0005-0000-0000-00004B040000}"/>
    <cellStyle name="40% - Ênfase4 14" xfId="26538" xr:uid="{00000000-0005-0000-0000-00004C040000}"/>
    <cellStyle name="40% - Ênfase4 2" xfId="535" xr:uid="{00000000-0005-0000-0000-00004D040000}"/>
    <cellStyle name="40% - Ênfase4 2 10" xfId="26539" xr:uid="{00000000-0005-0000-0000-00004E040000}"/>
    <cellStyle name="40% - Ênfase4 2 11" xfId="26540" xr:uid="{00000000-0005-0000-0000-00004F040000}"/>
    <cellStyle name="40% - Ênfase4 2 2" xfId="536" xr:uid="{00000000-0005-0000-0000-000050040000}"/>
    <cellStyle name="40% - Ênfase4 2 2 2" xfId="537" xr:uid="{00000000-0005-0000-0000-000051040000}"/>
    <cellStyle name="40% - Ênfase4 2 2 2 2" xfId="538" xr:uid="{00000000-0005-0000-0000-000052040000}"/>
    <cellStyle name="40% - Ênfase4 2 2 2 2 2" xfId="26541" xr:uid="{00000000-0005-0000-0000-000053040000}"/>
    <cellStyle name="40% - Ênfase4 2 2 2 3" xfId="539" xr:uid="{00000000-0005-0000-0000-000054040000}"/>
    <cellStyle name="40% - Ênfase4 2 2 2 3 2" xfId="26542" xr:uid="{00000000-0005-0000-0000-000055040000}"/>
    <cellStyle name="40% - Ênfase4 2 2 2 4" xfId="26543" xr:uid="{00000000-0005-0000-0000-000056040000}"/>
    <cellStyle name="40% - Ênfase4 2 2 3" xfId="540" xr:uid="{00000000-0005-0000-0000-000057040000}"/>
    <cellStyle name="40% - Ênfase4 2 2 3 2" xfId="26544" xr:uid="{00000000-0005-0000-0000-000058040000}"/>
    <cellStyle name="40% - Ênfase4 2 2 4" xfId="541" xr:uid="{00000000-0005-0000-0000-000059040000}"/>
    <cellStyle name="40% - Ênfase4 2 2 4 2" xfId="26545" xr:uid="{00000000-0005-0000-0000-00005A040000}"/>
    <cellStyle name="40% - Ênfase4 2 2 5" xfId="26546" xr:uid="{00000000-0005-0000-0000-00005B040000}"/>
    <cellStyle name="40% - Ênfase4 2 2 5 2" xfId="26547" xr:uid="{00000000-0005-0000-0000-00005C040000}"/>
    <cellStyle name="40% - Ênfase4 2 2 6" xfId="26548" xr:uid="{00000000-0005-0000-0000-00005D040000}"/>
    <cellStyle name="40% - Ênfase4 2 3" xfId="542" xr:uid="{00000000-0005-0000-0000-00005E040000}"/>
    <cellStyle name="40% - Ênfase4 2 3 2" xfId="543" xr:uid="{00000000-0005-0000-0000-00005F040000}"/>
    <cellStyle name="40% - Ênfase4 2 3 2 2" xfId="544" xr:uid="{00000000-0005-0000-0000-000060040000}"/>
    <cellStyle name="40% - Ênfase4 2 3 2 2 2" xfId="26549" xr:uid="{00000000-0005-0000-0000-000061040000}"/>
    <cellStyle name="40% - Ênfase4 2 3 2 3" xfId="545" xr:uid="{00000000-0005-0000-0000-000062040000}"/>
    <cellStyle name="40% - Ênfase4 2 3 2 3 2" xfId="26550" xr:uid="{00000000-0005-0000-0000-000063040000}"/>
    <cellStyle name="40% - Ênfase4 2 3 2 4" xfId="26551" xr:uid="{00000000-0005-0000-0000-000064040000}"/>
    <cellStyle name="40% - Ênfase4 2 3 3" xfId="546" xr:uid="{00000000-0005-0000-0000-000065040000}"/>
    <cellStyle name="40% - Ênfase4 2 3 3 2" xfId="26552" xr:uid="{00000000-0005-0000-0000-000066040000}"/>
    <cellStyle name="40% - Ênfase4 2 3 4" xfId="547" xr:uid="{00000000-0005-0000-0000-000067040000}"/>
    <cellStyle name="40% - Ênfase4 2 3 4 2" xfId="26553" xr:uid="{00000000-0005-0000-0000-000068040000}"/>
    <cellStyle name="40% - Ênfase4 2 3 5" xfId="26554" xr:uid="{00000000-0005-0000-0000-000069040000}"/>
    <cellStyle name="40% - Ênfase4 2 3 5 2" xfId="26555" xr:uid="{00000000-0005-0000-0000-00006A040000}"/>
    <cellStyle name="40% - Ênfase4 2 3 6" xfId="26556" xr:uid="{00000000-0005-0000-0000-00006B040000}"/>
    <cellStyle name="40% - Ênfase4 2 4" xfId="548" xr:uid="{00000000-0005-0000-0000-00006C040000}"/>
    <cellStyle name="40% - Ênfase4 2 4 2" xfId="549" xr:uid="{00000000-0005-0000-0000-00006D040000}"/>
    <cellStyle name="40% - Ênfase4 2 4 2 2" xfId="26557" xr:uid="{00000000-0005-0000-0000-00006E040000}"/>
    <cellStyle name="40% - Ênfase4 2 4 3" xfId="550" xr:uid="{00000000-0005-0000-0000-00006F040000}"/>
    <cellStyle name="40% - Ênfase4 2 4 3 2" xfId="26558" xr:uid="{00000000-0005-0000-0000-000070040000}"/>
    <cellStyle name="40% - Ênfase4 2 4 4" xfId="26559" xr:uid="{00000000-0005-0000-0000-000071040000}"/>
    <cellStyle name="40% - Ênfase4 2 5" xfId="551" xr:uid="{00000000-0005-0000-0000-000072040000}"/>
    <cellStyle name="40% - Ênfase4 2 5 2" xfId="26560" xr:uid="{00000000-0005-0000-0000-000073040000}"/>
    <cellStyle name="40% - Ênfase4 2 6" xfId="552" xr:uid="{00000000-0005-0000-0000-000074040000}"/>
    <cellStyle name="40% - Ênfase4 2 6 2" xfId="26561" xr:uid="{00000000-0005-0000-0000-000075040000}"/>
    <cellStyle name="40% - Ênfase4 2 7" xfId="553" xr:uid="{00000000-0005-0000-0000-000076040000}"/>
    <cellStyle name="40% - Ênfase4 2 7 2" xfId="26562" xr:uid="{00000000-0005-0000-0000-000077040000}"/>
    <cellStyle name="40% - Ênfase4 2 8" xfId="26563" xr:uid="{00000000-0005-0000-0000-000078040000}"/>
    <cellStyle name="40% - Ênfase4 2 9" xfId="26564" xr:uid="{00000000-0005-0000-0000-000079040000}"/>
    <cellStyle name="40% - Ênfase4 3" xfId="554" xr:uid="{00000000-0005-0000-0000-00007A040000}"/>
    <cellStyle name="40% - Ênfase4 3 2" xfId="555" xr:uid="{00000000-0005-0000-0000-00007B040000}"/>
    <cellStyle name="40% - Ênfase4 3 3" xfId="556" xr:uid="{00000000-0005-0000-0000-00007C040000}"/>
    <cellStyle name="40% - Ênfase4 3 3 2" xfId="557" xr:uid="{00000000-0005-0000-0000-00007D040000}"/>
    <cellStyle name="40% - Ênfase4 3 3 2 2" xfId="26565" xr:uid="{00000000-0005-0000-0000-00007E040000}"/>
    <cellStyle name="40% - Ênfase4 3 3 3" xfId="558" xr:uid="{00000000-0005-0000-0000-00007F040000}"/>
    <cellStyle name="40% - Ênfase4 3 3 3 2" xfId="26566" xr:uid="{00000000-0005-0000-0000-000080040000}"/>
    <cellStyle name="40% - Ênfase4 3 3 4" xfId="26567" xr:uid="{00000000-0005-0000-0000-000081040000}"/>
    <cellStyle name="40% - Ênfase4 3 4" xfId="559" xr:uid="{00000000-0005-0000-0000-000082040000}"/>
    <cellStyle name="40% - Ênfase4 3 4 2" xfId="26568" xr:uid="{00000000-0005-0000-0000-000083040000}"/>
    <cellStyle name="40% - Ênfase4 3 5" xfId="560" xr:uid="{00000000-0005-0000-0000-000084040000}"/>
    <cellStyle name="40% - Ênfase4 3 5 2" xfId="26569" xr:uid="{00000000-0005-0000-0000-000085040000}"/>
    <cellStyle name="40% - Ênfase4 3 6" xfId="26570" xr:uid="{00000000-0005-0000-0000-000086040000}"/>
    <cellStyle name="40% - Ênfase4 3 6 2" xfId="26571" xr:uid="{00000000-0005-0000-0000-000087040000}"/>
    <cellStyle name="40% - Ênfase4 3 7" xfId="26572" xr:uid="{00000000-0005-0000-0000-000088040000}"/>
    <cellStyle name="40% - Ênfase4 4" xfId="561" xr:uid="{00000000-0005-0000-0000-000089040000}"/>
    <cellStyle name="40% - Ênfase4 4 2" xfId="562" xr:uid="{00000000-0005-0000-0000-00008A040000}"/>
    <cellStyle name="40% - Ênfase4 4 2 2" xfId="563" xr:uid="{00000000-0005-0000-0000-00008B040000}"/>
    <cellStyle name="40% - Ênfase4 4 2 2 2" xfId="26573" xr:uid="{00000000-0005-0000-0000-00008C040000}"/>
    <cellStyle name="40% - Ênfase4 4 2 3" xfId="564" xr:uid="{00000000-0005-0000-0000-00008D040000}"/>
    <cellStyle name="40% - Ênfase4 4 2 3 2" xfId="26574" xr:uid="{00000000-0005-0000-0000-00008E040000}"/>
    <cellStyle name="40% - Ênfase4 4 2 4" xfId="26575" xr:uid="{00000000-0005-0000-0000-00008F040000}"/>
    <cellStyle name="40% - Ênfase4 4 3" xfId="565" xr:uid="{00000000-0005-0000-0000-000090040000}"/>
    <cellStyle name="40% - Ênfase4 4 3 2" xfId="26576" xr:uid="{00000000-0005-0000-0000-000091040000}"/>
    <cellStyle name="40% - Ênfase4 4 4" xfId="566" xr:uid="{00000000-0005-0000-0000-000092040000}"/>
    <cellStyle name="40% - Ênfase4 4 4 2" xfId="26577" xr:uid="{00000000-0005-0000-0000-000093040000}"/>
    <cellStyle name="40% - Ênfase4 4 5" xfId="26578" xr:uid="{00000000-0005-0000-0000-000094040000}"/>
    <cellStyle name="40% - Ênfase4 4 5 2" xfId="26579" xr:uid="{00000000-0005-0000-0000-000095040000}"/>
    <cellStyle name="40% - Ênfase4 4 6" xfId="26580" xr:uid="{00000000-0005-0000-0000-000096040000}"/>
    <cellStyle name="40% - Ênfase4 5" xfId="567" xr:uid="{00000000-0005-0000-0000-000097040000}"/>
    <cellStyle name="40% - Ênfase4 5 2" xfId="568" xr:uid="{00000000-0005-0000-0000-000098040000}"/>
    <cellStyle name="40% - Ênfase4 5 2 2" xfId="569" xr:uid="{00000000-0005-0000-0000-000099040000}"/>
    <cellStyle name="40% - Ênfase4 5 2 2 2" xfId="26581" xr:uid="{00000000-0005-0000-0000-00009A040000}"/>
    <cellStyle name="40% - Ênfase4 5 2 3" xfId="570" xr:uid="{00000000-0005-0000-0000-00009B040000}"/>
    <cellStyle name="40% - Ênfase4 5 2 3 2" xfId="26582" xr:uid="{00000000-0005-0000-0000-00009C040000}"/>
    <cellStyle name="40% - Ênfase4 5 2 4" xfId="26583" xr:uid="{00000000-0005-0000-0000-00009D040000}"/>
    <cellStyle name="40% - Ênfase4 5 3" xfId="571" xr:uid="{00000000-0005-0000-0000-00009E040000}"/>
    <cellStyle name="40% - Ênfase4 5 3 2" xfId="26584" xr:uid="{00000000-0005-0000-0000-00009F040000}"/>
    <cellStyle name="40% - Ênfase4 5 4" xfId="572" xr:uid="{00000000-0005-0000-0000-0000A0040000}"/>
    <cellStyle name="40% - Ênfase4 5 4 2" xfId="26585" xr:uid="{00000000-0005-0000-0000-0000A1040000}"/>
    <cellStyle name="40% - Ênfase4 5 5" xfId="26586" xr:uid="{00000000-0005-0000-0000-0000A2040000}"/>
    <cellStyle name="40% - Ênfase4 5 5 2" xfId="26587" xr:uid="{00000000-0005-0000-0000-0000A3040000}"/>
    <cellStyle name="40% - Ênfase4 5 6" xfId="26588" xr:uid="{00000000-0005-0000-0000-0000A4040000}"/>
    <cellStyle name="40% - Ênfase4 6" xfId="573" xr:uid="{00000000-0005-0000-0000-0000A5040000}"/>
    <cellStyle name="40% - Ênfase4 6 2" xfId="574" xr:uid="{00000000-0005-0000-0000-0000A6040000}"/>
    <cellStyle name="40% - Ênfase4 6 2 2" xfId="575" xr:uid="{00000000-0005-0000-0000-0000A7040000}"/>
    <cellStyle name="40% - Ênfase4 6 2 2 2" xfId="26589" xr:uid="{00000000-0005-0000-0000-0000A8040000}"/>
    <cellStyle name="40% - Ênfase4 6 2 3" xfId="576" xr:uid="{00000000-0005-0000-0000-0000A9040000}"/>
    <cellStyle name="40% - Ênfase4 6 2 3 2" xfId="26590" xr:uid="{00000000-0005-0000-0000-0000AA040000}"/>
    <cellStyle name="40% - Ênfase4 6 2 4" xfId="26591" xr:uid="{00000000-0005-0000-0000-0000AB040000}"/>
    <cellStyle name="40% - Ênfase4 6 3" xfId="577" xr:uid="{00000000-0005-0000-0000-0000AC040000}"/>
    <cellStyle name="40% - Ênfase4 6 3 2" xfId="26592" xr:uid="{00000000-0005-0000-0000-0000AD040000}"/>
    <cellStyle name="40% - Ênfase4 6 4" xfId="578" xr:uid="{00000000-0005-0000-0000-0000AE040000}"/>
    <cellStyle name="40% - Ênfase4 6 4 2" xfId="26593" xr:uid="{00000000-0005-0000-0000-0000AF040000}"/>
    <cellStyle name="40% - Ênfase4 6 5" xfId="26594" xr:uid="{00000000-0005-0000-0000-0000B0040000}"/>
    <cellStyle name="40% - Ênfase4 6 5 2" xfId="26595" xr:uid="{00000000-0005-0000-0000-0000B1040000}"/>
    <cellStyle name="40% - Ênfase4 6 6" xfId="26596" xr:uid="{00000000-0005-0000-0000-0000B2040000}"/>
    <cellStyle name="40% - Ênfase4 7" xfId="579" xr:uid="{00000000-0005-0000-0000-0000B3040000}"/>
    <cellStyle name="40% - Ênfase4 8" xfId="580" xr:uid="{00000000-0005-0000-0000-0000B4040000}"/>
    <cellStyle name="40% - Ênfase4 8 2" xfId="581" xr:uid="{00000000-0005-0000-0000-0000B5040000}"/>
    <cellStyle name="40% - Ênfase4 8 2 2" xfId="26597" xr:uid="{00000000-0005-0000-0000-0000B6040000}"/>
    <cellStyle name="40% - Ênfase4 8 3" xfId="582" xr:uid="{00000000-0005-0000-0000-0000B7040000}"/>
    <cellStyle name="40% - Ênfase4 8 3 2" xfId="26598" xr:uid="{00000000-0005-0000-0000-0000B8040000}"/>
    <cellStyle name="40% - Ênfase4 8 4" xfId="26599" xr:uid="{00000000-0005-0000-0000-0000B9040000}"/>
    <cellStyle name="40% - Ênfase4 9" xfId="583" xr:uid="{00000000-0005-0000-0000-0000BA040000}"/>
    <cellStyle name="40% - Ênfase4 9 2" xfId="26600" xr:uid="{00000000-0005-0000-0000-0000BB040000}"/>
    <cellStyle name="40% - Ênfase5" xfId="52" builtinId="47" customBuiltin="1"/>
    <cellStyle name="40% - Ênfase5 10" xfId="584" xr:uid="{00000000-0005-0000-0000-0000BD040000}"/>
    <cellStyle name="40% - Ênfase5 10 2" xfId="26601" xr:uid="{00000000-0005-0000-0000-0000BE040000}"/>
    <cellStyle name="40% - Ênfase5 11" xfId="26602" xr:uid="{00000000-0005-0000-0000-0000BF040000}"/>
    <cellStyle name="40% - Ênfase5 11 2" xfId="26603" xr:uid="{00000000-0005-0000-0000-0000C0040000}"/>
    <cellStyle name="40% - Ênfase5 12" xfId="26604" xr:uid="{00000000-0005-0000-0000-0000C1040000}"/>
    <cellStyle name="40% - Ênfase5 12 2" xfId="26605" xr:uid="{00000000-0005-0000-0000-0000C2040000}"/>
    <cellStyle name="40% - Ênfase5 13" xfId="26606" xr:uid="{00000000-0005-0000-0000-0000C3040000}"/>
    <cellStyle name="40% - Ênfase5 14" xfId="26607" xr:uid="{00000000-0005-0000-0000-0000C4040000}"/>
    <cellStyle name="40% - Ênfase5 2" xfId="585" xr:uid="{00000000-0005-0000-0000-0000C5040000}"/>
    <cellStyle name="40% - Ênfase5 2 10" xfId="26608" xr:uid="{00000000-0005-0000-0000-0000C6040000}"/>
    <cellStyle name="40% - Ênfase5 2 11" xfId="26609" xr:uid="{00000000-0005-0000-0000-0000C7040000}"/>
    <cellStyle name="40% - Ênfase5 2 2" xfId="586" xr:uid="{00000000-0005-0000-0000-0000C8040000}"/>
    <cellStyle name="40% - Ênfase5 2 2 2" xfId="587" xr:uid="{00000000-0005-0000-0000-0000C9040000}"/>
    <cellStyle name="40% - Ênfase5 2 2 2 2" xfId="588" xr:uid="{00000000-0005-0000-0000-0000CA040000}"/>
    <cellStyle name="40% - Ênfase5 2 2 2 2 2" xfId="26610" xr:uid="{00000000-0005-0000-0000-0000CB040000}"/>
    <cellStyle name="40% - Ênfase5 2 2 2 3" xfId="589" xr:uid="{00000000-0005-0000-0000-0000CC040000}"/>
    <cellStyle name="40% - Ênfase5 2 2 2 3 2" xfId="26611" xr:uid="{00000000-0005-0000-0000-0000CD040000}"/>
    <cellStyle name="40% - Ênfase5 2 2 2 4" xfId="26612" xr:uid="{00000000-0005-0000-0000-0000CE040000}"/>
    <cellStyle name="40% - Ênfase5 2 2 3" xfId="590" xr:uid="{00000000-0005-0000-0000-0000CF040000}"/>
    <cellStyle name="40% - Ênfase5 2 2 3 2" xfId="26613" xr:uid="{00000000-0005-0000-0000-0000D0040000}"/>
    <cellStyle name="40% - Ênfase5 2 2 4" xfId="591" xr:uid="{00000000-0005-0000-0000-0000D1040000}"/>
    <cellStyle name="40% - Ênfase5 2 2 4 2" xfId="26614" xr:uid="{00000000-0005-0000-0000-0000D2040000}"/>
    <cellStyle name="40% - Ênfase5 2 2 5" xfId="26615" xr:uid="{00000000-0005-0000-0000-0000D3040000}"/>
    <cellStyle name="40% - Ênfase5 2 2 5 2" xfId="26616" xr:uid="{00000000-0005-0000-0000-0000D4040000}"/>
    <cellStyle name="40% - Ênfase5 2 2 6" xfId="26617" xr:uid="{00000000-0005-0000-0000-0000D5040000}"/>
    <cellStyle name="40% - Ênfase5 2 3" xfId="592" xr:uid="{00000000-0005-0000-0000-0000D6040000}"/>
    <cellStyle name="40% - Ênfase5 2 3 2" xfId="593" xr:uid="{00000000-0005-0000-0000-0000D7040000}"/>
    <cellStyle name="40% - Ênfase5 2 3 2 2" xfId="594" xr:uid="{00000000-0005-0000-0000-0000D8040000}"/>
    <cellStyle name="40% - Ênfase5 2 3 2 2 2" xfId="26618" xr:uid="{00000000-0005-0000-0000-0000D9040000}"/>
    <cellStyle name="40% - Ênfase5 2 3 2 3" xfId="595" xr:uid="{00000000-0005-0000-0000-0000DA040000}"/>
    <cellStyle name="40% - Ênfase5 2 3 2 3 2" xfId="26619" xr:uid="{00000000-0005-0000-0000-0000DB040000}"/>
    <cellStyle name="40% - Ênfase5 2 3 2 4" xfId="26620" xr:uid="{00000000-0005-0000-0000-0000DC040000}"/>
    <cellStyle name="40% - Ênfase5 2 3 3" xfId="596" xr:uid="{00000000-0005-0000-0000-0000DD040000}"/>
    <cellStyle name="40% - Ênfase5 2 3 3 2" xfId="26621" xr:uid="{00000000-0005-0000-0000-0000DE040000}"/>
    <cellStyle name="40% - Ênfase5 2 3 4" xfId="597" xr:uid="{00000000-0005-0000-0000-0000DF040000}"/>
    <cellStyle name="40% - Ênfase5 2 3 4 2" xfId="26622" xr:uid="{00000000-0005-0000-0000-0000E0040000}"/>
    <cellStyle name="40% - Ênfase5 2 3 5" xfId="26623" xr:uid="{00000000-0005-0000-0000-0000E1040000}"/>
    <cellStyle name="40% - Ênfase5 2 3 5 2" xfId="26624" xr:uid="{00000000-0005-0000-0000-0000E2040000}"/>
    <cellStyle name="40% - Ênfase5 2 3 6" xfId="26625" xr:uid="{00000000-0005-0000-0000-0000E3040000}"/>
    <cellStyle name="40% - Ênfase5 2 4" xfId="598" xr:uid="{00000000-0005-0000-0000-0000E4040000}"/>
    <cellStyle name="40% - Ênfase5 2 4 2" xfId="599" xr:uid="{00000000-0005-0000-0000-0000E5040000}"/>
    <cellStyle name="40% - Ênfase5 2 4 2 2" xfId="26626" xr:uid="{00000000-0005-0000-0000-0000E6040000}"/>
    <cellStyle name="40% - Ênfase5 2 4 3" xfId="600" xr:uid="{00000000-0005-0000-0000-0000E7040000}"/>
    <cellStyle name="40% - Ênfase5 2 4 3 2" xfId="26627" xr:uid="{00000000-0005-0000-0000-0000E8040000}"/>
    <cellStyle name="40% - Ênfase5 2 4 4" xfId="26628" xr:uid="{00000000-0005-0000-0000-0000E9040000}"/>
    <cellStyle name="40% - Ênfase5 2 5" xfId="601" xr:uid="{00000000-0005-0000-0000-0000EA040000}"/>
    <cellStyle name="40% - Ênfase5 2 5 2" xfId="26629" xr:uid="{00000000-0005-0000-0000-0000EB040000}"/>
    <cellStyle name="40% - Ênfase5 2 6" xfId="602" xr:uid="{00000000-0005-0000-0000-0000EC040000}"/>
    <cellStyle name="40% - Ênfase5 2 6 2" xfId="26630" xr:uid="{00000000-0005-0000-0000-0000ED040000}"/>
    <cellStyle name="40% - Ênfase5 2 7" xfId="603" xr:uid="{00000000-0005-0000-0000-0000EE040000}"/>
    <cellStyle name="40% - Ênfase5 2 7 2" xfId="26631" xr:uid="{00000000-0005-0000-0000-0000EF040000}"/>
    <cellStyle name="40% - Ênfase5 2 8" xfId="26632" xr:uid="{00000000-0005-0000-0000-0000F0040000}"/>
    <cellStyle name="40% - Ênfase5 2 9" xfId="26633" xr:uid="{00000000-0005-0000-0000-0000F1040000}"/>
    <cellStyle name="40% - Ênfase5 3" xfId="604" xr:uid="{00000000-0005-0000-0000-0000F2040000}"/>
    <cellStyle name="40% - Ênfase5 3 2" xfId="605" xr:uid="{00000000-0005-0000-0000-0000F3040000}"/>
    <cellStyle name="40% - Ênfase5 3 3" xfId="606" xr:uid="{00000000-0005-0000-0000-0000F4040000}"/>
    <cellStyle name="40% - Ênfase5 3 3 2" xfId="607" xr:uid="{00000000-0005-0000-0000-0000F5040000}"/>
    <cellStyle name="40% - Ênfase5 3 3 2 2" xfId="26634" xr:uid="{00000000-0005-0000-0000-0000F6040000}"/>
    <cellStyle name="40% - Ênfase5 3 3 3" xfId="608" xr:uid="{00000000-0005-0000-0000-0000F7040000}"/>
    <cellStyle name="40% - Ênfase5 3 3 3 2" xfId="26635" xr:uid="{00000000-0005-0000-0000-0000F8040000}"/>
    <cellStyle name="40% - Ênfase5 3 3 4" xfId="26636" xr:uid="{00000000-0005-0000-0000-0000F9040000}"/>
    <cellStyle name="40% - Ênfase5 3 4" xfId="609" xr:uid="{00000000-0005-0000-0000-0000FA040000}"/>
    <cellStyle name="40% - Ênfase5 3 4 2" xfId="26637" xr:uid="{00000000-0005-0000-0000-0000FB040000}"/>
    <cellStyle name="40% - Ênfase5 3 5" xfId="610" xr:uid="{00000000-0005-0000-0000-0000FC040000}"/>
    <cellStyle name="40% - Ênfase5 3 5 2" xfId="26638" xr:uid="{00000000-0005-0000-0000-0000FD040000}"/>
    <cellStyle name="40% - Ênfase5 3 6" xfId="26639" xr:uid="{00000000-0005-0000-0000-0000FE040000}"/>
    <cellStyle name="40% - Ênfase5 3 6 2" xfId="26640" xr:uid="{00000000-0005-0000-0000-0000FF040000}"/>
    <cellStyle name="40% - Ênfase5 3 7" xfId="26641" xr:uid="{00000000-0005-0000-0000-000000050000}"/>
    <cellStyle name="40% - Ênfase5 4" xfId="611" xr:uid="{00000000-0005-0000-0000-000001050000}"/>
    <cellStyle name="40% - Ênfase5 4 2" xfId="612" xr:uid="{00000000-0005-0000-0000-000002050000}"/>
    <cellStyle name="40% - Ênfase5 4 2 2" xfId="613" xr:uid="{00000000-0005-0000-0000-000003050000}"/>
    <cellStyle name="40% - Ênfase5 4 2 2 2" xfId="26642" xr:uid="{00000000-0005-0000-0000-000004050000}"/>
    <cellStyle name="40% - Ênfase5 4 2 3" xfId="614" xr:uid="{00000000-0005-0000-0000-000005050000}"/>
    <cellStyle name="40% - Ênfase5 4 2 3 2" xfId="26643" xr:uid="{00000000-0005-0000-0000-000006050000}"/>
    <cellStyle name="40% - Ênfase5 4 2 4" xfId="26644" xr:uid="{00000000-0005-0000-0000-000007050000}"/>
    <cellStyle name="40% - Ênfase5 4 3" xfId="615" xr:uid="{00000000-0005-0000-0000-000008050000}"/>
    <cellStyle name="40% - Ênfase5 4 3 2" xfId="26645" xr:uid="{00000000-0005-0000-0000-000009050000}"/>
    <cellStyle name="40% - Ênfase5 4 4" xfId="616" xr:uid="{00000000-0005-0000-0000-00000A050000}"/>
    <cellStyle name="40% - Ênfase5 4 4 2" xfId="26646" xr:uid="{00000000-0005-0000-0000-00000B050000}"/>
    <cellStyle name="40% - Ênfase5 4 5" xfId="26647" xr:uid="{00000000-0005-0000-0000-00000C050000}"/>
    <cellStyle name="40% - Ênfase5 4 5 2" xfId="26648" xr:uid="{00000000-0005-0000-0000-00000D050000}"/>
    <cellStyle name="40% - Ênfase5 4 6" xfId="26649" xr:uid="{00000000-0005-0000-0000-00000E050000}"/>
    <cellStyle name="40% - Ênfase5 5" xfId="617" xr:uid="{00000000-0005-0000-0000-00000F050000}"/>
    <cellStyle name="40% - Ênfase5 5 2" xfId="618" xr:uid="{00000000-0005-0000-0000-000010050000}"/>
    <cellStyle name="40% - Ênfase5 5 2 2" xfId="619" xr:uid="{00000000-0005-0000-0000-000011050000}"/>
    <cellStyle name="40% - Ênfase5 5 2 2 2" xfId="26650" xr:uid="{00000000-0005-0000-0000-000012050000}"/>
    <cellStyle name="40% - Ênfase5 5 2 3" xfId="620" xr:uid="{00000000-0005-0000-0000-000013050000}"/>
    <cellStyle name="40% - Ênfase5 5 2 3 2" xfId="26651" xr:uid="{00000000-0005-0000-0000-000014050000}"/>
    <cellStyle name="40% - Ênfase5 5 2 4" xfId="26652" xr:uid="{00000000-0005-0000-0000-000015050000}"/>
    <cellStyle name="40% - Ênfase5 5 3" xfId="621" xr:uid="{00000000-0005-0000-0000-000016050000}"/>
    <cellStyle name="40% - Ênfase5 5 3 2" xfId="26653" xr:uid="{00000000-0005-0000-0000-000017050000}"/>
    <cellStyle name="40% - Ênfase5 5 4" xfId="622" xr:uid="{00000000-0005-0000-0000-000018050000}"/>
    <cellStyle name="40% - Ênfase5 5 4 2" xfId="26654" xr:uid="{00000000-0005-0000-0000-000019050000}"/>
    <cellStyle name="40% - Ênfase5 5 5" xfId="26655" xr:uid="{00000000-0005-0000-0000-00001A050000}"/>
    <cellStyle name="40% - Ênfase5 5 5 2" xfId="26656" xr:uid="{00000000-0005-0000-0000-00001B050000}"/>
    <cellStyle name="40% - Ênfase5 5 6" xfId="26657" xr:uid="{00000000-0005-0000-0000-00001C050000}"/>
    <cellStyle name="40% - Ênfase5 6" xfId="623" xr:uid="{00000000-0005-0000-0000-00001D050000}"/>
    <cellStyle name="40% - Ênfase5 6 2" xfId="624" xr:uid="{00000000-0005-0000-0000-00001E050000}"/>
    <cellStyle name="40% - Ênfase5 6 2 2" xfId="625" xr:uid="{00000000-0005-0000-0000-00001F050000}"/>
    <cellStyle name="40% - Ênfase5 6 2 2 2" xfId="26658" xr:uid="{00000000-0005-0000-0000-000020050000}"/>
    <cellStyle name="40% - Ênfase5 6 2 3" xfId="626" xr:uid="{00000000-0005-0000-0000-000021050000}"/>
    <cellStyle name="40% - Ênfase5 6 2 3 2" xfId="26659" xr:uid="{00000000-0005-0000-0000-000022050000}"/>
    <cellStyle name="40% - Ênfase5 6 2 4" xfId="26660" xr:uid="{00000000-0005-0000-0000-000023050000}"/>
    <cellStyle name="40% - Ênfase5 6 3" xfId="627" xr:uid="{00000000-0005-0000-0000-000024050000}"/>
    <cellStyle name="40% - Ênfase5 6 3 2" xfId="26661" xr:uid="{00000000-0005-0000-0000-000025050000}"/>
    <cellStyle name="40% - Ênfase5 6 4" xfId="628" xr:uid="{00000000-0005-0000-0000-000026050000}"/>
    <cellStyle name="40% - Ênfase5 6 4 2" xfId="26662" xr:uid="{00000000-0005-0000-0000-000027050000}"/>
    <cellStyle name="40% - Ênfase5 6 5" xfId="26663" xr:uid="{00000000-0005-0000-0000-000028050000}"/>
    <cellStyle name="40% - Ênfase5 6 5 2" xfId="26664" xr:uid="{00000000-0005-0000-0000-000029050000}"/>
    <cellStyle name="40% - Ênfase5 6 6" xfId="26665" xr:uid="{00000000-0005-0000-0000-00002A050000}"/>
    <cellStyle name="40% - Ênfase5 7" xfId="629" xr:uid="{00000000-0005-0000-0000-00002B050000}"/>
    <cellStyle name="40% - Ênfase5 8" xfId="630" xr:uid="{00000000-0005-0000-0000-00002C050000}"/>
    <cellStyle name="40% - Ênfase5 8 2" xfId="631" xr:uid="{00000000-0005-0000-0000-00002D050000}"/>
    <cellStyle name="40% - Ênfase5 8 2 2" xfId="26666" xr:uid="{00000000-0005-0000-0000-00002E050000}"/>
    <cellStyle name="40% - Ênfase5 8 3" xfId="632" xr:uid="{00000000-0005-0000-0000-00002F050000}"/>
    <cellStyle name="40% - Ênfase5 8 3 2" xfId="26667" xr:uid="{00000000-0005-0000-0000-000030050000}"/>
    <cellStyle name="40% - Ênfase5 8 4" xfId="26668" xr:uid="{00000000-0005-0000-0000-000031050000}"/>
    <cellStyle name="40% - Ênfase5 9" xfId="633" xr:uid="{00000000-0005-0000-0000-000032050000}"/>
    <cellStyle name="40% - Ênfase5 9 2" xfId="26669" xr:uid="{00000000-0005-0000-0000-000033050000}"/>
    <cellStyle name="40% - Ênfase6" xfId="56" builtinId="51" customBuiltin="1"/>
    <cellStyle name="40% - Ênfase6 10" xfId="634" xr:uid="{00000000-0005-0000-0000-000035050000}"/>
    <cellStyle name="40% - Ênfase6 10 2" xfId="26670" xr:uid="{00000000-0005-0000-0000-000036050000}"/>
    <cellStyle name="40% - Ênfase6 11" xfId="26671" xr:uid="{00000000-0005-0000-0000-000037050000}"/>
    <cellStyle name="40% - Ênfase6 11 2" xfId="26672" xr:uid="{00000000-0005-0000-0000-000038050000}"/>
    <cellStyle name="40% - Ênfase6 12" xfId="26673" xr:uid="{00000000-0005-0000-0000-000039050000}"/>
    <cellStyle name="40% - Ênfase6 12 2" xfId="26674" xr:uid="{00000000-0005-0000-0000-00003A050000}"/>
    <cellStyle name="40% - Ênfase6 13" xfId="26675" xr:uid="{00000000-0005-0000-0000-00003B050000}"/>
    <cellStyle name="40% - Ênfase6 14" xfId="26676" xr:uid="{00000000-0005-0000-0000-00003C050000}"/>
    <cellStyle name="40% - Ênfase6 2" xfId="635" xr:uid="{00000000-0005-0000-0000-00003D050000}"/>
    <cellStyle name="40% - Ênfase6 2 10" xfId="26677" xr:uid="{00000000-0005-0000-0000-00003E050000}"/>
    <cellStyle name="40% - Ênfase6 2 11" xfId="26678" xr:uid="{00000000-0005-0000-0000-00003F050000}"/>
    <cellStyle name="40% - Ênfase6 2 2" xfId="636" xr:uid="{00000000-0005-0000-0000-000040050000}"/>
    <cellStyle name="40% - Ênfase6 2 2 2" xfId="637" xr:uid="{00000000-0005-0000-0000-000041050000}"/>
    <cellStyle name="40% - Ênfase6 2 2 2 2" xfId="638" xr:uid="{00000000-0005-0000-0000-000042050000}"/>
    <cellStyle name="40% - Ênfase6 2 2 2 2 2" xfId="26679" xr:uid="{00000000-0005-0000-0000-000043050000}"/>
    <cellStyle name="40% - Ênfase6 2 2 2 3" xfId="639" xr:uid="{00000000-0005-0000-0000-000044050000}"/>
    <cellStyle name="40% - Ênfase6 2 2 2 3 2" xfId="26680" xr:uid="{00000000-0005-0000-0000-000045050000}"/>
    <cellStyle name="40% - Ênfase6 2 2 2 4" xfId="26681" xr:uid="{00000000-0005-0000-0000-000046050000}"/>
    <cellStyle name="40% - Ênfase6 2 2 3" xfId="640" xr:uid="{00000000-0005-0000-0000-000047050000}"/>
    <cellStyle name="40% - Ênfase6 2 2 3 2" xfId="26682" xr:uid="{00000000-0005-0000-0000-000048050000}"/>
    <cellStyle name="40% - Ênfase6 2 2 4" xfId="641" xr:uid="{00000000-0005-0000-0000-000049050000}"/>
    <cellStyle name="40% - Ênfase6 2 2 4 2" xfId="26683" xr:uid="{00000000-0005-0000-0000-00004A050000}"/>
    <cellStyle name="40% - Ênfase6 2 2 5" xfId="26684" xr:uid="{00000000-0005-0000-0000-00004B050000}"/>
    <cellStyle name="40% - Ênfase6 2 2 5 2" xfId="26685" xr:uid="{00000000-0005-0000-0000-00004C050000}"/>
    <cellStyle name="40% - Ênfase6 2 2 6" xfId="26686" xr:uid="{00000000-0005-0000-0000-00004D050000}"/>
    <cellStyle name="40% - Ênfase6 2 3" xfId="642" xr:uid="{00000000-0005-0000-0000-00004E050000}"/>
    <cellStyle name="40% - Ênfase6 2 3 2" xfId="643" xr:uid="{00000000-0005-0000-0000-00004F050000}"/>
    <cellStyle name="40% - Ênfase6 2 3 2 2" xfId="644" xr:uid="{00000000-0005-0000-0000-000050050000}"/>
    <cellStyle name="40% - Ênfase6 2 3 2 2 2" xfId="26687" xr:uid="{00000000-0005-0000-0000-000051050000}"/>
    <cellStyle name="40% - Ênfase6 2 3 2 3" xfId="645" xr:uid="{00000000-0005-0000-0000-000052050000}"/>
    <cellStyle name="40% - Ênfase6 2 3 2 3 2" xfId="26688" xr:uid="{00000000-0005-0000-0000-000053050000}"/>
    <cellStyle name="40% - Ênfase6 2 3 2 4" xfId="26689" xr:uid="{00000000-0005-0000-0000-000054050000}"/>
    <cellStyle name="40% - Ênfase6 2 3 3" xfId="646" xr:uid="{00000000-0005-0000-0000-000055050000}"/>
    <cellStyle name="40% - Ênfase6 2 3 3 2" xfId="26690" xr:uid="{00000000-0005-0000-0000-000056050000}"/>
    <cellStyle name="40% - Ênfase6 2 3 4" xfId="647" xr:uid="{00000000-0005-0000-0000-000057050000}"/>
    <cellStyle name="40% - Ênfase6 2 3 4 2" xfId="26691" xr:uid="{00000000-0005-0000-0000-000058050000}"/>
    <cellStyle name="40% - Ênfase6 2 3 5" xfId="26692" xr:uid="{00000000-0005-0000-0000-000059050000}"/>
    <cellStyle name="40% - Ênfase6 2 3 5 2" xfId="26693" xr:uid="{00000000-0005-0000-0000-00005A050000}"/>
    <cellStyle name="40% - Ênfase6 2 3 6" xfId="26694" xr:uid="{00000000-0005-0000-0000-00005B050000}"/>
    <cellStyle name="40% - Ênfase6 2 4" xfId="648" xr:uid="{00000000-0005-0000-0000-00005C050000}"/>
    <cellStyle name="40% - Ênfase6 2 4 2" xfId="649" xr:uid="{00000000-0005-0000-0000-00005D050000}"/>
    <cellStyle name="40% - Ênfase6 2 4 2 2" xfId="26695" xr:uid="{00000000-0005-0000-0000-00005E050000}"/>
    <cellStyle name="40% - Ênfase6 2 4 3" xfId="650" xr:uid="{00000000-0005-0000-0000-00005F050000}"/>
    <cellStyle name="40% - Ênfase6 2 4 3 2" xfId="26696" xr:uid="{00000000-0005-0000-0000-000060050000}"/>
    <cellStyle name="40% - Ênfase6 2 4 4" xfId="26697" xr:uid="{00000000-0005-0000-0000-000061050000}"/>
    <cellStyle name="40% - Ênfase6 2 5" xfId="651" xr:uid="{00000000-0005-0000-0000-000062050000}"/>
    <cellStyle name="40% - Ênfase6 2 5 2" xfId="26698" xr:uid="{00000000-0005-0000-0000-000063050000}"/>
    <cellStyle name="40% - Ênfase6 2 6" xfId="652" xr:uid="{00000000-0005-0000-0000-000064050000}"/>
    <cellStyle name="40% - Ênfase6 2 6 2" xfId="26699" xr:uid="{00000000-0005-0000-0000-000065050000}"/>
    <cellStyle name="40% - Ênfase6 2 7" xfId="653" xr:uid="{00000000-0005-0000-0000-000066050000}"/>
    <cellStyle name="40% - Ênfase6 2 7 2" xfId="26700" xr:uid="{00000000-0005-0000-0000-000067050000}"/>
    <cellStyle name="40% - Ênfase6 2 8" xfId="26701" xr:uid="{00000000-0005-0000-0000-000068050000}"/>
    <cellStyle name="40% - Ênfase6 2 9" xfId="26702" xr:uid="{00000000-0005-0000-0000-000069050000}"/>
    <cellStyle name="40% - Ênfase6 3" xfId="654" xr:uid="{00000000-0005-0000-0000-00006A050000}"/>
    <cellStyle name="40% - Ênfase6 3 2" xfId="655" xr:uid="{00000000-0005-0000-0000-00006B050000}"/>
    <cellStyle name="40% - Ênfase6 3 3" xfId="656" xr:uid="{00000000-0005-0000-0000-00006C050000}"/>
    <cellStyle name="40% - Ênfase6 3 3 2" xfId="657" xr:uid="{00000000-0005-0000-0000-00006D050000}"/>
    <cellStyle name="40% - Ênfase6 3 3 2 2" xfId="26703" xr:uid="{00000000-0005-0000-0000-00006E050000}"/>
    <cellStyle name="40% - Ênfase6 3 3 3" xfId="658" xr:uid="{00000000-0005-0000-0000-00006F050000}"/>
    <cellStyle name="40% - Ênfase6 3 3 3 2" xfId="26704" xr:uid="{00000000-0005-0000-0000-000070050000}"/>
    <cellStyle name="40% - Ênfase6 3 3 4" xfId="26705" xr:uid="{00000000-0005-0000-0000-000071050000}"/>
    <cellStyle name="40% - Ênfase6 3 4" xfId="659" xr:uid="{00000000-0005-0000-0000-000072050000}"/>
    <cellStyle name="40% - Ênfase6 3 4 2" xfId="26706" xr:uid="{00000000-0005-0000-0000-000073050000}"/>
    <cellStyle name="40% - Ênfase6 3 5" xfId="660" xr:uid="{00000000-0005-0000-0000-000074050000}"/>
    <cellStyle name="40% - Ênfase6 3 5 2" xfId="26707" xr:uid="{00000000-0005-0000-0000-000075050000}"/>
    <cellStyle name="40% - Ênfase6 3 6" xfId="26708" xr:uid="{00000000-0005-0000-0000-000076050000}"/>
    <cellStyle name="40% - Ênfase6 3 6 2" xfId="26709" xr:uid="{00000000-0005-0000-0000-000077050000}"/>
    <cellStyle name="40% - Ênfase6 3 7" xfId="26710" xr:uid="{00000000-0005-0000-0000-000078050000}"/>
    <cellStyle name="40% - Ênfase6 4" xfId="661" xr:uid="{00000000-0005-0000-0000-000079050000}"/>
    <cellStyle name="40% - Ênfase6 4 2" xfId="662" xr:uid="{00000000-0005-0000-0000-00007A050000}"/>
    <cellStyle name="40% - Ênfase6 4 2 2" xfId="663" xr:uid="{00000000-0005-0000-0000-00007B050000}"/>
    <cellStyle name="40% - Ênfase6 4 2 2 2" xfId="26711" xr:uid="{00000000-0005-0000-0000-00007C050000}"/>
    <cellStyle name="40% - Ênfase6 4 2 3" xfId="664" xr:uid="{00000000-0005-0000-0000-00007D050000}"/>
    <cellStyle name="40% - Ênfase6 4 2 3 2" xfId="26712" xr:uid="{00000000-0005-0000-0000-00007E050000}"/>
    <cellStyle name="40% - Ênfase6 4 2 4" xfId="26713" xr:uid="{00000000-0005-0000-0000-00007F050000}"/>
    <cellStyle name="40% - Ênfase6 4 3" xfId="665" xr:uid="{00000000-0005-0000-0000-000080050000}"/>
    <cellStyle name="40% - Ênfase6 4 3 2" xfId="26714" xr:uid="{00000000-0005-0000-0000-000081050000}"/>
    <cellStyle name="40% - Ênfase6 4 4" xfId="666" xr:uid="{00000000-0005-0000-0000-000082050000}"/>
    <cellStyle name="40% - Ênfase6 4 4 2" xfId="26715" xr:uid="{00000000-0005-0000-0000-000083050000}"/>
    <cellStyle name="40% - Ênfase6 4 5" xfId="26716" xr:uid="{00000000-0005-0000-0000-000084050000}"/>
    <cellStyle name="40% - Ênfase6 4 5 2" xfId="26717" xr:uid="{00000000-0005-0000-0000-000085050000}"/>
    <cellStyle name="40% - Ênfase6 4 6" xfId="26718" xr:uid="{00000000-0005-0000-0000-000086050000}"/>
    <cellStyle name="40% - Ênfase6 5" xfId="667" xr:uid="{00000000-0005-0000-0000-000087050000}"/>
    <cellStyle name="40% - Ênfase6 5 2" xfId="668" xr:uid="{00000000-0005-0000-0000-000088050000}"/>
    <cellStyle name="40% - Ênfase6 5 2 2" xfId="669" xr:uid="{00000000-0005-0000-0000-000089050000}"/>
    <cellStyle name="40% - Ênfase6 5 2 2 2" xfId="26719" xr:uid="{00000000-0005-0000-0000-00008A050000}"/>
    <cellStyle name="40% - Ênfase6 5 2 3" xfId="670" xr:uid="{00000000-0005-0000-0000-00008B050000}"/>
    <cellStyle name="40% - Ênfase6 5 2 3 2" xfId="26720" xr:uid="{00000000-0005-0000-0000-00008C050000}"/>
    <cellStyle name="40% - Ênfase6 5 2 4" xfId="26721" xr:uid="{00000000-0005-0000-0000-00008D050000}"/>
    <cellStyle name="40% - Ênfase6 5 3" xfId="671" xr:uid="{00000000-0005-0000-0000-00008E050000}"/>
    <cellStyle name="40% - Ênfase6 5 3 2" xfId="26722" xr:uid="{00000000-0005-0000-0000-00008F050000}"/>
    <cellStyle name="40% - Ênfase6 5 4" xfId="672" xr:uid="{00000000-0005-0000-0000-000090050000}"/>
    <cellStyle name="40% - Ênfase6 5 4 2" xfId="26723" xr:uid="{00000000-0005-0000-0000-000091050000}"/>
    <cellStyle name="40% - Ênfase6 5 5" xfId="26724" xr:uid="{00000000-0005-0000-0000-000092050000}"/>
    <cellStyle name="40% - Ênfase6 5 5 2" xfId="26725" xr:uid="{00000000-0005-0000-0000-000093050000}"/>
    <cellStyle name="40% - Ênfase6 5 6" xfId="26726" xr:uid="{00000000-0005-0000-0000-000094050000}"/>
    <cellStyle name="40% - Ênfase6 6" xfId="673" xr:uid="{00000000-0005-0000-0000-000095050000}"/>
    <cellStyle name="40% - Ênfase6 6 2" xfId="674" xr:uid="{00000000-0005-0000-0000-000096050000}"/>
    <cellStyle name="40% - Ênfase6 6 2 2" xfId="675" xr:uid="{00000000-0005-0000-0000-000097050000}"/>
    <cellStyle name="40% - Ênfase6 6 2 2 2" xfId="26727" xr:uid="{00000000-0005-0000-0000-000098050000}"/>
    <cellStyle name="40% - Ênfase6 6 2 3" xfId="676" xr:uid="{00000000-0005-0000-0000-000099050000}"/>
    <cellStyle name="40% - Ênfase6 6 2 3 2" xfId="26728" xr:uid="{00000000-0005-0000-0000-00009A050000}"/>
    <cellStyle name="40% - Ênfase6 6 2 4" xfId="26729" xr:uid="{00000000-0005-0000-0000-00009B050000}"/>
    <cellStyle name="40% - Ênfase6 6 3" xfId="677" xr:uid="{00000000-0005-0000-0000-00009C050000}"/>
    <cellStyle name="40% - Ênfase6 6 3 2" xfId="26730" xr:uid="{00000000-0005-0000-0000-00009D050000}"/>
    <cellStyle name="40% - Ênfase6 6 4" xfId="678" xr:uid="{00000000-0005-0000-0000-00009E050000}"/>
    <cellStyle name="40% - Ênfase6 6 4 2" xfId="26731" xr:uid="{00000000-0005-0000-0000-00009F050000}"/>
    <cellStyle name="40% - Ênfase6 6 5" xfId="26732" xr:uid="{00000000-0005-0000-0000-0000A0050000}"/>
    <cellStyle name="40% - Ênfase6 6 5 2" xfId="26733" xr:uid="{00000000-0005-0000-0000-0000A1050000}"/>
    <cellStyle name="40% - Ênfase6 6 6" xfId="26734" xr:uid="{00000000-0005-0000-0000-0000A2050000}"/>
    <cellStyle name="40% - Ênfase6 7" xfId="679" xr:uid="{00000000-0005-0000-0000-0000A3050000}"/>
    <cellStyle name="40% - Ênfase6 8" xfId="680" xr:uid="{00000000-0005-0000-0000-0000A4050000}"/>
    <cellStyle name="40% - Ênfase6 8 2" xfId="681" xr:uid="{00000000-0005-0000-0000-0000A5050000}"/>
    <cellStyle name="40% - Ênfase6 8 2 2" xfId="26735" xr:uid="{00000000-0005-0000-0000-0000A6050000}"/>
    <cellStyle name="40% - Ênfase6 8 3" xfId="682" xr:uid="{00000000-0005-0000-0000-0000A7050000}"/>
    <cellStyle name="40% - Ênfase6 8 3 2" xfId="26736" xr:uid="{00000000-0005-0000-0000-0000A8050000}"/>
    <cellStyle name="40% - Ênfase6 8 4" xfId="26737" xr:uid="{00000000-0005-0000-0000-0000A9050000}"/>
    <cellStyle name="40% - Ênfase6 9" xfId="683" xr:uid="{00000000-0005-0000-0000-0000AA050000}"/>
    <cellStyle name="40% - Ênfase6 9 2" xfId="26738" xr:uid="{00000000-0005-0000-0000-0000AB050000}"/>
    <cellStyle name="60% - Accent1" xfId="684" xr:uid="{00000000-0005-0000-0000-0000AC050000}"/>
    <cellStyle name="60% - Accent2" xfId="685" xr:uid="{00000000-0005-0000-0000-0000AD050000}"/>
    <cellStyle name="60% - Accent3" xfId="686" xr:uid="{00000000-0005-0000-0000-0000AE050000}"/>
    <cellStyle name="60% - Accent4" xfId="687" xr:uid="{00000000-0005-0000-0000-0000AF050000}"/>
    <cellStyle name="60% - Accent5" xfId="688" xr:uid="{00000000-0005-0000-0000-0000B0050000}"/>
    <cellStyle name="60% - Accent6" xfId="689" xr:uid="{00000000-0005-0000-0000-0000B1050000}"/>
    <cellStyle name="60% - Ênfase1" xfId="38" builtinId="32" customBuiltin="1"/>
    <cellStyle name="60% - Ênfase1 2" xfId="690" xr:uid="{00000000-0005-0000-0000-0000B3050000}"/>
    <cellStyle name="60% - Ênfase1 2 2" xfId="691" xr:uid="{00000000-0005-0000-0000-0000B4050000}"/>
    <cellStyle name="60% - Ênfase1 2 3" xfId="26739" xr:uid="{00000000-0005-0000-0000-0000B5050000}"/>
    <cellStyle name="60% - Ênfase1 3" xfId="692" xr:uid="{00000000-0005-0000-0000-0000B6050000}"/>
    <cellStyle name="60% - Ênfase1 4" xfId="693" xr:uid="{00000000-0005-0000-0000-0000B7050000}"/>
    <cellStyle name="60% - Ênfase1 5" xfId="26740" xr:uid="{00000000-0005-0000-0000-0000B8050000}"/>
    <cellStyle name="60% - Ênfase2" xfId="42" builtinId="36" customBuiltin="1"/>
    <cellStyle name="60% - Ênfase2 2" xfId="694" xr:uid="{00000000-0005-0000-0000-0000BA050000}"/>
    <cellStyle name="60% - Ênfase2 2 2" xfId="695" xr:uid="{00000000-0005-0000-0000-0000BB050000}"/>
    <cellStyle name="60% - Ênfase2 2 3" xfId="26741" xr:uid="{00000000-0005-0000-0000-0000BC050000}"/>
    <cellStyle name="60% - Ênfase2 3" xfId="696" xr:uid="{00000000-0005-0000-0000-0000BD050000}"/>
    <cellStyle name="60% - Ênfase2 4" xfId="697" xr:uid="{00000000-0005-0000-0000-0000BE050000}"/>
    <cellStyle name="60% - Ênfase2 5" xfId="26742" xr:uid="{00000000-0005-0000-0000-0000BF050000}"/>
    <cellStyle name="60% - Ênfase3" xfId="46" builtinId="40" customBuiltin="1"/>
    <cellStyle name="60% - Ênfase3 2" xfId="698" xr:uid="{00000000-0005-0000-0000-0000C1050000}"/>
    <cellStyle name="60% - Ênfase3 2 2" xfId="699" xr:uid="{00000000-0005-0000-0000-0000C2050000}"/>
    <cellStyle name="60% - Ênfase3 2 3" xfId="26743" xr:uid="{00000000-0005-0000-0000-0000C3050000}"/>
    <cellStyle name="60% - Ênfase3 3" xfId="700" xr:uid="{00000000-0005-0000-0000-0000C4050000}"/>
    <cellStyle name="60% - Ênfase3 4" xfId="701" xr:uid="{00000000-0005-0000-0000-0000C5050000}"/>
    <cellStyle name="60% - Ênfase3 5" xfId="26744" xr:uid="{00000000-0005-0000-0000-0000C6050000}"/>
    <cellStyle name="60% - Ênfase4" xfId="50" builtinId="44" customBuiltin="1"/>
    <cellStyle name="60% - Ênfase4 2" xfId="702" xr:uid="{00000000-0005-0000-0000-0000C8050000}"/>
    <cellStyle name="60% - Ênfase4 2 2" xfId="703" xr:uid="{00000000-0005-0000-0000-0000C9050000}"/>
    <cellStyle name="60% - Ênfase4 2 3" xfId="26745" xr:uid="{00000000-0005-0000-0000-0000CA050000}"/>
    <cellStyle name="60% - Ênfase4 3" xfId="704" xr:uid="{00000000-0005-0000-0000-0000CB050000}"/>
    <cellStyle name="60% - Ênfase4 4" xfId="705" xr:uid="{00000000-0005-0000-0000-0000CC050000}"/>
    <cellStyle name="60% - Ênfase4 5" xfId="26746" xr:uid="{00000000-0005-0000-0000-0000CD050000}"/>
    <cellStyle name="60% - Ênfase5" xfId="53" builtinId="48" customBuiltin="1"/>
    <cellStyle name="60% - Ênfase5 2" xfId="706" xr:uid="{00000000-0005-0000-0000-0000CF050000}"/>
    <cellStyle name="60% - Ênfase5 2 2" xfId="707" xr:uid="{00000000-0005-0000-0000-0000D0050000}"/>
    <cellStyle name="60% - Ênfase5 2 3" xfId="26747" xr:uid="{00000000-0005-0000-0000-0000D1050000}"/>
    <cellStyle name="60% - Ênfase5 3" xfId="708" xr:uid="{00000000-0005-0000-0000-0000D2050000}"/>
    <cellStyle name="60% - Ênfase5 4" xfId="709" xr:uid="{00000000-0005-0000-0000-0000D3050000}"/>
    <cellStyle name="60% - Ênfase5 5" xfId="26748" xr:uid="{00000000-0005-0000-0000-0000D4050000}"/>
    <cellStyle name="60% - Ênfase6" xfId="57" builtinId="52" customBuiltin="1"/>
    <cellStyle name="60% - Ênfase6 2" xfId="710" xr:uid="{00000000-0005-0000-0000-0000D6050000}"/>
    <cellStyle name="60% - Ênfase6 2 2" xfId="711" xr:uid="{00000000-0005-0000-0000-0000D7050000}"/>
    <cellStyle name="60% - Ênfase6 2 3" xfId="26749" xr:uid="{00000000-0005-0000-0000-0000D8050000}"/>
    <cellStyle name="60% - Ênfase6 3" xfId="712" xr:uid="{00000000-0005-0000-0000-0000D9050000}"/>
    <cellStyle name="60% - Ênfase6 4" xfId="713" xr:uid="{00000000-0005-0000-0000-0000DA050000}"/>
    <cellStyle name="60% - Ênfase6 5" xfId="26750" xr:uid="{00000000-0005-0000-0000-0000DB050000}"/>
    <cellStyle name="A3 297 x 420 mm_CME_caso 339a_rev2" xfId="15" xr:uid="{00000000-0005-0000-0000-0000DC050000}"/>
    <cellStyle name="Accent1" xfId="714" xr:uid="{00000000-0005-0000-0000-0000DD050000}"/>
    <cellStyle name="Accent2" xfId="715" xr:uid="{00000000-0005-0000-0000-0000DE050000}"/>
    <cellStyle name="Accent3" xfId="716" xr:uid="{00000000-0005-0000-0000-0000DF050000}"/>
    <cellStyle name="Accent4" xfId="717" xr:uid="{00000000-0005-0000-0000-0000E0050000}"/>
    <cellStyle name="Accent5" xfId="718" xr:uid="{00000000-0005-0000-0000-0000E1050000}"/>
    <cellStyle name="Accent6" xfId="719" xr:uid="{00000000-0005-0000-0000-0000E2050000}"/>
    <cellStyle name="Bad" xfId="720" xr:uid="{00000000-0005-0000-0000-0000E3050000}"/>
    <cellStyle name="Body: normal cell" xfId="62099" xr:uid="{00000000-0005-0000-0000-0000E4050000}"/>
    <cellStyle name="Bom" xfId="28" builtinId="26" customBuiltin="1"/>
    <cellStyle name="Bom 2" xfId="721" xr:uid="{00000000-0005-0000-0000-0000E6050000}"/>
    <cellStyle name="Bom 2 2" xfId="722" xr:uid="{00000000-0005-0000-0000-0000E7050000}"/>
    <cellStyle name="Bom 2 3" xfId="26751" xr:uid="{00000000-0005-0000-0000-0000E8050000}"/>
    <cellStyle name="Bom 3" xfId="723" xr:uid="{00000000-0005-0000-0000-0000E9050000}"/>
    <cellStyle name="Bom 4" xfId="724" xr:uid="{00000000-0005-0000-0000-0000EA050000}"/>
    <cellStyle name="Bom 5" xfId="26752" xr:uid="{00000000-0005-0000-0000-0000EB050000}"/>
    <cellStyle name="Calculation" xfId="725" xr:uid="{00000000-0005-0000-0000-0000EC050000}"/>
    <cellStyle name="Calculation 2" xfId="726" xr:uid="{00000000-0005-0000-0000-0000ED050000}"/>
    <cellStyle name="Calculation 2 2" xfId="727" xr:uid="{00000000-0005-0000-0000-0000EE050000}"/>
    <cellStyle name="Calculation 2 2 2" xfId="728" xr:uid="{00000000-0005-0000-0000-0000EF050000}"/>
    <cellStyle name="Calculation 2 2 2 2" xfId="729" xr:uid="{00000000-0005-0000-0000-0000F0050000}"/>
    <cellStyle name="Calculation 2 2 2 2 2" xfId="26753" xr:uid="{00000000-0005-0000-0000-0000F1050000}"/>
    <cellStyle name="Calculation 2 2 2 3" xfId="26754" xr:uid="{00000000-0005-0000-0000-0000F2050000}"/>
    <cellStyle name="Calculation 2 2 2 3 2" xfId="26755" xr:uid="{00000000-0005-0000-0000-0000F3050000}"/>
    <cellStyle name="Calculation 2 2 2 4" xfId="26756" xr:uid="{00000000-0005-0000-0000-0000F4050000}"/>
    <cellStyle name="Calculation 2 2 2 4 2" xfId="26757" xr:uid="{00000000-0005-0000-0000-0000F5050000}"/>
    <cellStyle name="Calculation 2 2 2 5" xfId="26758" xr:uid="{00000000-0005-0000-0000-0000F6050000}"/>
    <cellStyle name="Calculation 2 2 3" xfId="730" xr:uid="{00000000-0005-0000-0000-0000F7050000}"/>
    <cellStyle name="Calculation 2 2 3 2" xfId="26759" xr:uid="{00000000-0005-0000-0000-0000F8050000}"/>
    <cellStyle name="Calculation 2 2 4" xfId="26760" xr:uid="{00000000-0005-0000-0000-0000F9050000}"/>
    <cellStyle name="Calculation 2 2 4 2" xfId="26761" xr:uid="{00000000-0005-0000-0000-0000FA050000}"/>
    <cellStyle name="Calculation 2 2 5" xfId="26762" xr:uid="{00000000-0005-0000-0000-0000FB050000}"/>
    <cellStyle name="Calculation 2 2 5 2" xfId="26763" xr:uid="{00000000-0005-0000-0000-0000FC050000}"/>
    <cellStyle name="Calculation 2 2 6" xfId="26764" xr:uid="{00000000-0005-0000-0000-0000FD050000}"/>
    <cellStyle name="Calculation 2 3" xfId="731" xr:uid="{00000000-0005-0000-0000-0000FE050000}"/>
    <cellStyle name="Calculation 2 3 2" xfId="732" xr:uid="{00000000-0005-0000-0000-0000FF050000}"/>
    <cellStyle name="Calculation 2 3 2 2" xfId="733" xr:uid="{00000000-0005-0000-0000-000000060000}"/>
    <cellStyle name="Calculation 2 3 2 2 2" xfId="26765" xr:uid="{00000000-0005-0000-0000-000001060000}"/>
    <cellStyle name="Calculation 2 3 2 3" xfId="26766" xr:uid="{00000000-0005-0000-0000-000002060000}"/>
    <cellStyle name="Calculation 2 3 2 3 2" xfId="26767" xr:uid="{00000000-0005-0000-0000-000003060000}"/>
    <cellStyle name="Calculation 2 3 2 4" xfId="26768" xr:uid="{00000000-0005-0000-0000-000004060000}"/>
    <cellStyle name="Calculation 2 3 2 4 2" xfId="26769" xr:uid="{00000000-0005-0000-0000-000005060000}"/>
    <cellStyle name="Calculation 2 3 2 5" xfId="26770" xr:uid="{00000000-0005-0000-0000-000006060000}"/>
    <cellStyle name="Calculation 2 3 3" xfId="734" xr:uid="{00000000-0005-0000-0000-000007060000}"/>
    <cellStyle name="Calculation 2 3 3 2" xfId="26771" xr:uid="{00000000-0005-0000-0000-000008060000}"/>
    <cellStyle name="Calculation 2 3 4" xfId="26772" xr:uid="{00000000-0005-0000-0000-000009060000}"/>
    <cellStyle name="Calculation 2 3 4 2" xfId="26773" xr:uid="{00000000-0005-0000-0000-00000A060000}"/>
    <cellStyle name="Calculation 2 3 5" xfId="26774" xr:uid="{00000000-0005-0000-0000-00000B060000}"/>
    <cellStyle name="Calculation 2 3 5 2" xfId="26775" xr:uid="{00000000-0005-0000-0000-00000C060000}"/>
    <cellStyle name="Calculation 2 3 6" xfId="26776" xr:uid="{00000000-0005-0000-0000-00000D060000}"/>
    <cellStyle name="Calculation 2 4" xfId="735" xr:uid="{00000000-0005-0000-0000-00000E060000}"/>
    <cellStyle name="Calculation 2 4 2" xfId="736" xr:uid="{00000000-0005-0000-0000-00000F060000}"/>
    <cellStyle name="Calculation 2 4 2 2" xfId="737" xr:uid="{00000000-0005-0000-0000-000010060000}"/>
    <cellStyle name="Calculation 2 4 2 2 2" xfId="26777" xr:uid="{00000000-0005-0000-0000-000011060000}"/>
    <cellStyle name="Calculation 2 4 2 3" xfId="26778" xr:uid="{00000000-0005-0000-0000-000012060000}"/>
    <cellStyle name="Calculation 2 4 2 3 2" xfId="26779" xr:uid="{00000000-0005-0000-0000-000013060000}"/>
    <cellStyle name="Calculation 2 4 2 4" xfId="26780" xr:uid="{00000000-0005-0000-0000-000014060000}"/>
    <cellStyle name="Calculation 2 4 2 4 2" xfId="26781" xr:uid="{00000000-0005-0000-0000-000015060000}"/>
    <cellStyle name="Calculation 2 4 2 5" xfId="26782" xr:uid="{00000000-0005-0000-0000-000016060000}"/>
    <cellStyle name="Calculation 2 4 3" xfId="738" xr:uid="{00000000-0005-0000-0000-000017060000}"/>
    <cellStyle name="Calculation 2 4 3 2" xfId="26783" xr:uid="{00000000-0005-0000-0000-000018060000}"/>
    <cellStyle name="Calculation 2 4 4" xfId="26784" xr:uid="{00000000-0005-0000-0000-000019060000}"/>
    <cellStyle name="Calculation 2 4 4 2" xfId="26785" xr:uid="{00000000-0005-0000-0000-00001A060000}"/>
    <cellStyle name="Calculation 2 4 5" xfId="26786" xr:uid="{00000000-0005-0000-0000-00001B060000}"/>
    <cellStyle name="Calculation 2 4 5 2" xfId="26787" xr:uid="{00000000-0005-0000-0000-00001C060000}"/>
    <cellStyle name="Calculation 2 4 6" xfId="26788" xr:uid="{00000000-0005-0000-0000-00001D060000}"/>
    <cellStyle name="Calculation 2 5" xfId="739" xr:uid="{00000000-0005-0000-0000-00001E060000}"/>
    <cellStyle name="Calculation 2 5 2" xfId="740" xr:uid="{00000000-0005-0000-0000-00001F060000}"/>
    <cellStyle name="Calculation 2 5 2 2" xfId="26789" xr:uid="{00000000-0005-0000-0000-000020060000}"/>
    <cellStyle name="Calculation 2 5 3" xfId="26790" xr:uid="{00000000-0005-0000-0000-000021060000}"/>
    <cellStyle name="Calculation 2 5 3 2" xfId="26791" xr:uid="{00000000-0005-0000-0000-000022060000}"/>
    <cellStyle name="Calculation 2 5 4" xfId="26792" xr:uid="{00000000-0005-0000-0000-000023060000}"/>
    <cellStyle name="Calculation 2 5 4 2" xfId="26793" xr:uid="{00000000-0005-0000-0000-000024060000}"/>
    <cellStyle name="Calculation 2 5 5" xfId="26794" xr:uid="{00000000-0005-0000-0000-000025060000}"/>
    <cellStyle name="Calculation 3" xfId="741" xr:uid="{00000000-0005-0000-0000-000026060000}"/>
    <cellStyle name="Calculation 3 2" xfId="742" xr:uid="{00000000-0005-0000-0000-000027060000}"/>
    <cellStyle name="Calculation 3 2 2" xfId="743" xr:uid="{00000000-0005-0000-0000-000028060000}"/>
    <cellStyle name="Calculation 3 2 2 2" xfId="26795" xr:uid="{00000000-0005-0000-0000-000029060000}"/>
    <cellStyle name="Calculation 3 2 3" xfId="26796" xr:uid="{00000000-0005-0000-0000-00002A060000}"/>
    <cellStyle name="Calculation 3 2 3 2" xfId="26797" xr:uid="{00000000-0005-0000-0000-00002B060000}"/>
    <cellStyle name="Calculation 3 2 4" xfId="26798" xr:uid="{00000000-0005-0000-0000-00002C060000}"/>
    <cellStyle name="Calculation 3 2 4 2" xfId="26799" xr:uid="{00000000-0005-0000-0000-00002D060000}"/>
    <cellStyle name="Calculation 3 2 5" xfId="26800" xr:uid="{00000000-0005-0000-0000-00002E060000}"/>
    <cellStyle name="Calculation 3 3" xfId="744" xr:uid="{00000000-0005-0000-0000-00002F060000}"/>
    <cellStyle name="Calculation 3 3 2" xfId="26801" xr:uid="{00000000-0005-0000-0000-000030060000}"/>
    <cellStyle name="Calculation 3 4" xfId="26802" xr:uid="{00000000-0005-0000-0000-000031060000}"/>
    <cellStyle name="Calculation 3 4 2" xfId="26803" xr:uid="{00000000-0005-0000-0000-000032060000}"/>
    <cellStyle name="Calculation 3 5" xfId="26804" xr:uid="{00000000-0005-0000-0000-000033060000}"/>
    <cellStyle name="Calculation 3 5 2" xfId="26805" xr:uid="{00000000-0005-0000-0000-000034060000}"/>
    <cellStyle name="Calculation 3 6" xfId="26806" xr:uid="{00000000-0005-0000-0000-000035060000}"/>
    <cellStyle name="Calculation 4" xfId="745" xr:uid="{00000000-0005-0000-0000-000036060000}"/>
    <cellStyle name="Calculation 4 2" xfId="746" xr:uid="{00000000-0005-0000-0000-000037060000}"/>
    <cellStyle name="Calculation 4 2 2" xfId="747" xr:uid="{00000000-0005-0000-0000-000038060000}"/>
    <cellStyle name="Calculation 4 2 2 2" xfId="26807" xr:uid="{00000000-0005-0000-0000-000039060000}"/>
    <cellStyle name="Calculation 4 2 3" xfId="26808" xr:uid="{00000000-0005-0000-0000-00003A060000}"/>
    <cellStyle name="Calculation 4 2 3 2" xfId="26809" xr:uid="{00000000-0005-0000-0000-00003B060000}"/>
    <cellStyle name="Calculation 4 2 4" xfId="26810" xr:uid="{00000000-0005-0000-0000-00003C060000}"/>
    <cellStyle name="Calculation 4 2 4 2" xfId="26811" xr:uid="{00000000-0005-0000-0000-00003D060000}"/>
    <cellStyle name="Calculation 4 2 5" xfId="26812" xr:uid="{00000000-0005-0000-0000-00003E060000}"/>
    <cellStyle name="Calculation 4 3" xfId="748" xr:uid="{00000000-0005-0000-0000-00003F060000}"/>
    <cellStyle name="Calculation 4 3 2" xfId="26813" xr:uid="{00000000-0005-0000-0000-000040060000}"/>
    <cellStyle name="Calculation 4 4" xfId="26814" xr:uid="{00000000-0005-0000-0000-000041060000}"/>
    <cellStyle name="Calculation 4 4 2" xfId="26815" xr:uid="{00000000-0005-0000-0000-000042060000}"/>
    <cellStyle name="Calculation 4 5" xfId="26816" xr:uid="{00000000-0005-0000-0000-000043060000}"/>
    <cellStyle name="Calculation 4 5 2" xfId="26817" xr:uid="{00000000-0005-0000-0000-000044060000}"/>
    <cellStyle name="Calculation 4 6" xfId="26818" xr:uid="{00000000-0005-0000-0000-000045060000}"/>
    <cellStyle name="Calculation 5" xfId="749" xr:uid="{00000000-0005-0000-0000-000046060000}"/>
    <cellStyle name="Calculation 5 2" xfId="750" xr:uid="{00000000-0005-0000-0000-000047060000}"/>
    <cellStyle name="Calculation 5 2 2" xfId="751" xr:uid="{00000000-0005-0000-0000-000048060000}"/>
    <cellStyle name="Calculation 5 2 2 2" xfId="26819" xr:uid="{00000000-0005-0000-0000-000049060000}"/>
    <cellStyle name="Calculation 5 2 3" xfId="26820" xr:uid="{00000000-0005-0000-0000-00004A060000}"/>
    <cellStyle name="Calculation 5 2 3 2" xfId="26821" xr:uid="{00000000-0005-0000-0000-00004B060000}"/>
    <cellStyle name="Calculation 5 2 4" xfId="26822" xr:uid="{00000000-0005-0000-0000-00004C060000}"/>
    <cellStyle name="Calculation 5 2 4 2" xfId="26823" xr:uid="{00000000-0005-0000-0000-00004D060000}"/>
    <cellStyle name="Calculation 5 2 5" xfId="26824" xr:uid="{00000000-0005-0000-0000-00004E060000}"/>
    <cellStyle name="Calculation 5 3" xfId="752" xr:uid="{00000000-0005-0000-0000-00004F060000}"/>
    <cellStyle name="Calculation 5 3 2" xfId="26825" xr:uid="{00000000-0005-0000-0000-000050060000}"/>
    <cellStyle name="Calculation 5 4" xfId="26826" xr:uid="{00000000-0005-0000-0000-000051060000}"/>
    <cellStyle name="Calculation 5 4 2" xfId="26827" xr:uid="{00000000-0005-0000-0000-000052060000}"/>
    <cellStyle name="Calculation 5 5" xfId="26828" xr:uid="{00000000-0005-0000-0000-000053060000}"/>
    <cellStyle name="Calculation 5 5 2" xfId="26829" xr:uid="{00000000-0005-0000-0000-000054060000}"/>
    <cellStyle name="Calculation 5 6" xfId="26830" xr:uid="{00000000-0005-0000-0000-000055060000}"/>
    <cellStyle name="Calculation 6" xfId="753" xr:uid="{00000000-0005-0000-0000-000056060000}"/>
    <cellStyle name="Calculation 6 2" xfId="754" xr:uid="{00000000-0005-0000-0000-000057060000}"/>
    <cellStyle name="Calculation 6 2 2" xfId="26831" xr:uid="{00000000-0005-0000-0000-000058060000}"/>
    <cellStyle name="Calculation 6 3" xfId="26832" xr:uid="{00000000-0005-0000-0000-000059060000}"/>
    <cellStyle name="Calculation 6 3 2" xfId="26833" xr:uid="{00000000-0005-0000-0000-00005A060000}"/>
    <cellStyle name="Calculation 6 4" xfId="26834" xr:uid="{00000000-0005-0000-0000-00005B060000}"/>
    <cellStyle name="Calculation 6 4 2" xfId="26835" xr:uid="{00000000-0005-0000-0000-00005C060000}"/>
    <cellStyle name="Calculation 6 5" xfId="26836" xr:uid="{00000000-0005-0000-0000-00005D060000}"/>
    <cellStyle name="Cálculo" xfId="32" builtinId="22" customBuiltin="1"/>
    <cellStyle name="Cálculo 2" xfId="755" xr:uid="{00000000-0005-0000-0000-00005F060000}"/>
    <cellStyle name="Cálculo 2 2" xfId="756" xr:uid="{00000000-0005-0000-0000-000060060000}"/>
    <cellStyle name="Cálculo 2 3" xfId="26837" xr:uid="{00000000-0005-0000-0000-000061060000}"/>
    <cellStyle name="Cálculo 3" xfId="757" xr:uid="{00000000-0005-0000-0000-000062060000}"/>
    <cellStyle name="Cálculo 3 2" xfId="758" xr:uid="{00000000-0005-0000-0000-000063060000}"/>
    <cellStyle name="Cálculo 3 2 2" xfId="26838" xr:uid="{00000000-0005-0000-0000-000064060000}"/>
    <cellStyle name="Cálculo 3 3" xfId="759" xr:uid="{00000000-0005-0000-0000-000065060000}"/>
    <cellStyle name="Cálculo 3 3 2" xfId="26839" xr:uid="{00000000-0005-0000-0000-000066060000}"/>
    <cellStyle name="Cálculo 3 4" xfId="26840" xr:uid="{00000000-0005-0000-0000-000067060000}"/>
    <cellStyle name="Cálculo 3 4 2" xfId="26841" xr:uid="{00000000-0005-0000-0000-000068060000}"/>
    <cellStyle name="Cálculo 3 5" xfId="26842" xr:uid="{00000000-0005-0000-0000-000069060000}"/>
    <cellStyle name="Cálculo 3 5 2" xfId="26843" xr:uid="{00000000-0005-0000-0000-00006A060000}"/>
    <cellStyle name="Cálculo 3 6" xfId="26844" xr:uid="{00000000-0005-0000-0000-00006B060000}"/>
    <cellStyle name="Cálculo 4" xfId="760" xr:uid="{00000000-0005-0000-0000-00006C060000}"/>
    <cellStyle name="Cálculo 4 2" xfId="761" xr:uid="{00000000-0005-0000-0000-00006D060000}"/>
    <cellStyle name="Cálculo 4 2 2" xfId="26845" xr:uid="{00000000-0005-0000-0000-00006E060000}"/>
    <cellStyle name="Cálculo 4 3" xfId="762" xr:uid="{00000000-0005-0000-0000-00006F060000}"/>
    <cellStyle name="Cálculo 4 3 2" xfId="26846" xr:uid="{00000000-0005-0000-0000-000070060000}"/>
    <cellStyle name="Cálculo 4 4" xfId="26847" xr:uid="{00000000-0005-0000-0000-000071060000}"/>
    <cellStyle name="Cálculo 4 4 2" xfId="26848" xr:uid="{00000000-0005-0000-0000-000072060000}"/>
    <cellStyle name="Cálculo 4 5" xfId="26849" xr:uid="{00000000-0005-0000-0000-000073060000}"/>
    <cellStyle name="Cálculo 4 5 2" xfId="26850" xr:uid="{00000000-0005-0000-0000-000074060000}"/>
    <cellStyle name="Cálculo 4 6" xfId="26851" xr:uid="{00000000-0005-0000-0000-000075060000}"/>
    <cellStyle name="Cálculo 5" xfId="26852" xr:uid="{00000000-0005-0000-0000-000076060000}"/>
    <cellStyle name="Célula de Verificação" xfId="34" builtinId="23" customBuiltin="1"/>
    <cellStyle name="Célula de Verificação 2" xfId="763" xr:uid="{00000000-0005-0000-0000-000078060000}"/>
    <cellStyle name="Célula de Verificação 2 2" xfId="764" xr:uid="{00000000-0005-0000-0000-000079060000}"/>
    <cellStyle name="Célula de Verificação 2 3" xfId="26853" xr:uid="{00000000-0005-0000-0000-00007A060000}"/>
    <cellStyle name="Célula de Verificação 3" xfId="765" xr:uid="{00000000-0005-0000-0000-00007B060000}"/>
    <cellStyle name="Célula de Verificação 4" xfId="766" xr:uid="{00000000-0005-0000-0000-00007C060000}"/>
    <cellStyle name="Célula de Verificação 5" xfId="26854" xr:uid="{00000000-0005-0000-0000-00007D060000}"/>
    <cellStyle name="Célula Vinculada" xfId="33" builtinId="24" customBuiltin="1"/>
    <cellStyle name="Célula Vinculada 2" xfId="767" xr:uid="{00000000-0005-0000-0000-00007F060000}"/>
    <cellStyle name="Célula Vinculada 2 2" xfId="768" xr:uid="{00000000-0005-0000-0000-000080060000}"/>
    <cellStyle name="Célula Vinculada 2 3" xfId="26855" xr:uid="{00000000-0005-0000-0000-000081060000}"/>
    <cellStyle name="Célula Vinculada 3" xfId="769" xr:uid="{00000000-0005-0000-0000-000082060000}"/>
    <cellStyle name="Célula Vinculada 4" xfId="770" xr:uid="{00000000-0005-0000-0000-000083060000}"/>
    <cellStyle name="Célula Vinculada 5" xfId="26856" xr:uid="{00000000-0005-0000-0000-000084060000}"/>
    <cellStyle name="Check Cell" xfId="771" xr:uid="{00000000-0005-0000-0000-000085060000}"/>
    <cellStyle name="Date" xfId="62100" xr:uid="{00000000-0005-0000-0000-000086060000}"/>
    <cellStyle name="Ênfase1" xfId="35" builtinId="29" customBuiltin="1"/>
    <cellStyle name="Ênfase1 2" xfId="772" xr:uid="{00000000-0005-0000-0000-000088060000}"/>
    <cellStyle name="Ênfase1 2 2" xfId="773" xr:uid="{00000000-0005-0000-0000-000089060000}"/>
    <cellStyle name="Ênfase1 2 3" xfId="26857" xr:uid="{00000000-0005-0000-0000-00008A060000}"/>
    <cellStyle name="Ênfase1 3" xfId="774" xr:uid="{00000000-0005-0000-0000-00008B060000}"/>
    <cellStyle name="Ênfase1 4" xfId="775" xr:uid="{00000000-0005-0000-0000-00008C060000}"/>
    <cellStyle name="Ênfase1 5" xfId="26858" xr:uid="{00000000-0005-0000-0000-00008D060000}"/>
    <cellStyle name="Ênfase2" xfId="39" builtinId="33" customBuiltin="1"/>
    <cellStyle name="Ênfase2 2" xfId="776" xr:uid="{00000000-0005-0000-0000-00008F060000}"/>
    <cellStyle name="Ênfase2 2 2" xfId="777" xr:uid="{00000000-0005-0000-0000-000090060000}"/>
    <cellStyle name="Ênfase2 2 3" xfId="26859" xr:uid="{00000000-0005-0000-0000-000091060000}"/>
    <cellStyle name="Ênfase2 3" xfId="778" xr:uid="{00000000-0005-0000-0000-000092060000}"/>
    <cellStyle name="Ênfase2 4" xfId="779" xr:uid="{00000000-0005-0000-0000-000093060000}"/>
    <cellStyle name="Ênfase2 5" xfId="26860" xr:uid="{00000000-0005-0000-0000-000094060000}"/>
    <cellStyle name="Ênfase3" xfId="43" builtinId="37" customBuiltin="1"/>
    <cellStyle name="Ênfase3 2" xfId="780" xr:uid="{00000000-0005-0000-0000-000096060000}"/>
    <cellStyle name="Ênfase3 2 2" xfId="781" xr:uid="{00000000-0005-0000-0000-000097060000}"/>
    <cellStyle name="Ênfase3 2 3" xfId="26861" xr:uid="{00000000-0005-0000-0000-000098060000}"/>
    <cellStyle name="Ênfase3 3" xfId="782" xr:uid="{00000000-0005-0000-0000-000099060000}"/>
    <cellStyle name="Ênfase3 4" xfId="783" xr:uid="{00000000-0005-0000-0000-00009A060000}"/>
    <cellStyle name="Ênfase3 5" xfId="26862" xr:uid="{00000000-0005-0000-0000-00009B060000}"/>
    <cellStyle name="Ênfase4" xfId="47" builtinId="41" customBuiltin="1"/>
    <cellStyle name="Ênfase4 2" xfId="784" xr:uid="{00000000-0005-0000-0000-00009D060000}"/>
    <cellStyle name="Ênfase4 2 2" xfId="785" xr:uid="{00000000-0005-0000-0000-00009E060000}"/>
    <cellStyle name="Ênfase4 2 3" xfId="26863" xr:uid="{00000000-0005-0000-0000-00009F060000}"/>
    <cellStyle name="Ênfase4 3" xfId="786" xr:uid="{00000000-0005-0000-0000-0000A0060000}"/>
    <cellStyle name="Ênfase4 4" xfId="787" xr:uid="{00000000-0005-0000-0000-0000A1060000}"/>
    <cellStyle name="Ênfase4 5" xfId="26864" xr:uid="{00000000-0005-0000-0000-0000A2060000}"/>
    <cellStyle name="Ênfase5" xfId="12" builtinId="45"/>
    <cellStyle name="Ênfase5 2" xfId="788" xr:uid="{00000000-0005-0000-0000-0000A4060000}"/>
    <cellStyle name="Ênfase5 2 2" xfId="789" xr:uid="{00000000-0005-0000-0000-0000A5060000}"/>
    <cellStyle name="Ênfase5 2 3" xfId="26865" xr:uid="{00000000-0005-0000-0000-0000A6060000}"/>
    <cellStyle name="Ênfase5 3" xfId="790" xr:uid="{00000000-0005-0000-0000-0000A7060000}"/>
    <cellStyle name="Ênfase5 4" xfId="791" xr:uid="{00000000-0005-0000-0000-0000A8060000}"/>
    <cellStyle name="Ênfase5 5" xfId="26866" xr:uid="{00000000-0005-0000-0000-0000A9060000}"/>
    <cellStyle name="Ênfase5 6" xfId="70" xr:uid="{00000000-0005-0000-0000-0000AA060000}"/>
    <cellStyle name="Ênfase6" xfId="54" builtinId="49" customBuiltin="1"/>
    <cellStyle name="Ênfase6 2" xfId="792" xr:uid="{00000000-0005-0000-0000-0000AC060000}"/>
    <cellStyle name="Ênfase6 2 2" xfId="793" xr:uid="{00000000-0005-0000-0000-0000AD060000}"/>
    <cellStyle name="Ênfase6 2 3" xfId="26867" xr:uid="{00000000-0005-0000-0000-0000AE060000}"/>
    <cellStyle name="Ênfase6 3" xfId="794" xr:uid="{00000000-0005-0000-0000-0000AF060000}"/>
    <cellStyle name="Ênfase6 4" xfId="795" xr:uid="{00000000-0005-0000-0000-0000B0060000}"/>
    <cellStyle name="Ênfase6 5" xfId="26868" xr:uid="{00000000-0005-0000-0000-0000B1060000}"/>
    <cellStyle name="Entrada" xfId="31" builtinId="20" customBuiltin="1"/>
    <cellStyle name="Entrada 2" xfId="796" xr:uid="{00000000-0005-0000-0000-0000B3060000}"/>
    <cellStyle name="Entrada 2 2" xfId="797" xr:uid="{00000000-0005-0000-0000-0000B4060000}"/>
    <cellStyle name="Entrada 2 3" xfId="26869" xr:uid="{00000000-0005-0000-0000-0000B5060000}"/>
    <cellStyle name="Entrada 3" xfId="798" xr:uid="{00000000-0005-0000-0000-0000B6060000}"/>
    <cellStyle name="Entrada 3 2" xfId="799" xr:uid="{00000000-0005-0000-0000-0000B7060000}"/>
    <cellStyle name="Entrada 3 2 2" xfId="26870" xr:uid="{00000000-0005-0000-0000-0000B8060000}"/>
    <cellStyle name="Entrada 3 3" xfId="800" xr:uid="{00000000-0005-0000-0000-0000B9060000}"/>
    <cellStyle name="Entrada 3 3 2" xfId="26871" xr:uid="{00000000-0005-0000-0000-0000BA060000}"/>
    <cellStyle name="Entrada 3 4" xfId="26872" xr:uid="{00000000-0005-0000-0000-0000BB060000}"/>
    <cellStyle name="Entrada 3 4 2" xfId="26873" xr:uid="{00000000-0005-0000-0000-0000BC060000}"/>
    <cellStyle name="Entrada 3 5" xfId="26874" xr:uid="{00000000-0005-0000-0000-0000BD060000}"/>
    <cellStyle name="Entrada 3 5 2" xfId="26875" xr:uid="{00000000-0005-0000-0000-0000BE060000}"/>
    <cellStyle name="Entrada 3 6" xfId="26876" xr:uid="{00000000-0005-0000-0000-0000BF060000}"/>
    <cellStyle name="Entrada 4" xfId="801" xr:uid="{00000000-0005-0000-0000-0000C0060000}"/>
    <cellStyle name="Entrada 4 2" xfId="802" xr:uid="{00000000-0005-0000-0000-0000C1060000}"/>
    <cellStyle name="Entrada 4 2 2" xfId="26877" xr:uid="{00000000-0005-0000-0000-0000C2060000}"/>
    <cellStyle name="Entrada 4 3" xfId="803" xr:uid="{00000000-0005-0000-0000-0000C3060000}"/>
    <cellStyle name="Entrada 4 3 2" xfId="26878" xr:uid="{00000000-0005-0000-0000-0000C4060000}"/>
    <cellStyle name="Entrada 4 4" xfId="26879" xr:uid="{00000000-0005-0000-0000-0000C5060000}"/>
    <cellStyle name="Entrada 4 4 2" xfId="26880" xr:uid="{00000000-0005-0000-0000-0000C6060000}"/>
    <cellStyle name="Entrada 4 5" xfId="26881" xr:uid="{00000000-0005-0000-0000-0000C7060000}"/>
    <cellStyle name="Entrada 4 5 2" xfId="26882" xr:uid="{00000000-0005-0000-0000-0000C8060000}"/>
    <cellStyle name="Entrada 4 6" xfId="26883" xr:uid="{00000000-0005-0000-0000-0000C9060000}"/>
    <cellStyle name="Entrada 5" xfId="26884" xr:uid="{00000000-0005-0000-0000-0000CA060000}"/>
    <cellStyle name="Estilo 1" xfId="16" xr:uid="{00000000-0005-0000-0000-0000CB060000}"/>
    <cellStyle name="Estilo 1 10" xfId="26885" xr:uid="{00000000-0005-0000-0000-0000CC060000}"/>
    <cellStyle name="Estilo 1 11" xfId="26886" xr:uid="{00000000-0005-0000-0000-0000CD060000}"/>
    <cellStyle name="Estilo 1 12" xfId="26887" xr:uid="{00000000-0005-0000-0000-0000CE060000}"/>
    <cellStyle name="Estilo 1 13" xfId="26888" xr:uid="{00000000-0005-0000-0000-0000CF060000}"/>
    <cellStyle name="Estilo 1 14" xfId="26889" xr:uid="{00000000-0005-0000-0000-0000D0060000}"/>
    <cellStyle name="Estilo 1 15" xfId="26890" xr:uid="{00000000-0005-0000-0000-0000D1060000}"/>
    <cellStyle name="Estilo 1 16" xfId="26891" xr:uid="{00000000-0005-0000-0000-0000D2060000}"/>
    <cellStyle name="Estilo 1 17" xfId="26892" xr:uid="{00000000-0005-0000-0000-0000D3060000}"/>
    <cellStyle name="Estilo 1 18" xfId="804" xr:uid="{00000000-0005-0000-0000-0000D4060000}"/>
    <cellStyle name="Estilo 1 2" xfId="805" xr:uid="{00000000-0005-0000-0000-0000D5060000}"/>
    <cellStyle name="Estilo 1 2 2" xfId="806" xr:uid="{00000000-0005-0000-0000-0000D6060000}"/>
    <cellStyle name="Estilo 1 2 2 2" xfId="26893" xr:uid="{00000000-0005-0000-0000-0000D7060000}"/>
    <cellStyle name="Estilo 1 2 3" xfId="807" xr:uid="{00000000-0005-0000-0000-0000D8060000}"/>
    <cellStyle name="Estilo 1 2 3 2" xfId="26894" xr:uid="{00000000-0005-0000-0000-0000D9060000}"/>
    <cellStyle name="Estilo 1 2 4" xfId="26895" xr:uid="{00000000-0005-0000-0000-0000DA060000}"/>
    <cellStyle name="Estilo 1 3" xfId="808" xr:uid="{00000000-0005-0000-0000-0000DB060000}"/>
    <cellStyle name="Estilo 1 3 2" xfId="26896" xr:uid="{00000000-0005-0000-0000-0000DC060000}"/>
    <cellStyle name="Estilo 1 4" xfId="809" xr:uid="{00000000-0005-0000-0000-0000DD060000}"/>
    <cellStyle name="Estilo 1 4 2" xfId="26897" xr:uid="{00000000-0005-0000-0000-0000DE060000}"/>
    <cellStyle name="Estilo 1 5" xfId="810" xr:uid="{00000000-0005-0000-0000-0000DF060000}"/>
    <cellStyle name="Estilo 1 5 2" xfId="26898" xr:uid="{00000000-0005-0000-0000-0000E0060000}"/>
    <cellStyle name="Estilo 1 6" xfId="26899" xr:uid="{00000000-0005-0000-0000-0000E1060000}"/>
    <cellStyle name="Estilo 1 7" xfId="26900" xr:uid="{00000000-0005-0000-0000-0000E2060000}"/>
    <cellStyle name="Estilo 1 8" xfId="26901" xr:uid="{00000000-0005-0000-0000-0000E3060000}"/>
    <cellStyle name="Estilo 1 9" xfId="26902" xr:uid="{00000000-0005-0000-0000-0000E4060000}"/>
    <cellStyle name="Euro" xfId="811" xr:uid="{00000000-0005-0000-0000-0000E5060000}"/>
    <cellStyle name="Euro 2" xfId="812" xr:uid="{00000000-0005-0000-0000-0000E6060000}"/>
    <cellStyle name="Euro 2 2" xfId="26903" xr:uid="{00000000-0005-0000-0000-0000E7060000}"/>
    <cellStyle name="Euro 3" xfId="26904" xr:uid="{00000000-0005-0000-0000-0000E8060000}"/>
    <cellStyle name="Explanatory Text" xfId="813" xr:uid="{00000000-0005-0000-0000-0000E9060000}"/>
    <cellStyle name="Fixed" xfId="62101" xr:uid="{00000000-0005-0000-0000-0000EA060000}"/>
    <cellStyle name="Font: Calibri, 9pt regular" xfId="62097" xr:uid="{00000000-0005-0000-0000-0000EB060000}"/>
    <cellStyle name="Footnotes: top row" xfId="62102" xr:uid="{00000000-0005-0000-0000-0000EC060000}"/>
    <cellStyle name="Good" xfId="814" xr:uid="{00000000-0005-0000-0000-0000ED060000}"/>
    <cellStyle name="Header: bottom row" xfId="62098" xr:uid="{00000000-0005-0000-0000-0000EE060000}"/>
    <cellStyle name="Heading 1" xfId="815" xr:uid="{00000000-0005-0000-0000-0000EF060000}"/>
    <cellStyle name="Heading 2" xfId="816" xr:uid="{00000000-0005-0000-0000-0000F0060000}"/>
    <cellStyle name="Heading 3" xfId="817" xr:uid="{00000000-0005-0000-0000-0000F1060000}"/>
    <cellStyle name="Heading 4" xfId="818" xr:uid="{00000000-0005-0000-0000-0000F2060000}"/>
    <cellStyle name="Heading1" xfId="62103" xr:uid="{00000000-0005-0000-0000-0000F3060000}"/>
    <cellStyle name="Heading2" xfId="62104" xr:uid="{00000000-0005-0000-0000-0000F4060000}"/>
    <cellStyle name="Hiperlink" xfId="23" builtinId="8"/>
    <cellStyle name="Hiperlink 2" xfId="62105" xr:uid="{00000000-0005-0000-0000-0000F6060000}"/>
    <cellStyle name="Hiperlink 3" xfId="62106" xr:uid="{00000000-0005-0000-0000-0000F7060000}"/>
    <cellStyle name="Hiperlink 4" xfId="62110" xr:uid="{00000000-0005-0000-0000-0000F8060000}"/>
    <cellStyle name="Hyperlink 2" xfId="819" xr:uid="{00000000-0005-0000-0000-0000F9060000}"/>
    <cellStyle name="Hyperlink 2 10" xfId="26905" xr:uid="{00000000-0005-0000-0000-0000FA060000}"/>
    <cellStyle name="Hyperlink 2 11" xfId="26906" xr:uid="{00000000-0005-0000-0000-0000FB060000}"/>
    <cellStyle name="Hyperlink 2 12" xfId="26907" xr:uid="{00000000-0005-0000-0000-0000FC060000}"/>
    <cellStyle name="Hyperlink 2 13" xfId="26908" xr:uid="{00000000-0005-0000-0000-0000FD060000}"/>
    <cellStyle name="Hyperlink 2 14" xfId="26909" xr:uid="{00000000-0005-0000-0000-0000FE060000}"/>
    <cellStyle name="Hyperlink 2 15" xfId="26910" xr:uid="{00000000-0005-0000-0000-0000FF060000}"/>
    <cellStyle name="Hyperlink 2 16" xfId="26911" xr:uid="{00000000-0005-0000-0000-000000070000}"/>
    <cellStyle name="Hyperlink 2 2" xfId="26912" xr:uid="{00000000-0005-0000-0000-000001070000}"/>
    <cellStyle name="Hyperlink 2 3" xfId="26913" xr:uid="{00000000-0005-0000-0000-000002070000}"/>
    <cellStyle name="Hyperlink 2 4" xfId="26914" xr:uid="{00000000-0005-0000-0000-000003070000}"/>
    <cellStyle name="Hyperlink 2 5" xfId="26915" xr:uid="{00000000-0005-0000-0000-000004070000}"/>
    <cellStyle name="Hyperlink 2 6" xfId="26916" xr:uid="{00000000-0005-0000-0000-000005070000}"/>
    <cellStyle name="Hyperlink 2 7" xfId="26917" xr:uid="{00000000-0005-0000-0000-000006070000}"/>
    <cellStyle name="Hyperlink 2 8" xfId="26918" xr:uid="{00000000-0005-0000-0000-000007070000}"/>
    <cellStyle name="Hyperlink 2 9" xfId="26919" xr:uid="{00000000-0005-0000-0000-000008070000}"/>
    <cellStyle name="Hyperlink 3" xfId="820" xr:uid="{00000000-0005-0000-0000-000009070000}"/>
    <cellStyle name="Hyperlink 4" xfId="821" xr:uid="{00000000-0005-0000-0000-00000A070000}"/>
    <cellStyle name="Hyperlink 5" xfId="26920" xr:uid="{00000000-0005-0000-0000-00000B070000}"/>
    <cellStyle name="Hyperlink 6" xfId="26921" xr:uid="{00000000-0005-0000-0000-00000C070000}"/>
    <cellStyle name="Incorreto 2" xfId="822" xr:uid="{00000000-0005-0000-0000-00000E070000}"/>
    <cellStyle name="Incorreto 2 2" xfId="823" xr:uid="{00000000-0005-0000-0000-00000F070000}"/>
    <cellStyle name="Incorreto 2 3" xfId="26922" xr:uid="{00000000-0005-0000-0000-000010070000}"/>
    <cellStyle name="Incorreto 3" xfId="824" xr:uid="{00000000-0005-0000-0000-000011070000}"/>
    <cellStyle name="Incorreto 4" xfId="825" xr:uid="{00000000-0005-0000-0000-000012070000}"/>
    <cellStyle name="Incorreto 5" xfId="26923" xr:uid="{00000000-0005-0000-0000-000013070000}"/>
    <cellStyle name="Input" xfId="826" xr:uid="{00000000-0005-0000-0000-000014070000}"/>
    <cellStyle name="Input 2" xfId="827" xr:uid="{00000000-0005-0000-0000-000015070000}"/>
    <cellStyle name="Input 2 2" xfId="828" xr:uid="{00000000-0005-0000-0000-000016070000}"/>
    <cellStyle name="Input 2 2 2" xfId="829" xr:uid="{00000000-0005-0000-0000-000017070000}"/>
    <cellStyle name="Input 2 2 2 2" xfId="830" xr:uid="{00000000-0005-0000-0000-000018070000}"/>
    <cellStyle name="Input 2 2 2 2 2" xfId="26924" xr:uid="{00000000-0005-0000-0000-000019070000}"/>
    <cellStyle name="Input 2 2 2 3" xfId="26925" xr:uid="{00000000-0005-0000-0000-00001A070000}"/>
    <cellStyle name="Input 2 2 2 3 2" xfId="26926" xr:uid="{00000000-0005-0000-0000-00001B070000}"/>
    <cellStyle name="Input 2 2 2 4" xfId="26927" xr:uid="{00000000-0005-0000-0000-00001C070000}"/>
    <cellStyle name="Input 2 2 2 4 2" xfId="26928" xr:uid="{00000000-0005-0000-0000-00001D070000}"/>
    <cellStyle name="Input 2 2 2 5" xfId="26929" xr:uid="{00000000-0005-0000-0000-00001E070000}"/>
    <cellStyle name="Input 2 2 3" xfId="831" xr:uid="{00000000-0005-0000-0000-00001F070000}"/>
    <cellStyle name="Input 2 2 3 2" xfId="26930" xr:uid="{00000000-0005-0000-0000-000020070000}"/>
    <cellStyle name="Input 2 2 4" xfId="26931" xr:uid="{00000000-0005-0000-0000-000021070000}"/>
    <cellStyle name="Input 2 2 4 2" xfId="26932" xr:uid="{00000000-0005-0000-0000-000022070000}"/>
    <cellStyle name="Input 2 2 5" xfId="26933" xr:uid="{00000000-0005-0000-0000-000023070000}"/>
    <cellStyle name="Input 2 2 5 2" xfId="26934" xr:uid="{00000000-0005-0000-0000-000024070000}"/>
    <cellStyle name="Input 2 2 6" xfId="26935" xr:uid="{00000000-0005-0000-0000-000025070000}"/>
    <cellStyle name="Input 2 3" xfId="832" xr:uid="{00000000-0005-0000-0000-000026070000}"/>
    <cellStyle name="Input 2 3 2" xfId="833" xr:uid="{00000000-0005-0000-0000-000027070000}"/>
    <cellStyle name="Input 2 3 2 2" xfId="834" xr:uid="{00000000-0005-0000-0000-000028070000}"/>
    <cellStyle name="Input 2 3 2 2 2" xfId="26936" xr:uid="{00000000-0005-0000-0000-000029070000}"/>
    <cellStyle name="Input 2 3 2 3" xfId="26937" xr:uid="{00000000-0005-0000-0000-00002A070000}"/>
    <cellStyle name="Input 2 3 2 3 2" xfId="26938" xr:uid="{00000000-0005-0000-0000-00002B070000}"/>
    <cellStyle name="Input 2 3 2 4" xfId="26939" xr:uid="{00000000-0005-0000-0000-00002C070000}"/>
    <cellStyle name="Input 2 3 2 4 2" xfId="26940" xr:uid="{00000000-0005-0000-0000-00002D070000}"/>
    <cellStyle name="Input 2 3 2 5" xfId="26941" xr:uid="{00000000-0005-0000-0000-00002E070000}"/>
    <cellStyle name="Input 2 3 3" xfId="835" xr:uid="{00000000-0005-0000-0000-00002F070000}"/>
    <cellStyle name="Input 2 3 3 2" xfId="26942" xr:uid="{00000000-0005-0000-0000-000030070000}"/>
    <cellStyle name="Input 2 3 4" xfId="26943" xr:uid="{00000000-0005-0000-0000-000031070000}"/>
    <cellStyle name="Input 2 3 4 2" xfId="26944" xr:uid="{00000000-0005-0000-0000-000032070000}"/>
    <cellStyle name="Input 2 3 5" xfId="26945" xr:uid="{00000000-0005-0000-0000-000033070000}"/>
    <cellStyle name="Input 2 3 5 2" xfId="26946" xr:uid="{00000000-0005-0000-0000-000034070000}"/>
    <cellStyle name="Input 2 3 6" xfId="26947" xr:uid="{00000000-0005-0000-0000-000035070000}"/>
    <cellStyle name="Input 2 4" xfId="836" xr:uid="{00000000-0005-0000-0000-000036070000}"/>
    <cellStyle name="Input 2 4 2" xfId="837" xr:uid="{00000000-0005-0000-0000-000037070000}"/>
    <cellStyle name="Input 2 4 2 2" xfId="838" xr:uid="{00000000-0005-0000-0000-000038070000}"/>
    <cellStyle name="Input 2 4 2 2 2" xfId="26948" xr:uid="{00000000-0005-0000-0000-000039070000}"/>
    <cellStyle name="Input 2 4 2 3" xfId="26949" xr:uid="{00000000-0005-0000-0000-00003A070000}"/>
    <cellStyle name="Input 2 4 2 3 2" xfId="26950" xr:uid="{00000000-0005-0000-0000-00003B070000}"/>
    <cellStyle name="Input 2 4 2 4" xfId="26951" xr:uid="{00000000-0005-0000-0000-00003C070000}"/>
    <cellStyle name="Input 2 4 2 4 2" xfId="26952" xr:uid="{00000000-0005-0000-0000-00003D070000}"/>
    <cellStyle name="Input 2 4 2 5" xfId="26953" xr:uid="{00000000-0005-0000-0000-00003E070000}"/>
    <cellStyle name="Input 2 4 3" xfId="839" xr:uid="{00000000-0005-0000-0000-00003F070000}"/>
    <cellStyle name="Input 2 4 3 2" xfId="26954" xr:uid="{00000000-0005-0000-0000-000040070000}"/>
    <cellStyle name="Input 2 4 4" xfId="26955" xr:uid="{00000000-0005-0000-0000-000041070000}"/>
    <cellStyle name="Input 2 4 4 2" xfId="26956" xr:uid="{00000000-0005-0000-0000-000042070000}"/>
    <cellStyle name="Input 2 4 5" xfId="26957" xr:uid="{00000000-0005-0000-0000-000043070000}"/>
    <cellStyle name="Input 2 4 5 2" xfId="26958" xr:uid="{00000000-0005-0000-0000-000044070000}"/>
    <cellStyle name="Input 2 4 6" xfId="26959" xr:uid="{00000000-0005-0000-0000-000045070000}"/>
    <cellStyle name="Input 2 5" xfId="840" xr:uid="{00000000-0005-0000-0000-000046070000}"/>
    <cellStyle name="Input 2 5 2" xfId="841" xr:uid="{00000000-0005-0000-0000-000047070000}"/>
    <cellStyle name="Input 2 5 2 2" xfId="26960" xr:uid="{00000000-0005-0000-0000-000048070000}"/>
    <cellStyle name="Input 2 5 3" xfId="26961" xr:uid="{00000000-0005-0000-0000-000049070000}"/>
    <cellStyle name="Input 2 5 3 2" xfId="26962" xr:uid="{00000000-0005-0000-0000-00004A070000}"/>
    <cellStyle name="Input 2 5 4" xfId="26963" xr:uid="{00000000-0005-0000-0000-00004B070000}"/>
    <cellStyle name="Input 2 5 4 2" xfId="26964" xr:uid="{00000000-0005-0000-0000-00004C070000}"/>
    <cellStyle name="Input 2 5 5" xfId="26965" xr:uid="{00000000-0005-0000-0000-00004D070000}"/>
    <cellStyle name="Input 3" xfId="842" xr:uid="{00000000-0005-0000-0000-00004E070000}"/>
    <cellStyle name="Input 3 2" xfId="843" xr:uid="{00000000-0005-0000-0000-00004F070000}"/>
    <cellStyle name="Input 3 2 2" xfId="844" xr:uid="{00000000-0005-0000-0000-000050070000}"/>
    <cellStyle name="Input 3 2 2 2" xfId="26966" xr:uid="{00000000-0005-0000-0000-000051070000}"/>
    <cellStyle name="Input 3 2 3" xfId="26967" xr:uid="{00000000-0005-0000-0000-000052070000}"/>
    <cellStyle name="Input 3 2 3 2" xfId="26968" xr:uid="{00000000-0005-0000-0000-000053070000}"/>
    <cellStyle name="Input 3 2 4" xfId="26969" xr:uid="{00000000-0005-0000-0000-000054070000}"/>
    <cellStyle name="Input 3 2 4 2" xfId="26970" xr:uid="{00000000-0005-0000-0000-000055070000}"/>
    <cellStyle name="Input 3 2 5" xfId="26971" xr:uid="{00000000-0005-0000-0000-000056070000}"/>
    <cellStyle name="Input 3 3" xfId="845" xr:uid="{00000000-0005-0000-0000-000057070000}"/>
    <cellStyle name="Input 3 3 2" xfId="26972" xr:uid="{00000000-0005-0000-0000-000058070000}"/>
    <cellStyle name="Input 3 4" xfId="26973" xr:uid="{00000000-0005-0000-0000-000059070000}"/>
    <cellStyle name="Input 3 4 2" xfId="26974" xr:uid="{00000000-0005-0000-0000-00005A070000}"/>
    <cellStyle name="Input 3 5" xfId="26975" xr:uid="{00000000-0005-0000-0000-00005B070000}"/>
    <cellStyle name="Input 3 5 2" xfId="26976" xr:uid="{00000000-0005-0000-0000-00005C070000}"/>
    <cellStyle name="Input 3 6" xfId="26977" xr:uid="{00000000-0005-0000-0000-00005D070000}"/>
    <cellStyle name="Input 4" xfId="846" xr:uid="{00000000-0005-0000-0000-00005E070000}"/>
    <cellStyle name="Input 4 2" xfId="847" xr:uid="{00000000-0005-0000-0000-00005F070000}"/>
    <cellStyle name="Input 4 2 2" xfId="848" xr:uid="{00000000-0005-0000-0000-000060070000}"/>
    <cellStyle name="Input 4 2 2 2" xfId="26978" xr:uid="{00000000-0005-0000-0000-000061070000}"/>
    <cellStyle name="Input 4 2 3" xfId="26979" xr:uid="{00000000-0005-0000-0000-000062070000}"/>
    <cellStyle name="Input 4 2 3 2" xfId="26980" xr:uid="{00000000-0005-0000-0000-000063070000}"/>
    <cellStyle name="Input 4 2 4" xfId="26981" xr:uid="{00000000-0005-0000-0000-000064070000}"/>
    <cellStyle name="Input 4 2 4 2" xfId="26982" xr:uid="{00000000-0005-0000-0000-000065070000}"/>
    <cellStyle name="Input 4 2 5" xfId="26983" xr:uid="{00000000-0005-0000-0000-000066070000}"/>
    <cellStyle name="Input 4 3" xfId="849" xr:uid="{00000000-0005-0000-0000-000067070000}"/>
    <cellStyle name="Input 4 3 2" xfId="26984" xr:uid="{00000000-0005-0000-0000-000068070000}"/>
    <cellStyle name="Input 4 4" xfId="26985" xr:uid="{00000000-0005-0000-0000-000069070000}"/>
    <cellStyle name="Input 4 4 2" xfId="26986" xr:uid="{00000000-0005-0000-0000-00006A070000}"/>
    <cellStyle name="Input 4 5" xfId="26987" xr:uid="{00000000-0005-0000-0000-00006B070000}"/>
    <cellStyle name="Input 4 5 2" xfId="26988" xr:uid="{00000000-0005-0000-0000-00006C070000}"/>
    <cellStyle name="Input 4 6" xfId="26989" xr:uid="{00000000-0005-0000-0000-00006D070000}"/>
    <cellStyle name="Input 5" xfId="850" xr:uid="{00000000-0005-0000-0000-00006E070000}"/>
    <cellStyle name="Input 5 2" xfId="851" xr:uid="{00000000-0005-0000-0000-00006F070000}"/>
    <cellStyle name="Input 5 2 2" xfId="852" xr:uid="{00000000-0005-0000-0000-000070070000}"/>
    <cellStyle name="Input 5 2 2 2" xfId="26990" xr:uid="{00000000-0005-0000-0000-000071070000}"/>
    <cellStyle name="Input 5 2 3" xfId="26991" xr:uid="{00000000-0005-0000-0000-000072070000}"/>
    <cellStyle name="Input 5 2 3 2" xfId="26992" xr:uid="{00000000-0005-0000-0000-000073070000}"/>
    <cellStyle name="Input 5 2 4" xfId="26993" xr:uid="{00000000-0005-0000-0000-000074070000}"/>
    <cellStyle name="Input 5 2 4 2" xfId="26994" xr:uid="{00000000-0005-0000-0000-000075070000}"/>
    <cellStyle name="Input 5 2 5" xfId="26995" xr:uid="{00000000-0005-0000-0000-000076070000}"/>
    <cellStyle name="Input 5 3" xfId="853" xr:uid="{00000000-0005-0000-0000-000077070000}"/>
    <cellStyle name="Input 5 3 2" xfId="26996" xr:uid="{00000000-0005-0000-0000-000078070000}"/>
    <cellStyle name="Input 5 4" xfId="26997" xr:uid="{00000000-0005-0000-0000-000079070000}"/>
    <cellStyle name="Input 5 4 2" xfId="26998" xr:uid="{00000000-0005-0000-0000-00007A070000}"/>
    <cellStyle name="Input 5 5" xfId="26999" xr:uid="{00000000-0005-0000-0000-00007B070000}"/>
    <cellStyle name="Input 5 5 2" xfId="27000" xr:uid="{00000000-0005-0000-0000-00007C070000}"/>
    <cellStyle name="Input 5 6" xfId="27001" xr:uid="{00000000-0005-0000-0000-00007D070000}"/>
    <cellStyle name="Input 6" xfId="854" xr:uid="{00000000-0005-0000-0000-00007E070000}"/>
    <cellStyle name="Input 6 2" xfId="855" xr:uid="{00000000-0005-0000-0000-00007F070000}"/>
    <cellStyle name="Input 6 2 2" xfId="27002" xr:uid="{00000000-0005-0000-0000-000080070000}"/>
    <cellStyle name="Input 6 3" xfId="27003" xr:uid="{00000000-0005-0000-0000-000081070000}"/>
    <cellStyle name="Input 6 3 2" xfId="27004" xr:uid="{00000000-0005-0000-0000-000082070000}"/>
    <cellStyle name="Input 6 4" xfId="27005" xr:uid="{00000000-0005-0000-0000-000083070000}"/>
    <cellStyle name="Input 6 4 2" xfId="27006" xr:uid="{00000000-0005-0000-0000-000084070000}"/>
    <cellStyle name="Input 6 5" xfId="27007" xr:uid="{00000000-0005-0000-0000-000085070000}"/>
    <cellStyle name="Linked Cell" xfId="856" xr:uid="{00000000-0005-0000-0000-000086070000}"/>
    <cellStyle name="Moeda 2" xfId="62107" xr:uid="{00000000-0005-0000-0000-000087070000}"/>
    <cellStyle name="Moeda 3" xfId="64" xr:uid="{00000000-0005-0000-0000-000088070000}"/>
    <cellStyle name="Neutra 2" xfId="857" xr:uid="{00000000-0005-0000-0000-00008A070000}"/>
    <cellStyle name="Neutra 2 2" xfId="858" xr:uid="{00000000-0005-0000-0000-00008B070000}"/>
    <cellStyle name="Neutra 2 3" xfId="27008" xr:uid="{00000000-0005-0000-0000-00008C070000}"/>
    <cellStyle name="Neutra 3" xfId="859" xr:uid="{00000000-0005-0000-0000-00008D070000}"/>
    <cellStyle name="Neutra 4" xfId="860" xr:uid="{00000000-0005-0000-0000-00008E070000}"/>
    <cellStyle name="Neutra 5" xfId="27009" xr:uid="{00000000-0005-0000-0000-00008F070000}"/>
    <cellStyle name="Neutral" xfId="861" xr:uid="{00000000-0005-0000-0000-000090070000}"/>
    <cellStyle name="Neutro" xfId="30" builtinId="28" customBuiltin="1"/>
    <cellStyle name="Normal" xfId="0" builtinId="0"/>
    <cellStyle name="Normal 10" xfId="862" xr:uid="{00000000-0005-0000-0000-000092070000}"/>
    <cellStyle name="Normal 10 2" xfId="863" xr:uid="{00000000-0005-0000-0000-000093070000}"/>
    <cellStyle name="Normal 10 3" xfId="864" xr:uid="{00000000-0005-0000-0000-000094070000}"/>
    <cellStyle name="Normal 10 4" xfId="865" xr:uid="{00000000-0005-0000-0000-000095070000}"/>
    <cellStyle name="Normal 11" xfId="24" xr:uid="{00000000-0005-0000-0000-000096070000}"/>
    <cellStyle name="Normal 11 2" xfId="867" xr:uid="{00000000-0005-0000-0000-000097070000}"/>
    <cellStyle name="Normal 11 2 2" xfId="27010" xr:uid="{00000000-0005-0000-0000-000098070000}"/>
    <cellStyle name="Normal 11 2 3" xfId="27011" xr:uid="{00000000-0005-0000-0000-000099070000}"/>
    <cellStyle name="Normal 11 3" xfId="868" xr:uid="{00000000-0005-0000-0000-00009A070000}"/>
    <cellStyle name="Normal 11 4" xfId="869" xr:uid="{00000000-0005-0000-0000-00009B070000}"/>
    <cellStyle name="Normal 11 4 2" xfId="27012" xr:uid="{00000000-0005-0000-0000-00009C070000}"/>
    <cellStyle name="Normal 11 5" xfId="870" xr:uid="{00000000-0005-0000-0000-00009D070000}"/>
    <cellStyle name="Normal 11 6" xfId="866" xr:uid="{00000000-0005-0000-0000-00009E070000}"/>
    <cellStyle name="Normal 12" xfId="871" xr:uid="{00000000-0005-0000-0000-00009F070000}"/>
    <cellStyle name="Normal 12 10" xfId="27013" xr:uid="{00000000-0005-0000-0000-0000A0070000}"/>
    <cellStyle name="Normal 12 11" xfId="27014" xr:uid="{00000000-0005-0000-0000-0000A1070000}"/>
    <cellStyle name="Normal 12 12" xfId="27015" xr:uid="{00000000-0005-0000-0000-0000A2070000}"/>
    <cellStyle name="Normal 12 2" xfId="872" xr:uid="{00000000-0005-0000-0000-0000A3070000}"/>
    <cellStyle name="Normal 12 2 10" xfId="27016" xr:uid="{00000000-0005-0000-0000-0000A4070000}"/>
    <cellStyle name="Normal 12 2 2" xfId="873" xr:uid="{00000000-0005-0000-0000-0000A5070000}"/>
    <cellStyle name="Normal 12 2 2 2" xfId="874" xr:uid="{00000000-0005-0000-0000-0000A6070000}"/>
    <cellStyle name="Normal 12 2 2 2 2" xfId="875" xr:uid="{00000000-0005-0000-0000-0000A7070000}"/>
    <cellStyle name="Normal 12 2 2 2 2 2" xfId="27017" xr:uid="{00000000-0005-0000-0000-0000A8070000}"/>
    <cellStyle name="Normal 12 2 2 2 3" xfId="876" xr:uid="{00000000-0005-0000-0000-0000A9070000}"/>
    <cellStyle name="Normal 12 2 2 2 3 2" xfId="27018" xr:uid="{00000000-0005-0000-0000-0000AA070000}"/>
    <cellStyle name="Normal 12 2 2 2 4" xfId="27019" xr:uid="{00000000-0005-0000-0000-0000AB070000}"/>
    <cellStyle name="Normal 12 2 2 3" xfId="877" xr:uid="{00000000-0005-0000-0000-0000AC070000}"/>
    <cellStyle name="Normal 12 2 2 3 2" xfId="27020" xr:uid="{00000000-0005-0000-0000-0000AD070000}"/>
    <cellStyle name="Normal 12 2 2 4" xfId="878" xr:uid="{00000000-0005-0000-0000-0000AE070000}"/>
    <cellStyle name="Normal 12 2 2 4 2" xfId="27021" xr:uid="{00000000-0005-0000-0000-0000AF070000}"/>
    <cellStyle name="Normal 12 2 2 5" xfId="879" xr:uid="{00000000-0005-0000-0000-0000B0070000}"/>
    <cellStyle name="Normal 12 2 2 5 2" xfId="27022" xr:uid="{00000000-0005-0000-0000-0000B1070000}"/>
    <cellStyle name="Normal 12 2 2 6" xfId="27023" xr:uid="{00000000-0005-0000-0000-0000B2070000}"/>
    <cellStyle name="Normal 12 2 2 6 2" xfId="27024" xr:uid="{00000000-0005-0000-0000-0000B3070000}"/>
    <cellStyle name="Normal 12 2 2 7" xfId="27025" xr:uid="{00000000-0005-0000-0000-0000B4070000}"/>
    <cellStyle name="Normal 12 2 2 8" xfId="27026" xr:uid="{00000000-0005-0000-0000-0000B5070000}"/>
    <cellStyle name="Normal 12 2 2 9" xfId="27027" xr:uid="{00000000-0005-0000-0000-0000B6070000}"/>
    <cellStyle name="Normal 12 2 3" xfId="880" xr:uid="{00000000-0005-0000-0000-0000B7070000}"/>
    <cellStyle name="Normal 12 2 3 2" xfId="881" xr:uid="{00000000-0005-0000-0000-0000B8070000}"/>
    <cellStyle name="Normal 12 2 3 2 2" xfId="27028" xr:uid="{00000000-0005-0000-0000-0000B9070000}"/>
    <cellStyle name="Normal 12 2 3 3" xfId="882" xr:uid="{00000000-0005-0000-0000-0000BA070000}"/>
    <cellStyle name="Normal 12 2 3 3 2" xfId="27029" xr:uid="{00000000-0005-0000-0000-0000BB070000}"/>
    <cellStyle name="Normal 12 2 3 4" xfId="27030" xr:uid="{00000000-0005-0000-0000-0000BC070000}"/>
    <cellStyle name="Normal 12 2 4" xfId="883" xr:uid="{00000000-0005-0000-0000-0000BD070000}"/>
    <cellStyle name="Normal 12 2 4 2" xfId="884" xr:uid="{00000000-0005-0000-0000-0000BE070000}"/>
    <cellStyle name="Normal 12 2 4 2 2" xfId="27031" xr:uid="{00000000-0005-0000-0000-0000BF070000}"/>
    <cellStyle name="Normal 12 2 4 3" xfId="27032" xr:uid="{00000000-0005-0000-0000-0000C0070000}"/>
    <cellStyle name="Normal 12 2 5" xfId="885" xr:uid="{00000000-0005-0000-0000-0000C1070000}"/>
    <cellStyle name="Normal 12 2 5 2" xfId="27033" xr:uid="{00000000-0005-0000-0000-0000C2070000}"/>
    <cellStyle name="Normal 12 2 6" xfId="886" xr:uid="{00000000-0005-0000-0000-0000C3070000}"/>
    <cellStyle name="Normal 12 2 6 2" xfId="27034" xr:uid="{00000000-0005-0000-0000-0000C4070000}"/>
    <cellStyle name="Normal 12 2 7" xfId="27035" xr:uid="{00000000-0005-0000-0000-0000C5070000}"/>
    <cellStyle name="Normal 12 2 7 2" xfId="27036" xr:uid="{00000000-0005-0000-0000-0000C6070000}"/>
    <cellStyle name="Normal 12 2 8" xfId="27037" xr:uid="{00000000-0005-0000-0000-0000C7070000}"/>
    <cellStyle name="Normal 12 2 9" xfId="27038" xr:uid="{00000000-0005-0000-0000-0000C8070000}"/>
    <cellStyle name="Normal 12 3" xfId="25" xr:uid="{00000000-0005-0000-0000-0000C9070000}"/>
    <cellStyle name="Normal 12 3 10" xfId="887" xr:uid="{00000000-0005-0000-0000-0000CA070000}"/>
    <cellStyle name="Normal 12 3 2" xfId="888" xr:uid="{00000000-0005-0000-0000-0000CB070000}"/>
    <cellStyle name="Normal 12 3 2 2" xfId="889" xr:uid="{00000000-0005-0000-0000-0000CC070000}"/>
    <cellStyle name="Normal 12 3 2 2 2" xfId="27039" xr:uid="{00000000-0005-0000-0000-0000CD070000}"/>
    <cellStyle name="Normal 12 3 2 3" xfId="890" xr:uid="{00000000-0005-0000-0000-0000CE070000}"/>
    <cellStyle name="Normal 12 3 2 3 2" xfId="27040" xr:uid="{00000000-0005-0000-0000-0000CF070000}"/>
    <cellStyle name="Normal 12 3 2 4" xfId="27041" xr:uid="{00000000-0005-0000-0000-0000D0070000}"/>
    <cellStyle name="Normal 12 3 3" xfId="891" xr:uid="{00000000-0005-0000-0000-0000D1070000}"/>
    <cellStyle name="Normal 12 3 3 2" xfId="27042" xr:uid="{00000000-0005-0000-0000-0000D2070000}"/>
    <cellStyle name="Normal 12 3 4" xfId="892" xr:uid="{00000000-0005-0000-0000-0000D3070000}"/>
    <cellStyle name="Normal 12 3 4 2" xfId="27043" xr:uid="{00000000-0005-0000-0000-0000D4070000}"/>
    <cellStyle name="Normal 12 3 5" xfId="893" xr:uid="{00000000-0005-0000-0000-0000D5070000}"/>
    <cellStyle name="Normal 12 3 5 2" xfId="27044" xr:uid="{00000000-0005-0000-0000-0000D6070000}"/>
    <cellStyle name="Normal 12 3 6" xfId="27045" xr:uid="{00000000-0005-0000-0000-0000D7070000}"/>
    <cellStyle name="Normal 12 3 6 2" xfId="27046" xr:uid="{00000000-0005-0000-0000-0000D8070000}"/>
    <cellStyle name="Normal 12 3 7" xfId="27047" xr:uid="{00000000-0005-0000-0000-0000D9070000}"/>
    <cellStyle name="Normal 12 3 8" xfId="27048" xr:uid="{00000000-0005-0000-0000-0000DA070000}"/>
    <cellStyle name="Normal 12 3 9" xfId="27049" xr:uid="{00000000-0005-0000-0000-0000DB070000}"/>
    <cellStyle name="Normal 12 4" xfId="894" xr:uid="{00000000-0005-0000-0000-0000DC070000}"/>
    <cellStyle name="Normal 12 4 2" xfId="895" xr:uid="{00000000-0005-0000-0000-0000DD070000}"/>
    <cellStyle name="Normal 12 4 2 2" xfId="27050" xr:uid="{00000000-0005-0000-0000-0000DE070000}"/>
    <cellStyle name="Normal 12 4 3" xfId="896" xr:uid="{00000000-0005-0000-0000-0000DF070000}"/>
    <cellStyle name="Normal 12 4 3 2" xfId="27051" xr:uid="{00000000-0005-0000-0000-0000E0070000}"/>
    <cellStyle name="Normal 12 4 4" xfId="27052" xr:uid="{00000000-0005-0000-0000-0000E1070000}"/>
    <cellStyle name="Normal 12 5" xfId="897" xr:uid="{00000000-0005-0000-0000-0000E2070000}"/>
    <cellStyle name="Normal 12 5 2" xfId="898" xr:uid="{00000000-0005-0000-0000-0000E3070000}"/>
    <cellStyle name="Normal 12 5 2 2" xfId="27053" xr:uid="{00000000-0005-0000-0000-0000E4070000}"/>
    <cellStyle name="Normal 12 5 3" xfId="27054" xr:uid="{00000000-0005-0000-0000-0000E5070000}"/>
    <cellStyle name="Normal 12 6" xfId="899" xr:uid="{00000000-0005-0000-0000-0000E6070000}"/>
    <cellStyle name="Normal 12 6 2" xfId="27055" xr:uid="{00000000-0005-0000-0000-0000E7070000}"/>
    <cellStyle name="Normal 12 7" xfId="900" xr:uid="{00000000-0005-0000-0000-0000E8070000}"/>
    <cellStyle name="Normal 12 7 2" xfId="27056" xr:uid="{00000000-0005-0000-0000-0000E9070000}"/>
    <cellStyle name="Normal 12 8" xfId="27057" xr:uid="{00000000-0005-0000-0000-0000EA070000}"/>
    <cellStyle name="Normal 12 8 2" xfId="27058" xr:uid="{00000000-0005-0000-0000-0000EB070000}"/>
    <cellStyle name="Normal 12 9" xfId="27059" xr:uid="{00000000-0005-0000-0000-0000EC070000}"/>
    <cellStyle name="Normal 12_cod postos" xfId="27060" xr:uid="{00000000-0005-0000-0000-0000ED070000}"/>
    <cellStyle name="Normal 13" xfId="901" xr:uid="{00000000-0005-0000-0000-0000EE070000}"/>
    <cellStyle name="Normal 13 10" xfId="27061" xr:uid="{00000000-0005-0000-0000-0000EF070000}"/>
    <cellStyle name="Normal 13 2" xfId="902" xr:uid="{00000000-0005-0000-0000-0000F0070000}"/>
    <cellStyle name="Normal 13 2 2" xfId="903" xr:uid="{00000000-0005-0000-0000-0000F1070000}"/>
    <cellStyle name="Normal 13 2 2 2" xfId="904" xr:uid="{00000000-0005-0000-0000-0000F2070000}"/>
    <cellStyle name="Normal 13 2 2 2 2" xfId="27062" xr:uid="{00000000-0005-0000-0000-0000F3070000}"/>
    <cellStyle name="Normal 13 2 2 3" xfId="905" xr:uid="{00000000-0005-0000-0000-0000F4070000}"/>
    <cellStyle name="Normal 13 2 2 3 2" xfId="27063" xr:uid="{00000000-0005-0000-0000-0000F5070000}"/>
    <cellStyle name="Normal 13 2 2 4" xfId="906" xr:uid="{00000000-0005-0000-0000-0000F6070000}"/>
    <cellStyle name="Normal 13 2 2 4 2" xfId="27064" xr:uid="{00000000-0005-0000-0000-0000F7070000}"/>
    <cellStyle name="Normal 13 2 2 5" xfId="27065" xr:uid="{00000000-0005-0000-0000-0000F8070000}"/>
    <cellStyle name="Normal 13 2 2 6" xfId="27066" xr:uid="{00000000-0005-0000-0000-0000F9070000}"/>
    <cellStyle name="Normal 13 2 2 7" xfId="27067" xr:uid="{00000000-0005-0000-0000-0000FA070000}"/>
    <cellStyle name="Normal 13 2 3" xfId="907" xr:uid="{00000000-0005-0000-0000-0000FB070000}"/>
    <cellStyle name="Normal 13 2 3 2" xfId="908" xr:uid="{00000000-0005-0000-0000-0000FC070000}"/>
    <cellStyle name="Normal 13 2 3 2 2" xfId="27068" xr:uid="{00000000-0005-0000-0000-0000FD070000}"/>
    <cellStyle name="Normal 13 2 3 3" xfId="27069" xr:uid="{00000000-0005-0000-0000-0000FE070000}"/>
    <cellStyle name="Normal 13 2 4" xfId="909" xr:uid="{00000000-0005-0000-0000-0000FF070000}"/>
    <cellStyle name="Normal 13 2 4 2" xfId="27070" xr:uid="{00000000-0005-0000-0000-000000080000}"/>
    <cellStyle name="Normal 13 2 5" xfId="910" xr:uid="{00000000-0005-0000-0000-000001080000}"/>
    <cellStyle name="Normal 13 2 5 2" xfId="27071" xr:uid="{00000000-0005-0000-0000-000002080000}"/>
    <cellStyle name="Normal 13 2 6" xfId="27072" xr:uid="{00000000-0005-0000-0000-000003080000}"/>
    <cellStyle name="Normal 13 2 6 2" xfId="27073" xr:uid="{00000000-0005-0000-0000-000004080000}"/>
    <cellStyle name="Normal 13 2 7" xfId="27074" xr:uid="{00000000-0005-0000-0000-000005080000}"/>
    <cellStyle name="Normal 13 2 8" xfId="27075" xr:uid="{00000000-0005-0000-0000-000006080000}"/>
    <cellStyle name="Normal 13 2 9" xfId="27076" xr:uid="{00000000-0005-0000-0000-000007080000}"/>
    <cellStyle name="Normal 13 3" xfId="911" xr:uid="{00000000-0005-0000-0000-000008080000}"/>
    <cellStyle name="Normal 13 3 2" xfId="912" xr:uid="{00000000-0005-0000-0000-000009080000}"/>
    <cellStyle name="Normal 13 3 2 2" xfId="27077" xr:uid="{00000000-0005-0000-0000-00000A080000}"/>
    <cellStyle name="Normal 13 3 3" xfId="913" xr:uid="{00000000-0005-0000-0000-00000B080000}"/>
    <cellStyle name="Normal 13 3 3 2" xfId="27078" xr:uid="{00000000-0005-0000-0000-00000C080000}"/>
    <cellStyle name="Normal 13 3 4" xfId="914" xr:uid="{00000000-0005-0000-0000-00000D080000}"/>
    <cellStyle name="Normal 13 3 4 2" xfId="27079" xr:uid="{00000000-0005-0000-0000-00000E080000}"/>
    <cellStyle name="Normal 13 3 5" xfId="27080" xr:uid="{00000000-0005-0000-0000-00000F080000}"/>
    <cellStyle name="Normal 13 3 6" xfId="27081" xr:uid="{00000000-0005-0000-0000-000010080000}"/>
    <cellStyle name="Normal 13 3 7" xfId="27082" xr:uid="{00000000-0005-0000-0000-000011080000}"/>
    <cellStyle name="Normal 13 4" xfId="915" xr:uid="{00000000-0005-0000-0000-000012080000}"/>
    <cellStyle name="Normal 13 4 2" xfId="916" xr:uid="{00000000-0005-0000-0000-000013080000}"/>
    <cellStyle name="Normal 13 4 2 2" xfId="27083" xr:uid="{00000000-0005-0000-0000-000014080000}"/>
    <cellStyle name="Normal 13 4 3" xfId="27084" xr:uid="{00000000-0005-0000-0000-000015080000}"/>
    <cellStyle name="Normal 13 5" xfId="917" xr:uid="{00000000-0005-0000-0000-000016080000}"/>
    <cellStyle name="Normal 13 5 2" xfId="27085" xr:uid="{00000000-0005-0000-0000-000017080000}"/>
    <cellStyle name="Normal 13 6" xfId="918" xr:uid="{00000000-0005-0000-0000-000018080000}"/>
    <cellStyle name="Normal 13 6 2" xfId="27086" xr:uid="{00000000-0005-0000-0000-000019080000}"/>
    <cellStyle name="Normal 13 7" xfId="27087" xr:uid="{00000000-0005-0000-0000-00001A080000}"/>
    <cellStyle name="Normal 13 7 2" xfId="27088" xr:uid="{00000000-0005-0000-0000-00001B080000}"/>
    <cellStyle name="Normal 13 8" xfId="27089" xr:uid="{00000000-0005-0000-0000-00001C080000}"/>
    <cellStyle name="Normal 13 9" xfId="27090" xr:uid="{00000000-0005-0000-0000-00001D080000}"/>
    <cellStyle name="Normal 14" xfId="919" xr:uid="{00000000-0005-0000-0000-00001E080000}"/>
    <cellStyle name="Normal 14 10" xfId="27091" xr:uid="{00000000-0005-0000-0000-00001F080000}"/>
    <cellStyle name="Normal 14 2" xfId="920" xr:uid="{00000000-0005-0000-0000-000020080000}"/>
    <cellStyle name="Normal 14 2 2" xfId="921" xr:uid="{00000000-0005-0000-0000-000021080000}"/>
    <cellStyle name="Normal 14 2 2 2" xfId="922" xr:uid="{00000000-0005-0000-0000-000022080000}"/>
    <cellStyle name="Normal 14 2 2 2 2" xfId="27092" xr:uid="{00000000-0005-0000-0000-000023080000}"/>
    <cellStyle name="Normal 14 2 2 3" xfId="923" xr:uid="{00000000-0005-0000-0000-000024080000}"/>
    <cellStyle name="Normal 14 2 2 3 2" xfId="27093" xr:uid="{00000000-0005-0000-0000-000025080000}"/>
    <cellStyle name="Normal 14 2 2 4" xfId="924" xr:uid="{00000000-0005-0000-0000-000026080000}"/>
    <cellStyle name="Normal 14 2 2 4 2" xfId="27094" xr:uid="{00000000-0005-0000-0000-000027080000}"/>
    <cellStyle name="Normal 14 2 2 5" xfId="27095" xr:uid="{00000000-0005-0000-0000-000028080000}"/>
    <cellStyle name="Normal 14 2 2 6" xfId="27096" xr:uid="{00000000-0005-0000-0000-000029080000}"/>
    <cellStyle name="Normal 14 2 2 7" xfId="27097" xr:uid="{00000000-0005-0000-0000-00002A080000}"/>
    <cellStyle name="Normal 14 2 3" xfId="925" xr:uid="{00000000-0005-0000-0000-00002B080000}"/>
    <cellStyle name="Normal 14 2 3 2" xfId="926" xr:uid="{00000000-0005-0000-0000-00002C080000}"/>
    <cellStyle name="Normal 14 2 3 2 2" xfId="27098" xr:uid="{00000000-0005-0000-0000-00002D080000}"/>
    <cellStyle name="Normal 14 2 3 3" xfId="27099" xr:uid="{00000000-0005-0000-0000-00002E080000}"/>
    <cellStyle name="Normal 14 2 4" xfId="927" xr:uid="{00000000-0005-0000-0000-00002F080000}"/>
    <cellStyle name="Normal 14 2 4 2" xfId="27100" xr:uid="{00000000-0005-0000-0000-000030080000}"/>
    <cellStyle name="Normal 14 2 5" xfId="928" xr:uid="{00000000-0005-0000-0000-000031080000}"/>
    <cellStyle name="Normal 14 2 5 2" xfId="27101" xr:uid="{00000000-0005-0000-0000-000032080000}"/>
    <cellStyle name="Normal 14 2 6" xfId="27102" xr:uid="{00000000-0005-0000-0000-000033080000}"/>
    <cellStyle name="Normal 14 2 6 2" xfId="27103" xr:uid="{00000000-0005-0000-0000-000034080000}"/>
    <cellStyle name="Normal 14 2 7" xfId="27104" xr:uid="{00000000-0005-0000-0000-000035080000}"/>
    <cellStyle name="Normal 14 2 8" xfId="27105" xr:uid="{00000000-0005-0000-0000-000036080000}"/>
    <cellStyle name="Normal 14 2 9" xfId="27106" xr:uid="{00000000-0005-0000-0000-000037080000}"/>
    <cellStyle name="Normal 14 3" xfId="929" xr:uid="{00000000-0005-0000-0000-000038080000}"/>
    <cellStyle name="Normal 14 3 2" xfId="930" xr:uid="{00000000-0005-0000-0000-000039080000}"/>
    <cellStyle name="Normal 14 3 2 2" xfId="27107" xr:uid="{00000000-0005-0000-0000-00003A080000}"/>
    <cellStyle name="Normal 14 3 3" xfId="931" xr:uid="{00000000-0005-0000-0000-00003B080000}"/>
    <cellStyle name="Normal 14 3 3 2" xfId="27108" xr:uid="{00000000-0005-0000-0000-00003C080000}"/>
    <cellStyle name="Normal 14 3 4" xfId="932" xr:uid="{00000000-0005-0000-0000-00003D080000}"/>
    <cellStyle name="Normal 14 3 4 2" xfId="27109" xr:uid="{00000000-0005-0000-0000-00003E080000}"/>
    <cellStyle name="Normal 14 3 5" xfId="27110" xr:uid="{00000000-0005-0000-0000-00003F080000}"/>
    <cellStyle name="Normal 14 3 6" xfId="27111" xr:uid="{00000000-0005-0000-0000-000040080000}"/>
    <cellStyle name="Normal 14 3 7" xfId="27112" xr:uid="{00000000-0005-0000-0000-000041080000}"/>
    <cellStyle name="Normal 14 4" xfId="933" xr:uid="{00000000-0005-0000-0000-000042080000}"/>
    <cellStyle name="Normal 14 4 2" xfId="934" xr:uid="{00000000-0005-0000-0000-000043080000}"/>
    <cellStyle name="Normal 14 4 2 2" xfId="27113" xr:uid="{00000000-0005-0000-0000-000044080000}"/>
    <cellStyle name="Normal 14 4 3" xfId="27114" xr:uid="{00000000-0005-0000-0000-000045080000}"/>
    <cellStyle name="Normal 14 5" xfId="935" xr:uid="{00000000-0005-0000-0000-000046080000}"/>
    <cellStyle name="Normal 14 5 2" xfId="27115" xr:uid="{00000000-0005-0000-0000-000047080000}"/>
    <cellStyle name="Normal 14 6" xfId="936" xr:uid="{00000000-0005-0000-0000-000048080000}"/>
    <cellStyle name="Normal 14 6 2" xfId="27116" xr:uid="{00000000-0005-0000-0000-000049080000}"/>
    <cellStyle name="Normal 14 7" xfId="27117" xr:uid="{00000000-0005-0000-0000-00004A080000}"/>
    <cellStyle name="Normal 14 7 2" xfId="27118" xr:uid="{00000000-0005-0000-0000-00004B080000}"/>
    <cellStyle name="Normal 14 8" xfId="27119" xr:uid="{00000000-0005-0000-0000-00004C080000}"/>
    <cellStyle name="Normal 14 9" xfId="27120" xr:uid="{00000000-0005-0000-0000-00004D080000}"/>
    <cellStyle name="Normal 15" xfId="937" xr:uid="{00000000-0005-0000-0000-00004E080000}"/>
    <cellStyle name="Normal 15 2" xfId="938" xr:uid="{00000000-0005-0000-0000-00004F080000}"/>
    <cellStyle name="Normal 15 3" xfId="939" xr:uid="{00000000-0005-0000-0000-000050080000}"/>
    <cellStyle name="Normal 15 3 2" xfId="940" xr:uid="{00000000-0005-0000-0000-000051080000}"/>
    <cellStyle name="Normal 15 3 2 2" xfId="27121" xr:uid="{00000000-0005-0000-0000-000052080000}"/>
    <cellStyle name="Normal 15 3 3" xfId="941" xr:uid="{00000000-0005-0000-0000-000053080000}"/>
    <cellStyle name="Normal 15 3 3 2" xfId="27122" xr:uid="{00000000-0005-0000-0000-000054080000}"/>
    <cellStyle name="Normal 15 3 4" xfId="27123" xr:uid="{00000000-0005-0000-0000-000055080000}"/>
    <cellStyle name="Normal 15 4" xfId="942" xr:uid="{00000000-0005-0000-0000-000056080000}"/>
    <cellStyle name="Normal 15 4 2" xfId="943" xr:uid="{00000000-0005-0000-0000-000057080000}"/>
    <cellStyle name="Normal 15 4 2 2" xfId="27124" xr:uid="{00000000-0005-0000-0000-000058080000}"/>
    <cellStyle name="Normal 15 4 3" xfId="27125" xr:uid="{00000000-0005-0000-0000-000059080000}"/>
    <cellStyle name="Normal 15 5" xfId="944" xr:uid="{00000000-0005-0000-0000-00005A080000}"/>
    <cellStyle name="Normal 15 6" xfId="945" xr:uid="{00000000-0005-0000-0000-00005B080000}"/>
    <cellStyle name="Normal 15 7" xfId="27126" xr:uid="{00000000-0005-0000-0000-00005C080000}"/>
    <cellStyle name="Normal 15 7 2" xfId="27127" xr:uid="{00000000-0005-0000-0000-00005D080000}"/>
    <cellStyle name="Normal 15 8" xfId="27128" xr:uid="{00000000-0005-0000-0000-00005E080000}"/>
    <cellStyle name="Normal 15 9" xfId="27129" xr:uid="{00000000-0005-0000-0000-00005F080000}"/>
    <cellStyle name="Normal 16" xfId="946" xr:uid="{00000000-0005-0000-0000-000060080000}"/>
    <cellStyle name="Normal 16 2" xfId="947" xr:uid="{00000000-0005-0000-0000-000061080000}"/>
    <cellStyle name="Normal 16 2 2" xfId="948" xr:uid="{00000000-0005-0000-0000-000062080000}"/>
    <cellStyle name="Normal 16 2 2 2" xfId="949" xr:uid="{00000000-0005-0000-0000-000063080000}"/>
    <cellStyle name="Normal 16 2 2 2 2" xfId="27130" xr:uid="{00000000-0005-0000-0000-000064080000}"/>
    <cellStyle name="Normal 16 2 2 3" xfId="27131" xr:uid="{00000000-0005-0000-0000-000065080000}"/>
    <cellStyle name="Normal 16 2 3" xfId="950" xr:uid="{00000000-0005-0000-0000-000066080000}"/>
    <cellStyle name="Normal 16 2 4" xfId="27132" xr:uid="{00000000-0005-0000-0000-000067080000}"/>
    <cellStyle name="Normal 16 3" xfId="951" xr:uid="{00000000-0005-0000-0000-000068080000}"/>
    <cellStyle name="Normal 16 3 2" xfId="952" xr:uid="{00000000-0005-0000-0000-000069080000}"/>
    <cellStyle name="Normal 16 3 2 2" xfId="27133" xr:uid="{00000000-0005-0000-0000-00006A080000}"/>
    <cellStyle name="Normal 16 3 3" xfId="953" xr:uid="{00000000-0005-0000-0000-00006B080000}"/>
    <cellStyle name="Normal 16 3 3 2" xfId="27134" xr:uid="{00000000-0005-0000-0000-00006C080000}"/>
    <cellStyle name="Normal 16 4" xfId="954" xr:uid="{00000000-0005-0000-0000-00006D080000}"/>
    <cellStyle name="Normal 16 4 2" xfId="27135" xr:uid="{00000000-0005-0000-0000-00006E080000}"/>
    <cellStyle name="Normal 16 5" xfId="955" xr:uid="{00000000-0005-0000-0000-00006F080000}"/>
    <cellStyle name="Normal 16 5 2" xfId="27136" xr:uid="{00000000-0005-0000-0000-000070080000}"/>
    <cellStyle name="Normal 16 6" xfId="956" xr:uid="{00000000-0005-0000-0000-000071080000}"/>
    <cellStyle name="Normal 16 6 2" xfId="27137" xr:uid="{00000000-0005-0000-0000-000072080000}"/>
    <cellStyle name="Normal 16 7" xfId="27138" xr:uid="{00000000-0005-0000-0000-000073080000}"/>
    <cellStyle name="Normal 16 8" xfId="27139" xr:uid="{00000000-0005-0000-0000-000074080000}"/>
    <cellStyle name="Normal 16 9" xfId="27140" xr:uid="{00000000-0005-0000-0000-000075080000}"/>
    <cellStyle name="Normal 17" xfId="957" xr:uid="{00000000-0005-0000-0000-000076080000}"/>
    <cellStyle name="Normal 17 10" xfId="27141" xr:uid="{00000000-0005-0000-0000-000077080000}"/>
    <cellStyle name="Normal 17 2" xfId="958" xr:uid="{00000000-0005-0000-0000-000078080000}"/>
    <cellStyle name="Normal 17 2 2" xfId="959" xr:uid="{00000000-0005-0000-0000-000079080000}"/>
    <cellStyle name="Normal 17 2 2 2" xfId="27142" xr:uid="{00000000-0005-0000-0000-00007A080000}"/>
    <cellStyle name="Normal 17 2 3" xfId="960" xr:uid="{00000000-0005-0000-0000-00007B080000}"/>
    <cellStyle name="Normal 17 2 3 2" xfId="27143" xr:uid="{00000000-0005-0000-0000-00007C080000}"/>
    <cellStyle name="Normal 17 2 4" xfId="27144" xr:uid="{00000000-0005-0000-0000-00007D080000}"/>
    <cellStyle name="Normal 17 3" xfId="961" xr:uid="{00000000-0005-0000-0000-00007E080000}"/>
    <cellStyle name="Normal 17 3 2" xfId="962" xr:uid="{00000000-0005-0000-0000-00007F080000}"/>
    <cellStyle name="Normal 17 3 2 2" xfId="27145" xr:uid="{00000000-0005-0000-0000-000080080000}"/>
    <cellStyle name="Normal 17 3 3" xfId="27146" xr:uid="{00000000-0005-0000-0000-000081080000}"/>
    <cellStyle name="Normal 17 4" xfId="963" xr:uid="{00000000-0005-0000-0000-000082080000}"/>
    <cellStyle name="Normal 17 5" xfId="964" xr:uid="{00000000-0005-0000-0000-000083080000}"/>
    <cellStyle name="Normal 17 5 2" xfId="27147" xr:uid="{00000000-0005-0000-0000-000084080000}"/>
    <cellStyle name="Normal 17 6" xfId="27148" xr:uid="{00000000-0005-0000-0000-000085080000}"/>
    <cellStyle name="Normal 17 6 2" xfId="27149" xr:uid="{00000000-0005-0000-0000-000086080000}"/>
    <cellStyle name="Normal 17 7" xfId="27150" xr:uid="{00000000-0005-0000-0000-000087080000}"/>
    <cellStyle name="Normal 17 8" xfId="27151" xr:uid="{00000000-0005-0000-0000-000088080000}"/>
    <cellStyle name="Normal 17 9" xfId="27152" xr:uid="{00000000-0005-0000-0000-000089080000}"/>
    <cellStyle name="Normal 18" xfId="965" xr:uid="{00000000-0005-0000-0000-00008A080000}"/>
    <cellStyle name="Normal 18 2" xfId="27153" xr:uid="{00000000-0005-0000-0000-00008B080000}"/>
    <cellStyle name="Normal 18 3" xfId="27154" xr:uid="{00000000-0005-0000-0000-00008C080000}"/>
    <cellStyle name="Normal 19" xfId="966" xr:uid="{00000000-0005-0000-0000-00008D080000}"/>
    <cellStyle name="Normal 19 2" xfId="967" xr:uid="{00000000-0005-0000-0000-00008E080000}"/>
    <cellStyle name="Normal 19 3" xfId="968" xr:uid="{00000000-0005-0000-0000-00008F080000}"/>
    <cellStyle name="Normal 2" xfId="9" xr:uid="{00000000-0005-0000-0000-000090080000}"/>
    <cellStyle name="Normal 2 10" xfId="26" xr:uid="{00000000-0005-0000-0000-000091080000}"/>
    <cellStyle name="Normal 2 10 2" xfId="969" xr:uid="{00000000-0005-0000-0000-000092080000}"/>
    <cellStyle name="Normal 2 10 2 2" xfId="27155" xr:uid="{00000000-0005-0000-0000-000093080000}"/>
    <cellStyle name="Normal 2 10 3" xfId="27156" xr:uid="{00000000-0005-0000-0000-000094080000}"/>
    <cellStyle name="Normal 2 11" xfId="970" xr:uid="{00000000-0005-0000-0000-000095080000}"/>
    <cellStyle name="Normal 2 11 2" xfId="971" xr:uid="{00000000-0005-0000-0000-000096080000}"/>
    <cellStyle name="Normal 2 11 3" xfId="972" xr:uid="{00000000-0005-0000-0000-000097080000}"/>
    <cellStyle name="Normal 2 12" xfId="973" xr:uid="{00000000-0005-0000-0000-000098080000}"/>
    <cellStyle name="Normal 2 12 2" xfId="974" xr:uid="{00000000-0005-0000-0000-000099080000}"/>
    <cellStyle name="Normal 2 12 3" xfId="975" xr:uid="{00000000-0005-0000-0000-00009A080000}"/>
    <cellStyle name="Normal 2 13" xfId="976" xr:uid="{00000000-0005-0000-0000-00009B080000}"/>
    <cellStyle name="Normal 2 13 2" xfId="977" xr:uid="{00000000-0005-0000-0000-00009C080000}"/>
    <cellStyle name="Normal 2 13 2 2" xfId="978" xr:uid="{00000000-0005-0000-0000-00009D080000}"/>
    <cellStyle name="Normal 2 13 2 2 2" xfId="27157" xr:uid="{00000000-0005-0000-0000-00009E080000}"/>
    <cellStyle name="Normal 2 13 2 3" xfId="979" xr:uid="{00000000-0005-0000-0000-00009F080000}"/>
    <cellStyle name="Normal 2 13 2 3 2" xfId="27158" xr:uid="{00000000-0005-0000-0000-0000A0080000}"/>
    <cellStyle name="Normal 2 13 2 4" xfId="27159" xr:uid="{00000000-0005-0000-0000-0000A1080000}"/>
    <cellStyle name="Normal 2 13 3" xfId="980" xr:uid="{00000000-0005-0000-0000-0000A2080000}"/>
    <cellStyle name="Normal 2 13 3 2" xfId="981" xr:uid="{00000000-0005-0000-0000-0000A3080000}"/>
    <cellStyle name="Normal 2 13 3 2 2" xfId="27160" xr:uid="{00000000-0005-0000-0000-0000A4080000}"/>
    <cellStyle name="Normal 2 13 3 3" xfId="27161" xr:uid="{00000000-0005-0000-0000-0000A5080000}"/>
    <cellStyle name="Normal 2 13 4" xfId="982" xr:uid="{00000000-0005-0000-0000-0000A6080000}"/>
    <cellStyle name="Normal 2 13 4 2" xfId="27162" xr:uid="{00000000-0005-0000-0000-0000A7080000}"/>
    <cellStyle name="Normal 2 13 5" xfId="983" xr:uid="{00000000-0005-0000-0000-0000A8080000}"/>
    <cellStyle name="Normal 2 13 5 2" xfId="27163" xr:uid="{00000000-0005-0000-0000-0000A9080000}"/>
    <cellStyle name="Normal 2 13 6" xfId="27164" xr:uid="{00000000-0005-0000-0000-0000AA080000}"/>
    <cellStyle name="Normal 2 13 7" xfId="27165" xr:uid="{00000000-0005-0000-0000-0000AB080000}"/>
    <cellStyle name="Normal 2 13 8" xfId="27166" xr:uid="{00000000-0005-0000-0000-0000AC080000}"/>
    <cellStyle name="Normal 2 14" xfId="984" xr:uid="{00000000-0005-0000-0000-0000AD080000}"/>
    <cellStyle name="Normal 2 14 2" xfId="985" xr:uid="{00000000-0005-0000-0000-0000AE080000}"/>
    <cellStyle name="Normal 2 14 2 2" xfId="27167" xr:uid="{00000000-0005-0000-0000-0000AF080000}"/>
    <cellStyle name="Normal 2 14 3" xfId="986" xr:uid="{00000000-0005-0000-0000-0000B0080000}"/>
    <cellStyle name="Normal 2 14 3 2" xfId="27168" xr:uid="{00000000-0005-0000-0000-0000B1080000}"/>
    <cellStyle name="Normal 2 14 4" xfId="27169" xr:uid="{00000000-0005-0000-0000-0000B2080000}"/>
    <cellStyle name="Normal 2 15" xfId="987" xr:uid="{00000000-0005-0000-0000-0000B3080000}"/>
    <cellStyle name="Normal 2 15 2" xfId="27170" xr:uid="{00000000-0005-0000-0000-0000B4080000}"/>
    <cellStyle name="Normal 2 16" xfId="988" xr:uid="{00000000-0005-0000-0000-0000B5080000}"/>
    <cellStyle name="Normal 2 16 2" xfId="27171" xr:uid="{00000000-0005-0000-0000-0000B6080000}"/>
    <cellStyle name="Normal 2 17" xfId="989" xr:uid="{00000000-0005-0000-0000-0000B7080000}"/>
    <cellStyle name="Normal 2 18" xfId="25909" xr:uid="{00000000-0005-0000-0000-0000B8080000}"/>
    <cellStyle name="Normal 2 19" xfId="60" xr:uid="{00000000-0005-0000-0000-0000B9080000}"/>
    <cellStyle name="Normal 2 2" xfId="13" xr:uid="{00000000-0005-0000-0000-0000BA080000}"/>
    <cellStyle name="Normal 2 2 10" xfId="990" xr:uid="{00000000-0005-0000-0000-0000BB080000}"/>
    <cellStyle name="Normal 2 2 10 10" xfId="27172" xr:uid="{00000000-0005-0000-0000-0000BC080000}"/>
    <cellStyle name="Normal 2 2 10 11" xfId="27173" xr:uid="{00000000-0005-0000-0000-0000BD080000}"/>
    <cellStyle name="Normal 2 2 10 2" xfId="991" xr:uid="{00000000-0005-0000-0000-0000BE080000}"/>
    <cellStyle name="Normal 2 2 10 2 10" xfId="27174" xr:uid="{00000000-0005-0000-0000-0000BF080000}"/>
    <cellStyle name="Normal 2 2 10 2 2" xfId="992" xr:uid="{00000000-0005-0000-0000-0000C0080000}"/>
    <cellStyle name="Normal 2 2 10 2 2 2" xfId="993" xr:uid="{00000000-0005-0000-0000-0000C1080000}"/>
    <cellStyle name="Normal 2 2 10 2 2 2 2" xfId="994" xr:uid="{00000000-0005-0000-0000-0000C2080000}"/>
    <cellStyle name="Normal 2 2 10 2 2 2 2 2" xfId="27175" xr:uid="{00000000-0005-0000-0000-0000C3080000}"/>
    <cellStyle name="Normal 2 2 10 2 2 2 3" xfId="995" xr:uid="{00000000-0005-0000-0000-0000C4080000}"/>
    <cellStyle name="Normal 2 2 10 2 2 2 3 2" xfId="27176" xr:uid="{00000000-0005-0000-0000-0000C5080000}"/>
    <cellStyle name="Normal 2 2 10 2 2 2 4" xfId="27177" xr:uid="{00000000-0005-0000-0000-0000C6080000}"/>
    <cellStyle name="Normal 2 2 10 2 2 3" xfId="996" xr:uid="{00000000-0005-0000-0000-0000C7080000}"/>
    <cellStyle name="Normal 2 2 10 2 2 3 2" xfId="27178" xr:uid="{00000000-0005-0000-0000-0000C8080000}"/>
    <cellStyle name="Normal 2 2 10 2 2 4" xfId="997" xr:uid="{00000000-0005-0000-0000-0000C9080000}"/>
    <cellStyle name="Normal 2 2 10 2 2 4 2" xfId="27179" xr:uid="{00000000-0005-0000-0000-0000CA080000}"/>
    <cellStyle name="Normal 2 2 10 2 2 5" xfId="998" xr:uid="{00000000-0005-0000-0000-0000CB080000}"/>
    <cellStyle name="Normal 2 2 10 2 2 5 2" xfId="27180" xr:uid="{00000000-0005-0000-0000-0000CC080000}"/>
    <cellStyle name="Normal 2 2 10 2 2 6" xfId="27181" xr:uid="{00000000-0005-0000-0000-0000CD080000}"/>
    <cellStyle name="Normal 2 2 10 2 2 6 2" xfId="27182" xr:uid="{00000000-0005-0000-0000-0000CE080000}"/>
    <cellStyle name="Normal 2 2 10 2 2 7" xfId="27183" xr:uid="{00000000-0005-0000-0000-0000CF080000}"/>
    <cellStyle name="Normal 2 2 10 2 3" xfId="999" xr:uid="{00000000-0005-0000-0000-0000D0080000}"/>
    <cellStyle name="Normal 2 2 10 2 3 2" xfId="1000" xr:uid="{00000000-0005-0000-0000-0000D1080000}"/>
    <cellStyle name="Normal 2 2 10 2 3 2 2" xfId="27184" xr:uid="{00000000-0005-0000-0000-0000D2080000}"/>
    <cellStyle name="Normal 2 2 10 2 3 3" xfId="1001" xr:uid="{00000000-0005-0000-0000-0000D3080000}"/>
    <cellStyle name="Normal 2 2 10 2 3 3 2" xfId="27185" xr:uid="{00000000-0005-0000-0000-0000D4080000}"/>
    <cellStyle name="Normal 2 2 10 2 3 4" xfId="27186" xr:uid="{00000000-0005-0000-0000-0000D5080000}"/>
    <cellStyle name="Normal 2 2 10 2 4" xfId="1002" xr:uid="{00000000-0005-0000-0000-0000D6080000}"/>
    <cellStyle name="Normal 2 2 10 2 4 2" xfId="1003" xr:uid="{00000000-0005-0000-0000-0000D7080000}"/>
    <cellStyle name="Normal 2 2 10 2 4 2 2" xfId="27187" xr:uid="{00000000-0005-0000-0000-0000D8080000}"/>
    <cellStyle name="Normal 2 2 10 2 4 3" xfId="27188" xr:uid="{00000000-0005-0000-0000-0000D9080000}"/>
    <cellStyle name="Normal 2 2 10 2 5" xfId="1004" xr:uid="{00000000-0005-0000-0000-0000DA080000}"/>
    <cellStyle name="Normal 2 2 10 2 5 2" xfId="27189" xr:uid="{00000000-0005-0000-0000-0000DB080000}"/>
    <cellStyle name="Normal 2 2 10 2 6" xfId="1005" xr:uid="{00000000-0005-0000-0000-0000DC080000}"/>
    <cellStyle name="Normal 2 2 10 2 6 2" xfId="27190" xr:uid="{00000000-0005-0000-0000-0000DD080000}"/>
    <cellStyle name="Normal 2 2 10 2 7" xfId="27191" xr:uid="{00000000-0005-0000-0000-0000DE080000}"/>
    <cellStyle name="Normal 2 2 10 2 7 2" xfId="27192" xr:uid="{00000000-0005-0000-0000-0000DF080000}"/>
    <cellStyle name="Normal 2 2 10 2 8" xfId="27193" xr:uid="{00000000-0005-0000-0000-0000E0080000}"/>
    <cellStyle name="Normal 2 2 10 2 9" xfId="27194" xr:uid="{00000000-0005-0000-0000-0000E1080000}"/>
    <cellStyle name="Normal 2 2 10 3" xfId="1006" xr:uid="{00000000-0005-0000-0000-0000E2080000}"/>
    <cellStyle name="Normal 2 2 10 3 2" xfId="1007" xr:uid="{00000000-0005-0000-0000-0000E3080000}"/>
    <cellStyle name="Normal 2 2 10 3 2 2" xfId="1008" xr:uid="{00000000-0005-0000-0000-0000E4080000}"/>
    <cellStyle name="Normal 2 2 10 3 2 2 2" xfId="27195" xr:uid="{00000000-0005-0000-0000-0000E5080000}"/>
    <cellStyle name="Normal 2 2 10 3 2 3" xfId="1009" xr:uid="{00000000-0005-0000-0000-0000E6080000}"/>
    <cellStyle name="Normal 2 2 10 3 2 3 2" xfId="27196" xr:uid="{00000000-0005-0000-0000-0000E7080000}"/>
    <cellStyle name="Normal 2 2 10 3 2 4" xfId="27197" xr:uid="{00000000-0005-0000-0000-0000E8080000}"/>
    <cellStyle name="Normal 2 2 10 3 3" xfId="1010" xr:uid="{00000000-0005-0000-0000-0000E9080000}"/>
    <cellStyle name="Normal 2 2 10 3 3 2" xfId="27198" xr:uid="{00000000-0005-0000-0000-0000EA080000}"/>
    <cellStyle name="Normal 2 2 10 3 4" xfId="1011" xr:uid="{00000000-0005-0000-0000-0000EB080000}"/>
    <cellStyle name="Normal 2 2 10 3 4 2" xfId="27199" xr:uid="{00000000-0005-0000-0000-0000EC080000}"/>
    <cellStyle name="Normal 2 2 10 3 5" xfId="1012" xr:uid="{00000000-0005-0000-0000-0000ED080000}"/>
    <cellStyle name="Normal 2 2 10 3 5 2" xfId="27200" xr:uid="{00000000-0005-0000-0000-0000EE080000}"/>
    <cellStyle name="Normal 2 2 10 3 6" xfId="27201" xr:uid="{00000000-0005-0000-0000-0000EF080000}"/>
    <cellStyle name="Normal 2 2 10 3 6 2" xfId="27202" xr:uid="{00000000-0005-0000-0000-0000F0080000}"/>
    <cellStyle name="Normal 2 2 10 3 7" xfId="27203" xr:uid="{00000000-0005-0000-0000-0000F1080000}"/>
    <cellStyle name="Normal 2 2 10 4" xfId="1013" xr:uid="{00000000-0005-0000-0000-0000F2080000}"/>
    <cellStyle name="Normal 2 2 10 4 2" xfId="1014" xr:uid="{00000000-0005-0000-0000-0000F3080000}"/>
    <cellStyle name="Normal 2 2 10 4 2 2" xfId="27204" xr:uid="{00000000-0005-0000-0000-0000F4080000}"/>
    <cellStyle name="Normal 2 2 10 4 3" xfId="1015" xr:uid="{00000000-0005-0000-0000-0000F5080000}"/>
    <cellStyle name="Normal 2 2 10 4 3 2" xfId="27205" xr:uid="{00000000-0005-0000-0000-0000F6080000}"/>
    <cellStyle name="Normal 2 2 10 4 4" xfId="27206" xr:uid="{00000000-0005-0000-0000-0000F7080000}"/>
    <cellStyle name="Normal 2 2 10 5" xfId="1016" xr:uid="{00000000-0005-0000-0000-0000F8080000}"/>
    <cellStyle name="Normal 2 2 10 5 2" xfId="1017" xr:uid="{00000000-0005-0000-0000-0000F9080000}"/>
    <cellStyle name="Normal 2 2 10 5 2 2" xfId="27207" xr:uid="{00000000-0005-0000-0000-0000FA080000}"/>
    <cellStyle name="Normal 2 2 10 5 3" xfId="27208" xr:uid="{00000000-0005-0000-0000-0000FB080000}"/>
    <cellStyle name="Normal 2 2 10 6" xfId="1018" xr:uid="{00000000-0005-0000-0000-0000FC080000}"/>
    <cellStyle name="Normal 2 2 10 6 2" xfId="27209" xr:uid="{00000000-0005-0000-0000-0000FD080000}"/>
    <cellStyle name="Normal 2 2 10 7" xfId="1019" xr:uid="{00000000-0005-0000-0000-0000FE080000}"/>
    <cellStyle name="Normal 2 2 10 7 2" xfId="27210" xr:uid="{00000000-0005-0000-0000-0000FF080000}"/>
    <cellStyle name="Normal 2 2 10 8" xfId="27211" xr:uid="{00000000-0005-0000-0000-000000090000}"/>
    <cellStyle name="Normal 2 2 10 8 2" xfId="27212" xr:uid="{00000000-0005-0000-0000-000001090000}"/>
    <cellStyle name="Normal 2 2 10 9" xfId="27213" xr:uid="{00000000-0005-0000-0000-000002090000}"/>
    <cellStyle name="Normal 2 2 11" xfId="1020" xr:uid="{00000000-0005-0000-0000-000003090000}"/>
    <cellStyle name="Normal 2 2 11 10" xfId="27214" xr:uid="{00000000-0005-0000-0000-000004090000}"/>
    <cellStyle name="Normal 2 2 11 11" xfId="27215" xr:uid="{00000000-0005-0000-0000-000005090000}"/>
    <cellStyle name="Normal 2 2 11 2" xfId="1021" xr:uid="{00000000-0005-0000-0000-000006090000}"/>
    <cellStyle name="Normal 2 2 11 2 10" xfId="27216" xr:uid="{00000000-0005-0000-0000-000007090000}"/>
    <cellStyle name="Normal 2 2 11 2 2" xfId="1022" xr:uid="{00000000-0005-0000-0000-000008090000}"/>
    <cellStyle name="Normal 2 2 11 2 2 2" xfId="1023" xr:uid="{00000000-0005-0000-0000-000009090000}"/>
    <cellStyle name="Normal 2 2 11 2 2 2 2" xfId="1024" xr:uid="{00000000-0005-0000-0000-00000A090000}"/>
    <cellStyle name="Normal 2 2 11 2 2 2 2 2" xfId="27217" xr:uid="{00000000-0005-0000-0000-00000B090000}"/>
    <cellStyle name="Normal 2 2 11 2 2 2 3" xfId="1025" xr:uid="{00000000-0005-0000-0000-00000C090000}"/>
    <cellStyle name="Normal 2 2 11 2 2 2 3 2" xfId="27218" xr:uid="{00000000-0005-0000-0000-00000D090000}"/>
    <cellStyle name="Normal 2 2 11 2 2 2 4" xfId="27219" xr:uid="{00000000-0005-0000-0000-00000E090000}"/>
    <cellStyle name="Normal 2 2 11 2 2 3" xfId="1026" xr:uid="{00000000-0005-0000-0000-00000F090000}"/>
    <cellStyle name="Normal 2 2 11 2 2 3 2" xfId="27220" xr:uid="{00000000-0005-0000-0000-000010090000}"/>
    <cellStyle name="Normal 2 2 11 2 2 4" xfId="1027" xr:uid="{00000000-0005-0000-0000-000011090000}"/>
    <cellStyle name="Normal 2 2 11 2 2 4 2" xfId="27221" xr:uid="{00000000-0005-0000-0000-000012090000}"/>
    <cellStyle name="Normal 2 2 11 2 2 5" xfId="1028" xr:uid="{00000000-0005-0000-0000-000013090000}"/>
    <cellStyle name="Normal 2 2 11 2 2 5 2" xfId="27222" xr:uid="{00000000-0005-0000-0000-000014090000}"/>
    <cellStyle name="Normal 2 2 11 2 2 6" xfId="27223" xr:uid="{00000000-0005-0000-0000-000015090000}"/>
    <cellStyle name="Normal 2 2 11 2 2 6 2" xfId="27224" xr:uid="{00000000-0005-0000-0000-000016090000}"/>
    <cellStyle name="Normal 2 2 11 2 2 7" xfId="27225" xr:uid="{00000000-0005-0000-0000-000017090000}"/>
    <cellStyle name="Normal 2 2 11 2 3" xfId="1029" xr:uid="{00000000-0005-0000-0000-000018090000}"/>
    <cellStyle name="Normal 2 2 11 2 3 2" xfId="1030" xr:uid="{00000000-0005-0000-0000-000019090000}"/>
    <cellStyle name="Normal 2 2 11 2 3 2 2" xfId="27226" xr:uid="{00000000-0005-0000-0000-00001A090000}"/>
    <cellStyle name="Normal 2 2 11 2 3 3" xfId="1031" xr:uid="{00000000-0005-0000-0000-00001B090000}"/>
    <cellStyle name="Normal 2 2 11 2 3 3 2" xfId="27227" xr:uid="{00000000-0005-0000-0000-00001C090000}"/>
    <cellStyle name="Normal 2 2 11 2 3 4" xfId="27228" xr:uid="{00000000-0005-0000-0000-00001D090000}"/>
    <cellStyle name="Normal 2 2 11 2 4" xfId="1032" xr:uid="{00000000-0005-0000-0000-00001E090000}"/>
    <cellStyle name="Normal 2 2 11 2 4 2" xfId="1033" xr:uid="{00000000-0005-0000-0000-00001F090000}"/>
    <cellStyle name="Normal 2 2 11 2 4 2 2" xfId="27229" xr:uid="{00000000-0005-0000-0000-000020090000}"/>
    <cellStyle name="Normal 2 2 11 2 4 3" xfId="27230" xr:uid="{00000000-0005-0000-0000-000021090000}"/>
    <cellStyle name="Normal 2 2 11 2 5" xfId="1034" xr:uid="{00000000-0005-0000-0000-000022090000}"/>
    <cellStyle name="Normal 2 2 11 2 5 2" xfId="27231" xr:uid="{00000000-0005-0000-0000-000023090000}"/>
    <cellStyle name="Normal 2 2 11 2 6" xfId="1035" xr:uid="{00000000-0005-0000-0000-000024090000}"/>
    <cellStyle name="Normal 2 2 11 2 6 2" xfId="27232" xr:uid="{00000000-0005-0000-0000-000025090000}"/>
    <cellStyle name="Normal 2 2 11 2 7" xfId="27233" xr:uid="{00000000-0005-0000-0000-000026090000}"/>
    <cellStyle name="Normal 2 2 11 2 7 2" xfId="27234" xr:uid="{00000000-0005-0000-0000-000027090000}"/>
    <cellStyle name="Normal 2 2 11 2 8" xfId="27235" xr:uid="{00000000-0005-0000-0000-000028090000}"/>
    <cellStyle name="Normal 2 2 11 2 9" xfId="27236" xr:uid="{00000000-0005-0000-0000-000029090000}"/>
    <cellStyle name="Normal 2 2 11 3" xfId="1036" xr:uid="{00000000-0005-0000-0000-00002A090000}"/>
    <cellStyle name="Normal 2 2 11 3 2" xfId="1037" xr:uid="{00000000-0005-0000-0000-00002B090000}"/>
    <cellStyle name="Normal 2 2 11 3 2 2" xfId="1038" xr:uid="{00000000-0005-0000-0000-00002C090000}"/>
    <cellStyle name="Normal 2 2 11 3 2 2 2" xfId="27237" xr:uid="{00000000-0005-0000-0000-00002D090000}"/>
    <cellStyle name="Normal 2 2 11 3 2 3" xfId="1039" xr:uid="{00000000-0005-0000-0000-00002E090000}"/>
    <cellStyle name="Normal 2 2 11 3 2 3 2" xfId="27238" xr:uid="{00000000-0005-0000-0000-00002F090000}"/>
    <cellStyle name="Normal 2 2 11 3 2 4" xfId="27239" xr:uid="{00000000-0005-0000-0000-000030090000}"/>
    <cellStyle name="Normal 2 2 11 3 3" xfId="1040" xr:uid="{00000000-0005-0000-0000-000031090000}"/>
    <cellStyle name="Normal 2 2 11 3 3 2" xfId="27240" xr:uid="{00000000-0005-0000-0000-000032090000}"/>
    <cellStyle name="Normal 2 2 11 3 4" xfId="1041" xr:uid="{00000000-0005-0000-0000-000033090000}"/>
    <cellStyle name="Normal 2 2 11 3 4 2" xfId="27241" xr:uid="{00000000-0005-0000-0000-000034090000}"/>
    <cellStyle name="Normal 2 2 11 3 5" xfId="1042" xr:uid="{00000000-0005-0000-0000-000035090000}"/>
    <cellStyle name="Normal 2 2 11 3 5 2" xfId="27242" xr:uid="{00000000-0005-0000-0000-000036090000}"/>
    <cellStyle name="Normal 2 2 11 3 6" xfId="27243" xr:uid="{00000000-0005-0000-0000-000037090000}"/>
    <cellStyle name="Normal 2 2 11 3 6 2" xfId="27244" xr:uid="{00000000-0005-0000-0000-000038090000}"/>
    <cellStyle name="Normal 2 2 11 3 7" xfId="27245" xr:uid="{00000000-0005-0000-0000-000039090000}"/>
    <cellStyle name="Normal 2 2 11 4" xfId="1043" xr:uid="{00000000-0005-0000-0000-00003A090000}"/>
    <cellStyle name="Normal 2 2 11 4 2" xfId="1044" xr:uid="{00000000-0005-0000-0000-00003B090000}"/>
    <cellStyle name="Normal 2 2 11 4 2 2" xfId="27246" xr:uid="{00000000-0005-0000-0000-00003C090000}"/>
    <cellStyle name="Normal 2 2 11 4 3" xfId="1045" xr:uid="{00000000-0005-0000-0000-00003D090000}"/>
    <cellStyle name="Normal 2 2 11 4 3 2" xfId="27247" xr:uid="{00000000-0005-0000-0000-00003E090000}"/>
    <cellStyle name="Normal 2 2 11 4 4" xfId="27248" xr:uid="{00000000-0005-0000-0000-00003F090000}"/>
    <cellStyle name="Normal 2 2 11 5" xfId="1046" xr:uid="{00000000-0005-0000-0000-000040090000}"/>
    <cellStyle name="Normal 2 2 11 5 2" xfId="1047" xr:uid="{00000000-0005-0000-0000-000041090000}"/>
    <cellStyle name="Normal 2 2 11 5 2 2" xfId="27249" xr:uid="{00000000-0005-0000-0000-000042090000}"/>
    <cellStyle name="Normal 2 2 11 5 3" xfId="27250" xr:uid="{00000000-0005-0000-0000-000043090000}"/>
    <cellStyle name="Normal 2 2 11 6" xfId="1048" xr:uid="{00000000-0005-0000-0000-000044090000}"/>
    <cellStyle name="Normal 2 2 11 6 2" xfId="27251" xr:uid="{00000000-0005-0000-0000-000045090000}"/>
    <cellStyle name="Normal 2 2 11 7" xfId="1049" xr:uid="{00000000-0005-0000-0000-000046090000}"/>
    <cellStyle name="Normal 2 2 11 7 2" xfId="27252" xr:uid="{00000000-0005-0000-0000-000047090000}"/>
    <cellStyle name="Normal 2 2 11 8" xfId="27253" xr:uid="{00000000-0005-0000-0000-000048090000}"/>
    <cellStyle name="Normal 2 2 11 8 2" xfId="27254" xr:uid="{00000000-0005-0000-0000-000049090000}"/>
    <cellStyle name="Normal 2 2 11 9" xfId="27255" xr:uid="{00000000-0005-0000-0000-00004A090000}"/>
    <cellStyle name="Normal 2 2 12" xfId="1050" xr:uid="{00000000-0005-0000-0000-00004B090000}"/>
    <cellStyle name="Normal 2 2 12 10" xfId="27256" xr:uid="{00000000-0005-0000-0000-00004C090000}"/>
    <cellStyle name="Normal 2 2 12 11" xfId="27257" xr:uid="{00000000-0005-0000-0000-00004D090000}"/>
    <cellStyle name="Normal 2 2 12 2" xfId="1051" xr:uid="{00000000-0005-0000-0000-00004E090000}"/>
    <cellStyle name="Normal 2 2 12 2 10" xfId="27258" xr:uid="{00000000-0005-0000-0000-00004F090000}"/>
    <cellStyle name="Normal 2 2 12 2 2" xfId="1052" xr:uid="{00000000-0005-0000-0000-000050090000}"/>
    <cellStyle name="Normal 2 2 12 2 2 2" xfId="1053" xr:uid="{00000000-0005-0000-0000-000051090000}"/>
    <cellStyle name="Normal 2 2 12 2 2 2 2" xfId="1054" xr:uid="{00000000-0005-0000-0000-000052090000}"/>
    <cellStyle name="Normal 2 2 12 2 2 2 2 2" xfId="27259" xr:uid="{00000000-0005-0000-0000-000053090000}"/>
    <cellStyle name="Normal 2 2 12 2 2 2 3" xfId="1055" xr:uid="{00000000-0005-0000-0000-000054090000}"/>
    <cellStyle name="Normal 2 2 12 2 2 2 3 2" xfId="27260" xr:uid="{00000000-0005-0000-0000-000055090000}"/>
    <cellStyle name="Normal 2 2 12 2 2 2 4" xfId="27261" xr:uid="{00000000-0005-0000-0000-000056090000}"/>
    <cellStyle name="Normal 2 2 12 2 2 3" xfId="1056" xr:uid="{00000000-0005-0000-0000-000057090000}"/>
    <cellStyle name="Normal 2 2 12 2 2 3 2" xfId="27262" xr:uid="{00000000-0005-0000-0000-000058090000}"/>
    <cellStyle name="Normal 2 2 12 2 2 4" xfId="1057" xr:uid="{00000000-0005-0000-0000-000059090000}"/>
    <cellStyle name="Normal 2 2 12 2 2 4 2" xfId="27263" xr:uid="{00000000-0005-0000-0000-00005A090000}"/>
    <cellStyle name="Normal 2 2 12 2 2 5" xfId="1058" xr:uid="{00000000-0005-0000-0000-00005B090000}"/>
    <cellStyle name="Normal 2 2 12 2 2 5 2" xfId="27264" xr:uid="{00000000-0005-0000-0000-00005C090000}"/>
    <cellStyle name="Normal 2 2 12 2 2 6" xfId="27265" xr:uid="{00000000-0005-0000-0000-00005D090000}"/>
    <cellStyle name="Normal 2 2 12 2 2 6 2" xfId="27266" xr:uid="{00000000-0005-0000-0000-00005E090000}"/>
    <cellStyle name="Normal 2 2 12 2 2 7" xfId="27267" xr:uid="{00000000-0005-0000-0000-00005F090000}"/>
    <cellStyle name="Normal 2 2 12 2 3" xfId="1059" xr:uid="{00000000-0005-0000-0000-000060090000}"/>
    <cellStyle name="Normal 2 2 12 2 3 2" xfId="1060" xr:uid="{00000000-0005-0000-0000-000061090000}"/>
    <cellStyle name="Normal 2 2 12 2 3 2 2" xfId="27268" xr:uid="{00000000-0005-0000-0000-000062090000}"/>
    <cellStyle name="Normal 2 2 12 2 3 3" xfId="1061" xr:uid="{00000000-0005-0000-0000-000063090000}"/>
    <cellStyle name="Normal 2 2 12 2 3 3 2" xfId="27269" xr:uid="{00000000-0005-0000-0000-000064090000}"/>
    <cellStyle name="Normal 2 2 12 2 3 4" xfId="27270" xr:uid="{00000000-0005-0000-0000-000065090000}"/>
    <cellStyle name="Normal 2 2 12 2 4" xfId="1062" xr:uid="{00000000-0005-0000-0000-000066090000}"/>
    <cellStyle name="Normal 2 2 12 2 4 2" xfId="1063" xr:uid="{00000000-0005-0000-0000-000067090000}"/>
    <cellStyle name="Normal 2 2 12 2 4 2 2" xfId="27271" xr:uid="{00000000-0005-0000-0000-000068090000}"/>
    <cellStyle name="Normal 2 2 12 2 4 3" xfId="27272" xr:uid="{00000000-0005-0000-0000-000069090000}"/>
    <cellStyle name="Normal 2 2 12 2 5" xfId="1064" xr:uid="{00000000-0005-0000-0000-00006A090000}"/>
    <cellStyle name="Normal 2 2 12 2 5 2" xfId="27273" xr:uid="{00000000-0005-0000-0000-00006B090000}"/>
    <cellStyle name="Normal 2 2 12 2 6" xfId="1065" xr:uid="{00000000-0005-0000-0000-00006C090000}"/>
    <cellStyle name="Normal 2 2 12 2 6 2" xfId="27274" xr:uid="{00000000-0005-0000-0000-00006D090000}"/>
    <cellStyle name="Normal 2 2 12 2 7" xfId="27275" xr:uid="{00000000-0005-0000-0000-00006E090000}"/>
    <cellStyle name="Normal 2 2 12 2 7 2" xfId="27276" xr:uid="{00000000-0005-0000-0000-00006F090000}"/>
    <cellStyle name="Normal 2 2 12 2 8" xfId="27277" xr:uid="{00000000-0005-0000-0000-000070090000}"/>
    <cellStyle name="Normal 2 2 12 2 9" xfId="27278" xr:uid="{00000000-0005-0000-0000-000071090000}"/>
    <cellStyle name="Normal 2 2 12 3" xfId="1066" xr:uid="{00000000-0005-0000-0000-000072090000}"/>
    <cellStyle name="Normal 2 2 12 3 2" xfId="1067" xr:uid="{00000000-0005-0000-0000-000073090000}"/>
    <cellStyle name="Normal 2 2 12 3 2 2" xfId="1068" xr:uid="{00000000-0005-0000-0000-000074090000}"/>
    <cellStyle name="Normal 2 2 12 3 2 2 2" xfId="27279" xr:uid="{00000000-0005-0000-0000-000075090000}"/>
    <cellStyle name="Normal 2 2 12 3 2 3" xfId="1069" xr:uid="{00000000-0005-0000-0000-000076090000}"/>
    <cellStyle name="Normal 2 2 12 3 2 3 2" xfId="27280" xr:uid="{00000000-0005-0000-0000-000077090000}"/>
    <cellStyle name="Normal 2 2 12 3 2 4" xfId="27281" xr:uid="{00000000-0005-0000-0000-000078090000}"/>
    <cellStyle name="Normal 2 2 12 3 3" xfId="1070" xr:uid="{00000000-0005-0000-0000-000079090000}"/>
    <cellStyle name="Normal 2 2 12 3 3 2" xfId="27282" xr:uid="{00000000-0005-0000-0000-00007A090000}"/>
    <cellStyle name="Normal 2 2 12 3 4" xfId="1071" xr:uid="{00000000-0005-0000-0000-00007B090000}"/>
    <cellStyle name="Normal 2 2 12 3 4 2" xfId="27283" xr:uid="{00000000-0005-0000-0000-00007C090000}"/>
    <cellStyle name="Normal 2 2 12 3 5" xfId="1072" xr:uid="{00000000-0005-0000-0000-00007D090000}"/>
    <cellStyle name="Normal 2 2 12 3 5 2" xfId="27284" xr:uid="{00000000-0005-0000-0000-00007E090000}"/>
    <cellStyle name="Normal 2 2 12 3 6" xfId="27285" xr:uid="{00000000-0005-0000-0000-00007F090000}"/>
    <cellStyle name="Normal 2 2 12 3 6 2" xfId="27286" xr:uid="{00000000-0005-0000-0000-000080090000}"/>
    <cellStyle name="Normal 2 2 12 3 7" xfId="27287" xr:uid="{00000000-0005-0000-0000-000081090000}"/>
    <cellStyle name="Normal 2 2 12 4" xfId="1073" xr:uid="{00000000-0005-0000-0000-000082090000}"/>
    <cellStyle name="Normal 2 2 12 4 2" xfId="1074" xr:uid="{00000000-0005-0000-0000-000083090000}"/>
    <cellStyle name="Normal 2 2 12 4 2 2" xfId="27288" xr:uid="{00000000-0005-0000-0000-000084090000}"/>
    <cellStyle name="Normal 2 2 12 4 3" xfId="1075" xr:uid="{00000000-0005-0000-0000-000085090000}"/>
    <cellStyle name="Normal 2 2 12 4 3 2" xfId="27289" xr:uid="{00000000-0005-0000-0000-000086090000}"/>
    <cellStyle name="Normal 2 2 12 4 4" xfId="27290" xr:uid="{00000000-0005-0000-0000-000087090000}"/>
    <cellStyle name="Normal 2 2 12 5" xfId="1076" xr:uid="{00000000-0005-0000-0000-000088090000}"/>
    <cellStyle name="Normal 2 2 12 5 2" xfId="1077" xr:uid="{00000000-0005-0000-0000-000089090000}"/>
    <cellStyle name="Normal 2 2 12 5 2 2" xfId="27291" xr:uid="{00000000-0005-0000-0000-00008A090000}"/>
    <cellStyle name="Normal 2 2 12 5 3" xfId="27292" xr:uid="{00000000-0005-0000-0000-00008B090000}"/>
    <cellStyle name="Normal 2 2 12 6" xfId="1078" xr:uid="{00000000-0005-0000-0000-00008C090000}"/>
    <cellStyle name="Normal 2 2 12 6 2" xfId="27293" xr:uid="{00000000-0005-0000-0000-00008D090000}"/>
    <cellStyle name="Normal 2 2 12 7" xfId="1079" xr:uid="{00000000-0005-0000-0000-00008E090000}"/>
    <cellStyle name="Normal 2 2 12 7 2" xfId="27294" xr:uid="{00000000-0005-0000-0000-00008F090000}"/>
    <cellStyle name="Normal 2 2 12 8" xfId="27295" xr:uid="{00000000-0005-0000-0000-000090090000}"/>
    <cellStyle name="Normal 2 2 12 8 2" xfId="27296" xr:uid="{00000000-0005-0000-0000-000091090000}"/>
    <cellStyle name="Normal 2 2 12 9" xfId="27297" xr:uid="{00000000-0005-0000-0000-000092090000}"/>
    <cellStyle name="Normal 2 2 13" xfId="1080" xr:uid="{00000000-0005-0000-0000-000093090000}"/>
    <cellStyle name="Normal 2 2 13 10" xfId="27298" xr:uid="{00000000-0005-0000-0000-000094090000}"/>
    <cellStyle name="Normal 2 2 13 11" xfId="27299" xr:uid="{00000000-0005-0000-0000-000095090000}"/>
    <cellStyle name="Normal 2 2 13 2" xfId="1081" xr:uid="{00000000-0005-0000-0000-000096090000}"/>
    <cellStyle name="Normal 2 2 13 2 10" xfId="27300" xr:uid="{00000000-0005-0000-0000-000097090000}"/>
    <cellStyle name="Normal 2 2 13 2 2" xfId="1082" xr:uid="{00000000-0005-0000-0000-000098090000}"/>
    <cellStyle name="Normal 2 2 13 2 2 2" xfId="1083" xr:uid="{00000000-0005-0000-0000-000099090000}"/>
    <cellStyle name="Normal 2 2 13 2 2 2 2" xfId="1084" xr:uid="{00000000-0005-0000-0000-00009A090000}"/>
    <cellStyle name="Normal 2 2 13 2 2 2 2 2" xfId="27301" xr:uid="{00000000-0005-0000-0000-00009B090000}"/>
    <cellStyle name="Normal 2 2 13 2 2 2 3" xfId="1085" xr:uid="{00000000-0005-0000-0000-00009C090000}"/>
    <cellStyle name="Normal 2 2 13 2 2 2 3 2" xfId="27302" xr:uid="{00000000-0005-0000-0000-00009D090000}"/>
    <cellStyle name="Normal 2 2 13 2 2 2 4" xfId="27303" xr:uid="{00000000-0005-0000-0000-00009E090000}"/>
    <cellStyle name="Normal 2 2 13 2 2 3" xfId="1086" xr:uid="{00000000-0005-0000-0000-00009F090000}"/>
    <cellStyle name="Normal 2 2 13 2 2 3 2" xfId="27304" xr:uid="{00000000-0005-0000-0000-0000A0090000}"/>
    <cellStyle name="Normal 2 2 13 2 2 4" xfId="1087" xr:uid="{00000000-0005-0000-0000-0000A1090000}"/>
    <cellStyle name="Normal 2 2 13 2 2 4 2" xfId="27305" xr:uid="{00000000-0005-0000-0000-0000A2090000}"/>
    <cellStyle name="Normal 2 2 13 2 2 5" xfId="1088" xr:uid="{00000000-0005-0000-0000-0000A3090000}"/>
    <cellStyle name="Normal 2 2 13 2 2 5 2" xfId="27306" xr:uid="{00000000-0005-0000-0000-0000A4090000}"/>
    <cellStyle name="Normal 2 2 13 2 2 6" xfId="27307" xr:uid="{00000000-0005-0000-0000-0000A5090000}"/>
    <cellStyle name="Normal 2 2 13 2 2 6 2" xfId="27308" xr:uid="{00000000-0005-0000-0000-0000A6090000}"/>
    <cellStyle name="Normal 2 2 13 2 2 7" xfId="27309" xr:uid="{00000000-0005-0000-0000-0000A7090000}"/>
    <cellStyle name="Normal 2 2 13 2 3" xfId="1089" xr:uid="{00000000-0005-0000-0000-0000A8090000}"/>
    <cellStyle name="Normal 2 2 13 2 3 2" xfId="1090" xr:uid="{00000000-0005-0000-0000-0000A9090000}"/>
    <cellStyle name="Normal 2 2 13 2 3 2 2" xfId="27310" xr:uid="{00000000-0005-0000-0000-0000AA090000}"/>
    <cellStyle name="Normal 2 2 13 2 3 3" xfId="1091" xr:uid="{00000000-0005-0000-0000-0000AB090000}"/>
    <cellStyle name="Normal 2 2 13 2 3 3 2" xfId="27311" xr:uid="{00000000-0005-0000-0000-0000AC090000}"/>
    <cellStyle name="Normal 2 2 13 2 3 4" xfId="27312" xr:uid="{00000000-0005-0000-0000-0000AD090000}"/>
    <cellStyle name="Normal 2 2 13 2 4" xfId="1092" xr:uid="{00000000-0005-0000-0000-0000AE090000}"/>
    <cellStyle name="Normal 2 2 13 2 4 2" xfId="1093" xr:uid="{00000000-0005-0000-0000-0000AF090000}"/>
    <cellStyle name="Normal 2 2 13 2 4 2 2" xfId="27313" xr:uid="{00000000-0005-0000-0000-0000B0090000}"/>
    <cellStyle name="Normal 2 2 13 2 4 3" xfId="27314" xr:uid="{00000000-0005-0000-0000-0000B1090000}"/>
    <cellStyle name="Normal 2 2 13 2 5" xfId="1094" xr:uid="{00000000-0005-0000-0000-0000B2090000}"/>
    <cellStyle name="Normal 2 2 13 2 5 2" xfId="27315" xr:uid="{00000000-0005-0000-0000-0000B3090000}"/>
    <cellStyle name="Normal 2 2 13 2 6" xfId="1095" xr:uid="{00000000-0005-0000-0000-0000B4090000}"/>
    <cellStyle name="Normal 2 2 13 2 6 2" xfId="27316" xr:uid="{00000000-0005-0000-0000-0000B5090000}"/>
    <cellStyle name="Normal 2 2 13 2 7" xfId="27317" xr:uid="{00000000-0005-0000-0000-0000B6090000}"/>
    <cellStyle name="Normal 2 2 13 2 7 2" xfId="27318" xr:uid="{00000000-0005-0000-0000-0000B7090000}"/>
    <cellStyle name="Normal 2 2 13 2 8" xfId="27319" xr:uid="{00000000-0005-0000-0000-0000B8090000}"/>
    <cellStyle name="Normal 2 2 13 2 9" xfId="27320" xr:uid="{00000000-0005-0000-0000-0000B9090000}"/>
    <cellStyle name="Normal 2 2 13 3" xfId="1096" xr:uid="{00000000-0005-0000-0000-0000BA090000}"/>
    <cellStyle name="Normal 2 2 13 3 2" xfId="1097" xr:uid="{00000000-0005-0000-0000-0000BB090000}"/>
    <cellStyle name="Normal 2 2 13 3 2 2" xfId="1098" xr:uid="{00000000-0005-0000-0000-0000BC090000}"/>
    <cellStyle name="Normal 2 2 13 3 2 2 2" xfId="27321" xr:uid="{00000000-0005-0000-0000-0000BD090000}"/>
    <cellStyle name="Normal 2 2 13 3 2 3" xfId="1099" xr:uid="{00000000-0005-0000-0000-0000BE090000}"/>
    <cellStyle name="Normal 2 2 13 3 2 3 2" xfId="27322" xr:uid="{00000000-0005-0000-0000-0000BF090000}"/>
    <cellStyle name="Normal 2 2 13 3 2 4" xfId="27323" xr:uid="{00000000-0005-0000-0000-0000C0090000}"/>
    <cellStyle name="Normal 2 2 13 3 3" xfId="1100" xr:uid="{00000000-0005-0000-0000-0000C1090000}"/>
    <cellStyle name="Normal 2 2 13 3 3 2" xfId="27324" xr:uid="{00000000-0005-0000-0000-0000C2090000}"/>
    <cellStyle name="Normal 2 2 13 3 4" xfId="1101" xr:uid="{00000000-0005-0000-0000-0000C3090000}"/>
    <cellStyle name="Normal 2 2 13 3 4 2" xfId="27325" xr:uid="{00000000-0005-0000-0000-0000C4090000}"/>
    <cellStyle name="Normal 2 2 13 3 5" xfId="1102" xr:uid="{00000000-0005-0000-0000-0000C5090000}"/>
    <cellStyle name="Normal 2 2 13 3 5 2" xfId="27326" xr:uid="{00000000-0005-0000-0000-0000C6090000}"/>
    <cellStyle name="Normal 2 2 13 3 6" xfId="27327" xr:uid="{00000000-0005-0000-0000-0000C7090000}"/>
    <cellStyle name="Normal 2 2 13 3 6 2" xfId="27328" xr:uid="{00000000-0005-0000-0000-0000C8090000}"/>
    <cellStyle name="Normal 2 2 13 3 7" xfId="27329" xr:uid="{00000000-0005-0000-0000-0000C9090000}"/>
    <cellStyle name="Normal 2 2 13 4" xfId="1103" xr:uid="{00000000-0005-0000-0000-0000CA090000}"/>
    <cellStyle name="Normal 2 2 13 4 2" xfId="1104" xr:uid="{00000000-0005-0000-0000-0000CB090000}"/>
    <cellStyle name="Normal 2 2 13 4 2 2" xfId="27330" xr:uid="{00000000-0005-0000-0000-0000CC090000}"/>
    <cellStyle name="Normal 2 2 13 4 3" xfId="1105" xr:uid="{00000000-0005-0000-0000-0000CD090000}"/>
    <cellStyle name="Normal 2 2 13 4 3 2" xfId="27331" xr:uid="{00000000-0005-0000-0000-0000CE090000}"/>
    <cellStyle name="Normal 2 2 13 4 4" xfId="27332" xr:uid="{00000000-0005-0000-0000-0000CF090000}"/>
    <cellStyle name="Normal 2 2 13 5" xfId="1106" xr:uid="{00000000-0005-0000-0000-0000D0090000}"/>
    <cellStyle name="Normal 2 2 13 5 2" xfId="1107" xr:uid="{00000000-0005-0000-0000-0000D1090000}"/>
    <cellStyle name="Normal 2 2 13 5 2 2" xfId="27333" xr:uid="{00000000-0005-0000-0000-0000D2090000}"/>
    <cellStyle name="Normal 2 2 13 5 3" xfId="27334" xr:uid="{00000000-0005-0000-0000-0000D3090000}"/>
    <cellStyle name="Normal 2 2 13 6" xfId="1108" xr:uid="{00000000-0005-0000-0000-0000D4090000}"/>
    <cellStyle name="Normal 2 2 13 6 2" xfId="27335" xr:uid="{00000000-0005-0000-0000-0000D5090000}"/>
    <cellStyle name="Normal 2 2 13 7" xfId="1109" xr:uid="{00000000-0005-0000-0000-0000D6090000}"/>
    <cellStyle name="Normal 2 2 13 7 2" xfId="27336" xr:uid="{00000000-0005-0000-0000-0000D7090000}"/>
    <cellStyle name="Normal 2 2 13 8" xfId="27337" xr:uid="{00000000-0005-0000-0000-0000D8090000}"/>
    <cellStyle name="Normal 2 2 13 8 2" xfId="27338" xr:uid="{00000000-0005-0000-0000-0000D9090000}"/>
    <cellStyle name="Normal 2 2 13 9" xfId="27339" xr:uid="{00000000-0005-0000-0000-0000DA090000}"/>
    <cellStyle name="Normal 2 2 14" xfId="1110" xr:uid="{00000000-0005-0000-0000-0000DB090000}"/>
    <cellStyle name="Normal 2 2 14 10" xfId="27340" xr:uid="{00000000-0005-0000-0000-0000DC090000}"/>
    <cellStyle name="Normal 2 2 14 11" xfId="27341" xr:uid="{00000000-0005-0000-0000-0000DD090000}"/>
    <cellStyle name="Normal 2 2 14 2" xfId="1111" xr:uid="{00000000-0005-0000-0000-0000DE090000}"/>
    <cellStyle name="Normal 2 2 14 2 10" xfId="27342" xr:uid="{00000000-0005-0000-0000-0000DF090000}"/>
    <cellStyle name="Normal 2 2 14 2 2" xfId="1112" xr:uid="{00000000-0005-0000-0000-0000E0090000}"/>
    <cellStyle name="Normal 2 2 14 2 2 2" xfId="1113" xr:uid="{00000000-0005-0000-0000-0000E1090000}"/>
    <cellStyle name="Normal 2 2 14 2 2 2 2" xfId="1114" xr:uid="{00000000-0005-0000-0000-0000E2090000}"/>
    <cellStyle name="Normal 2 2 14 2 2 2 2 2" xfId="27343" xr:uid="{00000000-0005-0000-0000-0000E3090000}"/>
    <cellStyle name="Normal 2 2 14 2 2 2 3" xfId="1115" xr:uid="{00000000-0005-0000-0000-0000E4090000}"/>
    <cellStyle name="Normal 2 2 14 2 2 2 3 2" xfId="27344" xr:uid="{00000000-0005-0000-0000-0000E5090000}"/>
    <cellStyle name="Normal 2 2 14 2 2 2 4" xfId="27345" xr:uid="{00000000-0005-0000-0000-0000E6090000}"/>
    <cellStyle name="Normal 2 2 14 2 2 3" xfId="1116" xr:uid="{00000000-0005-0000-0000-0000E7090000}"/>
    <cellStyle name="Normal 2 2 14 2 2 3 2" xfId="27346" xr:uid="{00000000-0005-0000-0000-0000E8090000}"/>
    <cellStyle name="Normal 2 2 14 2 2 4" xfId="1117" xr:uid="{00000000-0005-0000-0000-0000E9090000}"/>
    <cellStyle name="Normal 2 2 14 2 2 4 2" xfId="27347" xr:uid="{00000000-0005-0000-0000-0000EA090000}"/>
    <cellStyle name="Normal 2 2 14 2 2 5" xfId="1118" xr:uid="{00000000-0005-0000-0000-0000EB090000}"/>
    <cellStyle name="Normal 2 2 14 2 2 5 2" xfId="27348" xr:uid="{00000000-0005-0000-0000-0000EC090000}"/>
    <cellStyle name="Normal 2 2 14 2 2 6" xfId="27349" xr:uid="{00000000-0005-0000-0000-0000ED090000}"/>
    <cellStyle name="Normal 2 2 14 2 2 6 2" xfId="27350" xr:uid="{00000000-0005-0000-0000-0000EE090000}"/>
    <cellStyle name="Normal 2 2 14 2 2 7" xfId="27351" xr:uid="{00000000-0005-0000-0000-0000EF090000}"/>
    <cellStyle name="Normal 2 2 14 2 3" xfId="1119" xr:uid="{00000000-0005-0000-0000-0000F0090000}"/>
    <cellStyle name="Normal 2 2 14 2 3 2" xfId="1120" xr:uid="{00000000-0005-0000-0000-0000F1090000}"/>
    <cellStyle name="Normal 2 2 14 2 3 2 2" xfId="27352" xr:uid="{00000000-0005-0000-0000-0000F2090000}"/>
    <cellStyle name="Normal 2 2 14 2 3 3" xfId="1121" xr:uid="{00000000-0005-0000-0000-0000F3090000}"/>
    <cellStyle name="Normal 2 2 14 2 3 3 2" xfId="27353" xr:uid="{00000000-0005-0000-0000-0000F4090000}"/>
    <cellStyle name="Normal 2 2 14 2 3 4" xfId="27354" xr:uid="{00000000-0005-0000-0000-0000F5090000}"/>
    <cellStyle name="Normal 2 2 14 2 4" xfId="1122" xr:uid="{00000000-0005-0000-0000-0000F6090000}"/>
    <cellStyle name="Normal 2 2 14 2 4 2" xfId="1123" xr:uid="{00000000-0005-0000-0000-0000F7090000}"/>
    <cellStyle name="Normal 2 2 14 2 4 2 2" xfId="27355" xr:uid="{00000000-0005-0000-0000-0000F8090000}"/>
    <cellStyle name="Normal 2 2 14 2 4 3" xfId="27356" xr:uid="{00000000-0005-0000-0000-0000F9090000}"/>
    <cellStyle name="Normal 2 2 14 2 5" xfId="1124" xr:uid="{00000000-0005-0000-0000-0000FA090000}"/>
    <cellStyle name="Normal 2 2 14 2 5 2" xfId="27357" xr:uid="{00000000-0005-0000-0000-0000FB090000}"/>
    <cellStyle name="Normal 2 2 14 2 6" xfId="1125" xr:uid="{00000000-0005-0000-0000-0000FC090000}"/>
    <cellStyle name="Normal 2 2 14 2 6 2" xfId="27358" xr:uid="{00000000-0005-0000-0000-0000FD090000}"/>
    <cellStyle name="Normal 2 2 14 2 7" xfId="27359" xr:uid="{00000000-0005-0000-0000-0000FE090000}"/>
    <cellStyle name="Normal 2 2 14 2 7 2" xfId="27360" xr:uid="{00000000-0005-0000-0000-0000FF090000}"/>
    <cellStyle name="Normal 2 2 14 2 8" xfId="27361" xr:uid="{00000000-0005-0000-0000-0000000A0000}"/>
    <cellStyle name="Normal 2 2 14 2 9" xfId="27362" xr:uid="{00000000-0005-0000-0000-0000010A0000}"/>
    <cellStyle name="Normal 2 2 14 3" xfId="1126" xr:uid="{00000000-0005-0000-0000-0000020A0000}"/>
    <cellStyle name="Normal 2 2 14 3 2" xfId="1127" xr:uid="{00000000-0005-0000-0000-0000030A0000}"/>
    <cellStyle name="Normal 2 2 14 3 2 2" xfId="1128" xr:uid="{00000000-0005-0000-0000-0000040A0000}"/>
    <cellStyle name="Normal 2 2 14 3 2 2 2" xfId="27363" xr:uid="{00000000-0005-0000-0000-0000050A0000}"/>
    <cellStyle name="Normal 2 2 14 3 2 3" xfId="1129" xr:uid="{00000000-0005-0000-0000-0000060A0000}"/>
    <cellStyle name="Normal 2 2 14 3 2 3 2" xfId="27364" xr:uid="{00000000-0005-0000-0000-0000070A0000}"/>
    <cellStyle name="Normal 2 2 14 3 2 4" xfId="27365" xr:uid="{00000000-0005-0000-0000-0000080A0000}"/>
    <cellStyle name="Normal 2 2 14 3 3" xfId="1130" xr:uid="{00000000-0005-0000-0000-0000090A0000}"/>
    <cellStyle name="Normal 2 2 14 3 3 2" xfId="27366" xr:uid="{00000000-0005-0000-0000-00000A0A0000}"/>
    <cellStyle name="Normal 2 2 14 3 4" xfId="1131" xr:uid="{00000000-0005-0000-0000-00000B0A0000}"/>
    <cellStyle name="Normal 2 2 14 3 4 2" xfId="27367" xr:uid="{00000000-0005-0000-0000-00000C0A0000}"/>
    <cellStyle name="Normal 2 2 14 3 5" xfId="1132" xr:uid="{00000000-0005-0000-0000-00000D0A0000}"/>
    <cellStyle name="Normal 2 2 14 3 5 2" xfId="27368" xr:uid="{00000000-0005-0000-0000-00000E0A0000}"/>
    <cellStyle name="Normal 2 2 14 3 6" xfId="27369" xr:uid="{00000000-0005-0000-0000-00000F0A0000}"/>
    <cellStyle name="Normal 2 2 14 3 6 2" xfId="27370" xr:uid="{00000000-0005-0000-0000-0000100A0000}"/>
    <cellStyle name="Normal 2 2 14 3 7" xfId="27371" xr:uid="{00000000-0005-0000-0000-0000110A0000}"/>
    <cellStyle name="Normal 2 2 14 4" xfId="1133" xr:uid="{00000000-0005-0000-0000-0000120A0000}"/>
    <cellStyle name="Normal 2 2 14 4 2" xfId="1134" xr:uid="{00000000-0005-0000-0000-0000130A0000}"/>
    <cellStyle name="Normal 2 2 14 4 2 2" xfId="27372" xr:uid="{00000000-0005-0000-0000-0000140A0000}"/>
    <cellStyle name="Normal 2 2 14 4 3" xfId="1135" xr:uid="{00000000-0005-0000-0000-0000150A0000}"/>
    <cellStyle name="Normal 2 2 14 4 3 2" xfId="27373" xr:uid="{00000000-0005-0000-0000-0000160A0000}"/>
    <cellStyle name="Normal 2 2 14 4 4" xfId="27374" xr:uid="{00000000-0005-0000-0000-0000170A0000}"/>
    <cellStyle name="Normal 2 2 14 5" xfId="1136" xr:uid="{00000000-0005-0000-0000-0000180A0000}"/>
    <cellStyle name="Normal 2 2 14 5 2" xfId="1137" xr:uid="{00000000-0005-0000-0000-0000190A0000}"/>
    <cellStyle name="Normal 2 2 14 5 2 2" xfId="27375" xr:uid="{00000000-0005-0000-0000-00001A0A0000}"/>
    <cellStyle name="Normal 2 2 14 5 3" xfId="27376" xr:uid="{00000000-0005-0000-0000-00001B0A0000}"/>
    <cellStyle name="Normal 2 2 14 6" xfId="1138" xr:uid="{00000000-0005-0000-0000-00001C0A0000}"/>
    <cellStyle name="Normal 2 2 14 6 2" xfId="27377" xr:uid="{00000000-0005-0000-0000-00001D0A0000}"/>
    <cellStyle name="Normal 2 2 14 7" xfId="1139" xr:uid="{00000000-0005-0000-0000-00001E0A0000}"/>
    <cellStyle name="Normal 2 2 14 7 2" xfId="27378" xr:uid="{00000000-0005-0000-0000-00001F0A0000}"/>
    <cellStyle name="Normal 2 2 14 8" xfId="27379" xr:uid="{00000000-0005-0000-0000-0000200A0000}"/>
    <cellStyle name="Normal 2 2 14 8 2" xfId="27380" xr:uid="{00000000-0005-0000-0000-0000210A0000}"/>
    <cellStyle name="Normal 2 2 14 9" xfId="27381" xr:uid="{00000000-0005-0000-0000-0000220A0000}"/>
    <cellStyle name="Normal 2 2 15" xfId="1140" xr:uid="{00000000-0005-0000-0000-0000230A0000}"/>
    <cellStyle name="Normal 2 2 15 10" xfId="27382" xr:uid="{00000000-0005-0000-0000-0000240A0000}"/>
    <cellStyle name="Normal 2 2 15 11" xfId="27383" xr:uid="{00000000-0005-0000-0000-0000250A0000}"/>
    <cellStyle name="Normal 2 2 15 2" xfId="1141" xr:uid="{00000000-0005-0000-0000-0000260A0000}"/>
    <cellStyle name="Normal 2 2 15 2 10" xfId="27384" xr:uid="{00000000-0005-0000-0000-0000270A0000}"/>
    <cellStyle name="Normal 2 2 15 2 2" xfId="1142" xr:uid="{00000000-0005-0000-0000-0000280A0000}"/>
    <cellStyle name="Normal 2 2 15 2 2 2" xfId="1143" xr:uid="{00000000-0005-0000-0000-0000290A0000}"/>
    <cellStyle name="Normal 2 2 15 2 2 2 2" xfId="1144" xr:uid="{00000000-0005-0000-0000-00002A0A0000}"/>
    <cellStyle name="Normal 2 2 15 2 2 2 2 2" xfId="27385" xr:uid="{00000000-0005-0000-0000-00002B0A0000}"/>
    <cellStyle name="Normal 2 2 15 2 2 2 3" xfId="1145" xr:uid="{00000000-0005-0000-0000-00002C0A0000}"/>
    <cellStyle name="Normal 2 2 15 2 2 2 3 2" xfId="27386" xr:uid="{00000000-0005-0000-0000-00002D0A0000}"/>
    <cellStyle name="Normal 2 2 15 2 2 2 4" xfId="27387" xr:uid="{00000000-0005-0000-0000-00002E0A0000}"/>
    <cellStyle name="Normal 2 2 15 2 2 3" xfId="1146" xr:uid="{00000000-0005-0000-0000-00002F0A0000}"/>
    <cellStyle name="Normal 2 2 15 2 2 3 2" xfId="27388" xr:uid="{00000000-0005-0000-0000-0000300A0000}"/>
    <cellStyle name="Normal 2 2 15 2 2 4" xfId="1147" xr:uid="{00000000-0005-0000-0000-0000310A0000}"/>
    <cellStyle name="Normal 2 2 15 2 2 4 2" xfId="27389" xr:uid="{00000000-0005-0000-0000-0000320A0000}"/>
    <cellStyle name="Normal 2 2 15 2 2 5" xfId="1148" xr:uid="{00000000-0005-0000-0000-0000330A0000}"/>
    <cellStyle name="Normal 2 2 15 2 2 5 2" xfId="27390" xr:uid="{00000000-0005-0000-0000-0000340A0000}"/>
    <cellStyle name="Normal 2 2 15 2 2 6" xfId="27391" xr:uid="{00000000-0005-0000-0000-0000350A0000}"/>
    <cellStyle name="Normal 2 2 15 2 2 6 2" xfId="27392" xr:uid="{00000000-0005-0000-0000-0000360A0000}"/>
    <cellStyle name="Normal 2 2 15 2 2 7" xfId="27393" xr:uid="{00000000-0005-0000-0000-0000370A0000}"/>
    <cellStyle name="Normal 2 2 15 2 3" xfId="1149" xr:uid="{00000000-0005-0000-0000-0000380A0000}"/>
    <cellStyle name="Normal 2 2 15 2 3 2" xfId="1150" xr:uid="{00000000-0005-0000-0000-0000390A0000}"/>
    <cellStyle name="Normal 2 2 15 2 3 2 2" xfId="27394" xr:uid="{00000000-0005-0000-0000-00003A0A0000}"/>
    <cellStyle name="Normal 2 2 15 2 3 3" xfId="1151" xr:uid="{00000000-0005-0000-0000-00003B0A0000}"/>
    <cellStyle name="Normal 2 2 15 2 3 3 2" xfId="27395" xr:uid="{00000000-0005-0000-0000-00003C0A0000}"/>
    <cellStyle name="Normal 2 2 15 2 3 4" xfId="27396" xr:uid="{00000000-0005-0000-0000-00003D0A0000}"/>
    <cellStyle name="Normal 2 2 15 2 4" xfId="1152" xr:uid="{00000000-0005-0000-0000-00003E0A0000}"/>
    <cellStyle name="Normal 2 2 15 2 4 2" xfId="1153" xr:uid="{00000000-0005-0000-0000-00003F0A0000}"/>
    <cellStyle name="Normal 2 2 15 2 4 2 2" xfId="27397" xr:uid="{00000000-0005-0000-0000-0000400A0000}"/>
    <cellStyle name="Normal 2 2 15 2 4 3" xfId="27398" xr:uid="{00000000-0005-0000-0000-0000410A0000}"/>
    <cellStyle name="Normal 2 2 15 2 5" xfId="1154" xr:uid="{00000000-0005-0000-0000-0000420A0000}"/>
    <cellStyle name="Normal 2 2 15 2 5 2" xfId="27399" xr:uid="{00000000-0005-0000-0000-0000430A0000}"/>
    <cellStyle name="Normal 2 2 15 2 6" xfId="1155" xr:uid="{00000000-0005-0000-0000-0000440A0000}"/>
    <cellStyle name="Normal 2 2 15 2 6 2" xfId="27400" xr:uid="{00000000-0005-0000-0000-0000450A0000}"/>
    <cellStyle name="Normal 2 2 15 2 7" xfId="27401" xr:uid="{00000000-0005-0000-0000-0000460A0000}"/>
    <cellStyle name="Normal 2 2 15 2 7 2" xfId="27402" xr:uid="{00000000-0005-0000-0000-0000470A0000}"/>
    <cellStyle name="Normal 2 2 15 2 8" xfId="27403" xr:uid="{00000000-0005-0000-0000-0000480A0000}"/>
    <cellStyle name="Normal 2 2 15 2 9" xfId="27404" xr:uid="{00000000-0005-0000-0000-0000490A0000}"/>
    <cellStyle name="Normal 2 2 15 3" xfId="1156" xr:uid="{00000000-0005-0000-0000-00004A0A0000}"/>
    <cellStyle name="Normal 2 2 15 3 2" xfId="1157" xr:uid="{00000000-0005-0000-0000-00004B0A0000}"/>
    <cellStyle name="Normal 2 2 15 3 2 2" xfId="1158" xr:uid="{00000000-0005-0000-0000-00004C0A0000}"/>
    <cellStyle name="Normal 2 2 15 3 2 2 2" xfId="27405" xr:uid="{00000000-0005-0000-0000-00004D0A0000}"/>
    <cellStyle name="Normal 2 2 15 3 2 3" xfId="1159" xr:uid="{00000000-0005-0000-0000-00004E0A0000}"/>
    <cellStyle name="Normal 2 2 15 3 2 3 2" xfId="27406" xr:uid="{00000000-0005-0000-0000-00004F0A0000}"/>
    <cellStyle name="Normal 2 2 15 3 2 4" xfId="27407" xr:uid="{00000000-0005-0000-0000-0000500A0000}"/>
    <cellStyle name="Normal 2 2 15 3 3" xfId="1160" xr:uid="{00000000-0005-0000-0000-0000510A0000}"/>
    <cellStyle name="Normal 2 2 15 3 3 2" xfId="27408" xr:uid="{00000000-0005-0000-0000-0000520A0000}"/>
    <cellStyle name="Normal 2 2 15 3 4" xfId="1161" xr:uid="{00000000-0005-0000-0000-0000530A0000}"/>
    <cellStyle name="Normal 2 2 15 3 4 2" xfId="27409" xr:uid="{00000000-0005-0000-0000-0000540A0000}"/>
    <cellStyle name="Normal 2 2 15 3 5" xfId="1162" xr:uid="{00000000-0005-0000-0000-0000550A0000}"/>
    <cellStyle name="Normal 2 2 15 3 5 2" xfId="27410" xr:uid="{00000000-0005-0000-0000-0000560A0000}"/>
    <cellStyle name="Normal 2 2 15 3 6" xfId="27411" xr:uid="{00000000-0005-0000-0000-0000570A0000}"/>
    <cellStyle name="Normal 2 2 15 3 6 2" xfId="27412" xr:uid="{00000000-0005-0000-0000-0000580A0000}"/>
    <cellStyle name="Normal 2 2 15 3 7" xfId="27413" xr:uid="{00000000-0005-0000-0000-0000590A0000}"/>
    <cellStyle name="Normal 2 2 15 4" xfId="1163" xr:uid="{00000000-0005-0000-0000-00005A0A0000}"/>
    <cellStyle name="Normal 2 2 15 4 2" xfId="1164" xr:uid="{00000000-0005-0000-0000-00005B0A0000}"/>
    <cellStyle name="Normal 2 2 15 4 2 2" xfId="27414" xr:uid="{00000000-0005-0000-0000-00005C0A0000}"/>
    <cellStyle name="Normal 2 2 15 4 3" xfId="1165" xr:uid="{00000000-0005-0000-0000-00005D0A0000}"/>
    <cellStyle name="Normal 2 2 15 4 3 2" xfId="27415" xr:uid="{00000000-0005-0000-0000-00005E0A0000}"/>
    <cellStyle name="Normal 2 2 15 4 4" xfId="27416" xr:uid="{00000000-0005-0000-0000-00005F0A0000}"/>
    <cellStyle name="Normal 2 2 15 5" xfId="1166" xr:uid="{00000000-0005-0000-0000-0000600A0000}"/>
    <cellStyle name="Normal 2 2 15 5 2" xfId="1167" xr:uid="{00000000-0005-0000-0000-0000610A0000}"/>
    <cellStyle name="Normal 2 2 15 5 2 2" xfId="27417" xr:uid="{00000000-0005-0000-0000-0000620A0000}"/>
    <cellStyle name="Normal 2 2 15 5 3" xfId="27418" xr:uid="{00000000-0005-0000-0000-0000630A0000}"/>
    <cellStyle name="Normal 2 2 15 6" xfId="1168" xr:uid="{00000000-0005-0000-0000-0000640A0000}"/>
    <cellStyle name="Normal 2 2 15 6 2" xfId="27419" xr:uid="{00000000-0005-0000-0000-0000650A0000}"/>
    <cellStyle name="Normal 2 2 15 7" xfId="1169" xr:uid="{00000000-0005-0000-0000-0000660A0000}"/>
    <cellStyle name="Normal 2 2 15 7 2" xfId="27420" xr:uid="{00000000-0005-0000-0000-0000670A0000}"/>
    <cellStyle name="Normal 2 2 15 8" xfId="27421" xr:uid="{00000000-0005-0000-0000-0000680A0000}"/>
    <cellStyle name="Normal 2 2 15 8 2" xfId="27422" xr:uid="{00000000-0005-0000-0000-0000690A0000}"/>
    <cellStyle name="Normal 2 2 15 9" xfId="27423" xr:uid="{00000000-0005-0000-0000-00006A0A0000}"/>
    <cellStyle name="Normal 2 2 16" xfId="1170" xr:uid="{00000000-0005-0000-0000-00006B0A0000}"/>
    <cellStyle name="Normal 2 2 16 10" xfId="27424" xr:uid="{00000000-0005-0000-0000-00006C0A0000}"/>
    <cellStyle name="Normal 2 2 16 11" xfId="27425" xr:uid="{00000000-0005-0000-0000-00006D0A0000}"/>
    <cellStyle name="Normal 2 2 16 2" xfId="1171" xr:uid="{00000000-0005-0000-0000-00006E0A0000}"/>
    <cellStyle name="Normal 2 2 16 2 10" xfId="27426" xr:uid="{00000000-0005-0000-0000-00006F0A0000}"/>
    <cellStyle name="Normal 2 2 16 2 2" xfId="1172" xr:uid="{00000000-0005-0000-0000-0000700A0000}"/>
    <cellStyle name="Normal 2 2 16 2 2 2" xfId="1173" xr:uid="{00000000-0005-0000-0000-0000710A0000}"/>
    <cellStyle name="Normal 2 2 16 2 2 2 2" xfId="1174" xr:uid="{00000000-0005-0000-0000-0000720A0000}"/>
    <cellStyle name="Normal 2 2 16 2 2 2 2 2" xfId="27427" xr:uid="{00000000-0005-0000-0000-0000730A0000}"/>
    <cellStyle name="Normal 2 2 16 2 2 2 3" xfId="1175" xr:uid="{00000000-0005-0000-0000-0000740A0000}"/>
    <cellStyle name="Normal 2 2 16 2 2 2 3 2" xfId="27428" xr:uid="{00000000-0005-0000-0000-0000750A0000}"/>
    <cellStyle name="Normal 2 2 16 2 2 2 4" xfId="27429" xr:uid="{00000000-0005-0000-0000-0000760A0000}"/>
    <cellStyle name="Normal 2 2 16 2 2 3" xfId="1176" xr:uid="{00000000-0005-0000-0000-0000770A0000}"/>
    <cellStyle name="Normal 2 2 16 2 2 3 2" xfId="27430" xr:uid="{00000000-0005-0000-0000-0000780A0000}"/>
    <cellStyle name="Normal 2 2 16 2 2 4" xfId="1177" xr:uid="{00000000-0005-0000-0000-0000790A0000}"/>
    <cellStyle name="Normal 2 2 16 2 2 4 2" xfId="27431" xr:uid="{00000000-0005-0000-0000-00007A0A0000}"/>
    <cellStyle name="Normal 2 2 16 2 2 5" xfId="1178" xr:uid="{00000000-0005-0000-0000-00007B0A0000}"/>
    <cellStyle name="Normal 2 2 16 2 2 5 2" xfId="27432" xr:uid="{00000000-0005-0000-0000-00007C0A0000}"/>
    <cellStyle name="Normal 2 2 16 2 2 6" xfId="27433" xr:uid="{00000000-0005-0000-0000-00007D0A0000}"/>
    <cellStyle name="Normal 2 2 16 2 2 6 2" xfId="27434" xr:uid="{00000000-0005-0000-0000-00007E0A0000}"/>
    <cellStyle name="Normal 2 2 16 2 2 7" xfId="27435" xr:uid="{00000000-0005-0000-0000-00007F0A0000}"/>
    <cellStyle name="Normal 2 2 16 2 3" xfId="1179" xr:uid="{00000000-0005-0000-0000-0000800A0000}"/>
    <cellStyle name="Normal 2 2 16 2 3 2" xfId="1180" xr:uid="{00000000-0005-0000-0000-0000810A0000}"/>
    <cellStyle name="Normal 2 2 16 2 3 2 2" xfId="27436" xr:uid="{00000000-0005-0000-0000-0000820A0000}"/>
    <cellStyle name="Normal 2 2 16 2 3 3" xfId="1181" xr:uid="{00000000-0005-0000-0000-0000830A0000}"/>
    <cellStyle name="Normal 2 2 16 2 3 3 2" xfId="27437" xr:uid="{00000000-0005-0000-0000-0000840A0000}"/>
    <cellStyle name="Normal 2 2 16 2 3 4" xfId="27438" xr:uid="{00000000-0005-0000-0000-0000850A0000}"/>
    <cellStyle name="Normal 2 2 16 2 4" xfId="1182" xr:uid="{00000000-0005-0000-0000-0000860A0000}"/>
    <cellStyle name="Normal 2 2 16 2 4 2" xfId="1183" xr:uid="{00000000-0005-0000-0000-0000870A0000}"/>
    <cellStyle name="Normal 2 2 16 2 4 2 2" xfId="27439" xr:uid="{00000000-0005-0000-0000-0000880A0000}"/>
    <cellStyle name="Normal 2 2 16 2 4 3" xfId="27440" xr:uid="{00000000-0005-0000-0000-0000890A0000}"/>
    <cellStyle name="Normal 2 2 16 2 5" xfId="1184" xr:uid="{00000000-0005-0000-0000-00008A0A0000}"/>
    <cellStyle name="Normal 2 2 16 2 5 2" xfId="27441" xr:uid="{00000000-0005-0000-0000-00008B0A0000}"/>
    <cellStyle name="Normal 2 2 16 2 6" xfId="1185" xr:uid="{00000000-0005-0000-0000-00008C0A0000}"/>
    <cellStyle name="Normal 2 2 16 2 6 2" xfId="27442" xr:uid="{00000000-0005-0000-0000-00008D0A0000}"/>
    <cellStyle name="Normal 2 2 16 2 7" xfId="27443" xr:uid="{00000000-0005-0000-0000-00008E0A0000}"/>
    <cellStyle name="Normal 2 2 16 2 7 2" xfId="27444" xr:uid="{00000000-0005-0000-0000-00008F0A0000}"/>
    <cellStyle name="Normal 2 2 16 2 8" xfId="27445" xr:uid="{00000000-0005-0000-0000-0000900A0000}"/>
    <cellStyle name="Normal 2 2 16 2 9" xfId="27446" xr:uid="{00000000-0005-0000-0000-0000910A0000}"/>
    <cellStyle name="Normal 2 2 16 3" xfId="1186" xr:uid="{00000000-0005-0000-0000-0000920A0000}"/>
    <cellStyle name="Normal 2 2 16 3 2" xfId="1187" xr:uid="{00000000-0005-0000-0000-0000930A0000}"/>
    <cellStyle name="Normal 2 2 16 3 2 2" xfId="1188" xr:uid="{00000000-0005-0000-0000-0000940A0000}"/>
    <cellStyle name="Normal 2 2 16 3 2 2 2" xfId="27447" xr:uid="{00000000-0005-0000-0000-0000950A0000}"/>
    <cellStyle name="Normal 2 2 16 3 2 3" xfId="1189" xr:uid="{00000000-0005-0000-0000-0000960A0000}"/>
    <cellStyle name="Normal 2 2 16 3 2 3 2" xfId="27448" xr:uid="{00000000-0005-0000-0000-0000970A0000}"/>
    <cellStyle name="Normal 2 2 16 3 2 4" xfId="27449" xr:uid="{00000000-0005-0000-0000-0000980A0000}"/>
    <cellStyle name="Normal 2 2 16 3 3" xfId="1190" xr:uid="{00000000-0005-0000-0000-0000990A0000}"/>
    <cellStyle name="Normal 2 2 16 3 3 2" xfId="27450" xr:uid="{00000000-0005-0000-0000-00009A0A0000}"/>
    <cellStyle name="Normal 2 2 16 3 4" xfId="1191" xr:uid="{00000000-0005-0000-0000-00009B0A0000}"/>
    <cellStyle name="Normal 2 2 16 3 4 2" xfId="27451" xr:uid="{00000000-0005-0000-0000-00009C0A0000}"/>
    <cellStyle name="Normal 2 2 16 3 5" xfId="1192" xr:uid="{00000000-0005-0000-0000-00009D0A0000}"/>
    <cellStyle name="Normal 2 2 16 3 5 2" xfId="27452" xr:uid="{00000000-0005-0000-0000-00009E0A0000}"/>
    <cellStyle name="Normal 2 2 16 3 6" xfId="27453" xr:uid="{00000000-0005-0000-0000-00009F0A0000}"/>
    <cellStyle name="Normal 2 2 16 3 6 2" xfId="27454" xr:uid="{00000000-0005-0000-0000-0000A00A0000}"/>
    <cellStyle name="Normal 2 2 16 3 7" xfId="27455" xr:uid="{00000000-0005-0000-0000-0000A10A0000}"/>
    <cellStyle name="Normal 2 2 16 4" xfId="1193" xr:uid="{00000000-0005-0000-0000-0000A20A0000}"/>
    <cellStyle name="Normal 2 2 16 4 2" xfId="1194" xr:uid="{00000000-0005-0000-0000-0000A30A0000}"/>
    <cellStyle name="Normal 2 2 16 4 2 2" xfId="27456" xr:uid="{00000000-0005-0000-0000-0000A40A0000}"/>
    <cellStyle name="Normal 2 2 16 4 3" xfId="1195" xr:uid="{00000000-0005-0000-0000-0000A50A0000}"/>
    <cellStyle name="Normal 2 2 16 4 3 2" xfId="27457" xr:uid="{00000000-0005-0000-0000-0000A60A0000}"/>
    <cellStyle name="Normal 2 2 16 4 4" xfId="27458" xr:uid="{00000000-0005-0000-0000-0000A70A0000}"/>
    <cellStyle name="Normal 2 2 16 5" xfId="1196" xr:uid="{00000000-0005-0000-0000-0000A80A0000}"/>
    <cellStyle name="Normal 2 2 16 5 2" xfId="1197" xr:uid="{00000000-0005-0000-0000-0000A90A0000}"/>
    <cellStyle name="Normal 2 2 16 5 2 2" xfId="27459" xr:uid="{00000000-0005-0000-0000-0000AA0A0000}"/>
    <cellStyle name="Normal 2 2 16 5 3" xfId="27460" xr:uid="{00000000-0005-0000-0000-0000AB0A0000}"/>
    <cellStyle name="Normal 2 2 16 6" xfId="1198" xr:uid="{00000000-0005-0000-0000-0000AC0A0000}"/>
    <cellStyle name="Normal 2 2 16 6 2" xfId="27461" xr:uid="{00000000-0005-0000-0000-0000AD0A0000}"/>
    <cellStyle name="Normal 2 2 16 7" xfId="1199" xr:uid="{00000000-0005-0000-0000-0000AE0A0000}"/>
    <cellStyle name="Normal 2 2 16 7 2" xfId="27462" xr:uid="{00000000-0005-0000-0000-0000AF0A0000}"/>
    <cellStyle name="Normal 2 2 16 8" xfId="27463" xr:uid="{00000000-0005-0000-0000-0000B00A0000}"/>
    <cellStyle name="Normal 2 2 16 8 2" xfId="27464" xr:uid="{00000000-0005-0000-0000-0000B10A0000}"/>
    <cellStyle name="Normal 2 2 16 9" xfId="27465" xr:uid="{00000000-0005-0000-0000-0000B20A0000}"/>
    <cellStyle name="Normal 2 2 17" xfId="1200" xr:uid="{00000000-0005-0000-0000-0000B30A0000}"/>
    <cellStyle name="Normal 2 2 17 10" xfId="27466" xr:uid="{00000000-0005-0000-0000-0000B40A0000}"/>
    <cellStyle name="Normal 2 2 17 11" xfId="27467" xr:uid="{00000000-0005-0000-0000-0000B50A0000}"/>
    <cellStyle name="Normal 2 2 17 2" xfId="1201" xr:uid="{00000000-0005-0000-0000-0000B60A0000}"/>
    <cellStyle name="Normal 2 2 17 2 10" xfId="27468" xr:uid="{00000000-0005-0000-0000-0000B70A0000}"/>
    <cellStyle name="Normal 2 2 17 2 2" xfId="1202" xr:uid="{00000000-0005-0000-0000-0000B80A0000}"/>
    <cellStyle name="Normal 2 2 17 2 2 2" xfId="1203" xr:uid="{00000000-0005-0000-0000-0000B90A0000}"/>
    <cellStyle name="Normal 2 2 17 2 2 2 2" xfId="1204" xr:uid="{00000000-0005-0000-0000-0000BA0A0000}"/>
    <cellStyle name="Normal 2 2 17 2 2 2 2 2" xfId="27469" xr:uid="{00000000-0005-0000-0000-0000BB0A0000}"/>
    <cellStyle name="Normal 2 2 17 2 2 2 3" xfId="1205" xr:uid="{00000000-0005-0000-0000-0000BC0A0000}"/>
    <cellStyle name="Normal 2 2 17 2 2 2 3 2" xfId="27470" xr:uid="{00000000-0005-0000-0000-0000BD0A0000}"/>
    <cellStyle name="Normal 2 2 17 2 2 2 4" xfId="27471" xr:uid="{00000000-0005-0000-0000-0000BE0A0000}"/>
    <cellStyle name="Normal 2 2 17 2 2 3" xfId="1206" xr:uid="{00000000-0005-0000-0000-0000BF0A0000}"/>
    <cellStyle name="Normal 2 2 17 2 2 3 2" xfId="27472" xr:uid="{00000000-0005-0000-0000-0000C00A0000}"/>
    <cellStyle name="Normal 2 2 17 2 2 4" xfId="1207" xr:uid="{00000000-0005-0000-0000-0000C10A0000}"/>
    <cellStyle name="Normal 2 2 17 2 2 4 2" xfId="27473" xr:uid="{00000000-0005-0000-0000-0000C20A0000}"/>
    <cellStyle name="Normal 2 2 17 2 2 5" xfId="1208" xr:uid="{00000000-0005-0000-0000-0000C30A0000}"/>
    <cellStyle name="Normal 2 2 17 2 2 5 2" xfId="27474" xr:uid="{00000000-0005-0000-0000-0000C40A0000}"/>
    <cellStyle name="Normal 2 2 17 2 2 6" xfId="27475" xr:uid="{00000000-0005-0000-0000-0000C50A0000}"/>
    <cellStyle name="Normal 2 2 17 2 2 6 2" xfId="27476" xr:uid="{00000000-0005-0000-0000-0000C60A0000}"/>
    <cellStyle name="Normal 2 2 17 2 2 7" xfId="27477" xr:uid="{00000000-0005-0000-0000-0000C70A0000}"/>
    <cellStyle name="Normal 2 2 17 2 3" xfId="1209" xr:uid="{00000000-0005-0000-0000-0000C80A0000}"/>
    <cellStyle name="Normal 2 2 17 2 3 2" xfId="1210" xr:uid="{00000000-0005-0000-0000-0000C90A0000}"/>
    <cellStyle name="Normal 2 2 17 2 3 2 2" xfId="27478" xr:uid="{00000000-0005-0000-0000-0000CA0A0000}"/>
    <cellStyle name="Normal 2 2 17 2 3 3" xfId="1211" xr:uid="{00000000-0005-0000-0000-0000CB0A0000}"/>
    <cellStyle name="Normal 2 2 17 2 3 3 2" xfId="27479" xr:uid="{00000000-0005-0000-0000-0000CC0A0000}"/>
    <cellStyle name="Normal 2 2 17 2 3 4" xfId="27480" xr:uid="{00000000-0005-0000-0000-0000CD0A0000}"/>
    <cellStyle name="Normal 2 2 17 2 4" xfId="1212" xr:uid="{00000000-0005-0000-0000-0000CE0A0000}"/>
    <cellStyle name="Normal 2 2 17 2 4 2" xfId="1213" xr:uid="{00000000-0005-0000-0000-0000CF0A0000}"/>
    <cellStyle name="Normal 2 2 17 2 4 2 2" xfId="27481" xr:uid="{00000000-0005-0000-0000-0000D00A0000}"/>
    <cellStyle name="Normal 2 2 17 2 4 3" xfId="27482" xr:uid="{00000000-0005-0000-0000-0000D10A0000}"/>
    <cellStyle name="Normal 2 2 17 2 5" xfId="1214" xr:uid="{00000000-0005-0000-0000-0000D20A0000}"/>
    <cellStyle name="Normal 2 2 17 2 5 2" xfId="27483" xr:uid="{00000000-0005-0000-0000-0000D30A0000}"/>
    <cellStyle name="Normal 2 2 17 2 6" xfId="1215" xr:uid="{00000000-0005-0000-0000-0000D40A0000}"/>
    <cellStyle name="Normal 2 2 17 2 6 2" xfId="27484" xr:uid="{00000000-0005-0000-0000-0000D50A0000}"/>
    <cellStyle name="Normal 2 2 17 2 7" xfId="27485" xr:uid="{00000000-0005-0000-0000-0000D60A0000}"/>
    <cellStyle name="Normal 2 2 17 2 7 2" xfId="27486" xr:uid="{00000000-0005-0000-0000-0000D70A0000}"/>
    <cellStyle name="Normal 2 2 17 2 8" xfId="27487" xr:uid="{00000000-0005-0000-0000-0000D80A0000}"/>
    <cellStyle name="Normal 2 2 17 2 9" xfId="27488" xr:uid="{00000000-0005-0000-0000-0000D90A0000}"/>
    <cellStyle name="Normal 2 2 17 3" xfId="1216" xr:uid="{00000000-0005-0000-0000-0000DA0A0000}"/>
    <cellStyle name="Normal 2 2 17 3 2" xfId="1217" xr:uid="{00000000-0005-0000-0000-0000DB0A0000}"/>
    <cellStyle name="Normal 2 2 17 3 2 2" xfId="1218" xr:uid="{00000000-0005-0000-0000-0000DC0A0000}"/>
    <cellStyle name="Normal 2 2 17 3 2 2 2" xfId="27489" xr:uid="{00000000-0005-0000-0000-0000DD0A0000}"/>
    <cellStyle name="Normal 2 2 17 3 2 3" xfId="1219" xr:uid="{00000000-0005-0000-0000-0000DE0A0000}"/>
    <cellStyle name="Normal 2 2 17 3 2 3 2" xfId="27490" xr:uid="{00000000-0005-0000-0000-0000DF0A0000}"/>
    <cellStyle name="Normal 2 2 17 3 2 4" xfId="27491" xr:uid="{00000000-0005-0000-0000-0000E00A0000}"/>
    <cellStyle name="Normal 2 2 17 3 3" xfId="1220" xr:uid="{00000000-0005-0000-0000-0000E10A0000}"/>
    <cellStyle name="Normal 2 2 17 3 3 2" xfId="27492" xr:uid="{00000000-0005-0000-0000-0000E20A0000}"/>
    <cellStyle name="Normal 2 2 17 3 4" xfId="1221" xr:uid="{00000000-0005-0000-0000-0000E30A0000}"/>
    <cellStyle name="Normal 2 2 17 3 4 2" xfId="27493" xr:uid="{00000000-0005-0000-0000-0000E40A0000}"/>
    <cellStyle name="Normal 2 2 17 3 5" xfId="1222" xr:uid="{00000000-0005-0000-0000-0000E50A0000}"/>
    <cellStyle name="Normal 2 2 17 3 5 2" xfId="27494" xr:uid="{00000000-0005-0000-0000-0000E60A0000}"/>
    <cellStyle name="Normal 2 2 17 3 6" xfId="27495" xr:uid="{00000000-0005-0000-0000-0000E70A0000}"/>
    <cellStyle name="Normal 2 2 17 3 6 2" xfId="27496" xr:uid="{00000000-0005-0000-0000-0000E80A0000}"/>
    <cellStyle name="Normal 2 2 17 3 7" xfId="27497" xr:uid="{00000000-0005-0000-0000-0000E90A0000}"/>
    <cellStyle name="Normal 2 2 17 4" xfId="1223" xr:uid="{00000000-0005-0000-0000-0000EA0A0000}"/>
    <cellStyle name="Normal 2 2 17 4 2" xfId="1224" xr:uid="{00000000-0005-0000-0000-0000EB0A0000}"/>
    <cellStyle name="Normal 2 2 17 4 2 2" xfId="27498" xr:uid="{00000000-0005-0000-0000-0000EC0A0000}"/>
    <cellStyle name="Normal 2 2 17 4 3" xfId="1225" xr:uid="{00000000-0005-0000-0000-0000ED0A0000}"/>
    <cellStyle name="Normal 2 2 17 4 3 2" xfId="27499" xr:uid="{00000000-0005-0000-0000-0000EE0A0000}"/>
    <cellStyle name="Normal 2 2 17 4 4" xfId="27500" xr:uid="{00000000-0005-0000-0000-0000EF0A0000}"/>
    <cellStyle name="Normal 2 2 17 5" xfId="1226" xr:uid="{00000000-0005-0000-0000-0000F00A0000}"/>
    <cellStyle name="Normal 2 2 17 5 2" xfId="1227" xr:uid="{00000000-0005-0000-0000-0000F10A0000}"/>
    <cellStyle name="Normal 2 2 17 5 2 2" xfId="27501" xr:uid="{00000000-0005-0000-0000-0000F20A0000}"/>
    <cellStyle name="Normal 2 2 17 5 3" xfId="27502" xr:uid="{00000000-0005-0000-0000-0000F30A0000}"/>
    <cellStyle name="Normal 2 2 17 6" xfId="1228" xr:uid="{00000000-0005-0000-0000-0000F40A0000}"/>
    <cellStyle name="Normal 2 2 17 6 2" xfId="27503" xr:uid="{00000000-0005-0000-0000-0000F50A0000}"/>
    <cellStyle name="Normal 2 2 17 7" xfId="1229" xr:uid="{00000000-0005-0000-0000-0000F60A0000}"/>
    <cellStyle name="Normal 2 2 17 7 2" xfId="27504" xr:uid="{00000000-0005-0000-0000-0000F70A0000}"/>
    <cellStyle name="Normal 2 2 17 8" xfId="27505" xr:uid="{00000000-0005-0000-0000-0000F80A0000}"/>
    <cellStyle name="Normal 2 2 17 8 2" xfId="27506" xr:uid="{00000000-0005-0000-0000-0000F90A0000}"/>
    <cellStyle name="Normal 2 2 17 9" xfId="27507" xr:uid="{00000000-0005-0000-0000-0000FA0A0000}"/>
    <cellStyle name="Normal 2 2 18" xfId="1230" xr:uid="{00000000-0005-0000-0000-0000FB0A0000}"/>
    <cellStyle name="Normal 2 2 18 10" xfId="27508" xr:uid="{00000000-0005-0000-0000-0000FC0A0000}"/>
    <cellStyle name="Normal 2 2 18 11" xfId="27509" xr:uid="{00000000-0005-0000-0000-0000FD0A0000}"/>
    <cellStyle name="Normal 2 2 18 2" xfId="1231" xr:uid="{00000000-0005-0000-0000-0000FE0A0000}"/>
    <cellStyle name="Normal 2 2 18 2 10" xfId="27510" xr:uid="{00000000-0005-0000-0000-0000FF0A0000}"/>
    <cellStyle name="Normal 2 2 18 2 2" xfId="1232" xr:uid="{00000000-0005-0000-0000-0000000B0000}"/>
    <cellStyle name="Normal 2 2 18 2 2 2" xfId="1233" xr:uid="{00000000-0005-0000-0000-0000010B0000}"/>
    <cellStyle name="Normal 2 2 18 2 2 2 2" xfId="1234" xr:uid="{00000000-0005-0000-0000-0000020B0000}"/>
    <cellStyle name="Normal 2 2 18 2 2 2 2 2" xfId="27511" xr:uid="{00000000-0005-0000-0000-0000030B0000}"/>
    <cellStyle name="Normal 2 2 18 2 2 2 3" xfId="1235" xr:uid="{00000000-0005-0000-0000-0000040B0000}"/>
    <cellStyle name="Normal 2 2 18 2 2 2 3 2" xfId="27512" xr:uid="{00000000-0005-0000-0000-0000050B0000}"/>
    <cellStyle name="Normal 2 2 18 2 2 2 4" xfId="27513" xr:uid="{00000000-0005-0000-0000-0000060B0000}"/>
    <cellStyle name="Normal 2 2 18 2 2 3" xfId="1236" xr:uid="{00000000-0005-0000-0000-0000070B0000}"/>
    <cellStyle name="Normal 2 2 18 2 2 3 2" xfId="27514" xr:uid="{00000000-0005-0000-0000-0000080B0000}"/>
    <cellStyle name="Normal 2 2 18 2 2 4" xfId="1237" xr:uid="{00000000-0005-0000-0000-0000090B0000}"/>
    <cellStyle name="Normal 2 2 18 2 2 4 2" xfId="27515" xr:uid="{00000000-0005-0000-0000-00000A0B0000}"/>
    <cellStyle name="Normal 2 2 18 2 2 5" xfId="1238" xr:uid="{00000000-0005-0000-0000-00000B0B0000}"/>
    <cellStyle name="Normal 2 2 18 2 2 5 2" xfId="27516" xr:uid="{00000000-0005-0000-0000-00000C0B0000}"/>
    <cellStyle name="Normal 2 2 18 2 2 6" xfId="27517" xr:uid="{00000000-0005-0000-0000-00000D0B0000}"/>
    <cellStyle name="Normal 2 2 18 2 2 6 2" xfId="27518" xr:uid="{00000000-0005-0000-0000-00000E0B0000}"/>
    <cellStyle name="Normal 2 2 18 2 2 7" xfId="27519" xr:uid="{00000000-0005-0000-0000-00000F0B0000}"/>
    <cellStyle name="Normal 2 2 18 2 3" xfId="1239" xr:uid="{00000000-0005-0000-0000-0000100B0000}"/>
    <cellStyle name="Normal 2 2 18 2 3 2" xfId="1240" xr:uid="{00000000-0005-0000-0000-0000110B0000}"/>
    <cellStyle name="Normal 2 2 18 2 3 2 2" xfId="27520" xr:uid="{00000000-0005-0000-0000-0000120B0000}"/>
    <cellStyle name="Normal 2 2 18 2 3 3" xfId="1241" xr:uid="{00000000-0005-0000-0000-0000130B0000}"/>
    <cellStyle name="Normal 2 2 18 2 3 3 2" xfId="27521" xr:uid="{00000000-0005-0000-0000-0000140B0000}"/>
    <cellStyle name="Normal 2 2 18 2 3 4" xfId="27522" xr:uid="{00000000-0005-0000-0000-0000150B0000}"/>
    <cellStyle name="Normal 2 2 18 2 4" xfId="1242" xr:uid="{00000000-0005-0000-0000-0000160B0000}"/>
    <cellStyle name="Normal 2 2 18 2 4 2" xfId="1243" xr:uid="{00000000-0005-0000-0000-0000170B0000}"/>
    <cellStyle name="Normal 2 2 18 2 4 2 2" xfId="27523" xr:uid="{00000000-0005-0000-0000-0000180B0000}"/>
    <cellStyle name="Normal 2 2 18 2 4 3" xfId="27524" xr:uid="{00000000-0005-0000-0000-0000190B0000}"/>
    <cellStyle name="Normal 2 2 18 2 5" xfId="1244" xr:uid="{00000000-0005-0000-0000-00001A0B0000}"/>
    <cellStyle name="Normal 2 2 18 2 5 2" xfId="27525" xr:uid="{00000000-0005-0000-0000-00001B0B0000}"/>
    <cellStyle name="Normal 2 2 18 2 6" xfId="1245" xr:uid="{00000000-0005-0000-0000-00001C0B0000}"/>
    <cellStyle name="Normal 2 2 18 2 6 2" xfId="27526" xr:uid="{00000000-0005-0000-0000-00001D0B0000}"/>
    <cellStyle name="Normal 2 2 18 2 7" xfId="27527" xr:uid="{00000000-0005-0000-0000-00001E0B0000}"/>
    <cellStyle name="Normal 2 2 18 2 7 2" xfId="27528" xr:uid="{00000000-0005-0000-0000-00001F0B0000}"/>
    <cellStyle name="Normal 2 2 18 2 8" xfId="27529" xr:uid="{00000000-0005-0000-0000-0000200B0000}"/>
    <cellStyle name="Normal 2 2 18 2 9" xfId="27530" xr:uid="{00000000-0005-0000-0000-0000210B0000}"/>
    <cellStyle name="Normal 2 2 18 3" xfId="1246" xr:uid="{00000000-0005-0000-0000-0000220B0000}"/>
    <cellStyle name="Normal 2 2 18 3 2" xfId="1247" xr:uid="{00000000-0005-0000-0000-0000230B0000}"/>
    <cellStyle name="Normal 2 2 18 3 2 2" xfId="1248" xr:uid="{00000000-0005-0000-0000-0000240B0000}"/>
    <cellStyle name="Normal 2 2 18 3 2 2 2" xfId="27531" xr:uid="{00000000-0005-0000-0000-0000250B0000}"/>
    <cellStyle name="Normal 2 2 18 3 2 3" xfId="1249" xr:uid="{00000000-0005-0000-0000-0000260B0000}"/>
    <cellStyle name="Normal 2 2 18 3 2 3 2" xfId="27532" xr:uid="{00000000-0005-0000-0000-0000270B0000}"/>
    <cellStyle name="Normal 2 2 18 3 2 4" xfId="27533" xr:uid="{00000000-0005-0000-0000-0000280B0000}"/>
    <cellStyle name="Normal 2 2 18 3 3" xfId="1250" xr:uid="{00000000-0005-0000-0000-0000290B0000}"/>
    <cellStyle name="Normal 2 2 18 3 3 2" xfId="27534" xr:uid="{00000000-0005-0000-0000-00002A0B0000}"/>
    <cellStyle name="Normal 2 2 18 3 4" xfId="1251" xr:uid="{00000000-0005-0000-0000-00002B0B0000}"/>
    <cellStyle name="Normal 2 2 18 3 4 2" xfId="27535" xr:uid="{00000000-0005-0000-0000-00002C0B0000}"/>
    <cellStyle name="Normal 2 2 18 3 5" xfId="1252" xr:uid="{00000000-0005-0000-0000-00002D0B0000}"/>
    <cellStyle name="Normal 2 2 18 3 5 2" xfId="27536" xr:uid="{00000000-0005-0000-0000-00002E0B0000}"/>
    <cellStyle name="Normal 2 2 18 3 6" xfId="27537" xr:uid="{00000000-0005-0000-0000-00002F0B0000}"/>
    <cellStyle name="Normal 2 2 18 3 6 2" xfId="27538" xr:uid="{00000000-0005-0000-0000-0000300B0000}"/>
    <cellStyle name="Normal 2 2 18 3 7" xfId="27539" xr:uid="{00000000-0005-0000-0000-0000310B0000}"/>
    <cellStyle name="Normal 2 2 18 4" xfId="1253" xr:uid="{00000000-0005-0000-0000-0000320B0000}"/>
    <cellStyle name="Normal 2 2 18 4 2" xfId="1254" xr:uid="{00000000-0005-0000-0000-0000330B0000}"/>
    <cellStyle name="Normal 2 2 18 4 2 2" xfId="27540" xr:uid="{00000000-0005-0000-0000-0000340B0000}"/>
    <cellStyle name="Normal 2 2 18 4 3" xfId="1255" xr:uid="{00000000-0005-0000-0000-0000350B0000}"/>
    <cellStyle name="Normal 2 2 18 4 3 2" xfId="27541" xr:uid="{00000000-0005-0000-0000-0000360B0000}"/>
    <cellStyle name="Normal 2 2 18 4 4" xfId="27542" xr:uid="{00000000-0005-0000-0000-0000370B0000}"/>
    <cellStyle name="Normal 2 2 18 5" xfId="1256" xr:uid="{00000000-0005-0000-0000-0000380B0000}"/>
    <cellStyle name="Normal 2 2 18 5 2" xfId="1257" xr:uid="{00000000-0005-0000-0000-0000390B0000}"/>
    <cellStyle name="Normal 2 2 18 5 2 2" xfId="27543" xr:uid="{00000000-0005-0000-0000-00003A0B0000}"/>
    <cellStyle name="Normal 2 2 18 5 3" xfId="27544" xr:uid="{00000000-0005-0000-0000-00003B0B0000}"/>
    <cellStyle name="Normal 2 2 18 6" xfId="1258" xr:uid="{00000000-0005-0000-0000-00003C0B0000}"/>
    <cellStyle name="Normal 2 2 18 6 2" xfId="27545" xr:uid="{00000000-0005-0000-0000-00003D0B0000}"/>
    <cellStyle name="Normal 2 2 18 7" xfId="1259" xr:uid="{00000000-0005-0000-0000-00003E0B0000}"/>
    <cellStyle name="Normal 2 2 18 7 2" xfId="27546" xr:uid="{00000000-0005-0000-0000-00003F0B0000}"/>
    <cellStyle name="Normal 2 2 18 8" xfId="27547" xr:uid="{00000000-0005-0000-0000-0000400B0000}"/>
    <cellStyle name="Normal 2 2 18 8 2" xfId="27548" xr:uid="{00000000-0005-0000-0000-0000410B0000}"/>
    <cellStyle name="Normal 2 2 18 9" xfId="27549" xr:uid="{00000000-0005-0000-0000-0000420B0000}"/>
    <cellStyle name="Normal 2 2 19" xfId="1260" xr:uid="{00000000-0005-0000-0000-0000430B0000}"/>
    <cellStyle name="Normal 2 2 19 10" xfId="27550" xr:uid="{00000000-0005-0000-0000-0000440B0000}"/>
    <cellStyle name="Normal 2 2 19 11" xfId="27551" xr:uid="{00000000-0005-0000-0000-0000450B0000}"/>
    <cellStyle name="Normal 2 2 19 2" xfId="1261" xr:uid="{00000000-0005-0000-0000-0000460B0000}"/>
    <cellStyle name="Normal 2 2 19 2 10" xfId="27552" xr:uid="{00000000-0005-0000-0000-0000470B0000}"/>
    <cellStyle name="Normal 2 2 19 2 2" xfId="1262" xr:uid="{00000000-0005-0000-0000-0000480B0000}"/>
    <cellStyle name="Normal 2 2 19 2 2 2" xfId="1263" xr:uid="{00000000-0005-0000-0000-0000490B0000}"/>
    <cellStyle name="Normal 2 2 19 2 2 2 2" xfId="1264" xr:uid="{00000000-0005-0000-0000-00004A0B0000}"/>
    <cellStyle name="Normal 2 2 19 2 2 2 2 2" xfId="27553" xr:uid="{00000000-0005-0000-0000-00004B0B0000}"/>
    <cellStyle name="Normal 2 2 19 2 2 2 3" xfId="1265" xr:uid="{00000000-0005-0000-0000-00004C0B0000}"/>
    <cellStyle name="Normal 2 2 19 2 2 2 3 2" xfId="27554" xr:uid="{00000000-0005-0000-0000-00004D0B0000}"/>
    <cellStyle name="Normal 2 2 19 2 2 2 4" xfId="27555" xr:uid="{00000000-0005-0000-0000-00004E0B0000}"/>
    <cellStyle name="Normal 2 2 19 2 2 3" xfId="1266" xr:uid="{00000000-0005-0000-0000-00004F0B0000}"/>
    <cellStyle name="Normal 2 2 19 2 2 3 2" xfId="27556" xr:uid="{00000000-0005-0000-0000-0000500B0000}"/>
    <cellStyle name="Normal 2 2 19 2 2 4" xfId="1267" xr:uid="{00000000-0005-0000-0000-0000510B0000}"/>
    <cellStyle name="Normal 2 2 19 2 2 4 2" xfId="27557" xr:uid="{00000000-0005-0000-0000-0000520B0000}"/>
    <cellStyle name="Normal 2 2 19 2 2 5" xfId="1268" xr:uid="{00000000-0005-0000-0000-0000530B0000}"/>
    <cellStyle name="Normal 2 2 19 2 2 5 2" xfId="27558" xr:uid="{00000000-0005-0000-0000-0000540B0000}"/>
    <cellStyle name="Normal 2 2 19 2 2 6" xfId="27559" xr:uid="{00000000-0005-0000-0000-0000550B0000}"/>
    <cellStyle name="Normal 2 2 19 2 2 6 2" xfId="27560" xr:uid="{00000000-0005-0000-0000-0000560B0000}"/>
    <cellStyle name="Normal 2 2 19 2 2 7" xfId="27561" xr:uid="{00000000-0005-0000-0000-0000570B0000}"/>
    <cellStyle name="Normal 2 2 19 2 3" xfId="1269" xr:uid="{00000000-0005-0000-0000-0000580B0000}"/>
    <cellStyle name="Normal 2 2 19 2 3 2" xfId="1270" xr:uid="{00000000-0005-0000-0000-0000590B0000}"/>
    <cellStyle name="Normal 2 2 19 2 3 2 2" xfId="27562" xr:uid="{00000000-0005-0000-0000-00005A0B0000}"/>
    <cellStyle name="Normal 2 2 19 2 3 3" xfId="1271" xr:uid="{00000000-0005-0000-0000-00005B0B0000}"/>
    <cellStyle name="Normal 2 2 19 2 3 3 2" xfId="27563" xr:uid="{00000000-0005-0000-0000-00005C0B0000}"/>
    <cellStyle name="Normal 2 2 19 2 3 4" xfId="27564" xr:uid="{00000000-0005-0000-0000-00005D0B0000}"/>
    <cellStyle name="Normal 2 2 19 2 4" xfId="1272" xr:uid="{00000000-0005-0000-0000-00005E0B0000}"/>
    <cellStyle name="Normal 2 2 19 2 4 2" xfId="1273" xr:uid="{00000000-0005-0000-0000-00005F0B0000}"/>
    <cellStyle name="Normal 2 2 19 2 4 2 2" xfId="27565" xr:uid="{00000000-0005-0000-0000-0000600B0000}"/>
    <cellStyle name="Normal 2 2 19 2 4 3" xfId="27566" xr:uid="{00000000-0005-0000-0000-0000610B0000}"/>
    <cellStyle name="Normal 2 2 19 2 5" xfId="1274" xr:uid="{00000000-0005-0000-0000-0000620B0000}"/>
    <cellStyle name="Normal 2 2 19 2 5 2" xfId="27567" xr:uid="{00000000-0005-0000-0000-0000630B0000}"/>
    <cellStyle name="Normal 2 2 19 2 6" xfId="1275" xr:uid="{00000000-0005-0000-0000-0000640B0000}"/>
    <cellStyle name="Normal 2 2 19 2 6 2" xfId="27568" xr:uid="{00000000-0005-0000-0000-0000650B0000}"/>
    <cellStyle name="Normal 2 2 19 2 7" xfId="27569" xr:uid="{00000000-0005-0000-0000-0000660B0000}"/>
    <cellStyle name="Normal 2 2 19 2 7 2" xfId="27570" xr:uid="{00000000-0005-0000-0000-0000670B0000}"/>
    <cellStyle name="Normal 2 2 19 2 8" xfId="27571" xr:uid="{00000000-0005-0000-0000-0000680B0000}"/>
    <cellStyle name="Normal 2 2 19 2 9" xfId="27572" xr:uid="{00000000-0005-0000-0000-0000690B0000}"/>
    <cellStyle name="Normal 2 2 19 3" xfId="1276" xr:uid="{00000000-0005-0000-0000-00006A0B0000}"/>
    <cellStyle name="Normal 2 2 19 3 2" xfId="1277" xr:uid="{00000000-0005-0000-0000-00006B0B0000}"/>
    <cellStyle name="Normal 2 2 19 3 2 2" xfId="1278" xr:uid="{00000000-0005-0000-0000-00006C0B0000}"/>
    <cellStyle name="Normal 2 2 19 3 2 2 2" xfId="27573" xr:uid="{00000000-0005-0000-0000-00006D0B0000}"/>
    <cellStyle name="Normal 2 2 19 3 2 3" xfId="1279" xr:uid="{00000000-0005-0000-0000-00006E0B0000}"/>
    <cellStyle name="Normal 2 2 19 3 2 3 2" xfId="27574" xr:uid="{00000000-0005-0000-0000-00006F0B0000}"/>
    <cellStyle name="Normal 2 2 19 3 2 4" xfId="27575" xr:uid="{00000000-0005-0000-0000-0000700B0000}"/>
    <cellStyle name="Normal 2 2 19 3 3" xfId="1280" xr:uid="{00000000-0005-0000-0000-0000710B0000}"/>
    <cellStyle name="Normal 2 2 19 3 3 2" xfId="27576" xr:uid="{00000000-0005-0000-0000-0000720B0000}"/>
    <cellStyle name="Normal 2 2 19 3 4" xfId="1281" xr:uid="{00000000-0005-0000-0000-0000730B0000}"/>
    <cellStyle name="Normal 2 2 19 3 4 2" xfId="27577" xr:uid="{00000000-0005-0000-0000-0000740B0000}"/>
    <cellStyle name="Normal 2 2 19 3 5" xfId="1282" xr:uid="{00000000-0005-0000-0000-0000750B0000}"/>
    <cellStyle name="Normal 2 2 19 3 5 2" xfId="27578" xr:uid="{00000000-0005-0000-0000-0000760B0000}"/>
    <cellStyle name="Normal 2 2 19 3 6" xfId="27579" xr:uid="{00000000-0005-0000-0000-0000770B0000}"/>
    <cellStyle name="Normal 2 2 19 3 6 2" xfId="27580" xr:uid="{00000000-0005-0000-0000-0000780B0000}"/>
    <cellStyle name="Normal 2 2 19 3 7" xfId="27581" xr:uid="{00000000-0005-0000-0000-0000790B0000}"/>
    <cellStyle name="Normal 2 2 19 4" xfId="1283" xr:uid="{00000000-0005-0000-0000-00007A0B0000}"/>
    <cellStyle name="Normal 2 2 19 4 2" xfId="1284" xr:uid="{00000000-0005-0000-0000-00007B0B0000}"/>
    <cellStyle name="Normal 2 2 19 4 2 2" xfId="27582" xr:uid="{00000000-0005-0000-0000-00007C0B0000}"/>
    <cellStyle name="Normal 2 2 19 4 3" xfId="1285" xr:uid="{00000000-0005-0000-0000-00007D0B0000}"/>
    <cellStyle name="Normal 2 2 19 4 3 2" xfId="27583" xr:uid="{00000000-0005-0000-0000-00007E0B0000}"/>
    <cellStyle name="Normal 2 2 19 4 4" xfId="27584" xr:uid="{00000000-0005-0000-0000-00007F0B0000}"/>
    <cellStyle name="Normal 2 2 19 5" xfId="1286" xr:uid="{00000000-0005-0000-0000-0000800B0000}"/>
    <cellStyle name="Normal 2 2 19 5 2" xfId="1287" xr:uid="{00000000-0005-0000-0000-0000810B0000}"/>
    <cellStyle name="Normal 2 2 19 5 2 2" xfId="27585" xr:uid="{00000000-0005-0000-0000-0000820B0000}"/>
    <cellStyle name="Normal 2 2 19 5 3" xfId="27586" xr:uid="{00000000-0005-0000-0000-0000830B0000}"/>
    <cellStyle name="Normal 2 2 19 6" xfId="1288" xr:uid="{00000000-0005-0000-0000-0000840B0000}"/>
    <cellStyle name="Normal 2 2 19 6 2" xfId="27587" xr:uid="{00000000-0005-0000-0000-0000850B0000}"/>
    <cellStyle name="Normal 2 2 19 7" xfId="1289" xr:uid="{00000000-0005-0000-0000-0000860B0000}"/>
    <cellStyle name="Normal 2 2 19 7 2" xfId="27588" xr:uid="{00000000-0005-0000-0000-0000870B0000}"/>
    <cellStyle name="Normal 2 2 19 8" xfId="27589" xr:uid="{00000000-0005-0000-0000-0000880B0000}"/>
    <cellStyle name="Normal 2 2 19 8 2" xfId="27590" xr:uid="{00000000-0005-0000-0000-0000890B0000}"/>
    <cellStyle name="Normal 2 2 19 9" xfId="27591" xr:uid="{00000000-0005-0000-0000-00008A0B0000}"/>
    <cellStyle name="Normal 2 2 2" xfId="1290" xr:uid="{00000000-0005-0000-0000-00008B0B0000}"/>
    <cellStyle name="Normal 2 2 2 10" xfId="1291" xr:uid="{00000000-0005-0000-0000-00008C0B0000}"/>
    <cellStyle name="Normal 2 2 2 10 10" xfId="27592" xr:uid="{00000000-0005-0000-0000-00008D0B0000}"/>
    <cellStyle name="Normal 2 2 2 10 11" xfId="27593" xr:uid="{00000000-0005-0000-0000-00008E0B0000}"/>
    <cellStyle name="Normal 2 2 2 10 2" xfId="1292" xr:uid="{00000000-0005-0000-0000-00008F0B0000}"/>
    <cellStyle name="Normal 2 2 2 10 2 10" xfId="27594" xr:uid="{00000000-0005-0000-0000-0000900B0000}"/>
    <cellStyle name="Normal 2 2 2 10 2 2" xfId="1293" xr:uid="{00000000-0005-0000-0000-0000910B0000}"/>
    <cellStyle name="Normal 2 2 2 10 2 2 2" xfId="1294" xr:uid="{00000000-0005-0000-0000-0000920B0000}"/>
    <cellStyle name="Normal 2 2 2 10 2 2 2 2" xfId="1295" xr:uid="{00000000-0005-0000-0000-0000930B0000}"/>
    <cellStyle name="Normal 2 2 2 10 2 2 2 2 2" xfId="27595" xr:uid="{00000000-0005-0000-0000-0000940B0000}"/>
    <cellStyle name="Normal 2 2 2 10 2 2 2 3" xfId="1296" xr:uid="{00000000-0005-0000-0000-0000950B0000}"/>
    <cellStyle name="Normal 2 2 2 10 2 2 2 3 2" xfId="27596" xr:uid="{00000000-0005-0000-0000-0000960B0000}"/>
    <cellStyle name="Normal 2 2 2 10 2 2 2 4" xfId="27597" xr:uid="{00000000-0005-0000-0000-0000970B0000}"/>
    <cellStyle name="Normal 2 2 2 10 2 2 3" xfId="1297" xr:uid="{00000000-0005-0000-0000-0000980B0000}"/>
    <cellStyle name="Normal 2 2 2 10 2 2 3 2" xfId="27598" xr:uid="{00000000-0005-0000-0000-0000990B0000}"/>
    <cellStyle name="Normal 2 2 2 10 2 2 4" xfId="1298" xr:uid="{00000000-0005-0000-0000-00009A0B0000}"/>
    <cellStyle name="Normal 2 2 2 10 2 2 4 2" xfId="27599" xr:uid="{00000000-0005-0000-0000-00009B0B0000}"/>
    <cellStyle name="Normal 2 2 2 10 2 2 5" xfId="1299" xr:uid="{00000000-0005-0000-0000-00009C0B0000}"/>
    <cellStyle name="Normal 2 2 2 10 2 2 5 2" xfId="27600" xr:uid="{00000000-0005-0000-0000-00009D0B0000}"/>
    <cellStyle name="Normal 2 2 2 10 2 2 6" xfId="27601" xr:uid="{00000000-0005-0000-0000-00009E0B0000}"/>
    <cellStyle name="Normal 2 2 2 10 2 2 6 2" xfId="27602" xr:uid="{00000000-0005-0000-0000-00009F0B0000}"/>
    <cellStyle name="Normal 2 2 2 10 2 2 7" xfId="27603" xr:uid="{00000000-0005-0000-0000-0000A00B0000}"/>
    <cellStyle name="Normal 2 2 2 10 2 3" xfId="1300" xr:uid="{00000000-0005-0000-0000-0000A10B0000}"/>
    <cellStyle name="Normal 2 2 2 10 2 3 2" xfId="1301" xr:uid="{00000000-0005-0000-0000-0000A20B0000}"/>
    <cellStyle name="Normal 2 2 2 10 2 3 2 2" xfId="27604" xr:uid="{00000000-0005-0000-0000-0000A30B0000}"/>
    <cellStyle name="Normal 2 2 2 10 2 3 3" xfId="1302" xr:uid="{00000000-0005-0000-0000-0000A40B0000}"/>
    <cellStyle name="Normal 2 2 2 10 2 3 3 2" xfId="27605" xr:uid="{00000000-0005-0000-0000-0000A50B0000}"/>
    <cellStyle name="Normal 2 2 2 10 2 3 4" xfId="27606" xr:uid="{00000000-0005-0000-0000-0000A60B0000}"/>
    <cellStyle name="Normal 2 2 2 10 2 4" xfId="1303" xr:uid="{00000000-0005-0000-0000-0000A70B0000}"/>
    <cellStyle name="Normal 2 2 2 10 2 4 2" xfId="1304" xr:uid="{00000000-0005-0000-0000-0000A80B0000}"/>
    <cellStyle name="Normal 2 2 2 10 2 4 2 2" xfId="27607" xr:uid="{00000000-0005-0000-0000-0000A90B0000}"/>
    <cellStyle name="Normal 2 2 2 10 2 4 3" xfId="27608" xr:uid="{00000000-0005-0000-0000-0000AA0B0000}"/>
    <cellStyle name="Normal 2 2 2 10 2 5" xfId="1305" xr:uid="{00000000-0005-0000-0000-0000AB0B0000}"/>
    <cellStyle name="Normal 2 2 2 10 2 5 2" xfId="27609" xr:uid="{00000000-0005-0000-0000-0000AC0B0000}"/>
    <cellStyle name="Normal 2 2 2 10 2 6" xfId="1306" xr:uid="{00000000-0005-0000-0000-0000AD0B0000}"/>
    <cellStyle name="Normal 2 2 2 10 2 6 2" xfId="27610" xr:uid="{00000000-0005-0000-0000-0000AE0B0000}"/>
    <cellStyle name="Normal 2 2 2 10 2 7" xfId="27611" xr:uid="{00000000-0005-0000-0000-0000AF0B0000}"/>
    <cellStyle name="Normal 2 2 2 10 2 7 2" xfId="27612" xr:uid="{00000000-0005-0000-0000-0000B00B0000}"/>
    <cellStyle name="Normal 2 2 2 10 2 8" xfId="27613" xr:uid="{00000000-0005-0000-0000-0000B10B0000}"/>
    <cellStyle name="Normal 2 2 2 10 2 9" xfId="27614" xr:uid="{00000000-0005-0000-0000-0000B20B0000}"/>
    <cellStyle name="Normal 2 2 2 10 3" xfId="1307" xr:uid="{00000000-0005-0000-0000-0000B30B0000}"/>
    <cellStyle name="Normal 2 2 2 10 3 2" xfId="1308" xr:uid="{00000000-0005-0000-0000-0000B40B0000}"/>
    <cellStyle name="Normal 2 2 2 10 3 2 2" xfId="1309" xr:uid="{00000000-0005-0000-0000-0000B50B0000}"/>
    <cellStyle name="Normal 2 2 2 10 3 2 2 2" xfId="27615" xr:uid="{00000000-0005-0000-0000-0000B60B0000}"/>
    <cellStyle name="Normal 2 2 2 10 3 2 3" xfId="1310" xr:uid="{00000000-0005-0000-0000-0000B70B0000}"/>
    <cellStyle name="Normal 2 2 2 10 3 2 3 2" xfId="27616" xr:uid="{00000000-0005-0000-0000-0000B80B0000}"/>
    <cellStyle name="Normal 2 2 2 10 3 2 4" xfId="27617" xr:uid="{00000000-0005-0000-0000-0000B90B0000}"/>
    <cellStyle name="Normal 2 2 2 10 3 3" xfId="1311" xr:uid="{00000000-0005-0000-0000-0000BA0B0000}"/>
    <cellStyle name="Normal 2 2 2 10 3 3 2" xfId="27618" xr:uid="{00000000-0005-0000-0000-0000BB0B0000}"/>
    <cellStyle name="Normal 2 2 2 10 3 4" xfId="1312" xr:uid="{00000000-0005-0000-0000-0000BC0B0000}"/>
    <cellStyle name="Normal 2 2 2 10 3 4 2" xfId="27619" xr:uid="{00000000-0005-0000-0000-0000BD0B0000}"/>
    <cellStyle name="Normal 2 2 2 10 3 5" xfId="1313" xr:uid="{00000000-0005-0000-0000-0000BE0B0000}"/>
    <cellStyle name="Normal 2 2 2 10 3 5 2" xfId="27620" xr:uid="{00000000-0005-0000-0000-0000BF0B0000}"/>
    <cellStyle name="Normal 2 2 2 10 3 6" xfId="27621" xr:uid="{00000000-0005-0000-0000-0000C00B0000}"/>
    <cellStyle name="Normal 2 2 2 10 3 6 2" xfId="27622" xr:uid="{00000000-0005-0000-0000-0000C10B0000}"/>
    <cellStyle name="Normal 2 2 2 10 3 7" xfId="27623" xr:uid="{00000000-0005-0000-0000-0000C20B0000}"/>
    <cellStyle name="Normal 2 2 2 10 4" xfId="1314" xr:uid="{00000000-0005-0000-0000-0000C30B0000}"/>
    <cellStyle name="Normal 2 2 2 10 4 2" xfId="1315" xr:uid="{00000000-0005-0000-0000-0000C40B0000}"/>
    <cellStyle name="Normal 2 2 2 10 4 2 2" xfId="27624" xr:uid="{00000000-0005-0000-0000-0000C50B0000}"/>
    <cellStyle name="Normal 2 2 2 10 4 3" xfId="1316" xr:uid="{00000000-0005-0000-0000-0000C60B0000}"/>
    <cellStyle name="Normal 2 2 2 10 4 3 2" xfId="27625" xr:uid="{00000000-0005-0000-0000-0000C70B0000}"/>
    <cellStyle name="Normal 2 2 2 10 4 4" xfId="27626" xr:uid="{00000000-0005-0000-0000-0000C80B0000}"/>
    <cellStyle name="Normal 2 2 2 10 5" xfId="1317" xr:uid="{00000000-0005-0000-0000-0000C90B0000}"/>
    <cellStyle name="Normal 2 2 2 10 5 2" xfId="1318" xr:uid="{00000000-0005-0000-0000-0000CA0B0000}"/>
    <cellStyle name="Normal 2 2 2 10 5 2 2" xfId="27627" xr:uid="{00000000-0005-0000-0000-0000CB0B0000}"/>
    <cellStyle name="Normal 2 2 2 10 5 3" xfId="27628" xr:uid="{00000000-0005-0000-0000-0000CC0B0000}"/>
    <cellStyle name="Normal 2 2 2 10 6" xfId="1319" xr:uid="{00000000-0005-0000-0000-0000CD0B0000}"/>
    <cellStyle name="Normal 2 2 2 10 6 2" xfId="27629" xr:uid="{00000000-0005-0000-0000-0000CE0B0000}"/>
    <cellStyle name="Normal 2 2 2 10 7" xfId="1320" xr:uid="{00000000-0005-0000-0000-0000CF0B0000}"/>
    <cellStyle name="Normal 2 2 2 10 7 2" xfId="27630" xr:uid="{00000000-0005-0000-0000-0000D00B0000}"/>
    <cellStyle name="Normal 2 2 2 10 8" xfId="27631" xr:uid="{00000000-0005-0000-0000-0000D10B0000}"/>
    <cellStyle name="Normal 2 2 2 10 8 2" xfId="27632" xr:uid="{00000000-0005-0000-0000-0000D20B0000}"/>
    <cellStyle name="Normal 2 2 2 10 9" xfId="27633" xr:uid="{00000000-0005-0000-0000-0000D30B0000}"/>
    <cellStyle name="Normal 2 2 2 11" xfId="1321" xr:uid="{00000000-0005-0000-0000-0000D40B0000}"/>
    <cellStyle name="Normal 2 2 2 11 10" xfId="27634" xr:uid="{00000000-0005-0000-0000-0000D50B0000}"/>
    <cellStyle name="Normal 2 2 2 11 11" xfId="27635" xr:uid="{00000000-0005-0000-0000-0000D60B0000}"/>
    <cellStyle name="Normal 2 2 2 11 2" xfId="1322" xr:uid="{00000000-0005-0000-0000-0000D70B0000}"/>
    <cellStyle name="Normal 2 2 2 11 2 10" xfId="27636" xr:uid="{00000000-0005-0000-0000-0000D80B0000}"/>
    <cellStyle name="Normal 2 2 2 11 2 2" xfId="1323" xr:uid="{00000000-0005-0000-0000-0000D90B0000}"/>
    <cellStyle name="Normal 2 2 2 11 2 2 2" xfId="1324" xr:uid="{00000000-0005-0000-0000-0000DA0B0000}"/>
    <cellStyle name="Normal 2 2 2 11 2 2 2 2" xfId="1325" xr:uid="{00000000-0005-0000-0000-0000DB0B0000}"/>
    <cellStyle name="Normal 2 2 2 11 2 2 2 2 2" xfId="27637" xr:uid="{00000000-0005-0000-0000-0000DC0B0000}"/>
    <cellStyle name="Normal 2 2 2 11 2 2 2 3" xfId="1326" xr:uid="{00000000-0005-0000-0000-0000DD0B0000}"/>
    <cellStyle name="Normal 2 2 2 11 2 2 2 3 2" xfId="27638" xr:uid="{00000000-0005-0000-0000-0000DE0B0000}"/>
    <cellStyle name="Normal 2 2 2 11 2 2 2 4" xfId="27639" xr:uid="{00000000-0005-0000-0000-0000DF0B0000}"/>
    <cellStyle name="Normal 2 2 2 11 2 2 3" xfId="1327" xr:uid="{00000000-0005-0000-0000-0000E00B0000}"/>
    <cellStyle name="Normal 2 2 2 11 2 2 3 2" xfId="27640" xr:uid="{00000000-0005-0000-0000-0000E10B0000}"/>
    <cellStyle name="Normal 2 2 2 11 2 2 4" xfId="1328" xr:uid="{00000000-0005-0000-0000-0000E20B0000}"/>
    <cellStyle name="Normal 2 2 2 11 2 2 4 2" xfId="27641" xr:uid="{00000000-0005-0000-0000-0000E30B0000}"/>
    <cellStyle name="Normal 2 2 2 11 2 2 5" xfId="1329" xr:uid="{00000000-0005-0000-0000-0000E40B0000}"/>
    <cellStyle name="Normal 2 2 2 11 2 2 5 2" xfId="27642" xr:uid="{00000000-0005-0000-0000-0000E50B0000}"/>
    <cellStyle name="Normal 2 2 2 11 2 2 6" xfId="27643" xr:uid="{00000000-0005-0000-0000-0000E60B0000}"/>
    <cellStyle name="Normal 2 2 2 11 2 2 6 2" xfId="27644" xr:uid="{00000000-0005-0000-0000-0000E70B0000}"/>
    <cellStyle name="Normal 2 2 2 11 2 2 7" xfId="27645" xr:uid="{00000000-0005-0000-0000-0000E80B0000}"/>
    <cellStyle name="Normal 2 2 2 11 2 3" xfId="1330" xr:uid="{00000000-0005-0000-0000-0000E90B0000}"/>
    <cellStyle name="Normal 2 2 2 11 2 3 2" xfId="1331" xr:uid="{00000000-0005-0000-0000-0000EA0B0000}"/>
    <cellStyle name="Normal 2 2 2 11 2 3 2 2" xfId="27646" xr:uid="{00000000-0005-0000-0000-0000EB0B0000}"/>
    <cellStyle name="Normal 2 2 2 11 2 3 3" xfId="1332" xr:uid="{00000000-0005-0000-0000-0000EC0B0000}"/>
    <cellStyle name="Normal 2 2 2 11 2 3 3 2" xfId="27647" xr:uid="{00000000-0005-0000-0000-0000ED0B0000}"/>
    <cellStyle name="Normal 2 2 2 11 2 3 4" xfId="27648" xr:uid="{00000000-0005-0000-0000-0000EE0B0000}"/>
    <cellStyle name="Normal 2 2 2 11 2 4" xfId="1333" xr:uid="{00000000-0005-0000-0000-0000EF0B0000}"/>
    <cellStyle name="Normal 2 2 2 11 2 4 2" xfId="1334" xr:uid="{00000000-0005-0000-0000-0000F00B0000}"/>
    <cellStyle name="Normal 2 2 2 11 2 4 2 2" xfId="27649" xr:uid="{00000000-0005-0000-0000-0000F10B0000}"/>
    <cellStyle name="Normal 2 2 2 11 2 4 3" xfId="27650" xr:uid="{00000000-0005-0000-0000-0000F20B0000}"/>
    <cellStyle name="Normal 2 2 2 11 2 5" xfId="1335" xr:uid="{00000000-0005-0000-0000-0000F30B0000}"/>
    <cellStyle name="Normal 2 2 2 11 2 5 2" xfId="27651" xr:uid="{00000000-0005-0000-0000-0000F40B0000}"/>
    <cellStyle name="Normal 2 2 2 11 2 6" xfId="1336" xr:uid="{00000000-0005-0000-0000-0000F50B0000}"/>
    <cellStyle name="Normal 2 2 2 11 2 6 2" xfId="27652" xr:uid="{00000000-0005-0000-0000-0000F60B0000}"/>
    <cellStyle name="Normal 2 2 2 11 2 7" xfId="27653" xr:uid="{00000000-0005-0000-0000-0000F70B0000}"/>
    <cellStyle name="Normal 2 2 2 11 2 7 2" xfId="27654" xr:uid="{00000000-0005-0000-0000-0000F80B0000}"/>
    <cellStyle name="Normal 2 2 2 11 2 8" xfId="27655" xr:uid="{00000000-0005-0000-0000-0000F90B0000}"/>
    <cellStyle name="Normal 2 2 2 11 2 9" xfId="27656" xr:uid="{00000000-0005-0000-0000-0000FA0B0000}"/>
    <cellStyle name="Normal 2 2 2 11 3" xfId="1337" xr:uid="{00000000-0005-0000-0000-0000FB0B0000}"/>
    <cellStyle name="Normal 2 2 2 11 3 2" xfId="1338" xr:uid="{00000000-0005-0000-0000-0000FC0B0000}"/>
    <cellStyle name="Normal 2 2 2 11 3 2 2" xfId="1339" xr:uid="{00000000-0005-0000-0000-0000FD0B0000}"/>
    <cellStyle name="Normal 2 2 2 11 3 2 2 2" xfId="27657" xr:uid="{00000000-0005-0000-0000-0000FE0B0000}"/>
    <cellStyle name="Normal 2 2 2 11 3 2 3" xfId="1340" xr:uid="{00000000-0005-0000-0000-0000FF0B0000}"/>
    <cellStyle name="Normal 2 2 2 11 3 2 3 2" xfId="27658" xr:uid="{00000000-0005-0000-0000-0000000C0000}"/>
    <cellStyle name="Normal 2 2 2 11 3 2 4" xfId="27659" xr:uid="{00000000-0005-0000-0000-0000010C0000}"/>
    <cellStyle name="Normal 2 2 2 11 3 3" xfId="1341" xr:uid="{00000000-0005-0000-0000-0000020C0000}"/>
    <cellStyle name="Normal 2 2 2 11 3 3 2" xfId="27660" xr:uid="{00000000-0005-0000-0000-0000030C0000}"/>
    <cellStyle name="Normal 2 2 2 11 3 4" xfId="1342" xr:uid="{00000000-0005-0000-0000-0000040C0000}"/>
    <cellStyle name="Normal 2 2 2 11 3 4 2" xfId="27661" xr:uid="{00000000-0005-0000-0000-0000050C0000}"/>
    <cellStyle name="Normal 2 2 2 11 3 5" xfId="1343" xr:uid="{00000000-0005-0000-0000-0000060C0000}"/>
    <cellStyle name="Normal 2 2 2 11 3 5 2" xfId="27662" xr:uid="{00000000-0005-0000-0000-0000070C0000}"/>
    <cellStyle name="Normal 2 2 2 11 3 6" xfId="27663" xr:uid="{00000000-0005-0000-0000-0000080C0000}"/>
    <cellStyle name="Normal 2 2 2 11 3 6 2" xfId="27664" xr:uid="{00000000-0005-0000-0000-0000090C0000}"/>
    <cellStyle name="Normal 2 2 2 11 3 7" xfId="27665" xr:uid="{00000000-0005-0000-0000-00000A0C0000}"/>
    <cellStyle name="Normal 2 2 2 11 4" xfId="1344" xr:uid="{00000000-0005-0000-0000-00000B0C0000}"/>
    <cellStyle name="Normal 2 2 2 11 4 2" xfId="1345" xr:uid="{00000000-0005-0000-0000-00000C0C0000}"/>
    <cellStyle name="Normal 2 2 2 11 4 2 2" xfId="27666" xr:uid="{00000000-0005-0000-0000-00000D0C0000}"/>
    <cellStyle name="Normal 2 2 2 11 4 3" xfId="1346" xr:uid="{00000000-0005-0000-0000-00000E0C0000}"/>
    <cellStyle name="Normal 2 2 2 11 4 3 2" xfId="27667" xr:uid="{00000000-0005-0000-0000-00000F0C0000}"/>
    <cellStyle name="Normal 2 2 2 11 4 4" xfId="27668" xr:uid="{00000000-0005-0000-0000-0000100C0000}"/>
    <cellStyle name="Normal 2 2 2 11 5" xfId="1347" xr:uid="{00000000-0005-0000-0000-0000110C0000}"/>
    <cellStyle name="Normal 2 2 2 11 5 2" xfId="1348" xr:uid="{00000000-0005-0000-0000-0000120C0000}"/>
    <cellStyle name="Normal 2 2 2 11 5 2 2" xfId="27669" xr:uid="{00000000-0005-0000-0000-0000130C0000}"/>
    <cellStyle name="Normal 2 2 2 11 5 3" xfId="27670" xr:uid="{00000000-0005-0000-0000-0000140C0000}"/>
    <cellStyle name="Normal 2 2 2 11 6" xfId="1349" xr:uid="{00000000-0005-0000-0000-0000150C0000}"/>
    <cellStyle name="Normal 2 2 2 11 6 2" xfId="27671" xr:uid="{00000000-0005-0000-0000-0000160C0000}"/>
    <cellStyle name="Normal 2 2 2 11 7" xfId="1350" xr:uid="{00000000-0005-0000-0000-0000170C0000}"/>
    <cellStyle name="Normal 2 2 2 11 7 2" xfId="27672" xr:uid="{00000000-0005-0000-0000-0000180C0000}"/>
    <cellStyle name="Normal 2 2 2 11 8" xfId="27673" xr:uid="{00000000-0005-0000-0000-0000190C0000}"/>
    <cellStyle name="Normal 2 2 2 11 8 2" xfId="27674" xr:uid="{00000000-0005-0000-0000-00001A0C0000}"/>
    <cellStyle name="Normal 2 2 2 11 9" xfId="27675" xr:uid="{00000000-0005-0000-0000-00001B0C0000}"/>
    <cellStyle name="Normal 2 2 2 12" xfId="1351" xr:uid="{00000000-0005-0000-0000-00001C0C0000}"/>
    <cellStyle name="Normal 2 2 2 12 10" xfId="27676" xr:uid="{00000000-0005-0000-0000-00001D0C0000}"/>
    <cellStyle name="Normal 2 2 2 12 11" xfId="27677" xr:uid="{00000000-0005-0000-0000-00001E0C0000}"/>
    <cellStyle name="Normal 2 2 2 12 2" xfId="1352" xr:uid="{00000000-0005-0000-0000-00001F0C0000}"/>
    <cellStyle name="Normal 2 2 2 12 2 10" xfId="27678" xr:uid="{00000000-0005-0000-0000-0000200C0000}"/>
    <cellStyle name="Normal 2 2 2 12 2 2" xfId="1353" xr:uid="{00000000-0005-0000-0000-0000210C0000}"/>
    <cellStyle name="Normal 2 2 2 12 2 2 2" xfId="1354" xr:uid="{00000000-0005-0000-0000-0000220C0000}"/>
    <cellStyle name="Normal 2 2 2 12 2 2 2 2" xfId="1355" xr:uid="{00000000-0005-0000-0000-0000230C0000}"/>
    <cellStyle name="Normal 2 2 2 12 2 2 2 2 2" xfId="27679" xr:uid="{00000000-0005-0000-0000-0000240C0000}"/>
    <cellStyle name="Normal 2 2 2 12 2 2 2 3" xfId="1356" xr:uid="{00000000-0005-0000-0000-0000250C0000}"/>
    <cellStyle name="Normal 2 2 2 12 2 2 2 3 2" xfId="27680" xr:uid="{00000000-0005-0000-0000-0000260C0000}"/>
    <cellStyle name="Normal 2 2 2 12 2 2 2 4" xfId="27681" xr:uid="{00000000-0005-0000-0000-0000270C0000}"/>
    <cellStyle name="Normal 2 2 2 12 2 2 3" xfId="1357" xr:uid="{00000000-0005-0000-0000-0000280C0000}"/>
    <cellStyle name="Normal 2 2 2 12 2 2 3 2" xfId="27682" xr:uid="{00000000-0005-0000-0000-0000290C0000}"/>
    <cellStyle name="Normal 2 2 2 12 2 2 4" xfId="1358" xr:uid="{00000000-0005-0000-0000-00002A0C0000}"/>
    <cellStyle name="Normal 2 2 2 12 2 2 4 2" xfId="27683" xr:uid="{00000000-0005-0000-0000-00002B0C0000}"/>
    <cellStyle name="Normal 2 2 2 12 2 2 5" xfId="1359" xr:uid="{00000000-0005-0000-0000-00002C0C0000}"/>
    <cellStyle name="Normal 2 2 2 12 2 2 5 2" xfId="27684" xr:uid="{00000000-0005-0000-0000-00002D0C0000}"/>
    <cellStyle name="Normal 2 2 2 12 2 2 6" xfId="27685" xr:uid="{00000000-0005-0000-0000-00002E0C0000}"/>
    <cellStyle name="Normal 2 2 2 12 2 2 6 2" xfId="27686" xr:uid="{00000000-0005-0000-0000-00002F0C0000}"/>
    <cellStyle name="Normal 2 2 2 12 2 2 7" xfId="27687" xr:uid="{00000000-0005-0000-0000-0000300C0000}"/>
    <cellStyle name="Normal 2 2 2 12 2 3" xfId="1360" xr:uid="{00000000-0005-0000-0000-0000310C0000}"/>
    <cellStyle name="Normal 2 2 2 12 2 3 2" xfId="1361" xr:uid="{00000000-0005-0000-0000-0000320C0000}"/>
    <cellStyle name="Normal 2 2 2 12 2 3 2 2" xfId="27688" xr:uid="{00000000-0005-0000-0000-0000330C0000}"/>
    <cellStyle name="Normal 2 2 2 12 2 3 3" xfId="1362" xr:uid="{00000000-0005-0000-0000-0000340C0000}"/>
    <cellStyle name="Normal 2 2 2 12 2 3 3 2" xfId="27689" xr:uid="{00000000-0005-0000-0000-0000350C0000}"/>
    <cellStyle name="Normal 2 2 2 12 2 3 4" xfId="27690" xr:uid="{00000000-0005-0000-0000-0000360C0000}"/>
    <cellStyle name="Normal 2 2 2 12 2 4" xfId="1363" xr:uid="{00000000-0005-0000-0000-0000370C0000}"/>
    <cellStyle name="Normal 2 2 2 12 2 4 2" xfId="1364" xr:uid="{00000000-0005-0000-0000-0000380C0000}"/>
    <cellStyle name="Normal 2 2 2 12 2 4 2 2" xfId="27691" xr:uid="{00000000-0005-0000-0000-0000390C0000}"/>
    <cellStyle name="Normal 2 2 2 12 2 4 3" xfId="27692" xr:uid="{00000000-0005-0000-0000-00003A0C0000}"/>
    <cellStyle name="Normal 2 2 2 12 2 5" xfId="1365" xr:uid="{00000000-0005-0000-0000-00003B0C0000}"/>
    <cellStyle name="Normal 2 2 2 12 2 5 2" xfId="27693" xr:uid="{00000000-0005-0000-0000-00003C0C0000}"/>
    <cellStyle name="Normal 2 2 2 12 2 6" xfId="1366" xr:uid="{00000000-0005-0000-0000-00003D0C0000}"/>
    <cellStyle name="Normal 2 2 2 12 2 6 2" xfId="27694" xr:uid="{00000000-0005-0000-0000-00003E0C0000}"/>
    <cellStyle name="Normal 2 2 2 12 2 7" xfId="27695" xr:uid="{00000000-0005-0000-0000-00003F0C0000}"/>
    <cellStyle name="Normal 2 2 2 12 2 7 2" xfId="27696" xr:uid="{00000000-0005-0000-0000-0000400C0000}"/>
    <cellStyle name="Normal 2 2 2 12 2 8" xfId="27697" xr:uid="{00000000-0005-0000-0000-0000410C0000}"/>
    <cellStyle name="Normal 2 2 2 12 2 9" xfId="27698" xr:uid="{00000000-0005-0000-0000-0000420C0000}"/>
    <cellStyle name="Normal 2 2 2 12 3" xfId="1367" xr:uid="{00000000-0005-0000-0000-0000430C0000}"/>
    <cellStyle name="Normal 2 2 2 12 3 2" xfId="1368" xr:uid="{00000000-0005-0000-0000-0000440C0000}"/>
    <cellStyle name="Normal 2 2 2 12 3 2 2" xfId="1369" xr:uid="{00000000-0005-0000-0000-0000450C0000}"/>
    <cellStyle name="Normal 2 2 2 12 3 2 2 2" xfId="27699" xr:uid="{00000000-0005-0000-0000-0000460C0000}"/>
    <cellStyle name="Normal 2 2 2 12 3 2 3" xfId="1370" xr:uid="{00000000-0005-0000-0000-0000470C0000}"/>
    <cellStyle name="Normal 2 2 2 12 3 2 3 2" xfId="27700" xr:uid="{00000000-0005-0000-0000-0000480C0000}"/>
    <cellStyle name="Normal 2 2 2 12 3 2 4" xfId="27701" xr:uid="{00000000-0005-0000-0000-0000490C0000}"/>
    <cellStyle name="Normal 2 2 2 12 3 3" xfId="1371" xr:uid="{00000000-0005-0000-0000-00004A0C0000}"/>
    <cellStyle name="Normal 2 2 2 12 3 3 2" xfId="27702" xr:uid="{00000000-0005-0000-0000-00004B0C0000}"/>
    <cellStyle name="Normal 2 2 2 12 3 4" xfId="1372" xr:uid="{00000000-0005-0000-0000-00004C0C0000}"/>
    <cellStyle name="Normal 2 2 2 12 3 4 2" xfId="27703" xr:uid="{00000000-0005-0000-0000-00004D0C0000}"/>
    <cellStyle name="Normal 2 2 2 12 3 5" xfId="1373" xr:uid="{00000000-0005-0000-0000-00004E0C0000}"/>
    <cellStyle name="Normal 2 2 2 12 3 5 2" xfId="27704" xr:uid="{00000000-0005-0000-0000-00004F0C0000}"/>
    <cellStyle name="Normal 2 2 2 12 3 6" xfId="27705" xr:uid="{00000000-0005-0000-0000-0000500C0000}"/>
    <cellStyle name="Normal 2 2 2 12 3 6 2" xfId="27706" xr:uid="{00000000-0005-0000-0000-0000510C0000}"/>
    <cellStyle name="Normal 2 2 2 12 3 7" xfId="27707" xr:uid="{00000000-0005-0000-0000-0000520C0000}"/>
    <cellStyle name="Normal 2 2 2 12 4" xfId="1374" xr:uid="{00000000-0005-0000-0000-0000530C0000}"/>
    <cellStyle name="Normal 2 2 2 12 4 2" xfId="1375" xr:uid="{00000000-0005-0000-0000-0000540C0000}"/>
    <cellStyle name="Normal 2 2 2 12 4 2 2" xfId="27708" xr:uid="{00000000-0005-0000-0000-0000550C0000}"/>
    <cellStyle name="Normal 2 2 2 12 4 3" xfId="1376" xr:uid="{00000000-0005-0000-0000-0000560C0000}"/>
    <cellStyle name="Normal 2 2 2 12 4 3 2" xfId="27709" xr:uid="{00000000-0005-0000-0000-0000570C0000}"/>
    <cellStyle name="Normal 2 2 2 12 4 4" xfId="27710" xr:uid="{00000000-0005-0000-0000-0000580C0000}"/>
    <cellStyle name="Normal 2 2 2 12 5" xfId="1377" xr:uid="{00000000-0005-0000-0000-0000590C0000}"/>
    <cellStyle name="Normal 2 2 2 12 5 2" xfId="1378" xr:uid="{00000000-0005-0000-0000-00005A0C0000}"/>
    <cellStyle name="Normal 2 2 2 12 5 2 2" xfId="27711" xr:uid="{00000000-0005-0000-0000-00005B0C0000}"/>
    <cellStyle name="Normal 2 2 2 12 5 3" xfId="27712" xr:uid="{00000000-0005-0000-0000-00005C0C0000}"/>
    <cellStyle name="Normal 2 2 2 12 6" xfId="1379" xr:uid="{00000000-0005-0000-0000-00005D0C0000}"/>
    <cellStyle name="Normal 2 2 2 12 6 2" xfId="27713" xr:uid="{00000000-0005-0000-0000-00005E0C0000}"/>
    <cellStyle name="Normal 2 2 2 12 7" xfId="1380" xr:uid="{00000000-0005-0000-0000-00005F0C0000}"/>
    <cellStyle name="Normal 2 2 2 12 7 2" xfId="27714" xr:uid="{00000000-0005-0000-0000-0000600C0000}"/>
    <cellStyle name="Normal 2 2 2 12 8" xfId="27715" xr:uid="{00000000-0005-0000-0000-0000610C0000}"/>
    <cellStyle name="Normal 2 2 2 12 8 2" xfId="27716" xr:uid="{00000000-0005-0000-0000-0000620C0000}"/>
    <cellStyle name="Normal 2 2 2 12 9" xfId="27717" xr:uid="{00000000-0005-0000-0000-0000630C0000}"/>
    <cellStyle name="Normal 2 2 2 13" xfId="1381" xr:uid="{00000000-0005-0000-0000-0000640C0000}"/>
    <cellStyle name="Normal 2 2 2 13 10" xfId="27718" xr:uid="{00000000-0005-0000-0000-0000650C0000}"/>
    <cellStyle name="Normal 2 2 2 13 11" xfId="27719" xr:uid="{00000000-0005-0000-0000-0000660C0000}"/>
    <cellStyle name="Normal 2 2 2 13 2" xfId="1382" xr:uid="{00000000-0005-0000-0000-0000670C0000}"/>
    <cellStyle name="Normal 2 2 2 13 2 10" xfId="27720" xr:uid="{00000000-0005-0000-0000-0000680C0000}"/>
    <cellStyle name="Normal 2 2 2 13 2 2" xfId="1383" xr:uid="{00000000-0005-0000-0000-0000690C0000}"/>
    <cellStyle name="Normal 2 2 2 13 2 2 2" xfId="1384" xr:uid="{00000000-0005-0000-0000-00006A0C0000}"/>
    <cellStyle name="Normal 2 2 2 13 2 2 2 2" xfId="1385" xr:uid="{00000000-0005-0000-0000-00006B0C0000}"/>
    <cellStyle name="Normal 2 2 2 13 2 2 2 2 2" xfId="27721" xr:uid="{00000000-0005-0000-0000-00006C0C0000}"/>
    <cellStyle name="Normal 2 2 2 13 2 2 2 3" xfId="1386" xr:uid="{00000000-0005-0000-0000-00006D0C0000}"/>
    <cellStyle name="Normal 2 2 2 13 2 2 2 3 2" xfId="27722" xr:uid="{00000000-0005-0000-0000-00006E0C0000}"/>
    <cellStyle name="Normal 2 2 2 13 2 2 2 4" xfId="27723" xr:uid="{00000000-0005-0000-0000-00006F0C0000}"/>
    <cellStyle name="Normal 2 2 2 13 2 2 3" xfId="1387" xr:uid="{00000000-0005-0000-0000-0000700C0000}"/>
    <cellStyle name="Normal 2 2 2 13 2 2 3 2" xfId="27724" xr:uid="{00000000-0005-0000-0000-0000710C0000}"/>
    <cellStyle name="Normal 2 2 2 13 2 2 4" xfId="1388" xr:uid="{00000000-0005-0000-0000-0000720C0000}"/>
    <cellStyle name="Normal 2 2 2 13 2 2 4 2" xfId="27725" xr:uid="{00000000-0005-0000-0000-0000730C0000}"/>
    <cellStyle name="Normal 2 2 2 13 2 2 5" xfId="1389" xr:uid="{00000000-0005-0000-0000-0000740C0000}"/>
    <cellStyle name="Normal 2 2 2 13 2 2 5 2" xfId="27726" xr:uid="{00000000-0005-0000-0000-0000750C0000}"/>
    <cellStyle name="Normal 2 2 2 13 2 2 6" xfId="27727" xr:uid="{00000000-0005-0000-0000-0000760C0000}"/>
    <cellStyle name="Normal 2 2 2 13 2 2 6 2" xfId="27728" xr:uid="{00000000-0005-0000-0000-0000770C0000}"/>
    <cellStyle name="Normal 2 2 2 13 2 2 7" xfId="27729" xr:uid="{00000000-0005-0000-0000-0000780C0000}"/>
    <cellStyle name="Normal 2 2 2 13 2 3" xfId="1390" xr:uid="{00000000-0005-0000-0000-0000790C0000}"/>
    <cellStyle name="Normal 2 2 2 13 2 3 2" xfId="1391" xr:uid="{00000000-0005-0000-0000-00007A0C0000}"/>
    <cellStyle name="Normal 2 2 2 13 2 3 2 2" xfId="27730" xr:uid="{00000000-0005-0000-0000-00007B0C0000}"/>
    <cellStyle name="Normal 2 2 2 13 2 3 3" xfId="1392" xr:uid="{00000000-0005-0000-0000-00007C0C0000}"/>
    <cellStyle name="Normal 2 2 2 13 2 3 3 2" xfId="27731" xr:uid="{00000000-0005-0000-0000-00007D0C0000}"/>
    <cellStyle name="Normal 2 2 2 13 2 3 4" xfId="27732" xr:uid="{00000000-0005-0000-0000-00007E0C0000}"/>
    <cellStyle name="Normal 2 2 2 13 2 4" xfId="1393" xr:uid="{00000000-0005-0000-0000-00007F0C0000}"/>
    <cellStyle name="Normal 2 2 2 13 2 4 2" xfId="1394" xr:uid="{00000000-0005-0000-0000-0000800C0000}"/>
    <cellStyle name="Normal 2 2 2 13 2 4 2 2" xfId="27733" xr:uid="{00000000-0005-0000-0000-0000810C0000}"/>
    <cellStyle name="Normal 2 2 2 13 2 4 3" xfId="27734" xr:uid="{00000000-0005-0000-0000-0000820C0000}"/>
    <cellStyle name="Normal 2 2 2 13 2 5" xfId="1395" xr:uid="{00000000-0005-0000-0000-0000830C0000}"/>
    <cellStyle name="Normal 2 2 2 13 2 5 2" xfId="27735" xr:uid="{00000000-0005-0000-0000-0000840C0000}"/>
    <cellStyle name="Normal 2 2 2 13 2 6" xfId="1396" xr:uid="{00000000-0005-0000-0000-0000850C0000}"/>
    <cellStyle name="Normal 2 2 2 13 2 6 2" xfId="27736" xr:uid="{00000000-0005-0000-0000-0000860C0000}"/>
    <cellStyle name="Normal 2 2 2 13 2 7" xfId="27737" xr:uid="{00000000-0005-0000-0000-0000870C0000}"/>
    <cellStyle name="Normal 2 2 2 13 2 7 2" xfId="27738" xr:uid="{00000000-0005-0000-0000-0000880C0000}"/>
    <cellStyle name="Normal 2 2 2 13 2 8" xfId="27739" xr:uid="{00000000-0005-0000-0000-0000890C0000}"/>
    <cellStyle name="Normal 2 2 2 13 2 9" xfId="27740" xr:uid="{00000000-0005-0000-0000-00008A0C0000}"/>
    <cellStyle name="Normal 2 2 2 13 3" xfId="1397" xr:uid="{00000000-0005-0000-0000-00008B0C0000}"/>
    <cellStyle name="Normal 2 2 2 13 3 2" xfId="1398" xr:uid="{00000000-0005-0000-0000-00008C0C0000}"/>
    <cellStyle name="Normal 2 2 2 13 3 2 2" xfId="1399" xr:uid="{00000000-0005-0000-0000-00008D0C0000}"/>
    <cellStyle name="Normal 2 2 2 13 3 2 2 2" xfId="27741" xr:uid="{00000000-0005-0000-0000-00008E0C0000}"/>
    <cellStyle name="Normal 2 2 2 13 3 2 3" xfId="1400" xr:uid="{00000000-0005-0000-0000-00008F0C0000}"/>
    <cellStyle name="Normal 2 2 2 13 3 2 3 2" xfId="27742" xr:uid="{00000000-0005-0000-0000-0000900C0000}"/>
    <cellStyle name="Normal 2 2 2 13 3 2 4" xfId="27743" xr:uid="{00000000-0005-0000-0000-0000910C0000}"/>
    <cellStyle name="Normal 2 2 2 13 3 3" xfId="1401" xr:uid="{00000000-0005-0000-0000-0000920C0000}"/>
    <cellStyle name="Normal 2 2 2 13 3 3 2" xfId="27744" xr:uid="{00000000-0005-0000-0000-0000930C0000}"/>
    <cellStyle name="Normal 2 2 2 13 3 4" xfId="1402" xr:uid="{00000000-0005-0000-0000-0000940C0000}"/>
    <cellStyle name="Normal 2 2 2 13 3 4 2" xfId="27745" xr:uid="{00000000-0005-0000-0000-0000950C0000}"/>
    <cellStyle name="Normal 2 2 2 13 3 5" xfId="1403" xr:uid="{00000000-0005-0000-0000-0000960C0000}"/>
    <cellStyle name="Normal 2 2 2 13 3 5 2" xfId="27746" xr:uid="{00000000-0005-0000-0000-0000970C0000}"/>
    <cellStyle name="Normal 2 2 2 13 3 6" xfId="27747" xr:uid="{00000000-0005-0000-0000-0000980C0000}"/>
    <cellStyle name="Normal 2 2 2 13 3 6 2" xfId="27748" xr:uid="{00000000-0005-0000-0000-0000990C0000}"/>
    <cellStyle name="Normal 2 2 2 13 3 7" xfId="27749" xr:uid="{00000000-0005-0000-0000-00009A0C0000}"/>
    <cellStyle name="Normal 2 2 2 13 4" xfId="1404" xr:uid="{00000000-0005-0000-0000-00009B0C0000}"/>
    <cellStyle name="Normal 2 2 2 13 4 2" xfId="1405" xr:uid="{00000000-0005-0000-0000-00009C0C0000}"/>
    <cellStyle name="Normal 2 2 2 13 4 2 2" xfId="27750" xr:uid="{00000000-0005-0000-0000-00009D0C0000}"/>
    <cellStyle name="Normal 2 2 2 13 4 3" xfId="1406" xr:uid="{00000000-0005-0000-0000-00009E0C0000}"/>
    <cellStyle name="Normal 2 2 2 13 4 3 2" xfId="27751" xr:uid="{00000000-0005-0000-0000-00009F0C0000}"/>
    <cellStyle name="Normal 2 2 2 13 4 4" xfId="27752" xr:uid="{00000000-0005-0000-0000-0000A00C0000}"/>
    <cellStyle name="Normal 2 2 2 13 5" xfId="1407" xr:uid="{00000000-0005-0000-0000-0000A10C0000}"/>
    <cellStyle name="Normal 2 2 2 13 5 2" xfId="1408" xr:uid="{00000000-0005-0000-0000-0000A20C0000}"/>
    <cellStyle name="Normal 2 2 2 13 5 2 2" xfId="27753" xr:uid="{00000000-0005-0000-0000-0000A30C0000}"/>
    <cellStyle name="Normal 2 2 2 13 5 3" xfId="27754" xr:uid="{00000000-0005-0000-0000-0000A40C0000}"/>
    <cellStyle name="Normal 2 2 2 13 6" xfId="1409" xr:uid="{00000000-0005-0000-0000-0000A50C0000}"/>
    <cellStyle name="Normal 2 2 2 13 6 2" xfId="27755" xr:uid="{00000000-0005-0000-0000-0000A60C0000}"/>
    <cellStyle name="Normal 2 2 2 13 7" xfId="1410" xr:uid="{00000000-0005-0000-0000-0000A70C0000}"/>
    <cellStyle name="Normal 2 2 2 13 7 2" xfId="27756" xr:uid="{00000000-0005-0000-0000-0000A80C0000}"/>
    <cellStyle name="Normal 2 2 2 13 8" xfId="27757" xr:uid="{00000000-0005-0000-0000-0000A90C0000}"/>
    <cellStyle name="Normal 2 2 2 13 8 2" xfId="27758" xr:uid="{00000000-0005-0000-0000-0000AA0C0000}"/>
    <cellStyle name="Normal 2 2 2 13 9" xfId="27759" xr:uid="{00000000-0005-0000-0000-0000AB0C0000}"/>
    <cellStyle name="Normal 2 2 2 14" xfId="1411" xr:uid="{00000000-0005-0000-0000-0000AC0C0000}"/>
    <cellStyle name="Normal 2 2 2 14 10" xfId="27760" xr:uid="{00000000-0005-0000-0000-0000AD0C0000}"/>
    <cellStyle name="Normal 2 2 2 14 11" xfId="27761" xr:uid="{00000000-0005-0000-0000-0000AE0C0000}"/>
    <cellStyle name="Normal 2 2 2 14 2" xfId="1412" xr:uid="{00000000-0005-0000-0000-0000AF0C0000}"/>
    <cellStyle name="Normal 2 2 2 14 2 10" xfId="27762" xr:uid="{00000000-0005-0000-0000-0000B00C0000}"/>
    <cellStyle name="Normal 2 2 2 14 2 2" xfId="1413" xr:uid="{00000000-0005-0000-0000-0000B10C0000}"/>
    <cellStyle name="Normal 2 2 2 14 2 2 2" xfId="1414" xr:uid="{00000000-0005-0000-0000-0000B20C0000}"/>
    <cellStyle name="Normal 2 2 2 14 2 2 2 2" xfId="1415" xr:uid="{00000000-0005-0000-0000-0000B30C0000}"/>
    <cellStyle name="Normal 2 2 2 14 2 2 2 2 2" xfId="27763" xr:uid="{00000000-0005-0000-0000-0000B40C0000}"/>
    <cellStyle name="Normal 2 2 2 14 2 2 2 3" xfId="1416" xr:uid="{00000000-0005-0000-0000-0000B50C0000}"/>
    <cellStyle name="Normal 2 2 2 14 2 2 2 3 2" xfId="27764" xr:uid="{00000000-0005-0000-0000-0000B60C0000}"/>
    <cellStyle name="Normal 2 2 2 14 2 2 2 4" xfId="27765" xr:uid="{00000000-0005-0000-0000-0000B70C0000}"/>
    <cellStyle name="Normal 2 2 2 14 2 2 3" xfId="1417" xr:uid="{00000000-0005-0000-0000-0000B80C0000}"/>
    <cellStyle name="Normal 2 2 2 14 2 2 3 2" xfId="27766" xr:uid="{00000000-0005-0000-0000-0000B90C0000}"/>
    <cellStyle name="Normal 2 2 2 14 2 2 4" xfId="1418" xr:uid="{00000000-0005-0000-0000-0000BA0C0000}"/>
    <cellStyle name="Normal 2 2 2 14 2 2 4 2" xfId="27767" xr:uid="{00000000-0005-0000-0000-0000BB0C0000}"/>
    <cellStyle name="Normal 2 2 2 14 2 2 5" xfId="1419" xr:uid="{00000000-0005-0000-0000-0000BC0C0000}"/>
    <cellStyle name="Normal 2 2 2 14 2 2 5 2" xfId="27768" xr:uid="{00000000-0005-0000-0000-0000BD0C0000}"/>
    <cellStyle name="Normal 2 2 2 14 2 2 6" xfId="27769" xr:uid="{00000000-0005-0000-0000-0000BE0C0000}"/>
    <cellStyle name="Normal 2 2 2 14 2 2 6 2" xfId="27770" xr:uid="{00000000-0005-0000-0000-0000BF0C0000}"/>
    <cellStyle name="Normal 2 2 2 14 2 2 7" xfId="27771" xr:uid="{00000000-0005-0000-0000-0000C00C0000}"/>
    <cellStyle name="Normal 2 2 2 14 2 3" xfId="1420" xr:uid="{00000000-0005-0000-0000-0000C10C0000}"/>
    <cellStyle name="Normal 2 2 2 14 2 3 2" xfId="1421" xr:uid="{00000000-0005-0000-0000-0000C20C0000}"/>
    <cellStyle name="Normal 2 2 2 14 2 3 2 2" xfId="27772" xr:uid="{00000000-0005-0000-0000-0000C30C0000}"/>
    <cellStyle name="Normal 2 2 2 14 2 3 3" xfId="1422" xr:uid="{00000000-0005-0000-0000-0000C40C0000}"/>
    <cellStyle name="Normal 2 2 2 14 2 3 3 2" xfId="27773" xr:uid="{00000000-0005-0000-0000-0000C50C0000}"/>
    <cellStyle name="Normal 2 2 2 14 2 3 4" xfId="27774" xr:uid="{00000000-0005-0000-0000-0000C60C0000}"/>
    <cellStyle name="Normal 2 2 2 14 2 4" xfId="1423" xr:uid="{00000000-0005-0000-0000-0000C70C0000}"/>
    <cellStyle name="Normal 2 2 2 14 2 4 2" xfId="1424" xr:uid="{00000000-0005-0000-0000-0000C80C0000}"/>
    <cellStyle name="Normal 2 2 2 14 2 4 2 2" xfId="27775" xr:uid="{00000000-0005-0000-0000-0000C90C0000}"/>
    <cellStyle name="Normal 2 2 2 14 2 4 3" xfId="27776" xr:uid="{00000000-0005-0000-0000-0000CA0C0000}"/>
    <cellStyle name="Normal 2 2 2 14 2 5" xfId="1425" xr:uid="{00000000-0005-0000-0000-0000CB0C0000}"/>
    <cellStyle name="Normal 2 2 2 14 2 5 2" xfId="27777" xr:uid="{00000000-0005-0000-0000-0000CC0C0000}"/>
    <cellStyle name="Normal 2 2 2 14 2 6" xfId="1426" xr:uid="{00000000-0005-0000-0000-0000CD0C0000}"/>
    <cellStyle name="Normal 2 2 2 14 2 6 2" xfId="27778" xr:uid="{00000000-0005-0000-0000-0000CE0C0000}"/>
    <cellStyle name="Normal 2 2 2 14 2 7" xfId="27779" xr:uid="{00000000-0005-0000-0000-0000CF0C0000}"/>
    <cellStyle name="Normal 2 2 2 14 2 7 2" xfId="27780" xr:uid="{00000000-0005-0000-0000-0000D00C0000}"/>
    <cellStyle name="Normal 2 2 2 14 2 8" xfId="27781" xr:uid="{00000000-0005-0000-0000-0000D10C0000}"/>
    <cellStyle name="Normal 2 2 2 14 2 9" xfId="27782" xr:uid="{00000000-0005-0000-0000-0000D20C0000}"/>
    <cellStyle name="Normal 2 2 2 14 3" xfId="1427" xr:uid="{00000000-0005-0000-0000-0000D30C0000}"/>
    <cellStyle name="Normal 2 2 2 14 3 2" xfId="1428" xr:uid="{00000000-0005-0000-0000-0000D40C0000}"/>
    <cellStyle name="Normal 2 2 2 14 3 2 2" xfId="1429" xr:uid="{00000000-0005-0000-0000-0000D50C0000}"/>
    <cellStyle name="Normal 2 2 2 14 3 2 2 2" xfId="27783" xr:uid="{00000000-0005-0000-0000-0000D60C0000}"/>
    <cellStyle name="Normal 2 2 2 14 3 2 3" xfId="1430" xr:uid="{00000000-0005-0000-0000-0000D70C0000}"/>
    <cellStyle name="Normal 2 2 2 14 3 2 3 2" xfId="27784" xr:uid="{00000000-0005-0000-0000-0000D80C0000}"/>
    <cellStyle name="Normal 2 2 2 14 3 2 4" xfId="27785" xr:uid="{00000000-0005-0000-0000-0000D90C0000}"/>
    <cellStyle name="Normal 2 2 2 14 3 3" xfId="1431" xr:uid="{00000000-0005-0000-0000-0000DA0C0000}"/>
    <cellStyle name="Normal 2 2 2 14 3 3 2" xfId="27786" xr:uid="{00000000-0005-0000-0000-0000DB0C0000}"/>
    <cellStyle name="Normal 2 2 2 14 3 4" xfId="1432" xr:uid="{00000000-0005-0000-0000-0000DC0C0000}"/>
    <cellStyle name="Normal 2 2 2 14 3 4 2" xfId="27787" xr:uid="{00000000-0005-0000-0000-0000DD0C0000}"/>
    <cellStyle name="Normal 2 2 2 14 3 5" xfId="1433" xr:uid="{00000000-0005-0000-0000-0000DE0C0000}"/>
    <cellStyle name="Normal 2 2 2 14 3 5 2" xfId="27788" xr:uid="{00000000-0005-0000-0000-0000DF0C0000}"/>
    <cellStyle name="Normal 2 2 2 14 3 6" xfId="27789" xr:uid="{00000000-0005-0000-0000-0000E00C0000}"/>
    <cellStyle name="Normal 2 2 2 14 3 6 2" xfId="27790" xr:uid="{00000000-0005-0000-0000-0000E10C0000}"/>
    <cellStyle name="Normal 2 2 2 14 3 7" xfId="27791" xr:uid="{00000000-0005-0000-0000-0000E20C0000}"/>
    <cellStyle name="Normal 2 2 2 14 4" xfId="1434" xr:uid="{00000000-0005-0000-0000-0000E30C0000}"/>
    <cellStyle name="Normal 2 2 2 14 4 2" xfId="1435" xr:uid="{00000000-0005-0000-0000-0000E40C0000}"/>
    <cellStyle name="Normal 2 2 2 14 4 2 2" xfId="27792" xr:uid="{00000000-0005-0000-0000-0000E50C0000}"/>
    <cellStyle name="Normal 2 2 2 14 4 3" xfId="1436" xr:uid="{00000000-0005-0000-0000-0000E60C0000}"/>
    <cellStyle name="Normal 2 2 2 14 4 3 2" xfId="27793" xr:uid="{00000000-0005-0000-0000-0000E70C0000}"/>
    <cellStyle name="Normal 2 2 2 14 4 4" xfId="27794" xr:uid="{00000000-0005-0000-0000-0000E80C0000}"/>
    <cellStyle name="Normal 2 2 2 14 5" xfId="1437" xr:uid="{00000000-0005-0000-0000-0000E90C0000}"/>
    <cellStyle name="Normal 2 2 2 14 5 2" xfId="1438" xr:uid="{00000000-0005-0000-0000-0000EA0C0000}"/>
    <cellStyle name="Normal 2 2 2 14 5 2 2" xfId="27795" xr:uid="{00000000-0005-0000-0000-0000EB0C0000}"/>
    <cellStyle name="Normal 2 2 2 14 5 3" xfId="27796" xr:uid="{00000000-0005-0000-0000-0000EC0C0000}"/>
    <cellStyle name="Normal 2 2 2 14 6" xfId="1439" xr:uid="{00000000-0005-0000-0000-0000ED0C0000}"/>
    <cellStyle name="Normal 2 2 2 14 6 2" xfId="27797" xr:uid="{00000000-0005-0000-0000-0000EE0C0000}"/>
    <cellStyle name="Normal 2 2 2 14 7" xfId="1440" xr:uid="{00000000-0005-0000-0000-0000EF0C0000}"/>
    <cellStyle name="Normal 2 2 2 14 7 2" xfId="27798" xr:uid="{00000000-0005-0000-0000-0000F00C0000}"/>
    <cellStyle name="Normal 2 2 2 14 8" xfId="27799" xr:uid="{00000000-0005-0000-0000-0000F10C0000}"/>
    <cellStyle name="Normal 2 2 2 14 8 2" xfId="27800" xr:uid="{00000000-0005-0000-0000-0000F20C0000}"/>
    <cellStyle name="Normal 2 2 2 14 9" xfId="27801" xr:uid="{00000000-0005-0000-0000-0000F30C0000}"/>
    <cellStyle name="Normal 2 2 2 15" xfId="1441" xr:uid="{00000000-0005-0000-0000-0000F40C0000}"/>
    <cellStyle name="Normal 2 2 2 15 10" xfId="27802" xr:uid="{00000000-0005-0000-0000-0000F50C0000}"/>
    <cellStyle name="Normal 2 2 2 15 11" xfId="27803" xr:uid="{00000000-0005-0000-0000-0000F60C0000}"/>
    <cellStyle name="Normal 2 2 2 15 2" xfId="1442" xr:uid="{00000000-0005-0000-0000-0000F70C0000}"/>
    <cellStyle name="Normal 2 2 2 15 2 10" xfId="27804" xr:uid="{00000000-0005-0000-0000-0000F80C0000}"/>
    <cellStyle name="Normal 2 2 2 15 2 2" xfId="1443" xr:uid="{00000000-0005-0000-0000-0000F90C0000}"/>
    <cellStyle name="Normal 2 2 2 15 2 2 2" xfId="1444" xr:uid="{00000000-0005-0000-0000-0000FA0C0000}"/>
    <cellStyle name="Normal 2 2 2 15 2 2 2 2" xfId="1445" xr:uid="{00000000-0005-0000-0000-0000FB0C0000}"/>
    <cellStyle name="Normal 2 2 2 15 2 2 2 2 2" xfId="27805" xr:uid="{00000000-0005-0000-0000-0000FC0C0000}"/>
    <cellStyle name="Normal 2 2 2 15 2 2 2 3" xfId="1446" xr:uid="{00000000-0005-0000-0000-0000FD0C0000}"/>
    <cellStyle name="Normal 2 2 2 15 2 2 2 3 2" xfId="27806" xr:uid="{00000000-0005-0000-0000-0000FE0C0000}"/>
    <cellStyle name="Normal 2 2 2 15 2 2 2 4" xfId="27807" xr:uid="{00000000-0005-0000-0000-0000FF0C0000}"/>
    <cellStyle name="Normal 2 2 2 15 2 2 3" xfId="1447" xr:uid="{00000000-0005-0000-0000-0000000D0000}"/>
    <cellStyle name="Normal 2 2 2 15 2 2 3 2" xfId="27808" xr:uid="{00000000-0005-0000-0000-0000010D0000}"/>
    <cellStyle name="Normal 2 2 2 15 2 2 4" xfId="1448" xr:uid="{00000000-0005-0000-0000-0000020D0000}"/>
    <cellStyle name="Normal 2 2 2 15 2 2 4 2" xfId="27809" xr:uid="{00000000-0005-0000-0000-0000030D0000}"/>
    <cellStyle name="Normal 2 2 2 15 2 2 5" xfId="1449" xr:uid="{00000000-0005-0000-0000-0000040D0000}"/>
    <cellStyle name="Normal 2 2 2 15 2 2 5 2" xfId="27810" xr:uid="{00000000-0005-0000-0000-0000050D0000}"/>
    <cellStyle name="Normal 2 2 2 15 2 2 6" xfId="27811" xr:uid="{00000000-0005-0000-0000-0000060D0000}"/>
    <cellStyle name="Normal 2 2 2 15 2 2 6 2" xfId="27812" xr:uid="{00000000-0005-0000-0000-0000070D0000}"/>
    <cellStyle name="Normal 2 2 2 15 2 2 7" xfId="27813" xr:uid="{00000000-0005-0000-0000-0000080D0000}"/>
    <cellStyle name="Normal 2 2 2 15 2 3" xfId="1450" xr:uid="{00000000-0005-0000-0000-0000090D0000}"/>
    <cellStyle name="Normal 2 2 2 15 2 3 2" xfId="1451" xr:uid="{00000000-0005-0000-0000-00000A0D0000}"/>
    <cellStyle name="Normal 2 2 2 15 2 3 2 2" xfId="27814" xr:uid="{00000000-0005-0000-0000-00000B0D0000}"/>
    <cellStyle name="Normal 2 2 2 15 2 3 3" xfId="1452" xr:uid="{00000000-0005-0000-0000-00000C0D0000}"/>
    <cellStyle name="Normal 2 2 2 15 2 3 3 2" xfId="27815" xr:uid="{00000000-0005-0000-0000-00000D0D0000}"/>
    <cellStyle name="Normal 2 2 2 15 2 3 4" xfId="27816" xr:uid="{00000000-0005-0000-0000-00000E0D0000}"/>
    <cellStyle name="Normal 2 2 2 15 2 4" xfId="1453" xr:uid="{00000000-0005-0000-0000-00000F0D0000}"/>
    <cellStyle name="Normal 2 2 2 15 2 4 2" xfId="1454" xr:uid="{00000000-0005-0000-0000-0000100D0000}"/>
    <cellStyle name="Normal 2 2 2 15 2 4 2 2" xfId="27817" xr:uid="{00000000-0005-0000-0000-0000110D0000}"/>
    <cellStyle name="Normal 2 2 2 15 2 4 3" xfId="27818" xr:uid="{00000000-0005-0000-0000-0000120D0000}"/>
    <cellStyle name="Normal 2 2 2 15 2 5" xfId="1455" xr:uid="{00000000-0005-0000-0000-0000130D0000}"/>
    <cellStyle name="Normal 2 2 2 15 2 5 2" xfId="27819" xr:uid="{00000000-0005-0000-0000-0000140D0000}"/>
    <cellStyle name="Normal 2 2 2 15 2 6" xfId="1456" xr:uid="{00000000-0005-0000-0000-0000150D0000}"/>
    <cellStyle name="Normal 2 2 2 15 2 6 2" xfId="27820" xr:uid="{00000000-0005-0000-0000-0000160D0000}"/>
    <cellStyle name="Normal 2 2 2 15 2 7" xfId="27821" xr:uid="{00000000-0005-0000-0000-0000170D0000}"/>
    <cellStyle name="Normal 2 2 2 15 2 7 2" xfId="27822" xr:uid="{00000000-0005-0000-0000-0000180D0000}"/>
    <cellStyle name="Normal 2 2 2 15 2 8" xfId="27823" xr:uid="{00000000-0005-0000-0000-0000190D0000}"/>
    <cellStyle name="Normal 2 2 2 15 2 9" xfId="27824" xr:uid="{00000000-0005-0000-0000-00001A0D0000}"/>
    <cellStyle name="Normal 2 2 2 15 3" xfId="1457" xr:uid="{00000000-0005-0000-0000-00001B0D0000}"/>
    <cellStyle name="Normal 2 2 2 15 3 2" xfId="1458" xr:uid="{00000000-0005-0000-0000-00001C0D0000}"/>
    <cellStyle name="Normal 2 2 2 15 3 2 2" xfId="1459" xr:uid="{00000000-0005-0000-0000-00001D0D0000}"/>
    <cellStyle name="Normal 2 2 2 15 3 2 2 2" xfId="27825" xr:uid="{00000000-0005-0000-0000-00001E0D0000}"/>
    <cellStyle name="Normal 2 2 2 15 3 2 3" xfId="1460" xr:uid="{00000000-0005-0000-0000-00001F0D0000}"/>
    <cellStyle name="Normal 2 2 2 15 3 2 3 2" xfId="27826" xr:uid="{00000000-0005-0000-0000-0000200D0000}"/>
    <cellStyle name="Normal 2 2 2 15 3 2 4" xfId="27827" xr:uid="{00000000-0005-0000-0000-0000210D0000}"/>
    <cellStyle name="Normal 2 2 2 15 3 3" xfId="1461" xr:uid="{00000000-0005-0000-0000-0000220D0000}"/>
    <cellStyle name="Normal 2 2 2 15 3 3 2" xfId="27828" xr:uid="{00000000-0005-0000-0000-0000230D0000}"/>
    <cellStyle name="Normal 2 2 2 15 3 4" xfId="1462" xr:uid="{00000000-0005-0000-0000-0000240D0000}"/>
    <cellStyle name="Normal 2 2 2 15 3 4 2" xfId="27829" xr:uid="{00000000-0005-0000-0000-0000250D0000}"/>
    <cellStyle name="Normal 2 2 2 15 3 5" xfId="1463" xr:uid="{00000000-0005-0000-0000-0000260D0000}"/>
    <cellStyle name="Normal 2 2 2 15 3 5 2" xfId="27830" xr:uid="{00000000-0005-0000-0000-0000270D0000}"/>
    <cellStyle name="Normal 2 2 2 15 3 6" xfId="27831" xr:uid="{00000000-0005-0000-0000-0000280D0000}"/>
    <cellStyle name="Normal 2 2 2 15 3 6 2" xfId="27832" xr:uid="{00000000-0005-0000-0000-0000290D0000}"/>
    <cellStyle name="Normal 2 2 2 15 3 7" xfId="27833" xr:uid="{00000000-0005-0000-0000-00002A0D0000}"/>
    <cellStyle name="Normal 2 2 2 15 4" xfId="1464" xr:uid="{00000000-0005-0000-0000-00002B0D0000}"/>
    <cellStyle name="Normal 2 2 2 15 4 2" xfId="1465" xr:uid="{00000000-0005-0000-0000-00002C0D0000}"/>
    <cellStyle name="Normal 2 2 2 15 4 2 2" xfId="27834" xr:uid="{00000000-0005-0000-0000-00002D0D0000}"/>
    <cellStyle name="Normal 2 2 2 15 4 3" xfId="1466" xr:uid="{00000000-0005-0000-0000-00002E0D0000}"/>
    <cellStyle name="Normal 2 2 2 15 4 3 2" xfId="27835" xr:uid="{00000000-0005-0000-0000-00002F0D0000}"/>
    <cellStyle name="Normal 2 2 2 15 4 4" xfId="27836" xr:uid="{00000000-0005-0000-0000-0000300D0000}"/>
    <cellStyle name="Normal 2 2 2 15 5" xfId="1467" xr:uid="{00000000-0005-0000-0000-0000310D0000}"/>
    <cellStyle name="Normal 2 2 2 15 5 2" xfId="1468" xr:uid="{00000000-0005-0000-0000-0000320D0000}"/>
    <cellStyle name="Normal 2 2 2 15 5 2 2" xfId="27837" xr:uid="{00000000-0005-0000-0000-0000330D0000}"/>
    <cellStyle name="Normal 2 2 2 15 5 3" xfId="27838" xr:uid="{00000000-0005-0000-0000-0000340D0000}"/>
    <cellStyle name="Normal 2 2 2 15 6" xfId="1469" xr:uid="{00000000-0005-0000-0000-0000350D0000}"/>
    <cellStyle name="Normal 2 2 2 15 6 2" xfId="27839" xr:uid="{00000000-0005-0000-0000-0000360D0000}"/>
    <cellStyle name="Normal 2 2 2 15 7" xfId="1470" xr:uid="{00000000-0005-0000-0000-0000370D0000}"/>
    <cellStyle name="Normal 2 2 2 15 7 2" xfId="27840" xr:uid="{00000000-0005-0000-0000-0000380D0000}"/>
    <cellStyle name="Normal 2 2 2 15 8" xfId="27841" xr:uid="{00000000-0005-0000-0000-0000390D0000}"/>
    <cellStyle name="Normal 2 2 2 15 8 2" xfId="27842" xr:uid="{00000000-0005-0000-0000-00003A0D0000}"/>
    <cellStyle name="Normal 2 2 2 15 9" xfId="27843" xr:uid="{00000000-0005-0000-0000-00003B0D0000}"/>
    <cellStyle name="Normal 2 2 2 16" xfId="1471" xr:uid="{00000000-0005-0000-0000-00003C0D0000}"/>
    <cellStyle name="Normal 2 2 2 16 10" xfId="27844" xr:uid="{00000000-0005-0000-0000-00003D0D0000}"/>
    <cellStyle name="Normal 2 2 2 16 11" xfId="27845" xr:uid="{00000000-0005-0000-0000-00003E0D0000}"/>
    <cellStyle name="Normal 2 2 2 16 2" xfId="1472" xr:uid="{00000000-0005-0000-0000-00003F0D0000}"/>
    <cellStyle name="Normal 2 2 2 16 2 10" xfId="27846" xr:uid="{00000000-0005-0000-0000-0000400D0000}"/>
    <cellStyle name="Normal 2 2 2 16 2 2" xfId="1473" xr:uid="{00000000-0005-0000-0000-0000410D0000}"/>
    <cellStyle name="Normal 2 2 2 16 2 2 2" xfId="1474" xr:uid="{00000000-0005-0000-0000-0000420D0000}"/>
    <cellStyle name="Normal 2 2 2 16 2 2 2 2" xfId="1475" xr:uid="{00000000-0005-0000-0000-0000430D0000}"/>
    <cellStyle name="Normal 2 2 2 16 2 2 2 2 2" xfId="27847" xr:uid="{00000000-0005-0000-0000-0000440D0000}"/>
    <cellStyle name="Normal 2 2 2 16 2 2 2 3" xfId="1476" xr:uid="{00000000-0005-0000-0000-0000450D0000}"/>
    <cellStyle name="Normal 2 2 2 16 2 2 2 3 2" xfId="27848" xr:uid="{00000000-0005-0000-0000-0000460D0000}"/>
    <cellStyle name="Normal 2 2 2 16 2 2 2 4" xfId="27849" xr:uid="{00000000-0005-0000-0000-0000470D0000}"/>
    <cellStyle name="Normal 2 2 2 16 2 2 3" xfId="1477" xr:uid="{00000000-0005-0000-0000-0000480D0000}"/>
    <cellStyle name="Normal 2 2 2 16 2 2 3 2" xfId="27850" xr:uid="{00000000-0005-0000-0000-0000490D0000}"/>
    <cellStyle name="Normal 2 2 2 16 2 2 4" xfId="1478" xr:uid="{00000000-0005-0000-0000-00004A0D0000}"/>
    <cellStyle name="Normal 2 2 2 16 2 2 4 2" xfId="27851" xr:uid="{00000000-0005-0000-0000-00004B0D0000}"/>
    <cellStyle name="Normal 2 2 2 16 2 2 5" xfId="1479" xr:uid="{00000000-0005-0000-0000-00004C0D0000}"/>
    <cellStyle name="Normal 2 2 2 16 2 2 5 2" xfId="27852" xr:uid="{00000000-0005-0000-0000-00004D0D0000}"/>
    <cellStyle name="Normal 2 2 2 16 2 2 6" xfId="27853" xr:uid="{00000000-0005-0000-0000-00004E0D0000}"/>
    <cellStyle name="Normal 2 2 2 16 2 2 6 2" xfId="27854" xr:uid="{00000000-0005-0000-0000-00004F0D0000}"/>
    <cellStyle name="Normal 2 2 2 16 2 2 7" xfId="27855" xr:uid="{00000000-0005-0000-0000-0000500D0000}"/>
    <cellStyle name="Normal 2 2 2 16 2 3" xfId="1480" xr:uid="{00000000-0005-0000-0000-0000510D0000}"/>
    <cellStyle name="Normal 2 2 2 16 2 3 2" xfId="1481" xr:uid="{00000000-0005-0000-0000-0000520D0000}"/>
    <cellStyle name="Normal 2 2 2 16 2 3 2 2" xfId="27856" xr:uid="{00000000-0005-0000-0000-0000530D0000}"/>
    <cellStyle name="Normal 2 2 2 16 2 3 3" xfId="1482" xr:uid="{00000000-0005-0000-0000-0000540D0000}"/>
    <cellStyle name="Normal 2 2 2 16 2 3 3 2" xfId="27857" xr:uid="{00000000-0005-0000-0000-0000550D0000}"/>
    <cellStyle name="Normal 2 2 2 16 2 3 4" xfId="27858" xr:uid="{00000000-0005-0000-0000-0000560D0000}"/>
    <cellStyle name="Normal 2 2 2 16 2 4" xfId="1483" xr:uid="{00000000-0005-0000-0000-0000570D0000}"/>
    <cellStyle name="Normal 2 2 2 16 2 4 2" xfId="1484" xr:uid="{00000000-0005-0000-0000-0000580D0000}"/>
    <cellStyle name="Normal 2 2 2 16 2 4 2 2" xfId="27859" xr:uid="{00000000-0005-0000-0000-0000590D0000}"/>
    <cellStyle name="Normal 2 2 2 16 2 4 3" xfId="27860" xr:uid="{00000000-0005-0000-0000-00005A0D0000}"/>
    <cellStyle name="Normal 2 2 2 16 2 5" xfId="1485" xr:uid="{00000000-0005-0000-0000-00005B0D0000}"/>
    <cellStyle name="Normal 2 2 2 16 2 5 2" xfId="27861" xr:uid="{00000000-0005-0000-0000-00005C0D0000}"/>
    <cellStyle name="Normal 2 2 2 16 2 6" xfId="1486" xr:uid="{00000000-0005-0000-0000-00005D0D0000}"/>
    <cellStyle name="Normal 2 2 2 16 2 6 2" xfId="27862" xr:uid="{00000000-0005-0000-0000-00005E0D0000}"/>
    <cellStyle name="Normal 2 2 2 16 2 7" xfId="27863" xr:uid="{00000000-0005-0000-0000-00005F0D0000}"/>
    <cellStyle name="Normal 2 2 2 16 2 7 2" xfId="27864" xr:uid="{00000000-0005-0000-0000-0000600D0000}"/>
    <cellStyle name="Normal 2 2 2 16 2 8" xfId="27865" xr:uid="{00000000-0005-0000-0000-0000610D0000}"/>
    <cellStyle name="Normal 2 2 2 16 2 9" xfId="27866" xr:uid="{00000000-0005-0000-0000-0000620D0000}"/>
    <cellStyle name="Normal 2 2 2 16 3" xfId="1487" xr:uid="{00000000-0005-0000-0000-0000630D0000}"/>
    <cellStyle name="Normal 2 2 2 16 3 2" xfId="1488" xr:uid="{00000000-0005-0000-0000-0000640D0000}"/>
    <cellStyle name="Normal 2 2 2 16 3 2 2" xfId="1489" xr:uid="{00000000-0005-0000-0000-0000650D0000}"/>
    <cellStyle name="Normal 2 2 2 16 3 2 2 2" xfId="27867" xr:uid="{00000000-0005-0000-0000-0000660D0000}"/>
    <cellStyle name="Normal 2 2 2 16 3 2 3" xfId="1490" xr:uid="{00000000-0005-0000-0000-0000670D0000}"/>
    <cellStyle name="Normal 2 2 2 16 3 2 3 2" xfId="27868" xr:uid="{00000000-0005-0000-0000-0000680D0000}"/>
    <cellStyle name="Normal 2 2 2 16 3 2 4" xfId="27869" xr:uid="{00000000-0005-0000-0000-0000690D0000}"/>
    <cellStyle name="Normal 2 2 2 16 3 3" xfId="1491" xr:uid="{00000000-0005-0000-0000-00006A0D0000}"/>
    <cellStyle name="Normal 2 2 2 16 3 3 2" xfId="27870" xr:uid="{00000000-0005-0000-0000-00006B0D0000}"/>
    <cellStyle name="Normal 2 2 2 16 3 4" xfId="1492" xr:uid="{00000000-0005-0000-0000-00006C0D0000}"/>
    <cellStyle name="Normal 2 2 2 16 3 4 2" xfId="27871" xr:uid="{00000000-0005-0000-0000-00006D0D0000}"/>
    <cellStyle name="Normal 2 2 2 16 3 5" xfId="1493" xr:uid="{00000000-0005-0000-0000-00006E0D0000}"/>
    <cellStyle name="Normal 2 2 2 16 3 5 2" xfId="27872" xr:uid="{00000000-0005-0000-0000-00006F0D0000}"/>
    <cellStyle name="Normal 2 2 2 16 3 6" xfId="27873" xr:uid="{00000000-0005-0000-0000-0000700D0000}"/>
    <cellStyle name="Normal 2 2 2 16 3 6 2" xfId="27874" xr:uid="{00000000-0005-0000-0000-0000710D0000}"/>
    <cellStyle name="Normal 2 2 2 16 3 7" xfId="27875" xr:uid="{00000000-0005-0000-0000-0000720D0000}"/>
    <cellStyle name="Normal 2 2 2 16 4" xfId="1494" xr:uid="{00000000-0005-0000-0000-0000730D0000}"/>
    <cellStyle name="Normal 2 2 2 16 4 2" xfId="1495" xr:uid="{00000000-0005-0000-0000-0000740D0000}"/>
    <cellStyle name="Normal 2 2 2 16 4 2 2" xfId="27876" xr:uid="{00000000-0005-0000-0000-0000750D0000}"/>
    <cellStyle name="Normal 2 2 2 16 4 3" xfId="1496" xr:uid="{00000000-0005-0000-0000-0000760D0000}"/>
    <cellStyle name="Normal 2 2 2 16 4 3 2" xfId="27877" xr:uid="{00000000-0005-0000-0000-0000770D0000}"/>
    <cellStyle name="Normal 2 2 2 16 4 4" xfId="27878" xr:uid="{00000000-0005-0000-0000-0000780D0000}"/>
    <cellStyle name="Normal 2 2 2 16 5" xfId="1497" xr:uid="{00000000-0005-0000-0000-0000790D0000}"/>
    <cellStyle name="Normal 2 2 2 16 5 2" xfId="1498" xr:uid="{00000000-0005-0000-0000-00007A0D0000}"/>
    <cellStyle name="Normal 2 2 2 16 5 2 2" xfId="27879" xr:uid="{00000000-0005-0000-0000-00007B0D0000}"/>
    <cellStyle name="Normal 2 2 2 16 5 3" xfId="27880" xr:uid="{00000000-0005-0000-0000-00007C0D0000}"/>
    <cellStyle name="Normal 2 2 2 16 6" xfId="1499" xr:uid="{00000000-0005-0000-0000-00007D0D0000}"/>
    <cellStyle name="Normal 2 2 2 16 6 2" xfId="27881" xr:uid="{00000000-0005-0000-0000-00007E0D0000}"/>
    <cellStyle name="Normal 2 2 2 16 7" xfId="1500" xr:uid="{00000000-0005-0000-0000-00007F0D0000}"/>
    <cellStyle name="Normal 2 2 2 16 7 2" xfId="27882" xr:uid="{00000000-0005-0000-0000-0000800D0000}"/>
    <cellStyle name="Normal 2 2 2 16 8" xfId="27883" xr:uid="{00000000-0005-0000-0000-0000810D0000}"/>
    <cellStyle name="Normal 2 2 2 16 8 2" xfId="27884" xr:uid="{00000000-0005-0000-0000-0000820D0000}"/>
    <cellStyle name="Normal 2 2 2 16 9" xfId="27885" xr:uid="{00000000-0005-0000-0000-0000830D0000}"/>
    <cellStyle name="Normal 2 2 2 17" xfId="1501" xr:uid="{00000000-0005-0000-0000-0000840D0000}"/>
    <cellStyle name="Normal 2 2 2 17 10" xfId="27886" xr:uid="{00000000-0005-0000-0000-0000850D0000}"/>
    <cellStyle name="Normal 2 2 2 17 11" xfId="27887" xr:uid="{00000000-0005-0000-0000-0000860D0000}"/>
    <cellStyle name="Normal 2 2 2 17 2" xfId="1502" xr:uid="{00000000-0005-0000-0000-0000870D0000}"/>
    <cellStyle name="Normal 2 2 2 17 2 10" xfId="27888" xr:uid="{00000000-0005-0000-0000-0000880D0000}"/>
    <cellStyle name="Normal 2 2 2 17 2 2" xfId="1503" xr:uid="{00000000-0005-0000-0000-0000890D0000}"/>
    <cellStyle name="Normal 2 2 2 17 2 2 2" xfId="1504" xr:uid="{00000000-0005-0000-0000-00008A0D0000}"/>
    <cellStyle name="Normal 2 2 2 17 2 2 2 2" xfId="1505" xr:uid="{00000000-0005-0000-0000-00008B0D0000}"/>
    <cellStyle name="Normal 2 2 2 17 2 2 2 2 2" xfId="27889" xr:uid="{00000000-0005-0000-0000-00008C0D0000}"/>
    <cellStyle name="Normal 2 2 2 17 2 2 2 3" xfId="1506" xr:uid="{00000000-0005-0000-0000-00008D0D0000}"/>
    <cellStyle name="Normal 2 2 2 17 2 2 2 3 2" xfId="27890" xr:uid="{00000000-0005-0000-0000-00008E0D0000}"/>
    <cellStyle name="Normal 2 2 2 17 2 2 2 4" xfId="27891" xr:uid="{00000000-0005-0000-0000-00008F0D0000}"/>
    <cellStyle name="Normal 2 2 2 17 2 2 3" xfId="1507" xr:uid="{00000000-0005-0000-0000-0000900D0000}"/>
    <cellStyle name="Normal 2 2 2 17 2 2 3 2" xfId="27892" xr:uid="{00000000-0005-0000-0000-0000910D0000}"/>
    <cellStyle name="Normal 2 2 2 17 2 2 4" xfId="1508" xr:uid="{00000000-0005-0000-0000-0000920D0000}"/>
    <cellStyle name="Normal 2 2 2 17 2 2 4 2" xfId="27893" xr:uid="{00000000-0005-0000-0000-0000930D0000}"/>
    <cellStyle name="Normal 2 2 2 17 2 2 5" xfId="1509" xr:uid="{00000000-0005-0000-0000-0000940D0000}"/>
    <cellStyle name="Normal 2 2 2 17 2 2 5 2" xfId="27894" xr:uid="{00000000-0005-0000-0000-0000950D0000}"/>
    <cellStyle name="Normal 2 2 2 17 2 2 6" xfId="27895" xr:uid="{00000000-0005-0000-0000-0000960D0000}"/>
    <cellStyle name="Normal 2 2 2 17 2 2 6 2" xfId="27896" xr:uid="{00000000-0005-0000-0000-0000970D0000}"/>
    <cellStyle name="Normal 2 2 2 17 2 2 7" xfId="27897" xr:uid="{00000000-0005-0000-0000-0000980D0000}"/>
    <cellStyle name="Normal 2 2 2 17 2 3" xfId="1510" xr:uid="{00000000-0005-0000-0000-0000990D0000}"/>
    <cellStyle name="Normal 2 2 2 17 2 3 2" xfId="1511" xr:uid="{00000000-0005-0000-0000-00009A0D0000}"/>
    <cellStyle name="Normal 2 2 2 17 2 3 2 2" xfId="27898" xr:uid="{00000000-0005-0000-0000-00009B0D0000}"/>
    <cellStyle name="Normal 2 2 2 17 2 3 3" xfId="1512" xr:uid="{00000000-0005-0000-0000-00009C0D0000}"/>
    <cellStyle name="Normal 2 2 2 17 2 3 3 2" xfId="27899" xr:uid="{00000000-0005-0000-0000-00009D0D0000}"/>
    <cellStyle name="Normal 2 2 2 17 2 3 4" xfId="27900" xr:uid="{00000000-0005-0000-0000-00009E0D0000}"/>
    <cellStyle name="Normal 2 2 2 17 2 4" xfId="1513" xr:uid="{00000000-0005-0000-0000-00009F0D0000}"/>
    <cellStyle name="Normal 2 2 2 17 2 4 2" xfId="1514" xr:uid="{00000000-0005-0000-0000-0000A00D0000}"/>
    <cellStyle name="Normal 2 2 2 17 2 4 2 2" xfId="27901" xr:uid="{00000000-0005-0000-0000-0000A10D0000}"/>
    <cellStyle name="Normal 2 2 2 17 2 4 3" xfId="27902" xr:uid="{00000000-0005-0000-0000-0000A20D0000}"/>
    <cellStyle name="Normal 2 2 2 17 2 5" xfId="1515" xr:uid="{00000000-0005-0000-0000-0000A30D0000}"/>
    <cellStyle name="Normal 2 2 2 17 2 5 2" xfId="27903" xr:uid="{00000000-0005-0000-0000-0000A40D0000}"/>
    <cellStyle name="Normal 2 2 2 17 2 6" xfId="1516" xr:uid="{00000000-0005-0000-0000-0000A50D0000}"/>
    <cellStyle name="Normal 2 2 2 17 2 6 2" xfId="27904" xr:uid="{00000000-0005-0000-0000-0000A60D0000}"/>
    <cellStyle name="Normal 2 2 2 17 2 7" xfId="27905" xr:uid="{00000000-0005-0000-0000-0000A70D0000}"/>
    <cellStyle name="Normal 2 2 2 17 2 7 2" xfId="27906" xr:uid="{00000000-0005-0000-0000-0000A80D0000}"/>
    <cellStyle name="Normal 2 2 2 17 2 8" xfId="27907" xr:uid="{00000000-0005-0000-0000-0000A90D0000}"/>
    <cellStyle name="Normal 2 2 2 17 2 9" xfId="27908" xr:uid="{00000000-0005-0000-0000-0000AA0D0000}"/>
    <cellStyle name="Normal 2 2 2 17 3" xfId="1517" xr:uid="{00000000-0005-0000-0000-0000AB0D0000}"/>
    <cellStyle name="Normal 2 2 2 17 3 2" xfId="1518" xr:uid="{00000000-0005-0000-0000-0000AC0D0000}"/>
    <cellStyle name="Normal 2 2 2 17 3 2 2" xfId="1519" xr:uid="{00000000-0005-0000-0000-0000AD0D0000}"/>
    <cellStyle name="Normal 2 2 2 17 3 2 2 2" xfId="27909" xr:uid="{00000000-0005-0000-0000-0000AE0D0000}"/>
    <cellStyle name="Normal 2 2 2 17 3 2 3" xfId="1520" xr:uid="{00000000-0005-0000-0000-0000AF0D0000}"/>
    <cellStyle name="Normal 2 2 2 17 3 2 3 2" xfId="27910" xr:uid="{00000000-0005-0000-0000-0000B00D0000}"/>
    <cellStyle name="Normal 2 2 2 17 3 2 4" xfId="27911" xr:uid="{00000000-0005-0000-0000-0000B10D0000}"/>
    <cellStyle name="Normal 2 2 2 17 3 3" xfId="1521" xr:uid="{00000000-0005-0000-0000-0000B20D0000}"/>
    <cellStyle name="Normal 2 2 2 17 3 3 2" xfId="27912" xr:uid="{00000000-0005-0000-0000-0000B30D0000}"/>
    <cellStyle name="Normal 2 2 2 17 3 4" xfId="1522" xr:uid="{00000000-0005-0000-0000-0000B40D0000}"/>
    <cellStyle name="Normal 2 2 2 17 3 4 2" xfId="27913" xr:uid="{00000000-0005-0000-0000-0000B50D0000}"/>
    <cellStyle name="Normal 2 2 2 17 3 5" xfId="1523" xr:uid="{00000000-0005-0000-0000-0000B60D0000}"/>
    <cellStyle name="Normal 2 2 2 17 3 5 2" xfId="27914" xr:uid="{00000000-0005-0000-0000-0000B70D0000}"/>
    <cellStyle name="Normal 2 2 2 17 3 6" xfId="27915" xr:uid="{00000000-0005-0000-0000-0000B80D0000}"/>
    <cellStyle name="Normal 2 2 2 17 3 6 2" xfId="27916" xr:uid="{00000000-0005-0000-0000-0000B90D0000}"/>
    <cellStyle name="Normal 2 2 2 17 3 7" xfId="27917" xr:uid="{00000000-0005-0000-0000-0000BA0D0000}"/>
    <cellStyle name="Normal 2 2 2 17 4" xfId="1524" xr:uid="{00000000-0005-0000-0000-0000BB0D0000}"/>
    <cellStyle name="Normal 2 2 2 17 4 2" xfId="1525" xr:uid="{00000000-0005-0000-0000-0000BC0D0000}"/>
    <cellStyle name="Normal 2 2 2 17 4 2 2" xfId="27918" xr:uid="{00000000-0005-0000-0000-0000BD0D0000}"/>
    <cellStyle name="Normal 2 2 2 17 4 3" xfId="1526" xr:uid="{00000000-0005-0000-0000-0000BE0D0000}"/>
    <cellStyle name="Normal 2 2 2 17 4 3 2" xfId="27919" xr:uid="{00000000-0005-0000-0000-0000BF0D0000}"/>
    <cellStyle name="Normal 2 2 2 17 4 4" xfId="27920" xr:uid="{00000000-0005-0000-0000-0000C00D0000}"/>
    <cellStyle name="Normal 2 2 2 17 5" xfId="1527" xr:uid="{00000000-0005-0000-0000-0000C10D0000}"/>
    <cellStyle name="Normal 2 2 2 17 5 2" xfId="1528" xr:uid="{00000000-0005-0000-0000-0000C20D0000}"/>
    <cellStyle name="Normal 2 2 2 17 5 2 2" xfId="27921" xr:uid="{00000000-0005-0000-0000-0000C30D0000}"/>
    <cellStyle name="Normal 2 2 2 17 5 3" xfId="27922" xr:uid="{00000000-0005-0000-0000-0000C40D0000}"/>
    <cellStyle name="Normal 2 2 2 17 6" xfId="1529" xr:uid="{00000000-0005-0000-0000-0000C50D0000}"/>
    <cellStyle name="Normal 2 2 2 17 6 2" xfId="27923" xr:uid="{00000000-0005-0000-0000-0000C60D0000}"/>
    <cellStyle name="Normal 2 2 2 17 7" xfId="1530" xr:uid="{00000000-0005-0000-0000-0000C70D0000}"/>
    <cellStyle name="Normal 2 2 2 17 7 2" xfId="27924" xr:uid="{00000000-0005-0000-0000-0000C80D0000}"/>
    <cellStyle name="Normal 2 2 2 17 8" xfId="27925" xr:uid="{00000000-0005-0000-0000-0000C90D0000}"/>
    <cellStyle name="Normal 2 2 2 17 8 2" xfId="27926" xr:uid="{00000000-0005-0000-0000-0000CA0D0000}"/>
    <cellStyle name="Normal 2 2 2 17 9" xfId="27927" xr:uid="{00000000-0005-0000-0000-0000CB0D0000}"/>
    <cellStyle name="Normal 2 2 2 18" xfId="1531" xr:uid="{00000000-0005-0000-0000-0000CC0D0000}"/>
    <cellStyle name="Normal 2 2 2 18 10" xfId="27928" xr:uid="{00000000-0005-0000-0000-0000CD0D0000}"/>
    <cellStyle name="Normal 2 2 2 18 11" xfId="27929" xr:uid="{00000000-0005-0000-0000-0000CE0D0000}"/>
    <cellStyle name="Normal 2 2 2 18 2" xfId="1532" xr:uid="{00000000-0005-0000-0000-0000CF0D0000}"/>
    <cellStyle name="Normal 2 2 2 18 2 10" xfId="27930" xr:uid="{00000000-0005-0000-0000-0000D00D0000}"/>
    <cellStyle name="Normal 2 2 2 18 2 2" xfId="1533" xr:uid="{00000000-0005-0000-0000-0000D10D0000}"/>
    <cellStyle name="Normal 2 2 2 18 2 2 2" xfId="1534" xr:uid="{00000000-0005-0000-0000-0000D20D0000}"/>
    <cellStyle name="Normal 2 2 2 18 2 2 2 2" xfId="1535" xr:uid="{00000000-0005-0000-0000-0000D30D0000}"/>
    <cellStyle name="Normal 2 2 2 18 2 2 2 2 2" xfId="27931" xr:uid="{00000000-0005-0000-0000-0000D40D0000}"/>
    <cellStyle name="Normal 2 2 2 18 2 2 2 3" xfId="1536" xr:uid="{00000000-0005-0000-0000-0000D50D0000}"/>
    <cellStyle name="Normal 2 2 2 18 2 2 2 3 2" xfId="27932" xr:uid="{00000000-0005-0000-0000-0000D60D0000}"/>
    <cellStyle name="Normal 2 2 2 18 2 2 2 4" xfId="27933" xr:uid="{00000000-0005-0000-0000-0000D70D0000}"/>
    <cellStyle name="Normal 2 2 2 18 2 2 3" xfId="1537" xr:uid="{00000000-0005-0000-0000-0000D80D0000}"/>
    <cellStyle name="Normal 2 2 2 18 2 2 3 2" xfId="27934" xr:uid="{00000000-0005-0000-0000-0000D90D0000}"/>
    <cellStyle name="Normal 2 2 2 18 2 2 4" xfId="1538" xr:uid="{00000000-0005-0000-0000-0000DA0D0000}"/>
    <cellStyle name="Normal 2 2 2 18 2 2 4 2" xfId="27935" xr:uid="{00000000-0005-0000-0000-0000DB0D0000}"/>
    <cellStyle name="Normal 2 2 2 18 2 2 5" xfId="1539" xr:uid="{00000000-0005-0000-0000-0000DC0D0000}"/>
    <cellStyle name="Normal 2 2 2 18 2 2 5 2" xfId="27936" xr:uid="{00000000-0005-0000-0000-0000DD0D0000}"/>
    <cellStyle name="Normal 2 2 2 18 2 2 6" xfId="27937" xr:uid="{00000000-0005-0000-0000-0000DE0D0000}"/>
    <cellStyle name="Normal 2 2 2 18 2 2 6 2" xfId="27938" xr:uid="{00000000-0005-0000-0000-0000DF0D0000}"/>
    <cellStyle name="Normal 2 2 2 18 2 2 7" xfId="27939" xr:uid="{00000000-0005-0000-0000-0000E00D0000}"/>
    <cellStyle name="Normal 2 2 2 18 2 3" xfId="1540" xr:uid="{00000000-0005-0000-0000-0000E10D0000}"/>
    <cellStyle name="Normal 2 2 2 18 2 3 2" xfId="1541" xr:uid="{00000000-0005-0000-0000-0000E20D0000}"/>
    <cellStyle name="Normal 2 2 2 18 2 3 2 2" xfId="27940" xr:uid="{00000000-0005-0000-0000-0000E30D0000}"/>
    <cellStyle name="Normal 2 2 2 18 2 3 3" xfId="1542" xr:uid="{00000000-0005-0000-0000-0000E40D0000}"/>
    <cellStyle name="Normal 2 2 2 18 2 3 3 2" xfId="27941" xr:uid="{00000000-0005-0000-0000-0000E50D0000}"/>
    <cellStyle name="Normal 2 2 2 18 2 3 4" xfId="27942" xr:uid="{00000000-0005-0000-0000-0000E60D0000}"/>
    <cellStyle name="Normal 2 2 2 18 2 4" xfId="1543" xr:uid="{00000000-0005-0000-0000-0000E70D0000}"/>
    <cellStyle name="Normal 2 2 2 18 2 4 2" xfId="1544" xr:uid="{00000000-0005-0000-0000-0000E80D0000}"/>
    <cellStyle name="Normal 2 2 2 18 2 4 2 2" xfId="27943" xr:uid="{00000000-0005-0000-0000-0000E90D0000}"/>
    <cellStyle name="Normal 2 2 2 18 2 4 3" xfId="27944" xr:uid="{00000000-0005-0000-0000-0000EA0D0000}"/>
    <cellStyle name="Normal 2 2 2 18 2 5" xfId="1545" xr:uid="{00000000-0005-0000-0000-0000EB0D0000}"/>
    <cellStyle name="Normal 2 2 2 18 2 5 2" xfId="27945" xr:uid="{00000000-0005-0000-0000-0000EC0D0000}"/>
    <cellStyle name="Normal 2 2 2 18 2 6" xfId="1546" xr:uid="{00000000-0005-0000-0000-0000ED0D0000}"/>
    <cellStyle name="Normal 2 2 2 18 2 6 2" xfId="27946" xr:uid="{00000000-0005-0000-0000-0000EE0D0000}"/>
    <cellStyle name="Normal 2 2 2 18 2 7" xfId="27947" xr:uid="{00000000-0005-0000-0000-0000EF0D0000}"/>
    <cellStyle name="Normal 2 2 2 18 2 7 2" xfId="27948" xr:uid="{00000000-0005-0000-0000-0000F00D0000}"/>
    <cellStyle name="Normal 2 2 2 18 2 8" xfId="27949" xr:uid="{00000000-0005-0000-0000-0000F10D0000}"/>
    <cellStyle name="Normal 2 2 2 18 2 9" xfId="27950" xr:uid="{00000000-0005-0000-0000-0000F20D0000}"/>
    <cellStyle name="Normal 2 2 2 18 3" xfId="1547" xr:uid="{00000000-0005-0000-0000-0000F30D0000}"/>
    <cellStyle name="Normal 2 2 2 18 3 2" xfId="1548" xr:uid="{00000000-0005-0000-0000-0000F40D0000}"/>
    <cellStyle name="Normal 2 2 2 18 3 2 2" xfId="1549" xr:uid="{00000000-0005-0000-0000-0000F50D0000}"/>
    <cellStyle name="Normal 2 2 2 18 3 2 2 2" xfId="27951" xr:uid="{00000000-0005-0000-0000-0000F60D0000}"/>
    <cellStyle name="Normal 2 2 2 18 3 2 3" xfId="1550" xr:uid="{00000000-0005-0000-0000-0000F70D0000}"/>
    <cellStyle name="Normal 2 2 2 18 3 2 3 2" xfId="27952" xr:uid="{00000000-0005-0000-0000-0000F80D0000}"/>
    <cellStyle name="Normal 2 2 2 18 3 2 4" xfId="27953" xr:uid="{00000000-0005-0000-0000-0000F90D0000}"/>
    <cellStyle name="Normal 2 2 2 18 3 3" xfId="1551" xr:uid="{00000000-0005-0000-0000-0000FA0D0000}"/>
    <cellStyle name="Normal 2 2 2 18 3 3 2" xfId="27954" xr:uid="{00000000-0005-0000-0000-0000FB0D0000}"/>
    <cellStyle name="Normal 2 2 2 18 3 4" xfId="1552" xr:uid="{00000000-0005-0000-0000-0000FC0D0000}"/>
    <cellStyle name="Normal 2 2 2 18 3 4 2" xfId="27955" xr:uid="{00000000-0005-0000-0000-0000FD0D0000}"/>
    <cellStyle name="Normal 2 2 2 18 3 5" xfId="1553" xr:uid="{00000000-0005-0000-0000-0000FE0D0000}"/>
    <cellStyle name="Normal 2 2 2 18 3 5 2" xfId="27956" xr:uid="{00000000-0005-0000-0000-0000FF0D0000}"/>
    <cellStyle name="Normal 2 2 2 18 3 6" xfId="27957" xr:uid="{00000000-0005-0000-0000-0000000E0000}"/>
    <cellStyle name="Normal 2 2 2 18 3 6 2" xfId="27958" xr:uid="{00000000-0005-0000-0000-0000010E0000}"/>
    <cellStyle name="Normal 2 2 2 18 3 7" xfId="27959" xr:uid="{00000000-0005-0000-0000-0000020E0000}"/>
    <cellStyle name="Normal 2 2 2 18 4" xfId="1554" xr:uid="{00000000-0005-0000-0000-0000030E0000}"/>
    <cellStyle name="Normal 2 2 2 18 4 2" xfId="1555" xr:uid="{00000000-0005-0000-0000-0000040E0000}"/>
    <cellStyle name="Normal 2 2 2 18 4 2 2" xfId="27960" xr:uid="{00000000-0005-0000-0000-0000050E0000}"/>
    <cellStyle name="Normal 2 2 2 18 4 3" xfId="1556" xr:uid="{00000000-0005-0000-0000-0000060E0000}"/>
    <cellStyle name="Normal 2 2 2 18 4 3 2" xfId="27961" xr:uid="{00000000-0005-0000-0000-0000070E0000}"/>
    <cellStyle name="Normal 2 2 2 18 4 4" xfId="27962" xr:uid="{00000000-0005-0000-0000-0000080E0000}"/>
    <cellStyle name="Normal 2 2 2 18 5" xfId="1557" xr:uid="{00000000-0005-0000-0000-0000090E0000}"/>
    <cellStyle name="Normal 2 2 2 18 5 2" xfId="1558" xr:uid="{00000000-0005-0000-0000-00000A0E0000}"/>
    <cellStyle name="Normal 2 2 2 18 5 2 2" xfId="27963" xr:uid="{00000000-0005-0000-0000-00000B0E0000}"/>
    <cellStyle name="Normal 2 2 2 18 5 3" xfId="27964" xr:uid="{00000000-0005-0000-0000-00000C0E0000}"/>
    <cellStyle name="Normal 2 2 2 18 6" xfId="1559" xr:uid="{00000000-0005-0000-0000-00000D0E0000}"/>
    <cellStyle name="Normal 2 2 2 18 6 2" xfId="27965" xr:uid="{00000000-0005-0000-0000-00000E0E0000}"/>
    <cellStyle name="Normal 2 2 2 18 7" xfId="1560" xr:uid="{00000000-0005-0000-0000-00000F0E0000}"/>
    <cellStyle name="Normal 2 2 2 18 7 2" xfId="27966" xr:uid="{00000000-0005-0000-0000-0000100E0000}"/>
    <cellStyle name="Normal 2 2 2 18 8" xfId="27967" xr:uid="{00000000-0005-0000-0000-0000110E0000}"/>
    <cellStyle name="Normal 2 2 2 18 8 2" xfId="27968" xr:uid="{00000000-0005-0000-0000-0000120E0000}"/>
    <cellStyle name="Normal 2 2 2 18 9" xfId="27969" xr:uid="{00000000-0005-0000-0000-0000130E0000}"/>
    <cellStyle name="Normal 2 2 2 19" xfId="1561" xr:uid="{00000000-0005-0000-0000-0000140E0000}"/>
    <cellStyle name="Normal 2 2 2 19 10" xfId="27970" xr:uid="{00000000-0005-0000-0000-0000150E0000}"/>
    <cellStyle name="Normal 2 2 2 19 11" xfId="27971" xr:uid="{00000000-0005-0000-0000-0000160E0000}"/>
    <cellStyle name="Normal 2 2 2 19 2" xfId="1562" xr:uid="{00000000-0005-0000-0000-0000170E0000}"/>
    <cellStyle name="Normal 2 2 2 19 2 10" xfId="27972" xr:uid="{00000000-0005-0000-0000-0000180E0000}"/>
    <cellStyle name="Normal 2 2 2 19 2 2" xfId="1563" xr:uid="{00000000-0005-0000-0000-0000190E0000}"/>
    <cellStyle name="Normal 2 2 2 19 2 2 2" xfId="1564" xr:uid="{00000000-0005-0000-0000-00001A0E0000}"/>
    <cellStyle name="Normal 2 2 2 19 2 2 2 2" xfId="1565" xr:uid="{00000000-0005-0000-0000-00001B0E0000}"/>
    <cellStyle name="Normal 2 2 2 19 2 2 2 2 2" xfId="27973" xr:uid="{00000000-0005-0000-0000-00001C0E0000}"/>
    <cellStyle name="Normal 2 2 2 19 2 2 2 3" xfId="1566" xr:uid="{00000000-0005-0000-0000-00001D0E0000}"/>
    <cellStyle name="Normal 2 2 2 19 2 2 2 3 2" xfId="27974" xr:uid="{00000000-0005-0000-0000-00001E0E0000}"/>
    <cellStyle name="Normal 2 2 2 19 2 2 2 4" xfId="27975" xr:uid="{00000000-0005-0000-0000-00001F0E0000}"/>
    <cellStyle name="Normal 2 2 2 19 2 2 3" xfId="1567" xr:uid="{00000000-0005-0000-0000-0000200E0000}"/>
    <cellStyle name="Normal 2 2 2 19 2 2 3 2" xfId="27976" xr:uid="{00000000-0005-0000-0000-0000210E0000}"/>
    <cellStyle name="Normal 2 2 2 19 2 2 4" xfId="1568" xr:uid="{00000000-0005-0000-0000-0000220E0000}"/>
    <cellStyle name="Normal 2 2 2 19 2 2 4 2" xfId="27977" xr:uid="{00000000-0005-0000-0000-0000230E0000}"/>
    <cellStyle name="Normal 2 2 2 19 2 2 5" xfId="1569" xr:uid="{00000000-0005-0000-0000-0000240E0000}"/>
    <cellStyle name="Normal 2 2 2 19 2 2 5 2" xfId="27978" xr:uid="{00000000-0005-0000-0000-0000250E0000}"/>
    <cellStyle name="Normal 2 2 2 19 2 2 6" xfId="27979" xr:uid="{00000000-0005-0000-0000-0000260E0000}"/>
    <cellStyle name="Normal 2 2 2 19 2 2 6 2" xfId="27980" xr:uid="{00000000-0005-0000-0000-0000270E0000}"/>
    <cellStyle name="Normal 2 2 2 19 2 2 7" xfId="27981" xr:uid="{00000000-0005-0000-0000-0000280E0000}"/>
    <cellStyle name="Normal 2 2 2 19 2 3" xfId="1570" xr:uid="{00000000-0005-0000-0000-0000290E0000}"/>
    <cellStyle name="Normal 2 2 2 19 2 3 2" xfId="1571" xr:uid="{00000000-0005-0000-0000-00002A0E0000}"/>
    <cellStyle name="Normal 2 2 2 19 2 3 2 2" xfId="27982" xr:uid="{00000000-0005-0000-0000-00002B0E0000}"/>
    <cellStyle name="Normal 2 2 2 19 2 3 3" xfId="1572" xr:uid="{00000000-0005-0000-0000-00002C0E0000}"/>
    <cellStyle name="Normal 2 2 2 19 2 3 3 2" xfId="27983" xr:uid="{00000000-0005-0000-0000-00002D0E0000}"/>
    <cellStyle name="Normal 2 2 2 19 2 3 4" xfId="27984" xr:uid="{00000000-0005-0000-0000-00002E0E0000}"/>
    <cellStyle name="Normal 2 2 2 19 2 4" xfId="1573" xr:uid="{00000000-0005-0000-0000-00002F0E0000}"/>
    <cellStyle name="Normal 2 2 2 19 2 4 2" xfId="1574" xr:uid="{00000000-0005-0000-0000-0000300E0000}"/>
    <cellStyle name="Normal 2 2 2 19 2 4 2 2" xfId="27985" xr:uid="{00000000-0005-0000-0000-0000310E0000}"/>
    <cellStyle name="Normal 2 2 2 19 2 4 3" xfId="27986" xr:uid="{00000000-0005-0000-0000-0000320E0000}"/>
    <cellStyle name="Normal 2 2 2 19 2 5" xfId="1575" xr:uid="{00000000-0005-0000-0000-0000330E0000}"/>
    <cellStyle name="Normal 2 2 2 19 2 5 2" xfId="27987" xr:uid="{00000000-0005-0000-0000-0000340E0000}"/>
    <cellStyle name="Normal 2 2 2 19 2 6" xfId="1576" xr:uid="{00000000-0005-0000-0000-0000350E0000}"/>
    <cellStyle name="Normal 2 2 2 19 2 6 2" xfId="27988" xr:uid="{00000000-0005-0000-0000-0000360E0000}"/>
    <cellStyle name="Normal 2 2 2 19 2 7" xfId="27989" xr:uid="{00000000-0005-0000-0000-0000370E0000}"/>
    <cellStyle name="Normal 2 2 2 19 2 7 2" xfId="27990" xr:uid="{00000000-0005-0000-0000-0000380E0000}"/>
    <cellStyle name="Normal 2 2 2 19 2 8" xfId="27991" xr:uid="{00000000-0005-0000-0000-0000390E0000}"/>
    <cellStyle name="Normal 2 2 2 19 2 9" xfId="27992" xr:uid="{00000000-0005-0000-0000-00003A0E0000}"/>
    <cellStyle name="Normal 2 2 2 19 3" xfId="1577" xr:uid="{00000000-0005-0000-0000-00003B0E0000}"/>
    <cellStyle name="Normal 2 2 2 19 3 2" xfId="1578" xr:uid="{00000000-0005-0000-0000-00003C0E0000}"/>
    <cellStyle name="Normal 2 2 2 19 3 2 2" xfId="1579" xr:uid="{00000000-0005-0000-0000-00003D0E0000}"/>
    <cellStyle name="Normal 2 2 2 19 3 2 2 2" xfId="27993" xr:uid="{00000000-0005-0000-0000-00003E0E0000}"/>
    <cellStyle name="Normal 2 2 2 19 3 2 3" xfId="1580" xr:uid="{00000000-0005-0000-0000-00003F0E0000}"/>
    <cellStyle name="Normal 2 2 2 19 3 2 3 2" xfId="27994" xr:uid="{00000000-0005-0000-0000-0000400E0000}"/>
    <cellStyle name="Normal 2 2 2 19 3 2 4" xfId="27995" xr:uid="{00000000-0005-0000-0000-0000410E0000}"/>
    <cellStyle name="Normal 2 2 2 19 3 3" xfId="1581" xr:uid="{00000000-0005-0000-0000-0000420E0000}"/>
    <cellStyle name="Normal 2 2 2 19 3 3 2" xfId="27996" xr:uid="{00000000-0005-0000-0000-0000430E0000}"/>
    <cellStyle name="Normal 2 2 2 19 3 4" xfId="1582" xr:uid="{00000000-0005-0000-0000-0000440E0000}"/>
    <cellStyle name="Normal 2 2 2 19 3 4 2" xfId="27997" xr:uid="{00000000-0005-0000-0000-0000450E0000}"/>
    <cellStyle name="Normal 2 2 2 19 3 5" xfId="1583" xr:uid="{00000000-0005-0000-0000-0000460E0000}"/>
    <cellStyle name="Normal 2 2 2 19 3 5 2" xfId="27998" xr:uid="{00000000-0005-0000-0000-0000470E0000}"/>
    <cellStyle name="Normal 2 2 2 19 3 6" xfId="27999" xr:uid="{00000000-0005-0000-0000-0000480E0000}"/>
    <cellStyle name="Normal 2 2 2 19 3 6 2" xfId="28000" xr:uid="{00000000-0005-0000-0000-0000490E0000}"/>
    <cellStyle name="Normal 2 2 2 19 3 7" xfId="28001" xr:uid="{00000000-0005-0000-0000-00004A0E0000}"/>
    <cellStyle name="Normal 2 2 2 19 4" xfId="1584" xr:uid="{00000000-0005-0000-0000-00004B0E0000}"/>
    <cellStyle name="Normal 2 2 2 19 4 2" xfId="1585" xr:uid="{00000000-0005-0000-0000-00004C0E0000}"/>
    <cellStyle name="Normal 2 2 2 19 4 2 2" xfId="28002" xr:uid="{00000000-0005-0000-0000-00004D0E0000}"/>
    <cellStyle name="Normal 2 2 2 19 4 3" xfId="1586" xr:uid="{00000000-0005-0000-0000-00004E0E0000}"/>
    <cellStyle name="Normal 2 2 2 19 4 3 2" xfId="28003" xr:uid="{00000000-0005-0000-0000-00004F0E0000}"/>
    <cellStyle name="Normal 2 2 2 19 4 4" xfId="28004" xr:uid="{00000000-0005-0000-0000-0000500E0000}"/>
    <cellStyle name="Normal 2 2 2 19 5" xfId="1587" xr:uid="{00000000-0005-0000-0000-0000510E0000}"/>
    <cellStyle name="Normal 2 2 2 19 5 2" xfId="1588" xr:uid="{00000000-0005-0000-0000-0000520E0000}"/>
    <cellStyle name="Normal 2 2 2 19 5 2 2" xfId="28005" xr:uid="{00000000-0005-0000-0000-0000530E0000}"/>
    <cellStyle name="Normal 2 2 2 19 5 3" xfId="28006" xr:uid="{00000000-0005-0000-0000-0000540E0000}"/>
    <cellStyle name="Normal 2 2 2 19 6" xfId="1589" xr:uid="{00000000-0005-0000-0000-0000550E0000}"/>
    <cellStyle name="Normal 2 2 2 19 6 2" xfId="28007" xr:uid="{00000000-0005-0000-0000-0000560E0000}"/>
    <cellStyle name="Normal 2 2 2 19 7" xfId="1590" xr:uid="{00000000-0005-0000-0000-0000570E0000}"/>
    <cellStyle name="Normal 2 2 2 19 7 2" xfId="28008" xr:uid="{00000000-0005-0000-0000-0000580E0000}"/>
    <cellStyle name="Normal 2 2 2 19 8" xfId="28009" xr:uid="{00000000-0005-0000-0000-0000590E0000}"/>
    <cellStyle name="Normal 2 2 2 19 8 2" xfId="28010" xr:uid="{00000000-0005-0000-0000-00005A0E0000}"/>
    <cellStyle name="Normal 2 2 2 19 9" xfId="28011" xr:uid="{00000000-0005-0000-0000-00005B0E0000}"/>
    <cellStyle name="Normal 2 2 2 2" xfId="1591" xr:uid="{00000000-0005-0000-0000-00005C0E0000}"/>
    <cellStyle name="Normal 2 2 2 2 10" xfId="28012" xr:uid="{00000000-0005-0000-0000-00005D0E0000}"/>
    <cellStyle name="Normal 2 2 2 2 11" xfId="28013" xr:uid="{00000000-0005-0000-0000-00005E0E0000}"/>
    <cellStyle name="Normal 2 2 2 2 2" xfId="1592" xr:uid="{00000000-0005-0000-0000-00005F0E0000}"/>
    <cellStyle name="Normal 2 2 2 2 2 10" xfId="28014" xr:uid="{00000000-0005-0000-0000-0000600E0000}"/>
    <cellStyle name="Normal 2 2 2 2 2 2" xfId="1593" xr:uid="{00000000-0005-0000-0000-0000610E0000}"/>
    <cellStyle name="Normal 2 2 2 2 2 2 2" xfId="1594" xr:uid="{00000000-0005-0000-0000-0000620E0000}"/>
    <cellStyle name="Normal 2 2 2 2 2 2 2 2" xfId="1595" xr:uid="{00000000-0005-0000-0000-0000630E0000}"/>
    <cellStyle name="Normal 2 2 2 2 2 2 2 2 2" xfId="28015" xr:uid="{00000000-0005-0000-0000-0000640E0000}"/>
    <cellStyle name="Normal 2 2 2 2 2 2 2 3" xfId="1596" xr:uid="{00000000-0005-0000-0000-0000650E0000}"/>
    <cellStyle name="Normal 2 2 2 2 2 2 2 3 2" xfId="28016" xr:uid="{00000000-0005-0000-0000-0000660E0000}"/>
    <cellStyle name="Normal 2 2 2 2 2 2 2 4" xfId="28017" xr:uid="{00000000-0005-0000-0000-0000670E0000}"/>
    <cellStyle name="Normal 2 2 2 2 2 2 3" xfId="1597" xr:uid="{00000000-0005-0000-0000-0000680E0000}"/>
    <cellStyle name="Normal 2 2 2 2 2 2 3 2" xfId="28018" xr:uid="{00000000-0005-0000-0000-0000690E0000}"/>
    <cellStyle name="Normal 2 2 2 2 2 2 4" xfId="1598" xr:uid="{00000000-0005-0000-0000-00006A0E0000}"/>
    <cellStyle name="Normal 2 2 2 2 2 2 4 2" xfId="28019" xr:uid="{00000000-0005-0000-0000-00006B0E0000}"/>
    <cellStyle name="Normal 2 2 2 2 2 2 5" xfId="1599" xr:uid="{00000000-0005-0000-0000-00006C0E0000}"/>
    <cellStyle name="Normal 2 2 2 2 2 2 5 2" xfId="28020" xr:uid="{00000000-0005-0000-0000-00006D0E0000}"/>
    <cellStyle name="Normal 2 2 2 2 2 2 6" xfId="28021" xr:uid="{00000000-0005-0000-0000-00006E0E0000}"/>
    <cellStyle name="Normal 2 2 2 2 2 2 6 2" xfId="28022" xr:uid="{00000000-0005-0000-0000-00006F0E0000}"/>
    <cellStyle name="Normal 2 2 2 2 2 2 7" xfId="28023" xr:uid="{00000000-0005-0000-0000-0000700E0000}"/>
    <cellStyle name="Normal 2 2 2 2 2 3" xfId="1600" xr:uid="{00000000-0005-0000-0000-0000710E0000}"/>
    <cellStyle name="Normal 2 2 2 2 2 3 2" xfId="1601" xr:uid="{00000000-0005-0000-0000-0000720E0000}"/>
    <cellStyle name="Normal 2 2 2 2 2 3 2 2" xfId="28024" xr:uid="{00000000-0005-0000-0000-0000730E0000}"/>
    <cellStyle name="Normal 2 2 2 2 2 3 3" xfId="1602" xr:uid="{00000000-0005-0000-0000-0000740E0000}"/>
    <cellStyle name="Normal 2 2 2 2 2 3 3 2" xfId="28025" xr:uid="{00000000-0005-0000-0000-0000750E0000}"/>
    <cellStyle name="Normal 2 2 2 2 2 3 4" xfId="28026" xr:uid="{00000000-0005-0000-0000-0000760E0000}"/>
    <cellStyle name="Normal 2 2 2 2 2 4" xfId="1603" xr:uid="{00000000-0005-0000-0000-0000770E0000}"/>
    <cellStyle name="Normal 2 2 2 2 2 4 2" xfId="1604" xr:uid="{00000000-0005-0000-0000-0000780E0000}"/>
    <cellStyle name="Normal 2 2 2 2 2 4 2 2" xfId="28027" xr:uid="{00000000-0005-0000-0000-0000790E0000}"/>
    <cellStyle name="Normal 2 2 2 2 2 4 3" xfId="28028" xr:uid="{00000000-0005-0000-0000-00007A0E0000}"/>
    <cellStyle name="Normal 2 2 2 2 2 5" xfId="1605" xr:uid="{00000000-0005-0000-0000-00007B0E0000}"/>
    <cellStyle name="Normal 2 2 2 2 2 5 2" xfId="28029" xr:uid="{00000000-0005-0000-0000-00007C0E0000}"/>
    <cellStyle name="Normal 2 2 2 2 2 6" xfId="1606" xr:uid="{00000000-0005-0000-0000-00007D0E0000}"/>
    <cellStyle name="Normal 2 2 2 2 2 6 2" xfId="28030" xr:uid="{00000000-0005-0000-0000-00007E0E0000}"/>
    <cellStyle name="Normal 2 2 2 2 2 7" xfId="28031" xr:uid="{00000000-0005-0000-0000-00007F0E0000}"/>
    <cellStyle name="Normal 2 2 2 2 2 7 2" xfId="28032" xr:uid="{00000000-0005-0000-0000-0000800E0000}"/>
    <cellStyle name="Normal 2 2 2 2 2 8" xfId="28033" xr:uid="{00000000-0005-0000-0000-0000810E0000}"/>
    <cellStyle name="Normal 2 2 2 2 2 9" xfId="28034" xr:uid="{00000000-0005-0000-0000-0000820E0000}"/>
    <cellStyle name="Normal 2 2 2 2 3" xfId="1607" xr:uid="{00000000-0005-0000-0000-0000830E0000}"/>
    <cellStyle name="Normal 2 2 2 2 3 2" xfId="1608" xr:uid="{00000000-0005-0000-0000-0000840E0000}"/>
    <cellStyle name="Normal 2 2 2 2 3 2 2" xfId="1609" xr:uid="{00000000-0005-0000-0000-0000850E0000}"/>
    <cellStyle name="Normal 2 2 2 2 3 2 2 2" xfId="28035" xr:uid="{00000000-0005-0000-0000-0000860E0000}"/>
    <cellStyle name="Normal 2 2 2 2 3 2 3" xfId="1610" xr:uid="{00000000-0005-0000-0000-0000870E0000}"/>
    <cellStyle name="Normal 2 2 2 2 3 2 3 2" xfId="28036" xr:uid="{00000000-0005-0000-0000-0000880E0000}"/>
    <cellStyle name="Normal 2 2 2 2 3 2 4" xfId="28037" xr:uid="{00000000-0005-0000-0000-0000890E0000}"/>
    <cellStyle name="Normal 2 2 2 2 3 3" xfId="1611" xr:uid="{00000000-0005-0000-0000-00008A0E0000}"/>
    <cellStyle name="Normal 2 2 2 2 3 3 2" xfId="28038" xr:uid="{00000000-0005-0000-0000-00008B0E0000}"/>
    <cellStyle name="Normal 2 2 2 2 3 4" xfId="1612" xr:uid="{00000000-0005-0000-0000-00008C0E0000}"/>
    <cellStyle name="Normal 2 2 2 2 3 4 2" xfId="28039" xr:uid="{00000000-0005-0000-0000-00008D0E0000}"/>
    <cellStyle name="Normal 2 2 2 2 3 5" xfId="1613" xr:uid="{00000000-0005-0000-0000-00008E0E0000}"/>
    <cellStyle name="Normal 2 2 2 2 3 5 2" xfId="28040" xr:uid="{00000000-0005-0000-0000-00008F0E0000}"/>
    <cellStyle name="Normal 2 2 2 2 3 6" xfId="28041" xr:uid="{00000000-0005-0000-0000-0000900E0000}"/>
    <cellStyle name="Normal 2 2 2 2 3 6 2" xfId="28042" xr:uid="{00000000-0005-0000-0000-0000910E0000}"/>
    <cellStyle name="Normal 2 2 2 2 3 7" xfId="28043" xr:uid="{00000000-0005-0000-0000-0000920E0000}"/>
    <cellStyle name="Normal 2 2 2 2 4" xfId="1614" xr:uid="{00000000-0005-0000-0000-0000930E0000}"/>
    <cellStyle name="Normal 2 2 2 2 4 2" xfId="1615" xr:uid="{00000000-0005-0000-0000-0000940E0000}"/>
    <cellStyle name="Normal 2 2 2 2 4 2 2" xfId="28044" xr:uid="{00000000-0005-0000-0000-0000950E0000}"/>
    <cellStyle name="Normal 2 2 2 2 4 3" xfId="1616" xr:uid="{00000000-0005-0000-0000-0000960E0000}"/>
    <cellStyle name="Normal 2 2 2 2 4 3 2" xfId="28045" xr:uid="{00000000-0005-0000-0000-0000970E0000}"/>
    <cellStyle name="Normal 2 2 2 2 4 4" xfId="28046" xr:uid="{00000000-0005-0000-0000-0000980E0000}"/>
    <cellStyle name="Normal 2 2 2 2 5" xfId="1617" xr:uid="{00000000-0005-0000-0000-0000990E0000}"/>
    <cellStyle name="Normal 2 2 2 2 5 2" xfId="1618" xr:uid="{00000000-0005-0000-0000-00009A0E0000}"/>
    <cellStyle name="Normal 2 2 2 2 5 2 2" xfId="28047" xr:uid="{00000000-0005-0000-0000-00009B0E0000}"/>
    <cellStyle name="Normal 2 2 2 2 5 3" xfId="28048" xr:uid="{00000000-0005-0000-0000-00009C0E0000}"/>
    <cellStyle name="Normal 2 2 2 2 6" xfId="1619" xr:uid="{00000000-0005-0000-0000-00009D0E0000}"/>
    <cellStyle name="Normal 2 2 2 2 6 2" xfId="28049" xr:uid="{00000000-0005-0000-0000-00009E0E0000}"/>
    <cellStyle name="Normal 2 2 2 2 7" xfId="1620" xr:uid="{00000000-0005-0000-0000-00009F0E0000}"/>
    <cellStyle name="Normal 2 2 2 2 7 2" xfId="28050" xr:uid="{00000000-0005-0000-0000-0000A00E0000}"/>
    <cellStyle name="Normal 2 2 2 2 8" xfId="28051" xr:uid="{00000000-0005-0000-0000-0000A10E0000}"/>
    <cellStyle name="Normal 2 2 2 2 8 2" xfId="28052" xr:uid="{00000000-0005-0000-0000-0000A20E0000}"/>
    <cellStyle name="Normal 2 2 2 2 9" xfId="28053" xr:uid="{00000000-0005-0000-0000-0000A30E0000}"/>
    <cellStyle name="Normal 2 2 2 20" xfId="1621" xr:uid="{00000000-0005-0000-0000-0000A40E0000}"/>
    <cellStyle name="Normal 2 2 2 20 10" xfId="28054" xr:uid="{00000000-0005-0000-0000-0000A50E0000}"/>
    <cellStyle name="Normal 2 2 2 20 11" xfId="28055" xr:uid="{00000000-0005-0000-0000-0000A60E0000}"/>
    <cellStyle name="Normal 2 2 2 20 2" xfId="1622" xr:uid="{00000000-0005-0000-0000-0000A70E0000}"/>
    <cellStyle name="Normal 2 2 2 20 2 10" xfId="28056" xr:uid="{00000000-0005-0000-0000-0000A80E0000}"/>
    <cellStyle name="Normal 2 2 2 20 2 2" xfId="1623" xr:uid="{00000000-0005-0000-0000-0000A90E0000}"/>
    <cellStyle name="Normal 2 2 2 20 2 2 2" xfId="1624" xr:uid="{00000000-0005-0000-0000-0000AA0E0000}"/>
    <cellStyle name="Normal 2 2 2 20 2 2 2 2" xfId="1625" xr:uid="{00000000-0005-0000-0000-0000AB0E0000}"/>
    <cellStyle name="Normal 2 2 2 20 2 2 2 2 2" xfId="28057" xr:uid="{00000000-0005-0000-0000-0000AC0E0000}"/>
    <cellStyle name="Normal 2 2 2 20 2 2 2 3" xfId="1626" xr:uid="{00000000-0005-0000-0000-0000AD0E0000}"/>
    <cellStyle name="Normal 2 2 2 20 2 2 2 3 2" xfId="28058" xr:uid="{00000000-0005-0000-0000-0000AE0E0000}"/>
    <cellStyle name="Normal 2 2 2 20 2 2 2 4" xfId="28059" xr:uid="{00000000-0005-0000-0000-0000AF0E0000}"/>
    <cellStyle name="Normal 2 2 2 20 2 2 3" xfId="1627" xr:uid="{00000000-0005-0000-0000-0000B00E0000}"/>
    <cellStyle name="Normal 2 2 2 20 2 2 3 2" xfId="28060" xr:uid="{00000000-0005-0000-0000-0000B10E0000}"/>
    <cellStyle name="Normal 2 2 2 20 2 2 4" xfId="1628" xr:uid="{00000000-0005-0000-0000-0000B20E0000}"/>
    <cellStyle name="Normal 2 2 2 20 2 2 4 2" xfId="28061" xr:uid="{00000000-0005-0000-0000-0000B30E0000}"/>
    <cellStyle name="Normal 2 2 2 20 2 2 5" xfId="1629" xr:uid="{00000000-0005-0000-0000-0000B40E0000}"/>
    <cellStyle name="Normal 2 2 2 20 2 2 5 2" xfId="28062" xr:uid="{00000000-0005-0000-0000-0000B50E0000}"/>
    <cellStyle name="Normal 2 2 2 20 2 2 6" xfId="28063" xr:uid="{00000000-0005-0000-0000-0000B60E0000}"/>
    <cellStyle name="Normal 2 2 2 20 2 2 6 2" xfId="28064" xr:uid="{00000000-0005-0000-0000-0000B70E0000}"/>
    <cellStyle name="Normal 2 2 2 20 2 2 7" xfId="28065" xr:uid="{00000000-0005-0000-0000-0000B80E0000}"/>
    <cellStyle name="Normal 2 2 2 20 2 3" xfId="1630" xr:uid="{00000000-0005-0000-0000-0000B90E0000}"/>
    <cellStyle name="Normal 2 2 2 20 2 3 2" xfId="1631" xr:uid="{00000000-0005-0000-0000-0000BA0E0000}"/>
    <cellStyle name="Normal 2 2 2 20 2 3 2 2" xfId="28066" xr:uid="{00000000-0005-0000-0000-0000BB0E0000}"/>
    <cellStyle name="Normal 2 2 2 20 2 3 3" xfId="1632" xr:uid="{00000000-0005-0000-0000-0000BC0E0000}"/>
    <cellStyle name="Normal 2 2 2 20 2 3 3 2" xfId="28067" xr:uid="{00000000-0005-0000-0000-0000BD0E0000}"/>
    <cellStyle name="Normal 2 2 2 20 2 3 4" xfId="28068" xr:uid="{00000000-0005-0000-0000-0000BE0E0000}"/>
    <cellStyle name="Normal 2 2 2 20 2 4" xfId="1633" xr:uid="{00000000-0005-0000-0000-0000BF0E0000}"/>
    <cellStyle name="Normal 2 2 2 20 2 4 2" xfId="1634" xr:uid="{00000000-0005-0000-0000-0000C00E0000}"/>
    <cellStyle name="Normal 2 2 2 20 2 4 2 2" xfId="28069" xr:uid="{00000000-0005-0000-0000-0000C10E0000}"/>
    <cellStyle name="Normal 2 2 2 20 2 4 3" xfId="28070" xr:uid="{00000000-0005-0000-0000-0000C20E0000}"/>
    <cellStyle name="Normal 2 2 2 20 2 5" xfId="1635" xr:uid="{00000000-0005-0000-0000-0000C30E0000}"/>
    <cellStyle name="Normal 2 2 2 20 2 5 2" xfId="28071" xr:uid="{00000000-0005-0000-0000-0000C40E0000}"/>
    <cellStyle name="Normal 2 2 2 20 2 6" xfId="1636" xr:uid="{00000000-0005-0000-0000-0000C50E0000}"/>
    <cellStyle name="Normal 2 2 2 20 2 6 2" xfId="28072" xr:uid="{00000000-0005-0000-0000-0000C60E0000}"/>
    <cellStyle name="Normal 2 2 2 20 2 7" xfId="28073" xr:uid="{00000000-0005-0000-0000-0000C70E0000}"/>
    <cellStyle name="Normal 2 2 2 20 2 7 2" xfId="28074" xr:uid="{00000000-0005-0000-0000-0000C80E0000}"/>
    <cellStyle name="Normal 2 2 2 20 2 8" xfId="28075" xr:uid="{00000000-0005-0000-0000-0000C90E0000}"/>
    <cellStyle name="Normal 2 2 2 20 2 9" xfId="28076" xr:uid="{00000000-0005-0000-0000-0000CA0E0000}"/>
    <cellStyle name="Normal 2 2 2 20 3" xfId="1637" xr:uid="{00000000-0005-0000-0000-0000CB0E0000}"/>
    <cellStyle name="Normal 2 2 2 20 3 2" xfId="1638" xr:uid="{00000000-0005-0000-0000-0000CC0E0000}"/>
    <cellStyle name="Normal 2 2 2 20 3 2 2" xfId="1639" xr:uid="{00000000-0005-0000-0000-0000CD0E0000}"/>
    <cellStyle name="Normal 2 2 2 20 3 2 2 2" xfId="28077" xr:uid="{00000000-0005-0000-0000-0000CE0E0000}"/>
    <cellStyle name="Normal 2 2 2 20 3 2 3" xfId="1640" xr:uid="{00000000-0005-0000-0000-0000CF0E0000}"/>
    <cellStyle name="Normal 2 2 2 20 3 2 3 2" xfId="28078" xr:uid="{00000000-0005-0000-0000-0000D00E0000}"/>
    <cellStyle name="Normal 2 2 2 20 3 2 4" xfId="28079" xr:uid="{00000000-0005-0000-0000-0000D10E0000}"/>
    <cellStyle name="Normal 2 2 2 20 3 3" xfId="1641" xr:uid="{00000000-0005-0000-0000-0000D20E0000}"/>
    <cellStyle name="Normal 2 2 2 20 3 3 2" xfId="28080" xr:uid="{00000000-0005-0000-0000-0000D30E0000}"/>
    <cellStyle name="Normal 2 2 2 20 3 4" xfId="1642" xr:uid="{00000000-0005-0000-0000-0000D40E0000}"/>
    <cellStyle name="Normal 2 2 2 20 3 4 2" xfId="28081" xr:uid="{00000000-0005-0000-0000-0000D50E0000}"/>
    <cellStyle name="Normal 2 2 2 20 3 5" xfId="1643" xr:uid="{00000000-0005-0000-0000-0000D60E0000}"/>
    <cellStyle name="Normal 2 2 2 20 3 5 2" xfId="28082" xr:uid="{00000000-0005-0000-0000-0000D70E0000}"/>
    <cellStyle name="Normal 2 2 2 20 3 6" xfId="28083" xr:uid="{00000000-0005-0000-0000-0000D80E0000}"/>
    <cellStyle name="Normal 2 2 2 20 3 6 2" xfId="28084" xr:uid="{00000000-0005-0000-0000-0000D90E0000}"/>
    <cellStyle name="Normal 2 2 2 20 3 7" xfId="28085" xr:uid="{00000000-0005-0000-0000-0000DA0E0000}"/>
    <cellStyle name="Normal 2 2 2 20 4" xfId="1644" xr:uid="{00000000-0005-0000-0000-0000DB0E0000}"/>
    <cellStyle name="Normal 2 2 2 20 4 2" xfId="1645" xr:uid="{00000000-0005-0000-0000-0000DC0E0000}"/>
    <cellStyle name="Normal 2 2 2 20 4 2 2" xfId="28086" xr:uid="{00000000-0005-0000-0000-0000DD0E0000}"/>
    <cellStyle name="Normal 2 2 2 20 4 3" xfId="1646" xr:uid="{00000000-0005-0000-0000-0000DE0E0000}"/>
    <cellStyle name="Normal 2 2 2 20 4 3 2" xfId="28087" xr:uid="{00000000-0005-0000-0000-0000DF0E0000}"/>
    <cellStyle name="Normal 2 2 2 20 4 4" xfId="28088" xr:uid="{00000000-0005-0000-0000-0000E00E0000}"/>
    <cellStyle name="Normal 2 2 2 20 5" xfId="1647" xr:uid="{00000000-0005-0000-0000-0000E10E0000}"/>
    <cellStyle name="Normal 2 2 2 20 5 2" xfId="1648" xr:uid="{00000000-0005-0000-0000-0000E20E0000}"/>
    <cellStyle name="Normal 2 2 2 20 5 2 2" xfId="28089" xr:uid="{00000000-0005-0000-0000-0000E30E0000}"/>
    <cellStyle name="Normal 2 2 2 20 5 3" xfId="28090" xr:uid="{00000000-0005-0000-0000-0000E40E0000}"/>
    <cellStyle name="Normal 2 2 2 20 6" xfId="1649" xr:uid="{00000000-0005-0000-0000-0000E50E0000}"/>
    <cellStyle name="Normal 2 2 2 20 6 2" xfId="28091" xr:uid="{00000000-0005-0000-0000-0000E60E0000}"/>
    <cellStyle name="Normal 2 2 2 20 7" xfId="1650" xr:uid="{00000000-0005-0000-0000-0000E70E0000}"/>
    <cellStyle name="Normal 2 2 2 20 7 2" xfId="28092" xr:uid="{00000000-0005-0000-0000-0000E80E0000}"/>
    <cellStyle name="Normal 2 2 2 20 8" xfId="28093" xr:uid="{00000000-0005-0000-0000-0000E90E0000}"/>
    <cellStyle name="Normal 2 2 2 20 8 2" xfId="28094" xr:uid="{00000000-0005-0000-0000-0000EA0E0000}"/>
    <cellStyle name="Normal 2 2 2 20 9" xfId="28095" xr:uid="{00000000-0005-0000-0000-0000EB0E0000}"/>
    <cellStyle name="Normal 2 2 2 21" xfId="1651" xr:uid="{00000000-0005-0000-0000-0000EC0E0000}"/>
    <cellStyle name="Normal 2 2 2 21 10" xfId="28096" xr:uid="{00000000-0005-0000-0000-0000ED0E0000}"/>
    <cellStyle name="Normal 2 2 2 21 11" xfId="28097" xr:uid="{00000000-0005-0000-0000-0000EE0E0000}"/>
    <cellStyle name="Normal 2 2 2 21 2" xfId="1652" xr:uid="{00000000-0005-0000-0000-0000EF0E0000}"/>
    <cellStyle name="Normal 2 2 2 21 2 10" xfId="28098" xr:uid="{00000000-0005-0000-0000-0000F00E0000}"/>
    <cellStyle name="Normal 2 2 2 21 2 2" xfId="1653" xr:uid="{00000000-0005-0000-0000-0000F10E0000}"/>
    <cellStyle name="Normal 2 2 2 21 2 2 2" xfId="1654" xr:uid="{00000000-0005-0000-0000-0000F20E0000}"/>
    <cellStyle name="Normal 2 2 2 21 2 2 2 2" xfId="1655" xr:uid="{00000000-0005-0000-0000-0000F30E0000}"/>
    <cellStyle name="Normal 2 2 2 21 2 2 2 2 2" xfId="28099" xr:uid="{00000000-0005-0000-0000-0000F40E0000}"/>
    <cellStyle name="Normal 2 2 2 21 2 2 2 3" xfId="1656" xr:uid="{00000000-0005-0000-0000-0000F50E0000}"/>
    <cellStyle name="Normal 2 2 2 21 2 2 2 3 2" xfId="28100" xr:uid="{00000000-0005-0000-0000-0000F60E0000}"/>
    <cellStyle name="Normal 2 2 2 21 2 2 2 4" xfId="28101" xr:uid="{00000000-0005-0000-0000-0000F70E0000}"/>
    <cellStyle name="Normal 2 2 2 21 2 2 3" xfId="1657" xr:uid="{00000000-0005-0000-0000-0000F80E0000}"/>
    <cellStyle name="Normal 2 2 2 21 2 2 3 2" xfId="28102" xr:uid="{00000000-0005-0000-0000-0000F90E0000}"/>
    <cellStyle name="Normal 2 2 2 21 2 2 4" xfId="1658" xr:uid="{00000000-0005-0000-0000-0000FA0E0000}"/>
    <cellStyle name="Normal 2 2 2 21 2 2 4 2" xfId="28103" xr:uid="{00000000-0005-0000-0000-0000FB0E0000}"/>
    <cellStyle name="Normal 2 2 2 21 2 2 5" xfId="1659" xr:uid="{00000000-0005-0000-0000-0000FC0E0000}"/>
    <cellStyle name="Normal 2 2 2 21 2 2 5 2" xfId="28104" xr:uid="{00000000-0005-0000-0000-0000FD0E0000}"/>
    <cellStyle name="Normal 2 2 2 21 2 2 6" xfId="28105" xr:uid="{00000000-0005-0000-0000-0000FE0E0000}"/>
    <cellStyle name="Normal 2 2 2 21 2 2 6 2" xfId="28106" xr:uid="{00000000-0005-0000-0000-0000FF0E0000}"/>
    <cellStyle name="Normal 2 2 2 21 2 2 7" xfId="28107" xr:uid="{00000000-0005-0000-0000-0000000F0000}"/>
    <cellStyle name="Normal 2 2 2 21 2 3" xfId="1660" xr:uid="{00000000-0005-0000-0000-0000010F0000}"/>
    <cellStyle name="Normal 2 2 2 21 2 3 2" xfId="1661" xr:uid="{00000000-0005-0000-0000-0000020F0000}"/>
    <cellStyle name="Normal 2 2 2 21 2 3 2 2" xfId="28108" xr:uid="{00000000-0005-0000-0000-0000030F0000}"/>
    <cellStyle name="Normal 2 2 2 21 2 3 3" xfId="1662" xr:uid="{00000000-0005-0000-0000-0000040F0000}"/>
    <cellStyle name="Normal 2 2 2 21 2 3 3 2" xfId="28109" xr:uid="{00000000-0005-0000-0000-0000050F0000}"/>
    <cellStyle name="Normal 2 2 2 21 2 3 4" xfId="28110" xr:uid="{00000000-0005-0000-0000-0000060F0000}"/>
    <cellStyle name="Normal 2 2 2 21 2 4" xfId="1663" xr:uid="{00000000-0005-0000-0000-0000070F0000}"/>
    <cellStyle name="Normal 2 2 2 21 2 4 2" xfId="1664" xr:uid="{00000000-0005-0000-0000-0000080F0000}"/>
    <cellStyle name="Normal 2 2 2 21 2 4 2 2" xfId="28111" xr:uid="{00000000-0005-0000-0000-0000090F0000}"/>
    <cellStyle name="Normal 2 2 2 21 2 4 3" xfId="28112" xr:uid="{00000000-0005-0000-0000-00000A0F0000}"/>
    <cellStyle name="Normal 2 2 2 21 2 5" xfId="1665" xr:uid="{00000000-0005-0000-0000-00000B0F0000}"/>
    <cellStyle name="Normal 2 2 2 21 2 5 2" xfId="28113" xr:uid="{00000000-0005-0000-0000-00000C0F0000}"/>
    <cellStyle name="Normal 2 2 2 21 2 6" xfId="1666" xr:uid="{00000000-0005-0000-0000-00000D0F0000}"/>
    <cellStyle name="Normal 2 2 2 21 2 6 2" xfId="28114" xr:uid="{00000000-0005-0000-0000-00000E0F0000}"/>
    <cellStyle name="Normal 2 2 2 21 2 7" xfId="28115" xr:uid="{00000000-0005-0000-0000-00000F0F0000}"/>
    <cellStyle name="Normal 2 2 2 21 2 7 2" xfId="28116" xr:uid="{00000000-0005-0000-0000-0000100F0000}"/>
    <cellStyle name="Normal 2 2 2 21 2 8" xfId="28117" xr:uid="{00000000-0005-0000-0000-0000110F0000}"/>
    <cellStyle name="Normal 2 2 2 21 2 9" xfId="28118" xr:uid="{00000000-0005-0000-0000-0000120F0000}"/>
    <cellStyle name="Normal 2 2 2 21 3" xfId="1667" xr:uid="{00000000-0005-0000-0000-0000130F0000}"/>
    <cellStyle name="Normal 2 2 2 21 3 2" xfId="1668" xr:uid="{00000000-0005-0000-0000-0000140F0000}"/>
    <cellStyle name="Normal 2 2 2 21 3 2 2" xfId="1669" xr:uid="{00000000-0005-0000-0000-0000150F0000}"/>
    <cellStyle name="Normal 2 2 2 21 3 2 2 2" xfId="28119" xr:uid="{00000000-0005-0000-0000-0000160F0000}"/>
    <cellStyle name="Normal 2 2 2 21 3 2 3" xfId="1670" xr:uid="{00000000-0005-0000-0000-0000170F0000}"/>
    <cellStyle name="Normal 2 2 2 21 3 2 3 2" xfId="28120" xr:uid="{00000000-0005-0000-0000-0000180F0000}"/>
    <cellStyle name="Normal 2 2 2 21 3 2 4" xfId="28121" xr:uid="{00000000-0005-0000-0000-0000190F0000}"/>
    <cellStyle name="Normal 2 2 2 21 3 3" xfId="1671" xr:uid="{00000000-0005-0000-0000-00001A0F0000}"/>
    <cellStyle name="Normal 2 2 2 21 3 3 2" xfId="28122" xr:uid="{00000000-0005-0000-0000-00001B0F0000}"/>
    <cellStyle name="Normal 2 2 2 21 3 4" xfId="1672" xr:uid="{00000000-0005-0000-0000-00001C0F0000}"/>
    <cellStyle name="Normal 2 2 2 21 3 4 2" xfId="28123" xr:uid="{00000000-0005-0000-0000-00001D0F0000}"/>
    <cellStyle name="Normal 2 2 2 21 3 5" xfId="1673" xr:uid="{00000000-0005-0000-0000-00001E0F0000}"/>
    <cellStyle name="Normal 2 2 2 21 3 5 2" xfId="28124" xr:uid="{00000000-0005-0000-0000-00001F0F0000}"/>
    <cellStyle name="Normal 2 2 2 21 3 6" xfId="28125" xr:uid="{00000000-0005-0000-0000-0000200F0000}"/>
    <cellStyle name="Normal 2 2 2 21 3 6 2" xfId="28126" xr:uid="{00000000-0005-0000-0000-0000210F0000}"/>
    <cellStyle name="Normal 2 2 2 21 3 7" xfId="28127" xr:uid="{00000000-0005-0000-0000-0000220F0000}"/>
    <cellStyle name="Normal 2 2 2 21 4" xfId="1674" xr:uid="{00000000-0005-0000-0000-0000230F0000}"/>
    <cellStyle name="Normal 2 2 2 21 4 2" xfId="1675" xr:uid="{00000000-0005-0000-0000-0000240F0000}"/>
    <cellStyle name="Normal 2 2 2 21 4 2 2" xfId="28128" xr:uid="{00000000-0005-0000-0000-0000250F0000}"/>
    <cellStyle name="Normal 2 2 2 21 4 3" xfId="1676" xr:uid="{00000000-0005-0000-0000-0000260F0000}"/>
    <cellStyle name="Normal 2 2 2 21 4 3 2" xfId="28129" xr:uid="{00000000-0005-0000-0000-0000270F0000}"/>
    <cellStyle name="Normal 2 2 2 21 4 4" xfId="28130" xr:uid="{00000000-0005-0000-0000-0000280F0000}"/>
    <cellStyle name="Normal 2 2 2 21 5" xfId="1677" xr:uid="{00000000-0005-0000-0000-0000290F0000}"/>
    <cellStyle name="Normal 2 2 2 21 5 2" xfId="1678" xr:uid="{00000000-0005-0000-0000-00002A0F0000}"/>
    <cellStyle name="Normal 2 2 2 21 5 2 2" xfId="28131" xr:uid="{00000000-0005-0000-0000-00002B0F0000}"/>
    <cellStyle name="Normal 2 2 2 21 5 3" xfId="28132" xr:uid="{00000000-0005-0000-0000-00002C0F0000}"/>
    <cellStyle name="Normal 2 2 2 21 6" xfId="1679" xr:uid="{00000000-0005-0000-0000-00002D0F0000}"/>
    <cellStyle name="Normal 2 2 2 21 6 2" xfId="28133" xr:uid="{00000000-0005-0000-0000-00002E0F0000}"/>
    <cellStyle name="Normal 2 2 2 21 7" xfId="1680" xr:uid="{00000000-0005-0000-0000-00002F0F0000}"/>
    <cellStyle name="Normal 2 2 2 21 7 2" xfId="28134" xr:uid="{00000000-0005-0000-0000-0000300F0000}"/>
    <cellStyle name="Normal 2 2 2 21 8" xfId="28135" xr:uid="{00000000-0005-0000-0000-0000310F0000}"/>
    <cellStyle name="Normal 2 2 2 21 8 2" xfId="28136" xr:uid="{00000000-0005-0000-0000-0000320F0000}"/>
    <cellStyle name="Normal 2 2 2 21 9" xfId="28137" xr:uid="{00000000-0005-0000-0000-0000330F0000}"/>
    <cellStyle name="Normal 2 2 2 22" xfId="1681" xr:uid="{00000000-0005-0000-0000-0000340F0000}"/>
    <cellStyle name="Normal 2 2 2 22 10" xfId="28138" xr:uid="{00000000-0005-0000-0000-0000350F0000}"/>
    <cellStyle name="Normal 2 2 2 22 11" xfId="28139" xr:uid="{00000000-0005-0000-0000-0000360F0000}"/>
    <cellStyle name="Normal 2 2 2 22 2" xfId="1682" xr:uid="{00000000-0005-0000-0000-0000370F0000}"/>
    <cellStyle name="Normal 2 2 2 22 2 10" xfId="28140" xr:uid="{00000000-0005-0000-0000-0000380F0000}"/>
    <cellStyle name="Normal 2 2 2 22 2 2" xfId="1683" xr:uid="{00000000-0005-0000-0000-0000390F0000}"/>
    <cellStyle name="Normal 2 2 2 22 2 2 2" xfId="1684" xr:uid="{00000000-0005-0000-0000-00003A0F0000}"/>
    <cellStyle name="Normal 2 2 2 22 2 2 2 2" xfId="1685" xr:uid="{00000000-0005-0000-0000-00003B0F0000}"/>
    <cellStyle name="Normal 2 2 2 22 2 2 2 2 2" xfId="28141" xr:uid="{00000000-0005-0000-0000-00003C0F0000}"/>
    <cellStyle name="Normal 2 2 2 22 2 2 2 3" xfId="1686" xr:uid="{00000000-0005-0000-0000-00003D0F0000}"/>
    <cellStyle name="Normal 2 2 2 22 2 2 2 3 2" xfId="28142" xr:uid="{00000000-0005-0000-0000-00003E0F0000}"/>
    <cellStyle name="Normal 2 2 2 22 2 2 2 4" xfId="28143" xr:uid="{00000000-0005-0000-0000-00003F0F0000}"/>
    <cellStyle name="Normal 2 2 2 22 2 2 3" xfId="1687" xr:uid="{00000000-0005-0000-0000-0000400F0000}"/>
    <cellStyle name="Normal 2 2 2 22 2 2 3 2" xfId="28144" xr:uid="{00000000-0005-0000-0000-0000410F0000}"/>
    <cellStyle name="Normal 2 2 2 22 2 2 4" xfId="1688" xr:uid="{00000000-0005-0000-0000-0000420F0000}"/>
    <cellStyle name="Normal 2 2 2 22 2 2 4 2" xfId="28145" xr:uid="{00000000-0005-0000-0000-0000430F0000}"/>
    <cellStyle name="Normal 2 2 2 22 2 2 5" xfId="1689" xr:uid="{00000000-0005-0000-0000-0000440F0000}"/>
    <cellStyle name="Normal 2 2 2 22 2 2 5 2" xfId="28146" xr:uid="{00000000-0005-0000-0000-0000450F0000}"/>
    <cellStyle name="Normal 2 2 2 22 2 2 6" xfId="28147" xr:uid="{00000000-0005-0000-0000-0000460F0000}"/>
    <cellStyle name="Normal 2 2 2 22 2 2 6 2" xfId="28148" xr:uid="{00000000-0005-0000-0000-0000470F0000}"/>
    <cellStyle name="Normal 2 2 2 22 2 2 7" xfId="28149" xr:uid="{00000000-0005-0000-0000-0000480F0000}"/>
    <cellStyle name="Normal 2 2 2 22 2 3" xfId="1690" xr:uid="{00000000-0005-0000-0000-0000490F0000}"/>
    <cellStyle name="Normal 2 2 2 22 2 3 2" xfId="1691" xr:uid="{00000000-0005-0000-0000-00004A0F0000}"/>
    <cellStyle name="Normal 2 2 2 22 2 3 2 2" xfId="28150" xr:uid="{00000000-0005-0000-0000-00004B0F0000}"/>
    <cellStyle name="Normal 2 2 2 22 2 3 3" xfId="1692" xr:uid="{00000000-0005-0000-0000-00004C0F0000}"/>
    <cellStyle name="Normal 2 2 2 22 2 3 3 2" xfId="28151" xr:uid="{00000000-0005-0000-0000-00004D0F0000}"/>
    <cellStyle name="Normal 2 2 2 22 2 3 4" xfId="28152" xr:uid="{00000000-0005-0000-0000-00004E0F0000}"/>
    <cellStyle name="Normal 2 2 2 22 2 4" xfId="1693" xr:uid="{00000000-0005-0000-0000-00004F0F0000}"/>
    <cellStyle name="Normal 2 2 2 22 2 4 2" xfId="1694" xr:uid="{00000000-0005-0000-0000-0000500F0000}"/>
    <cellStyle name="Normal 2 2 2 22 2 4 2 2" xfId="28153" xr:uid="{00000000-0005-0000-0000-0000510F0000}"/>
    <cellStyle name="Normal 2 2 2 22 2 4 3" xfId="28154" xr:uid="{00000000-0005-0000-0000-0000520F0000}"/>
    <cellStyle name="Normal 2 2 2 22 2 5" xfId="1695" xr:uid="{00000000-0005-0000-0000-0000530F0000}"/>
    <cellStyle name="Normal 2 2 2 22 2 5 2" xfId="28155" xr:uid="{00000000-0005-0000-0000-0000540F0000}"/>
    <cellStyle name="Normal 2 2 2 22 2 6" xfId="1696" xr:uid="{00000000-0005-0000-0000-0000550F0000}"/>
    <cellStyle name="Normal 2 2 2 22 2 6 2" xfId="28156" xr:uid="{00000000-0005-0000-0000-0000560F0000}"/>
    <cellStyle name="Normal 2 2 2 22 2 7" xfId="28157" xr:uid="{00000000-0005-0000-0000-0000570F0000}"/>
    <cellStyle name="Normal 2 2 2 22 2 7 2" xfId="28158" xr:uid="{00000000-0005-0000-0000-0000580F0000}"/>
    <cellStyle name="Normal 2 2 2 22 2 8" xfId="28159" xr:uid="{00000000-0005-0000-0000-0000590F0000}"/>
    <cellStyle name="Normal 2 2 2 22 2 9" xfId="28160" xr:uid="{00000000-0005-0000-0000-00005A0F0000}"/>
    <cellStyle name="Normal 2 2 2 22 3" xfId="1697" xr:uid="{00000000-0005-0000-0000-00005B0F0000}"/>
    <cellStyle name="Normal 2 2 2 22 3 2" xfId="1698" xr:uid="{00000000-0005-0000-0000-00005C0F0000}"/>
    <cellStyle name="Normal 2 2 2 22 3 2 2" xfId="1699" xr:uid="{00000000-0005-0000-0000-00005D0F0000}"/>
    <cellStyle name="Normal 2 2 2 22 3 2 2 2" xfId="28161" xr:uid="{00000000-0005-0000-0000-00005E0F0000}"/>
    <cellStyle name="Normal 2 2 2 22 3 2 3" xfId="1700" xr:uid="{00000000-0005-0000-0000-00005F0F0000}"/>
    <cellStyle name="Normal 2 2 2 22 3 2 3 2" xfId="28162" xr:uid="{00000000-0005-0000-0000-0000600F0000}"/>
    <cellStyle name="Normal 2 2 2 22 3 2 4" xfId="28163" xr:uid="{00000000-0005-0000-0000-0000610F0000}"/>
    <cellStyle name="Normal 2 2 2 22 3 3" xfId="1701" xr:uid="{00000000-0005-0000-0000-0000620F0000}"/>
    <cellStyle name="Normal 2 2 2 22 3 3 2" xfId="28164" xr:uid="{00000000-0005-0000-0000-0000630F0000}"/>
    <cellStyle name="Normal 2 2 2 22 3 4" xfId="1702" xr:uid="{00000000-0005-0000-0000-0000640F0000}"/>
    <cellStyle name="Normal 2 2 2 22 3 4 2" xfId="28165" xr:uid="{00000000-0005-0000-0000-0000650F0000}"/>
    <cellStyle name="Normal 2 2 2 22 3 5" xfId="1703" xr:uid="{00000000-0005-0000-0000-0000660F0000}"/>
    <cellStyle name="Normal 2 2 2 22 3 5 2" xfId="28166" xr:uid="{00000000-0005-0000-0000-0000670F0000}"/>
    <cellStyle name="Normal 2 2 2 22 3 6" xfId="28167" xr:uid="{00000000-0005-0000-0000-0000680F0000}"/>
    <cellStyle name="Normal 2 2 2 22 3 6 2" xfId="28168" xr:uid="{00000000-0005-0000-0000-0000690F0000}"/>
    <cellStyle name="Normal 2 2 2 22 3 7" xfId="28169" xr:uid="{00000000-0005-0000-0000-00006A0F0000}"/>
    <cellStyle name="Normal 2 2 2 22 4" xfId="1704" xr:uid="{00000000-0005-0000-0000-00006B0F0000}"/>
    <cellStyle name="Normal 2 2 2 22 4 2" xfId="1705" xr:uid="{00000000-0005-0000-0000-00006C0F0000}"/>
    <cellStyle name="Normal 2 2 2 22 4 2 2" xfId="28170" xr:uid="{00000000-0005-0000-0000-00006D0F0000}"/>
    <cellStyle name="Normal 2 2 2 22 4 3" xfId="1706" xr:uid="{00000000-0005-0000-0000-00006E0F0000}"/>
    <cellStyle name="Normal 2 2 2 22 4 3 2" xfId="28171" xr:uid="{00000000-0005-0000-0000-00006F0F0000}"/>
    <cellStyle name="Normal 2 2 2 22 4 4" xfId="28172" xr:uid="{00000000-0005-0000-0000-0000700F0000}"/>
    <cellStyle name="Normal 2 2 2 22 5" xfId="1707" xr:uid="{00000000-0005-0000-0000-0000710F0000}"/>
    <cellStyle name="Normal 2 2 2 22 5 2" xfId="1708" xr:uid="{00000000-0005-0000-0000-0000720F0000}"/>
    <cellStyle name="Normal 2 2 2 22 5 2 2" xfId="28173" xr:uid="{00000000-0005-0000-0000-0000730F0000}"/>
    <cellStyle name="Normal 2 2 2 22 5 3" xfId="28174" xr:uid="{00000000-0005-0000-0000-0000740F0000}"/>
    <cellStyle name="Normal 2 2 2 22 6" xfId="1709" xr:uid="{00000000-0005-0000-0000-0000750F0000}"/>
    <cellStyle name="Normal 2 2 2 22 6 2" xfId="28175" xr:uid="{00000000-0005-0000-0000-0000760F0000}"/>
    <cellStyle name="Normal 2 2 2 22 7" xfId="1710" xr:uid="{00000000-0005-0000-0000-0000770F0000}"/>
    <cellStyle name="Normal 2 2 2 22 7 2" xfId="28176" xr:uid="{00000000-0005-0000-0000-0000780F0000}"/>
    <cellStyle name="Normal 2 2 2 22 8" xfId="28177" xr:uid="{00000000-0005-0000-0000-0000790F0000}"/>
    <cellStyle name="Normal 2 2 2 22 8 2" xfId="28178" xr:uid="{00000000-0005-0000-0000-00007A0F0000}"/>
    <cellStyle name="Normal 2 2 2 22 9" xfId="28179" xr:uid="{00000000-0005-0000-0000-00007B0F0000}"/>
    <cellStyle name="Normal 2 2 2 23" xfId="1711" xr:uid="{00000000-0005-0000-0000-00007C0F0000}"/>
    <cellStyle name="Normal 2 2 2 23 10" xfId="28180" xr:uid="{00000000-0005-0000-0000-00007D0F0000}"/>
    <cellStyle name="Normal 2 2 2 23 11" xfId="28181" xr:uid="{00000000-0005-0000-0000-00007E0F0000}"/>
    <cellStyle name="Normal 2 2 2 23 2" xfId="1712" xr:uid="{00000000-0005-0000-0000-00007F0F0000}"/>
    <cellStyle name="Normal 2 2 2 23 2 10" xfId="28182" xr:uid="{00000000-0005-0000-0000-0000800F0000}"/>
    <cellStyle name="Normal 2 2 2 23 2 2" xfId="1713" xr:uid="{00000000-0005-0000-0000-0000810F0000}"/>
    <cellStyle name="Normal 2 2 2 23 2 2 2" xfId="1714" xr:uid="{00000000-0005-0000-0000-0000820F0000}"/>
    <cellStyle name="Normal 2 2 2 23 2 2 2 2" xfId="1715" xr:uid="{00000000-0005-0000-0000-0000830F0000}"/>
    <cellStyle name="Normal 2 2 2 23 2 2 2 2 2" xfId="28183" xr:uid="{00000000-0005-0000-0000-0000840F0000}"/>
    <cellStyle name="Normal 2 2 2 23 2 2 2 3" xfId="1716" xr:uid="{00000000-0005-0000-0000-0000850F0000}"/>
    <cellStyle name="Normal 2 2 2 23 2 2 2 3 2" xfId="28184" xr:uid="{00000000-0005-0000-0000-0000860F0000}"/>
    <cellStyle name="Normal 2 2 2 23 2 2 2 4" xfId="28185" xr:uid="{00000000-0005-0000-0000-0000870F0000}"/>
    <cellStyle name="Normal 2 2 2 23 2 2 3" xfId="1717" xr:uid="{00000000-0005-0000-0000-0000880F0000}"/>
    <cellStyle name="Normal 2 2 2 23 2 2 3 2" xfId="28186" xr:uid="{00000000-0005-0000-0000-0000890F0000}"/>
    <cellStyle name="Normal 2 2 2 23 2 2 4" xfId="1718" xr:uid="{00000000-0005-0000-0000-00008A0F0000}"/>
    <cellStyle name="Normal 2 2 2 23 2 2 4 2" xfId="28187" xr:uid="{00000000-0005-0000-0000-00008B0F0000}"/>
    <cellStyle name="Normal 2 2 2 23 2 2 5" xfId="1719" xr:uid="{00000000-0005-0000-0000-00008C0F0000}"/>
    <cellStyle name="Normal 2 2 2 23 2 2 5 2" xfId="28188" xr:uid="{00000000-0005-0000-0000-00008D0F0000}"/>
    <cellStyle name="Normal 2 2 2 23 2 2 6" xfId="28189" xr:uid="{00000000-0005-0000-0000-00008E0F0000}"/>
    <cellStyle name="Normal 2 2 2 23 2 2 6 2" xfId="28190" xr:uid="{00000000-0005-0000-0000-00008F0F0000}"/>
    <cellStyle name="Normal 2 2 2 23 2 2 7" xfId="28191" xr:uid="{00000000-0005-0000-0000-0000900F0000}"/>
    <cellStyle name="Normal 2 2 2 23 2 3" xfId="1720" xr:uid="{00000000-0005-0000-0000-0000910F0000}"/>
    <cellStyle name="Normal 2 2 2 23 2 3 2" xfId="1721" xr:uid="{00000000-0005-0000-0000-0000920F0000}"/>
    <cellStyle name="Normal 2 2 2 23 2 3 2 2" xfId="28192" xr:uid="{00000000-0005-0000-0000-0000930F0000}"/>
    <cellStyle name="Normal 2 2 2 23 2 3 3" xfId="1722" xr:uid="{00000000-0005-0000-0000-0000940F0000}"/>
    <cellStyle name="Normal 2 2 2 23 2 3 3 2" xfId="28193" xr:uid="{00000000-0005-0000-0000-0000950F0000}"/>
    <cellStyle name="Normal 2 2 2 23 2 3 4" xfId="28194" xr:uid="{00000000-0005-0000-0000-0000960F0000}"/>
    <cellStyle name="Normal 2 2 2 23 2 4" xfId="1723" xr:uid="{00000000-0005-0000-0000-0000970F0000}"/>
    <cellStyle name="Normal 2 2 2 23 2 4 2" xfId="1724" xr:uid="{00000000-0005-0000-0000-0000980F0000}"/>
    <cellStyle name="Normal 2 2 2 23 2 4 2 2" xfId="28195" xr:uid="{00000000-0005-0000-0000-0000990F0000}"/>
    <cellStyle name="Normal 2 2 2 23 2 4 3" xfId="28196" xr:uid="{00000000-0005-0000-0000-00009A0F0000}"/>
    <cellStyle name="Normal 2 2 2 23 2 5" xfId="1725" xr:uid="{00000000-0005-0000-0000-00009B0F0000}"/>
    <cellStyle name="Normal 2 2 2 23 2 5 2" xfId="28197" xr:uid="{00000000-0005-0000-0000-00009C0F0000}"/>
    <cellStyle name="Normal 2 2 2 23 2 6" xfId="1726" xr:uid="{00000000-0005-0000-0000-00009D0F0000}"/>
    <cellStyle name="Normal 2 2 2 23 2 6 2" xfId="28198" xr:uid="{00000000-0005-0000-0000-00009E0F0000}"/>
    <cellStyle name="Normal 2 2 2 23 2 7" xfId="28199" xr:uid="{00000000-0005-0000-0000-00009F0F0000}"/>
    <cellStyle name="Normal 2 2 2 23 2 7 2" xfId="28200" xr:uid="{00000000-0005-0000-0000-0000A00F0000}"/>
    <cellStyle name="Normal 2 2 2 23 2 8" xfId="28201" xr:uid="{00000000-0005-0000-0000-0000A10F0000}"/>
    <cellStyle name="Normal 2 2 2 23 2 9" xfId="28202" xr:uid="{00000000-0005-0000-0000-0000A20F0000}"/>
    <cellStyle name="Normal 2 2 2 23 3" xfId="1727" xr:uid="{00000000-0005-0000-0000-0000A30F0000}"/>
    <cellStyle name="Normal 2 2 2 23 3 2" xfId="1728" xr:uid="{00000000-0005-0000-0000-0000A40F0000}"/>
    <cellStyle name="Normal 2 2 2 23 3 2 2" xfId="1729" xr:uid="{00000000-0005-0000-0000-0000A50F0000}"/>
    <cellStyle name="Normal 2 2 2 23 3 2 2 2" xfId="28203" xr:uid="{00000000-0005-0000-0000-0000A60F0000}"/>
    <cellStyle name="Normal 2 2 2 23 3 2 3" xfId="1730" xr:uid="{00000000-0005-0000-0000-0000A70F0000}"/>
    <cellStyle name="Normal 2 2 2 23 3 2 3 2" xfId="28204" xr:uid="{00000000-0005-0000-0000-0000A80F0000}"/>
    <cellStyle name="Normal 2 2 2 23 3 2 4" xfId="28205" xr:uid="{00000000-0005-0000-0000-0000A90F0000}"/>
    <cellStyle name="Normal 2 2 2 23 3 3" xfId="1731" xr:uid="{00000000-0005-0000-0000-0000AA0F0000}"/>
    <cellStyle name="Normal 2 2 2 23 3 3 2" xfId="28206" xr:uid="{00000000-0005-0000-0000-0000AB0F0000}"/>
    <cellStyle name="Normal 2 2 2 23 3 4" xfId="1732" xr:uid="{00000000-0005-0000-0000-0000AC0F0000}"/>
    <cellStyle name="Normal 2 2 2 23 3 4 2" xfId="28207" xr:uid="{00000000-0005-0000-0000-0000AD0F0000}"/>
    <cellStyle name="Normal 2 2 2 23 3 5" xfId="1733" xr:uid="{00000000-0005-0000-0000-0000AE0F0000}"/>
    <cellStyle name="Normal 2 2 2 23 3 5 2" xfId="28208" xr:uid="{00000000-0005-0000-0000-0000AF0F0000}"/>
    <cellStyle name="Normal 2 2 2 23 3 6" xfId="28209" xr:uid="{00000000-0005-0000-0000-0000B00F0000}"/>
    <cellStyle name="Normal 2 2 2 23 3 6 2" xfId="28210" xr:uid="{00000000-0005-0000-0000-0000B10F0000}"/>
    <cellStyle name="Normal 2 2 2 23 3 7" xfId="28211" xr:uid="{00000000-0005-0000-0000-0000B20F0000}"/>
    <cellStyle name="Normal 2 2 2 23 4" xfId="1734" xr:uid="{00000000-0005-0000-0000-0000B30F0000}"/>
    <cellStyle name="Normal 2 2 2 23 4 2" xfId="1735" xr:uid="{00000000-0005-0000-0000-0000B40F0000}"/>
    <cellStyle name="Normal 2 2 2 23 4 2 2" xfId="28212" xr:uid="{00000000-0005-0000-0000-0000B50F0000}"/>
    <cellStyle name="Normal 2 2 2 23 4 3" xfId="1736" xr:uid="{00000000-0005-0000-0000-0000B60F0000}"/>
    <cellStyle name="Normal 2 2 2 23 4 3 2" xfId="28213" xr:uid="{00000000-0005-0000-0000-0000B70F0000}"/>
    <cellStyle name="Normal 2 2 2 23 4 4" xfId="28214" xr:uid="{00000000-0005-0000-0000-0000B80F0000}"/>
    <cellStyle name="Normal 2 2 2 23 5" xfId="1737" xr:uid="{00000000-0005-0000-0000-0000B90F0000}"/>
    <cellStyle name="Normal 2 2 2 23 5 2" xfId="1738" xr:uid="{00000000-0005-0000-0000-0000BA0F0000}"/>
    <cellStyle name="Normal 2 2 2 23 5 2 2" xfId="28215" xr:uid="{00000000-0005-0000-0000-0000BB0F0000}"/>
    <cellStyle name="Normal 2 2 2 23 5 3" xfId="28216" xr:uid="{00000000-0005-0000-0000-0000BC0F0000}"/>
    <cellStyle name="Normal 2 2 2 23 6" xfId="1739" xr:uid="{00000000-0005-0000-0000-0000BD0F0000}"/>
    <cellStyle name="Normal 2 2 2 23 6 2" xfId="28217" xr:uid="{00000000-0005-0000-0000-0000BE0F0000}"/>
    <cellStyle name="Normal 2 2 2 23 7" xfId="1740" xr:uid="{00000000-0005-0000-0000-0000BF0F0000}"/>
    <cellStyle name="Normal 2 2 2 23 7 2" xfId="28218" xr:uid="{00000000-0005-0000-0000-0000C00F0000}"/>
    <cellStyle name="Normal 2 2 2 23 8" xfId="28219" xr:uid="{00000000-0005-0000-0000-0000C10F0000}"/>
    <cellStyle name="Normal 2 2 2 23 8 2" xfId="28220" xr:uid="{00000000-0005-0000-0000-0000C20F0000}"/>
    <cellStyle name="Normal 2 2 2 23 9" xfId="28221" xr:uid="{00000000-0005-0000-0000-0000C30F0000}"/>
    <cellStyle name="Normal 2 2 2 24" xfId="1741" xr:uid="{00000000-0005-0000-0000-0000C40F0000}"/>
    <cellStyle name="Normal 2 2 2 24 10" xfId="28222" xr:uid="{00000000-0005-0000-0000-0000C50F0000}"/>
    <cellStyle name="Normal 2 2 2 24 11" xfId="28223" xr:uid="{00000000-0005-0000-0000-0000C60F0000}"/>
    <cellStyle name="Normal 2 2 2 24 2" xfId="1742" xr:uid="{00000000-0005-0000-0000-0000C70F0000}"/>
    <cellStyle name="Normal 2 2 2 24 2 10" xfId="28224" xr:uid="{00000000-0005-0000-0000-0000C80F0000}"/>
    <cellStyle name="Normal 2 2 2 24 2 2" xfId="1743" xr:uid="{00000000-0005-0000-0000-0000C90F0000}"/>
    <cellStyle name="Normal 2 2 2 24 2 2 2" xfId="1744" xr:uid="{00000000-0005-0000-0000-0000CA0F0000}"/>
    <cellStyle name="Normal 2 2 2 24 2 2 2 2" xfId="1745" xr:uid="{00000000-0005-0000-0000-0000CB0F0000}"/>
    <cellStyle name="Normal 2 2 2 24 2 2 2 2 2" xfId="28225" xr:uid="{00000000-0005-0000-0000-0000CC0F0000}"/>
    <cellStyle name="Normal 2 2 2 24 2 2 2 3" xfId="1746" xr:uid="{00000000-0005-0000-0000-0000CD0F0000}"/>
    <cellStyle name="Normal 2 2 2 24 2 2 2 3 2" xfId="28226" xr:uid="{00000000-0005-0000-0000-0000CE0F0000}"/>
    <cellStyle name="Normal 2 2 2 24 2 2 2 4" xfId="28227" xr:uid="{00000000-0005-0000-0000-0000CF0F0000}"/>
    <cellStyle name="Normal 2 2 2 24 2 2 3" xfId="1747" xr:uid="{00000000-0005-0000-0000-0000D00F0000}"/>
    <cellStyle name="Normal 2 2 2 24 2 2 3 2" xfId="28228" xr:uid="{00000000-0005-0000-0000-0000D10F0000}"/>
    <cellStyle name="Normal 2 2 2 24 2 2 4" xfId="1748" xr:uid="{00000000-0005-0000-0000-0000D20F0000}"/>
    <cellStyle name="Normal 2 2 2 24 2 2 4 2" xfId="28229" xr:uid="{00000000-0005-0000-0000-0000D30F0000}"/>
    <cellStyle name="Normal 2 2 2 24 2 2 5" xfId="1749" xr:uid="{00000000-0005-0000-0000-0000D40F0000}"/>
    <cellStyle name="Normal 2 2 2 24 2 2 5 2" xfId="28230" xr:uid="{00000000-0005-0000-0000-0000D50F0000}"/>
    <cellStyle name="Normal 2 2 2 24 2 2 6" xfId="28231" xr:uid="{00000000-0005-0000-0000-0000D60F0000}"/>
    <cellStyle name="Normal 2 2 2 24 2 2 6 2" xfId="28232" xr:uid="{00000000-0005-0000-0000-0000D70F0000}"/>
    <cellStyle name="Normal 2 2 2 24 2 2 7" xfId="28233" xr:uid="{00000000-0005-0000-0000-0000D80F0000}"/>
    <cellStyle name="Normal 2 2 2 24 2 3" xfId="1750" xr:uid="{00000000-0005-0000-0000-0000D90F0000}"/>
    <cellStyle name="Normal 2 2 2 24 2 3 2" xfId="1751" xr:uid="{00000000-0005-0000-0000-0000DA0F0000}"/>
    <cellStyle name="Normal 2 2 2 24 2 3 2 2" xfId="28234" xr:uid="{00000000-0005-0000-0000-0000DB0F0000}"/>
    <cellStyle name="Normal 2 2 2 24 2 3 3" xfId="1752" xr:uid="{00000000-0005-0000-0000-0000DC0F0000}"/>
    <cellStyle name="Normal 2 2 2 24 2 3 3 2" xfId="28235" xr:uid="{00000000-0005-0000-0000-0000DD0F0000}"/>
    <cellStyle name="Normal 2 2 2 24 2 3 4" xfId="28236" xr:uid="{00000000-0005-0000-0000-0000DE0F0000}"/>
    <cellStyle name="Normal 2 2 2 24 2 4" xfId="1753" xr:uid="{00000000-0005-0000-0000-0000DF0F0000}"/>
    <cellStyle name="Normal 2 2 2 24 2 4 2" xfId="1754" xr:uid="{00000000-0005-0000-0000-0000E00F0000}"/>
    <cellStyle name="Normal 2 2 2 24 2 4 2 2" xfId="28237" xr:uid="{00000000-0005-0000-0000-0000E10F0000}"/>
    <cellStyle name="Normal 2 2 2 24 2 4 3" xfId="28238" xr:uid="{00000000-0005-0000-0000-0000E20F0000}"/>
    <cellStyle name="Normal 2 2 2 24 2 5" xfId="1755" xr:uid="{00000000-0005-0000-0000-0000E30F0000}"/>
    <cellStyle name="Normal 2 2 2 24 2 5 2" xfId="28239" xr:uid="{00000000-0005-0000-0000-0000E40F0000}"/>
    <cellStyle name="Normal 2 2 2 24 2 6" xfId="1756" xr:uid="{00000000-0005-0000-0000-0000E50F0000}"/>
    <cellStyle name="Normal 2 2 2 24 2 6 2" xfId="28240" xr:uid="{00000000-0005-0000-0000-0000E60F0000}"/>
    <cellStyle name="Normal 2 2 2 24 2 7" xfId="28241" xr:uid="{00000000-0005-0000-0000-0000E70F0000}"/>
    <cellStyle name="Normal 2 2 2 24 2 7 2" xfId="28242" xr:uid="{00000000-0005-0000-0000-0000E80F0000}"/>
    <cellStyle name="Normal 2 2 2 24 2 8" xfId="28243" xr:uid="{00000000-0005-0000-0000-0000E90F0000}"/>
    <cellStyle name="Normal 2 2 2 24 2 9" xfId="28244" xr:uid="{00000000-0005-0000-0000-0000EA0F0000}"/>
    <cellStyle name="Normal 2 2 2 24 3" xfId="1757" xr:uid="{00000000-0005-0000-0000-0000EB0F0000}"/>
    <cellStyle name="Normal 2 2 2 24 3 2" xfId="1758" xr:uid="{00000000-0005-0000-0000-0000EC0F0000}"/>
    <cellStyle name="Normal 2 2 2 24 3 2 2" xfId="1759" xr:uid="{00000000-0005-0000-0000-0000ED0F0000}"/>
    <cellStyle name="Normal 2 2 2 24 3 2 2 2" xfId="28245" xr:uid="{00000000-0005-0000-0000-0000EE0F0000}"/>
    <cellStyle name="Normal 2 2 2 24 3 2 3" xfId="1760" xr:uid="{00000000-0005-0000-0000-0000EF0F0000}"/>
    <cellStyle name="Normal 2 2 2 24 3 2 3 2" xfId="28246" xr:uid="{00000000-0005-0000-0000-0000F00F0000}"/>
    <cellStyle name="Normal 2 2 2 24 3 2 4" xfId="28247" xr:uid="{00000000-0005-0000-0000-0000F10F0000}"/>
    <cellStyle name="Normal 2 2 2 24 3 3" xfId="1761" xr:uid="{00000000-0005-0000-0000-0000F20F0000}"/>
    <cellStyle name="Normal 2 2 2 24 3 3 2" xfId="28248" xr:uid="{00000000-0005-0000-0000-0000F30F0000}"/>
    <cellStyle name="Normal 2 2 2 24 3 4" xfId="1762" xr:uid="{00000000-0005-0000-0000-0000F40F0000}"/>
    <cellStyle name="Normal 2 2 2 24 3 4 2" xfId="28249" xr:uid="{00000000-0005-0000-0000-0000F50F0000}"/>
    <cellStyle name="Normal 2 2 2 24 3 5" xfId="1763" xr:uid="{00000000-0005-0000-0000-0000F60F0000}"/>
    <cellStyle name="Normal 2 2 2 24 3 5 2" xfId="28250" xr:uid="{00000000-0005-0000-0000-0000F70F0000}"/>
    <cellStyle name="Normal 2 2 2 24 3 6" xfId="28251" xr:uid="{00000000-0005-0000-0000-0000F80F0000}"/>
    <cellStyle name="Normal 2 2 2 24 3 6 2" xfId="28252" xr:uid="{00000000-0005-0000-0000-0000F90F0000}"/>
    <cellStyle name="Normal 2 2 2 24 3 7" xfId="28253" xr:uid="{00000000-0005-0000-0000-0000FA0F0000}"/>
    <cellStyle name="Normal 2 2 2 24 4" xfId="1764" xr:uid="{00000000-0005-0000-0000-0000FB0F0000}"/>
    <cellStyle name="Normal 2 2 2 24 4 2" xfId="1765" xr:uid="{00000000-0005-0000-0000-0000FC0F0000}"/>
    <cellStyle name="Normal 2 2 2 24 4 2 2" xfId="28254" xr:uid="{00000000-0005-0000-0000-0000FD0F0000}"/>
    <cellStyle name="Normal 2 2 2 24 4 3" xfId="1766" xr:uid="{00000000-0005-0000-0000-0000FE0F0000}"/>
    <cellStyle name="Normal 2 2 2 24 4 3 2" xfId="28255" xr:uid="{00000000-0005-0000-0000-0000FF0F0000}"/>
    <cellStyle name="Normal 2 2 2 24 4 4" xfId="28256" xr:uid="{00000000-0005-0000-0000-000000100000}"/>
    <cellStyle name="Normal 2 2 2 24 5" xfId="1767" xr:uid="{00000000-0005-0000-0000-000001100000}"/>
    <cellStyle name="Normal 2 2 2 24 5 2" xfId="1768" xr:uid="{00000000-0005-0000-0000-000002100000}"/>
    <cellStyle name="Normal 2 2 2 24 5 2 2" xfId="28257" xr:uid="{00000000-0005-0000-0000-000003100000}"/>
    <cellStyle name="Normal 2 2 2 24 5 3" xfId="28258" xr:uid="{00000000-0005-0000-0000-000004100000}"/>
    <cellStyle name="Normal 2 2 2 24 6" xfId="1769" xr:uid="{00000000-0005-0000-0000-000005100000}"/>
    <cellStyle name="Normal 2 2 2 24 6 2" xfId="28259" xr:uid="{00000000-0005-0000-0000-000006100000}"/>
    <cellStyle name="Normal 2 2 2 24 7" xfId="1770" xr:uid="{00000000-0005-0000-0000-000007100000}"/>
    <cellStyle name="Normal 2 2 2 24 7 2" xfId="28260" xr:uid="{00000000-0005-0000-0000-000008100000}"/>
    <cellStyle name="Normal 2 2 2 24 8" xfId="28261" xr:uid="{00000000-0005-0000-0000-000009100000}"/>
    <cellStyle name="Normal 2 2 2 24 8 2" xfId="28262" xr:uid="{00000000-0005-0000-0000-00000A100000}"/>
    <cellStyle name="Normal 2 2 2 24 9" xfId="28263" xr:uid="{00000000-0005-0000-0000-00000B100000}"/>
    <cellStyle name="Normal 2 2 2 25" xfId="1771" xr:uid="{00000000-0005-0000-0000-00000C100000}"/>
    <cellStyle name="Normal 2 2 2 25 10" xfId="28264" xr:uid="{00000000-0005-0000-0000-00000D100000}"/>
    <cellStyle name="Normal 2 2 2 25 11" xfId="28265" xr:uid="{00000000-0005-0000-0000-00000E100000}"/>
    <cellStyle name="Normal 2 2 2 25 2" xfId="1772" xr:uid="{00000000-0005-0000-0000-00000F100000}"/>
    <cellStyle name="Normal 2 2 2 25 2 10" xfId="28266" xr:uid="{00000000-0005-0000-0000-000010100000}"/>
    <cellStyle name="Normal 2 2 2 25 2 2" xfId="1773" xr:uid="{00000000-0005-0000-0000-000011100000}"/>
    <cellStyle name="Normal 2 2 2 25 2 2 2" xfId="1774" xr:uid="{00000000-0005-0000-0000-000012100000}"/>
    <cellStyle name="Normal 2 2 2 25 2 2 2 2" xfId="1775" xr:uid="{00000000-0005-0000-0000-000013100000}"/>
    <cellStyle name="Normal 2 2 2 25 2 2 2 2 2" xfId="28267" xr:uid="{00000000-0005-0000-0000-000014100000}"/>
    <cellStyle name="Normal 2 2 2 25 2 2 2 3" xfId="1776" xr:uid="{00000000-0005-0000-0000-000015100000}"/>
    <cellStyle name="Normal 2 2 2 25 2 2 2 3 2" xfId="28268" xr:uid="{00000000-0005-0000-0000-000016100000}"/>
    <cellStyle name="Normal 2 2 2 25 2 2 2 4" xfId="28269" xr:uid="{00000000-0005-0000-0000-000017100000}"/>
    <cellStyle name="Normal 2 2 2 25 2 2 3" xfId="1777" xr:uid="{00000000-0005-0000-0000-000018100000}"/>
    <cellStyle name="Normal 2 2 2 25 2 2 3 2" xfId="28270" xr:uid="{00000000-0005-0000-0000-000019100000}"/>
    <cellStyle name="Normal 2 2 2 25 2 2 4" xfId="1778" xr:uid="{00000000-0005-0000-0000-00001A100000}"/>
    <cellStyle name="Normal 2 2 2 25 2 2 4 2" xfId="28271" xr:uid="{00000000-0005-0000-0000-00001B100000}"/>
    <cellStyle name="Normal 2 2 2 25 2 2 5" xfId="1779" xr:uid="{00000000-0005-0000-0000-00001C100000}"/>
    <cellStyle name="Normal 2 2 2 25 2 2 5 2" xfId="28272" xr:uid="{00000000-0005-0000-0000-00001D100000}"/>
    <cellStyle name="Normal 2 2 2 25 2 2 6" xfId="28273" xr:uid="{00000000-0005-0000-0000-00001E100000}"/>
    <cellStyle name="Normal 2 2 2 25 2 2 6 2" xfId="28274" xr:uid="{00000000-0005-0000-0000-00001F100000}"/>
    <cellStyle name="Normal 2 2 2 25 2 2 7" xfId="28275" xr:uid="{00000000-0005-0000-0000-000020100000}"/>
    <cellStyle name="Normal 2 2 2 25 2 3" xfId="1780" xr:uid="{00000000-0005-0000-0000-000021100000}"/>
    <cellStyle name="Normal 2 2 2 25 2 3 2" xfId="1781" xr:uid="{00000000-0005-0000-0000-000022100000}"/>
    <cellStyle name="Normal 2 2 2 25 2 3 2 2" xfId="28276" xr:uid="{00000000-0005-0000-0000-000023100000}"/>
    <cellStyle name="Normal 2 2 2 25 2 3 3" xfId="1782" xr:uid="{00000000-0005-0000-0000-000024100000}"/>
    <cellStyle name="Normal 2 2 2 25 2 3 3 2" xfId="28277" xr:uid="{00000000-0005-0000-0000-000025100000}"/>
    <cellStyle name="Normal 2 2 2 25 2 3 4" xfId="28278" xr:uid="{00000000-0005-0000-0000-000026100000}"/>
    <cellStyle name="Normal 2 2 2 25 2 4" xfId="1783" xr:uid="{00000000-0005-0000-0000-000027100000}"/>
    <cellStyle name="Normal 2 2 2 25 2 4 2" xfId="1784" xr:uid="{00000000-0005-0000-0000-000028100000}"/>
    <cellStyle name="Normal 2 2 2 25 2 4 2 2" xfId="28279" xr:uid="{00000000-0005-0000-0000-000029100000}"/>
    <cellStyle name="Normal 2 2 2 25 2 4 3" xfId="28280" xr:uid="{00000000-0005-0000-0000-00002A100000}"/>
    <cellStyle name="Normal 2 2 2 25 2 5" xfId="1785" xr:uid="{00000000-0005-0000-0000-00002B100000}"/>
    <cellStyle name="Normal 2 2 2 25 2 5 2" xfId="28281" xr:uid="{00000000-0005-0000-0000-00002C100000}"/>
    <cellStyle name="Normal 2 2 2 25 2 6" xfId="1786" xr:uid="{00000000-0005-0000-0000-00002D100000}"/>
    <cellStyle name="Normal 2 2 2 25 2 6 2" xfId="28282" xr:uid="{00000000-0005-0000-0000-00002E100000}"/>
    <cellStyle name="Normal 2 2 2 25 2 7" xfId="28283" xr:uid="{00000000-0005-0000-0000-00002F100000}"/>
    <cellStyle name="Normal 2 2 2 25 2 7 2" xfId="28284" xr:uid="{00000000-0005-0000-0000-000030100000}"/>
    <cellStyle name="Normal 2 2 2 25 2 8" xfId="28285" xr:uid="{00000000-0005-0000-0000-000031100000}"/>
    <cellStyle name="Normal 2 2 2 25 2 9" xfId="28286" xr:uid="{00000000-0005-0000-0000-000032100000}"/>
    <cellStyle name="Normal 2 2 2 25 3" xfId="1787" xr:uid="{00000000-0005-0000-0000-000033100000}"/>
    <cellStyle name="Normal 2 2 2 25 3 2" xfId="1788" xr:uid="{00000000-0005-0000-0000-000034100000}"/>
    <cellStyle name="Normal 2 2 2 25 3 2 2" xfId="1789" xr:uid="{00000000-0005-0000-0000-000035100000}"/>
    <cellStyle name="Normal 2 2 2 25 3 2 2 2" xfId="28287" xr:uid="{00000000-0005-0000-0000-000036100000}"/>
    <cellStyle name="Normal 2 2 2 25 3 2 3" xfId="1790" xr:uid="{00000000-0005-0000-0000-000037100000}"/>
    <cellStyle name="Normal 2 2 2 25 3 2 3 2" xfId="28288" xr:uid="{00000000-0005-0000-0000-000038100000}"/>
    <cellStyle name="Normal 2 2 2 25 3 2 4" xfId="28289" xr:uid="{00000000-0005-0000-0000-000039100000}"/>
    <cellStyle name="Normal 2 2 2 25 3 3" xfId="1791" xr:uid="{00000000-0005-0000-0000-00003A100000}"/>
    <cellStyle name="Normal 2 2 2 25 3 3 2" xfId="28290" xr:uid="{00000000-0005-0000-0000-00003B100000}"/>
    <cellStyle name="Normal 2 2 2 25 3 4" xfId="1792" xr:uid="{00000000-0005-0000-0000-00003C100000}"/>
    <cellStyle name="Normal 2 2 2 25 3 4 2" xfId="28291" xr:uid="{00000000-0005-0000-0000-00003D100000}"/>
    <cellStyle name="Normal 2 2 2 25 3 5" xfId="1793" xr:uid="{00000000-0005-0000-0000-00003E100000}"/>
    <cellStyle name="Normal 2 2 2 25 3 5 2" xfId="28292" xr:uid="{00000000-0005-0000-0000-00003F100000}"/>
    <cellStyle name="Normal 2 2 2 25 3 6" xfId="28293" xr:uid="{00000000-0005-0000-0000-000040100000}"/>
    <cellStyle name="Normal 2 2 2 25 3 6 2" xfId="28294" xr:uid="{00000000-0005-0000-0000-000041100000}"/>
    <cellStyle name="Normal 2 2 2 25 3 7" xfId="28295" xr:uid="{00000000-0005-0000-0000-000042100000}"/>
    <cellStyle name="Normal 2 2 2 25 4" xfId="1794" xr:uid="{00000000-0005-0000-0000-000043100000}"/>
    <cellStyle name="Normal 2 2 2 25 4 2" xfId="1795" xr:uid="{00000000-0005-0000-0000-000044100000}"/>
    <cellStyle name="Normal 2 2 2 25 4 2 2" xfId="28296" xr:uid="{00000000-0005-0000-0000-000045100000}"/>
    <cellStyle name="Normal 2 2 2 25 4 3" xfId="1796" xr:uid="{00000000-0005-0000-0000-000046100000}"/>
    <cellStyle name="Normal 2 2 2 25 4 3 2" xfId="28297" xr:uid="{00000000-0005-0000-0000-000047100000}"/>
    <cellStyle name="Normal 2 2 2 25 4 4" xfId="28298" xr:uid="{00000000-0005-0000-0000-000048100000}"/>
    <cellStyle name="Normal 2 2 2 25 5" xfId="1797" xr:uid="{00000000-0005-0000-0000-000049100000}"/>
    <cellStyle name="Normal 2 2 2 25 5 2" xfId="1798" xr:uid="{00000000-0005-0000-0000-00004A100000}"/>
    <cellStyle name="Normal 2 2 2 25 5 2 2" xfId="28299" xr:uid="{00000000-0005-0000-0000-00004B100000}"/>
    <cellStyle name="Normal 2 2 2 25 5 3" xfId="28300" xr:uid="{00000000-0005-0000-0000-00004C100000}"/>
    <cellStyle name="Normal 2 2 2 25 6" xfId="1799" xr:uid="{00000000-0005-0000-0000-00004D100000}"/>
    <cellStyle name="Normal 2 2 2 25 6 2" xfId="28301" xr:uid="{00000000-0005-0000-0000-00004E100000}"/>
    <cellStyle name="Normal 2 2 2 25 7" xfId="1800" xr:uid="{00000000-0005-0000-0000-00004F100000}"/>
    <cellStyle name="Normal 2 2 2 25 7 2" xfId="28302" xr:uid="{00000000-0005-0000-0000-000050100000}"/>
    <cellStyle name="Normal 2 2 2 25 8" xfId="28303" xr:uid="{00000000-0005-0000-0000-000051100000}"/>
    <cellStyle name="Normal 2 2 2 25 8 2" xfId="28304" xr:uid="{00000000-0005-0000-0000-000052100000}"/>
    <cellStyle name="Normal 2 2 2 25 9" xfId="28305" xr:uid="{00000000-0005-0000-0000-000053100000}"/>
    <cellStyle name="Normal 2 2 2 26" xfId="1801" xr:uid="{00000000-0005-0000-0000-000054100000}"/>
    <cellStyle name="Normal 2 2 2 26 10" xfId="28306" xr:uid="{00000000-0005-0000-0000-000055100000}"/>
    <cellStyle name="Normal 2 2 2 26 11" xfId="28307" xr:uid="{00000000-0005-0000-0000-000056100000}"/>
    <cellStyle name="Normal 2 2 2 26 2" xfId="1802" xr:uid="{00000000-0005-0000-0000-000057100000}"/>
    <cellStyle name="Normal 2 2 2 26 2 10" xfId="28308" xr:uid="{00000000-0005-0000-0000-000058100000}"/>
    <cellStyle name="Normal 2 2 2 26 2 2" xfId="1803" xr:uid="{00000000-0005-0000-0000-000059100000}"/>
    <cellStyle name="Normal 2 2 2 26 2 2 2" xfId="1804" xr:uid="{00000000-0005-0000-0000-00005A100000}"/>
    <cellStyle name="Normal 2 2 2 26 2 2 2 2" xfId="1805" xr:uid="{00000000-0005-0000-0000-00005B100000}"/>
    <cellStyle name="Normal 2 2 2 26 2 2 2 2 2" xfId="28309" xr:uid="{00000000-0005-0000-0000-00005C100000}"/>
    <cellStyle name="Normal 2 2 2 26 2 2 2 3" xfId="1806" xr:uid="{00000000-0005-0000-0000-00005D100000}"/>
    <cellStyle name="Normal 2 2 2 26 2 2 2 3 2" xfId="28310" xr:uid="{00000000-0005-0000-0000-00005E100000}"/>
    <cellStyle name="Normal 2 2 2 26 2 2 2 4" xfId="28311" xr:uid="{00000000-0005-0000-0000-00005F100000}"/>
    <cellStyle name="Normal 2 2 2 26 2 2 3" xfId="1807" xr:uid="{00000000-0005-0000-0000-000060100000}"/>
    <cellStyle name="Normal 2 2 2 26 2 2 3 2" xfId="28312" xr:uid="{00000000-0005-0000-0000-000061100000}"/>
    <cellStyle name="Normal 2 2 2 26 2 2 4" xfId="1808" xr:uid="{00000000-0005-0000-0000-000062100000}"/>
    <cellStyle name="Normal 2 2 2 26 2 2 4 2" xfId="28313" xr:uid="{00000000-0005-0000-0000-000063100000}"/>
    <cellStyle name="Normal 2 2 2 26 2 2 5" xfId="1809" xr:uid="{00000000-0005-0000-0000-000064100000}"/>
    <cellStyle name="Normal 2 2 2 26 2 2 5 2" xfId="28314" xr:uid="{00000000-0005-0000-0000-000065100000}"/>
    <cellStyle name="Normal 2 2 2 26 2 2 6" xfId="28315" xr:uid="{00000000-0005-0000-0000-000066100000}"/>
    <cellStyle name="Normal 2 2 2 26 2 2 6 2" xfId="28316" xr:uid="{00000000-0005-0000-0000-000067100000}"/>
    <cellStyle name="Normal 2 2 2 26 2 2 7" xfId="28317" xr:uid="{00000000-0005-0000-0000-000068100000}"/>
    <cellStyle name="Normal 2 2 2 26 2 3" xfId="1810" xr:uid="{00000000-0005-0000-0000-000069100000}"/>
    <cellStyle name="Normal 2 2 2 26 2 3 2" xfId="1811" xr:uid="{00000000-0005-0000-0000-00006A100000}"/>
    <cellStyle name="Normal 2 2 2 26 2 3 2 2" xfId="28318" xr:uid="{00000000-0005-0000-0000-00006B100000}"/>
    <cellStyle name="Normal 2 2 2 26 2 3 3" xfId="1812" xr:uid="{00000000-0005-0000-0000-00006C100000}"/>
    <cellStyle name="Normal 2 2 2 26 2 3 3 2" xfId="28319" xr:uid="{00000000-0005-0000-0000-00006D100000}"/>
    <cellStyle name="Normal 2 2 2 26 2 3 4" xfId="28320" xr:uid="{00000000-0005-0000-0000-00006E100000}"/>
    <cellStyle name="Normal 2 2 2 26 2 4" xfId="1813" xr:uid="{00000000-0005-0000-0000-00006F100000}"/>
    <cellStyle name="Normal 2 2 2 26 2 4 2" xfId="1814" xr:uid="{00000000-0005-0000-0000-000070100000}"/>
    <cellStyle name="Normal 2 2 2 26 2 4 2 2" xfId="28321" xr:uid="{00000000-0005-0000-0000-000071100000}"/>
    <cellStyle name="Normal 2 2 2 26 2 4 3" xfId="28322" xr:uid="{00000000-0005-0000-0000-000072100000}"/>
    <cellStyle name="Normal 2 2 2 26 2 5" xfId="1815" xr:uid="{00000000-0005-0000-0000-000073100000}"/>
    <cellStyle name="Normal 2 2 2 26 2 5 2" xfId="28323" xr:uid="{00000000-0005-0000-0000-000074100000}"/>
    <cellStyle name="Normal 2 2 2 26 2 6" xfId="1816" xr:uid="{00000000-0005-0000-0000-000075100000}"/>
    <cellStyle name="Normal 2 2 2 26 2 6 2" xfId="28324" xr:uid="{00000000-0005-0000-0000-000076100000}"/>
    <cellStyle name="Normal 2 2 2 26 2 7" xfId="28325" xr:uid="{00000000-0005-0000-0000-000077100000}"/>
    <cellStyle name="Normal 2 2 2 26 2 7 2" xfId="28326" xr:uid="{00000000-0005-0000-0000-000078100000}"/>
    <cellStyle name="Normal 2 2 2 26 2 8" xfId="28327" xr:uid="{00000000-0005-0000-0000-000079100000}"/>
    <cellStyle name="Normal 2 2 2 26 2 9" xfId="28328" xr:uid="{00000000-0005-0000-0000-00007A100000}"/>
    <cellStyle name="Normal 2 2 2 26 3" xfId="1817" xr:uid="{00000000-0005-0000-0000-00007B100000}"/>
    <cellStyle name="Normal 2 2 2 26 3 2" xfId="1818" xr:uid="{00000000-0005-0000-0000-00007C100000}"/>
    <cellStyle name="Normal 2 2 2 26 3 2 2" xfId="1819" xr:uid="{00000000-0005-0000-0000-00007D100000}"/>
    <cellStyle name="Normal 2 2 2 26 3 2 2 2" xfId="28329" xr:uid="{00000000-0005-0000-0000-00007E100000}"/>
    <cellStyle name="Normal 2 2 2 26 3 2 3" xfId="1820" xr:uid="{00000000-0005-0000-0000-00007F100000}"/>
    <cellStyle name="Normal 2 2 2 26 3 2 3 2" xfId="28330" xr:uid="{00000000-0005-0000-0000-000080100000}"/>
    <cellStyle name="Normal 2 2 2 26 3 2 4" xfId="28331" xr:uid="{00000000-0005-0000-0000-000081100000}"/>
    <cellStyle name="Normal 2 2 2 26 3 3" xfId="1821" xr:uid="{00000000-0005-0000-0000-000082100000}"/>
    <cellStyle name="Normal 2 2 2 26 3 3 2" xfId="28332" xr:uid="{00000000-0005-0000-0000-000083100000}"/>
    <cellStyle name="Normal 2 2 2 26 3 4" xfId="1822" xr:uid="{00000000-0005-0000-0000-000084100000}"/>
    <cellStyle name="Normal 2 2 2 26 3 4 2" xfId="28333" xr:uid="{00000000-0005-0000-0000-000085100000}"/>
    <cellStyle name="Normal 2 2 2 26 3 5" xfId="1823" xr:uid="{00000000-0005-0000-0000-000086100000}"/>
    <cellStyle name="Normal 2 2 2 26 3 5 2" xfId="28334" xr:uid="{00000000-0005-0000-0000-000087100000}"/>
    <cellStyle name="Normal 2 2 2 26 3 6" xfId="28335" xr:uid="{00000000-0005-0000-0000-000088100000}"/>
    <cellStyle name="Normal 2 2 2 26 3 6 2" xfId="28336" xr:uid="{00000000-0005-0000-0000-000089100000}"/>
    <cellStyle name="Normal 2 2 2 26 3 7" xfId="28337" xr:uid="{00000000-0005-0000-0000-00008A100000}"/>
    <cellStyle name="Normal 2 2 2 26 4" xfId="1824" xr:uid="{00000000-0005-0000-0000-00008B100000}"/>
    <cellStyle name="Normal 2 2 2 26 4 2" xfId="1825" xr:uid="{00000000-0005-0000-0000-00008C100000}"/>
    <cellStyle name="Normal 2 2 2 26 4 2 2" xfId="28338" xr:uid="{00000000-0005-0000-0000-00008D100000}"/>
    <cellStyle name="Normal 2 2 2 26 4 3" xfId="1826" xr:uid="{00000000-0005-0000-0000-00008E100000}"/>
    <cellStyle name="Normal 2 2 2 26 4 3 2" xfId="28339" xr:uid="{00000000-0005-0000-0000-00008F100000}"/>
    <cellStyle name="Normal 2 2 2 26 4 4" xfId="28340" xr:uid="{00000000-0005-0000-0000-000090100000}"/>
    <cellStyle name="Normal 2 2 2 26 5" xfId="1827" xr:uid="{00000000-0005-0000-0000-000091100000}"/>
    <cellStyle name="Normal 2 2 2 26 5 2" xfId="1828" xr:uid="{00000000-0005-0000-0000-000092100000}"/>
    <cellStyle name="Normal 2 2 2 26 5 2 2" xfId="28341" xr:uid="{00000000-0005-0000-0000-000093100000}"/>
    <cellStyle name="Normal 2 2 2 26 5 3" xfId="28342" xr:uid="{00000000-0005-0000-0000-000094100000}"/>
    <cellStyle name="Normal 2 2 2 26 6" xfId="1829" xr:uid="{00000000-0005-0000-0000-000095100000}"/>
    <cellStyle name="Normal 2 2 2 26 6 2" xfId="28343" xr:uid="{00000000-0005-0000-0000-000096100000}"/>
    <cellStyle name="Normal 2 2 2 26 7" xfId="1830" xr:uid="{00000000-0005-0000-0000-000097100000}"/>
    <cellStyle name="Normal 2 2 2 26 7 2" xfId="28344" xr:uid="{00000000-0005-0000-0000-000098100000}"/>
    <cellStyle name="Normal 2 2 2 26 8" xfId="28345" xr:uid="{00000000-0005-0000-0000-000099100000}"/>
    <cellStyle name="Normal 2 2 2 26 8 2" xfId="28346" xr:uid="{00000000-0005-0000-0000-00009A100000}"/>
    <cellStyle name="Normal 2 2 2 26 9" xfId="28347" xr:uid="{00000000-0005-0000-0000-00009B100000}"/>
    <cellStyle name="Normal 2 2 2 27" xfId="1831" xr:uid="{00000000-0005-0000-0000-00009C100000}"/>
    <cellStyle name="Normal 2 2 2 27 10" xfId="28348" xr:uid="{00000000-0005-0000-0000-00009D100000}"/>
    <cellStyle name="Normal 2 2 2 27 11" xfId="28349" xr:uid="{00000000-0005-0000-0000-00009E100000}"/>
    <cellStyle name="Normal 2 2 2 27 2" xfId="1832" xr:uid="{00000000-0005-0000-0000-00009F100000}"/>
    <cellStyle name="Normal 2 2 2 27 2 10" xfId="28350" xr:uid="{00000000-0005-0000-0000-0000A0100000}"/>
    <cellStyle name="Normal 2 2 2 27 2 2" xfId="1833" xr:uid="{00000000-0005-0000-0000-0000A1100000}"/>
    <cellStyle name="Normal 2 2 2 27 2 2 2" xfId="1834" xr:uid="{00000000-0005-0000-0000-0000A2100000}"/>
    <cellStyle name="Normal 2 2 2 27 2 2 2 2" xfId="1835" xr:uid="{00000000-0005-0000-0000-0000A3100000}"/>
    <cellStyle name="Normal 2 2 2 27 2 2 2 2 2" xfId="28351" xr:uid="{00000000-0005-0000-0000-0000A4100000}"/>
    <cellStyle name="Normal 2 2 2 27 2 2 2 3" xfId="1836" xr:uid="{00000000-0005-0000-0000-0000A5100000}"/>
    <cellStyle name="Normal 2 2 2 27 2 2 2 3 2" xfId="28352" xr:uid="{00000000-0005-0000-0000-0000A6100000}"/>
    <cellStyle name="Normal 2 2 2 27 2 2 2 4" xfId="28353" xr:uid="{00000000-0005-0000-0000-0000A7100000}"/>
    <cellStyle name="Normal 2 2 2 27 2 2 3" xfId="1837" xr:uid="{00000000-0005-0000-0000-0000A8100000}"/>
    <cellStyle name="Normal 2 2 2 27 2 2 3 2" xfId="28354" xr:uid="{00000000-0005-0000-0000-0000A9100000}"/>
    <cellStyle name="Normal 2 2 2 27 2 2 4" xfId="1838" xr:uid="{00000000-0005-0000-0000-0000AA100000}"/>
    <cellStyle name="Normal 2 2 2 27 2 2 4 2" xfId="28355" xr:uid="{00000000-0005-0000-0000-0000AB100000}"/>
    <cellStyle name="Normal 2 2 2 27 2 2 5" xfId="1839" xr:uid="{00000000-0005-0000-0000-0000AC100000}"/>
    <cellStyle name="Normal 2 2 2 27 2 2 5 2" xfId="28356" xr:uid="{00000000-0005-0000-0000-0000AD100000}"/>
    <cellStyle name="Normal 2 2 2 27 2 2 6" xfId="28357" xr:uid="{00000000-0005-0000-0000-0000AE100000}"/>
    <cellStyle name="Normal 2 2 2 27 2 2 6 2" xfId="28358" xr:uid="{00000000-0005-0000-0000-0000AF100000}"/>
    <cellStyle name="Normal 2 2 2 27 2 2 7" xfId="28359" xr:uid="{00000000-0005-0000-0000-0000B0100000}"/>
    <cellStyle name="Normal 2 2 2 27 2 3" xfId="1840" xr:uid="{00000000-0005-0000-0000-0000B1100000}"/>
    <cellStyle name="Normal 2 2 2 27 2 3 2" xfId="1841" xr:uid="{00000000-0005-0000-0000-0000B2100000}"/>
    <cellStyle name="Normal 2 2 2 27 2 3 2 2" xfId="28360" xr:uid="{00000000-0005-0000-0000-0000B3100000}"/>
    <cellStyle name="Normal 2 2 2 27 2 3 3" xfId="1842" xr:uid="{00000000-0005-0000-0000-0000B4100000}"/>
    <cellStyle name="Normal 2 2 2 27 2 3 3 2" xfId="28361" xr:uid="{00000000-0005-0000-0000-0000B5100000}"/>
    <cellStyle name="Normal 2 2 2 27 2 3 4" xfId="28362" xr:uid="{00000000-0005-0000-0000-0000B6100000}"/>
    <cellStyle name="Normal 2 2 2 27 2 4" xfId="1843" xr:uid="{00000000-0005-0000-0000-0000B7100000}"/>
    <cellStyle name="Normal 2 2 2 27 2 4 2" xfId="1844" xr:uid="{00000000-0005-0000-0000-0000B8100000}"/>
    <cellStyle name="Normal 2 2 2 27 2 4 2 2" xfId="28363" xr:uid="{00000000-0005-0000-0000-0000B9100000}"/>
    <cellStyle name="Normal 2 2 2 27 2 4 3" xfId="28364" xr:uid="{00000000-0005-0000-0000-0000BA100000}"/>
    <cellStyle name="Normal 2 2 2 27 2 5" xfId="1845" xr:uid="{00000000-0005-0000-0000-0000BB100000}"/>
    <cellStyle name="Normal 2 2 2 27 2 5 2" xfId="28365" xr:uid="{00000000-0005-0000-0000-0000BC100000}"/>
    <cellStyle name="Normal 2 2 2 27 2 6" xfId="1846" xr:uid="{00000000-0005-0000-0000-0000BD100000}"/>
    <cellStyle name="Normal 2 2 2 27 2 6 2" xfId="28366" xr:uid="{00000000-0005-0000-0000-0000BE100000}"/>
    <cellStyle name="Normal 2 2 2 27 2 7" xfId="28367" xr:uid="{00000000-0005-0000-0000-0000BF100000}"/>
    <cellStyle name="Normal 2 2 2 27 2 7 2" xfId="28368" xr:uid="{00000000-0005-0000-0000-0000C0100000}"/>
    <cellStyle name="Normal 2 2 2 27 2 8" xfId="28369" xr:uid="{00000000-0005-0000-0000-0000C1100000}"/>
    <cellStyle name="Normal 2 2 2 27 2 9" xfId="28370" xr:uid="{00000000-0005-0000-0000-0000C2100000}"/>
    <cellStyle name="Normal 2 2 2 27 3" xfId="1847" xr:uid="{00000000-0005-0000-0000-0000C3100000}"/>
    <cellStyle name="Normal 2 2 2 27 3 2" xfId="1848" xr:uid="{00000000-0005-0000-0000-0000C4100000}"/>
    <cellStyle name="Normal 2 2 2 27 3 2 2" xfId="1849" xr:uid="{00000000-0005-0000-0000-0000C5100000}"/>
    <cellStyle name="Normal 2 2 2 27 3 2 2 2" xfId="28371" xr:uid="{00000000-0005-0000-0000-0000C6100000}"/>
    <cellStyle name="Normal 2 2 2 27 3 2 3" xfId="1850" xr:uid="{00000000-0005-0000-0000-0000C7100000}"/>
    <cellStyle name="Normal 2 2 2 27 3 2 3 2" xfId="28372" xr:uid="{00000000-0005-0000-0000-0000C8100000}"/>
    <cellStyle name="Normal 2 2 2 27 3 2 4" xfId="28373" xr:uid="{00000000-0005-0000-0000-0000C9100000}"/>
    <cellStyle name="Normal 2 2 2 27 3 3" xfId="1851" xr:uid="{00000000-0005-0000-0000-0000CA100000}"/>
    <cellStyle name="Normal 2 2 2 27 3 3 2" xfId="28374" xr:uid="{00000000-0005-0000-0000-0000CB100000}"/>
    <cellStyle name="Normal 2 2 2 27 3 4" xfId="1852" xr:uid="{00000000-0005-0000-0000-0000CC100000}"/>
    <cellStyle name="Normal 2 2 2 27 3 4 2" xfId="28375" xr:uid="{00000000-0005-0000-0000-0000CD100000}"/>
    <cellStyle name="Normal 2 2 2 27 3 5" xfId="1853" xr:uid="{00000000-0005-0000-0000-0000CE100000}"/>
    <cellStyle name="Normal 2 2 2 27 3 5 2" xfId="28376" xr:uid="{00000000-0005-0000-0000-0000CF100000}"/>
    <cellStyle name="Normal 2 2 2 27 3 6" xfId="28377" xr:uid="{00000000-0005-0000-0000-0000D0100000}"/>
    <cellStyle name="Normal 2 2 2 27 3 6 2" xfId="28378" xr:uid="{00000000-0005-0000-0000-0000D1100000}"/>
    <cellStyle name="Normal 2 2 2 27 3 7" xfId="28379" xr:uid="{00000000-0005-0000-0000-0000D2100000}"/>
    <cellStyle name="Normal 2 2 2 27 4" xfId="1854" xr:uid="{00000000-0005-0000-0000-0000D3100000}"/>
    <cellStyle name="Normal 2 2 2 27 4 2" xfId="1855" xr:uid="{00000000-0005-0000-0000-0000D4100000}"/>
    <cellStyle name="Normal 2 2 2 27 4 2 2" xfId="28380" xr:uid="{00000000-0005-0000-0000-0000D5100000}"/>
    <cellStyle name="Normal 2 2 2 27 4 3" xfId="1856" xr:uid="{00000000-0005-0000-0000-0000D6100000}"/>
    <cellStyle name="Normal 2 2 2 27 4 3 2" xfId="28381" xr:uid="{00000000-0005-0000-0000-0000D7100000}"/>
    <cellStyle name="Normal 2 2 2 27 4 4" xfId="28382" xr:uid="{00000000-0005-0000-0000-0000D8100000}"/>
    <cellStyle name="Normal 2 2 2 27 5" xfId="1857" xr:uid="{00000000-0005-0000-0000-0000D9100000}"/>
    <cellStyle name="Normal 2 2 2 27 5 2" xfId="1858" xr:uid="{00000000-0005-0000-0000-0000DA100000}"/>
    <cellStyle name="Normal 2 2 2 27 5 2 2" xfId="28383" xr:uid="{00000000-0005-0000-0000-0000DB100000}"/>
    <cellStyle name="Normal 2 2 2 27 5 3" xfId="28384" xr:uid="{00000000-0005-0000-0000-0000DC100000}"/>
    <cellStyle name="Normal 2 2 2 27 6" xfId="1859" xr:uid="{00000000-0005-0000-0000-0000DD100000}"/>
    <cellStyle name="Normal 2 2 2 27 6 2" xfId="28385" xr:uid="{00000000-0005-0000-0000-0000DE100000}"/>
    <cellStyle name="Normal 2 2 2 27 7" xfId="1860" xr:uid="{00000000-0005-0000-0000-0000DF100000}"/>
    <cellStyle name="Normal 2 2 2 27 7 2" xfId="28386" xr:uid="{00000000-0005-0000-0000-0000E0100000}"/>
    <cellStyle name="Normal 2 2 2 27 8" xfId="28387" xr:uid="{00000000-0005-0000-0000-0000E1100000}"/>
    <cellStyle name="Normal 2 2 2 27 8 2" xfId="28388" xr:uid="{00000000-0005-0000-0000-0000E2100000}"/>
    <cellStyle name="Normal 2 2 2 27 9" xfId="28389" xr:uid="{00000000-0005-0000-0000-0000E3100000}"/>
    <cellStyle name="Normal 2 2 2 28" xfId="1861" xr:uid="{00000000-0005-0000-0000-0000E4100000}"/>
    <cellStyle name="Normal 2 2 2 28 10" xfId="28390" xr:uid="{00000000-0005-0000-0000-0000E5100000}"/>
    <cellStyle name="Normal 2 2 2 28 11" xfId="28391" xr:uid="{00000000-0005-0000-0000-0000E6100000}"/>
    <cellStyle name="Normal 2 2 2 28 2" xfId="1862" xr:uid="{00000000-0005-0000-0000-0000E7100000}"/>
    <cellStyle name="Normal 2 2 2 28 2 10" xfId="28392" xr:uid="{00000000-0005-0000-0000-0000E8100000}"/>
    <cellStyle name="Normal 2 2 2 28 2 2" xfId="1863" xr:uid="{00000000-0005-0000-0000-0000E9100000}"/>
    <cellStyle name="Normal 2 2 2 28 2 2 2" xfId="1864" xr:uid="{00000000-0005-0000-0000-0000EA100000}"/>
    <cellStyle name="Normal 2 2 2 28 2 2 2 2" xfId="1865" xr:uid="{00000000-0005-0000-0000-0000EB100000}"/>
    <cellStyle name="Normal 2 2 2 28 2 2 2 2 2" xfId="28393" xr:uid="{00000000-0005-0000-0000-0000EC100000}"/>
    <cellStyle name="Normal 2 2 2 28 2 2 2 3" xfId="1866" xr:uid="{00000000-0005-0000-0000-0000ED100000}"/>
    <cellStyle name="Normal 2 2 2 28 2 2 2 3 2" xfId="28394" xr:uid="{00000000-0005-0000-0000-0000EE100000}"/>
    <cellStyle name="Normal 2 2 2 28 2 2 2 4" xfId="28395" xr:uid="{00000000-0005-0000-0000-0000EF100000}"/>
    <cellStyle name="Normal 2 2 2 28 2 2 3" xfId="1867" xr:uid="{00000000-0005-0000-0000-0000F0100000}"/>
    <cellStyle name="Normal 2 2 2 28 2 2 3 2" xfId="28396" xr:uid="{00000000-0005-0000-0000-0000F1100000}"/>
    <cellStyle name="Normal 2 2 2 28 2 2 4" xfId="1868" xr:uid="{00000000-0005-0000-0000-0000F2100000}"/>
    <cellStyle name="Normal 2 2 2 28 2 2 4 2" xfId="28397" xr:uid="{00000000-0005-0000-0000-0000F3100000}"/>
    <cellStyle name="Normal 2 2 2 28 2 2 5" xfId="1869" xr:uid="{00000000-0005-0000-0000-0000F4100000}"/>
    <cellStyle name="Normal 2 2 2 28 2 2 5 2" xfId="28398" xr:uid="{00000000-0005-0000-0000-0000F5100000}"/>
    <cellStyle name="Normal 2 2 2 28 2 2 6" xfId="28399" xr:uid="{00000000-0005-0000-0000-0000F6100000}"/>
    <cellStyle name="Normal 2 2 2 28 2 2 6 2" xfId="28400" xr:uid="{00000000-0005-0000-0000-0000F7100000}"/>
    <cellStyle name="Normal 2 2 2 28 2 2 7" xfId="28401" xr:uid="{00000000-0005-0000-0000-0000F8100000}"/>
    <cellStyle name="Normal 2 2 2 28 2 3" xfId="1870" xr:uid="{00000000-0005-0000-0000-0000F9100000}"/>
    <cellStyle name="Normal 2 2 2 28 2 3 2" xfId="1871" xr:uid="{00000000-0005-0000-0000-0000FA100000}"/>
    <cellStyle name="Normal 2 2 2 28 2 3 2 2" xfId="28402" xr:uid="{00000000-0005-0000-0000-0000FB100000}"/>
    <cellStyle name="Normal 2 2 2 28 2 3 3" xfId="1872" xr:uid="{00000000-0005-0000-0000-0000FC100000}"/>
    <cellStyle name="Normal 2 2 2 28 2 3 3 2" xfId="28403" xr:uid="{00000000-0005-0000-0000-0000FD100000}"/>
    <cellStyle name="Normal 2 2 2 28 2 3 4" xfId="28404" xr:uid="{00000000-0005-0000-0000-0000FE100000}"/>
    <cellStyle name="Normal 2 2 2 28 2 4" xfId="1873" xr:uid="{00000000-0005-0000-0000-0000FF100000}"/>
    <cellStyle name="Normal 2 2 2 28 2 4 2" xfId="1874" xr:uid="{00000000-0005-0000-0000-000000110000}"/>
    <cellStyle name="Normal 2 2 2 28 2 4 2 2" xfId="28405" xr:uid="{00000000-0005-0000-0000-000001110000}"/>
    <cellStyle name="Normal 2 2 2 28 2 4 3" xfId="28406" xr:uid="{00000000-0005-0000-0000-000002110000}"/>
    <cellStyle name="Normal 2 2 2 28 2 5" xfId="1875" xr:uid="{00000000-0005-0000-0000-000003110000}"/>
    <cellStyle name="Normal 2 2 2 28 2 5 2" xfId="28407" xr:uid="{00000000-0005-0000-0000-000004110000}"/>
    <cellStyle name="Normal 2 2 2 28 2 6" xfId="1876" xr:uid="{00000000-0005-0000-0000-000005110000}"/>
    <cellStyle name="Normal 2 2 2 28 2 6 2" xfId="28408" xr:uid="{00000000-0005-0000-0000-000006110000}"/>
    <cellStyle name="Normal 2 2 2 28 2 7" xfId="28409" xr:uid="{00000000-0005-0000-0000-000007110000}"/>
    <cellStyle name="Normal 2 2 2 28 2 7 2" xfId="28410" xr:uid="{00000000-0005-0000-0000-000008110000}"/>
    <cellStyle name="Normal 2 2 2 28 2 8" xfId="28411" xr:uid="{00000000-0005-0000-0000-000009110000}"/>
    <cellStyle name="Normal 2 2 2 28 2 9" xfId="28412" xr:uid="{00000000-0005-0000-0000-00000A110000}"/>
    <cellStyle name="Normal 2 2 2 28 3" xfId="1877" xr:uid="{00000000-0005-0000-0000-00000B110000}"/>
    <cellStyle name="Normal 2 2 2 28 3 2" xfId="1878" xr:uid="{00000000-0005-0000-0000-00000C110000}"/>
    <cellStyle name="Normal 2 2 2 28 3 2 2" xfId="1879" xr:uid="{00000000-0005-0000-0000-00000D110000}"/>
    <cellStyle name="Normal 2 2 2 28 3 2 2 2" xfId="28413" xr:uid="{00000000-0005-0000-0000-00000E110000}"/>
    <cellStyle name="Normal 2 2 2 28 3 2 3" xfId="1880" xr:uid="{00000000-0005-0000-0000-00000F110000}"/>
    <cellStyle name="Normal 2 2 2 28 3 2 3 2" xfId="28414" xr:uid="{00000000-0005-0000-0000-000010110000}"/>
    <cellStyle name="Normal 2 2 2 28 3 2 4" xfId="28415" xr:uid="{00000000-0005-0000-0000-000011110000}"/>
    <cellStyle name="Normal 2 2 2 28 3 3" xfId="1881" xr:uid="{00000000-0005-0000-0000-000012110000}"/>
    <cellStyle name="Normal 2 2 2 28 3 3 2" xfId="28416" xr:uid="{00000000-0005-0000-0000-000013110000}"/>
    <cellStyle name="Normal 2 2 2 28 3 4" xfId="1882" xr:uid="{00000000-0005-0000-0000-000014110000}"/>
    <cellStyle name="Normal 2 2 2 28 3 4 2" xfId="28417" xr:uid="{00000000-0005-0000-0000-000015110000}"/>
    <cellStyle name="Normal 2 2 2 28 3 5" xfId="1883" xr:uid="{00000000-0005-0000-0000-000016110000}"/>
    <cellStyle name="Normal 2 2 2 28 3 5 2" xfId="28418" xr:uid="{00000000-0005-0000-0000-000017110000}"/>
    <cellStyle name="Normal 2 2 2 28 3 6" xfId="28419" xr:uid="{00000000-0005-0000-0000-000018110000}"/>
    <cellStyle name="Normal 2 2 2 28 3 6 2" xfId="28420" xr:uid="{00000000-0005-0000-0000-000019110000}"/>
    <cellStyle name="Normal 2 2 2 28 3 7" xfId="28421" xr:uid="{00000000-0005-0000-0000-00001A110000}"/>
    <cellStyle name="Normal 2 2 2 28 4" xfId="1884" xr:uid="{00000000-0005-0000-0000-00001B110000}"/>
    <cellStyle name="Normal 2 2 2 28 4 2" xfId="1885" xr:uid="{00000000-0005-0000-0000-00001C110000}"/>
    <cellStyle name="Normal 2 2 2 28 4 2 2" xfId="28422" xr:uid="{00000000-0005-0000-0000-00001D110000}"/>
    <cellStyle name="Normal 2 2 2 28 4 3" xfId="1886" xr:uid="{00000000-0005-0000-0000-00001E110000}"/>
    <cellStyle name="Normal 2 2 2 28 4 3 2" xfId="28423" xr:uid="{00000000-0005-0000-0000-00001F110000}"/>
    <cellStyle name="Normal 2 2 2 28 4 4" xfId="28424" xr:uid="{00000000-0005-0000-0000-000020110000}"/>
    <cellStyle name="Normal 2 2 2 28 5" xfId="1887" xr:uid="{00000000-0005-0000-0000-000021110000}"/>
    <cellStyle name="Normal 2 2 2 28 5 2" xfId="1888" xr:uid="{00000000-0005-0000-0000-000022110000}"/>
    <cellStyle name="Normal 2 2 2 28 5 2 2" xfId="28425" xr:uid="{00000000-0005-0000-0000-000023110000}"/>
    <cellStyle name="Normal 2 2 2 28 5 3" xfId="28426" xr:uid="{00000000-0005-0000-0000-000024110000}"/>
    <cellStyle name="Normal 2 2 2 28 6" xfId="1889" xr:uid="{00000000-0005-0000-0000-000025110000}"/>
    <cellStyle name="Normal 2 2 2 28 6 2" xfId="28427" xr:uid="{00000000-0005-0000-0000-000026110000}"/>
    <cellStyle name="Normal 2 2 2 28 7" xfId="1890" xr:uid="{00000000-0005-0000-0000-000027110000}"/>
    <cellStyle name="Normal 2 2 2 28 7 2" xfId="28428" xr:uid="{00000000-0005-0000-0000-000028110000}"/>
    <cellStyle name="Normal 2 2 2 28 8" xfId="28429" xr:uid="{00000000-0005-0000-0000-000029110000}"/>
    <cellStyle name="Normal 2 2 2 28 8 2" xfId="28430" xr:uid="{00000000-0005-0000-0000-00002A110000}"/>
    <cellStyle name="Normal 2 2 2 28 9" xfId="28431" xr:uid="{00000000-0005-0000-0000-00002B110000}"/>
    <cellStyle name="Normal 2 2 2 29" xfId="1891" xr:uid="{00000000-0005-0000-0000-00002C110000}"/>
    <cellStyle name="Normal 2 2 2 29 10" xfId="28432" xr:uid="{00000000-0005-0000-0000-00002D110000}"/>
    <cellStyle name="Normal 2 2 2 29 11" xfId="28433" xr:uid="{00000000-0005-0000-0000-00002E110000}"/>
    <cellStyle name="Normal 2 2 2 29 2" xfId="1892" xr:uid="{00000000-0005-0000-0000-00002F110000}"/>
    <cellStyle name="Normal 2 2 2 29 2 10" xfId="28434" xr:uid="{00000000-0005-0000-0000-000030110000}"/>
    <cellStyle name="Normal 2 2 2 29 2 2" xfId="1893" xr:uid="{00000000-0005-0000-0000-000031110000}"/>
    <cellStyle name="Normal 2 2 2 29 2 2 2" xfId="1894" xr:uid="{00000000-0005-0000-0000-000032110000}"/>
    <cellStyle name="Normal 2 2 2 29 2 2 2 2" xfId="1895" xr:uid="{00000000-0005-0000-0000-000033110000}"/>
    <cellStyle name="Normal 2 2 2 29 2 2 2 2 2" xfId="28435" xr:uid="{00000000-0005-0000-0000-000034110000}"/>
    <cellStyle name="Normal 2 2 2 29 2 2 2 3" xfId="1896" xr:uid="{00000000-0005-0000-0000-000035110000}"/>
    <cellStyle name="Normal 2 2 2 29 2 2 2 3 2" xfId="28436" xr:uid="{00000000-0005-0000-0000-000036110000}"/>
    <cellStyle name="Normal 2 2 2 29 2 2 2 4" xfId="28437" xr:uid="{00000000-0005-0000-0000-000037110000}"/>
    <cellStyle name="Normal 2 2 2 29 2 2 3" xfId="1897" xr:uid="{00000000-0005-0000-0000-000038110000}"/>
    <cellStyle name="Normal 2 2 2 29 2 2 3 2" xfId="28438" xr:uid="{00000000-0005-0000-0000-000039110000}"/>
    <cellStyle name="Normal 2 2 2 29 2 2 4" xfId="1898" xr:uid="{00000000-0005-0000-0000-00003A110000}"/>
    <cellStyle name="Normal 2 2 2 29 2 2 4 2" xfId="28439" xr:uid="{00000000-0005-0000-0000-00003B110000}"/>
    <cellStyle name="Normal 2 2 2 29 2 2 5" xfId="1899" xr:uid="{00000000-0005-0000-0000-00003C110000}"/>
    <cellStyle name="Normal 2 2 2 29 2 2 5 2" xfId="28440" xr:uid="{00000000-0005-0000-0000-00003D110000}"/>
    <cellStyle name="Normal 2 2 2 29 2 2 6" xfId="28441" xr:uid="{00000000-0005-0000-0000-00003E110000}"/>
    <cellStyle name="Normal 2 2 2 29 2 2 6 2" xfId="28442" xr:uid="{00000000-0005-0000-0000-00003F110000}"/>
    <cellStyle name="Normal 2 2 2 29 2 2 7" xfId="28443" xr:uid="{00000000-0005-0000-0000-000040110000}"/>
    <cellStyle name="Normal 2 2 2 29 2 3" xfId="1900" xr:uid="{00000000-0005-0000-0000-000041110000}"/>
    <cellStyle name="Normal 2 2 2 29 2 3 2" xfId="1901" xr:uid="{00000000-0005-0000-0000-000042110000}"/>
    <cellStyle name="Normal 2 2 2 29 2 3 2 2" xfId="28444" xr:uid="{00000000-0005-0000-0000-000043110000}"/>
    <cellStyle name="Normal 2 2 2 29 2 3 3" xfId="1902" xr:uid="{00000000-0005-0000-0000-000044110000}"/>
    <cellStyle name="Normal 2 2 2 29 2 3 3 2" xfId="28445" xr:uid="{00000000-0005-0000-0000-000045110000}"/>
    <cellStyle name="Normal 2 2 2 29 2 3 4" xfId="28446" xr:uid="{00000000-0005-0000-0000-000046110000}"/>
    <cellStyle name="Normal 2 2 2 29 2 4" xfId="1903" xr:uid="{00000000-0005-0000-0000-000047110000}"/>
    <cellStyle name="Normal 2 2 2 29 2 4 2" xfId="1904" xr:uid="{00000000-0005-0000-0000-000048110000}"/>
    <cellStyle name="Normal 2 2 2 29 2 4 2 2" xfId="28447" xr:uid="{00000000-0005-0000-0000-000049110000}"/>
    <cellStyle name="Normal 2 2 2 29 2 4 3" xfId="28448" xr:uid="{00000000-0005-0000-0000-00004A110000}"/>
    <cellStyle name="Normal 2 2 2 29 2 5" xfId="1905" xr:uid="{00000000-0005-0000-0000-00004B110000}"/>
    <cellStyle name="Normal 2 2 2 29 2 5 2" xfId="28449" xr:uid="{00000000-0005-0000-0000-00004C110000}"/>
    <cellStyle name="Normal 2 2 2 29 2 6" xfId="1906" xr:uid="{00000000-0005-0000-0000-00004D110000}"/>
    <cellStyle name="Normal 2 2 2 29 2 6 2" xfId="28450" xr:uid="{00000000-0005-0000-0000-00004E110000}"/>
    <cellStyle name="Normal 2 2 2 29 2 7" xfId="28451" xr:uid="{00000000-0005-0000-0000-00004F110000}"/>
    <cellStyle name="Normal 2 2 2 29 2 7 2" xfId="28452" xr:uid="{00000000-0005-0000-0000-000050110000}"/>
    <cellStyle name="Normal 2 2 2 29 2 8" xfId="28453" xr:uid="{00000000-0005-0000-0000-000051110000}"/>
    <cellStyle name="Normal 2 2 2 29 2 9" xfId="28454" xr:uid="{00000000-0005-0000-0000-000052110000}"/>
    <cellStyle name="Normal 2 2 2 29 3" xfId="1907" xr:uid="{00000000-0005-0000-0000-000053110000}"/>
    <cellStyle name="Normal 2 2 2 29 3 2" xfId="1908" xr:uid="{00000000-0005-0000-0000-000054110000}"/>
    <cellStyle name="Normal 2 2 2 29 3 2 2" xfId="1909" xr:uid="{00000000-0005-0000-0000-000055110000}"/>
    <cellStyle name="Normal 2 2 2 29 3 2 2 2" xfId="28455" xr:uid="{00000000-0005-0000-0000-000056110000}"/>
    <cellStyle name="Normal 2 2 2 29 3 2 3" xfId="1910" xr:uid="{00000000-0005-0000-0000-000057110000}"/>
    <cellStyle name="Normal 2 2 2 29 3 2 3 2" xfId="28456" xr:uid="{00000000-0005-0000-0000-000058110000}"/>
    <cellStyle name="Normal 2 2 2 29 3 2 4" xfId="28457" xr:uid="{00000000-0005-0000-0000-000059110000}"/>
    <cellStyle name="Normal 2 2 2 29 3 3" xfId="1911" xr:uid="{00000000-0005-0000-0000-00005A110000}"/>
    <cellStyle name="Normal 2 2 2 29 3 3 2" xfId="28458" xr:uid="{00000000-0005-0000-0000-00005B110000}"/>
    <cellStyle name="Normal 2 2 2 29 3 4" xfId="1912" xr:uid="{00000000-0005-0000-0000-00005C110000}"/>
    <cellStyle name="Normal 2 2 2 29 3 4 2" xfId="28459" xr:uid="{00000000-0005-0000-0000-00005D110000}"/>
    <cellStyle name="Normal 2 2 2 29 3 5" xfId="1913" xr:uid="{00000000-0005-0000-0000-00005E110000}"/>
    <cellStyle name="Normal 2 2 2 29 3 5 2" xfId="28460" xr:uid="{00000000-0005-0000-0000-00005F110000}"/>
    <cellStyle name="Normal 2 2 2 29 3 6" xfId="28461" xr:uid="{00000000-0005-0000-0000-000060110000}"/>
    <cellStyle name="Normal 2 2 2 29 3 6 2" xfId="28462" xr:uid="{00000000-0005-0000-0000-000061110000}"/>
    <cellStyle name="Normal 2 2 2 29 3 7" xfId="28463" xr:uid="{00000000-0005-0000-0000-000062110000}"/>
    <cellStyle name="Normal 2 2 2 29 4" xfId="1914" xr:uid="{00000000-0005-0000-0000-000063110000}"/>
    <cellStyle name="Normal 2 2 2 29 4 2" xfId="1915" xr:uid="{00000000-0005-0000-0000-000064110000}"/>
    <cellStyle name="Normal 2 2 2 29 4 2 2" xfId="28464" xr:uid="{00000000-0005-0000-0000-000065110000}"/>
    <cellStyle name="Normal 2 2 2 29 4 3" xfId="1916" xr:uid="{00000000-0005-0000-0000-000066110000}"/>
    <cellStyle name="Normal 2 2 2 29 4 3 2" xfId="28465" xr:uid="{00000000-0005-0000-0000-000067110000}"/>
    <cellStyle name="Normal 2 2 2 29 4 4" xfId="28466" xr:uid="{00000000-0005-0000-0000-000068110000}"/>
    <cellStyle name="Normal 2 2 2 29 5" xfId="1917" xr:uid="{00000000-0005-0000-0000-000069110000}"/>
    <cellStyle name="Normal 2 2 2 29 5 2" xfId="1918" xr:uid="{00000000-0005-0000-0000-00006A110000}"/>
    <cellStyle name="Normal 2 2 2 29 5 2 2" xfId="28467" xr:uid="{00000000-0005-0000-0000-00006B110000}"/>
    <cellStyle name="Normal 2 2 2 29 5 3" xfId="28468" xr:uid="{00000000-0005-0000-0000-00006C110000}"/>
    <cellStyle name="Normal 2 2 2 29 6" xfId="1919" xr:uid="{00000000-0005-0000-0000-00006D110000}"/>
    <cellStyle name="Normal 2 2 2 29 6 2" xfId="28469" xr:uid="{00000000-0005-0000-0000-00006E110000}"/>
    <cellStyle name="Normal 2 2 2 29 7" xfId="1920" xr:uid="{00000000-0005-0000-0000-00006F110000}"/>
    <cellStyle name="Normal 2 2 2 29 7 2" xfId="28470" xr:uid="{00000000-0005-0000-0000-000070110000}"/>
    <cellStyle name="Normal 2 2 2 29 8" xfId="28471" xr:uid="{00000000-0005-0000-0000-000071110000}"/>
    <cellStyle name="Normal 2 2 2 29 8 2" xfId="28472" xr:uid="{00000000-0005-0000-0000-000072110000}"/>
    <cellStyle name="Normal 2 2 2 29 9" xfId="28473" xr:uid="{00000000-0005-0000-0000-000073110000}"/>
    <cellStyle name="Normal 2 2 2 3" xfId="1921" xr:uid="{00000000-0005-0000-0000-000074110000}"/>
    <cellStyle name="Normal 2 2 2 3 10" xfId="28474" xr:uid="{00000000-0005-0000-0000-000075110000}"/>
    <cellStyle name="Normal 2 2 2 3 11" xfId="28475" xr:uid="{00000000-0005-0000-0000-000076110000}"/>
    <cellStyle name="Normal 2 2 2 3 2" xfId="1922" xr:uid="{00000000-0005-0000-0000-000077110000}"/>
    <cellStyle name="Normal 2 2 2 3 2 10" xfId="28476" xr:uid="{00000000-0005-0000-0000-000078110000}"/>
    <cellStyle name="Normal 2 2 2 3 2 2" xfId="1923" xr:uid="{00000000-0005-0000-0000-000079110000}"/>
    <cellStyle name="Normal 2 2 2 3 2 2 2" xfId="1924" xr:uid="{00000000-0005-0000-0000-00007A110000}"/>
    <cellStyle name="Normal 2 2 2 3 2 2 2 2" xfId="1925" xr:uid="{00000000-0005-0000-0000-00007B110000}"/>
    <cellStyle name="Normal 2 2 2 3 2 2 2 2 2" xfId="28477" xr:uid="{00000000-0005-0000-0000-00007C110000}"/>
    <cellStyle name="Normal 2 2 2 3 2 2 2 3" xfId="1926" xr:uid="{00000000-0005-0000-0000-00007D110000}"/>
    <cellStyle name="Normal 2 2 2 3 2 2 2 3 2" xfId="28478" xr:uid="{00000000-0005-0000-0000-00007E110000}"/>
    <cellStyle name="Normal 2 2 2 3 2 2 2 4" xfId="28479" xr:uid="{00000000-0005-0000-0000-00007F110000}"/>
    <cellStyle name="Normal 2 2 2 3 2 2 3" xfId="1927" xr:uid="{00000000-0005-0000-0000-000080110000}"/>
    <cellStyle name="Normal 2 2 2 3 2 2 3 2" xfId="28480" xr:uid="{00000000-0005-0000-0000-000081110000}"/>
    <cellStyle name="Normal 2 2 2 3 2 2 4" xfId="1928" xr:uid="{00000000-0005-0000-0000-000082110000}"/>
    <cellStyle name="Normal 2 2 2 3 2 2 4 2" xfId="28481" xr:uid="{00000000-0005-0000-0000-000083110000}"/>
    <cellStyle name="Normal 2 2 2 3 2 2 5" xfId="1929" xr:uid="{00000000-0005-0000-0000-000084110000}"/>
    <cellStyle name="Normal 2 2 2 3 2 2 5 2" xfId="28482" xr:uid="{00000000-0005-0000-0000-000085110000}"/>
    <cellStyle name="Normal 2 2 2 3 2 2 6" xfId="28483" xr:uid="{00000000-0005-0000-0000-000086110000}"/>
    <cellStyle name="Normal 2 2 2 3 2 2 6 2" xfId="28484" xr:uid="{00000000-0005-0000-0000-000087110000}"/>
    <cellStyle name="Normal 2 2 2 3 2 2 7" xfId="28485" xr:uid="{00000000-0005-0000-0000-000088110000}"/>
    <cellStyle name="Normal 2 2 2 3 2 3" xfId="1930" xr:uid="{00000000-0005-0000-0000-000089110000}"/>
    <cellStyle name="Normal 2 2 2 3 2 3 2" xfId="1931" xr:uid="{00000000-0005-0000-0000-00008A110000}"/>
    <cellStyle name="Normal 2 2 2 3 2 3 2 2" xfId="28486" xr:uid="{00000000-0005-0000-0000-00008B110000}"/>
    <cellStyle name="Normal 2 2 2 3 2 3 3" xfId="1932" xr:uid="{00000000-0005-0000-0000-00008C110000}"/>
    <cellStyle name="Normal 2 2 2 3 2 3 3 2" xfId="28487" xr:uid="{00000000-0005-0000-0000-00008D110000}"/>
    <cellStyle name="Normal 2 2 2 3 2 3 4" xfId="28488" xr:uid="{00000000-0005-0000-0000-00008E110000}"/>
    <cellStyle name="Normal 2 2 2 3 2 4" xfId="1933" xr:uid="{00000000-0005-0000-0000-00008F110000}"/>
    <cellStyle name="Normal 2 2 2 3 2 4 2" xfId="1934" xr:uid="{00000000-0005-0000-0000-000090110000}"/>
    <cellStyle name="Normal 2 2 2 3 2 4 2 2" xfId="28489" xr:uid="{00000000-0005-0000-0000-000091110000}"/>
    <cellStyle name="Normal 2 2 2 3 2 4 3" xfId="28490" xr:uid="{00000000-0005-0000-0000-000092110000}"/>
    <cellStyle name="Normal 2 2 2 3 2 5" xfId="1935" xr:uid="{00000000-0005-0000-0000-000093110000}"/>
    <cellStyle name="Normal 2 2 2 3 2 5 2" xfId="28491" xr:uid="{00000000-0005-0000-0000-000094110000}"/>
    <cellStyle name="Normal 2 2 2 3 2 6" xfId="1936" xr:uid="{00000000-0005-0000-0000-000095110000}"/>
    <cellStyle name="Normal 2 2 2 3 2 6 2" xfId="28492" xr:uid="{00000000-0005-0000-0000-000096110000}"/>
    <cellStyle name="Normal 2 2 2 3 2 7" xfId="28493" xr:uid="{00000000-0005-0000-0000-000097110000}"/>
    <cellStyle name="Normal 2 2 2 3 2 7 2" xfId="28494" xr:uid="{00000000-0005-0000-0000-000098110000}"/>
    <cellStyle name="Normal 2 2 2 3 2 8" xfId="28495" xr:uid="{00000000-0005-0000-0000-000099110000}"/>
    <cellStyle name="Normal 2 2 2 3 2 9" xfId="28496" xr:uid="{00000000-0005-0000-0000-00009A110000}"/>
    <cellStyle name="Normal 2 2 2 3 3" xfId="1937" xr:uid="{00000000-0005-0000-0000-00009B110000}"/>
    <cellStyle name="Normal 2 2 2 3 3 2" xfId="1938" xr:uid="{00000000-0005-0000-0000-00009C110000}"/>
    <cellStyle name="Normal 2 2 2 3 3 2 2" xfId="1939" xr:uid="{00000000-0005-0000-0000-00009D110000}"/>
    <cellStyle name="Normal 2 2 2 3 3 2 2 2" xfId="28497" xr:uid="{00000000-0005-0000-0000-00009E110000}"/>
    <cellStyle name="Normal 2 2 2 3 3 2 3" xfId="1940" xr:uid="{00000000-0005-0000-0000-00009F110000}"/>
    <cellStyle name="Normal 2 2 2 3 3 2 3 2" xfId="28498" xr:uid="{00000000-0005-0000-0000-0000A0110000}"/>
    <cellStyle name="Normal 2 2 2 3 3 2 4" xfId="28499" xr:uid="{00000000-0005-0000-0000-0000A1110000}"/>
    <cellStyle name="Normal 2 2 2 3 3 3" xfId="1941" xr:uid="{00000000-0005-0000-0000-0000A2110000}"/>
    <cellStyle name="Normal 2 2 2 3 3 3 2" xfId="28500" xr:uid="{00000000-0005-0000-0000-0000A3110000}"/>
    <cellStyle name="Normal 2 2 2 3 3 4" xfId="1942" xr:uid="{00000000-0005-0000-0000-0000A4110000}"/>
    <cellStyle name="Normal 2 2 2 3 3 4 2" xfId="28501" xr:uid="{00000000-0005-0000-0000-0000A5110000}"/>
    <cellStyle name="Normal 2 2 2 3 3 5" xfId="1943" xr:uid="{00000000-0005-0000-0000-0000A6110000}"/>
    <cellStyle name="Normal 2 2 2 3 3 5 2" xfId="28502" xr:uid="{00000000-0005-0000-0000-0000A7110000}"/>
    <cellStyle name="Normal 2 2 2 3 3 6" xfId="28503" xr:uid="{00000000-0005-0000-0000-0000A8110000}"/>
    <cellStyle name="Normal 2 2 2 3 3 6 2" xfId="28504" xr:uid="{00000000-0005-0000-0000-0000A9110000}"/>
    <cellStyle name="Normal 2 2 2 3 3 7" xfId="28505" xr:uid="{00000000-0005-0000-0000-0000AA110000}"/>
    <cellStyle name="Normal 2 2 2 3 4" xfId="1944" xr:uid="{00000000-0005-0000-0000-0000AB110000}"/>
    <cellStyle name="Normal 2 2 2 3 4 2" xfId="1945" xr:uid="{00000000-0005-0000-0000-0000AC110000}"/>
    <cellStyle name="Normal 2 2 2 3 4 2 2" xfId="28506" xr:uid="{00000000-0005-0000-0000-0000AD110000}"/>
    <cellStyle name="Normal 2 2 2 3 4 3" xfId="1946" xr:uid="{00000000-0005-0000-0000-0000AE110000}"/>
    <cellStyle name="Normal 2 2 2 3 4 3 2" xfId="28507" xr:uid="{00000000-0005-0000-0000-0000AF110000}"/>
    <cellStyle name="Normal 2 2 2 3 4 4" xfId="28508" xr:uid="{00000000-0005-0000-0000-0000B0110000}"/>
    <cellStyle name="Normal 2 2 2 3 5" xfId="1947" xr:uid="{00000000-0005-0000-0000-0000B1110000}"/>
    <cellStyle name="Normal 2 2 2 3 5 2" xfId="1948" xr:uid="{00000000-0005-0000-0000-0000B2110000}"/>
    <cellStyle name="Normal 2 2 2 3 5 2 2" xfId="28509" xr:uid="{00000000-0005-0000-0000-0000B3110000}"/>
    <cellStyle name="Normal 2 2 2 3 5 3" xfId="28510" xr:uid="{00000000-0005-0000-0000-0000B4110000}"/>
    <cellStyle name="Normal 2 2 2 3 6" xfId="1949" xr:uid="{00000000-0005-0000-0000-0000B5110000}"/>
    <cellStyle name="Normal 2 2 2 3 6 2" xfId="28511" xr:uid="{00000000-0005-0000-0000-0000B6110000}"/>
    <cellStyle name="Normal 2 2 2 3 7" xfId="1950" xr:uid="{00000000-0005-0000-0000-0000B7110000}"/>
    <cellStyle name="Normal 2 2 2 3 7 2" xfId="28512" xr:uid="{00000000-0005-0000-0000-0000B8110000}"/>
    <cellStyle name="Normal 2 2 2 3 8" xfId="28513" xr:uid="{00000000-0005-0000-0000-0000B9110000}"/>
    <cellStyle name="Normal 2 2 2 3 8 2" xfId="28514" xr:uid="{00000000-0005-0000-0000-0000BA110000}"/>
    <cellStyle name="Normal 2 2 2 3 9" xfId="28515" xr:uid="{00000000-0005-0000-0000-0000BB110000}"/>
    <cellStyle name="Normal 2 2 2 30" xfId="1951" xr:uid="{00000000-0005-0000-0000-0000BC110000}"/>
    <cellStyle name="Normal 2 2 2 30 10" xfId="28516" xr:uid="{00000000-0005-0000-0000-0000BD110000}"/>
    <cellStyle name="Normal 2 2 2 30 11" xfId="28517" xr:uid="{00000000-0005-0000-0000-0000BE110000}"/>
    <cellStyle name="Normal 2 2 2 30 2" xfId="1952" xr:uid="{00000000-0005-0000-0000-0000BF110000}"/>
    <cellStyle name="Normal 2 2 2 30 2 10" xfId="28518" xr:uid="{00000000-0005-0000-0000-0000C0110000}"/>
    <cellStyle name="Normal 2 2 2 30 2 2" xfId="1953" xr:uid="{00000000-0005-0000-0000-0000C1110000}"/>
    <cellStyle name="Normal 2 2 2 30 2 2 2" xfId="1954" xr:uid="{00000000-0005-0000-0000-0000C2110000}"/>
    <cellStyle name="Normal 2 2 2 30 2 2 2 2" xfId="1955" xr:uid="{00000000-0005-0000-0000-0000C3110000}"/>
    <cellStyle name="Normal 2 2 2 30 2 2 2 2 2" xfId="28519" xr:uid="{00000000-0005-0000-0000-0000C4110000}"/>
    <cellStyle name="Normal 2 2 2 30 2 2 2 3" xfId="1956" xr:uid="{00000000-0005-0000-0000-0000C5110000}"/>
    <cellStyle name="Normal 2 2 2 30 2 2 2 3 2" xfId="28520" xr:uid="{00000000-0005-0000-0000-0000C6110000}"/>
    <cellStyle name="Normal 2 2 2 30 2 2 2 4" xfId="28521" xr:uid="{00000000-0005-0000-0000-0000C7110000}"/>
    <cellStyle name="Normal 2 2 2 30 2 2 3" xfId="1957" xr:uid="{00000000-0005-0000-0000-0000C8110000}"/>
    <cellStyle name="Normal 2 2 2 30 2 2 3 2" xfId="28522" xr:uid="{00000000-0005-0000-0000-0000C9110000}"/>
    <cellStyle name="Normal 2 2 2 30 2 2 4" xfId="1958" xr:uid="{00000000-0005-0000-0000-0000CA110000}"/>
    <cellStyle name="Normal 2 2 2 30 2 2 4 2" xfId="28523" xr:uid="{00000000-0005-0000-0000-0000CB110000}"/>
    <cellStyle name="Normal 2 2 2 30 2 2 5" xfId="1959" xr:uid="{00000000-0005-0000-0000-0000CC110000}"/>
    <cellStyle name="Normal 2 2 2 30 2 2 5 2" xfId="28524" xr:uid="{00000000-0005-0000-0000-0000CD110000}"/>
    <cellStyle name="Normal 2 2 2 30 2 2 6" xfId="28525" xr:uid="{00000000-0005-0000-0000-0000CE110000}"/>
    <cellStyle name="Normal 2 2 2 30 2 2 6 2" xfId="28526" xr:uid="{00000000-0005-0000-0000-0000CF110000}"/>
    <cellStyle name="Normal 2 2 2 30 2 2 7" xfId="28527" xr:uid="{00000000-0005-0000-0000-0000D0110000}"/>
    <cellStyle name="Normal 2 2 2 30 2 3" xfId="1960" xr:uid="{00000000-0005-0000-0000-0000D1110000}"/>
    <cellStyle name="Normal 2 2 2 30 2 3 2" xfId="1961" xr:uid="{00000000-0005-0000-0000-0000D2110000}"/>
    <cellStyle name="Normal 2 2 2 30 2 3 2 2" xfId="28528" xr:uid="{00000000-0005-0000-0000-0000D3110000}"/>
    <cellStyle name="Normal 2 2 2 30 2 3 3" xfId="1962" xr:uid="{00000000-0005-0000-0000-0000D4110000}"/>
    <cellStyle name="Normal 2 2 2 30 2 3 3 2" xfId="28529" xr:uid="{00000000-0005-0000-0000-0000D5110000}"/>
    <cellStyle name="Normal 2 2 2 30 2 3 4" xfId="28530" xr:uid="{00000000-0005-0000-0000-0000D6110000}"/>
    <cellStyle name="Normal 2 2 2 30 2 4" xfId="1963" xr:uid="{00000000-0005-0000-0000-0000D7110000}"/>
    <cellStyle name="Normal 2 2 2 30 2 4 2" xfId="1964" xr:uid="{00000000-0005-0000-0000-0000D8110000}"/>
    <cellStyle name="Normal 2 2 2 30 2 4 2 2" xfId="28531" xr:uid="{00000000-0005-0000-0000-0000D9110000}"/>
    <cellStyle name="Normal 2 2 2 30 2 4 3" xfId="28532" xr:uid="{00000000-0005-0000-0000-0000DA110000}"/>
    <cellStyle name="Normal 2 2 2 30 2 5" xfId="1965" xr:uid="{00000000-0005-0000-0000-0000DB110000}"/>
    <cellStyle name="Normal 2 2 2 30 2 5 2" xfId="28533" xr:uid="{00000000-0005-0000-0000-0000DC110000}"/>
    <cellStyle name="Normal 2 2 2 30 2 6" xfId="1966" xr:uid="{00000000-0005-0000-0000-0000DD110000}"/>
    <cellStyle name="Normal 2 2 2 30 2 6 2" xfId="28534" xr:uid="{00000000-0005-0000-0000-0000DE110000}"/>
    <cellStyle name="Normal 2 2 2 30 2 7" xfId="28535" xr:uid="{00000000-0005-0000-0000-0000DF110000}"/>
    <cellStyle name="Normal 2 2 2 30 2 7 2" xfId="28536" xr:uid="{00000000-0005-0000-0000-0000E0110000}"/>
    <cellStyle name="Normal 2 2 2 30 2 8" xfId="28537" xr:uid="{00000000-0005-0000-0000-0000E1110000}"/>
    <cellStyle name="Normal 2 2 2 30 2 9" xfId="28538" xr:uid="{00000000-0005-0000-0000-0000E2110000}"/>
    <cellStyle name="Normal 2 2 2 30 3" xfId="1967" xr:uid="{00000000-0005-0000-0000-0000E3110000}"/>
    <cellStyle name="Normal 2 2 2 30 3 2" xfId="1968" xr:uid="{00000000-0005-0000-0000-0000E4110000}"/>
    <cellStyle name="Normal 2 2 2 30 3 2 2" xfId="1969" xr:uid="{00000000-0005-0000-0000-0000E5110000}"/>
    <cellStyle name="Normal 2 2 2 30 3 2 2 2" xfId="28539" xr:uid="{00000000-0005-0000-0000-0000E6110000}"/>
    <cellStyle name="Normal 2 2 2 30 3 2 3" xfId="1970" xr:uid="{00000000-0005-0000-0000-0000E7110000}"/>
    <cellStyle name="Normal 2 2 2 30 3 2 3 2" xfId="28540" xr:uid="{00000000-0005-0000-0000-0000E8110000}"/>
    <cellStyle name="Normal 2 2 2 30 3 2 4" xfId="28541" xr:uid="{00000000-0005-0000-0000-0000E9110000}"/>
    <cellStyle name="Normal 2 2 2 30 3 3" xfId="1971" xr:uid="{00000000-0005-0000-0000-0000EA110000}"/>
    <cellStyle name="Normal 2 2 2 30 3 3 2" xfId="28542" xr:uid="{00000000-0005-0000-0000-0000EB110000}"/>
    <cellStyle name="Normal 2 2 2 30 3 4" xfId="1972" xr:uid="{00000000-0005-0000-0000-0000EC110000}"/>
    <cellStyle name="Normal 2 2 2 30 3 4 2" xfId="28543" xr:uid="{00000000-0005-0000-0000-0000ED110000}"/>
    <cellStyle name="Normal 2 2 2 30 3 5" xfId="1973" xr:uid="{00000000-0005-0000-0000-0000EE110000}"/>
    <cellStyle name="Normal 2 2 2 30 3 5 2" xfId="28544" xr:uid="{00000000-0005-0000-0000-0000EF110000}"/>
    <cellStyle name="Normal 2 2 2 30 3 6" xfId="28545" xr:uid="{00000000-0005-0000-0000-0000F0110000}"/>
    <cellStyle name="Normal 2 2 2 30 3 6 2" xfId="28546" xr:uid="{00000000-0005-0000-0000-0000F1110000}"/>
    <cellStyle name="Normal 2 2 2 30 3 7" xfId="28547" xr:uid="{00000000-0005-0000-0000-0000F2110000}"/>
    <cellStyle name="Normal 2 2 2 30 4" xfId="1974" xr:uid="{00000000-0005-0000-0000-0000F3110000}"/>
    <cellStyle name="Normal 2 2 2 30 4 2" xfId="1975" xr:uid="{00000000-0005-0000-0000-0000F4110000}"/>
    <cellStyle name="Normal 2 2 2 30 4 2 2" xfId="28548" xr:uid="{00000000-0005-0000-0000-0000F5110000}"/>
    <cellStyle name="Normal 2 2 2 30 4 3" xfId="1976" xr:uid="{00000000-0005-0000-0000-0000F6110000}"/>
    <cellStyle name="Normal 2 2 2 30 4 3 2" xfId="28549" xr:uid="{00000000-0005-0000-0000-0000F7110000}"/>
    <cellStyle name="Normal 2 2 2 30 4 4" xfId="28550" xr:uid="{00000000-0005-0000-0000-0000F8110000}"/>
    <cellStyle name="Normal 2 2 2 30 5" xfId="1977" xr:uid="{00000000-0005-0000-0000-0000F9110000}"/>
    <cellStyle name="Normal 2 2 2 30 5 2" xfId="1978" xr:uid="{00000000-0005-0000-0000-0000FA110000}"/>
    <cellStyle name="Normal 2 2 2 30 5 2 2" xfId="28551" xr:uid="{00000000-0005-0000-0000-0000FB110000}"/>
    <cellStyle name="Normal 2 2 2 30 5 3" xfId="28552" xr:uid="{00000000-0005-0000-0000-0000FC110000}"/>
    <cellStyle name="Normal 2 2 2 30 6" xfId="1979" xr:uid="{00000000-0005-0000-0000-0000FD110000}"/>
    <cellStyle name="Normal 2 2 2 30 6 2" xfId="28553" xr:uid="{00000000-0005-0000-0000-0000FE110000}"/>
    <cellStyle name="Normal 2 2 2 30 7" xfId="1980" xr:uid="{00000000-0005-0000-0000-0000FF110000}"/>
    <cellStyle name="Normal 2 2 2 30 7 2" xfId="28554" xr:uid="{00000000-0005-0000-0000-000000120000}"/>
    <cellStyle name="Normal 2 2 2 30 8" xfId="28555" xr:uid="{00000000-0005-0000-0000-000001120000}"/>
    <cellStyle name="Normal 2 2 2 30 8 2" xfId="28556" xr:uid="{00000000-0005-0000-0000-000002120000}"/>
    <cellStyle name="Normal 2 2 2 30 9" xfId="28557" xr:uid="{00000000-0005-0000-0000-000003120000}"/>
    <cellStyle name="Normal 2 2 2 31" xfId="1981" xr:uid="{00000000-0005-0000-0000-000004120000}"/>
    <cellStyle name="Normal 2 2 2 31 10" xfId="28558" xr:uid="{00000000-0005-0000-0000-000005120000}"/>
    <cellStyle name="Normal 2 2 2 31 2" xfId="1982" xr:uid="{00000000-0005-0000-0000-000006120000}"/>
    <cellStyle name="Normal 2 2 2 31 2 2" xfId="1983" xr:uid="{00000000-0005-0000-0000-000007120000}"/>
    <cellStyle name="Normal 2 2 2 31 2 2 2" xfId="1984" xr:uid="{00000000-0005-0000-0000-000008120000}"/>
    <cellStyle name="Normal 2 2 2 31 2 2 2 2" xfId="28559" xr:uid="{00000000-0005-0000-0000-000009120000}"/>
    <cellStyle name="Normal 2 2 2 31 2 2 3" xfId="1985" xr:uid="{00000000-0005-0000-0000-00000A120000}"/>
    <cellStyle name="Normal 2 2 2 31 2 2 3 2" xfId="28560" xr:uid="{00000000-0005-0000-0000-00000B120000}"/>
    <cellStyle name="Normal 2 2 2 31 2 2 4" xfId="28561" xr:uid="{00000000-0005-0000-0000-00000C120000}"/>
    <cellStyle name="Normal 2 2 2 31 2 3" xfId="1986" xr:uid="{00000000-0005-0000-0000-00000D120000}"/>
    <cellStyle name="Normal 2 2 2 31 2 3 2" xfId="28562" xr:uid="{00000000-0005-0000-0000-00000E120000}"/>
    <cellStyle name="Normal 2 2 2 31 2 4" xfId="1987" xr:uid="{00000000-0005-0000-0000-00000F120000}"/>
    <cellStyle name="Normal 2 2 2 31 2 4 2" xfId="28563" xr:uid="{00000000-0005-0000-0000-000010120000}"/>
    <cellStyle name="Normal 2 2 2 31 2 5" xfId="1988" xr:uid="{00000000-0005-0000-0000-000011120000}"/>
    <cellStyle name="Normal 2 2 2 31 2 5 2" xfId="28564" xr:uid="{00000000-0005-0000-0000-000012120000}"/>
    <cellStyle name="Normal 2 2 2 31 2 6" xfId="28565" xr:uid="{00000000-0005-0000-0000-000013120000}"/>
    <cellStyle name="Normal 2 2 2 31 2 6 2" xfId="28566" xr:uid="{00000000-0005-0000-0000-000014120000}"/>
    <cellStyle name="Normal 2 2 2 31 2 7" xfId="28567" xr:uid="{00000000-0005-0000-0000-000015120000}"/>
    <cellStyle name="Normal 2 2 2 31 3" xfId="1989" xr:uid="{00000000-0005-0000-0000-000016120000}"/>
    <cellStyle name="Normal 2 2 2 31 3 2" xfId="1990" xr:uid="{00000000-0005-0000-0000-000017120000}"/>
    <cellStyle name="Normal 2 2 2 31 3 2 2" xfId="28568" xr:uid="{00000000-0005-0000-0000-000018120000}"/>
    <cellStyle name="Normal 2 2 2 31 3 3" xfId="1991" xr:uid="{00000000-0005-0000-0000-000019120000}"/>
    <cellStyle name="Normal 2 2 2 31 3 3 2" xfId="28569" xr:uid="{00000000-0005-0000-0000-00001A120000}"/>
    <cellStyle name="Normal 2 2 2 31 3 4" xfId="28570" xr:uid="{00000000-0005-0000-0000-00001B120000}"/>
    <cellStyle name="Normal 2 2 2 31 4" xfId="1992" xr:uid="{00000000-0005-0000-0000-00001C120000}"/>
    <cellStyle name="Normal 2 2 2 31 4 2" xfId="1993" xr:uid="{00000000-0005-0000-0000-00001D120000}"/>
    <cellStyle name="Normal 2 2 2 31 4 2 2" xfId="28571" xr:uid="{00000000-0005-0000-0000-00001E120000}"/>
    <cellStyle name="Normal 2 2 2 31 4 3" xfId="28572" xr:uid="{00000000-0005-0000-0000-00001F120000}"/>
    <cellStyle name="Normal 2 2 2 31 5" xfId="1994" xr:uid="{00000000-0005-0000-0000-000020120000}"/>
    <cellStyle name="Normal 2 2 2 31 5 2" xfId="28573" xr:uid="{00000000-0005-0000-0000-000021120000}"/>
    <cellStyle name="Normal 2 2 2 31 6" xfId="1995" xr:uid="{00000000-0005-0000-0000-000022120000}"/>
    <cellStyle name="Normal 2 2 2 31 6 2" xfId="28574" xr:uid="{00000000-0005-0000-0000-000023120000}"/>
    <cellStyle name="Normal 2 2 2 31 7" xfId="28575" xr:uid="{00000000-0005-0000-0000-000024120000}"/>
    <cellStyle name="Normal 2 2 2 31 7 2" xfId="28576" xr:uid="{00000000-0005-0000-0000-000025120000}"/>
    <cellStyle name="Normal 2 2 2 31 8" xfId="28577" xr:uid="{00000000-0005-0000-0000-000026120000}"/>
    <cellStyle name="Normal 2 2 2 31 9" xfId="28578" xr:uid="{00000000-0005-0000-0000-000027120000}"/>
    <cellStyle name="Normal 2 2 2 32" xfId="1996" xr:uid="{00000000-0005-0000-0000-000028120000}"/>
    <cellStyle name="Normal 2 2 2 32 2" xfId="1997" xr:uid="{00000000-0005-0000-0000-000029120000}"/>
    <cellStyle name="Normal 2 2 2 32 2 2" xfId="1998" xr:uid="{00000000-0005-0000-0000-00002A120000}"/>
    <cellStyle name="Normal 2 2 2 32 2 2 2" xfId="28579" xr:uid="{00000000-0005-0000-0000-00002B120000}"/>
    <cellStyle name="Normal 2 2 2 32 2 3" xfId="1999" xr:uid="{00000000-0005-0000-0000-00002C120000}"/>
    <cellStyle name="Normal 2 2 2 32 2 3 2" xfId="28580" xr:uid="{00000000-0005-0000-0000-00002D120000}"/>
    <cellStyle name="Normal 2 2 2 32 2 4" xfId="28581" xr:uid="{00000000-0005-0000-0000-00002E120000}"/>
    <cellStyle name="Normal 2 2 2 32 3" xfId="2000" xr:uid="{00000000-0005-0000-0000-00002F120000}"/>
    <cellStyle name="Normal 2 2 2 32 3 2" xfId="28582" xr:uid="{00000000-0005-0000-0000-000030120000}"/>
    <cellStyle name="Normal 2 2 2 32 4" xfId="2001" xr:uid="{00000000-0005-0000-0000-000031120000}"/>
    <cellStyle name="Normal 2 2 2 32 4 2" xfId="28583" xr:uid="{00000000-0005-0000-0000-000032120000}"/>
    <cellStyle name="Normal 2 2 2 32 5" xfId="2002" xr:uid="{00000000-0005-0000-0000-000033120000}"/>
    <cellStyle name="Normal 2 2 2 32 5 2" xfId="28584" xr:uid="{00000000-0005-0000-0000-000034120000}"/>
    <cellStyle name="Normal 2 2 2 32 6" xfId="28585" xr:uid="{00000000-0005-0000-0000-000035120000}"/>
    <cellStyle name="Normal 2 2 2 32 6 2" xfId="28586" xr:uid="{00000000-0005-0000-0000-000036120000}"/>
    <cellStyle name="Normal 2 2 2 32 7" xfId="28587" xr:uid="{00000000-0005-0000-0000-000037120000}"/>
    <cellStyle name="Normal 2 2 2 33" xfId="2003" xr:uid="{00000000-0005-0000-0000-000038120000}"/>
    <cellStyle name="Normal 2 2 2 33 2" xfId="2004" xr:uid="{00000000-0005-0000-0000-000039120000}"/>
    <cellStyle name="Normal 2 2 2 33 2 2" xfId="28588" xr:uid="{00000000-0005-0000-0000-00003A120000}"/>
    <cellStyle name="Normal 2 2 2 33 3" xfId="2005" xr:uid="{00000000-0005-0000-0000-00003B120000}"/>
    <cellStyle name="Normal 2 2 2 33 3 2" xfId="28589" xr:uid="{00000000-0005-0000-0000-00003C120000}"/>
    <cellStyle name="Normal 2 2 2 33 4" xfId="28590" xr:uid="{00000000-0005-0000-0000-00003D120000}"/>
    <cellStyle name="Normal 2 2 2 34" xfId="2006" xr:uid="{00000000-0005-0000-0000-00003E120000}"/>
    <cellStyle name="Normal 2 2 2 34 2" xfId="2007" xr:uid="{00000000-0005-0000-0000-00003F120000}"/>
    <cellStyle name="Normal 2 2 2 34 2 2" xfId="28591" xr:uid="{00000000-0005-0000-0000-000040120000}"/>
    <cellStyle name="Normal 2 2 2 34 3" xfId="28592" xr:uid="{00000000-0005-0000-0000-000041120000}"/>
    <cellStyle name="Normal 2 2 2 35" xfId="2008" xr:uid="{00000000-0005-0000-0000-000042120000}"/>
    <cellStyle name="Normal 2 2 2 35 2" xfId="28593" xr:uid="{00000000-0005-0000-0000-000043120000}"/>
    <cellStyle name="Normal 2 2 2 36" xfId="2009" xr:uid="{00000000-0005-0000-0000-000044120000}"/>
    <cellStyle name="Normal 2 2 2 36 2" xfId="28594" xr:uid="{00000000-0005-0000-0000-000045120000}"/>
    <cellStyle name="Normal 2 2 2 37" xfId="28595" xr:uid="{00000000-0005-0000-0000-000046120000}"/>
    <cellStyle name="Normal 2 2 2 37 2" xfId="28596" xr:uid="{00000000-0005-0000-0000-000047120000}"/>
    <cellStyle name="Normal 2 2 2 38" xfId="28597" xr:uid="{00000000-0005-0000-0000-000048120000}"/>
    <cellStyle name="Normal 2 2 2 39" xfId="28598" xr:uid="{00000000-0005-0000-0000-000049120000}"/>
    <cellStyle name="Normal 2 2 2 4" xfId="2010" xr:uid="{00000000-0005-0000-0000-00004A120000}"/>
    <cellStyle name="Normal 2 2 2 4 10" xfId="28599" xr:uid="{00000000-0005-0000-0000-00004B120000}"/>
    <cellStyle name="Normal 2 2 2 4 11" xfId="28600" xr:uid="{00000000-0005-0000-0000-00004C120000}"/>
    <cellStyle name="Normal 2 2 2 4 2" xfId="2011" xr:uid="{00000000-0005-0000-0000-00004D120000}"/>
    <cellStyle name="Normal 2 2 2 4 2 10" xfId="28601" xr:uid="{00000000-0005-0000-0000-00004E120000}"/>
    <cellStyle name="Normal 2 2 2 4 2 2" xfId="2012" xr:uid="{00000000-0005-0000-0000-00004F120000}"/>
    <cellStyle name="Normal 2 2 2 4 2 2 2" xfId="2013" xr:uid="{00000000-0005-0000-0000-000050120000}"/>
    <cellStyle name="Normal 2 2 2 4 2 2 2 2" xfId="2014" xr:uid="{00000000-0005-0000-0000-000051120000}"/>
    <cellStyle name="Normal 2 2 2 4 2 2 2 2 2" xfId="28602" xr:uid="{00000000-0005-0000-0000-000052120000}"/>
    <cellStyle name="Normal 2 2 2 4 2 2 2 3" xfId="2015" xr:uid="{00000000-0005-0000-0000-000053120000}"/>
    <cellStyle name="Normal 2 2 2 4 2 2 2 3 2" xfId="28603" xr:uid="{00000000-0005-0000-0000-000054120000}"/>
    <cellStyle name="Normal 2 2 2 4 2 2 2 4" xfId="28604" xr:uid="{00000000-0005-0000-0000-000055120000}"/>
    <cellStyle name="Normal 2 2 2 4 2 2 3" xfId="2016" xr:uid="{00000000-0005-0000-0000-000056120000}"/>
    <cellStyle name="Normal 2 2 2 4 2 2 3 2" xfId="28605" xr:uid="{00000000-0005-0000-0000-000057120000}"/>
    <cellStyle name="Normal 2 2 2 4 2 2 4" xfId="2017" xr:uid="{00000000-0005-0000-0000-000058120000}"/>
    <cellStyle name="Normal 2 2 2 4 2 2 4 2" xfId="28606" xr:uid="{00000000-0005-0000-0000-000059120000}"/>
    <cellStyle name="Normal 2 2 2 4 2 2 5" xfId="2018" xr:uid="{00000000-0005-0000-0000-00005A120000}"/>
    <cellStyle name="Normal 2 2 2 4 2 2 5 2" xfId="28607" xr:uid="{00000000-0005-0000-0000-00005B120000}"/>
    <cellStyle name="Normal 2 2 2 4 2 2 6" xfId="28608" xr:uid="{00000000-0005-0000-0000-00005C120000}"/>
    <cellStyle name="Normal 2 2 2 4 2 2 6 2" xfId="28609" xr:uid="{00000000-0005-0000-0000-00005D120000}"/>
    <cellStyle name="Normal 2 2 2 4 2 2 7" xfId="28610" xr:uid="{00000000-0005-0000-0000-00005E120000}"/>
    <cellStyle name="Normal 2 2 2 4 2 3" xfId="2019" xr:uid="{00000000-0005-0000-0000-00005F120000}"/>
    <cellStyle name="Normal 2 2 2 4 2 3 2" xfId="2020" xr:uid="{00000000-0005-0000-0000-000060120000}"/>
    <cellStyle name="Normal 2 2 2 4 2 3 2 2" xfId="28611" xr:uid="{00000000-0005-0000-0000-000061120000}"/>
    <cellStyle name="Normal 2 2 2 4 2 3 3" xfId="2021" xr:uid="{00000000-0005-0000-0000-000062120000}"/>
    <cellStyle name="Normal 2 2 2 4 2 3 3 2" xfId="28612" xr:uid="{00000000-0005-0000-0000-000063120000}"/>
    <cellStyle name="Normal 2 2 2 4 2 3 4" xfId="28613" xr:uid="{00000000-0005-0000-0000-000064120000}"/>
    <cellStyle name="Normal 2 2 2 4 2 4" xfId="2022" xr:uid="{00000000-0005-0000-0000-000065120000}"/>
    <cellStyle name="Normal 2 2 2 4 2 4 2" xfId="2023" xr:uid="{00000000-0005-0000-0000-000066120000}"/>
    <cellStyle name="Normal 2 2 2 4 2 4 2 2" xfId="28614" xr:uid="{00000000-0005-0000-0000-000067120000}"/>
    <cellStyle name="Normal 2 2 2 4 2 4 3" xfId="28615" xr:uid="{00000000-0005-0000-0000-000068120000}"/>
    <cellStyle name="Normal 2 2 2 4 2 5" xfId="2024" xr:uid="{00000000-0005-0000-0000-000069120000}"/>
    <cellStyle name="Normal 2 2 2 4 2 5 2" xfId="28616" xr:uid="{00000000-0005-0000-0000-00006A120000}"/>
    <cellStyle name="Normal 2 2 2 4 2 6" xfId="2025" xr:uid="{00000000-0005-0000-0000-00006B120000}"/>
    <cellStyle name="Normal 2 2 2 4 2 6 2" xfId="28617" xr:uid="{00000000-0005-0000-0000-00006C120000}"/>
    <cellStyle name="Normal 2 2 2 4 2 7" xfId="28618" xr:uid="{00000000-0005-0000-0000-00006D120000}"/>
    <cellStyle name="Normal 2 2 2 4 2 7 2" xfId="28619" xr:uid="{00000000-0005-0000-0000-00006E120000}"/>
    <cellStyle name="Normal 2 2 2 4 2 8" xfId="28620" xr:uid="{00000000-0005-0000-0000-00006F120000}"/>
    <cellStyle name="Normal 2 2 2 4 2 9" xfId="28621" xr:uid="{00000000-0005-0000-0000-000070120000}"/>
    <cellStyle name="Normal 2 2 2 4 3" xfId="2026" xr:uid="{00000000-0005-0000-0000-000071120000}"/>
    <cellStyle name="Normal 2 2 2 4 3 2" xfId="2027" xr:uid="{00000000-0005-0000-0000-000072120000}"/>
    <cellStyle name="Normal 2 2 2 4 3 2 2" xfId="2028" xr:uid="{00000000-0005-0000-0000-000073120000}"/>
    <cellStyle name="Normal 2 2 2 4 3 2 2 2" xfId="28622" xr:uid="{00000000-0005-0000-0000-000074120000}"/>
    <cellStyle name="Normal 2 2 2 4 3 2 3" xfId="2029" xr:uid="{00000000-0005-0000-0000-000075120000}"/>
    <cellStyle name="Normal 2 2 2 4 3 2 3 2" xfId="28623" xr:uid="{00000000-0005-0000-0000-000076120000}"/>
    <cellStyle name="Normal 2 2 2 4 3 2 4" xfId="28624" xr:uid="{00000000-0005-0000-0000-000077120000}"/>
    <cellStyle name="Normal 2 2 2 4 3 3" xfId="2030" xr:uid="{00000000-0005-0000-0000-000078120000}"/>
    <cellStyle name="Normal 2 2 2 4 3 3 2" xfId="28625" xr:uid="{00000000-0005-0000-0000-000079120000}"/>
    <cellStyle name="Normal 2 2 2 4 3 4" xfId="2031" xr:uid="{00000000-0005-0000-0000-00007A120000}"/>
    <cellStyle name="Normal 2 2 2 4 3 4 2" xfId="28626" xr:uid="{00000000-0005-0000-0000-00007B120000}"/>
    <cellStyle name="Normal 2 2 2 4 3 5" xfId="2032" xr:uid="{00000000-0005-0000-0000-00007C120000}"/>
    <cellStyle name="Normal 2 2 2 4 3 5 2" xfId="28627" xr:uid="{00000000-0005-0000-0000-00007D120000}"/>
    <cellStyle name="Normal 2 2 2 4 3 6" xfId="28628" xr:uid="{00000000-0005-0000-0000-00007E120000}"/>
    <cellStyle name="Normal 2 2 2 4 3 6 2" xfId="28629" xr:uid="{00000000-0005-0000-0000-00007F120000}"/>
    <cellStyle name="Normal 2 2 2 4 3 7" xfId="28630" xr:uid="{00000000-0005-0000-0000-000080120000}"/>
    <cellStyle name="Normal 2 2 2 4 4" xfId="2033" xr:uid="{00000000-0005-0000-0000-000081120000}"/>
    <cellStyle name="Normal 2 2 2 4 4 2" xfId="2034" xr:uid="{00000000-0005-0000-0000-000082120000}"/>
    <cellStyle name="Normal 2 2 2 4 4 2 2" xfId="28631" xr:uid="{00000000-0005-0000-0000-000083120000}"/>
    <cellStyle name="Normal 2 2 2 4 4 3" xfId="2035" xr:uid="{00000000-0005-0000-0000-000084120000}"/>
    <cellStyle name="Normal 2 2 2 4 4 3 2" xfId="28632" xr:uid="{00000000-0005-0000-0000-000085120000}"/>
    <cellStyle name="Normal 2 2 2 4 4 4" xfId="28633" xr:uid="{00000000-0005-0000-0000-000086120000}"/>
    <cellStyle name="Normal 2 2 2 4 5" xfId="2036" xr:uid="{00000000-0005-0000-0000-000087120000}"/>
    <cellStyle name="Normal 2 2 2 4 5 2" xfId="2037" xr:uid="{00000000-0005-0000-0000-000088120000}"/>
    <cellStyle name="Normal 2 2 2 4 5 2 2" xfId="28634" xr:uid="{00000000-0005-0000-0000-000089120000}"/>
    <cellStyle name="Normal 2 2 2 4 5 3" xfId="28635" xr:uid="{00000000-0005-0000-0000-00008A120000}"/>
    <cellStyle name="Normal 2 2 2 4 6" xfId="2038" xr:uid="{00000000-0005-0000-0000-00008B120000}"/>
    <cellStyle name="Normal 2 2 2 4 6 2" xfId="28636" xr:uid="{00000000-0005-0000-0000-00008C120000}"/>
    <cellStyle name="Normal 2 2 2 4 7" xfId="2039" xr:uid="{00000000-0005-0000-0000-00008D120000}"/>
    <cellStyle name="Normal 2 2 2 4 7 2" xfId="28637" xr:uid="{00000000-0005-0000-0000-00008E120000}"/>
    <cellStyle name="Normal 2 2 2 4 8" xfId="28638" xr:uid="{00000000-0005-0000-0000-00008F120000}"/>
    <cellStyle name="Normal 2 2 2 4 8 2" xfId="28639" xr:uid="{00000000-0005-0000-0000-000090120000}"/>
    <cellStyle name="Normal 2 2 2 4 9" xfId="28640" xr:uid="{00000000-0005-0000-0000-000091120000}"/>
    <cellStyle name="Normal 2 2 2 40" xfId="28641" xr:uid="{00000000-0005-0000-0000-000092120000}"/>
    <cellStyle name="Normal 2 2 2 5" xfId="2040" xr:uid="{00000000-0005-0000-0000-000093120000}"/>
    <cellStyle name="Normal 2 2 2 5 10" xfId="28642" xr:uid="{00000000-0005-0000-0000-000094120000}"/>
    <cellStyle name="Normal 2 2 2 5 11" xfId="28643" xr:uid="{00000000-0005-0000-0000-000095120000}"/>
    <cellStyle name="Normal 2 2 2 5 2" xfId="2041" xr:uid="{00000000-0005-0000-0000-000096120000}"/>
    <cellStyle name="Normal 2 2 2 5 2 10" xfId="28644" xr:uid="{00000000-0005-0000-0000-000097120000}"/>
    <cellStyle name="Normal 2 2 2 5 2 2" xfId="2042" xr:uid="{00000000-0005-0000-0000-000098120000}"/>
    <cellStyle name="Normal 2 2 2 5 2 2 2" xfId="2043" xr:uid="{00000000-0005-0000-0000-000099120000}"/>
    <cellStyle name="Normal 2 2 2 5 2 2 2 2" xfId="2044" xr:uid="{00000000-0005-0000-0000-00009A120000}"/>
    <cellStyle name="Normal 2 2 2 5 2 2 2 2 2" xfId="28645" xr:uid="{00000000-0005-0000-0000-00009B120000}"/>
    <cellStyle name="Normal 2 2 2 5 2 2 2 3" xfId="2045" xr:uid="{00000000-0005-0000-0000-00009C120000}"/>
    <cellStyle name="Normal 2 2 2 5 2 2 2 3 2" xfId="28646" xr:uid="{00000000-0005-0000-0000-00009D120000}"/>
    <cellStyle name="Normal 2 2 2 5 2 2 2 4" xfId="28647" xr:uid="{00000000-0005-0000-0000-00009E120000}"/>
    <cellStyle name="Normal 2 2 2 5 2 2 3" xfId="2046" xr:uid="{00000000-0005-0000-0000-00009F120000}"/>
    <cellStyle name="Normal 2 2 2 5 2 2 3 2" xfId="28648" xr:uid="{00000000-0005-0000-0000-0000A0120000}"/>
    <cellStyle name="Normal 2 2 2 5 2 2 4" xfId="2047" xr:uid="{00000000-0005-0000-0000-0000A1120000}"/>
    <cellStyle name="Normal 2 2 2 5 2 2 4 2" xfId="28649" xr:uid="{00000000-0005-0000-0000-0000A2120000}"/>
    <cellStyle name="Normal 2 2 2 5 2 2 5" xfId="2048" xr:uid="{00000000-0005-0000-0000-0000A3120000}"/>
    <cellStyle name="Normal 2 2 2 5 2 2 5 2" xfId="28650" xr:uid="{00000000-0005-0000-0000-0000A4120000}"/>
    <cellStyle name="Normal 2 2 2 5 2 2 6" xfId="28651" xr:uid="{00000000-0005-0000-0000-0000A5120000}"/>
    <cellStyle name="Normal 2 2 2 5 2 2 6 2" xfId="28652" xr:uid="{00000000-0005-0000-0000-0000A6120000}"/>
    <cellStyle name="Normal 2 2 2 5 2 2 7" xfId="28653" xr:uid="{00000000-0005-0000-0000-0000A7120000}"/>
    <cellStyle name="Normal 2 2 2 5 2 3" xfId="2049" xr:uid="{00000000-0005-0000-0000-0000A8120000}"/>
    <cellStyle name="Normal 2 2 2 5 2 3 2" xfId="2050" xr:uid="{00000000-0005-0000-0000-0000A9120000}"/>
    <cellStyle name="Normal 2 2 2 5 2 3 2 2" xfId="28654" xr:uid="{00000000-0005-0000-0000-0000AA120000}"/>
    <cellStyle name="Normal 2 2 2 5 2 3 3" xfId="2051" xr:uid="{00000000-0005-0000-0000-0000AB120000}"/>
    <cellStyle name="Normal 2 2 2 5 2 3 3 2" xfId="28655" xr:uid="{00000000-0005-0000-0000-0000AC120000}"/>
    <cellStyle name="Normal 2 2 2 5 2 3 4" xfId="28656" xr:uid="{00000000-0005-0000-0000-0000AD120000}"/>
    <cellStyle name="Normal 2 2 2 5 2 4" xfId="2052" xr:uid="{00000000-0005-0000-0000-0000AE120000}"/>
    <cellStyle name="Normal 2 2 2 5 2 4 2" xfId="2053" xr:uid="{00000000-0005-0000-0000-0000AF120000}"/>
    <cellStyle name="Normal 2 2 2 5 2 4 2 2" xfId="28657" xr:uid="{00000000-0005-0000-0000-0000B0120000}"/>
    <cellStyle name="Normal 2 2 2 5 2 4 3" xfId="28658" xr:uid="{00000000-0005-0000-0000-0000B1120000}"/>
    <cellStyle name="Normal 2 2 2 5 2 5" xfId="2054" xr:uid="{00000000-0005-0000-0000-0000B2120000}"/>
    <cellStyle name="Normal 2 2 2 5 2 5 2" xfId="28659" xr:uid="{00000000-0005-0000-0000-0000B3120000}"/>
    <cellStyle name="Normal 2 2 2 5 2 6" xfId="2055" xr:uid="{00000000-0005-0000-0000-0000B4120000}"/>
    <cellStyle name="Normal 2 2 2 5 2 6 2" xfId="28660" xr:uid="{00000000-0005-0000-0000-0000B5120000}"/>
    <cellStyle name="Normal 2 2 2 5 2 7" xfId="28661" xr:uid="{00000000-0005-0000-0000-0000B6120000}"/>
    <cellStyle name="Normal 2 2 2 5 2 7 2" xfId="28662" xr:uid="{00000000-0005-0000-0000-0000B7120000}"/>
    <cellStyle name="Normal 2 2 2 5 2 8" xfId="28663" xr:uid="{00000000-0005-0000-0000-0000B8120000}"/>
    <cellStyle name="Normal 2 2 2 5 2 9" xfId="28664" xr:uid="{00000000-0005-0000-0000-0000B9120000}"/>
    <cellStyle name="Normal 2 2 2 5 3" xfId="2056" xr:uid="{00000000-0005-0000-0000-0000BA120000}"/>
    <cellStyle name="Normal 2 2 2 5 3 2" xfId="2057" xr:uid="{00000000-0005-0000-0000-0000BB120000}"/>
    <cellStyle name="Normal 2 2 2 5 3 2 2" xfId="2058" xr:uid="{00000000-0005-0000-0000-0000BC120000}"/>
    <cellStyle name="Normal 2 2 2 5 3 2 2 2" xfId="28665" xr:uid="{00000000-0005-0000-0000-0000BD120000}"/>
    <cellStyle name="Normal 2 2 2 5 3 2 3" xfId="2059" xr:uid="{00000000-0005-0000-0000-0000BE120000}"/>
    <cellStyle name="Normal 2 2 2 5 3 2 3 2" xfId="28666" xr:uid="{00000000-0005-0000-0000-0000BF120000}"/>
    <cellStyle name="Normal 2 2 2 5 3 2 4" xfId="28667" xr:uid="{00000000-0005-0000-0000-0000C0120000}"/>
    <cellStyle name="Normal 2 2 2 5 3 3" xfId="2060" xr:uid="{00000000-0005-0000-0000-0000C1120000}"/>
    <cellStyle name="Normal 2 2 2 5 3 3 2" xfId="28668" xr:uid="{00000000-0005-0000-0000-0000C2120000}"/>
    <cellStyle name="Normal 2 2 2 5 3 4" xfId="2061" xr:uid="{00000000-0005-0000-0000-0000C3120000}"/>
    <cellStyle name="Normal 2 2 2 5 3 4 2" xfId="28669" xr:uid="{00000000-0005-0000-0000-0000C4120000}"/>
    <cellStyle name="Normal 2 2 2 5 3 5" xfId="2062" xr:uid="{00000000-0005-0000-0000-0000C5120000}"/>
    <cellStyle name="Normal 2 2 2 5 3 5 2" xfId="28670" xr:uid="{00000000-0005-0000-0000-0000C6120000}"/>
    <cellStyle name="Normal 2 2 2 5 3 6" xfId="28671" xr:uid="{00000000-0005-0000-0000-0000C7120000}"/>
    <cellStyle name="Normal 2 2 2 5 3 6 2" xfId="28672" xr:uid="{00000000-0005-0000-0000-0000C8120000}"/>
    <cellStyle name="Normal 2 2 2 5 3 7" xfId="28673" xr:uid="{00000000-0005-0000-0000-0000C9120000}"/>
    <cellStyle name="Normal 2 2 2 5 4" xfId="2063" xr:uid="{00000000-0005-0000-0000-0000CA120000}"/>
    <cellStyle name="Normal 2 2 2 5 4 2" xfId="2064" xr:uid="{00000000-0005-0000-0000-0000CB120000}"/>
    <cellStyle name="Normal 2 2 2 5 4 2 2" xfId="28674" xr:uid="{00000000-0005-0000-0000-0000CC120000}"/>
    <cellStyle name="Normal 2 2 2 5 4 3" xfId="2065" xr:uid="{00000000-0005-0000-0000-0000CD120000}"/>
    <cellStyle name="Normal 2 2 2 5 4 3 2" xfId="28675" xr:uid="{00000000-0005-0000-0000-0000CE120000}"/>
    <cellStyle name="Normal 2 2 2 5 4 4" xfId="28676" xr:uid="{00000000-0005-0000-0000-0000CF120000}"/>
    <cellStyle name="Normal 2 2 2 5 5" xfId="2066" xr:uid="{00000000-0005-0000-0000-0000D0120000}"/>
    <cellStyle name="Normal 2 2 2 5 5 2" xfId="2067" xr:uid="{00000000-0005-0000-0000-0000D1120000}"/>
    <cellStyle name="Normal 2 2 2 5 5 2 2" xfId="28677" xr:uid="{00000000-0005-0000-0000-0000D2120000}"/>
    <cellStyle name="Normal 2 2 2 5 5 3" xfId="28678" xr:uid="{00000000-0005-0000-0000-0000D3120000}"/>
    <cellStyle name="Normal 2 2 2 5 6" xfId="2068" xr:uid="{00000000-0005-0000-0000-0000D4120000}"/>
    <cellStyle name="Normal 2 2 2 5 6 2" xfId="28679" xr:uid="{00000000-0005-0000-0000-0000D5120000}"/>
    <cellStyle name="Normal 2 2 2 5 7" xfId="2069" xr:uid="{00000000-0005-0000-0000-0000D6120000}"/>
    <cellStyle name="Normal 2 2 2 5 7 2" xfId="28680" xr:uid="{00000000-0005-0000-0000-0000D7120000}"/>
    <cellStyle name="Normal 2 2 2 5 8" xfId="28681" xr:uid="{00000000-0005-0000-0000-0000D8120000}"/>
    <cellStyle name="Normal 2 2 2 5 8 2" xfId="28682" xr:uid="{00000000-0005-0000-0000-0000D9120000}"/>
    <cellStyle name="Normal 2 2 2 5 9" xfId="28683" xr:uid="{00000000-0005-0000-0000-0000DA120000}"/>
    <cellStyle name="Normal 2 2 2 6" xfId="2070" xr:uid="{00000000-0005-0000-0000-0000DB120000}"/>
    <cellStyle name="Normal 2 2 2 6 10" xfId="28684" xr:uid="{00000000-0005-0000-0000-0000DC120000}"/>
    <cellStyle name="Normal 2 2 2 6 11" xfId="28685" xr:uid="{00000000-0005-0000-0000-0000DD120000}"/>
    <cellStyle name="Normal 2 2 2 6 2" xfId="2071" xr:uid="{00000000-0005-0000-0000-0000DE120000}"/>
    <cellStyle name="Normal 2 2 2 6 2 10" xfId="28686" xr:uid="{00000000-0005-0000-0000-0000DF120000}"/>
    <cellStyle name="Normal 2 2 2 6 2 2" xfId="2072" xr:uid="{00000000-0005-0000-0000-0000E0120000}"/>
    <cellStyle name="Normal 2 2 2 6 2 2 2" xfId="2073" xr:uid="{00000000-0005-0000-0000-0000E1120000}"/>
    <cellStyle name="Normal 2 2 2 6 2 2 2 2" xfId="2074" xr:uid="{00000000-0005-0000-0000-0000E2120000}"/>
    <cellStyle name="Normal 2 2 2 6 2 2 2 2 2" xfId="28687" xr:uid="{00000000-0005-0000-0000-0000E3120000}"/>
    <cellStyle name="Normal 2 2 2 6 2 2 2 3" xfId="2075" xr:uid="{00000000-0005-0000-0000-0000E4120000}"/>
    <cellStyle name="Normal 2 2 2 6 2 2 2 3 2" xfId="28688" xr:uid="{00000000-0005-0000-0000-0000E5120000}"/>
    <cellStyle name="Normal 2 2 2 6 2 2 2 4" xfId="28689" xr:uid="{00000000-0005-0000-0000-0000E6120000}"/>
    <cellStyle name="Normal 2 2 2 6 2 2 3" xfId="2076" xr:uid="{00000000-0005-0000-0000-0000E7120000}"/>
    <cellStyle name="Normal 2 2 2 6 2 2 3 2" xfId="28690" xr:uid="{00000000-0005-0000-0000-0000E8120000}"/>
    <cellStyle name="Normal 2 2 2 6 2 2 4" xfId="2077" xr:uid="{00000000-0005-0000-0000-0000E9120000}"/>
    <cellStyle name="Normal 2 2 2 6 2 2 4 2" xfId="28691" xr:uid="{00000000-0005-0000-0000-0000EA120000}"/>
    <cellStyle name="Normal 2 2 2 6 2 2 5" xfId="2078" xr:uid="{00000000-0005-0000-0000-0000EB120000}"/>
    <cellStyle name="Normal 2 2 2 6 2 2 5 2" xfId="28692" xr:uid="{00000000-0005-0000-0000-0000EC120000}"/>
    <cellStyle name="Normal 2 2 2 6 2 2 6" xfId="28693" xr:uid="{00000000-0005-0000-0000-0000ED120000}"/>
    <cellStyle name="Normal 2 2 2 6 2 2 6 2" xfId="28694" xr:uid="{00000000-0005-0000-0000-0000EE120000}"/>
    <cellStyle name="Normal 2 2 2 6 2 2 7" xfId="28695" xr:uid="{00000000-0005-0000-0000-0000EF120000}"/>
    <cellStyle name="Normal 2 2 2 6 2 3" xfId="2079" xr:uid="{00000000-0005-0000-0000-0000F0120000}"/>
    <cellStyle name="Normal 2 2 2 6 2 3 2" xfId="2080" xr:uid="{00000000-0005-0000-0000-0000F1120000}"/>
    <cellStyle name="Normal 2 2 2 6 2 3 2 2" xfId="28696" xr:uid="{00000000-0005-0000-0000-0000F2120000}"/>
    <cellStyle name="Normal 2 2 2 6 2 3 3" xfId="2081" xr:uid="{00000000-0005-0000-0000-0000F3120000}"/>
    <cellStyle name="Normal 2 2 2 6 2 3 3 2" xfId="28697" xr:uid="{00000000-0005-0000-0000-0000F4120000}"/>
    <cellStyle name="Normal 2 2 2 6 2 3 4" xfId="28698" xr:uid="{00000000-0005-0000-0000-0000F5120000}"/>
    <cellStyle name="Normal 2 2 2 6 2 4" xfId="2082" xr:uid="{00000000-0005-0000-0000-0000F6120000}"/>
    <cellStyle name="Normal 2 2 2 6 2 4 2" xfId="2083" xr:uid="{00000000-0005-0000-0000-0000F7120000}"/>
    <cellStyle name="Normal 2 2 2 6 2 4 2 2" xfId="28699" xr:uid="{00000000-0005-0000-0000-0000F8120000}"/>
    <cellStyle name="Normal 2 2 2 6 2 4 3" xfId="28700" xr:uid="{00000000-0005-0000-0000-0000F9120000}"/>
    <cellStyle name="Normal 2 2 2 6 2 5" xfId="2084" xr:uid="{00000000-0005-0000-0000-0000FA120000}"/>
    <cellStyle name="Normal 2 2 2 6 2 5 2" xfId="28701" xr:uid="{00000000-0005-0000-0000-0000FB120000}"/>
    <cellStyle name="Normal 2 2 2 6 2 6" xfId="2085" xr:uid="{00000000-0005-0000-0000-0000FC120000}"/>
    <cellStyle name="Normal 2 2 2 6 2 6 2" xfId="28702" xr:uid="{00000000-0005-0000-0000-0000FD120000}"/>
    <cellStyle name="Normal 2 2 2 6 2 7" xfId="28703" xr:uid="{00000000-0005-0000-0000-0000FE120000}"/>
    <cellStyle name="Normal 2 2 2 6 2 7 2" xfId="28704" xr:uid="{00000000-0005-0000-0000-0000FF120000}"/>
    <cellStyle name="Normal 2 2 2 6 2 8" xfId="28705" xr:uid="{00000000-0005-0000-0000-000000130000}"/>
    <cellStyle name="Normal 2 2 2 6 2 9" xfId="28706" xr:uid="{00000000-0005-0000-0000-000001130000}"/>
    <cellStyle name="Normal 2 2 2 6 3" xfId="2086" xr:uid="{00000000-0005-0000-0000-000002130000}"/>
    <cellStyle name="Normal 2 2 2 6 3 2" xfId="2087" xr:uid="{00000000-0005-0000-0000-000003130000}"/>
    <cellStyle name="Normal 2 2 2 6 3 2 2" xfId="2088" xr:uid="{00000000-0005-0000-0000-000004130000}"/>
    <cellStyle name="Normal 2 2 2 6 3 2 2 2" xfId="28707" xr:uid="{00000000-0005-0000-0000-000005130000}"/>
    <cellStyle name="Normal 2 2 2 6 3 2 3" xfId="2089" xr:uid="{00000000-0005-0000-0000-000006130000}"/>
    <cellStyle name="Normal 2 2 2 6 3 2 3 2" xfId="28708" xr:uid="{00000000-0005-0000-0000-000007130000}"/>
    <cellStyle name="Normal 2 2 2 6 3 2 4" xfId="28709" xr:uid="{00000000-0005-0000-0000-000008130000}"/>
    <cellStyle name="Normal 2 2 2 6 3 3" xfId="2090" xr:uid="{00000000-0005-0000-0000-000009130000}"/>
    <cellStyle name="Normal 2 2 2 6 3 3 2" xfId="28710" xr:uid="{00000000-0005-0000-0000-00000A130000}"/>
    <cellStyle name="Normal 2 2 2 6 3 4" xfId="2091" xr:uid="{00000000-0005-0000-0000-00000B130000}"/>
    <cellStyle name="Normal 2 2 2 6 3 4 2" xfId="28711" xr:uid="{00000000-0005-0000-0000-00000C130000}"/>
    <cellStyle name="Normal 2 2 2 6 3 5" xfId="2092" xr:uid="{00000000-0005-0000-0000-00000D130000}"/>
    <cellStyle name="Normal 2 2 2 6 3 5 2" xfId="28712" xr:uid="{00000000-0005-0000-0000-00000E130000}"/>
    <cellStyle name="Normal 2 2 2 6 3 6" xfId="28713" xr:uid="{00000000-0005-0000-0000-00000F130000}"/>
    <cellStyle name="Normal 2 2 2 6 3 6 2" xfId="28714" xr:uid="{00000000-0005-0000-0000-000010130000}"/>
    <cellStyle name="Normal 2 2 2 6 3 7" xfId="28715" xr:uid="{00000000-0005-0000-0000-000011130000}"/>
    <cellStyle name="Normal 2 2 2 6 4" xfId="2093" xr:uid="{00000000-0005-0000-0000-000012130000}"/>
    <cellStyle name="Normal 2 2 2 6 4 2" xfId="2094" xr:uid="{00000000-0005-0000-0000-000013130000}"/>
    <cellStyle name="Normal 2 2 2 6 4 2 2" xfId="28716" xr:uid="{00000000-0005-0000-0000-000014130000}"/>
    <cellStyle name="Normal 2 2 2 6 4 3" xfId="2095" xr:uid="{00000000-0005-0000-0000-000015130000}"/>
    <cellStyle name="Normal 2 2 2 6 4 3 2" xfId="28717" xr:uid="{00000000-0005-0000-0000-000016130000}"/>
    <cellStyle name="Normal 2 2 2 6 4 4" xfId="28718" xr:uid="{00000000-0005-0000-0000-000017130000}"/>
    <cellStyle name="Normal 2 2 2 6 5" xfId="2096" xr:uid="{00000000-0005-0000-0000-000018130000}"/>
    <cellStyle name="Normal 2 2 2 6 5 2" xfId="2097" xr:uid="{00000000-0005-0000-0000-000019130000}"/>
    <cellStyle name="Normal 2 2 2 6 5 2 2" xfId="28719" xr:uid="{00000000-0005-0000-0000-00001A130000}"/>
    <cellStyle name="Normal 2 2 2 6 5 3" xfId="28720" xr:uid="{00000000-0005-0000-0000-00001B130000}"/>
    <cellStyle name="Normal 2 2 2 6 6" xfId="2098" xr:uid="{00000000-0005-0000-0000-00001C130000}"/>
    <cellStyle name="Normal 2 2 2 6 6 2" xfId="28721" xr:uid="{00000000-0005-0000-0000-00001D130000}"/>
    <cellStyle name="Normal 2 2 2 6 7" xfId="2099" xr:uid="{00000000-0005-0000-0000-00001E130000}"/>
    <cellStyle name="Normal 2 2 2 6 7 2" xfId="28722" xr:uid="{00000000-0005-0000-0000-00001F130000}"/>
    <cellStyle name="Normal 2 2 2 6 8" xfId="28723" xr:uid="{00000000-0005-0000-0000-000020130000}"/>
    <cellStyle name="Normal 2 2 2 6 8 2" xfId="28724" xr:uid="{00000000-0005-0000-0000-000021130000}"/>
    <cellStyle name="Normal 2 2 2 6 9" xfId="28725" xr:uid="{00000000-0005-0000-0000-000022130000}"/>
    <cellStyle name="Normal 2 2 2 7" xfId="2100" xr:uid="{00000000-0005-0000-0000-000023130000}"/>
    <cellStyle name="Normal 2 2 2 7 10" xfId="28726" xr:uid="{00000000-0005-0000-0000-000024130000}"/>
    <cellStyle name="Normal 2 2 2 7 11" xfId="28727" xr:uid="{00000000-0005-0000-0000-000025130000}"/>
    <cellStyle name="Normal 2 2 2 7 2" xfId="2101" xr:uid="{00000000-0005-0000-0000-000026130000}"/>
    <cellStyle name="Normal 2 2 2 7 2 10" xfId="28728" xr:uid="{00000000-0005-0000-0000-000027130000}"/>
    <cellStyle name="Normal 2 2 2 7 2 2" xfId="2102" xr:uid="{00000000-0005-0000-0000-000028130000}"/>
    <cellStyle name="Normal 2 2 2 7 2 2 2" xfId="2103" xr:uid="{00000000-0005-0000-0000-000029130000}"/>
    <cellStyle name="Normal 2 2 2 7 2 2 2 2" xfId="2104" xr:uid="{00000000-0005-0000-0000-00002A130000}"/>
    <cellStyle name="Normal 2 2 2 7 2 2 2 2 2" xfId="28729" xr:uid="{00000000-0005-0000-0000-00002B130000}"/>
    <cellStyle name="Normal 2 2 2 7 2 2 2 3" xfId="2105" xr:uid="{00000000-0005-0000-0000-00002C130000}"/>
    <cellStyle name="Normal 2 2 2 7 2 2 2 3 2" xfId="28730" xr:uid="{00000000-0005-0000-0000-00002D130000}"/>
    <cellStyle name="Normal 2 2 2 7 2 2 2 4" xfId="28731" xr:uid="{00000000-0005-0000-0000-00002E130000}"/>
    <cellStyle name="Normal 2 2 2 7 2 2 3" xfId="2106" xr:uid="{00000000-0005-0000-0000-00002F130000}"/>
    <cellStyle name="Normal 2 2 2 7 2 2 3 2" xfId="28732" xr:uid="{00000000-0005-0000-0000-000030130000}"/>
    <cellStyle name="Normal 2 2 2 7 2 2 4" xfId="2107" xr:uid="{00000000-0005-0000-0000-000031130000}"/>
    <cellStyle name="Normal 2 2 2 7 2 2 4 2" xfId="28733" xr:uid="{00000000-0005-0000-0000-000032130000}"/>
    <cellStyle name="Normal 2 2 2 7 2 2 5" xfId="2108" xr:uid="{00000000-0005-0000-0000-000033130000}"/>
    <cellStyle name="Normal 2 2 2 7 2 2 5 2" xfId="28734" xr:uid="{00000000-0005-0000-0000-000034130000}"/>
    <cellStyle name="Normal 2 2 2 7 2 2 6" xfId="28735" xr:uid="{00000000-0005-0000-0000-000035130000}"/>
    <cellStyle name="Normal 2 2 2 7 2 2 6 2" xfId="28736" xr:uid="{00000000-0005-0000-0000-000036130000}"/>
    <cellStyle name="Normal 2 2 2 7 2 2 7" xfId="28737" xr:uid="{00000000-0005-0000-0000-000037130000}"/>
    <cellStyle name="Normal 2 2 2 7 2 3" xfId="2109" xr:uid="{00000000-0005-0000-0000-000038130000}"/>
    <cellStyle name="Normal 2 2 2 7 2 3 2" xfId="2110" xr:uid="{00000000-0005-0000-0000-000039130000}"/>
    <cellStyle name="Normal 2 2 2 7 2 3 2 2" xfId="28738" xr:uid="{00000000-0005-0000-0000-00003A130000}"/>
    <cellStyle name="Normal 2 2 2 7 2 3 3" xfId="2111" xr:uid="{00000000-0005-0000-0000-00003B130000}"/>
    <cellStyle name="Normal 2 2 2 7 2 3 3 2" xfId="28739" xr:uid="{00000000-0005-0000-0000-00003C130000}"/>
    <cellStyle name="Normal 2 2 2 7 2 3 4" xfId="28740" xr:uid="{00000000-0005-0000-0000-00003D130000}"/>
    <cellStyle name="Normal 2 2 2 7 2 4" xfId="2112" xr:uid="{00000000-0005-0000-0000-00003E130000}"/>
    <cellStyle name="Normal 2 2 2 7 2 4 2" xfId="2113" xr:uid="{00000000-0005-0000-0000-00003F130000}"/>
    <cellStyle name="Normal 2 2 2 7 2 4 2 2" xfId="28741" xr:uid="{00000000-0005-0000-0000-000040130000}"/>
    <cellStyle name="Normal 2 2 2 7 2 4 3" xfId="28742" xr:uid="{00000000-0005-0000-0000-000041130000}"/>
    <cellStyle name="Normal 2 2 2 7 2 5" xfId="2114" xr:uid="{00000000-0005-0000-0000-000042130000}"/>
    <cellStyle name="Normal 2 2 2 7 2 5 2" xfId="28743" xr:uid="{00000000-0005-0000-0000-000043130000}"/>
    <cellStyle name="Normal 2 2 2 7 2 6" xfId="2115" xr:uid="{00000000-0005-0000-0000-000044130000}"/>
    <cellStyle name="Normal 2 2 2 7 2 6 2" xfId="28744" xr:uid="{00000000-0005-0000-0000-000045130000}"/>
    <cellStyle name="Normal 2 2 2 7 2 7" xfId="28745" xr:uid="{00000000-0005-0000-0000-000046130000}"/>
    <cellStyle name="Normal 2 2 2 7 2 7 2" xfId="28746" xr:uid="{00000000-0005-0000-0000-000047130000}"/>
    <cellStyle name="Normal 2 2 2 7 2 8" xfId="28747" xr:uid="{00000000-0005-0000-0000-000048130000}"/>
    <cellStyle name="Normal 2 2 2 7 2 9" xfId="28748" xr:uid="{00000000-0005-0000-0000-000049130000}"/>
    <cellStyle name="Normal 2 2 2 7 3" xfId="2116" xr:uid="{00000000-0005-0000-0000-00004A130000}"/>
    <cellStyle name="Normal 2 2 2 7 3 2" xfId="2117" xr:uid="{00000000-0005-0000-0000-00004B130000}"/>
    <cellStyle name="Normal 2 2 2 7 3 2 2" xfId="2118" xr:uid="{00000000-0005-0000-0000-00004C130000}"/>
    <cellStyle name="Normal 2 2 2 7 3 2 2 2" xfId="28749" xr:uid="{00000000-0005-0000-0000-00004D130000}"/>
    <cellStyle name="Normal 2 2 2 7 3 2 3" xfId="2119" xr:uid="{00000000-0005-0000-0000-00004E130000}"/>
    <cellStyle name="Normal 2 2 2 7 3 2 3 2" xfId="28750" xr:uid="{00000000-0005-0000-0000-00004F130000}"/>
    <cellStyle name="Normal 2 2 2 7 3 2 4" xfId="28751" xr:uid="{00000000-0005-0000-0000-000050130000}"/>
    <cellStyle name="Normal 2 2 2 7 3 3" xfId="2120" xr:uid="{00000000-0005-0000-0000-000051130000}"/>
    <cellStyle name="Normal 2 2 2 7 3 3 2" xfId="28752" xr:uid="{00000000-0005-0000-0000-000052130000}"/>
    <cellStyle name="Normal 2 2 2 7 3 4" xfId="2121" xr:uid="{00000000-0005-0000-0000-000053130000}"/>
    <cellStyle name="Normal 2 2 2 7 3 4 2" xfId="28753" xr:uid="{00000000-0005-0000-0000-000054130000}"/>
    <cellStyle name="Normal 2 2 2 7 3 5" xfId="2122" xr:uid="{00000000-0005-0000-0000-000055130000}"/>
    <cellStyle name="Normal 2 2 2 7 3 5 2" xfId="28754" xr:uid="{00000000-0005-0000-0000-000056130000}"/>
    <cellStyle name="Normal 2 2 2 7 3 6" xfId="28755" xr:uid="{00000000-0005-0000-0000-000057130000}"/>
    <cellStyle name="Normal 2 2 2 7 3 6 2" xfId="28756" xr:uid="{00000000-0005-0000-0000-000058130000}"/>
    <cellStyle name="Normal 2 2 2 7 3 7" xfId="28757" xr:uid="{00000000-0005-0000-0000-000059130000}"/>
    <cellStyle name="Normal 2 2 2 7 4" xfId="2123" xr:uid="{00000000-0005-0000-0000-00005A130000}"/>
    <cellStyle name="Normal 2 2 2 7 4 2" xfId="2124" xr:uid="{00000000-0005-0000-0000-00005B130000}"/>
    <cellStyle name="Normal 2 2 2 7 4 2 2" xfId="28758" xr:uid="{00000000-0005-0000-0000-00005C130000}"/>
    <cellStyle name="Normal 2 2 2 7 4 3" xfId="2125" xr:uid="{00000000-0005-0000-0000-00005D130000}"/>
    <cellStyle name="Normal 2 2 2 7 4 3 2" xfId="28759" xr:uid="{00000000-0005-0000-0000-00005E130000}"/>
    <cellStyle name="Normal 2 2 2 7 4 4" xfId="28760" xr:uid="{00000000-0005-0000-0000-00005F130000}"/>
    <cellStyle name="Normal 2 2 2 7 5" xfId="2126" xr:uid="{00000000-0005-0000-0000-000060130000}"/>
    <cellStyle name="Normal 2 2 2 7 5 2" xfId="2127" xr:uid="{00000000-0005-0000-0000-000061130000}"/>
    <cellStyle name="Normal 2 2 2 7 5 2 2" xfId="28761" xr:uid="{00000000-0005-0000-0000-000062130000}"/>
    <cellStyle name="Normal 2 2 2 7 5 3" xfId="28762" xr:uid="{00000000-0005-0000-0000-000063130000}"/>
    <cellStyle name="Normal 2 2 2 7 6" xfId="2128" xr:uid="{00000000-0005-0000-0000-000064130000}"/>
    <cellStyle name="Normal 2 2 2 7 6 2" xfId="28763" xr:uid="{00000000-0005-0000-0000-000065130000}"/>
    <cellStyle name="Normal 2 2 2 7 7" xfId="2129" xr:uid="{00000000-0005-0000-0000-000066130000}"/>
    <cellStyle name="Normal 2 2 2 7 7 2" xfId="28764" xr:uid="{00000000-0005-0000-0000-000067130000}"/>
    <cellStyle name="Normal 2 2 2 7 8" xfId="28765" xr:uid="{00000000-0005-0000-0000-000068130000}"/>
    <cellStyle name="Normal 2 2 2 7 8 2" xfId="28766" xr:uid="{00000000-0005-0000-0000-000069130000}"/>
    <cellStyle name="Normal 2 2 2 7 9" xfId="28767" xr:uid="{00000000-0005-0000-0000-00006A130000}"/>
    <cellStyle name="Normal 2 2 2 8" xfId="2130" xr:uid="{00000000-0005-0000-0000-00006B130000}"/>
    <cellStyle name="Normal 2 2 2 8 10" xfId="28768" xr:uid="{00000000-0005-0000-0000-00006C130000}"/>
    <cellStyle name="Normal 2 2 2 8 11" xfId="28769" xr:uid="{00000000-0005-0000-0000-00006D130000}"/>
    <cellStyle name="Normal 2 2 2 8 2" xfId="2131" xr:uid="{00000000-0005-0000-0000-00006E130000}"/>
    <cellStyle name="Normal 2 2 2 8 2 10" xfId="28770" xr:uid="{00000000-0005-0000-0000-00006F130000}"/>
    <cellStyle name="Normal 2 2 2 8 2 2" xfId="2132" xr:uid="{00000000-0005-0000-0000-000070130000}"/>
    <cellStyle name="Normal 2 2 2 8 2 2 2" xfId="2133" xr:uid="{00000000-0005-0000-0000-000071130000}"/>
    <cellStyle name="Normal 2 2 2 8 2 2 2 2" xfId="2134" xr:uid="{00000000-0005-0000-0000-000072130000}"/>
    <cellStyle name="Normal 2 2 2 8 2 2 2 2 2" xfId="28771" xr:uid="{00000000-0005-0000-0000-000073130000}"/>
    <cellStyle name="Normal 2 2 2 8 2 2 2 3" xfId="2135" xr:uid="{00000000-0005-0000-0000-000074130000}"/>
    <cellStyle name="Normal 2 2 2 8 2 2 2 3 2" xfId="28772" xr:uid="{00000000-0005-0000-0000-000075130000}"/>
    <cellStyle name="Normal 2 2 2 8 2 2 2 4" xfId="28773" xr:uid="{00000000-0005-0000-0000-000076130000}"/>
    <cellStyle name="Normal 2 2 2 8 2 2 3" xfId="2136" xr:uid="{00000000-0005-0000-0000-000077130000}"/>
    <cellStyle name="Normal 2 2 2 8 2 2 3 2" xfId="28774" xr:uid="{00000000-0005-0000-0000-000078130000}"/>
    <cellStyle name="Normal 2 2 2 8 2 2 4" xfId="2137" xr:uid="{00000000-0005-0000-0000-000079130000}"/>
    <cellStyle name="Normal 2 2 2 8 2 2 4 2" xfId="28775" xr:uid="{00000000-0005-0000-0000-00007A130000}"/>
    <cellStyle name="Normal 2 2 2 8 2 2 5" xfId="2138" xr:uid="{00000000-0005-0000-0000-00007B130000}"/>
    <cellStyle name="Normal 2 2 2 8 2 2 5 2" xfId="28776" xr:uid="{00000000-0005-0000-0000-00007C130000}"/>
    <cellStyle name="Normal 2 2 2 8 2 2 6" xfId="28777" xr:uid="{00000000-0005-0000-0000-00007D130000}"/>
    <cellStyle name="Normal 2 2 2 8 2 2 6 2" xfId="28778" xr:uid="{00000000-0005-0000-0000-00007E130000}"/>
    <cellStyle name="Normal 2 2 2 8 2 2 7" xfId="28779" xr:uid="{00000000-0005-0000-0000-00007F130000}"/>
    <cellStyle name="Normal 2 2 2 8 2 3" xfId="2139" xr:uid="{00000000-0005-0000-0000-000080130000}"/>
    <cellStyle name="Normal 2 2 2 8 2 3 2" xfId="2140" xr:uid="{00000000-0005-0000-0000-000081130000}"/>
    <cellStyle name="Normal 2 2 2 8 2 3 2 2" xfId="28780" xr:uid="{00000000-0005-0000-0000-000082130000}"/>
    <cellStyle name="Normal 2 2 2 8 2 3 3" xfId="2141" xr:uid="{00000000-0005-0000-0000-000083130000}"/>
    <cellStyle name="Normal 2 2 2 8 2 3 3 2" xfId="28781" xr:uid="{00000000-0005-0000-0000-000084130000}"/>
    <cellStyle name="Normal 2 2 2 8 2 3 4" xfId="28782" xr:uid="{00000000-0005-0000-0000-000085130000}"/>
    <cellStyle name="Normal 2 2 2 8 2 4" xfId="2142" xr:uid="{00000000-0005-0000-0000-000086130000}"/>
    <cellStyle name="Normal 2 2 2 8 2 4 2" xfId="2143" xr:uid="{00000000-0005-0000-0000-000087130000}"/>
    <cellStyle name="Normal 2 2 2 8 2 4 2 2" xfId="28783" xr:uid="{00000000-0005-0000-0000-000088130000}"/>
    <cellStyle name="Normal 2 2 2 8 2 4 3" xfId="28784" xr:uid="{00000000-0005-0000-0000-000089130000}"/>
    <cellStyle name="Normal 2 2 2 8 2 5" xfId="2144" xr:uid="{00000000-0005-0000-0000-00008A130000}"/>
    <cellStyle name="Normal 2 2 2 8 2 5 2" xfId="28785" xr:uid="{00000000-0005-0000-0000-00008B130000}"/>
    <cellStyle name="Normal 2 2 2 8 2 6" xfId="2145" xr:uid="{00000000-0005-0000-0000-00008C130000}"/>
    <cellStyle name="Normal 2 2 2 8 2 6 2" xfId="28786" xr:uid="{00000000-0005-0000-0000-00008D130000}"/>
    <cellStyle name="Normal 2 2 2 8 2 7" xfId="28787" xr:uid="{00000000-0005-0000-0000-00008E130000}"/>
    <cellStyle name="Normal 2 2 2 8 2 7 2" xfId="28788" xr:uid="{00000000-0005-0000-0000-00008F130000}"/>
    <cellStyle name="Normal 2 2 2 8 2 8" xfId="28789" xr:uid="{00000000-0005-0000-0000-000090130000}"/>
    <cellStyle name="Normal 2 2 2 8 2 9" xfId="28790" xr:uid="{00000000-0005-0000-0000-000091130000}"/>
    <cellStyle name="Normal 2 2 2 8 3" xfId="2146" xr:uid="{00000000-0005-0000-0000-000092130000}"/>
    <cellStyle name="Normal 2 2 2 8 3 2" xfId="2147" xr:uid="{00000000-0005-0000-0000-000093130000}"/>
    <cellStyle name="Normal 2 2 2 8 3 2 2" xfId="2148" xr:uid="{00000000-0005-0000-0000-000094130000}"/>
    <cellStyle name="Normal 2 2 2 8 3 2 2 2" xfId="28791" xr:uid="{00000000-0005-0000-0000-000095130000}"/>
    <cellStyle name="Normal 2 2 2 8 3 2 3" xfId="2149" xr:uid="{00000000-0005-0000-0000-000096130000}"/>
    <cellStyle name="Normal 2 2 2 8 3 2 3 2" xfId="28792" xr:uid="{00000000-0005-0000-0000-000097130000}"/>
    <cellStyle name="Normal 2 2 2 8 3 2 4" xfId="28793" xr:uid="{00000000-0005-0000-0000-000098130000}"/>
    <cellStyle name="Normal 2 2 2 8 3 3" xfId="2150" xr:uid="{00000000-0005-0000-0000-000099130000}"/>
    <cellStyle name="Normal 2 2 2 8 3 3 2" xfId="28794" xr:uid="{00000000-0005-0000-0000-00009A130000}"/>
    <cellStyle name="Normal 2 2 2 8 3 4" xfId="2151" xr:uid="{00000000-0005-0000-0000-00009B130000}"/>
    <cellStyle name="Normal 2 2 2 8 3 4 2" xfId="28795" xr:uid="{00000000-0005-0000-0000-00009C130000}"/>
    <cellStyle name="Normal 2 2 2 8 3 5" xfId="2152" xr:uid="{00000000-0005-0000-0000-00009D130000}"/>
    <cellStyle name="Normal 2 2 2 8 3 5 2" xfId="28796" xr:uid="{00000000-0005-0000-0000-00009E130000}"/>
    <cellStyle name="Normal 2 2 2 8 3 6" xfId="28797" xr:uid="{00000000-0005-0000-0000-00009F130000}"/>
    <cellStyle name="Normal 2 2 2 8 3 6 2" xfId="28798" xr:uid="{00000000-0005-0000-0000-0000A0130000}"/>
    <cellStyle name="Normal 2 2 2 8 3 7" xfId="28799" xr:uid="{00000000-0005-0000-0000-0000A1130000}"/>
    <cellStyle name="Normal 2 2 2 8 4" xfId="2153" xr:uid="{00000000-0005-0000-0000-0000A2130000}"/>
    <cellStyle name="Normal 2 2 2 8 4 2" xfId="2154" xr:uid="{00000000-0005-0000-0000-0000A3130000}"/>
    <cellStyle name="Normal 2 2 2 8 4 2 2" xfId="28800" xr:uid="{00000000-0005-0000-0000-0000A4130000}"/>
    <cellStyle name="Normal 2 2 2 8 4 3" xfId="2155" xr:uid="{00000000-0005-0000-0000-0000A5130000}"/>
    <cellStyle name="Normal 2 2 2 8 4 3 2" xfId="28801" xr:uid="{00000000-0005-0000-0000-0000A6130000}"/>
    <cellStyle name="Normal 2 2 2 8 4 4" xfId="28802" xr:uid="{00000000-0005-0000-0000-0000A7130000}"/>
    <cellStyle name="Normal 2 2 2 8 5" xfId="2156" xr:uid="{00000000-0005-0000-0000-0000A8130000}"/>
    <cellStyle name="Normal 2 2 2 8 5 2" xfId="2157" xr:uid="{00000000-0005-0000-0000-0000A9130000}"/>
    <cellStyle name="Normal 2 2 2 8 5 2 2" xfId="28803" xr:uid="{00000000-0005-0000-0000-0000AA130000}"/>
    <cellStyle name="Normal 2 2 2 8 5 3" xfId="28804" xr:uid="{00000000-0005-0000-0000-0000AB130000}"/>
    <cellStyle name="Normal 2 2 2 8 6" xfId="2158" xr:uid="{00000000-0005-0000-0000-0000AC130000}"/>
    <cellStyle name="Normal 2 2 2 8 6 2" xfId="28805" xr:uid="{00000000-0005-0000-0000-0000AD130000}"/>
    <cellStyle name="Normal 2 2 2 8 7" xfId="2159" xr:uid="{00000000-0005-0000-0000-0000AE130000}"/>
    <cellStyle name="Normal 2 2 2 8 7 2" xfId="28806" xr:uid="{00000000-0005-0000-0000-0000AF130000}"/>
    <cellStyle name="Normal 2 2 2 8 8" xfId="28807" xr:uid="{00000000-0005-0000-0000-0000B0130000}"/>
    <cellStyle name="Normal 2 2 2 8 8 2" xfId="28808" xr:uid="{00000000-0005-0000-0000-0000B1130000}"/>
    <cellStyle name="Normal 2 2 2 8 9" xfId="28809" xr:uid="{00000000-0005-0000-0000-0000B2130000}"/>
    <cellStyle name="Normal 2 2 2 9" xfId="2160" xr:uid="{00000000-0005-0000-0000-0000B3130000}"/>
    <cellStyle name="Normal 2 2 2 9 10" xfId="28810" xr:uid="{00000000-0005-0000-0000-0000B4130000}"/>
    <cellStyle name="Normal 2 2 2 9 11" xfId="28811" xr:uid="{00000000-0005-0000-0000-0000B5130000}"/>
    <cellStyle name="Normal 2 2 2 9 2" xfId="2161" xr:uid="{00000000-0005-0000-0000-0000B6130000}"/>
    <cellStyle name="Normal 2 2 2 9 2 10" xfId="28812" xr:uid="{00000000-0005-0000-0000-0000B7130000}"/>
    <cellStyle name="Normal 2 2 2 9 2 2" xfId="2162" xr:uid="{00000000-0005-0000-0000-0000B8130000}"/>
    <cellStyle name="Normal 2 2 2 9 2 2 2" xfId="2163" xr:uid="{00000000-0005-0000-0000-0000B9130000}"/>
    <cellStyle name="Normal 2 2 2 9 2 2 2 2" xfId="2164" xr:uid="{00000000-0005-0000-0000-0000BA130000}"/>
    <cellStyle name="Normal 2 2 2 9 2 2 2 2 2" xfId="28813" xr:uid="{00000000-0005-0000-0000-0000BB130000}"/>
    <cellStyle name="Normal 2 2 2 9 2 2 2 3" xfId="2165" xr:uid="{00000000-0005-0000-0000-0000BC130000}"/>
    <cellStyle name="Normal 2 2 2 9 2 2 2 3 2" xfId="28814" xr:uid="{00000000-0005-0000-0000-0000BD130000}"/>
    <cellStyle name="Normal 2 2 2 9 2 2 2 4" xfId="28815" xr:uid="{00000000-0005-0000-0000-0000BE130000}"/>
    <cellStyle name="Normal 2 2 2 9 2 2 3" xfId="2166" xr:uid="{00000000-0005-0000-0000-0000BF130000}"/>
    <cellStyle name="Normal 2 2 2 9 2 2 3 2" xfId="28816" xr:uid="{00000000-0005-0000-0000-0000C0130000}"/>
    <cellStyle name="Normal 2 2 2 9 2 2 4" xfId="2167" xr:uid="{00000000-0005-0000-0000-0000C1130000}"/>
    <cellStyle name="Normal 2 2 2 9 2 2 4 2" xfId="28817" xr:uid="{00000000-0005-0000-0000-0000C2130000}"/>
    <cellStyle name="Normal 2 2 2 9 2 2 5" xfId="2168" xr:uid="{00000000-0005-0000-0000-0000C3130000}"/>
    <cellStyle name="Normal 2 2 2 9 2 2 5 2" xfId="28818" xr:uid="{00000000-0005-0000-0000-0000C4130000}"/>
    <cellStyle name="Normal 2 2 2 9 2 2 6" xfId="28819" xr:uid="{00000000-0005-0000-0000-0000C5130000}"/>
    <cellStyle name="Normal 2 2 2 9 2 2 6 2" xfId="28820" xr:uid="{00000000-0005-0000-0000-0000C6130000}"/>
    <cellStyle name="Normal 2 2 2 9 2 2 7" xfId="28821" xr:uid="{00000000-0005-0000-0000-0000C7130000}"/>
    <cellStyle name="Normal 2 2 2 9 2 3" xfId="2169" xr:uid="{00000000-0005-0000-0000-0000C8130000}"/>
    <cellStyle name="Normal 2 2 2 9 2 3 2" xfId="2170" xr:uid="{00000000-0005-0000-0000-0000C9130000}"/>
    <cellStyle name="Normal 2 2 2 9 2 3 2 2" xfId="28822" xr:uid="{00000000-0005-0000-0000-0000CA130000}"/>
    <cellStyle name="Normal 2 2 2 9 2 3 3" xfId="2171" xr:uid="{00000000-0005-0000-0000-0000CB130000}"/>
    <cellStyle name="Normal 2 2 2 9 2 3 3 2" xfId="28823" xr:uid="{00000000-0005-0000-0000-0000CC130000}"/>
    <cellStyle name="Normal 2 2 2 9 2 3 4" xfId="28824" xr:uid="{00000000-0005-0000-0000-0000CD130000}"/>
    <cellStyle name="Normal 2 2 2 9 2 4" xfId="2172" xr:uid="{00000000-0005-0000-0000-0000CE130000}"/>
    <cellStyle name="Normal 2 2 2 9 2 4 2" xfId="2173" xr:uid="{00000000-0005-0000-0000-0000CF130000}"/>
    <cellStyle name="Normal 2 2 2 9 2 4 2 2" xfId="28825" xr:uid="{00000000-0005-0000-0000-0000D0130000}"/>
    <cellStyle name="Normal 2 2 2 9 2 4 3" xfId="28826" xr:uid="{00000000-0005-0000-0000-0000D1130000}"/>
    <cellStyle name="Normal 2 2 2 9 2 5" xfId="2174" xr:uid="{00000000-0005-0000-0000-0000D2130000}"/>
    <cellStyle name="Normal 2 2 2 9 2 5 2" xfId="28827" xr:uid="{00000000-0005-0000-0000-0000D3130000}"/>
    <cellStyle name="Normal 2 2 2 9 2 6" xfId="2175" xr:uid="{00000000-0005-0000-0000-0000D4130000}"/>
    <cellStyle name="Normal 2 2 2 9 2 6 2" xfId="28828" xr:uid="{00000000-0005-0000-0000-0000D5130000}"/>
    <cellStyle name="Normal 2 2 2 9 2 7" xfId="28829" xr:uid="{00000000-0005-0000-0000-0000D6130000}"/>
    <cellStyle name="Normal 2 2 2 9 2 7 2" xfId="28830" xr:uid="{00000000-0005-0000-0000-0000D7130000}"/>
    <cellStyle name="Normal 2 2 2 9 2 8" xfId="28831" xr:uid="{00000000-0005-0000-0000-0000D8130000}"/>
    <cellStyle name="Normal 2 2 2 9 2 9" xfId="28832" xr:uid="{00000000-0005-0000-0000-0000D9130000}"/>
    <cellStyle name="Normal 2 2 2 9 3" xfId="2176" xr:uid="{00000000-0005-0000-0000-0000DA130000}"/>
    <cellStyle name="Normal 2 2 2 9 3 2" xfId="2177" xr:uid="{00000000-0005-0000-0000-0000DB130000}"/>
    <cellStyle name="Normal 2 2 2 9 3 2 2" xfId="2178" xr:uid="{00000000-0005-0000-0000-0000DC130000}"/>
    <cellStyle name="Normal 2 2 2 9 3 2 2 2" xfId="28833" xr:uid="{00000000-0005-0000-0000-0000DD130000}"/>
    <cellStyle name="Normal 2 2 2 9 3 2 3" xfId="2179" xr:uid="{00000000-0005-0000-0000-0000DE130000}"/>
    <cellStyle name="Normal 2 2 2 9 3 2 3 2" xfId="28834" xr:uid="{00000000-0005-0000-0000-0000DF130000}"/>
    <cellStyle name="Normal 2 2 2 9 3 2 4" xfId="28835" xr:uid="{00000000-0005-0000-0000-0000E0130000}"/>
    <cellStyle name="Normal 2 2 2 9 3 3" xfId="2180" xr:uid="{00000000-0005-0000-0000-0000E1130000}"/>
    <cellStyle name="Normal 2 2 2 9 3 3 2" xfId="28836" xr:uid="{00000000-0005-0000-0000-0000E2130000}"/>
    <cellStyle name="Normal 2 2 2 9 3 4" xfId="2181" xr:uid="{00000000-0005-0000-0000-0000E3130000}"/>
    <cellStyle name="Normal 2 2 2 9 3 4 2" xfId="28837" xr:uid="{00000000-0005-0000-0000-0000E4130000}"/>
    <cellStyle name="Normal 2 2 2 9 3 5" xfId="2182" xr:uid="{00000000-0005-0000-0000-0000E5130000}"/>
    <cellStyle name="Normal 2 2 2 9 3 5 2" xfId="28838" xr:uid="{00000000-0005-0000-0000-0000E6130000}"/>
    <cellStyle name="Normal 2 2 2 9 3 6" xfId="28839" xr:uid="{00000000-0005-0000-0000-0000E7130000}"/>
    <cellStyle name="Normal 2 2 2 9 3 6 2" xfId="28840" xr:uid="{00000000-0005-0000-0000-0000E8130000}"/>
    <cellStyle name="Normal 2 2 2 9 3 7" xfId="28841" xr:uid="{00000000-0005-0000-0000-0000E9130000}"/>
    <cellStyle name="Normal 2 2 2 9 4" xfId="2183" xr:uid="{00000000-0005-0000-0000-0000EA130000}"/>
    <cellStyle name="Normal 2 2 2 9 4 2" xfId="2184" xr:uid="{00000000-0005-0000-0000-0000EB130000}"/>
    <cellStyle name="Normal 2 2 2 9 4 2 2" xfId="28842" xr:uid="{00000000-0005-0000-0000-0000EC130000}"/>
    <cellStyle name="Normal 2 2 2 9 4 3" xfId="2185" xr:uid="{00000000-0005-0000-0000-0000ED130000}"/>
    <cellStyle name="Normal 2 2 2 9 4 3 2" xfId="28843" xr:uid="{00000000-0005-0000-0000-0000EE130000}"/>
    <cellStyle name="Normal 2 2 2 9 4 4" xfId="28844" xr:uid="{00000000-0005-0000-0000-0000EF130000}"/>
    <cellStyle name="Normal 2 2 2 9 5" xfId="2186" xr:uid="{00000000-0005-0000-0000-0000F0130000}"/>
    <cellStyle name="Normal 2 2 2 9 5 2" xfId="2187" xr:uid="{00000000-0005-0000-0000-0000F1130000}"/>
    <cellStyle name="Normal 2 2 2 9 5 2 2" xfId="28845" xr:uid="{00000000-0005-0000-0000-0000F2130000}"/>
    <cellStyle name="Normal 2 2 2 9 5 3" xfId="28846" xr:uid="{00000000-0005-0000-0000-0000F3130000}"/>
    <cellStyle name="Normal 2 2 2 9 6" xfId="2188" xr:uid="{00000000-0005-0000-0000-0000F4130000}"/>
    <cellStyle name="Normal 2 2 2 9 6 2" xfId="28847" xr:uid="{00000000-0005-0000-0000-0000F5130000}"/>
    <cellStyle name="Normal 2 2 2 9 7" xfId="2189" xr:uid="{00000000-0005-0000-0000-0000F6130000}"/>
    <cellStyle name="Normal 2 2 2 9 7 2" xfId="28848" xr:uid="{00000000-0005-0000-0000-0000F7130000}"/>
    <cellStyle name="Normal 2 2 2 9 8" xfId="28849" xr:uid="{00000000-0005-0000-0000-0000F8130000}"/>
    <cellStyle name="Normal 2 2 2 9 8 2" xfId="28850" xr:uid="{00000000-0005-0000-0000-0000F9130000}"/>
    <cellStyle name="Normal 2 2 2 9 9" xfId="28851" xr:uid="{00000000-0005-0000-0000-0000FA130000}"/>
    <cellStyle name="Normal 2 2 20" xfId="2190" xr:uid="{00000000-0005-0000-0000-0000FB130000}"/>
    <cellStyle name="Normal 2 2 20 10" xfId="28852" xr:uid="{00000000-0005-0000-0000-0000FC130000}"/>
    <cellStyle name="Normal 2 2 20 11" xfId="28853" xr:uid="{00000000-0005-0000-0000-0000FD130000}"/>
    <cellStyle name="Normal 2 2 20 2" xfId="2191" xr:uid="{00000000-0005-0000-0000-0000FE130000}"/>
    <cellStyle name="Normal 2 2 20 2 10" xfId="28854" xr:uid="{00000000-0005-0000-0000-0000FF130000}"/>
    <cellStyle name="Normal 2 2 20 2 2" xfId="2192" xr:uid="{00000000-0005-0000-0000-000000140000}"/>
    <cellStyle name="Normal 2 2 20 2 2 2" xfId="2193" xr:uid="{00000000-0005-0000-0000-000001140000}"/>
    <cellStyle name="Normal 2 2 20 2 2 2 2" xfId="2194" xr:uid="{00000000-0005-0000-0000-000002140000}"/>
    <cellStyle name="Normal 2 2 20 2 2 2 2 2" xfId="28855" xr:uid="{00000000-0005-0000-0000-000003140000}"/>
    <cellStyle name="Normal 2 2 20 2 2 2 3" xfId="2195" xr:uid="{00000000-0005-0000-0000-000004140000}"/>
    <cellStyle name="Normal 2 2 20 2 2 2 3 2" xfId="28856" xr:uid="{00000000-0005-0000-0000-000005140000}"/>
    <cellStyle name="Normal 2 2 20 2 2 2 4" xfId="28857" xr:uid="{00000000-0005-0000-0000-000006140000}"/>
    <cellStyle name="Normal 2 2 20 2 2 3" xfId="2196" xr:uid="{00000000-0005-0000-0000-000007140000}"/>
    <cellStyle name="Normal 2 2 20 2 2 3 2" xfId="28858" xr:uid="{00000000-0005-0000-0000-000008140000}"/>
    <cellStyle name="Normal 2 2 20 2 2 4" xfId="2197" xr:uid="{00000000-0005-0000-0000-000009140000}"/>
    <cellStyle name="Normal 2 2 20 2 2 4 2" xfId="28859" xr:uid="{00000000-0005-0000-0000-00000A140000}"/>
    <cellStyle name="Normal 2 2 20 2 2 5" xfId="2198" xr:uid="{00000000-0005-0000-0000-00000B140000}"/>
    <cellStyle name="Normal 2 2 20 2 2 5 2" xfId="28860" xr:uid="{00000000-0005-0000-0000-00000C140000}"/>
    <cellStyle name="Normal 2 2 20 2 2 6" xfId="28861" xr:uid="{00000000-0005-0000-0000-00000D140000}"/>
    <cellStyle name="Normal 2 2 20 2 2 6 2" xfId="28862" xr:uid="{00000000-0005-0000-0000-00000E140000}"/>
    <cellStyle name="Normal 2 2 20 2 2 7" xfId="28863" xr:uid="{00000000-0005-0000-0000-00000F140000}"/>
    <cellStyle name="Normal 2 2 20 2 3" xfId="2199" xr:uid="{00000000-0005-0000-0000-000010140000}"/>
    <cellStyle name="Normal 2 2 20 2 3 2" xfId="2200" xr:uid="{00000000-0005-0000-0000-000011140000}"/>
    <cellStyle name="Normal 2 2 20 2 3 2 2" xfId="28864" xr:uid="{00000000-0005-0000-0000-000012140000}"/>
    <cellStyle name="Normal 2 2 20 2 3 3" xfId="2201" xr:uid="{00000000-0005-0000-0000-000013140000}"/>
    <cellStyle name="Normal 2 2 20 2 3 3 2" xfId="28865" xr:uid="{00000000-0005-0000-0000-000014140000}"/>
    <cellStyle name="Normal 2 2 20 2 3 4" xfId="28866" xr:uid="{00000000-0005-0000-0000-000015140000}"/>
    <cellStyle name="Normal 2 2 20 2 4" xfId="2202" xr:uid="{00000000-0005-0000-0000-000016140000}"/>
    <cellStyle name="Normal 2 2 20 2 4 2" xfId="2203" xr:uid="{00000000-0005-0000-0000-000017140000}"/>
    <cellStyle name="Normal 2 2 20 2 4 2 2" xfId="28867" xr:uid="{00000000-0005-0000-0000-000018140000}"/>
    <cellStyle name="Normal 2 2 20 2 4 3" xfId="28868" xr:uid="{00000000-0005-0000-0000-000019140000}"/>
    <cellStyle name="Normal 2 2 20 2 5" xfId="2204" xr:uid="{00000000-0005-0000-0000-00001A140000}"/>
    <cellStyle name="Normal 2 2 20 2 5 2" xfId="28869" xr:uid="{00000000-0005-0000-0000-00001B140000}"/>
    <cellStyle name="Normal 2 2 20 2 6" xfId="2205" xr:uid="{00000000-0005-0000-0000-00001C140000}"/>
    <cellStyle name="Normal 2 2 20 2 6 2" xfId="28870" xr:uid="{00000000-0005-0000-0000-00001D140000}"/>
    <cellStyle name="Normal 2 2 20 2 7" xfId="28871" xr:uid="{00000000-0005-0000-0000-00001E140000}"/>
    <cellStyle name="Normal 2 2 20 2 7 2" xfId="28872" xr:uid="{00000000-0005-0000-0000-00001F140000}"/>
    <cellStyle name="Normal 2 2 20 2 8" xfId="28873" xr:uid="{00000000-0005-0000-0000-000020140000}"/>
    <cellStyle name="Normal 2 2 20 2 9" xfId="28874" xr:uid="{00000000-0005-0000-0000-000021140000}"/>
    <cellStyle name="Normal 2 2 20 3" xfId="2206" xr:uid="{00000000-0005-0000-0000-000022140000}"/>
    <cellStyle name="Normal 2 2 20 3 2" xfId="2207" xr:uid="{00000000-0005-0000-0000-000023140000}"/>
    <cellStyle name="Normal 2 2 20 3 2 2" xfId="2208" xr:uid="{00000000-0005-0000-0000-000024140000}"/>
    <cellStyle name="Normal 2 2 20 3 2 2 2" xfId="28875" xr:uid="{00000000-0005-0000-0000-000025140000}"/>
    <cellStyle name="Normal 2 2 20 3 2 3" xfId="2209" xr:uid="{00000000-0005-0000-0000-000026140000}"/>
    <cellStyle name="Normal 2 2 20 3 2 3 2" xfId="28876" xr:uid="{00000000-0005-0000-0000-000027140000}"/>
    <cellStyle name="Normal 2 2 20 3 2 4" xfId="28877" xr:uid="{00000000-0005-0000-0000-000028140000}"/>
    <cellStyle name="Normal 2 2 20 3 3" xfId="2210" xr:uid="{00000000-0005-0000-0000-000029140000}"/>
    <cellStyle name="Normal 2 2 20 3 3 2" xfId="28878" xr:uid="{00000000-0005-0000-0000-00002A140000}"/>
    <cellStyle name="Normal 2 2 20 3 4" xfId="2211" xr:uid="{00000000-0005-0000-0000-00002B140000}"/>
    <cellStyle name="Normal 2 2 20 3 4 2" xfId="28879" xr:uid="{00000000-0005-0000-0000-00002C140000}"/>
    <cellStyle name="Normal 2 2 20 3 5" xfId="2212" xr:uid="{00000000-0005-0000-0000-00002D140000}"/>
    <cellStyle name="Normal 2 2 20 3 5 2" xfId="28880" xr:uid="{00000000-0005-0000-0000-00002E140000}"/>
    <cellStyle name="Normal 2 2 20 3 6" xfId="28881" xr:uid="{00000000-0005-0000-0000-00002F140000}"/>
    <cellStyle name="Normal 2 2 20 3 6 2" xfId="28882" xr:uid="{00000000-0005-0000-0000-000030140000}"/>
    <cellStyle name="Normal 2 2 20 3 7" xfId="28883" xr:uid="{00000000-0005-0000-0000-000031140000}"/>
    <cellStyle name="Normal 2 2 20 4" xfId="2213" xr:uid="{00000000-0005-0000-0000-000032140000}"/>
    <cellStyle name="Normal 2 2 20 4 2" xfId="2214" xr:uid="{00000000-0005-0000-0000-000033140000}"/>
    <cellStyle name="Normal 2 2 20 4 2 2" xfId="28884" xr:uid="{00000000-0005-0000-0000-000034140000}"/>
    <cellStyle name="Normal 2 2 20 4 3" xfId="2215" xr:uid="{00000000-0005-0000-0000-000035140000}"/>
    <cellStyle name="Normal 2 2 20 4 3 2" xfId="28885" xr:uid="{00000000-0005-0000-0000-000036140000}"/>
    <cellStyle name="Normal 2 2 20 4 4" xfId="28886" xr:uid="{00000000-0005-0000-0000-000037140000}"/>
    <cellStyle name="Normal 2 2 20 5" xfId="2216" xr:uid="{00000000-0005-0000-0000-000038140000}"/>
    <cellStyle name="Normal 2 2 20 5 2" xfId="2217" xr:uid="{00000000-0005-0000-0000-000039140000}"/>
    <cellStyle name="Normal 2 2 20 5 2 2" xfId="28887" xr:uid="{00000000-0005-0000-0000-00003A140000}"/>
    <cellStyle name="Normal 2 2 20 5 3" xfId="28888" xr:uid="{00000000-0005-0000-0000-00003B140000}"/>
    <cellStyle name="Normal 2 2 20 6" xfId="2218" xr:uid="{00000000-0005-0000-0000-00003C140000}"/>
    <cellStyle name="Normal 2 2 20 6 2" xfId="28889" xr:uid="{00000000-0005-0000-0000-00003D140000}"/>
    <cellStyle name="Normal 2 2 20 7" xfId="2219" xr:uid="{00000000-0005-0000-0000-00003E140000}"/>
    <cellStyle name="Normal 2 2 20 7 2" xfId="28890" xr:uid="{00000000-0005-0000-0000-00003F140000}"/>
    <cellStyle name="Normal 2 2 20 8" xfId="28891" xr:uid="{00000000-0005-0000-0000-000040140000}"/>
    <cellStyle name="Normal 2 2 20 8 2" xfId="28892" xr:uid="{00000000-0005-0000-0000-000041140000}"/>
    <cellStyle name="Normal 2 2 20 9" xfId="28893" xr:uid="{00000000-0005-0000-0000-000042140000}"/>
    <cellStyle name="Normal 2 2 21" xfId="2220" xr:uid="{00000000-0005-0000-0000-000043140000}"/>
    <cellStyle name="Normal 2 2 21 10" xfId="28894" xr:uid="{00000000-0005-0000-0000-000044140000}"/>
    <cellStyle name="Normal 2 2 21 11" xfId="28895" xr:uid="{00000000-0005-0000-0000-000045140000}"/>
    <cellStyle name="Normal 2 2 21 2" xfId="2221" xr:uid="{00000000-0005-0000-0000-000046140000}"/>
    <cellStyle name="Normal 2 2 21 2 10" xfId="28896" xr:uid="{00000000-0005-0000-0000-000047140000}"/>
    <cellStyle name="Normal 2 2 21 2 2" xfId="2222" xr:uid="{00000000-0005-0000-0000-000048140000}"/>
    <cellStyle name="Normal 2 2 21 2 2 2" xfId="2223" xr:uid="{00000000-0005-0000-0000-000049140000}"/>
    <cellStyle name="Normal 2 2 21 2 2 2 2" xfId="2224" xr:uid="{00000000-0005-0000-0000-00004A140000}"/>
    <cellStyle name="Normal 2 2 21 2 2 2 2 2" xfId="28897" xr:uid="{00000000-0005-0000-0000-00004B140000}"/>
    <cellStyle name="Normal 2 2 21 2 2 2 3" xfId="2225" xr:uid="{00000000-0005-0000-0000-00004C140000}"/>
    <cellStyle name="Normal 2 2 21 2 2 2 3 2" xfId="28898" xr:uid="{00000000-0005-0000-0000-00004D140000}"/>
    <cellStyle name="Normal 2 2 21 2 2 2 4" xfId="28899" xr:uid="{00000000-0005-0000-0000-00004E140000}"/>
    <cellStyle name="Normal 2 2 21 2 2 3" xfId="2226" xr:uid="{00000000-0005-0000-0000-00004F140000}"/>
    <cellStyle name="Normal 2 2 21 2 2 3 2" xfId="28900" xr:uid="{00000000-0005-0000-0000-000050140000}"/>
    <cellStyle name="Normal 2 2 21 2 2 4" xfId="2227" xr:uid="{00000000-0005-0000-0000-000051140000}"/>
    <cellStyle name="Normal 2 2 21 2 2 4 2" xfId="28901" xr:uid="{00000000-0005-0000-0000-000052140000}"/>
    <cellStyle name="Normal 2 2 21 2 2 5" xfId="2228" xr:uid="{00000000-0005-0000-0000-000053140000}"/>
    <cellStyle name="Normal 2 2 21 2 2 5 2" xfId="28902" xr:uid="{00000000-0005-0000-0000-000054140000}"/>
    <cellStyle name="Normal 2 2 21 2 2 6" xfId="28903" xr:uid="{00000000-0005-0000-0000-000055140000}"/>
    <cellStyle name="Normal 2 2 21 2 2 6 2" xfId="28904" xr:uid="{00000000-0005-0000-0000-000056140000}"/>
    <cellStyle name="Normal 2 2 21 2 2 7" xfId="28905" xr:uid="{00000000-0005-0000-0000-000057140000}"/>
    <cellStyle name="Normal 2 2 21 2 3" xfId="2229" xr:uid="{00000000-0005-0000-0000-000058140000}"/>
    <cellStyle name="Normal 2 2 21 2 3 2" xfId="2230" xr:uid="{00000000-0005-0000-0000-000059140000}"/>
    <cellStyle name="Normal 2 2 21 2 3 2 2" xfId="28906" xr:uid="{00000000-0005-0000-0000-00005A140000}"/>
    <cellStyle name="Normal 2 2 21 2 3 3" xfId="2231" xr:uid="{00000000-0005-0000-0000-00005B140000}"/>
    <cellStyle name="Normal 2 2 21 2 3 3 2" xfId="28907" xr:uid="{00000000-0005-0000-0000-00005C140000}"/>
    <cellStyle name="Normal 2 2 21 2 3 4" xfId="28908" xr:uid="{00000000-0005-0000-0000-00005D140000}"/>
    <cellStyle name="Normal 2 2 21 2 4" xfId="2232" xr:uid="{00000000-0005-0000-0000-00005E140000}"/>
    <cellStyle name="Normal 2 2 21 2 4 2" xfId="2233" xr:uid="{00000000-0005-0000-0000-00005F140000}"/>
    <cellStyle name="Normal 2 2 21 2 4 2 2" xfId="28909" xr:uid="{00000000-0005-0000-0000-000060140000}"/>
    <cellStyle name="Normal 2 2 21 2 4 3" xfId="28910" xr:uid="{00000000-0005-0000-0000-000061140000}"/>
    <cellStyle name="Normal 2 2 21 2 5" xfId="2234" xr:uid="{00000000-0005-0000-0000-000062140000}"/>
    <cellStyle name="Normal 2 2 21 2 5 2" xfId="28911" xr:uid="{00000000-0005-0000-0000-000063140000}"/>
    <cellStyle name="Normal 2 2 21 2 6" xfId="2235" xr:uid="{00000000-0005-0000-0000-000064140000}"/>
    <cellStyle name="Normal 2 2 21 2 6 2" xfId="28912" xr:uid="{00000000-0005-0000-0000-000065140000}"/>
    <cellStyle name="Normal 2 2 21 2 7" xfId="28913" xr:uid="{00000000-0005-0000-0000-000066140000}"/>
    <cellStyle name="Normal 2 2 21 2 7 2" xfId="28914" xr:uid="{00000000-0005-0000-0000-000067140000}"/>
    <cellStyle name="Normal 2 2 21 2 8" xfId="28915" xr:uid="{00000000-0005-0000-0000-000068140000}"/>
    <cellStyle name="Normal 2 2 21 2 9" xfId="28916" xr:uid="{00000000-0005-0000-0000-000069140000}"/>
    <cellStyle name="Normal 2 2 21 3" xfId="2236" xr:uid="{00000000-0005-0000-0000-00006A140000}"/>
    <cellStyle name="Normal 2 2 21 3 2" xfId="2237" xr:uid="{00000000-0005-0000-0000-00006B140000}"/>
    <cellStyle name="Normal 2 2 21 3 2 2" xfId="2238" xr:uid="{00000000-0005-0000-0000-00006C140000}"/>
    <cellStyle name="Normal 2 2 21 3 2 2 2" xfId="28917" xr:uid="{00000000-0005-0000-0000-00006D140000}"/>
    <cellStyle name="Normal 2 2 21 3 2 3" xfId="2239" xr:uid="{00000000-0005-0000-0000-00006E140000}"/>
    <cellStyle name="Normal 2 2 21 3 2 3 2" xfId="28918" xr:uid="{00000000-0005-0000-0000-00006F140000}"/>
    <cellStyle name="Normal 2 2 21 3 2 4" xfId="28919" xr:uid="{00000000-0005-0000-0000-000070140000}"/>
    <cellStyle name="Normal 2 2 21 3 3" xfId="2240" xr:uid="{00000000-0005-0000-0000-000071140000}"/>
    <cellStyle name="Normal 2 2 21 3 3 2" xfId="28920" xr:uid="{00000000-0005-0000-0000-000072140000}"/>
    <cellStyle name="Normal 2 2 21 3 4" xfId="2241" xr:uid="{00000000-0005-0000-0000-000073140000}"/>
    <cellStyle name="Normal 2 2 21 3 4 2" xfId="28921" xr:uid="{00000000-0005-0000-0000-000074140000}"/>
    <cellStyle name="Normal 2 2 21 3 5" xfId="2242" xr:uid="{00000000-0005-0000-0000-000075140000}"/>
    <cellStyle name="Normal 2 2 21 3 5 2" xfId="28922" xr:uid="{00000000-0005-0000-0000-000076140000}"/>
    <cellStyle name="Normal 2 2 21 3 6" xfId="28923" xr:uid="{00000000-0005-0000-0000-000077140000}"/>
    <cellStyle name="Normal 2 2 21 3 6 2" xfId="28924" xr:uid="{00000000-0005-0000-0000-000078140000}"/>
    <cellStyle name="Normal 2 2 21 3 7" xfId="28925" xr:uid="{00000000-0005-0000-0000-000079140000}"/>
    <cellStyle name="Normal 2 2 21 4" xfId="2243" xr:uid="{00000000-0005-0000-0000-00007A140000}"/>
    <cellStyle name="Normal 2 2 21 4 2" xfId="2244" xr:uid="{00000000-0005-0000-0000-00007B140000}"/>
    <cellStyle name="Normal 2 2 21 4 2 2" xfId="28926" xr:uid="{00000000-0005-0000-0000-00007C140000}"/>
    <cellStyle name="Normal 2 2 21 4 3" xfId="2245" xr:uid="{00000000-0005-0000-0000-00007D140000}"/>
    <cellStyle name="Normal 2 2 21 4 3 2" xfId="28927" xr:uid="{00000000-0005-0000-0000-00007E140000}"/>
    <cellStyle name="Normal 2 2 21 4 4" xfId="28928" xr:uid="{00000000-0005-0000-0000-00007F140000}"/>
    <cellStyle name="Normal 2 2 21 5" xfId="2246" xr:uid="{00000000-0005-0000-0000-000080140000}"/>
    <cellStyle name="Normal 2 2 21 5 2" xfId="2247" xr:uid="{00000000-0005-0000-0000-000081140000}"/>
    <cellStyle name="Normal 2 2 21 5 2 2" xfId="28929" xr:uid="{00000000-0005-0000-0000-000082140000}"/>
    <cellStyle name="Normal 2 2 21 5 3" xfId="28930" xr:uid="{00000000-0005-0000-0000-000083140000}"/>
    <cellStyle name="Normal 2 2 21 6" xfId="2248" xr:uid="{00000000-0005-0000-0000-000084140000}"/>
    <cellStyle name="Normal 2 2 21 6 2" xfId="28931" xr:uid="{00000000-0005-0000-0000-000085140000}"/>
    <cellStyle name="Normal 2 2 21 7" xfId="2249" xr:uid="{00000000-0005-0000-0000-000086140000}"/>
    <cellStyle name="Normal 2 2 21 7 2" xfId="28932" xr:uid="{00000000-0005-0000-0000-000087140000}"/>
    <cellStyle name="Normal 2 2 21 8" xfId="28933" xr:uid="{00000000-0005-0000-0000-000088140000}"/>
    <cellStyle name="Normal 2 2 21 8 2" xfId="28934" xr:uid="{00000000-0005-0000-0000-000089140000}"/>
    <cellStyle name="Normal 2 2 21 9" xfId="28935" xr:uid="{00000000-0005-0000-0000-00008A140000}"/>
    <cellStyle name="Normal 2 2 22" xfId="2250" xr:uid="{00000000-0005-0000-0000-00008B140000}"/>
    <cellStyle name="Normal 2 2 22 10" xfId="28936" xr:uid="{00000000-0005-0000-0000-00008C140000}"/>
    <cellStyle name="Normal 2 2 22 11" xfId="28937" xr:uid="{00000000-0005-0000-0000-00008D140000}"/>
    <cellStyle name="Normal 2 2 22 2" xfId="2251" xr:uid="{00000000-0005-0000-0000-00008E140000}"/>
    <cellStyle name="Normal 2 2 22 2 10" xfId="28938" xr:uid="{00000000-0005-0000-0000-00008F140000}"/>
    <cellStyle name="Normal 2 2 22 2 2" xfId="2252" xr:uid="{00000000-0005-0000-0000-000090140000}"/>
    <cellStyle name="Normal 2 2 22 2 2 2" xfId="2253" xr:uid="{00000000-0005-0000-0000-000091140000}"/>
    <cellStyle name="Normal 2 2 22 2 2 2 2" xfId="2254" xr:uid="{00000000-0005-0000-0000-000092140000}"/>
    <cellStyle name="Normal 2 2 22 2 2 2 2 2" xfId="28939" xr:uid="{00000000-0005-0000-0000-000093140000}"/>
    <cellStyle name="Normal 2 2 22 2 2 2 3" xfId="2255" xr:uid="{00000000-0005-0000-0000-000094140000}"/>
    <cellStyle name="Normal 2 2 22 2 2 2 3 2" xfId="28940" xr:uid="{00000000-0005-0000-0000-000095140000}"/>
    <cellStyle name="Normal 2 2 22 2 2 2 4" xfId="28941" xr:uid="{00000000-0005-0000-0000-000096140000}"/>
    <cellStyle name="Normal 2 2 22 2 2 3" xfId="2256" xr:uid="{00000000-0005-0000-0000-000097140000}"/>
    <cellStyle name="Normal 2 2 22 2 2 3 2" xfId="28942" xr:uid="{00000000-0005-0000-0000-000098140000}"/>
    <cellStyle name="Normal 2 2 22 2 2 4" xfId="2257" xr:uid="{00000000-0005-0000-0000-000099140000}"/>
    <cellStyle name="Normal 2 2 22 2 2 4 2" xfId="28943" xr:uid="{00000000-0005-0000-0000-00009A140000}"/>
    <cellStyle name="Normal 2 2 22 2 2 5" xfId="2258" xr:uid="{00000000-0005-0000-0000-00009B140000}"/>
    <cellStyle name="Normal 2 2 22 2 2 5 2" xfId="28944" xr:uid="{00000000-0005-0000-0000-00009C140000}"/>
    <cellStyle name="Normal 2 2 22 2 2 6" xfId="28945" xr:uid="{00000000-0005-0000-0000-00009D140000}"/>
    <cellStyle name="Normal 2 2 22 2 2 6 2" xfId="28946" xr:uid="{00000000-0005-0000-0000-00009E140000}"/>
    <cellStyle name="Normal 2 2 22 2 2 7" xfId="28947" xr:uid="{00000000-0005-0000-0000-00009F140000}"/>
    <cellStyle name="Normal 2 2 22 2 3" xfId="2259" xr:uid="{00000000-0005-0000-0000-0000A0140000}"/>
    <cellStyle name="Normal 2 2 22 2 3 2" xfId="2260" xr:uid="{00000000-0005-0000-0000-0000A1140000}"/>
    <cellStyle name="Normal 2 2 22 2 3 2 2" xfId="28948" xr:uid="{00000000-0005-0000-0000-0000A2140000}"/>
    <cellStyle name="Normal 2 2 22 2 3 3" xfId="2261" xr:uid="{00000000-0005-0000-0000-0000A3140000}"/>
    <cellStyle name="Normal 2 2 22 2 3 3 2" xfId="28949" xr:uid="{00000000-0005-0000-0000-0000A4140000}"/>
    <cellStyle name="Normal 2 2 22 2 3 4" xfId="28950" xr:uid="{00000000-0005-0000-0000-0000A5140000}"/>
    <cellStyle name="Normal 2 2 22 2 4" xfId="2262" xr:uid="{00000000-0005-0000-0000-0000A6140000}"/>
    <cellStyle name="Normal 2 2 22 2 4 2" xfId="2263" xr:uid="{00000000-0005-0000-0000-0000A7140000}"/>
    <cellStyle name="Normal 2 2 22 2 4 2 2" xfId="28951" xr:uid="{00000000-0005-0000-0000-0000A8140000}"/>
    <cellStyle name="Normal 2 2 22 2 4 3" xfId="28952" xr:uid="{00000000-0005-0000-0000-0000A9140000}"/>
    <cellStyle name="Normal 2 2 22 2 5" xfId="2264" xr:uid="{00000000-0005-0000-0000-0000AA140000}"/>
    <cellStyle name="Normal 2 2 22 2 5 2" xfId="28953" xr:uid="{00000000-0005-0000-0000-0000AB140000}"/>
    <cellStyle name="Normal 2 2 22 2 6" xfId="2265" xr:uid="{00000000-0005-0000-0000-0000AC140000}"/>
    <cellStyle name="Normal 2 2 22 2 6 2" xfId="28954" xr:uid="{00000000-0005-0000-0000-0000AD140000}"/>
    <cellStyle name="Normal 2 2 22 2 7" xfId="28955" xr:uid="{00000000-0005-0000-0000-0000AE140000}"/>
    <cellStyle name="Normal 2 2 22 2 7 2" xfId="28956" xr:uid="{00000000-0005-0000-0000-0000AF140000}"/>
    <cellStyle name="Normal 2 2 22 2 8" xfId="28957" xr:uid="{00000000-0005-0000-0000-0000B0140000}"/>
    <cellStyle name="Normal 2 2 22 2 9" xfId="28958" xr:uid="{00000000-0005-0000-0000-0000B1140000}"/>
    <cellStyle name="Normal 2 2 22 3" xfId="2266" xr:uid="{00000000-0005-0000-0000-0000B2140000}"/>
    <cellStyle name="Normal 2 2 22 3 2" xfId="2267" xr:uid="{00000000-0005-0000-0000-0000B3140000}"/>
    <cellStyle name="Normal 2 2 22 3 2 2" xfId="2268" xr:uid="{00000000-0005-0000-0000-0000B4140000}"/>
    <cellStyle name="Normal 2 2 22 3 2 2 2" xfId="28959" xr:uid="{00000000-0005-0000-0000-0000B5140000}"/>
    <cellStyle name="Normal 2 2 22 3 2 3" xfId="2269" xr:uid="{00000000-0005-0000-0000-0000B6140000}"/>
    <cellStyle name="Normal 2 2 22 3 2 3 2" xfId="28960" xr:uid="{00000000-0005-0000-0000-0000B7140000}"/>
    <cellStyle name="Normal 2 2 22 3 2 4" xfId="28961" xr:uid="{00000000-0005-0000-0000-0000B8140000}"/>
    <cellStyle name="Normal 2 2 22 3 3" xfId="2270" xr:uid="{00000000-0005-0000-0000-0000B9140000}"/>
    <cellStyle name="Normal 2 2 22 3 3 2" xfId="28962" xr:uid="{00000000-0005-0000-0000-0000BA140000}"/>
    <cellStyle name="Normal 2 2 22 3 4" xfId="2271" xr:uid="{00000000-0005-0000-0000-0000BB140000}"/>
    <cellStyle name="Normal 2 2 22 3 4 2" xfId="28963" xr:uid="{00000000-0005-0000-0000-0000BC140000}"/>
    <cellStyle name="Normal 2 2 22 3 5" xfId="2272" xr:uid="{00000000-0005-0000-0000-0000BD140000}"/>
    <cellStyle name="Normal 2 2 22 3 5 2" xfId="28964" xr:uid="{00000000-0005-0000-0000-0000BE140000}"/>
    <cellStyle name="Normal 2 2 22 3 6" xfId="28965" xr:uid="{00000000-0005-0000-0000-0000BF140000}"/>
    <cellStyle name="Normal 2 2 22 3 6 2" xfId="28966" xr:uid="{00000000-0005-0000-0000-0000C0140000}"/>
    <cellStyle name="Normal 2 2 22 3 7" xfId="28967" xr:uid="{00000000-0005-0000-0000-0000C1140000}"/>
    <cellStyle name="Normal 2 2 22 4" xfId="2273" xr:uid="{00000000-0005-0000-0000-0000C2140000}"/>
    <cellStyle name="Normal 2 2 22 4 2" xfId="2274" xr:uid="{00000000-0005-0000-0000-0000C3140000}"/>
    <cellStyle name="Normal 2 2 22 4 2 2" xfId="28968" xr:uid="{00000000-0005-0000-0000-0000C4140000}"/>
    <cellStyle name="Normal 2 2 22 4 3" xfId="2275" xr:uid="{00000000-0005-0000-0000-0000C5140000}"/>
    <cellStyle name="Normal 2 2 22 4 3 2" xfId="28969" xr:uid="{00000000-0005-0000-0000-0000C6140000}"/>
    <cellStyle name="Normal 2 2 22 4 4" xfId="28970" xr:uid="{00000000-0005-0000-0000-0000C7140000}"/>
    <cellStyle name="Normal 2 2 22 5" xfId="2276" xr:uid="{00000000-0005-0000-0000-0000C8140000}"/>
    <cellStyle name="Normal 2 2 22 5 2" xfId="2277" xr:uid="{00000000-0005-0000-0000-0000C9140000}"/>
    <cellStyle name="Normal 2 2 22 5 2 2" xfId="28971" xr:uid="{00000000-0005-0000-0000-0000CA140000}"/>
    <cellStyle name="Normal 2 2 22 5 3" xfId="28972" xr:uid="{00000000-0005-0000-0000-0000CB140000}"/>
    <cellStyle name="Normal 2 2 22 6" xfId="2278" xr:uid="{00000000-0005-0000-0000-0000CC140000}"/>
    <cellStyle name="Normal 2 2 22 6 2" xfId="28973" xr:uid="{00000000-0005-0000-0000-0000CD140000}"/>
    <cellStyle name="Normal 2 2 22 7" xfId="2279" xr:uid="{00000000-0005-0000-0000-0000CE140000}"/>
    <cellStyle name="Normal 2 2 22 7 2" xfId="28974" xr:uid="{00000000-0005-0000-0000-0000CF140000}"/>
    <cellStyle name="Normal 2 2 22 8" xfId="28975" xr:uid="{00000000-0005-0000-0000-0000D0140000}"/>
    <cellStyle name="Normal 2 2 22 8 2" xfId="28976" xr:uid="{00000000-0005-0000-0000-0000D1140000}"/>
    <cellStyle name="Normal 2 2 22 9" xfId="28977" xr:uid="{00000000-0005-0000-0000-0000D2140000}"/>
    <cellStyle name="Normal 2 2 23" xfId="2280" xr:uid="{00000000-0005-0000-0000-0000D3140000}"/>
    <cellStyle name="Normal 2 2 23 10" xfId="28978" xr:uid="{00000000-0005-0000-0000-0000D4140000}"/>
    <cellStyle name="Normal 2 2 23 11" xfId="28979" xr:uid="{00000000-0005-0000-0000-0000D5140000}"/>
    <cellStyle name="Normal 2 2 23 2" xfId="2281" xr:uid="{00000000-0005-0000-0000-0000D6140000}"/>
    <cellStyle name="Normal 2 2 23 2 10" xfId="28980" xr:uid="{00000000-0005-0000-0000-0000D7140000}"/>
    <cellStyle name="Normal 2 2 23 2 2" xfId="2282" xr:uid="{00000000-0005-0000-0000-0000D8140000}"/>
    <cellStyle name="Normal 2 2 23 2 2 2" xfId="2283" xr:uid="{00000000-0005-0000-0000-0000D9140000}"/>
    <cellStyle name="Normal 2 2 23 2 2 2 2" xfId="2284" xr:uid="{00000000-0005-0000-0000-0000DA140000}"/>
    <cellStyle name="Normal 2 2 23 2 2 2 2 2" xfId="28981" xr:uid="{00000000-0005-0000-0000-0000DB140000}"/>
    <cellStyle name="Normal 2 2 23 2 2 2 3" xfId="2285" xr:uid="{00000000-0005-0000-0000-0000DC140000}"/>
    <cellStyle name="Normal 2 2 23 2 2 2 3 2" xfId="28982" xr:uid="{00000000-0005-0000-0000-0000DD140000}"/>
    <cellStyle name="Normal 2 2 23 2 2 2 4" xfId="28983" xr:uid="{00000000-0005-0000-0000-0000DE140000}"/>
    <cellStyle name="Normal 2 2 23 2 2 3" xfId="2286" xr:uid="{00000000-0005-0000-0000-0000DF140000}"/>
    <cellStyle name="Normal 2 2 23 2 2 3 2" xfId="28984" xr:uid="{00000000-0005-0000-0000-0000E0140000}"/>
    <cellStyle name="Normal 2 2 23 2 2 4" xfId="2287" xr:uid="{00000000-0005-0000-0000-0000E1140000}"/>
    <cellStyle name="Normal 2 2 23 2 2 4 2" xfId="28985" xr:uid="{00000000-0005-0000-0000-0000E2140000}"/>
    <cellStyle name="Normal 2 2 23 2 2 5" xfId="2288" xr:uid="{00000000-0005-0000-0000-0000E3140000}"/>
    <cellStyle name="Normal 2 2 23 2 2 5 2" xfId="28986" xr:uid="{00000000-0005-0000-0000-0000E4140000}"/>
    <cellStyle name="Normal 2 2 23 2 2 6" xfId="28987" xr:uid="{00000000-0005-0000-0000-0000E5140000}"/>
    <cellStyle name="Normal 2 2 23 2 2 6 2" xfId="28988" xr:uid="{00000000-0005-0000-0000-0000E6140000}"/>
    <cellStyle name="Normal 2 2 23 2 2 7" xfId="28989" xr:uid="{00000000-0005-0000-0000-0000E7140000}"/>
    <cellStyle name="Normal 2 2 23 2 3" xfId="2289" xr:uid="{00000000-0005-0000-0000-0000E8140000}"/>
    <cellStyle name="Normal 2 2 23 2 3 2" xfId="2290" xr:uid="{00000000-0005-0000-0000-0000E9140000}"/>
    <cellStyle name="Normal 2 2 23 2 3 2 2" xfId="28990" xr:uid="{00000000-0005-0000-0000-0000EA140000}"/>
    <cellStyle name="Normal 2 2 23 2 3 3" xfId="2291" xr:uid="{00000000-0005-0000-0000-0000EB140000}"/>
    <cellStyle name="Normal 2 2 23 2 3 3 2" xfId="28991" xr:uid="{00000000-0005-0000-0000-0000EC140000}"/>
    <cellStyle name="Normal 2 2 23 2 3 4" xfId="28992" xr:uid="{00000000-0005-0000-0000-0000ED140000}"/>
    <cellStyle name="Normal 2 2 23 2 4" xfId="2292" xr:uid="{00000000-0005-0000-0000-0000EE140000}"/>
    <cellStyle name="Normal 2 2 23 2 4 2" xfId="2293" xr:uid="{00000000-0005-0000-0000-0000EF140000}"/>
    <cellStyle name="Normal 2 2 23 2 4 2 2" xfId="28993" xr:uid="{00000000-0005-0000-0000-0000F0140000}"/>
    <cellStyle name="Normal 2 2 23 2 4 3" xfId="28994" xr:uid="{00000000-0005-0000-0000-0000F1140000}"/>
    <cellStyle name="Normal 2 2 23 2 5" xfId="2294" xr:uid="{00000000-0005-0000-0000-0000F2140000}"/>
    <cellStyle name="Normal 2 2 23 2 5 2" xfId="28995" xr:uid="{00000000-0005-0000-0000-0000F3140000}"/>
    <cellStyle name="Normal 2 2 23 2 6" xfId="2295" xr:uid="{00000000-0005-0000-0000-0000F4140000}"/>
    <cellStyle name="Normal 2 2 23 2 6 2" xfId="28996" xr:uid="{00000000-0005-0000-0000-0000F5140000}"/>
    <cellStyle name="Normal 2 2 23 2 7" xfId="28997" xr:uid="{00000000-0005-0000-0000-0000F6140000}"/>
    <cellStyle name="Normal 2 2 23 2 7 2" xfId="28998" xr:uid="{00000000-0005-0000-0000-0000F7140000}"/>
    <cellStyle name="Normal 2 2 23 2 8" xfId="28999" xr:uid="{00000000-0005-0000-0000-0000F8140000}"/>
    <cellStyle name="Normal 2 2 23 2 9" xfId="29000" xr:uid="{00000000-0005-0000-0000-0000F9140000}"/>
    <cellStyle name="Normal 2 2 23 3" xfId="2296" xr:uid="{00000000-0005-0000-0000-0000FA140000}"/>
    <cellStyle name="Normal 2 2 23 3 2" xfId="2297" xr:uid="{00000000-0005-0000-0000-0000FB140000}"/>
    <cellStyle name="Normal 2 2 23 3 2 2" xfId="2298" xr:uid="{00000000-0005-0000-0000-0000FC140000}"/>
    <cellStyle name="Normal 2 2 23 3 2 2 2" xfId="29001" xr:uid="{00000000-0005-0000-0000-0000FD140000}"/>
    <cellStyle name="Normal 2 2 23 3 2 3" xfId="2299" xr:uid="{00000000-0005-0000-0000-0000FE140000}"/>
    <cellStyle name="Normal 2 2 23 3 2 3 2" xfId="29002" xr:uid="{00000000-0005-0000-0000-0000FF140000}"/>
    <cellStyle name="Normal 2 2 23 3 2 4" xfId="29003" xr:uid="{00000000-0005-0000-0000-000000150000}"/>
    <cellStyle name="Normal 2 2 23 3 3" xfId="2300" xr:uid="{00000000-0005-0000-0000-000001150000}"/>
    <cellStyle name="Normal 2 2 23 3 3 2" xfId="29004" xr:uid="{00000000-0005-0000-0000-000002150000}"/>
    <cellStyle name="Normal 2 2 23 3 4" xfId="2301" xr:uid="{00000000-0005-0000-0000-000003150000}"/>
    <cellStyle name="Normal 2 2 23 3 4 2" xfId="29005" xr:uid="{00000000-0005-0000-0000-000004150000}"/>
    <cellStyle name="Normal 2 2 23 3 5" xfId="2302" xr:uid="{00000000-0005-0000-0000-000005150000}"/>
    <cellStyle name="Normal 2 2 23 3 5 2" xfId="29006" xr:uid="{00000000-0005-0000-0000-000006150000}"/>
    <cellStyle name="Normal 2 2 23 3 6" xfId="29007" xr:uid="{00000000-0005-0000-0000-000007150000}"/>
    <cellStyle name="Normal 2 2 23 3 6 2" xfId="29008" xr:uid="{00000000-0005-0000-0000-000008150000}"/>
    <cellStyle name="Normal 2 2 23 3 7" xfId="29009" xr:uid="{00000000-0005-0000-0000-000009150000}"/>
    <cellStyle name="Normal 2 2 23 4" xfId="2303" xr:uid="{00000000-0005-0000-0000-00000A150000}"/>
    <cellStyle name="Normal 2 2 23 4 2" xfId="2304" xr:uid="{00000000-0005-0000-0000-00000B150000}"/>
    <cellStyle name="Normal 2 2 23 4 2 2" xfId="29010" xr:uid="{00000000-0005-0000-0000-00000C150000}"/>
    <cellStyle name="Normal 2 2 23 4 3" xfId="2305" xr:uid="{00000000-0005-0000-0000-00000D150000}"/>
    <cellStyle name="Normal 2 2 23 4 3 2" xfId="29011" xr:uid="{00000000-0005-0000-0000-00000E150000}"/>
    <cellStyle name="Normal 2 2 23 4 4" xfId="29012" xr:uid="{00000000-0005-0000-0000-00000F150000}"/>
    <cellStyle name="Normal 2 2 23 5" xfId="2306" xr:uid="{00000000-0005-0000-0000-000010150000}"/>
    <cellStyle name="Normal 2 2 23 5 2" xfId="2307" xr:uid="{00000000-0005-0000-0000-000011150000}"/>
    <cellStyle name="Normal 2 2 23 5 2 2" xfId="29013" xr:uid="{00000000-0005-0000-0000-000012150000}"/>
    <cellStyle name="Normal 2 2 23 5 3" xfId="29014" xr:uid="{00000000-0005-0000-0000-000013150000}"/>
    <cellStyle name="Normal 2 2 23 6" xfId="2308" xr:uid="{00000000-0005-0000-0000-000014150000}"/>
    <cellStyle name="Normal 2 2 23 6 2" xfId="29015" xr:uid="{00000000-0005-0000-0000-000015150000}"/>
    <cellStyle name="Normal 2 2 23 7" xfId="2309" xr:uid="{00000000-0005-0000-0000-000016150000}"/>
    <cellStyle name="Normal 2 2 23 7 2" xfId="29016" xr:uid="{00000000-0005-0000-0000-000017150000}"/>
    <cellStyle name="Normal 2 2 23 8" xfId="29017" xr:uid="{00000000-0005-0000-0000-000018150000}"/>
    <cellStyle name="Normal 2 2 23 8 2" xfId="29018" xr:uid="{00000000-0005-0000-0000-000019150000}"/>
    <cellStyle name="Normal 2 2 23 9" xfId="29019" xr:uid="{00000000-0005-0000-0000-00001A150000}"/>
    <cellStyle name="Normal 2 2 24" xfId="2310" xr:uid="{00000000-0005-0000-0000-00001B150000}"/>
    <cellStyle name="Normal 2 2 24 10" xfId="29020" xr:uid="{00000000-0005-0000-0000-00001C150000}"/>
    <cellStyle name="Normal 2 2 24 11" xfId="29021" xr:uid="{00000000-0005-0000-0000-00001D150000}"/>
    <cellStyle name="Normal 2 2 24 2" xfId="2311" xr:uid="{00000000-0005-0000-0000-00001E150000}"/>
    <cellStyle name="Normal 2 2 24 2 10" xfId="29022" xr:uid="{00000000-0005-0000-0000-00001F150000}"/>
    <cellStyle name="Normal 2 2 24 2 2" xfId="2312" xr:uid="{00000000-0005-0000-0000-000020150000}"/>
    <cellStyle name="Normal 2 2 24 2 2 2" xfId="2313" xr:uid="{00000000-0005-0000-0000-000021150000}"/>
    <cellStyle name="Normal 2 2 24 2 2 2 2" xfId="2314" xr:uid="{00000000-0005-0000-0000-000022150000}"/>
    <cellStyle name="Normal 2 2 24 2 2 2 2 2" xfId="29023" xr:uid="{00000000-0005-0000-0000-000023150000}"/>
    <cellStyle name="Normal 2 2 24 2 2 2 3" xfId="2315" xr:uid="{00000000-0005-0000-0000-000024150000}"/>
    <cellStyle name="Normal 2 2 24 2 2 2 3 2" xfId="29024" xr:uid="{00000000-0005-0000-0000-000025150000}"/>
    <cellStyle name="Normal 2 2 24 2 2 2 4" xfId="29025" xr:uid="{00000000-0005-0000-0000-000026150000}"/>
    <cellStyle name="Normal 2 2 24 2 2 3" xfId="2316" xr:uid="{00000000-0005-0000-0000-000027150000}"/>
    <cellStyle name="Normal 2 2 24 2 2 3 2" xfId="29026" xr:uid="{00000000-0005-0000-0000-000028150000}"/>
    <cellStyle name="Normal 2 2 24 2 2 4" xfId="2317" xr:uid="{00000000-0005-0000-0000-000029150000}"/>
    <cellStyle name="Normal 2 2 24 2 2 4 2" xfId="29027" xr:uid="{00000000-0005-0000-0000-00002A150000}"/>
    <cellStyle name="Normal 2 2 24 2 2 5" xfId="2318" xr:uid="{00000000-0005-0000-0000-00002B150000}"/>
    <cellStyle name="Normal 2 2 24 2 2 5 2" xfId="29028" xr:uid="{00000000-0005-0000-0000-00002C150000}"/>
    <cellStyle name="Normal 2 2 24 2 2 6" xfId="29029" xr:uid="{00000000-0005-0000-0000-00002D150000}"/>
    <cellStyle name="Normal 2 2 24 2 2 6 2" xfId="29030" xr:uid="{00000000-0005-0000-0000-00002E150000}"/>
    <cellStyle name="Normal 2 2 24 2 2 7" xfId="29031" xr:uid="{00000000-0005-0000-0000-00002F150000}"/>
    <cellStyle name="Normal 2 2 24 2 3" xfId="2319" xr:uid="{00000000-0005-0000-0000-000030150000}"/>
    <cellStyle name="Normal 2 2 24 2 3 2" xfId="2320" xr:uid="{00000000-0005-0000-0000-000031150000}"/>
    <cellStyle name="Normal 2 2 24 2 3 2 2" xfId="29032" xr:uid="{00000000-0005-0000-0000-000032150000}"/>
    <cellStyle name="Normal 2 2 24 2 3 3" xfId="2321" xr:uid="{00000000-0005-0000-0000-000033150000}"/>
    <cellStyle name="Normal 2 2 24 2 3 3 2" xfId="29033" xr:uid="{00000000-0005-0000-0000-000034150000}"/>
    <cellStyle name="Normal 2 2 24 2 3 4" xfId="29034" xr:uid="{00000000-0005-0000-0000-000035150000}"/>
    <cellStyle name="Normal 2 2 24 2 4" xfId="2322" xr:uid="{00000000-0005-0000-0000-000036150000}"/>
    <cellStyle name="Normal 2 2 24 2 4 2" xfId="2323" xr:uid="{00000000-0005-0000-0000-000037150000}"/>
    <cellStyle name="Normal 2 2 24 2 4 2 2" xfId="29035" xr:uid="{00000000-0005-0000-0000-000038150000}"/>
    <cellStyle name="Normal 2 2 24 2 4 3" xfId="29036" xr:uid="{00000000-0005-0000-0000-000039150000}"/>
    <cellStyle name="Normal 2 2 24 2 5" xfId="2324" xr:uid="{00000000-0005-0000-0000-00003A150000}"/>
    <cellStyle name="Normal 2 2 24 2 5 2" xfId="29037" xr:uid="{00000000-0005-0000-0000-00003B150000}"/>
    <cellStyle name="Normal 2 2 24 2 6" xfId="2325" xr:uid="{00000000-0005-0000-0000-00003C150000}"/>
    <cellStyle name="Normal 2 2 24 2 6 2" xfId="29038" xr:uid="{00000000-0005-0000-0000-00003D150000}"/>
    <cellStyle name="Normal 2 2 24 2 7" xfId="29039" xr:uid="{00000000-0005-0000-0000-00003E150000}"/>
    <cellStyle name="Normal 2 2 24 2 7 2" xfId="29040" xr:uid="{00000000-0005-0000-0000-00003F150000}"/>
    <cellStyle name="Normal 2 2 24 2 8" xfId="29041" xr:uid="{00000000-0005-0000-0000-000040150000}"/>
    <cellStyle name="Normal 2 2 24 2 9" xfId="29042" xr:uid="{00000000-0005-0000-0000-000041150000}"/>
    <cellStyle name="Normal 2 2 24 3" xfId="2326" xr:uid="{00000000-0005-0000-0000-000042150000}"/>
    <cellStyle name="Normal 2 2 24 3 2" xfId="2327" xr:uid="{00000000-0005-0000-0000-000043150000}"/>
    <cellStyle name="Normal 2 2 24 3 2 2" xfId="2328" xr:uid="{00000000-0005-0000-0000-000044150000}"/>
    <cellStyle name="Normal 2 2 24 3 2 2 2" xfId="29043" xr:uid="{00000000-0005-0000-0000-000045150000}"/>
    <cellStyle name="Normal 2 2 24 3 2 3" xfId="2329" xr:uid="{00000000-0005-0000-0000-000046150000}"/>
    <cellStyle name="Normal 2 2 24 3 2 3 2" xfId="29044" xr:uid="{00000000-0005-0000-0000-000047150000}"/>
    <cellStyle name="Normal 2 2 24 3 2 4" xfId="29045" xr:uid="{00000000-0005-0000-0000-000048150000}"/>
    <cellStyle name="Normal 2 2 24 3 3" xfId="2330" xr:uid="{00000000-0005-0000-0000-000049150000}"/>
    <cellStyle name="Normal 2 2 24 3 3 2" xfId="29046" xr:uid="{00000000-0005-0000-0000-00004A150000}"/>
    <cellStyle name="Normal 2 2 24 3 4" xfId="2331" xr:uid="{00000000-0005-0000-0000-00004B150000}"/>
    <cellStyle name="Normal 2 2 24 3 4 2" xfId="29047" xr:uid="{00000000-0005-0000-0000-00004C150000}"/>
    <cellStyle name="Normal 2 2 24 3 5" xfId="2332" xr:uid="{00000000-0005-0000-0000-00004D150000}"/>
    <cellStyle name="Normal 2 2 24 3 5 2" xfId="29048" xr:uid="{00000000-0005-0000-0000-00004E150000}"/>
    <cellStyle name="Normal 2 2 24 3 6" xfId="29049" xr:uid="{00000000-0005-0000-0000-00004F150000}"/>
    <cellStyle name="Normal 2 2 24 3 6 2" xfId="29050" xr:uid="{00000000-0005-0000-0000-000050150000}"/>
    <cellStyle name="Normal 2 2 24 3 7" xfId="29051" xr:uid="{00000000-0005-0000-0000-000051150000}"/>
    <cellStyle name="Normal 2 2 24 4" xfId="2333" xr:uid="{00000000-0005-0000-0000-000052150000}"/>
    <cellStyle name="Normal 2 2 24 4 2" xfId="2334" xr:uid="{00000000-0005-0000-0000-000053150000}"/>
    <cellStyle name="Normal 2 2 24 4 2 2" xfId="29052" xr:uid="{00000000-0005-0000-0000-000054150000}"/>
    <cellStyle name="Normal 2 2 24 4 3" xfId="2335" xr:uid="{00000000-0005-0000-0000-000055150000}"/>
    <cellStyle name="Normal 2 2 24 4 3 2" xfId="29053" xr:uid="{00000000-0005-0000-0000-000056150000}"/>
    <cellStyle name="Normal 2 2 24 4 4" xfId="29054" xr:uid="{00000000-0005-0000-0000-000057150000}"/>
    <cellStyle name="Normal 2 2 24 5" xfId="2336" xr:uid="{00000000-0005-0000-0000-000058150000}"/>
    <cellStyle name="Normal 2 2 24 5 2" xfId="2337" xr:uid="{00000000-0005-0000-0000-000059150000}"/>
    <cellStyle name="Normal 2 2 24 5 2 2" xfId="29055" xr:uid="{00000000-0005-0000-0000-00005A150000}"/>
    <cellStyle name="Normal 2 2 24 5 3" xfId="29056" xr:uid="{00000000-0005-0000-0000-00005B150000}"/>
    <cellStyle name="Normal 2 2 24 6" xfId="2338" xr:uid="{00000000-0005-0000-0000-00005C150000}"/>
    <cellStyle name="Normal 2 2 24 6 2" xfId="29057" xr:uid="{00000000-0005-0000-0000-00005D150000}"/>
    <cellStyle name="Normal 2 2 24 7" xfId="2339" xr:uid="{00000000-0005-0000-0000-00005E150000}"/>
    <cellStyle name="Normal 2 2 24 7 2" xfId="29058" xr:uid="{00000000-0005-0000-0000-00005F150000}"/>
    <cellStyle name="Normal 2 2 24 8" xfId="29059" xr:uid="{00000000-0005-0000-0000-000060150000}"/>
    <cellStyle name="Normal 2 2 24 8 2" xfId="29060" xr:uid="{00000000-0005-0000-0000-000061150000}"/>
    <cellStyle name="Normal 2 2 24 9" xfId="29061" xr:uid="{00000000-0005-0000-0000-000062150000}"/>
    <cellStyle name="Normal 2 2 25" xfId="2340" xr:uid="{00000000-0005-0000-0000-000063150000}"/>
    <cellStyle name="Normal 2 2 25 10" xfId="29062" xr:uid="{00000000-0005-0000-0000-000064150000}"/>
    <cellStyle name="Normal 2 2 25 11" xfId="29063" xr:uid="{00000000-0005-0000-0000-000065150000}"/>
    <cellStyle name="Normal 2 2 25 2" xfId="2341" xr:uid="{00000000-0005-0000-0000-000066150000}"/>
    <cellStyle name="Normal 2 2 25 2 10" xfId="29064" xr:uid="{00000000-0005-0000-0000-000067150000}"/>
    <cellStyle name="Normal 2 2 25 2 2" xfId="2342" xr:uid="{00000000-0005-0000-0000-000068150000}"/>
    <cellStyle name="Normal 2 2 25 2 2 2" xfId="2343" xr:uid="{00000000-0005-0000-0000-000069150000}"/>
    <cellStyle name="Normal 2 2 25 2 2 2 2" xfId="2344" xr:uid="{00000000-0005-0000-0000-00006A150000}"/>
    <cellStyle name="Normal 2 2 25 2 2 2 2 2" xfId="29065" xr:uid="{00000000-0005-0000-0000-00006B150000}"/>
    <cellStyle name="Normal 2 2 25 2 2 2 3" xfId="2345" xr:uid="{00000000-0005-0000-0000-00006C150000}"/>
    <cellStyle name="Normal 2 2 25 2 2 2 3 2" xfId="29066" xr:uid="{00000000-0005-0000-0000-00006D150000}"/>
    <cellStyle name="Normal 2 2 25 2 2 2 4" xfId="29067" xr:uid="{00000000-0005-0000-0000-00006E150000}"/>
    <cellStyle name="Normal 2 2 25 2 2 3" xfId="2346" xr:uid="{00000000-0005-0000-0000-00006F150000}"/>
    <cellStyle name="Normal 2 2 25 2 2 3 2" xfId="29068" xr:uid="{00000000-0005-0000-0000-000070150000}"/>
    <cellStyle name="Normal 2 2 25 2 2 4" xfId="2347" xr:uid="{00000000-0005-0000-0000-000071150000}"/>
    <cellStyle name="Normal 2 2 25 2 2 4 2" xfId="29069" xr:uid="{00000000-0005-0000-0000-000072150000}"/>
    <cellStyle name="Normal 2 2 25 2 2 5" xfId="2348" xr:uid="{00000000-0005-0000-0000-000073150000}"/>
    <cellStyle name="Normal 2 2 25 2 2 5 2" xfId="29070" xr:uid="{00000000-0005-0000-0000-000074150000}"/>
    <cellStyle name="Normal 2 2 25 2 2 6" xfId="29071" xr:uid="{00000000-0005-0000-0000-000075150000}"/>
    <cellStyle name="Normal 2 2 25 2 2 6 2" xfId="29072" xr:uid="{00000000-0005-0000-0000-000076150000}"/>
    <cellStyle name="Normal 2 2 25 2 2 7" xfId="29073" xr:uid="{00000000-0005-0000-0000-000077150000}"/>
    <cellStyle name="Normal 2 2 25 2 3" xfId="2349" xr:uid="{00000000-0005-0000-0000-000078150000}"/>
    <cellStyle name="Normal 2 2 25 2 3 2" xfId="2350" xr:uid="{00000000-0005-0000-0000-000079150000}"/>
    <cellStyle name="Normal 2 2 25 2 3 2 2" xfId="29074" xr:uid="{00000000-0005-0000-0000-00007A150000}"/>
    <cellStyle name="Normal 2 2 25 2 3 3" xfId="2351" xr:uid="{00000000-0005-0000-0000-00007B150000}"/>
    <cellStyle name="Normal 2 2 25 2 3 3 2" xfId="29075" xr:uid="{00000000-0005-0000-0000-00007C150000}"/>
    <cellStyle name="Normal 2 2 25 2 3 4" xfId="29076" xr:uid="{00000000-0005-0000-0000-00007D150000}"/>
    <cellStyle name="Normal 2 2 25 2 4" xfId="2352" xr:uid="{00000000-0005-0000-0000-00007E150000}"/>
    <cellStyle name="Normal 2 2 25 2 4 2" xfId="2353" xr:uid="{00000000-0005-0000-0000-00007F150000}"/>
    <cellStyle name="Normal 2 2 25 2 4 2 2" xfId="29077" xr:uid="{00000000-0005-0000-0000-000080150000}"/>
    <cellStyle name="Normal 2 2 25 2 4 3" xfId="29078" xr:uid="{00000000-0005-0000-0000-000081150000}"/>
    <cellStyle name="Normal 2 2 25 2 5" xfId="2354" xr:uid="{00000000-0005-0000-0000-000082150000}"/>
    <cellStyle name="Normal 2 2 25 2 5 2" xfId="29079" xr:uid="{00000000-0005-0000-0000-000083150000}"/>
    <cellStyle name="Normal 2 2 25 2 6" xfId="2355" xr:uid="{00000000-0005-0000-0000-000084150000}"/>
    <cellStyle name="Normal 2 2 25 2 6 2" xfId="29080" xr:uid="{00000000-0005-0000-0000-000085150000}"/>
    <cellStyle name="Normal 2 2 25 2 7" xfId="29081" xr:uid="{00000000-0005-0000-0000-000086150000}"/>
    <cellStyle name="Normal 2 2 25 2 7 2" xfId="29082" xr:uid="{00000000-0005-0000-0000-000087150000}"/>
    <cellStyle name="Normal 2 2 25 2 8" xfId="29083" xr:uid="{00000000-0005-0000-0000-000088150000}"/>
    <cellStyle name="Normal 2 2 25 2 9" xfId="29084" xr:uid="{00000000-0005-0000-0000-000089150000}"/>
    <cellStyle name="Normal 2 2 25 3" xfId="2356" xr:uid="{00000000-0005-0000-0000-00008A150000}"/>
    <cellStyle name="Normal 2 2 25 3 2" xfId="2357" xr:uid="{00000000-0005-0000-0000-00008B150000}"/>
    <cellStyle name="Normal 2 2 25 3 2 2" xfId="2358" xr:uid="{00000000-0005-0000-0000-00008C150000}"/>
    <cellStyle name="Normal 2 2 25 3 2 2 2" xfId="29085" xr:uid="{00000000-0005-0000-0000-00008D150000}"/>
    <cellStyle name="Normal 2 2 25 3 2 3" xfId="2359" xr:uid="{00000000-0005-0000-0000-00008E150000}"/>
    <cellStyle name="Normal 2 2 25 3 2 3 2" xfId="29086" xr:uid="{00000000-0005-0000-0000-00008F150000}"/>
    <cellStyle name="Normal 2 2 25 3 2 4" xfId="29087" xr:uid="{00000000-0005-0000-0000-000090150000}"/>
    <cellStyle name="Normal 2 2 25 3 3" xfId="2360" xr:uid="{00000000-0005-0000-0000-000091150000}"/>
    <cellStyle name="Normal 2 2 25 3 3 2" xfId="29088" xr:uid="{00000000-0005-0000-0000-000092150000}"/>
    <cellStyle name="Normal 2 2 25 3 4" xfId="2361" xr:uid="{00000000-0005-0000-0000-000093150000}"/>
    <cellStyle name="Normal 2 2 25 3 4 2" xfId="29089" xr:uid="{00000000-0005-0000-0000-000094150000}"/>
    <cellStyle name="Normal 2 2 25 3 5" xfId="2362" xr:uid="{00000000-0005-0000-0000-000095150000}"/>
    <cellStyle name="Normal 2 2 25 3 5 2" xfId="29090" xr:uid="{00000000-0005-0000-0000-000096150000}"/>
    <cellStyle name="Normal 2 2 25 3 6" xfId="29091" xr:uid="{00000000-0005-0000-0000-000097150000}"/>
    <cellStyle name="Normal 2 2 25 3 6 2" xfId="29092" xr:uid="{00000000-0005-0000-0000-000098150000}"/>
    <cellStyle name="Normal 2 2 25 3 7" xfId="29093" xr:uid="{00000000-0005-0000-0000-000099150000}"/>
    <cellStyle name="Normal 2 2 25 4" xfId="2363" xr:uid="{00000000-0005-0000-0000-00009A150000}"/>
    <cellStyle name="Normal 2 2 25 4 2" xfId="2364" xr:uid="{00000000-0005-0000-0000-00009B150000}"/>
    <cellStyle name="Normal 2 2 25 4 2 2" xfId="29094" xr:uid="{00000000-0005-0000-0000-00009C150000}"/>
    <cellStyle name="Normal 2 2 25 4 3" xfId="2365" xr:uid="{00000000-0005-0000-0000-00009D150000}"/>
    <cellStyle name="Normal 2 2 25 4 3 2" xfId="29095" xr:uid="{00000000-0005-0000-0000-00009E150000}"/>
    <cellStyle name="Normal 2 2 25 4 4" xfId="29096" xr:uid="{00000000-0005-0000-0000-00009F150000}"/>
    <cellStyle name="Normal 2 2 25 5" xfId="2366" xr:uid="{00000000-0005-0000-0000-0000A0150000}"/>
    <cellStyle name="Normal 2 2 25 5 2" xfId="2367" xr:uid="{00000000-0005-0000-0000-0000A1150000}"/>
    <cellStyle name="Normal 2 2 25 5 2 2" xfId="29097" xr:uid="{00000000-0005-0000-0000-0000A2150000}"/>
    <cellStyle name="Normal 2 2 25 5 3" xfId="29098" xr:uid="{00000000-0005-0000-0000-0000A3150000}"/>
    <cellStyle name="Normal 2 2 25 6" xfId="2368" xr:uid="{00000000-0005-0000-0000-0000A4150000}"/>
    <cellStyle name="Normal 2 2 25 6 2" xfId="29099" xr:uid="{00000000-0005-0000-0000-0000A5150000}"/>
    <cellStyle name="Normal 2 2 25 7" xfId="2369" xr:uid="{00000000-0005-0000-0000-0000A6150000}"/>
    <cellStyle name="Normal 2 2 25 7 2" xfId="29100" xr:uid="{00000000-0005-0000-0000-0000A7150000}"/>
    <cellStyle name="Normal 2 2 25 8" xfId="29101" xr:uid="{00000000-0005-0000-0000-0000A8150000}"/>
    <cellStyle name="Normal 2 2 25 8 2" xfId="29102" xr:uid="{00000000-0005-0000-0000-0000A9150000}"/>
    <cellStyle name="Normal 2 2 25 9" xfId="29103" xr:uid="{00000000-0005-0000-0000-0000AA150000}"/>
    <cellStyle name="Normal 2 2 26" xfId="2370" xr:uid="{00000000-0005-0000-0000-0000AB150000}"/>
    <cellStyle name="Normal 2 2 26 10" xfId="29104" xr:uid="{00000000-0005-0000-0000-0000AC150000}"/>
    <cellStyle name="Normal 2 2 26 11" xfId="29105" xr:uid="{00000000-0005-0000-0000-0000AD150000}"/>
    <cellStyle name="Normal 2 2 26 2" xfId="2371" xr:uid="{00000000-0005-0000-0000-0000AE150000}"/>
    <cellStyle name="Normal 2 2 26 2 10" xfId="29106" xr:uid="{00000000-0005-0000-0000-0000AF150000}"/>
    <cellStyle name="Normal 2 2 26 2 2" xfId="2372" xr:uid="{00000000-0005-0000-0000-0000B0150000}"/>
    <cellStyle name="Normal 2 2 26 2 2 2" xfId="2373" xr:uid="{00000000-0005-0000-0000-0000B1150000}"/>
    <cellStyle name="Normal 2 2 26 2 2 2 2" xfId="2374" xr:uid="{00000000-0005-0000-0000-0000B2150000}"/>
    <cellStyle name="Normal 2 2 26 2 2 2 2 2" xfId="29107" xr:uid="{00000000-0005-0000-0000-0000B3150000}"/>
    <cellStyle name="Normal 2 2 26 2 2 2 3" xfId="2375" xr:uid="{00000000-0005-0000-0000-0000B4150000}"/>
    <cellStyle name="Normal 2 2 26 2 2 2 3 2" xfId="29108" xr:uid="{00000000-0005-0000-0000-0000B5150000}"/>
    <cellStyle name="Normal 2 2 26 2 2 2 4" xfId="29109" xr:uid="{00000000-0005-0000-0000-0000B6150000}"/>
    <cellStyle name="Normal 2 2 26 2 2 3" xfId="2376" xr:uid="{00000000-0005-0000-0000-0000B7150000}"/>
    <cellStyle name="Normal 2 2 26 2 2 3 2" xfId="29110" xr:uid="{00000000-0005-0000-0000-0000B8150000}"/>
    <cellStyle name="Normal 2 2 26 2 2 4" xfId="2377" xr:uid="{00000000-0005-0000-0000-0000B9150000}"/>
    <cellStyle name="Normal 2 2 26 2 2 4 2" xfId="29111" xr:uid="{00000000-0005-0000-0000-0000BA150000}"/>
    <cellStyle name="Normal 2 2 26 2 2 5" xfId="2378" xr:uid="{00000000-0005-0000-0000-0000BB150000}"/>
    <cellStyle name="Normal 2 2 26 2 2 5 2" xfId="29112" xr:uid="{00000000-0005-0000-0000-0000BC150000}"/>
    <cellStyle name="Normal 2 2 26 2 2 6" xfId="29113" xr:uid="{00000000-0005-0000-0000-0000BD150000}"/>
    <cellStyle name="Normal 2 2 26 2 2 6 2" xfId="29114" xr:uid="{00000000-0005-0000-0000-0000BE150000}"/>
    <cellStyle name="Normal 2 2 26 2 2 7" xfId="29115" xr:uid="{00000000-0005-0000-0000-0000BF150000}"/>
    <cellStyle name="Normal 2 2 26 2 3" xfId="2379" xr:uid="{00000000-0005-0000-0000-0000C0150000}"/>
    <cellStyle name="Normal 2 2 26 2 3 2" xfId="2380" xr:uid="{00000000-0005-0000-0000-0000C1150000}"/>
    <cellStyle name="Normal 2 2 26 2 3 2 2" xfId="29116" xr:uid="{00000000-0005-0000-0000-0000C2150000}"/>
    <cellStyle name="Normal 2 2 26 2 3 3" xfId="2381" xr:uid="{00000000-0005-0000-0000-0000C3150000}"/>
    <cellStyle name="Normal 2 2 26 2 3 3 2" xfId="29117" xr:uid="{00000000-0005-0000-0000-0000C4150000}"/>
    <cellStyle name="Normal 2 2 26 2 3 4" xfId="29118" xr:uid="{00000000-0005-0000-0000-0000C5150000}"/>
    <cellStyle name="Normal 2 2 26 2 4" xfId="2382" xr:uid="{00000000-0005-0000-0000-0000C6150000}"/>
    <cellStyle name="Normal 2 2 26 2 4 2" xfId="2383" xr:uid="{00000000-0005-0000-0000-0000C7150000}"/>
    <cellStyle name="Normal 2 2 26 2 4 2 2" xfId="29119" xr:uid="{00000000-0005-0000-0000-0000C8150000}"/>
    <cellStyle name="Normal 2 2 26 2 4 3" xfId="29120" xr:uid="{00000000-0005-0000-0000-0000C9150000}"/>
    <cellStyle name="Normal 2 2 26 2 5" xfId="2384" xr:uid="{00000000-0005-0000-0000-0000CA150000}"/>
    <cellStyle name="Normal 2 2 26 2 5 2" xfId="29121" xr:uid="{00000000-0005-0000-0000-0000CB150000}"/>
    <cellStyle name="Normal 2 2 26 2 6" xfId="2385" xr:uid="{00000000-0005-0000-0000-0000CC150000}"/>
    <cellStyle name="Normal 2 2 26 2 6 2" xfId="29122" xr:uid="{00000000-0005-0000-0000-0000CD150000}"/>
    <cellStyle name="Normal 2 2 26 2 7" xfId="29123" xr:uid="{00000000-0005-0000-0000-0000CE150000}"/>
    <cellStyle name="Normal 2 2 26 2 7 2" xfId="29124" xr:uid="{00000000-0005-0000-0000-0000CF150000}"/>
    <cellStyle name="Normal 2 2 26 2 8" xfId="29125" xr:uid="{00000000-0005-0000-0000-0000D0150000}"/>
    <cellStyle name="Normal 2 2 26 2 9" xfId="29126" xr:uid="{00000000-0005-0000-0000-0000D1150000}"/>
    <cellStyle name="Normal 2 2 26 3" xfId="2386" xr:uid="{00000000-0005-0000-0000-0000D2150000}"/>
    <cellStyle name="Normal 2 2 26 3 2" xfId="2387" xr:uid="{00000000-0005-0000-0000-0000D3150000}"/>
    <cellStyle name="Normal 2 2 26 3 2 2" xfId="2388" xr:uid="{00000000-0005-0000-0000-0000D4150000}"/>
    <cellStyle name="Normal 2 2 26 3 2 2 2" xfId="29127" xr:uid="{00000000-0005-0000-0000-0000D5150000}"/>
    <cellStyle name="Normal 2 2 26 3 2 3" xfId="2389" xr:uid="{00000000-0005-0000-0000-0000D6150000}"/>
    <cellStyle name="Normal 2 2 26 3 2 3 2" xfId="29128" xr:uid="{00000000-0005-0000-0000-0000D7150000}"/>
    <cellStyle name="Normal 2 2 26 3 2 4" xfId="29129" xr:uid="{00000000-0005-0000-0000-0000D8150000}"/>
    <cellStyle name="Normal 2 2 26 3 3" xfId="2390" xr:uid="{00000000-0005-0000-0000-0000D9150000}"/>
    <cellStyle name="Normal 2 2 26 3 3 2" xfId="29130" xr:uid="{00000000-0005-0000-0000-0000DA150000}"/>
    <cellStyle name="Normal 2 2 26 3 4" xfId="2391" xr:uid="{00000000-0005-0000-0000-0000DB150000}"/>
    <cellStyle name="Normal 2 2 26 3 4 2" xfId="29131" xr:uid="{00000000-0005-0000-0000-0000DC150000}"/>
    <cellStyle name="Normal 2 2 26 3 5" xfId="2392" xr:uid="{00000000-0005-0000-0000-0000DD150000}"/>
    <cellStyle name="Normal 2 2 26 3 5 2" xfId="29132" xr:uid="{00000000-0005-0000-0000-0000DE150000}"/>
    <cellStyle name="Normal 2 2 26 3 6" xfId="29133" xr:uid="{00000000-0005-0000-0000-0000DF150000}"/>
    <cellStyle name="Normal 2 2 26 3 6 2" xfId="29134" xr:uid="{00000000-0005-0000-0000-0000E0150000}"/>
    <cellStyle name="Normal 2 2 26 3 7" xfId="29135" xr:uid="{00000000-0005-0000-0000-0000E1150000}"/>
    <cellStyle name="Normal 2 2 26 4" xfId="2393" xr:uid="{00000000-0005-0000-0000-0000E2150000}"/>
    <cellStyle name="Normal 2 2 26 4 2" xfId="2394" xr:uid="{00000000-0005-0000-0000-0000E3150000}"/>
    <cellStyle name="Normal 2 2 26 4 2 2" xfId="29136" xr:uid="{00000000-0005-0000-0000-0000E4150000}"/>
    <cellStyle name="Normal 2 2 26 4 3" xfId="2395" xr:uid="{00000000-0005-0000-0000-0000E5150000}"/>
    <cellStyle name="Normal 2 2 26 4 3 2" xfId="29137" xr:uid="{00000000-0005-0000-0000-0000E6150000}"/>
    <cellStyle name="Normal 2 2 26 4 4" xfId="29138" xr:uid="{00000000-0005-0000-0000-0000E7150000}"/>
    <cellStyle name="Normal 2 2 26 5" xfId="2396" xr:uid="{00000000-0005-0000-0000-0000E8150000}"/>
    <cellStyle name="Normal 2 2 26 5 2" xfId="2397" xr:uid="{00000000-0005-0000-0000-0000E9150000}"/>
    <cellStyle name="Normal 2 2 26 5 2 2" xfId="29139" xr:uid="{00000000-0005-0000-0000-0000EA150000}"/>
    <cellStyle name="Normal 2 2 26 5 3" xfId="29140" xr:uid="{00000000-0005-0000-0000-0000EB150000}"/>
    <cellStyle name="Normal 2 2 26 6" xfId="2398" xr:uid="{00000000-0005-0000-0000-0000EC150000}"/>
    <cellStyle name="Normal 2 2 26 6 2" xfId="29141" xr:uid="{00000000-0005-0000-0000-0000ED150000}"/>
    <cellStyle name="Normal 2 2 26 7" xfId="2399" xr:uid="{00000000-0005-0000-0000-0000EE150000}"/>
    <cellStyle name="Normal 2 2 26 7 2" xfId="29142" xr:uid="{00000000-0005-0000-0000-0000EF150000}"/>
    <cellStyle name="Normal 2 2 26 8" xfId="29143" xr:uid="{00000000-0005-0000-0000-0000F0150000}"/>
    <cellStyle name="Normal 2 2 26 8 2" xfId="29144" xr:uid="{00000000-0005-0000-0000-0000F1150000}"/>
    <cellStyle name="Normal 2 2 26 9" xfId="29145" xr:uid="{00000000-0005-0000-0000-0000F2150000}"/>
    <cellStyle name="Normal 2 2 27" xfId="2400" xr:uid="{00000000-0005-0000-0000-0000F3150000}"/>
    <cellStyle name="Normal 2 2 27 10" xfId="29146" xr:uid="{00000000-0005-0000-0000-0000F4150000}"/>
    <cellStyle name="Normal 2 2 27 11" xfId="29147" xr:uid="{00000000-0005-0000-0000-0000F5150000}"/>
    <cellStyle name="Normal 2 2 27 2" xfId="2401" xr:uid="{00000000-0005-0000-0000-0000F6150000}"/>
    <cellStyle name="Normal 2 2 27 2 10" xfId="29148" xr:uid="{00000000-0005-0000-0000-0000F7150000}"/>
    <cellStyle name="Normal 2 2 27 2 2" xfId="2402" xr:uid="{00000000-0005-0000-0000-0000F8150000}"/>
    <cellStyle name="Normal 2 2 27 2 2 2" xfId="2403" xr:uid="{00000000-0005-0000-0000-0000F9150000}"/>
    <cellStyle name="Normal 2 2 27 2 2 2 2" xfId="2404" xr:uid="{00000000-0005-0000-0000-0000FA150000}"/>
    <cellStyle name="Normal 2 2 27 2 2 2 2 2" xfId="29149" xr:uid="{00000000-0005-0000-0000-0000FB150000}"/>
    <cellStyle name="Normal 2 2 27 2 2 2 3" xfId="2405" xr:uid="{00000000-0005-0000-0000-0000FC150000}"/>
    <cellStyle name="Normal 2 2 27 2 2 2 3 2" xfId="29150" xr:uid="{00000000-0005-0000-0000-0000FD150000}"/>
    <cellStyle name="Normal 2 2 27 2 2 2 4" xfId="29151" xr:uid="{00000000-0005-0000-0000-0000FE150000}"/>
    <cellStyle name="Normal 2 2 27 2 2 3" xfId="2406" xr:uid="{00000000-0005-0000-0000-0000FF150000}"/>
    <cellStyle name="Normal 2 2 27 2 2 3 2" xfId="29152" xr:uid="{00000000-0005-0000-0000-000000160000}"/>
    <cellStyle name="Normal 2 2 27 2 2 4" xfId="2407" xr:uid="{00000000-0005-0000-0000-000001160000}"/>
    <cellStyle name="Normal 2 2 27 2 2 4 2" xfId="29153" xr:uid="{00000000-0005-0000-0000-000002160000}"/>
    <cellStyle name="Normal 2 2 27 2 2 5" xfId="2408" xr:uid="{00000000-0005-0000-0000-000003160000}"/>
    <cellStyle name="Normal 2 2 27 2 2 5 2" xfId="29154" xr:uid="{00000000-0005-0000-0000-000004160000}"/>
    <cellStyle name="Normal 2 2 27 2 2 6" xfId="29155" xr:uid="{00000000-0005-0000-0000-000005160000}"/>
    <cellStyle name="Normal 2 2 27 2 2 6 2" xfId="29156" xr:uid="{00000000-0005-0000-0000-000006160000}"/>
    <cellStyle name="Normal 2 2 27 2 2 7" xfId="29157" xr:uid="{00000000-0005-0000-0000-000007160000}"/>
    <cellStyle name="Normal 2 2 27 2 3" xfId="2409" xr:uid="{00000000-0005-0000-0000-000008160000}"/>
    <cellStyle name="Normal 2 2 27 2 3 2" xfId="2410" xr:uid="{00000000-0005-0000-0000-000009160000}"/>
    <cellStyle name="Normal 2 2 27 2 3 2 2" xfId="29158" xr:uid="{00000000-0005-0000-0000-00000A160000}"/>
    <cellStyle name="Normal 2 2 27 2 3 3" xfId="2411" xr:uid="{00000000-0005-0000-0000-00000B160000}"/>
    <cellStyle name="Normal 2 2 27 2 3 3 2" xfId="29159" xr:uid="{00000000-0005-0000-0000-00000C160000}"/>
    <cellStyle name="Normal 2 2 27 2 3 4" xfId="29160" xr:uid="{00000000-0005-0000-0000-00000D160000}"/>
    <cellStyle name="Normal 2 2 27 2 4" xfId="2412" xr:uid="{00000000-0005-0000-0000-00000E160000}"/>
    <cellStyle name="Normal 2 2 27 2 4 2" xfId="2413" xr:uid="{00000000-0005-0000-0000-00000F160000}"/>
    <cellStyle name="Normal 2 2 27 2 4 2 2" xfId="29161" xr:uid="{00000000-0005-0000-0000-000010160000}"/>
    <cellStyle name="Normal 2 2 27 2 4 3" xfId="29162" xr:uid="{00000000-0005-0000-0000-000011160000}"/>
    <cellStyle name="Normal 2 2 27 2 5" xfId="2414" xr:uid="{00000000-0005-0000-0000-000012160000}"/>
    <cellStyle name="Normal 2 2 27 2 5 2" xfId="29163" xr:uid="{00000000-0005-0000-0000-000013160000}"/>
    <cellStyle name="Normal 2 2 27 2 6" xfId="2415" xr:uid="{00000000-0005-0000-0000-000014160000}"/>
    <cellStyle name="Normal 2 2 27 2 6 2" xfId="29164" xr:uid="{00000000-0005-0000-0000-000015160000}"/>
    <cellStyle name="Normal 2 2 27 2 7" xfId="29165" xr:uid="{00000000-0005-0000-0000-000016160000}"/>
    <cellStyle name="Normal 2 2 27 2 7 2" xfId="29166" xr:uid="{00000000-0005-0000-0000-000017160000}"/>
    <cellStyle name="Normal 2 2 27 2 8" xfId="29167" xr:uid="{00000000-0005-0000-0000-000018160000}"/>
    <cellStyle name="Normal 2 2 27 2 9" xfId="29168" xr:uid="{00000000-0005-0000-0000-000019160000}"/>
    <cellStyle name="Normal 2 2 27 3" xfId="2416" xr:uid="{00000000-0005-0000-0000-00001A160000}"/>
    <cellStyle name="Normal 2 2 27 3 2" xfId="2417" xr:uid="{00000000-0005-0000-0000-00001B160000}"/>
    <cellStyle name="Normal 2 2 27 3 2 2" xfId="2418" xr:uid="{00000000-0005-0000-0000-00001C160000}"/>
    <cellStyle name="Normal 2 2 27 3 2 2 2" xfId="29169" xr:uid="{00000000-0005-0000-0000-00001D160000}"/>
    <cellStyle name="Normal 2 2 27 3 2 3" xfId="2419" xr:uid="{00000000-0005-0000-0000-00001E160000}"/>
    <cellStyle name="Normal 2 2 27 3 2 3 2" xfId="29170" xr:uid="{00000000-0005-0000-0000-00001F160000}"/>
    <cellStyle name="Normal 2 2 27 3 2 4" xfId="29171" xr:uid="{00000000-0005-0000-0000-000020160000}"/>
    <cellStyle name="Normal 2 2 27 3 3" xfId="2420" xr:uid="{00000000-0005-0000-0000-000021160000}"/>
    <cellStyle name="Normal 2 2 27 3 3 2" xfId="29172" xr:uid="{00000000-0005-0000-0000-000022160000}"/>
    <cellStyle name="Normal 2 2 27 3 4" xfId="2421" xr:uid="{00000000-0005-0000-0000-000023160000}"/>
    <cellStyle name="Normal 2 2 27 3 4 2" xfId="29173" xr:uid="{00000000-0005-0000-0000-000024160000}"/>
    <cellStyle name="Normal 2 2 27 3 5" xfId="2422" xr:uid="{00000000-0005-0000-0000-000025160000}"/>
    <cellStyle name="Normal 2 2 27 3 5 2" xfId="29174" xr:uid="{00000000-0005-0000-0000-000026160000}"/>
    <cellStyle name="Normal 2 2 27 3 6" xfId="29175" xr:uid="{00000000-0005-0000-0000-000027160000}"/>
    <cellStyle name="Normal 2 2 27 3 6 2" xfId="29176" xr:uid="{00000000-0005-0000-0000-000028160000}"/>
    <cellStyle name="Normal 2 2 27 3 7" xfId="29177" xr:uid="{00000000-0005-0000-0000-000029160000}"/>
    <cellStyle name="Normal 2 2 27 4" xfId="2423" xr:uid="{00000000-0005-0000-0000-00002A160000}"/>
    <cellStyle name="Normal 2 2 27 4 2" xfId="2424" xr:uid="{00000000-0005-0000-0000-00002B160000}"/>
    <cellStyle name="Normal 2 2 27 4 2 2" xfId="29178" xr:uid="{00000000-0005-0000-0000-00002C160000}"/>
    <cellStyle name="Normal 2 2 27 4 3" xfId="2425" xr:uid="{00000000-0005-0000-0000-00002D160000}"/>
    <cellStyle name="Normal 2 2 27 4 3 2" xfId="29179" xr:uid="{00000000-0005-0000-0000-00002E160000}"/>
    <cellStyle name="Normal 2 2 27 4 4" xfId="29180" xr:uid="{00000000-0005-0000-0000-00002F160000}"/>
    <cellStyle name="Normal 2 2 27 5" xfId="2426" xr:uid="{00000000-0005-0000-0000-000030160000}"/>
    <cellStyle name="Normal 2 2 27 5 2" xfId="2427" xr:uid="{00000000-0005-0000-0000-000031160000}"/>
    <cellStyle name="Normal 2 2 27 5 2 2" xfId="29181" xr:uid="{00000000-0005-0000-0000-000032160000}"/>
    <cellStyle name="Normal 2 2 27 5 3" xfId="29182" xr:uid="{00000000-0005-0000-0000-000033160000}"/>
    <cellStyle name="Normal 2 2 27 6" xfId="2428" xr:uid="{00000000-0005-0000-0000-000034160000}"/>
    <cellStyle name="Normal 2 2 27 6 2" xfId="29183" xr:uid="{00000000-0005-0000-0000-000035160000}"/>
    <cellStyle name="Normal 2 2 27 7" xfId="2429" xr:uid="{00000000-0005-0000-0000-000036160000}"/>
    <cellStyle name="Normal 2 2 27 7 2" xfId="29184" xr:uid="{00000000-0005-0000-0000-000037160000}"/>
    <cellStyle name="Normal 2 2 27 8" xfId="29185" xr:uid="{00000000-0005-0000-0000-000038160000}"/>
    <cellStyle name="Normal 2 2 27 8 2" xfId="29186" xr:uid="{00000000-0005-0000-0000-000039160000}"/>
    <cellStyle name="Normal 2 2 27 9" xfId="29187" xr:uid="{00000000-0005-0000-0000-00003A160000}"/>
    <cellStyle name="Normal 2 2 28" xfId="2430" xr:uid="{00000000-0005-0000-0000-00003B160000}"/>
    <cellStyle name="Normal 2 2 28 10" xfId="29188" xr:uid="{00000000-0005-0000-0000-00003C160000}"/>
    <cellStyle name="Normal 2 2 28 11" xfId="29189" xr:uid="{00000000-0005-0000-0000-00003D160000}"/>
    <cellStyle name="Normal 2 2 28 2" xfId="2431" xr:uid="{00000000-0005-0000-0000-00003E160000}"/>
    <cellStyle name="Normal 2 2 28 2 10" xfId="29190" xr:uid="{00000000-0005-0000-0000-00003F160000}"/>
    <cellStyle name="Normal 2 2 28 2 2" xfId="2432" xr:uid="{00000000-0005-0000-0000-000040160000}"/>
    <cellStyle name="Normal 2 2 28 2 2 2" xfId="2433" xr:uid="{00000000-0005-0000-0000-000041160000}"/>
    <cellStyle name="Normal 2 2 28 2 2 2 2" xfId="2434" xr:uid="{00000000-0005-0000-0000-000042160000}"/>
    <cellStyle name="Normal 2 2 28 2 2 2 2 2" xfId="29191" xr:uid="{00000000-0005-0000-0000-000043160000}"/>
    <cellStyle name="Normal 2 2 28 2 2 2 3" xfId="2435" xr:uid="{00000000-0005-0000-0000-000044160000}"/>
    <cellStyle name="Normal 2 2 28 2 2 2 3 2" xfId="29192" xr:uid="{00000000-0005-0000-0000-000045160000}"/>
    <cellStyle name="Normal 2 2 28 2 2 2 4" xfId="29193" xr:uid="{00000000-0005-0000-0000-000046160000}"/>
    <cellStyle name="Normal 2 2 28 2 2 3" xfId="2436" xr:uid="{00000000-0005-0000-0000-000047160000}"/>
    <cellStyle name="Normal 2 2 28 2 2 3 2" xfId="29194" xr:uid="{00000000-0005-0000-0000-000048160000}"/>
    <cellStyle name="Normal 2 2 28 2 2 4" xfId="2437" xr:uid="{00000000-0005-0000-0000-000049160000}"/>
    <cellStyle name="Normal 2 2 28 2 2 4 2" xfId="29195" xr:uid="{00000000-0005-0000-0000-00004A160000}"/>
    <cellStyle name="Normal 2 2 28 2 2 5" xfId="2438" xr:uid="{00000000-0005-0000-0000-00004B160000}"/>
    <cellStyle name="Normal 2 2 28 2 2 5 2" xfId="29196" xr:uid="{00000000-0005-0000-0000-00004C160000}"/>
    <cellStyle name="Normal 2 2 28 2 2 6" xfId="29197" xr:uid="{00000000-0005-0000-0000-00004D160000}"/>
    <cellStyle name="Normal 2 2 28 2 2 6 2" xfId="29198" xr:uid="{00000000-0005-0000-0000-00004E160000}"/>
    <cellStyle name="Normal 2 2 28 2 2 7" xfId="29199" xr:uid="{00000000-0005-0000-0000-00004F160000}"/>
    <cellStyle name="Normal 2 2 28 2 3" xfId="2439" xr:uid="{00000000-0005-0000-0000-000050160000}"/>
    <cellStyle name="Normal 2 2 28 2 3 2" xfId="2440" xr:uid="{00000000-0005-0000-0000-000051160000}"/>
    <cellStyle name="Normal 2 2 28 2 3 2 2" xfId="29200" xr:uid="{00000000-0005-0000-0000-000052160000}"/>
    <cellStyle name="Normal 2 2 28 2 3 3" xfId="2441" xr:uid="{00000000-0005-0000-0000-000053160000}"/>
    <cellStyle name="Normal 2 2 28 2 3 3 2" xfId="29201" xr:uid="{00000000-0005-0000-0000-000054160000}"/>
    <cellStyle name="Normal 2 2 28 2 3 4" xfId="29202" xr:uid="{00000000-0005-0000-0000-000055160000}"/>
    <cellStyle name="Normal 2 2 28 2 4" xfId="2442" xr:uid="{00000000-0005-0000-0000-000056160000}"/>
    <cellStyle name="Normal 2 2 28 2 4 2" xfId="2443" xr:uid="{00000000-0005-0000-0000-000057160000}"/>
    <cellStyle name="Normal 2 2 28 2 4 2 2" xfId="29203" xr:uid="{00000000-0005-0000-0000-000058160000}"/>
    <cellStyle name="Normal 2 2 28 2 4 3" xfId="29204" xr:uid="{00000000-0005-0000-0000-000059160000}"/>
    <cellStyle name="Normal 2 2 28 2 5" xfId="2444" xr:uid="{00000000-0005-0000-0000-00005A160000}"/>
    <cellStyle name="Normal 2 2 28 2 5 2" xfId="29205" xr:uid="{00000000-0005-0000-0000-00005B160000}"/>
    <cellStyle name="Normal 2 2 28 2 6" xfId="2445" xr:uid="{00000000-0005-0000-0000-00005C160000}"/>
    <cellStyle name="Normal 2 2 28 2 6 2" xfId="29206" xr:uid="{00000000-0005-0000-0000-00005D160000}"/>
    <cellStyle name="Normal 2 2 28 2 7" xfId="29207" xr:uid="{00000000-0005-0000-0000-00005E160000}"/>
    <cellStyle name="Normal 2 2 28 2 7 2" xfId="29208" xr:uid="{00000000-0005-0000-0000-00005F160000}"/>
    <cellStyle name="Normal 2 2 28 2 8" xfId="29209" xr:uid="{00000000-0005-0000-0000-000060160000}"/>
    <cellStyle name="Normal 2 2 28 2 9" xfId="29210" xr:uid="{00000000-0005-0000-0000-000061160000}"/>
    <cellStyle name="Normal 2 2 28 3" xfId="2446" xr:uid="{00000000-0005-0000-0000-000062160000}"/>
    <cellStyle name="Normal 2 2 28 3 2" xfId="2447" xr:uid="{00000000-0005-0000-0000-000063160000}"/>
    <cellStyle name="Normal 2 2 28 3 2 2" xfId="2448" xr:uid="{00000000-0005-0000-0000-000064160000}"/>
    <cellStyle name="Normal 2 2 28 3 2 2 2" xfId="29211" xr:uid="{00000000-0005-0000-0000-000065160000}"/>
    <cellStyle name="Normal 2 2 28 3 2 3" xfId="2449" xr:uid="{00000000-0005-0000-0000-000066160000}"/>
    <cellStyle name="Normal 2 2 28 3 2 3 2" xfId="29212" xr:uid="{00000000-0005-0000-0000-000067160000}"/>
    <cellStyle name="Normal 2 2 28 3 2 4" xfId="29213" xr:uid="{00000000-0005-0000-0000-000068160000}"/>
    <cellStyle name="Normal 2 2 28 3 3" xfId="2450" xr:uid="{00000000-0005-0000-0000-000069160000}"/>
    <cellStyle name="Normal 2 2 28 3 3 2" xfId="29214" xr:uid="{00000000-0005-0000-0000-00006A160000}"/>
    <cellStyle name="Normal 2 2 28 3 4" xfId="2451" xr:uid="{00000000-0005-0000-0000-00006B160000}"/>
    <cellStyle name="Normal 2 2 28 3 4 2" xfId="29215" xr:uid="{00000000-0005-0000-0000-00006C160000}"/>
    <cellStyle name="Normal 2 2 28 3 5" xfId="2452" xr:uid="{00000000-0005-0000-0000-00006D160000}"/>
    <cellStyle name="Normal 2 2 28 3 5 2" xfId="29216" xr:uid="{00000000-0005-0000-0000-00006E160000}"/>
    <cellStyle name="Normal 2 2 28 3 6" xfId="29217" xr:uid="{00000000-0005-0000-0000-00006F160000}"/>
    <cellStyle name="Normal 2 2 28 3 6 2" xfId="29218" xr:uid="{00000000-0005-0000-0000-000070160000}"/>
    <cellStyle name="Normal 2 2 28 3 7" xfId="29219" xr:uid="{00000000-0005-0000-0000-000071160000}"/>
    <cellStyle name="Normal 2 2 28 4" xfId="2453" xr:uid="{00000000-0005-0000-0000-000072160000}"/>
    <cellStyle name="Normal 2 2 28 4 2" xfId="2454" xr:uid="{00000000-0005-0000-0000-000073160000}"/>
    <cellStyle name="Normal 2 2 28 4 2 2" xfId="29220" xr:uid="{00000000-0005-0000-0000-000074160000}"/>
    <cellStyle name="Normal 2 2 28 4 3" xfId="2455" xr:uid="{00000000-0005-0000-0000-000075160000}"/>
    <cellStyle name="Normal 2 2 28 4 3 2" xfId="29221" xr:uid="{00000000-0005-0000-0000-000076160000}"/>
    <cellStyle name="Normal 2 2 28 4 4" xfId="29222" xr:uid="{00000000-0005-0000-0000-000077160000}"/>
    <cellStyle name="Normal 2 2 28 5" xfId="2456" xr:uid="{00000000-0005-0000-0000-000078160000}"/>
    <cellStyle name="Normal 2 2 28 5 2" xfId="2457" xr:uid="{00000000-0005-0000-0000-000079160000}"/>
    <cellStyle name="Normal 2 2 28 5 2 2" xfId="29223" xr:uid="{00000000-0005-0000-0000-00007A160000}"/>
    <cellStyle name="Normal 2 2 28 5 3" xfId="29224" xr:uid="{00000000-0005-0000-0000-00007B160000}"/>
    <cellStyle name="Normal 2 2 28 6" xfId="2458" xr:uid="{00000000-0005-0000-0000-00007C160000}"/>
    <cellStyle name="Normal 2 2 28 6 2" xfId="29225" xr:uid="{00000000-0005-0000-0000-00007D160000}"/>
    <cellStyle name="Normal 2 2 28 7" xfId="2459" xr:uid="{00000000-0005-0000-0000-00007E160000}"/>
    <cellStyle name="Normal 2 2 28 7 2" xfId="29226" xr:uid="{00000000-0005-0000-0000-00007F160000}"/>
    <cellStyle name="Normal 2 2 28 8" xfId="29227" xr:uid="{00000000-0005-0000-0000-000080160000}"/>
    <cellStyle name="Normal 2 2 28 8 2" xfId="29228" xr:uid="{00000000-0005-0000-0000-000081160000}"/>
    <cellStyle name="Normal 2 2 28 9" xfId="29229" xr:uid="{00000000-0005-0000-0000-000082160000}"/>
    <cellStyle name="Normal 2 2 29" xfId="2460" xr:uid="{00000000-0005-0000-0000-000083160000}"/>
    <cellStyle name="Normal 2 2 29 10" xfId="29230" xr:uid="{00000000-0005-0000-0000-000084160000}"/>
    <cellStyle name="Normal 2 2 29 11" xfId="29231" xr:uid="{00000000-0005-0000-0000-000085160000}"/>
    <cellStyle name="Normal 2 2 29 2" xfId="2461" xr:uid="{00000000-0005-0000-0000-000086160000}"/>
    <cellStyle name="Normal 2 2 29 2 10" xfId="29232" xr:uid="{00000000-0005-0000-0000-000087160000}"/>
    <cellStyle name="Normal 2 2 29 2 2" xfId="2462" xr:uid="{00000000-0005-0000-0000-000088160000}"/>
    <cellStyle name="Normal 2 2 29 2 2 2" xfId="2463" xr:uid="{00000000-0005-0000-0000-000089160000}"/>
    <cellStyle name="Normal 2 2 29 2 2 2 2" xfId="2464" xr:uid="{00000000-0005-0000-0000-00008A160000}"/>
    <cellStyle name="Normal 2 2 29 2 2 2 2 2" xfId="29233" xr:uid="{00000000-0005-0000-0000-00008B160000}"/>
    <cellStyle name="Normal 2 2 29 2 2 2 3" xfId="2465" xr:uid="{00000000-0005-0000-0000-00008C160000}"/>
    <cellStyle name="Normal 2 2 29 2 2 2 3 2" xfId="29234" xr:uid="{00000000-0005-0000-0000-00008D160000}"/>
    <cellStyle name="Normal 2 2 29 2 2 2 4" xfId="29235" xr:uid="{00000000-0005-0000-0000-00008E160000}"/>
    <cellStyle name="Normal 2 2 29 2 2 3" xfId="2466" xr:uid="{00000000-0005-0000-0000-00008F160000}"/>
    <cellStyle name="Normal 2 2 29 2 2 3 2" xfId="29236" xr:uid="{00000000-0005-0000-0000-000090160000}"/>
    <cellStyle name="Normal 2 2 29 2 2 4" xfId="2467" xr:uid="{00000000-0005-0000-0000-000091160000}"/>
    <cellStyle name="Normal 2 2 29 2 2 4 2" xfId="29237" xr:uid="{00000000-0005-0000-0000-000092160000}"/>
    <cellStyle name="Normal 2 2 29 2 2 5" xfId="2468" xr:uid="{00000000-0005-0000-0000-000093160000}"/>
    <cellStyle name="Normal 2 2 29 2 2 5 2" xfId="29238" xr:uid="{00000000-0005-0000-0000-000094160000}"/>
    <cellStyle name="Normal 2 2 29 2 2 6" xfId="29239" xr:uid="{00000000-0005-0000-0000-000095160000}"/>
    <cellStyle name="Normal 2 2 29 2 2 6 2" xfId="29240" xr:uid="{00000000-0005-0000-0000-000096160000}"/>
    <cellStyle name="Normal 2 2 29 2 2 7" xfId="29241" xr:uid="{00000000-0005-0000-0000-000097160000}"/>
    <cellStyle name="Normal 2 2 29 2 3" xfId="2469" xr:uid="{00000000-0005-0000-0000-000098160000}"/>
    <cellStyle name="Normal 2 2 29 2 3 2" xfId="2470" xr:uid="{00000000-0005-0000-0000-000099160000}"/>
    <cellStyle name="Normal 2 2 29 2 3 2 2" xfId="29242" xr:uid="{00000000-0005-0000-0000-00009A160000}"/>
    <cellStyle name="Normal 2 2 29 2 3 3" xfId="2471" xr:uid="{00000000-0005-0000-0000-00009B160000}"/>
    <cellStyle name="Normal 2 2 29 2 3 3 2" xfId="29243" xr:uid="{00000000-0005-0000-0000-00009C160000}"/>
    <cellStyle name="Normal 2 2 29 2 3 4" xfId="29244" xr:uid="{00000000-0005-0000-0000-00009D160000}"/>
    <cellStyle name="Normal 2 2 29 2 4" xfId="2472" xr:uid="{00000000-0005-0000-0000-00009E160000}"/>
    <cellStyle name="Normal 2 2 29 2 4 2" xfId="2473" xr:uid="{00000000-0005-0000-0000-00009F160000}"/>
    <cellStyle name="Normal 2 2 29 2 4 2 2" xfId="29245" xr:uid="{00000000-0005-0000-0000-0000A0160000}"/>
    <cellStyle name="Normal 2 2 29 2 4 3" xfId="29246" xr:uid="{00000000-0005-0000-0000-0000A1160000}"/>
    <cellStyle name="Normal 2 2 29 2 5" xfId="2474" xr:uid="{00000000-0005-0000-0000-0000A2160000}"/>
    <cellStyle name="Normal 2 2 29 2 5 2" xfId="29247" xr:uid="{00000000-0005-0000-0000-0000A3160000}"/>
    <cellStyle name="Normal 2 2 29 2 6" xfId="2475" xr:uid="{00000000-0005-0000-0000-0000A4160000}"/>
    <cellStyle name="Normal 2 2 29 2 6 2" xfId="29248" xr:uid="{00000000-0005-0000-0000-0000A5160000}"/>
    <cellStyle name="Normal 2 2 29 2 7" xfId="29249" xr:uid="{00000000-0005-0000-0000-0000A6160000}"/>
    <cellStyle name="Normal 2 2 29 2 7 2" xfId="29250" xr:uid="{00000000-0005-0000-0000-0000A7160000}"/>
    <cellStyle name="Normal 2 2 29 2 8" xfId="29251" xr:uid="{00000000-0005-0000-0000-0000A8160000}"/>
    <cellStyle name="Normal 2 2 29 2 9" xfId="29252" xr:uid="{00000000-0005-0000-0000-0000A9160000}"/>
    <cellStyle name="Normal 2 2 29 3" xfId="2476" xr:uid="{00000000-0005-0000-0000-0000AA160000}"/>
    <cellStyle name="Normal 2 2 29 3 2" xfId="2477" xr:uid="{00000000-0005-0000-0000-0000AB160000}"/>
    <cellStyle name="Normal 2 2 29 3 2 2" xfId="2478" xr:uid="{00000000-0005-0000-0000-0000AC160000}"/>
    <cellStyle name="Normal 2 2 29 3 2 2 2" xfId="29253" xr:uid="{00000000-0005-0000-0000-0000AD160000}"/>
    <cellStyle name="Normal 2 2 29 3 2 3" xfId="2479" xr:uid="{00000000-0005-0000-0000-0000AE160000}"/>
    <cellStyle name="Normal 2 2 29 3 2 3 2" xfId="29254" xr:uid="{00000000-0005-0000-0000-0000AF160000}"/>
    <cellStyle name="Normal 2 2 29 3 2 4" xfId="29255" xr:uid="{00000000-0005-0000-0000-0000B0160000}"/>
    <cellStyle name="Normal 2 2 29 3 3" xfId="2480" xr:uid="{00000000-0005-0000-0000-0000B1160000}"/>
    <cellStyle name="Normal 2 2 29 3 3 2" xfId="29256" xr:uid="{00000000-0005-0000-0000-0000B2160000}"/>
    <cellStyle name="Normal 2 2 29 3 4" xfId="2481" xr:uid="{00000000-0005-0000-0000-0000B3160000}"/>
    <cellStyle name="Normal 2 2 29 3 4 2" xfId="29257" xr:uid="{00000000-0005-0000-0000-0000B4160000}"/>
    <cellStyle name="Normal 2 2 29 3 5" xfId="2482" xr:uid="{00000000-0005-0000-0000-0000B5160000}"/>
    <cellStyle name="Normal 2 2 29 3 5 2" xfId="29258" xr:uid="{00000000-0005-0000-0000-0000B6160000}"/>
    <cellStyle name="Normal 2 2 29 3 6" xfId="29259" xr:uid="{00000000-0005-0000-0000-0000B7160000}"/>
    <cellStyle name="Normal 2 2 29 3 6 2" xfId="29260" xr:uid="{00000000-0005-0000-0000-0000B8160000}"/>
    <cellStyle name="Normal 2 2 29 3 7" xfId="29261" xr:uid="{00000000-0005-0000-0000-0000B9160000}"/>
    <cellStyle name="Normal 2 2 29 4" xfId="2483" xr:uid="{00000000-0005-0000-0000-0000BA160000}"/>
    <cellStyle name="Normal 2 2 29 4 2" xfId="2484" xr:uid="{00000000-0005-0000-0000-0000BB160000}"/>
    <cellStyle name="Normal 2 2 29 4 2 2" xfId="29262" xr:uid="{00000000-0005-0000-0000-0000BC160000}"/>
    <cellStyle name="Normal 2 2 29 4 3" xfId="2485" xr:uid="{00000000-0005-0000-0000-0000BD160000}"/>
    <cellStyle name="Normal 2 2 29 4 3 2" xfId="29263" xr:uid="{00000000-0005-0000-0000-0000BE160000}"/>
    <cellStyle name="Normal 2 2 29 4 4" xfId="29264" xr:uid="{00000000-0005-0000-0000-0000BF160000}"/>
    <cellStyle name="Normal 2 2 29 5" xfId="2486" xr:uid="{00000000-0005-0000-0000-0000C0160000}"/>
    <cellStyle name="Normal 2 2 29 5 2" xfId="2487" xr:uid="{00000000-0005-0000-0000-0000C1160000}"/>
    <cellStyle name="Normal 2 2 29 5 2 2" xfId="29265" xr:uid="{00000000-0005-0000-0000-0000C2160000}"/>
    <cellStyle name="Normal 2 2 29 5 3" xfId="29266" xr:uid="{00000000-0005-0000-0000-0000C3160000}"/>
    <cellStyle name="Normal 2 2 29 6" xfId="2488" xr:uid="{00000000-0005-0000-0000-0000C4160000}"/>
    <cellStyle name="Normal 2 2 29 6 2" xfId="29267" xr:uid="{00000000-0005-0000-0000-0000C5160000}"/>
    <cellStyle name="Normal 2 2 29 7" xfId="2489" xr:uid="{00000000-0005-0000-0000-0000C6160000}"/>
    <cellStyle name="Normal 2 2 29 7 2" xfId="29268" xr:uid="{00000000-0005-0000-0000-0000C7160000}"/>
    <cellStyle name="Normal 2 2 29 8" xfId="29269" xr:uid="{00000000-0005-0000-0000-0000C8160000}"/>
    <cellStyle name="Normal 2 2 29 8 2" xfId="29270" xr:uid="{00000000-0005-0000-0000-0000C9160000}"/>
    <cellStyle name="Normal 2 2 29 9" xfId="29271" xr:uid="{00000000-0005-0000-0000-0000CA160000}"/>
    <cellStyle name="Normal 2 2 3" xfId="2490" xr:uid="{00000000-0005-0000-0000-0000CB160000}"/>
    <cellStyle name="Normal 2 2 3 10" xfId="2491" xr:uid="{00000000-0005-0000-0000-0000CC160000}"/>
    <cellStyle name="Normal 2 2 3 10 10" xfId="29272" xr:uid="{00000000-0005-0000-0000-0000CD160000}"/>
    <cellStyle name="Normal 2 2 3 10 11" xfId="29273" xr:uid="{00000000-0005-0000-0000-0000CE160000}"/>
    <cellStyle name="Normal 2 2 3 10 2" xfId="2492" xr:uid="{00000000-0005-0000-0000-0000CF160000}"/>
    <cellStyle name="Normal 2 2 3 10 2 10" xfId="29274" xr:uid="{00000000-0005-0000-0000-0000D0160000}"/>
    <cellStyle name="Normal 2 2 3 10 2 2" xfId="2493" xr:uid="{00000000-0005-0000-0000-0000D1160000}"/>
    <cellStyle name="Normal 2 2 3 10 2 2 2" xfId="2494" xr:uid="{00000000-0005-0000-0000-0000D2160000}"/>
    <cellStyle name="Normal 2 2 3 10 2 2 2 2" xfId="2495" xr:uid="{00000000-0005-0000-0000-0000D3160000}"/>
    <cellStyle name="Normal 2 2 3 10 2 2 2 2 2" xfId="29275" xr:uid="{00000000-0005-0000-0000-0000D4160000}"/>
    <cellStyle name="Normal 2 2 3 10 2 2 2 3" xfId="2496" xr:uid="{00000000-0005-0000-0000-0000D5160000}"/>
    <cellStyle name="Normal 2 2 3 10 2 2 2 3 2" xfId="29276" xr:uid="{00000000-0005-0000-0000-0000D6160000}"/>
    <cellStyle name="Normal 2 2 3 10 2 2 2 4" xfId="29277" xr:uid="{00000000-0005-0000-0000-0000D7160000}"/>
    <cellStyle name="Normal 2 2 3 10 2 2 3" xfId="2497" xr:uid="{00000000-0005-0000-0000-0000D8160000}"/>
    <cellStyle name="Normal 2 2 3 10 2 2 3 2" xfId="29278" xr:uid="{00000000-0005-0000-0000-0000D9160000}"/>
    <cellStyle name="Normal 2 2 3 10 2 2 4" xfId="2498" xr:uid="{00000000-0005-0000-0000-0000DA160000}"/>
    <cellStyle name="Normal 2 2 3 10 2 2 4 2" xfId="29279" xr:uid="{00000000-0005-0000-0000-0000DB160000}"/>
    <cellStyle name="Normal 2 2 3 10 2 2 5" xfId="2499" xr:uid="{00000000-0005-0000-0000-0000DC160000}"/>
    <cellStyle name="Normal 2 2 3 10 2 2 5 2" xfId="29280" xr:uid="{00000000-0005-0000-0000-0000DD160000}"/>
    <cellStyle name="Normal 2 2 3 10 2 2 6" xfId="29281" xr:uid="{00000000-0005-0000-0000-0000DE160000}"/>
    <cellStyle name="Normal 2 2 3 10 2 2 6 2" xfId="29282" xr:uid="{00000000-0005-0000-0000-0000DF160000}"/>
    <cellStyle name="Normal 2 2 3 10 2 2 7" xfId="29283" xr:uid="{00000000-0005-0000-0000-0000E0160000}"/>
    <cellStyle name="Normal 2 2 3 10 2 3" xfId="2500" xr:uid="{00000000-0005-0000-0000-0000E1160000}"/>
    <cellStyle name="Normal 2 2 3 10 2 3 2" xfId="2501" xr:uid="{00000000-0005-0000-0000-0000E2160000}"/>
    <cellStyle name="Normal 2 2 3 10 2 3 2 2" xfId="29284" xr:uid="{00000000-0005-0000-0000-0000E3160000}"/>
    <cellStyle name="Normal 2 2 3 10 2 3 3" xfId="2502" xr:uid="{00000000-0005-0000-0000-0000E4160000}"/>
    <cellStyle name="Normal 2 2 3 10 2 3 3 2" xfId="29285" xr:uid="{00000000-0005-0000-0000-0000E5160000}"/>
    <cellStyle name="Normal 2 2 3 10 2 3 4" xfId="29286" xr:uid="{00000000-0005-0000-0000-0000E6160000}"/>
    <cellStyle name="Normal 2 2 3 10 2 4" xfId="2503" xr:uid="{00000000-0005-0000-0000-0000E7160000}"/>
    <cellStyle name="Normal 2 2 3 10 2 4 2" xfId="2504" xr:uid="{00000000-0005-0000-0000-0000E8160000}"/>
    <cellStyle name="Normal 2 2 3 10 2 4 2 2" xfId="29287" xr:uid="{00000000-0005-0000-0000-0000E9160000}"/>
    <cellStyle name="Normal 2 2 3 10 2 4 3" xfId="29288" xr:uid="{00000000-0005-0000-0000-0000EA160000}"/>
    <cellStyle name="Normal 2 2 3 10 2 5" xfId="2505" xr:uid="{00000000-0005-0000-0000-0000EB160000}"/>
    <cellStyle name="Normal 2 2 3 10 2 5 2" xfId="29289" xr:uid="{00000000-0005-0000-0000-0000EC160000}"/>
    <cellStyle name="Normal 2 2 3 10 2 6" xfId="2506" xr:uid="{00000000-0005-0000-0000-0000ED160000}"/>
    <cellStyle name="Normal 2 2 3 10 2 6 2" xfId="29290" xr:uid="{00000000-0005-0000-0000-0000EE160000}"/>
    <cellStyle name="Normal 2 2 3 10 2 7" xfId="29291" xr:uid="{00000000-0005-0000-0000-0000EF160000}"/>
    <cellStyle name="Normal 2 2 3 10 2 7 2" xfId="29292" xr:uid="{00000000-0005-0000-0000-0000F0160000}"/>
    <cellStyle name="Normal 2 2 3 10 2 8" xfId="29293" xr:uid="{00000000-0005-0000-0000-0000F1160000}"/>
    <cellStyle name="Normal 2 2 3 10 2 9" xfId="29294" xr:uid="{00000000-0005-0000-0000-0000F2160000}"/>
    <cellStyle name="Normal 2 2 3 10 3" xfId="2507" xr:uid="{00000000-0005-0000-0000-0000F3160000}"/>
    <cellStyle name="Normal 2 2 3 10 3 2" xfId="2508" xr:uid="{00000000-0005-0000-0000-0000F4160000}"/>
    <cellStyle name="Normal 2 2 3 10 3 2 2" xfId="2509" xr:uid="{00000000-0005-0000-0000-0000F5160000}"/>
    <cellStyle name="Normal 2 2 3 10 3 2 2 2" xfId="29295" xr:uid="{00000000-0005-0000-0000-0000F6160000}"/>
    <cellStyle name="Normal 2 2 3 10 3 2 3" xfId="2510" xr:uid="{00000000-0005-0000-0000-0000F7160000}"/>
    <cellStyle name="Normal 2 2 3 10 3 2 3 2" xfId="29296" xr:uid="{00000000-0005-0000-0000-0000F8160000}"/>
    <cellStyle name="Normal 2 2 3 10 3 2 4" xfId="29297" xr:uid="{00000000-0005-0000-0000-0000F9160000}"/>
    <cellStyle name="Normal 2 2 3 10 3 3" xfId="2511" xr:uid="{00000000-0005-0000-0000-0000FA160000}"/>
    <cellStyle name="Normal 2 2 3 10 3 3 2" xfId="29298" xr:uid="{00000000-0005-0000-0000-0000FB160000}"/>
    <cellStyle name="Normal 2 2 3 10 3 4" xfId="2512" xr:uid="{00000000-0005-0000-0000-0000FC160000}"/>
    <cellStyle name="Normal 2 2 3 10 3 4 2" xfId="29299" xr:uid="{00000000-0005-0000-0000-0000FD160000}"/>
    <cellStyle name="Normal 2 2 3 10 3 5" xfId="2513" xr:uid="{00000000-0005-0000-0000-0000FE160000}"/>
    <cellStyle name="Normal 2 2 3 10 3 5 2" xfId="29300" xr:uid="{00000000-0005-0000-0000-0000FF160000}"/>
    <cellStyle name="Normal 2 2 3 10 3 6" xfId="29301" xr:uid="{00000000-0005-0000-0000-000000170000}"/>
    <cellStyle name="Normal 2 2 3 10 3 6 2" xfId="29302" xr:uid="{00000000-0005-0000-0000-000001170000}"/>
    <cellStyle name="Normal 2 2 3 10 3 7" xfId="29303" xr:uid="{00000000-0005-0000-0000-000002170000}"/>
    <cellStyle name="Normal 2 2 3 10 4" xfId="2514" xr:uid="{00000000-0005-0000-0000-000003170000}"/>
    <cellStyle name="Normal 2 2 3 10 4 2" xfId="2515" xr:uid="{00000000-0005-0000-0000-000004170000}"/>
    <cellStyle name="Normal 2 2 3 10 4 2 2" xfId="29304" xr:uid="{00000000-0005-0000-0000-000005170000}"/>
    <cellStyle name="Normal 2 2 3 10 4 3" xfId="2516" xr:uid="{00000000-0005-0000-0000-000006170000}"/>
    <cellStyle name="Normal 2 2 3 10 4 3 2" xfId="29305" xr:uid="{00000000-0005-0000-0000-000007170000}"/>
    <cellStyle name="Normal 2 2 3 10 4 4" xfId="29306" xr:uid="{00000000-0005-0000-0000-000008170000}"/>
    <cellStyle name="Normal 2 2 3 10 5" xfId="2517" xr:uid="{00000000-0005-0000-0000-000009170000}"/>
    <cellStyle name="Normal 2 2 3 10 5 2" xfId="2518" xr:uid="{00000000-0005-0000-0000-00000A170000}"/>
    <cellStyle name="Normal 2 2 3 10 5 2 2" xfId="29307" xr:uid="{00000000-0005-0000-0000-00000B170000}"/>
    <cellStyle name="Normal 2 2 3 10 5 3" xfId="29308" xr:uid="{00000000-0005-0000-0000-00000C170000}"/>
    <cellStyle name="Normal 2 2 3 10 6" xfId="2519" xr:uid="{00000000-0005-0000-0000-00000D170000}"/>
    <cellStyle name="Normal 2 2 3 10 6 2" xfId="29309" xr:uid="{00000000-0005-0000-0000-00000E170000}"/>
    <cellStyle name="Normal 2 2 3 10 7" xfId="2520" xr:uid="{00000000-0005-0000-0000-00000F170000}"/>
    <cellStyle name="Normal 2 2 3 10 7 2" xfId="29310" xr:uid="{00000000-0005-0000-0000-000010170000}"/>
    <cellStyle name="Normal 2 2 3 10 8" xfId="29311" xr:uid="{00000000-0005-0000-0000-000011170000}"/>
    <cellStyle name="Normal 2 2 3 10 8 2" xfId="29312" xr:uid="{00000000-0005-0000-0000-000012170000}"/>
    <cellStyle name="Normal 2 2 3 10 9" xfId="29313" xr:uid="{00000000-0005-0000-0000-000013170000}"/>
    <cellStyle name="Normal 2 2 3 11" xfId="2521" xr:uid="{00000000-0005-0000-0000-000014170000}"/>
    <cellStyle name="Normal 2 2 3 11 10" xfId="29314" xr:uid="{00000000-0005-0000-0000-000015170000}"/>
    <cellStyle name="Normal 2 2 3 11 11" xfId="29315" xr:uid="{00000000-0005-0000-0000-000016170000}"/>
    <cellStyle name="Normal 2 2 3 11 2" xfId="2522" xr:uid="{00000000-0005-0000-0000-000017170000}"/>
    <cellStyle name="Normal 2 2 3 11 2 10" xfId="29316" xr:uid="{00000000-0005-0000-0000-000018170000}"/>
    <cellStyle name="Normal 2 2 3 11 2 2" xfId="2523" xr:uid="{00000000-0005-0000-0000-000019170000}"/>
    <cellStyle name="Normal 2 2 3 11 2 2 2" xfId="2524" xr:uid="{00000000-0005-0000-0000-00001A170000}"/>
    <cellStyle name="Normal 2 2 3 11 2 2 2 2" xfId="2525" xr:uid="{00000000-0005-0000-0000-00001B170000}"/>
    <cellStyle name="Normal 2 2 3 11 2 2 2 2 2" xfId="29317" xr:uid="{00000000-0005-0000-0000-00001C170000}"/>
    <cellStyle name="Normal 2 2 3 11 2 2 2 3" xfId="2526" xr:uid="{00000000-0005-0000-0000-00001D170000}"/>
    <cellStyle name="Normal 2 2 3 11 2 2 2 3 2" xfId="29318" xr:uid="{00000000-0005-0000-0000-00001E170000}"/>
    <cellStyle name="Normal 2 2 3 11 2 2 2 4" xfId="29319" xr:uid="{00000000-0005-0000-0000-00001F170000}"/>
    <cellStyle name="Normal 2 2 3 11 2 2 3" xfId="2527" xr:uid="{00000000-0005-0000-0000-000020170000}"/>
    <cellStyle name="Normal 2 2 3 11 2 2 3 2" xfId="29320" xr:uid="{00000000-0005-0000-0000-000021170000}"/>
    <cellStyle name="Normal 2 2 3 11 2 2 4" xfId="2528" xr:uid="{00000000-0005-0000-0000-000022170000}"/>
    <cellStyle name="Normal 2 2 3 11 2 2 4 2" xfId="29321" xr:uid="{00000000-0005-0000-0000-000023170000}"/>
    <cellStyle name="Normal 2 2 3 11 2 2 5" xfId="2529" xr:uid="{00000000-0005-0000-0000-000024170000}"/>
    <cellStyle name="Normal 2 2 3 11 2 2 5 2" xfId="29322" xr:uid="{00000000-0005-0000-0000-000025170000}"/>
    <cellStyle name="Normal 2 2 3 11 2 2 6" xfId="29323" xr:uid="{00000000-0005-0000-0000-000026170000}"/>
    <cellStyle name="Normal 2 2 3 11 2 2 6 2" xfId="29324" xr:uid="{00000000-0005-0000-0000-000027170000}"/>
    <cellStyle name="Normal 2 2 3 11 2 2 7" xfId="29325" xr:uid="{00000000-0005-0000-0000-000028170000}"/>
    <cellStyle name="Normal 2 2 3 11 2 3" xfId="2530" xr:uid="{00000000-0005-0000-0000-000029170000}"/>
    <cellStyle name="Normal 2 2 3 11 2 3 2" xfId="2531" xr:uid="{00000000-0005-0000-0000-00002A170000}"/>
    <cellStyle name="Normal 2 2 3 11 2 3 2 2" xfId="29326" xr:uid="{00000000-0005-0000-0000-00002B170000}"/>
    <cellStyle name="Normal 2 2 3 11 2 3 3" xfId="2532" xr:uid="{00000000-0005-0000-0000-00002C170000}"/>
    <cellStyle name="Normal 2 2 3 11 2 3 3 2" xfId="29327" xr:uid="{00000000-0005-0000-0000-00002D170000}"/>
    <cellStyle name="Normal 2 2 3 11 2 3 4" xfId="29328" xr:uid="{00000000-0005-0000-0000-00002E170000}"/>
    <cellStyle name="Normal 2 2 3 11 2 4" xfId="2533" xr:uid="{00000000-0005-0000-0000-00002F170000}"/>
    <cellStyle name="Normal 2 2 3 11 2 4 2" xfId="2534" xr:uid="{00000000-0005-0000-0000-000030170000}"/>
    <cellStyle name="Normal 2 2 3 11 2 4 2 2" xfId="29329" xr:uid="{00000000-0005-0000-0000-000031170000}"/>
    <cellStyle name="Normal 2 2 3 11 2 4 3" xfId="29330" xr:uid="{00000000-0005-0000-0000-000032170000}"/>
    <cellStyle name="Normal 2 2 3 11 2 5" xfId="2535" xr:uid="{00000000-0005-0000-0000-000033170000}"/>
    <cellStyle name="Normal 2 2 3 11 2 5 2" xfId="29331" xr:uid="{00000000-0005-0000-0000-000034170000}"/>
    <cellStyle name="Normal 2 2 3 11 2 6" xfId="2536" xr:uid="{00000000-0005-0000-0000-000035170000}"/>
    <cellStyle name="Normal 2 2 3 11 2 6 2" xfId="29332" xr:uid="{00000000-0005-0000-0000-000036170000}"/>
    <cellStyle name="Normal 2 2 3 11 2 7" xfId="29333" xr:uid="{00000000-0005-0000-0000-000037170000}"/>
    <cellStyle name="Normal 2 2 3 11 2 7 2" xfId="29334" xr:uid="{00000000-0005-0000-0000-000038170000}"/>
    <cellStyle name="Normal 2 2 3 11 2 8" xfId="29335" xr:uid="{00000000-0005-0000-0000-000039170000}"/>
    <cellStyle name="Normal 2 2 3 11 2 9" xfId="29336" xr:uid="{00000000-0005-0000-0000-00003A170000}"/>
    <cellStyle name="Normal 2 2 3 11 3" xfId="2537" xr:uid="{00000000-0005-0000-0000-00003B170000}"/>
    <cellStyle name="Normal 2 2 3 11 3 2" xfId="2538" xr:uid="{00000000-0005-0000-0000-00003C170000}"/>
    <cellStyle name="Normal 2 2 3 11 3 2 2" xfId="2539" xr:uid="{00000000-0005-0000-0000-00003D170000}"/>
    <cellStyle name="Normal 2 2 3 11 3 2 2 2" xfId="29337" xr:uid="{00000000-0005-0000-0000-00003E170000}"/>
    <cellStyle name="Normal 2 2 3 11 3 2 3" xfId="2540" xr:uid="{00000000-0005-0000-0000-00003F170000}"/>
    <cellStyle name="Normal 2 2 3 11 3 2 3 2" xfId="29338" xr:uid="{00000000-0005-0000-0000-000040170000}"/>
    <cellStyle name="Normal 2 2 3 11 3 2 4" xfId="29339" xr:uid="{00000000-0005-0000-0000-000041170000}"/>
    <cellStyle name="Normal 2 2 3 11 3 3" xfId="2541" xr:uid="{00000000-0005-0000-0000-000042170000}"/>
    <cellStyle name="Normal 2 2 3 11 3 3 2" xfId="29340" xr:uid="{00000000-0005-0000-0000-000043170000}"/>
    <cellStyle name="Normal 2 2 3 11 3 4" xfId="2542" xr:uid="{00000000-0005-0000-0000-000044170000}"/>
    <cellStyle name="Normal 2 2 3 11 3 4 2" xfId="29341" xr:uid="{00000000-0005-0000-0000-000045170000}"/>
    <cellStyle name="Normal 2 2 3 11 3 5" xfId="2543" xr:uid="{00000000-0005-0000-0000-000046170000}"/>
    <cellStyle name="Normal 2 2 3 11 3 5 2" xfId="29342" xr:uid="{00000000-0005-0000-0000-000047170000}"/>
    <cellStyle name="Normal 2 2 3 11 3 6" xfId="29343" xr:uid="{00000000-0005-0000-0000-000048170000}"/>
    <cellStyle name="Normal 2 2 3 11 3 6 2" xfId="29344" xr:uid="{00000000-0005-0000-0000-000049170000}"/>
    <cellStyle name="Normal 2 2 3 11 3 7" xfId="29345" xr:uid="{00000000-0005-0000-0000-00004A170000}"/>
    <cellStyle name="Normal 2 2 3 11 4" xfId="2544" xr:uid="{00000000-0005-0000-0000-00004B170000}"/>
    <cellStyle name="Normal 2 2 3 11 4 2" xfId="2545" xr:uid="{00000000-0005-0000-0000-00004C170000}"/>
    <cellStyle name="Normal 2 2 3 11 4 2 2" xfId="29346" xr:uid="{00000000-0005-0000-0000-00004D170000}"/>
    <cellStyle name="Normal 2 2 3 11 4 3" xfId="2546" xr:uid="{00000000-0005-0000-0000-00004E170000}"/>
    <cellStyle name="Normal 2 2 3 11 4 3 2" xfId="29347" xr:uid="{00000000-0005-0000-0000-00004F170000}"/>
    <cellStyle name="Normal 2 2 3 11 4 4" xfId="29348" xr:uid="{00000000-0005-0000-0000-000050170000}"/>
    <cellStyle name="Normal 2 2 3 11 5" xfId="2547" xr:uid="{00000000-0005-0000-0000-000051170000}"/>
    <cellStyle name="Normal 2 2 3 11 5 2" xfId="2548" xr:uid="{00000000-0005-0000-0000-000052170000}"/>
    <cellStyle name="Normal 2 2 3 11 5 2 2" xfId="29349" xr:uid="{00000000-0005-0000-0000-000053170000}"/>
    <cellStyle name="Normal 2 2 3 11 5 3" xfId="29350" xr:uid="{00000000-0005-0000-0000-000054170000}"/>
    <cellStyle name="Normal 2 2 3 11 6" xfId="2549" xr:uid="{00000000-0005-0000-0000-000055170000}"/>
    <cellStyle name="Normal 2 2 3 11 6 2" xfId="29351" xr:uid="{00000000-0005-0000-0000-000056170000}"/>
    <cellStyle name="Normal 2 2 3 11 7" xfId="2550" xr:uid="{00000000-0005-0000-0000-000057170000}"/>
    <cellStyle name="Normal 2 2 3 11 7 2" xfId="29352" xr:uid="{00000000-0005-0000-0000-000058170000}"/>
    <cellStyle name="Normal 2 2 3 11 8" xfId="29353" xr:uid="{00000000-0005-0000-0000-000059170000}"/>
    <cellStyle name="Normal 2 2 3 11 8 2" xfId="29354" xr:uid="{00000000-0005-0000-0000-00005A170000}"/>
    <cellStyle name="Normal 2 2 3 11 9" xfId="29355" xr:uid="{00000000-0005-0000-0000-00005B170000}"/>
    <cellStyle name="Normal 2 2 3 12" xfId="2551" xr:uid="{00000000-0005-0000-0000-00005C170000}"/>
    <cellStyle name="Normal 2 2 3 12 10" xfId="29356" xr:uid="{00000000-0005-0000-0000-00005D170000}"/>
    <cellStyle name="Normal 2 2 3 12 11" xfId="29357" xr:uid="{00000000-0005-0000-0000-00005E170000}"/>
    <cellStyle name="Normal 2 2 3 12 2" xfId="2552" xr:uid="{00000000-0005-0000-0000-00005F170000}"/>
    <cellStyle name="Normal 2 2 3 12 2 10" xfId="29358" xr:uid="{00000000-0005-0000-0000-000060170000}"/>
    <cellStyle name="Normal 2 2 3 12 2 2" xfId="2553" xr:uid="{00000000-0005-0000-0000-000061170000}"/>
    <cellStyle name="Normal 2 2 3 12 2 2 2" xfId="2554" xr:uid="{00000000-0005-0000-0000-000062170000}"/>
    <cellStyle name="Normal 2 2 3 12 2 2 2 2" xfId="2555" xr:uid="{00000000-0005-0000-0000-000063170000}"/>
    <cellStyle name="Normal 2 2 3 12 2 2 2 2 2" xfId="29359" xr:uid="{00000000-0005-0000-0000-000064170000}"/>
    <cellStyle name="Normal 2 2 3 12 2 2 2 3" xfId="2556" xr:uid="{00000000-0005-0000-0000-000065170000}"/>
    <cellStyle name="Normal 2 2 3 12 2 2 2 3 2" xfId="29360" xr:uid="{00000000-0005-0000-0000-000066170000}"/>
    <cellStyle name="Normal 2 2 3 12 2 2 2 4" xfId="29361" xr:uid="{00000000-0005-0000-0000-000067170000}"/>
    <cellStyle name="Normal 2 2 3 12 2 2 3" xfId="2557" xr:uid="{00000000-0005-0000-0000-000068170000}"/>
    <cellStyle name="Normal 2 2 3 12 2 2 3 2" xfId="29362" xr:uid="{00000000-0005-0000-0000-000069170000}"/>
    <cellStyle name="Normal 2 2 3 12 2 2 4" xfId="2558" xr:uid="{00000000-0005-0000-0000-00006A170000}"/>
    <cellStyle name="Normal 2 2 3 12 2 2 4 2" xfId="29363" xr:uid="{00000000-0005-0000-0000-00006B170000}"/>
    <cellStyle name="Normal 2 2 3 12 2 2 5" xfId="2559" xr:uid="{00000000-0005-0000-0000-00006C170000}"/>
    <cellStyle name="Normal 2 2 3 12 2 2 5 2" xfId="29364" xr:uid="{00000000-0005-0000-0000-00006D170000}"/>
    <cellStyle name="Normal 2 2 3 12 2 2 6" xfId="29365" xr:uid="{00000000-0005-0000-0000-00006E170000}"/>
    <cellStyle name="Normal 2 2 3 12 2 2 6 2" xfId="29366" xr:uid="{00000000-0005-0000-0000-00006F170000}"/>
    <cellStyle name="Normal 2 2 3 12 2 2 7" xfId="29367" xr:uid="{00000000-0005-0000-0000-000070170000}"/>
    <cellStyle name="Normal 2 2 3 12 2 3" xfId="2560" xr:uid="{00000000-0005-0000-0000-000071170000}"/>
    <cellStyle name="Normal 2 2 3 12 2 3 2" xfId="2561" xr:uid="{00000000-0005-0000-0000-000072170000}"/>
    <cellStyle name="Normal 2 2 3 12 2 3 2 2" xfId="29368" xr:uid="{00000000-0005-0000-0000-000073170000}"/>
    <cellStyle name="Normal 2 2 3 12 2 3 3" xfId="2562" xr:uid="{00000000-0005-0000-0000-000074170000}"/>
    <cellStyle name="Normal 2 2 3 12 2 3 3 2" xfId="29369" xr:uid="{00000000-0005-0000-0000-000075170000}"/>
    <cellStyle name="Normal 2 2 3 12 2 3 4" xfId="29370" xr:uid="{00000000-0005-0000-0000-000076170000}"/>
    <cellStyle name="Normal 2 2 3 12 2 4" xfId="2563" xr:uid="{00000000-0005-0000-0000-000077170000}"/>
    <cellStyle name="Normal 2 2 3 12 2 4 2" xfId="2564" xr:uid="{00000000-0005-0000-0000-000078170000}"/>
    <cellStyle name="Normal 2 2 3 12 2 4 2 2" xfId="29371" xr:uid="{00000000-0005-0000-0000-000079170000}"/>
    <cellStyle name="Normal 2 2 3 12 2 4 3" xfId="29372" xr:uid="{00000000-0005-0000-0000-00007A170000}"/>
    <cellStyle name="Normal 2 2 3 12 2 5" xfId="2565" xr:uid="{00000000-0005-0000-0000-00007B170000}"/>
    <cellStyle name="Normal 2 2 3 12 2 5 2" xfId="29373" xr:uid="{00000000-0005-0000-0000-00007C170000}"/>
    <cellStyle name="Normal 2 2 3 12 2 6" xfId="2566" xr:uid="{00000000-0005-0000-0000-00007D170000}"/>
    <cellStyle name="Normal 2 2 3 12 2 6 2" xfId="29374" xr:uid="{00000000-0005-0000-0000-00007E170000}"/>
    <cellStyle name="Normal 2 2 3 12 2 7" xfId="29375" xr:uid="{00000000-0005-0000-0000-00007F170000}"/>
    <cellStyle name="Normal 2 2 3 12 2 7 2" xfId="29376" xr:uid="{00000000-0005-0000-0000-000080170000}"/>
    <cellStyle name="Normal 2 2 3 12 2 8" xfId="29377" xr:uid="{00000000-0005-0000-0000-000081170000}"/>
    <cellStyle name="Normal 2 2 3 12 2 9" xfId="29378" xr:uid="{00000000-0005-0000-0000-000082170000}"/>
    <cellStyle name="Normal 2 2 3 12 3" xfId="2567" xr:uid="{00000000-0005-0000-0000-000083170000}"/>
    <cellStyle name="Normal 2 2 3 12 3 2" xfId="2568" xr:uid="{00000000-0005-0000-0000-000084170000}"/>
    <cellStyle name="Normal 2 2 3 12 3 2 2" xfId="2569" xr:uid="{00000000-0005-0000-0000-000085170000}"/>
    <cellStyle name="Normal 2 2 3 12 3 2 2 2" xfId="29379" xr:uid="{00000000-0005-0000-0000-000086170000}"/>
    <cellStyle name="Normal 2 2 3 12 3 2 3" xfId="2570" xr:uid="{00000000-0005-0000-0000-000087170000}"/>
    <cellStyle name="Normal 2 2 3 12 3 2 3 2" xfId="29380" xr:uid="{00000000-0005-0000-0000-000088170000}"/>
    <cellStyle name="Normal 2 2 3 12 3 2 4" xfId="29381" xr:uid="{00000000-0005-0000-0000-000089170000}"/>
    <cellStyle name="Normal 2 2 3 12 3 3" xfId="2571" xr:uid="{00000000-0005-0000-0000-00008A170000}"/>
    <cellStyle name="Normal 2 2 3 12 3 3 2" xfId="29382" xr:uid="{00000000-0005-0000-0000-00008B170000}"/>
    <cellStyle name="Normal 2 2 3 12 3 4" xfId="2572" xr:uid="{00000000-0005-0000-0000-00008C170000}"/>
    <cellStyle name="Normal 2 2 3 12 3 4 2" xfId="29383" xr:uid="{00000000-0005-0000-0000-00008D170000}"/>
    <cellStyle name="Normal 2 2 3 12 3 5" xfId="2573" xr:uid="{00000000-0005-0000-0000-00008E170000}"/>
    <cellStyle name="Normal 2 2 3 12 3 5 2" xfId="29384" xr:uid="{00000000-0005-0000-0000-00008F170000}"/>
    <cellStyle name="Normal 2 2 3 12 3 6" xfId="29385" xr:uid="{00000000-0005-0000-0000-000090170000}"/>
    <cellStyle name="Normal 2 2 3 12 3 6 2" xfId="29386" xr:uid="{00000000-0005-0000-0000-000091170000}"/>
    <cellStyle name="Normal 2 2 3 12 3 7" xfId="29387" xr:uid="{00000000-0005-0000-0000-000092170000}"/>
    <cellStyle name="Normal 2 2 3 12 4" xfId="2574" xr:uid="{00000000-0005-0000-0000-000093170000}"/>
    <cellStyle name="Normal 2 2 3 12 4 2" xfId="2575" xr:uid="{00000000-0005-0000-0000-000094170000}"/>
    <cellStyle name="Normal 2 2 3 12 4 2 2" xfId="29388" xr:uid="{00000000-0005-0000-0000-000095170000}"/>
    <cellStyle name="Normal 2 2 3 12 4 3" xfId="2576" xr:uid="{00000000-0005-0000-0000-000096170000}"/>
    <cellStyle name="Normal 2 2 3 12 4 3 2" xfId="29389" xr:uid="{00000000-0005-0000-0000-000097170000}"/>
    <cellStyle name="Normal 2 2 3 12 4 4" xfId="29390" xr:uid="{00000000-0005-0000-0000-000098170000}"/>
    <cellStyle name="Normal 2 2 3 12 5" xfId="2577" xr:uid="{00000000-0005-0000-0000-000099170000}"/>
    <cellStyle name="Normal 2 2 3 12 5 2" xfId="2578" xr:uid="{00000000-0005-0000-0000-00009A170000}"/>
    <cellStyle name="Normal 2 2 3 12 5 2 2" xfId="29391" xr:uid="{00000000-0005-0000-0000-00009B170000}"/>
    <cellStyle name="Normal 2 2 3 12 5 3" xfId="29392" xr:uid="{00000000-0005-0000-0000-00009C170000}"/>
    <cellStyle name="Normal 2 2 3 12 6" xfId="2579" xr:uid="{00000000-0005-0000-0000-00009D170000}"/>
    <cellStyle name="Normal 2 2 3 12 6 2" xfId="29393" xr:uid="{00000000-0005-0000-0000-00009E170000}"/>
    <cellStyle name="Normal 2 2 3 12 7" xfId="2580" xr:uid="{00000000-0005-0000-0000-00009F170000}"/>
    <cellStyle name="Normal 2 2 3 12 7 2" xfId="29394" xr:uid="{00000000-0005-0000-0000-0000A0170000}"/>
    <cellStyle name="Normal 2 2 3 12 8" xfId="29395" xr:uid="{00000000-0005-0000-0000-0000A1170000}"/>
    <cellStyle name="Normal 2 2 3 12 8 2" xfId="29396" xr:uid="{00000000-0005-0000-0000-0000A2170000}"/>
    <cellStyle name="Normal 2 2 3 12 9" xfId="29397" xr:uid="{00000000-0005-0000-0000-0000A3170000}"/>
    <cellStyle name="Normal 2 2 3 13" xfId="2581" xr:uid="{00000000-0005-0000-0000-0000A4170000}"/>
    <cellStyle name="Normal 2 2 3 13 10" xfId="29398" xr:uid="{00000000-0005-0000-0000-0000A5170000}"/>
    <cellStyle name="Normal 2 2 3 13 11" xfId="29399" xr:uid="{00000000-0005-0000-0000-0000A6170000}"/>
    <cellStyle name="Normal 2 2 3 13 2" xfId="2582" xr:uid="{00000000-0005-0000-0000-0000A7170000}"/>
    <cellStyle name="Normal 2 2 3 13 2 10" xfId="29400" xr:uid="{00000000-0005-0000-0000-0000A8170000}"/>
    <cellStyle name="Normal 2 2 3 13 2 2" xfId="2583" xr:uid="{00000000-0005-0000-0000-0000A9170000}"/>
    <cellStyle name="Normal 2 2 3 13 2 2 2" xfId="2584" xr:uid="{00000000-0005-0000-0000-0000AA170000}"/>
    <cellStyle name="Normal 2 2 3 13 2 2 2 2" xfId="2585" xr:uid="{00000000-0005-0000-0000-0000AB170000}"/>
    <cellStyle name="Normal 2 2 3 13 2 2 2 2 2" xfId="29401" xr:uid="{00000000-0005-0000-0000-0000AC170000}"/>
    <cellStyle name="Normal 2 2 3 13 2 2 2 3" xfId="2586" xr:uid="{00000000-0005-0000-0000-0000AD170000}"/>
    <cellStyle name="Normal 2 2 3 13 2 2 2 3 2" xfId="29402" xr:uid="{00000000-0005-0000-0000-0000AE170000}"/>
    <cellStyle name="Normal 2 2 3 13 2 2 2 4" xfId="29403" xr:uid="{00000000-0005-0000-0000-0000AF170000}"/>
    <cellStyle name="Normal 2 2 3 13 2 2 3" xfId="2587" xr:uid="{00000000-0005-0000-0000-0000B0170000}"/>
    <cellStyle name="Normal 2 2 3 13 2 2 3 2" xfId="29404" xr:uid="{00000000-0005-0000-0000-0000B1170000}"/>
    <cellStyle name="Normal 2 2 3 13 2 2 4" xfId="2588" xr:uid="{00000000-0005-0000-0000-0000B2170000}"/>
    <cellStyle name="Normal 2 2 3 13 2 2 4 2" xfId="29405" xr:uid="{00000000-0005-0000-0000-0000B3170000}"/>
    <cellStyle name="Normal 2 2 3 13 2 2 5" xfId="2589" xr:uid="{00000000-0005-0000-0000-0000B4170000}"/>
    <cellStyle name="Normal 2 2 3 13 2 2 5 2" xfId="29406" xr:uid="{00000000-0005-0000-0000-0000B5170000}"/>
    <cellStyle name="Normal 2 2 3 13 2 2 6" xfId="29407" xr:uid="{00000000-0005-0000-0000-0000B6170000}"/>
    <cellStyle name="Normal 2 2 3 13 2 2 6 2" xfId="29408" xr:uid="{00000000-0005-0000-0000-0000B7170000}"/>
    <cellStyle name="Normal 2 2 3 13 2 2 7" xfId="29409" xr:uid="{00000000-0005-0000-0000-0000B8170000}"/>
    <cellStyle name="Normal 2 2 3 13 2 3" xfId="2590" xr:uid="{00000000-0005-0000-0000-0000B9170000}"/>
    <cellStyle name="Normal 2 2 3 13 2 3 2" xfId="2591" xr:uid="{00000000-0005-0000-0000-0000BA170000}"/>
    <cellStyle name="Normal 2 2 3 13 2 3 2 2" xfId="29410" xr:uid="{00000000-0005-0000-0000-0000BB170000}"/>
    <cellStyle name="Normal 2 2 3 13 2 3 3" xfId="2592" xr:uid="{00000000-0005-0000-0000-0000BC170000}"/>
    <cellStyle name="Normal 2 2 3 13 2 3 3 2" xfId="29411" xr:uid="{00000000-0005-0000-0000-0000BD170000}"/>
    <cellStyle name="Normal 2 2 3 13 2 3 4" xfId="29412" xr:uid="{00000000-0005-0000-0000-0000BE170000}"/>
    <cellStyle name="Normal 2 2 3 13 2 4" xfId="2593" xr:uid="{00000000-0005-0000-0000-0000BF170000}"/>
    <cellStyle name="Normal 2 2 3 13 2 4 2" xfId="2594" xr:uid="{00000000-0005-0000-0000-0000C0170000}"/>
    <cellStyle name="Normal 2 2 3 13 2 4 2 2" xfId="29413" xr:uid="{00000000-0005-0000-0000-0000C1170000}"/>
    <cellStyle name="Normal 2 2 3 13 2 4 3" xfId="29414" xr:uid="{00000000-0005-0000-0000-0000C2170000}"/>
    <cellStyle name="Normal 2 2 3 13 2 5" xfId="2595" xr:uid="{00000000-0005-0000-0000-0000C3170000}"/>
    <cellStyle name="Normal 2 2 3 13 2 5 2" xfId="29415" xr:uid="{00000000-0005-0000-0000-0000C4170000}"/>
    <cellStyle name="Normal 2 2 3 13 2 6" xfId="2596" xr:uid="{00000000-0005-0000-0000-0000C5170000}"/>
    <cellStyle name="Normal 2 2 3 13 2 6 2" xfId="29416" xr:uid="{00000000-0005-0000-0000-0000C6170000}"/>
    <cellStyle name="Normal 2 2 3 13 2 7" xfId="29417" xr:uid="{00000000-0005-0000-0000-0000C7170000}"/>
    <cellStyle name="Normal 2 2 3 13 2 7 2" xfId="29418" xr:uid="{00000000-0005-0000-0000-0000C8170000}"/>
    <cellStyle name="Normal 2 2 3 13 2 8" xfId="29419" xr:uid="{00000000-0005-0000-0000-0000C9170000}"/>
    <cellStyle name="Normal 2 2 3 13 2 9" xfId="29420" xr:uid="{00000000-0005-0000-0000-0000CA170000}"/>
    <cellStyle name="Normal 2 2 3 13 3" xfId="2597" xr:uid="{00000000-0005-0000-0000-0000CB170000}"/>
    <cellStyle name="Normal 2 2 3 13 3 2" xfId="2598" xr:uid="{00000000-0005-0000-0000-0000CC170000}"/>
    <cellStyle name="Normal 2 2 3 13 3 2 2" xfId="2599" xr:uid="{00000000-0005-0000-0000-0000CD170000}"/>
    <cellStyle name="Normal 2 2 3 13 3 2 2 2" xfId="29421" xr:uid="{00000000-0005-0000-0000-0000CE170000}"/>
    <cellStyle name="Normal 2 2 3 13 3 2 3" xfId="2600" xr:uid="{00000000-0005-0000-0000-0000CF170000}"/>
    <cellStyle name="Normal 2 2 3 13 3 2 3 2" xfId="29422" xr:uid="{00000000-0005-0000-0000-0000D0170000}"/>
    <cellStyle name="Normal 2 2 3 13 3 2 4" xfId="29423" xr:uid="{00000000-0005-0000-0000-0000D1170000}"/>
    <cellStyle name="Normal 2 2 3 13 3 3" xfId="2601" xr:uid="{00000000-0005-0000-0000-0000D2170000}"/>
    <cellStyle name="Normal 2 2 3 13 3 3 2" xfId="29424" xr:uid="{00000000-0005-0000-0000-0000D3170000}"/>
    <cellStyle name="Normal 2 2 3 13 3 4" xfId="2602" xr:uid="{00000000-0005-0000-0000-0000D4170000}"/>
    <cellStyle name="Normal 2 2 3 13 3 4 2" xfId="29425" xr:uid="{00000000-0005-0000-0000-0000D5170000}"/>
    <cellStyle name="Normal 2 2 3 13 3 5" xfId="2603" xr:uid="{00000000-0005-0000-0000-0000D6170000}"/>
    <cellStyle name="Normal 2 2 3 13 3 5 2" xfId="29426" xr:uid="{00000000-0005-0000-0000-0000D7170000}"/>
    <cellStyle name="Normal 2 2 3 13 3 6" xfId="29427" xr:uid="{00000000-0005-0000-0000-0000D8170000}"/>
    <cellStyle name="Normal 2 2 3 13 3 6 2" xfId="29428" xr:uid="{00000000-0005-0000-0000-0000D9170000}"/>
    <cellStyle name="Normal 2 2 3 13 3 7" xfId="29429" xr:uid="{00000000-0005-0000-0000-0000DA170000}"/>
    <cellStyle name="Normal 2 2 3 13 4" xfId="2604" xr:uid="{00000000-0005-0000-0000-0000DB170000}"/>
    <cellStyle name="Normal 2 2 3 13 4 2" xfId="2605" xr:uid="{00000000-0005-0000-0000-0000DC170000}"/>
    <cellStyle name="Normal 2 2 3 13 4 2 2" xfId="29430" xr:uid="{00000000-0005-0000-0000-0000DD170000}"/>
    <cellStyle name="Normal 2 2 3 13 4 3" xfId="2606" xr:uid="{00000000-0005-0000-0000-0000DE170000}"/>
    <cellStyle name="Normal 2 2 3 13 4 3 2" xfId="29431" xr:uid="{00000000-0005-0000-0000-0000DF170000}"/>
    <cellStyle name="Normal 2 2 3 13 4 4" xfId="29432" xr:uid="{00000000-0005-0000-0000-0000E0170000}"/>
    <cellStyle name="Normal 2 2 3 13 5" xfId="2607" xr:uid="{00000000-0005-0000-0000-0000E1170000}"/>
    <cellStyle name="Normal 2 2 3 13 5 2" xfId="2608" xr:uid="{00000000-0005-0000-0000-0000E2170000}"/>
    <cellStyle name="Normal 2 2 3 13 5 2 2" xfId="29433" xr:uid="{00000000-0005-0000-0000-0000E3170000}"/>
    <cellStyle name="Normal 2 2 3 13 5 3" xfId="29434" xr:uid="{00000000-0005-0000-0000-0000E4170000}"/>
    <cellStyle name="Normal 2 2 3 13 6" xfId="2609" xr:uid="{00000000-0005-0000-0000-0000E5170000}"/>
    <cellStyle name="Normal 2 2 3 13 6 2" xfId="29435" xr:uid="{00000000-0005-0000-0000-0000E6170000}"/>
    <cellStyle name="Normal 2 2 3 13 7" xfId="2610" xr:uid="{00000000-0005-0000-0000-0000E7170000}"/>
    <cellStyle name="Normal 2 2 3 13 7 2" xfId="29436" xr:uid="{00000000-0005-0000-0000-0000E8170000}"/>
    <cellStyle name="Normal 2 2 3 13 8" xfId="29437" xr:uid="{00000000-0005-0000-0000-0000E9170000}"/>
    <cellStyle name="Normal 2 2 3 13 8 2" xfId="29438" xr:uid="{00000000-0005-0000-0000-0000EA170000}"/>
    <cellStyle name="Normal 2 2 3 13 9" xfId="29439" xr:uid="{00000000-0005-0000-0000-0000EB170000}"/>
    <cellStyle name="Normal 2 2 3 14" xfId="2611" xr:uid="{00000000-0005-0000-0000-0000EC170000}"/>
    <cellStyle name="Normal 2 2 3 14 10" xfId="29440" xr:uid="{00000000-0005-0000-0000-0000ED170000}"/>
    <cellStyle name="Normal 2 2 3 14 11" xfId="29441" xr:uid="{00000000-0005-0000-0000-0000EE170000}"/>
    <cellStyle name="Normal 2 2 3 14 2" xfId="2612" xr:uid="{00000000-0005-0000-0000-0000EF170000}"/>
    <cellStyle name="Normal 2 2 3 14 2 10" xfId="29442" xr:uid="{00000000-0005-0000-0000-0000F0170000}"/>
    <cellStyle name="Normal 2 2 3 14 2 2" xfId="2613" xr:uid="{00000000-0005-0000-0000-0000F1170000}"/>
    <cellStyle name="Normal 2 2 3 14 2 2 2" xfId="2614" xr:uid="{00000000-0005-0000-0000-0000F2170000}"/>
    <cellStyle name="Normal 2 2 3 14 2 2 2 2" xfId="2615" xr:uid="{00000000-0005-0000-0000-0000F3170000}"/>
    <cellStyle name="Normal 2 2 3 14 2 2 2 2 2" xfId="29443" xr:uid="{00000000-0005-0000-0000-0000F4170000}"/>
    <cellStyle name="Normal 2 2 3 14 2 2 2 3" xfId="2616" xr:uid="{00000000-0005-0000-0000-0000F5170000}"/>
    <cellStyle name="Normal 2 2 3 14 2 2 2 3 2" xfId="29444" xr:uid="{00000000-0005-0000-0000-0000F6170000}"/>
    <cellStyle name="Normal 2 2 3 14 2 2 2 4" xfId="29445" xr:uid="{00000000-0005-0000-0000-0000F7170000}"/>
    <cellStyle name="Normal 2 2 3 14 2 2 3" xfId="2617" xr:uid="{00000000-0005-0000-0000-0000F8170000}"/>
    <cellStyle name="Normal 2 2 3 14 2 2 3 2" xfId="29446" xr:uid="{00000000-0005-0000-0000-0000F9170000}"/>
    <cellStyle name="Normal 2 2 3 14 2 2 4" xfId="2618" xr:uid="{00000000-0005-0000-0000-0000FA170000}"/>
    <cellStyle name="Normal 2 2 3 14 2 2 4 2" xfId="29447" xr:uid="{00000000-0005-0000-0000-0000FB170000}"/>
    <cellStyle name="Normal 2 2 3 14 2 2 5" xfId="2619" xr:uid="{00000000-0005-0000-0000-0000FC170000}"/>
    <cellStyle name="Normal 2 2 3 14 2 2 5 2" xfId="29448" xr:uid="{00000000-0005-0000-0000-0000FD170000}"/>
    <cellStyle name="Normal 2 2 3 14 2 2 6" xfId="29449" xr:uid="{00000000-0005-0000-0000-0000FE170000}"/>
    <cellStyle name="Normal 2 2 3 14 2 2 6 2" xfId="29450" xr:uid="{00000000-0005-0000-0000-0000FF170000}"/>
    <cellStyle name="Normal 2 2 3 14 2 2 7" xfId="29451" xr:uid="{00000000-0005-0000-0000-000000180000}"/>
    <cellStyle name="Normal 2 2 3 14 2 3" xfId="2620" xr:uid="{00000000-0005-0000-0000-000001180000}"/>
    <cellStyle name="Normal 2 2 3 14 2 3 2" xfId="2621" xr:uid="{00000000-0005-0000-0000-000002180000}"/>
    <cellStyle name="Normal 2 2 3 14 2 3 2 2" xfId="29452" xr:uid="{00000000-0005-0000-0000-000003180000}"/>
    <cellStyle name="Normal 2 2 3 14 2 3 3" xfId="2622" xr:uid="{00000000-0005-0000-0000-000004180000}"/>
    <cellStyle name="Normal 2 2 3 14 2 3 3 2" xfId="29453" xr:uid="{00000000-0005-0000-0000-000005180000}"/>
    <cellStyle name="Normal 2 2 3 14 2 3 4" xfId="29454" xr:uid="{00000000-0005-0000-0000-000006180000}"/>
    <cellStyle name="Normal 2 2 3 14 2 4" xfId="2623" xr:uid="{00000000-0005-0000-0000-000007180000}"/>
    <cellStyle name="Normal 2 2 3 14 2 4 2" xfId="2624" xr:uid="{00000000-0005-0000-0000-000008180000}"/>
    <cellStyle name="Normal 2 2 3 14 2 4 2 2" xfId="29455" xr:uid="{00000000-0005-0000-0000-000009180000}"/>
    <cellStyle name="Normal 2 2 3 14 2 4 3" xfId="29456" xr:uid="{00000000-0005-0000-0000-00000A180000}"/>
    <cellStyle name="Normal 2 2 3 14 2 5" xfId="2625" xr:uid="{00000000-0005-0000-0000-00000B180000}"/>
    <cellStyle name="Normal 2 2 3 14 2 5 2" xfId="29457" xr:uid="{00000000-0005-0000-0000-00000C180000}"/>
    <cellStyle name="Normal 2 2 3 14 2 6" xfId="2626" xr:uid="{00000000-0005-0000-0000-00000D180000}"/>
    <cellStyle name="Normal 2 2 3 14 2 6 2" xfId="29458" xr:uid="{00000000-0005-0000-0000-00000E180000}"/>
    <cellStyle name="Normal 2 2 3 14 2 7" xfId="29459" xr:uid="{00000000-0005-0000-0000-00000F180000}"/>
    <cellStyle name="Normal 2 2 3 14 2 7 2" xfId="29460" xr:uid="{00000000-0005-0000-0000-000010180000}"/>
    <cellStyle name="Normal 2 2 3 14 2 8" xfId="29461" xr:uid="{00000000-0005-0000-0000-000011180000}"/>
    <cellStyle name="Normal 2 2 3 14 2 9" xfId="29462" xr:uid="{00000000-0005-0000-0000-000012180000}"/>
    <cellStyle name="Normal 2 2 3 14 3" xfId="2627" xr:uid="{00000000-0005-0000-0000-000013180000}"/>
    <cellStyle name="Normal 2 2 3 14 3 2" xfId="2628" xr:uid="{00000000-0005-0000-0000-000014180000}"/>
    <cellStyle name="Normal 2 2 3 14 3 2 2" xfId="2629" xr:uid="{00000000-0005-0000-0000-000015180000}"/>
    <cellStyle name="Normal 2 2 3 14 3 2 2 2" xfId="29463" xr:uid="{00000000-0005-0000-0000-000016180000}"/>
    <cellStyle name="Normal 2 2 3 14 3 2 3" xfId="2630" xr:uid="{00000000-0005-0000-0000-000017180000}"/>
    <cellStyle name="Normal 2 2 3 14 3 2 3 2" xfId="29464" xr:uid="{00000000-0005-0000-0000-000018180000}"/>
    <cellStyle name="Normal 2 2 3 14 3 2 4" xfId="29465" xr:uid="{00000000-0005-0000-0000-000019180000}"/>
    <cellStyle name="Normal 2 2 3 14 3 3" xfId="2631" xr:uid="{00000000-0005-0000-0000-00001A180000}"/>
    <cellStyle name="Normal 2 2 3 14 3 3 2" xfId="29466" xr:uid="{00000000-0005-0000-0000-00001B180000}"/>
    <cellStyle name="Normal 2 2 3 14 3 4" xfId="2632" xr:uid="{00000000-0005-0000-0000-00001C180000}"/>
    <cellStyle name="Normal 2 2 3 14 3 4 2" xfId="29467" xr:uid="{00000000-0005-0000-0000-00001D180000}"/>
    <cellStyle name="Normal 2 2 3 14 3 5" xfId="2633" xr:uid="{00000000-0005-0000-0000-00001E180000}"/>
    <cellStyle name="Normal 2 2 3 14 3 5 2" xfId="29468" xr:uid="{00000000-0005-0000-0000-00001F180000}"/>
    <cellStyle name="Normal 2 2 3 14 3 6" xfId="29469" xr:uid="{00000000-0005-0000-0000-000020180000}"/>
    <cellStyle name="Normal 2 2 3 14 3 6 2" xfId="29470" xr:uid="{00000000-0005-0000-0000-000021180000}"/>
    <cellStyle name="Normal 2 2 3 14 3 7" xfId="29471" xr:uid="{00000000-0005-0000-0000-000022180000}"/>
    <cellStyle name="Normal 2 2 3 14 4" xfId="2634" xr:uid="{00000000-0005-0000-0000-000023180000}"/>
    <cellStyle name="Normal 2 2 3 14 4 2" xfId="2635" xr:uid="{00000000-0005-0000-0000-000024180000}"/>
    <cellStyle name="Normal 2 2 3 14 4 2 2" xfId="29472" xr:uid="{00000000-0005-0000-0000-000025180000}"/>
    <cellStyle name="Normal 2 2 3 14 4 3" xfId="2636" xr:uid="{00000000-0005-0000-0000-000026180000}"/>
    <cellStyle name="Normal 2 2 3 14 4 3 2" xfId="29473" xr:uid="{00000000-0005-0000-0000-000027180000}"/>
    <cellStyle name="Normal 2 2 3 14 4 4" xfId="29474" xr:uid="{00000000-0005-0000-0000-000028180000}"/>
    <cellStyle name="Normal 2 2 3 14 5" xfId="2637" xr:uid="{00000000-0005-0000-0000-000029180000}"/>
    <cellStyle name="Normal 2 2 3 14 5 2" xfId="2638" xr:uid="{00000000-0005-0000-0000-00002A180000}"/>
    <cellStyle name="Normal 2 2 3 14 5 2 2" xfId="29475" xr:uid="{00000000-0005-0000-0000-00002B180000}"/>
    <cellStyle name="Normal 2 2 3 14 5 3" xfId="29476" xr:uid="{00000000-0005-0000-0000-00002C180000}"/>
    <cellStyle name="Normal 2 2 3 14 6" xfId="2639" xr:uid="{00000000-0005-0000-0000-00002D180000}"/>
    <cellStyle name="Normal 2 2 3 14 6 2" xfId="29477" xr:uid="{00000000-0005-0000-0000-00002E180000}"/>
    <cellStyle name="Normal 2 2 3 14 7" xfId="2640" xr:uid="{00000000-0005-0000-0000-00002F180000}"/>
    <cellStyle name="Normal 2 2 3 14 7 2" xfId="29478" xr:uid="{00000000-0005-0000-0000-000030180000}"/>
    <cellStyle name="Normal 2 2 3 14 8" xfId="29479" xr:uid="{00000000-0005-0000-0000-000031180000}"/>
    <cellStyle name="Normal 2 2 3 14 8 2" xfId="29480" xr:uid="{00000000-0005-0000-0000-000032180000}"/>
    <cellStyle name="Normal 2 2 3 14 9" xfId="29481" xr:uid="{00000000-0005-0000-0000-000033180000}"/>
    <cellStyle name="Normal 2 2 3 15" xfId="2641" xr:uid="{00000000-0005-0000-0000-000034180000}"/>
    <cellStyle name="Normal 2 2 3 15 10" xfId="29482" xr:uid="{00000000-0005-0000-0000-000035180000}"/>
    <cellStyle name="Normal 2 2 3 15 11" xfId="29483" xr:uid="{00000000-0005-0000-0000-000036180000}"/>
    <cellStyle name="Normal 2 2 3 15 2" xfId="2642" xr:uid="{00000000-0005-0000-0000-000037180000}"/>
    <cellStyle name="Normal 2 2 3 15 2 10" xfId="29484" xr:uid="{00000000-0005-0000-0000-000038180000}"/>
    <cellStyle name="Normal 2 2 3 15 2 2" xfId="2643" xr:uid="{00000000-0005-0000-0000-000039180000}"/>
    <cellStyle name="Normal 2 2 3 15 2 2 2" xfId="2644" xr:uid="{00000000-0005-0000-0000-00003A180000}"/>
    <cellStyle name="Normal 2 2 3 15 2 2 2 2" xfId="2645" xr:uid="{00000000-0005-0000-0000-00003B180000}"/>
    <cellStyle name="Normal 2 2 3 15 2 2 2 2 2" xfId="29485" xr:uid="{00000000-0005-0000-0000-00003C180000}"/>
    <cellStyle name="Normal 2 2 3 15 2 2 2 3" xfId="2646" xr:uid="{00000000-0005-0000-0000-00003D180000}"/>
    <cellStyle name="Normal 2 2 3 15 2 2 2 3 2" xfId="29486" xr:uid="{00000000-0005-0000-0000-00003E180000}"/>
    <cellStyle name="Normal 2 2 3 15 2 2 2 4" xfId="29487" xr:uid="{00000000-0005-0000-0000-00003F180000}"/>
    <cellStyle name="Normal 2 2 3 15 2 2 3" xfId="2647" xr:uid="{00000000-0005-0000-0000-000040180000}"/>
    <cellStyle name="Normal 2 2 3 15 2 2 3 2" xfId="29488" xr:uid="{00000000-0005-0000-0000-000041180000}"/>
    <cellStyle name="Normal 2 2 3 15 2 2 4" xfId="2648" xr:uid="{00000000-0005-0000-0000-000042180000}"/>
    <cellStyle name="Normal 2 2 3 15 2 2 4 2" xfId="29489" xr:uid="{00000000-0005-0000-0000-000043180000}"/>
    <cellStyle name="Normal 2 2 3 15 2 2 5" xfId="2649" xr:uid="{00000000-0005-0000-0000-000044180000}"/>
    <cellStyle name="Normal 2 2 3 15 2 2 5 2" xfId="29490" xr:uid="{00000000-0005-0000-0000-000045180000}"/>
    <cellStyle name="Normal 2 2 3 15 2 2 6" xfId="29491" xr:uid="{00000000-0005-0000-0000-000046180000}"/>
    <cellStyle name="Normal 2 2 3 15 2 2 6 2" xfId="29492" xr:uid="{00000000-0005-0000-0000-000047180000}"/>
    <cellStyle name="Normal 2 2 3 15 2 2 7" xfId="29493" xr:uid="{00000000-0005-0000-0000-000048180000}"/>
    <cellStyle name="Normal 2 2 3 15 2 3" xfId="2650" xr:uid="{00000000-0005-0000-0000-000049180000}"/>
    <cellStyle name="Normal 2 2 3 15 2 3 2" xfId="2651" xr:uid="{00000000-0005-0000-0000-00004A180000}"/>
    <cellStyle name="Normal 2 2 3 15 2 3 2 2" xfId="29494" xr:uid="{00000000-0005-0000-0000-00004B180000}"/>
    <cellStyle name="Normal 2 2 3 15 2 3 3" xfId="2652" xr:uid="{00000000-0005-0000-0000-00004C180000}"/>
    <cellStyle name="Normal 2 2 3 15 2 3 3 2" xfId="29495" xr:uid="{00000000-0005-0000-0000-00004D180000}"/>
    <cellStyle name="Normal 2 2 3 15 2 3 4" xfId="29496" xr:uid="{00000000-0005-0000-0000-00004E180000}"/>
    <cellStyle name="Normal 2 2 3 15 2 4" xfId="2653" xr:uid="{00000000-0005-0000-0000-00004F180000}"/>
    <cellStyle name="Normal 2 2 3 15 2 4 2" xfId="2654" xr:uid="{00000000-0005-0000-0000-000050180000}"/>
    <cellStyle name="Normal 2 2 3 15 2 4 2 2" xfId="29497" xr:uid="{00000000-0005-0000-0000-000051180000}"/>
    <cellStyle name="Normal 2 2 3 15 2 4 3" xfId="29498" xr:uid="{00000000-0005-0000-0000-000052180000}"/>
    <cellStyle name="Normal 2 2 3 15 2 5" xfId="2655" xr:uid="{00000000-0005-0000-0000-000053180000}"/>
    <cellStyle name="Normal 2 2 3 15 2 5 2" xfId="29499" xr:uid="{00000000-0005-0000-0000-000054180000}"/>
    <cellStyle name="Normal 2 2 3 15 2 6" xfId="2656" xr:uid="{00000000-0005-0000-0000-000055180000}"/>
    <cellStyle name="Normal 2 2 3 15 2 6 2" xfId="29500" xr:uid="{00000000-0005-0000-0000-000056180000}"/>
    <cellStyle name="Normal 2 2 3 15 2 7" xfId="29501" xr:uid="{00000000-0005-0000-0000-000057180000}"/>
    <cellStyle name="Normal 2 2 3 15 2 7 2" xfId="29502" xr:uid="{00000000-0005-0000-0000-000058180000}"/>
    <cellStyle name="Normal 2 2 3 15 2 8" xfId="29503" xr:uid="{00000000-0005-0000-0000-000059180000}"/>
    <cellStyle name="Normal 2 2 3 15 2 9" xfId="29504" xr:uid="{00000000-0005-0000-0000-00005A180000}"/>
    <cellStyle name="Normal 2 2 3 15 3" xfId="2657" xr:uid="{00000000-0005-0000-0000-00005B180000}"/>
    <cellStyle name="Normal 2 2 3 15 3 2" xfId="2658" xr:uid="{00000000-0005-0000-0000-00005C180000}"/>
    <cellStyle name="Normal 2 2 3 15 3 2 2" xfId="2659" xr:uid="{00000000-0005-0000-0000-00005D180000}"/>
    <cellStyle name="Normal 2 2 3 15 3 2 2 2" xfId="29505" xr:uid="{00000000-0005-0000-0000-00005E180000}"/>
    <cellStyle name="Normal 2 2 3 15 3 2 3" xfId="2660" xr:uid="{00000000-0005-0000-0000-00005F180000}"/>
    <cellStyle name="Normal 2 2 3 15 3 2 3 2" xfId="29506" xr:uid="{00000000-0005-0000-0000-000060180000}"/>
    <cellStyle name="Normal 2 2 3 15 3 2 4" xfId="29507" xr:uid="{00000000-0005-0000-0000-000061180000}"/>
    <cellStyle name="Normal 2 2 3 15 3 3" xfId="2661" xr:uid="{00000000-0005-0000-0000-000062180000}"/>
    <cellStyle name="Normal 2 2 3 15 3 3 2" xfId="29508" xr:uid="{00000000-0005-0000-0000-000063180000}"/>
    <cellStyle name="Normal 2 2 3 15 3 4" xfId="2662" xr:uid="{00000000-0005-0000-0000-000064180000}"/>
    <cellStyle name="Normal 2 2 3 15 3 4 2" xfId="29509" xr:uid="{00000000-0005-0000-0000-000065180000}"/>
    <cellStyle name="Normal 2 2 3 15 3 5" xfId="2663" xr:uid="{00000000-0005-0000-0000-000066180000}"/>
    <cellStyle name="Normal 2 2 3 15 3 5 2" xfId="29510" xr:uid="{00000000-0005-0000-0000-000067180000}"/>
    <cellStyle name="Normal 2 2 3 15 3 6" xfId="29511" xr:uid="{00000000-0005-0000-0000-000068180000}"/>
    <cellStyle name="Normal 2 2 3 15 3 6 2" xfId="29512" xr:uid="{00000000-0005-0000-0000-000069180000}"/>
    <cellStyle name="Normal 2 2 3 15 3 7" xfId="29513" xr:uid="{00000000-0005-0000-0000-00006A180000}"/>
    <cellStyle name="Normal 2 2 3 15 4" xfId="2664" xr:uid="{00000000-0005-0000-0000-00006B180000}"/>
    <cellStyle name="Normal 2 2 3 15 4 2" xfId="2665" xr:uid="{00000000-0005-0000-0000-00006C180000}"/>
    <cellStyle name="Normal 2 2 3 15 4 2 2" xfId="29514" xr:uid="{00000000-0005-0000-0000-00006D180000}"/>
    <cellStyle name="Normal 2 2 3 15 4 3" xfId="2666" xr:uid="{00000000-0005-0000-0000-00006E180000}"/>
    <cellStyle name="Normal 2 2 3 15 4 3 2" xfId="29515" xr:uid="{00000000-0005-0000-0000-00006F180000}"/>
    <cellStyle name="Normal 2 2 3 15 4 4" xfId="29516" xr:uid="{00000000-0005-0000-0000-000070180000}"/>
    <cellStyle name="Normal 2 2 3 15 5" xfId="2667" xr:uid="{00000000-0005-0000-0000-000071180000}"/>
    <cellStyle name="Normal 2 2 3 15 5 2" xfId="2668" xr:uid="{00000000-0005-0000-0000-000072180000}"/>
    <cellStyle name="Normal 2 2 3 15 5 2 2" xfId="29517" xr:uid="{00000000-0005-0000-0000-000073180000}"/>
    <cellStyle name="Normal 2 2 3 15 5 3" xfId="29518" xr:uid="{00000000-0005-0000-0000-000074180000}"/>
    <cellStyle name="Normal 2 2 3 15 6" xfId="2669" xr:uid="{00000000-0005-0000-0000-000075180000}"/>
    <cellStyle name="Normal 2 2 3 15 6 2" xfId="29519" xr:uid="{00000000-0005-0000-0000-000076180000}"/>
    <cellStyle name="Normal 2 2 3 15 7" xfId="2670" xr:uid="{00000000-0005-0000-0000-000077180000}"/>
    <cellStyle name="Normal 2 2 3 15 7 2" xfId="29520" xr:uid="{00000000-0005-0000-0000-000078180000}"/>
    <cellStyle name="Normal 2 2 3 15 8" xfId="29521" xr:uid="{00000000-0005-0000-0000-000079180000}"/>
    <cellStyle name="Normal 2 2 3 15 8 2" xfId="29522" xr:uid="{00000000-0005-0000-0000-00007A180000}"/>
    <cellStyle name="Normal 2 2 3 15 9" xfId="29523" xr:uid="{00000000-0005-0000-0000-00007B180000}"/>
    <cellStyle name="Normal 2 2 3 16" xfId="2671" xr:uid="{00000000-0005-0000-0000-00007C180000}"/>
    <cellStyle name="Normal 2 2 3 16 10" xfId="29524" xr:uid="{00000000-0005-0000-0000-00007D180000}"/>
    <cellStyle name="Normal 2 2 3 16 11" xfId="29525" xr:uid="{00000000-0005-0000-0000-00007E180000}"/>
    <cellStyle name="Normal 2 2 3 16 2" xfId="2672" xr:uid="{00000000-0005-0000-0000-00007F180000}"/>
    <cellStyle name="Normal 2 2 3 16 2 10" xfId="29526" xr:uid="{00000000-0005-0000-0000-000080180000}"/>
    <cellStyle name="Normal 2 2 3 16 2 2" xfId="2673" xr:uid="{00000000-0005-0000-0000-000081180000}"/>
    <cellStyle name="Normal 2 2 3 16 2 2 2" xfId="2674" xr:uid="{00000000-0005-0000-0000-000082180000}"/>
    <cellStyle name="Normal 2 2 3 16 2 2 2 2" xfId="2675" xr:uid="{00000000-0005-0000-0000-000083180000}"/>
    <cellStyle name="Normal 2 2 3 16 2 2 2 2 2" xfId="29527" xr:uid="{00000000-0005-0000-0000-000084180000}"/>
    <cellStyle name="Normal 2 2 3 16 2 2 2 3" xfId="2676" xr:uid="{00000000-0005-0000-0000-000085180000}"/>
    <cellStyle name="Normal 2 2 3 16 2 2 2 3 2" xfId="29528" xr:uid="{00000000-0005-0000-0000-000086180000}"/>
    <cellStyle name="Normal 2 2 3 16 2 2 2 4" xfId="29529" xr:uid="{00000000-0005-0000-0000-000087180000}"/>
    <cellStyle name="Normal 2 2 3 16 2 2 3" xfId="2677" xr:uid="{00000000-0005-0000-0000-000088180000}"/>
    <cellStyle name="Normal 2 2 3 16 2 2 3 2" xfId="29530" xr:uid="{00000000-0005-0000-0000-000089180000}"/>
    <cellStyle name="Normal 2 2 3 16 2 2 4" xfId="2678" xr:uid="{00000000-0005-0000-0000-00008A180000}"/>
    <cellStyle name="Normal 2 2 3 16 2 2 4 2" xfId="29531" xr:uid="{00000000-0005-0000-0000-00008B180000}"/>
    <cellStyle name="Normal 2 2 3 16 2 2 5" xfId="2679" xr:uid="{00000000-0005-0000-0000-00008C180000}"/>
    <cellStyle name="Normal 2 2 3 16 2 2 5 2" xfId="29532" xr:uid="{00000000-0005-0000-0000-00008D180000}"/>
    <cellStyle name="Normal 2 2 3 16 2 2 6" xfId="29533" xr:uid="{00000000-0005-0000-0000-00008E180000}"/>
    <cellStyle name="Normal 2 2 3 16 2 2 6 2" xfId="29534" xr:uid="{00000000-0005-0000-0000-00008F180000}"/>
    <cellStyle name="Normal 2 2 3 16 2 2 7" xfId="29535" xr:uid="{00000000-0005-0000-0000-000090180000}"/>
    <cellStyle name="Normal 2 2 3 16 2 3" xfId="2680" xr:uid="{00000000-0005-0000-0000-000091180000}"/>
    <cellStyle name="Normal 2 2 3 16 2 3 2" xfId="2681" xr:uid="{00000000-0005-0000-0000-000092180000}"/>
    <cellStyle name="Normal 2 2 3 16 2 3 2 2" xfId="29536" xr:uid="{00000000-0005-0000-0000-000093180000}"/>
    <cellStyle name="Normal 2 2 3 16 2 3 3" xfId="2682" xr:uid="{00000000-0005-0000-0000-000094180000}"/>
    <cellStyle name="Normal 2 2 3 16 2 3 3 2" xfId="29537" xr:uid="{00000000-0005-0000-0000-000095180000}"/>
    <cellStyle name="Normal 2 2 3 16 2 3 4" xfId="29538" xr:uid="{00000000-0005-0000-0000-000096180000}"/>
    <cellStyle name="Normal 2 2 3 16 2 4" xfId="2683" xr:uid="{00000000-0005-0000-0000-000097180000}"/>
    <cellStyle name="Normal 2 2 3 16 2 4 2" xfId="2684" xr:uid="{00000000-0005-0000-0000-000098180000}"/>
    <cellStyle name="Normal 2 2 3 16 2 4 2 2" xfId="29539" xr:uid="{00000000-0005-0000-0000-000099180000}"/>
    <cellStyle name="Normal 2 2 3 16 2 4 3" xfId="29540" xr:uid="{00000000-0005-0000-0000-00009A180000}"/>
    <cellStyle name="Normal 2 2 3 16 2 5" xfId="2685" xr:uid="{00000000-0005-0000-0000-00009B180000}"/>
    <cellStyle name="Normal 2 2 3 16 2 5 2" xfId="29541" xr:uid="{00000000-0005-0000-0000-00009C180000}"/>
    <cellStyle name="Normal 2 2 3 16 2 6" xfId="2686" xr:uid="{00000000-0005-0000-0000-00009D180000}"/>
    <cellStyle name="Normal 2 2 3 16 2 6 2" xfId="29542" xr:uid="{00000000-0005-0000-0000-00009E180000}"/>
    <cellStyle name="Normal 2 2 3 16 2 7" xfId="29543" xr:uid="{00000000-0005-0000-0000-00009F180000}"/>
    <cellStyle name="Normal 2 2 3 16 2 7 2" xfId="29544" xr:uid="{00000000-0005-0000-0000-0000A0180000}"/>
    <cellStyle name="Normal 2 2 3 16 2 8" xfId="29545" xr:uid="{00000000-0005-0000-0000-0000A1180000}"/>
    <cellStyle name="Normal 2 2 3 16 2 9" xfId="29546" xr:uid="{00000000-0005-0000-0000-0000A2180000}"/>
    <cellStyle name="Normal 2 2 3 16 3" xfId="2687" xr:uid="{00000000-0005-0000-0000-0000A3180000}"/>
    <cellStyle name="Normal 2 2 3 16 3 2" xfId="2688" xr:uid="{00000000-0005-0000-0000-0000A4180000}"/>
    <cellStyle name="Normal 2 2 3 16 3 2 2" xfId="2689" xr:uid="{00000000-0005-0000-0000-0000A5180000}"/>
    <cellStyle name="Normal 2 2 3 16 3 2 2 2" xfId="29547" xr:uid="{00000000-0005-0000-0000-0000A6180000}"/>
    <cellStyle name="Normal 2 2 3 16 3 2 3" xfId="2690" xr:uid="{00000000-0005-0000-0000-0000A7180000}"/>
    <cellStyle name="Normal 2 2 3 16 3 2 3 2" xfId="29548" xr:uid="{00000000-0005-0000-0000-0000A8180000}"/>
    <cellStyle name="Normal 2 2 3 16 3 2 4" xfId="29549" xr:uid="{00000000-0005-0000-0000-0000A9180000}"/>
    <cellStyle name="Normal 2 2 3 16 3 3" xfId="2691" xr:uid="{00000000-0005-0000-0000-0000AA180000}"/>
    <cellStyle name="Normal 2 2 3 16 3 3 2" xfId="29550" xr:uid="{00000000-0005-0000-0000-0000AB180000}"/>
    <cellStyle name="Normal 2 2 3 16 3 4" xfId="2692" xr:uid="{00000000-0005-0000-0000-0000AC180000}"/>
    <cellStyle name="Normal 2 2 3 16 3 4 2" xfId="29551" xr:uid="{00000000-0005-0000-0000-0000AD180000}"/>
    <cellStyle name="Normal 2 2 3 16 3 5" xfId="2693" xr:uid="{00000000-0005-0000-0000-0000AE180000}"/>
    <cellStyle name="Normal 2 2 3 16 3 5 2" xfId="29552" xr:uid="{00000000-0005-0000-0000-0000AF180000}"/>
    <cellStyle name="Normal 2 2 3 16 3 6" xfId="29553" xr:uid="{00000000-0005-0000-0000-0000B0180000}"/>
    <cellStyle name="Normal 2 2 3 16 3 6 2" xfId="29554" xr:uid="{00000000-0005-0000-0000-0000B1180000}"/>
    <cellStyle name="Normal 2 2 3 16 3 7" xfId="29555" xr:uid="{00000000-0005-0000-0000-0000B2180000}"/>
    <cellStyle name="Normal 2 2 3 16 4" xfId="2694" xr:uid="{00000000-0005-0000-0000-0000B3180000}"/>
    <cellStyle name="Normal 2 2 3 16 4 2" xfId="2695" xr:uid="{00000000-0005-0000-0000-0000B4180000}"/>
    <cellStyle name="Normal 2 2 3 16 4 2 2" xfId="29556" xr:uid="{00000000-0005-0000-0000-0000B5180000}"/>
    <cellStyle name="Normal 2 2 3 16 4 3" xfId="2696" xr:uid="{00000000-0005-0000-0000-0000B6180000}"/>
    <cellStyle name="Normal 2 2 3 16 4 3 2" xfId="29557" xr:uid="{00000000-0005-0000-0000-0000B7180000}"/>
    <cellStyle name="Normal 2 2 3 16 4 4" xfId="29558" xr:uid="{00000000-0005-0000-0000-0000B8180000}"/>
    <cellStyle name="Normal 2 2 3 16 5" xfId="2697" xr:uid="{00000000-0005-0000-0000-0000B9180000}"/>
    <cellStyle name="Normal 2 2 3 16 5 2" xfId="2698" xr:uid="{00000000-0005-0000-0000-0000BA180000}"/>
    <cellStyle name="Normal 2 2 3 16 5 2 2" xfId="29559" xr:uid="{00000000-0005-0000-0000-0000BB180000}"/>
    <cellStyle name="Normal 2 2 3 16 5 3" xfId="29560" xr:uid="{00000000-0005-0000-0000-0000BC180000}"/>
    <cellStyle name="Normal 2 2 3 16 6" xfId="2699" xr:uid="{00000000-0005-0000-0000-0000BD180000}"/>
    <cellStyle name="Normal 2 2 3 16 6 2" xfId="29561" xr:uid="{00000000-0005-0000-0000-0000BE180000}"/>
    <cellStyle name="Normal 2 2 3 16 7" xfId="2700" xr:uid="{00000000-0005-0000-0000-0000BF180000}"/>
    <cellStyle name="Normal 2 2 3 16 7 2" xfId="29562" xr:uid="{00000000-0005-0000-0000-0000C0180000}"/>
    <cellStyle name="Normal 2 2 3 16 8" xfId="29563" xr:uid="{00000000-0005-0000-0000-0000C1180000}"/>
    <cellStyle name="Normal 2 2 3 16 8 2" xfId="29564" xr:uid="{00000000-0005-0000-0000-0000C2180000}"/>
    <cellStyle name="Normal 2 2 3 16 9" xfId="29565" xr:uid="{00000000-0005-0000-0000-0000C3180000}"/>
    <cellStyle name="Normal 2 2 3 17" xfId="2701" xr:uid="{00000000-0005-0000-0000-0000C4180000}"/>
    <cellStyle name="Normal 2 2 3 17 10" xfId="29566" xr:uid="{00000000-0005-0000-0000-0000C5180000}"/>
    <cellStyle name="Normal 2 2 3 17 11" xfId="29567" xr:uid="{00000000-0005-0000-0000-0000C6180000}"/>
    <cellStyle name="Normal 2 2 3 17 2" xfId="2702" xr:uid="{00000000-0005-0000-0000-0000C7180000}"/>
    <cellStyle name="Normal 2 2 3 17 2 10" xfId="29568" xr:uid="{00000000-0005-0000-0000-0000C8180000}"/>
    <cellStyle name="Normal 2 2 3 17 2 2" xfId="2703" xr:uid="{00000000-0005-0000-0000-0000C9180000}"/>
    <cellStyle name="Normal 2 2 3 17 2 2 2" xfId="2704" xr:uid="{00000000-0005-0000-0000-0000CA180000}"/>
    <cellStyle name="Normal 2 2 3 17 2 2 2 2" xfId="2705" xr:uid="{00000000-0005-0000-0000-0000CB180000}"/>
    <cellStyle name="Normal 2 2 3 17 2 2 2 2 2" xfId="29569" xr:uid="{00000000-0005-0000-0000-0000CC180000}"/>
    <cellStyle name="Normal 2 2 3 17 2 2 2 3" xfId="2706" xr:uid="{00000000-0005-0000-0000-0000CD180000}"/>
    <cellStyle name="Normal 2 2 3 17 2 2 2 3 2" xfId="29570" xr:uid="{00000000-0005-0000-0000-0000CE180000}"/>
    <cellStyle name="Normal 2 2 3 17 2 2 2 4" xfId="29571" xr:uid="{00000000-0005-0000-0000-0000CF180000}"/>
    <cellStyle name="Normal 2 2 3 17 2 2 3" xfId="2707" xr:uid="{00000000-0005-0000-0000-0000D0180000}"/>
    <cellStyle name="Normal 2 2 3 17 2 2 3 2" xfId="29572" xr:uid="{00000000-0005-0000-0000-0000D1180000}"/>
    <cellStyle name="Normal 2 2 3 17 2 2 4" xfId="2708" xr:uid="{00000000-0005-0000-0000-0000D2180000}"/>
    <cellStyle name="Normal 2 2 3 17 2 2 4 2" xfId="29573" xr:uid="{00000000-0005-0000-0000-0000D3180000}"/>
    <cellStyle name="Normal 2 2 3 17 2 2 5" xfId="2709" xr:uid="{00000000-0005-0000-0000-0000D4180000}"/>
    <cellStyle name="Normal 2 2 3 17 2 2 5 2" xfId="29574" xr:uid="{00000000-0005-0000-0000-0000D5180000}"/>
    <cellStyle name="Normal 2 2 3 17 2 2 6" xfId="29575" xr:uid="{00000000-0005-0000-0000-0000D6180000}"/>
    <cellStyle name="Normal 2 2 3 17 2 2 6 2" xfId="29576" xr:uid="{00000000-0005-0000-0000-0000D7180000}"/>
    <cellStyle name="Normal 2 2 3 17 2 2 7" xfId="29577" xr:uid="{00000000-0005-0000-0000-0000D8180000}"/>
    <cellStyle name="Normal 2 2 3 17 2 3" xfId="2710" xr:uid="{00000000-0005-0000-0000-0000D9180000}"/>
    <cellStyle name="Normal 2 2 3 17 2 3 2" xfId="2711" xr:uid="{00000000-0005-0000-0000-0000DA180000}"/>
    <cellStyle name="Normal 2 2 3 17 2 3 2 2" xfId="29578" xr:uid="{00000000-0005-0000-0000-0000DB180000}"/>
    <cellStyle name="Normal 2 2 3 17 2 3 3" xfId="2712" xr:uid="{00000000-0005-0000-0000-0000DC180000}"/>
    <cellStyle name="Normal 2 2 3 17 2 3 3 2" xfId="29579" xr:uid="{00000000-0005-0000-0000-0000DD180000}"/>
    <cellStyle name="Normal 2 2 3 17 2 3 4" xfId="29580" xr:uid="{00000000-0005-0000-0000-0000DE180000}"/>
    <cellStyle name="Normal 2 2 3 17 2 4" xfId="2713" xr:uid="{00000000-0005-0000-0000-0000DF180000}"/>
    <cellStyle name="Normal 2 2 3 17 2 4 2" xfId="2714" xr:uid="{00000000-0005-0000-0000-0000E0180000}"/>
    <cellStyle name="Normal 2 2 3 17 2 4 2 2" xfId="29581" xr:uid="{00000000-0005-0000-0000-0000E1180000}"/>
    <cellStyle name="Normal 2 2 3 17 2 4 3" xfId="29582" xr:uid="{00000000-0005-0000-0000-0000E2180000}"/>
    <cellStyle name="Normal 2 2 3 17 2 5" xfId="2715" xr:uid="{00000000-0005-0000-0000-0000E3180000}"/>
    <cellStyle name="Normal 2 2 3 17 2 5 2" xfId="29583" xr:uid="{00000000-0005-0000-0000-0000E4180000}"/>
    <cellStyle name="Normal 2 2 3 17 2 6" xfId="2716" xr:uid="{00000000-0005-0000-0000-0000E5180000}"/>
    <cellStyle name="Normal 2 2 3 17 2 6 2" xfId="29584" xr:uid="{00000000-0005-0000-0000-0000E6180000}"/>
    <cellStyle name="Normal 2 2 3 17 2 7" xfId="29585" xr:uid="{00000000-0005-0000-0000-0000E7180000}"/>
    <cellStyle name="Normal 2 2 3 17 2 7 2" xfId="29586" xr:uid="{00000000-0005-0000-0000-0000E8180000}"/>
    <cellStyle name="Normal 2 2 3 17 2 8" xfId="29587" xr:uid="{00000000-0005-0000-0000-0000E9180000}"/>
    <cellStyle name="Normal 2 2 3 17 2 9" xfId="29588" xr:uid="{00000000-0005-0000-0000-0000EA180000}"/>
    <cellStyle name="Normal 2 2 3 17 3" xfId="2717" xr:uid="{00000000-0005-0000-0000-0000EB180000}"/>
    <cellStyle name="Normal 2 2 3 17 3 2" xfId="2718" xr:uid="{00000000-0005-0000-0000-0000EC180000}"/>
    <cellStyle name="Normal 2 2 3 17 3 2 2" xfId="2719" xr:uid="{00000000-0005-0000-0000-0000ED180000}"/>
    <cellStyle name="Normal 2 2 3 17 3 2 2 2" xfId="29589" xr:uid="{00000000-0005-0000-0000-0000EE180000}"/>
    <cellStyle name="Normal 2 2 3 17 3 2 3" xfId="2720" xr:uid="{00000000-0005-0000-0000-0000EF180000}"/>
    <cellStyle name="Normal 2 2 3 17 3 2 3 2" xfId="29590" xr:uid="{00000000-0005-0000-0000-0000F0180000}"/>
    <cellStyle name="Normal 2 2 3 17 3 2 4" xfId="29591" xr:uid="{00000000-0005-0000-0000-0000F1180000}"/>
    <cellStyle name="Normal 2 2 3 17 3 3" xfId="2721" xr:uid="{00000000-0005-0000-0000-0000F2180000}"/>
    <cellStyle name="Normal 2 2 3 17 3 3 2" xfId="29592" xr:uid="{00000000-0005-0000-0000-0000F3180000}"/>
    <cellStyle name="Normal 2 2 3 17 3 4" xfId="2722" xr:uid="{00000000-0005-0000-0000-0000F4180000}"/>
    <cellStyle name="Normal 2 2 3 17 3 4 2" xfId="29593" xr:uid="{00000000-0005-0000-0000-0000F5180000}"/>
    <cellStyle name="Normal 2 2 3 17 3 5" xfId="2723" xr:uid="{00000000-0005-0000-0000-0000F6180000}"/>
    <cellStyle name="Normal 2 2 3 17 3 5 2" xfId="29594" xr:uid="{00000000-0005-0000-0000-0000F7180000}"/>
    <cellStyle name="Normal 2 2 3 17 3 6" xfId="29595" xr:uid="{00000000-0005-0000-0000-0000F8180000}"/>
    <cellStyle name="Normal 2 2 3 17 3 6 2" xfId="29596" xr:uid="{00000000-0005-0000-0000-0000F9180000}"/>
    <cellStyle name="Normal 2 2 3 17 3 7" xfId="29597" xr:uid="{00000000-0005-0000-0000-0000FA180000}"/>
    <cellStyle name="Normal 2 2 3 17 4" xfId="2724" xr:uid="{00000000-0005-0000-0000-0000FB180000}"/>
    <cellStyle name="Normal 2 2 3 17 4 2" xfId="2725" xr:uid="{00000000-0005-0000-0000-0000FC180000}"/>
    <cellStyle name="Normal 2 2 3 17 4 2 2" xfId="29598" xr:uid="{00000000-0005-0000-0000-0000FD180000}"/>
    <cellStyle name="Normal 2 2 3 17 4 3" xfId="2726" xr:uid="{00000000-0005-0000-0000-0000FE180000}"/>
    <cellStyle name="Normal 2 2 3 17 4 3 2" xfId="29599" xr:uid="{00000000-0005-0000-0000-0000FF180000}"/>
    <cellStyle name="Normal 2 2 3 17 4 4" xfId="29600" xr:uid="{00000000-0005-0000-0000-000000190000}"/>
    <cellStyle name="Normal 2 2 3 17 5" xfId="2727" xr:uid="{00000000-0005-0000-0000-000001190000}"/>
    <cellStyle name="Normal 2 2 3 17 5 2" xfId="2728" xr:uid="{00000000-0005-0000-0000-000002190000}"/>
    <cellStyle name="Normal 2 2 3 17 5 2 2" xfId="29601" xr:uid="{00000000-0005-0000-0000-000003190000}"/>
    <cellStyle name="Normal 2 2 3 17 5 3" xfId="29602" xr:uid="{00000000-0005-0000-0000-000004190000}"/>
    <cellStyle name="Normal 2 2 3 17 6" xfId="2729" xr:uid="{00000000-0005-0000-0000-000005190000}"/>
    <cellStyle name="Normal 2 2 3 17 6 2" xfId="29603" xr:uid="{00000000-0005-0000-0000-000006190000}"/>
    <cellStyle name="Normal 2 2 3 17 7" xfId="2730" xr:uid="{00000000-0005-0000-0000-000007190000}"/>
    <cellStyle name="Normal 2 2 3 17 7 2" xfId="29604" xr:uid="{00000000-0005-0000-0000-000008190000}"/>
    <cellStyle name="Normal 2 2 3 17 8" xfId="29605" xr:uid="{00000000-0005-0000-0000-000009190000}"/>
    <cellStyle name="Normal 2 2 3 17 8 2" xfId="29606" xr:uid="{00000000-0005-0000-0000-00000A190000}"/>
    <cellStyle name="Normal 2 2 3 17 9" xfId="29607" xr:uid="{00000000-0005-0000-0000-00000B190000}"/>
    <cellStyle name="Normal 2 2 3 18" xfId="2731" xr:uid="{00000000-0005-0000-0000-00000C190000}"/>
    <cellStyle name="Normal 2 2 3 18 10" xfId="29608" xr:uid="{00000000-0005-0000-0000-00000D190000}"/>
    <cellStyle name="Normal 2 2 3 18 11" xfId="29609" xr:uid="{00000000-0005-0000-0000-00000E190000}"/>
    <cellStyle name="Normal 2 2 3 18 2" xfId="2732" xr:uid="{00000000-0005-0000-0000-00000F190000}"/>
    <cellStyle name="Normal 2 2 3 18 2 10" xfId="29610" xr:uid="{00000000-0005-0000-0000-000010190000}"/>
    <cellStyle name="Normal 2 2 3 18 2 2" xfId="2733" xr:uid="{00000000-0005-0000-0000-000011190000}"/>
    <cellStyle name="Normal 2 2 3 18 2 2 2" xfId="2734" xr:uid="{00000000-0005-0000-0000-000012190000}"/>
    <cellStyle name="Normal 2 2 3 18 2 2 2 2" xfId="2735" xr:uid="{00000000-0005-0000-0000-000013190000}"/>
    <cellStyle name="Normal 2 2 3 18 2 2 2 2 2" xfId="29611" xr:uid="{00000000-0005-0000-0000-000014190000}"/>
    <cellStyle name="Normal 2 2 3 18 2 2 2 3" xfId="2736" xr:uid="{00000000-0005-0000-0000-000015190000}"/>
    <cellStyle name="Normal 2 2 3 18 2 2 2 3 2" xfId="29612" xr:uid="{00000000-0005-0000-0000-000016190000}"/>
    <cellStyle name="Normal 2 2 3 18 2 2 2 4" xfId="29613" xr:uid="{00000000-0005-0000-0000-000017190000}"/>
    <cellStyle name="Normal 2 2 3 18 2 2 3" xfId="2737" xr:uid="{00000000-0005-0000-0000-000018190000}"/>
    <cellStyle name="Normal 2 2 3 18 2 2 3 2" xfId="29614" xr:uid="{00000000-0005-0000-0000-000019190000}"/>
    <cellStyle name="Normal 2 2 3 18 2 2 4" xfId="2738" xr:uid="{00000000-0005-0000-0000-00001A190000}"/>
    <cellStyle name="Normal 2 2 3 18 2 2 4 2" xfId="29615" xr:uid="{00000000-0005-0000-0000-00001B190000}"/>
    <cellStyle name="Normal 2 2 3 18 2 2 5" xfId="2739" xr:uid="{00000000-0005-0000-0000-00001C190000}"/>
    <cellStyle name="Normal 2 2 3 18 2 2 5 2" xfId="29616" xr:uid="{00000000-0005-0000-0000-00001D190000}"/>
    <cellStyle name="Normal 2 2 3 18 2 2 6" xfId="29617" xr:uid="{00000000-0005-0000-0000-00001E190000}"/>
    <cellStyle name="Normal 2 2 3 18 2 2 6 2" xfId="29618" xr:uid="{00000000-0005-0000-0000-00001F190000}"/>
    <cellStyle name="Normal 2 2 3 18 2 2 7" xfId="29619" xr:uid="{00000000-0005-0000-0000-000020190000}"/>
    <cellStyle name="Normal 2 2 3 18 2 3" xfId="2740" xr:uid="{00000000-0005-0000-0000-000021190000}"/>
    <cellStyle name="Normal 2 2 3 18 2 3 2" xfId="2741" xr:uid="{00000000-0005-0000-0000-000022190000}"/>
    <cellStyle name="Normal 2 2 3 18 2 3 2 2" xfId="29620" xr:uid="{00000000-0005-0000-0000-000023190000}"/>
    <cellStyle name="Normal 2 2 3 18 2 3 3" xfId="2742" xr:uid="{00000000-0005-0000-0000-000024190000}"/>
    <cellStyle name="Normal 2 2 3 18 2 3 3 2" xfId="29621" xr:uid="{00000000-0005-0000-0000-000025190000}"/>
    <cellStyle name="Normal 2 2 3 18 2 3 4" xfId="29622" xr:uid="{00000000-0005-0000-0000-000026190000}"/>
    <cellStyle name="Normal 2 2 3 18 2 4" xfId="2743" xr:uid="{00000000-0005-0000-0000-000027190000}"/>
    <cellStyle name="Normal 2 2 3 18 2 4 2" xfId="2744" xr:uid="{00000000-0005-0000-0000-000028190000}"/>
    <cellStyle name="Normal 2 2 3 18 2 4 2 2" xfId="29623" xr:uid="{00000000-0005-0000-0000-000029190000}"/>
    <cellStyle name="Normal 2 2 3 18 2 4 3" xfId="29624" xr:uid="{00000000-0005-0000-0000-00002A190000}"/>
    <cellStyle name="Normal 2 2 3 18 2 5" xfId="2745" xr:uid="{00000000-0005-0000-0000-00002B190000}"/>
    <cellStyle name="Normal 2 2 3 18 2 5 2" xfId="29625" xr:uid="{00000000-0005-0000-0000-00002C190000}"/>
    <cellStyle name="Normal 2 2 3 18 2 6" xfId="2746" xr:uid="{00000000-0005-0000-0000-00002D190000}"/>
    <cellStyle name="Normal 2 2 3 18 2 6 2" xfId="29626" xr:uid="{00000000-0005-0000-0000-00002E190000}"/>
    <cellStyle name="Normal 2 2 3 18 2 7" xfId="29627" xr:uid="{00000000-0005-0000-0000-00002F190000}"/>
    <cellStyle name="Normal 2 2 3 18 2 7 2" xfId="29628" xr:uid="{00000000-0005-0000-0000-000030190000}"/>
    <cellStyle name="Normal 2 2 3 18 2 8" xfId="29629" xr:uid="{00000000-0005-0000-0000-000031190000}"/>
    <cellStyle name="Normal 2 2 3 18 2 9" xfId="29630" xr:uid="{00000000-0005-0000-0000-000032190000}"/>
    <cellStyle name="Normal 2 2 3 18 3" xfId="2747" xr:uid="{00000000-0005-0000-0000-000033190000}"/>
    <cellStyle name="Normal 2 2 3 18 3 2" xfId="2748" xr:uid="{00000000-0005-0000-0000-000034190000}"/>
    <cellStyle name="Normal 2 2 3 18 3 2 2" xfId="2749" xr:uid="{00000000-0005-0000-0000-000035190000}"/>
    <cellStyle name="Normal 2 2 3 18 3 2 2 2" xfId="29631" xr:uid="{00000000-0005-0000-0000-000036190000}"/>
    <cellStyle name="Normal 2 2 3 18 3 2 3" xfId="2750" xr:uid="{00000000-0005-0000-0000-000037190000}"/>
    <cellStyle name="Normal 2 2 3 18 3 2 3 2" xfId="29632" xr:uid="{00000000-0005-0000-0000-000038190000}"/>
    <cellStyle name="Normal 2 2 3 18 3 2 4" xfId="29633" xr:uid="{00000000-0005-0000-0000-000039190000}"/>
    <cellStyle name="Normal 2 2 3 18 3 3" xfId="2751" xr:uid="{00000000-0005-0000-0000-00003A190000}"/>
    <cellStyle name="Normal 2 2 3 18 3 3 2" xfId="29634" xr:uid="{00000000-0005-0000-0000-00003B190000}"/>
    <cellStyle name="Normal 2 2 3 18 3 4" xfId="2752" xr:uid="{00000000-0005-0000-0000-00003C190000}"/>
    <cellStyle name="Normal 2 2 3 18 3 4 2" xfId="29635" xr:uid="{00000000-0005-0000-0000-00003D190000}"/>
    <cellStyle name="Normal 2 2 3 18 3 5" xfId="2753" xr:uid="{00000000-0005-0000-0000-00003E190000}"/>
    <cellStyle name="Normal 2 2 3 18 3 5 2" xfId="29636" xr:uid="{00000000-0005-0000-0000-00003F190000}"/>
    <cellStyle name="Normal 2 2 3 18 3 6" xfId="29637" xr:uid="{00000000-0005-0000-0000-000040190000}"/>
    <cellStyle name="Normal 2 2 3 18 3 6 2" xfId="29638" xr:uid="{00000000-0005-0000-0000-000041190000}"/>
    <cellStyle name="Normal 2 2 3 18 3 7" xfId="29639" xr:uid="{00000000-0005-0000-0000-000042190000}"/>
    <cellStyle name="Normal 2 2 3 18 4" xfId="2754" xr:uid="{00000000-0005-0000-0000-000043190000}"/>
    <cellStyle name="Normal 2 2 3 18 4 2" xfId="2755" xr:uid="{00000000-0005-0000-0000-000044190000}"/>
    <cellStyle name="Normal 2 2 3 18 4 2 2" xfId="29640" xr:uid="{00000000-0005-0000-0000-000045190000}"/>
    <cellStyle name="Normal 2 2 3 18 4 3" xfId="2756" xr:uid="{00000000-0005-0000-0000-000046190000}"/>
    <cellStyle name="Normal 2 2 3 18 4 3 2" xfId="29641" xr:uid="{00000000-0005-0000-0000-000047190000}"/>
    <cellStyle name="Normal 2 2 3 18 4 4" xfId="29642" xr:uid="{00000000-0005-0000-0000-000048190000}"/>
    <cellStyle name="Normal 2 2 3 18 5" xfId="2757" xr:uid="{00000000-0005-0000-0000-000049190000}"/>
    <cellStyle name="Normal 2 2 3 18 5 2" xfId="2758" xr:uid="{00000000-0005-0000-0000-00004A190000}"/>
    <cellStyle name="Normal 2 2 3 18 5 2 2" xfId="29643" xr:uid="{00000000-0005-0000-0000-00004B190000}"/>
    <cellStyle name="Normal 2 2 3 18 5 3" xfId="29644" xr:uid="{00000000-0005-0000-0000-00004C190000}"/>
    <cellStyle name="Normal 2 2 3 18 6" xfId="2759" xr:uid="{00000000-0005-0000-0000-00004D190000}"/>
    <cellStyle name="Normal 2 2 3 18 6 2" xfId="29645" xr:uid="{00000000-0005-0000-0000-00004E190000}"/>
    <cellStyle name="Normal 2 2 3 18 7" xfId="2760" xr:uid="{00000000-0005-0000-0000-00004F190000}"/>
    <cellStyle name="Normal 2 2 3 18 7 2" xfId="29646" xr:uid="{00000000-0005-0000-0000-000050190000}"/>
    <cellStyle name="Normal 2 2 3 18 8" xfId="29647" xr:uid="{00000000-0005-0000-0000-000051190000}"/>
    <cellStyle name="Normal 2 2 3 18 8 2" xfId="29648" xr:uid="{00000000-0005-0000-0000-000052190000}"/>
    <cellStyle name="Normal 2 2 3 18 9" xfId="29649" xr:uid="{00000000-0005-0000-0000-000053190000}"/>
    <cellStyle name="Normal 2 2 3 19" xfId="2761" xr:uid="{00000000-0005-0000-0000-000054190000}"/>
    <cellStyle name="Normal 2 2 3 19 10" xfId="29650" xr:uid="{00000000-0005-0000-0000-000055190000}"/>
    <cellStyle name="Normal 2 2 3 19 11" xfId="29651" xr:uid="{00000000-0005-0000-0000-000056190000}"/>
    <cellStyle name="Normal 2 2 3 19 2" xfId="2762" xr:uid="{00000000-0005-0000-0000-000057190000}"/>
    <cellStyle name="Normal 2 2 3 19 2 10" xfId="29652" xr:uid="{00000000-0005-0000-0000-000058190000}"/>
    <cellStyle name="Normal 2 2 3 19 2 2" xfId="2763" xr:uid="{00000000-0005-0000-0000-000059190000}"/>
    <cellStyle name="Normal 2 2 3 19 2 2 2" xfId="2764" xr:uid="{00000000-0005-0000-0000-00005A190000}"/>
    <cellStyle name="Normal 2 2 3 19 2 2 2 2" xfId="2765" xr:uid="{00000000-0005-0000-0000-00005B190000}"/>
    <cellStyle name="Normal 2 2 3 19 2 2 2 2 2" xfId="29653" xr:uid="{00000000-0005-0000-0000-00005C190000}"/>
    <cellStyle name="Normal 2 2 3 19 2 2 2 3" xfId="2766" xr:uid="{00000000-0005-0000-0000-00005D190000}"/>
    <cellStyle name="Normal 2 2 3 19 2 2 2 3 2" xfId="29654" xr:uid="{00000000-0005-0000-0000-00005E190000}"/>
    <cellStyle name="Normal 2 2 3 19 2 2 2 4" xfId="29655" xr:uid="{00000000-0005-0000-0000-00005F190000}"/>
    <cellStyle name="Normal 2 2 3 19 2 2 3" xfId="2767" xr:uid="{00000000-0005-0000-0000-000060190000}"/>
    <cellStyle name="Normal 2 2 3 19 2 2 3 2" xfId="29656" xr:uid="{00000000-0005-0000-0000-000061190000}"/>
    <cellStyle name="Normal 2 2 3 19 2 2 4" xfId="2768" xr:uid="{00000000-0005-0000-0000-000062190000}"/>
    <cellStyle name="Normal 2 2 3 19 2 2 4 2" xfId="29657" xr:uid="{00000000-0005-0000-0000-000063190000}"/>
    <cellStyle name="Normal 2 2 3 19 2 2 5" xfId="2769" xr:uid="{00000000-0005-0000-0000-000064190000}"/>
    <cellStyle name="Normal 2 2 3 19 2 2 5 2" xfId="29658" xr:uid="{00000000-0005-0000-0000-000065190000}"/>
    <cellStyle name="Normal 2 2 3 19 2 2 6" xfId="29659" xr:uid="{00000000-0005-0000-0000-000066190000}"/>
    <cellStyle name="Normal 2 2 3 19 2 2 6 2" xfId="29660" xr:uid="{00000000-0005-0000-0000-000067190000}"/>
    <cellStyle name="Normal 2 2 3 19 2 2 7" xfId="29661" xr:uid="{00000000-0005-0000-0000-000068190000}"/>
    <cellStyle name="Normal 2 2 3 19 2 3" xfId="2770" xr:uid="{00000000-0005-0000-0000-000069190000}"/>
    <cellStyle name="Normal 2 2 3 19 2 3 2" xfId="2771" xr:uid="{00000000-0005-0000-0000-00006A190000}"/>
    <cellStyle name="Normal 2 2 3 19 2 3 2 2" xfId="29662" xr:uid="{00000000-0005-0000-0000-00006B190000}"/>
    <cellStyle name="Normal 2 2 3 19 2 3 3" xfId="2772" xr:uid="{00000000-0005-0000-0000-00006C190000}"/>
    <cellStyle name="Normal 2 2 3 19 2 3 3 2" xfId="29663" xr:uid="{00000000-0005-0000-0000-00006D190000}"/>
    <cellStyle name="Normal 2 2 3 19 2 3 4" xfId="29664" xr:uid="{00000000-0005-0000-0000-00006E190000}"/>
    <cellStyle name="Normal 2 2 3 19 2 4" xfId="2773" xr:uid="{00000000-0005-0000-0000-00006F190000}"/>
    <cellStyle name="Normal 2 2 3 19 2 4 2" xfId="2774" xr:uid="{00000000-0005-0000-0000-000070190000}"/>
    <cellStyle name="Normal 2 2 3 19 2 4 2 2" xfId="29665" xr:uid="{00000000-0005-0000-0000-000071190000}"/>
    <cellStyle name="Normal 2 2 3 19 2 4 3" xfId="29666" xr:uid="{00000000-0005-0000-0000-000072190000}"/>
    <cellStyle name="Normal 2 2 3 19 2 5" xfId="2775" xr:uid="{00000000-0005-0000-0000-000073190000}"/>
    <cellStyle name="Normal 2 2 3 19 2 5 2" xfId="29667" xr:uid="{00000000-0005-0000-0000-000074190000}"/>
    <cellStyle name="Normal 2 2 3 19 2 6" xfId="2776" xr:uid="{00000000-0005-0000-0000-000075190000}"/>
    <cellStyle name="Normal 2 2 3 19 2 6 2" xfId="29668" xr:uid="{00000000-0005-0000-0000-000076190000}"/>
    <cellStyle name="Normal 2 2 3 19 2 7" xfId="29669" xr:uid="{00000000-0005-0000-0000-000077190000}"/>
    <cellStyle name="Normal 2 2 3 19 2 7 2" xfId="29670" xr:uid="{00000000-0005-0000-0000-000078190000}"/>
    <cellStyle name="Normal 2 2 3 19 2 8" xfId="29671" xr:uid="{00000000-0005-0000-0000-000079190000}"/>
    <cellStyle name="Normal 2 2 3 19 2 9" xfId="29672" xr:uid="{00000000-0005-0000-0000-00007A190000}"/>
    <cellStyle name="Normal 2 2 3 19 3" xfId="2777" xr:uid="{00000000-0005-0000-0000-00007B190000}"/>
    <cellStyle name="Normal 2 2 3 19 3 2" xfId="2778" xr:uid="{00000000-0005-0000-0000-00007C190000}"/>
    <cellStyle name="Normal 2 2 3 19 3 2 2" xfId="2779" xr:uid="{00000000-0005-0000-0000-00007D190000}"/>
    <cellStyle name="Normal 2 2 3 19 3 2 2 2" xfId="29673" xr:uid="{00000000-0005-0000-0000-00007E190000}"/>
    <cellStyle name="Normal 2 2 3 19 3 2 3" xfId="2780" xr:uid="{00000000-0005-0000-0000-00007F190000}"/>
    <cellStyle name="Normal 2 2 3 19 3 2 3 2" xfId="29674" xr:uid="{00000000-0005-0000-0000-000080190000}"/>
    <cellStyle name="Normal 2 2 3 19 3 2 4" xfId="29675" xr:uid="{00000000-0005-0000-0000-000081190000}"/>
    <cellStyle name="Normal 2 2 3 19 3 3" xfId="2781" xr:uid="{00000000-0005-0000-0000-000082190000}"/>
    <cellStyle name="Normal 2 2 3 19 3 3 2" xfId="29676" xr:uid="{00000000-0005-0000-0000-000083190000}"/>
    <cellStyle name="Normal 2 2 3 19 3 4" xfId="2782" xr:uid="{00000000-0005-0000-0000-000084190000}"/>
    <cellStyle name="Normal 2 2 3 19 3 4 2" xfId="29677" xr:uid="{00000000-0005-0000-0000-000085190000}"/>
    <cellStyle name="Normal 2 2 3 19 3 5" xfId="2783" xr:uid="{00000000-0005-0000-0000-000086190000}"/>
    <cellStyle name="Normal 2 2 3 19 3 5 2" xfId="29678" xr:uid="{00000000-0005-0000-0000-000087190000}"/>
    <cellStyle name="Normal 2 2 3 19 3 6" xfId="29679" xr:uid="{00000000-0005-0000-0000-000088190000}"/>
    <cellStyle name="Normal 2 2 3 19 3 6 2" xfId="29680" xr:uid="{00000000-0005-0000-0000-000089190000}"/>
    <cellStyle name="Normal 2 2 3 19 3 7" xfId="29681" xr:uid="{00000000-0005-0000-0000-00008A190000}"/>
    <cellStyle name="Normal 2 2 3 19 4" xfId="2784" xr:uid="{00000000-0005-0000-0000-00008B190000}"/>
    <cellStyle name="Normal 2 2 3 19 4 2" xfId="2785" xr:uid="{00000000-0005-0000-0000-00008C190000}"/>
    <cellStyle name="Normal 2 2 3 19 4 2 2" xfId="29682" xr:uid="{00000000-0005-0000-0000-00008D190000}"/>
    <cellStyle name="Normal 2 2 3 19 4 3" xfId="2786" xr:uid="{00000000-0005-0000-0000-00008E190000}"/>
    <cellStyle name="Normal 2 2 3 19 4 3 2" xfId="29683" xr:uid="{00000000-0005-0000-0000-00008F190000}"/>
    <cellStyle name="Normal 2 2 3 19 4 4" xfId="29684" xr:uid="{00000000-0005-0000-0000-000090190000}"/>
    <cellStyle name="Normal 2 2 3 19 5" xfId="2787" xr:uid="{00000000-0005-0000-0000-000091190000}"/>
    <cellStyle name="Normal 2 2 3 19 5 2" xfId="2788" xr:uid="{00000000-0005-0000-0000-000092190000}"/>
    <cellStyle name="Normal 2 2 3 19 5 2 2" xfId="29685" xr:uid="{00000000-0005-0000-0000-000093190000}"/>
    <cellStyle name="Normal 2 2 3 19 5 3" xfId="29686" xr:uid="{00000000-0005-0000-0000-000094190000}"/>
    <cellStyle name="Normal 2 2 3 19 6" xfId="2789" xr:uid="{00000000-0005-0000-0000-000095190000}"/>
    <cellStyle name="Normal 2 2 3 19 6 2" xfId="29687" xr:uid="{00000000-0005-0000-0000-000096190000}"/>
    <cellStyle name="Normal 2 2 3 19 7" xfId="2790" xr:uid="{00000000-0005-0000-0000-000097190000}"/>
    <cellStyle name="Normal 2 2 3 19 7 2" xfId="29688" xr:uid="{00000000-0005-0000-0000-000098190000}"/>
    <cellStyle name="Normal 2 2 3 19 8" xfId="29689" xr:uid="{00000000-0005-0000-0000-000099190000}"/>
    <cellStyle name="Normal 2 2 3 19 8 2" xfId="29690" xr:uid="{00000000-0005-0000-0000-00009A190000}"/>
    <cellStyle name="Normal 2 2 3 19 9" xfId="29691" xr:uid="{00000000-0005-0000-0000-00009B190000}"/>
    <cellStyle name="Normal 2 2 3 2" xfId="2791" xr:uid="{00000000-0005-0000-0000-00009C190000}"/>
    <cellStyle name="Normal 2 2 3 2 10" xfId="29692" xr:uid="{00000000-0005-0000-0000-00009D190000}"/>
    <cellStyle name="Normal 2 2 3 2 11" xfId="29693" xr:uid="{00000000-0005-0000-0000-00009E190000}"/>
    <cellStyle name="Normal 2 2 3 2 2" xfId="2792" xr:uid="{00000000-0005-0000-0000-00009F190000}"/>
    <cellStyle name="Normal 2 2 3 2 2 10" xfId="29694" xr:uid="{00000000-0005-0000-0000-0000A0190000}"/>
    <cellStyle name="Normal 2 2 3 2 2 2" xfId="2793" xr:uid="{00000000-0005-0000-0000-0000A1190000}"/>
    <cellStyle name="Normal 2 2 3 2 2 2 2" xfId="2794" xr:uid="{00000000-0005-0000-0000-0000A2190000}"/>
    <cellStyle name="Normal 2 2 3 2 2 2 2 2" xfId="2795" xr:uid="{00000000-0005-0000-0000-0000A3190000}"/>
    <cellStyle name="Normal 2 2 3 2 2 2 2 2 2" xfId="29695" xr:uid="{00000000-0005-0000-0000-0000A4190000}"/>
    <cellStyle name="Normal 2 2 3 2 2 2 2 3" xfId="2796" xr:uid="{00000000-0005-0000-0000-0000A5190000}"/>
    <cellStyle name="Normal 2 2 3 2 2 2 2 3 2" xfId="29696" xr:uid="{00000000-0005-0000-0000-0000A6190000}"/>
    <cellStyle name="Normal 2 2 3 2 2 2 2 4" xfId="29697" xr:uid="{00000000-0005-0000-0000-0000A7190000}"/>
    <cellStyle name="Normal 2 2 3 2 2 2 3" xfId="2797" xr:uid="{00000000-0005-0000-0000-0000A8190000}"/>
    <cellStyle name="Normal 2 2 3 2 2 2 3 2" xfId="29698" xr:uid="{00000000-0005-0000-0000-0000A9190000}"/>
    <cellStyle name="Normal 2 2 3 2 2 2 4" xfId="2798" xr:uid="{00000000-0005-0000-0000-0000AA190000}"/>
    <cellStyle name="Normal 2 2 3 2 2 2 4 2" xfId="29699" xr:uid="{00000000-0005-0000-0000-0000AB190000}"/>
    <cellStyle name="Normal 2 2 3 2 2 2 5" xfId="2799" xr:uid="{00000000-0005-0000-0000-0000AC190000}"/>
    <cellStyle name="Normal 2 2 3 2 2 2 5 2" xfId="29700" xr:uid="{00000000-0005-0000-0000-0000AD190000}"/>
    <cellStyle name="Normal 2 2 3 2 2 2 6" xfId="29701" xr:uid="{00000000-0005-0000-0000-0000AE190000}"/>
    <cellStyle name="Normal 2 2 3 2 2 2 6 2" xfId="29702" xr:uid="{00000000-0005-0000-0000-0000AF190000}"/>
    <cellStyle name="Normal 2 2 3 2 2 2 7" xfId="29703" xr:uid="{00000000-0005-0000-0000-0000B0190000}"/>
    <cellStyle name="Normal 2 2 3 2 2 3" xfId="2800" xr:uid="{00000000-0005-0000-0000-0000B1190000}"/>
    <cellStyle name="Normal 2 2 3 2 2 3 2" xfId="2801" xr:uid="{00000000-0005-0000-0000-0000B2190000}"/>
    <cellStyle name="Normal 2 2 3 2 2 3 2 2" xfId="29704" xr:uid="{00000000-0005-0000-0000-0000B3190000}"/>
    <cellStyle name="Normal 2 2 3 2 2 3 3" xfId="2802" xr:uid="{00000000-0005-0000-0000-0000B4190000}"/>
    <cellStyle name="Normal 2 2 3 2 2 3 3 2" xfId="29705" xr:uid="{00000000-0005-0000-0000-0000B5190000}"/>
    <cellStyle name="Normal 2 2 3 2 2 3 4" xfId="29706" xr:uid="{00000000-0005-0000-0000-0000B6190000}"/>
    <cellStyle name="Normal 2 2 3 2 2 4" xfId="2803" xr:uid="{00000000-0005-0000-0000-0000B7190000}"/>
    <cellStyle name="Normal 2 2 3 2 2 4 2" xfId="2804" xr:uid="{00000000-0005-0000-0000-0000B8190000}"/>
    <cellStyle name="Normal 2 2 3 2 2 4 2 2" xfId="29707" xr:uid="{00000000-0005-0000-0000-0000B9190000}"/>
    <cellStyle name="Normal 2 2 3 2 2 4 3" xfId="29708" xr:uid="{00000000-0005-0000-0000-0000BA190000}"/>
    <cellStyle name="Normal 2 2 3 2 2 5" xfId="2805" xr:uid="{00000000-0005-0000-0000-0000BB190000}"/>
    <cellStyle name="Normal 2 2 3 2 2 5 2" xfId="29709" xr:uid="{00000000-0005-0000-0000-0000BC190000}"/>
    <cellStyle name="Normal 2 2 3 2 2 6" xfId="2806" xr:uid="{00000000-0005-0000-0000-0000BD190000}"/>
    <cellStyle name="Normal 2 2 3 2 2 6 2" xfId="29710" xr:uid="{00000000-0005-0000-0000-0000BE190000}"/>
    <cellStyle name="Normal 2 2 3 2 2 7" xfId="29711" xr:uid="{00000000-0005-0000-0000-0000BF190000}"/>
    <cellStyle name="Normal 2 2 3 2 2 7 2" xfId="29712" xr:uid="{00000000-0005-0000-0000-0000C0190000}"/>
    <cellStyle name="Normal 2 2 3 2 2 8" xfId="29713" xr:uid="{00000000-0005-0000-0000-0000C1190000}"/>
    <cellStyle name="Normal 2 2 3 2 2 9" xfId="29714" xr:uid="{00000000-0005-0000-0000-0000C2190000}"/>
    <cellStyle name="Normal 2 2 3 2 3" xfId="2807" xr:uid="{00000000-0005-0000-0000-0000C3190000}"/>
    <cellStyle name="Normal 2 2 3 2 3 2" xfId="2808" xr:uid="{00000000-0005-0000-0000-0000C4190000}"/>
    <cellStyle name="Normal 2 2 3 2 3 2 2" xfId="2809" xr:uid="{00000000-0005-0000-0000-0000C5190000}"/>
    <cellStyle name="Normal 2 2 3 2 3 2 2 2" xfId="29715" xr:uid="{00000000-0005-0000-0000-0000C6190000}"/>
    <cellStyle name="Normal 2 2 3 2 3 2 3" xfId="2810" xr:uid="{00000000-0005-0000-0000-0000C7190000}"/>
    <cellStyle name="Normal 2 2 3 2 3 2 3 2" xfId="29716" xr:uid="{00000000-0005-0000-0000-0000C8190000}"/>
    <cellStyle name="Normal 2 2 3 2 3 2 4" xfId="29717" xr:uid="{00000000-0005-0000-0000-0000C9190000}"/>
    <cellStyle name="Normal 2 2 3 2 3 3" xfId="2811" xr:uid="{00000000-0005-0000-0000-0000CA190000}"/>
    <cellStyle name="Normal 2 2 3 2 3 3 2" xfId="29718" xr:uid="{00000000-0005-0000-0000-0000CB190000}"/>
    <cellStyle name="Normal 2 2 3 2 3 4" xfId="2812" xr:uid="{00000000-0005-0000-0000-0000CC190000}"/>
    <cellStyle name="Normal 2 2 3 2 3 4 2" xfId="29719" xr:uid="{00000000-0005-0000-0000-0000CD190000}"/>
    <cellStyle name="Normal 2 2 3 2 3 5" xfId="2813" xr:uid="{00000000-0005-0000-0000-0000CE190000}"/>
    <cellStyle name="Normal 2 2 3 2 3 5 2" xfId="29720" xr:uid="{00000000-0005-0000-0000-0000CF190000}"/>
    <cellStyle name="Normal 2 2 3 2 3 6" xfId="29721" xr:uid="{00000000-0005-0000-0000-0000D0190000}"/>
    <cellStyle name="Normal 2 2 3 2 3 6 2" xfId="29722" xr:uid="{00000000-0005-0000-0000-0000D1190000}"/>
    <cellStyle name="Normal 2 2 3 2 3 7" xfId="29723" xr:uid="{00000000-0005-0000-0000-0000D2190000}"/>
    <cellStyle name="Normal 2 2 3 2 4" xfId="2814" xr:uid="{00000000-0005-0000-0000-0000D3190000}"/>
    <cellStyle name="Normal 2 2 3 2 4 2" xfId="2815" xr:uid="{00000000-0005-0000-0000-0000D4190000}"/>
    <cellStyle name="Normal 2 2 3 2 4 2 2" xfId="29724" xr:uid="{00000000-0005-0000-0000-0000D5190000}"/>
    <cellStyle name="Normal 2 2 3 2 4 3" xfId="2816" xr:uid="{00000000-0005-0000-0000-0000D6190000}"/>
    <cellStyle name="Normal 2 2 3 2 4 3 2" xfId="29725" xr:uid="{00000000-0005-0000-0000-0000D7190000}"/>
    <cellStyle name="Normal 2 2 3 2 4 4" xfId="29726" xr:uid="{00000000-0005-0000-0000-0000D8190000}"/>
    <cellStyle name="Normal 2 2 3 2 5" xfId="2817" xr:uid="{00000000-0005-0000-0000-0000D9190000}"/>
    <cellStyle name="Normal 2 2 3 2 5 2" xfId="2818" xr:uid="{00000000-0005-0000-0000-0000DA190000}"/>
    <cellStyle name="Normal 2 2 3 2 5 2 2" xfId="29727" xr:uid="{00000000-0005-0000-0000-0000DB190000}"/>
    <cellStyle name="Normal 2 2 3 2 5 3" xfId="29728" xr:uid="{00000000-0005-0000-0000-0000DC190000}"/>
    <cellStyle name="Normal 2 2 3 2 6" xfId="2819" xr:uid="{00000000-0005-0000-0000-0000DD190000}"/>
    <cellStyle name="Normal 2 2 3 2 6 2" xfId="29729" xr:uid="{00000000-0005-0000-0000-0000DE190000}"/>
    <cellStyle name="Normal 2 2 3 2 7" xfId="2820" xr:uid="{00000000-0005-0000-0000-0000DF190000}"/>
    <cellStyle name="Normal 2 2 3 2 7 2" xfId="29730" xr:uid="{00000000-0005-0000-0000-0000E0190000}"/>
    <cellStyle name="Normal 2 2 3 2 8" xfId="29731" xr:uid="{00000000-0005-0000-0000-0000E1190000}"/>
    <cellStyle name="Normal 2 2 3 2 8 2" xfId="29732" xr:uid="{00000000-0005-0000-0000-0000E2190000}"/>
    <cellStyle name="Normal 2 2 3 2 9" xfId="29733" xr:uid="{00000000-0005-0000-0000-0000E3190000}"/>
    <cellStyle name="Normal 2 2 3 20" xfId="2821" xr:uid="{00000000-0005-0000-0000-0000E4190000}"/>
    <cellStyle name="Normal 2 2 3 20 10" xfId="29734" xr:uid="{00000000-0005-0000-0000-0000E5190000}"/>
    <cellStyle name="Normal 2 2 3 20 11" xfId="29735" xr:uid="{00000000-0005-0000-0000-0000E6190000}"/>
    <cellStyle name="Normal 2 2 3 20 2" xfId="2822" xr:uid="{00000000-0005-0000-0000-0000E7190000}"/>
    <cellStyle name="Normal 2 2 3 20 2 10" xfId="29736" xr:uid="{00000000-0005-0000-0000-0000E8190000}"/>
    <cellStyle name="Normal 2 2 3 20 2 2" xfId="2823" xr:uid="{00000000-0005-0000-0000-0000E9190000}"/>
    <cellStyle name="Normal 2 2 3 20 2 2 2" xfId="2824" xr:uid="{00000000-0005-0000-0000-0000EA190000}"/>
    <cellStyle name="Normal 2 2 3 20 2 2 2 2" xfId="2825" xr:uid="{00000000-0005-0000-0000-0000EB190000}"/>
    <cellStyle name="Normal 2 2 3 20 2 2 2 2 2" xfId="29737" xr:uid="{00000000-0005-0000-0000-0000EC190000}"/>
    <cellStyle name="Normal 2 2 3 20 2 2 2 3" xfId="2826" xr:uid="{00000000-0005-0000-0000-0000ED190000}"/>
    <cellStyle name="Normal 2 2 3 20 2 2 2 3 2" xfId="29738" xr:uid="{00000000-0005-0000-0000-0000EE190000}"/>
    <cellStyle name="Normal 2 2 3 20 2 2 2 4" xfId="29739" xr:uid="{00000000-0005-0000-0000-0000EF190000}"/>
    <cellStyle name="Normal 2 2 3 20 2 2 3" xfId="2827" xr:uid="{00000000-0005-0000-0000-0000F0190000}"/>
    <cellStyle name="Normal 2 2 3 20 2 2 3 2" xfId="29740" xr:uid="{00000000-0005-0000-0000-0000F1190000}"/>
    <cellStyle name="Normal 2 2 3 20 2 2 4" xfId="2828" xr:uid="{00000000-0005-0000-0000-0000F2190000}"/>
    <cellStyle name="Normal 2 2 3 20 2 2 4 2" xfId="29741" xr:uid="{00000000-0005-0000-0000-0000F3190000}"/>
    <cellStyle name="Normal 2 2 3 20 2 2 5" xfId="2829" xr:uid="{00000000-0005-0000-0000-0000F4190000}"/>
    <cellStyle name="Normal 2 2 3 20 2 2 5 2" xfId="29742" xr:uid="{00000000-0005-0000-0000-0000F5190000}"/>
    <cellStyle name="Normal 2 2 3 20 2 2 6" xfId="29743" xr:uid="{00000000-0005-0000-0000-0000F6190000}"/>
    <cellStyle name="Normal 2 2 3 20 2 2 6 2" xfId="29744" xr:uid="{00000000-0005-0000-0000-0000F7190000}"/>
    <cellStyle name="Normal 2 2 3 20 2 2 7" xfId="29745" xr:uid="{00000000-0005-0000-0000-0000F8190000}"/>
    <cellStyle name="Normal 2 2 3 20 2 3" xfId="2830" xr:uid="{00000000-0005-0000-0000-0000F9190000}"/>
    <cellStyle name="Normal 2 2 3 20 2 3 2" xfId="2831" xr:uid="{00000000-0005-0000-0000-0000FA190000}"/>
    <cellStyle name="Normal 2 2 3 20 2 3 2 2" xfId="29746" xr:uid="{00000000-0005-0000-0000-0000FB190000}"/>
    <cellStyle name="Normal 2 2 3 20 2 3 3" xfId="2832" xr:uid="{00000000-0005-0000-0000-0000FC190000}"/>
    <cellStyle name="Normal 2 2 3 20 2 3 3 2" xfId="29747" xr:uid="{00000000-0005-0000-0000-0000FD190000}"/>
    <cellStyle name="Normal 2 2 3 20 2 3 4" xfId="29748" xr:uid="{00000000-0005-0000-0000-0000FE190000}"/>
    <cellStyle name="Normal 2 2 3 20 2 4" xfId="2833" xr:uid="{00000000-0005-0000-0000-0000FF190000}"/>
    <cellStyle name="Normal 2 2 3 20 2 4 2" xfId="2834" xr:uid="{00000000-0005-0000-0000-0000001A0000}"/>
    <cellStyle name="Normal 2 2 3 20 2 4 2 2" xfId="29749" xr:uid="{00000000-0005-0000-0000-0000011A0000}"/>
    <cellStyle name="Normal 2 2 3 20 2 4 3" xfId="29750" xr:uid="{00000000-0005-0000-0000-0000021A0000}"/>
    <cellStyle name="Normal 2 2 3 20 2 5" xfId="2835" xr:uid="{00000000-0005-0000-0000-0000031A0000}"/>
    <cellStyle name="Normal 2 2 3 20 2 5 2" xfId="29751" xr:uid="{00000000-0005-0000-0000-0000041A0000}"/>
    <cellStyle name="Normal 2 2 3 20 2 6" xfId="2836" xr:uid="{00000000-0005-0000-0000-0000051A0000}"/>
    <cellStyle name="Normal 2 2 3 20 2 6 2" xfId="29752" xr:uid="{00000000-0005-0000-0000-0000061A0000}"/>
    <cellStyle name="Normal 2 2 3 20 2 7" xfId="29753" xr:uid="{00000000-0005-0000-0000-0000071A0000}"/>
    <cellStyle name="Normal 2 2 3 20 2 7 2" xfId="29754" xr:uid="{00000000-0005-0000-0000-0000081A0000}"/>
    <cellStyle name="Normal 2 2 3 20 2 8" xfId="29755" xr:uid="{00000000-0005-0000-0000-0000091A0000}"/>
    <cellStyle name="Normal 2 2 3 20 2 9" xfId="29756" xr:uid="{00000000-0005-0000-0000-00000A1A0000}"/>
    <cellStyle name="Normal 2 2 3 20 3" xfId="2837" xr:uid="{00000000-0005-0000-0000-00000B1A0000}"/>
    <cellStyle name="Normal 2 2 3 20 3 2" xfId="2838" xr:uid="{00000000-0005-0000-0000-00000C1A0000}"/>
    <cellStyle name="Normal 2 2 3 20 3 2 2" xfId="2839" xr:uid="{00000000-0005-0000-0000-00000D1A0000}"/>
    <cellStyle name="Normal 2 2 3 20 3 2 2 2" xfId="29757" xr:uid="{00000000-0005-0000-0000-00000E1A0000}"/>
    <cellStyle name="Normal 2 2 3 20 3 2 3" xfId="2840" xr:uid="{00000000-0005-0000-0000-00000F1A0000}"/>
    <cellStyle name="Normal 2 2 3 20 3 2 3 2" xfId="29758" xr:uid="{00000000-0005-0000-0000-0000101A0000}"/>
    <cellStyle name="Normal 2 2 3 20 3 2 4" xfId="29759" xr:uid="{00000000-0005-0000-0000-0000111A0000}"/>
    <cellStyle name="Normal 2 2 3 20 3 3" xfId="2841" xr:uid="{00000000-0005-0000-0000-0000121A0000}"/>
    <cellStyle name="Normal 2 2 3 20 3 3 2" xfId="29760" xr:uid="{00000000-0005-0000-0000-0000131A0000}"/>
    <cellStyle name="Normal 2 2 3 20 3 4" xfId="2842" xr:uid="{00000000-0005-0000-0000-0000141A0000}"/>
    <cellStyle name="Normal 2 2 3 20 3 4 2" xfId="29761" xr:uid="{00000000-0005-0000-0000-0000151A0000}"/>
    <cellStyle name="Normal 2 2 3 20 3 5" xfId="2843" xr:uid="{00000000-0005-0000-0000-0000161A0000}"/>
    <cellStyle name="Normal 2 2 3 20 3 5 2" xfId="29762" xr:uid="{00000000-0005-0000-0000-0000171A0000}"/>
    <cellStyle name="Normal 2 2 3 20 3 6" xfId="29763" xr:uid="{00000000-0005-0000-0000-0000181A0000}"/>
    <cellStyle name="Normal 2 2 3 20 3 6 2" xfId="29764" xr:uid="{00000000-0005-0000-0000-0000191A0000}"/>
    <cellStyle name="Normal 2 2 3 20 3 7" xfId="29765" xr:uid="{00000000-0005-0000-0000-00001A1A0000}"/>
    <cellStyle name="Normal 2 2 3 20 4" xfId="2844" xr:uid="{00000000-0005-0000-0000-00001B1A0000}"/>
    <cellStyle name="Normal 2 2 3 20 4 2" xfId="2845" xr:uid="{00000000-0005-0000-0000-00001C1A0000}"/>
    <cellStyle name="Normal 2 2 3 20 4 2 2" xfId="29766" xr:uid="{00000000-0005-0000-0000-00001D1A0000}"/>
    <cellStyle name="Normal 2 2 3 20 4 3" xfId="2846" xr:uid="{00000000-0005-0000-0000-00001E1A0000}"/>
    <cellStyle name="Normal 2 2 3 20 4 3 2" xfId="29767" xr:uid="{00000000-0005-0000-0000-00001F1A0000}"/>
    <cellStyle name="Normal 2 2 3 20 4 4" xfId="29768" xr:uid="{00000000-0005-0000-0000-0000201A0000}"/>
    <cellStyle name="Normal 2 2 3 20 5" xfId="2847" xr:uid="{00000000-0005-0000-0000-0000211A0000}"/>
    <cellStyle name="Normal 2 2 3 20 5 2" xfId="2848" xr:uid="{00000000-0005-0000-0000-0000221A0000}"/>
    <cellStyle name="Normal 2 2 3 20 5 2 2" xfId="29769" xr:uid="{00000000-0005-0000-0000-0000231A0000}"/>
    <cellStyle name="Normal 2 2 3 20 5 3" xfId="29770" xr:uid="{00000000-0005-0000-0000-0000241A0000}"/>
    <cellStyle name="Normal 2 2 3 20 6" xfId="2849" xr:uid="{00000000-0005-0000-0000-0000251A0000}"/>
    <cellStyle name="Normal 2 2 3 20 6 2" xfId="29771" xr:uid="{00000000-0005-0000-0000-0000261A0000}"/>
    <cellStyle name="Normal 2 2 3 20 7" xfId="2850" xr:uid="{00000000-0005-0000-0000-0000271A0000}"/>
    <cellStyle name="Normal 2 2 3 20 7 2" xfId="29772" xr:uid="{00000000-0005-0000-0000-0000281A0000}"/>
    <cellStyle name="Normal 2 2 3 20 8" xfId="29773" xr:uid="{00000000-0005-0000-0000-0000291A0000}"/>
    <cellStyle name="Normal 2 2 3 20 8 2" xfId="29774" xr:uid="{00000000-0005-0000-0000-00002A1A0000}"/>
    <cellStyle name="Normal 2 2 3 20 9" xfId="29775" xr:uid="{00000000-0005-0000-0000-00002B1A0000}"/>
    <cellStyle name="Normal 2 2 3 21" xfId="2851" xr:uid="{00000000-0005-0000-0000-00002C1A0000}"/>
    <cellStyle name="Normal 2 2 3 21 10" xfId="29776" xr:uid="{00000000-0005-0000-0000-00002D1A0000}"/>
    <cellStyle name="Normal 2 2 3 21 11" xfId="29777" xr:uid="{00000000-0005-0000-0000-00002E1A0000}"/>
    <cellStyle name="Normal 2 2 3 21 2" xfId="2852" xr:uid="{00000000-0005-0000-0000-00002F1A0000}"/>
    <cellStyle name="Normal 2 2 3 21 2 10" xfId="29778" xr:uid="{00000000-0005-0000-0000-0000301A0000}"/>
    <cellStyle name="Normal 2 2 3 21 2 2" xfId="2853" xr:uid="{00000000-0005-0000-0000-0000311A0000}"/>
    <cellStyle name="Normal 2 2 3 21 2 2 2" xfId="2854" xr:uid="{00000000-0005-0000-0000-0000321A0000}"/>
    <cellStyle name="Normal 2 2 3 21 2 2 2 2" xfId="2855" xr:uid="{00000000-0005-0000-0000-0000331A0000}"/>
    <cellStyle name="Normal 2 2 3 21 2 2 2 2 2" xfId="29779" xr:uid="{00000000-0005-0000-0000-0000341A0000}"/>
    <cellStyle name="Normal 2 2 3 21 2 2 2 3" xfId="2856" xr:uid="{00000000-0005-0000-0000-0000351A0000}"/>
    <cellStyle name="Normal 2 2 3 21 2 2 2 3 2" xfId="29780" xr:uid="{00000000-0005-0000-0000-0000361A0000}"/>
    <cellStyle name="Normal 2 2 3 21 2 2 2 4" xfId="29781" xr:uid="{00000000-0005-0000-0000-0000371A0000}"/>
    <cellStyle name="Normal 2 2 3 21 2 2 3" xfId="2857" xr:uid="{00000000-0005-0000-0000-0000381A0000}"/>
    <cellStyle name="Normal 2 2 3 21 2 2 3 2" xfId="29782" xr:uid="{00000000-0005-0000-0000-0000391A0000}"/>
    <cellStyle name="Normal 2 2 3 21 2 2 4" xfId="2858" xr:uid="{00000000-0005-0000-0000-00003A1A0000}"/>
    <cellStyle name="Normal 2 2 3 21 2 2 4 2" xfId="29783" xr:uid="{00000000-0005-0000-0000-00003B1A0000}"/>
    <cellStyle name="Normal 2 2 3 21 2 2 5" xfId="2859" xr:uid="{00000000-0005-0000-0000-00003C1A0000}"/>
    <cellStyle name="Normal 2 2 3 21 2 2 5 2" xfId="29784" xr:uid="{00000000-0005-0000-0000-00003D1A0000}"/>
    <cellStyle name="Normal 2 2 3 21 2 2 6" xfId="29785" xr:uid="{00000000-0005-0000-0000-00003E1A0000}"/>
    <cellStyle name="Normal 2 2 3 21 2 2 6 2" xfId="29786" xr:uid="{00000000-0005-0000-0000-00003F1A0000}"/>
    <cellStyle name="Normal 2 2 3 21 2 2 7" xfId="29787" xr:uid="{00000000-0005-0000-0000-0000401A0000}"/>
    <cellStyle name="Normal 2 2 3 21 2 3" xfId="2860" xr:uid="{00000000-0005-0000-0000-0000411A0000}"/>
    <cellStyle name="Normal 2 2 3 21 2 3 2" xfId="2861" xr:uid="{00000000-0005-0000-0000-0000421A0000}"/>
    <cellStyle name="Normal 2 2 3 21 2 3 2 2" xfId="29788" xr:uid="{00000000-0005-0000-0000-0000431A0000}"/>
    <cellStyle name="Normal 2 2 3 21 2 3 3" xfId="2862" xr:uid="{00000000-0005-0000-0000-0000441A0000}"/>
    <cellStyle name="Normal 2 2 3 21 2 3 3 2" xfId="29789" xr:uid="{00000000-0005-0000-0000-0000451A0000}"/>
    <cellStyle name="Normal 2 2 3 21 2 3 4" xfId="29790" xr:uid="{00000000-0005-0000-0000-0000461A0000}"/>
    <cellStyle name="Normal 2 2 3 21 2 4" xfId="2863" xr:uid="{00000000-0005-0000-0000-0000471A0000}"/>
    <cellStyle name="Normal 2 2 3 21 2 4 2" xfId="2864" xr:uid="{00000000-0005-0000-0000-0000481A0000}"/>
    <cellStyle name="Normal 2 2 3 21 2 4 2 2" xfId="29791" xr:uid="{00000000-0005-0000-0000-0000491A0000}"/>
    <cellStyle name="Normal 2 2 3 21 2 4 3" xfId="29792" xr:uid="{00000000-0005-0000-0000-00004A1A0000}"/>
    <cellStyle name="Normal 2 2 3 21 2 5" xfId="2865" xr:uid="{00000000-0005-0000-0000-00004B1A0000}"/>
    <cellStyle name="Normal 2 2 3 21 2 5 2" xfId="29793" xr:uid="{00000000-0005-0000-0000-00004C1A0000}"/>
    <cellStyle name="Normal 2 2 3 21 2 6" xfId="2866" xr:uid="{00000000-0005-0000-0000-00004D1A0000}"/>
    <cellStyle name="Normal 2 2 3 21 2 6 2" xfId="29794" xr:uid="{00000000-0005-0000-0000-00004E1A0000}"/>
    <cellStyle name="Normal 2 2 3 21 2 7" xfId="29795" xr:uid="{00000000-0005-0000-0000-00004F1A0000}"/>
    <cellStyle name="Normal 2 2 3 21 2 7 2" xfId="29796" xr:uid="{00000000-0005-0000-0000-0000501A0000}"/>
    <cellStyle name="Normal 2 2 3 21 2 8" xfId="29797" xr:uid="{00000000-0005-0000-0000-0000511A0000}"/>
    <cellStyle name="Normal 2 2 3 21 2 9" xfId="29798" xr:uid="{00000000-0005-0000-0000-0000521A0000}"/>
    <cellStyle name="Normal 2 2 3 21 3" xfId="2867" xr:uid="{00000000-0005-0000-0000-0000531A0000}"/>
    <cellStyle name="Normal 2 2 3 21 3 2" xfId="2868" xr:uid="{00000000-0005-0000-0000-0000541A0000}"/>
    <cellStyle name="Normal 2 2 3 21 3 2 2" xfId="2869" xr:uid="{00000000-0005-0000-0000-0000551A0000}"/>
    <cellStyle name="Normal 2 2 3 21 3 2 2 2" xfId="29799" xr:uid="{00000000-0005-0000-0000-0000561A0000}"/>
    <cellStyle name="Normal 2 2 3 21 3 2 3" xfId="2870" xr:uid="{00000000-0005-0000-0000-0000571A0000}"/>
    <cellStyle name="Normal 2 2 3 21 3 2 3 2" xfId="29800" xr:uid="{00000000-0005-0000-0000-0000581A0000}"/>
    <cellStyle name="Normal 2 2 3 21 3 2 4" xfId="29801" xr:uid="{00000000-0005-0000-0000-0000591A0000}"/>
    <cellStyle name="Normal 2 2 3 21 3 3" xfId="2871" xr:uid="{00000000-0005-0000-0000-00005A1A0000}"/>
    <cellStyle name="Normal 2 2 3 21 3 3 2" xfId="29802" xr:uid="{00000000-0005-0000-0000-00005B1A0000}"/>
    <cellStyle name="Normal 2 2 3 21 3 4" xfId="2872" xr:uid="{00000000-0005-0000-0000-00005C1A0000}"/>
    <cellStyle name="Normal 2 2 3 21 3 4 2" xfId="29803" xr:uid="{00000000-0005-0000-0000-00005D1A0000}"/>
    <cellStyle name="Normal 2 2 3 21 3 5" xfId="2873" xr:uid="{00000000-0005-0000-0000-00005E1A0000}"/>
    <cellStyle name="Normal 2 2 3 21 3 5 2" xfId="29804" xr:uid="{00000000-0005-0000-0000-00005F1A0000}"/>
    <cellStyle name="Normal 2 2 3 21 3 6" xfId="29805" xr:uid="{00000000-0005-0000-0000-0000601A0000}"/>
    <cellStyle name="Normal 2 2 3 21 3 6 2" xfId="29806" xr:uid="{00000000-0005-0000-0000-0000611A0000}"/>
    <cellStyle name="Normal 2 2 3 21 3 7" xfId="29807" xr:uid="{00000000-0005-0000-0000-0000621A0000}"/>
    <cellStyle name="Normal 2 2 3 21 4" xfId="2874" xr:uid="{00000000-0005-0000-0000-0000631A0000}"/>
    <cellStyle name="Normal 2 2 3 21 4 2" xfId="2875" xr:uid="{00000000-0005-0000-0000-0000641A0000}"/>
    <cellStyle name="Normal 2 2 3 21 4 2 2" xfId="29808" xr:uid="{00000000-0005-0000-0000-0000651A0000}"/>
    <cellStyle name="Normal 2 2 3 21 4 3" xfId="2876" xr:uid="{00000000-0005-0000-0000-0000661A0000}"/>
    <cellStyle name="Normal 2 2 3 21 4 3 2" xfId="29809" xr:uid="{00000000-0005-0000-0000-0000671A0000}"/>
    <cellStyle name="Normal 2 2 3 21 4 4" xfId="29810" xr:uid="{00000000-0005-0000-0000-0000681A0000}"/>
    <cellStyle name="Normal 2 2 3 21 5" xfId="2877" xr:uid="{00000000-0005-0000-0000-0000691A0000}"/>
    <cellStyle name="Normal 2 2 3 21 5 2" xfId="2878" xr:uid="{00000000-0005-0000-0000-00006A1A0000}"/>
    <cellStyle name="Normal 2 2 3 21 5 2 2" xfId="29811" xr:uid="{00000000-0005-0000-0000-00006B1A0000}"/>
    <cellStyle name="Normal 2 2 3 21 5 3" xfId="29812" xr:uid="{00000000-0005-0000-0000-00006C1A0000}"/>
    <cellStyle name="Normal 2 2 3 21 6" xfId="2879" xr:uid="{00000000-0005-0000-0000-00006D1A0000}"/>
    <cellStyle name="Normal 2 2 3 21 6 2" xfId="29813" xr:uid="{00000000-0005-0000-0000-00006E1A0000}"/>
    <cellStyle name="Normal 2 2 3 21 7" xfId="2880" xr:uid="{00000000-0005-0000-0000-00006F1A0000}"/>
    <cellStyle name="Normal 2 2 3 21 7 2" xfId="29814" xr:uid="{00000000-0005-0000-0000-0000701A0000}"/>
    <cellStyle name="Normal 2 2 3 21 8" xfId="29815" xr:uid="{00000000-0005-0000-0000-0000711A0000}"/>
    <cellStyle name="Normal 2 2 3 21 8 2" xfId="29816" xr:uid="{00000000-0005-0000-0000-0000721A0000}"/>
    <cellStyle name="Normal 2 2 3 21 9" xfId="29817" xr:uid="{00000000-0005-0000-0000-0000731A0000}"/>
    <cellStyle name="Normal 2 2 3 22" xfId="2881" xr:uid="{00000000-0005-0000-0000-0000741A0000}"/>
    <cellStyle name="Normal 2 2 3 22 10" xfId="29818" xr:uid="{00000000-0005-0000-0000-0000751A0000}"/>
    <cellStyle name="Normal 2 2 3 22 11" xfId="29819" xr:uid="{00000000-0005-0000-0000-0000761A0000}"/>
    <cellStyle name="Normal 2 2 3 22 2" xfId="2882" xr:uid="{00000000-0005-0000-0000-0000771A0000}"/>
    <cellStyle name="Normal 2 2 3 22 2 10" xfId="29820" xr:uid="{00000000-0005-0000-0000-0000781A0000}"/>
    <cellStyle name="Normal 2 2 3 22 2 2" xfId="2883" xr:uid="{00000000-0005-0000-0000-0000791A0000}"/>
    <cellStyle name="Normal 2 2 3 22 2 2 2" xfId="2884" xr:uid="{00000000-0005-0000-0000-00007A1A0000}"/>
    <cellStyle name="Normal 2 2 3 22 2 2 2 2" xfId="2885" xr:uid="{00000000-0005-0000-0000-00007B1A0000}"/>
    <cellStyle name="Normal 2 2 3 22 2 2 2 2 2" xfId="29821" xr:uid="{00000000-0005-0000-0000-00007C1A0000}"/>
    <cellStyle name="Normal 2 2 3 22 2 2 2 3" xfId="2886" xr:uid="{00000000-0005-0000-0000-00007D1A0000}"/>
    <cellStyle name="Normal 2 2 3 22 2 2 2 3 2" xfId="29822" xr:uid="{00000000-0005-0000-0000-00007E1A0000}"/>
    <cellStyle name="Normal 2 2 3 22 2 2 2 4" xfId="29823" xr:uid="{00000000-0005-0000-0000-00007F1A0000}"/>
    <cellStyle name="Normal 2 2 3 22 2 2 3" xfId="2887" xr:uid="{00000000-0005-0000-0000-0000801A0000}"/>
    <cellStyle name="Normal 2 2 3 22 2 2 3 2" xfId="29824" xr:uid="{00000000-0005-0000-0000-0000811A0000}"/>
    <cellStyle name="Normal 2 2 3 22 2 2 4" xfId="2888" xr:uid="{00000000-0005-0000-0000-0000821A0000}"/>
    <cellStyle name="Normal 2 2 3 22 2 2 4 2" xfId="29825" xr:uid="{00000000-0005-0000-0000-0000831A0000}"/>
    <cellStyle name="Normal 2 2 3 22 2 2 5" xfId="2889" xr:uid="{00000000-0005-0000-0000-0000841A0000}"/>
    <cellStyle name="Normal 2 2 3 22 2 2 5 2" xfId="29826" xr:uid="{00000000-0005-0000-0000-0000851A0000}"/>
    <cellStyle name="Normal 2 2 3 22 2 2 6" xfId="29827" xr:uid="{00000000-0005-0000-0000-0000861A0000}"/>
    <cellStyle name="Normal 2 2 3 22 2 2 6 2" xfId="29828" xr:uid="{00000000-0005-0000-0000-0000871A0000}"/>
    <cellStyle name="Normal 2 2 3 22 2 2 7" xfId="29829" xr:uid="{00000000-0005-0000-0000-0000881A0000}"/>
    <cellStyle name="Normal 2 2 3 22 2 3" xfId="2890" xr:uid="{00000000-0005-0000-0000-0000891A0000}"/>
    <cellStyle name="Normal 2 2 3 22 2 3 2" xfId="2891" xr:uid="{00000000-0005-0000-0000-00008A1A0000}"/>
    <cellStyle name="Normal 2 2 3 22 2 3 2 2" xfId="29830" xr:uid="{00000000-0005-0000-0000-00008B1A0000}"/>
    <cellStyle name="Normal 2 2 3 22 2 3 3" xfId="2892" xr:uid="{00000000-0005-0000-0000-00008C1A0000}"/>
    <cellStyle name="Normal 2 2 3 22 2 3 3 2" xfId="29831" xr:uid="{00000000-0005-0000-0000-00008D1A0000}"/>
    <cellStyle name="Normal 2 2 3 22 2 3 4" xfId="29832" xr:uid="{00000000-0005-0000-0000-00008E1A0000}"/>
    <cellStyle name="Normal 2 2 3 22 2 4" xfId="2893" xr:uid="{00000000-0005-0000-0000-00008F1A0000}"/>
    <cellStyle name="Normal 2 2 3 22 2 4 2" xfId="2894" xr:uid="{00000000-0005-0000-0000-0000901A0000}"/>
    <cellStyle name="Normal 2 2 3 22 2 4 2 2" xfId="29833" xr:uid="{00000000-0005-0000-0000-0000911A0000}"/>
    <cellStyle name="Normal 2 2 3 22 2 4 3" xfId="29834" xr:uid="{00000000-0005-0000-0000-0000921A0000}"/>
    <cellStyle name="Normal 2 2 3 22 2 5" xfId="2895" xr:uid="{00000000-0005-0000-0000-0000931A0000}"/>
    <cellStyle name="Normal 2 2 3 22 2 5 2" xfId="29835" xr:uid="{00000000-0005-0000-0000-0000941A0000}"/>
    <cellStyle name="Normal 2 2 3 22 2 6" xfId="2896" xr:uid="{00000000-0005-0000-0000-0000951A0000}"/>
    <cellStyle name="Normal 2 2 3 22 2 6 2" xfId="29836" xr:uid="{00000000-0005-0000-0000-0000961A0000}"/>
    <cellStyle name="Normal 2 2 3 22 2 7" xfId="29837" xr:uid="{00000000-0005-0000-0000-0000971A0000}"/>
    <cellStyle name="Normal 2 2 3 22 2 7 2" xfId="29838" xr:uid="{00000000-0005-0000-0000-0000981A0000}"/>
    <cellStyle name="Normal 2 2 3 22 2 8" xfId="29839" xr:uid="{00000000-0005-0000-0000-0000991A0000}"/>
    <cellStyle name="Normal 2 2 3 22 2 9" xfId="29840" xr:uid="{00000000-0005-0000-0000-00009A1A0000}"/>
    <cellStyle name="Normal 2 2 3 22 3" xfId="2897" xr:uid="{00000000-0005-0000-0000-00009B1A0000}"/>
    <cellStyle name="Normal 2 2 3 22 3 2" xfId="2898" xr:uid="{00000000-0005-0000-0000-00009C1A0000}"/>
    <cellStyle name="Normal 2 2 3 22 3 2 2" xfId="2899" xr:uid="{00000000-0005-0000-0000-00009D1A0000}"/>
    <cellStyle name="Normal 2 2 3 22 3 2 2 2" xfId="29841" xr:uid="{00000000-0005-0000-0000-00009E1A0000}"/>
    <cellStyle name="Normal 2 2 3 22 3 2 3" xfId="2900" xr:uid="{00000000-0005-0000-0000-00009F1A0000}"/>
    <cellStyle name="Normal 2 2 3 22 3 2 3 2" xfId="29842" xr:uid="{00000000-0005-0000-0000-0000A01A0000}"/>
    <cellStyle name="Normal 2 2 3 22 3 2 4" xfId="29843" xr:uid="{00000000-0005-0000-0000-0000A11A0000}"/>
    <cellStyle name="Normal 2 2 3 22 3 3" xfId="2901" xr:uid="{00000000-0005-0000-0000-0000A21A0000}"/>
    <cellStyle name="Normal 2 2 3 22 3 3 2" xfId="29844" xr:uid="{00000000-0005-0000-0000-0000A31A0000}"/>
    <cellStyle name="Normal 2 2 3 22 3 4" xfId="2902" xr:uid="{00000000-0005-0000-0000-0000A41A0000}"/>
    <cellStyle name="Normal 2 2 3 22 3 4 2" xfId="29845" xr:uid="{00000000-0005-0000-0000-0000A51A0000}"/>
    <cellStyle name="Normal 2 2 3 22 3 5" xfId="2903" xr:uid="{00000000-0005-0000-0000-0000A61A0000}"/>
    <cellStyle name="Normal 2 2 3 22 3 5 2" xfId="29846" xr:uid="{00000000-0005-0000-0000-0000A71A0000}"/>
    <cellStyle name="Normal 2 2 3 22 3 6" xfId="29847" xr:uid="{00000000-0005-0000-0000-0000A81A0000}"/>
    <cellStyle name="Normal 2 2 3 22 3 6 2" xfId="29848" xr:uid="{00000000-0005-0000-0000-0000A91A0000}"/>
    <cellStyle name="Normal 2 2 3 22 3 7" xfId="29849" xr:uid="{00000000-0005-0000-0000-0000AA1A0000}"/>
    <cellStyle name="Normal 2 2 3 22 4" xfId="2904" xr:uid="{00000000-0005-0000-0000-0000AB1A0000}"/>
    <cellStyle name="Normal 2 2 3 22 4 2" xfId="2905" xr:uid="{00000000-0005-0000-0000-0000AC1A0000}"/>
    <cellStyle name="Normal 2 2 3 22 4 2 2" xfId="29850" xr:uid="{00000000-0005-0000-0000-0000AD1A0000}"/>
    <cellStyle name="Normal 2 2 3 22 4 3" xfId="2906" xr:uid="{00000000-0005-0000-0000-0000AE1A0000}"/>
    <cellStyle name="Normal 2 2 3 22 4 3 2" xfId="29851" xr:uid="{00000000-0005-0000-0000-0000AF1A0000}"/>
    <cellStyle name="Normal 2 2 3 22 4 4" xfId="29852" xr:uid="{00000000-0005-0000-0000-0000B01A0000}"/>
    <cellStyle name="Normal 2 2 3 22 5" xfId="2907" xr:uid="{00000000-0005-0000-0000-0000B11A0000}"/>
    <cellStyle name="Normal 2 2 3 22 5 2" xfId="2908" xr:uid="{00000000-0005-0000-0000-0000B21A0000}"/>
    <cellStyle name="Normal 2 2 3 22 5 2 2" xfId="29853" xr:uid="{00000000-0005-0000-0000-0000B31A0000}"/>
    <cellStyle name="Normal 2 2 3 22 5 3" xfId="29854" xr:uid="{00000000-0005-0000-0000-0000B41A0000}"/>
    <cellStyle name="Normal 2 2 3 22 6" xfId="2909" xr:uid="{00000000-0005-0000-0000-0000B51A0000}"/>
    <cellStyle name="Normal 2 2 3 22 6 2" xfId="29855" xr:uid="{00000000-0005-0000-0000-0000B61A0000}"/>
    <cellStyle name="Normal 2 2 3 22 7" xfId="2910" xr:uid="{00000000-0005-0000-0000-0000B71A0000}"/>
    <cellStyle name="Normal 2 2 3 22 7 2" xfId="29856" xr:uid="{00000000-0005-0000-0000-0000B81A0000}"/>
    <cellStyle name="Normal 2 2 3 22 8" xfId="29857" xr:uid="{00000000-0005-0000-0000-0000B91A0000}"/>
    <cellStyle name="Normal 2 2 3 22 8 2" xfId="29858" xr:uid="{00000000-0005-0000-0000-0000BA1A0000}"/>
    <cellStyle name="Normal 2 2 3 22 9" xfId="29859" xr:uid="{00000000-0005-0000-0000-0000BB1A0000}"/>
    <cellStyle name="Normal 2 2 3 23" xfId="2911" xr:uid="{00000000-0005-0000-0000-0000BC1A0000}"/>
    <cellStyle name="Normal 2 2 3 23 10" xfId="29860" xr:uid="{00000000-0005-0000-0000-0000BD1A0000}"/>
    <cellStyle name="Normal 2 2 3 23 11" xfId="29861" xr:uid="{00000000-0005-0000-0000-0000BE1A0000}"/>
    <cellStyle name="Normal 2 2 3 23 2" xfId="2912" xr:uid="{00000000-0005-0000-0000-0000BF1A0000}"/>
    <cellStyle name="Normal 2 2 3 23 2 10" xfId="29862" xr:uid="{00000000-0005-0000-0000-0000C01A0000}"/>
    <cellStyle name="Normal 2 2 3 23 2 2" xfId="2913" xr:uid="{00000000-0005-0000-0000-0000C11A0000}"/>
    <cellStyle name="Normal 2 2 3 23 2 2 2" xfId="2914" xr:uid="{00000000-0005-0000-0000-0000C21A0000}"/>
    <cellStyle name="Normal 2 2 3 23 2 2 2 2" xfId="2915" xr:uid="{00000000-0005-0000-0000-0000C31A0000}"/>
    <cellStyle name="Normal 2 2 3 23 2 2 2 2 2" xfId="29863" xr:uid="{00000000-0005-0000-0000-0000C41A0000}"/>
    <cellStyle name="Normal 2 2 3 23 2 2 2 3" xfId="2916" xr:uid="{00000000-0005-0000-0000-0000C51A0000}"/>
    <cellStyle name="Normal 2 2 3 23 2 2 2 3 2" xfId="29864" xr:uid="{00000000-0005-0000-0000-0000C61A0000}"/>
    <cellStyle name="Normal 2 2 3 23 2 2 2 4" xfId="29865" xr:uid="{00000000-0005-0000-0000-0000C71A0000}"/>
    <cellStyle name="Normal 2 2 3 23 2 2 3" xfId="2917" xr:uid="{00000000-0005-0000-0000-0000C81A0000}"/>
    <cellStyle name="Normal 2 2 3 23 2 2 3 2" xfId="29866" xr:uid="{00000000-0005-0000-0000-0000C91A0000}"/>
    <cellStyle name="Normal 2 2 3 23 2 2 4" xfId="2918" xr:uid="{00000000-0005-0000-0000-0000CA1A0000}"/>
    <cellStyle name="Normal 2 2 3 23 2 2 4 2" xfId="29867" xr:uid="{00000000-0005-0000-0000-0000CB1A0000}"/>
    <cellStyle name="Normal 2 2 3 23 2 2 5" xfId="2919" xr:uid="{00000000-0005-0000-0000-0000CC1A0000}"/>
    <cellStyle name="Normal 2 2 3 23 2 2 5 2" xfId="29868" xr:uid="{00000000-0005-0000-0000-0000CD1A0000}"/>
    <cellStyle name="Normal 2 2 3 23 2 2 6" xfId="29869" xr:uid="{00000000-0005-0000-0000-0000CE1A0000}"/>
    <cellStyle name="Normal 2 2 3 23 2 2 6 2" xfId="29870" xr:uid="{00000000-0005-0000-0000-0000CF1A0000}"/>
    <cellStyle name="Normal 2 2 3 23 2 2 7" xfId="29871" xr:uid="{00000000-0005-0000-0000-0000D01A0000}"/>
    <cellStyle name="Normal 2 2 3 23 2 3" xfId="2920" xr:uid="{00000000-0005-0000-0000-0000D11A0000}"/>
    <cellStyle name="Normal 2 2 3 23 2 3 2" xfId="2921" xr:uid="{00000000-0005-0000-0000-0000D21A0000}"/>
    <cellStyle name="Normal 2 2 3 23 2 3 2 2" xfId="29872" xr:uid="{00000000-0005-0000-0000-0000D31A0000}"/>
    <cellStyle name="Normal 2 2 3 23 2 3 3" xfId="2922" xr:uid="{00000000-0005-0000-0000-0000D41A0000}"/>
    <cellStyle name="Normal 2 2 3 23 2 3 3 2" xfId="29873" xr:uid="{00000000-0005-0000-0000-0000D51A0000}"/>
    <cellStyle name="Normal 2 2 3 23 2 3 4" xfId="29874" xr:uid="{00000000-0005-0000-0000-0000D61A0000}"/>
    <cellStyle name="Normal 2 2 3 23 2 4" xfId="2923" xr:uid="{00000000-0005-0000-0000-0000D71A0000}"/>
    <cellStyle name="Normal 2 2 3 23 2 4 2" xfId="2924" xr:uid="{00000000-0005-0000-0000-0000D81A0000}"/>
    <cellStyle name="Normal 2 2 3 23 2 4 2 2" xfId="29875" xr:uid="{00000000-0005-0000-0000-0000D91A0000}"/>
    <cellStyle name="Normal 2 2 3 23 2 4 3" xfId="29876" xr:uid="{00000000-0005-0000-0000-0000DA1A0000}"/>
    <cellStyle name="Normal 2 2 3 23 2 5" xfId="2925" xr:uid="{00000000-0005-0000-0000-0000DB1A0000}"/>
    <cellStyle name="Normal 2 2 3 23 2 5 2" xfId="29877" xr:uid="{00000000-0005-0000-0000-0000DC1A0000}"/>
    <cellStyle name="Normal 2 2 3 23 2 6" xfId="2926" xr:uid="{00000000-0005-0000-0000-0000DD1A0000}"/>
    <cellStyle name="Normal 2 2 3 23 2 6 2" xfId="29878" xr:uid="{00000000-0005-0000-0000-0000DE1A0000}"/>
    <cellStyle name="Normal 2 2 3 23 2 7" xfId="29879" xr:uid="{00000000-0005-0000-0000-0000DF1A0000}"/>
    <cellStyle name="Normal 2 2 3 23 2 7 2" xfId="29880" xr:uid="{00000000-0005-0000-0000-0000E01A0000}"/>
    <cellStyle name="Normal 2 2 3 23 2 8" xfId="29881" xr:uid="{00000000-0005-0000-0000-0000E11A0000}"/>
    <cellStyle name="Normal 2 2 3 23 2 9" xfId="29882" xr:uid="{00000000-0005-0000-0000-0000E21A0000}"/>
    <cellStyle name="Normal 2 2 3 23 3" xfId="2927" xr:uid="{00000000-0005-0000-0000-0000E31A0000}"/>
    <cellStyle name="Normal 2 2 3 23 3 2" xfId="2928" xr:uid="{00000000-0005-0000-0000-0000E41A0000}"/>
    <cellStyle name="Normal 2 2 3 23 3 2 2" xfId="2929" xr:uid="{00000000-0005-0000-0000-0000E51A0000}"/>
    <cellStyle name="Normal 2 2 3 23 3 2 2 2" xfId="29883" xr:uid="{00000000-0005-0000-0000-0000E61A0000}"/>
    <cellStyle name="Normal 2 2 3 23 3 2 3" xfId="2930" xr:uid="{00000000-0005-0000-0000-0000E71A0000}"/>
    <cellStyle name="Normal 2 2 3 23 3 2 3 2" xfId="29884" xr:uid="{00000000-0005-0000-0000-0000E81A0000}"/>
    <cellStyle name="Normal 2 2 3 23 3 2 4" xfId="29885" xr:uid="{00000000-0005-0000-0000-0000E91A0000}"/>
    <cellStyle name="Normal 2 2 3 23 3 3" xfId="2931" xr:uid="{00000000-0005-0000-0000-0000EA1A0000}"/>
    <cellStyle name="Normal 2 2 3 23 3 3 2" xfId="29886" xr:uid="{00000000-0005-0000-0000-0000EB1A0000}"/>
    <cellStyle name="Normal 2 2 3 23 3 4" xfId="2932" xr:uid="{00000000-0005-0000-0000-0000EC1A0000}"/>
    <cellStyle name="Normal 2 2 3 23 3 4 2" xfId="29887" xr:uid="{00000000-0005-0000-0000-0000ED1A0000}"/>
    <cellStyle name="Normal 2 2 3 23 3 5" xfId="2933" xr:uid="{00000000-0005-0000-0000-0000EE1A0000}"/>
    <cellStyle name="Normal 2 2 3 23 3 5 2" xfId="29888" xr:uid="{00000000-0005-0000-0000-0000EF1A0000}"/>
    <cellStyle name="Normal 2 2 3 23 3 6" xfId="29889" xr:uid="{00000000-0005-0000-0000-0000F01A0000}"/>
    <cellStyle name="Normal 2 2 3 23 3 6 2" xfId="29890" xr:uid="{00000000-0005-0000-0000-0000F11A0000}"/>
    <cellStyle name="Normal 2 2 3 23 3 7" xfId="29891" xr:uid="{00000000-0005-0000-0000-0000F21A0000}"/>
    <cellStyle name="Normal 2 2 3 23 4" xfId="2934" xr:uid="{00000000-0005-0000-0000-0000F31A0000}"/>
    <cellStyle name="Normal 2 2 3 23 4 2" xfId="2935" xr:uid="{00000000-0005-0000-0000-0000F41A0000}"/>
    <cellStyle name="Normal 2 2 3 23 4 2 2" xfId="29892" xr:uid="{00000000-0005-0000-0000-0000F51A0000}"/>
    <cellStyle name="Normal 2 2 3 23 4 3" xfId="2936" xr:uid="{00000000-0005-0000-0000-0000F61A0000}"/>
    <cellStyle name="Normal 2 2 3 23 4 3 2" xfId="29893" xr:uid="{00000000-0005-0000-0000-0000F71A0000}"/>
    <cellStyle name="Normal 2 2 3 23 4 4" xfId="29894" xr:uid="{00000000-0005-0000-0000-0000F81A0000}"/>
    <cellStyle name="Normal 2 2 3 23 5" xfId="2937" xr:uid="{00000000-0005-0000-0000-0000F91A0000}"/>
    <cellStyle name="Normal 2 2 3 23 5 2" xfId="2938" xr:uid="{00000000-0005-0000-0000-0000FA1A0000}"/>
    <cellStyle name="Normal 2 2 3 23 5 2 2" xfId="29895" xr:uid="{00000000-0005-0000-0000-0000FB1A0000}"/>
    <cellStyle name="Normal 2 2 3 23 5 3" xfId="29896" xr:uid="{00000000-0005-0000-0000-0000FC1A0000}"/>
    <cellStyle name="Normal 2 2 3 23 6" xfId="2939" xr:uid="{00000000-0005-0000-0000-0000FD1A0000}"/>
    <cellStyle name="Normal 2 2 3 23 6 2" xfId="29897" xr:uid="{00000000-0005-0000-0000-0000FE1A0000}"/>
    <cellStyle name="Normal 2 2 3 23 7" xfId="2940" xr:uid="{00000000-0005-0000-0000-0000FF1A0000}"/>
    <cellStyle name="Normal 2 2 3 23 7 2" xfId="29898" xr:uid="{00000000-0005-0000-0000-0000001B0000}"/>
    <cellStyle name="Normal 2 2 3 23 8" xfId="29899" xr:uid="{00000000-0005-0000-0000-0000011B0000}"/>
    <cellStyle name="Normal 2 2 3 23 8 2" xfId="29900" xr:uid="{00000000-0005-0000-0000-0000021B0000}"/>
    <cellStyle name="Normal 2 2 3 23 9" xfId="29901" xr:uid="{00000000-0005-0000-0000-0000031B0000}"/>
    <cellStyle name="Normal 2 2 3 24" xfId="2941" xr:uid="{00000000-0005-0000-0000-0000041B0000}"/>
    <cellStyle name="Normal 2 2 3 24 10" xfId="29902" xr:uid="{00000000-0005-0000-0000-0000051B0000}"/>
    <cellStyle name="Normal 2 2 3 24 11" xfId="29903" xr:uid="{00000000-0005-0000-0000-0000061B0000}"/>
    <cellStyle name="Normal 2 2 3 24 2" xfId="2942" xr:uid="{00000000-0005-0000-0000-0000071B0000}"/>
    <cellStyle name="Normal 2 2 3 24 2 10" xfId="29904" xr:uid="{00000000-0005-0000-0000-0000081B0000}"/>
    <cellStyle name="Normal 2 2 3 24 2 2" xfId="2943" xr:uid="{00000000-0005-0000-0000-0000091B0000}"/>
    <cellStyle name="Normal 2 2 3 24 2 2 2" xfId="2944" xr:uid="{00000000-0005-0000-0000-00000A1B0000}"/>
    <cellStyle name="Normal 2 2 3 24 2 2 2 2" xfId="2945" xr:uid="{00000000-0005-0000-0000-00000B1B0000}"/>
    <cellStyle name="Normal 2 2 3 24 2 2 2 2 2" xfId="29905" xr:uid="{00000000-0005-0000-0000-00000C1B0000}"/>
    <cellStyle name="Normal 2 2 3 24 2 2 2 3" xfId="2946" xr:uid="{00000000-0005-0000-0000-00000D1B0000}"/>
    <cellStyle name="Normal 2 2 3 24 2 2 2 3 2" xfId="29906" xr:uid="{00000000-0005-0000-0000-00000E1B0000}"/>
    <cellStyle name="Normal 2 2 3 24 2 2 2 4" xfId="29907" xr:uid="{00000000-0005-0000-0000-00000F1B0000}"/>
    <cellStyle name="Normal 2 2 3 24 2 2 3" xfId="2947" xr:uid="{00000000-0005-0000-0000-0000101B0000}"/>
    <cellStyle name="Normal 2 2 3 24 2 2 3 2" xfId="29908" xr:uid="{00000000-0005-0000-0000-0000111B0000}"/>
    <cellStyle name="Normal 2 2 3 24 2 2 4" xfId="2948" xr:uid="{00000000-0005-0000-0000-0000121B0000}"/>
    <cellStyle name="Normal 2 2 3 24 2 2 4 2" xfId="29909" xr:uid="{00000000-0005-0000-0000-0000131B0000}"/>
    <cellStyle name="Normal 2 2 3 24 2 2 5" xfId="2949" xr:uid="{00000000-0005-0000-0000-0000141B0000}"/>
    <cellStyle name="Normal 2 2 3 24 2 2 5 2" xfId="29910" xr:uid="{00000000-0005-0000-0000-0000151B0000}"/>
    <cellStyle name="Normal 2 2 3 24 2 2 6" xfId="29911" xr:uid="{00000000-0005-0000-0000-0000161B0000}"/>
    <cellStyle name="Normal 2 2 3 24 2 2 6 2" xfId="29912" xr:uid="{00000000-0005-0000-0000-0000171B0000}"/>
    <cellStyle name="Normal 2 2 3 24 2 2 7" xfId="29913" xr:uid="{00000000-0005-0000-0000-0000181B0000}"/>
    <cellStyle name="Normal 2 2 3 24 2 3" xfId="2950" xr:uid="{00000000-0005-0000-0000-0000191B0000}"/>
    <cellStyle name="Normal 2 2 3 24 2 3 2" xfId="2951" xr:uid="{00000000-0005-0000-0000-00001A1B0000}"/>
    <cellStyle name="Normal 2 2 3 24 2 3 2 2" xfId="29914" xr:uid="{00000000-0005-0000-0000-00001B1B0000}"/>
    <cellStyle name="Normal 2 2 3 24 2 3 3" xfId="2952" xr:uid="{00000000-0005-0000-0000-00001C1B0000}"/>
    <cellStyle name="Normal 2 2 3 24 2 3 3 2" xfId="29915" xr:uid="{00000000-0005-0000-0000-00001D1B0000}"/>
    <cellStyle name="Normal 2 2 3 24 2 3 4" xfId="29916" xr:uid="{00000000-0005-0000-0000-00001E1B0000}"/>
    <cellStyle name="Normal 2 2 3 24 2 4" xfId="2953" xr:uid="{00000000-0005-0000-0000-00001F1B0000}"/>
    <cellStyle name="Normal 2 2 3 24 2 4 2" xfId="2954" xr:uid="{00000000-0005-0000-0000-0000201B0000}"/>
    <cellStyle name="Normal 2 2 3 24 2 4 2 2" xfId="29917" xr:uid="{00000000-0005-0000-0000-0000211B0000}"/>
    <cellStyle name="Normal 2 2 3 24 2 4 3" xfId="29918" xr:uid="{00000000-0005-0000-0000-0000221B0000}"/>
    <cellStyle name="Normal 2 2 3 24 2 5" xfId="2955" xr:uid="{00000000-0005-0000-0000-0000231B0000}"/>
    <cellStyle name="Normal 2 2 3 24 2 5 2" xfId="29919" xr:uid="{00000000-0005-0000-0000-0000241B0000}"/>
    <cellStyle name="Normal 2 2 3 24 2 6" xfId="2956" xr:uid="{00000000-0005-0000-0000-0000251B0000}"/>
    <cellStyle name="Normal 2 2 3 24 2 6 2" xfId="29920" xr:uid="{00000000-0005-0000-0000-0000261B0000}"/>
    <cellStyle name="Normal 2 2 3 24 2 7" xfId="29921" xr:uid="{00000000-0005-0000-0000-0000271B0000}"/>
    <cellStyle name="Normal 2 2 3 24 2 7 2" xfId="29922" xr:uid="{00000000-0005-0000-0000-0000281B0000}"/>
    <cellStyle name="Normal 2 2 3 24 2 8" xfId="29923" xr:uid="{00000000-0005-0000-0000-0000291B0000}"/>
    <cellStyle name="Normal 2 2 3 24 2 9" xfId="29924" xr:uid="{00000000-0005-0000-0000-00002A1B0000}"/>
    <cellStyle name="Normal 2 2 3 24 3" xfId="2957" xr:uid="{00000000-0005-0000-0000-00002B1B0000}"/>
    <cellStyle name="Normal 2 2 3 24 3 2" xfId="2958" xr:uid="{00000000-0005-0000-0000-00002C1B0000}"/>
    <cellStyle name="Normal 2 2 3 24 3 2 2" xfId="2959" xr:uid="{00000000-0005-0000-0000-00002D1B0000}"/>
    <cellStyle name="Normal 2 2 3 24 3 2 2 2" xfId="29925" xr:uid="{00000000-0005-0000-0000-00002E1B0000}"/>
    <cellStyle name="Normal 2 2 3 24 3 2 3" xfId="2960" xr:uid="{00000000-0005-0000-0000-00002F1B0000}"/>
    <cellStyle name="Normal 2 2 3 24 3 2 3 2" xfId="29926" xr:uid="{00000000-0005-0000-0000-0000301B0000}"/>
    <cellStyle name="Normal 2 2 3 24 3 2 4" xfId="29927" xr:uid="{00000000-0005-0000-0000-0000311B0000}"/>
    <cellStyle name="Normal 2 2 3 24 3 3" xfId="2961" xr:uid="{00000000-0005-0000-0000-0000321B0000}"/>
    <cellStyle name="Normal 2 2 3 24 3 3 2" xfId="29928" xr:uid="{00000000-0005-0000-0000-0000331B0000}"/>
    <cellStyle name="Normal 2 2 3 24 3 4" xfId="2962" xr:uid="{00000000-0005-0000-0000-0000341B0000}"/>
    <cellStyle name="Normal 2 2 3 24 3 4 2" xfId="29929" xr:uid="{00000000-0005-0000-0000-0000351B0000}"/>
    <cellStyle name="Normal 2 2 3 24 3 5" xfId="2963" xr:uid="{00000000-0005-0000-0000-0000361B0000}"/>
    <cellStyle name="Normal 2 2 3 24 3 5 2" xfId="29930" xr:uid="{00000000-0005-0000-0000-0000371B0000}"/>
    <cellStyle name="Normal 2 2 3 24 3 6" xfId="29931" xr:uid="{00000000-0005-0000-0000-0000381B0000}"/>
    <cellStyle name="Normal 2 2 3 24 3 6 2" xfId="29932" xr:uid="{00000000-0005-0000-0000-0000391B0000}"/>
    <cellStyle name="Normal 2 2 3 24 3 7" xfId="29933" xr:uid="{00000000-0005-0000-0000-00003A1B0000}"/>
    <cellStyle name="Normal 2 2 3 24 4" xfId="2964" xr:uid="{00000000-0005-0000-0000-00003B1B0000}"/>
    <cellStyle name="Normal 2 2 3 24 4 2" xfId="2965" xr:uid="{00000000-0005-0000-0000-00003C1B0000}"/>
    <cellStyle name="Normal 2 2 3 24 4 2 2" xfId="29934" xr:uid="{00000000-0005-0000-0000-00003D1B0000}"/>
    <cellStyle name="Normal 2 2 3 24 4 3" xfId="2966" xr:uid="{00000000-0005-0000-0000-00003E1B0000}"/>
    <cellStyle name="Normal 2 2 3 24 4 3 2" xfId="29935" xr:uid="{00000000-0005-0000-0000-00003F1B0000}"/>
    <cellStyle name="Normal 2 2 3 24 4 4" xfId="29936" xr:uid="{00000000-0005-0000-0000-0000401B0000}"/>
    <cellStyle name="Normal 2 2 3 24 5" xfId="2967" xr:uid="{00000000-0005-0000-0000-0000411B0000}"/>
    <cellStyle name="Normal 2 2 3 24 5 2" xfId="2968" xr:uid="{00000000-0005-0000-0000-0000421B0000}"/>
    <cellStyle name="Normal 2 2 3 24 5 2 2" xfId="29937" xr:uid="{00000000-0005-0000-0000-0000431B0000}"/>
    <cellStyle name="Normal 2 2 3 24 5 3" xfId="29938" xr:uid="{00000000-0005-0000-0000-0000441B0000}"/>
    <cellStyle name="Normal 2 2 3 24 6" xfId="2969" xr:uid="{00000000-0005-0000-0000-0000451B0000}"/>
    <cellStyle name="Normal 2 2 3 24 6 2" xfId="29939" xr:uid="{00000000-0005-0000-0000-0000461B0000}"/>
    <cellStyle name="Normal 2 2 3 24 7" xfId="2970" xr:uid="{00000000-0005-0000-0000-0000471B0000}"/>
    <cellStyle name="Normal 2 2 3 24 7 2" xfId="29940" xr:uid="{00000000-0005-0000-0000-0000481B0000}"/>
    <cellStyle name="Normal 2 2 3 24 8" xfId="29941" xr:uid="{00000000-0005-0000-0000-0000491B0000}"/>
    <cellStyle name="Normal 2 2 3 24 8 2" xfId="29942" xr:uid="{00000000-0005-0000-0000-00004A1B0000}"/>
    <cellStyle name="Normal 2 2 3 24 9" xfId="29943" xr:uid="{00000000-0005-0000-0000-00004B1B0000}"/>
    <cellStyle name="Normal 2 2 3 25" xfId="2971" xr:uid="{00000000-0005-0000-0000-00004C1B0000}"/>
    <cellStyle name="Normal 2 2 3 25 10" xfId="29944" xr:uid="{00000000-0005-0000-0000-00004D1B0000}"/>
    <cellStyle name="Normal 2 2 3 25 11" xfId="29945" xr:uid="{00000000-0005-0000-0000-00004E1B0000}"/>
    <cellStyle name="Normal 2 2 3 25 2" xfId="2972" xr:uid="{00000000-0005-0000-0000-00004F1B0000}"/>
    <cellStyle name="Normal 2 2 3 25 2 10" xfId="29946" xr:uid="{00000000-0005-0000-0000-0000501B0000}"/>
    <cellStyle name="Normal 2 2 3 25 2 2" xfId="2973" xr:uid="{00000000-0005-0000-0000-0000511B0000}"/>
    <cellStyle name="Normal 2 2 3 25 2 2 2" xfId="2974" xr:uid="{00000000-0005-0000-0000-0000521B0000}"/>
    <cellStyle name="Normal 2 2 3 25 2 2 2 2" xfId="2975" xr:uid="{00000000-0005-0000-0000-0000531B0000}"/>
    <cellStyle name="Normal 2 2 3 25 2 2 2 2 2" xfId="29947" xr:uid="{00000000-0005-0000-0000-0000541B0000}"/>
    <cellStyle name="Normal 2 2 3 25 2 2 2 3" xfId="2976" xr:uid="{00000000-0005-0000-0000-0000551B0000}"/>
    <cellStyle name="Normal 2 2 3 25 2 2 2 3 2" xfId="29948" xr:uid="{00000000-0005-0000-0000-0000561B0000}"/>
    <cellStyle name="Normal 2 2 3 25 2 2 2 4" xfId="29949" xr:uid="{00000000-0005-0000-0000-0000571B0000}"/>
    <cellStyle name="Normal 2 2 3 25 2 2 3" xfId="2977" xr:uid="{00000000-0005-0000-0000-0000581B0000}"/>
    <cellStyle name="Normal 2 2 3 25 2 2 3 2" xfId="29950" xr:uid="{00000000-0005-0000-0000-0000591B0000}"/>
    <cellStyle name="Normal 2 2 3 25 2 2 4" xfId="2978" xr:uid="{00000000-0005-0000-0000-00005A1B0000}"/>
    <cellStyle name="Normal 2 2 3 25 2 2 4 2" xfId="29951" xr:uid="{00000000-0005-0000-0000-00005B1B0000}"/>
    <cellStyle name="Normal 2 2 3 25 2 2 5" xfId="2979" xr:uid="{00000000-0005-0000-0000-00005C1B0000}"/>
    <cellStyle name="Normal 2 2 3 25 2 2 5 2" xfId="29952" xr:uid="{00000000-0005-0000-0000-00005D1B0000}"/>
    <cellStyle name="Normal 2 2 3 25 2 2 6" xfId="29953" xr:uid="{00000000-0005-0000-0000-00005E1B0000}"/>
    <cellStyle name="Normal 2 2 3 25 2 2 6 2" xfId="29954" xr:uid="{00000000-0005-0000-0000-00005F1B0000}"/>
    <cellStyle name="Normal 2 2 3 25 2 2 7" xfId="29955" xr:uid="{00000000-0005-0000-0000-0000601B0000}"/>
    <cellStyle name="Normal 2 2 3 25 2 3" xfId="2980" xr:uid="{00000000-0005-0000-0000-0000611B0000}"/>
    <cellStyle name="Normal 2 2 3 25 2 3 2" xfId="2981" xr:uid="{00000000-0005-0000-0000-0000621B0000}"/>
    <cellStyle name="Normal 2 2 3 25 2 3 2 2" xfId="29956" xr:uid="{00000000-0005-0000-0000-0000631B0000}"/>
    <cellStyle name="Normal 2 2 3 25 2 3 3" xfId="2982" xr:uid="{00000000-0005-0000-0000-0000641B0000}"/>
    <cellStyle name="Normal 2 2 3 25 2 3 3 2" xfId="29957" xr:uid="{00000000-0005-0000-0000-0000651B0000}"/>
    <cellStyle name="Normal 2 2 3 25 2 3 4" xfId="29958" xr:uid="{00000000-0005-0000-0000-0000661B0000}"/>
    <cellStyle name="Normal 2 2 3 25 2 4" xfId="2983" xr:uid="{00000000-0005-0000-0000-0000671B0000}"/>
    <cellStyle name="Normal 2 2 3 25 2 4 2" xfId="2984" xr:uid="{00000000-0005-0000-0000-0000681B0000}"/>
    <cellStyle name="Normal 2 2 3 25 2 4 2 2" xfId="29959" xr:uid="{00000000-0005-0000-0000-0000691B0000}"/>
    <cellStyle name="Normal 2 2 3 25 2 4 3" xfId="29960" xr:uid="{00000000-0005-0000-0000-00006A1B0000}"/>
    <cellStyle name="Normal 2 2 3 25 2 5" xfId="2985" xr:uid="{00000000-0005-0000-0000-00006B1B0000}"/>
    <cellStyle name="Normal 2 2 3 25 2 5 2" xfId="29961" xr:uid="{00000000-0005-0000-0000-00006C1B0000}"/>
    <cellStyle name="Normal 2 2 3 25 2 6" xfId="2986" xr:uid="{00000000-0005-0000-0000-00006D1B0000}"/>
    <cellStyle name="Normal 2 2 3 25 2 6 2" xfId="29962" xr:uid="{00000000-0005-0000-0000-00006E1B0000}"/>
    <cellStyle name="Normal 2 2 3 25 2 7" xfId="29963" xr:uid="{00000000-0005-0000-0000-00006F1B0000}"/>
    <cellStyle name="Normal 2 2 3 25 2 7 2" xfId="29964" xr:uid="{00000000-0005-0000-0000-0000701B0000}"/>
    <cellStyle name="Normal 2 2 3 25 2 8" xfId="29965" xr:uid="{00000000-0005-0000-0000-0000711B0000}"/>
    <cellStyle name="Normal 2 2 3 25 2 9" xfId="29966" xr:uid="{00000000-0005-0000-0000-0000721B0000}"/>
    <cellStyle name="Normal 2 2 3 25 3" xfId="2987" xr:uid="{00000000-0005-0000-0000-0000731B0000}"/>
    <cellStyle name="Normal 2 2 3 25 3 2" xfId="2988" xr:uid="{00000000-0005-0000-0000-0000741B0000}"/>
    <cellStyle name="Normal 2 2 3 25 3 2 2" xfId="2989" xr:uid="{00000000-0005-0000-0000-0000751B0000}"/>
    <cellStyle name="Normal 2 2 3 25 3 2 2 2" xfId="29967" xr:uid="{00000000-0005-0000-0000-0000761B0000}"/>
    <cellStyle name="Normal 2 2 3 25 3 2 3" xfId="2990" xr:uid="{00000000-0005-0000-0000-0000771B0000}"/>
    <cellStyle name="Normal 2 2 3 25 3 2 3 2" xfId="29968" xr:uid="{00000000-0005-0000-0000-0000781B0000}"/>
    <cellStyle name="Normal 2 2 3 25 3 2 4" xfId="29969" xr:uid="{00000000-0005-0000-0000-0000791B0000}"/>
    <cellStyle name="Normal 2 2 3 25 3 3" xfId="2991" xr:uid="{00000000-0005-0000-0000-00007A1B0000}"/>
    <cellStyle name="Normal 2 2 3 25 3 3 2" xfId="29970" xr:uid="{00000000-0005-0000-0000-00007B1B0000}"/>
    <cellStyle name="Normal 2 2 3 25 3 4" xfId="2992" xr:uid="{00000000-0005-0000-0000-00007C1B0000}"/>
    <cellStyle name="Normal 2 2 3 25 3 4 2" xfId="29971" xr:uid="{00000000-0005-0000-0000-00007D1B0000}"/>
    <cellStyle name="Normal 2 2 3 25 3 5" xfId="2993" xr:uid="{00000000-0005-0000-0000-00007E1B0000}"/>
    <cellStyle name="Normal 2 2 3 25 3 5 2" xfId="29972" xr:uid="{00000000-0005-0000-0000-00007F1B0000}"/>
    <cellStyle name="Normal 2 2 3 25 3 6" xfId="29973" xr:uid="{00000000-0005-0000-0000-0000801B0000}"/>
    <cellStyle name="Normal 2 2 3 25 3 6 2" xfId="29974" xr:uid="{00000000-0005-0000-0000-0000811B0000}"/>
    <cellStyle name="Normal 2 2 3 25 3 7" xfId="29975" xr:uid="{00000000-0005-0000-0000-0000821B0000}"/>
    <cellStyle name="Normal 2 2 3 25 4" xfId="2994" xr:uid="{00000000-0005-0000-0000-0000831B0000}"/>
    <cellStyle name="Normal 2 2 3 25 4 2" xfId="2995" xr:uid="{00000000-0005-0000-0000-0000841B0000}"/>
    <cellStyle name="Normal 2 2 3 25 4 2 2" xfId="29976" xr:uid="{00000000-0005-0000-0000-0000851B0000}"/>
    <cellStyle name="Normal 2 2 3 25 4 3" xfId="2996" xr:uid="{00000000-0005-0000-0000-0000861B0000}"/>
    <cellStyle name="Normal 2 2 3 25 4 3 2" xfId="29977" xr:uid="{00000000-0005-0000-0000-0000871B0000}"/>
    <cellStyle name="Normal 2 2 3 25 4 4" xfId="29978" xr:uid="{00000000-0005-0000-0000-0000881B0000}"/>
    <cellStyle name="Normal 2 2 3 25 5" xfId="2997" xr:uid="{00000000-0005-0000-0000-0000891B0000}"/>
    <cellStyle name="Normal 2 2 3 25 5 2" xfId="2998" xr:uid="{00000000-0005-0000-0000-00008A1B0000}"/>
    <cellStyle name="Normal 2 2 3 25 5 2 2" xfId="29979" xr:uid="{00000000-0005-0000-0000-00008B1B0000}"/>
    <cellStyle name="Normal 2 2 3 25 5 3" xfId="29980" xr:uid="{00000000-0005-0000-0000-00008C1B0000}"/>
    <cellStyle name="Normal 2 2 3 25 6" xfId="2999" xr:uid="{00000000-0005-0000-0000-00008D1B0000}"/>
    <cellStyle name="Normal 2 2 3 25 6 2" xfId="29981" xr:uid="{00000000-0005-0000-0000-00008E1B0000}"/>
    <cellStyle name="Normal 2 2 3 25 7" xfId="3000" xr:uid="{00000000-0005-0000-0000-00008F1B0000}"/>
    <cellStyle name="Normal 2 2 3 25 7 2" xfId="29982" xr:uid="{00000000-0005-0000-0000-0000901B0000}"/>
    <cellStyle name="Normal 2 2 3 25 8" xfId="29983" xr:uid="{00000000-0005-0000-0000-0000911B0000}"/>
    <cellStyle name="Normal 2 2 3 25 8 2" xfId="29984" xr:uid="{00000000-0005-0000-0000-0000921B0000}"/>
    <cellStyle name="Normal 2 2 3 25 9" xfId="29985" xr:uid="{00000000-0005-0000-0000-0000931B0000}"/>
    <cellStyle name="Normal 2 2 3 26" xfId="3001" xr:uid="{00000000-0005-0000-0000-0000941B0000}"/>
    <cellStyle name="Normal 2 2 3 26 10" xfId="29986" xr:uid="{00000000-0005-0000-0000-0000951B0000}"/>
    <cellStyle name="Normal 2 2 3 26 11" xfId="29987" xr:uid="{00000000-0005-0000-0000-0000961B0000}"/>
    <cellStyle name="Normal 2 2 3 26 2" xfId="3002" xr:uid="{00000000-0005-0000-0000-0000971B0000}"/>
    <cellStyle name="Normal 2 2 3 26 2 10" xfId="29988" xr:uid="{00000000-0005-0000-0000-0000981B0000}"/>
    <cellStyle name="Normal 2 2 3 26 2 2" xfId="3003" xr:uid="{00000000-0005-0000-0000-0000991B0000}"/>
    <cellStyle name="Normal 2 2 3 26 2 2 2" xfId="3004" xr:uid="{00000000-0005-0000-0000-00009A1B0000}"/>
    <cellStyle name="Normal 2 2 3 26 2 2 2 2" xfId="3005" xr:uid="{00000000-0005-0000-0000-00009B1B0000}"/>
    <cellStyle name="Normal 2 2 3 26 2 2 2 2 2" xfId="29989" xr:uid="{00000000-0005-0000-0000-00009C1B0000}"/>
    <cellStyle name="Normal 2 2 3 26 2 2 2 3" xfId="3006" xr:uid="{00000000-0005-0000-0000-00009D1B0000}"/>
    <cellStyle name="Normal 2 2 3 26 2 2 2 3 2" xfId="29990" xr:uid="{00000000-0005-0000-0000-00009E1B0000}"/>
    <cellStyle name="Normal 2 2 3 26 2 2 2 4" xfId="29991" xr:uid="{00000000-0005-0000-0000-00009F1B0000}"/>
    <cellStyle name="Normal 2 2 3 26 2 2 3" xfId="3007" xr:uid="{00000000-0005-0000-0000-0000A01B0000}"/>
    <cellStyle name="Normal 2 2 3 26 2 2 3 2" xfId="29992" xr:uid="{00000000-0005-0000-0000-0000A11B0000}"/>
    <cellStyle name="Normal 2 2 3 26 2 2 4" xfId="3008" xr:uid="{00000000-0005-0000-0000-0000A21B0000}"/>
    <cellStyle name="Normal 2 2 3 26 2 2 4 2" xfId="29993" xr:uid="{00000000-0005-0000-0000-0000A31B0000}"/>
    <cellStyle name="Normal 2 2 3 26 2 2 5" xfId="3009" xr:uid="{00000000-0005-0000-0000-0000A41B0000}"/>
    <cellStyle name="Normal 2 2 3 26 2 2 5 2" xfId="29994" xr:uid="{00000000-0005-0000-0000-0000A51B0000}"/>
    <cellStyle name="Normal 2 2 3 26 2 2 6" xfId="29995" xr:uid="{00000000-0005-0000-0000-0000A61B0000}"/>
    <cellStyle name="Normal 2 2 3 26 2 2 6 2" xfId="29996" xr:uid="{00000000-0005-0000-0000-0000A71B0000}"/>
    <cellStyle name="Normal 2 2 3 26 2 2 7" xfId="29997" xr:uid="{00000000-0005-0000-0000-0000A81B0000}"/>
    <cellStyle name="Normal 2 2 3 26 2 3" xfId="3010" xr:uid="{00000000-0005-0000-0000-0000A91B0000}"/>
    <cellStyle name="Normal 2 2 3 26 2 3 2" xfId="3011" xr:uid="{00000000-0005-0000-0000-0000AA1B0000}"/>
    <cellStyle name="Normal 2 2 3 26 2 3 2 2" xfId="29998" xr:uid="{00000000-0005-0000-0000-0000AB1B0000}"/>
    <cellStyle name="Normal 2 2 3 26 2 3 3" xfId="3012" xr:uid="{00000000-0005-0000-0000-0000AC1B0000}"/>
    <cellStyle name="Normal 2 2 3 26 2 3 3 2" xfId="29999" xr:uid="{00000000-0005-0000-0000-0000AD1B0000}"/>
    <cellStyle name="Normal 2 2 3 26 2 3 4" xfId="30000" xr:uid="{00000000-0005-0000-0000-0000AE1B0000}"/>
    <cellStyle name="Normal 2 2 3 26 2 4" xfId="3013" xr:uid="{00000000-0005-0000-0000-0000AF1B0000}"/>
    <cellStyle name="Normal 2 2 3 26 2 4 2" xfId="3014" xr:uid="{00000000-0005-0000-0000-0000B01B0000}"/>
    <cellStyle name="Normal 2 2 3 26 2 4 2 2" xfId="30001" xr:uid="{00000000-0005-0000-0000-0000B11B0000}"/>
    <cellStyle name="Normal 2 2 3 26 2 4 3" xfId="30002" xr:uid="{00000000-0005-0000-0000-0000B21B0000}"/>
    <cellStyle name="Normal 2 2 3 26 2 5" xfId="3015" xr:uid="{00000000-0005-0000-0000-0000B31B0000}"/>
    <cellStyle name="Normal 2 2 3 26 2 5 2" xfId="30003" xr:uid="{00000000-0005-0000-0000-0000B41B0000}"/>
    <cellStyle name="Normal 2 2 3 26 2 6" xfId="3016" xr:uid="{00000000-0005-0000-0000-0000B51B0000}"/>
    <cellStyle name="Normal 2 2 3 26 2 6 2" xfId="30004" xr:uid="{00000000-0005-0000-0000-0000B61B0000}"/>
    <cellStyle name="Normal 2 2 3 26 2 7" xfId="30005" xr:uid="{00000000-0005-0000-0000-0000B71B0000}"/>
    <cellStyle name="Normal 2 2 3 26 2 7 2" xfId="30006" xr:uid="{00000000-0005-0000-0000-0000B81B0000}"/>
    <cellStyle name="Normal 2 2 3 26 2 8" xfId="30007" xr:uid="{00000000-0005-0000-0000-0000B91B0000}"/>
    <cellStyle name="Normal 2 2 3 26 2 9" xfId="30008" xr:uid="{00000000-0005-0000-0000-0000BA1B0000}"/>
    <cellStyle name="Normal 2 2 3 26 3" xfId="3017" xr:uid="{00000000-0005-0000-0000-0000BB1B0000}"/>
    <cellStyle name="Normal 2 2 3 26 3 2" xfId="3018" xr:uid="{00000000-0005-0000-0000-0000BC1B0000}"/>
    <cellStyle name="Normal 2 2 3 26 3 2 2" xfId="3019" xr:uid="{00000000-0005-0000-0000-0000BD1B0000}"/>
    <cellStyle name="Normal 2 2 3 26 3 2 2 2" xfId="30009" xr:uid="{00000000-0005-0000-0000-0000BE1B0000}"/>
    <cellStyle name="Normal 2 2 3 26 3 2 3" xfId="3020" xr:uid="{00000000-0005-0000-0000-0000BF1B0000}"/>
    <cellStyle name="Normal 2 2 3 26 3 2 3 2" xfId="30010" xr:uid="{00000000-0005-0000-0000-0000C01B0000}"/>
    <cellStyle name="Normal 2 2 3 26 3 2 4" xfId="30011" xr:uid="{00000000-0005-0000-0000-0000C11B0000}"/>
    <cellStyle name="Normal 2 2 3 26 3 3" xfId="3021" xr:uid="{00000000-0005-0000-0000-0000C21B0000}"/>
    <cellStyle name="Normal 2 2 3 26 3 3 2" xfId="30012" xr:uid="{00000000-0005-0000-0000-0000C31B0000}"/>
    <cellStyle name="Normal 2 2 3 26 3 4" xfId="3022" xr:uid="{00000000-0005-0000-0000-0000C41B0000}"/>
    <cellStyle name="Normal 2 2 3 26 3 4 2" xfId="30013" xr:uid="{00000000-0005-0000-0000-0000C51B0000}"/>
    <cellStyle name="Normal 2 2 3 26 3 5" xfId="3023" xr:uid="{00000000-0005-0000-0000-0000C61B0000}"/>
    <cellStyle name="Normal 2 2 3 26 3 5 2" xfId="30014" xr:uid="{00000000-0005-0000-0000-0000C71B0000}"/>
    <cellStyle name="Normal 2 2 3 26 3 6" xfId="30015" xr:uid="{00000000-0005-0000-0000-0000C81B0000}"/>
    <cellStyle name="Normal 2 2 3 26 3 6 2" xfId="30016" xr:uid="{00000000-0005-0000-0000-0000C91B0000}"/>
    <cellStyle name="Normal 2 2 3 26 3 7" xfId="30017" xr:uid="{00000000-0005-0000-0000-0000CA1B0000}"/>
    <cellStyle name="Normal 2 2 3 26 4" xfId="3024" xr:uid="{00000000-0005-0000-0000-0000CB1B0000}"/>
    <cellStyle name="Normal 2 2 3 26 4 2" xfId="3025" xr:uid="{00000000-0005-0000-0000-0000CC1B0000}"/>
    <cellStyle name="Normal 2 2 3 26 4 2 2" xfId="30018" xr:uid="{00000000-0005-0000-0000-0000CD1B0000}"/>
    <cellStyle name="Normal 2 2 3 26 4 3" xfId="3026" xr:uid="{00000000-0005-0000-0000-0000CE1B0000}"/>
    <cellStyle name="Normal 2 2 3 26 4 3 2" xfId="30019" xr:uid="{00000000-0005-0000-0000-0000CF1B0000}"/>
    <cellStyle name="Normal 2 2 3 26 4 4" xfId="30020" xr:uid="{00000000-0005-0000-0000-0000D01B0000}"/>
    <cellStyle name="Normal 2 2 3 26 5" xfId="3027" xr:uid="{00000000-0005-0000-0000-0000D11B0000}"/>
    <cellStyle name="Normal 2 2 3 26 5 2" xfId="3028" xr:uid="{00000000-0005-0000-0000-0000D21B0000}"/>
    <cellStyle name="Normal 2 2 3 26 5 2 2" xfId="30021" xr:uid="{00000000-0005-0000-0000-0000D31B0000}"/>
    <cellStyle name="Normal 2 2 3 26 5 3" xfId="30022" xr:uid="{00000000-0005-0000-0000-0000D41B0000}"/>
    <cellStyle name="Normal 2 2 3 26 6" xfId="3029" xr:uid="{00000000-0005-0000-0000-0000D51B0000}"/>
    <cellStyle name="Normal 2 2 3 26 6 2" xfId="30023" xr:uid="{00000000-0005-0000-0000-0000D61B0000}"/>
    <cellStyle name="Normal 2 2 3 26 7" xfId="3030" xr:uid="{00000000-0005-0000-0000-0000D71B0000}"/>
    <cellStyle name="Normal 2 2 3 26 7 2" xfId="30024" xr:uid="{00000000-0005-0000-0000-0000D81B0000}"/>
    <cellStyle name="Normal 2 2 3 26 8" xfId="30025" xr:uid="{00000000-0005-0000-0000-0000D91B0000}"/>
    <cellStyle name="Normal 2 2 3 26 8 2" xfId="30026" xr:uid="{00000000-0005-0000-0000-0000DA1B0000}"/>
    <cellStyle name="Normal 2 2 3 26 9" xfId="30027" xr:uid="{00000000-0005-0000-0000-0000DB1B0000}"/>
    <cellStyle name="Normal 2 2 3 27" xfId="3031" xr:uid="{00000000-0005-0000-0000-0000DC1B0000}"/>
    <cellStyle name="Normal 2 2 3 27 10" xfId="30028" xr:uid="{00000000-0005-0000-0000-0000DD1B0000}"/>
    <cellStyle name="Normal 2 2 3 27 11" xfId="30029" xr:uid="{00000000-0005-0000-0000-0000DE1B0000}"/>
    <cellStyle name="Normal 2 2 3 27 2" xfId="3032" xr:uid="{00000000-0005-0000-0000-0000DF1B0000}"/>
    <cellStyle name="Normal 2 2 3 27 2 10" xfId="30030" xr:uid="{00000000-0005-0000-0000-0000E01B0000}"/>
    <cellStyle name="Normal 2 2 3 27 2 2" xfId="3033" xr:uid="{00000000-0005-0000-0000-0000E11B0000}"/>
    <cellStyle name="Normal 2 2 3 27 2 2 2" xfId="3034" xr:uid="{00000000-0005-0000-0000-0000E21B0000}"/>
    <cellStyle name="Normal 2 2 3 27 2 2 2 2" xfId="3035" xr:uid="{00000000-0005-0000-0000-0000E31B0000}"/>
    <cellStyle name="Normal 2 2 3 27 2 2 2 2 2" xfId="30031" xr:uid="{00000000-0005-0000-0000-0000E41B0000}"/>
    <cellStyle name="Normal 2 2 3 27 2 2 2 3" xfId="3036" xr:uid="{00000000-0005-0000-0000-0000E51B0000}"/>
    <cellStyle name="Normal 2 2 3 27 2 2 2 3 2" xfId="30032" xr:uid="{00000000-0005-0000-0000-0000E61B0000}"/>
    <cellStyle name="Normal 2 2 3 27 2 2 2 4" xfId="30033" xr:uid="{00000000-0005-0000-0000-0000E71B0000}"/>
    <cellStyle name="Normal 2 2 3 27 2 2 3" xfId="3037" xr:uid="{00000000-0005-0000-0000-0000E81B0000}"/>
    <cellStyle name="Normal 2 2 3 27 2 2 3 2" xfId="30034" xr:uid="{00000000-0005-0000-0000-0000E91B0000}"/>
    <cellStyle name="Normal 2 2 3 27 2 2 4" xfId="3038" xr:uid="{00000000-0005-0000-0000-0000EA1B0000}"/>
    <cellStyle name="Normal 2 2 3 27 2 2 4 2" xfId="30035" xr:uid="{00000000-0005-0000-0000-0000EB1B0000}"/>
    <cellStyle name="Normal 2 2 3 27 2 2 5" xfId="3039" xr:uid="{00000000-0005-0000-0000-0000EC1B0000}"/>
    <cellStyle name="Normal 2 2 3 27 2 2 5 2" xfId="30036" xr:uid="{00000000-0005-0000-0000-0000ED1B0000}"/>
    <cellStyle name="Normal 2 2 3 27 2 2 6" xfId="30037" xr:uid="{00000000-0005-0000-0000-0000EE1B0000}"/>
    <cellStyle name="Normal 2 2 3 27 2 2 6 2" xfId="30038" xr:uid="{00000000-0005-0000-0000-0000EF1B0000}"/>
    <cellStyle name="Normal 2 2 3 27 2 2 7" xfId="30039" xr:uid="{00000000-0005-0000-0000-0000F01B0000}"/>
    <cellStyle name="Normal 2 2 3 27 2 3" xfId="3040" xr:uid="{00000000-0005-0000-0000-0000F11B0000}"/>
    <cellStyle name="Normal 2 2 3 27 2 3 2" xfId="3041" xr:uid="{00000000-0005-0000-0000-0000F21B0000}"/>
    <cellStyle name="Normal 2 2 3 27 2 3 2 2" xfId="30040" xr:uid="{00000000-0005-0000-0000-0000F31B0000}"/>
    <cellStyle name="Normal 2 2 3 27 2 3 3" xfId="3042" xr:uid="{00000000-0005-0000-0000-0000F41B0000}"/>
    <cellStyle name="Normal 2 2 3 27 2 3 3 2" xfId="30041" xr:uid="{00000000-0005-0000-0000-0000F51B0000}"/>
    <cellStyle name="Normal 2 2 3 27 2 3 4" xfId="30042" xr:uid="{00000000-0005-0000-0000-0000F61B0000}"/>
    <cellStyle name="Normal 2 2 3 27 2 4" xfId="3043" xr:uid="{00000000-0005-0000-0000-0000F71B0000}"/>
    <cellStyle name="Normal 2 2 3 27 2 4 2" xfId="3044" xr:uid="{00000000-0005-0000-0000-0000F81B0000}"/>
    <cellStyle name="Normal 2 2 3 27 2 4 2 2" xfId="30043" xr:uid="{00000000-0005-0000-0000-0000F91B0000}"/>
    <cellStyle name="Normal 2 2 3 27 2 4 3" xfId="30044" xr:uid="{00000000-0005-0000-0000-0000FA1B0000}"/>
    <cellStyle name="Normal 2 2 3 27 2 5" xfId="3045" xr:uid="{00000000-0005-0000-0000-0000FB1B0000}"/>
    <cellStyle name="Normal 2 2 3 27 2 5 2" xfId="30045" xr:uid="{00000000-0005-0000-0000-0000FC1B0000}"/>
    <cellStyle name="Normal 2 2 3 27 2 6" xfId="3046" xr:uid="{00000000-0005-0000-0000-0000FD1B0000}"/>
    <cellStyle name="Normal 2 2 3 27 2 6 2" xfId="30046" xr:uid="{00000000-0005-0000-0000-0000FE1B0000}"/>
    <cellStyle name="Normal 2 2 3 27 2 7" xfId="30047" xr:uid="{00000000-0005-0000-0000-0000FF1B0000}"/>
    <cellStyle name="Normal 2 2 3 27 2 7 2" xfId="30048" xr:uid="{00000000-0005-0000-0000-0000001C0000}"/>
    <cellStyle name="Normal 2 2 3 27 2 8" xfId="30049" xr:uid="{00000000-0005-0000-0000-0000011C0000}"/>
    <cellStyle name="Normal 2 2 3 27 2 9" xfId="30050" xr:uid="{00000000-0005-0000-0000-0000021C0000}"/>
    <cellStyle name="Normal 2 2 3 27 3" xfId="3047" xr:uid="{00000000-0005-0000-0000-0000031C0000}"/>
    <cellStyle name="Normal 2 2 3 27 3 2" xfId="3048" xr:uid="{00000000-0005-0000-0000-0000041C0000}"/>
    <cellStyle name="Normal 2 2 3 27 3 2 2" xfId="3049" xr:uid="{00000000-0005-0000-0000-0000051C0000}"/>
    <cellStyle name="Normal 2 2 3 27 3 2 2 2" xfId="30051" xr:uid="{00000000-0005-0000-0000-0000061C0000}"/>
    <cellStyle name="Normal 2 2 3 27 3 2 3" xfId="3050" xr:uid="{00000000-0005-0000-0000-0000071C0000}"/>
    <cellStyle name="Normal 2 2 3 27 3 2 3 2" xfId="30052" xr:uid="{00000000-0005-0000-0000-0000081C0000}"/>
    <cellStyle name="Normal 2 2 3 27 3 2 4" xfId="30053" xr:uid="{00000000-0005-0000-0000-0000091C0000}"/>
    <cellStyle name="Normal 2 2 3 27 3 3" xfId="3051" xr:uid="{00000000-0005-0000-0000-00000A1C0000}"/>
    <cellStyle name="Normal 2 2 3 27 3 3 2" xfId="30054" xr:uid="{00000000-0005-0000-0000-00000B1C0000}"/>
    <cellStyle name="Normal 2 2 3 27 3 4" xfId="3052" xr:uid="{00000000-0005-0000-0000-00000C1C0000}"/>
    <cellStyle name="Normal 2 2 3 27 3 4 2" xfId="30055" xr:uid="{00000000-0005-0000-0000-00000D1C0000}"/>
    <cellStyle name="Normal 2 2 3 27 3 5" xfId="3053" xr:uid="{00000000-0005-0000-0000-00000E1C0000}"/>
    <cellStyle name="Normal 2 2 3 27 3 5 2" xfId="30056" xr:uid="{00000000-0005-0000-0000-00000F1C0000}"/>
    <cellStyle name="Normal 2 2 3 27 3 6" xfId="30057" xr:uid="{00000000-0005-0000-0000-0000101C0000}"/>
    <cellStyle name="Normal 2 2 3 27 3 6 2" xfId="30058" xr:uid="{00000000-0005-0000-0000-0000111C0000}"/>
    <cellStyle name="Normal 2 2 3 27 3 7" xfId="30059" xr:uid="{00000000-0005-0000-0000-0000121C0000}"/>
    <cellStyle name="Normal 2 2 3 27 4" xfId="3054" xr:uid="{00000000-0005-0000-0000-0000131C0000}"/>
    <cellStyle name="Normal 2 2 3 27 4 2" xfId="3055" xr:uid="{00000000-0005-0000-0000-0000141C0000}"/>
    <cellStyle name="Normal 2 2 3 27 4 2 2" xfId="30060" xr:uid="{00000000-0005-0000-0000-0000151C0000}"/>
    <cellStyle name="Normal 2 2 3 27 4 3" xfId="3056" xr:uid="{00000000-0005-0000-0000-0000161C0000}"/>
    <cellStyle name="Normal 2 2 3 27 4 3 2" xfId="30061" xr:uid="{00000000-0005-0000-0000-0000171C0000}"/>
    <cellStyle name="Normal 2 2 3 27 4 4" xfId="30062" xr:uid="{00000000-0005-0000-0000-0000181C0000}"/>
    <cellStyle name="Normal 2 2 3 27 5" xfId="3057" xr:uid="{00000000-0005-0000-0000-0000191C0000}"/>
    <cellStyle name="Normal 2 2 3 27 5 2" xfId="3058" xr:uid="{00000000-0005-0000-0000-00001A1C0000}"/>
    <cellStyle name="Normal 2 2 3 27 5 2 2" xfId="30063" xr:uid="{00000000-0005-0000-0000-00001B1C0000}"/>
    <cellStyle name="Normal 2 2 3 27 5 3" xfId="30064" xr:uid="{00000000-0005-0000-0000-00001C1C0000}"/>
    <cellStyle name="Normal 2 2 3 27 6" xfId="3059" xr:uid="{00000000-0005-0000-0000-00001D1C0000}"/>
    <cellStyle name="Normal 2 2 3 27 6 2" xfId="30065" xr:uid="{00000000-0005-0000-0000-00001E1C0000}"/>
    <cellStyle name="Normal 2 2 3 27 7" xfId="3060" xr:uid="{00000000-0005-0000-0000-00001F1C0000}"/>
    <cellStyle name="Normal 2 2 3 27 7 2" xfId="30066" xr:uid="{00000000-0005-0000-0000-0000201C0000}"/>
    <cellStyle name="Normal 2 2 3 27 8" xfId="30067" xr:uid="{00000000-0005-0000-0000-0000211C0000}"/>
    <cellStyle name="Normal 2 2 3 27 8 2" xfId="30068" xr:uid="{00000000-0005-0000-0000-0000221C0000}"/>
    <cellStyle name="Normal 2 2 3 27 9" xfId="30069" xr:uid="{00000000-0005-0000-0000-0000231C0000}"/>
    <cellStyle name="Normal 2 2 3 28" xfId="3061" xr:uid="{00000000-0005-0000-0000-0000241C0000}"/>
    <cellStyle name="Normal 2 2 3 28 10" xfId="30070" xr:uid="{00000000-0005-0000-0000-0000251C0000}"/>
    <cellStyle name="Normal 2 2 3 28 11" xfId="30071" xr:uid="{00000000-0005-0000-0000-0000261C0000}"/>
    <cellStyle name="Normal 2 2 3 28 2" xfId="3062" xr:uid="{00000000-0005-0000-0000-0000271C0000}"/>
    <cellStyle name="Normal 2 2 3 28 2 10" xfId="30072" xr:uid="{00000000-0005-0000-0000-0000281C0000}"/>
    <cellStyle name="Normal 2 2 3 28 2 2" xfId="3063" xr:uid="{00000000-0005-0000-0000-0000291C0000}"/>
    <cellStyle name="Normal 2 2 3 28 2 2 2" xfId="3064" xr:uid="{00000000-0005-0000-0000-00002A1C0000}"/>
    <cellStyle name="Normal 2 2 3 28 2 2 2 2" xfId="3065" xr:uid="{00000000-0005-0000-0000-00002B1C0000}"/>
    <cellStyle name="Normal 2 2 3 28 2 2 2 2 2" xfId="30073" xr:uid="{00000000-0005-0000-0000-00002C1C0000}"/>
    <cellStyle name="Normal 2 2 3 28 2 2 2 3" xfId="3066" xr:uid="{00000000-0005-0000-0000-00002D1C0000}"/>
    <cellStyle name="Normal 2 2 3 28 2 2 2 3 2" xfId="30074" xr:uid="{00000000-0005-0000-0000-00002E1C0000}"/>
    <cellStyle name="Normal 2 2 3 28 2 2 2 4" xfId="30075" xr:uid="{00000000-0005-0000-0000-00002F1C0000}"/>
    <cellStyle name="Normal 2 2 3 28 2 2 3" xfId="3067" xr:uid="{00000000-0005-0000-0000-0000301C0000}"/>
    <cellStyle name="Normal 2 2 3 28 2 2 3 2" xfId="30076" xr:uid="{00000000-0005-0000-0000-0000311C0000}"/>
    <cellStyle name="Normal 2 2 3 28 2 2 4" xfId="3068" xr:uid="{00000000-0005-0000-0000-0000321C0000}"/>
    <cellStyle name="Normal 2 2 3 28 2 2 4 2" xfId="30077" xr:uid="{00000000-0005-0000-0000-0000331C0000}"/>
    <cellStyle name="Normal 2 2 3 28 2 2 5" xfId="3069" xr:uid="{00000000-0005-0000-0000-0000341C0000}"/>
    <cellStyle name="Normal 2 2 3 28 2 2 5 2" xfId="30078" xr:uid="{00000000-0005-0000-0000-0000351C0000}"/>
    <cellStyle name="Normal 2 2 3 28 2 2 6" xfId="30079" xr:uid="{00000000-0005-0000-0000-0000361C0000}"/>
    <cellStyle name="Normal 2 2 3 28 2 2 6 2" xfId="30080" xr:uid="{00000000-0005-0000-0000-0000371C0000}"/>
    <cellStyle name="Normal 2 2 3 28 2 2 7" xfId="30081" xr:uid="{00000000-0005-0000-0000-0000381C0000}"/>
    <cellStyle name="Normal 2 2 3 28 2 3" xfId="3070" xr:uid="{00000000-0005-0000-0000-0000391C0000}"/>
    <cellStyle name="Normal 2 2 3 28 2 3 2" xfId="3071" xr:uid="{00000000-0005-0000-0000-00003A1C0000}"/>
    <cellStyle name="Normal 2 2 3 28 2 3 2 2" xfId="30082" xr:uid="{00000000-0005-0000-0000-00003B1C0000}"/>
    <cellStyle name="Normal 2 2 3 28 2 3 3" xfId="3072" xr:uid="{00000000-0005-0000-0000-00003C1C0000}"/>
    <cellStyle name="Normal 2 2 3 28 2 3 3 2" xfId="30083" xr:uid="{00000000-0005-0000-0000-00003D1C0000}"/>
    <cellStyle name="Normal 2 2 3 28 2 3 4" xfId="30084" xr:uid="{00000000-0005-0000-0000-00003E1C0000}"/>
    <cellStyle name="Normal 2 2 3 28 2 4" xfId="3073" xr:uid="{00000000-0005-0000-0000-00003F1C0000}"/>
    <cellStyle name="Normal 2 2 3 28 2 4 2" xfId="3074" xr:uid="{00000000-0005-0000-0000-0000401C0000}"/>
    <cellStyle name="Normal 2 2 3 28 2 4 2 2" xfId="30085" xr:uid="{00000000-0005-0000-0000-0000411C0000}"/>
    <cellStyle name="Normal 2 2 3 28 2 4 3" xfId="30086" xr:uid="{00000000-0005-0000-0000-0000421C0000}"/>
    <cellStyle name="Normal 2 2 3 28 2 5" xfId="3075" xr:uid="{00000000-0005-0000-0000-0000431C0000}"/>
    <cellStyle name="Normal 2 2 3 28 2 5 2" xfId="30087" xr:uid="{00000000-0005-0000-0000-0000441C0000}"/>
    <cellStyle name="Normal 2 2 3 28 2 6" xfId="3076" xr:uid="{00000000-0005-0000-0000-0000451C0000}"/>
    <cellStyle name="Normal 2 2 3 28 2 6 2" xfId="30088" xr:uid="{00000000-0005-0000-0000-0000461C0000}"/>
    <cellStyle name="Normal 2 2 3 28 2 7" xfId="30089" xr:uid="{00000000-0005-0000-0000-0000471C0000}"/>
    <cellStyle name="Normal 2 2 3 28 2 7 2" xfId="30090" xr:uid="{00000000-0005-0000-0000-0000481C0000}"/>
    <cellStyle name="Normal 2 2 3 28 2 8" xfId="30091" xr:uid="{00000000-0005-0000-0000-0000491C0000}"/>
    <cellStyle name="Normal 2 2 3 28 2 9" xfId="30092" xr:uid="{00000000-0005-0000-0000-00004A1C0000}"/>
    <cellStyle name="Normal 2 2 3 28 3" xfId="3077" xr:uid="{00000000-0005-0000-0000-00004B1C0000}"/>
    <cellStyle name="Normal 2 2 3 28 3 2" xfId="3078" xr:uid="{00000000-0005-0000-0000-00004C1C0000}"/>
    <cellStyle name="Normal 2 2 3 28 3 2 2" xfId="3079" xr:uid="{00000000-0005-0000-0000-00004D1C0000}"/>
    <cellStyle name="Normal 2 2 3 28 3 2 2 2" xfId="30093" xr:uid="{00000000-0005-0000-0000-00004E1C0000}"/>
    <cellStyle name="Normal 2 2 3 28 3 2 3" xfId="3080" xr:uid="{00000000-0005-0000-0000-00004F1C0000}"/>
    <cellStyle name="Normal 2 2 3 28 3 2 3 2" xfId="30094" xr:uid="{00000000-0005-0000-0000-0000501C0000}"/>
    <cellStyle name="Normal 2 2 3 28 3 2 4" xfId="30095" xr:uid="{00000000-0005-0000-0000-0000511C0000}"/>
    <cellStyle name="Normal 2 2 3 28 3 3" xfId="3081" xr:uid="{00000000-0005-0000-0000-0000521C0000}"/>
    <cellStyle name="Normal 2 2 3 28 3 3 2" xfId="30096" xr:uid="{00000000-0005-0000-0000-0000531C0000}"/>
    <cellStyle name="Normal 2 2 3 28 3 4" xfId="3082" xr:uid="{00000000-0005-0000-0000-0000541C0000}"/>
    <cellStyle name="Normal 2 2 3 28 3 4 2" xfId="30097" xr:uid="{00000000-0005-0000-0000-0000551C0000}"/>
    <cellStyle name="Normal 2 2 3 28 3 5" xfId="3083" xr:uid="{00000000-0005-0000-0000-0000561C0000}"/>
    <cellStyle name="Normal 2 2 3 28 3 5 2" xfId="30098" xr:uid="{00000000-0005-0000-0000-0000571C0000}"/>
    <cellStyle name="Normal 2 2 3 28 3 6" xfId="30099" xr:uid="{00000000-0005-0000-0000-0000581C0000}"/>
    <cellStyle name="Normal 2 2 3 28 3 6 2" xfId="30100" xr:uid="{00000000-0005-0000-0000-0000591C0000}"/>
    <cellStyle name="Normal 2 2 3 28 3 7" xfId="30101" xr:uid="{00000000-0005-0000-0000-00005A1C0000}"/>
    <cellStyle name="Normal 2 2 3 28 4" xfId="3084" xr:uid="{00000000-0005-0000-0000-00005B1C0000}"/>
    <cellStyle name="Normal 2 2 3 28 4 2" xfId="3085" xr:uid="{00000000-0005-0000-0000-00005C1C0000}"/>
    <cellStyle name="Normal 2 2 3 28 4 2 2" xfId="30102" xr:uid="{00000000-0005-0000-0000-00005D1C0000}"/>
    <cellStyle name="Normal 2 2 3 28 4 3" xfId="3086" xr:uid="{00000000-0005-0000-0000-00005E1C0000}"/>
    <cellStyle name="Normal 2 2 3 28 4 3 2" xfId="30103" xr:uid="{00000000-0005-0000-0000-00005F1C0000}"/>
    <cellStyle name="Normal 2 2 3 28 4 4" xfId="30104" xr:uid="{00000000-0005-0000-0000-0000601C0000}"/>
    <cellStyle name="Normal 2 2 3 28 5" xfId="3087" xr:uid="{00000000-0005-0000-0000-0000611C0000}"/>
    <cellStyle name="Normal 2 2 3 28 5 2" xfId="3088" xr:uid="{00000000-0005-0000-0000-0000621C0000}"/>
    <cellStyle name="Normal 2 2 3 28 5 2 2" xfId="30105" xr:uid="{00000000-0005-0000-0000-0000631C0000}"/>
    <cellStyle name="Normal 2 2 3 28 5 3" xfId="30106" xr:uid="{00000000-0005-0000-0000-0000641C0000}"/>
    <cellStyle name="Normal 2 2 3 28 6" xfId="3089" xr:uid="{00000000-0005-0000-0000-0000651C0000}"/>
    <cellStyle name="Normal 2 2 3 28 6 2" xfId="30107" xr:uid="{00000000-0005-0000-0000-0000661C0000}"/>
    <cellStyle name="Normal 2 2 3 28 7" xfId="3090" xr:uid="{00000000-0005-0000-0000-0000671C0000}"/>
    <cellStyle name="Normal 2 2 3 28 7 2" xfId="30108" xr:uid="{00000000-0005-0000-0000-0000681C0000}"/>
    <cellStyle name="Normal 2 2 3 28 8" xfId="30109" xr:uid="{00000000-0005-0000-0000-0000691C0000}"/>
    <cellStyle name="Normal 2 2 3 28 8 2" xfId="30110" xr:uid="{00000000-0005-0000-0000-00006A1C0000}"/>
    <cellStyle name="Normal 2 2 3 28 9" xfId="30111" xr:uid="{00000000-0005-0000-0000-00006B1C0000}"/>
    <cellStyle name="Normal 2 2 3 29" xfId="3091" xr:uid="{00000000-0005-0000-0000-00006C1C0000}"/>
    <cellStyle name="Normal 2 2 3 29 10" xfId="30112" xr:uid="{00000000-0005-0000-0000-00006D1C0000}"/>
    <cellStyle name="Normal 2 2 3 29 11" xfId="30113" xr:uid="{00000000-0005-0000-0000-00006E1C0000}"/>
    <cellStyle name="Normal 2 2 3 29 2" xfId="3092" xr:uid="{00000000-0005-0000-0000-00006F1C0000}"/>
    <cellStyle name="Normal 2 2 3 29 2 10" xfId="30114" xr:uid="{00000000-0005-0000-0000-0000701C0000}"/>
    <cellStyle name="Normal 2 2 3 29 2 2" xfId="3093" xr:uid="{00000000-0005-0000-0000-0000711C0000}"/>
    <cellStyle name="Normal 2 2 3 29 2 2 2" xfId="3094" xr:uid="{00000000-0005-0000-0000-0000721C0000}"/>
    <cellStyle name="Normal 2 2 3 29 2 2 2 2" xfId="3095" xr:uid="{00000000-0005-0000-0000-0000731C0000}"/>
    <cellStyle name="Normal 2 2 3 29 2 2 2 2 2" xfId="30115" xr:uid="{00000000-0005-0000-0000-0000741C0000}"/>
    <cellStyle name="Normal 2 2 3 29 2 2 2 3" xfId="3096" xr:uid="{00000000-0005-0000-0000-0000751C0000}"/>
    <cellStyle name="Normal 2 2 3 29 2 2 2 3 2" xfId="30116" xr:uid="{00000000-0005-0000-0000-0000761C0000}"/>
    <cellStyle name="Normal 2 2 3 29 2 2 2 4" xfId="30117" xr:uid="{00000000-0005-0000-0000-0000771C0000}"/>
    <cellStyle name="Normal 2 2 3 29 2 2 3" xfId="3097" xr:uid="{00000000-0005-0000-0000-0000781C0000}"/>
    <cellStyle name="Normal 2 2 3 29 2 2 3 2" xfId="30118" xr:uid="{00000000-0005-0000-0000-0000791C0000}"/>
    <cellStyle name="Normal 2 2 3 29 2 2 4" xfId="3098" xr:uid="{00000000-0005-0000-0000-00007A1C0000}"/>
    <cellStyle name="Normal 2 2 3 29 2 2 4 2" xfId="30119" xr:uid="{00000000-0005-0000-0000-00007B1C0000}"/>
    <cellStyle name="Normal 2 2 3 29 2 2 5" xfId="3099" xr:uid="{00000000-0005-0000-0000-00007C1C0000}"/>
    <cellStyle name="Normal 2 2 3 29 2 2 5 2" xfId="30120" xr:uid="{00000000-0005-0000-0000-00007D1C0000}"/>
    <cellStyle name="Normal 2 2 3 29 2 2 6" xfId="30121" xr:uid="{00000000-0005-0000-0000-00007E1C0000}"/>
    <cellStyle name="Normal 2 2 3 29 2 2 6 2" xfId="30122" xr:uid="{00000000-0005-0000-0000-00007F1C0000}"/>
    <cellStyle name="Normal 2 2 3 29 2 2 7" xfId="30123" xr:uid="{00000000-0005-0000-0000-0000801C0000}"/>
    <cellStyle name="Normal 2 2 3 29 2 3" xfId="3100" xr:uid="{00000000-0005-0000-0000-0000811C0000}"/>
    <cellStyle name="Normal 2 2 3 29 2 3 2" xfId="3101" xr:uid="{00000000-0005-0000-0000-0000821C0000}"/>
    <cellStyle name="Normal 2 2 3 29 2 3 2 2" xfId="30124" xr:uid="{00000000-0005-0000-0000-0000831C0000}"/>
    <cellStyle name="Normal 2 2 3 29 2 3 3" xfId="3102" xr:uid="{00000000-0005-0000-0000-0000841C0000}"/>
    <cellStyle name="Normal 2 2 3 29 2 3 3 2" xfId="30125" xr:uid="{00000000-0005-0000-0000-0000851C0000}"/>
    <cellStyle name="Normal 2 2 3 29 2 3 4" xfId="30126" xr:uid="{00000000-0005-0000-0000-0000861C0000}"/>
    <cellStyle name="Normal 2 2 3 29 2 4" xfId="3103" xr:uid="{00000000-0005-0000-0000-0000871C0000}"/>
    <cellStyle name="Normal 2 2 3 29 2 4 2" xfId="3104" xr:uid="{00000000-0005-0000-0000-0000881C0000}"/>
    <cellStyle name="Normal 2 2 3 29 2 4 2 2" xfId="30127" xr:uid="{00000000-0005-0000-0000-0000891C0000}"/>
    <cellStyle name="Normal 2 2 3 29 2 4 3" xfId="30128" xr:uid="{00000000-0005-0000-0000-00008A1C0000}"/>
    <cellStyle name="Normal 2 2 3 29 2 5" xfId="3105" xr:uid="{00000000-0005-0000-0000-00008B1C0000}"/>
    <cellStyle name="Normal 2 2 3 29 2 5 2" xfId="30129" xr:uid="{00000000-0005-0000-0000-00008C1C0000}"/>
    <cellStyle name="Normal 2 2 3 29 2 6" xfId="3106" xr:uid="{00000000-0005-0000-0000-00008D1C0000}"/>
    <cellStyle name="Normal 2 2 3 29 2 6 2" xfId="30130" xr:uid="{00000000-0005-0000-0000-00008E1C0000}"/>
    <cellStyle name="Normal 2 2 3 29 2 7" xfId="30131" xr:uid="{00000000-0005-0000-0000-00008F1C0000}"/>
    <cellStyle name="Normal 2 2 3 29 2 7 2" xfId="30132" xr:uid="{00000000-0005-0000-0000-0000901C0000}"/>
    <cellStyle name="Normal 2 2 3 29 2 8" xfId="30133" xr:uid="{00000000-0005-0000-0000-0000911C0000}"/>
    <cellStyle name="Normal 2 2 3 29 2 9" xfId="30134" xr:uid="{00000000-0005-0000-0000-0000921C0000}"/>
    <cellStyle name="Normal 2 2 3 29 3" xfId="3107" xr:uid="{00000000-0005-0000-0000-0000931C0000}"/>
    <cellStyle name="Normal 2 2 3 29 3 2" xfId="3108" xr:uid="{00000000-0005-0000-0000-0000941C0000}"/>
    <cellStyle name="Normal 2 2 3 29 3 2 2" xfId="3109" xr:uid="{00000000-0005-0000-0000-0000951C0000}"/>
    <cellStyle name="Normal 2 2 3 29 3 2 2 2" xfId="30135" xr:uid="{00000000-0005-0000-0000-0000961C0000}"/>
    <cellStyle name="Normal 2 2 3 29 3 2 3" xfId="3110" xr:uid="{00000000-0005-0000-0000-0000971C0000}"/>
    <cellStyle name="Normal 2 2 3 29 3 2 3 2" xfId="30136" xr:uid="{00000000-0005-0000-0000-0000981C0000}"/>
    <cellStyle name="Normal 2 2 3 29 3 2 4" xfId="30137" xr:uid="{00000000-0005-0000-0000-0000991C0000}"/>
    <cellStyle name="Normal 2 2 3 29 3 3" xfId="3111" xr:uid="{00000000-0005-0000-0000-00009A1C0000}"/>
    <cellStyle name="Normal 2 2 3 29 3 3 2" xfId="30138" xr:uid="{00000000-0005-0000-0000-00009B1C0000}"/>
    <cellStyle name="Normal 2 2 3 29 3 4" xfId="3112" xr:uid="{00000000-0005-0000-0000-00009C1C0000}"/>
    <cellStyle name="Normal 2 2 3 29 3 4 2" xfId="30139" xr:uid="{00000000-0005-0000-0000-00009D1C0000}"/>
    <cellStyle name="Normal 2 2 3 29 3 5" xfId="3113" xr:uid="{00000000-0005-0000-0000-00009E1C0000}"/>
    <cellStyle name="Normal 2 2 3 29 3 5 2" xfId="30140" xr:uid="{00000000-0005-0000-0000-00009F1C0000}"/>
    <cellStyle name="Normal 2 2 3 29 3 6" xfId="30141" xr:uid="{00000000-0005-0000-0000-0000A01C0000}"/>
    <cellStyle name="Normal 2 2 3 29 3 6 2" xfId="30142" xr:uid="{00000000-0005-0000-0000-0000A11C0000}"/>
    <cellStyle name="Normal 2 2 3 29 3 7" xfId="30143" xr:uid="{00000000-0005-0000-0000-0000A21C0000}"/>
    <cellStyle name="Normal 2 2 3 29 4" xfId="3114" xr:uid="{00000000-0005-0000-0000-0000A31C0000}"/>
    <cellStyle name="Normal 2 2 3 29 4 2" xfId="3115" xr:uid="{00000000-0005-0000-0000-0000A41C0000}"/>
    <cellStyle name="Normal 2 2 3 29 4 2 2" xfId="30144" xr:uid="{00000000-0005-0000-0000-0000A51C0000}"/>
    <cellStyle name="Normal 2 2 3 29 4 3" xfId="3116" xr:uid="{00000000-0005-0000-0000-0000A61C0000}"/>
    <cellStyle name="Normal 2 2 3 29 4 3 2" xfId="30145" xr:uid="{00000000-0005-0000-0000-0000A71C0000}"/>
    <cellStyle name="Normal 2 2 3 29 4 4" xfId="30146" xr:uid="{00000000-0005-0000-0000-0000A81C0000}"/>
    <cellStyle name="Normal 2 2 3 29 5" xfId="3117" xr:uid="{00000000-0005-0000-0000-0000A91C0000}"/>
    <cellStyle name="Normal 2 2 3 29 5 2" xfId="3118" xr:uid="{00000000-0005-0000-0000-0000AA1C0000}"/>
    <cellStyle name="Normal 2 2 3 29 5 2 2" xfId="30147" xr:uid="{00000000-0005-0000-0000-0000AB1C0000}"/>
    <cellStyle name="Normal 2 2 3 29 5 3" xfId="30148" xr:uid="{00000000-0005-0000-0000-0000AC1C0000}"/>
    <cellStyle name="Normal 2 2 3 29 6" xfId="3119" xr:uid="{00000000-0005-0000-0000-0000AD1C0000}"/>
    <cellStyle name="Normal 2 2 3 29 6 2" xfId="30149" xr:uid="{00000000-0005-0000-0000-0000AE1C0000}"/>
    <cellStyle name="Normal 2 2 3 29 7" xfId="3120" xr:uid="{00000000-0005-0000-0000-0000AF1C0000}"/>
    <cellStyle name="Normal 2 2 3 29 7 2" xfId="30150" xr:uid="{00000000-0005-0000-0000-0000B01C0000}"/>
    <cellStyle name="Normal 2 2 3 29 8" xfId="30151" xr:uid="{00000000-0005-0000-0000-0000B11C0000}"/>
    <cellStyle name="Normal 2 2 3 29 8 2" xfId="30152" xr:uid="{00000000-0005-0000-0000-0000B21C0000}"/>
    <cellStyle name="Normal 2 2 3 29 9" xfId="30153" xr:uid="{00000000-0005-0000-0000-0000B31C0000}"/>
    <cellStyle name="Normal 2 2 3 3" xfId="3121" xr:uid="{00000000-0005-0000-0000-0000B41C0000}"/>
    <cellStyle name="Normal 2 2 3 3 10" xfId="30154" xr:uid="{00000000-0005-0000-0000-0000B51C0000}"/>
    <cellStyle name="Normal 2 2 3 3 11" xfId="30155" xr:uid="{00000000-0005-0000-0000-0000B61C0000}"/>
    <cellStyle name="Normal 2 2 3 3 2" xfId="3122" xr:uid="{00000000-0005-0000-0000-0000B71C0000}"/>
    <cellStyle name="Normal 2 2 3 3 2 10" xfId="30156" xr:uid="{00000000-0005-0000-0000-0000B81C0000}"/>
    <cellStyle name="Normal 2 2 3 3 2 2" xfId="3123" xr:uid="{00000000-0005-0000-0000-0000B91C0000}"/>
    <cellStyle name="Normal 2 2 3 3 2 2 2" xfId="3124" xr:uid="{00000000-0005-0000-0000-0000BA1C0000}"/>
    <cellStyle name="Normal 2 2 3 3 2 2 2 2" xfId="3125" xr:uid="{00000000-0005-0000-0000-0000BB1C0000}"/>
    <cellStyle name="Normal 2 2 3 3 2 2 2 2 2" xfId="30157" xr:uid="{00000000-0005-0000-0000-0000BC1C0000}"/>
    <cellStyle name="Normal 2 2 3 3 2 2 2 3" xfId="3126" xr:uid="{00000000-0005-0000-0000-0000BD1C0000}"/>
    <cellStyle name="Normal 2 2 3 3 2 2 2 3 2" xfId="30158" xr:uid="{00000000-0005-0000-0000-0000BE1C0000}"/>
    <cellStyle name="Normal 2 2 3 3 2 2 2 4" xfId="30159" xr:uid="{00000000-0005-0000-0000-0000BF1C0000}"/>
    <cellStyle name="Normal 2 2 3 3 2 2 3" xfId="3127" xr:uid="{00000000-0005-0000-0000-0000C01C0000}"/>
    <cellStyle name="Normal 2 2 3 3 2 2 3 2" xfId="30160" xr:uid="{00000000-0005-0000-0000-0000C11C0000}"/>
    <cellStyle name="Normal 2 2 3 3 2 2 4" xfId="3128" xr:uid="{00000000-0005-0000-0000-0000C21C0000}"/>
    <cellStyle name="Normal 2 2 3 3 2 2 4 2" xfId="30161" xr:uid="{00000000-0005-0000-0000-0000C31C0000}"/>
    <cellStyle name="Normal 2 2 3 3 2 2 5" xfId="3129" xr:uid="{00000000-0005-0000-0000-0000C41C0000}"/>
    <cellStyle name="Normal 2 2 3 3 2 2 5 2" xfId="30162" xr:uid="{00000000-0005-0000-0000-0000C51C0000}"/>
    <cellStyle name="Normal 2 2 3 3 2 2 6" xfId="30163" xr:uid="{00000000-0005-0000-0000-0000C61C0000}"/>
    <cellStyle name="Normal 2 2 3 3 2 2 6 2" xfId="30164" xr:uid="{00000000-0005-0000-0000-0000C71C0000}"/>
    <cellStyle name="Normal 2 2 3 3 2 2 7" xfId="30165" xr:uid="{00000000-0005-0000-0000-0000C81C0000}"/>
    <cellStyle name="Normal 2 2 3 3 2 3" xfId="3130" xr:uid="{00000000-0005-0000-0000-0000C91C0000}"/>
    <cellStyle name="Normal 2 2 3 3 2 3 2" xfId="3131" xr:uid="{00000000-0005-0000-0000-0000CA1C0000}"/>
    <cellStyle name="Normal 2 2 3 3 2 3 2 2" xfId="30166" xr:uid="{00000000-0005-0000-0000-0000CB1C0000}"/>
    <cellStyle name="Normal 2 2 3 3 2 3 3" xfId="3132" xr:uid="{00000000-0005-0000-0000-0000CC1C0000}"/>
    <cellStyle name="Normal 2 2 3 3 2 3 3 2" xfId="30167" xr:uid="{00000000-0005-0000-0000-0000CD1C0000}"/>
    <cellStyle name="Normal 2 2 3 3 2 3 4" xfId="30168" xr:uid="{00000000-0005-0000-0000-0000CE1C0000}"/>
    <cellStyle name="Normal 2 2 3 3 2 4" xfId="3133" xr:uid="{00000000-0005-0000-0000-0000CF1C0000}"/>
    <cellStyle name="Normal 2 2 3 3 2 4 2" xfId="3134" xr:uid="{00000000-0005-0000-0000-0000D01C0000}"/>
    <cellStyle name="Normal 2 2 3 3 2 4 2 2" xfId="30169" xr:uid="{00000000-0005-0000-0000-0000D11C0000}"/>
    <cellStyle name="Normal 2 2 3 3 2 4 3" xfId="30170" xr:uid="{00000000-0005-0000-0000-0000D21C0000}"/>
    <cellStyle name="Normal 2 2 3 3 2 5" xfId="3135" xr:uid="{00000000-0005-0000-0000-0000D31C0000}"/>
    <cellStyle name="Normal 2 2 3 3 2 5 2" xfId="30171" xr:uid="{00000000-0005-0000-0000-0000D41C0000}"/>
    <cellStyle name="Normal 2 2 3 3 2 6" xfId="3136" xr:uid="{00000000-0005-0000-0000-0000D51C0000}"/>
    <cellStyle name="Normal 2 2 3 3 2 6 2" xfId="30172" xr:uid="{00000000-0005-0000-0000-0000D61C0000}"/>
    <cellStyle name="Normal 2 2 3 3 2 7" xfId="30173" xr:uid="{00000000-0005-0000-0000-0000D71C0000}"/>
    <cellStyle name="Normal 2 2 3 3 2 7 2" xfId="30174" xr:uid="{00000000-0005-0000-0000-0000D81C0000}"/>
    <cellStyle name="Normal 2 2 3 3 2 8" xfId="30175" xr:uid="{00000000-0005-0000-0000-0000D91C0000}"/>
    <cellStyle name="Normal 2 2 3 3 2 9" xfId="30176" xr:uid="{00000000-0005-0000-0000-0000DA1C0000}"/>
    <cellStyle name="Normal 2 2 3 3 3" xfId="3137" xr:uid="{00000000-0005-0000-0000-0000DB1C0000}"/>
    <cellStyle name="Normal 2 2 3 3 3 2" xfId="3138" xr:uid="{00000000-0005-0000-0000-0000DC1C0000}"/>
    <cellStyle name="Normal 2 2 3 3 3 2 2" xfId="3139" xr:uid="{00000000-0005-0000-0000-0000DD1C0000}"/>
    <cellStyle name="Normal 2 2 3 3 3 2 2 2" xfId="30177" xr:uid="{00000000-0005-0000-0000-0000DE1C0000}"/>
    <cellStyle name="Normal 2 2 3 3 3 2 3" xfId="3140" xr:uid="{00000000-0005-0000-0000-0000DF1C0000}"/>
    <cellStyle name="Normal 2 2 3 3 3 2 3 2" xfId="30178" xr:uid="{00000000-0005-0000-0000-0000E01C0000}"/>
    <cellStyle name="Normal 2 2 3 3 3 2 4" xfId="30179" xr:uid="{00000000-0005-0000-0000-0000E11C0000}"/>
    <cellStyle name="Normal 2 2 3 3 3 3" xfId="3141" xr:uid="{00000000-0005-0000-0000-0000E21C0000}"/>
    <cellStyle name="Normal 2 2 3 3 3 3 2" xfId="30180" xr:uid="{00000000-0005-0000-0000-0000E31C0000}"/>
    <cellStyle name="Normal 2 2 3 3 3 4" xfId="3142" xr:uid="{00000000-0005-0000-0000-0000E41C0000}"/>
    <cellStyle name="Normal 2 2 3 3 3 4 2" xfId="30181" xr:uid="{00000000-0005-0000-0000-0000E51C0000}"/>
    <cellStyle name="Normal 2 2 3 3 3 5" xfId="3143" xr:uid="{00000000-0005-0000-0000-0000E61C0000}"/>
    <cellStyle name="Normal 2 2 3 3 3 5 2" xfId="30182" xr:uid="{00000000-0005-0000-0000-0000E71C0000}"/>
    <cellStyle name="Normal 2 2 3 3 3 6" xfId="30183" xr:uid="{00000000-0005-0000-0000-0000E81C0000}"/>
    <cellStyle name="Normal 2 2 3 3 3 6 2" xfId="30184" xr:uid="{00000000-0005-0000-0000-0000E91C0000}"/>
    <cellStyle name="Normal 2 2 3 3 3 7" xfId="30185" xr:uid="{00000000-0005-0000-0000-0000EA1C0000}"/>
    <cellStyle name="Normal 2 2 3 3 4" xfId="3144" xr:uid="{00000000-0005-0000-0000-0000EB1C0000}"/>
    <cellStyle name="Normal 2 2 3 3 4 2" xfId="3145" xr:uid="{00000000-0005-0000-0000-0000EC1C0000}"/>
    <cellStyle name="Normal 2 2 3 3 4 2 2" xfId="30186" xr:uid="{00000000-0005-0000-0000-0000ED1C0000}"/>
    <cellStyle name="Normal 2 2 3 3 4 3" xfId="3146" xr:uid="{00000000-0005-0000-0000-0000EE1C0000}"/>
    <cellStyle name="Normal 2 2 3 3 4 3 2" xfId="30187" xr:uid="{00000000-0005-0000-0000-0000EF1C0000}"/>
    <cellStyle name="Normal 2 2 3 3 4 4" xfId="30188" xr:uid="{00000000-0005-0000-0000-0000F01C0000}"/>
    <cellStyle name="Normal 2 2 3 3 5" xfId="3147" xr:uid="{00000000-0005-0000-0000-0000F11C0000}"/>
    <cellStyle name="Normal 2 2 3 3 5 2" xfId="3148" xr:uid="{00000000-0005-0000-0000-0000F21C0000}"/>
    <cellStyle name="Normal 2 2 3 3 5 2 2" xfId="30189" xr:uid="{00000000-0005-0000-0000-0000F31C0000}"/>
    <cellStyle name="Normal 2 2 3 3 5 3" xfId="30190" xr:uid="{00000000-0005-0000-0000-0000F41C0000}"/>
    <cellStyle name="Normal 2 2 3 3 6" xfId="3149" xr:uid="{00000000-0005-0000-0000-0000F51C0000}"/>
    <cellStyle name="Normal 2 2 3 3 6 2" xfId="30191" xr:uid="{00000000-0005-0000-0000-0000F61C0000}"/>
    <cellStyle name="Normal 2 2 3 3 7" xfId="3150" xr:uid="{00000000-0005-0000-0000-0000F71C0000}"/>
    <cellStyle name="Normal 2 2 3 3 7 2" xfId="30192" xr:uid="{00000000-0005-0000-0000-0000F81C0000}"/>
    <cellStyle name="Normal 2 2 3 3 8" xfId="30193" xr:uid="{00000000-0005-0000-0000-0000F91C0000}"/>
    <cellStyle name="Normal 2 2 3 3 8 2" xfId="30194" xr:uid="{00000000-0005-0000-0000-0000FA1C0000}"/>
    <cellStyle name="Normal 2 2 3 3 9" xfId="30195" xr:uid="{00000000-0005-0000-0000-0000FB1C0000}"/>
    <cellStyle name="Normal 2 2 3 30" xfId="3151" xr:uid="{00000000-0005-0000-0000-0000FC1C0000}"/>
    <cellStyle name="Normal 2 2 3 30 10" xfId="30196" xr:uid="{00000000-0005-0000-0000-0000FD1C0000}"/>
    <cellStyle name="Normal 2 2 3 30 11" xfId="30197" xr:uid="{00000000-0005-0000-0000-0000FE1C0000}"/>
    <cellStyle name="Normal 2 2 3 30 2" xfId="3152" xr:uid="{00000000-0005-0000-0000-0000FF1C0000}"/>
    <cellStyle name="Normal 2 2 3 30 2 10" xfId="30198" xr:uid="{00000000-0005-0000-0000-0000001D0000}"/>
    <cellStyle name="Normal 2 2 3 30 2 2" xfId="3153" xr:uid="{00000000-0005-0000-0000-0000011D0000}"/>
    <cellStyle name="Normal 2 2 3 30 2 2 2" xfId="3154" xr:uid="{00000000-0005-0000-0000-0000021D0000}"/>
    <cellStyle name="Normal 2 2 3 30 2 2 2 2" xfId="3155" xr:uid="{00000000-0005-0000-0000-0000031D0000}"/>
    <cellStyle name="Normal 2 2 3 30 2 2 2 2 2" xfId="30199" xr:uid="{00000000-0005-0000-0000-0000041D0000}"/>
    <cellStyle name="Normal 2 2 3 30 2 2 2 3" xfId="3156" xr:uid="{00000000-0005-0000-0000-0000051D0000}"/>
    <cellStyle name="Normal 2 2 3 30 2 2 2 3 2" xfId="30200" xr:uid="{00000000-0005-0000-0000-0000061D0000}"/>
    <cellStyle name="Normal 2 2 3 30 2 2 2 4" xfId="30201" xr:uid="{00000000-0005-0000-0000-0000071D0000}"/>
    <cellStyle name="Normal 2 2 3 30 2 2 3" xfId="3157" xr:uid="{00000000-0005-0000-0000-0000081D0000}"/>
    <cellStyle name="Normal 2 2 3 30 2 2 3 2" xfId="30202" xr:uid="{00000000-0005-0000-0000-0000091D0000}"/>
    <cellStyle name="Normal 2 2 3 30 2 2 4" xfId="3158" xr:uid="{00000000-0005-0000-0000-00000A1D0000}"/>
    <cellStyle name="Normal 2 2 3 30 2 2 4 2" xfId="30203" xr:uid="{00000000-0005-0000-0000-00000B1D0000}"/>
    <cellStyle name="Normal 2 2 3 30 2 2 5" xfId="3159" xr:uid="{00000000-0005-0000-0000-00000C1D0000}"/>
    <cellStyle name="Normal 2 2 3 30 2 2 5 2" xfId="30204" xr:uid="{00000000-0005-0000-0000-00000D1D0000}"/>
    <cellStyle name="Normal 2 2 3 30 2 2 6" xfId="30205" xr:uid="{00000000-0005-0000-0000-00000E1D0000}"/>
    <cellStyle name="Normal 2 2 3 30 2 2 6 2" xfId="30206" xr:uid="{00000000-0005-0000-0000-00000F1D0000}"/>
    <cellStyle name="Normal 2 2 3 30 2 2 7" xfId="30207" xr:uid="{00000000-0005-0000-0000-0000101D0000}"/>
    <cellStyle name="Normal 2 2 3 30 2 3" xfId="3160" xr:uid="{00000000-0005-0000-0000-0000111D0000}"/>
    <cellStyle name="Normal 2 2 3 30 2 3 2" xfId="3161" xr:uid="{00000000-0005-0000-0000-0000121D0000}"/>
    <cellStyle name="Normal 2 2 3 30 2 3 2 2" xfId="30208" xr:uid="{00000000-0005-0000-0000-0000131D0000}"/>
    <cellStyle name="Normal 2 2 3 30 2 3 3" xfId="3162" xr:uid="{00000000-0005-0000-0000-0000141D0000}"/>
    <cellStyle name="Normal 2 2 3 30 2 3 3 2" xfId="30209" xr:uid="{00000000-0005-0000-0000-0000151D0000}"/>
    <cellStyle name="Normal 2 2 3 30 2 3 4" xfId="30210" xr:uid="{00000000-0005-0000-0000-0000161D0000}"/>
    <cellStyle name="Normal 2 2 3 30 2 4" xfId="3163" xr:uid="{00000000-0005-0000-0000-0000171D0000}"/>
    <cellStyle name="Normal 2 2 3 30 2 4 2" xfId="3164" xr:uid="{00000000-0005-0000-0000-0000181D0000}"/>
    <cellStyle name="Normal 2 2 3 30 2 4 2 2" xfId="30211" xr:uid="{00000000-0005-0000-0000-0000191D0000}"/>
    <cellStyle name="Normal 2 2 3 30 2 4 3" xfId="30212" xr:uid="{00000000-0005-0000-0000-00001A1D0000}"/>
    <cellStyle name="Normal 2 2 3 30 2 5" xfId="3165" xr:uid="{00000000-0005-0000-0000-00001B1D0000}"/>
    <cellStyle name="Normal 2 2 3 30 2 5 2" xfId="30213" xr:uid="{00000000-0005-0000-0000-00001C1D0000}"/>
    <cellStyle name="Normal 2 2 3 30 2 6" xfId="3166" xr:uid="{00000000-0005-0000-0000-00001D1D0000}"/>
    <cellStyle name="Normal 2 2 3 30 2 6 2" xfId="30214" xr:uid="{00000000-0005-0000-0000-00001E1D0000}"/>
    <cellStyle name="Normal 2 2 3 30 2 7" xfId="30215" xr:uid="{00000000-0005-0000-0000-00001F1D0000}"/>
    <cellStyle name="Normal 2 2 3 30 2 7 2" xfId="30216" xr:uid="{00000000-0005-0000-0000-0000201D0000}"/>
    <cellStyle name="Normal 2 2 3 30 2 8" xfId="30217" xr:uid="{00000000-0005-0000-0000-0000211D0000}"/>
    <cellStyle name="Normal 2 2 3 30 2 9" xfId="30218" xr:uid="{00000000-0005-0000-0000-0000221D0000}"/>
    <cellStyle name="Normal 2 2 3 30 3" xfId="3167" xr:uid="{00000000-0005-0000-0000-0000231D0000}"/>
    <cellStyle name="Normal 2 2 3 30 3 2" xfId="3168" xr:uid="{00000000-0005-0000-0000-0000241D0000}"/>
    <cellStyle name="Normal 2 2 3 30 3 2 2" xfId="3169" xr:uid="{00000000-0005-0000-0000-0000251D0000}"/>
    <cellStyle name="Normal 2 2 3 30 3 2 2 2" xfId="30219" xr:uid="{00000000-0005-0000-0000-0000261D0000}"/>
    <cellStyle name="Normal 2 2 3 30 3 2 3" xfId="3170" xr:uid="{00000000-0005-0000-0000-0000271D0000}"/>
    <cellStyle name="Normal 2 2 3 30 3 2 3 2" xfId="30220" xr:uid="{00000000-0005-0000-0000-0000281D0000}"/>
    <cellStyle name="Normal 2 2 3 30 3 2 4" xfId="30221" xr:uid="{00000000-0005-0000-0000-0000291D0000}"/>
    <cellStyle name="Normal 2 2 3 30 3 3" xfId="3171" xr:uid="{00000000-0005-0000-0000-00002A1D0000}"/>
    <cellStyle name="Normal 2 2 3 30 3 3 2" xfId="30222" xr:uid="{00000000-0005-0000-0000-00002B1D0000}"/>
    <cellStyle name="Normal 2 2 3 30 3 4" xfId="3172" xr:uid="{00000000-0005-0000-0000-00002C1D0000}"/>
    <cellStyle name="Normal 2 2 3 30 3 4 2" xfId="30223" xr:uid="{00000000-0005-0000-0000-00002D1D0000}"/>
    <cellStyle name="Normal 2 2 3 30 3 5" xfId="3173" xr:uid="{00000000-0005-0000-0000-00002E1D0000}"/>
    <cellStyle name="Normal 2 2 3 30 3 5 2" xfId="30224" xr:uid="{00000000-0005-0000-0000-00002F1D0000}"/>
    <cellStyle name="Normal 2 2 3 30 3 6" xfId="30225" xr:uid="{00000000-0005-0000-0000-0000301D0000}"/>
    <cellStyle name="Normal 2 2 3 30 3 6 2" xfId="30226" xr:uid="{00000000-0005-0000-0000-0000311D0000}"/>
    <cellStyle name="Normal 2 2 3 30 3 7" xfId="30227" xr:uid="{00000000-0005-0000-0000-0000321D0000}"/>
    <cellStyle name="Normal 2 2 3 30 4" xfId="3174" xr:uid="{00000000-0005-0000-0000-0000331D0000}"/>
    <cellStyle name="Normal 2 2 3 30 4 2" xfId="3175" xr:uid="{00000000-0005-0000-0000-0000341D0000}"/>
    <cellStyle name="Normal 2 2 3 30 4 2 2" xfId="30228" xr:uid="{00000000-0005-0000-0000-0000351D0000}"/>
    <cellStyle name="Normal 2 2 3 30 4 3" xfId="3176" xr:uid="{00000000-0005-0000-0000-0000361D0000}"/>
    <cellStyle name="Normal 2 2 3 30 4 3 2" xfId="30229" xr:uid="{00000000-0005-0000-0000-0000371D0000}"/>
    <cellStyle name="Normal 2 2 3 30 4 4" xfId="30230" xr:uid="{00000000-0005-0000-0000-0000381D0000}"/>
    <cellStyle name="Normal 2 2 3 30 5" xfId="3177" xr:uid="{00000000-0005-0000-0000-0000391D0000}"/>
    <cellStyle name="Normal 2 2 3 30 5 2" xfId="3178" xr:uid="{00000000-0005-0000-0000-00003A1D0000}"/>
    <cellStyle name="Normal 2 2 3 30 5 2 2" xfId="30231" xr:uid="{00000000-0005-0000-0000-00003B1D0000}"/>
    <cellStyle name="Normal 2 2 3 30 5 3" xfId="30232" xr:uid="{00000000-0005-0000-0000-00003C1D0000}"/>
    <cellStyle name="Normal 2 2 3 30 6" xfId="3179" xr:uid="{00000000-0005-0000-0000-00003D1D0000}"/>
    <cellStyle name="Normal 2 2 3 30 6 2" xfId="30233" xr:uid="{00000000-0005-0000-0000-00003E1D0000}"/>
    <cellStyle name="Normal 2 2 3 30 7" xfId="3180" xr:uid="{00000000-0005-0000-0000-00003F1D0000}"/>
    <cellStyle name="Normal 2 2 3 30 7 2" xfId="30234" xr:uid="{00000000-0005-0000-0000-0000401D0000}"/>
    <cellStyle name="Normal 2 2 3 30 8" xfId="30235" xr:uid="{00000000-0005-0000-0000-0000411D0000}"/>
    <cellStyle name="Normal 2 2 3 30 8 2" xfId="30236" xr:uid="{00000000-0005-0000-0000-0000421D0000}"/>
    <cellStyle name="Normal 2 2 3 30 9" xfId="30237" xr:uid="{00000000-0005-0000-0000-0000431D0000}"/>
    <cellStyle name="Normal 2 2 3 31" xfId="3181" xr:uid="{00000000-0005-0000-0000-0000441D0000}"/>
    <cellStyle name="Normal 2 2 3 31 10" xfId="30238" xr:uid="{00000000-0005-0000-0000-0000451D0000}"/>
    <cellStyle name="Normal 2 2 3 31 2" xfId="3182" xr:uid="{00000000-0005-0000-0000-0000461D0000}"/>
    <cellStyle name="Normal 2 2 3 31 2 2" xfId="3183" xr:uid="{00000000-0005-0000-0000-0000471D0000}"/>
    <cellStyle name="Normal 2 2 3 31 2 2 2" xfId="3184" xr:uid="{00000000-0005-0000-0000-0000481D0000}"/>
    <cellStyle name="Normal 2 2 3 31 2 2 2 2" xfId="30239" xr:uid="{00000000-0005-0000-0000-0000491D0000}"/>
    <cellStyle name="Normal 2 2 3 31 2 2 3" xfId="3185" xr:uid="{00000000-0005-0000-0000-00004A1D0000}"/>
    <cellStyle name="Normal 2 2 3 31 2 2 3 2" xfId="30240" xr:uid="{00000000-0005-0000-0000-00004B1D0000}"/>
    <cellStyle name="Normal 2 2 3 31 2 2 4" xfId="30241" xr:uid="{00000000-0005-0000-0000-00004C1D0000}"/>
    <cellStyle name="Normal 2 2 3 31 2 3" xfId="3186" xr:uid="{00000000-0005-0000-0000-00004D1D0000}"/>
    <cellStyle name="Normal 2 2 3 31 2 3 2" xfId="30242" xr:uid="{00000000-0005-0000-0000-00004E1D0000}"/>
    <cellStyle name="Normal 2 2 3 31 2 4" xfId="3187" xr:uid="{00000000-0005-0000-0000-00004F1D0000}"/>
    <cellStyle name="Normal 2 2 3 31 2 4 2" xfId="30243" xr:uid="{00000000-0005-0000-0000-0000501D0000}"/>
    <cellStyle name="Normal 2 2 3 31 2 5" xfId="3188" xr:uid="{00000000-0005-0000-0000-0000511D0000}"/>
    <cellStyle name="Normal 2 2 3 31 2 5 2" xfId="30244" xr:uid="{00000000-0005-0000-0000-0000521D0000}"/>
    <cellStyle name="Normal 2 2 3 31 2 6" xfId="30245" xr:uid="{00000000-0005-0000-0000-0000531D0000}"/>
    <cellStyle name="Normal 2 2 3 31 2 6 2" xfId="30246" xr:uid="{00000000-0005-0000-0000-0000541D0000}"/>
    <cellStyle name="Normal 2 2 3 31 2 7" xfId="30247" xr:uid="{00000000-0005-0000-0000-0000551D0000}"/>
    <cellStyle name="Normal 2 2 3 31 3" xfId="3189" xr:uid="{00000000-0005-0000-0000-0000561D0000}"/>
    <cellStyle name="Normal 2 2 3 31 3 2" xfId="3190" xr:uid="{00000000-0005-0000-0000-0000571D0000}"/>
    <cellStyle name="Normal 2 2 3 31 3 2 2" xfId="30248" xr:uid="{00000000-0005-0000-0000-0000581D0000}"/>
    <cellStyle name="Normal 2 2 3 31 3 3" xfId="3191" xr:uid="{00000000-0005-0000-0000-0000591D0000}"/>
    <cellStyle name="Normal 2 2 3 31 3 3 2" xfId="30249" xr:uid="{00000000-0005-0000-0000-00005A1D0000}"/>
    <cellStyle name="Normal 2 2 3 31 3 4" xfId="30250" xr:uid="{00000000-0005-0000-0000-00005B1D0000}"/>
    <cellStyle name="Normal 2 2 3 31 4" xfId="3192" xr:uid="{00000000-0005-0000-0000-00005C1D0000}"/>
    <cellStyle name="Normal 2 2 3 31 4 2" xfId="3193" xr:uid="{00000000-0005-0000-0000-00005D1D0000}"/>
    <cellStyle name="Normal 2 2 3 31 4 2 2" xfId="30251" xr:uid="{00000000-0005-0000-0000-00005E1D0000}"/>
    <cellStyle name="Normal 2 2 3 31 4 3" xfId="30252" xr:uid="{00000000-0005-0000-0000-00005F1D0000}"/>
    <cellStyle name="Normal 2 2 3 31 5" xfId="3194" xr:uid="{00000000-0005-0000-0000-0000601D0000}"/>
    <cellStyle name="Normal 2 2 3 31 5 2" xfId="30253" xr:uid="{00000000-0005-0000-0000-0000611D0000}"/>
    <cellStyle name="Normal 2 2 3 31 6" xfId="3195" xr:uid="{00000000-0005-0000-0000-0000621D0000}"/>
    <cellStyle name="Normal 2 2 3 31 6 2" xfId="30254" xr:uid="{00000000-0005-0000-0000-0000631D0000}"/>
    <cellStyle name="Normal 2 2 3 31 7" xfId="30255" xr:uid="{00000000-0005-0000-0000-0000641D0000}"/>
    <cellStyle name="Normal 2 2 3 31 7 2" xfId="30256" xr:uid="{00000000-0005-0000-0000-0000651D0000}"/>
    <cellStyle name="Normal 2 2 3 31 8" xfId="30257" xr:uid="{00000000-0005-0000-0000-0000661D0000}"/>
    <cellStyle name="Normal 2 2 3 31 9" xfId="30258" xr:uid="{00000000-0005-0000-0000-0000671D0000}"/>
    <cellStyle name="Normal 2 2 3 32" xfId="3196" xr:uid="{00000000-0005-0000-0000-0000681D0000}"/>
    <cellStyle name="Normal 2 2 3 32 2" xfId="3197" xr:uid="{00000000-0005-0000-0000-0000691D0000}"/>
    <cellStyle name="Normal 2 2 3 32 2 2" xfId="3198" xr:uid="{00000000-0005-0000-0000-00006A1D0000}"/>
    <cellStyle name="Normal 2 2 3 32 2 2 2" xfId="30259" xr:uid="{00000000-0005-0000-0000-00006B1D0000}"/>
    <cellStyle name="Normal 2 2 3 32 2 3" xfId="3199" xr:uid="{00000000-0005-0000-0000-00006C1D0000}"/>
    <cellStyle name="Normal 2 2 3 32 2 3 2" xfId="30260" xr:uid="{00000000-0005-0000-0000-00006D1D0000}"/>
    <cellStyle name="Normal 2 2 3 32 2 4" xfId="30261" xr:uid="{00000000-0005-0000-0000-00006E1D0000}"/>
    <cellStyle name="Normal 2 2 3 32 3" xfId="3200" xr:uid="{00000000-0005-0000-0000-00006F1D0000}"/>
    <cellStyle name="Normal 2 2 3 32 3 2" xfId="30262" xr:uid="{00000000-0005-0000-0000-0000701D0000}"/>
    <cellStyle name="Normal 2 2 3 32 4" xfId="3201" xr:uid="{00000000-0005-0000-0000-0000711D0000}"/>
    <cellStyle name="Normal 2 2 3 32 4 2" xfId="30263" xr:uid="{00000000-0005-0000-0000-0000721D0000}"/>
    <cellStyle name="Normal 2 2 3 32 5" xfId="3202" xr:uid="{00000000-0005-0000-0000-0000731D0000}"/>
    <cellStyle name="Normal 2 2 3 32 5 2" xfId="30264" xr:uid="{00000000-0005-0000-0000-0000741D0000}"/>
    <cellStyle name="Normal 2 2 3 32 6" xfId="30265" xr:uid="{00000000-0005-0000-0000-0000751D0000}"/>
    <cellStyle name="Normal 2 2 3 32 6 2" xfId="30266" xr:uid="{00000000-0005-0000-0000-0000761D0000}"/>
    <cellStyle name="Normal 2 2 3 32 7" xfId="30267" xr:uid="{00000000-0005-0000-0000-0000771D0000}"/>
    <cellStyle name="Normal 2 2 3 33" xfId="3203" xr:uid="{00000000-0005-0000-0000-0000781D0000}"/>
    <cellStyle name="Normal 2 2 3 33 2" xfId="3204" xr:uid="{00000000-0005-0000-0000-0000791D0000}"/>
    <cellStyle name="Normal 2 2 3 33 2 2" xfId="30268" xr:uid="{00000000-0005-0000-0000-00007A1D0000}"/>
    <cellStyle name="Normal 2 2 3 33 3" xfId="3205" xr:uid="{00000000-0005-0000-0000-00007B1D0000}"/>
    <cellStyle name="Normal 2 2 3 33 3 2" xfId="30269" xr:uid="{00000000-0005-0000-0000-00007C1D0000}"/>
    <cellStyle name="Normal 2 2 3 33 4" xfId="30270" xr:uid="{00000000-0005-0000-0000-00007D1D0000}"/>
    <cellStyle name="Normal 2 2 3 34" xfId="3206" xr:uid="{00000000-0005-0000-0000-00007E1D0000}"/>
    <cellStyle name="Normal 2 2 3 34 2" xfId="3207" xr:uid="{00000000-0005-0000-0000-00007F1D0000}"/>
    <cellStyle name="Normal 2 2 3 34 2 2" xfId="30271" xr:uid="{00000000-0005-0000-0000-0000801D0000}"/>
    <cellStyle name="Normal 2 2 3 34 3" xfId="30272" xr:uid="{00000000-0005-0000-0000-0000811D0000}"/>
    <cellStyle name="Normal 2 2 3 35" xfId="3208" xr:uid="{00000000-0005-0000-0000-0000821D0000}"/>
    <cellStyle name="Normal 2 2 3 35 2" xfId="30273" xr:uid="{00000000-0005-0000-0000-0000831D0000}"/>
    <cellStyle name="Normal 2 2 3 36" xfId="3209" xr:uid="{00000000-0005-0000-0000-0000841D0000}"/>
    <cellStyle name="Normal 2 2 3 36 2" xfId="30274" xr:uid="{00000000-0005-0000-0000-0000851D0000}"/>
    <cellStyle name="Normal 2 2 3 37" xfId="30275" xr:uid="{00000000-0005-0000-0000-0000861D0000}"/>
    <cellStyle name="Normal 2 2 3 37 2" xfId="30276" xr:uid="{00000000-0005-0000-0000-0000871D0000}"/>
    <cellStyle name="Normal 2 2 3 38" xfId="30277" xr:uid="{00000000-0005-0000-0000-0000881D0000}"/>
    <cellStyle name="Normal 2 2 3 39" xfId="30278" xr:uid="{00000000-0005-0000-0000-0000891D0000}"/>
    <cellStyle name="Normal 2 2 3 4" xfId="3210" xr:uid="{00000000-0005-0000-0000-00008A1D0000}"/>
    <cellStyle name="Normal 2 2 3 4 10" xfId="30279" xr:uid="{00000000-0005-0000-0000-00008B1D0000}"/>
    <cellStyle name="Normal 2 2 3 4 11" xfId="30280" xr:uid="{00000000-0005-0000-0000-00008C1D0000}"/>
    <cellStyle name="Normal 2 2 3 4 2" xfId="3211" xr:uid="{00000000-0005-0000-0000-00008D1D0000}"/>
    <cellStyle name="Normal 2 2 3 4 2 10" xfId="30281" xr:uid="{00000000-0005-0000-0000-00008E1D0000}"/>
    <cellStyle name="Normal 2 2 3 4 2 2" xfId="3212" xr:uid="{00000000-0005-0000-0000-00008F1D0000}"/>
    <cellStyle name="Normal 2 2 3 4 2 2 2" xfId="3213" xr:uid="{00000000-0005-0000-0000-0000901D0000}"/>
    <cellStyle name="Normal 2 2 3 4 2 2 2 2" xfId="3214" xr:uid="{00000000-0005-0000-0000-0000911D0000}"/>
    <cellStyle name="Normal 2 2 3 4 2 2 2 2 2" xfId="30282" xr:uid="{00000000-0005-0000-0000-0000921D0000}"/>
    <cellStyle name="Normal 2 2 3 4 2 2 2 3" xfId="3215" xr:uid="{00000000-0005-0000-0000-0000931D0000}"/>
    <cellStyle name="Normal 2 2 3 4 2 2 2 3 2" xfId="30283" xr:uid="{00000000-0005-0000-0000-0000941D0000}"/>
    <cellStyle name="Normal 2 2 3 4 2 2 2 4" xfId="30284" xr:uid="{00000000-0005-0000-0000-0000951D0000}"/>
    <cellStyle name="Normal 2 2 3 4 2 2 3" xfId="3216" xr:uid="{00000000-0005-0000-0000-0000961D0000}"/>
    <cellStyle name="Normal 2 2 3 4 2 2 3 2" xfId="30285" xr:uid="{00000000-0005-0000-0000-0000971D0000}"/>
    <cellStyle name="Normal 2 2 3 4 2 2 4" xfId="3217" xr:uid="{00000000-0005-0000-0000-0000981D0000}"/>
    <cellStyle name="Normal 2 2 3 4 2 2 4 2" xfId="30286" xr:uid="{00000000-0005-0000-0000-0000991D0000}"/>
    <cellStyle name="Normal 2 2 3 4 2 2 5" xfId="3218" xr:uid="{00000000-0005-0000-0000-00009A1D0000}"/>
    <cellStyle name="Normal 2 2 3 4 2 2 5 2" xfId="30287" xr:uid="{00000000-0005-0000-0000-00009B1D0000}"/>
    <cellStyle name="Normal 2 2 3 4 2 2 6" xfId="30288" xr:uid="{00000000-0005-0000-0000-00009C1D0000}"/>
    <cellStyle name="Normal 2 2 3 4 2 2 6 2" xfId="30289" xr:uid="{00000000-0005-0000-0000-00009D1D0000}"/>
    <cellStyle name="Normal 2 2 3 4 2 2 7" xfId="30290" xr:uid="{00000000-0005-0000-0000-00009E1D0000}"/>
    <cellStyle name="Normal 2 2 3 4 2 3" xfId="3219" xr:uid="{00000000-0005-0000-0000-00009F1D0000}"/>
    <cellStyle name="Normal 2 2 3 4 2 3 2" xfId="3220" xr:uid="{00000000-0005-0000-0000-0000A01D0000}"/>
    <cellStyle name="Normal 2 2 3 4 2 3 2 2" xfId="30291" xr:uid="{00000000-0005-0000-0000-0000A11D0000}"/>
    <cellStyle name="Normal 2 2 3 4 2 3 3" xfId="3221" xr:uid="{00000000-0005-0000-0000-0000A21D0000}"/>
    <cellStyle name="Normal 2 2 3 4 2 3 3 2" xfId="30292" xr:uid="{00000000-0005-0000-0000-0000A31D0000}"/>
    <cellStyle name="Normal 2 2 3 4 2 3 4" xfId="30293" xr:uid="{00000000-0005-0000-0000-0000A41D0000}"/>
    <cellStyle name="Normal 2 2 3 4 2 4" xfId="3222" xr:uid="{00000000-0005-0000-0000-0000A51D0000}"/>
    <cellStyle name="Normal 2 2 3 4 2 4 2" xfId="3223" xr:uid="{00000000-0005-0000-0000-0000A61D0000}"/>
    <cellStyle name="Normal 2 2 3 4 2 4 2 2" xfId="30294" xr:uid="{00000000-0005-0000-0000-0000A71D0000}"/>
    <cellStyle name="Normal 2 2 3 4 2 4 3" xfId="30295" xr:uid="{00000000-0005-0000-0000-0000A81D0000}"/>
    <cellStyle name="Normal 2 2 3 4 2 5" xfId="3224" xr:uid="{00000000-0005-0000-0000-0000A91D0000}"/>
    <cellStyle name="Normal 2 2 3 4 2 5 2" xfId="30296" xr:uid="{00000000-0005-0000-0000-0000AA1D0000}"/>
    <cellStyle name="Normal 2 2 3 4 2 6" xfId="3225" xr:uid="{00000000-0005-0000-0000-0000AB1D0000}"/>
    <cellStyle name="Normal 2 2 3 4 2 6 2" xfId="30297" xr:uid="{00000000-0005-0000-0000-0000AC1D0000}"/>
    <cellStyle name="Normal 2 2 3 4 2 7" xfId="30298" xr:uid="{00000000-0005-0000-0000-0000AD1D0000}"/>
    <cellStyle name="Normal 2 2 3 4 2 7 2" xfId="30299" xr:uid="{00000000-0005-0000-0000-0000AE1D0000}"/>
    <cellStyle name="Normal 2 2 3 4 2 8" xfId="30300" xr:uid="{00000000-0005-0000-0000-0000AF1D0000}"/>
    <cellStyle name="Normal 2 2 3 4 2 9" xfId="30301" xr:uid="{00000000-0005-0000-0000-0000B01D0000}"/>
    <cellStyle name="Normal 2 2 3 4 3" xfId="3226" xr:uid="{00000000-0005-0000-0000-0000B11D0000}"/>
    <cellStyle name="Normal 2 2 3 4 3 2" xfId="3227" xr:uid="{00000000-0005-0000-0000-0000B21D0000}"/>
    <cellStyle name="Normal 2 2 3 4 3 2 2" xfId="3228" xr:uid="{00000000-0005-0000-0000-0000B31D0000}"/>
    <cellStyle name="Normal 2 2 3 4 3 2 2 2" xfId="30302" xr:uid="{00000000-0005-0000-0000-0000B41D0000}"/>
    <cellStyle name="Normal 2 2 3 4 3 2 3" xfId="3229" xr:uid="{00000000-0005-0000-0000-0000B51D0000}"/>
    <cellStyle name="Normal 2 2 3 4 3 2 3 2" xfId="30303" xr:uid="{00000000-0005-0000-0000-0000B61D0000}"/>
    <cellStyle name="Normal 2 2 3 4 3 2 4" xfId="30304" xr:uid="{00000000-0005-0000-0000-0000B71D0000}"/>
    <cellStyle name="Normal 2 2 3 4 3 3" xfId="3230" xr:uid="{00000000-0005-0000-0000-0000B81D0000}"/>
    <cellStyle name="Normal 2 2 3 4 3 3 2" xfId="30305" xr:uid="{00000000-0005-0000-0000-0000B91D0000}"/>
    <cellStyle name="Normal 2 2 3 4 3 4" xfId="3231" xr:uid="{00000000-0005-0000-0000-0000BA1D0000}"/>
    <cellStyle name="Normal 2 2 3 4 3 4 2" xfId="30306" xr:uid="{00000000-0005-0000-0000-0000BB1D0000}"/>
    <cellStyle name="Normal 2 2 3 4 3 5" xfId="3232" xr:uid="{00000000-0005-0000-0000-0000BC1D0000}"/>
    <cellStyle name="Normal 2 2 3 4 3 5 2" xfId="30307" xr:uid="{00000000-0005-0000-0000-0000BD1D0000}"/>
    <cellStyle name="Normal 2 2 3 4 3 6" xfId="30308" xr:uid="{00000000-0005-0000-0000-0000BE1D0000}"/>
    <cellStyle name="Normal 2 2 3 4 3 6 2" xfId="30309" xr:uid="{00000000-0005-0000-0000-0000BF1D0000}"/>
    <cellStyle name="Normal 2 2 3 4 3 7" xfId="30310" xr:uid="{00000000-0005-0000-0000-0000C01D0000}"/>
    <cellStyle name="Normal 2 2 3 4 4" xfId="3233" xr:uid="{00000000-0005-0000-0000-0000C11D0000}"/>
    <cellStyle name="Normal 2 2 3 4 4 2" xfId="3234" xr:uid="{00000000-0005-0000-0000-0000C21D0000}"/>
    <cellStyle name="Normal 2 2 3 4 4 2 2" xfId="30311" xr:uid="{00000000-0005-0000-0000-0000C31D0000}"/>
    <cellStyle name="Normal 2 2 3 4 4 3" xfId="3235" xr:uid="{00000000-0005-0000-0000-0000C41D0000}"/>
    <cellStyle name="Normal 2 2 3 4 4 3 2" xfId="30312" xr:uid="{00000000-0005-0000-0000-0000C51D0000}"/>
    <cellStyle name="Normal 2 2 3 4 4 4" xfId="30313" xr:uid="{00000000-0005-0000-0000-0000C61D0000}"/>
    <cellStyle name="Normal 2 2 3 4 5" xfId="3236" xr:uid="{00000000-0005-0000-0000-0000C71D0000}"/>
    <cellStyle name="Normal 2 2 3 4 5 2" xfId="3237" xr:uid="{00000000-0005-0000-0000-0000C81D0000}"/>
    <cellStyle name="Normal 2 2 3 4 5 2 2" xfId="30314" xr:uid="{00000000-0005-0000-0000-0000C91D0000}"/>
    <cellStyle name="Normal 2 2 3 4 5 3" xfId="30315" xr:uid="{00000000-0005-0000-0000-0000CA1D0000}"/>
    <cellStyle name="Normal 2 2 3 4 6" xfId="3238" xr:uid="{00000000-0005-0000-0000-0000CB1D0000}"/>
    <cellStyle name="Normal 2 2 3 4 6 2" xfId="30316" xr:uid="{00000000-0005-0000-0000-0000CC1D0000}"/>
    <cellStyle name="Normal 2 2 3 4 7" xfId="3239" xr:uid="{00000000-0005-0000-0000-0000CD1D0000}"/>
    <cellStyle name="Normal 2 2 3 4 7 2" xfId="30317" xr:uid="{00000000-0005-0000-0000-0000CE1D0000}"/>
    <cellStyle name="Normal 2 2 3 4 8" xfId="30318" xr:uid="{00000000-0005-0000-0000-0000CF1D0000}"/>
    <cellStyle name="Normal 2 2 3 4 8 2" xfId="30319" xr:uid="{00000000-0005-0000-0000-0000D01D0000}"/>
    <cellStyle name="Normal 2 2 3 4 9" xfId="30320" xr:uid="{00000000-0005-0000-0000-0000D11D0000}"/>
    <cellStyle name="Normal 2 2 3 40" xfId="30321" xr:uid="{00000000-0005-0000-0000-0000D21D0000}"/>
    <cellStyle name="Normal 2 2 3 5" xfId="3240" xr:uid="{00000000-0005-0000-0000-0000D31D0000}"/>
    <cellStyle name="Normal 2 2 3 5 10" xfId="30322" xr:uid="{00000000-0005-0000-0000-0000D41D0000}"/>
    <cellStyle name="Normal 2 2 3 5 11" xfId="30323" xr:uid="{00000000-0005-0000-0000-0000D51D0000}"/>
    <cellStyle name="Normal 2 2 3 5 2" xfId="3241" xr:uid="{00000000-0005-0000-0000-0000D61D0000}"/>
    <cellStyle name="Normal 2 2 3 5 2 10" xfId="30324" xr:uid="{00000000-0005-0000-0000-0000D71D0000}"/>
    <cellStyle name="Normal 2 2 3 5 2 2" xfId="3242" xr:uid="{00000000-0005-0000-0000-0000D81D0000}"/>
    <cellStyle name="Normal 2 2 3 5 2 2 2" xfId="3243" xr:uid="{00000000-0005-0000-0000-0000D91D0000}"/>
    <cellStyle name="Normal 2 2 3 5 2 2 2 2" xfId="3244" xr:uid="{00000000-0005-0000-0000-0000DA1D0000}"/>
    <cellStyle name="Normal 2 2 3 5 2 2 2 2 2" xfId="30325" xr:uid="{00000000-0005-0000-0000-0000DB1D0000}"/>
    <cellStyle name="Normal 2 2 3 5 2 2 2 3" xfId="3245" xr:uid="{00000000-0005-0000-0000-0000DC1D0000}"/>
    <cellStyle name="Normal 2 2 3 5 2 2 2 3 2" xfId="30326" xr:uid="{00000000-0005-0000-0000-0000DD1D0000}"/>
    <cellStyle name="Normal 2 2 3 5 2 2 2 4" xfId="30327" xr:uid="{00000000-0005-0000-0000-0000DE1D0000}"/>
    <cellStyle name="Normal 2 2 3 5 2 2 3" xfId="3246" xr:uid="{00000000-0005-0000-0000-0000DF1D0000}"/>
    <cellStyle name="Normal 2 2 3 5 2 2 3 2" xfId="30328" xr:uid="{00000000-0005-0000-0000-0000E01D0000}"/>
    <cellStyle name="Normal 2 2 3 5 2 2 4" xfId="3247" xr:uid="{00000000-0005-0000-0000-0000E11D0000}"/>
    <cellStyle name="Normal 2 2 3 5 2 2 4 2" xfId="30329" xr:uid="{00000000-0005-0000-0000-0000E21D0000}"/>
    <cellStyle name="Normal 2 2 3 5 2 2 5" xfId="3248" xr:uid="{00000000-0005-0000-0000-0000E31D0000}"/>
    <cellStyle name="Normal 2 2 3 5 2 2 5 2" xfId="30330" xr:uid="{00000000-0005-0000-0000-0000E41D0000}"/>
    <cellStyle name="Normal 2 2 3 5 2 2 6" xfId="30331" xr:uid="{00000000-0005-0000-0000-0000E51D0000}"/>
    <cellStyle name="Normal 2 2 3 5 2 2 6 2" xfId="30332" xr:uid="{00000000-0005-0000-0000-0000E61D0000}"/>
    <cellStyle name="Normal 2 2 3 5 2 2 7" xfId="30333" xr:uid="{00000000-0005-0000-0000-0000E71D0000}"/>
    <cellStyle name="Normal 2 2 3 5 2 3" xfId="3249" xr:uid="{00000000-0005-0000-0000-0000E81D0000}"/>
    <cellStyle name="Normal 2 2 3 5 2 3 2" xfId="3250" xr:uid="{00000000-0005-0000-0000-0000E91D0000}"/>
    <cellStyle name="Normal 2 2 3 5 2 3 2 2" xfId="30334" xr:uid="{00000000-0005-0000-0000-0000EA1D0000}"/>
    <cellStyle name="Normal 2 2 3 5 2 3 3" xfId="3251" xr:uid="{00000000-0005-0000-0000-0000EB1D0000}"/>
    <cellStyle name="Normal 2 2 3 5 2 3 3 2" xfId="30335" xr:uid="{00000000-0005-0000-0000-0000EC1D0000}"/>
    <cellStyle name="Normal 2 2 3 5 2 3 4" xfId="30336" xr:uid="{00000000-0005-0000-0000-0000ED1D0000}"/>
    <cellStyle name="Normal 2 2 3 5 2 4" xfId="3252" xr:uid="{00000000-0005-0000-0000-0000EE1D0000}"/>
    <cellStyle name="Normal 2 2 3 5 2 4 2" xfId="3253" xr:uid="{00000000-0005-0000-0000-0000EF1D0000}"/>
    <cellStyle name="Normal 2 2 3 5 2 4 2 2" xfId="30337" xr:uid="{00000000-0005-0000-0000-0000F01D0000}"/>
    <cellStyle name="Normal 2 2 3 5 2 4 3" xfId="30338" xr:uid="{00000000-0005-0000-0000-0000F11D0000}"/>
    <cellStyle name="Normal 2 2 3 5 2 5" xfId="3254" xr:uid="{00000000-0005-0000-0000-0000F21D0000}"/>
    <cellStyle name="Normal 2 2 3 5 2 5 2" xfId="30339" xr:uid="{00000000-0005-0000-0000-0000F31D0000}"/>
    <cellStyle name="Normal 2 2 3 5 2 6" xfId="3255" xr:uid="{00000000-0005-0000-0000-0000F41D0000}"/>
    <cellStyle name="Normal 2 2 3 5 2 6 2" xfId="30340" xr:uid="{00000000-0005-0000-0000-0000F51D0000}"/>
    <cellStyle name="Normal 2 2 3 5 2 7" xfId="30341" xr:uid="{00000000-0005-0000-0000-0000F61D0000}"/>
    <cellStyle name="Normal 2 2 3 5 2 7 2" xfId="30342" xr:uid="{00000000-0005-0000-0000-0000F71D0000}"/>
    <cellStyle name="Normal 2 2 3 5 2 8" xfId="30343" xr:uid="{00000000-0005-0000-0000-0000F81D0000}"/>
    <cellStyle name="Normal 2 2 3 5 2 9" xfId="30344" xr:uid="{00000000-0005-0000-0000-0000F91D0000}"/>
    <cellStyle name="Normal 2 2 3 5 3" xfId="3256" xr:uid="{00000000-0005-0000-0000-0000FA1D0000}"/>
    <cellStyle name="Normal 2 2 3 5 3 2" xfId="3257" xr:uid="{00000000-0005-0000-0000-0000FB1D0000}"/>
    <cellStyle name="Normal 2 2 3 5 3 2 2" xfId="3258" xr:uid="{00000000-0005-0000-0000-0000FC1D0000}"/>
    <cellStyle name="Normal 2 2 3 5 3 2 2 2" xfId="30345" xr:uid="{00000000-0005-0000-0000-0000FD1D0000}"/>
    <cellStyle name="Normal 2 2 3 5 3 2 3" xfId="3259" xr:uid="{00000000-0005-0000-0000-0000FE1D0000}"/>
    <cellStyle name="Normal 2 2 3 5 3 2 3 2" xfId="30346" xr:uid="{00000000-0005-0000-0000-0000FF1D0000}"/>
    <cellStyle name="Normal 2 2 3 5 3 2 4" xfId="30347" xr:uid="{00000000-0005-0000-0000-0000001E0000}"/>
    <cellStyle name="Normal 2 2 3 5 3 3" xfId="3260" xr:uid="{00000000-0005-0000-0000-0000011E0000}"/>
    <cellStyle name="Normal 2 2 3 5 3 3 2" xfId="30348" xr:uid="{00000000-0005-0000-0000-0000021E0000}"/>
    <cellStyle name="Normal 2 2 3 5 3 4" xfId="3261" xr:uid="{00000000-0005-0000-0000-0000031E0000}"/>
    <cellStyle name="Normal 2 2 3 5 3 4 2" xfId="30349" xr:uid="{00000000-0005-0000-0000-0000041E0000}"/>
    <cellStyle name="Normal 2 2 3 5 3 5" xfId="3262" xr:uid="{00000000-0005-0000-0000-0000051E0000}"/>
    <cellStyle name="Normal 2 2 3 5 3 5 2" xfId="30350" xr:uid="{00000000-0005-0000-0000-0000061E0000}"/>
    <cellStyle name="Normal 2 2 3 5 3 6" xfId="30351" xr:uid="{00000000-0005-0000-0000-0000071E0000}"/>
    <cellStyle name="Normal 2 2 3 5 3 6 2" xfId="30352" xr:uid="{00000000-0005-0000-0000-0000081E0000}"/>
    <cellStyle name="Normal 2 2 3 5 3 7" xfId="30353" xr:uid="{00000000-0005-0000-0000-0000091E0000}"/>
    <cellStyle name="Normal 2 2 3 5 4" xfId="3263" xr:uid="{00000000-0005-0000-0000-00000A1E0000}"/>
    <cellStyle name="Normal 2 2 3 5 4 2" xfId="3264" xr:uid="{00000000-0005-0000-0000-00000B1E0000}"/>
    <cellStyle name="Normal 2 2 3 5 4 2 2" xfId="30354" xr:uid="{00000000-0005-0000-0000-00000C1E0000}"/>
    <cellStyle name="Normal 2 2 3 5 4 3" xfId="3265" xr:uid="{00000000-0005-0000-0000-00000D1E0000}"/>
    <cellStyle name="Normal 2 2 3 5 4 3 2" xfId="30355" xr:uid="{00000000-0005-0000-0000-00000E1E0000}"/>
    <cellStyle name="Normal 2 2 3 5 4 4" xfId="30356" xr:uid="{00000000-0005-0000-0000-00000F1E0000}"/>
    <cellStyle name="Normal 2 2 3 5 5" xfId="3266" xr:uid="{00000000-0005-0000-0000-0000101E0000}"/>
    <cellStyle name="Normal 2 2 3 5 5 2" xfId="3267" xr:uid="{00000000-0005-0000-0000-0000111E0000}"/>
    <cellStyle name="Normal 2 2 3 5 5 2 2" xfId="30357" xr:uid="{00000000-0005-0000-0000-0000121E0000}"/>
    <cellStyle name="Normal 2 2 3 5 5 3" xfId="30358" xr:uid="{00000000-0005-0000-0000-0000131E0000}"/>
    <cellStyle name="Normal 2 2 3 5 6" xfId="3268" xr:uid="{00000000-0005-0000-0000-0000141E0000}"/>
    <cellStyle name="Normal 2 2 3 5 6 2" xfId="30359" xr:uid="{00000000-0005-0000-0000-0000151E0000}"/>
    <cellStyle name="Normal 2 2 3 5 7" xfId="3269" xr:uid="{00000000-0005-0000-0000-0000161E0000}"/>
    <cellStyle name="Normal 2 2 3 5 7 2" xfId="30360" xr:uid="{00000000-0005-0000-0000-0000171E0000}"/>
    <cellStyle name="Normal 2 2 3 5 8" xfId="30361" xr:uid="{00000000-0005-0000-0000-0000181E0000}"/>
    <cellStyle name="Normal 2 2 3 5 8 2" xfId="30362" xr:uid="{00000000-0005-0000-0000-0000191E0000}"/>
    <cellStyle name="Normal 2 2 3 5 9" xfId="30363" xr:uid="{00000000-0005-0000-0000-00001A1E0000}"/>
    <cellStyle name="Normal 2 2 3 6" xfId="3270" xr:uid="{00000000-0005-0000-0000-00001B1E0000}"/>
    <cellStyle name="Normal 2 2 3 6 10" xfId="30364" xr:uid="{00000000-0005-0000-0000-00001C1E0000}"/>
    <cellStyle name="Normal 2 2 3 6 11" xfId="30365" xr:uid="{00000000-0005-0000-0000-00001D1E0000}"/>
    <cellStyle name="Normal 2 2 3 6 2" xfId="3271" xr:uid="{00000000-0005-0000-0000-00001E1E0000}"/>
    <cellStyle name="Normal 2 2 3 6 2 10" xfId="30366" xr:uid="{00000000-0005-0000-0000-00001F1E0000}"/>
    <cellStyle name="Normal 2 2 3 6 2 2" xfId="3272" xr:uid="{00000000-0005-0000-0000-0000201E0000}"/>
    <cellStyle name="Normal 2 2 3 6 2 2 2" xfId="3273" xr:uid="{00000000-0005-0000-0000-0000211E0000}"/>
    <cellStyle name="Normal 2 2 3 6 2 2 2 2" xfId="3274" xr:uid="{00000000-0005-0000-0000-0000221E0000}"/>
    <cellStyle name="Normal 2 2 3 6 2 2 2 2 2" xfId="30367" xr:uid="{00000000-0005-0000-0000-0000231E0000}"/>
    <cellStyle name="Normal 2 2 3 6 2 2 2 3" xfId="3275" xr:uid="{00000000-0005-0000-0000-0000241E0000}"/>
    <cellStyle name="Normal 2 2 3 6 2 2 2 3 2" xfId="30368" xr:uid="{00000000-0005-0000-0000-0000251E0000}"/>
    <cellStyle name="Normal 2 2 3 6 2 2 2 4" xfId="30369" xr:uid="{00000000-0005-0000-0000-0000261E0000}"/>
    <cellStyle name="Normal 2 2 3 6 2 2 3" xfId="3276" xr:uid="{00000000-0005-0000-0000-0000271E0000}"/>
    <cellStyle name="Normal 2 2 3 6 2 2 3 2" xfId="30370" xr:uid="{00000000-0005-0000-0000-0000281E0000}"/>
    <cellStyle name="Normal 2 2 3 6 2 2 4" xfId="3277" xr:uid="{00000000-0005-0000-0000-0000291E0000}"/>
    <cellStyle name="Normal 2 2 3 6 2 2 4 2" xfId="30371" xr:uid="{00000000-0005-0000-0000-00002A1E0000}"/>
    <cellStyle name="Normal 2 2 3 6 2 2 5" xfId="3278" xr:uid="{00000000-0005-0000-0000-00002B1E0000}"/>
    <cellStyle name="Normal 2 2 3 6 2 2 5 2" xfId="30372" xr:uid="{00000000-0005-0000-0000-00002C1E0000}"/>
    <cellStyle name="Normal 2 2 3 6 2 2 6" xfId="30373" xr:uid="{00000000-0005-0000-0000-00002D1E0000}"/>
    <cellStyle name="Normal 2 2 3 6 2 2 6 2" xfId="30374" xr:uid="{00000000-0005-0000-0000-00002E1E0000}"/>
    <cellStyle name="Normal 2 2 3 6 2 2 7" xfId="30375" xr:uid="{00000000-0005-0000-0000-00002F1E0000}"/>
    <cellStyle name="Normal 2 2 3 6 2 3" xfId="3279" xr:uid="{00000000-0005-0000-0000-0000301E0000}"/>
    <cellStyle name="Normal 2 2 3 6 2 3 2" xfId="3280" xr:uid="{00000000-0005-0000-0000-0000311E0000}"/>
    <cellStyle name="Normal 2 2 3 6 2 3 2 2" xfId="30376" xr:uid="{00000000-0005-0000-0000-0000321E0000}"/>
    <cellStyle name="Normal 2 2 3 6 2 3 3" xfId="3281" xr:uid="{00000000-0005-0000-0000-0000331E0000}"/>
    <cellStyle name="Normal 2 2 3 6 2 3 3 2" xfId="30377" xr:uid="{00000000-0005-0000-0000-0000341E0000}"/>
    <cellStyle name="Normal 2 2 3 6 2 3 4" xfId="30378" xr:uid="{00000000-0005-0000-0000-0000351E0000}"/>
    <cellStyle name="Normal 2 2 3 6 2 4" xfId="3282" xr:uid="{00000000-0005-0000-0000-0000361E0000}"/>
    <cellStyle name="Normal 2 2 3 6 2 4 2" xfId="3283" xr:uid="{00000000-0005-0000-0000-0000371E0000}"/>
    <cellStyle name="Normal 2 2 3 6 2 4 2 2" xfId="30379" xr:uid="{00000000-0005-0000-0000-0000381E0000}"/>
    <cellStyle name="Normal 2 2 3 6 2 4 3" xfId="30380" xr:uid="{00000000-0005-0000-0000-0000391E0000}"/>
    <cellStyle name="Normal 2 2 3 6 2 5" xfId="3284" xr:uid="{00000000-0005-0000-0000-00003A1E0000}"/>
    <cellStyle name="Normal 2 2 3 6 2 5 2" xfId="30381" xr:uid="{00000000-0005-0000-0000-00003B1E0000}"/>
    <cellStyle name="Normal 2 2 3 6 2 6" xfId="3285" xr:uid="{00000000-0005-0000-0000-00003C1E0000}"/>
    <cellStyle name="Normal 2 2 3 6 2 6 2" xfId="30382" xr:uid="{00000000-0005-0000-0000-00003D1E0000}"/>
    <cellStyle name="Normal 2 2 3 6 2 7" xfId="30383" xr:uid="{00000000-0005-0000-0000-00003E1E0000}"/>
    <cellStyle name="Normal 2 2 3 6 2 7 2" xfId="30384" xr:uid="{00000000-0005-0000-0000-00003F1E0000}"/>
    <cellStyle name="Normal 2 2 3 6 2 8" xfId="30385" xr:uid="{00000000-0005-0000-0000-0000401E0000}"/>
    <cellStyle name="Normal 2 2 3 6 2 9" xfId="30386" xr:uid="{00000000-0005-0000-0000-0000411E0000}"/>
    <cellStyle name="Normal 2 2 3 6 3" xfId="3286" xr:uid="{00000000-0005-0000-0000-0000421E0000}"/>
    <cellStyle name="Normal 2 2 3 6 3 2" xfId="3287" xr:uid="{00000000-0005-0000-0000-0000431E0000}"/>
    <cellStyle name="Normal 2 2 3 6 3 2 2" xfId="3288" xr:uid="{00000000-0005-0000-0000-0000441E0000}"/>
    <cellStyle name="Normal 2 2 3 6 3 2 2 2" xfId="30387" xr:uid="{00000000-0005-0000-0000-0000451E0000}"/>
    <cellStyle name="Normal 2 2 3 6 3 2 3" xfId="3289" xr:uid="{00000000-0005-0000-0000-0000461E0000}"/>
    <cellStyle name="Normal 2 2 3 6 3 2 3 2" xfId="30388" xr:uid="{00000000-0005-0000-0000-0000471E0000}"/>
    <cellStyle name="Normal 2 2 3 6 3 2 4" xfId="30389" xr:uid="{00000000-0005-0000-0000-0000481E0000}"/>
    <cellStyle name="Normal 2 2 3 6 3 3" xfId="3290" xr:uid="{00000000-0005-0000-0000-0000491E0000}"/>
    <cellStyle name="Normal 2 2 3 6 3 3 2" xfId="30390" xr:uid="{00000000-0005-0000-0000-00004A1E0000}"/>
    <cellStyle name="Normal 2 2 3 6 3 4" xfId="3291" xr:uid="{00000000-0005-0000-0000-00004B1E0000}"/>
    <cellStyle name="Normal 2 2 3 6 3 4 2" xfId="30391" xr:uid="{00000000-0005-0000-0000-00004C1E0000}"/>
    <cellStyle name="Normal 2 2 3 6 3 5" xfId="3292" xr:uid="{00000000-0005-0000-0000-00004D1E0000}"/>
    <cellStyle name="Normal 2 2 3 6 3 5 2" xfId="30392" xr:uid="{00000000-0005-0000-0000-00004E1E0000}"/>
    <cellStyle name="Normal 2 2 3 6 3 6" xfId="30393" xr:uid="{00000000-0005-0000-0000-00004F1E0000}"/>
    <cellStyle name="Normal 2 2 3 6 3 6 2" xfId="30394" xr:uid="{00000000-0005-0000-0000-0000501E0000}"/>
    <cellStyle name="Normal 2 2 3 6 3 7" xfId="30395" xr:uid="{00000000-0005-0000-0000-0000511E0000}"/>
    <cellStyle name="Normal 2 2 3 6 4" xfId="3293" xr:uid="{00000000-0005-0000-0000-0000521E0000}"/>
    <cellStyle name="Normal 2 2 3 6 4 2" xfId="3294" xr:uid="{00000000-0005-0000-0000-0000531E0000}"/>
    <cellStyle name="Normal 2 2 3 6 4 2 2" xfId="30396" xr:uid="{00000000-0005-0000-0000-0000541E0000}"/>
    <cellStyle name="Normal 2 2 3 6 4 3" xfId="3295" xr:uid="{00000000-0005-0000-0000-0000551E0000}"/>
    <cellStyle name="Normal 2 2 3 6 4 3 2" xfId="30397" xr:uid="{00000000-0005-0000-0000-0000561E0000}"/>
    <cellStyle name="Normal 2 2 3 6 4 4" xfId="30398" xr:uid="{00000000-0005-0000-0000-0000571E0000}"/>
    <cellStyle name="Normal 2 2 3 6 5" xfId="3296" xr:uid="{00000000-0005-0000-0000-0000581E0000}"/>
    <cellStyle name="Normal 2 2 3 6 5 2" xfId="3297" xr:uid="{00000000-0005-0000-0000-0000591E0000}"/>
    <cellStyle name="Normal 2 2 3 6 5 2 2" xfId="30399" xr:uid="{00000000-0005-0000-0000-00005A1E0000}"/>
    <cellStyle name="Normal 2 2 3 6 5 3" xfId="30400" xr:uid="{00000000-0005-0000-0000-00005B1E0000}"/>
    <cellStyle name="Normal 2 2 3 6 6" xfId="3298" xr:uid="{00000000-0005-0000-0000-00005C1E0000}"/>
    <cellStyle name="Normal 2 2 3 6 6 2" xfId="30401" xr:uid="{00000000-0005-0000-0000-00005D1E0000}"/>
    <cellStyle name="Normal 2 2 3 6 7" xfId="3299" xr:uid="{00000000-0005-0000-0000-00005E1E0000}"/>
    <cellStyle name="Normal 2 2 3 6 7 2" xfId="30402" xr:uid="{00000000-0005-0000-0000-00005F1E0000}"/>
    <cellStyle name="Normal 2 2 3 6 8" xfId="30403" xr:uid="{00000000-0005-0000-0000-0000601E0000}"/>
    <cellStyle name="Normal 2 2 3 6 8 2" xfId="30404" xr:uid="{00000000-0005-0000-0000-0000611E0000}"/>
    <cellStyle name="Normal 2 2 3 6 9" xfId="30405" xr:uid="{00000000-0005-0000-0000-0000621E0000}"/>
    <cellStyle name="Normal 2 2 3 7" xfId="3300" xr:uid="{00000000-0005-0000-0000-0000631E0000}"/>
    <cellStyle name="Normal 2 2 3 7 10" xfId="30406" xr:uid="{00000000-0005-0000-0000-0000641E0000}"/>
    <cellStyle name="Normal 2 2 3 7 11" xfId="30407" xr:uid="{00000000-0005-0000-0000-0000651E0000}"/>
    <cellStyle name="Normal 2 2 3 7 2" xfId="3301" xr:uid="{00000000-0005-0000-0000-0000661E0000}"/>
    <cellStyle name="Normal 2 2 3 7 2 10" xfId="30408" xr:uid="{00000000-0005-0000-0000-0000671E0000}"/>
    <cellStyle name="Normal 2 2 3 7 2 2" xfId="3302" xr:uid="{00000000-0005-0000-0000-0000681E0000}"/>
    <cellStyle name="Normal 2 2 3 7 2 2 2" xfId="3303" xr:uid="{00000000-0005-0000-0000-0000691E0000}"/>
    <cellStyle name="Normal 2 2 3 7 2 2 2 2" xfId="3304" xr:uid="{00000000-0005-0000-0000-00006A1E0000}"/>
    <cellStyle name="Normal 2 2 3 7 2 2 2 2 2" xfId="30409" xr:uid="{00000000-0005-0000-0000-00006B1E0000}"/>
    <cellStyle name="Normal 2 2 3 7 2 2 2 3" xfId="3305" xr:uid="{00000000-0005-0000-0000-00006C1E0000}"/>
    <cellStyle name="Normal 2 2 3 7 2 2 2 3 2" xfId="30410" xr:uid="{00000000-0005-0000-0000-00006D1E0000}"/>
    <cellStyle name="Normal 2 2 3 7 2 2 2 4" xfId="30411" xr:uid="{00000000-0005-0000-0000-00006E1E0000}"/>
    <cellStyle name="Normal 2 2 3 7 2 2 3" xfId="3306" xr:uid="{00000000-0005-0000-0000-00006F1E0000}"/>
    <cellStyle name="Normal 2 2 3 7 2 2 3 2" xfId="30412" xr:uid="{00000000-0005-0000-0000-0000701E0000}"/>
    <cellStyle name="Normal 2 2 3 7 2 2 4" xfId="3307" xr:uid="{00000000-0005-0000-0000-0000711E0000}"/>
    <cellStyle name="Normal 2 2 3 7 2 2 4 2" xfId="30413" xr:uid="{00000000-0005-0000-0000-0000721E0000}"/>
    <cellStyle name="Normal 2 2 3 7 2 2 5" xfId="3308" xr:uid="{00000000-0005-0000-0000-0000731E0000}"/>
    <cellStyle name="Normal 2 2 3 7 2 2 5 2" xfId="30414" xr:uid="{00000000-0005-0000-0000-0000741E0000}"/>
    <cellStyle name="Normal 2 2 3 7 2 2 6" xfId="30415" xr:uid="{00000000-0005-0000-0000-0000751E0000}"/>
    <cellStyle name="Normal 2 2 3 7 2 2 6 2" xfId="30416" xr:uid="{00000000-0005-0000-0000-0000761E0000}"/>
    <cellStyle name="Normal 2 2 3 7 2 2 7" xfId="30417" xr:uid="{00000000-0005-0000-0000-0000771E0000}"/>
    <cellStyle name="Normal 2 2 3 7 2 3" xfId="3309" xr:uid="{00000000-0005-0000-0000-0000781E0000}"/>
    <cellStyle name="Normal 2 2 3 7 2 3 2" xfId="3310" xr:uid="{00000000-0005-0000-0000-0000791E0000}"/>
    <cellStyle name="Normal 2 2 3 7 2 3 2 2" xfId="30418" xr:uid="{00000000-0005-0000-0000-00007A1E0000}"/>
    <cellStyle name="Normal 2 2 3 7 2 3 3" xfId="3311" xr:uid="{00000000-0005-0000-0000-00007B1E0000}"/>
    <cellStyle name="Normal 2 2 3 7 2 3 3 2" xfId="30419" xr:uid="{00000000-0005-0000-0000-00007C1E0000}"/>
    <cellStyle name="Normal 2 2 3 7 2 3 4" xfId="30420" xr:uid="{00000000-0005-0000-0000-00007D1E0000}"/>
    <cellStyle name="Normal 2 2 3 7 2 4" xfId="3312" xr:uid="{00000000-0005-0000-0000-00007E1E0000}"/>
    <cellStyle name="Normal 2 2 3 7 2 4 2" xfId="3313" xr:uid="{00000000-0005-0000-0000-00007F1E0000}"/>
    <cellStyle name="Normal 2 2 3 7 2 4 2 2" xfId="30421" xr:uid="{00000000-0005-0000-0000-0000801E0000}"/>
    <cellStyle name="Normal 2 2 3 7 2 4 3" xfId="30422" xr:uid="{00000000-0005-0000-0000-0000811E0000}"/>
    <cellStyle name="Normal 2 2 3 7 2 5" xfId="3314" xr:uid="{00000000-0005-0000-0000-0000821E0000}"/>
    <cellStyle name="Normal 2 2 3 7 2 5 2" xfId="30423" xr:uid="{00000000-0005-0000-0000-0000831E0000}"/>
    <cellStyle name="Normal 2 2 3 7 2 6" xfId="3315" xr:uid="{00000000-0005-0000-0000-0000841E0000}"/>
    <cellStyle name="Normal 2 2 3 7 2 6 2" xfId="30424" xr:uid="{00000000-0005-0000-0000-0000851E0000}"/>
    <cellStyle name="Normal 2 2 3 7 2 7" xfId="30425" xr:uid="{00000000-0005-0000-0000-0000861E0000}"/>
    <cellStyle name="Normal 2 2 3 7 2 7 2" xfId="30426" xr:uid="{00000000-0005-0000-0000-0000871E0000}"/>
    <cellStyle name="Normal 2 2 3 7 2 8" xfId="30427" xr:uid="{00000000-0005-0000-0000-0000881E0000}"/>
    <cellStyle name="Normal 2 2 3 7 2 9" xfId="30428" xr:uid="{00000000-0005-0000-0000-0000891E0000}"/>
    <cellStyle name="Normal 2 2 3 7 3" xfId="3316" xr:uid="{00000000-0005-0000-0000-00008A1E0000}"/>
    <cellStyle name="Normal 2 2 3 7 3 2" xfId="3317" xr:uid="{00000000-0005-0000-0000-00008B1E0000}"/>
    <cellStyle name="Normal 2 2 3 7 3 2 2" xfId="3318" xr:uid="{00000000-0005-0000-0000-00008C1E0000}"/>
    <cellStyle name="Normal 2 2 3 7 3 2 2 2" xfId="30429" xr:uid="{00000000-0005-0000-0000-00008D1E0000}"/>
    <cellStyle name="Normal 2 2 3 7 3 2 3" xfId="3319" xr:uid="{00000000-0005-0000-0000-00008E1E0000}"/>
    <cellStyle name="Normal 2 2 3 7 3 2 3 2" xfId="30430" xr:uid="{00000000-0005-0000-0000-00008F1E0000}"/>
    <cellStyle name="Normal 2 2 3 7 3 2 4" xfId="30431" xr:uid="{00000000-0005-0000-0000-0000901E0000}"/>
    <cellStyle name="Normal 2 2 3 7 3 3" xfId="3320" xr:uid="{00000000-0005-0000-0000-0000911E0000}"/>
    <cellStyle name="Normal 2 2 3 7 3 3 2" xfId="30432" xr:uid="{00000000-0005-0000-0000-0000921E0000}"/>
    <cellStyle name="Normal 2 2 3 7 3 4" xfId="3321" xr:uid="{00000000-0005-0000-0000-0000931E0000}"/>
    <cellStyle name="Normal 2 2 3 7 3 4 2" xfId="30433" xr:uid="{00000000-0005-0000-0000-0000941E0000}"/>
    <cellStyle name="Normal 2 2 3 7 3 5" xfId="3322" xr:uid="{00000000-0005-0000-0000-0000951E0000}"/>
    <cellStyle name="Normal 2 2 3 7 3 5 2" xfId="30434" xr:uid="{00000000-0005-0000-0000-0000961E0000}"/>
    <cellStyle name="Normal 2 2 3 7 3 6" xfId="30435" xr:uid="{00000000-0005-0000-0000-0000971E0000}"/>
    <cellStyle name="Normal 2 2 3 7 3 6 2" xfId="30436" xr:uid="{00000000-0005-0000-0000-0000981E0000}"/>
    <cellStyle name="Normal 2 2 3 7 3 7" xfId="30437" xr:uid="{00000000-0005-0000-0000-0000991E0000}"/>
    <cellStyle name="Normal 2 2 3 7 4" xfId="3323" xr:uid="{00000000-0005-0000-0000-00009A1E0000}"/>
    <cellStyle name="Normal 2 2 3 7 4 2" xfId="3324" xr:uid="{00000000-0005-0000-0000-00009B1E0000}"/>
    <cellStyle name="Normal 2 2 3 7 4 2 2" xfId="30438" xr:uid="{00000000-0005-0000-0000-00009C1E0000}"/>
    <cellStyle name="Normal 2 2 3 7 4 3" xfId="3325" xr:uid="{00000000-0005-0000-0000-00009D1E0000}"/>
    <cellStyle name="Normal 2 2 3 7 4 3 2" xfId="30439" xr:uid="{00000000-0005-0000-0000-00009E1E0000}"/>
    <cellStyle name="Normal 2 2 3 7 4 4" xfId="30440" xr:uid="{00000000-0005-0000-0000-00009F1E0000}"/>
    <cellStyle name="Normal 2 2 3 7 5" xfId="3326" xr:uid="{00000000-0005-0000-0000-0000A01E0000}"/>
    <cellStyle name="Normal 2 2 3 7 5 2" xfId="3327" xr:uid="{00000000-0005-0000-0000-0000A11E0000}"/>
    <cellStyle name="Normal 2 2 3 7 5 2 2" xfId="30441" xr:uid="{00000000-0005-0000-0000-0000A21E0000}"/>
    <cellStyle name="Normal 2 2 3 7 5 3" xfId="30442" xr:uid="{00000000-0005-0000-0000-0000A31E0000}"/>
    <cellStyle name="Normal 2 2 3 7 6" xfId="3328" xr:uid="{00000000-0005-0000-0000-0000A41E0000}"/>
    <cellStyle name="Normal 2 2 3 7 6 2" xfId="30443" xr:uid="{00000000-0005-0000-0000-0000A51E0000}"/>
    <cellStyle name="Normal 2 2 3 7 7" xfId="3329" xr:uid="{00000000-0005-0000-0000-0000A61E0000}"/>
    <cellStyle name="Normal 2 2 3 7 7 2" xfId="30444" xr:uid="{00000000-0005-0000-0000-0000A71E0000}"/>
    <cellStyle name="Normal 2 2 3 7 8" xfId="30445" xr:uid="{00000000-0005-0000-0000-0000A81E0000}"/>
    <cellStyle name="Normal 2 2 3 7 8 2" xfId="30446" xr:uid="{00000000-0005-0000-0000-0000A91E0000}"/>
    <cellStyle name="Normal 2 2 3 7 9" xfId="30447" xr:uid="{00000000-0005-0000-0000-0000AA1E0000}"/>
    <cellStyle name="Normal 2 2 3 8" xfId="3330" xr:uid="{00000000-0005-0000-0000-0000AB1E0000}"/>
    <cellStyle name="Normal 2 2 3 8 10" xfId="30448" xr:uid="{00000000-0005-0000-0000-0000AC1E0000}"/>
    <cellStyle name="Normal 2 2 3 8 11" xfId="30449" xr:uid="{00000000-0005-0000-0000-0000AD1E0000}"/>
    <cellStyle name="Normal 2 2 3 8 2" xfId="3331" xr:uid="{00000000-0005-0000-0000-0000AE1E0000}"/>
    <cellStyle name="Normal 2 2 3 8 2 10" xfId="30450" xr:uid="{00000000-0005-0000-0000-0000AF1E0000}"/>
    <cellStyle name="Normal 2 2 3 8 2 2" xfId="3332" xr:uid="{00000000-0005-0000-0000-0000B01E0000}"/>
    <cellStyle name="Normal 2 2 3 8 2 2 2" xfId="3333" xr:uid="{00000000-0005-0000-0000-0000B11E0000}"/>
    <cellStyle name="Normal 2 2 3 8 2 2 2 2" xfId="3334" xr:uid="{00000000-0005-0000-0000-0000B21E0000}"/>
    <cellStyle name="Normal 2 2 3 8 2 2 2 2 2" xfId="30451" xr:uid="{00000000-0005-0000-0000-0000B31E0000}"/>
    <cellStyle name="Normal 2 2 3 8 2 2 2 3" xfId="3335" xr:uid="{00000000-0005-0000-0000-0000B41E0000}"/>
    <cellStyle name="Normal 2 2 3 8 2 2 2 3 2" xfId="30452" xr:uid="{00000000-0005-0000-0000-0000B51E0000}"/>
    <cellStyle name="Normal 2 2 3 8 2 2 2 4" xfId="30453" xr:uid="{00000000-0005-0000-0000-0000B61E0000}"/>
    <cellStyle name="Normal 2 2 3 8 2 2 3" xfId="3336" xr:uid="{00000000-0005-0000-0000-0000B71E0000}"/>
    <cellStyle name="Normal 2 2 3 8 2 2 3 2" xfId="30454" xr:uid="{00000000-0005-0000-0000-0000B81E0000}"/>
    <cellStyle name="Normal 2 2 3 8 2 2 4" xfId="3337" xr:uid="{00000000-0005-0000-0000-0000B91E0000}"/>
    <cellStyle name="Normal 2 2 3 8 2 2 4 2" xfId="30455" xr:uid="{00000000-0005-0000-0000-0000BA1E0000}"/>
    <cellStyle name="Normal 2 2 3 8 2 2 5" xfId="3338" xr:uid="{00000000-0005-0000-0000-0000BB1E0000}"/>
    <cellStyle name="Normal 2 2 3 8 2 2 5 2" xfId="30456" xr:uid="{00000000-0005-0000-0000-0000BC1E0000}"/>
    <cellStyle name="Normal 2 2 3 8 2 2 6" xfId="30457" xr:uid="{00000000-0005-0000-0000-0000BD1E0000}"/>
    <cellStyle name="Normal 2 2 3 8 2 2 6 2" xfId="30458" xr:uid="{00000000-0005-0000-0000-0000BE1E0000}"/>
    <cellStyle name="Normal 2 2 3 8 2 2 7" xfId="30459" xr:uid="{00000000-0005-0000-0000-0000BF1E0000}"/>
    <cellStyle name="Normal 2 2 3 8 2 3" xfId="3339" xr:uid="{00000000-0005-0000-0000-0000C01E0000}"/>
    <cellStyle name="Normal 2 2 3 8 2 3 2" xfId="3340" xr:uid="{00000000-0005-0000-0000-0000C11E0000}"/>
    <cellStyle name="Normal 2 2 3 8 2 3 2 2" xfId="30460" xr:uid="{00000000-0005-0000-0000-0000C21E0000}"/>
    <cellStyle name="Normal 2 2 3 8 2 3 3" xfId="3341" xr:uid="{00000000-0005-0000-0000-0000C31E0000}"/>
    <cellStyle name="Normal 2 2 3 8 2 3 3 2" xfId="30461" xr:uid="{00000000-0005-0000-0000-0000C41E0000}"/>
    <cellStyle name="Normal 2 2 3 8 2 3 4" xfId="30462" xr:uid="{00000000-0005-0000-0000-0000C51E0000}"/>
    <cellStyle name="Normal 2 2 3 8 2 4" xfId="3342" xr:uid="{00000000-0005-0000-0000-0000C61E0000}"/>
    <cellStyle name="Normal 2 2 3 8 2 4 2" xfId="3343" xr:uid="{00000000-0005-0000-0000-0000C71E0000}"/>
    <cellStyle name="Normal 2 2 3 8 2 4 2 2" xfId="30463" xr:uid="{00000000-0005-0000-0000-0000C81E0000}"/>
    <cellStyle name="Normal 2 2 3 8 2 4 3" xfId="30464" xr:uid="{00000000-0005-0000-0000-0000C91E0000}"/>
    <cellStyle name="Normal 2 2 3 8 2 5" xfId="3344" xr:uid="{00000000-0005-0000-0000-0000CA1E0000}"/>
    <cellStyle name="Normal 2 2 3 8 2 5 2" xfId="30465" xr:uid="{00000000-0005-0000-0000-0000CB1E0000}"/>
    <cellStyle name="Normal 2 2 3 8 2 6" xfId="3345" xr:uid="{00000000-0005-0000-0000-0000CC1E0000}"/>
    <cellStyle name="Normal 2 2 3 8 2 6 2" xfId="30466" xr:uid="{00000000-0005-0000-0000-0000CD1E0000}"/>
    <cellStyle name="Normal 2 2 3 8 2 7" xfId="30467" xr:uid="{00000000-0005-0000-0000-0000CE1E0000}"/>
    <cellStyle name="Normal 2 2 3 8 2 7 2" xfId="30468" xr:uid="{00000000-0005-0000-0000-0000CF1E0000}"/>
    <cellStyle name="Normal 2 2 3 8 2 8" xfId="30469" xr:uid="{00000000-0005-0000-0000-0000D01E0000}"/>
    <cellStyle name="Normal 2 2 3 8 2 9" xfId="30470" xr:uid="{00000000-0005-0000-0000-0000D11E0000}"/>
    <cellStyle name="Normal 2 2 3 8 3" xfId="3346" xr:uid="{00000000-0005-0000-0000-0000D21E0000}"/>
    <cellStyle name="Normal 2 2 3 8 3 2" xfId="3347" xr:uid="{00000000-0005-0000-0000-0000D31E0000}"/>
    <cellStyle name="Normal 2 2 3 8 3 2 2" xfId="3348" xr:uid="{00000000-0005-0000-0000-0000D41E0000}"/>
    <cellStyle name="Normal 2 2 3 8 3 2 2 2" xfId="30471" xr:uid="{00000000-0005-0000-0000-0000D51E0000}"/>
    <cellStyle name="Normal 2 2 3 8 3 2 3" xfId="3349" xr:uid="{00000000-0005-0000-0000-0000D61E0000}"/>
    <cellStyle name="Normal 2 2 3 8 3 2 3 2" xfId="30472" xr:uid="{00000000-0005-0000-0000-0000D71E0000}"/>
    <cellStyle name="Normal 2 2 3 8 3 2 4" xfId="30473" xr:uid="{00000000-0005-0000-0000-0000D81E0000}"/>
    <cellStyle name="Normal 2 2 3 8 3 3" xfId="3350" xr:uid="{00000000-0005-0000-0000-0000D91E0000}"/>
    <cellStyle name="Normal 2 2 3 8 3 3 2" xfId="30474" xr:uid="{00000000-0005-0000-0000-0000DA1E0000}"/>
    <cellStyle name="Normal 2 2 3 8 3 4" xfId="3351" xr:uid="{00000000-0005-0000-0000-0000DB1E0000}"/>
    <cellStyle name="Normal 2 2 3 8 3 4 2" xfId="30475" xr:uid="{00000000-0005-0000-0000-0000DC1E0000}"/>
    <cellStyle name="Normal 2 2 3 8 3 5" xfId="3352" xr:uid="{00000000-0005-0000-0000-0000DD1E0000}"/>
    <cellStyle name="Normal 2 2 3 8 3 5 2" xfId="30476" xr:uid="{00000000-0005-0000-0000-0000DE1E0000}"/>
    <cellStyle name="Normal 2 2 3 8 3 6" xfId="30477" xr:uid="{00000000-0005-0000-0000-0000DF1E0000}"/>
    <cellStyle name="Normal 2 2 3 8 3 6 2" xfId="30478" xr:uid="{00000000-0005-0000-0000-0000E01E0000}"/>
    <cellStyle name="Normal 2 2 3 8 3 7" xfId="30479" xr:uid="{00000000-0005-0000-0000-0000E11E0000}"/>
    <cellStyle name="Normal 2 2 3 8 4" xfId="3353" xr:uid="{00000000-0005-0000-0000-0000E21E0000}"/>
    <cellStyle name="Normal 2 2 3 8 4 2" xfId="3354" xr:uid="{00000000-0005-0000-0000-0000E31E0000}"/>
    <cellStyle name="Normal 2 2 3 8 4 2 2" xfId="30480" xr:uid="{00000000-0005-0000-0000-0000E41E0000}"/>
    <cellStyle name="Normal 2 2 3 8 4 3" xfId="3355" xr:uid="{00000000-0005-0000-0000-0000E51E0000}"/>
    <cellStyle name="Normal 2 2 3 8 4 3 2" xfId="30481" xr:uid="{00000000-0005-0000-0000-0000E61E0000}"/>
    <cellStyle name="Normal 2 2 3 8 4 4" xfId="30482" xr:uid="{00000000-0005-0000-0000-0000E71E0000}"/>
    <cellStyle name="Normal 2 2 3 8 5" xfId="3356" xr:uid="{00000000-0005-0000-0000-0000E81E0000}"/>
    <cellStyle name="Normal 2 2 3 8 5 2" xfId="3357" xr:uid="{00000000-0005-0000-0000-0000E91E0000}"/>
    <cellStyle name="Normal 2 2 3 8 5 2 2" xfId="30483" xr:uid="{00000000-0005-0000-0000-0000EA1E0000}"/>
    <cellStyle name="Normal 2 2 3 8 5 3" xfId="30484" xr:uid="{00000000-0005-0000-0000-0000EB1E0000}"/>
    <cellStyle name="Normal 2 2 3 8 6" xfId="3358" xr:uid="{00000000-0005-0000-0000-0000EC1E0000}"/>
    <cellStyle name="Normal 2 2 3 8 6 2" xfId="30485" xr:uid="{00000000-0005-0000-0000-0000ED1E0000}"/>
    <cellStyle name="Normal 2 2 3 8 7" xfId="3359" xr:uid="{00000000-0005-0000-0000-0000EE1E0000}"/>
    <cellStyle name="Normal 2 2 3 8 7 2" xfId="30486" xr:uid="{00000000-0005-0000-0000-0000EF1E0000}"/>
    <cellStyle name="Normal 2 2 3 8 8" xfId="30487" xr:uid="{00000000-0005-0000-0000-0000F01E0000}"/>
    <cellStyle name="Normal 2 2 3 8 8 2" xfId="30488" xr:uid="{00000000-0005-0000-0000-0000F11E0000}"/>
    <cellStyle name="Normal 2 2 3 8 9" xfId="30489" xr:uid="{00000000-0005-0000-0000-0000F21E0000}"/>
    <cellStyle name="Normal 2 2 3 9" xfId="3360" xr:uid="{00000000-0005-0000-0000-0000F31E0000}"/>
    <cellStyle name="Normal 2 2 3 9 10" xfId="30490" xr:uid="{00000000-0005-0000-0000-0000F41E0000}"/>
    <cellStyle name="Normal 2 2 3 9 11" xfId="30491" xr:uid="{00000000-0005-0000-0000-0000F51E0000}"/>
    <cellStyle name="Normal 2 2 3 9 2" xfId="3361" xr:uid="{00000000-0005-0000-0000-0000F61E0000}"/>
    <cellStyle name="Normal 2 2 3 9 2 10" xfId="30492" xr:uid="{00000000-0005-0000-0000-0000F71E0000}"/>
    <cellStyle name="Normal 2 2 3 9 2 2" xfId="3362" xr:uid="{00000000-0005-0000-0000-0000F81E0000}"/>
    <cellStyle name="Normal 2 2 3 9 2 2 2" xfId="3363" xr:uid="{00000000-0005-0000-0000-0000F91E0000}"/>
    <cellStyle name="Normal 2 2 3 9 2 2 2 2" xfId="3364" xr:uid="{00000000-0005-0000-0000-0000FA1E0000}"/>
    <cellStyle name="Normal 2 2 3 9 2 2 2 2 2" xfId="30493" xr:uid="{00000000-0005-0000-0000-0000FB1E0000}"/>
    <cellStyle name="Normal 2 2 3 9 2 2 2 3" xfId="3365" xr:uid="{00000000-0005-0000-0000-0000FC1E0000}"/>
    <cellStyle name="Normal 2 2 3 9 2 2 2 3 2" xfId="30494" xr:uid="{00000000-0005-0000-0000-0000FD1E0000}"/>
    <cellStyle name="Normal 2 2 3 9 2 2 2 4" xfId="30495" xr:uid="{00000000-0005-0000-0000-0000FE1E0000}"/>
    <cellStyle name="Normal 2 2 3 9 2 2 3" xfId="3366" xr:uid="{00000000-0005-0000-0000-0000FF1E0000}"/>
    <cellStyle name="Normal 2 2 3 9 2 2 3 2" xfId="30496" xr:uid="{00000000-0005-0000-0000-0000001F0000}"/>
    <cellStyle name="Normal 2 2 3 9 2 2 4" xfId="3367" xr:uid="{00000000-0005-0000-0000-0000011F0000}"/>
    <cellStyle name="Normal 2 2 3 9 2 2 4 2" xfId="30497" xr:uid="{00000000-0005-0000-0000-0000021F0000}"/>
    <cellStyle name="Normal 2 2 3 9 2 2 5" xfId="3368" xr:uid="{00000000-0005-0000-0000-0000031F0000}"/>
    <cellStyle name="Normal 2 2 3 9 2 2 5 2" xfId="30498" xr:uid="{00000000-0005-0000-0000-0000041F0000}"/>
    <cellStyle name="Normal 2 2 3 9 2 2 6" xfId="30499" xr:uid="{00000000-0005-0000-0000-0000051F0000}"/>
    <cellStyle name="Normal 2 2 3 9 2 2 6 2" xfId="30500" xr:uid="{00000000-0005-0000-0000-0000061F0000}"/>
    <cellStyle name="Normal 2 2 3 9 2 2 7" xfId="30501" xr:uid="{00000000-0005-0000-0000-0000071F0000}"/>
    <cellStyle name="Normal 2 2 3 9 2 3" xfId="3369" xr:uid="{00000000-0005-0000-0000-0000081F0000}"/>
    <cellStyle name="Normal 2 2 3 9 2 3 2" xfId="3370" xr:uid="{00000000-0005-0000-0000-0000091F0000}"/>
    <cellStyle name="Normal 2 2 3 9 2 3 2 2" xfId="30502" xr:uid="{00000000-0005-0000-0000-00000A1F0000}"/>
    <cellStyle name="Normal 2 2 3 9 2 3 3" xfId="3371" xr:uid="{00000000-0005-0000-0000-00000B1F0000}"/>
    <cellStyle name="Normal 2 2 3 9 2 3 3 2" xfId="30503" xr:uid="{00000000-0005-0000-0000-00000C1F0000}"/>
    <cellStyle name="Normal 2 2 3 9 2 3 4" xfId="30504" xr:uid="{00000000-0005-0000-0000-00000D1F0000}"/>
    <cellStyle name="Normal 2 2 3 9 2 4" xfId="3372" xr:uid="{00000000-0005-0000-0000-00000E1F0000}"/>
    <cellStyle name="Normal 2 2 3 9 2 4 2" xfId="3373" xr:uid="{00000000-0005-0000-0000-00000F1F0000}"/>
    <cellStyle name="Normal 2 2 3 9 2 4 2 2" xfId="30505" xr:uid="{00000000-0005-0000-0000-0000101F0000}"/>
    <cellStyle name="Normal 2 2 3 9 2 4 3" xfId="30506" xr:uid="{00000000-0005-0000-0000-0000111F0000}"/>
    <cellStyle name="Normal 2 2 3 9 2 5" xfId="3374" xr:uid="{00000000-0005-0000-0000-0000121F0000}"/>
    <cellStyle name="Normal 2 2 3 9 2 5 2" xfId="30507" xr:uid="{00000000-0005-0000-0000-0000131F0000}"/>
    <cellStyle name="Normal 2 2 3 9 2 6" xfId="3375" xr:uid="{00000000-0005-0000-0000-0000141F0000}"/>
    <cellStyle name="Normal 2 2 3 9 2 6 2" xfId="30508" xr:uid="{00000000-0005-0000-0000-0000151F0000}"/>
    <cellStyle name="Normal 2 2 3 9 2 7" xfId="30509" xr:uid="{00000000-0005-0000-0000-0000161F0000}"/>
    <cellStyle name="Normal 2 2 3 9 2 7 2" xfId="30510" xr:uid="{00000000-0005-0000-0000-0000171F0000}"/>
    <cellStyle name="Normal 2 2 3 9 2 8" xfId="30511" xr:uid="{00000000-0005-0000-0000-0000181F0000}"/>
    <cellStyle name="Normal 2 2 3 9 2 9" xfId="30512" xr:uid="{00000000-0005-0000-0000-0000191F0000}"/>
    <cellStyle name="Normal 2 2 3 9 3" xfId="3376" xr:uid="{00000000-0005-0000-0000-00001A1F0000}"/>
    <cellStyle name="Normal 2 2 3 9 3 2" xfId="3377" xr:uid="{00000000-0005-0000-0000-00001B1F0000}"/>
    <cellStyle name="Normal 2 2 3 9 3 2 2" xfId="3378" xr:uid="{00000000-0005-0000-0000-00001C1F0000}"/>
    <cellStyle name="Normal 2 2 3 9 3 2 2 2" xfId="30513" xr:uid="{00000000-0005-0000-0000-00001D1F0000}"/>
    <cellStyle name="Normal 2 2 3 9 3 2 3" xfId="3379" xr:uid="{00000000-0005-0000-0000-00001E1F0000}"/>
    <cellStyle name="Normal 2 2 3 9 3 2 3 2" xfId="30514" xr:uid="{00000000-0005-0000-0000-00001F1F0000}"/>
    <cellStyle name="Normal 2 2 3 9 3 2 4" xfId="30515" xr:uid="{00000000-0005-0000-0000-0000201F0000}"/>
    <cellStyle name="Normal 2 2 3 9 3 3" xfId="3380" xr:uid="{00000000-0005-0000-0000-0000211F0000}"/>
    <cellStyle name="Normal 2 2 3 9 3 3 2" xfId="30516" xr:uid="{00000000-0005-0000-0000-0000221F0000}"/>
    <cellStyle name="Normal 2 2 3 9 3 4" xfId="3381" xr:uid="{00000000-0005-0000-0000-0000231F0000}"/>
    <cellStyle name="Normal 2 2 3 9 3 4 2" xfId="30517" xr:uid="{00000000-0005-0000-0000-0000241F0000}"/>
    <cellStyle name="Normal 2 2 3 9 3 5" xfId="3382" xr:uid="{00000000-0005-0000-0000-0000251F0000}"/>
    <cellStyle name="Normal 2 2 3 9 3 5 2" xfId="30518" xr:uid="{00000000-0005-0000-0000-0000261F0000}"/>
    <cellStyle name="Normal 2 2 3 9 3 6" xfId="30519" xr:uid="{00000000-0005-0000-0000-0000271F0000}"/>
    <cellStyle name="Normal 2 2 3 9 3 6 2" xfId="30520" xr:uid="{00000000-0005-0000-0000-0000281F0000}"/>
    <cellStyle name="Normal 2 2 3 9 3 7" xfId="30521" xr:uid="{00000000-0005-0000-0000-0000291F0000}"/>
    <cellStyle name="Normal 2 2 3 9 4" xfId="3383" xr:uid="{00000000-0005-0000-0000-00002A1F0000}"/>
    <cellStyle name="Normal 2 2 3 9 4 2" xfId="3384" xr:uid="{00000000-0005-0000-0000-00002B1F0000}"/>
    <cellStyle name="Normal 2 2 3 9 4 2 2" xfId="30522" xr:uid="{00000000-0005-0000-0000-00002C1F0000}"/>
    <cellStyle name="Normal 2 2 3 9 4 3" xfId="3385" xr:uid="{00000000-0005-0000-0000-00002D1F0000}"/>
    <cellStyle name="Normal 2 2 3 9 4 3 2" xfId="30523" xr:uid="{00000000-0005-0000-0000-00002E1F0000}"/>
    <cellStyle name="Normal 2 2 3 9 4 4" xfId="30524" xr:uid="{00000000-0005-0000-0000-00002F1F0000}"/>
    <cellStyle name="Normal 2 2 3 9 5" xfId="3386" xr:uid="{00000000-0005-0000-0000-0000301F0000}"/>
    <cellStyle name="Normal 2 2 3 9 5 2" xfId="3387" xr:uid="{00000000-0005-0000-0000-0000311F0000}"/>
    <cellStyle name="Normal 2 2 3 9 5 2 2" xfId="30525" xr:uid="{00000000-0005-0000-0000-0000321F0000}"/>
    <cellStyle name="Normal 2 2 3 9 5 3" xfId="30526" xr:uid="{00000000-0005-0000-0000-0000331F0000}"/>
    <cellStyle name="Normal 2 2 3 9 6" xfId="3388" xr:uid="{00000000-0005-0000-0000-0000341F0000}"/>
    <cellStyle name="Normal 2 2 3 9 6 2" xfId="30527" xr:uid="{00000000-0005-0000-0000-0000351F0000}"/>
    <cellStyle name="Normal 2 2 3 9 7" xfId="3389" xr:uid="{00000000-0005-0000-0000-0000361F0000}"/>
    <cellStyle name="Normal 2 2 3 9 7 2" xfId="30528" xr:uid="{00000000-0005-0000-0000-0000371F0000}"/>
    <cellStyle name="Normal 2 2 3 9 8" xfId="30529" xr:uid="{00000000-0005-0000-0000-0000381F0000}"/>
    <cellStyle name="Normal 2 2 3 9 8 2" xfId="30530" xr:uid="{00000000-0005-0000-0000-0000391F0000}"/>
    <cellStyle name="Normal 2 2 3 9 9" xfId="30531" xr:uid="{00000000-0005-0000-0000-00003A1F0000}"/>
    <cellStyle name="Normal 2 2 30" xfId="3390" xr:uid="{00000000-0005-0000-0000-00003B1F0000}"/>
    <cellStyle name="Normal 2 2 30 10" xfId="30532" xr:uid="{00000000-0005-0000-0000-00003C1F0000}"/>
    <cellStyle name="Normal 2 2 30 11" xfId="30533" xr:uid="{00000000-0005-0000-0000-00003D1F0000}"/>
    <cellStyle name="Normal 2 2 30 2" xfId="3391" xr:uid="{00000000-0005-0000-0000-00003E1F0000}"/>
    <cellStyle name="Normal 2 2 30 2 10" xfId="30534" xr:uid="{00000000-0005-0000-0000-00003F1F0000}"/>
    <cellStyle name="Normal 2 2 30 2 2" xfId="3392" xr:uid="{00000000-0005-0000-0000-0000401F0000}"/>
    <cellStyle name="Normal 2 2 30 2 2 2" xfId="3393" xr:uid="{00000000-0005-0000-0000-0000411F0000}"/>
    <cellStyle name="Normal 2 2 30 2 2 2 2" xfId="3394" xr:uid="{00000000-0005-0000-0000-0000421F0000}"/>
    <cellStyle name="Normal 2 2 30 2 2 2 2 2" xfId="30535" xr:uid="{00000000-0005-0000-0000-0000431F0000}"/>
    <cellStyle name="Normal 2 2 30 2 2 2 3" xfId="3395" xr:uid="{00000000-0005-0000-0000-0000441F0000}"/>
    <cellStyle name="Normal 2 2 30 2 2 2 3 2" xfId="30536" xr:uid="{00000000-0005-0000-0000-0000451F0000}"/>
    <cellStyle name="Normal 2 2 30 2 2 2 4" xfId="30537" xr:uid="{00000000-0005-0000-0000-0000461F0000}"/>
    <cellStyle name="Normal 2 2 30 2 2 3" xfId="3396" xr:uid="{00000000-0005-0000-0000-0000471F0000}"/>
    <cellStyle name="Normal 2 2 30 2 2 3 2" xfId="30538" xr:uid="{00000000-0005-0000-0000-0000481F0000}"/>
    <cellStyle name="Normal 2 2 30 2 2 4" xfId="3397" xr:uid="{00000000-0005-0000-0000-0000491F0000}"/>
    <cellStyle name="Normal 2 2 30 2 2 4 2" xfId="30539" xr:uid="{00000000-0005-0000-0000-00004A1F0000}"/>
    <cellStyle name="Normal 2 2 30 2 2 5" xfId="3398" xr:uid="{00000000-0005-0000-0000-00004B1F0000}"/>
    <cellStyle name="Normal 2 2 30 2 2 5 2" xfId="30540" xr:uid="{00000000-0005-0000-0000-00004C1F0000}"/>
    <cellStyle name="Normal 2 2 30 2 2 6" xfId="30541" xr:uid="{00000000-0005-0000-0000-00004D1F0000}"/>
    <cellStyle name="Normal 2 2 30 2 2 6 2" xfId="30542" xr:uid="{00000000-0005-0000-0000-00004E1F0000}"/>
    <cellStyle name="Normal 2 2 30 2 2 7" xfId="30543" xr:uid="{00000000-0005-0000-0000-00004F1F0000}"/>
    <cellStyle name="Normal 2 2 30 2 3" xfId="3399" xr:uid="{00000000-0005-0000-0000-0000501F0000}"/>
    <cellStyle name="Normal 2 2 30 2 3 2" xfId="3400" xr:uid="{00000000-0005-0000-0000-0000511F0000}"/>
    <cellStyle name="Normal 2 2 30 2 3 2 2" xfId="30544" xr:uid="{00000000-0005-0000-0000-0000521F0000}"/>
    <cellStyle name="Normal 2 2 30 2 3 3" xfId="3401" xr:uid="{00000000-0005-0000-0000-0000531F0000}"/>
    <cellStyle name="Normal 2 2 30 2 3 3 2" xfId="30545" xr:uid="{00000000-0005-0000-0000-0000541F0000}"/>
    <cellStyle name="Normal 2 2 30 2 3 4" xfId="30546" xr:uid="{00000000-0005-0000-0000-0000551F0000}"/>
    <cellStyle name="Normal 2 2 30 2 4" xfId="3402" xr:uid="{00000000-0005-0000-0000-0000561F0000}"/>
    <cellStyle name="Normal 2 2 30 2 4 2" xfId="3403" xr:uid="{00000000-0005-0000-0000-0000571F0000}"/>
    <cellStyle name="Normal 2 2 30 2 4 2 2" xfId="30547" xr:uid="{00000000-0005-0000-0000-0000581F0000}"/>
    <cellStyle name="Normal 2 2 30 2 4 3" xfId="30548" xr:uid="{00000000-0005-0000-0000-0000591F0000}"/>
    <cellStyle name="Normal 2 2 30 2 5" xfId="3404" xr:uid="{00000000-0005-0000-0000-00005A1F0000}"/>
    <cellStyle name="Normal 2 2 30 2 5 2" xfId="30549" xr:uid="{00000000-0005-0000-0000-00005B1F0000}"/>
    <cellStyle name="Normal 2 2 30 2 6" xfId="3405" xr:uid="{00000000-0005-0000-0000-00005C1F0000}"/>
    <cellStyle name="Normal 2 2 30 2 6 2" xfId="30550" xr:uid="{00000000-0005-0000-0000-00005D1F0000}"/>
    <cellStyle name="Normal 2 2 30 2 7" xfId="30551" xr:uid="{00000000-0005-0000-0000-00005E1F0000}"/>
    <cellStyle name="Normal 2 2 30 2 7 2" xfId="30552" xr:uid="{00000000-0005-0000-0000-00005F1F0000}"/>
    <cellStyle name="Normal 2 2 30 2 8" xfId="30553" xr:uid="{00000000-0005-0000-0000-0000601F0000}"/>
    <cellStyle name="Normal 2 2 30 2 9" xfId="30554" xr:uid="{00000000-0005-0000-0000-0000611F0000}"/>
    <cellStyle name="Normal 2 2 30 3" xfId="3406" xr:uid="{00000000-0005-0000-0000-0000621F0000}"/>
    <cellStyle name="Normal 2 2 30 3 2" xfId="3407" xr:uid="{00000000-0005-0000-0000-0000631F0000}"/>
    <cellStyle name="Normal 2 2 30 3 2 2" xfId="3408" xr:uid="{00000000-0005-0000-0000-0000641F0000}"/>
    <cellStyle name="Normal 2 2 30 3 2 2 2" xfId="30555" xr:uid="{00000000-0005-0000-0000-0000651F0000}"/>
    <cellStyle name="Normal 2 2 30 3 2 3" xfId="3409" xr:uid="{00000000-0005-0000-0000-0000661F0000}"/>
    <cellStyle name="Normal 2 2 30 3 2 3 2" xfId="30556" xr:uid="{00000000-0005-0000-0000-0000671F0000}"/>
    <cellStyle name="Normal 2 2 30 3 2 4" xfId="30557" xr:uid="{00000000-0005-0000-0000-0000681F0000}"/>
    <cellStyle name="Normal 2 2 30 3 3" xfId="3410" xr:uid="{00000000-0005-0000-0000-0000691F0000}"/>
    <cellStyle name="Normal 2 2 30 3 3 2" xfId="30558" xr:uid="{00000000-0005-0000-0000-00006A1F0000}"/>
    <cellStyle name="Normal 2 2 30 3 4" xfId="3411" xr:uid="{00000000-0005-0000-0000-00006B1F0000}"/>
    <cellStyle name="Normal 2 2 30 3 4 2" xfId="30559" xr:uid="{00000000-0005-0000-0000-00006C1F0000}"/>
    <cellStyle name="Normal 2 2 30 3 5" xfId="3412" xr:uid="{00000000-0005-0000-0000-00006D1F0000}"/>
    <cellStyle name="Normal 2 2 30 3 5 2" xfId="30560" xr:uid="{00000000-0005-0000-0000-00006E1F0000}"/>
    <cellStyle name="Normal 2 2 30 3 6" xfId="30561" xr:uid="{00000000-0005-0000-0000-00006F1F0000}"/>
    <cellStyle name="Normal 2 2 30 3 6 2" xfId="30562" xr:uid="{00000000-0005-0000-0000-0000701F0000}"/>
    <cellStyle name="Normal 2 2 30 3 7" xfId="30563" xr:uid="{00000000-0005-0000-0000-0000711F0000}"/>
    <cellStyle name="Normal 2 2 30 4" xfId="3413" xr:uid="{00000000-0005-0000-0000-0000721F0000}"/>
    <cellStyle name="Normal 2 2 30 4 2" xfId="3414" xr:uid="{00000000-0005-0000-0000-0000731F0000}"/>
    <cellStyle name="Normal 2 2 30 4 2 2" xfId="30564" xr:uid="{00000000-0005-0000-0000-0000741F0000}"/>
    <cellStyle name="Normal 2 2 30 4 3" xfId="3415" xr:uid="{00000000-0005-0000-0000-0000751F0000}"/>
    <cellStyle name="Normal 2 2 30 4 3 2" xfId="30565" xr:uid="{00000000-0005-0000-0000-0000761F0000}"/>
    <cellStyle name="Normal 2 2 30 4 4" xfId="30566" xr:uid="{00000000-0005-0000-0000-0000771F0000}"/>
    <cellStyle name="Normal 2 2 30 5" xfId="3416" xr:uid="{00000000-0005-0000-0000-0000781F0000}"/>
    <cellStyle name="Normal 2 2 30 5 2" xfId="3417" xr:uid="{00000000-0005-0000-0000-0000791F0000}"/>
    <cellStyle name="Normal 2 2 30 5 2 2" xfId="30567" xr:uid="{00000000-0005-0000-0000-00007A1F0000}"/>
    <cellStyle name="Normal 2 2 30 5 3" xfId="30568" xr:uid="{00000000-0005-0000-0000-00007B1F0000}"/>
    <cellStyle name="Normal 2 2 30 6" xfId="3418" xr:uid="{00000000-0005-0000-0000-00007C1F0000}"/>
    <cellStyle name="Normal 2 2 30 6 2" xfId="30569" xr:uid="{00000000-0005-0000-0000-00007D1F0000}"/>
    <cellStyle name="Normal 2 2 30 7" xfId="3419" xr:uid="{00000000-0005-0000-0000-00007E1F0000}"/>
    <cellStyle name="Normal 2 2 30 7 2" xfId="30570" xr:uid="{00000000-0005-0000-0000-00007F1F0000}"/>
    <cellStyle name="Normal 2 2 30 8" xfId="30571" xr:uid="{00000000-0005-0000-0000-0000801F0000}"/>
    <cellStyle name="Normal 2 2 30 8 2" xfId="30572" xr:uid="{00000000-0005-0000-0000-0000811F0000}"/>
    <cellStyle name="Normal 2 2 30 9" xfId="30573" xr:uid="{00000000-0005-0000-0000-0000821F0000}"/>
    <cellStyle name="Normal 2 2 31" xfId="3420" xr:uid="{00000000-0005-0000-0000-0000831F0000}"/>
    <cellStyle name="Normal 2 2 31 10" xfId="30574" xr:uid="{00000000-0005-0000-0000-0000841F0000}"/>
    <cellStyle name="Normal 2 2 31 11" xfId="30575" xr:uid="{00000000-0005-0000-0000-0000851F0000}"/>
    <cellStyle name="Normal 2 2 31 2" xfId="3421" xr:uid="{00000000-0005-0000-0000-0000861F0000}"/>
    <cellStyle name="Normal 2 2 31 2 10" xfId="30576" xr:uid="{00000000-0005-0000-0000-0000871F0000}"/>
    <cellStyle name="Normal 2 2 31 2 2" xfId="3422" xr:uid="{00000000-0005-0000-0000-0000881F0000}"/>
    <cellStyle name="Normal 2 2 31 2 2 2" xfId="3423" xr:uid="{00000000-0005-0000-0000-0000891F0000}"/>
    <cellStyle name="Normal 2 2 31 2 2 2 2" xfId="3424" xr:uid="{00000000-0005-0000-0000-00008A1F0000}"/>
    <cellStyle name="Normal 2 2 31 2 2 2 2 2" xfId="30577" xr:uid="{00000000-0005-0000-0000-00008B1F0000}"/>
    <cellStyle name="Normal 2 2 31 2 2 2 3" xfId="3425" xr:uid="{00000000-0005-0000-0000-00008C1F0000}"/>
    <cellStyle name="Normal 2 2 31 2 2 2 3 2" xfId="30578" xr:uid="{00000000-0005-0000-0000-00008D1F0000}"/>
    <cellStyle name="Normal 2 2 31 2 2 2 4" xfId="30579" xr:uid="{00000000-0005-0000-0000-00008E1F0000}"/>
    <cellStyle name="Normal 2 2 31 2 2 3" xfId="3426" xr:uid="{00000000-0005-0000-0000-00008F1F0000}"/>
    <cellStyle name="Normal 2 2 31 2 2 3 2" xfId="30580" xr:uid="{00000000-0005-0000-0000-0000901F0000}"/>
    <cellStyle name="Normal 2 2 31 2 2 4" xfId="3427" xr:uid="{00000000-0005-0000-0000-0000911F0000}"/>
    <cellStyle name="Normal 2 2 31 2 2 4 2" xfId="30581" xr:uid="{00000000-0005-0000-0000-0000921F0000}"/>
    <cellStyle name="Normal 2 2 31 2 2 5" xfId="3428" xr:uid="{00000000-0005-0000-0000-0000931F0000}"/>
    <cellStyle name="Normal 2 2 31 2 2 5 2" xfId="30582" xr:uid="{00000000-0005-0000-0000-0000941F0000}"/>
    <cellStyle name="Normal 2 2 31 2 2 6" xfId="30583" xr:uid="{00000000-0005-0000-0000-0000951F0000}"/>
    <cellStyle name="Normal 2 2 31 2 2 6 2" xfId="30584" xr:uid="{00000000-0005-0000-0000-0000961F0000}"/>
    <cellStyle name="Normal 2 2 31 2 2 7" xfId="30585" xr:uid="{00000000-0005-0000-0000-0000971F0000}"/>
    <cellStyle name="Normal 2 2 31 2 3" xfId="3429" xr:uid="{00000000-0005-0000-0000-0000981F0000}"/>
    <cellStyle name="Normal 2 2 31 2 3 2" xfId="3430" xr:uid="{00000000-0005-0000-0000-0000991F0000}"/>
    <cellStyle name="Normal 2 2 31 2 3 2 2" xfId="30586" xr:uid="{00000000-0005-0000-0000-00009A1F0000}"/>
    <cellStyle name="Normal 2 2 31 2 3 3" xfId="3431" xr:uid="{00000000-0005-0000-0000-00009B1F0000}"/>
    <cellStyle name="Normal 2 2 31 2 3 3 2" xfId="30587" xr:uid="{00000000-0005-0000-0000-00009C1F0000}"/>
    <cellStyle name="Normal 2 2 31 2 3 4" xfId="30588" xr:uid="{00000000-0005-0000-0000-00009D1F0000}"/>
    <cellStyle name="Normal 2 2 31 2 4" xfId="3432" xr:uid="{00000000-0005-0000-0000-00009E1F0000}"/>
    <cellStyle name="Normal 2 2 31 2 4 2" xfId="3433" xr:uid="{00000000-0005-0000-0000-00009F1F0000}"/>
    <cellStyle name="Normal 2 2 31 2 4 2 2" xfId="30589" xr:uid="{00000000-0005-0000-0000-0000A01F0000}"/>
    <cellStyle name="Normal 2 2 31 2 4 3" xfId="30590" xr:uid="{00000000-0005-0000-0000-0000A11F0000}"/>
    <cellStyle name="Normal 2 2 31 2 5" xfId="3434" xr:uid="{00000000-0005-0000-0000-0000A21F0000}"/>
    <cellStyle name="Normal 2 2 31 2 5 2" xfId="30591" xr:uid="{00000000-0005-0000-0000-0000A31F0000}"/>
    <cellStyle name="Normal 2 2 31 2 6" xfId="3435" xr:uid="{00000000-0005-0000-0000-0000A41F0000}"/>
    <cellStyle name="Normal 2 2 31 2 6 2" xfId="30592" xr:uid="{00000000-0005-0000-0000-0000A51F0000}"/>
    <cellStyle name="Normal 2 2 31 2 7" xfId="30593" xr:uid="{00000000-0005-0000-0000-0000A61F0000}"/>
    <cellStyle name="Normal 2 2 31 2 7 2" xfId="30594" xr:uid="{00000000-0005-0000-0000-0000A71F0000}"/>
    <cellStyle name="Normal 2 2 31 2 8" xfId="30595" xr:uid="{00000000-0005-0000-0000-0000A81F0000}"/>
    <cellStyle name="Normal 2 2 31 2 9" xfId="30596" xr:uid="{00000000-0005-0000-0000-0000A91F0000}"/>
    <cellStyle name="Normal 2 2 31 3" xfId="3436" xr:uid="{00000000-0005-0000-0000-0000AA1F0000}"/>
    <cellStyle name="Normal 2 2 31 3 2" xfId="3437" xr:uid="{00000000-0005-0000-0000-0000AB1F0000}"/>
    <cellStyle name="Normal 2 2 31 3 2 2" xfId="3438" xr:uid="{00000000-0005-0000-0000-0000AC1F0000}"/>
    <cellStyle name="Normal 2 2 31 3 2 2 2" xfId="30597" xr:uid="{00000000-0005-0000-0000-0000AD1F0000}"/>
    <cellStyle name="Normal 2 2 31 3 2 3" xfId="3439" xr:uid="{00000000-0005-0000-0000-0000AE1F0000}"/>
    <cellStyle name="Normal 2 2 31 3 2 3 2" xfId="30598" xr:uid="{00000000-0005-0000-0000-0000AF1F0000}"/>
    <cellStyle name="Normal 2 2 31 3 2 4" xfId="30599" xr:uid="{00000000-0005-0000-0000-0000B01F0000}"/>
    <cellStyle name="Normal 2 2 31 3 3" xfId="3440" xr:uid="{00000000-0005-0000-0000-0000B11F0000}"/>
    <cellStyle name="Normal 2 2 31 3 3 2" xfId="30600" xr:uid="{00000000-0005-0000-0000-0000B21F0000}"/>
    <cellStyle name="Normal 2 2 31 3 4" xfId="3441" xr:uid="{00000000-0005-0000-0000-0000B31F0000}"/>
    <cellStyle name="Normal 2 2 31 3 4 2" xfId="30601" xr:uid="{00000000-0005-0000-0000-0000B41F0000}"/>
    <cellStyle name="Normal 2 2 31 3 5" xfId="3442" xr:uid="{00000000-0005-0000-0000-0000B51F0000}"/>
    <cellStyle name="Normal 2 2 31 3 5 2" xfId="30602" xr:uid="{00000000-0005-0000-0000-0000B61F0000}"/>
    <cellStyle name="Normal 2 2 31 3 6" xfId="30603" xr:uid="{00000000-0005-0000-0000-0000B71F0000}"/>
    <cellStyle name="Normal 2 2 31 3 6 2" xfId="30604" xr:uid="{00000000-0005-0000-0000-0000B81F0000}"/>
    <cellStyle name="Normal 2 2 31 3 7" xfId="30605" xr:uid="{00000000-0005-0000-0000-0000B91F0000}"/>
    <cellStyle name="Normal 2 2 31 4" xfId="3443" xr:uid="{00000000-0005-0000-0000-0000BA1F0000}"/>
    <cellStyle name="Normal 2 2 31 4 2" xfId="3444" xr:uid="{00000000-0005-0000-0000-0000BB1F0000}"/>
    <cellStyle name="Normal 2 2 31 4 2 2" xfId="30606" xr:uid="{00000000-0005-0000-0000-0000BC1F0000}"/>
    <cellStyle name="Normal 2 2 31 4 3" xfId="3445" xr:uid="{00000000-0005-0000-0000-0000BD1F0000}"/>
    <cellStyle name="Normal 2 2 31 4 3 2" xfId="30607" xr:uid="{00000000-0005-0000-0000-0000BE1F0000}"/>
    <cellStyle name="Normal 2 2 31 4 4" xfId="30608" xr:uid="{00000000-0005-0000-0000-0000BF1F0000}"/>
    <cellStyle name="Normal 2 2 31 5" xfId="3446" xr:uid="{00000000-0005-0000-0000-0000C01F0000}"/>
    <cellStyle name="Normal 2 2 31 5 2" xfId="3447" xr:uid="{00000000-0005-0000-0000-0000C11F0000}"/>
    <cellStyle name="Normal 2 2 31 5 2 2" xfId="30609" xr:uid="{00000000-0005-0000-0000-0000C21F0000}"/>
    <cellStyle name="Normal 2 2 31 5 3" xfId="30610" xr:uid="{00000000-0005-0000-0000-0000C31F0000}"/>
    <cellStyle name="Normal 2 2 31 6" xfId="3448" xr:uid="{00000000-0005-0000-0000-0000C41F0000}"/>
    <cellStyle name="Normal 2 2 31 6 2" xfId="30611" xr:uid="{00000000-0005-0000-0000-0000C51F0000}"/>
    <cellStyle name="Normal 2 2 31 7" xfId="3449" xr:uid="{00000000-0005-0000-0000-0000C61F0000}"/>
    <cellStyle name="Normal 2 2 31 7 2" xfId="30612" xr:uid="{00000000-0005-0000-0000-0000C71F0000}"/>
    <cellStyle name="Normal 2 2 31 8" xfId="30613" xr:uid="{00000000-0005-0000-0000-0000C81F0000}"/>
    <cellStyle name="Normal 2 2 31 8 2" xfId="30614" xr:uid="{00000000-0005-0000-0000-0000C91F0000}"/>
    <cellStyle name="Normal 2 2 31 9" xfId="30615" xr:uid="{00000000-0005-0000-0000-0000CA1F0000}"/>
    <cellStyle name="Normal 2 2 32" xfId="3450" xr:uid="{00000000-0005-0000-0000-0000CB1F0000}"/>
    <cellStyle name="Normal 2 2 32 10" xfId="30616" xr:uid="{00000000-0005-0000-0000-0000CC1F0000}"/>
    <cellStyle name="Normal 2 2 32 11" xfId="30617" xr:uid="{00000000-0005-0000-0000-0000CD1F0000}"/>
    <cellStyle name="Normal 2 2 32 2" xfId="3451" xr:uid="{00000000-0005-0000-0000-0000CE1F0000}"/>
    <cellStyle name="Normal 2 2 32 2 10" xfId="30618" xr:uid="{00000000-0005-0000-0000-0000CF1F0000}"/>
    <cellStyle name="Normal 2 2 32 2 2" xfId="3452" xr:uid="{00000000-0005-0000-0000-0000D01F0000}"/>
    <cellStyle name="Normal 2 2 32 2 2 2" xfId="3453" xr:uid="{00000000-0005-0000-0000-0000D11F0000}"/>
    <cellStyle name="Normal 2 2 32 2 2 2 2" xfId="3454" xr:uid="{00000000-0005-0000-0000-0000D21F0000}"/>
    <cellStyle name="Normal 2 2 32 2 2 2 2 2" xfId="30619" xr:uid="{00000000-0005-0000-0000-0000D31F0000}"/>
    <cellStyle name="Normal 2 2 32 2 2 2 3" xfId="3455" xr:uid="{00000000-0005-0000-0000-0000D41F0000}"/>
    <cellStyle name="Normal 2 2 32 2 2 2 3 2" xfId="30620" xr:uid="{00000000-0005-0000-0000-0000D51F0000}"/>
    <cellStyle name="Normal 2 2 32 2 2 2 4" xfId="30621" xr:uid="{00000000-0005-0000-0000-0000D61F0000}"/>
    <cellStyle name="Normal 2 2 32 2 2 3" xfId="3456" xr:uid="{00000000-0005-0000-0000-0000D71F0000}"/>
    <cellStyle name="Normal 2 2 32 2 2 3 2" xfId="30622" xr:uid="{00000000-0005-0000-0000-0000D81F0000}"/>
    <cellStyle name="Normal 2 2 32 2 2 4" xfId="3457" xr:uid="{00000000-0005-0000-0000-0000D91F0000}"/>
    <cellStyle name="Normal 2 2 32 2 2 4 2" xfId="30623" xr:uid="{00000000-0005-0000-0000-0000DA1F0000}"/>
    <cellStyle name="Normal 2 2 32 2 2 5" xfId="3458" xr:uid="{00000000-0005-0000-0000-0000DB1F0000}"/>
    <cellStyle name="Normal 2 2 32 2 2 5 2" xfId="30624" xr:uid="{00000000-0005-0000-0000-0000DC1F0000}"/>
    <cellStyle name="Normal 2 2 32 2 2 6" xfId="30625" xr:uid="{00000000-0005-0000-0000-0000DD1F0000}"/>
    <cellStyle name="Normal 2 2 32 2 2 6 2" xfId="30626" xr:uid="{00000000-0005-0000-0000-0000DE1F0000}"/>
    <cellStyle name="Normal 2 2 32 2 2 7" xfId="30627" xr:uid="{00000000-0005-0000-0000-0000DF1F0000}"/>
    <cellStyle name="Normal 2 2 32 2 3" xfId="3459" xr:uid="{00000000-0005-0000-0000-0000E01F0000}"/>
    <cellStyle name="Normal 2 2 32 2 3 2" xfId="3460" xr:uid="{00000000-0005-0000-0000-0000E11F0000}"/>
    <cellStyle name="Normal 2 2 32 2 3 2 2" xfId="30628" xr:uid="{00000000-0005-0000-0000-0000E21F0000}"/>
    <cellStyle name="Normal 2 2 32 2 3 3" xfId="3461" xr:uid="{00000000-0005-0000-0000-0000E31F0000}"/>
    <cellStyle name="Normal 2 2 32 2 3 3 2" xfId="30629" xr:uid="{00000000-0005-0000-0000-0000E41F0000}"/>
    <cellStyle name="Normal 2 2 32 2 3 4" xfId="30630" xr:uid="{00000000-0005-0000-0000-0000E51F0000}"/>
    <cellStyle name="Normal 2 2 32 2 4" xfId="3462" xr:uid="{00000000-0005-0000-0000-0000E61F0000}"/>
    <cellStyle name="Normal 2 2 32 2 4 2" xfId="3463" xr:uid="{00000000-0005-0000-0000-0000E71F0000}"/>
    <cellStyle name="Normal 2 2 32 2 4 2 2" xfId="30631" xr:uid="{00000000-0005-0000-0000-0000E81F0000}"/>
    <cellStyle name="Normal 2 2 32 2 4 3" xfId="30632" xr:uid="{00000000-0005-0000-0000-0000E91F0000}"/>
    <cellStyle name="Normal 2 2 32 2 5" xfId="3464" xr:uid="{00000000-0005-0000-0000-0000EA1F0000}"/>
    <cellStyle name="Normal 2 2 32 2 5 2" xfId="30633" xr:uid="{00000000-0005-0000-0000-0000EB1F0000}"/>
    <cellStyle name="Normal 2 2 32 2 6" xfId="3465" xr:uid="{00000000-0005-0000-0000-0000EC1F0000}"/>
    <cellStyle name="Normal 2 2 32 2 6 2" xfId="30634" xr:uid="{00000000-0005-0000-0000-0000ED1F0000}"/>
    <cellStyle name="Normal 2 2 32 2 7" xfId="30635" xr:uid="{00000000-0005-0000-0000-0000EE1F0000}"/>
    <cellStyle name="Normal 2 2 32 2 7 2" xfId="30636" xr:uid="{00000000-0005-0000-0000-0000EF1F0000}"/>
    <cellStyle name="Normal 2 2 32 2 8" xfId="30637" xr:uid="{00000000-0005-0000-0000-0000F01F0000}"/>
    <cellStyle name="Normal 2 2 32 2 9" xfId="30638" xr:uid="{00000000-0005-0000-0000-0000F11F0000}"/>
    <cellStyle name="Normal 2 2 32 3" xfId="3466" xr:uid="{00000000-0005-0000-0000-0000F21F0000}"/>
    <cellStyle name="Normal 2 2 32 3 2" xfId="3467" xr:uid="{00000000-0005-0000-0000-0000F31F0000}"/>
    <cellStyle name="Normal 2 2 32 3 2 2" xfId="3468" xr:uid="{00000000-0005-0000-0000-0000F41F0000}"/>
    <cellStyle name="Normal 2 2 32 3 2 2 2" xfId="30639" xr:uid="{00000000-0005-0000-0000-0000F51F0000}"/>
    <cellStyle name="Normal 2 2 32 3 2 3" xfId="3469" xr:uid="{00000000-0005-0000-0000-0000F61F0000}"/>
    <cellStyle name="Normal 2 2 32 3 2 3 2" xfId="30640" xr:uid="{00000000-0005-0000-0000-0000F71F0000}"/>
    <cellStyle name="Normal 2 2 32 3 2 4" xfId="30641" xr:uid="{00000000-0005-0000-0000-0000F81F0000}"/>
    <cellStyle name="Normal 2 2 32 3 3" xfId="3470" xr:uid="{00000000-0005-0000-0000-0000F91F0000}"/>
    <cellStyle name="Normal 2 2 32 3 3 2" xfId="30642" xr:uid="{00000000-0005-0000-0000-0000FA1F0000}"/>
    <cellStyle name="Normal 2 2 32 3 4" xfId="3471" xr:uid="{00000000-0005-0000-0000-0000FB1F0000}"/>
    <cellStyle name="Normal 2 2 32 3 4 2" xfId="30643" xr:uid="{00000000-0005-0000-0000-0000FC1F0000}"/>
    <cellStyle name="Normal 2 2 32 3 5" xfId="3472" xr:uid="{00000000-0005-0000-0000-0000FD1F0000}"/>
    <cellStyle name="Normal 2 2 32 3 5 2" xfId="30644" xr:uid="{00000000-0005-0000-0000-0000FE1F0000}"/>
    <cellStyle name="Normal 2 2 32 3 6" xfId="30645" xr:uid="{00000000-0005-0000-0000-0000FF1F0000}"/>
    <cellStyle name="Normal 2 2 32 3 6 2" xfId="30646" xr:uid="{00000000-0005-0000-0000-000000200000}"/>
    <cellStyle name="Normal 2 2 32 3 7" xfId="30647" xr:uid="{00000000-0005-0000-0000-000001200000}"/>
    <cellStyle name="Normal 2 2 32 4" xfId="3473" xr:uid="{00000000-0005-0000-0000-000002200000}"/>
    <cellStyle name="Normal 2 2 32 4 2" xfId="3474" xr:uid="{00000000-0005-0000-0000-000003200000}"/>
    <cellStyle name="Normal 2 2 32 4 2 2" xfId="30648" xr:uid="{00000000-0005-0000-0000-000004200000}"/>
    <cellStyle name="Normal 2 2 32 4 3" xfId="3475" xr:uid="{00000000-0005-0000-0000-000005200000}"/>
    <cellStyle name="Normal 2 2 32 4 3 2" xfId="30649" xr:uid="{00000000-0005-0000-0000-000006200000}"/>
    <cellStyle name="Normal 2 2 32 4 4" xfId="30650" xr:uid="{00000000-0005-0000-0000-000007200000}"/>
    <cellStyle name="Normal 2 2 32 5" xfId="3476" xr:uid="{00000000-0005-0000-0000-000008200000}"/>
    <cellStyle name="Normal 2 2 32 5 2" xfId="3477" xr:uid="{00000000-0005-0000-0000-000009200000}"/>
    <cellStyle name="Normal 2 2 32 5 2 2" xfId="30651" xr:uid="{00000000-0005-0000-0000-00000A200000}"/>
    <cellStyle name="Normal 2 2 32 5 3" xfId="30652" xr:uid="{00000000-0005-0000-0000-00000B200000}"/>
    <cellStyle name="Normal 2 2 32 6" xfId="3478" xr:uid="{00000000-0005-0000-0000-00000C200000}"/>
    <cellStyle name="Normal 2 2 32 6 2" xfId="30653" xr:uid="{00000000-0005-0000-0000-00000D200000}"/>
    <cellStyle name="Normal 2 2 32 7" xfId="3479" xr:uid="{00000000-0005-0000-0000-00000E200000}"/>
    <cellStyle name="Normal 2 2 32 7 2" xfId="30654" xr:uid="{00000000-0005-0000-0000-00000F200000}"/>
    <cellStyle name="Normal 2 2 32 8" xfId="30655" xr:uid="{00000000-0005-0000-0000-000010200000}"/>
    <cellStyle name="Normal 2 2 32 8 2" xfId="30656" xr:uid="{00000000-0005-0000-0000-000011200000}"/>
    <cellStyle name="Normal 2 2 32 9" xfId="30657" xr:uid="{00000000-0005-0000-0000-000012200000}"/>
    <cellStyle name="Normal 2 2 33" xfId="3480" xr:uid="{00000000-0005-0000-0000-000013200000}"/>
    <cellStyle name="Normal 2 2 33 10" xfId="30658" xr:uid="{00000000-0005-0000-0000-000014200000}"/>
    <cellStyle name="Normal 2 2 33 11" xfId="30659" xr:uid="{00000000-0005-0000-0000-000015200000}"/>
    <cellStyle name="Normal 2 2 33 2" xfId="3481" xr:uid="{00000000-0005-0000-0000-000016200000}"/>
    <cellStyle name="Normal 2 2 33 2 10" xfId="30660" xr:uid="{00000000-0005-0000-0000-000017200000}"/>
    <cellStyle name="Normal 2 2 33 2 2" xfId="3482" xr:uid="{00000000-0005-0000-0000-000018200000}"/>
    <cellStyle name="Normal 2 2 33 2 2 2" xfId="3483" xr:uid="{00000000-0005-0000-0000-000019200000}"/>
    <cellStyle name="Normal 2 2 33 2 2 2 2" xfId="3484" xr:uid="{00000000-0005-0000-0000-00001A200000}"/>
    <cellStyle name="Normal 2 2 33 2 2 2 2 2" xfId="30661" xr:uid="{00000000-0005-0000-0000-00001B200000}"/>
    <cellStyle name="Normal 2 2 33 2 2 2 3" xfId="3485" xr:uid="{00000000-0005-0000-0000-00001C200000}"/>
    <cellStyle name="Normal 2 2 33 2 2 2 3 2" xfId="30662" xr:uid="{00000000-0005-0000-0000-00001D200000}"/>
    <cellStyle name="Normal 2 2 33 2 2 2 4" xfId="30663" xr:uid="{00000000-0005-0000-0000-00001E200000}"/>
    <cellStyle name="Normal 2 2 33 2 2 3" xfId="3486" xr:uid="{00000000-0005-0000-0000-00001F200000}"/>
    <cellStyle name="Normal 2 2 33 2 2 3 2" xfId="30664" xr:uid="{00000000-0005-0000-0000-000020200000}"/>
    <cellStyle name="Normal 2 2 33 2 2 4" xfId="3487" xr:uid="{00000000-0005-0000-0000-000021200000}"/>
    <cellStyle name="Normal 2 2 33 2 2 4 2" xfId="30665" xr:uid="{00000000-0005-0000-0000-000022200000}"/>
    <cellStyle name="Normal 2 2 33 2 2 5" xfId="3488" xr:uid="{00000000-0005-0000-0000-000023200000}"/>
    <cellStyle name="Normal 2 2 33 2 2 5 2" xfId="30666" xr:uid="{00000000-0005-0000-0000-000024200000}"/>
    <cellStyle name="Normal 2 2 33 2 2 6" xfId="30667" xr:uid="{00000000-0005-0000-0000-000025200000}"/>
    <cellStyle name="Normal 2 2 33 2 2 6 2" xfId="30668" xr:uid="{00000000-0005-0000-0000-000026200000}"/>
    <cellStyle name="Normal 2 2 33 2 2 7" xfId="30669" xr:uid="{00000000-0005-0000-0000-000027200000}"/>
    <cellStyle name="Normal 2 2 33 2 3" xfId="3489" xr:uid="{00000000-0005-0000-0000-000028200000}"/>
    <cellStyle name="Normal 2 2 33 2 3 2" xfId="3490" xr:uid="{00000000-0005-0000-0000-000029200000}"/>
    <cellStyle name="Normal 2 2 33 2 3 2 2" xfId="30670" xr:uid="{00000000-0005-0000-0000-00002A200000}"/>
    <cellStyle name="Normal 2 2 33 2 3 3" xfId="3491" xr:uid="{00000000-0005-0000-0000-00002B200000}"/>
    <cellStyle name="Normal 2 2 33 2 3 3 2" xfId="30671" xr:uid="{00000000-0005-0000-0000-00002C200000}"/>
    <cellStyle name="Normal 2 2 33 2 3 4" xfId="30672" xr:uid="{00000000-0005-0000-0000-00002D200000}"/>
    <cellStyle name="Normal 2 2 33 2 4" xfId="3492" xr:uid="{00000000-0005-0000-0000-00002E200000}"/>
    <cellStyle name="Normal 2 2 33 2 4 2" xfId="3493" xr:uid="{00000000-0005-0000-0000-00002F200000}"/>
    <cellStyle name="Normal 2 2 33 2 4 2 2" xfId="30673" xr:uid="{00000000-0005-0000-0000-000030200000}"/>
    <cellStyle name="Normal 2 2 33 2 4 3" xfId="30674" xr:uid="{00000000-0005-0000-0000-000031200000}"/>
    <cellStyle name="Normal 2 2 33 2 5" xfId="3494" xr:uid="{00000000-0005-0000-0000-000032200000}"/>
    <cellStyle name="Normal 2 2 33 2 5 2" xfId="30675" xr:uid="{00000000-0005-0000-0000-000033200000}"/>
    <cellStyle name="Normal 2 2 33 2 6" xfId="3495" xr:uid="{00000000-0005-0000-0000-000034200000}"/>
    <cellStyle name="Normal 2 2 33 2 6 2" xfId="30676" xr:uid="{00000000-0005-0000-0000-000035200000}"/>
    <cellStyle name="Normal 2 2 33 2 7" xfId="30677" xr:uid="{00000000-0005-0000-0000-000036200000}"/>
    <cellStyle name="Normal 2 2 33 2 7 2" xfId="30678" xr:uid="{00000000-0005-0000-0000-000037200000}"/>
    <cellStyle name="Normal 2 2 33 2 8" xfId="30679" xr:uid="{00000000-0005-0000-0000-000038200000}"/>
    <cellStyle name="Normal 2 2 33 2 9" xfId="30680" xr:uid="{00000000-0005-0000-0000-000039200000}"/>
    <cellStyle name="Normal 2 2 33 3" xfId="3496" xr:uid="{00000000-0005-0000-0000-00003A200000}"/>
    <cellStyle name="Normal 2 2 33 3 2" xfId="3497" xr:uid="{00000000-0005-0000-0000-00003B200000}"/>
    <cellStyle name="Normal 2 2 33 3 2 2" xfId="3498" xr:uid="{00000000-0005-0000-0000-00003C200000}"/>
    <cellStyle name="Normal 2 2 33 3 2 2 2" xfId="30681" xr:uid="{00000000-0005-0000-0000-00003D200000}"/>
    <cellStyle name="Normal 2 2 33 3 2 3" xfId="3499" xr:uid="{00000000-0005-0000-0000-00003E200000}"/>
    <cellStyle name="Normal 2 2 33 3 2 3 2" xfId="30682" xr:uid="{00000000-0005-0000-0000-00003F200000}"/>
    <cellStyle name="Normal 2 2 33 3 2 4" xfId="30683" xr:uid="{00000000-0005-0000-0000-000040200000}"/>
    <cellStyle name="Normal 2 2 33 3 3" xfId="3500" xr:uid="{00000000-0005-0000-0000-000041200000}"/>
    <cellStyle name="Normal 2 2 33 3 3 2" xfId="30684" xr:uid="{00000000-0005-0000-0000-000042200000}"/>
    <cellStyle name="Normal 2 2 33 3 4" xfId="3501" xr:uid="{00000000-0005-0000-0000-000043200000}"/>
    <cellStyle name="Normal 2 2 33 3 4 2" xfId="30685" xr:uid="{00000000-0005-0000-0000-000044200000}"/>
    <cellStyle name="Normal 2 2 33 3 5" xfId="3502" xr:uid="{00000000-0005-0000-0000-000045200000}"/>
    <cellStyle name="Normal 2 2 33 3 5 2" xfId="30686" xr:uid="{00000000-0005-0000-0000-000046200000}"/>
    <cellStyle name="Normal 2 2 33 3 6" xfId="30687" xr:uid="{00000000-0005-0000-0000-000047200000}"/>
    <cellStyle name="Normal 2 2 33 3 6 2" xfId="30688" xr:uid="{00000000-0005-0000-0000-000048200000}"/>
    <cellStyle name="Normal 2 2 33 3 7" xfId="30689" xr:uid="{00000000-0005-0000-0000-000049200000}"/>
    <cellStyle name="Normal 2 2 33 4" xfId="3503" xr:uid="{00000000-0005-0000-0000-00004A200000}"/>
    <cellStyle name="Normal 2 2 33 4 2" xfId="3504" xr:uid="{00000000-0005-0000-0000-00004B200000}"/>
    <cellStyle name="Normal 2 2 33 4 2 2" xfId="30690" xr:uid="{00000000-0005-0000-0000-00004C200000}"/>
    <cellStyle name="Normal 2 2 33 4 3" xfId="3505" xr:uid="{00000000-0005-0000-0000-00004D200000}"/>
    <cellStyle name="Normal 2 2 33 4 3 2" xfId="30691" xr:uid="{00000000-0005-0000-0000-00004E200000}"/>
    <cellStyle name="Normal 2 2 33 4 4" xfId="30692" xr:uid="{00000000-0005-0000-0000-00004F200000}"/>
    <cellStyle name="Normal 2 2 33 5" xfId="3506" xr:uid="{00000000-0005-0000-0000-000050200000}"/>
    <cellStyle name="Normal 2 2 33 5 2" xfId="3507" xr:uid="{00000000-0005-0000-0000-000051200000}"/>
    <cellStyle name="Normal 2 2 33 5 2 2" xfId="30693" xr:uid="{00000000-0005-0000-0000-000052200000}"/>
    <cellStyle name="Normal 2 2 33 5 3" xfId="30694" xr:uid="{00000000-0005-0000-0000-000053200000}"/>
    <cellStyle name="Normal 2 2 33 6" xfId="3508" xr:uid="{00000000-0005-0000-0000-000054200000}"/>
    <cellStyle name="Normal 2 2 33 6 2" xfId="30695" xr:uid="{00000000-0005-0000-0000-000055200000}"/>
    <cellStyle name="Normal 2 2 33 7" xfId="3509" xr:uid="{00000000-0005-0000-0000-000056200000}"/>
    <cellStyle name="Normal 2 2 33 7 2" xfId="30696" xr:uid="{00000000-0005-0000-0000-000057200000}"/>
    <cellStyle name="Normal 2 2 33 8" xfId="30697" xr:uid="{00000000-0005-0000-0000-000058200000}"/>
    <cellStyle name="Normal 2 2 33 8 2" xfId="30698" xr:uid="{00000000-0005-0000-0000-000059200000}"/>
    <cellStyle name="Normal 2 2 33 9" xfId="30699" xr:uid="{00000000-0005-0000-0000-00005A200000}"/>
    <cellStyle name="Normal 2 2 34" xfId="3510" xr:uid="{00000000-0005-0000-0000-00005B200000}"/>
    <cellStyle name="Normal 2 2 34 10" xfId="30700" xr:uid="{00000000-0005-0000-0000-00005C200000}"/>
    <cellStyle name="Normal 2 2 34 11" xfId="30701" xr:uid="{00000000-0005-0000-0000-00005D200000}"/>
    <cellStyle name="Normal 2 2 34 2" xfId="3511" xr:uid="{00000000-0005-0000-0000-00005E200000}"/>
    <cellStyle name="Normal 2 2 34 2 10" xfId="30702" xr:uid="{00000000-0005-0000-0000-00005F200000}"/>
    <cellStyle name="Normal 2 2 34 2 2" xfId="3512" xr:uid="{00000000-0005-0000-0000-000060200000}"/>
    <cellStyle name="Normal 2 2 34 2 2 2" xfId="3513" xr:uid="{00000000-0005-0000-0000-000061200000}"/>
    <cellStyle name="Normal 2 2 34 2 2 2 2" xfId="3514" xr:uid="{00000000-0005-0000-0000-000062200000}"/>
    <cellStyle name="Normal 2 2 34 2 2 2 2 2" xfId="30703" xr:uid="{00000000-0005-0000-0000-000063200000}"/>
    <cellStyle name="Normal 2 2 34 2 2 2 3" xfId="3515" xr:uid="{00000000-0005-0000-0000-000064200000}"/>
    <cellStyle name="Normal 2 2 34 2 2 2 3 2" xfId="30704" xr:uid="{00000000-0005-0000-0000-000065200000}"/>
    <cellStyle name="Normal 2 2 34 2 2 2 4" xfId="30705" xr:uid="{00000000-0005-0000-0000-000066200000}"/>
    <cellStyle name="Normal 2 2 34 2 2 3" xfId="3516" xr:uid="{00000000-0005-0000-0000-000067200000}"/>
    <cellStyle name="Normal 2 2 34 2 2 3 2" xfId="30706" xr:uid="{00000000-0005-0000-0000-000068200000}"/>
    <cellStyle name="Normal 2 2 34 2 2 4" xfId="3517" xr:uid="{00000000-0005-0000-0000-000069200000}"/>
    <cellStyle name="Normal 2 2 34 2 2 4 2" xfId="30707" xr:uid="{00000000-0005-0000-0000-00006A200000}"/>
    <cellStyle name="Normal 2 2 34 2 2 5" xfId="3518" xr:uid="{00000000-0005-0000-0000-00006B200000}"/>
    <cellStyle name="Normal 2 2 34 2 2 5 2" xfId="30708" xr:uid="{00000000-0005-0000-0000-00006C200000}"/>
    <cellStyle name="Normal 2 2 34 2 2 6" xfId="30709" xr:uid="{00000000-0005-0000-0000-00006D200000}"/>
    <cellStyle name="Normal 2 2 34 2 2 6 2" xfId="30710" xr:uid="{00000000-0005-0000-0000-00006E200000}"/>
    <cellStyle name="Normal 2 2 34 2 2 7" xfId="30711" xr:uid="{00000000-0005-0000-0000-00006F200000}"/>
    <cellStyle name="Normal 2 2 34 2 3" xfId="3519" xr:uid="{00000000-0005-0000-0000-000070200000}"/>
    <cellStyle name="Normal 2 2 34 2 3 2" xfId="3520" xr:uid="{00000000-0005-0000-0000-000071200000}"/>
    <cellStyle name="Normal 2 2 34 2 3 2 2" xfId="30712" xr:uid="{00000000-0005-0000-0000-000072200000}"/>
    <cellStyle name="Normal 2 2 34 2 3 3" xfId="3521" xr:uid="{00000000-0005-0000-0000-000073200000}"/>
    <cellStyle name="Normal 2 2 34 2 3 3 2" xfId="30713" xr:uid="{00000000-0005-0000-0000-000074200000}"/>
    <cellStyle name="Normal 2 2 34 2 3 4" xfId="30714" xr:uid="{00000000-0005-0000-0000-000075200000}"/>
    <cellStyle name="Normal 2 2 34 2 4" xfId="3522" xr:uid="{00000000-0005-0000-0000-000076200000}"/>
    <cellStyle name="Normal 2 2 34 2 4 2" xfId="3523" xr:uid="{00000000-0005-0000-0000-000077200000}"/>
    <cellStyle name="Normal 2 2 34 2 4 2 2" xfId="30715" xr:uid="{00000000-0005-0000-0000-000078200000}"/>
    <cellStyle name="Normal 2 2 34 2 4 3" xfId="30716" xr:uid="{00000000-0005-0000-0000-000079200000}"/>
    <cellStyle name="Normal 2 2 34 2 5" xfId="3524" xr:uid="{00000000-0005-0000-0000-00007A200000}"/>
    <cellStyle name="Normal 2 2 34 2 5 2" xfId="30717" xr:uid="{00000000-0005-0000-0000-00007B200000}"/>
    <cellStyle name="Normal 2 2 34 2 6" xfId="3525" xr:uid="{00000000-0005-0000-0000-00007C200000}"/>
    <cellStyle name="Normal 2 2 34 2 6 2" xfId="30718" xr:uid="{00000000-0005-0000-0000-00007D200000}"/>
    <cellStyle name="Normal 2 2 34 2 7" xfId="30719" xr:uid="{00000000-0005-0000-0000-00007E200000}"/>
    <cellStyle name="Normal 2 2 34 2 7 2" xfId="30720" xr:uid="{00000000-0005-0000-0000-00007F200000}"/>
    <cellStyle name="Normal 2 2 34 2 8" xfId="30721" xr:uid="{00000000-0005-0000-0000-000080200000}"/>
    <cellStyle name="Normal 2 2 34 2 9" xfId="30722" xr:uid="{00000000-0005-0000-0000-000081200000}"/>
    <cellStyle name="Normal 2 2 34 3" xfId="3526" xr:uid="{00000000-0005-0000-0000-000082200000}"/>
    <cellStyle name="Normal 2 2 34 3 2" xfId="3527" xr:uid="{00000000-0005-0000-0000-000083200000}"/>
    <cellStyle name="Normal 2 2 34 3 2 2" xfId="3528" xr:uid="{00000000-0005-0000-0000-000084200000}"/>
    <cellStyle name="Normal 2 2 34 3 2 2 2" xfId="30723" xr:uid="{00000000-0005-0000-0000-000085200000}"/>
    <cellStyle name="Normal 2 2 34 3 2 3" xfId="3529" xr:uid="{00000000-0005-0000-0000-000086200000}"/>
    <cellStyle name="Normal 2 2 34 3 2 3 2" xfId="30724" xr:uid="{00000000-0005-0000-0000-000087200000}"/>
    <cellStyle name="Normal 2 2 34 3 2 4" xfId="30725" xr:uid="{00000000-0005-0000-0000-000088200000}"/>
    <cellStyle name="Normal 2 2 34 3 3" xfId="3530" xr:uid="{00000000-0005-0000-0000-000089200000}"/>
    <cellStyle name="Normal 2 2 34 3 3 2" xfId="30726" xr:uid="{00000000-0005-0000-0000-00008A200000}"/>
    <cellStyle name="Normal 2 2 34 3 4" xfId="3531" xr:uid="{00000000-0005-0000-0000-00008B200000}"/>
    <cellStyle name="Normal 2 2 34 3 4 2" xfId="30727" xr:uid="{00000000-0005-0000-0000-00008C200000}"/>
    <cellStyle name="Normal 2 2 34 3 5" xfId="3532" xr:uid="{00000000-0005-0000-0000-00008D200000}"/>
    <cellStyle name="Normal 2 2 34 3 5 2" xfId="30728" xr:uid="{00000000-0005-0000-0000-00008E200000}"/>
    <cellStyle name="Normal 2 2 34 3 6" xfId="30729" xr:uid="{00000000-0005-0000-0000-00008F200000}"/>
    <cellStyle name="Normal 2 2 34 3 6 2" xfId="30730" xr:uid="{00000000-0005-0000-0000-000090200000}"/>
    <cellStyle name="Normal 2 2 34 3 7" xfId="30731" xr:uid="{00000000-0005-0000-0000-000091200000}"/>
    <cellStyle name="Normal 2 2 34 4" xfId="3533" xr:uid="{00000000-0005-0000-0000-000092200000}"/>
    <cellStyle name="Normal 2 2 34 4 2" xfId="3534" xr:uid="{00000000-0005-0000-0000-000093200000}"/>
    <cellStyle name="Normal 2 2 34 4 2 2" xfId="30732" xr:uid="{00000000-0005-0000-0000-000094200000}"/>
    <cellStyle name="Normal 2 2 34 4 3" xfId="3535" xr:uid="{00000000-0005-0000-0000-000095200000}"/>
    <cellStyle name="Normal 2 2 34 4 3 2" xfId="30733" xr:uid="{00000000-0005-0000-0000-000096200000}"/>
    <cellStyle name="Normal 2 2 34 4 4" xfId="30734" xr:uid="{00000000-0005-0000-0000-000097200000}"/>
    <cellStyle name="Normal 2 2 34 5" xfId="3536" xr:uid="{00000000-0005-0000-0000-000098200000}"/>
    <cellStyle name="Normal 2 2 34 5 2" xfId="3537" xr:uid="{00000000-0005-0000-0000-000099200000}"/>
    <cellStyle name="Normal 2 2 34 5 2 2" xfId="30735" xr:uid="{00000000-0005-0000-0000-00009A200000}"/>
    <cellStyle name="Normal 2 2 34 5 3" xfId="30736" xr:uid="{00000000-0005-0000-0000-00009B200000}"/>
    <cellStyle name="Normal 2 2 34 6" xfId="3538" xr:uid="{00000000-0005-0000-0000-00009C200000}"/>
    <cellStyle name="Normal 2 2 34 6 2" xfId="30737" xr:uid="{00000000-0005-0000-0000-00009D200000}"/>
    <cellStyle name="Normal 2 2 34 7" xfId="3539" xr:uid="{00000000-0005-0000-0000-00009E200000}"/>
    <cellStyle name="Normal 2 2 34 7 2" xfId="30738" xr:uid="{00000000-0005-0000-0000-00009F200000}"/>
    <cellStyle name="Normal 2 2 34 8" xfId="30739" xr:uid="{00000000-0005-0000-0000-0000A0200000}"/>
    <cellStyle name="Normal 2 2 34 8 2" xfId="30740" xr:uid="{00000000-0005-0000-0000-0000A1200000}"/>
    <cellStyle name="Normal 2 2 34 9" xfId="30741" xr:uid="{00000000-0005-0000-0000-0000A2200000}"/>
    <cellStyle name="Normal 2 2 35" xfId="3540" xr:uid="{00000000-0005-0000-0000-0000A3200000}"/>
    <cellStyle name="Normal 2 2 35 10" xfId="30742" xr:uid="{00000000-0005-0000-0000-0000A4200000}"/>
    <cellStyle name="Normal 2 2 35 11" xfId="30743" xr:uid="{00000000-0005-0000-0000-0000A5200000}"/>
    <cellStyle name="Normal 2 2 35 2" xfId="3541" xr:uid="{00000000-0005-0000-0000-0000A6200000}"/>
    <cellStyle name="Normal 2 2 35 2 10" xfId="30744" xr:uid="{00000000-0005-0000-0000-0000A7200000}"/>
    <cellStyle name="Normal 2 2 35 2 2" xfId="3542" xr:uid="{00000000-0005-0000-0000-0000A8200000}"/>
    <cellStyle name="Normal 2 2 35 2 2 2" xfId="3543" xr:uid="{00000000-0005-0000-0000-0000A9200000}"/>
    <cellStyle name="Normal 2 2 35 2 2 2 2" xfId="3544" xr:uid="{00000000-0005-0000-0000-0000AA200000}"/>
    <cellStyle name="Normal 2 2 35 2 2 2 2 2" xfId="30745" xr:uid="{00000000-0005-0000-0000-0000AB200000}"/>
    <cellStyle name="Normal 2 2 35 2 2 2 3" xfId="3545" xr:uid="{00000000-0005-0000-0000-0000AC200000}"/>
    <cellStyle name="Normal 2 2 35 2 2 2 3 2" xfId="30746" xr:uid="{00000000-0005-0000-0000-0000AD200000}"/>
    <cellStyle name="Normal 2 2 35 2 2 2 4" xfId="30747" xr:uid="{00000000-0005-0000-0000-0000AE200000}"/>
    <cellStyle name="Normal 2 2 35 2 2 3" xfId="3546" xr:uid="{00000000-0005-0000-0000-0000AF200000}"/>
    <cellStyle name="Normal 2 2 35 2 2 3 2" xfId="30748" xr:uid="{00000000-0005-0000-0000-0000B0200000}"/>
    <cellStyle name="Normal 2 2 35 2 2 4" xfId="3547" xr:uid="{00000000-0005-0000-0000-0000B1200000}"/>
    <cellStyle name="Normal 2 2 35 2 2 4 2" xfId="30749" xr:uid="{00000000-0005-0000-0000-0000B2200000}"/>
    <cellStyle name="Normal 2 2 35 2 2 5" xfId="3548" xr:uid="{00000000-0005-0000-0000-0000B3200000}"/>
    <cellStyle name="Normal 2 2 35 2 2 5 2" xfId="30750" xr:uid="{00000000-0005-0000-0000-0000B4200000}"/>
    <cellStyle name="Normal 2 2 35 2 2 6" xfId="30751" xr:uid="{00000000-0005-0000-0000-0000B5200000}"/>
    <cellStyle name="Normal 2 2 35 2 2 6 2" xfId="30752" xr:uid="{00000000-0005-0000-0000-0000B6200000}"/>
    <cellStyle name="Normal 2 2 35 2 2 7" xfId="30753" xr:uid="{00000000-0005-0000-0000-0000B7200000}"/>
    <cellStyle name="Normal 2 2 35 2 3" xfId="3549" xr:uid="{00000000-0005-0000-0000-0000B8200000}"/>
    <cellStyle name="Normal 2 2 35 2 3 2" xfId="3550" xr:uid="{00000000-0005-0000-0000-0000B9200000}"/>
    <cellStyle name="Normal 2 2 35 2 3 2 2" xfId="30754" xr:uid="{00000000-0005-0000-0000-0000BA200000}"/>
    <cellStyle name="Normal 2 2 35 2 3 3" xfId="3551" xr:uid="{00000000-0005-0000-0000-0000BB200000}"/>
    <cellStyle name="Normal 2 2 35 2 3 3 2" xfId="30755" xr:uid="{00000000-0005-0000-0000-0000BC200000}"/>
    <cellStyle name="Normal 2 2 35 2 3 4" xfId="30756" xr:uid="{00000000-0005-0000-0000-0000BD200000}"/>
    <cellStyle name="Normal 2 2 35 2 4" xfId="3552" xr:uid="{00000000-0005-0000-0000-0000BE200000}"/>
    <cellStyle name="Normal 2 2 35 2 4 2" xfId="3553" xr:uid="{00000000-0005-0000-0000-0000BF200000}"/>
    <cellStyle name="Normal 2 2 35 2 4 2 2" xfId="30757" xr:uid="{00000000-0005-0000-0000-0000C0200000}"/>
    <cellStyle name="Normal 2 2 35 2 4 3" xfId="30758" xr:uid="{00000000-0005-0000-0000-0000C1200000}"/>
    <cellStyle name="Normal 2 2 35 2 5" xfId="3554" xr:uid="{00000000-0005-0000-0000-0000C2200000}"/>
    <cellStyle name="Normal 2 2 35 2 5 2" xfId="30759" xr:uid="{00000000-0005-0000-0000-0000C3200000}"/>
    <cellStyle name="Normal 2 2 35 2 6" xfId="3555" xr:uid="{00000000-0005-0000-0000-0000C4200000}"/>
    <cellStyle name="Normal 2 2 35 2 6 2" xfId="30760" xr:uid="{00000000-0005-0000-0000-0000C5200000}"/>
    <cellStyle name="Normal 2 2 35 2 7" xfId="30761" xr:uid="{00000000-0005-0000-0000-0000C6200000}"/>
    <cellStyle name="Normal 2 2 35 2 7 2" xfId="30762" xr:uid="{00000000-0005-0000-0000-0000C7200000}"/>
    <cellStyle name="Normal 2 2 35 2 8" xfId="30763" xr:uid="{00000000-0005-0000-0000-0000C8200000}"/>
    <cellStyle name="Normal 2 2 35 2 9" xfId="30764" xr:uid="{00000000-0005-0000-0000-0000C9200000}"/>
    <cellStyle name="Normal 2 2 35 3" xfId="3556" xr:uid="{00000000-0005-0000-0000-0000CA200000}"/>
    <cellStyle name="Normal 2 2 35 3 2" xfId="3557" xr:uid="{00000000-0005-0000-0000-0000CB200000}"/>
    <cellStyle name="Normal 2 2 35 3 2 2" xfId="3558" xr:uid="{00000000-0005-0000-0000-0000CC200000}"/>
    <cellStyle name="Normal 2 2 35 3 2 2 2" xfId="30765" xr:uid="{00000000-0005-0000-0000-0000CD200000}"/>
    <cellStyle name="Normal 2 2 35 3 2 3" xfId="3559" xr:uid="{00000000-0005-0000-0000-0000CE200000}"/>
    <cellStyle name="Normal 2 2 35 3 2 3 2" xfId="30766" xr:uid="{00000000-0005-0000-0000-0000CF200000}"/>
    <cellStyle name="Normal 2 2 35 3 2 4" xfId="30767" xr:uid="{00000000-0005-0000-0000-0000D0200000}"/>
    <cellStyle name="Normal 2 2 35 3 3" xfId="3560" xr:uid="{00000000-0005-0000-0000-0000D1200000}"/>
    <cellStyle name="Normal 2 2 35 3 3 2" xfId="30768" xr:uid="{00000000-0005-0000-0000-0000D2200000}"/>
    <cellStyle name="Normal 2 2 35 3 4" xfId="3561" xr:uid="{00000000-0005-0000-0000-0000D3200000}"/>
    <cellStyle name="Normal 2 2 35 3 4 2" xfId="30769" xr:uid="{00000000-0005-0000-0000-0000D4200000}"/>
    <cellStyle name="Normal 2 2 35 3 5" xfId="3562" xr:uid="{00000000-0005-0000-0000-0000D5200000}"/>
    <cellStyle name="Normal 2 2 35 3 5 2" xfId="30770" xr:uid="{00000000-0005-0000-0000-0000D6200000}"/>
    <cellStyle name="Normal 2 2 35 3 6" xfId="30771" xr:uid="{00000000-0005-0000-0000-0000D7200000}"/>
    <cellStyle name="Normal 2 2 35 3 6 2" xfId="30772" xr:uid="{00000000-0005-0000-0000-0000D8200000}"/>
    <cellStyle name="Normal 2 2 35 3 7" xfId="30773" xr:uid="{00000000-0005-0000-0000-0000D9200000}"/>
    <cellStyle name="Normal 2 2 35 4" xfId="3563" xr:uid="{00000000-0005-0000-0000-0000DA200000}"/>
    <cellStyle name="Normal 2 2 35 4 2" xfId="3564" xr:uid="{00000000-0005-0000-0000-0000DB200000}"/>
    <cellStyle name="Normal 2 2 35 4 2 2" xfId="30774" xr:uid="{00000000-0005-0000-0000-0000DC200000}"/>
    <cellStyle name="Normal 2 2 35 4 3" xfId="3565" xr:uid="{00000000-0005-0000-0000-0000DD200000}"/>
    <cellStyle name="Normal 2 2 35 4 3 2" xfId="30775" xr:uid="{00000000-0005-0000-0000-0000DE200000}"/>
    <cellStyle name="Normal 2 2 35 4 4" xfId="30776" xr:uid="{00000000-0005-0000-0000-0000DF200000}"/>
    <cellStyle name="Normal 2 2 35 5" xfId="3566" xr:uid="{00000000-0005-0000-0000-0000E0200000}"/>
    <cellStyle name="Normal 2 2 35 5 2" xfId="3567" xr:uid="{00000000-0005-0000-0000-0000E1200000}"/>
    <cellStyle name="Normal 2 2 35 5 2 2" xfId="30777" xr:uid="{00000000-0005-0000-0000-0000E2200000}"/>
    <cellStyle name="Normal 2 2 35 5 3" xfId="30778" xr:uid="{00000000-0005-0000-0000-0000E3200000}"/>
    <cellStyle name="Normal 2 2 35 6" xfId="3568" xr:uid="{00000000-0005-0000-0000-0000E4200000}"/>
    <cellStyle name="Normal 2 2 35 6 2" xfId="30779" xr:uid="{00000000-0005-0000-0000-0000E5200000}"/>
    <cellStyle name="Normal 2 2 35 7" xfId="3569" xr:uid="{00000000-0005-0000-0000-0000E6200000}"/>
    <cellStyle name="Normal 2 2 35 7 2" xfId="30780" xr:uid="{00000000-0005-0000-0000-0000E7200000}"/>
    <cellStyle name="Normal 2 2 35 8" xfId="30781" xr:uid="{00000000-0005-0000-0000-0000E8200000}"/>
    <cellStyle name="Normal 2 2 35 8 2" xfId="30782" xr:uid="{00000000-0005-0000-0000-0000E9200000}"/>
    <cellStyle name="Normal 2 2 35 9" xfId="30783" xr:uid="{00000000-0005-0000-0000-0000EA200000}"/>
    <cellStyle name="Normal 2 2 36" xfId="3570" xr:uid="{00000000-0005-0000-0000-0000EB200000}"/>
    <cellStyle name="Normal 2 2 36 10" xfId="30784" xr:uid="{00000000-0005-0000-0000-0000EC200000}"/>
    <cellStyle name="Normal 2 2 36 11" xfId="30785" xr:uid="{00000000-0005-0000-0000-0000ED200000}"/>
    <cellStyle name="Normal 2 2 36 2" xfId="3571" xr:uid="{00000000-0005-0000-0000-0000EE200000}"/>
    <cellStyle name="Normal 2 2 36 2 10" xfId="30786" xr:uid="{00000000-0005-0000-0000-0000EF200000}"/>
    <cellStyle name="Normal 2 2 36 2 2" xfId="3572" xr:uid="{00000000-0005-0000-0000-0000F0200000}"/>
    <cellStyle name="Normal 2 2 36 2 2 2" xfId="3573" xr:uid="{00000000-0005-0000-0000-0000F1200000}"/>
    <cellStyle name="Normal 2 2 36 2 2 2 2" xfId="3574" xr:uid="{00000000-0005-0000-0000-0000F2200000}"/>
    <cellStyle name="Normal 2 2 36 2 2 2 2 2" xfId="30787" xr:uid="{00000000-0005-0000-0000-0000F3200000}"/>
    <cellStyle name="Normal 2 2 36 2 2 2 3" xfId="3575" xr:uid="{00000000-0005-0000-0000-0000F4200000}"/>
    <cellStyle name="Normal 2 2 36 2 2 2 3 2" xfId="30788" xr:uid="{00000000-0005-0000-0000-0000F5200000}"/>
    <cellStyle name="Normal 2 2 36 2 2 2 4" xfId="30789" xr:uid="{00000000-0005-0000-0000-0000F6200000}"/>
    <cellStyle name="Normal 2 2 36 2 2 3" xfId="3576" xr:uid="{00000000-0005-0000-0000-0000F7200000}"/>
    <cellStyle name="Normal 2 2 36 2 2 3 2" xfId="30790" xr:uid="{00000000-0005-0000-0000-0000F8200000}"/>
    <cellStyle name="Normal 2 2 36 2 2 4" xfId="3577" xr:uid="{00000000-0005-0000-0000-0000F9200000}"/>
    <cellStyle name="Normal 2 2 36 2 2 4 2" xfId="30791" xr:uid="{00000000-0005-0000-0000-0000FA200000}"/>
    <cellStyle name="Normal 2 2 36 2 2 5" xfId="3578" xr:uid="{00000000-0005-0000-0000-0000FB200000}"/>
    <cellStyle name="Normal 2 2 36 2 2 5 2" xfId="30792" xr:uid="{00000000-0005-0000-0000-0000FC200000}"/>
    <cellStyle name="Normal 2 2 36 2 2 6" xfId="30793" xr:uid="{00000000-0005-0000-0000-0000FD200000}"/>
    <cellStyle name="Normal 2 2 36 2 2 6 2" xfId="30794" xr:uid="{00000000-0005-0000-0000-0000FE200000}"/>
    <cellStyle name="Normal 2 2 36 2 2 7" xfId="30795" xr:uid="{00000000-0005-0000-0000-0000FF200000}"/>
    <cellStyle name="Normal 2 2 36 2 3" xfId="3579" xr:uid="{00000000-0005-0000-0000-000000210000}"/>
    <cellStyle name="Normal 2 2 36 2 3 2" xfId="3580" xr:uid="{00000000-0005-0000-0000-000001210000}"/>
    <cellStyle name="Normal 2 2 36 2 3 2 2" xfId="30796" xr:uid="{00000000-0005-0000-0000-000002210000}"/>
    <cellStyle name="Normal 2 2 36 2 3 3" xfId="3581" xr:uid="{00000000-0005-0000-0000-000003210000}"/>
    <cellStyle name="Normal 2 2 36 2 3 3 2" xfId="30797" xr:uid="{00000000-0005-0000-0000-000004210000}"/>
    <cellStyle name="Normal 2 2 36 2 3 4" xfId="30798" xr:uid="{00000000-0005-0000-0000-000005210000}"/>
    <cellStyle name="Normal 2 2 36 2 4" xfId="3582" xr:uid="{00000000-0005-0000-0000-000006210000}"/>
    <cellStyle name="Normal 2 2 36 2 4 2" xfId="3583" xr:uid="{00000000-0005-0000-0000-000007210000}"/>
    <cellStyle name="Normal 2 2 36 2 4 2 2" xfId="30799" xr:uid="{00000000-0005-0000-0000-000008210000}"/>
    <cellStyle name="Normal 2 2 36 2 4 3" xfId="30800" xr:uid="{00000000-0005-0000-0000-000009210000}"/>
    <cellStyle name="Normal 2 2 36 2 5" xfId="3584" xr:uid="{00000000-0005-0000-0000-00000A210000}"/>
    <cellStyle name="Normal 2 2 36 2 5 2" xfId="30801" xr:uid="{00000000-0005-0000-0000-00000B210000}"/>
    <cellStyle name="Normal 2 2 36 2 6" xfId="3585" xr:uid="{00000000-0005-0000-0000-00000C210000}"/>
    <cellStyle name="Normal 2 2 36 2 6 2" xfId="30802" xr:uid="{00000000-0005-0000-0000-00000D210000}"/>
    <cellStyle name="Normal 2 2 36 2 7" xfId="30803" xr:uid="{00000000-0005-0000-0000-00000E210000}"/>
    <cellStyle name="Normal 2 2 36 2 7 2" xfId="30804" xr:uid="{00000000-0005-0000-0000-00000F210000}"/>
    <cellStyle name="Normal 2 2 36 2 8" xfId="30805" xr:uid="{00000000-0005-0000-0000-000010210000}"/>
    <cellStyle name="Normal 2 2 36 2 9" xfId="30806" xr:uid="{00000000-0005-0000-0000-000011210000}"/>
    <cellStyle name="Normal 2 2 36 3" xfId="3586" xr:uid="{00000000-0005-0000-0000-000012210000}"/>
    <cellStyle name="Normal 2 2 36 3 2" xfId="3587" xr:uid="{00000000-0005-0000-0000-000013210000}"/>
    <cellStyle name="Normal 2 2 36 3 2 2" xfId="3588" xr:uid="{00000000-0005-0000-0000-000014210000}"/>
    <cellStyle name="Normal 2 2 36 3 2 2 2" xfId="30807" xr:uid="{00000000-0005-0000-0000-000015210000}"/>
    <cellStyle name="Normal 2 2 36 3 2 3" xfId="3589" xr:uid="{00000000-0005-0000-0000-000016210000}"/>
    <cellStyle name="Normal 2 2 36 3 2 3 2" xfId="30808" xr:uid="{00000000-0005-0000-0000-000017210000}"/>
    <cellStyle name="Normal 2 2 36 3 2 4" xfId="30809" xr:uid="{00000000-0005-0000-0000-000018210000}"/>
    <cellStyle name="Normal 2 2 36 3 3" xfId="3590" xr:uid="{00000000-0005-0000-0000-000019210000}"/>
    <cellStyle name="Normal 2 2 36 3 3 2" xfId="30810" xr:uid="{00000000-0005-0000-0000-00001A210000}"/>
    <cellStyle name="Normal 2 2 36 3 4" xfId="3591" xr:uid="{00000000-0005-0000-0000-00001B210000}"/>
    <cellStyle name="Normal 2 2 36 3 4 2" xfId="30811" xr:uid="{00000000-0005-0000-0000-00001C210000}"/>
    <cellStyle name="Normal 2 2 36 3 5" xfId="3592" xr:uid="{00000000-0005-0000-0000-00001D210000}"/>
    <cellStyle name="Normal 2 2 36 3 5 2" xfId="30812" xr:uid="{00000000-0005-0000-0000-00001E210000}"/>
    <cellStyle name="Normal 2 2 36 3 6" xfId="30813" xr:uid="{00000000-0005-0000-0000-00001F210000}"/>
    <cellStyle name="Normal 2 2 36 3 6 2" xfId="30814" xr:uid="{00000000-0005-0000-0000-000020210000}"/>
    <cellStyle name="Normal 2 2 36 3 7" xfId="30815" xr:uid="{00000000-0005-0000-0000-000021210000}"/>
    <cellStyle name="Normal 2 2 36 4" xfId="3593" xr:uid="{00000000-0005-0000-0000-000022210000}"/>
    <cellStyle name="Normal 2 2 36 4 2" xfId="3594" xr:uid="{00000000-0005-0000-0000-000023210000}"/>
    <cellStyle name="Normal 2 2 36 4 2 2" xfId="30816" xr:uid="{00000000-0005-0000-0000-000024210000}"/>
    <cellStyle name="Normal 2 2 36 4 3" xfId="3595" xr:uid="{00000000-0005-0000-0000-000025210000}"/>
    <cellStyle name="Normal 2 2 36 4 3 2" xfId="30817" xr:uid="{00000000-0005-0000-0000-000026210000}"/>
    <cellStyle name="Normal 2 2 36 4 4" xfId="30818" xr:uid="{00000000-0005-0000-0000-000027210000}"/>
    <cellStyle name="Normal 2 2 36 5" xfId="3596" xr:uid="{00000000-0005-0000-0000-000028210000}"/>
    <cellStyle name="Normal 2 2 36 5 2" xfId="3597" xr:uid="{00000000-0005-0000-0000-000029210000}"/>
    <cellStyle name="Normal 2 2 36 5 2 2" xfId="30819" xr:uid="{00000000-0005-0000-0000-00002A210000}"/>
    <cellStyle name="Normal 2 2 36 5 3" xfId="30820" xr:uid="{00000000-0005-0000-0000-00002B210000}"/>
    <cellStyle name="Normal 2 2 36 6" xfId="3598" xr:uid="{00000000-0005-0000-0000-00002C210000}"/>
    <cellStyle name="Normal 2 2 36 6 2" xfId="30821" xr:uid="{00000000-0005-0000-0000-00002D210000}"/>
    <cellStyle name="Normal 2 2 36 7" xfId="3599" xr:uid="{00000000-0005-0000-0000-00002E210000}"/>
    <cellStyle name="Normal 2 2 36 7 2" xfId="30822" xr:uid="{00000000-0005-0000-0000-00002F210000}"/>
    <cellStyle name="Normal 2 2 36 8" xfId="30823" xr:uid="{00000000-0005-0000-0000-000030210000}"/>
    <cellStyle name="Normal 2 2 36 8 2" xfId="30824" xr:uid="{00000000-0005-0000-0000-000031210000}"/>
    <cellStyle name="Normal 2 2 36 9" xfId="30825" xr:uid="{00000000-0005-0000-0000-000032210000}"/>
    <cellStyle name="Normal 2 2 37" xfId="3600" xr:uid="{00000000-0005-0000-0000-000033210000}"/>
    <cellStyle name="Normal 2 2 37 10" xfId="30826" xr:uid="{00000000-0005-0000-0000-000034210000}"/>
    <cellStyle name="Normal 2 2 37 11" xfId="30827" xr:uid="{00000000-0005-0000-0000-000035210000}"/>
    <cellStyle name="Normal 2 2 37 2" xfId="3601" xr:uid="{00000000-0005-0000-0000-000036210000}"/>
    <cellStyle name="Normal 2 2 37 2 10" xfId="30828" xr:uid="{00000000-0005-0000-0000-000037210000}"/>
    <cellStyle name="Normal 2 2 37 2 2" xfId="3602" xr:uid="{00000000-0005-0000-0000-000038210000}"/>
    <cellStyle name="Normal 2 2 37 2 2 2" xfId="3603" xr:uid="{00000000-0005-0000-0000-000039210000}"/>
    <cellStyle name="Normal 2 2 37 2 2 2 2" xfId="3604" xr:uid="{00000000-0005-0000-0000-00003A210000}"/>
    <cellStyle name="Normal 2 2 37 2 2 2 2 2" xfId="30829" xr:uid="{00000000-0005-0000-0000-00003B210000}"/>
    <cellStyle name="Normal 2 2 37 2 2 2 3" xfId="3605" xr:uid="{00000000-0005-0000-0000-00003C210000}"/>
    <cellStyle name="Normal 2 2 37 2 2 2 3 2" xfId="30830" xr:uid="{00000000-0005-0000-0000-00003D210000}"/>
    <cellStyle name="Normal 2 2 37 2 2 2 4" xfId="30831" xr:uid="{00000000-0005-0000-0000-00003E210000}"/>
    <cellStyle name="Normal 2 2 37 2 2 3" xfId="3606" xr:uid="{00000000-0005-0000-0000-00003F210000}"/>
    <cellStyle name="Normal 2 2 37 2 2 3 2" xfId="30832" xr:uid="{00000000-0005-0000-0000-000040210000}"/>
    <cellStyle name="Normal 2 2 37 2 2 4" xfId="3607" xr:uid="{00000000-0005-0000-0000-000041210000}"/>
    <cellStyle name="Normal 2 2 37 2 2 4 2" xfId="30833" xr:uid="{00000000-0005-0000-0000-000042210000}"/>
    <cellStyle name="Normal 2 2 37 2 2 5" xfId="3608" xr:uid="{00000000-0005-0000-0000-000043210000}"/>
    <cellStyle name="Normal 2 2 37 2 2 5 2" xfId="30834" xr:uid="{00000000-0005-0000-0000-000044210000}"/>
    <cellStyle name="Normal 2 2 37 2 2 6" xfId="30835" xr:uid="{00000000-0005-0000-0000-000045210000}"/>
    <cellStyle name="Normal 2 2 37 2 2 6 2" xfId="30836" xr:uid="{00000000-0005-0000-0000-000046210000}"/>
    <cellStyle name="Normal 2 2 37 2 2 7" xfId="30837" xr:uid="{00000000-0005-0000-0000-000047210000}"/>
    <cellStyle name="Normal 2 2 37 2 3" xfId="3609" xr:uid="{00000000-0005-0000-0000-000048210000}"/>
    <cellStyle name="Normal 2 2 37 2 3 2" xfId="3610" xr:uid="{00000000-0005-0000-0000-000049210000}"/>
    <cellStyle name="Normal 2 2 37 2 3 2 2" xfId="30838" xr:uid="{00000000-0005-0000-0000-00004A210000}"/>
    <cellStyle name="Normal 2 2 37 2 3 3" xfId="3611" xr:uid="{00000000-0005-0000-0000-00004B210000}"/>
    <cellStyle name="Normal 2 2 37 2 3 3 2" xfId="30839" xr:uid="{00000000-0005-0000-0000-00004C210000}"/>
    <cellStyle name="Normal 2 2 37 2 3 4" xfId="30840" xr:uid="{00000000-0005-0000-0000-00004D210000}"/>
    <cellStyle name="Normal 2 2 37 2 4" xfId="3612" xr:uid="{00000000-0005-0000-0000-00004E210000}"/>
    <cellStyle name="Normal 2 2 37 2 4 2" xfId="3613" xr:uid="{00000000-0005-0000-0000-00004F210000}"/>
    <cellStyle name="Normal 2 2 37 2 4 2 2" xfId="30841" xr:uid="{00000000-0005-0000-0000-000050210000}"/>
    <cellStyle name="Normal 2 2 37 2 4 3" xfId="30842" xr:uid="{00000000-0005-0000-0000-000051210000}"/>
    <cellStyle name="Normal 2 2 37 2 5" xfId="3614" xr:uid="{00000000-0005-0000-0000-000052210000}"/>
    <cellStyle name="Normal 2 2 37 2 5 2" xfId="30843" xr:uid="{00000000-0005-0000-0000-000053210000}"/>
    <cellStyle name="Normal 2 2 37 2 6" xfId="3615" xr:uid="{00000000-0005-0000-0000-000054210000}"/>
    <cellStyle name="Normal 2 2 37 2 6 2" xfId="30844" xr:uid="{00000000-0005-0000-0000-000055210000}"/>
    <cellStyle name="Normal 2 2 37 2 7" xfId="30845" xr:uid="{00000000-0005-0000-0000-000056210000}"/>
    <cellStyle name="Normal 2 2 37 2 7 2" xfId="30846" xr:uid="{00000000-0005-0000-0000-000057210000}"/>
    <cellStyle name="Normal 2 2 37 2 8" xfId="30847" xr:uid="{00000000-0005-0000-0000-000058210000}"/>
    <cellStyle name="Normal 2 2 37 2 9" xfId="30848" xr:uid="{00000000-0005-0000-0000-000059210000}"/>
    <cellStyle name="Normal 2 2 37 3" xfId="3616" xr:uid="{00000000-0005-0000-0000-00005A210000}"/>
    <cellStyle name="Normal 2 2 37 3 2" xfId="3617" xr:uid="{00000000-0005-0000-0000-00005B210000}"/>
    <cellStyle name="Normal 2 2 37 3 2 2" xfId="3618" xr:uid="{00000000-0005-0000-0000-00005C210000}"/>
    <cellStyle name="Normal 2 2 37 3 2 2 2" xfId="30849" xr:uid="{00000000-0005-0000-0000-00005D210000}"/>
    <cellStyle name="Normal 2 2 37 3 2 3" xfId="3619" xr:uid="{00000000-0005-0000-0000-00005E210000}"/>
    <cellStyle name="Normal 2 2 37 3 2 3 2" xfId="30850" xr:uid="{00000000-0005-0000-0000-00005F210000}"/>
    <cellStyle name="Normal 2 2 37 3 2 4" xfId="30851" xr:uid="{00000000-0005-0000-0000-000060210000}"/>
    <cellStyle name="Normal 2 2 37 3 3" xfId="3620" xr:uid="{00000000-0005-0000-0000-000061210000}"/>
    <cellStyle name="Normal 2 2 37 3 3 2" xfId="30852" xr:uid="{00000000-0005-0000-0000-000062210000}"/>
    <cellStyle name="Normal 2 2 37 3 4" xfId="3621" xr:uid="{00000000-0005-0000-0000-000063210000}"/>
    <cellStyle name="Normal 2 2 37 3 4 2" xfId="30853" xr:uid="{00000000-0005-0000-0000-000064210000}"/>
    <cellStyle name="Normal 2 2 37 3 5" xfId="3622" xr:uid="{00000000-0005-0000-0000-000065210000}"/>
    <cellStyle name="Normal 2 2 37 3 5 2" xfId="30854" xr:uid="{00000000-0005-0000-0000-000066210000}"/>
    <cellStyle name="Normal 2 2 37 3 6" xfId="30855" xr:uid="{00000000-0005-0000-0000-000067210000}"/>
    <cellStyle name="Normal 2 2 37 3 6 2" xfId="30856" xr:uid="{00000000-0005-0000-0000-000068210000}"/>
    <cellStyle name="Normal 2 2 37 3 7" xfId="30857" xr:uid="{00000000-0005-0000-0000-000069210000}"/>
    <cellStyle name="Normal 2 2 37 4" xfId="3623" xr:uid="{00000000-0005-0000-0000-00006A210000}"/>
    <cellStyle name="Normal 2 2 37 4 2" xfId="3624" xr:uid="{00000000-0005-0000-0000-00006B210000}"/>
    <cellStyle name="Normal 2 2 37 4 2 2" xfId="30858" xr:uid="{00000000-0005-0000-0000-00006C210000}"/>
    <cellStyle name="Normal 2 2 37 4 3" xfId="3625" xr:uid="{00000000-0005-0000-0000-00006D210000}"/>
    <cellStyle name="Normal 2 2 37 4 3 2" xfId="30859" xr:uid="{00000000-0005-0000-0000-00006E210000}"/>
    <cellStyle name="Normal 2 2 37 4 4" xfId="30860" xr:uid="{00000000-0005-0000-0000-00006F210000}"/>
    <cellStyle name="Normal 2 2 37 5" xfId="3626" xr:uid="{00000000-0005-0000-0000-000070210000}"/>
    <cellStyle name="Normal 2 2 37 5 2" xfId="3627" xr:uid="{00000000-0005-0000-0000-000071210000}"/>
    <cellStyle name="Normal 2 2 37 5 2 2" xfId="30861" xr:uid="{00000000-0005-0000-0000-000072210000}"/>
    <cellStyle name="Normal 2 2 37 5 3" xfId="30862" xr:uid="{00000000-0005-0000-0000-000073210000}"/>
    <cellStyle name="Normal 2 2 37 6" xfId="3628" xr:uid="{00000000-0005-0000-0000-000074210000}"/>
    <cellStyle name="Normal 2 2 37 6 2" xfId="30863" xr:uid="{00000000-0005-0000-0000-000075210000}"/>
    <cellStyle name="Normal 2 2 37 7" xfId="3629" xr:uid="{00000000-0005-0000-0000-000076210000}"/>
    <cellStyle name="Normal 2 2 37 7 2" xfId="30864" xr:uid="{00000000-0005-0000-0000-000077210000}"/>
    <cellStyle name="Normal 2 2 37 8" xfId="30865" xr:uid="{00000000-0005-0000-0000-000078210000}"/>
    <cellStyle name="Normal 2 2 37 8 2" xfId="30866" xr:uid="{00000000-0005-0000-0000-000079210000}"/>
    <cellStyle name="Normal 2 2 37 9" xfId="30867" xr:uid="{00000000-0005-0000-0000-00007A210000}"/>
    <cellStyle name="Normal 2 2 38" xfId="3630" xr:uid="{00000000-0005-0000-0000-00007B210000}"/>
    <cellStyle name="Normal 2 2 38 10" xfId="30868" xr:uid="{00000000-0005-0000-0000-00007C210000}"/>
    <cellStyle name="Normal 2 2 38 11" xfId="30869" xr:uid="{00000000-0005-0000-0000-00007D210000}"/>
    <cellStyle name="Normal 2 2 38 2" xfId="3631" xr:uid="{00000000-0005-0000-0000-00007E210000}"/>
    <cellStyle name="Normal 2 2 38 2 10" xfId="30870" xr:uid="{00000000-0005-0000-0000-00007F210000}"/>
    <cellStyle name="Normal 2 2 38 2 2" xfId="3632" xr:uid="{00000000-0005-0000-0000-000080210000}"/>
    <cellStyle name="Normal 2 2 38 2 2 2" xfId="3633" xr:uid="{00000000-0005-0000-0000-000081210000}"/>
    <cellStyle name="Normal 2 2 38 2 2 2 2" xfId="3634" xr:uid="{00000000-0005-0000-0000-000082210000}"/>
    <cellStyle name="Normal 2 2 38 2 2 2 2 2" xfId="30871" xr:uid="{00000000-0005-0000-0000-000083210000}"/>
    <cellStyle name="Normal 2 2 38 2 2 2 3" xfId="3635" xr:uid="{00000000-0005-0000-0000-000084210000}"/>
    <cellStyle name="Normal 2 2 38 2 2 2 3 2" xfId="30872" xr:uid="{00000000-0005-0000-0000-000085210000}"/>
    <cellStyle name="Normal 2 2 38 2 2 2 4" xfId="30873" xr:uid="{00000000-0005-0000-0000-000086210000}"/>
    <cellStyle name="Normal 2 2 38 2 2 3" xfId="3636" xr:uid="{00000000-0005-0000-0000-000087210000}"/>
    <cellStyle name="Normal 2 2 38 2 2 3 2" xfId="30874" xr:uid="{00000000-0005-0000-0000-000088210000}"/>
    <cellStyle name="Normal 2 2 38 2 2 4" xfId="3637" xr:uid="{00000000-0005-0000-0000-000089210000}"/>
    <cellStyle name="Normal 2 2 38 2 2 4 2" xfId="30875" xr:uid="{00000000-0005-0000-0000-00008A210000}"/>
    <cellStyle name="Normal 2 2 38 2 2 5" xfId="3638" xr:uid="{00000000-0005-0000-0000-00008B210000}"/>
    <cellStyle name="Normal 2 2 38 2 2 5 2" xfId="30876" xr:uid="{00000000-0005-0000-0000-00008C210000}"/>
    <cellStyle name="Normal 2 2 38 2 2 6" xfId="30877" xr:uid="{00000000-0005-0000-0000-00008D210000}"/>
    <cellStyle name="Normal 2 2 38 2 2 6 2" xfId="30878" xr:uid="{00000000-0005-0000-0000-00008E210000}"/>
    <cellStyle name="Normal 2 2 38 2 2 7" xfId="30879" xr:uid="{00000000-0005-0000-0000-00008F210000}"/>
    <cellStyle name="Normal 2 2 38 2 3" xfId="3639" xr:uid="{00000000-0005-0000-0000-000090210000}"/>
    <cellStyle name="Normal 2 2 38 2 3 2" xfId="3640" xr:uid="{00000000-0005-0000-0000-000091210000}"/>
    <cellStyle name="Normal 2 2 38 2 3 2 2" xfId="30880" xr:uid="{00000000-0005-0000-0000-000092210000}"/>
    <cellStyle name="Normal 2 2 38 2 3 3" xfId="3641" xr:uid="{00000000-0005-0000-0000-000093210000}"/>
    <cellStyle name="Normal 2 2 38 2 3 3 2" xfId="30881" xr:uid="{00000000-0005-0000-0000-000094210000}"/>
    <cellStyle name="Normal 2 2 38 2 3 4" xfId="30882" xr:uid="{00000000-0005-0000-0000-000095210000}"/>
    <cellStyle name="Normal 2 2 38 2 4" xfId="3642" xr:uid="{00000000-0005-0000-0000-000096210000}"/>
    <cellStyle name="Normal 2 2 38 2 4 2" xfId="3643" xr:uid="{00000000-0005-0000-0000-000097210000}"/>
    <cellStyle name="Normal 2 2 38 2 4 2 2" xfId="30883" xr:uid="{00000000-0005-0000-0000-000098210000}"/>
    <cellStyle name="Normal 2 2 38 2 4 3" xfId="30884" xr:uid="{00000000-0005-0000-0000-000099210000}"/>
    <cellStyle name="Normal 2 2 38 2 5" xfId="3644" xr:uid="{00000000-0005-0000-0000-00009A210000}"/>
    <cellStyle name="Normal 2 2 38 2 5 2" xfId="30885" xr:uid="{00000000-0005-0000-0000-00009B210000}"/>
    <cellStyle name="Normal 2 2 38 2 6" xfId="3645" xr:uid="{00000000-0005-0000-0000-00009C210000}"/>
    <cellStyle name="Normal 2 2 38 2 6 2" xfId="30886" xr:uid="{00000000-0005-0000-0000-00009D210000}"/>
    <cellStyle name="Normal 2 2 38 2 7" xfId="30887" xr:uid="{00000000-0005-0000-0000-00009E210000}"/>
    <cellStyle name="Normal 2 2 38 2 7 2" xfId="30888" xr:uid="{00000000-0005-0000-0000-00009F210000}"/>
    <cellStyle name="Normal 2 2 38 2 8" xfId="30889" xr:uid="{00000000-0005-0000-0000-0000A0210000}"/>
    <cellStyle name="Normal 2 2 38 2 9" xfId="30890" xr:uid="{00000000-0005-0000-0000-0000A1210000}"/>
    <cellStyle name="Normal 2 2 38 3" xfId="3646" xr:uid="{00000000-0005-0000-0000-0000A2210000}"/>
    <cellStyle name="Normal 2 2 38 3 2" xfId="3647" xr:uid="{00000000-0005-0000-0000-0000A3210000}"/>
    <cellStyle name="Normal 2 2 38 3 2 2" xfId="3648" xr:uid="{00000000-0005-0000-0000-0000A4210000}"/>
    <cellStyle name="Normal 2 2 38 3 2 2 2" xfId="30891" xr:uid="{00000000-0005-0000-0000-0000A5210000}"/>
    <cellStyle name="Normal 2 2 38 3 2 3" xfId="3649" xr:uid="{00000000-0005-0000-0000-0000A6210000}"/>
    <cellStyle name="Normal 2 2 38 3 2 3 2" xfId="30892" xr:uid="{00000000-0005-0000-0000-0000A7210000}"/>
    <cellStyle name="Normal 2 2 38 3 2 4" xfId="30893" xr:uid="{00000000-0005-0000-0000-0000A8210000}"/>
    <cellStyle name="Normal 2 2 38 3 3" xfId="3650" xr:uid="{00000000-0005-0000-0000-0000A9210000}"/>
    <cellStyle name="Normal 2 2 38 3 3 2" xfId="30894" xr:uid="{00000000-0005-0000-0000-0000AA210000}"/>
    <cellStyle name="Normal 2 2 38 3 4" xfId="3651" xr:uid="{00000000-0005-0000-0000-0000AB210000}"/>
    <cellStyle name="Normal 2 2 38 3 4 2" xfId="30895" xr:uid="{00000000-0005-0000-0000-0000AC210000}"/>
    <cellStyle name="Normal 2 2 38 3 5" xfId="3652" xr:uid="{00000000-0005-0000-0000-0000AD210000}"/>
    <cellStyle name="Normal 2 2 38 3 5 2" xfId="30896" xr:uid="{00000000-0005-0000-0000-0000AE210000}"/>
    <cellStyle name="Normal 2 2 38 3 6" xfId="30897" xr:uid="{00000000-0005-0000-0000-0000AF210000}"/>
    <cellStyle name="Normal 2 2 38 3 6 2" xfId="30898" xr:uid="{00000000-0005-0000-0000-0000B0210000}"/>
    <cellStyle name="Normal 2 2 38 3 7" xfId="30899" xr:uid="{00000000-0005-0000-0000-0000B1210000}"/>
    <cellStyle name="Normal 2 2 38 4" xfId="3653" xr:uid="{00000000-0005-0000-0000-0000B2210000}"/>
    <cellStyle name="Normal 2 2 38 4 2" xfId="3654" xr:uid="{00000000-0005-0000-0000-0000B3210000}"/>
    <cellStyle name="Normal 2 2 38 4 2 2" xfId="30900" xr:uid="{00000000-0005-0000-0000-0000B4210000}"/>
    <cellStyle name="Normal 2 2 38 4 3" xfId="3655" xr:uid="{00000000-0005-0000-0000-0000B5210000}"/>
    <cellStyle name="Normal 2 2 38 4 3 2" xfId="30901" xr:uid="{00000000-0005-0000-0000-0000B6210000}"/>
    <cellStyle name="Normal 2 2 38 4 4" xfId="30902" xr:uid="{00000000-0005-0000-0000-0000B7210000}"/>
    <cellStyle name="Normal 2 2 38 5" xfId="3656" xr:uid="{00000000-0005-0000-0000-0000B8210000}"/>
    <cellStyle name="Normal 2 2 38 5 2" xfId="3657" xr:uid="{00000000-0005-0000-0000-0000B9210000}"/>
    <cellStyle name="Normal 2 2 38 5 2 2" xfId="30903" xr:uid="{00000000-0005-0000-0000-0000BA210000}"/>
    <cellStyle name="Normal 2 2 38 5 3" xfId="30904" xr:uid="{00000000-0005-0000-0000-0000BB210000}"/>
    <cellStyle name="Normal 2 2 38 6" xfId="3658" xr:uid="{00000000-0005-0000-0000-0000BC210000}"/>
    <cellStyle name="Normal 2 2 38 6 2" xfId="30905" xr:uid="{00000000-0005-0000-0000-0000BD210000}"/>
    <cellStyle name="Normal 2 2 38 7" xfId="3659" xr:uid="{00000000-0005-0000-0000-0000BE210000}"/>
    <cellStyle name="Normal 2 2 38 7 2" xfId="30906" xr:uid="{00000000-0005-0000-0000-0000BF210000}"/>
    <cellStyle name="Normal 2 2 38 8" xfId="30907" xr:uid="{00000000-0005-0000-0000-0000C0210000}"/>
    <cellStyle name="Normal 2 2 38 8 2" xfId="30908" xr:uid="{00000000-0005-0000-0000-0000C1210000}"/>
    <cellStyle name="Normal 2 2 38 9" xfId="30909" xr:uid="{00000000-0005-0000-0000-0000C2210000}"/>
    <cellStyle name="Normal 2 2 39" xfId="3660" xr:uid="{00000000-0005-0000-0000-0000C3210000}"/>
    <cellStyle name="Normal 2 2 39 10" xfId="30910" xr:uid="{00000000-0005-0000-0000-0000C4210000}"/>
    <cellStyle name="Normal 2 2 39 11" xfId="30911" xr:uid="{00000000-0005-0000-0000-0000C5210000}"/>
    <cellStyle name="Normal 2 2 39 2" xfId="3661" xr:uid="{00000000-0005-0000-0000-0000C6210000}"/>
    <cellStyle name="Normal 2 2 39 2 10" xfId="30912" xr:uid="{00000000-0005-0000-0000-0000C7210000}"/>
    <cellStyle name="Normal 2 2 39 2 2" xfId="3662" xr:uid="{00000000-0005-0000-0000-0000C8210000}"/>
    <cellStyle name="Normal 2 2 39 2 2 2" xfId="3663" xr:uid="{00000000-0005-0000-0000-0000C9210000}"/>
    <cellStyle name="Normal 2 2 39 2 2 2 2" xfId="3664" xr:uid="{00000000-0005-0000-0000-0000CA210000}"/>
    <cellStyle name="Normal 2 2 39 2 2 2 2 2" xfId="30913" xr:uid="{00000000-0005-0000-0000-0000CB210000}"/>
    <cellStyle name="Normal 2 2 39 2 2 2 3" xfId="3665" xr:uid="{00000000-0005-0000-0000-0000CC210000}"/>
    <cellStyle name="Normal 2 2 39 2 2 2 3 2" xfId="30914" xr:uid="{00000000-0005-0000-0000-0000CD210000}"/>
    <cellStyle name="Normal 2 2 39 2 2 2 4" xfId="30915" xr:uid="{00000000-0005-0000-0000-0000CE210000}"/>
    <cellStyle name="Normal 2 2 39 2 2 3" xfId="3666" xr:uid="{00000000-0005-0000-0000-0000CF210000}"/>
    <cellStyle name="Normal 2 2 39 2 2 3 2" xfId="30916" xr:uid="{00000000-0005-0000-0000-0000D0210000}"/>
    <cellStyle name="Normal 2 2 39 2 2 4" xfId="3667" xr:uid="{00000000-0005-0000-0000-0000D1210000}"/>
    <cellStyle name="Normal 2 2 39 2 2 4 2" xfId="30917" xr:uid="{00000000-0005-0000-0000-0000D2210000}"/>
    <cellStyle name="Normal 2 2 39 2 2 5" xfId="30918" xr:uid="{00000000-0005-0000-0000-0000D3210000}"/>
    <cellStyle name="Normal 2 2 39 2 2 5 2" xfId="30919" xr:uid="{00000000-0005-0000-0000-0000D4210000}"/>
    <cellStyle name="Normal 2 2 39 2 2 6" xfId="30920" xr:uid="{00000000-0005-0000-0000-0000D5210000}"/>
    <cellStyle name="Normal 2 2 39 2 3" xfId="3668" xr:uid="{00000000-0005-0000-0000-0000D6210000}"/>
    <cellStyle name="Normal 2 2 39 2 3 2" xfId="3669" xr:uid="{00000000-0005-0000-0000-0000D7210000}"/>
    <cellStyle name="Normal 2 2 39 2 3 2 2" xfId="30921" xr:uid="{00000000-0005-0000-0000-0000D8210000}"/>
    <cellStyle name="Normal 2 2 39 2 3 3" xfId="3670" xr:uid="{00000000-0005-0000-0000-0000D9210000}"/>
    <cellStyle name="Normal 2 2 39 2 3 3 2" xfId="30922" xr:uid="{00000000-0005-0000-0000-0000DA210000}"/>
    <cellStyle name="Normal 2 2 39 2 3 4" xfId="30923" xr:uid="{00000000-0005-0000-0000-0000DB210000}"/>
    <cellStyle name="Normal 2 2 39 2 4" xfId="3671" xr:uid="{00000000-0005-0000-0000-0000DC210000}"/>
    <cellStyle name="Normal 2 2 39 2 4 2" xfId="30924" xr:uid="{00000000-0005-0000-0000-0000DD210000}"/>
    <cellStyle name="Normal 2 2 39 2 5" xfId="3672" xr:uid="{00000000-0005-0000-0000-0000DE210000}"/>
    <cellStyle name="Normal 2 2 39 2 5 2" xfId="30925" xr:uid="{00000000-0005-0000-0000-0000DF210000}"/>
    <cellStyle name="Normal 2 2 39 2 6" xfId="3673" xr:uid="{00000000-0005-0000-0000-0000E0210000}"/>
    <cellStyle name="Normal 2 2 39 2 6 2" xfId="30926" xr:uid="{00000000-0005-0000-0000-0000E1210000}"/>
    <cellStyle name="Normal 2 2 39 2 7" xfId="30927" xr:uid="{00000000-0005-0000-0000-0000E2210000}"/>
    <cellStyle name="Normal 2 2 39 2 7 2" xfId="30928" xr:uid="{00000000-0005-0000-0000-0000E3210000}"/>
    <cellStyle name="Normal 2 2 39 2 8" xfId="30929" xr:uid="{00000000-0005-0000-0000-0000E4210000}"/>
    <cellStyle name="Normal 2 2 39 2 9" xfId="30930" xr:uid="{00000000-0005-0000-0000-0000E5210000}"/>
    <cellStyle name="Normal 2 2 39 3" xfId="3674" xr:uid="{00000000-0005-0000-0000-0000E6210000}"/>
    <cellStyle name="Normal 2 2 39 3 2" xfId="3675" xr:uid="{00000000-0005-0000-0000-0000E7210000}"/>
    <cellStyle name="Normal 2 2 39 3 2 2" xfId="3676" xr:uid="{00000000-0005-0000-0000-0000E8210000}"/>
    <cellStyle name="Normal 2 2 39 3 2 2 2" xfId="30931" xr:uid="{00000000-0005-0000-0000-0000E9210000}"/>
    <cellStyle name="Normal 2 2 39 3 2 3" xfId="3677" xr:uid="{00000000-0005-0000-0000-0000EA210000}"/>
    <cellStyle name="Normal 2 2 39 3 2 3 2" xfId="30932" xr:uid="{00000000-0005-0000-0000-0000EB210000}"/>
    <cellStyle name="Normal 2 2 39 3 2 4" xfId="30933" xr:uid="{00000000-0005-0000-0000-0000EC210000}"/>
    <cellStyle name="Normal 2 2 39 3 3" xfId="3678" xr:uid="{00000000-0005-0000-0000-0000ED210000}"/>
    <cellStyle name="Normal 2 2 39 3 3 2" xfId="30934" xr:uid="{00000000-0005-0000-0000-0000EE210000}"/>
    <cellStyle name="Normal 2 2 39 3 4" xfId="3679" xr:uid="{00000000-0005-0000-0000-0000EF210000}"/>
    <cellStyle name="Normal 2 2 39 3 4 2" xfId="30935" xr:uid="{00000000-0005-0000-0000-0000F0210000}"/>
    <cellStyle name="Normal 2 2 39 3 5" xfId="30936" xr:uid="{00000000-0005-0000-0000-0000F1210000}"/>
    <cellStyle name="Normal 2 2 39 3 5 2" xfId="30937" xr:uid="{00000000-0005-0000-0000-0000F2210000}"/>
    <cellStyle name="Normal 2 2 39 3 6" xfId="30938" xr:uid="{00000000-0005-0000-0000-0000F3210000}"/>
    <cellStyle name="Normal 2 2 39 4" xfId="3680" xr:uid="{00000000-0005-0000-0000-0000F4210000}"/>
    <cellStyle name="Normal 2 2 39 4 2" xfId="3681" xr:uid="{00000000-0005-0000-0000-0000F5210000}"/>
    <cellStyle name="Normal 2 2 39 4 2 2" xfId="30939" xr:uid="{00000000-0005-0000-0000-0000F6210000}"/>
    <cellStyle name="Normal 2 2 39 4 3" xfId="3682" xr:uid="{00000000-0005-0000-0000-0000F7210000}"/>
    <cellStyle name="Normal 2 2 39 4 3 2" xfId="30940" xr:uid="{00000000-0005-0000-0000-0000F8210000}"/>
    <cellStyle name="Normal 2 2 39 4 4" xfId="30941" xr:uid="{00000000-0005-0000-0000-0000F9210000}"/>
    <cellStyle name="Normal 2 2 39 5" xfId="3683" xr:uid="{00000000-0005-0000-0000-0000FA210000}"/>
    <cellStyle name="Normal 2 2 39 5 2" xfId="3684" xr:uid="{00000000-0005-0000-0000-0000FB210000}"/>
    <cellStyle name="Normal 2 2 39 5 2 2" xfId="30942" xr:uid="{00000000-0005-0000-0000-0000FC210000}"/>
    <cellStyle name="Normal 2 2 39 5 3" xfId="30943" xr:uid="{00000000-0005-0000-0000-0000FD210000}"/>
    <cellStyle name="Normal 2 2 39 6" xfId="3685" xr:uid="{00000000-0005-0000-0000-0000FE210000}"/>
    <cellStyle name="Normal 2 2 39 6 2" xfId="30944" xr:uid="{00000000-0005-0000-0000-0000FF210000}"/>
    <cellStyle name="Normal 2 2 39 7" xfId="3686" xr:uid="{00000000-0005-0000-0000-000000220000}"/>
    <cellStyle name="Normal 2 2 39 7 2" xfId="30945" xr:uid="{00000000-0005-0000-0000-000001220000}"/>
    <cellStyle name="Normal 2 2 39 8" xfId="30946" xr:uid="{00000000-0005-0000-0000-000002220000}"/>
    <cellStyle name="Normal 2 2 39 8 2" xfId="30947" xr:uid="{00000000-0005-0000-0000-000003220000}"/>
    <cellStyle name="Normal 2 2 39 9" xfId="30948" xr:uid="{00000000-0005-0000-0000-000004220000}"/>
    <cellStyle name="Normal 2 2 4" xfId="3687" xr:uid="{00000000-0005-0000-0000-000005220000}"/>
    <cellStyle name="Normal 2 2 4 10" xfId="3688" xr:uid="{00000000-0005-0000-0000-000006220000}"/>
    <cellStyle name="Normal 2 2 4 10 10" xfId="30949" xr:uid="{00000000-0005-0000-0000-000007220000}"/>
    <cellStyle name="Normal 2 2 4 10 11" xfId="30950" xr:uid="{00000000-0005-0000-0000-000008220000}"/>
    <cellStyle name="Normal 2 2 4 10 2" xfId="3689" xr:uid="{00000000-0005-0000-0000-000009220000}"/>
    <cellStyle name="Normal 2 2 4 10 2 10" xfId="30951" xr:uid="{00000000-0005-0000-0000-00000A220000}"/>
    <cellStyle name="Normal 2 2 4 10 2 2" xfId="3690" xr:uid="{00000000-0005-0000-0000-00000B220000}"/>
    <cellStyle name="Normal 2 2 4 10 2 2 2" xfId="3691" xr:uid="{00000000-0005-0000-0000-00000C220000}"/>
    <cellStyle name="Normal 2 2 4 10 2 2 2 2" xfId="3692" xr:uid="{00000000-0005-0000-0000-00000D220000}"/>
    <cellStyle name="Normal 2 2 4 10 2 2 2 2 2" xfId="30952" xr:uid="{00000000-0005-0000-0000-00000E220000}"/>
    <cellStyle name="Normal 2 2 4 10 2 2 2 3" xfId="3693" xr:uid="{00000000-0005-0000-0000-00000F220000}"/>
    <cellStyle name="Normal 2 2 4 10 2 2 2 3 2" xfId="30953" xr:uid="{00000000-0005-0000-0000-000010220000}"/>
    <cellStyle name="Normal 2 2 4 10 2 2 2 4" xfId="30954" xr:uid="{00000000-0005-0000-0000-000011220000}"/>
    <cellStyle name="Normal 2 2 4 10 2 2 3" xfId="3694" xr:uid="{00000000-0005-0000-0000-000012220000}"/>
    <cellStyle name="Normal 2 2 4 10 2 2 3 2" xfId="30955" xr:uid="{00000000-0005-0000-0000-000013220000}"/>
    <cellStyle name="Normal 2 2 4 10 2 2 4" xfId="3695" xr:uid="{00000000-0005-0000-0000-000014220000}"/>
    <cellStyle name="Normal 2 2 4 10 2 2 4 2" xfId="30956" xr:uid="{00000000-0005-0000-0000-000015220000}"/>
    <cellStyle name="Normal 2 2 4 10 2 2 5" xfId="3696" xr:uid="{00000000-0005-0000-0000-000016220000}"/>
    <cellStyle name="Normal 2 2 4 10 2 2 5 2" xfId="30957" xr:uid="{00000000-0005-0000-0000-000017220000}"/>
    <cellStyle name="Normal 2 2 4 10 2 2 6" xfId="30958" xr:uid="{00000000-0005-0000-0000-000018220000}"/>
    <cellStyle name="Normal 2 2 4 10 2 2 6 2" xfId="30959" xr:uid="{00000000-0005-0000-0000-000019220000}"/>
    <cellStyle name="Normal 2 2 4 10 2 2 7" xfId="30960" xr:uid="{00000000-0005-0000-0000-00001A220000}"/>
    <cellStyle name="Normal 2 2 4 10 2 3" xfId="3697" xr:uid="{00000000-0005-0000-0000-00001B220000}"/>
    <cellStyle name="Normal 2 2 4 10 2 3 2" xfId="3698" xr:uid="{00000000-0005-0000-0000-00001C220000}"/>
    <cellStyle name="Normal 2 2 4 10 2 3 2 2" xfId="30961" xr:uid="{00000000-0005-0000-0000-00001D220000}"/>
    <cellStyle name="Normal 2 2 4 10 2 3 3" xfId="3699" xr:uid="{00000000-0005-0000-0000-00001E220000}"/>
    <cellStyle name="Normal 2 2 4 10 2 3 3 2" xfId="30962" xr:uid="{00000000-0005-0000-0000-00001F220000}"/>
    <cellStyle name="Normal 2 2 4 10 2 3 4" xfId="30963" xr:uid="{00000000-0005-0000-0000-000020220000}"/>
    <cellStyle name="Normal 2 2 4 10 2 4" xfId="3700" xr:uid="{00000000-0005-0000-0000-000021220000}"/>
    <cellStyle name="Normal 2 2 4 10 2 4 2" xfId="3701" xr:uid="{00000000-0005-0000-0000-000022220000}"/>
    <cellStyle name="Normal 2 2 4 10 2 4 2 2" xfId="30964" xr:uid="{00000000-0005-0000-0000-000023220000}"/>
    <cellStyle name="Normal 2 2 4 10 2 4 3" xfId="30965" xr:uid="{00000000-0005-0000-0000-000024220000}"/>
    <cellStyle name="Normal 2 2 4 10 2 5" xfId="3702" xr:uid="{00000000-0005-0000-0000-000025220000}"/>
    <cellStyle name="Normal 2 2 4 10 2 5 2" xfId="30966" xr:uid="{00000000-0005-0000-0000-000026220000}"/>
    <cellStyle name="Normal 2 2 4 10 2 6" xfId="3703" xr:uid="{00000000-0005-0000-0000-000027220000}"/>
    <cellStyle name="Normal 2 2 4 10 2 6 2" xfId="30967" xr:uid="{00000000-0005-0000-0000-000028220000}"/>
    <cellStyle name="Normal 2 2 4 10 2 7" xfId="30968" xr:uid="{00000000-0005-0000-0000-000029220000}"/>
    <cellStyle name="Normal 2 2 4 10 2 7 2" xfId="30969" xr:uid="{00000000-0005-0000-0000-00002A220000}"/>
    <cellStyle name="Normal 2 2 4 10 2 8" xfId="30970" xr:uid="{00000000-0005-0000-0000-00002B220000}"/>
    <cellStyle name="Normal 2 2 4 10 2 9" xfId="30971" xr:uid="{00000000-0005-0000-0000-00002C220000}"/>
    <cellStyle name="Normal 2 2 4 10 3" xfId="3704" xr:uid="{00000000-0005-0000-0000-00002D220000}"/>
    <cellStyle name="Normal 2 2 4 10 3 2" xfId="3705" xr:uid="{00000000-0005-0000-0000-00002E220000}"/>
    <cellStyle name="Normal 2 2 4 10 3 2 2" xfId="3706" xr:uid="{00000000-0005-0000-0000-00002F220000}"/>
    <cellStyle name="Normal 2 2 4 10 3 2 2 2" xfId="30972" xr:uid="{00000000-0005-0000-0000-000030220000}"/>
    <cellStyle name="Normal 2 2 4 10 3 2 3" xfId="3707" xr:uid="{00000000-0005-0000-0000-000031220000}"/>
    <cellStyle name="Normal 2 2 4 10 3 2 3 2" xfId="30973" xr:uid="{00000000-0005-0000-0000-000032220000}"/>
    <cellStyle name="Normal 2 2 4 10 3 2 4" xfId="30974" xr:uid="{00000000-0005-0000-0000-000033220000}"/>
    <cellStyle name="Normal 2 2 4 10 3 3" xfId="3708" xr:uid="{00000000-0005-0000-0000-000034220000}"/>
    <cellStyle name="Normal 2 2 4 10 3 3 2" xfId="30975" xr:uid="{00000000-0005-0000-0000-000035220000}"/>
    <cellStyle name="Normal 2 2 4 10 3 4" xfId="3709" xr:uid="{00000000-0005-0000-0000-000036220000}"/>
    <cellStyle name="Normal 2 2 4 10 3 4 2" xfId="30976" xr:uid="{00000000-0005-0000-0000-000037220000}"/>
    <cellStyle name="Normal 2 2 4 10 3 5" xfId="3710" xr:uid="{00000000-0005-0000-0000-000038220000}"/>
    <cellStyle name="Normal 2 2 4 10 3 5 2" xfId="30977" xr:uid="{00000000-0005-0000-0000-000039220000}"/>
    <cellStyle name="Normal 2 2 4 10 3 6" xfId="30978" xr:uid="{00000000-0005-0000-0000-00003A220000}"/>
    <cellStyle name="Normal 2 2 4 10 3 6 2" xfId="30979" xr:uid="{00000000-0005-0000-0000-00003B220000}"/>
    <cellStyle name="Normal 2 2 4 10 3 7" xfId="30980" xr:uid="{00000000-0005-0000-0000-00003C220000}"/>
    <cellStyle name="Normal 2 2 4 10 4" xfId="3711" xr:uid="{00000000-0005-0000-0000-00003D220000}"/>
    <cellStyle name="Normal 2 2 4 10 4 2" xfId="3712" xr:uid="{00000000-0005-0000-0000-00003E220000}"/>
    <cellStyle name="Normal 2 2 4 10 4 2 2" xfId="30981" xr:uid="{00000000-0005-0000-0000-00003F220000}"/>
    <cellStyle name="Normal 2 2 4 10 4 3" xfId="3713" xr:uid="{00000000-0005-0000-0000-000040220000}"/>
    <cellStyle name="Normal 2 2 4 10 4 3 2" xfId="30982" xr:uid="{00000000-0005-0000-0000-000041220000}"/>
    <cellStyle name="Normal 2 2 4 10 4 4" xfId="30983" xr:uid="{00000000-0005-0000-0000-000042220000}"/>
    <cellStyle name="Normal 2 2 4 10 5" xfId="3714" xr:uid="{00000000-0005-0000-0000-000043220000}"/>
    <cellStyle name="Normal 2 2 4 10 5 2" xfId="3715" xr:uid="{00000000-0005-0000-0000-000044220000}"/>
    <cellStyle name="Normal 2 2 4 10 5 2 2" xfId="30984" xr:uid="{00000000-0005-0000-0000-000045220000}"/>
    <cellStyle name="Normal 2 2 4 10 5 3" xfId="30985" xr:uid="{00000000-0005-0000-0000-000046220000}"/>
    <cellStyle name="Normal 2 2 4 10 6" xfId="3716" xr:uid="{00000000-0005-0000-0000-000047220000}"/>
    <cellStyle name="Normal 2 2 4 10 6 2" xfId="30986" xr:uid="{00000000-0005-0000-0000-000048220000}"/>
    <cellStyle name="Normal 2 2 4 10 7" xfId="3717" xr:uid="{00000000-0005-0000-0000-000049220000}"/>
    <cellStyle name="Normal 2 2 4 10 7 2" xfId="30987" xr:uid="{00000000-0005-0000-0000-00004A220000}"/>
    <cellStyle name="Normal 2 2 4 10 8" xfId="30988" xr:uid="{00000000-0005-0000-0000-00004B220000}"/>
    <cellStyle name="Normal 2 2 4 10 8 2" xfId="30989" xr:uid="{00000000-0005-0000-0000-00004C220000}"/>
    <cellStyle name="Normal 2 2 4 10 9" xfId="30990" xr:uid="{00000000-0005-0000-0000-00004D220000}"/>
    <cellStyle name="Normal 2 2 4 11" xfId="3718" xr:uid="{00000000-0005-0000-0000-00004E220000}"/>
    <cellStyle name="Normal 2 2 4 11 10" xfId="30991" xr:uid="{00000000-0005-0000-0000-00004F220000}"/>
    <cellStyle name="Normal 2 2 4 11 11" xfId="30992" xr:uid="{00000000-0005-0000-0000-000050220000}"/>
    <cellStyle name="Normal 2 2 4 11 2" xfId="3719" xr:uid="{00000000-0005-0000-0000-000051220000}"/>
    <cellStyle name="Normal 2 2 4 11 2 10" xfId="30993" xr:uid="{00000000-0005-0000-0000-000052220000}"/>
    <cellStyle name="Normal 2 2 4 11 2 2" xfId="3720" xr:uid="{00000000-0005-0000-0000-000053220000}"/>
    <cellStyle name="Normal 2 2 4 11 2 2 2" xfId="3721" xr:uid="{00000000-0005-0000-0000-000054220000}"/>
    <cellStyle name="Normal 2 2 4 11 2 2 2 2" xfId="3722" xr:uid="{00000000-0005-0000-0000-000055220000}"/>
    <cellStyle name="Normal 2 2 4 11 2 2 2 2 2" xfId="30994" xr:uid="{00000000-0005-0000-0000-000056220000}"/>
    <cellStyle name="Normal 2 2 4 11 2 2 2 3" xfId="3723" xr:uid="{00000000-0005-0000-0000-000057220000}"/>
    <cellStyle name="Normal 2 2 4 11 2 2 2 3 2" xfId="30995" xr:uid="{00000000-0005-0000-0000-000058220000}"/>
    <cellStyle name="Normal 2 2 4 11 2 2 2 4" xfId="30996" xr:uid="{00000000-0005-0000-0000-000059220000}"/>
    <cellStyle name="Normal 2 2 4 11 2 2 3" xfId="3724" xr:uid="{00000000-0005-0000-0000-00005A220000}"/>
    <cellStyle name="Normal 2 2 4 11 2 2 3 2" xfId="30997" xr:uid="{00000000-0005-0000-0000-00005B220000}"/>
    <cellStyle name="Normal 2 2 4 11 2 2 4" xfId="3725" xr:uid="{00000000-0005-0000-0000-00005C220000}"/>
    <cellStyle name="Normal 2 2 4 11 2 2 4 2" xfId="30998" xr:uid="{00000000-0005-0000-0000-00005D220000}"/>
    <cellStyle name="Normal 2 2 4 11 2 2 5" xfId="3726" xr:uid="{00000000-0005-0000-0000-00005E220000}"/>
    <cellStyle name="Normal 2 2 4 11 2 2 5 2" xfId="30999" xr:uid="{00000000-0005-0000-0000-00005F220000}"/>
    <cellStyle name="Normal 2 2 4 11 2 2 6" xfId="31000" xr:uid="{00000000-0005-0000-0000-000060220000}"/>
    <cellStyle name="Normal 2 2 4 11 2 2 6 2" xfId="31001" xr:uid="{00000000-0005-0000-0000-000061220000}"/>
    <cellStyle name="Normal 2 2 4 11 2 2 7" xfId="31002" xr:uid="{00000000-0005-0000-0000-000062220000}"/>
    <cellStyle name="Normal 2 2 4 11 2 3" xfId="3727" xr:uid="{00000000-0005-0000-0000-000063220000}"/>
    <cellStyle name="Normal 2 2 4 11 2 3 2" xfId="3728" xr:uid="{00000000-0005-0000-0000-000064220000}"/>
    <cellStyle name="Normal 2 2 4 11 2 3 2 2" xfId="31003" xr:uid="{00000000-0005-0000-0000-000065220000}"/>
    <cellStyle name="Normal 2 2 4 11 2 3 3" xfId="3729" xr:uid="{00000000-0005-0000-0000-000066220000}"/>
    <cellStyle name="Normal 2 2 4 11 2 3 3 2" xfId="31004" xr:uid="{00000000-0005-0000-0000-000067220000}"/>
    <cellStyle name="Normal 2 2 4 11 2 3 4" xfId="31005" xr:uid="{00000000-0005-0000-0000-000068220000}"/>
    <cellStyle name="Normal 2 2 4 11 2 4" xfId="3730" xr:uid="{00000000-0005-0000-0000-000069220000}"/>
    <cellStyle name="Normal 2 2 4 11 2 4 2" xfId="3731" xr:uid="{00000000-0005-0000-0000-00006A220000}"/>
    <cellStyle name="Normal 2 2 4 11 2 4 2 2" xfId="31006" xr:uid="{00000000-0005-0000-0000-00006B220000}"/>
    <cellStyle name="Normal 2 2 4 11 2 4 3" xfId="31007" xr:uid="{00000000-0005-0000-0000-00006C220000}"/>
    <cellStyle name="Normal 2 2 4 11 2 5" xfId="3732" xr:uid="{00000000-0005-0000-0000-00006D220000}"/>
    <cellStyle name="Normal 2 2 4 11 2 5 2" xfId="31008" xr:uid="{00000000-0005-0000-0000-00006E220000}"/>
    <cellStyle name="Normal 2 2 4 11 2 6" xfId="3733" xr:uid="{00000000-0005-0000-0000-00006F220000}"/>
    <cellStyle name="Normal 2 2 4 11 2 6 2" xfId="31009" xr:uid="{00000000-0005-0000-0000-000070220000}"/>
    <cellStyle name="Normal 2 2 4 11 2 7" xfId="31010" xr:uid="{00000000-0005-0000-0000-000071220000}"/>
    <cellStyle name="Normal 2 2 4 11 2 7 2" xfId="31011" xr:uid="{00000000-0005-0000-0000-000072220000}"/>
    <cellStyle name="Normal 2 2 4 11 2 8" xfId="31012" xr:uid="{00000000-0005-0000-0000-000073220000}"/>
    <cellStyle name="Normal 2 2 4 11 2 9" xfId="31013" xr:uid="{00000000-0005-0000-0000-000074220000}"/>
    <cellStyle name="Normal 2 2 4 11 3" xfId="3734" xr:uid="{00000000-0005-0000-0000-000075220000}"/>
    <cellStyle name="Normal 2 2 4 11 3 2" xfId="3735" xr:uid="{00000000-0005-0000-0000-000076220000}"/>
    <cellStyle name="Normal 2 2 4 11 3 2 2" xfId="3736" xr:uid="{00000000-0005-0000-0000-000077220000}"/>
    <cellStyle name="Normal 2 2 4 11 3 2 2 2" xfId="31014" xr:uid="{00000000-0005-0000-0000-000078220000}"/>
    <cellStyle name="Normal 2 2 4 11 3 2 3" xfId="3737" xr:uid="{00000000-0005-0000-0000-000079220000}"/>
    <cellStyle name="Normal 2 2 4 11 3 2 3 2" xfId="31015" xr:uid="{00000000-0005-0000-0000-00007A220000}"/>
    <cellStyle name="Normal 2 2 4 11 3 2 4" xfId="31016" xr:uid="{00000000-0005-0000-0000-00007B220000}"/>
    <cellStyle name="Normal 2 2 4 11 3 3" xfId="3738" xr:uid="{00000000-0005-0000-0000-00007C220000}"/>
    <cellStyle name="Normal 2 2 4 11 3 3 2" xfId="31017" xr:uid="{00000000-0005-0000-0000-00007D220000}"/>
    <cellStyle name="Normal 2 2 4 11 3 4" xfId="3739" xr:uid="{00000000-0005-0000-0000-00007E220000}"/>
    <cellStyle name="Normal 2 2 4 11 3 4 2" xfId="31018" xr:uid="{00000000-0005-0000-0000-00007F220000}"/>
    <cellStyle name="Normal 2 2 4 11 3 5" xfId="3740" xr:uid="{00000000-0005-0000-0000-000080220000}"/>
    <cellStyle name="Normal 2 2 4 11 3 5 2" xfId="31019" xr:uid="{00000000-0005-0000-0000-000081220000}"/>
    <cellStyle name="Normal 2 2 4 11 3 6" xfId="31020" xr:uid="{00000000-0005-0000-0000-000082220000}"/>
    <cellStyle name="Normal 2 2 4 11 3 6 2" xfId="31021" xr:uid="{00000000-0005-0000-0000-000083220000}"/>
    <cellStyle name="Normal 2 2 4 11 3 7" xfId="31022" xr:uid="{00000000-0005-0000-0000-000084220000}"/>
    <cellStyle name="Normal 2 2 4 11 4" xfId="3741" xr:uid="{00000000-0005-0000-0000-000085220000}"/>
    <cellStyle name="Normal 2 2 4 11 4 2" xfId="3742" xr:uid="{00000000-0005-0000-0000-000086220000}"/>
    <cellStyle name="Normal 2 2 4 11 4 2 2" xfId="31023" xr:uid="{00000000-0005-0000-0000-000087220000}"/>
    <cellStyle name="Normal 2 2 4 11 4 3" xfId="3743" xr:uid="{00000000-0005-0000-0000-000088220000}"/>
    <cellStyle name="Normal 2 2 4 11 4 3 2" xfId="31024" xr:uid="{00000000-0005-0000-0000-000089220000}"/>
    <cellStyle name="Normal 2 2 4 11 4 4" xfId="31025" xr:uid="{00000000-0005-0000-0000-00008A220000}"/>
    <cellStyle name="Normal 2 2 4 11 5" xfId="3744" xr:uid="{00000000-0005-0000-0000-00008B220000}"/>
    <cellStyle name="Normal 2 2 4 11 5 2" xfId="3745" xr:uid="{00000000-0005-0000-0000-00008C220000}"/>
    <cellStyle name="Normal 2 2 4 11 5 2 2" xfId="31026" xr:uid="{00000000-0005-0000-0000-00008D220000}"/>
    <cellStyle name="Normal 2 2 4 11 5 3" xfId="31027" xr:uid="{00000000-0005-0000-0000-00008E220000}"/>
    <cellStyle name="Normal 2 2 4 11 6" xfId="3746" xr:uid="{00000000-0005-0000-0000-00008F220000}"/>
    <cellStyle name="Normal 2 2 4 11 6 2" xfId="31028" xr:uid="{00000000-0005-0000-0000-000090220000}"/>
    <cellStyle name="Normal 2 2 4 11 7" xfId="3747" xr:uid="{00000000-0005-0000-0000-000091220000}"/>
    <cellStyle name="Normal 2 2 4 11 7 2" xfId="31029" xr:uid="{00000000-0005-0000-0000-000092220000}"/>
    <cellStyle name="Normal 2 2 4 11 8" xfId="31030" xr:uid="{00000000-0005-0000-0000-000093220000}"/>
    <cellStyle name="Normal 2 2 4 11 8 2" xfId="31031" xr:uid="{00000000-0005-0000-0000-000094220000}"/>
    <cellStyle name="Normal 2 2 4 11 9" xfId="31032" xr:uid="{00000000-0005-0000-0000-000095220000}"/>
    <cellStyle name="Normal 2 2 4 12" xfId="3748" xr:uid="{00000000-0005-0000-0000-000096220000}"/>
    <cellStyle name="Normal 2 2 4 12 10" xfId="31033" xr:uid="{00000000-0005-0000-0000-000097220000}"/>
    <cellStyle name="Normal 2 2 4 12 11" xfId="31034" xr:uid="{00000000-0005-0000-0000-000098220000}"/>
    <cellStyle name="Normal 2 2 4 12 2" xfId="3749" xr:uid="{00000000-0005-0000-0000-000099220000}"/>
    <cellStyle name="Normal 2 2 4 12 2 10" xfId="31035" xr:uid="{00000000-0005-0000-0000-00009A220000}"/>
    <cellStyle name="Normal 2 2 4 12 2 2" xfId="3750" xr:uid="{00000000-0005-0000-0000-00009B220000}"/>
    <cellStyle name="Normal 2 2 4 12 2 2 2" xfId="3751" xr:uid="{00000000-0005-0000-0000-00009C220000}"/>
    <cellStyle name="Normal 2 2 4 12 2 2 2 2" xfId="3752" xr:uid="{00000000-0005-0000-0000-00009D220000}"/>
    <cellStyle name="Normal 2 2 4 12 2 2 2 2 2" xfId="31036" xr:uid="{00000000-0005-0000-0000-00009E220000}"/>
    <cellStyle name="Normal 2 2 4 12 2 2 2 3" xfId="3753" xr:uid="{00000000-0005-0000-0000-00009F220000}"/>
    <cellStyle name="Normal 2 2 4 12 2 2 2 3 2" xfId="31037" xr:uid="{00000000-0005-0000-0000-0000A0220000}"/>
    <cellStyle name="Normal 2 2 4 12 2 2 2 4" xfId="31038" xr:uid="{00000000-0005-0000-0000-0000A1220000}"/>
    <cellStyle name="Normal 2 2 4 12 2 2 3" xfId="3754" xr:uid="{00000000-0005-0000-0000-0000A2220000}"/>
    <cellStyle name="Normal 2 2 4 12 2 2 3 2" xfId="31039" xr:uid="{00000000-0005-0000-0000-0000A3220000}"/>
    <cellStyle name="Normal 2 2 4 12 2 2 4" xfId="3755" xr:uid="{00000000-0005-0000-0000-0000A4220000}"/>
    <cellStyle name="Normal 2 2 4 12 2 2 4 2" xfId="31040" xr:uid="{00000000-0005-0000-0000-0000A5220000}"/>
    <cellStyle name="Normal 2 2 4 12 2 2 5" xfId="3756" xr:uid="{00000000-0005-0000-0000-0000A6220000}"/>
    <cellStyle name="Normal 2 2 4 12 2 2 5 2" xfId="31041" xr:uid="{00000000-0005-0000-0000-0000A7220000}"/>
    <cellStyle name="Normal 2 2 4 12 2 2 6" xfId="31042" xr:uid="{00000000-0005-0000-0000-0000A8220000}"/>
    <cellStyle name="Normal 2 2 4 12 2 2 6 2" xfId="31043" xr:uid="{00000000-0005-0000-0000-0000A9220000}"/>
    <cellStyle name="Normal 2 2 4 12 2 2 7" xfId="31044" xr:uid="{00000000-0005-0000-0000-0000AA220000}"/>
    <cellStyle name="Normal 2 2 4 12 2 3" xfId="3757" xr:uid="{00000000-0005-0000-0000-0000AB220000}"/>
    <cellStyle name="Normal 2 2 4 12 2 3 2" xfId="3758" xr:uid="{00000000-0005-0000-0000-0000AC220000}"/>
    <cellStyle name="Normal 2 2 4 12 2 3 2 2" xfId="31045" xr:uid="{00000000-0005-0000-0000-0000AD220000}"/>
    <cellStyle name="Normal 2 2 4 12 2 3 3" xfId="3759" xr:uid="{00000000-0005-0000-0000-0000AE220000}"/>
    <cellStyle name="Normal 2 2 4 12 2 3 3 2" xfId="31046" xr:uid="{00000000-0005-0000-0000-0000AF220000}"/>
    <cellStyle name="Normal 2 2 4 12 2 3 4" xfId="31047" xr:uid="{00000000-0005-0000-0000-0000B0220000}"/>
    <cellStyle name="Normal 2 2 4 12 2 4" xfId="3760" xr:uid="{00000000-0005-0000-0000-0000B1220000}"/>
    <cellStyle name="Normal 2 2 4 12 2 4 2" xfId="3761" xr:uid="{00000000-0005-0000-0000-0000B2220000}"/>
    <cellStyle name="Normal 2 2 4 12 2 4 2 2" xfId="31048" xr:uid="{00000000-0005-0000-0000-0000B3220000}"/>
    <cellStyle name="Normal 2 2 4 12 2 4 3" xfId="31049" xr:uid="{00000000-0005-0000-0000-0000B4220000}"/>
    <cellStyle name="Normal 2 2 4 12 2 5" xfId="3762" xr:uid="{00000000-0005-0000-0000-0000B5220000}"/>
    <cellStyle name="Normal 2 2 4 12 2 5 2" xfId="31050" xr:uid="{00000000-0005-0000-0000-0000B6220000}"/>
    <cellStyle name="Normal 2 2 4 12 2 6" xfId="3763" xr:uid="{00000000-0005-0000-0000-0000B7220000}"/>
    <cellStyle name="Normal 2 2 4 12 2 6 2" xfId="31051" xr:uid="{00000000-0005-0000-0000-0000B8220000}"/>
    <cellStyle name="Normal 2 2 4 12 2 7" xfId="31052" xr:uid="{00000000-0005-0000-0000-0000B9220000}"/>
    <cellStyle name="Normal 2 2 4 12 2 7 2" xfId="31053" xr:uid="{00000000-0005-0000-0000-0000BA220000}"/>
    <cellStyle name="Normal 2 2 4 12 2 8" xfId="31054" xr:uid="{00000000-0005-0000-0000-0000BB220000}"/>
    <cellStyle name="Normal 2 2 4 12 2 9" xfId="31055" xr:uid="{00000000-0005-0000-0000-0000BC220000}"/>
    <cellStyle name="Normal 2 2 4 12 3" xfId="3764" xr:uid="{00000000-0005-0000-0000-0000BD220000}"/>
    <cellStyle name="Normal 2 2 4 12 3 2" xfId="3765" xr:uid="{00000000-0005-0000-0000-0000BE220000}"/>
    <cellStyle name="Normal 2 2 4 12 3 2 2" xfId="3766" xr:uid="{00000000-0005-0000-0000-0000BF220000}"/>
    <cellStyle name="Normal 2 2 4 12 3 2 2 2" xfId="31056" xr:uid="{00000000-0005-0000-0000-0000C0220000}"/>
    <cellStyle name="Normal 2 2 4 12 3 2 3" xfId="3767" xr:uid="{00000000-0005-0000-0000-0000C1220000}"/>
    <cellStyle name="Normal 2 2 4 12 3 2 3 2" xfId="31057" xr:uid="{00000000-0005-0000-0000-0000C2220000}"/>
    <cellStyle name="Normal 2 2 4 12 3 2 4" xfId="31058" xr:uid="{00000000-0005-0000-0000-0000C3220000}"/>
    <cellStyle name="Normal 2 2 4 12 3 3" xfId="3768" xr:uid="{00000000-0005-0000-0000-0000C4220000}"/>
    <cellStyle name="Normal 2 2 4 12 3 3 2" xfId="31059" xr:uid="{00000000-0005-0000-0000-0000C5220000}"/>
    <cellStyle name="Normal 2 2 4 12 3 4" xfId="3769" xr:uid="{00000000-0005-0000-0000-0000C6220000}"/>
    <cellStyle name="Normal 2 2 4 12 3 4 2" xfId="31060" xr:uid="{00000000-0005-0000-0000-0000C7220000}"/>
    <cellStyle name="Normal 2 2 4 12 3 5" xfId="3770" xr:uid="{00000000-0005-0000-0000-0000C8220000}"/>
    <cellStyle name="Normal 2 2 4 12 3 5 2" xfId="31061" xr:uid="{00000000-0005-0000-0000-0000C9220000}"/>
    <cellStyle name="Normal 2 2 4 12 3 6" xfId="31062" xr:uid="{00000000-0005-0000-0000-0000CA220000}"/>
    <cellStyle name="Normal 2 2 4 12 3 6 2" xfId="31063" xr:uid="{00000000-0005-0000-0000-0000CB220000}"/>
    <cellStyle name="Normal 2 2 4 12 3 7" xfId="31064" xr:uid="{00000000-0005-0000-0000-0000CC220000}"/>
    <cellStyle name="Normal 2 2 4 12 4" xfId="3771" xr:uid="{00000000-0005-0000-0000-0000CD220000}"/>
    <cellStyle name="Normal 2 2 4 12 4 2" xfId="3772" xr:uid="{00000000-0005-0000-0000-0000CE220000}"/>
    <cellStyle name="Normal 2 2 4 12 4 2 2" xfId="31065" xr:uid="{00000000-0005-0000-0000-0000CF220000}"/>
    <cellStyle name="Normal 2 2 4 12 4 3" xfId="3773" xr:uid="{00000000-0005-0000-0000-0000D0220000}"/>
    <cellStyle name="Normal 2 2 4 12 4 3 2" xfId="31066" xr:uid="{00000000-0005-0000-0000-0000D1220000}"/>
    <cellStyle name="Normal 2 2 4 12 4 4" xfId="31067" xr:uid="{00000000-0005-0000-0000-0000D2220000}"/>
    <cellStyle name="Normal 2 2 4 12 5" xfId="3774" xr:uid="{00000000-0005-0000-0000-0000D3220000}"/>
    <cellStyle name="Normal 2 2 4 12 5 2" xfId="3775" xr:uid="{00000000-0005-0000-0000-0000D4220000}"/>
    <cellStyle name="Normal 2 2 4 12 5 2 2" xfId="31068" xr:uid="{00000000-0005-0000-0000-0000D5220000}"/>
    <cellStyle name="Normal 2 2 4 12 5 3" xfId="31069" xr:uid="{00000000-0005-0000-0000-0000D6220000}"/>
    <cellStyle name="Normal 2 2 4 12 6" xfId="3776" xr:uid="{00000000-0005-0000-0000-0000D7220000}"/>
    <cellStyle name="Normal 2 2 4 12 6 2" xfId="31070" xr:uid="{00000000-0005-0000-0000-0000D8220000}"/>
    <cellStyle name="Normal 2 2 4 12 7" xfId="3777" xr:uid="{00000000-0005-0000-0000-0000D9220000}"/>
    <cellStyle name="Normal 2 2 4 12 7 2" xfId="31071" xr:uid="{00000000-0005-0000-0000-0000DA220000}"/>
    <cellStyle name="Normal 2 2 4 12 8" xfId="31072" xr:uid="{00000000-0005-0000-0000-0000DB220000}"/>
    <cellStyle name="Normal 2 2 4 12 8 2" xfId="31073" xr:uid="{00000000-0005-0000-0000-0000DC220000}"/>
    <cellStyle name="Normal 2 2 4 12 9" xfId="31074" xr:uid="{00000000-0005-0000-0000-0000DD220000}"/>
    <cellStyle name="Normal 2 2 4 13" xfId="3778" xr:uid="{00000000-0005-0000-0000-0000DE220000}"/>
    <cellStyle name="Normal 2 2 4 13 10" xfId="31075" xr:uid="{00000000-0005-0000-0000-0000DF220000}"/>
    <cellStyle name="Normal 2 2 4 13 11" xfId="31076" xr:uid="{00000000-0005-0000-0000-0000E0220000}"/>
    <cellStyle name="Normal 2 2 4 13 2" xfId="3779" xr:uid="{00000000-0005-0000-0000-0000E1220000}"/>
    <cellStyle name="Normal 2 2 4 13 2 10" xfId="31077" xr:uid="{00000000-0005-0000-0000-0000E2220000}"/>
    <cellStyle name="Normal 2 2 4 13 2 2" xfId="3780" xr:uid="{00000000-0005-0000-0000-0000E3220000}"/>
    <cellStyle name="Normal 2 2 4 13 2 2 2" xfId="3781" xr:uid="{00000000-0005-0000-0000-0000E4220000}"/>
    <cellStyle name="Normal 2 2 4 13 2 2 2 2" xfId="3782" xr:uid="{00000000-0005-0000-0000-0000E5220000}"/>
    <cellStyle name="Normal 2 2 4 13 2 2 2 2 2" xfId="31078" xr:uid="{00000000-0005-0000-0000-0000E6220000}"/>
    <cellStyle name="Normal 2 2 4 13 2 2 2 3" xfId="3783" xr:uid="{00000000-0005-0000-0000-0000E7220000}"/>
    <cellStyle name="Normal 2 2 4 13 2 2 2 3 2" xfId="31079" xr:uid="{00000000-0005-0000-0000-0000E8220000}"/>
    <cellStyle name="Normal 2 2 4 13 2 2 2 4" xfId="31080" xr:uid="{00000000-0005-0000-0000-0000E9220000}"/>
    <cellStyle name="Normal 2 2 4 13 2 2 3" xfId="3784" xr:uid="{00000000-0005-0000-0000-0000EA220000}"/>
    <cellStyle name="Normal 2 2 4 13 2 2 3 2" xfId="31081" xr:uid="{00000000-0005-0000-0000-0000EB220000}"/>
    <cellStyle name="Normal 2 2 4 13 2 2 4" xfId="3785" xr:uid="{00000000-0005-0000-0000-0000EC220000}"/>
    <cellStyle name="Normal 2 2 4 13 2 2 4 2" xfId="31082" xr:uid="{00000000-0005-0000-0000-0000ED220000}"/>
    <cellStyle name="Normal 2 2 4 13 2 2 5" xfId="3786" xr:uid="{00000000-0005-0000-0000-0000EE220000}"/>
    <cellStyle name="Normal 2 2 4 13 2 2 5 2" xfId="31083" xr:uid="{00000000-0005-0000-0000-0000EF220000}"/>
    <cellStyle name="Normal 2 2 4 13 2 2 6" xfId="31084" xr:uid="{00000000-0005-0000-0000-0000F0220000}"/>
    <cellStyle name="Normal 2 2 4 13 2 2 6 2" xfId="31085" xr:uid="{00000000-0005-0000-0000-0000F1220000}"/>
    <cellStyle name="Normal 2 2 4 13 2 2 7" xfId="31086" xr:uid="{00000000-0005-0000-0000-0000F2220000}"/>
    <cellStyle name="Normal 2 2 4 13 2 3" xfId="3787" xr:uid="{00000000-0005-0000-0000-0000F3220000}"/>
    <cellStyle name="Normal 2 2 4 13 2 3 2" xfId="3788" xr:uid="{00000000-0005-0000-0000-0000F4220000}"/>
    <cellStyle name="Normal 2 2 4 13 2 3 2 2" xfId="31087" xr:uid="{00000000-0005-0000-0000-0000F5220000}"/>
    <cellStyle name="Normal 2 2 4 13 2 3 3" xfId="3789" xr:uid="{00000000-0005-0000-0000-0000F6220000}"/>
    <cellStyle name="Normal 2 2 4 13 2 3 3 2" xfId="31088" xr:uid="{00000000-0005-0000-0000-0000F7220000}"/>
    <cellStyle name="Normal 2 2 4 13 2 3 4" xfId="31089" xr:uid="{00000000-0005-0000-0000-0000F8220000}"/>
    <cellStyle name="Normal 2 2 4 13 2 4" xfId="3790" xr:uid="{00000000-0005-0000-0000-0000F9220000}"/>
    <cellStyle name="Normal 2 2 4 13 2 4 2" xfId="3791" xr:uid="{00000000-0005-0000-0000-0000FA220000}"/>
    <cellStyle name="Normal 2 2 4 13 2 4 2 2" xfId="31090" xr:uid="{00000000-0005-0000-0000-0000FB220000}"/>
    <cellStyle name="Normal 2 2 4 13 2 4 3" xfId="31091" xr:uid="{00000000-0005-0000-0000-0000FC220000}"/>
    <cellStyle name="Normal 2 2 4 13 2 5" xfId="3792" xr:uid="{00000000-0005-0000-0000-0000FD220000}"/>
    <cellStyle name="Normal 2 2 4 13 2 5 2" xfId="31092" xr:uid="{00000000-0005-0000-0000-0000FE220000}"/>
    <cellStyle name="Normal 2 2 4 13 2 6" xfId="3793" xr:uid="{00000000-0005-0000-0000-0000FF220000}"/>
    <cellStyle name="Normal 2 2 4 13 2 6 2" xfId="31093" xr:uid="{00000000-0005-0000-0000-000000230000}"/>
    <cellStyle name="Normal 2 2 4 13 2 7" xfId="31094" xr:uid="{00000000-0005-0000-0000-000001230000}"/>
    <cellStyle name="Normal 2 2 4 13 2 7 2" xfId="31095" xr:uid="{00000000-0005-0000-0000-000002230000}"/>
    <cellStyle name="Normal 2 2 4 13 2 8" xfId="31096" xr:uid="{00000000-0005-0000-0000-000003230000}"/>
    <cellStyle name="Normal 2 2 4 13 2 9" xfId="31097" xr:uid="{00000000-0005-0000-0000-000004230000}"/>
    <cellStyle name="Normal 2 2 4 13 3" xfId="3794" xr:uid="{00000000-0005-0000-0000-000005230000}"/>
    <cellStyle name="Normal 2 2 4 13 3 2" xfId="3795" xr:uid="{00000000-0005-0000-0000-000006230000}"/>
    <cellStyle name="Normal 2 2 4 13 3 2 2" xfId="3796" xr:uid="{00000000-0005-0000-0000-000007230000}"/>
    <cellStyle name="Normal 2 2 4 13 3 2 2 2" xfId="31098" xr:uid="{00000000-0005-0000-0000-000008230000}"/>
    <cellStyle name="Normal 2 2 4 13 3 2 3" xfId="3797" xr:uid="{00000000-0005-0000-0000-000009230000}"/>
    <cellStyle name="Normal 2 2 4 13 3 2 3 2" xfId="31099" xr:uid="{00000000-0005-0000-0000-00000A230000}"/>
    <cellStyle name="Normal 2 2 4 13 3 2 4" xfId="31100" xr:uid="{00000000-0005-0000-0000-00000B230000}"/>
    <cellStyle name="Normal 2 2 4 13 3 3" xfId="3798" xr:uid="{00000000-0005-0000-0000-00000C230000}"/>
    <cellStyle name="Normal 2 2 4 13 3 3 2" xfId="31101" xr:uid="{00000000-0005-0000-0000-00000D230000}"/>
    <cellStyle name="Normal 2 2 4 13 3 4" xfId="3799" xr:uid="{00000000-0005-0000-0000-00000E230000}"/>
    <cellStyle name="Normal 2 2 4 13 3 4 2" xfId="31102" xr:uid="{00000000-0005-0000-0000-00000F230000}"/>
    <cellStyle name="Normal 2 2 4 13 3 5" xfId="3800" xr:uid="{00000000-0005-0000-0000-000010230000}"/>
    <cellStyle name="Normal 2 2 4 13 3 5 2" xfId="31103" xr:uid="{00000000-0005-0000-0000-000011230000}"/>
    <cellStyle name="Normal 2 2 4 13 3 6" xfId="31104" xr:uid="{00000000-0005-0000-0000-000012230000}"/>
    <cellStyle name="Normal 2 2 4 13 3 6 2" xfId="31105" xr:uid="{00000000-0005-0000-0000-000013230000}"/>
    <cellStyle name="Normal 2 2 4 13 3 7" xfId="31106" xr:uid="{00000000-0005-0000-0000-000014230000}"/>
    <cellStyle name="Normal 2 2 4 13 4" xfId="3801" xr:uid="{00000000-0005-0000-0000-000015230000}"/>
    <cellStyle name="Normal 2 2 4 13 4 2" xfId="3802" xr:uid="{00000000-0005-0000-0000-000016230000}"/>
    <cellStyle name="Normal 2 2 4 13 4 2 2" xfId="31107" xr:uid="{00000000-0005-0000-0000-000017230000}"/>
    <cellStyle name="Normal 2 2 4 13 4 3" xfId="3803" xr:uid="{00000000-0005-0000-0000-000018230000}"/>
    <cellStyle name="Normal 2 2 4 13 4 3 2" xfId="31108" xr:uid="{00000000-0005-0000-0000-000019230000}"/>
    <cellStyle name="Normal 2 2 4 13 4 4" xfId="31109" xr:uid="{00000000-0005-0000-0000-00001A230000}"/>
    <cellStyle name="Normal 2 2 4 13 5" xfId="3804" xr:uid="{00000000-0005-0000-0000-00001B230000}"/>
    <cellStyle name="Normal 2 2 4 13 5 2" xfId="3805" xr:uid="{00000000-0005-0000-0000-00001C230000}"/>
    <cellStyle name="Normal 2 2 4 13 5 2 2" xfId="31110" xr:uid="{00000000-0005-0000-0000-00001D230000}"/>
    <cellStyle name="Normal 2 2 4 13 5 3" xfId="31111" xr:uid="{00000000-0005-0000-0000-00001E230000}"/>
    <cellStyle name="Normal 2 2 4 13 6" xfId="3806" xr:uid="{00000000-0005-0000-0000-00001F230000}"/>
    <cellStyle name="Normal 2 2 4 13 6 2" xfId="31112" xr:uid="{00000000-0005-0000-0000-000020230000}"/>
    <cellStyle name="Normal 2 2 4 13 7" xfId="3807" xr:uid="{00000000-0005-0000-0000-000021230000}"/>
    <cellStyle name="Normal 2 2 4 13 7 2" xfId="31113" xr:uid="{00000000-0005-0000-0000-000022230000}"/>
    <cellStyle name="Normal 2 2 4 13 8" xfId="31114" xr:uid="{00000000-0005-0000-0000-000023230000}"/>
    <cellStyle name="Normal 2 2 4 13 8 2" xfId="31115" xr:uid="{00000000-0005-0000-0000-000024230000}"/>
    <cellStyle name="Normal 2 2 4 13 9" xfId="31116" xr:uid="{00000000-0005-0000-0000-000025230000}"/>
    <cellStyle name="Normal 2 2 4 14" xfId="3808" xr:uid="{00000000-0005-0000-0000-000026230000}"/>
    <cellStyle name="Normal 2 2 4 14 10" xfId="31117" xr:uid="{00000000-0005-0000-0000-000027230000}"/>
    <cellStyle name="Normal 2 2 4 14 11" xfId="31118" xr:uid="{00000000-0005-0000-0000-000028230000}"/>
    <cellStyle name="Normal 2 2 4 14 2" xfId="3809" xr:uid="{00000000-0005-0000-0000-000029230000}"/>
    <cellStyle name="Normal 2 2 4 14 2 10" xfId="31119" xr:uid="{00000000-0005-0000-0000-00002A230000}"/>
    <cellStyle name="Normal 2 2 4 14 2 2" xfId="3810" xr:uid="{00000000-0005-0000-0000-00002B230000}"/>
    <cellStyle name="Normal 2 2 4 14 2 2 2" xfId="3811" xr:uid="{00000000-0005-0000-0000-00002C230000}"/>
    <cellStyle name="Normal 2 2 4 14 2 2 2 2" xfId="3812" xr:uid="{00000000-0005-0000-0000-00002D230000}"/>
    <cellStyle name="Normal 2 2 4 14 2 2 2 2 2" xfId="31120" xr:uid="{00000000-0005-0000-0000-00002E230000}"/>
    <cellStyle name="Normal 2 2 4 14 2 2 2 3" xfId="3813" xr:uid="{00000000-0005-0000-0000-00002F230000}"/>
    <cellStyle name="Normal 2 2 4 14 2 2 2 3 2" xfId="31121" xr:uid="{00000000-0005-0000-0000-000030230000}"/>
    <cellStyle name="Normal 2 2 4 14 2 2 2 4" xfId="31122" xr:uid="{00000000-0005-0000-0000-000031230000}"/>
    <cellStyle name="Normal 2 2 4 14 2 2 3" xfId="3814" xr:uid="{00000000-0005-0000-0000-000032230000}"/>
    <cellStyle name="Normal 2 2 4 14 2 2 3 2" xfId="31123" xr:uid="{00000000-0005-0000-0000-000033230000}"/>
    <cellStyle name="Normal 2 2 4 14 2 2 4" xfId="3815" xr:uid="{00000000-0005-0000-0000-000034230000}"/>
    <cellStyle name="Normal 2 2 4 14 2 2 4 2" xfId="31124" xr:uid="{00000000-0005-0000-0000-000035230000}"/>
    <cellStyle name="Normal 2 2 4 14 2 2 5" xfId="3816" xr:uid="{00000000-0005-0000-0000-000036230000}"/>
    <cellStyle name="Normal 2 2 4 14 2 2 5 2" xfId="31125" xr:uid="{00000000-0005-0000-0000-000037230000}"/>
    <cellStyle name="Normal 2 2 4 14 2 2 6" xfId="31126" xr:uid="{00000000-0005-0000-0000-000038230000}"/>
    <cellStyle name="Normal 2 2 4 14 2 2 6 2" xfId="31127" xr:uid="{00000000-0005-0000-0000-000039230000}"/>
    <cellStyle name="Normal 2 2 4 14 2 2 7" xfId="31128" xr:uid="{00000000-0005-0000-0000-00003A230000}"/>
    <cellStyle name="Normal 2 2 4 14 2 3" xfId="3817" xr:uid="{00000000-0005-0000-0000-00003B230000}"/>
    <cellStyle name="Normal 2 2 4 14 2 3 2" xfId="3818" xr:uid="{00000000-0005-0000-0000-00003C230000}"/>
    <cellStyle name="Normal 2 2 4 14 2 3 2 2" xfId="31129" xr:uid="{00000000-0005-0000-0000-00003D230000}"/>
    <cellStyle name="Normal 2 2 4 14 2 3 3" xfId="3819" xr:uid="{00000000-0005-0000-0000-00003E230000}"/>
    <cellStyle name="Normal 2 2 4 14 2 3 3 2" xfId="31130" xr:uid="{00000000-0005-0000-0000-00003F230000}"/>
    <cellStyle name="Normal 2 2 4 14 2 3 4" xfId="31131" xr:uid="{00000000-0005-0000-0000-000040230000}"/>
    <cellStyle name="Normal 2 2 4 14 2 4" xfId="3820" xr:uid="{00000000-0005-0000-0000-000041230000}"/>
    <cellStyle name="Normal 2 2 4 14 2 4 2" xfId="3821" xr:uid="{00000000-0005-0000-0000-000042230000}"/>
    <cellStyle name="Normal 2 2 4 14 2 4 2 2" xfId="31132" xr:uid="{00000000-0005-0000-0000-000043230000}"/>
    <cellStyle name="Normal 2 2 4 14 2 4 3" xfId="31133" xr:uid="{00000000-0005-0000-0000-000044230000}"/>
    <cellStyle name="Normal 2 2 4 14 2 5" xfId="3822" xr:uid="{00000000-0005-0000-0000-000045230000}"/>
    <cellStyle name="Normal 2 2 4 14 2 5 2" xfId="31134" xr:uid="{00000000-0005-0000-0000-000046230000}"/>
    <cellStyle name="Normal 2 2 4 14 2 6" xfId="3823" xr:uid="{00000000-0005-0000-0000-000047230000}"/>
    <cellStyle name="Normal 2 2 4 14 2 6 2" xfId="31135" xr:uid="{00000000-0005-0000-0000-000048230000}"/>
    <cellStyle name="Normal 2 2 4 14 2 7" xfId="31136" xr:uid="{00000000-0005-0000-0000-000049230000}"/>
    <cellStyle name="Normal 2 2 4 14 2 7 2" xfId="31137" xr:uid="{00000000-0005-0000-0000-00004A230000}"/>
    <cellStyle name="Normal 2 2 4 14 2 8" xfId="31138" xr:uid="{00000000-0005-0000-0000-00004B230000}"/>
    <cellStyle name="Normal 2 2 4 14 2 9" xfId="31139" xr:uid="{00000000-0005-0000-0000-00004C230000}"/>
    <cellStyle name="Normal 2 2 4 14 3" xfId="3824" xr:uid="{00000000-0005-0000-0000-00004D230000}"/>
    <cellStyle name="Normal 2 2 4 14 3 2" xfId="3825" xr:uid="{00000000-0005-0000-0000-00004E230000}"/>
    <cellStyle name="Normal 2 2 4 14 3 2 2" xfId="3826" xr:uid="{00000000-0005-0000-0000-00004F230000}"/>
    <cellStyle name="Normal 2 2 4 14 3 2 2 2" xfId="31140" xr:uid="{00000000-0005-0000-0000-000050230000}"/>
    <cellStyle name="Normal 2 2 4 14 3 2 3" xfId="3827" xr:uid="{00000000-0005-0000-0000-000051230000}"/>
    <cellStyle name="Normal 2 2 4 14 3 2 3 2" xfId="31141" xr:uid="{00000000-0005-0000-0000-000052230000}"/>
    <cellStyle name="Normal 2 2 4 14 3 2 4" xfId="31142" xr:uid="{00000000-0005-0000-0000-000053230000}"/>
    <cellStyle name="Normal 2 2 4 14 3 3" xfId="3828" xr:uid="{00000000-0005-0000-0000-000054230000}"/>
    <cellStyle name="Normal 2 2 4 14 3 3 2" xfId="31143" xr:uid="{00000000-0005-0000-0000-000055230000}"/>
    <cellStyle name="Normal 2 2 4 14 3 4" xfId="3829" xr:uid="{00000000-0005-0000-0000-000056230000}"/>
    <cellStyle name="Normal 2 2 4 14 3 4 2" xfId="31144" xr:uid="{00000000-0005-0000-0000-000057230000}"/>
    <cellStyle name="Normal 2 2 4 14 3 5" xfId="3830" xr:uid="{00000000-0005-0000-0000-000058230000}"/>
    <cellStyle name="Normal 2 2 4 14 3 5 2" xfId="31145" xr:uid="{00000000-0005-0000-0000-000059230000}"/>
    <cellStyle name="Normal 2 2 4 14 3 6" xfId="31146" xr:uid="{00000000-0005-0000-0000-00005A230000}"/>
    <cellStyle name="Normal 2 2 4 14 3 6 2" xfId="31147" xr:uid="{00000000-0005-0000-0000-00005B230000}"/>
    <cellStyle name="Normal 2 2 4 14 3 7" xfId="31148" xr:uid="{00000000-0005-0000-0000-00005C230000}"/>
    <cellStyle name="Normal 2 2 4 14 4" xfId="3831" xr:uid="{00000000-0005-0000-0000-00005D230000}"/>
    <cellStyle name="Normal 2 2 4 14 4 2" xfId="3832" xr:uid="{00000000-0005-0000-0000-00005E230000}"/>
    <cellStyle name="Normal 2 2 4 14 4 2 2" xfId="31149" xr:uid="{00000000-0005-0000-0000-00005F230000}"/>
    <cellStyle name="Normal 2 2 4 14 4 3" xfId="3833" xr:uid="{00000000-0005-0000-0000-000060230000}"/>
    <cellStyle name="Normal 2 2 4 14 4 3 2" xfId="31150" xr:uid="{00000000-0005-0000-0000-000061230000}"/>
    <cellStyle name="Normal 2 2 4 14 4 4" xfId="31151" xr:uid="{00000000-0005-0000-0000-000062230000}"/>
    <cellStyle name="Normal 2 2 4 14 5" xfId="3834" xr:uid="{00000000-0005-0000-0000-000063230000}"/>
    <cellStyle name="Normal 2 2 4 14 5 2" xfId="3835" xr:uid="{00000000-0005-0000-0000-000064230000}"/>
    <cellStyle name="Normal 2 2 4 14 5 2 2" xfId="31152" xr:uid="{00000000-0005-0000-0000-000065230000}"/>
    <cellStyle name="Normal 2 2 4 14 5 3" xfId="31153" xr:uid="{00000000-0005-0000-0000-000066230000}"/>
    <cellStyle name="Normal 2 2 4 14 6" xfId="3836" xr:uid="{00000000-0005-0000-0000-000067230000}"/>
    <cellStyle name="Normal 2 2 4 14 6 2" xfId="31154" xr:uid="{00000000-0005-0000-0000-000068230000}"/>
    <cellStyle name="Normal 2 2 4 14 7" xfId="3837" xr:uid="{00000000-0005-0000-0000-000069230000}"/>
    <cellStyle name="Normal 2 2 4 14 7 2" xfId="31155" xr:uid="{00000000-0005-0000-0000-00006A230000}"/>
    <cellStyle name="Normal 2 2 4 14 8" xfId="31156" xr:uid="{00000000-0005-0000-0000-00006B230000}"/>
    <cellStyle name="Normal 2 2 4 14 8 2" xfId="31157" xr:uid="{00000000-0005-0000-0000-00006C230000}"/>
    <cellStyle name="Normal 2 2 4 14 9" xfId="31158" xr:uid="{00000000-0005-0000-0000-00006D230000}"/>
    <cellStyle name="Normal 2 2 4 15" xfId="3838" xr:uid="{00000000-0005-0000-0000-00006E230000}"/>
    <cellStyle name="Normal 2 2 4 15 10" xfId="31159" xr:uid="{00000000-0005-0000-0000-00006F230000}"/>
    <cellStyle name="Normal 2 2 4 15 11" xfId="31160" xr:uid="{00000000-0005-0000-0000-000070230000}"/>
    <cellStyle name="Normal 2 2 4 15 2" xfId="3839" xr:uid="{00000000-0005-0000-0000-000071230000}"/>
    <cellStyle name="Normal 2 2 4 15 2 10" xfId="31161" xr:uid="{00000000-0005-0000-0000-000072230000}"/>
    <cellStyle name="Normal 2 2 4 15 2 2" xfId="3840" xr:uid="{00000000-0005-0000-0000-000073230000}"/>
    <cellStyle name="Normal 2 2 4 15 2 2 2" xfId="3841" xr:uid="{00000000-0005-0000-0000-000074230000}"/>
    <cellStyle name="Normal 2 2 4 15 2 2 2 2" xfId="3842" xr:uid="{00000000-0005-0000-0000-000075230000}"/>
    <cellStyle name="Normal 2 2 4 15 2 2 2 2 2" xfId="31162" xr:uid="{00000000-0005-0000-0000-000076230000}"/>
    <cellStyle name="Normal 2 2 4 15 2 2 2 3" xfId="3843" xr:uid="{00000000-0005-0000-0000-000077230000}"/>
    <cellStyle name="Normal 2 2 4 15 2 2 2 3 2" xfId="31163" xr:uid="{00000000-0005-0000-0000-000078230000}"/>
    <cellStyle name="Normal 2 2 4 15 2 2 2 4" xfId="31164" xr:uid="{00000000-0005-0000-0000-000079230000}"/>
    <cellStyle name="Normal 2 2 4 15 2 2 3" xfId="3844" xr:uid="{00000000-0005-0000-0000-00007A230000}"/>
    <cellStyle name="Normal 2 2 4 15 2 2 3 2" xfId="31165" xr:uid="{00000000-0005-0000-0000-00007B230000}"/>
    <cellStyle name="Normal 2 2 4 15 2 2 4" xfId="3845" xr:uid="{00000000-0005-0000-0000-00007C230000}"/>
    <cellStyle name="Normal 2 2 4 15 2 2 4 2" xfId="31166" xr:uid="{00000000-0005-0000-0000-00007D230000}"/>
    <cellStyle name="Normal 2 2 4 15 2 2 5" xfId="3846" xr:uid="{00000000-0005-0000-0000-00007E230000}"/>
    <cellStyle name="Normal 2 2 4 15 2 2 5 2" xfId="31167" xr:uid="{00000000-0005-0000-0000-00007F230000}"/>
    <cellStyle name="Normal 2 2 4 15 2 2 6" xfId="31168" xr:uid="{00000000-0005-0000-0000-000080230000}"/>
    <cellStyle name="Normal 2 2 4 15 2 2 6 2" xfId="31169" xr:uid="{00000000-0005-0000-0000-000081230000}"/>
    <cellStyle name="Normal 2 2 4 15 2 2 7" xfId="31170" xr:uid="{00000000-0005-0000-0000-000082230000}"/>
    <cellStyle name="Normal 2 2 4 15 2 3" xfId="3847" xr:uid="{00000000-0005-0000-0000-000083230000}"/>
    <cellStyle name="Normal 2 2 4 15 2 3 2" xfId="3848" xr:uid="{00000000-0005-0000-0000-000084230000}"/>
    <cellStyle name="Normal 2 2 4 15 2 3 2 2" xfId="31171" xr:uid="{00000000-0005-0000-0000-000085230000}"/>
    <cellStyle name="Normal 2 2 4 15 2 3 3" xfId="3849" xr:uid="{00000000-0005-0000-0000-000086230000}"/>
    <cellStyle name="Normal 2 2 4 15 2 3 3 2" xfId="31172" xr:uid="{00000000-0005-0000-0000-000087230000}"/>
    <cellStyle name="Normal 2 2 4 15 2 3 4" xfId="31173" xr:uid="{00000000-0005-0000-0000-000088230000}"/>
    <cellStyle name="Normal 2 2 4 15 2 4" xfId="3850" xr:uid="{00000000-0005-0000-0000-000089230000}"/>
    <cellStyle name="Normal 2 2 4 15 2 4 2" xfId="3851" xr:uid="{00000000-0005-0000-0000-00008A230000}"/>
    <cellStyle name="Normal 2 2 4 15 2 4 2 2" xfId="31174" xr:uid="{00000000-0005-0000-0000-00008B230000}"/>
    <cellStyle name="Normal 2 2 4 15 2 4 3" xfId="31175" xr:uid="{00000000-0005-0000-0000-00008C230000}"/>
    <cellStyle name="Normal 2 2 4 15 2 5" xfId="3852" xr:uid="{00000000-0005-0000-0000-00008D230000}"/>
    <cellStyle name="Normal 2 2 4 15 2 5 2" xfId="31176" xr:uid="{00000000-0005-0000-0000-00008E230000}"/>
    <cellStyle name="Normal 2 2 4 15 2 6" xfId="3853" xr:uid="{00000000-0005-0000-0000-00008F230000}"/>
    <cellStyle name="Normal 2 2 4 15 2 6 2" xfId="31177" xr:uid="{00000000-0005-0000-0000-000090230000}"/>
    <cellStyle name="Normal 2 2 4 15 2 7" xfId="31178" xr:uid="{00000000-0005-0000-0000-000091230000}"/>
    <cellStyle name="Normal 2 2 4 15 2 7 2" xfId="31179" xr:uid="{00000000-0005-0000-0000-000092230000}"/>
    <cellStyle name="Normal 2 2 4 15 2 8" xfId="31180" xr:uid="{00000000-0005-0000-0000-000093230000}"/>
    <cellStyle name="Normal 2 2 4 15 2 9" xfId="31181" xr:uid="{00000000-0005-0000-0000-000094230000}"/>
    <cellStyle name="Normal 2 2 4 15 3" xfId="3854" xr:uid="{00000000-0005-0000-0000-000095230000}"/>
    <cellStyle name="Normal 2 2 4 15 3 2" xfId="3855" xr:uid="{00000000-0005-0000-0000-000096230000}"/>
    <cellStyle name="Normal 2 2 4 15 3 2 2" xfId="3856" xr:uid="{00000000-0005-0000-0000-000097230000}"/>
    <cellStyle name="Normal 2 2 4 15 3 2 2 2" xfId="31182" xr:uid="{00000000-0005-0000-0000-000098230000}"/>
    <cellStyle name="Normal 2 2 4 15 3 2 3" xfId="3857" xr:uid="{00000000-0005-0000-0000-000099230000}"/>
    <cellStyle name="Normal 2 2 4 15 3 2 3 2" xfId="31183" xr:uid="{00000000-0005-0000-0000-00009A230000}"/>
    <cellStyle name="Normal 2 2 4 15 3 2 4" xfId="31184" xr:uid="{00000000-0005-0000-0000-00009B230000}"/>
    <cellStyle name="Normal 2 2 4 15 3 3" xfId="3858" xr:uid="{00000000-0005-0000-0000-00009C230000}"/>
    <cellStyle name="Normal 2 2 4 15 3 3 2" xfId="31185" xr:uid="{00000000-0005-0000-0000-00009D230000}"/>
    <cellStyle name="Normal 2 2 4 15 3 4" xfId="3859" xr:uid="{00000000-0005-0000-0000-00009E230000}"/>
    <cellStyle name="Normal 2 2 4 15 3 4 2" xfId="31186" xr:uid="{00000000-0005-0000-0000-00009F230000}"/>
    <cellStyle name="Normal 2 2 4 15 3 5" xfId="3860" xr:uid="{00000000-0005-0000-0000-0000A0230000}"/>
    <cellStyle name="Normal 2 2 4 15 3 5 2" xfId="31187" xr:uid="{00000000-0005-0000-0000-0000A1230000}"/>
    <cellStyle name="Normal 2 2 4 15 3 6" xfId="31188" xr:uid="{00000000-0005-0000-0000-0000A2230000}"/>
    <cellStyle name="Normal 2 2 4 15 3 6 2" xfId="31189" xr:uid="{00000000-0005-0000-0000-0000A3230000}"/>
    <cellStyle name="Normal 2 2 4 15 3 7" xfId="31190" xr:uid="{00000000-0005-0000-0000-0000A4230000}"/>
    <cellStyle name="Normal 2 2 4 15 4" xfId="3861" xr:uid="{00000000-0005-0000-0000-0000A5230000}"/>
    <cellStyle name="Normal 2 2 4 15 4 2" xfId="3862" xr:uid="{00000000-0005-0000-0000-0000A6230000}"/>
    <cellStyle name="Normal 2 2 4 15 4 2 2" xfId="31191" xr:uid="{00000000-0005-0000-0000-0000A7230000}"/>
    <cellStyle name="Normal 2 2 4 15 4 3" xfId="3863" xr:uid="{00000000-0005-0000-0000-0000A8230000}"/>
    <cellStyle name="Normal 2 2 4 15 4 3 2" xfId="31192" xr:uid="{00000000-0005-0000-0000-0000A9230000}"/>
    <cellStyle name="Normal 2 2 4 15 4 4" xfId="31193" xr:uid="{00000000-0005-0000-0000-0000AA230000}"/>
    <cellStyle name="Normal 2 2 4 15 5" xfId="3864" xr:uid="{00000000-0005-0000-0000-0000AB230000}"/>
    <cellStyle name="Normal 2 2 4 15 5 2" xfId="3865" xr:uid="{00000000-0005-0000-0000-0000AC230000}"/>
    <cellStyle name="Normal 2 2 4 15 5 2 2" xfId="31194" xr:uid="{00000000-0005-0000-0000-0000AD230000}"/>
    <cellStyle name="Normal 2 2 4 15 5 3" xfId="31195" xr:uid="{00000000-0005-0000-0000-0000AE230000}"/>
    <cellStyle name="Normal 2 2 4 15 6" xfId="3866" xr:uid="{00000000-0005-0000-0000-0000AF230000}"/>
    <cellStyle name="Normal 2 2 4 15 6 2" xfId="31196" xr:uid="{00000000-0005-0000-0000-0000B0230000}"/>
    <cellStyle name="Normal 2 2 4 15 7" xfId="3867" xr:uid="{00000000-0005-0000-0000-0000B1230000}"/>
    <cellStyle name="Normal 2 2 4 15 7 2" xfId="31197" xr:uid="{00000000-0005-0000-0000-0000B2230000}"/>
    <cellStyle name="Normal 2 2 4 15 8" xfId="31198" xr:uid="{00000000-0005-0000-0000-0000B3230000}"/>
    <cellStyle name="Normal 2 2 4 15 8 2" xfId="31199" xr:uid="{00000000-0005-0000-0000-0000B4230000}"/>
    <cellStyle name="Normal 2 2 4 15 9" xfId="31200" xr:uid="{00000000-0005-0000-0000-0000B5230000}"/>
    <cellStyle name="Normal 2 2 4 16" xfId="3868" xr:uid="{00000000-0005-0000-0000-0000B6230000}"/>
    <cellStyle name="Normal 2 2 4 16 10" xfId="31201" xr:uid="{00000000-0005-0000-0000-0000B7230000}"/>
    <cellStyle name="Normal 2 2 4 16 11" xfId="31202" xr:uid="{00000000-0005-0000-0000-0000B8230000}"/>
    <cellStyle name="Normal 2 2 4 16 2" xfId="3869" xr:uid="{00000000-0005-0000-0000-0000B9230000}"/>
    <cellStyle name="Normal 2 2 4 16 2 10" xfId="31203" xr:uid="{00000000-0005-0000-0000-0000BA230000}"/>
    <cellStyle name="Normal 2 2 4 16 2 2" xfId="3870" xr:uid="{00000000-0005-0000-0000-0000BB230000}"/>
    <cellStyle name="Normal 2 2 4 16 2 2 2" xfId="3871" xr:uid="{00000000-0005-0000-0000-0000BC230000}"/>
    <cellStyle name="Normal 2 2 4 16 2 2 2 2" xfId="3872" xr:uid="{00000000-0005-0000-0000-0000BD230000}"/>
    <cellStyle name="Normal 2 2 4 16 2 2 2 2 2" xfId="31204" xr:uid="{00000000-0005-0000-0000-0000BE230000}"/>
    <cellStyle name="Normal 2 2 4 16 2 2 2 3" xfId="3873" xr:uid="{00000000-0005-0000-0000-0000BF230000}"/>
    <cellStyle name="Normal 2 2 4 16 2 2 2 3 2" xfId="31205" xr:uid="{00000000-0005-0000-0000-0000C0230000}"/>
    <cellStyle name="Normal 2 2 4 16 2 2 2 4" xfId="31206" xr:uid="{00000000-0005-0000-0000-0000C1230000}"/>
    <cellStyle name="Normal 2 2 4 16 2 2 3" xfId="3874" xr:uid="{00000000-0005-0000-0000-0000C2230000}"/>
    <cellStyle name="Normal 2 2 4 16 2 2 3 2" xfId="31207" xr:uid="{00000000-0005-0000-0000-0000C3230000}"/>
    <cellStyle name="Normal 2 2 4 16 2 2 4" xfId="3875" xr:uid="{00000000-0005-0000-0000-0000C4230000}"/>
    <cellStyle name="Normal 2 2 4 16 2 2 4 2" xfId="31208" xr:uid="{00000000-0005-0000-0000-0000C5230000}"/>
    <cellStyle name="Normal 2 2 4 16 2 2 5" xfId="3876" xr:uid="{00000000-0005-0000-0000-0000C6230000}"/>
    <cellStyle name="Normal 2 2 4 16 2 2 5 2" xfId="31209" xr:uid="{00000000-0005-0000-0000-0000C7230000}"/>
    <cellStyle name="Normal 2 2 4 16 2 2 6" xfId="31210" xr:uid="{00000000-0005-0000-0000-0000C8230000}"/>
    <cellStyle name="Normal 2 2 4 16 2 2 6 2" xfId="31211" xr:uid="{00000000-0005-0000-0000-0000C9230000}"/>
    <cellStyle name="Normal 2 2 4 16 2 2 7" xfId="31212" xr:uid="{00000000-0005-0000-0000-0000CA230000}"/>
    <cellStyle name="Normal 2 2 4 16 2 3" xfId="3877" xr:uid="{00000000-0005-0000-0000-0000CB230000}"/>
    <cellStyle name="Normal 2 2 4 16 2 3 2" xfId="3878" xr:uid="{00000000-0005-0000-0000-0000CC230000}"/>
    <cellStyle name="Normal 2 2 4 16 2 3 2 2" xfId="31213" xr:uid="{00000000-0005-0000-0000-0000CD230000}"/>
    <cellStyle name="Normal 2 2 4 16 2 3 3" xfId="3879" xr:uid="{00000000-0005-0000-0000-0000CE230000}"/>
    <cellStyle name="Normal 2 2 4 16 2 3 3 2" xfId="31214" xr:uid="{00000000-0005-0000-0000-0000CF230000}"/>
    <cellStyle name="Normal 2 2 4 16 2 3 4" xfId="31215" xr:uid="{00000000-0005-0000-0000-0000D0230000}"/>
    <cellStyle name="Normal 2 2 4 16 2 4" xfId="3880" xr:uid="{00000000-0005-0000-0000-0000D1230000}"/>
    <cellStyle name="Normal 2 2 4 16 2 4 2" xfId="3881" xr:uid="{00000000-0005-0000-0000-0000D2230000}"/>
    <cellStyle name="Normal 2 2 4 16 2 4 2 2" xfId="31216" xr:uid="{00000000-0005-0000-0000-0000D3230000}"/>
    <cellStyle name="Normal 2 2 4 16 2 4 3" xfId="31217" xr:uid="{00000000-0005-0000-0000-0000D4230000}"/>
    <cellStyle name="Normal 2 2 4 16 2 5" xfId="3882" xr:uid="{00000000-0005-0000-0000-0000D5230000}"/>
    <cellStyle name="Normal 2 2 4 16 2 5 2" xfId="31218" xr:uid="{00000000-0005-0000-0000-0000D6230000}"/>
    <cellStyle name="Normal 2 2 4 16 2 6" xfId="3883" xr:uid="{00000000-0005-0000-0000-0000D7230000}"/>
    <cellStyle name="Normal 2 2 4 16 2 6 2" xfId="31219" xr:uid="{00000000-0005-0000-0000-0000D8230000}"/>
    <cellStyle name="Normal 2 2 4 16 2 7" xfId="31220" xr:uid="{00000000-0005-0000-0000-0000D9230000}"/>
    <cellStyle name="Normal 2 2 4 16 2 7 2" xfId="31221" xr:uid="{00000000-0005-0000-0000-0000DA230000}"/>
    <cellStyle name="Normal 2 2 4 16 2 8" xfId="31222" xr:uid="{00000000-0005-0000-0000-0000DB230000}"/>
    <cellStyle name="Normal 2 2 4 16 2 9" xfId="31223" xr:uid="{00000000-0005-0000-0000-0000DC230000}"/>
    <cellStyle name="Normal 2 2 4 16 3" xfId="3884" xr:uid="{00000000-0005-0000-0000-0000DD230000}"/>
    <cellStyle name="Normal 2 2 4 16 3 2" xfId="3885" xr:uid="{00000000-0005-0000-0000-0000DE230000}"/>
    <cellStyle name="Normal 2 2 4 16 3 2 2" xfId="3886" xr:uid="{00000000-0005-0000-0000-0000DF230000}"/>
    <cellStyle name="Normal 2 2 4 16 3 2 2 2" xfId="31224" xr:uid="{00000000-0005-0000-0000-0000E0230000}"/>
    <cellStyle name="Normal 2 2 4 16 3 2 3" xfId="3887" xr:uid="{00000000-0005-0000-0000-0000E1230000}"/>
    <cellStyle name="Normal 2 2 4 16 3 2 3 2" xfId="31225" xr:uid="{00000000-0005-0000-0000-0000E2230000}"/>
    <cellStyle name="Normal 2 2 4 16 3 2 4" xfId="31226" xr:uid="{00000000-0005-0000-0000-0000E3230000}"/>
    <cellStyle name="Normal 2 2 4 16 3 3" xfId="3888" xr:uid="{00000000-0005-0000-0000-0000E4230000}"/>
    <cellStyle name="Normal 2 2 4 16 3 3 2" xfId="31227" xr:uid="{00000000-0005-0000-0000-0000E5230000}"/>
    <cellStyle name="Normal 2 2 4 16 3 4" xfId="3889" xr:uid="{00000000-0005-0000-0000-0000E6230000}"/>
    <cellStyle name="Normal 2 2 4 16 3 4 2" xfId="31228" xr:uid="{00000000-0005-0000-0000-0000E7230000}"/>
    <cellStyle name="Normal 2 2 4 16 3 5" xfId="3890" xr:uid="{00000000-0005-0000-0000-0000E8230000}"/>
    <cellStyle name="Normal 2 2 4 16 3 5 2" xfId="31229" xr:uid="{00000000-0005-0000-0000-0000E9230000}"/>
    <cellStyle name="Normal 2 2 4 16 3 6" xfId="31230" xr:uid="{00000000-0005-0000-0000-0000EA230000}"/>
    <cellStyle name="Normal 2 2 4 16 3 6 2" xfId="31231" xr:uid="{00000000-0005-0000-0000-0000EB230000}"/>
    <cellStyle name="Normal 2 2 4 16 3 7" xfId="31232" xr:uid="{00000000-0005-0000-0000-0000EC230000}"/>
    <cellStyle name="Normal 2 2 4 16 4" xfId="3891" xr:uid="{00000000-0005-0000-0000-0000ED230000}"/>
    <cellStyle name="Normal 2 2 4 16 4 2" xfId="3892" xr:uid="{00000000-0005-0000-0000-0000EE230000}"/>
    <cellStyle name="Normal 2 2 4 16 4 2 2" xfId="31233" xr:uid="{00000000-0005-0000-0000-0000EF230000}"/>
    <cellStyle name="Normal 2 2 4 16 4 3" xfId="3893" xr:uid="{00000000-0005-0000-0000-0000F0230000}"/>
    <cellStyle name="Normal 2 2 4 16 4 3 2" xfId="31234" xr:uid="{00000000-0005-0000-0000-0000F1230000}"/>
    <cellStyle name="Normal 2 2 4 16 4 4" xfId="31235" xr:uid="{00000000-0005-0000-0000-0000F2230000}"/>
    <cellStyle name="Normal 2 2 4 16 5" xfId="3894" xr:uid="{00000000-0005-0000-0000-0000F3230000}"/>
    <cellStyle name="Normal 2 2 4 16 5 2" xfId="3895" xr:uid="{00000000-0005-0000-0000-0000F4230000}"/>
    <cellStyle name="Normal 2 2 4 16 5 2 2" xfId="31236" xr:uid="{00000000-0005-0000-0000-0000F5230000}"/>
    <cellStyle name="Normal 2 2 4 16 5 3" xfId="31237" xr:uid="{00000000-0005-0000-0000-0000F6230000}"/>
    <cellStyle name="Normal 2 2 4 16 6" xfId="3896" xr:uid="{00000000-0005-0000-0000-0000F7230000}"/>
    <cellStyle name="Normal 2 2 4 16 6 2" xfId="31238" xr:uid="{00000000-0005-0000-0000-0000F8230000}"/>
    <cellStyle name="Normal 2 2 4 16 7" xfId="3897" xr:uid="{00000000-0005-0000-0000-0000F9230000}"/>
    <cellStyle name="Normal 2 2 4 16 7 2" xfId="31239" xr:uid="{00000000-0005-0000-0000-0000FA230000}"/>
    <cellStyle name="Normal 2 2 4 16 8" xfId="31240" xr:uid="{00000000-0005-0000-0000-0000FB230000}"/>
    <cellStyle name="Normal 2 2 4 16 8 2" xfId="31241" xr:uid="{00000000-0005-0000-0000-0000FC230000}"/>
    <cellStyle name="Normal 2 2 4 16 9" xfId="31242" xr:uid="{00000000-0005-0000-0000-0000FD230000}"/>
    <cellStyle name="Normal 2 2 4 17" xfId="3898" xr:uid="{00000000-0005-0000-0000-0000FE230000}"/>
    <cellStyle name="Normal 2 2 4 17 10" xfId="31243" xr:uid="{00000000-0005-0000-0000-0000FF230000}"/>
    <cellStyle name="Normal 2 2 4 17 11" xfId="31244" xr:uid="{00000000-0005-0000-0000-000000240000}"/>
    <cellStyle name="Normal 2 2 4 17 2" xfId="3899" xr:uid="{00000000-0005-0000-0000-000001240000}"/>
    <cellStyle name="Normal 2 2 4 17 2 10" xfId="31245" xr:uid="{00000000-0005-0000-0000-000002240000}"/>
    <cellStyle name="Normal 2 2 4 17 2 2" xfId="3900" xr:uid="{00000000-0005-0000-0000-000003240000}"/>
    <cellStyle name="Normal 2 2 4 17 2 2 2" xfId="3901" xr:uid="{00000000-0005-0000-0000-000004240000}"/>
    <cellStyle name="Normal 2 2 4 17 2 2 2 2" xfId="3902" xr:uid="{00000000-0005-0000-0000-000005240000}"/>
    <cellStyle name="Normal 2 2 4 17 2 2 2 2 2" xfId="31246" xr:uid="{00000000-0005-0000-0000-000006240000}"/>
    <cellStyle name="Normal 2 2 4 17 2 2 2 3" xfId="3903" xr:uid="{00000000-0005-0000-0000-000007240000}"/>
    <cellStyle name="Normal 2 2 4 17 2 2 2 3 2" xfId="31247" xr:uid="{00000000-0005-0000-0000-000008240000}"/>
    <cellStyle name="Normal 2 2 4 17 2 2 2 4" xfId="31248" xr:uid="{00000000-0005-0000-0000-000009240000}"/>
    <cellStyle name="Normal 2 2 4 17 2 2 3" xfId="3904" xr:uid="{00000000-0005-0000-0000-00000A240000}"/>
    <cellStyle name="Normal 2 2 4 17 2 2 3 2" xfId="31249" xr:uid="{00000000-0005-0000-0000-00000B240000}"/>
    <cellStyle name="Normal 2 2 4 17 2 2 4" xfId="3905" xr:uid="{00000000-0005-0000-0000-00000C240000}"/>
    <cellStyle name="Normal 2 2 4 17 2 2 4 2" xfId="31250" xr:uid="{00000000-0005-0000-0000-00000D240000}"/>
    <cellStyle name="Normal 2 2 4 17 2 2 5" xfId="3906" xr:uid="{00000000-0005-0000-0000-00000E240000}"/>
    <cellStyle name="Normal 2 2 4 17 2 2 5 2" xfId="31251" xr:uid="{00000000-0005-0000-0000-00000F240000}"/>
    <cellStyle name="Normal 2 2 4 17 2 2 6" xfId="31252" xr:uid="{00000000-0005-0000-0000-000010240000}"/>
    <cellStyle name="Normal 2 2 4 17 2 2 6 2" xfId="31253" xr:uid="{00000000-0005-0000-0000-000011240000}"/>
    <cellStyle name="Normal 2 2 4 17 2 2 7" xfId="31254" xr:uid="{00000000-0005-0000-0000-000012240000}"/>
    <cellStyle name="Normal 2 2 4 17 2 3" xfId="3907" xr:uid="{00000000-0005-0000-0000-000013240000}"/>
    <cellStyle name="Normal 2 2 4 17 2 3 2" xfId="3908" xr:uid="{00000000-0005-0000-0000-000014240000}"/>
    <cellStyle name="Normal 2 2 4 17 2 3 2 2" xfId="31255" xr:uid="{00000000-0005-0000-0000-000015240000}"/>
    <cellStyle name="Normal 2 2 4 17 2 3 3" xfId="3909" xr:uid="{00000000-0005-0000-0000-000016240000}"/>
    <cellStyle name="Normal 2 2 4 17 2 3 3 2" xfId="31256" xr:uid="{00000000-0005-0000-0000-000017240000}"/>
    <cellStyle name="Normal 2 2 4 17 2 3 4" xfId="31257" xr:uid="{00000000-0005-0000-0000-000018240000}"/>
    <cellStyle name="Normal 2 2 4 17 2 4" xfId="3910" xr:uid="{00000000-0005-0000-0000-000019240000}"/>
    <cellStyle name="Normal 2 2 4 17 2 4 2" xfId="3911" xr:uid="{00000000-0005-0000-0000-00001A240000}"/>
    <cellStyle name="Normal 2 2 4 17 2 4 2 2" xfId="31258" xr:uid="{00000000-0005-0000-0000-00001B240000}"/>
    <cellStyle name="Normal 2 2 4 17 2 4 3" xfId="31259" xr:uid="{00000000-0005-0000-0000-00001C240000}"/>
    <cellStyle name="Normal 2 2 4 17 2 5" xfId="3912" xr:uid="{00000000-0005-0000-0000-00001D240000}"/>
    <cellStyle name="Normal 2 2 4 17 2 5 2" xfId="31260" xr:uid="{00000000-0005-0000-0000-00001E240000}"/>
    <cellStyle name="Normal 2 2 4 17 2 6" xfId="3913" xr:uid="{00000000-0005-0000-0000-00001F240000}"/>
    <cellStyle name="Normal 2 2 4 17 2 6 2" xfId="31261" xr:uid="{00000000-0005-0000-0000-000020240000}"/>
    <cellStyle name="Normal 2 2 4 17 2 7" xfId="31262" xr:uid="{00000000-0005-0000-0000-000021240000}"/>
    <cellStyle name="Normal 2 2 4 17 2 7 2" xfId="31263" xr:uid="{00000000-0005-0000-0000-000022240000}"/>
    <cellStyle name="Normal 2 2 4 17 2 8" xfId="31264" xr:uid="{00000000-0005-0000-0000-000023240000}"/>
    <cellStyle name="Normal 2 2 4 17 2 9" xfId="31265" xr:uid="{00000000-0005-0000-0000-000024240000}"/>
    <cellStyle name="Normal 2 2 4 17 3" xfId="3914" xr:uid="{00000000-0005-0000-0000-000025240000}"/>
    <cellStyle name="Normal 2 2 4 17 3 2" xfId="3915" xr:uid="{00000000-0005-0000-0000-000026240000}"/>
    <cellStyle name="Normal 2 2 4 17 3 2 2" xfId="3916" xr:uid="{00000000-0005-0000-0000-000027240000}"/>
    <cellStyle name="Normal 2 2 4 17 3 2 2 2" xfId="31266" xr:uid="{00000000-0005-0000-0000-000028240000}"/>
    <cellStyle name="Normal 2 2 4 17 3 2 3" xfId="3917" xr:uid="{00000000-0005-0000-0000-000029240000}"/>
    <cellStyle name="Normal 2 2 4 17 3 2 3 2" xfId="31267" xr:uid="{00000000-0005-0000-0000-00002A240000}"/>
    <cellStyle name="Normal 2 2 4 17 3 2 4" xfId="31268" xr:uid="{00000000-0005-0000-0000-00002B240000}"/>
    <cellStyle name="Normal 2 2 4 17 3 3" xfId="3918" xr:uid="{00000000-0005-0000-0000-00002C240000}"/>
    <cellStyle name="Normal 2 2 4 17 3 3 2" xfId="31269" xr:uid="{00000000-0005-0000-0000-00002D240000}"/>
    <cellStyle name="Normal 2 2 4 17 3 4" xfId="3919" xr:uid="{00000000-0005-0000-0000-00002E240000}"/>
    <cellStyle name="Normal 2 2 4 17 3 4 2" xfId="31270" xr:uid="{00000000-0005-0000-0000-00002F240000}"/>
    <cellStyle name="Normal 2 2 4 17 3 5" xfId="3920" xr:uid="{00000000-0005-0000-0000-000030240000}"/>
    <cellStyle name="Normal 2 2 4 17 3 5 2" xfId="31271" xr:uid="{00000000-0005-0000-0000-000031240000}"/>
    <cellStyle name="Normal 2 2 4 17 3 6" xfId="31272" xr:uid="{00000000-0005-0000-0000-000032240000}"/>
    <cellStyle name="Normal 2 2 4 17 3 6 2" xfId="31273" xr:uid="{00000000-0005-0000-0000-000033240000}"/>
    <cellStyle name="Normal 2 2 4 17 3 7" xfId="31274" xr:uid="{00000000-0005-0000-0000-000034240000}"/>
    <cellStyle name="Normal 2 2 4 17 4" xfId="3921" xr:uid="{00000000-0005-0000-0000-000035240000}"/>
    <cellStyle name="Normal 2 2 4 17 4 2" xfId="3922" xr:uid="{00000000-0005-0000-0000-000036240000}"/>
    <cellStyle name="Normal 2 2 4 17 4 2 2" xfId="31275" xr:uid="{00000000-0005-0000-0000-000037240000}"/>
    <cellStyle name="Normal 2 2 4 17 4 3" xfId="3923" xr:uid="{00000000-0005-0000-0000-000038240000}"/>
    <cellStyle name="Normal 2 2 4 17 4 3 2" xfId="31276" xr:uid="{00000000-0005-0000-0000-000039240000}"/>
    <cellStyle name="Normal 2 2 4 17 4 4" xfId="31277" xr:uid="{00000000-0005-0000-0000-00003A240000}"/>
    <cellStyle name="Normal 2 2 4 17 5" xfId="3924" xr:uid="{00000000-0005-0000-0000-00003B240000}"/>
    <cellStyle name="Normal 2 2 4 17 5 2" xfId="3925" xr:uid="{00000000-0005-0000-0000-00003C240000}"/>
    <cellStyle name="Normal 2 2 4 17 5 2 2" xfId="31278" xr:uid="{00000000-0005-0000-0000-00003D240000}"/>
    <cellStyle name="Normal 2 2 4 17 5 3" xfId="31279" xr:uid="{00000000-0005-0000-0000-00003E240000}"/>
    <cellStyle name="Normal 2 2 4 17 6" xfId="3926" xr:uid="{00000000-0005-0000-0000-00003F240000}"/>
    <cellStyle name="Normal 2 2 4 17 6 2" xfId="31280" xr:uid="{00000000-0005-0000-0000-000040240000}"/>
    <cellStyle name="Normal 2 2 4 17 7" xfId="3927" xr:uid="{00000000-0005-0000-0000-000041240000}"/>
    <cellStyle name="Normal 2 2 4 17 7 2" xfId="31281" xr:uid="{00000000-0005-0000-0000-000042240000}"/>
    <cellStyle name="Normal 2 2 4 17 8" xfId="31282" xr:uid="{00000000-0005-0000-0000-000043240000}"/>
    <cellStyle name="Normal 2 2 4 17 8 2" xfId="31283" xr:uid="{00000000-0005-0000-0000-000044240000}"/>
    <cellStyle name="Normal 2 2 4 17 9" xfId="31284" xr:uid="{00000000-0005-0000-0000-000045240000}"/>
    <cellStyle name="Normal 2 2 4 18" xfId="3928" xr:uid="{00000000-0005-0000-0000-000046240000}"/>
    <cellStyle name="Normal 2 2 4 18 10" xfId="31285" xr:uid="{00000000-0005-0000-0000-000047240000}"/>
    <cellStyle name="Normal 2 2 4 18 11" xfId="31286" xr:uid="{00000000-0005-0000-0000-000048240000}"/>
    <cellStyle name="Normal 2 2 4 18 2" xfId="3929" xr:uid="{00000000-0005-0000-0000-000049240000}"/>
    <cellStyle name="Normal 2 2 4 18 2 10" xfId="31287" xr:uid="{00000000-0005-0000-0000-00004A240000}"/>
    <cellStyle name="Normal 2 2 4 18 2 2" xfId="3930" xr:uid="{00000000-0005-0000-0000-00004B240000}"/>
    <cellStyle name="Normal 2 2 4 18 2 2 2" xfId="3931" xr:uid="{00000000-0005-0000-0000-00004C240000}"/>
    <cellStyle name="Normal 2 2 4 18 2 2 2 2" xfId="3932" xr:uid="{00000000-0005-0000-0000-00004D240000}"/>
    <cellStyle name="Normal 2 2 4 18 2 2 2 2 2" xfId="31288" xr:uid="{00000000-0005-0000-0000-00004E240000}"/>
    <cellStyle name="Normal 2 2 4 18 2 2 2 3" xfId="3933" xr:uid="{00000000-0005-0000-0000-00004F240000}"/>
    <cellStyle name="Normal 2 2 4 18 2 2 2 3 2" xfId="31289" xr:uid="{00000000-0005-0000-0000-000050240000}"/>
    <cellStyle name="Normal 2 2 4 18 2 2 2 4" xfId="31290" xr:uid="{00000000-0005-0000-0000-000051240000}"/>
    <cellStyle name="Normal 2 2 4 18 2 2 3" xfId="3934" xr:uid="{00000000-0005-0000-0000-000052240000}"/>
    <cellStyle name="Normal 2 2 4 18 2 2 3 2" xfId="31291" xr:uid="{00000000-0005-0000-0000-000053240000}"/>
    <cellStyle name="Normal 2 2 4 18 2 2 4" xfId="3935" xr:uid="{00000000-0005-0000-0000-000054240000}"/>
    <cellStyle name="Normal 2 2 4 18 2 2 4 2" xfId="31292" xr:uid="{00000000-0005-0000-0000-000055240000}"/>
    <cellStyle name="Normal 2 2 4 18 2 2 5" xfId="3936" xr:uid="{00000000-0005-0000-0000-000056240000}"/>
    <cellStyle name="Normal 2 2 4 18 2 2 5 2" xfId="31293" xr:uid="{00000000-0005-0000-0000-000057240000}"/>
    <cellStyle name="Normal 2 2 4 18 2 2 6" xfId="31294" xr:uid="{00000000-0005-0000-0000-000058240000}"/>
    <cellStyle name="Normal 2 2 4 18 2 2 6 2" xfId="31295" xr:uid="{00000000-0005-0000-0000-000059240000}"/>
    <cellStyle name="Normal 2 2 4 18 2 2 7" xfId="31296" xr:uid="{00000000-0005-0000-0000-00005A240000}"/>
    <cellStyle name="Normal 2 2 4 18 2 3" xfId="3937" xr:uid="{00000000-0005-0000-0000-00005B240000}"/>
    <cellStyle name="Normal 2 2 4 18 2 3 2" xfId="3938" xr:uid="{00000000-0005-0000-0000-00005C240000}"/>
    <cellStyle name="Normal 2 2 4 18 2 3 2 2" xfId="31297" xr:uid="{00000000-0005-0000-0000-00005D240000}"/>
    <cellStyle name="Normal 2 2 4 18 2 3 3" xfId="3939" xr:uid="{00000000-0005-0000-0000-00005E240000}"/>
    <cellStyle name="Normal 2 2 4 18 2 3 3 2" xfId="31298" xr:uid="{00000000-0005-0000-0000-00005F240000}"/>
    <cellStyle name="Normal 2 2 4 18 2 3 4" xfId="31299" xr:uid="{00000000-0005-0000-0000-000060240000}"/>
    <cellStyle name="Normal 2 2 4 18 2 4" xfId="3940" xr:uid="{00000000-0005-0000-0000-000061240000}"/>
    <cellStyle name="Normal 2 2 4 18 2 4 2" xfId="3941" xr:uid="{00000000-0005-0000-0000-000062240000}"/>
    <cellStyle name="Normal 2 2 4 18 2 4 2 2" xfId="31300" xr:uid="{00000000-0005-0000-0000-000063240000}"/>
    <cellStyle name="Normal 2 2 4 18 2 4 3" xfId="31301" xr:uid="{00000000-0005-0000-0000-000064240000}"/>
    <cellStyle name="Normal 2 2 4 18 2 5" xfId="3942" xr:uid="{00000000-0005-0000-0000-000065240000}"/>
    <cellStyle name="Normal 2 2 4 18 2 5 2" xfId="31302" xr:uid="{00000000-0005-0000-0000-000066240000}"/>
    <cellStyle name="Normal 2 2 4 18 2 6" xfId="3943" xr:uid="{00000000-0005-0000-0000-000067240000}"/>
    <cellStyle name="Normal 2 2 4 18 2 6 2" xfId="31303" xr:uid="{00000000-0005-0000-0000-000068240000}"/>
    <cellStyle name="Normal 2 2 4 18 2 7" xfId="31304" xr:uid="{00000000-0005-0000-0000-000069240000}"/>
    <cellStyle name="Normal 2 2 4 18 2 7 2" xfId="31305" xr:uid="{00000000-0005-0000-0000-00006A240000}"/>
    <cellStyle name="Normal 2 2 4 18 2 8" xfId="31306" xr:uid="{00000000-0005-0000-0000-00006B240000}"/>
    <cellStyle name="Normal 2 2 4 18 2 9" xfId="31307" xr:uid="{00000000-0005-0000-0000-00006C240000}"/>
    <cellStyle name="Normal 2 2 4 18 3" xfId="3944" xr:uid="{00000000-0005-0000-0000-00006D240000}"/>
    <cellStyle name="Normal 2 2 4 18 3 2" xfId="3945" xr:uid="{00000000-0005-0000-0000-00006E240000}"/>
    <cellStyle name="Normal 2 2 4 18 3 2 2" xfId="3946" xr:uid="{00000000-0005-0000-0000-00006F240000}"/>
    <cellStyle name="Normal 2 2 4 18 3 2 2 2" xfId="31308" xr:uid="{00000000-0005-0000-0000-000070240000}"/>
    <cellStyle name="Normal 2 2 4 18 3 2 3" xfId="3947" xr:uid="{00000000-0005-0000-0000-000071240000}"/>
    <cellStyle name="Normal 2 2 4 18 3 2 3 2" xfId="31309" xr:uid="{00000000-0005-0000-0000-000072240000}"/>
    <cellStyle name="Normal 2 2 4 18 3 2 4" xfId="31310" xr:uid="{00000000-0005-0000-0000-000073240000}"/>
    <cellStyle name="Normal 2 2 4 18 3 3" xfId="3948" xr:uid="{00000000-0005-0000-0000-000074240000}"/>
    <cellStyle name="Normal 2 2 4 18 3 3 2" xfId="31311" xr:uid="{00000000-0005-0000-0000-000075240000}"/>
    <cellStyle name="Normal 2 2 4 18 3 4" xfId="3949" xr:uid="{00000000-0005-0000-0000-000076240000}"/>
    <cellStyle name="Normal 2 2 4 18 3 4 2" xfId="31312" xr:uid="{00000000-0005-0000-0000-000077240000}"/>
    <cellStyle name="Normal 2 2 4 18 3 5" xfId="3950" xr:uid="{00000000-0005-0000-0000-000078240000}"/>
    <cellStyle name="Normal 2 2 4 18 3 5 2" xfId="31313" xr:uid="{00000000-0005-0000-0000-000079240000}"/>
    <cellStyle name="Normal 2 2 4 18 3 6" xfId="31314" xr:uid="{00000000-0005-0000-0000-00007A240000}"/>
    <cellStyle name="Normal 2 2 4 18 3 6 2" xfId="31315" xr:uid="{00000000-0005-0000-0000-00007B240000}"/>
    <cellStyle name="Normal 2 2 4 18 3 7" xfId="31316" xr:uid="{00000000-0005-0000-0000-00007C240000}"/>
    <cellStyle name="Normal 2 2 4 18 4" xfId="3951" xr:uid="{00000000-0005-0000-0000-00007D240000}"/>
    <cellStyle name="Normal 2 2 4 18 4 2" xfId="3952" xr:uid="{00000000-0005-0000-0000-00007E240000}"/>
    <cellStyle name="Normal 2 2 4 18 4 2 2" xfId="31317" xr:uid="{00000000-0005-0000-0000-00007F240000}"/>
    <cellStyle name="Normal 2 2 4 18 4 3" xfId="3953" xr:uid="{00000000-0005-0000-0000-000080240000}"/>
    <cellStyle name="Normal 2 2 4 18 4 3 2" xfId="31318" xr:uid="{00000000-0005-0000-0000-000081240000}"/>
    <cellStyle name="Normal 2 2 4 18 4 4" xfId="31319" xr:uid="{00000000-0005-0000-0000-000082240000}"/>
    <cellStyle name="Normal 2 2 4 18 5" xfId="3954" xr:uid="{00000000-0005-0000-0000-000083240000}"/>
    <cellStyle name="Normal 2 2 4 18 5 2" xfId="3955" xr:uid="{00000000-0005-0000-0000-000084240000}"/>
    <cellStyle name="Normal 2 2 4 18 5 2 2" xfId="31320" xr:uid="{00000000-0005-0000-0000-000085240000}"/>
    <cellStyle name="Normal 2 2 4 18 5 3" xfId="31321" xr:uid="{00000000-0005-0000-0000-000086240000}"/>
    <cellStyle name="Normal 2 2 4 18 6" xfId="3956" xr:uid="{00000000-0005-0000-0000-000087240000}"/>
    <cellStyle name="Normal 2 2 4 18 6 2" xfId="31322" xr:uid="{00000000-0005-0000-0000-000088240000}"/>
    <cellStyle name="Normal 2 2 4 18 7" xfId="3957" xr:uid="{00000000-0005-0000-0000-000089240000}"/>
    <cellStyle name="Normal 2 2 4 18 7 2" xfId="31323" xr:uid="{00000000-0005-0000-0000-00008A240000}"/>
    <cellStyle name="Normal 2 2 4 18 8" xfId="31324" xr:uid="{00000000-0005-0000-0000-00008B240000}"/>
    <cellStyle name="Normal 2 2 4 18 8 2" xfId="31325" xr:uid="{00000000-0005-0000-0000-00008C240000}"/>
    <cellStyle name="Normal 2 2 4 18 9" xfId="31326" xr:uid="{00000000-0005-0000-0000-00008D240000}"/>
    <cellStyle name="Normal 2 2 4 19" xfId="3958" xr:uid="{00000000-0005-0000-0000-00008E240000}"/>
    <cellStyle name="Normal 2 2 4 19 10" xfId="31327" xr:uid="{00000000-0005-0000-0000-00008F240000}"/>
    <cellStyle name="Normal 2 2 4 19 11" xfId="31328" xr:uid="{00000000-0005-0000-0000-000090240000}"/>
    <cellStyle name="Normal 2 2 4 19 2" xfId="3959" xr:uid="{00000000-0005-0000-0000-000091240000}"/>
    <cellStyle name="Normal 2 2 4 19 2 10" xfId="31329" xr:uid="{00000000-0005-0000-0000-000092240000}"/>
    <cellStyle name="Normal 2 2 4 19 2 2" xfId="3960" xr:uid="{00000000-0005-0000-0000-000093240000}"/>
    <cellStyle name="Normal 2 2 4 19 2 2 2" xfId="3961" xr:uid="{00000000-0005-0000-0000-000094240000}"/>
    <cellStyle name="Normal 2 2 4 19 2 2 2 2" xfId="3962" xr:uid="{00000000-0005-0000-0000-000095240000}"/>
    <cellStyle name="Normal 2 2 4 19 2 2 2 2 2" xfId="31330" xr:uid="{00000000-0005-0000-0000-000096240000}"/>
    <cellStyle name="Normal 2 2 4 19 2 2 2 3" xfId="3963" xr:uid="{00000000-0005-0000-0000-000097240000}"/>
    <cellStyle name="Normal 2 2 4 19 2 2 2 3 2" xfId="31331" xr:uid="{00000000-0005-0000-0000-000098240000}"/>
    <cellStyle name="Normal 2 2 4 19 2 2 2 4" xfId="31332" xr:uid="{00000000-0005-0000-0000-000099240000}"/>
    <cellStyle name="Normal 2 2 4 19 2 2 3" xfId="3964" xr:uid="{00000000-0005-0000-0000-00009A240000}"/>
    <cellStyle name="Normal 2 2 4 19 2 2 3 2" xfId="31333" xr:uid="{00000000-0005-0000-0000-00009B240000}"/>
    <cellStyle name="Normal 2 2 4 19 2 2 4" xfId="3965" xr:uid="{00000000-0005-0000-0000-00009C240000}"/>
    <cellStyle name="Normal 2 2 4 19 2 2 4 2" xfId="31334" xr:uid="{00000000-0005-0000-0000-00009D240000}"/>
    <cellStyle name="Normal 2 2 4 19 2 2 5" xfId="3966" xr:uid="{00000000-0005-0000-0000-00009E240000}"/>
    <cellStyle name="Normal 2 2 4 19 2 2 5 2" xfId="31335" xr:uid="{00000000-0005-0000-0000-00009F240000}"/>
    <cellStyle name="Normal 2 2 4 19 2 2 6" xfId="31336" xr:uid="{00000000-0005-0000-0000-0000A0240000}"/>
    <cellStyle name="Normal 2 2 4 19 2 2 6 2" xfId="31337" xr:uid="{00000000-0005-0000-0000-0000A1240000}"/>
    <cellStyle name="Normal 2 2 4 19 2 2 7" xfId="31338" xr:uid="{00000000-0005-0000-0000-0000A2240000}"/>
    <cellStyle name="Normal 2 2 4 19 2 3" xfId="3967" xr:uid="{00000000-0005-0000-0000-0000A3240000}"/>
    <cellStyle name="Normal 2 2 4 19 2 3 2" xfId="3968" xr:uid="{00000000-0005-0000-0000-0000A4240000}"/>
    <cellStyle name="Normal 2 2 4 19 2 3 2 2" xfId="31339" xr:uid="{00000000-0005-0000-0000-0000A5240000}"/>
    <cellStyle name="Normal 2 2 4 19 2 3 3" xfId="3969" xr:uid="{00000000-0005-0000-0000-0000A6240000}"/>
    <cellStyle name="Normal 2 2 4 19 2 3 3 2" xfId="31340" xr:uid="{00000000-0005-0000-0000-0000A7240000}"/>
    <cellStyle name="Normal 2 2 4 19 2 3 4" xfId="31341" xr:uid="{00000000-0005-0000-0000-0000A8240000}"/>
    <cellStyle name="Normal 2 2 4 19 2 4" xfId="3970" xr:uid="{00000000-0005-0000-0000-0000A9240000}"/>
    <cellStyle name="Normal 2 2 4 19 2 4 2" xfId="3971" xr:uid="{00000000-0005-0000-0000-0000AA240000}"/>
    <cellStyle name="Normal 2 2 4 19 2 4 2 2" xfId="31342" xr:uid="{00000000-0005-0000-0000-0000AB240000}"/>
    <cellStyle name="Normal 2 2 4 19 2 4 3" xfId="31343" xr:uid="{00000000-0005-0000-0000-0000AC240000}"/>
    <cellStyle name="Normal 2 2 4 19 2 5" xfId="3972" xr:uid="{00000000-0005-0000-0000-0000AD240000}"/>
    <cellStyle name="Normal 2 2 4 19 2 5 2" xfId="31344" xr:uid="{00000000-0005-0000-0000-0000AE240000}"/>
    <cellStyle name="Normal 2 2 4 19 2 6" xfId="3973" xr:uid="{00000000-0005-0000-0000-0000AF240000}"/>
    <cellStyle name="Normal 2 2 4 19 2 6 2" xfId="31345" xr:uid="{00000000-0005-0000-0000-0000B0240000}"/>
    <cellStyle name="Normal 2 2 4 19 2 7" xfId="31346" xr:uid="{00000000-0005-0000-0000-0000B1240000}"/>
    <cellStyle name="Normal 2 2 4 19 2 7 2" xfId="31347" xr:uid="{00000000-0005-0000-0000-0000B2240000}"/>
    <cellStyle name="Normal 2 2 4 19 2 8" xfId="31348" xr:uid="{00000000-0005-0000-0000-0000B3240000}"/>
    <cellStyle name="Normal 2 2 4 19 2 9" xfId="31349" xr:uid="{00000000-0005-0000-0000-0000B4240000}"/>
    <cellStyle name="Normal 2 2 4 19 3" xfId="3974" xr:uid="{00000000-0005-0000-0000-0000B5240000}"/>
    <cellStyle name="Normal 2 2 4 19 3 2" xfId="3975" xr:uid="{00000000-0005-0000-0000-0000B6240000}"/>
    <cellStyle name="Normal 2 2 4 19 3 2 2" xfId="3976" xr:uid="{00000000-0005-0000-0000-0000B7240000}"/>
    <cellStyle name="Normal 2 2 4 19 3 2 2 2" xfId="31350" xr:uid="{00000000-0005-0000-0000-0000B8240000}"/>
    <cellStyle name="Normal 2 2 4 19 3 2 3" xfId="3977" xr:uid="{00000000-0005-0000-0000-0000B9240000}"/>
    <cellStyle name="Normal 2 2 4 19 3 2 3 2" xfId="31351" xr:uid="{00000000-0005-0000-0000-0000BA240000}"/>
    <cellStyle name="Normal 2 2 4 19 3 2 4" xfId="31352" xr:uid="{00000000-0005-0000-0000-0000BB240000}"/>
    <cellStyle name="Normal 2 2 4 19 3 3" xfId="3978" xr:uid="{00000000-0005-0000-0000-0000BC240000}"/>
    <cellStyle name="Normal 2 2 4 19 3 3 2" xfId="31353" xr:uid="{00000000-0005-0000-0000-0000BD240000}"/>
    <cellStyle name="Normal 2 2 4 19 3 4" xfId="3979" xr:uid="{00000000-0005-0000-0000-0000BE240000}"/>
    <cellStyle name="Normal 2 2 4 19 3 4 2" xfId="31354" xr:uid="{00000000-0005-0000-0000-0000BF240000}"/>
    <cellStyle name="Normal 2 2 4 19 3 5" xfId="3980" xr:uid="{00000000-0005-0000-0000-0000C0240000}"/>
    <cellStyle name="Normal 2 2 4 19 3 5 2" xfId="31355" xr:uid="{00000000-0005-0000-0000-0000C1240000}"/>
    <cellStyle name="Normal 2 2 4 19 3 6" xfId="31356" xr:uid="{00000000-0005-0000-0000-0000C2240000}"/>
    <cellStyle name="Normal 2 2 4 19 3 6 2" xfId="31357" xr:uid="{00000000-0005-0000-0000-0000C3240000}"/>
    <cellStyle name="Normal 2 2 4 19 3 7" xfId="31358" xr:uid="{00000000-0005-0000-0000-0000C4240000}"/>
    <cellStyle name="Normal 2 2 4 19 4" xfId="3981" xr:uid="{00000000-0005-0000-0000-0000C5240000}"/>
    <cellStyle name="Normal 2 2 4 19 4 2" xfId="3982" xr:uid="{00000000-0005-0000-0000-0000C6240000}"/>
    <cellStyle name="Normal 2 2 4 19 4 2 2" xfId="31359" xr:uid="{00000000-0005-0000-0000-0000C7240000}"/>
    <cellStyle name="Normal 2 2 4 19 4 3" xfId="3983" xr:uid="{00000000-0005-0000-0000-0000C8240000}"/>
    <cellStyle name="Normal 2 2 4 19 4 3 2" xfId="31360" xr:uid="{00000000-0005-0000-0000-0000C9240000}"/>
    <cellStyle name="Normal 2 2 4 19 4 4" xfId="31361" xr:uid="{00000000-0005-0000-0000-0000CA240000}"/>
    <cellStyle name="Normal 2 2 4 19 5" xfId="3984" xr:uid="{00000000-0005-0000-0000-0000CB240000}"/>
    <cellStyle name="Normal 2 2 4 19 5 2" xfId="3985" xr:uid="{00000000-0005-0000-0000-0000CC240000}"/>
    <cellStyle name="Normal 2 2 4 19 5 2 2" xfId="31362" xr:uid="{00000000-0005-0000-0000-0000CD240000}"/>
    <cellStyle name="Normal 2 2 4 19 5 3" xfId="31363" xr:uid="{00000000-0005-0000-0000-0000CE240000}"/>
    <cellStyle name="Normal 2 2 4 19 6" xfId="3986" xr:uid="{00000000-0005-0000-0000-0000CF240000}"/>
    <cellStyle name="Normal 2 2 4 19 6 2" xfId="31364" xr:uid="{00000000-0005-0000-0000-0000D0240000}"/>
    <cellStyle name="Normal 2 2 4 19 7" xfId="3987" xr:uid="{00000000-0005-0000-0000-0000D1240000}"/>
    <cellStyle name="Normal 2 2 4 19 7 2" xfId="31365" xr:uid="{00000000-0005-0000-0000-0000D2240000}"/>
    <cellStyle name="Normal 2 2 4 19 8" xfId="31366" xr:uid="{00000000-0005-0000-0000-0000D3240000}"/>
    <cellStyle name="Normal 2 2 4 19 8 2" xfId="31367" xr:uid="{00000000-0005-0000-0000-0000D4240000}"/>
    <cellStyle name="Normal 2 2 4 19 9" xfId="31368" xr:uid="{00000000-0005-0000-0000-0000D5240000}"/>
    <cellStyle name="Normal 2 2 4 2" xfId="3988" xr:uid="{00000000-0005-0000-0000-0000D6240000}"/>
    <cellStyle name="Normal 2 2 4 2 10" xfId="31369" xr:uid="{00000000-0005-0000-0000-0000D7240000}"/>
    <cellStyle name="Normal 2 2 4 2 11" xfId="31370" xr:uid="{00000000-0005-0000-0000-0000D8240000}"/>
    <cellStyle name="Normal 2 2 4 2 2" xfId="3989" xr:uid="{00000000-0005-0000-0000-0000D9240000}"/>
    <cellStyle name="Normal 2 2 4 2 2 10" xfId="31371" xr:uid="{00000000-0005-0000-0000-0000DA240000}"/>
    <cellStyle name="Normal 2 2 4 2 2 2" xfId="3990" xr:uid="{00000000-0005-0000-0000-0000DB240000}"/>
    <cellStyle name="Normal 2 2 4 2 2 2 2" xfId="3991" xr:uid="{00000000-0005-0000-0000-0000DC240000}"/>
    <cellStyle name="Normal 2 2 4 2 2 2 2 2" xfId="3992" xr:uid="{00000000-0005-0000-0000-0000DD240000}"/>
    <cellStyle name="Normal 2 2 4 2 2 2 2 2 2" xfId="31372" xr:uid="{00000000-0005-0000-0000-0000DE240000}"/>
    <cellStyle name="Normal 2 2 4 2 2 2 2 3" xfId="3993" xr:uid="{00000000-0005-0000-0000-0000DF240000}"/>
    <cellStyle name="Normal 2 2 4 2 2 2 2 3 2" xfId="31373" xr:uid="{00000000-0005-0000-0000-0000E0240000}"/>
    <cellStyle name="Normal 2 2 4 2 2 2 2 4" xfId="31374" xr:uid="{00000000-0005-0000-0000-0000E1240000}"/>
    <cellStyle name="Normal 2 2 4 2 2 2 3" xfId="3994" xr:uid="{00000000-0005-0000-0000-0000E2240000}"/>
    <cellStyle name="Normal 2 2 4 2 2 2 3 2" xfId="31375" xr:uid="{00000000-0005-0000-0000-0000E3240000}"/>
    <cellStyle name="Normal 2 2 4 2 2 2 4" xfId="3995" xr:uid="{00000000-0005-0000-0000-0000E4240000}"/>
    <cellStyle name="Normal 2 2 4 2 2 2 4 2" xfId="31376" xr:uid="{00000000-0005-0000-0000-0000E5240000}"/>
    <cellStyle name="Normal 2 2 4 2 2 2 5" xfId="3996" xr:uid="{00000000-0005-0000-0000-0000E6240000}"/>
    <cellStyle name="Normal 2 2 4 2 2 2 5 2" xfId="31377" xr:uid="{00000000-0005-0000-0000-0000E7240000}"/>
    <cellStyle name="Normal 2 2 4 2 2 2 6" xfId="31378" xr:uid="{00000000-0005-0000-0000-0000E8240000}"/>
    <cellStyle name="Normal 2 2 4 2 2 2 6 2" xfId="31379" xr:uid="{00000000-0005-0000-0000-0000E9240000}"/>
    <cellStyle name="Normal 2 2 4 2 2 2 7" xfId="31380" xr:uid="{00000000-0005-0000-0000-0000EA240000}"/>
    <cellStyle name="Normal 2 2 4 2 2 3" xfId="3997" xr:uid="{00000000-0005-0000-0000-0000EB240000}"/>
    <cellStyle name="Normal 2 2 4 2 2 3 2" xfId="3998" xr:uid="{00000000-0005-0000-0000-0000EC240000}"/>
    <cellStyle name="Normal 2 2 4 2 2 3 2 2" xfId="31381" xr:uid="{00000000-0005-0000-0000-0000ED240000}"/>
    <cellStyle name="Normal 2 2 4 2 2 3 3" xfId="3999" xr:uid="{00000000-0005-0000-0000-0000EE240000}"/>
    <cellStyle name="Normal 2 2 4 2 2 3 3 2" xfId="31382" xr:uid="{00000000-0005-0000-0000-0000EF240000}"/>
    <cellStyle name="Normal 2 2 4 2 2 3 4" xfId="31383" xr:uid="{00000000-0005-0000-0000-0000F0240000}"/>
    <cellStyle name="Normal 2 2 4 2 2 4" xfId="4000" xr:uid="{00000000-0005-0000-0000-0000F1240000}"/>
    <cellStyle name="Normal 2 2 4 2 2 4 2" xfId="4001" xr:uid="{00000000-0005-0000-0000-0000F2240000}"/>
    <cellStyle name="Normal 2 2 4 2 2 4 2 2" xfId="31384" xr:uid="{00000000-0005-0000-0000-0000F3240000}"/>
    <cellStyle name="Normal 2 2 4 2 2 4 3" xfId="31385" xr:uid="{00000000-0005-0000-0000-0000F4240000}"/>
    <cellStyle name="Normal 2 2 4 2 2 5" xfId="4002" xr:uid="{00000000-0005-0000-0000-0000F5240000}"/>
    <cellStyle name="Normal 2 2 4 2 2 5 2" xfId="31386" xr:uid="{00000000-0005-0000-0000-0000F6240000}"/>
    <cellStyle name="Normal 2 2 4 2 2 6" xfId="4003" xr:uid="{00000000-0005-0000-0000-0000F7240000}"/>
    <cellStyle name="Normal 2 2 4 2 2 6 2" xfId="31387" xr:uid="{00000000-0005-0000-0000-0000F8240000}"/>
    <cellStyle name="Normal 2 2 4 2 2 7" xfId="31388" xr:uid="{00000000-0005-0000-0000-0000F9240000}"/>
    <cellStyle name="Normal 2 2 4 2 2 7 2" xfId="31389" xr:uid="{00000000-0005-0000-0000-0000FA240000}"/>
    <cellStyle name="Normal 2 2 4 2 2 8" xfId="31390" xr:uid="{00000000-0005-0000-0000-0000FB240000}"/>
    <cellStyle name="Normal 2 2 4 2 2 9" xfId="31391" xr:uid="{00000000-0005-0000-0000-0000FC240000}"/>
    <cellStyle name="Normal 2 2 4 2 3" xfId="4004" xr:uid="{00000000-0005-0000-0000-0000FD240000}"/>
    <cellStyle name="Normal 2 2 4 2 3 2" xfId="4005" xr:uid="{00000000-0005-0000-0000-0000FE240000}"/>
    <cellStyle name="Normal 2 2 4 2 3 2 2" xfId="4006" xr:uid="{00000000-0005-0000-0000-0000FF240000}"/>
    <cellStyle name="Normal 2 2 4 2 3 2 2 2" xfId="31392" xr:uid="{00000000-0005-0000-0000-000000250000}"/>
    <cellStyle name="Normal 2 2 4 2 3 2 3" xfId="4007" xr:uid="{00000000-0005-0000-0000-000001250000}"/>
    <cellStyle name="Normal 2 2 4 2 3 2 3 2" xfId="31393" xr:uid="{00000000-0005-0000-0000-000002250000}"/>
    <cellStyle name="Normal 2 2 4 2 3 2 4" xfId="31394" xr:uid="{00000000-0005-0000-0000-000003250000}"/>
    <cellStyle name="Normal 2 2 4 2 3 3" xfId="4008" xr:uid="{00000000-0005-0000-0000-000004250000}"/>
    <cellStyle name="Normal 2 2 4 2 3 3 2" xfId="31395" xr:uid="{00000000-0005-0000-0000-000005250000}"/>
    <cellStyle name="Normal 2 2 4 2 3 4" xfId="4009" xr:uid="{00000000-0005-0000-0000-000006250000}"/>
    <cellStyle name="Normal 2 2 4 2 3 4 2" xfId="31396" xr:uid="{00000000-0005-0000-0000-000007250000}"/>
    <cellStyle name="Normal 2 2 4 2 3 5" xfId="4010" xr:uid="{00000000-0005-0000-0000-000008250000}"/>
    <cellStyle name="Normal 2 2 4 2 3 5 2" xfId="31397" xr:uid="{00000000-0005-0000-0000-000009250000}"/>
    <cellStyle name="Normal 2 2 4 2 3 6" xfId="31398" xr:uid="{00000000-0005-0000-0000-00000A250000}"/>
    <cellStyle name="Normal 2 2 4 2 3 6 2" xfId="31399" xr:uid="{00000000-0005-0000-0000-00000B250000}"/>
    <cellStyle name="Normal 2 2 4 2 3 7" xfId="31400" xr:uid="{00000000-0005-0000-0000-00000C250000}"/>
    <cellStyle name="Normal 2 2 4 2 4" xfId="4011" xr:uid="{00000000-0005-0000-0000-00000D250000}"/>
    <cellStyle name="Normal 2 2 4 2 4 2" xfId="4012" xr:uid="{00000000-0005-0000-0000-00000E250000}"/>
    <cellStyle name="Normal 2 2 4 2 4 2 2" xfId="31401" xr:uid="{00000000-0005-0000-0000-00000F250000}"/>
    <cellStyle name="Normal 2 2 4 2 4 3" xfId="4013" xr:uid="{00000000-0005-0000-0000-000010250000}"/>
    <cellStyle name="Normal 2 2 4 2 4 3 2" xfId="31402" xr:uid="{00000000-0005-0000-0000-000011250000}"/>
    <cellStyle name="Normal 2 2 4 2 4 4" xfId="31403" xr:uid="{00000000-0005-0000-0000-000012250000}"/>
    <cellStyle name="Normal 2 2 4 2 5" xfId="4014" xr:uid="{00000000-0005-0000-0000-000013250000}"/>
    <cellStyle name="Normal 2 2 4 2 5 2" xfId="4015" xr:uid="{00000000-0005-0000-0000-000014250000}"/>
    <cellStyle name="Normal 2 2 4 2 5 2 2" xfId="31404" xr:uid="{00000000-0005-0000-0000-000015250000}"/>
    <cellStyle name="Normal 2 2 4 2 5 3" xfId="31405" xr:uid="{00000000-0005-0000-0000-000016250000}"/>
    <cellStyle name="Normal 2 2 4 2 6" xfId="4016" xr:uid="{00000000-0005-0000-0000-000017250000}"/>
    <cellStyle name="Normal 2 2 4 2 6 2" xfId="31406" xr:uid="{00000000-0005-0000-0000-000018250000}"/>
    <cellStyle name="Normal 2 2 4 2 7" xfId="4017" xr:uid="{00000000-0005-0000-0000-000019250000}"/>
    <cellStyle name="Normal 2 2 4 2 7 2" xfId="31407" xr:uid="{00000000-0005-0000-0000-00001A250000}"/>
    <cellStyle name="Normal 2 2 4 2 8" xfId="31408" xr:uid="{00000000-0005-0000-0000-00001B250000}"/>
    <cellStyle name="Normal 2 2 4 2 8 2" xfId="31409" xr:uid="{00000000-0005-0000-0000-00001C250000}"/>
    <cellStyle name="Normal 2 2 4 2 9" xfId="31410" xr:uid="{00000000-0005-0000-0000-00001D250000}"/>
    <cellStyle name="Normal 2 2 4 20" xfId="4018" xr:uid="{00000000-0005-0000-0000-00001E250000}"/>
    <cellStyle name="Normal 2 2 4 20 10" xfId="31411" xr:uid="{00000000-0005-0000-0000-00001F250000}"/>
    <cellStyle name="Normal 2 2 4 20 11" xfId="31412" xr:uid="{00000000-0005-0000-0000-000020250000}"/>
    <cellStyle name="Normal 2 2 4 20 2" xfId="4019" xr:uid="{00000000-0005-0000-0000-000021250000}"/>
    <cellStyle name="Normal 2 2 4 20 2 10" xfId="31413" xr:uid="{00000000-0005-0000-0000-000022250000}"/>
    <cellStyle name="Normal 2 2 4 20 2 2" xfId="4020" xr:uid="{00000000-0005-0000-0000-000023250000}"/>
    <cellStyle name="Normal 2 2 4 20 2 2 2" xfId="4021" xr:uid="{00000000-0005-0000-0000-000024250000}"/>
    <cellStyle name="Normal 2 2 4 20 2 2 2 2" xfId="4022" xr:uid="{00000000-0005-0000-0000-000025250000}"/>
    <cellStyle name="Normal 2 2 4 20 2 2 2 2 2" xfId="31414" xr:uid="{00000000-0005-0000-0000-000026250000}"/>
    <cellStyle name="Normal 2 2 4 20 2 2 2 3" xfId="4023" xr:uid="{00000000-0005-0000-0000-000027250000}"/>
    <cellStyle name="Normal 2 2 4 20 2 2 2 3 2" xfId="31415" xr:uid="{00000000-0005-0000-0000-000028250000}"/>
    <cellStyle name="Normal 2 2 4 20 2 2 2 4" xfId="31416" xr:uid="{00000000-0005-0000-0000-000029250000}"/>
    <cellStyle name="Normal 2 2 4 20 2 2 3" xfId="4024" xr:uid="{00000000-0005-0000-0000-00002A250000}"/>
    <cellStyle name="Normal 2 2 4 20 2 2 3 2" xfId="31417" xr:uid="{00000000-0005-0000-0000-00002B250000}"/>
    <cellStyle name="Normal 2 2 4 20 2 2 4" xfId="4025" xr:uid="{00000000-0005-0000-0000-00002C250000}"/>
    <cellStyle name="Normal 2 2 4 20 2 2 4 2" xfId="31418" xr:uid="{00000000-0005-0000-0000-00002D250000}"/>
    <cellStyle name="Normal 2 2 4 20 2 2 5" xfId="4026" xr:uid="{00000000-0005-0000-0000-00002E250000}"/>
    <cellStyle name="Normal 2 2 4 20 2 2 5 2" xfId="31419" xr:uid="{00000000-0005-0000-0000-00002F250000}"/>
    <cellStyle name="Normal 2 2 4 20 2 2 6" xfId="31420" xr:uid="{00000000-0005-0000-0000-000030250000}"/>
    <cellStyle name="Normal 2 2 4 20 2 2 6 2" xfId="31421" xr:uid="{00000000-0005-0000-0000-000031250000}"/>
    <cellStyle name="Normal 2 2 4 20 2 2 7" xfId="31422" xr:uid="{00000000-0005-0000-0000-000032250000}"/>
    <cellStyle name="Normal 2 2 4 20 2 3" xfId="4027" xr:uid="{00000000-0005-0000-0000-000033250000}"/>
    <cellStyle name="Normal 2 2 4 20 2 3 2" xfId="4028" xr:uid="{00000000-0005-0000-0000-000034250000}"/>
    <cellStyle name="Normal 2 2 4 20 2 3 2 2" xfId="31423" xr:uid="{00000000-0005-0000-0000-000035250000}"/>
    <cellStyle name="Normal 2 2 4 20 2 3 3" xfId="4029" xr:uid="{00000000-0005-0000-0000-000036250000}"/>
    <cellStyle name="Normal 2 2 4 20 2 3 3 2" xfId="31424" xr:uid="{00000000-0005-0000-0000-000037250000}"/>
    <cellStyle name="Normal 2 2 4 20 2 3 4" xfId="31425" xr:uid="{00000000-0005-0000-0000-000038250000}"/>
    <cellStyle name="Normal 2 2 4 20 2 4" xfId="4030" xr:uid="{00000000-0005-0000-0000-000039250000}"/>
    <cellStyle name="Normal 2 2 4 20 2 4 2" xfId="4031" xr:uid="{00000000-0005-0000-0000-00003A250000}"/>
    <cellStyle name="Normal 2 2 4 20 2 4 2 2" xfId="31426" xr:uid="{00000000-0005-0000-0000-00003B250000}"/>
    <cellStyle name="Normal 2 2 4 20 2 4 3" xfId="31427" xr:uid="{00000000-0005-0000-0000-00003C250000}"/>
    <cellStyle name="Normal 2 2 4 20 2 5" xfId="4032" xr:uid="{00000000-0005-0000-0000-00003D250000}"/>
    <cellStyle name="Normal 2 2 4 20 2 5 2" xfId="31428" xr:uid="{00000000-0005-0000-0000-00003E250000}"/>
    <cellStyle name="Normal 2 2 4 20 2 6" xfId="4033" xr:uid="{00000000-0005-0000-0000-00003F250000}"/>
    <cellStyle name="Normal 2 2 4 20 2 6 2" xfId="31429" xr:uid="{00000000-0005-0000-0000-000040250000}"/>
    <cellStyle name="Normal 2 2 4 20 2 7" xfId="31430" xr:uid="{00000000-0005-0000-0000-000041250000}"/>
    <cellStyle name="Normal 2 2 4 20 2 7 2" xfId="31431" xr:uid="{00000000-0005-0000-0000-000042250000}"/>
    <cellStyle name="Normal 2 2 4 20 2 8" xfId="31432" xr:uid="{00000000-0005-0000-0000-000043250000}"/>
    <cellStyle name="Normal 2 2 4 20 2 9" xfId="31433" xr:uid="{00000000-0005-0000-0000-000044250000}"/>
    <cellStyle name="Normal 2 2 4 20 3" xfId="4034" xr:uid="{00000000-0005-0000-0000-000045250000}"/>
    <cellStyle name="Normal 2 2 4 20 3 2" xfId="4035" xr:uid="{00000000-0005-0000-0000-000046250000}"/>
    <cellStyle name="Normal 2 2 4 20 3 2 2" xfId="4036" xr:uid="{00000000-0005-0000-0000-000047250000}"/>
    <cellStyle name="Normal 2 2 4 20 3 2 2 2" xfId="31434" xr:uid="{00000000-0005-0000-0000-000048250000}"/>
    <cellStyle name="Normal 2 2 4 20 3 2 3" xfId="4037" xr:uid="{00000000-0005-0000-0000-000049250000}"/>
    <cellStyle name="Normal 2 2 4 20 3 2 3 2" xfId="31435" xr:uid="{00000000-0005-0000-0000-00004A250000}"/>
    <cellStyle name="Normal 2 2 4 20 3 2 4" xfId="31436" xr:uid="{00000000-0005-0000-0000-00004B250000}"/>
    <cellStyle name="Normal 2 2 4 20 3 3" xfId="4038" xr:uid="{00000000-0005-0000-0000-00004C250000}"/>
    <cellStyle name="Normal 2 2 4 20 3 3 2" xfId="31437" xr:uid="{00000000-0005-0000-0000-00004D250000}"/>
    <cellStyle name="Normal 2 2 4 20 3 4" xfId="4039" xr:uid="{00000000-0005-0000-0000-00004E250000}"/>
    <cellStyle name="Normal 2 2 4 20 3 4 2" xfId="31438" xr:uid="{00000000-0005-0000-0000-00004F250000}"/>
    <cellStyle name="Normal 2 2 4 20 3 5" xfId="4040" xr:uid="{00000000-0005-0000-0000-000050250000}"/>
    <cellStyle name="Normal 2 2 4 20 3 5 2" xfId="31439" xr:uid="{00000000-0005-0000-0000-000051250000}"/>
    <cellStyle name="Normal 2 2 4 20 3 6" xfId="31440" xr:uid="{00000000-0005-0000-0000-000052250000}"/>
    <cellStyle name="Normal 2 2 4 20 3 6 2" xfId="31441" xr:uid="{00000000-0005-0000-0000-000053250000}"/>
    <cellStyle name="Normal 2 2 4 20 3 7" xfId="31442" xr:uid="{00000000-0005-0000-0000-000054250000}"/>
    <cellStyle name="Normal 2 2 4 20 4" xfId="4041" xr:uid="{00000000-0005-0000-0000-000055250000}"/>
    <cellStyle name="Normal 2 2 4 20 4 2" xfId="4042" xr:uid="{00000000-0005-0000-0000-000056250000}"/>
    <cellStyle name="Normal 2 2 4 20 4 2 2" xfId="31443" xr:uid="{00000000-0005-0000-0000-000057250000}"/>
    <cellStyle name="Normal 2 2 4 20 4 3" xfId="4043" xr:uid="{00000000-0005-0000-0000-000058250000}"/>
    <cellStyle name="Normal 2 2 4 20 4 3 2" xfId="31444" xr:uid="{00000000-0005-0000-0000-000059250000}"/>
    <cellStyle name="Normal 2 2 4 20 4 4" xfId="31445" xr:uid="{00000000-0005-0000-0000-00005A250000}"/>
    <cellStyle name="Normal 2 2 4 20 5" xfId="4044" xr:uid="{00000000-0005-0000-0000-00005B250000}"/>
    <cellStyle name="Normal 2 2 4 20 5 2" xfId="4045" xr:uid="{00000000-0005-0000-0000-00005C250000}"/>
    <cellStyle name="Normal 2 2 4 20 5 2 2" xfId="31446" xr:uid="{00000000-0005-0000-0000-00005D250000}"/>
    <cellStyle name="Normal 2 2 4 20 5 3" xfId="31447" xr:uid="{00000000-0005-0000-0000-00005E250000}"/>
    <cellStyle name="Normal 2 2 4 20 6" xfId="4046" xr:uid="{00000000-0005-0000-0000-00005F250000}"/>
    <cellStyle name="Normal 2 2 4 20 6 2" xfId="31448" xr:uid="{00000000-0005-0000-0000-000060250000}"/>
    <cellStyle name="Normal 2 2 4 20 7" xfId="4047" xr:uid="{00000000-0005-0000-0000-000061250000}"/>
    <cellStyle name="Normal 2 2 4 20 7 2" xfId="31449" xr:uid="{00000000-0005-0000-0000-000062250000}"/>
    <cellStyle name="Normal 2 2 4 20 8" xfId="31450" xr:uid="{00000000-0005-0000-0000-000063250000}"/>
    <cellStyle name="Normal 2 2 4 20 8 2" xfId="31451" xr:uid="{00000000-0005-0000-0000-000064250000}"/>
    <cellStyle name="Normal 2 2 4 20 9" xfId="31452" xr:uid="{00000000-0005-0000-0000-000065250000}"/>
    <cellStyle name="Normal 2 2 4 21" xfId="4048" xr:uid="{00000000-0005-0000-0000-000066250000}"/>
    <cellStyle name="Normal 2 2 4 21 10" xfId="31453" xr:uid="{00000000-0005-0000-0000-000067250000}"/>
    <cellStyle name="Normal 2 2 4 21 11" xfId="31454" xr:uid="{00000000-0005-0000-0000-000068250000}"/>
    <cellStyle name="Normal 2 2 4 21 2" xfId="4049" xr:uid="{00000000-0005-0000-0000-000069250000}"/>
    <cellStyle name="Normal 2 2 4 21 2 10" xfId="31455" xr:uid="{00000000-0005-0000-0000-00006A250000}"/>
    <cellStyle name="Normal 2 2 4 21 2 2" xfId="4050" xr:uid="{00000000-0005-0000-0000-00006B250000}"/>
    <cellStyle name="Normal 2 2 4 21 2 2 2" xfId="4051" xr:uid="{00000000-0005-0000-0000-00006C250000}"/>
    <cellStyle name="Normal 2 2 4 21 2 2 2 2" xfId="4052" xr:uid="{00000000-0005-0000-0000-00006D250000}"/>
    <cellStyle name="Normal 2 2 4 21 2 2 2 2 2" xfId="31456" xr:uid="{00000000-0005-0000-0000-00006E250000}"/>
    <cellStyle name="Normal 2 2 4 21 2 2 2 3" xfId="4053" xr:uid="{00000000-0005-0000-0000-00006F250000}"/>
    <cellStyle name="Normal 2 2 4 21 2 2 2 3 2" xfId="31457" xr:uid="{00000000-0005-0000-0000-000070250000}"/>
    <cellStyle name="Normal 2 2 4 21 2 2 2 4" xfId="31458" xr:uid="{00000000-0005-0000-0000-000071250000}"/>
    <cellStyle name="Normal 2 2 4 21 2 2 3" xfId="4054" xr:uid="{00000000-0005-0000-0000-000072250000}"/>
    <cellStyle name="Normal 2 2 4 21 2 2 3 2" xfId="31459" xr:uid="{00000000-0005-0000-0000-000073250000}"/>
    <cellStyle name="Normal 2 2 4 21 2 2 4" xfId="4055" xr:uid="{00000000-0005-0000-0000-000074250000}"/>
    <cellStyle name="Normal 2 2 4 21 2 2 4 2" xfId="31460" xr:uid="{00000000-0005-0000-0000-000075250000}"/>
    <cellStyle name="Normal 2 2 4 21 2 2 5" xfId="4056" xr:uid="{00000000-0005-0000-0000-000076250000}"/>
    <cellStyle name="Normal 2 2 4 21 2 2 5 2" xfId="31461" xr:uid="{00000000-0005-0000-0000-000077250000}"/>
    <cellStyle name="Normal 2 2 4 21 2 2 6" xfId="31462" xr:uid="{00000000-0005-0000-0000-000078250000}"/>
    <cellStyle name="Normal 2 2 4 21 2 2 6 2" xfId="31463" xr:uid="{00000000-0005-0000-0000-000079250000}"/>
    <cellStyle name="Normal 2 2 4 21 2 2 7" xfId="31464" xr:uid="{00000000-0005-0000-0000-00007A250000}"/>
    <cellStyle name="Normal 2 2 4 21 2 3" xfId="4057" xr:uid="{00000000-0005-0000-0000-00007B250000}"/>
    <cellStyle name="Normal 2 2 4 21 2 3 2" xfId="4058" xr:uid="{00000000-0005-0000-0000-00007C250000}"/>
    <cellStyle name="Normal 2 2 4 21 2 3 2 2" xfId="31465" xr:uid="{00000000-0005-0000-0000-00007D250000}"/>
    <cellStyle name="Normal 2 2 4 21 2 3 3" xfId="4059" xr:uid="{00000000-0005-0000-0000-00007E250000}"/>
    <cellStyle name="Normal 2 2 4 21 2 3 3 2" xfId="31466" xr:uid="{00000000-0005-0000-0000-00007F250000}"/>
    <cellStyle name="Normal 2 2 4 21 2 3 4" xfId="31467" xr:uid="{00000000-0005-0000-0000-000080250000}"/>
    <cellStyle name="Normal 2 2 4 21 2 4" xfId="4060" xr:uid="{00000000-0005-0000-0000-000081250000}"/>
    <cellStyle name="Normal 2 2 4 21 2 4 2" xfId="4061" xr:uid="{00000000-0005-0000-0000-000082250000}"/>
    <cellStyle name="Normal 2 2 4 21 2 4 2 2" xfId="31468" xr:uid="{00000000-0005-0000-0000-000083250000}"/>
    <cellStyle name="Normal 2 2 4 21 2 4 3" xfId="31469" xr:uid="{00000000-0005-0000-0000-000084250000}"/>
    <cellStyle name="Normal 2 2 4 21 2 5" xfId="4062" xr:uid="{00000000-0005-0000-0000-000085250000}"/>
    <cellStyle name="Normal 2 2 4 21 2 5 2" xfId="31470" xr:uid="{00000000-0005-0000-0000-000086250000}"/>
    <cellStyle name="Normal 2 2 4 21 2 6" xfId="4063" xr:uid="{00000000-0005-0000-0000-000087250000}"/>
    <cellStyle name="Normal 2 2 4 21 2 6 2" xfId="31471" xr:uid="{00000000-0005-0000-0000-000088250000}"/>
    <cellStyle name="Normal 2 2 4 21 2 7" xfId="31472" xr:uid="{00000000-0005-0000-0000-000089250000}"/>
    <cellStyle name="Normal 2 2 4 21 2 7 2" xfId="31473" xr:uid="{00000000-0005-0000-0000-00008A250000}"/>
    <cellStyle name="Normal 2 2 4 21 2 8" xfId="31474" xr:uid="{00000000-0005-0000-0000-00008B250000}"/>
    <cellStyle name="Normal 2 2 4 21 2 9" xfId="31475" xr:uid="{00000000-0005-0000-0000-00008C250000}"/>
    <cellStyle name="Normal 2 2 4 21 3" xfId="4064" xr:uid="{00000000-0005-0000-0000-00008D250000}"/>
    <cellStyle name="Normal 2 2 4 21 3 2" xfId="4065" xr:uid="{00000000-0005-0000-0000-00008E250000}"/>
    <cellStyle name="Normal 2 2 4 21 3 2 2" xfId="4066" xr:uid="{00000000-0005-0000-0000-00008F250000}"/>
    <cellStyle name="Normal 2 2 4 21 3 2 2 2" xfId="31476" xr:uid="{00000000-0005-0000-0000-000090250000}"/>
    <cellStyle name="Normal 2 2 4 21 3 2 3" xfId="4067" xr:uid="{00000000-0005-0000-0000-000091250000}"/>
    <cellStyle name="Normal 2 2 4 21 3 2 3 2" xfId="31477" xr:uid="{00000000-0005-0000-0000-000092250000}"/>
    <cellStyle name="Normal 2 2 4 21 3 2 4" xfId="31478" xr:uid="{00000000-0005-0000-0000-000093250000}"/>
    <cellStyle name="Normal 2 2 4 21 3 3" xfId="4068" xr:uid="{00000000-0005-0000-0000-000094250000}"/>
    <cellStyle name="Normal 2 2 4 21 3 3 2" xfId="31479" xr:uid="{00000000-0005-0000-0000-000095250000}"/>
    <cellStyle name="Normal 2 2 4 21 3 4" xfId="4069" xr:uid="{00000000-0005-0000-0000-000096250000}"/>
    <cellStyle name="Normal 2 2 4 21 3 4 2" xfId="31480" xr:uid="{00000000-0005-0000-0000-000097250000}"/>
    <cellStyle name="Normal 2 2 4 21 3 5" xfId="4070" xr:uid="{00000000-0005-0000-0000-000098250000}"/>
    <cellStyle name="Normal 2 2 4 21 3 5 2" xfId="31481" xr:uid="{00000000-0005-0000-0000-000099250000}"/>
    <cellStyle name="Normal 2 2 4 21 3 6" xfId="31482" xr:uid="{00000000-0005-0000-0000-00009A250000}"/>
    <cellStyle name="Normal 2 2 4 21 3 6 2" xfId="31483" xr:uid="{00000000-0005-0000-0000-00009B250000}"/>
    <cellStyle name="Normal 2 2 4 21 3 7" xfId="31484" xr:uid="{00000000-0005-0000-0000-00009C250000}"/>
    <cellStyle name="Normal 2 2 4 21 4" xfId="4071" xr:uid="{00000000-0005-0000-0000-00009D250000}"/>
    <cellStyle name="Normal 2 2 4 21 4 2" xfId="4072" xr:uid="{00000000-0005-0000-0000-00009E250000}"/>
    <cellStyle name="Normal 2 2 4 21 4 2 2" xfId="31485" xr:uid="{00000000-0005-0000-0000-00009F250000}"/>
    <cellStyle name="Normal 2 2 4 21 4 3" xfId="4073" xr:uid="{00000000-0005-0000-0000-0000A0250000}"/>
    <cellStyle name="Normal 2 2 4 21 4 3 2" xfId="31486" xr:uid="{00000000-0005-0000-0000-0000A1250000}"/>
    <cellStyle name="Normal 2 2 4 21 4 4" xfId="31487" xr:uid="{00000000-0005-0000-0000-0000A2250000}"/>
    <cellStyle name="Normal 2 2 4 21 5" xfId="4074" xr:uid="{00000000-0005-0000-0000-0000A3250000}"/>
    <cellStyle name="Normal 2 2 4 21 5 2" xfId="4075" xr:uid="{00000000-0005-0000-0000-0000A4250000}"/>
    <cellStyle name="Normal 2 2 4 21 5 2 2" xfId="31488" xr:uid="{00000000-0005-0000-0000-0000A5250000}"/>
    <cellStyle name="Normal 2 2 4 21 5 3" xfId="31489" xr:uid="{00000000-0005-0000-0000-0000A6250000}"/>
    <cellStyle name="Normal 2 2 4 21 6" xfId="4076" xr:uid="{00000000-0005-0000-0000-0000A7250000}"/>
    <cellStyle name="Normal 2 2 4 21 6 2" xfId="31490" xr:uid="{00000000-0005-0000-0000-0000A8250000}"/>
    <cellStyle name="Normal 2 2 4 21 7" xfId="4077" xr:uid="{00000000-0005-0000-0000-0000A9250000}"/>
    <cellStyle name="Normal 2 2 4 21 7 2" xfId="31491" xr:uid="{00000000-0005-0000-0000-0000AA250000}"/>
    <cellStyle name="Normal 2 2 4 21 8" xfId="31492" xr:uid="{00000000-0005-0000-0000-0000AB250000}"/>
    <cellStyle name="Normal 2 2 4 21 8 2" xfId="31493" xr:uid="{00000000-0005-0000-0000-0000AC250000}"/>
    <cellStyle name="Normal 2 2 4 21 9" xfId="31494" xr:uid="{00000000-0005-0000-0000-0000AD250000}"/>
    <cellStyle name="Normal 2 2 4 22" xfId="4078" xr:uid="{00000000-0005-0000-0000-0000AE250000}"/>
    <cellStyle name="Normal 2 2 4 22 10" xfId="31495" xr:uid="{00000000-0005-0000-0000-0000AF250000}"/>
    <cellStyle name="Normal 2 2 4 22 11" xfId="31496" xr:uid="{00000000-0005-0000-0000-0000B0250000}"/>
    <cellStyle name="Normal 2 2 4 22 2" xfId="4079" xr:uid="{00000000-0005-0000-0000-0000B1250000}"/>
    <cellStyle name="Normal 2 2 4 22 2 10" xfId="31497" xr:uid="{00000000-0005-0000-0000-0000B2250000}"/>
    <cellStyle name="Normal 2 2 4 22 2 2" xfId="4080" xr:uid="{00000000-0005-0000-0000-0000B3250000}"/>
    <cellStyle name="Normal 2 2 4 22 2 2 2" xfId="4081" xr:uid="{00000000-0005-0000-0000-0000B4250000}"/>
    <cellStyle name="Normal 2 2 4 22 2 2 2 2" xfId="4082" xr:uid="{00000000-0005-0000-0000-0000B5250000}"/>
    <cellStyle name="Normal 2 2 4 22 2 2 2 2 2" xfId="31498" xr:uid="{00000000-0005-0000-0000-0000B6250000}"/>
    <cellStyle name="Normal 2 2 4 22 2 2 2 3" xfId="4083" xr:uid="{00000000-0005-0000-0000-0000B7250000}"/>
    <cellStyle name="Normal 2 2 4 22 2 2 2 3 2" xfId="31499" xr:uid="{00000000-0005-0000-0000-0000B8250000}"/>
    <cellStyle name="Normal 2 2 4 22 2 2 2 4" xfId="31500" xr:uid="{00000000-0005-0000-0000-0000B9250000}"/>
    <cellStyle name="Normal 2 2 4 22 2 2 3" xfId="4084" xr:uid="{00000000-0005-0000-0000-0000BA250000}"/>
    <cellStyle name="Normal 2 2 4 22 2 2 3 2" xfId="31501" xr:uid="{00000000-0005-0000-0000-0000BB250000}"/>
    <cellStyle name="Normal 2 2 4 22 2 2 4" xfId="4085" xr:uid="{00000000-0005-0000-0000-0000BC250000}"/>
    <cellStyle name="Normal 2 2 4 22 2 2 4 2" xfId="31502" xr:uid="{00000000-0005-0000-0000-0000BD250000}"/>
    <cellStyle name="Normal 2 2 4 22 2 2 5" xfId="4086" xr:uid="{00000000-0005-0000-0000-0000BE250000}"/>
    <cellStyle name="Normal 2 2 4 22 2 2 5 2" xfId="31503" xr:uid="{00000000-0005-0000-0000-0000BF250000}"/>
    <cellStyle name="Normal 2 2 4 22 2 2 6" xfId="31504" xr:uid="{00000000-0005-0000-0000-0000C0250000}"/>
    <cellStyle name="Normal 2 2 4 22 2 2 6 2" xfId="31505" xr:uid="{00000000-0005-0000-0000-0000C1250000}"/>
    <cellStyle name="Normal 2 2 4 22 2 2 7" xfId="31506" xr:uid="{00000000-0005-0000-0000-0000C2250000}"/>
    <cellStyle name="Normal 2 2 4 22 2 3" xfId="4087" xr:uid="{00000000-0005-0000-0000-0000C3250000}"/>
    <cellStyle name="Normal 2 2 4 22 2 3 2" xfId="4088" xr:uid="{00000000-0005-0000-0000-0000C4250000}"/>
    <cellStyle name="Normal 2 2 4 22 2 3 2 2" xfId="31507" xr:uid="{00000000-0005-0000-0000-0000C5250000}"/>
    <cellStyle name="Normal 2 2 4 22 2 3 3" xfId="4089" xr:uid="{00000000-0005-0000-0000-0000C6250000}"/>
    <cellStyle name="Normal 2 2 4 22 2 3 3 2" xfId="31508" xr:uid="{00000000-0005-0000-0000-0000C7250000}"/>
    <cellStyle name="Normal 2 2 4 22 2 3 4" xfId="31509" xr:uid="{00000000-0005-0000-0000-0000C8250000}"/>
    <cellStyle name="Normal 2 2 4 22 2 4" xfId="4090" xr:uid="{00000000-0005-0000-0000-0000C9250000}"/>
    <cellStyle name="Normal 2 2 4 22 2 4 2" xfId="4091" xr:uid="{00000000-0005-0000-0000-0000CA250000}"/>
    <cellStyle name="Normal 2 2 4 22 2 4 2 2" xfId="31510" xr:uid="{00000000-0005-0000-0000-0000CB250000}"/>
    <cellStyle name="Normal 2 2 4 22 2 4 3" xfId="31511" xr:uid="{00000000-0005-0000-0000-0000CC250000}"/>
    <cellStyle name="Normal 2 2 4 22 2 5" xfId="4092" xr:uid="{00000000-0005-0000-0000-0000CD250000}"/>
    <cellStyle name="Normal 2 2 4 22 2 5 2" xfId="31512" xr:uid="{00000000-0005-0000-0000-0000CE250000}"/>
    <cellStyle name="Normal 2 2 4 22 2 6" xfId="4093" xr:uid="{00000000-0005-0000-0000-0000CF250000}"/>
    <cellStyle name="Normal 2 2 4 22 2 6 2" xfId="31513" xr:uid="{00000000-0005-0000-0000-0000D0250000}"/>
    <cellStyle name="Normal 2 2 4 22 2 7" xfId="31514" xr:uid="{00000000-0005-0000-0000-0000D1250000}"/>
    <cellStyle name="Normal 2 2 4 22 2 7 2" xfId="31515" xr:uid="{00000000-0005-0000-0000-0000D2250000}"/>
    <cellStyle name="Normal 2 2 4 22 2 8" xfId="31516" xr:uid="{00000000-0005-0000-0000-0000D3250000}"/>
    <cellStyle name="Normal 2 2 4 22 2 9" xfId="31517" xr:uid="{00000000-0005-0000-0000-0000D4250000}"/>
    <cellStyle name="Normal 2 2 4 22 3" xfId="4094" xr:uid="{00000000-0005-0000-0000-0000D5250000}"/>
    <cellStyle name="Normal 2 2 4 22 3 2" xfId="4095" xr:uid="{00000000-0005-0000-0000-0000D6250000}"/>
    <cellStyle name="Normal 2 2 4 22 3 2 2" xfId="4096" xr:uid="{00000000-0005-0000-0000-0000D7250000}"/>
    <cellStyle name="Normal 2 2 4 22 3 2 2 2" xfId="31518" xr:uid="{00000000-0005-0000-0000-0000D8250000}"/>
    <cellStyle name="Normal 2 2 4 22 3 2 3" xfId="4097" xr:uid="{00000000-0005-0000-0000-0000D9250000}"/>
    <cellStyle name="Normal 2 2 4 22 3 2 3 2" xfId="31519" xr:uid="{00000000-0005-0000-0000-0000DA250000}"/>
    <cellStyle name="Normal 2 2 4 22 3 2 4" xfId="31520" xr:uid="{00000000-0005-0000-0000-0000DB250000}"/>
    <cellStyle name="Normal 2 2 4 22 3 3" xfId="4098" xr:uid="{00000000-0005-0000-0000-0000DC250000}"/>
    <cellStyle name="Normal 2 2 4 22 3 3 2" xfId="31521" xr:uid="{00000000-0005-0000-0000-0000DD250000}"/>
    <cellStyle name="Normal 2 2 4 22 3 4" xfId="4099" xr:uid="{00000000-0005-0000-0000-0000DE250000}"/>
    <cellStyle name="Normal 2 2 4 22 3 4 2" xfId="31522" xr:uid="{00000000-0005-0000-0000-0000DF250000}"/>
    <cellStyle name="Normal 2 2 4 22 3 5" xfId="4100" xr:uid="{00000000-0005-0000-0000-0000E0250000}"/>
    <cellStyle name="Normal 2 2 4 22 3 5 2" xfId="31523" xr:uid="{00000000-0005-0000-0000-0000E1250000}"/>
    <cellStyle name="Normal 2 2 4 22 3 6" xfId="31524" xr:uid="{00000000-0005-0000-0000-0000E2250000}"/>
    <cellStyle name="Normal 2 2 4 22 3 6 2" xfId="31525" xr:uid="{00000000-0005-0000-0000-0000E3250000}"/>
    <cellStyle name="Normal 2 2 4 22 3 7" xfId="31526" xr:uid="{00000000-0005-0000-0000-0000E4250000}"/>
    <cellStyle name="Normal 2 2 4 22 4" xfId="4101" xr:uid="{00000000-0005-0000-0000-0000E5250000}"/>
    <cellStyle name="Normal 2 2 4 22 4 2" xfId="4102" xr:uid="{00000000-0005-0000-0000-0000E6250000}"/>
    <cellStyle name="Normal 2 2 4 22 4 2 2" xfId="31527" xr:uid="{00000000-0005-0000-0000-0000E7250000}"/>
    <cellStyle name="Normal 2 2 4 22 4 3" xfId="4103" xr:uid="{00000000-0005-0000-0000-0000E8250000}"/>
    <cellStyle name="Normal 2 2 4 22 4 3 2" xfId="31528" xr:uid="{00000000-0005-0000-0000-0000E9250000}"/>
    <cellStyle name="Normal 2 2 4 22 4 4" xfId="31529" xr:uid="{00000000-0005-0000-0000-0000EA250000}"/>
    <cellStyle name="Normal 2 2 4 22 5" xfId="4104" xr:uid="{00000000-0005-0000-0000-0000EB250000}"/>
    <cellStyle name="Normal 2 2 4 22 5 2" xfId="4105" xr:uid="{00000000-0005-0000-0000-0000EC250000}"/>
    <cellStyle name="Normal 2 2 4 22 5 2 2" xfId="31530" xr:uid="{00000000-0005-0000-0000-0000ED250000}"/>
    <cellStyle name="Normal 2 2 4 22 5 3" xfId="31531" xr:uid="{00000000-0005-0000-0000-0000EE250000}"/>
    <cellStyle name="Normal 2 2 4 22 6" xfId="4106" xr:uid="{00000000-0005-0000-0000-0000EF250000}"/>
    <cellStyle name="Normal 2 2 4 22 6 2" xfId="31532" xr:uid="{00000000-0005-0000-0000-0000F0250000}"/>
    <cellStyle name="Normal 2 2 4 22 7" xfId="4107" xr:uid="{00000000-0005-0000-0000-0000F1250000}"/>
    <cellStyle name="Normal 2 2 4 22 7 2" xfId="31533" xr:uid="{00000000-0005-0000-0000-0000F2250000}"/>
    <cellStyle name="Normal 2 2 4 22 8" xfId="31534" xr:uid="{00000000-0005-0000-0000-0000F3250000}"/>
    <cellStyle name="Normal 2 2 4 22 8 2" xfId="31535" xr:uid="{00000000-0005-0000-0000-0000F4250000}"/>
    <cellStyle name="Normal 2 2 4 22 9" xfId="31536" xr:uid="{00000000-0005-0000-0000-0000F5250000}"/>
    <cellStyle name="Normal 2 2 4 23" xfId="4108" xr:uid="{00000000-0005-0000-0000-0000F6250000}"/>
    <cellStyle name="Normal 2 2 4 23 10" xfId="31537" xr:uid="{00000000-0005-0000-0000-0000F7250000}"/>
    <cellStyle name="Normal 2 2 4 23 11" xfId="31538" xr:uid="{00000000-0005-0000-0000-0000F8250000}"/>
    <cellStyle name="Normal 2 2 4 23 2" xfId="4109" xr:uid="{00000000-0005-0000-0000-0000F9250000}"/>
    <cellStyle name="Normal 2 2 4 23 2 10" xfId="31539" xr:uid="{00000000-0005-0000-0000-0000FA250000}"/>
    <cellStyle name="Normal 2 2 4 23 2 2" xfId="4110" xr:uid="{00000000-0005-0000-0000-0000FB250000}"/>
    <cellStyle name="Normal 2 2 4 23 2 2 2" xfId="4111" xr:uid="{00000000-0005-0000-0000-0000FC250000}"/>
    <cellStyle name="Normal 2 2 4 23 2 2 2 2" xfId="4112" xr:uid="{00000000-0005-0000-0000-0000FD250000}"/>
    <cellStyle name="Normal 2 2 4 23 2 2 2 2 2" xfId="31540" xr:uid="{00000000-0005-0000-0000-0000FE250000}"/>
    <cellStyle name="Normal 2 2 4 23 2 2 2 3" xfId="4113" xr:uid="{00000000-0005-0000-0000-0000FF250000}"/>
    <cellStyle name="Normal 2 2 4 23 2 2 2 3 2" xfId="31541" xr:uid="{00000000-0005-0000-0000-000000260000}"/>
    <cellStyle name="Normal 2 2 4 23 2 2 2 4" xfId="31542" xr:uid="{00000000-0005-0000-0000-000001260000}"/>
    <cellStyle name="Normal 2 2 4 23 2 2 3" xfId="4114" xr:uid="{00000000-0005-0000-0000-000002260000}"/>
    <cellStyle name="Normal 2 2 4 23 2 2 3 2" xfId="31543" xr:uid="{00000000-0005-0000-0000-000003260000}"/>
    <cellStyle name="Normal 2 2 4 23 2 2 4" xfId="4115" xr:uid="{00000000-0005-0000-0000-000004260000}"/>
    <cellStyle name="Normal 2 2 4 23 2 2 4 2" xfId="31544" xr:uid="{00000000-0005-0000-0000-000005260000}"/>
    <cellStyle name="Normal 2 2 4 23 2 2 5" xfId="4116" xr:uid="{00000000-0005-0000-0000-000006260000}"/>
    <cellStyle name="Normal 2 2 4 23 2 2 5 2" xfId="31545" xr:uid="{00000000-0005-0000-0000-000007260000}"/>
    <cellStyle name="Normal 2 2 4 23 2 2 6" xfId="31546" xr:uid="{00000000-0005-0000-0000-000008260000}"/>
    <cellStyle name="Normal 2 2 4 23 2 2 6 2" xfId="31547" xr:uid="{00000000-0005-0000-0000-000009260000}"/>
    <cellStyle name="Normal 2 2 4 23 2 2 7" xfId="31548" xr:uid="{00000000-0005-0000-0000-00000A260000}"/>
    <cellStyle name="Normal 2 2 4 23 2 3" xfId="4117" xr:uid="{00000000-0005-0000-0000-00000B260000}"/>
    <cellStyle name="Normal 2 2 4 23 2 3 2" xfId="4118" xr:uid="{00000000-0005-0000-0000-00000C260000}"/>
    <cellStyle name="Normal 2 2 4 23 2 3 2 2" xfId="31549" xr:uid="{00000000-0005-0000-0000-00000D260000}"/>
    <cellStyle name="Normal 2 2 4 23 2 3 3" xfId="4119" xr:uid="{00000000-0005-0000-0000-00000E260000}"/>
    <cellStyle name="Normal 2 2 4 23 2 3 3 2" xfId="31550" xr:uid="{00000000-0005-0000-0000-00000F260000}"/>
    <cellStyle name="Normal 2 2 4 23 2 3 4" xfId="31551" xr:uid="{00000000-0005-0000-0000-000010260000}"/>
    <cellStyle name="Normal 2 2 4 23 2 4" xfId="4120" xr:uid="{00000000-0005-0000-0000-000011260000}"/>
    <cellStyle name="Normal 2 2 4 23 2 4 2" xfId="4121" xr:uid="{00000000-0005-0000-0000-000012260000}"/>
    <cellStyle name="Normal 2 2 4 23 2 4 2 2" xfId="31552" xr:uid="{00000000-0005-0000-0000-000013260000}"/>
    <cellStyle name="Normal 2 2 4 23 2 4 3" xfId="31553" xr:uid="{00000000-0005-0000-0000-000014260000}"/>
    <cellStyle name="Normal 2 2 4 23 2 5" xfId="4122" xr:uid="{00000000-0005-0000-0000-000015260000}"/>
    <cellStyle name="Normal 2 2 4 23 2 5 2" xfId="31554" xr:uid="{00000000-0005-0000-0000-000016260000}"/>
    <cellStyle name="Normal 2 2 4 23 2 6" xfId="4123" xr:uid="{00000000-0005-0000-0000-000017260000}"/>
    <cellStyle name="Normal 2 2 4 23 2 6 2" xfId="31555" xr:uid="{00000000-0005-0000-0000-000018260000}"/>
    <cellStyle name="Normal 2 2 4 23 2 7" xfId="31556" xr:uid="{00000000-0005-0000-0000-000019260000}"/>
    <cellStyle name="Normal 2 2 4 23 2 7 2" xfId="31557" xr:uid="{00000000-0005-0000-0000-00001A260000}"/>
    <cellStyle name="Normal 2 2 4 23 2 8" xfId="31558" xr:uid="{00000000-0005-0000-0000-00001B260000}"/>
    <cellStyle name="Normal 2 2 4 23 2 9" xfId="31559" xr:uid="{00000000-0005-0000-0000-00001C260000}"/>
    <cellStyle name="Normal 2 2 4 23 3" xfId="4124" xr:uid="{00000000-0005-0000-0000-00001D260000}"/>
    <cellStyle name="Normal 2 2 4 23 3 2" xfId="4125" xr:uid="{00000000-0005-0000-0000-00001E260000}"/>
    <cellStyle name="Normal 2 2 4 23 3 2 2" xfId="4126" xr:uid="{00000000-0005-0000-0000-00001F260000}"/>
    <cellStyle name="Normal 2 2 4 23 3 2 2 2" xfId="31560" xr:uid="{00000000-0005-0000-0000-000020260000}"/>
    <cellStyle name="Normal 2 2 4 23 3 2 3" xfId="4127" xr:uid="{00000000-0005-0000-0000-000021260000}"/>
    <cellStyle name="Normal 2 2 4 23 3 2 3 2" xfId="31561" xr:uid="{00000000-0005-0000-0000-000022260000}"/>
    <cellStyle name="Normal 2 2 4 23 3 2 4" xfId="31562" xr:uid="{00000000-0005-0000-0000-000023260000}"/>
    <cellStyle name="Normal 2 2 4 23 3 3" xfId="4128" xr:uid="{00000000-0005-0000-0000-000024260000}"/>
    <cellStyle name="Normal 2 2 4 23 3 3 2" xfId="31563" xr:uid="{00000000-0005-0000-0000-000025260000}"/>
    <cellStyle name="Normal 2 2 4 23 3 4" xfId="4129" xr:uid="{00000000-0005-0000-0000-000026260000}"/>
    <cellStyle name="Normal 2 2 4 23 3 4 2" xfId="31564" xr:uid="{00000000-0005-0000-0000-000027260000}"/>
    <cellStyle name="Normal 2 2 4 23 3 5" xfId="4130" xr:uid="{00000000-0005-0000-0000-000028260000}"/>
    <cellStyle name="Normal 2 2 4 23 3 5 2" xfId="31565" xr:uid="{00000000-0005-0000-0000-000029260000}"/>
    <cellStyle name="Normal 2 2 4 23 3 6" xfId="31566" xr:uid="{00000000-0005-0000-0000-00002A260000}"/>
    <cellStyle name="Normal 2 2 4 23 3 6 2" xfId="31567" xr:uid="{00000000-0005-0000-0000-00002B260000}"/>
    <cellStyle name="Normal 2 2 4 23 3 7" xfId="31568" xr:uid="{00000000-0005-0000-0000-00002C260000}"/>
    <cellStyle name="Normal 2 2 4 23 4" xfId="4131" xr:uid="{00000000-0005-0000-0000-00002D260000}"/>
    <cellStyle name="Normal 2 2 4 23 4 2" xfId="4132" xr:uid="{00000000-0005-0000-0000-00002E260000}"/>
    <cellStyle name="Normal 2 2 4 23 4 2 2" xfId="31569" xr:uid="{00000000-0005-0000-0000-00002F260000}"/>
    <cellStyle name="Normal 2 2 4 23 4 3" xfId="4133" xr:uid="{00000000-0005-0000-0000-000030260000}"/>
    <cellStyle name="Normal 2 2 4 23 4 3 2" xfId="31570" xr:uid="{00000000-0005-0000-0000-000031260000}"/>
    <cellStyle name="Normal 2 2 4 23 4 4" xfId="31571" xr:uid="{00000000-0005-0000-0000-000032260000}"/>
    <cellStyle name="Normal 2 2 4 23 5" xfId="4134" xr:uid="{00000000-0005-0000-0000-000033260000}"/>
    <cellStyle name="Normal 2 2 4 23 5 2" xfId="4135" xr:uid="{00000000-0005-0000-0000-000034260000}"/>
    <cellStyle name="Normal 2 2 4 23 5 2 2" xfId="31572" xr:uid="{00000000-0005-0000-0000-000035260000}"/>
    <cellStyle name="Normal 2 2 4 23 5 3" xfId="31573" xr:uid="{00000000-0005-0000-0000-000036260000}"/>
    <cellStyle name="Normal 2 2 4 23 6" xfId="4136" xr:uid="{00000000-0005-0000-0000-000037260000}"/>
    <cellStyle name="Normal 2 2 4 23 6 2" xfId="31574" xr:uid="{00000000-0005-0000-0000-000038260000}"/>
    <cellStyle name="Normal 2 2 4 23 7" xfId="4137" xr:uid="{00000000-0005-0000-0000-000039260000}"/>
    <cellStyle name="Normal 2 2 4 23 7 2" xfId="31575" xr:uid="{00000000-0005-0000-0000-00003A260000}"/>
    <cellStyle name="Normal 2 2 4 23 8" xfId="31576" xr:uid="{00000000-0005-0000-0000-00003B260000}"/>
    <cellStyle name="Normal 2 2 4 23 8 2" xfId="31577" xr:uid="{00000000-0005-0000-0000-00003C260000}"/>
    <cellStyle name="Normal 2 2 4 23 9" xfId="31578" xr:uid="{00000000-0005-0000-0000-00003D260000}"/>
    <cellStyle name="Normal 2 2 4 24" xfId="4138" xr:uid="{00000000-0005-0000-0000-00003E260000}"/>
    <cellStyle name="Normal 2 2 4 24 10" xfId="31579" xr:uid="{00000000-0005-0000-0000-00003F260000}"/>
    <cellStyle name="Normal 2 2 4 24 11" xfId="31580" xr:uid="{00000000-0005-0000-0000-000040260000}"/>
    <cellStyle name="Normal 2 2 4 24 2" xfId="4139" xr:uid="{00000000-0005-0000-0000-000041260000}"/>
    <cellStyle name="Normal 2 2 4 24 2 10" xfId="31581" xr:uid="{00000000-0005-0000-0000-000042260000}"/>
    <cellStyle name="Normal 2 2 4 24 2 2" xfId="4140" xr:uid="{00000000-0005-0000-0000-000043260000}"/>
    <cellStyle name="Normal 2 2 4 24 2 2 2" xfId="4141" xr:uid="{00000000-0005-0000-0000-000044260000}"/>
    <cellStyle name="Normal 2 2 4 24 2 2 2 2" xfId="4142" xr:uid="{00000000-0005-0000-0000-000045260000}"/>
    <cellStyle name="Normal 2 2 4 24 2 2 2 2 2" xfId="31582" xr:uid="{00000000-0005-0000-0000-000046260000}"/>
    <cellStyle name="Normal 2 2 4 24 2 2 2 3" xfId="4143" xr:uid="{00000000-0005-0000-0000-000047260000}"/>
    <cellStyle name="Normal 2 2 4 24 2 2 2 3 2" xfId="31583" xr:uid="{00000000-0005-0000-0000-000048260000}"/>
    <cellStyle name="Normal 2 2 4 24 2 2 2 4" xfId="31584" xr:uid="{00000000-0005-0000-0000-000049260000}"/>
    <cellStyle name="Normal 2 2 4 24 2 2 3" xfId="4144" xr:uid="{00000000-0005-0000-0000-00004A260000}"/>
    <cellStyle name="Normal 2 2 4 24 2 2 3 2" xfId="31585" xr:uid="{00000000-0005-0000-0000-00004B260000}"/>
    <cellStyle name="Normal 2 2 4 24 2 2 4" xfId="4145" xr:uid="{00000000-0005-0000-0000-00004C260000}"/>
    <cellStyle name="Normal 2 2 4 24 2 2 4 2" xfId="31586" xr:uid="{00000000-0005-0000-0000-00004D260000}"/>
    <cellStyle name="Normal 2 2 4 24 2 2 5" xfId="4146" xr:uid="{00000000-0005-0000-0000-00004E260000}"/>
    <cellStyle name="Normal 2 2 4 24 2 2 5 2" xfId="31587" xr:uid="{00000000-0005-0000-0000-00004F260000}"/>
    <cellStyle name="Normal 2 2 4 24 2 2 6" xfId="31588" xr:uid="{00000000-0005-0000-0000-000050260000}"/>
    <cellStyle name="Normal 2 2 4 24 2 2 6 2" xfId="31589" xr:uid="{00000000-0005-0000-0000-000051260000}"/>
    <cellStyle name="Normal 2 2 4 24 2 2 7" xfId="31590" xr:uid="{00000000-0005-0000-0000-000052260000}"/>
    <cellStyle name="Normal 2 2 4 24 2 3" xfId="4147" xr:uid="{00000000-0005-0000-0000-000053260000}"/>
    <cellStyle name="Normal 2 2 4 24 2 3 2" xfId="4148" xr:uid="{00000000-0005-0000-0000-000054260000}"/>
    <cellStyle name="Normal 2 2 4 24 2 3 2 2" xfId="31591" xr:uid="{00000000-0005-0000-0000-000055260000}"/>
    <cellStyle name="Normal 2 2 4 24 2 3 3" xfId="4149" xr:uid="{00000000-0005-0000-0000-000056260000}"/>
    <cellStyle name="Normal 2 2 4 24 2 3 3 2" xfId="31592" xr:uid="{00000000-0005-0000-0000-000057260000}"/>
    <cellStyle name="Normal 2 2 4 24 2 3 4" xfId="31593" xr:uid="{00000000-0005-0000-0000-000058260000}"/>
    <cellStyle name="Normal 2 2 4 24 2 4" xfId="4150" xr:uid="{00000000-0005-0000-0000-000059260000}"/>
    <cellStyle name="Normal 2 2 4 24 2 4 2" xfId="4151" xr:uid="{00000000-0005-0000-0000-00005A260000}"/>
    <cellStyle name="Normal 2 2 4 24 2 4 2 2" xfId="31594" xr:uid="{00000000-0005-0000-0000-00005B260000}"/>
    <cellStyle name="Normal 2 2 4 24 2 4 3" xfId="31595" xr:uid="{00000000-0005-0000-0000-00005C260000}"/>
    <cellStyle name="Normal 2 2 4 24 2 5" xfId="4152" xr:uid="{00000000-0005-0000-0000-00005D260000}"/>
    <cellStyle name="Normal 2 2 4 24 2 5 2" xfId="31596" xr:uid="{00000000-0005-0000-0000-00005E260000}"/>
    <cellStyle name="Normal 2 2 4 24 2 6" xfId="4153" xr:uid="{00000000-0005-0000-0000-00005F260000}"/>
    <cellStyle name="Normal 2 2 4 24 2 6 2" xfId="31597" xr:uid="{00000000-0005-0000-0000-000060260000}"/>
    <cellStyle name="Normal 2 2 4 24 2 7" xfId="31598" xr:uid="{00000000-0005-0000-0000-000061260000}"/>
    <cellStyle name="Normal 2 2 4 24 2 7 2" xfId="31599" xr:uid="{00000000-0005-0000-0000-000062260000}"/>
    <cellStyle name="Normal 2 2 4 24 2 8" xfId="31600" xr:uid="{00000000-0005-0000-0000-000063260000}"/>
    <cellStyle name="Normal 2 2 4 24 2 9" xfId="31601" xr:uid="{00000000-0005-0000-0000-000064260000}"/>
    <cellStyle name="Normal 2 2 4 24 3" xfId="4154" xr:uid="{00000000-0005-0000-0000-000065260000}"/>
    <cellStyle name="Normal 2 2 4 24 3 2" xfId="4155" xr:uid="{00000000-0005-0000-0000-000066260000}"/>
    <cellStyle name="Normal 2 2 4 24 3 2 2" xfId="4156" xr:uid="{00000000-0005-0000-0000-000067260000}"/>
    <cellStyle name="Normal 2 2 4 24 3 2 2 2" xfId="31602" xr:uid="{00000000-0005-0000-0000-000068260000}"/>
    <cellStyle name="Normal 2 2 4 24 3 2 3" xfId="4157" xr:uid="{00000000-0005-0000-0000-000069260000}"/>
    <cellStyle name="Normal 2 2 4 24 3 2 3 2" xfId="31603" xr:uid="{00000000-0005-0000-0000-00006A260000}"/>
    <cellStyle name="Normal 2 2 4 24 3 2 4" xfId="31604" xr:uid="{00000000-0005-0000-0000-00006B260000}"/>
    <cellStyle name="Normal 2 2 4 24 3 3" xfId="4158" xr:uid="{00000000-0005-0000-0000-00006C260000}"/>
    <cellStyle name="Normal 2 2 4 24 3 3 2" xfId="31605" xr:uid="{00000000-0005-0000-0000-00006D260000}"/>
    <cellStyle name="Normal 2 2 4 24 3 4" xfId="4159" xr:uid="{00000000-0005-0000-0000-00006E260000}"/>
    <cellStyle name="Normal 2 2 4 24 3 4 2" xfId="31606" xr:uid="{00000000-0005-0000-0000-00006F260000}"/>
    <cellStyle name="Normal 2 2 4 24 3 5" xfId="4160" xr:uid="{00000000-0005-0000-0000-000070260000}"/>
    <cellStyle name="Normal 2 2 4 24 3 5 2" xfId="31607" xr:uid="{00000000-0005-0000-0000-000071260000}"/>
    <cellStyle name="Normal 2 2 4 24 3 6" xfId="31608" xr:uid="{00000000-0005-0000-0000-000072260000}"/>
    <cellStyle name="Normal 2 2 4 24 3 6 2" xfId="31609" xr:uid="{00000000-0005-0000-0000-000073260000}"/>
    <cellStyle name="Normal 2 2 4 24 3 7" xfId="31610" xr:uid="{00000000-0005-0000-0000-000074260000}"/>
    <cellStyle name="Normal 2 2 4 24 4" xfId="4161" xr:uid="{00000000-0005-0000-0000-000075260000}"/>
    <cellStyle name="Normal 2 2 4 24 4 2" xfId="4162" xr:uid="{00000000-0005-0000-0000-000076260000}"/>
    <cellStyle name="Normal 2 2 4 24 4 2 2" xfId="31611" xr:uid="{00000000-0005-0000-0000-000077260000}"/>
    <cellStyle name="Normal 2 2 4 24 4 3" xfId="4163" xr:uid="{00000000-0005-0000-0000-000078260000}"/>
    <cellStyle name="Normal 2 2 4 24 4 3 2" xfId="31612" xr:uid="{00000000-0005-0000-0000-000079260000}"/>
    <cellStyle name="Normal 2 2 4 24 4 4" xfId="31613" xr:uid="{00000000-0005-0000-0000-00007A260000}"/>
    <cellStyle name="Normal 2 2 4 24 5" xfId="4164" xr:uid="{00000000-0005-0000-0000-00007B260000}"/>
    <cellStyle name="Normal 2 2 4 24 5 2" xfId="4165" xr:uid="{00000000-0005-0000-0000-00007C260000}"/>
    <cellStyle name="Normal 2 2 4 24 5 2 2" xfId="31614" xr:uid="{00000000-0005-0000-0000-00007D260000}"/>
    <cellStyle name="Normal 2 2 4 24 5 3" xfId="31615" xr:uid="{00000000-0005-0000-0000-00007E260000}"/>
    <cellStyle name="Normal 2 2 4 24 6" xfId="4166" xr:uid="{00000000-0005-0000-0000-00007F260000}"/>
    <cellStyle name="Normal 2 2 4 24 6 2" xfId="31616" xr:uid="{00000000-0005-0000-0000-000080260000}"/>
    <cellStyle name="Normal 2 2 4 24 7" xfId="4167" xr:uid="{00000000-0005-0000-0000-000081260000}"/>
    <cellStyle name="Normal 2 2 4 24 7 2" xfId="31617" xr:uid="{00000000-0005-0000-0000-000082260000}"/>
    <cellStyle name="Normal 2 2 4 24 8" xfId="31618" xr:uid="{00000000-0005-0000-0000-000083260000}"/>
    <cellStyle name="Normal 2 2 4 24 8 2" xfId="31619" xr:uid="{00000000-0005-0000-0000-000084260000}"/>
    <cellStyle name="Normal 2 2 4 24 9" xfId="31620" xr:uid="{00000000-0005-0000-0000-000085260000}"/>
    <cellStyle name="Normal 2 2 4 25" xfId="4168" xr:uid="{00000000-0005-0000-0000-000086260000}"/>
    <cellStyle name="Normal 2 2 4 25 10" xfId="31621" xr:uid="{00000000-0005-0000-0000-000087260000}"/>
    <cellStyle name="Normal 2 2 4 25 11" xfId="31622" xr:uid="{00000000-0005-0000-0000-000088260000}"/>
    <cellStyle name="Normal 2 2 4 25 2" xfId="4169" xr:uid="{00000000-0005-0000-0000-000089260000}"/>
    <cellStyle name="Normal 2 2 4 25 2 10" xfId="31623" xr:uid="{00000000-0005-0000-0000-00008A260000}"/>
    <cellStyle name="Normal 2 2 4 25 2 2" xfId="4170" xr:uid="{00000000-0005-0000-0000-00008B260000}"/>
    <cellStyle name="Normal 2 2 4 25 2 2 2" xfId="4171" xr:uid="{00000000-0005-0000-0000-00008C260000}"/>
    <cellStyle name="Normal 2 2 4 25 2 2 2 2" xfId="4172" xr:uid="{00000000-0005-0000-0000-00008D260000}"/>
    <cellStyle name="Normal 2 2 4 25 2 2 2 2 2" xfId="31624" xr:uid="{00000000-0005-0000-0000-00008E260000}"/>
    <cellStyle name="Normal 2 2 4 25 2 2 2 3" xfId="4173" xr:uid="{00000000-0005-0000-0000-00008F260000}"/>
    <cellStyle name="Normal 2 2 4 25 2 2 2 3 2" xfId="31625" xr:uid="{00000000-0005-0000-0000-000090260000}"/>
    <cellStyle name="Normal 2 2 4 25 2 2 2 4" xfId="31626" xr:uid="{00000000-0005-0000-0000-000091260000}"/>
    <cellStyle name="Normal 2 2 4 25 2 2 3" xfId="4174" xr:uid="{00000000-0005-0000-0000-000092260000}"/>
    <cellStyle name="Normal 2 2 4 25 2 2 3 2" xfId="31627" xr:uid="{00000000-0005-0000-0000-000093260000}"/>
    <cellStyle name="Normal 2 2 4 25 2 2 4" xfId="4175" xr:uid="{00000000-0005-0000-0000-000094260000}"/>
    <cellStyle name="Normal 2 2 4 25 2 2 4 2" xfId="31628" xr:uid="{00000000-0005-0000-0000-000095260000}"/>
    <cellStyle name="Normal 2 2 4 25 2 2 5" xfId="4176" xr:uid="{00000000-0005-0000-0000-000096260000}"/>
    <cellStyle name="Normal 2 2 4 25 2 2 5 2" xfId="31629" xr:uid="{00000000-0005-0000-0000-000097260000}"/>
    <cellStyle name="Normal 2 2 4 25 2 2 6" xfId="31630" xr:uid="{00000000-0005-0000-0000-000098260000}"/>
    <cellStyle name="Normal 2 2 4 25 2 2 6 2" xfId="31631" xr:uid="{00000000-0005-0000-0000-000099260000}"/>
    <cellStyle name="Normal 2 2 4 25 2 2 7" xfId="31632" xr:uid="{00000000-0005-0000-0000-00009A260000}"/>
    <cellStyle name="Normal 2 2 4 25 2 3" xfId="4177" xr:uid="{00000000-0005-0000-0000-00009B260000}"/>
    <cellStyle name="Normal 2 2 4 25 2 3 2" xfId="4178" xr:uid="{00000000-0005-0000-0000-00009C260000}"/>
    <cellStyle name="Normal 2 2 4 25 2 3 2 2" xfId="31633" xr:uid="{00000000-0005-0000-0000-00009D260000}"/>
    <cellStyle name="Normal 2 2 4 25 2 3 3" xfId="4179" xr:uid="{00000000-0005-0000-0000-00009E260000}"/>
    <cellStyle name="Normal 2 2 4 25 2 3 3 2" xfId="31634" xr:uid="{00000000-0005-0000-0000-00009F260000}"/>
    <cellStyle name="Normal 2 2 4 25 2 3 4" xfId="31635" xr:uid="{00000000-0005-0000-0000-0000A0260000}"/>
    <cellStyle name="Normal 2 2 4 25 2 4" xfId="4180" xr:uid="{00000000-0005-0000-0000-0000A1260000}"/>
    <cellStyle name="Normal 2 2 4 25 2 4 2" xfId="4181" xr:uid="{00000000-0005-0000-0000-0000A2260000}"/>
    <cellStyle name="Normal 2 2 4 25 2 4 2 2" xfId="31636" xr:uid="{00000000-0005-0000-0000-0000A3260000}"/>
    <cellStyle name="Normal 2 2 4 25 2 4 3" xfId="31637" xr:uid="{00000000-0005-0000-0000-0000A4260000}"/>
    <cellStyle name="Normal 2 2 4 25 2 5" xfId="4182" xr:uid="{00000000-0005-0000-0000-0000A5260000}"/>
    <cellStyle name="Normal 2 2 4 25 2 5 2" xfId="31638" xr:uid="{00000000-0005-0000-0000-0000A6260000}"/>
    <cellStyle name="Normal 2 2 4 25 2 6" xfId="4183" xr:uid="{00000000-0005-0000-0000-0000A7260000}"/>
    <cellStyle name="Normal 2 2 4 25 2 6 2" xfId="31639" xr:uid="{00000000-0005-0000-0000-0000A8260000}"/>
    <cellStyle name="Normal 2 2 4 25 2 7" xfId="31640" xr:uid="{00000000-0005-0000-0000-0000A9260000}"/>
    <cellStyle name="Normal 2 2 4 25 2 7 2" xfId="31641" xr:uid="{00000000-0005-0000-0000-0000AA260000}"/>
    <cellStyle name="Normal 2 2 4 25 2 8" xfId="31642" xr:uid="{00000000-0005-0000-0000-0000AB260000}"/>
    <cellStyle name="Normal 2 2 4 25 2 9" xfId="31643" xr:uid="{00000000-0005-0000-0000-0000AC260000}"/>
    <cellStyle name="Normal 2 2 4 25 3" xfId="4184" xr:uid="{00000000-0005-0000-0000-0000AD260000}"/>
    <cellStyle name="Normal 2 2 4 25 3 2" xfId="4185" xr:uid="{00000000-0005-0000-0000-0000AE260000}"/>
    <cellStyle name="Normal 2 2 4 25 3 2 2" xfId="4186" xr:uid="{00000000-0005-0000-0000-0000AF260000}"/>
    <cellStyle name="Normal 2 2 4 25 3 2 2 2" xfId="31644" xr:uid="{00000000-0005-0000-0000-0000B0260000}"/>
    <cellStyle name="Normal 2 2 4 25 3 2 3" xfId="4187" xr:uid="{00000000-0005-0000-0000-0000B1260000}"/>
    <cellStyle name="Normal 2 2 4 25 3 2 3 2" xfId="31645" xr:uid="{00000000-0005-0000-0000-0000B2260000}"/>
    <cellStyle name="Normal 2 2 4 25 3 2 4" xfId="31646" xr:uid="{00000000-0005-0000-0000-0000B3260000}"/>
    <cellStyle name="Normal 2 2 4 25 3 3" xfId="4188" xr:uid="{00000000-0005-0000-0000-0000B4260000}"/>
    <cellStyle name="Normal 2 2 4 25 3 3 2" xfId="31647" xr:uid="{00000000-0005-0000-0000-0000B5260000}"/>
    <cellStyle name="Normal 2 2 4 25 3 4" xfId="4189" xr:uid="{00000000-0005-0000-0000-0000B6260000}"/>
    <cellStyle name="Normal 2 2 4 25 3 4 2" xfId="31648" xr:uid="{00000000-0005-0000-0000-0000B7260000}"/>
    <cellStyle name="Normal 2 2 4 25 3 5" xfId="4190" xr:uid="{00000000-0005-0000-0000-0000B8260000}"/>
    <cellStyle name="Normal 2 2 4 25 3 5 2" xfId="31649" xr:uid="{00000000-0005-0000-0000-0000B9260000}"/>
    <cellStyle name="Normal 2 2 4 25 3 6" xfId="31650" xr:uid="{00000000-0005-0000-0000-0000BA260000}"/>
    <cellStyle name="Normal 2 2 4 25 3 6 2" xfId="31651" xr:uid="{00000000-0005-0000-0000-0000BB260000}"/>
    <cellStyle name="Normal 2 2 4 25 3 7" xfId="31652" xr:uid="{00000000-0005-0000-0000-0000BC260000}"/>
    <cellStyle name="Normal 2 2 4 25 4" xfId="4191" xr:uid="{00000000-0005-0000-0000-0000BD260000}"/>
    <cellStyle name="Normal 2 2 4 25 4 2" xfId="4192" xr:uid="{00000000-0005-0000-0000-0000BE260000}"/>
    <cellStyle name="Normal 2 2 4 25 4 2 2" xfId="31653" xr:uid="{00000000-0005-0000-0000-0000BF260000}"/>
    <cellStyle name="Normal 2 2 4 25 4 3" xfId="4193" xr:uid="{00000000-0005-0000-0000-0000C0260000}"/>
    <cellStyle name="Normal 2 2 4 25 4 3 2" xfId="31654" xr:uid="{00000000-0005-0000-0000-0000C1260000}"/>
    <cellStyle name="Normal 2 2 4 25 4 4" xfId="31655" xr:uid="{00000000-0005-0000-0000-0000C2260000}"/>
    <cellStyle name="Normal 2 2 4 25 5" xfId="4194" xr:uid="{00000000-0005-0000-0000-0000C3260000}"/>
    <cellStyle name="Normal 2 2 4 25 5 2" xfId="4195" xr:uid="{00000000-0005-0000-0000-0000C4260000}"/>
    <cellStyle name="Normal 2 2 4 25 5 2 2" xfId="31656" xr:uid="{00000000-0005-0000-0000-0000C5260000}"/>
    <cellStyle name="Normal 2 2 4 25 5 3" xfId="31657" xr:uid="{00000000-0005-0000-0000-0000C6260000}"/>
    <cellStyle name="Normal 2 2 4 25 6" xfId="4196" xr:uid="{00000000-0005-0000-0000-0000C7260000}"/>
    <cellStyle name="Normal 2 2 4 25 6 2" xfId="31658" xr:uid="{00000000-0005-0000-0000-0000C8260000}"/>
    <cellStyle name="Normal 2 2 4 25 7" xfId="4197" xr:uid="{00000000-0005-0000-0000-0000C9260000}"/>
    <cellStyle name="Normal 2 2 4 25 7 2" xfId="31659" xr:uid="{00000000-0005-0000-0000-0000CA260000}"/>
    <cellStyle name="Normal 2 2 4 25 8" xfId="31660" xr:uid="{00000000-0005-0000-0000-0000CB260000}"/>
    <cellStyle name="Normal 2 2 4 25 8 2" xfId="31661" xr:uid="{00000000-0005-0000-0000-0000CC260000}"/>
    <cellStyle name="Normal 2 2 4 25 9" xfId="31662" xr:uid="{00000000-0005-0000-0000-0000CD260000}"/>
    <cellStyle name="Normal 2 2 4 26" xfId="4198" xr:uid="{00000000-0005-0000-0000-0000CE260000}"/>
    <cellStyle name="Normal 2 2 4 26 10" xfId="31663" xr:uid="{00000000-0005-0000-0000-0000CF260000}"/>
    <cellStyle name="Normal 2 2 4 26 11" xfId="31664" xr:uid="{00000000-0005-0000-0000-0000D0260000}"/>
    <cellStyle name="Normal 2 2 4 26 2" xfId="4199" xr:uid="{00000000-0005-0000-0000-0000D1260000}"/>
    <cellStyle name="Normal 2 2 4 26 2 10" xfId="31665" xr:uid="{00000000-0005-0000-0000-0000D2260000}"/>
    <cellStyle name="Normal 2 2 4 26 2 2" xfId="4200" xr:uid="{00000000-0005-0000-0000-0000D3260000}"/>
    <cellStyle name="Normal 2 2 4 26 2 2 2" xfId="4201" xr:uid="{00000000-0005-0000-0000-0000D4260000}"/>
    <cellStyle name="Normal 2 2 4 26 2 2 2 2" xfId="4202" xr:uid="{00000000-0005-0000-0000-0000D5260000}"/>
    <cellStyle name="Normal 2 2 4 26 2 2 2 2 2" xfId="31666" xr:uid="{00000000-0005-0000-0000-0000D6260000}"/>
    <cellStyle name="Normal 2 2 4 26 2 2 2 3" xfId="4203" xr:uid="{00000000-0005-0000-0000-0000D7260000}"/>
    <cellStyle name="Normal 2 2 4 26 2 2 2 3 2" xfId="31667" xr:uid="{00000000-0005-0000-0000-0000D8260000}"/>
    <cellStyle name="Normal 2 2 4 26 2 2 2 4" xfId="31668" xr:uid="{00000000-0005-0000-0000-0000D9260000}"/>
    <cellStyle name="Normal 2 2 4 26 2 2 3" xfId="4204" xr:uid="{00000000-0005-0000-0000-0000DA260000}"/>
    <cellStyle name="Normal 2 2 4 26 2 2 3 2" xfId="31669" xr:uid="{00000000-0005-0000-0000-0000DB260000}"/>
    <cellStyle name="Normal 2 2 4 26 2 2 4" xfId="4205" xr:uid="{00000000-0005-0000-0000-0000DC260000}"/>
    <cellStyle name="Normal 2 2 4 26 2 2 4 2" xfId="31670" xr:uid="{00000000-0005-0000-0000-0000DD260000}"/>
    <cellStyle name="Normal 2 2 4 26 2 2 5" xfId="4206" xr:uid="{00000000-0005-0000-0000-0000DE260000}"/>
    <cellStyle name="Normal 2 2 4 26 2 2 5 2" xfId="31671" xr:uid="{00000000-0005-0000-0000-0000DF260000}"/>
    <cellStyle name="Normal 2 2 4 26 2 2 6" xfId="31672" xr:uid="{00000000-0005-0000-0000-0000E0260000}"/>
    <cellStyle name="Normal 2 2 4 26 2 2 6 2" xfId="31673" xr:uid="{00000000-0005-0000-0000-0000E1260000}"/>
    <cellStyle name="Normal 2 2 4 26 2 2 7" xfId="31674" xr:uid="{00000000-0005-0000-0000-0000E2260000}"/>
    <cellStyle name="Normal 2 2 4 26 2 3" xfId="4207" xr:uid="{00000000-0005-0000-0000-0000E3260000}"/>
    <cellStyle name="Normal 2 2 4 26 2 3 2" xfId="4208" xr:uid="{00000000-0005-0000-0000-0000E4260000}"/>
    <cellStyle name="Normal 2 2 4 26 2 3 2 2" xfId="31675" xr:uid="{00000000-0005-0000-0000-0000E5260000}"/>
    <cellStyle name="Normal 2 2 4 26 2 3 3" xfId="4209" xr:uid="{00000000-0005-0000-0000-0000E6260000}"/>
    <cellStyle name="Normal 2 2 4 26 2 3 3 2" xfId="31676" xr:uid="{00000000-0005-0000-0000-0000E7260000}"/>
    <cellStyle name="Normal 2 2 4 26 2 3 4" xfId="31677" xr:uid="{00000000-0005-0000-0000-0000E8260000}"/>
    <cellStyle name="Normal 2 2 4 26 2 4" xfId="4210" xr:uid="{00000000-0005-0000-0000-0000E9260000}"/>
    <cellStyle name="Normal 2 2 4 26 2 4 2" xfId="4211" xr:uid="{00000000-0005-0000-0000-0000EA260000}"/>
    <cellStyle name="Normal 2 2 4 26 2 4 2 2" xfId="31678" xr:uid="{00000000-0005-0000-0000-0000EB260000}"/>
    <cellStyle name="Normal 2 2 4 26 2 4 3" xfId="31679" xr:uid="{00000000-0005-0000-0000-0000EC260000}"/>
    <cellStyle name="Normal 2 2 4 26 2 5" xfId="4212" xr:uid="{00000000-0005-0000-0000-0000ED260000}"/>
    <cellStyle name="Normal 2 2 4 26 2 5 2" xfId="31680" xr:uid="{00000000-0005-0000-0000-0000EE260000}"/>
    <cellStyle name="Normal 2 2 4 26 2 6" xfId="4213" xr:uid="{00000000-0005-0000-0000-0000EF260000}"/>
    <cellStyle name="Normal 2 2 4 26 2 6 2" xfId="31681" xr:uid="{00000000-0005-0000-0000-0000F0260000}"/>
    <cellStyle name="Normal 2 2 4 26 2 7" xfId="31682" xr:uid="{00000000-0005-0000-0000-0000F1260000}"/>
    <cellStyle name="Normal 2 2 4 26 2 7 2" xfId="31683" xr:uid="{00000000-0005-0000-0000-0000F2260000}"/>
    <cellStyle name="Normal 2 2 4 26 2 8" xfId="31684" xr:uid="{00000000-0005-0000-0000-0000F3260000}"/>
    <cellStyle name="Normal 2 2 4 26 2 9" xfId="31685" xr:uid="{00000000-0005-0000-0000-0000F4260000}"/>
    <cellStyle name="Normal 2 2 4 26 3" xfId="4214" xr:uid="{00000000-0005-0000-0000-0000F5260000}"/>
    <cellStyle name="Normal 2 2 4 26 3 2" xfId="4215" xr:uid="{00000000-0005-0000-0000-0000F6260000}"/>
    <cellStyle name="Normal 2 2 4 26 3 2 2" xfId="4216" xr:uid="{00000000-0005-0000-0000-0000F7260000}"/>
    <cellStyle name="Normal 2 2 4 26 3 2 2 2" xfId="31686" xr:uid="{00000000-0005-0000-0000-0000F8260000}"/>
    <cellStyle name="Normal 2 2 4 26 3 2 3" xfId="4217" xr:uid="{00000000-0005-0000-0000-0000F9260000}"/>
    <cellStyle name="Normal 2 2 4 26 3 2 3 2" xfId="31687" xr:uid="{00000000-0005-0000-0000-0000FA260000}"/>
    <cellStyle name="Normal 2 2 4 26 3 2 4" xfId="31688" xr:uid="{00000000-0005-0000-0000-0000FB260000}"/>
    <cellStyle name="Normal 2 2 4 26 3 3" xfId="4218" xr:uid="{00000000-0005-0000-0000-0000FC260000}"/>
    <cellStyle name="Normal 2 2 4 26 3 3 2" xfId="31689" xr:uid="{00000000-0005-0000-0000-0000FD260000}"/>
    <cellStyle name="Normal 2 2 4 26 3 4" xfId="4219" xr:uid="{00000000-0005-0000-0000-0000FE260000}"/>
    <cellStyle name="Normal 2 2 4 26 3 4 2" xfId="31690" xr:uid="{00000000-0005-0000-0000-0000FF260000}"/>
    <cellStyle name="Normal 2 2 4 26 3 5" xfId="4220" xr:uid="{00000000-0005-0000-0000-000000270000}"/>
    <cellStyle name="Normal 2 2 4 26 3 5 2" xfId="31691" xr:uid="{00000000-0005-0000-0000-000001270000}"/>
    <cellStyle name="Normal 2 2 4 26 3 6" xfId="31692" xr:uid="{00000000-0005-0000-0000-000002270000}"/>
    <cellStyle name="Normal 2 2 4 26 3 6 2" xfId="31693" xr:uid="{00000000-0005-0000-0000-000003270000}"/>
    <cellStyle name="Normal 2 2 4 26 3 7" xfId="31694" xr:uid="{00000000-0005-0000-0000-000004270000}"/>
    <cellStyle name="Normal 2 2 4 26 4" xfId="4221" xr:uid="{00000000-0005-0000-0000-000005270000}"/>
    <cellStyle name="Normal 2 2 4 26 4 2" xfId="4222" xr:uid="{00000000-0005-0000-0000-000006270000}"/>
    <cellStyle name="Normal 2 2 4 26 4 2 2" xfId="31695" xr:uid="{00000000-0005-0000-0000-000007270000}"/>
    <cellStyle name="Normal 2 2 4 26 4 3" xfId="4223" xr:uid="{00000000-0005-0000-0000-000008270000}"/>
    <cellStyle name="Normal 2 2 4 26 4 3 2" xfId="31696" xr:uid="{00000000-0005-0000-0000-000009270000}"/>
    <cellStyle name="Normal 2 2 4 26 4 4" xfId="31697" xr:uid="{00000000-0005-0000-0000-00000A270000}"/>
    <cellStyle name="Normal 2 2 4 26 5" xfId="4224" xr:uid="{00000000-0005-0000-0000-00000B270000}"/>
    <cellStyle name="Normal 2 2 4 26 5 2" xfId="4225" xr:uid="{00000000-0005-0000-0000-00000C270000}"/>
    <cellStyle name="Normal 2 2 4 26 5 2 2" xfId="31698" xr:uid="{00000000-0005-0000-0000-00000D270000}"/>
    <cellStyle name="Normal 2 2 4 26 5 3" xfId="31699" xr:uid="{00000000-0005-0000-0000-00000E270000}"/>
    <cellStyle name="Normal 2 2 4 26 6" xfId="4226" xr:uid="{00000000-0005-0000-0000-00000F270000}"/>
    <cellStyle name="Normal 2 2 4 26 6 2" xfId="31700" xr:uid="{00000000-0005-0000-0000-000010270000}"/>
    <cellStyle name="Normal 2 2 4 26 7" xfId="4227" xr:uid="{00000000-0005-0000-0000-000011270000}"/>
    <cellStyle name="Normal 2 2 4 26 7 2" xfId="31701" xr:uid="{00000000-0005-0000-0000-000012270000}"/>
    <cellStyle name="Normal 2 2 4 26 8" xfId="31702" xr:uid="{00000000-0005-0000-0000-000013270000}"/>
    <cellStyle name="Normal 2 2 4 26 8 2" xfId="31703" xr:uid="{00000000-0005-0000-0000-000014270000}"/>
    <cellStyle name="Normal 2 2 4 26 9" xfId="31704" xr:uid="{00000000-0005-0000-0000-000015270000}"/>
    <cellStyle name="Normal 2 2 4 27" xfId="4228" xr:uid="{00000000-0005-0000-0000-000016270000}"/>
    <cellStyle name="Normal 2 2 4 27 10" xfId="31705" xr:uid="{00000000-0005-0000-0000-000017270000}"/>
    <cellStyle name="Normal 2 2 4 27 11" xfId="31706" xr:uid="{00000000-0005-0000-0000-000018270000}"/>
    <cellStyle name="Normal 2 2 4 27 2" xfId="4229" xr:uid="{00000000-0005-0000-0000-000019270000}"/>
    <cellStyle name="Normal 2 2 4 27 2 10" xfId="31707" xr:uid="{00000000-0005-0000-0000-00001A270000}"/>
    <cellStyle name="Normal 2 2 4 27 2 2" xfId="4230" xr:uid="{00000000-0005-0000-0000-00001B270000}"/>
    <cellStyle name="Normal 2 2 4 27 2 2 2" xfId="4231" xr:uid="{00000000-0005-0000-0000-00001C270000}"/>
    <cellStyle name="Normal 2 2 4 27 2 2 2 2" xfId="4232" xr:uid="{00000000-0005-0000-0000-00001D270000}"/>
    <cellStyle name="Normal 2 2 4 27 2 2 2 2 2" xfId="31708" xr:uid="{00000000-0005-0000-0000-00001E270000}"/>
    <cellStyle name="Normal 2 2 4 27 2 2 2 3" xfId="4233" xr:uid="{00000000-0005-0000-0000-00001F270000}"/>
    <cellStyle name="Normal 2 2 4 27 2 2 2 3 2" xfId="31709" xr:uid="{00000000-0005-0000-0000-000020270000}"/>
    <cellStyle name="Normal 2 2 4 27 2 2 2 4" xfId="31710" xr:uid="{00000000-0005-0000-0000-000021270000}"/>
    <cellStyle name="Normal 2 2 4 27 2 2 3" xfId="4234" xr:uid="{00000000-0005-0000-0000-000022270000}"/>
    <cellStyle name="Normal 2 2 4 27 2 2 3 2" xfId="31711" xr:uid="{00000000-0005-0000-0000-000023270000}"/>
    <cellStyle name="Normal 2 2 4 27 2 2 4" xfId="4235" xr:uid="{00000000-0005-0000-0000-000024270000}"/>
    <cellStyle name="Normal 2 2 4 27 2 2 4 2" xfId="31712" xr:uid="{00000000-0005-0000-0000-000025270000}"/>
    <cellStyle name="Normal 2 2 4 27 2 2 5" xfId="4236" xr:uid="{00000000-0005-0000-0000-000026270000}"/>
    <cellStyle name="Normal 2 2 4 27 2 2 5 2" xfId="31713" xr:uid="{00000000-0005-0000-0000-000027270000}"/>
    <cellStyle name="Normal 2 2 4 27 2 2 6" xfId="31714" xr:uid="{00000000-0005-0000-0000-000028270000}"/>
    <cellStyle name="Normal 2 2 4 27 2 2 6 2" xfId="31715" xr:uid="{00000000-0005-0000-0000-000029270000}"/>
    <cellStyle name="Normal 2 2 4 27 2 2 7" xfId="31716" xr:uid="{00000000-0005-0000-0000-00002A270000}"/>
    <cellStyle name="Normal 2 2 4 27 2 3" xfId="4237" xr:uid="{00000000-0005-0000-0000-00002B270000}"/>
    <cellStyle name="Normal 2 2 4 27 2 3 2" xfId="4238" xr:uid="{00000000-0005-0000-0000-00002C270000}"/>
    <cellStyle name="Normal 2 2 4 27 2 3 2 2" xfId="31717" xr:uid="{00000000-0005-0000-0000-00002D270000}"/>
    <cellStyle name="Normal 2 2 4 27 2 3 3" xfId="4239" xr:uid="{00000000-0005-0000-0000-00002E270000}"/>
    <cellStyle name="Normal 2 2 4 27 2 3 3 2" xfId="31718" xr:uid="{00000000-0005-0000-0000-00002F270000}"/>
    <cellStyle name="Normal 2 2 4 27 2 3 4" xfId="31719" xr:uid="{00000000-0005-0000-0000-000030270000}"/>
    <cellStyle name="Normal 2 2 4 27 2 4" xfId="4240" xr:uid="{00000000-0005-0000-0000-000031270000}"/>
    <cellStyle name="Normal 2 2 4 27 2 4 2" xfId="4241" xr:uid="{00000000-0005-0000-0000-000032270000}"/>
    <cellStyle name="Normal 2 2 4 27 2 4 2 2" xfId="31720" xr:uid="{00000000-0005-0000-0000-000033270000}"/>
    <cellStyle name="Normal 2 2 4 27 2 4 3" xfId="31721" xr:uid="{00000000-0005-0000-0000-000034270000}"/>
    <cellStyle name="Normal 2 2 4 27 2 5" xfId="4242" xr:uid="{00000000-0005-0000-0000-000035270000}"/>
    <cellStyle name="Normal 2 2 4 27 2 5 2" xfId="31722" xr:uid="{00000000-0005-0000-0000-000036270000}"/>
    <cellStyle name="Normal 2 2 4 27 2 6" xfId="4243" xr:uid="{00000000-0005-0000-0000-000037270000}"/>
    <cellStyle name="Normal 2 2 4 27 2 6 2" xfId="31723" xr:uid="{00000000-0005-0000-0000-000038270000}"/>
    <cellStyle name="Normal 2 2 4 27 2 7" xfId="31724" xr:uid="{00000000-0005-0000-0000-000039270000}"/>
    <cellStyle name="Normal 2 2 4 27 2 7 2" xfId="31725" xr:uid="{00000000-0005-0000-0000-00003A270000}"/>
    <cellStyle name="Normal 2 2 4 27 2 8" xfId="31726" xr:uid="{00000000-0005-0000-0000-00003B270000}"/>
    <cellStyle name="Normal 2 2 4 27 2 9" xfId="31727" xr:uid="{00000000-0005-0000-0000-00003C270000}"/>
    <cellStyle name="Normal 2 2 4 27 3" xfId="4244" xr:uid="{00000000-0005-0000-0000-00003D270000}"/>
    <cellStyle name="Normal 2 2 4 27 3 2" xfId="4245" xr:uid="{00000000-0005-0000-0000-00003E270000}"/>
    <cellStyle name="Normal 2 2 4 27 3 2 2" xfId="4246" xr:uid="{00000000-0005-0000-0000-00003F270000}"/>
    <cellStyle name="Normal 2 2 4 27 3 2 2 2" xfId="31728" xr:uid="{00000000-0005-0000-0000-000040270000}"/>
    <cellStyle name="Normal 2 2 4 27 3 2 3" xfId="4247" xr:uid="{00000000-0005-0000-0000-000041270000}"/>
    <cellStyle name="Normal 2 2 4 27 3 2 3 2" xfId="31729" xr:uid="{00000000-0005-0000-0000-000042270000}"/>
    <cellStyle name="Normal 2 2 4 27 3 2 4" xfId="31730" xr:uid="{00000000-0005-0000-0000-000043270000}"/>
    <cellStyle name="Normal 2 2 4 27 3 3" xfId="4248" xr:uid="{00000000-0005-0000-0000-000044270000}"/>
    <cellStyle name="Normal 2 2 4 27 3 3 2" xfId="31731" xr:uid="{00000000-0005-0000-0000-000045270000}"/>
    <cellStyle name="Normal 2 2 4 27 3 4" xfId="4249" xr:uid="{00000000-0005-0000-0000-000046270000}"/>
    <cellStyle name="Normal 2 2 4 27 3 4 2" xfId="31732" xr:uid="{00000000-0005-0000-0000-000047270000}"/>
    <cellStyle name="Normal 2 2 4 27 3 5" xfId="4250" xr:uid="{00000000-0005-0000-0000-000048270000}"/>
    <cellStyle name="Normal 2 2 4 27 3 5 2" xfId="31733" xr:uid="{00000000-0005-0000-0000-000049270000}"/>
    <cellStyle name="Normal 2 2 4 27 3 6" xfId="31734" xr:uid="{00000000-0005-0000-0000-00004A270000}"/>
    <cellStyle name="Normal 2 2 4 27 3 6 2" xfId="31735" xr:uid="{00000000-0005-0000-0000-00004B270000}"/>
    <cellStyle name="Normal 2 2 4 27 3 7" xfId="31736" xr:uid="{00000000-0005-0000-0000-00004C270000}"/>
    <cellStyle name="Normal 2 2 4 27 4" xfId="4251" xr:uid="{00000000-0005-0000-0000-00004D270000}"/>
    <cellStyle name="Normal 2 2 4 27 4 2" xfId="4252" xr:uid="{00000000-0005-0000-0000-00004E270000}"/>
    <cellStyle name="Normal 2 2 4 27 4 2 2" xfId="31737" xr:uid="{00000000-0005-0000-0000-00004F270000}"/>
    <cellStyle name="Normal 2 2 4 27 4 3" xfId="4253" xr:uid="{00000000-0005-0000-0000-000050270000}"/>
    <cellStyle name="Normal 2 2 4 27 4 3 2" xfId="31738" xr:uid="{00000000-0005-0000-0000-000051270000}"/>
    <cellStyle name="Normal 2 2 4 27 4 4" xfId="31739" xr:uid="{00000000-0005-0000-0000-000052270000}"/>
    <cellStyle name="Normal 2 2 4 27 5" xfId="4254" xr:uid="{00000000-0005-0000-0000-000053270000}"/>
    <cellStyle name="Normal 2 2 4 27 5 2" xfId="4255" xr:uid="{00000000-0005-0000-0000-000054270000}"/>
    <cellStyle name="Normal 2 2 4 27 5 2 2" xfId="31740" xr:uid="{00000000-0005-0000-0000-000055270000}"/>
    <cellStyle name="Normal 2 2 4 27 5 3" xfId="31741" xr:uid="{00000000-0005-0000-0000-000056270000}"/>
    <cellStyle name="Normal 2 2 4 27 6" xfId="4256" xr:uid="{00000000-0005-0000-0000-000057270000}"/>
    <cellStyle name="Normal 2 2 4 27 6 2" xfId="31742" xr:uid="{00000000-0005-0000-0000-000058270000}"/>
    <cellStyle name="Normal 2 2 4 27 7" xfId="4257" xr:uid="{00000000-0005-0000-0000-000059270000}"/>
    <cellStyle name="Normal 2 2 4 27 7 2" xfId="31743" xr:uid="{00000000-0005-0000-0000-00005A270000}"/>
    <cellStyle name="Normal 2 2 4 27 8" xfId="31744" xr:uid="{00000000-0005-0000-0000-00005B270000}"/>
    <cellStyle name="Normal 2 2 4 27 8 2" xfId="31745" xr:uid="{00000000-0005-0000-0000-00005C270000}"/>
    <cellStyle name="Normal 2 2 4 27 9" xfId="31746" xr:uid="{00000000-0005-0000-0000-00005D270000}"/>
    <cellStyle name="Normal 2 2 4 28" xfId="4258" xr:uid="{00000000-0005-0000-0000-00005E270000}"/>
    <cellStyle name="Normal 2 2 4 28 10" xfId="31747" xr:uid="{00000000-0005-0000-0000-00005F270000}"/>
    <cellStyle name="Normal 2 2 4 28 11" xfId="31748" xr:uid="{00000000-0005-0000-0000-000060270000}"/>
    <cellStyle name="Normal 2 2 4 28 2" xfId="4259" xr:uid="{00000000-0005-0000-0000-000061270000}"/>
    <cellStyle name="Normal 2 2 4 28 2 10" xfId="31749" xr:uid="{00000000-0005-0000-0000-000062270000}"/>
    <cellStyle name="Normal 2 2 4 28 2 2" xfId="4260" xr:uid="{00000000-0005-0000-0000-000063270000}"/>
    <cellStyle name="Normal 2 2 4 28 2 2 2" xfId="4261" xr:uid="{00000000-0005-0000-0000-000064270000}"/>
    <cellStyle name="Normal 2 2 4 28 2 2 2 2" xfId="4262" xr:uid="{00000000-0005-0000-0000-000065270000}"/>
    <cellStyle name="Normal 2 2 4 28 2 2 2 2 2" xfId="31750" xr:uid="{00000000-0005-0000-0000-000066270000}"/>
    <cellStyle name="Normal 2 2 4 28 2 2 2 3" xfId="4263" xr:uid="{00000000-0005-0000-0000-000067270000}"/>
    <cellStyle name="Normal 2 2 4 28 2 2 2 3 2" xfId="31751" xr:uid="{00000000-0005-0000-0000-000068270000}"/>
    <cellStyle name="Normal 2 2 4 28 2 2 2 4" xfId="31752" xr:uid="{00000000-0005-0000-0000-000069270000}"/>
    <cellStyle name="Normal 2 2 4 28 2 2 3" xfId="4264" xr:uid="{00000000-0005-0000-0000-00006A270000}"/>
    <cellStyle name="Normal 2 2 4 28 2 2 3 2" xfId="31753" xr:uid="{00000000-0005-0000-0000-00006B270000}"/>
    <cellStyle name="Normal 2 2 4 28 2 2 4" xfId="4265" xr:uid="{00000000-0005-0000-0000-00006C270000}"/>
    <cellStyle name="Normal 2 2 4 28 2 2 4 2" xfId="31754" xr:uid="{00000000-0005-0000-0000-00006D270000}"/>
    <cellStyle name="Normal 2 2 4 28 2 2 5" xfId="4266" xr:uid="{00000000-0005-0000-0000-00006E270000}"/>
    <cellStyle name="Normal 2 2 4 28 2 2 5 2" xfId="31755" xr:uid="{00000000-0005-0000-0000-00006F270000}"/>
    <cellStyle name="Normal 2 2 4 28 2 2 6" xfId="31756" xr:uid="{00000000-0005-0000-0000-000070270000}"/>
    <cellStyle name="Normal 2 2 4 28 2 2 6 2" xfId="31757" xr:uid="{00000000-0005-0000-0000-000071270000}"/>
    <cellStyle name="Normal 2 2 4 28 2 2 7" xfId="31758" xr:uid="{00000000-0005-0000-0000-000072270000}"/>
    <cellStyle name="Normal 2 2 4 28 2 3" xfId="4267" xr:uid="{00000000-0005-0000-0000-000073270000}"/>
    <cellStyle name="Normal 2 2 4 28 2 3 2" xfId="4268" xr:uid="{00000000-0005-0000-0000-000074270000}"/>
    <cellStyle name="Normal 2 2 4 28 2 3 2 2" xfId="31759" xr:uid="{00000000-0005-0000-0000-000075270000}"/>
    <cellStyle name="Normal 2 2 4 28 2 3 3" xfId="4269" xr:uid="{00000000-0005-0000-0000-000076270000}"/>
    <cellStyle name="Normal 2 2 4 28 2 3 3 2" xfId="31760" xr:uid="{00000000-0005-0000-0000-000077270000}"/>
    <cellStyle name="Normal 2 2 4 28 2 3 4" xfId="31761" xr:uid="{00000000-0005-0000-0000-000078270000}"/>
    <cellStyle name="Normal 2 2 4 28 2 4" xfId="4270" xr:uid="{00000000-0005-0000-0000-000079270000}"/>
    <cellStyle name="Normal 2 2 4 28 2 4 2" xfId="4271" xr:uid="{00000000-0005-0000-0000-00007A270000}"/>
    <cellStyle name="Normal 2 2 4 28 2 4 2 2" xfId="31762" xr:uid="{00000000-0005-0000-0000-00007B270000}"/>
    <cellStyle name="Normal 2 2 4 28 2 4 3" xfId="31763" xr:uid="{00000000-0005-0000-0000-00007C270000}"/>
    <cellStyle name="Normal 2 2 4 28 2 5" xfId="4272" xr:uid="{00000000-0005-0000-0000-00007D270000}"/>
    <cellStyle name="Normal 2 2 4 28 2 5 2" xfId="31764" xr:uid="{00000000-0005-0000-0000-00007E270000}"/>
    <cellStyle name="Normal 2 2 4 28 2 6" xfId="4273" xr:uid="{00000000-0005-0000-0000-00007F270000}"/>
    <cellStyle name="Normal 2 2 4 28 2 6 2" xfId="31765" xr:uid="{00000000-0005-0000-0000-000080270000}"/>
    <cellStyle name="Normal 2 2 4 28 2 7" xfId="31766" xr:uid="{00000000-0005-0000-0000-000081270000}"/>
    <cellStyle name="Normal 2 2 4 28 2 7 2" xfId="31767" xr:uid="{00000000-0005-0000-0000-000082270000}"/>
    <cellStyle name="Normal 2 2 4 28 2 8" xfId="31768" xr:uid="{00000000-0005-0000-0000-000083270000}"/>
    <cellStyle name="Normal 2 2 4 28 2 9" xfId="31769" xr:uid="{00000000-0005-0000-0000-000084270000}"/>
    <cellStyle name="Normal 2 2 4 28 3" xfId="4274" xr:uid="{00000000-0005-0000-0000-000085270000}"/>
    <cellStyle name="Normal 2 2 4 28 3 2" xfId="4275" xr:uid="{00000000-0005-0000-0000-000086270000}"/>
    <cellStyle name="Normal 2 2 4 28 3 2 2" xfId="4276" xr:uid="{00000000-0005-0000-0000-000087270000}"/>
    <cellStyle name="Normal 2 2 4 28 3 2 2 2" xfId="31770" xr:uid="{00000000-0005-0000-0000-000088270000}"/>
    <cellStyle name="Normal 2 2 4 28 3 2 3" xfId="4277" xr:uid="{00000000-0005-0000-0000-000089270000}"/>
    <cellStyle name="Normal 2 2 4 28 3 2 3 2" xfId="31771" xr:uid="{00000000-0005-0000-0000-00008A270000}"/>
    <cellStyle name="Normal 2 2 4 28 3 2 4" xfId="31772" xr:uid="{00000000-0005-0000-0000-00008B270000}"/>
    <cellStyle name="Normal 2 2 4 28 3 3" xfId="4278" xr:uid="{00000000-0005-0000-0000-00008C270000}"/>
    <cellStyle name="Normal 2 2 4 28 3 3 2" xfId="31773" xr:uid="{00000000-0005-0000-0000-00008D270000}"/>
    <cellStyle name="Normal 2 2 4 28 3 4" xfId="4279" xr:uid="{00000000-0005-0000-0000-00008E270000}"/>
    <cellStyle name="Normal 2 2 4 28 3 4 2" xfId="31774" xr:uid="{00000000-0005-0000-0000-00008F270000}"/>
    <cellStyle name="Normal 2 2 4 28 3 5" xfId="4280" xr:uid="{00000000-0005-0000-0000-000090270000}"/>
    <cellStyle name="Normal 2 2 4 28 3 5 2" xfId="31775" xr:uid="{00000000-0005-0000-0000-000091270000}"/>
    <cellStyle name="Normal 2 2 4 28 3 6" xfId="31776" xr:uid="{00000000-0005-0000-0000-000092270000}"/>
    <cellStyle name="Normal 2 2 4 28 3 6 2" xfId="31777" xr:uid="{00000000-0005-0000-0000-000093270000}"/>
    <cellStyle name="Normal 2 2 4 28 3 7" xfId="31778" xr:uid="{00000000-0005-0000-0000-000094270000}"/>
    <cellStyle name="Normal 2 2 4 28 4" xfId="4281" xr:uid="{00000000-0005-0000-0000-000095270000}"/>
    <cellStyle name="Normal 2 2 4 28 4 2" xfId="4282" xr:uid="{00000000-0005-0000-0000-000096270000}"/>
    <cellStyle name="Normal 2 2 4 28 4 2 2" xfId="31779" xr:uid="{00000000-0005-0000-0000-000097270000}"/>
    <cellStyle name="Normal 2 2 4 28 4 3" xfId="4283" xr:uid="{00000000-0005-0000-0000-000098270000}"/>
    <cellStyle name="Normal 2 2 4 28 4 3 2" xfId="31780" xr:uid="{00000000-0005-0000-0000-000099270000}"/>
    <cellStyle name="Normal 2 2 4 28 4 4" xfId="31781" xr:uid="{00000000-0005-0000-0000-00009A270000}"/>
    <cellStyle name="Normal 2 2 4 28 5" xfId="4284" xr:uid="{00000000-0005-0000-0000-00009B270000}"/>
    <cellStyle name="Normal 2 2 4 28 5 2" xfId="4285" xr:uid="{00000000-0005-0000-0000-00009C270000}"/>
    <cellStyle name="Normal 2 2 4 28 5 2 2" xfId="31782" xr:uid="{00000000-0005-0000-0000-00009D270000}"/>
    <cellStyle name="Normal 2 2 4 28 5 3" xfId="31783" xr:uid="{00000000-0005-0000-0000-00009E270000}"/>
    <cellStyle name="Normal 2 2 4 28 6" xfId="4286" xr:uid="{00000000-0005-0000-0000-00009F270000}"/>
    <cellStyle name="Normal 2 2 4 28 6 2" xfId="31784" xr:uid="{00000000-0005-0000-0000-0000A0270000}"/>
    <cellStyle name="Normal 2 2 4 28 7" xfId="4287" xr:uid="{00000000-0005-0000-0000-0000A1270000}"/>
    <cellStyle name="Normal 2 2 4 28 7 2" xfId="31785" xr:uid="{00000000-0005-0000-0000-0000A2270000}"/>
    <cellStyle name="Normal 2 2 4 28 8" xfId="31786" xr:uid="{00000000-0005-0000-0000-0000A3270000}"/>
    <cellStyle name="Normal 2 2 4 28 8 2" xfId="31787" xr:uid="{00000000-0005-0000-0000-0000A4270000}"/>
    <cellStyle name="Normal 2 2 4 28 9" xfId="31788" xr:uid="{00000000-0005-0000-0000-0000A5270000}"/>
    <cellStyle name="Normal 2 2 4 29" xfId="4288" xr:uid="{00000000-0005-0000-0000-0000A6270000}"/>
    <cellStyle name="Normal 2 2 4 29 10" xfId="31789" xr:uid="{00000000-0005-0000-0000-0000A7270000}"/>
    <cellStyle name="Normal 2 2 4 29 11" xfId="31790" xr:uid="{00000000-0005-0000-0000-0000A8270000}"/>
    <cellStyle name="Normal 2 2 4 29 2" xfId="4289" xr:uid="{00000000-0005-0000-0000-0000A9270000}"/>
    <cellStyle name="Normal 2 2 4 29 2 10" xfId="31791" xr:uid="{00000000-0005-0000-0000-0000AA270000}"/>
    <cellStyle name="Normal 2 2 4 29 2 2" xfId="4290" xr:uid="{00000000-0005-0000-0000-0000AB270000}"/>
    <cellStyle name="Normal 2 2 4 29 2 2 2" xfId="4291" xr:uid="{00000000-0005-0000-0000-0000AC270000}"/>
    <cellStyle name="Normal 2 2 4 29 2 2 2 2" xfId="4292" xr:uid="{00000000-0005-0000-0000-0000AD270000}"/>
    <cellStyle name="Normal 2 2 4 29 2 2 2 2 2" xfId="31792" xr:uid="{00000000-0005-0000-0000-0000AE270000}"/>
    <cellStyle name="Normal 2 2 4 29 2 2 2 3" xfId="4293" xr:uid="{00000000-0005-0000-0000-0000AF270000}"/>
    <cellStyle name="Normal 2 2 4 29 2 2 2 3 2" xfId="31793" xr:uid="{00000000-0005-0000-0000-0000B0270000}"/>
    <cellStyle name="Normal 2 2 4 29 2 2 2 4" xfId="31794" xr:uid="{00000000-0005-0000-0000-0000B1270000}"/>
    <cellStyle name="Normal 2 2 4 29 2 2 3" xfId="4294" xr:uid="{00000000-0005-0000-0000-0000B2270000}"/>
    <cellStyle name="Normal 2 2 4 29 2 2 3 2" xfId="31795" xr:uid="{00000000-0005-0000-0000-0000B3270000}"/>
    <cellStyle name="Normal 2 2 4 29 2 2 4" xfId="4295" xr:uid="{00000000-0005-0000-0000-0000B4270000}"/>
    <cellStyle name="Normal 2 2 4 29 2 2 4 2" xfId="31796" xr:uid="{00000000-0005-0000-0000-0000B5270000}"/>
    <cellStyle name="Normal 2 2 4 29 2 2 5" xfId="4296" xr:uid="{00000000-0005-0000-0000-0000B6270000}"/>
    <cellStyle name="Normal 2 2 4 29 2 2 5 2" xfId="31797" xr:uid="{00000000-0005-0000-0000-0000B7270000}"/>
    <cellStyle name="Normal 2 2 4 29 2 2 6" xfId="31798" xr:uid="{00000000-0005-0000-0000-0000B8270000}"/>
    <cellStyle name="Normal 2 2 4 29 2 2 6 2" xfId="31799" xr:uid="{00000000-0005-0000-0000-0000B9270000}"/>
    <cellStyle name="Normal 2 2 4 29 2 2 7" xfId="31800" xr:uid="{00000000-0005-0000-0000-0000BA270000}"/>
    <cellStyle name="Normal 2 2 4 29 2 3" xfId="4297" xr:uid="{00000000-0005-0000-0000-0000BB270000}"/>
    <cellStyle name="Normal 2 2 4 29 2 3 2" xfId="4298" xr:uid="{00000000-0005-0000-0000-0000BC270000}"/>
    <cellStyle name="Normal 2 2 4 29 2 3 2 2" xfId="31801" xr:uid="{00000000-0005-0000-0000-0000BD270000}"/>
    <cellStyle name="Normal 2 2 4 29 2 3 3" xfId="4299" xr:uid="{00000000-0005-0000-0000-0000BE270000}"/>
    <cellStyle name="Normal 2 2 4 29 2 3 3 2" xfId="31802" xr:uid="{00000000-0005-0000-0000-0000BF270000}"/>
    <cellStyle name="Normal 2 2 4 29 2 3 4" xfId="31803" xr:uid="{00000000-0005-0000-0000-0000C0270000}"/>
    <cellStyle name="Normal 2 2 4 29 2 4" xfId="4300" xr:uid="{00000000-0005-0000-0000-0000C1270000}"/>
    <cellStyle name="Normal 2 2 4 29 2 4 2" xfId="4301" xr:uid="{00000000-0005-0000-0000-0000C2270000}"/>
    <cellStyle name="Normal 2 2 4 29 2 4 2 2" xfId="31804" xr:uid="{00000000-0005-0000-0000-0000C3270000}"/>
    <cellStyle name="Normal 2 2 4 29 2 4 3" xfId="31805" xr:uid="{00000000-0005-0000-0000-0000C4270000}"/>
    <cellStyle name="Normal 2 2 4 29 2 5" xfId="4302" xr:uid="{00000000-0005-0000-0000-0000C5270000}"/>
    <cellStyle name="Normal 2 2 4 29 2 5 2" xfId="31806" xr:uid="{00000000-0005-0000-0000-0000C6270000}"/>
    <cellStyle name="Normal 2 2 4 29 2 6" xfId="4303" xr:uid="{00000000-0005-0000-0000-0000C7270000}"/>
    <cellStyle name="Normal 2 2 4 29 2 6 2" xfId="31807" xr:uid="{00000000-0005-0000-0000-0000C8270000}"/>
    <cellStyle name="Normal 2 2 4 29 2 7" xfId="31808" xr:uid="{00000000-0005-0000-0000-0000C9270000}"/>
    <cellStyle name="Normal 2 2 4 29 2 7 2" xfId="31809" xr:uid="{00000000-0005-0000-0000-0000CA270000}"/>
    <cellStyle name="Normal 2 2 4 29 2 8" xfId="31810" xr:uid="{00000000-0005-0000-0000-0000CB270000}"/>
    <cellStyle name="Normal 2 2 4 29 2 9" xfId="31811" xr:uid="{00000000-0005-0000-0000-0000CC270000}"/>
    <cellStyle name="Normal 2 2 4 29 3" xfId="4304" xr:uid="{00000000-0005-0000-0000-0000CD270000}"/>
    <cellStyle name="Normal 2 2 4 29 3 2" xfId="4305" xr:uid="{00000000-0005-0000-0000-0000CE270000}"/>
    <cellStyle name="Normal 2 2 4 29 3 2 2" xfId="4306" xr:uid="{00000000-0005-0000-0000-0000CF270000}"/>
    <cellStyle name="Normal 2 2 4 29 3 2 2 2" xfId="31812" xr:uid="{00000000-0005-0000-0000-0000D0270000}"/>
    <cellStyle name="Normal 2 2 4 29 3 2 3" xfId="4307" xr:uid="{00000000-0005-0000-0000-0000D1270000}"/>
    <cellStyle name="Normal 2 2 4 29 3 2 3 2" xfId="31813" xr:uid="{00000000-0005-0000-0000-0000D2270000}"/>
    <cellStyle name="Normal 2 2 4 29 3 2 4" xfId="31814" xr:uid="{00000000-0005-0000-0000-0000D3270000}"/>
    <cellStyle name="Normal 2 2 4 29 3 3" xfId="4308" xr:uid="{00000000-0005-0000-0000-0000D4270000}"/>
    <cellStyle name="Normal 2 2 4 29 3 3 2" xfId="31815" xr:uid="{00000000-0005-0000-0000-0000D5270000}"/>
    <cellStyle name="Normal 2 2 4 29 3 4" xfId="4309" xr:uid="{00000000-0005-0000-0000-0000D6270000}"/>
    <cellStyle name="Normal 2 2 4 29 3 4 2" xfId="31816" xr:uid="{00000000-0005-0000-0000-0000D7270000}"/>
    <cellStyle name="Normal 2 2 4 29 3 5" xfId="4310" xr:uid="{00000000-0005-0000-0000-0000D8270000}"/>
    <cellStyle name="Normal 2 2 4 29 3 5 2" xfId="31817" xr:uid="{00000000-0005-0000-0000-0000D9270000}"/>
    <cellStyle name="Normal 2 2 4 29 3 6" xfId="31818" xr:uid="{00000000-0005-0000-0000-0000DA270000}"/>
    <cellStyle name="Normal 2 2 4 29 3 6 2" xfId="31819" xr:uid="{00000000-0005-0000-0000-0000DB270000}"/>
    <cellStyle name="Normal 2 2 4 29 3 7" xfId="31820" xr:uid="{00000000-0005-0000-0000-0000DC270000}"/>
    <cellStyle name="Normal 2 2 4 29 4" xfId="4311" xr:uid="{00000000-0005-0000-0000-0000DD270000}"/>
    <cellStyle name="Normal 2 2 4 29 4 2" xfId="4312" xr:uid="{00000000-0005-0000-0000-0000DE270000}"/>
    <cellStyle name="Normal 2 2 4 29 4 2 2" xfId="31821" xr:uid="{00000000-0005-0000-0000-0000DF270000}"/>
    <cellStyle name="Normal 2 2 4 29 4 3" xfId="4313" xr:uid="{00000000-0005-0000-0000-0000E0270000}"/>
    <cellStyle name="Normal 2 2 4 29 4 3 2" xfId="31822" xr:uid="{00000000-0005-0000-0000-0000E1270000}"/>
    <cellStyle name="Normal 2 2 4 29 4 4" xfId="31823" xr:uid="{00000000-0005-0000-0000-0000E2270000}"/>
    <cellStyle name="Normal 2 2 4 29 5" xfId="4314" xr:uid="{00000000-0005-0000-0000-0000E3270000}"/>
    <cellStyle name="Normal 2 2 4 29 5 2" xfId="4315" xr:uid="{00000000-0005-0000-0000-0000E4270000}"/>
    <cellStyle name="Normal 2 2 4 29 5 2 2" xfId="31824" xr:uid="{00000000-0005-0000-0000-0000E5270000}"/>
    <cellStyle name="Normal 2 2 4 29 5 3" xfId="31825" xr:uid="{00000000-0005-0000-0000-0000E6270000}"/>
    <cellStyle name="Normal 2 2 4 29 6" xfId="4316" xr:uid="{00000000-0005-0000-0000-0000E7270000}"/>
    <cellStyle name="Normal 2 2 4 29 6 2" xfId="31826" xr:uid="{00000000-0005-0000-0000-0000E8270000}"/>
    <cellStyle name="Normal 2 2 4 29 7" xfId="4317" xr:uid="{00000000-0005-0000-0000-0000E9270000}"/>
    <cellStyle name="Normal 2 2 4 29 7 2" xfId="31827" xr:uid="{00000000-0005-0000-0000-0000EA270000}"/>
    <cellStyle name="Normal 2 2 4 29 8" xfId="31828" xr:uid="{00000000-0005-0000-0000-0000EB270000}"/>
    <cellStyle name="Normal 2 2 4 29 8 2" xfId="31829" xr:uid="{00000000-0005-0000-0000-0000EC270000}"/>
    <cellStyle name="Normal 2 2 4 29 9" xfId="31830" xr:uid="{00000000-0005-0000-0000-0000ED270000}"/>
    <cellStyle name="Normal 2 2 4 3" xfId="4318" xr:uid="{00000000-0005-0000-0000-0000EE270000}"/>
    <cellStyle name="Normal 2 2 4 3 10" xfId="31831" xr:uid="{00000000-0005-0000-0000-0000EF270000}"/>
    <cellStyle name="Normal 2 2 4 3 11" xfId="31832" xr:uid="{00000000-0005-0000-0000-0000F0270000}"/>
    <cellStyle name="Normal 2 2 4 3 2" xfId="4319" xr:uid="{00000000-0005-0000-0000-0000F1270000}"/>
    <cellStyle name="Normal 2 2 4 3 2 10" xfId="31833" xr:uid="{00000000-0005-0000-0000-0000F2270000}"/>
    <cellStyle name="Normal 2 2 4 3 2 2" xfId="4320" xr:uid="{00000000-0005-0000-0000-0000F3270000}"/>
    <cellStyle name="Normal 2 2 4 3 2 2 2" xfId="4321" xr:uid="{00000000-0005-0000-0000-0000F4270000}"/>
    <cellStyle name="Normal 2 2 4 3 2 2 2 2" xfId="4322" xr:uid="{00000000-0005-0000-0000-0000F5270000}"/>
    <cellStyle name="Normal 2 2 4 3 2 2 2 2 2" xfId="31834" xr:uid="{00000000-0005-0000-0000-0000F6270000}"/>
    <cellStyle name="Normal 2 2 4 3 2 2 2 3" xfId="4323" xr:uid="{00000000-0005-0000-0000-0000F7270000}"/>
    <cellStyle name="Normal 2 2 4 3 2 2 2 3 2" xfId="31835" xr:uid="{00000000-0005-0000-0000-0000F8270000}"/>
    <cellStyle name="Normal 2 2 4 3 2 2 2 4" xfId="31836" xr:uid="{00000000-0005-0000-0000-0000F9270000}"/>
    <cellStyle name="Normal 2 2 4 3 2 2 3" xfId="4324" xr:uid="{00000000-0005-0000-0000-0000FA270000}"/>
    <cellStyle name="Normal 2 2 4 3 2 2 3 2" xfId="31837" xr:uid="{00000000-0005-0000-0000-0000FB270000}"/>
    <cellStyle name="Normal 2 2 4 3 2 2 4" xfId="4325" xr:uid="{00000000-0005-0000-0000-0000FC270000}"/>
    <cellStyle name="Normal 2 2 4 3 2 2 4 2" xfId="31838" xr:uid="{00000000-0005-0000-0000-0000FD270000}"/>
    <cellStyle name="Normal 2 2 4 3 2 2 5" xfId="4326" xr:uid="{00000000-0005-0000-0000-0000FE270000}"/>
    <cellStyle name="Normal 2 2 4 3 2 2 5 2" xfId="31839" xr:uid="{00000000-0005-0000-0000-0000FF270000}"/>
    <cellStyle name="Normal 2 2 4 3 2 2 6" xfId="31840" xr:uid="{00000000-0005-0000-0000-000000280000}"/>
    <cellStyle name="Normal 2 2 4 3 2 2 6 2" xfId="31841" xr:uid="{00000000-0005-0000-0000-000001280000}"/>
    <cellStyle name="Normal 2 2 4 3 2 2 7" xfId="31842" xr:uid="{00000000-0005-0000-0000-000002280000}"/>
    <cellStyle name="Normal 2 2 4 3 2 3" xfId="4327" xr:uid="{00000000-0005-0000-0000-000003280000}"/>
    <cellStyle name="Normal 2 2 4 3 2 3 2" xfId="4328" xr:uid="{00000000-0005-0000-0000-000004280000}"/>
    <cellStyle name="Normal 2 2 4 3 2 3 2 2" xfId="31843" xr:uid="{00000000-0005-0000-0000-000005280000}"/>
    <cellStyle name="Normal 2 2 4 3 2 3 3" xfId="4329" xr:uid="{00000000-0005-0000-0000-000006280000}"/>
    <cellStyle name="Normal 2 2 4 3 2 3 3 2" xfId="31844" xr:uid="{00000000-0005-0000-0000-000007280000}"/>
    <cellStyle name="Normal 2 2 4 3 2 3 4" xfId="31845" xr:uid="{00000000-0005-0000-0000-000008280000}"/>
    <cellStyle name="Normal 2 2 4 3 2 4" xfId="4330" xr:uid="{00000000-0005-0000-0000-000009280000}"/>
    <cellStyle name="Normal 2 2 4 3 2 4 2" xfId="4331" xr:uid="{00000000-0005-0000-0000-00000A280000}"/>
    <cellStyle name="Normal 2 2 4 3 2 4 2 2" xfId="31846" xr:uid="{00000000-0005-0000-0000-00000B280000}"/>
    <cellStyle name="Normal 2 2 4 3 2 4 3" xfId="31847" xr:uid="{00000000-0005-0000-0000-00000C280000}"/>
    <cellStyle name="Normal 2 2 4 3 2 5" xfId="4332" xr:uid="{00000000-0005-0000-0000-00000D280000}"/>
    <cellStyle name="Normal 2 2 4 3 2 5 2" xfId="31848" xr:uid="{00000000-0005-0000-0000-00000E280000}"/>
    <cellStyle name="Normal 2 2 4 3 2 6" xfId="4333" xr:uid="{00000000-0005-0000-0000-00000F280000}"/>
    <cellStyle name="Normal 2 2 4 3 2 6 2" xfId="31849" xr:uid="{00000000-0005-0000-0000-000010280000}"/>
    <cellStyle name="Normal 2 2 4 3 2 7" xfId="31850" xr:uid="{00000000-0005-0000-0000-000011280000}"/>
    <cellStyle name="Normal 2 2 4 3 2 7 2" xfId="31851" xr:uid="{00000000-0005-0000-0000-000012280000}"/>
    <cellStyle name="Normal 2 2 4 3 2 8" xfId="31852" xr:uid="{00000000-0005-0000-0000-000013280000}"/>
    <cellStyle name="Normal 2 2 4 3 2 9" xfId="31853" xr:uid="{00000000-0005-0000-0000-000014280000}"/>
    <cellStyle name="Normal 2 2 4 3 3" xfId="4334" xr:uid="{00000000-0005-0000-0000-000015280000}"/>
    <cellStyle name="Normal 2 2 4 3 3 2" xfId="4335" xr:uid="{00000000-0005-0000-0000-000016280000}"/>
    <cellStyle name="Normal 2 2 4 3 3 2 2" xfId="4336" xr:uid="{00000000-0005-0000-0000-000017280000}"/>
    <cellStyle name="Normal 2 2 4 3 3 2 2 2" xfId="31854" xr:uid="{00000000-0005-0000-0000-000018280000}"/>
    <cellStyle name="Normal 2 2 4 3 3 2 3" xfId="4337" xr:uid="{00000000-0005-0000-0000-000019280000}"/>
    <cellStyle name="Normal 2 2 4 3 3 2 3 2" xfId="31855" xr:uid="{00000000-0005-0000-0000-00001A280000}"/>
    <cellStyle name="Normal 2 2 4 3 3 2 4" xfId="31856" xr:uid="{00000000-0005-0000-0000-00001B280000}"/>
    <cellStyle name="Normal 2 2 4 3 3 3" xfId="4338" xr:uid="{00000000-0005-0000-0000-00001C280000}"/>
    <cellStyle name="Normal 2 2 4 3 3 3 2" xfId="31857" xr:uid="{00000000-0005-0000-0000-00001D280000}"/>
    <cellStyle name="Normal 2 2 4 3 3 4" xfId="4339" xr:uid="{00000000-0005-0000-0000-00001E280000}"/>
    <cellStyle name="Normal 2 2 4 3 3 4 2" xfId="31858" xr:uid="{00000000-0005-0000-0000-00001F280000}"/>
    <cellStyle name="Normal 2 2 4 3 3 5" xfId="4340" xr:uid="{00000000-0005-0000-0000-000020280000}"/>
    <cellStyle name="Normal 2 2 4 3 3 5 2" xfId="31859" xr:uid="{00000000-0005-0000-0000-000021280000}"/>
    <cellStyle name="Normal 2 2 4 3 3 6" xfId="31860" xr:uid="{00000000-0005-0000-0000-000022280000}"/>
    <cellStyle name="Normal 2 2 4 3 3 6 2" xfId="31861" xr:uid="{00000000-0005-0000-0000-000023280000}"/>
    <cellStyle name="Normal 2 2 4 3 3 7" xfId="31862" xr:uid="{00000000-0005-0000-0000-000024280000}"/>
    <cellStyle name="Normal 2 2 4 3 4" xfId="4341" xr:uid="{00000000-0005-0000-0000-000025280000}"/>
    <cellStyle name="Normal 2 2 4 3 4 2" xfId="4342" xr:uid="{00000000-0005-0000-0000-000026280000}"/>
    <cellStyle name="Normal 2 2 4 3 4 2 2" xfId="31863" xr:uid="{00000000-0005-0000-0000-000027280000}"/>
    <cellStyle name="Normal 2 2 4 3 4 3" xfId="4343" xr:uid="{00000000-0005-0000-0000-000028280000}"/>
    <cellStyle name="Normal 2 2 4 3 4 3 2" xfId="31864" xr:uid="{00000000-0005-0000-0000-000029280000}"/>
    <cellStyle name="Normal 2 2 4 3 4 4" xfId="31865" xr:uid="{00000000-0005-0000-0000-00002A280000}"/>
    <cellStyle name="Normal 2 2 4 3 5" xfId="4344" xr:uid="{00000000-0005-0000-0000-00002B280000}"/>
    <cellStyle name="Normal 2 2 4 3 5 2" xfId="4345" xr:uid="{00000000-0005-0000-0000-00002C280000}"/>
    <cellStyle name="Normal 2 2 4 3 5 2 2" xfId="31866" xr:uid="{00000000-0005-0000-0000-00002D280000}"/>
    <cellStyle name="Normal 2 2 4 3 5 3" xfId="31867" xr:uid="{00000000-0005-0000-0000-00002E280000}"/>
    <cellStyle name="Normal 2 2 4 3 6" xfId="4346" xr:uid="{00000000-0005-0000-0000-00002F280000}"/>
    <cellStyle name="Normal 2 2 4 3 6 2" xfId="31868" xr:uid="{00000000-0005-0000-0000-000030280000}"/>
    <cellStyle name="Normal 2 2 4 3 7" xfId="4347" xr:uid="{00000000-0005-0000-0000-000031280000}"/>
    <cellStyle name="Normal 2 2 4 3 7 2" xfId="31869" xr:uid="{00000000-0005-0000-0000-000032280000}"/>
    <cellStyle name="Normal 2 2 4 3 8" xfId="31870" xr:uid="{00000000-0005-0000-0000-000033280000}"/>
    <cellStyle name="Normal 2 2 4 3 8 2" xfId="31871" xr:uid="{00000000-0005-0000-0000-000034280000}"/>
    <cellStyle name="Normal 2 2 4 3 9" xfId="31872" xr:uid="{00000000-0005-0000-0000-000035280000}"/>
    <cellStyle name="Normal 2 2 4 30" xfId="4348" xr:uid="{00000000-0005-0000-0000-000036280000}"/>
    <cellStyle name="Normal 2 2 4 30 10" xfId="31873" xr:uid="{00000000-0005-0000-0000-000037280000}"/>
    <cellStyle name="Normal 2 2 4 30 11" xfId="31874" xr:uid="{00000000-0005-0000-0000-000038280000}"/>
    <cellStyle name="Normal 2 2 4 30 2" xfId="4349" xr:uid="{00000000-0005-0000-0000-000039280000}"/>
    <cellStyle name="Normal 2 2 4 30 2 10" xfId="31875" xr:uid="{00000000-0005-0000-0000-00003A280000}"/>
    <cellStyle name="Normal 2 2 4 30 2 2" xfId="4350" xr:uid="{00000000-0005-0000-0000-00003B280000}"/>
    <cellStyle name="Normal 2 2 4 30 2 2 2" xfId="4351" xr:uid="{00000000-0005-0000-0000-00003C280000}"/>
    <cellStyle name="Normal 2 2 4 30 2 2 2 2" xfId="4352" xr:uid="{00000000-0005-0000-0000-00003D280000}"/>
    <cellStyle name="Normal 2 2 4 30 2 2 2 2 2" xfId="31876" xr:uid="{00000000-0005-0000-0000-00003E280000}"/>
    <cellStyle name="Normal 2 2 4 30 2 2 2 3" xfId="4353" xr:uid="{00000000-0005-0000-0000-00003F280000}"/>
    <cellStyle name="Normal 2 2 4 30 2 2 2 3 2" xfId="31877" xr:uid="{00000000-0005-0000-0000-000040280000}"/>
    <cellStyle name="Normal 2 2 4 30 2 2 2 4" xfId="31878" xr:uid="{00000000-0005-0000-0000-000041280000}"/>
    <cellStyle name="Normal 2 2 4 30 2 2 3" xfId="4354" xr:uid="{00000000-0005-0000-0000-000042280000}"/>
    <cellStyle name="Normal 2 2 4 30 2 2 3 2" xfId="31879" xr:uid="{00000000-0005-0000-0000-000043280000}"/>
    <cellStyle name="Normal 2 2 4 30 2 2 4" xfId="4355" xr:uid="{00000000-0005-0000-0000-000044280000}"/>
    <cellStyle name="Normal 2 2 4 30 2 2 4 2" xfId="31880" xr:uid="{00000000-0005-0000-0000-000045280000}"/>
    <cellStyle name="Normal 2 2 4 30 2 2 5" xfId="4356" xr:uid="{00000000-0005-0000-0000-000046280000}"/>
    <cellStyle name="Normal 2 2 4 30 2 2 5 2" xfId="31881" xr:uid="{00000000-0005-0000-0000-000047280000}"/>
    <cellStyle name="Normal 2 2 4 30 2 2 6" xfId="31882" xr:uid="{00000000-0005-0000-0000-000048280000}"/>
    <cellStyle name="Normal 2 2 4 30 2 2 6 2" xfId="31883" xr:uid="{00000000-0005-0000-0000-000049280000}"/>
    <cellStyle name="Normal 2 2 4 30 2 2 7" xfId="31884" xr:uid="{00000000-0005-0000-0000-00004A280000}"/>
    <cellStyle name="Normal 2 2 4 30 2 3" xfId="4357" xr:uid="{00000000-0005-0000-0000-00004B280000}"/>
    <cellStyle name="Normal 2 2 4 30 2 3 2" xfId="4358" xr:uid="{00000000-0005-0000-0000-00004C280000}"/>
    <cellStyle name="Normal 2 2 4 30 2 3 2 2" xfId="31885" xr:uid="{00000000-0005-0000-0000-00004D280000}"/>
    <cellStyle name="Normal 2 2 4 30 2 3 3" xfId="4359" xr:uid="{00000000-0005-0000-0000-00004E280000}"/>
    <cellStyle name="Normal 2 2 4 30 2 3 3 2" xfId="31886" xr:uid="{00000000-0005-0000-0000-00004F280000}"/>
    <cellStyle name="Normal 2 2 4 30 2 3 4" xfId="31887" xr:uid="{00000000-0005-0000-0000-000050280000}"/>
    <cellStyle name="Normal 2 2 4 30 2 4" xfId="4360" xr:uid="{00000000-0005-0000-0000-000051280000}"/>
    <cellStyle name="Normal 2 2 4 30 2 4 2" xfId="4361" xr:uid="{00000000-0005-0000-0000-000052280000}"/>
    <cellStyle name="Normal 2 2 4 30 2 4 2 2" xfId="31888" xr:uid="{00000000-0005-0000-0000-000053280000}"/>
    <cellStyle name="Normal 2 2 4 30 2 4 3" xfId="31889" xr:uid="{00000000-0005-0000-0000-000054280000}"/>
    <cellStyle name="Normal 2 2 4 30 2 5" xfId="4362" xr:uid="{00000000-0005-0000-0000-000055280000}"/>
    <cellStyle name="Normal 2 2 4 30 2 5 2" xfId="31890" xr:uid="{00000000-0005-0000-0000-000056280000}"/>
    <cellStyle name="Normal 2 2 4 30 2 6" xfId="4363" xr:uid="{00000000-0005-0000-0000-000057280000}"/>
    <cellStyle name="Normal 2 2 4 30 2 6 2" xfId="31891" xr:uid="{00000000-0005-0000-0000-000058280000}"/>
    <cellStyle name="Normal 2 2 4 30 2 7" xfId="31892" xr:uid="{00000000-0005-0000-0000-000059280000}"/>
    <cellStyle name="Normal 2 2 4 30 2 7 2" xfId="31893" xr:uid="{00000000-0005-0000-0000-00005A280000}"/>
    <cellStyle name="Normal 2 2 4 30 2 8" xfId="31894" xr:uid="{00000000-0005-0000-0000-00005B280000}"/>
    <cellStyle name="Normal 2 2 4 30 2 9" xfId="31895" xr:uid="{00000000-0005-0000-0000-00005C280000}"/>
    <cellStyle name="Normal 2 2 4 30 3" xfId="4364" xr:uid="{00000000-0005-0000-0000-00005D280000}"/>
    <cellStyle name="Normal 2 2 4 30 3 2" xfId="4365" xr:uid="{00000000-0005-0000-0000-00005E280000}"/>
    <cellStyle name="Normal 2 2 4 30 3 2 2" xfId="4366" xr:uid="{00000000-0005-0000-0000-00005F280000}"/>
    <cellStyle name="Normal 2 2 4 30 3 2 2 2" xfId="31896" xr:uid="{00000000-0005-0000-0000-000060280000}"/>
    <cellStyle name="Normal 2 2 4 30 3 2 3" xfId="4367" xr:uid="{00000000-0005-0000-0000-000061280000}"/>
    <cellStyle name="Normal 2 2 4 30 3 2 3 2" xfId="31897" xr:uid="{00000000-0005-0000-0000-000062280000}"/>
    <cellStyle name="Normal 2 2 4 30 3 2 4" xfId="31898" xr:uid="{00000000-0005-0000-0000-000063280000}"/>
    <cellStyle name="Normal 2 2 4 30 3 3" xfId="4368" xr:uid="{00000000-0005-0000-0000-000064280000}"/>
    <cellStyle name="Normal 2 2 4 30 3 3 2" xfId="31899" xr:uid="{00000000-0005-0000-0000-000065280000}"/>
    <cellStyle name="Normal 2 2 4 30 3 4" xfId="4369" xr:uid="{00000000-0005-0000-0000-000066280000}"/>
    <cellStyle name="Normal 2 2 4 30 3 4 2" xfId="31900" xr:uid="{00000000-0005-0000-0000-000067280000}"/>
    <cellStyle name="Normal 2 2 4 30 3 5" xfId="4370" xr:uid="{00000000-0005-0000-0000-000068280000}"/>
    <cellStyle name="Normal 2 2 4 30 3 5 2" xfId="31901" xr:uid="{00000000-0005-0000-0000-000069280000}"/>
    <cellStyle name="Normal 2 2 4 30 3 6" xfId="31902" xr:uid="{00000000-0005-0000-0000-00006A280000}"/>
    <cellStyle name="Normal 2 2 4 30 3 6 2" xfId="31903" xr:uid="{00000000-0005-0000-0000-00006B280000}"/>
    <cellStyle name="Normal 2 2 4 30 3 7" xfId="31904" xr:uid="{00000000-0005-0000-0000-00006C280000}"/>
    <cellStyle name="Normal 2 2 4 30 4" xfId="4371" xr:uid="{00000000-0005-0000-0000-00006D280000}"/>
    <cellStyle name="Normal 2 2 4 30 4 2" xfId="4372" xr:uid="{00000000-0005-0000-0000-00006E280000}"/>
    <cellStyle name="Normal 2 2 4 30 4 2 2" xfId="31905" xr:uid="{00000000-0005-0000-0000-00006F280000}"/>
    <cellStyle name="Normal 2 2 4 30 4 3" xfId="4373" xr:uid="{00000000-0005-0000-0000-000070280000}"/>
    <cellStyle name="Normal 2 2 4 30 4 3 2" xfId="31906" xr:uid="{00000000-0005-0000-0000-000071280000}"/>
    <cellStyle name="Normal 2 2 4 30 4 4" xfId="31907" xr:uid="{00000000-0005-0000-0000-000072280000}"/>
    <cellStyle name="Normal 2 2 4 30 5" xfId="4374" xr:uid="{00000000-0005-0000-0000-000073280000}"/>
    <cellStyle name="Normal 2 2 4 30 5 2" xfId="4375" xr:uid="{00000000-0005-0000-0000-000074280000}"/>
    <cellStyle name="Normal 2 2 4 30 5 2 2" xfId="31908" xr:uid="{00000000-0005-0000-0000-000075280000}"/>
    <cellStyle name="Normal 2 2 4 30 5 3" xfId="31909" xr:uid="{00000000-0005-0000-0000-000076280000}"/>
    <cellStyle name="Normal 2 2 4 30 6" xfId="4376" xr:uid="{00000000-0005-0000-0000-000077280000}"/>
    <cellStyle name="Normal 2 2 4 30 6 2" xfId="31910" xr:uid="{00000000-0005-0000-0000-000078280000}"/>
    <cellStyle name="Normal 2 2 4 30 7" xfId="4377" xr:uid="{00000000-0005-0000-0000-000079280000}"/>
    <cellStyle name="Normal 2 2 4 30 7 2" xfId="31911" xr:uid="{00000000-0005-0000-0000-00007A280000}"/>
    <cellStyle name="Normal 2 2 4 30 8" xfId="31912" xr:uid="{00000000-0005-0000-0000-00007B280000}"/>
    <cellStyle name="Normal 2 2 4 30 8 2" xfId="31913" xr:uid="{00000000-0005-0000-0000-00007C280000}"/>
    <cellStyle name="Normal 2 2 4 30 9" xfId="31914" xr:uid="{00000000-0005-0000-0000-00007D280000}"/>
    <cellStyle name="Normal 2 2 4 31" xfId="4378" xr:uid="{00000000-0005-0000-0000-00007E280000}"/>
    <cellStyle name="Normal 2 2 4 31 10" xfId="31915" xr:uid="{00000000-0005-0000-0000-00007F280000}"/>
    <cellStyle name="Normal 2 2 4 31 2" xfId="4379" xr:uid="{00000000-0005-0000-0000-000080280000}"/>
    <cellStyle name="Normal 2 2 4 31 2 2" xfId="4380" xr:uid="{00000000-0005-0000-0000-000081280000}"/>
    <cellStyle name="Normal 2 2 4 31 2 2 2" xfId="4381" xr:uid="{00000000-0005-0000-0000-000082280000}"/>
    <cellStyle name="Normal 2 2 4 31 2 2 2 2" xfId="31916" xr:uid="{00000000-0005-0000-0000-000083280000}"/>
    <cellStyle name="Normal 2 2 4 31 2 2 3" xfId="4382" xr:uid="{00000000-0005-0000-0000-000084280000}"/>
    <cellStyle name="Normal 2 2 4 31 2 2 3 2" xfId="31917" xr:uid="{00000000-0005-0000-0000-000085280000}"/>
    <cellStyle name="Normal 2 2 4 31 2 2 4" xfId="31918" xr:uid="{00000000-0005-0000-0000-000086280000}"/>
    <cellStyle name="Normal 2 2 4 31 2 3" xfId="4383" xr:uid="{00000000-0005-0000-0000-000087280000}"/>
    <cellStyle name="Normal 2 2 4 31 2 3 2" xfId="31919" xr:uid="{00000000-0005-0000-0000-000088280000}"/>
    <cellStyle name="Normal 2 2 4 31 2 4" xfId="4384" xr:uid="{00000000-0005-0000-0000-000089280000}"/>
    <cellStyle name="Normal 2 2 4 31 2 4 2" xfId="31920" xr:uid="{00000000-0005-0000-0000-00008A280000}"/>
    <cellStyle name="Normal 2 2 4 31 2 5" xfId="4385" xr:uid="{00000000-0005-0000-0000-00008B280000}"/>
    <cellStyle name="Normal 2 2 4 31 2 5 2" xfId="31921" xr:uid="{00000000-0005-0000-0000-00008C280000}"/>
    <cellStyle name="Normal 2 2 4 31 2 6" xfId="31922" xr:uid="{00000000-0005-0000-0000-00008D280000}"/>
    <cellStyle name="Normal 2 2 4 31 2 6 2" xfId="31923" xr:uid="{00000000-0005-0000-0000-00008E280000}"/>
    <cellStyle name="Normal 2 2 4 31 2 7" xfId="31924" xr:uid="{00000000-0005-0000-0000-00008F280000}"/>
    <cellStyle name="Normal 2 2 4 31 3" xfId="4386" xr:uid="{00000000-0005-0000-0000-000090280000}"/>
    <cellStyle name="Normal 2 2 4 31 3 2" xfId="4387" xr:uid="{00000000-0005-0000-0000-000091280000}"/>
    <cellStyle name="Normal 2 2 4 31 3 2 2" xfId="31925" xr:uid="{00000000-0005-0000-0000-000092280000}"/>
    <cellStyle name="Normal 2 2 4 31 3 3" xfId="4388" xr:uid="{00000000-0005-0000-0000-000093280000}"/>
    <cellStyle name="Normal 2 2 4 31 3 3 2" xfId="31926" xr:uid="{00000000-0005-0000-0000-000094280000}"/>
    <cellStyle name="Normal 2 2 4 31 3 4" xfId="31927" xr:uid="{00000000-0005-0000-0000-000095280000}"/>
    <cellStyle name="Normal 2 2 4 31 4" xfId="4389" xr:uid="{00000000-0005-0000-0000-000096280000}"/>
    <cellStyle name="Normal 2 2 4 31 4 2" xfId="4390" xr:uid="{00000000-0005-0000-0000-000097280000}"/>
    <cellStyle name="Normal 2 2 4 31 4 2 2" xfId="31928" xr:uid="{00000000-0005-0000-0000-000098280000}"/>
    <cellStyle name="Normal 2 2 4 31 4 3" xfId="31929" xr:uid="{00000000-0005-0000-0000-000099280000}"/>
    <cellStyle name="Normal 2 2 4 31 5" xfId="4391" xr:uid="{00000000-0005-0000-0000-00009A280000}"/>
    <cellStyle name="Normal 2 2 4 31 5 2" xfId="31930" xr:uid="{00000000-0005-0000-0000-00009B280000}"/>
    <cellStyle name="Normal 2 2 4 31 6" xfId="4392" xr:uid="{00000000-0005-0000-0000-00009C280000}"/>
    <cellStyle name="Normal 2 2 4 31 6 2" xfId="31931" xr:uid="{00000000-0005-0000-0000-00009D280000}"/>
    <cellStyle name="Normal 2 2 4 31 7" xfId="31932" xr:uid="{00000000-0005-0000-0000-00009E280000}"/>
    <cellStyle name="Normal 2 2 4 31 7 2" xfId="31933" xr:uid="{00000000-0005-0000-0000-00009F280000}"/>
    <cellStyle name="Normal 2 2 4 31 8" xfId="31934" xr:uid="{00000000-0005-0000-0000-0000A0280000}"/>
    <cellStyle name="Normal 2 2 4 31 9" xfId="31935" xr:uid="{00000000-0005-0000-0000-0000A1280000}"/>
    <cellStyle name="Normal 2 2 4 32" xfId="4393" xr:uid="{00000000-0005-0000-0000-0000A2280000}"/>
    <cellStyle name="Normal 2 2 4 32 2" xfId="4394" xr:uid="{00000000-0005-0000-0000-0000A3280000}"/>
    <cellStyle name="Normal 2 2 4 32 2 2" xfId="4395" xr:uid="{00000000-0005-0000-0000-0000A4280000}"/>
    <cellStyle name="Normal 2 2 4 32 2 2 2" xfId="31936" xr:uid="{00000000-0005-0000-0000-0000A5280000}"/>
    <cellStyle name="Normal 2 2 4 32 2 3" xfId="4396" xr:uid="{00000000-0005-0000-0000-0000A6280000}"/>
    <cellStyle name="Normal 2 2 4 32 2 3 2" xfId="31937" xr:uid="{00000000-0005-0000-0000-0000A7280000}"/>
    <cellStyle name="Normal 2 2 4 32 2 4" xfId="31938" xr:uid="{00000000-0005-0000-0000-0000A8280000}"/>
    <cellStyle name="Normal 2 2 4 32 3" xfId="4397" xr:uid="{00000000-0005-0000-0000-0000A9280000}"/>
    <cellStyle name="Normal 2 2 4 32 3 2" xfId="31939" xr:uid="{00000000-0005-0000-0000-0000AA280000}"/>
    <cellStyle name="Normal 2 2 4 32 4" xfId="4398" xr:uid="{00000000-0005-0000-0000-0000AB280000}"/>
    <cellStyle name="Normal 2 2 4 32 4 2" xfId="31940" xr:uid="{00000000-0005-0000-0000-0000AC280000}"/>
    <cellStyle name="Normal 2 2 4 32 5" xfId="4399" xr:uid="{00000000-0005-0000-0000-0000AD280000}"/>
    <cellStyle name="Normal 2 2 4 32 5 2" xfId="31941" xr:uid="{00000000-0005-0000-0000-0000AE280000}"/>
    <cellStyle name="Normal 2 2 4 32 6" xfId="31942" xr:uid="{00000000-0005-0000-0000-0000AF280000}"/>
    <cellStyle name="Normal 2 2 4 32 6 2" xfId="31943" xr:uid="{00000000-0005-0000-0000-0000B0280000}"/>
    <cellStyle name="Normal 2 2 4 32 7" xfId="31944" xr:uid="{00000000-0005-0000-0000-0000B1280000}"/>
    <cellStyle name="Normal 2 2 4 33" xfId="4400" xr:uid="{00000000-0005-0000-0000-0000B2280000}"/>
    <cellStyle name="Normal 2 2 4 33 2" xfId="4401" xr:uid="{00000000-0005-0000-0000-0000B3280000}"/>
    <cellStyle name="Normal 2 2 4 33 2 2" xfId="31945" xr:uid="{00000000-0005-0000-0000-0000B4280000}"/>
    <cellStyle name="Normal 2 2 4 33 3" xfId="4402" xr:uid="{00000000-0005-0000-0000-0000B5280000}"/>
    <cellStyle name="Normal 2 2 4 33 3 2" xfId="31946" xr:uid="{00000000-0005-0000-0000-0000B6280000}"/>
    <cellStyle name="Normal 2 2 4 33 4" xfId="31947" xr:uid="{00000000-0005-0000-0000-0000B7280000}"/>
    <cellStyle name="Normal 2 2 4 34" xfId="4403" xr:uid="{00000000-0005-0000-0000-0000B8280000}"/>
    <cellStyle name="Normal 2 2 4 34 2" xfId="4404" xr:uid="{00000000-0005-0000-0000-0000B9280000}"/>
    <cellStyle name="Normal 2 2 4 34 2 2" xfId="31948" xr:uid="{00000000-0005-0000-0000-0000BA280000}"/>
    <cellStyle name="Normal 2 2 4 34 3" xfId="31949" xr:uid="{00000000-0005-0000-0000-0000BB280000}"/>
    <cellStyle name="Normal 2 2 4 35" xfId="4405" xr:uid="{00000000-0005-0000-0000-0000BC280000}"/>
    <cellStyle name="Normal 2 2 4 35 2" xfId="31950" xr:uid="{00000000-0005-0000-0000-0000BD280000}"/>
    <cellStyle name="Normal 2 2 4 36" xfId="4406" xr:uid="{00000000-0005-0000-0000-0000BE280000}"/>
    <cellStyle name="Normal 2 2 4 36 2" xfId="31951" xr:uid="{00000000-0005-0000-0000-0000BF280000}"/>
    <cellStyle name="Normal 2 2 4 37" xfId="31952" xr:uid="{00000000-0005-0000-0000-0000C0280000}"/>
    <cellStyle name="Normal 2 2 4 37 2" xfId="31953" xr:uid="{00000000-0005-0000-0000-0000C1280000}"/>
    <cellStyle name="Normal 2 2 4 38" xfId="31954" xr:uid="{00000000-0005-0000-0000-0000C2280000}"/>
    <cellStyle name="Normal 2 2 4 39" xfId="31955" xr:uid="{00000000-0005-0000-0000-0000C3280000}"/>
    <cellStyle name="Normal 2 2 4 4" xfId="4407" xr:uid="{00000000-0005-0000-0000-0000C4280000}"/>
    <cellStyle name="Normal 2 2 4 4 10" xfId="31956" xr:uid="{00000000-0005-0000-0000-0000C5280000}"/>
    <cellStyle name="Normal 2 2 4 4 11" xfId="31957" xr:uid="{00000000-0005-0000-0000-0000C6280000}"/>
    <cellStyle name="Normal 2 2 4 4 2" xfId="4408" xr:uid="{00000000-0005-0000-0000-0000C7280000}"/>
    <cellStyle name="Normal 2 2 4 4 2 10" xfId="31958" xr:uid="{00000000-0005-0000-0000-0000C8280000}"/>
    <cellStyle name="Normal 2 2 4 4 2 2" xfId="4409" xr:uid="{00000000-0005-0000-0000-0000C9280000}"/>
    <cellStyle name="Normal 2 2 4 4 2 2 2" xfId="4410" xr:uid="{00000000-0005-0000-0000-0000CA280000}"/>
    <cellStyle name="Normal 2 2 4 4 2 2 2 2" xfId="4411" xr:uid="{00000000-0005-0000-0000-0000CB280000}"/>
    <cellStyle name="Normal 2 2 4 4 2 2 2 2 2" xfId="31959" xr:uid="{00000000-0005-0000-0000-0000CC280000}"/>
    <cellStyle name="Normal 2 2 4 4 2 2 2 3" xfId="4412" xr:uid="{00000000-0005-0000-0000-0000CD280000}"/>
    <cellStyle name="Normal 2 2 4 4 2 2 2 3 2" xfId="31960" xr:uid="{00000000-0005-0000-0000-0000CE280000}"/>
    <cellStyle name="Normal 2 2 4 4 2 2 2 4" xfId="31961" xr:uid="{00000000-0005-0000-0000-0000CF280000}"/>
    <cellStyle name="Normal 2 2 4 4 2 2 3" xfId="4413" xr:uid="{00000000-0005-0000-0000-0000D0280000}"/>
    <cellStyle name="Normal 2 2 4 4 2 2 3 2" xfId="31962" xr:uid="{00000000-0005-0000-0000-0000D1280000}"/>
    <cellStyle name="Normal 2 2 4 4 2 2 4" xfId="4414" xr:uid="{00000000-0005-0000-0000-0000D2280000}"/>
    <cellStyle name="Normal 2 2 4 4 2 2 4 2" xfId="31963" xr:uid="{00000000-0005-0000-0000-0000D3280000}"/>
    <cellStyle name="Normal 2 2 4 4 2 2 5" xfId="4415" xr:uid="{00000000-0005-0000-0000-0000D4280000}"/>
    <cellStyle name="Normal 2 2 4 4 2 2 5 2" xfId="31964" xr:uid="{00000000-0005-0000-0000-0000D5280000}"/>
    <cellStyle name="Normal 2 2 4 4 2 2 6" xfId="31965" xr:uid="{00000000-0005-0000-0000-0000D6280000}"/>
    <cellStyle name="Normal 2 2 4 4 2 2 6 2" xfId="31966" xr:uid="{00000000-0005-0000-0000-0000D7280000}"/>
    <cellStyle name="Normal 2 2 4 4 2 2 7" xfId="31967" xr:uid="{00000000-0005-0000-0000-0000D8280000}"/>
    <cellStyle name="Normal 2 2 4 4 2 3" xfId="4416" xr:uid="{00000000-0005-0000-0000-0000D9280000}"/>
    <cellStyle name="Normal 2 2 4 4 2 3 2" xfId="4417" xr:uid="{00000000-0005-0000-0000-0000DA280000}"/>
    <cellStyle name="Normal 2 2 4 4 2 3 2 2" xfId="31968" xr:uid="{00000000-0005-0000-0000-0000DB280000}"/>
    <cellStyle name="Normal 2 2 4 4 2 3 3" xfId="4418" xr:uid="{00000000-0005-0000-0000-0000DC280000}"/>
    <cellStyle name="Normal 2 2 4 4 2 3 3 2" xfId="31969" xr:uid="{00000000-0005-0000-0000-0000DD280000}"/>
    <cellStyle name="Normal 2 2 4 4 2 3 4" xfId="31970" xr:uid="{00000000-0005-0000-0000-0000DE280000}"/>
    <cellStyle name="Normal 2 2 4 4 2 4" xfId="4419" xr:uid="{00000000-0005-0000-0000-0000DF280000}"/>
    <cellStyle name="Normal 2 2 4 4 2 4 2" xfId="4420" xr:uid="{00000000-0005-0000-0000-0000E0280000}"/>
    <cellStyle name="Normal 2 2 4 4 2 4 2 2" xfId="31971" xr:uid="{00000000-0005-0000-0000-0000E1280000}"/>
    <cellStyle name="Normal 2 2 4 4 2 4 3" xfId="31972" xr:uid="{00000000-0005-0000-0000-0000E2280000}"/>
    <cellStyle name="Normal 2 2 4 4 2 5" xfId="4421" xr:uid="{00000000-0005-0000-0000-0000E3280000}"/>
    <cellStyle name="Normal 2 2 4 4 2 5 2" xfId="31973" xr:uid="{00000000-0005-0000-0000-0000E4280000}"/>
    <cellStyle name="Normal 2 2 4 4 2 6" xfId="4422" xr:uid="{00000000-0005-0000-0000-0000E5280000}"/>
    <cellStyle name="Normal 2 2 4 4 2 6 2" xfId="31974" xr:uid="{00000000-0005-0000-0000-0000E6280000}"/>
    <cellStyle name="Normal 2 2 4 4 2 7" xfId="31975" xr:uid="{00000000-0005-0000-0000-0000E7280000}"/>
    <cellStyle name="Normal 2 2 4 4 2 7 2" xfId="31976" xr:uid="{00000000-0005-0000-0000-0000E8280000}"/>
    <cellStyle name="Normal 2 2 4 4 2 8" xfId="31977" xr:uid="{00000000-0005-0000-0000-0000E9280000}"/>
    <cellStyle name="Normal 2 2 4 4 2 9" xfId="31978" xr:uid="{00000000-0005-0000-0000-0000EA280000}"/>
    <cellStyle name="Normal 2 2 4 4 3" xfId="4423" xr:uid="{00000000-0005-0000-0000-0000EB280000}"/>
    <cellStyle name="Normal 2 2 4 4 3 2" xfId="4424" xr:uid="{00000000-0005-0000-0000-0000EC280000}"/>
    <cellStyle name="Normal 2 2 4 4 3 2 2" xfId="4425" xr:uid="{00000000-0005-0000-0000-0000ED280000}"/>
    <cellStyle name="Normal 2 2 4 4 3 2 2 2" xfId="31979" xr:uid="{00000000-0005-0000-0000-0000EE280000}"/>
    <cellStyle name="Normal 2 2 4 4 3 2 3" xfId="4426" xr:uid="{00000000-0005-0000-0000-0000EF280000}"/>
    <cellStyle name="Normal 2 2 4 4 3 2 3 2" xfId="31980" xr:uid="{00000000-0005-0000-0000-0000F0280000}"/>
    <cellStyle name="Normal 2 2 4 4 3 2 4" xfId="31981" xr:uid="{00000000-0005-0000-0000-0000F1280000}"/>
    <cellStyle name="Normal 2 2 4 4 3 3" xfId="4427" xr:uid="{00000000-0005-0000-0000-0000F2280000}"/>
    <cellStyle name="Normal 2 2 4 4 3 3 2" xfId="31982" xr:uid="{00000000-0005-0000-0000-0000F3280000}"/>
    <cellStyle name="Normal 2 2 4 4 3 4" xfId="4428" xr:uid="{00000000-0005-0000-0000-0000F4280000}"/>
    <cellStyle name="Normal 2 2 4 4 3 4 2" xfId="31983" xr:uid="{00000000-0005-0000-0000-0000F5280000}"/>
    <cellStyle name="Normal 2 2 4 4 3 5" xfId="4429" xr:uid="{00000000-0005-0000-0000-0000F6280000}"/>
    <cellStyle name="Normal 2 2 4 4 3 5 2" xfId="31984" xr:uid="{00000000-0005-0000-0000-0000F7280000}"/>
    <cellStyle name="Normal 2 2 4 4 3 6" xfId="31985" xr:uid="{00000000-0005-0000-0000-0000F8280000}"/>
    <cellStyle name="Normal 2 2 4 4 3 6 2" xfId="31986" xr:uid="{00000000-0005-0000-0000-0000F9280000}"/>
    <cellStyle name="Normal 2 2 4 4 3 7" xfId="31987" xr:uid="{00000000-0005-0000-0000-0000FA280000}"/>
    <cellStyle name="Normal 2 2 4 4 4" xfId="4430" xr:uid="{00000000-0005-0000-0000-0000FB280000}"/>
    <cellStyle name="Normal 2 2 4 4 4 2" xfId="4431" xr:uid="{00000000-0005-0000-0000-0000FC280000}"/>
    <cellStyle name="Normal 2 2 4 4 4 2 2" xfId="31988" xr:uid="{00000000-0005-0000-0000-0000FD280000}"/>
    <cellStyle name="Normal 2 2 4 4 4 3" xfId="4432" xr:uid="{00000000-0005-0000-0000-0000FE280000}"/>
    <cellStyle name="Normal 2 2 4 4 4 3 2" xfId="31989" xr:uid="{00000000-0005-0000-0000-0000FF280000}"/>
    <cellStyle name="Normal 2 2 4 4 4 4" xfId="31990" xr:uid="{00000000-0005-0000-0000-000000290000}"/>
    <cellStyle name="Normal 2 2 4 4 5" xfId="4433" xr:uid="{00000000-0005-0000-0000-000001290000}"/>
    <cellStyle name="Normal 2 2 4 4 5 2" xfId="4434" xr:uid="{00000000-0005-0000-0000-000002290000}"/>
    <cellStyle name="Normal 2 2 4 4 5 2 2" xfId="31991" xr:uid="{00000000-0005-0000-0000-000003290000}"/>
    <cellStyle name="Normal 2 2 4 4 5 3" xfId="31992" xr:uid="{00000000-0005-0000-0000-000004290000}"/>
    <cellStyle name="Normal 2 2 4 4 6" xfId="4435" xr:uid="{00000000-0005-0000-0000-000005290000}"/>
    <cellStyle name="Normal 2 2 4 4 6 2" xfId="31993" xr:uid="{00000000-0005-0000-0000-000006290000}"/>
    <cellStyle name="Normal 2 2 4 4 7" xfId="4436" xr:uid="{00000000-0005-0000-0000-000007290000}"/>
    <cellStyle name="Normal 2 2 4 4 7 2" xfId="31994" xr:uid="{00000000-0005-0000-0000-000008290000}"/>
    <cellStyle name="Normal 2 2 4 4 8" xfId="31995" xr:uid="{00000000-0005-0000-0000-000009290000}"/>
    <cellStyle name="Normal 2 2 4 4 8 2" xfId="31996" xr:uid="{00000000-0005-0000-0000-00000A290000}"/>
    <cellStyle name="Normal 2 2 4 4 9" xfId="31997" xr:uid="{00000000-0005-0000-0000-00000B290000}"/>
    <cellStyle name="Normal 2 2 4 40" xfId="31998" xr:uid="{00000000-0005-0000-0000-00000C290000}"/>
    <cellStyle name="Normal 2 2 4 5" xfId="4437" xr:uid="{00000000-0005-0000-0000-00000D290000}"/>
    <cellStyle name="Normal 2 2 4 5 10" xfId="31999" xr:uid="{00000000-0005-0000-0000-00000E290000}"/>
    <cellStyle name="Normal 2 2 4 5 11" xfId="32000" xr:uid="{00000000-0005-0000-0000-00000F290000}"/>
    <cellStyle name="Normal 2 2 4 5 2" xfId="4438" xr:uid="{00000000-0005-0000-0000-000010290000}"/>
    <cellStyle name="Normal 2 2 4 5 2 10" xfId="32001" xr:uid="{00000000-0005-0000-0000-000011290000}"/>
    <cellStyle name="Normal 2 2 4 5 2 2" xfId="4439" xr:uid="{00000000-0005-0000-0000-000012290000}"/>
    <cellStyle name="Normal 2 2 4 5 2 2 2" xfId="4440" xr:uid="{00000000-0005-0000-0000-000013290000}"/>
    <cellStyle name="Normal 2 2 4 5 2 2 2 2" xfId="4441" xr:uid="{00000000-0005-0000-0000-000014290000}"/>
    <cellStyle name="Normal 2 2 4 5 2 2 2 2 2" xfId="32002" xr:uid="{00000000-0005-0000-0000-000015290000}"/>
    <cellStyle name="Normal 2 2 4 5 2 2 2 3" xfId="4442" xr:uid="{00000000-0005-0000-0000-000016290000}"/>
    <cellStyle name="Normal 2 2 4 5 2 2 2 3 2" xfId="32003" xr:uid="{00000000-0005-0000-0000-000017290000}"/>
    <cellStyle name="Normal 2 2 4 5 2 2 2 4" xfId="32004" xr:uid="{00000000-0005-0000-0000-000018290000}"/>
    <cellStyle name="Normal 2 2 4 5 2 2 3" xfId="4443" xr:uid="{00000000-0005-0000-0000-000019290000}"/>
    <cellStyle name="Normal 2 2 4 5 2 2 3 2" xfId="32005" xr:uid="{00000000-0005-0000-0000-00001A290000}"/>
    <cellStyle name="Normal 2 2 4 5 2 2 4" xfId="4444" xr:uid="{00000000-0005-0000-0000-00001B290000}"/>
    <cellStyle name="Normal 2 2 4 5 2 2 4 2" xfId="32006" xr:uid="{00000000-0005-0000-0000-00001C290000}"/>
    <cellStyle name="Normal 2 2 4 5 2 2 5" xfId="4445" xr:uid="{00000000-0005-0000-0000-00001D290000}"/>
    <cellStyle name="Normal 2 2 4 5 2 2 5 2" xfId="32007" xr:uid="{00000000-0005-0000-0000-00001E290000}"/>
    <cellStyle name="Normal 2 2 4 5 2 2 6" xfId="32008" xr:uid="{00000000-0005-0000-0000-00001F290000}"/>
    <cellStyle name="Normal 2 2 4 5 2 2 6 2" xfId="32009" xr:uid="{00000000-0005-0000-0000-000020290000}"/>
    <cellStyle name="Normal 2 2 4 5 2 2 7" xfId="32010" xr:uid="{00000000-0005-0000-0000-000021290000}"/>
    <cellStyle name="Normal 2 2 4 5 2 3" xfId="4446" xr:uid="{00000000-0005-0000-0000-000022290000}"/>
    <cellStyle name="Normal 2 2 4 5 2 3 2" xfId="4447" xr:uid="{00000000-0005-0000-0000-000023290000}"/>
    <cellStyle name="Normal 2 2 4 5 2 3 2 2" xfId="32011" xr:uid="{00000000-0005-0000-0000-000024290000}"/>
    <cellStyle name="Normal 2 2 4 5 2 3 3" xfId="4448" xr:uid="{00000000-0005-0000-0000-000025290000}"/>
    <cellStyle name="Normal 2 2 4 5 2 3 3 2" xfId="32012" xr:uid="{00000000-0005-0000-0000-000026290000}"/>
    <cellStyle name="Normal 2 2 4 5 2 3 4" xfId="32013" xr:uid="{00000000-0005-0000-0000-000027290000}"/>
    <cellStyle name="Normal 2 2 4 5 2 4" xfId="4449" xr:uid="{00000000-0005-0000-0000-000028290000}"/>
    <cellStyle name="Normal 2 2 4 5 2 4 2" xfId="4450" xr:uid="{00000000-0005-0000-0000-000029290000}"/>
    <cellStyle name="Normal 2 2 4 5 2 4 2 2" xfId="32014" xr:uid="{00000000-0005-0000-0000-00002A290000}"/>
    <cellStyle name="Normal 2 2 4 5 2 4 3" xfId="32015" xr:uid="{00000000-0005-0000-0000-00002B290000}"/>
    <cellStyle name="Normal 2 2 4 5 2 5" xfId="4451" xr:uid="{00000000-0005-0000-0000-00002C290000}"/>
    <cellStyle name="Normal 2 2 4 5 2 5 2" xfId="32016" xr:uid="{00000000-0005-0000-0000-00002D290000}"/>
    <cellStyle name="Normal 2 2 4 5 2 6" xfId="4452" xr:uid="{00000000-0005-0000-0000-00002E290000}"/>
    <cellStyle name="Normal 2 2 4 5 2 6 2" xfId="32017" xr:uid="{00000000-0005-0000-0000-00002F290000}"/>
    <cellStyle name="Normal 2 2 4 5 2 7" xfId="32018" xr:uid="{00000000-0005-0000-0000-000030290000}"/>
    <cellStyle name="Normal 2 2 4 5 2 7 2" xfId="32019" xr:uid="{00000000-0005-0000-0000-000031290000}"/>
    <cellStyle name="Normal 2 2 4 5 2 8" xfId="32020" xr:uid="{00000000-0005-0000-0000-000032290000}"/>
    <cellStyle name="Normal 2 2 4 5 2 9" xfId="32021" xr:uid="{00000000-0005-0000-0000-000033290000}"/>
    <cellStyle name="Normal 2 2 4 5 3" xfId="4453" xr:uid="{00000000-0005-0000-0000-000034290000}"/>
    <cellStyle name="Normal 2 2 4 5 3 2" xfId="4454" xr:uid="{00000000-0005-0000-0000-000035290000}"/>
    <cellStyle name="Normal 2 2 4 5 3 2 2" xfId="4455" xr:uid="{00000000-0005-0000-0000-000036290000}"/>
    <cellStyle name="Normal 2 2 4 5 3 2 2 2" xfId="32022" xr:uid="{00000000-0005-0000-0000-000037290000}"/>
    <cellStyle name="Normal 2 2 4 5 3 2 3" xfId="4456" xr:uid="{00000000-0005-0000-0000-000038290000}"/>
    <cellStyle name="Normal 2 2 4 5 3 2 3 2" xfId="32023" xr:uid="{00000000-0005-0000-0000-000039290000}"/>
    <cellStyle name="Normal 2 2 4 5 3 2 4" xfId="32024" xr:uid="{00000000-0005-0000-0000-00003A290000}"/>
    <cellStyle name="Normal 2 2 4 5 3 3" xfId="4457" xr:uid="{00000000-0005-0000-0000-00003B290000}"/>
    <cellStyle name="Normal 2 2 4 5 3 3 2" xfId="32025" xr:uid="{00000000-0005-0000-0000-00003C290000}"/>
    <cellStyle name="Normal 2 2 4 5 3 4" xfId="4458" xr:uid="{00000000-0005-0000-0000-00003D290000}"/>
    <cellStyle name="Normal 2 2 4 5 3 4 2" xfId="32026" xr:uid="{00000000-0005-0000-0000-00003E290000}"/>
    <cellStyle name="Normal 2 2 4 5 3 5" xfId="4459" xr:uid="{00000000-0005-0000-0000-00003F290000}"/>
    <cellStyle name="Normal 2 2 4 5 3 5 2" xfId="32027" xr:uid="{00000000-0005-0000-0000-000040290000}"/>
    <cellStyle name="Normal 2 2 4 5 3 6" xfId="32028" xr:uid="{00000000-0005-0000-0000-000041290000}"/>
    <cellStyle name="Normal 2 2 4 5 3 6 2" xfId="32029" xr:uid="{00000000-0005-0000-0000-000042290000}"/>
    <cellStyle name="Normal 2 2 4 5 3 7" xfId="32030" xr:uid="{00000000-0005-0000-0000-000043290000}"/>
    <cellStyle name="Normal 2 2 4 5 4" xfId="4460" xr:uid="{00000000-0005-0000-0000-000044290000}"/>
    <cellStyle name="Normal 2 2 4 5 4 2" xfId="4461" xr:uid="{00000000-0005-0000-0000-000045290000}"/>
    <cellStyle name="Normal 2 2 4 5 4 2 2" xfId="32031" xr:uid="{00000000-0005-0000-0000-000046290000}"/>
    <cellStyle name="Normal 2 2 4 5 4 3" xfId="4462" xr:uid="{00000000-0005-0000-0000-000047290000}"/>
    <cellStyle name="Normal 2 2 4 5 4 3 2" xfId="32032" xr:uid="{00000000-0005-0000-0000-000048290000}"/>
    <cellStyle name="Normal 2 2 4 5 4 4" xfId="32033" xr:uid="{00000000-0005-0000-0000-000049290000}"/>
    <cellStyle name="Normal 2 2 4 5 5" xfId="4463" xr:uid="{00000000-0005-0000-0000-00004A290000}"/>
    <cellStyle name="Normal 2 2 4 5 5 2" xfId="4464" xr:uid="{00000000-0005-0000-0000-00004B290000}"/>
    <cellStyle name="Normal 2 2 4 5 5 2 2" xfId="32034" xr:uid="{00000000-0005-0000-0000-00004C290000}"/>
    <cellStyle name="Normal 2 2 4 5 5 3" xfId="32035" xr:uid="{00000000-0005-0000-0000-00004D290000}"/>
    <cellStyle name="Normal 2 2 4 5 6" xfId="4465" xr:uid="{00000000-0005-0000-0000-00004E290000}"/>
    <cellStyle name="Normal 2 2 4 5 6 2" xfId="32036" xr:uid="{00000000-0005-0000-0000-00004F290000}"/>
    <cellStyle name="Normal 2 2 4 5 7" xfId="4466" xr:uid="{00000000-0005-0000-0000-000050290000}"/>
    <cellStyle name="Normal 2 2 4 5 7 2" xfId="32037" xr:uid="{00000000-0005-0000-0000-000051290000}"/>
    <cellStyle name="Normal 2 2 4 5 8" xfId="32038" xr:uid="{00000000-0005-0000-0000-000052290000}"/>
    <cellStyle name="Normal 2 2 4 5 8 2" xfId="32039" xr:uid="{00000000-0005-0000-0000-000053290000}"/>
    <cellStyle name="Normal 2 2 4 5 9" xfId="32040" xr:uid="{00000000-0005-0000-0000-000054290000}"/>
    <cellStyle name="Normal 2 2 4 6" xfId="4467" xr:uid="{00000000-0005-0000-0000-000055290000}"/>
    <cellStyle name="Normal 2 2 4 6 10" xfId="32041" xr:uid="{00000000-0005-0000-0000-000056290000}"/>
    <cellStyle name="Normal 2 2 4 6 11" xfId="32042" xr:uid="{00000000-0005-0000-0000-000057290000}"/>
    <cellStyle name="Normal 2 2 4 6 2" xfId="4468" xr:uid="{00000000-0005-0000-0000-000058290000}"/>
    <cellStyle name="Normal 2 2 4 6 2 10" xfId="32043" xr:uid="{00000000-0005-0000-0000-000059290000}"/>
    <cellStyle name="Normal 2 2 4 6 2 2" xfId="4469" xr:uid="{00000000-0005-0000-0000-00005A290000}"/>
    <cellStyle name="Normal 2 2 4 6 2 2 2" xfId="4470" xr:uid="{00000000-0005-0000-0000-00005B290000}"/>
    <cellStyle name="Normal 2 2 4 6 2 2 2 2" xfId="4471" xr:uid="{00000000-0005-0000-0000-00005C290000}"/>
    <cellStyle name="Normal 2 2 4 6 2 2 2 2 2" xfId="32044" xr:uid="{00000000-0005-0000-0000-00005D290000}"/>
    <cellStyle name="Normal 2 2 4 6 2 2 2 3" xfId="4472" xr:uid="{00000000-0005-0000-0000-00005E290000}"/>
    <cellStyle name="Normal 2 2 4 6 2 2 2 3 2" xfId="32045" xr:uid="{00000000-0005-0000-0000-00005F290000}"/>
    <cellStyle name="Normal 2 2 4 6 2 2 2 4" xfId="32046" xr:uid="{00000000-0005-0000-0000-000060290000}"/>
    <cellStyle name="Normal 2 2 4 6 2 2 3" xfId="4473" xr:uid="{00000000-0005-0000-0000-000061290000}"/>
    <cellStyle name="Normal 2 2 4 6 2 2 3 2" xfId="32047" xr:uid="{00000000-0005-0000-0000-000062290000}"/>
    <cellStyle name="Normal 2 2 4 6 2 2 4" xfId="4474" xr:uid="{00000000-0005-0000-0000-000063290000}"/>
    <cellStyle name="Normal 2 2 4 6 2 2 4 2" xfId="32048" xr:uid="{00000000-0005-0000-0000-000064290000}"/>
    <cellStyle name="Normal 2 2 4 6 2 2 5" xfId="4475" xr:uid="{00000000-0005-0000-0000-000065290000}"/>
    <cellStyle name="Normal 2 2 4 6 2 2 5 2" xfId="32049" xr:uid="{00000000-0005-0000-0000-000066290000}"/>
    <cellStyle name="Normal 2 2 4 6 2 2 6" xfId="32050" xr:uid="{00000000-0005-0000-0000-000067290000}"/>
    <cellStyle name="Normal 2 2 4 6 2 2 6 2" xfId="32051" xr:uid="{00000000-0005-0000-0000-000068290000}"/>
    <cellStyle name="Normal 2 2 4 6 2 2 7" xfId="32052" xr:uid="{00000000-0005-0000-0000-000069290000}"/>
    <cellStyle name="Normal 2 2 4 6 2 3" xfId="4476" xr:uid="{00000000-0005-0000-0000-00006A290000}"/>
    <cellStyle name="Normal 2 2 4 6 2 3 2" xfId="4477" xr:uid="{00000000-0005-0000-0000-00006B290000}"/>
    <cellStyle name="Normal 2 2 4 6 2 3 2 2" xfId="32053" xr:uid="{00000000-0005-0000-0000-00006C290000}"/>
    <cellStyle name="Normal 2 2 4 6 2 3 3" xfId="4478" xr:uid="{00000000-0005-0000-0000-00006D290000}"/>
    <cellStyle name="Normal 2 2 4 6 2 3 3 2" xfId="32054" xr:uid="{00000000-0005-0000-0000-00006E290000}"/>
    <cellStyle name="Normal 2 2 4 6 2 3 4" xfId="32055" xr:uid="{00000000-0005-0000-0000-00006F290000}"/>
    <cellStyle name="Normal 2 2 4 6 2 4" xfId="4479" xr:uid="{00000000-0005-0000-0000-000070290000}"/>
    <cellStyle name="Normal 2 2 4 6 2 4 2" xfId="4480" xr:uid="{00000000-0005-0000-0000-000071290000}"/>
    <cellStyle name="Normal 2 2 4 6 2 4 2 2" xfId="32056" xr:uid="{00000000-0005-0000-0000-000072290000}"/>
    <cellStyle name="Normal 2 2 4 6 2 4 3" xfId="32057" xr:uid="{00000000-0005-0000-0000-000073290000}"/>
    <cellStyle name="Normal 2 2 4 6 2 5" xfId="4481" xr:uid="{00000000-0005-0000-0000-000074290000}"/>
    <cellStyle name="Normal 2 2 4 6 2 5 2" xfId="32058" xr:uid="{00000000-0005-0000-0000-000075290000}"/>
    <cellStyle name="Normal 2 2 4 6 2 6" xfId="4482" xr:uid="{00000000-0005-0000-0000-000076290000}"/>
    <cellStyle name="Normal 2 2 4 6 2 6 2" xfId="32059" xr:uid="{00000000-0005-0000-0000-000077290000}"/>
    <cellStyle name="Normal 2 2 4 6 2 7" xfId="32060" xr:uid="{00000000-0005-0000-0000-000078290000}"/>
    <cellStyle name="Normal 2 2 4 6 2 7 2" xfId="32061" xr:uid="{00000000-0005-0000-0000-000079290000}"/>
    <cellStyle name="Normal 2 2 4 6 2 8" xfId="32062" xr:uid="{00000000-0005-0000-0000-00007A290000}"/>
    <cellStyle name="Normal 2 2 4 6 2 9" xfId="32063" xr:uid="{00000000-0005-0000-0000-00007B290000}"/>
    <cellStyle name="Normal 2 2 4 6 3" xfId="4483" xr:uid="{00000000-0005-0000-0000-00007C290000}"/>
    <cellStyle name="Normal 2 2 4 6 3 2" xfId="4484" xr:uid="{00000000-0005-0000-0000-00007D290000}"/>
    <cellStyle name="Normal 2 2 4 6 3 2 2" xfId="4485" xr:uid="{00000000-0005-0000-0000-00007E290000}"/>
    <cellStyle name="Normal 2 2 4 6 3 2 2 2" xfId="32064" xr:uid="{00000000-0005-0000-0000-00007F290000}"/>
    <cellStyle name="Normal 2 2 4 6 3 2 3" xfId="4486" xr:uid="{00000000-0005-0000-0000-000080290000}"/>
    <cellStyle name="Normal 2 2 4 6 3 2 3 2" xfId="32065" xr:uid="{00000000-0005-0000-0000-000081290000}"/>
    <cellStyle name="Normal 2 2 4 6 3 2 4" xfId="32066" xr:uid="{00000000-0005-0000-0000-000082290000}"/>
    <cellStyle name="Normal 2 2 4 6 3 3" xfId="4487" xr:uid="{00000000-0005-0000-0000-000083290000}"/>
    <cellStyle name="Normal 2 2 4 6 3 3 2" xfId="32067" xr:uid="{00000000-0005-0000-0000-000084290000}"/>
    <cellStyle name="Normal 2 2 4 6 3 4" xfId="4488" xr:uid="{00000000-0005-0000-0000-000085290000}"/>
    <cellStyle name="Normal 2 2 4 6 3 4 2" xfId="32068" xr:uid="{00000000-0005-0000-0000-000086290000}"/>
    <cellStyle name="Normal 2 2 4 6 3 5" xfId="4489" xr:uid="{00000000-0005-0000-0000-000087290000}"/>
    <cellStyle name="Normal 2 2 4 6 3 5 2" xfId="32069" xr:uid="{00000000-0005-0000-0000-000088290000}"/>
    <cellStyle name="Normal 2 2 4 6 3 6" xfId="32070" xr:uid="{00000000-0005-0000-0000-000089290000}"/>
    <cellStyle name="Normal 2 2 4 6 3 6 2" xfId="32071" xr:uid="{00000000-0005-0000-0000-00008A290000}"/>
    <cellStyle name="Normal 2 2 4 6 3 7" xfId="32072" xr:uid="{00000000-0005-0000-0000-00008B290000}"/>
    <cellStyle name="Normal 2 2 4 6 4" xfId="4490" xr:uid="{00000000-0005-0000-0000-00008C290000}"/>
    <cellStyle name="Normal 2 2 4 6 4 2" xfId="4491" xr:uid="{00000000-0005-0000-0000-00008D290000}"/>
    <cellStyle name="Normal 2 2 4 6 4 2 2" xfId="32073" xr:uid="{00000000-0005-0000-0000-00008E290000}"/>
    <cellStyle name="Normal 2 2 4 6 4 3" xfId="4492" xr:uid="{00000000-0005-0000-0000-00008F290000}"/>
    <cellStyle name="Normal 2 2 4 6 4 3 2" xfId="32074" xr:uid="{00000000-0005-0000-0000-000090290000}"/>
    <cellStyle name="Normal 2 2 4 6 4 4" xfId="32075" xr:uid="{00000000-0005-0000-0000-000091290000}"/>
    <cellStyle name="Normal 2 2 4 6 5" xfId="4493" xr:uid="{00000000-0005-0000-0000-000092290000}"/>
    <cellStyle name="Normal 2 2 4 6 5 2" xfId="4494" xr:uid="{00000000-0005-0000-0000-000093290000}"/>
    <cellStyle name="Normal 2 2 4 6 5 2 2" xfId="32076" xr:uid="{00000000-0005-0000-0000-000094290000}"/>
    <cellStyle name="Normal 2 2 4 6 5 3" xfId="32077" xr:uid="{00000000-0005-0000-0000-000095290000}"/>
    <cellStyle name="Normal 2 2 4 6 6" xfId="4495" xr:uid="{00000000-0005-0000-0000-000096290000}"/>
    <cellStyle name="Normal 2 2 4 6 6 2" xfId="32078" xr:uid="{00000000-0005-0000-0000-000097290000}"/>
    <cellStyle name="Normal 2 2 4 6 7" xfId="4496" xr:uid="{00000000-0005-0000-0000-000098290000}"/>
    <cellStyle name="Normal 2 2 4 6 7 2" xfId="32079" xr:uid="{00000000-0005-0000-0000-000099290000}"/>
    <cellStyle name="Normal 2 2 4 6 8" xfId="32080" xr:uid="{00000000-0005-0000-0000-00009A290000}"/>
    <cellStyle name="Normal 2 2 4 6 8 2" xfId="32081" xr:uid="{00000000-0005-0000-0000-00009B290000}"/>
    <cellStyle name="Normal 2 2 4 6 9" xfId="32082" xr:uid="{00000000-0005-0000-0000-00009C290000}"/>
    <cellStyle name="Normal 2 2 4 7" xfId="4497" xr:uid="{00000000-0005-0000-0000-00009D290000}"/>
    <cellStyle name="Normal 2 2 4 7 10" xfId="32083" xr:uid="{00000000-0005-0000-0000-00009E290000}"/>
    <cellStyle name="Normal 2 2 4 7 11" xfId="32084" xr:uid="{00000000-0005-0000-0000-00009F290000}"/>
    <cellStyle name="Normal 2 2 4 7 2" xfId="4498" xr:uid="{00000000-0005-0000-0000-0000A0290000}"/>
    <cellStyle name="Normal 2 2 4 7 2 10" xfId="32085" xr:uid="{00000000-0005-0000-0000-0000A1290000}"/>
    <cellStyle name="Normal 2 2 4 7 2 2" xfId="4499" xr:uid="{00000000-0005-0000-0000-0000A2290000}"/>
    <cellStyle name="Normal 2 2 4 7 2 2 2" xfId="4500" xr:uid="{00000000-0005-0000-0000-0000A3290000}"/>
    <cellStyle name="Normal 2 2 4 7 2 2 2 2" xfId="4501" xr:uid="{00000000-0005-0000-0000-0000A4290000}"/>
    <cellStyle name="Normal 2 2 4 7 2 2 2 2 2" xfId="32086" xr:uid="{00000000-0005-0000-0000-0000A5290000}"/>
    <cellStyle name="Normal 2 2 4 7 2 2 2 3" xfId="4502" xr:uid="{00000000-0005-0000-0000-0000A6290000}"/>
    <cellStyle name="Normal 2 2 4 7 2 2 2 3 2" xfId="32087" xr:uid="{00000000-0005-0000-0000-0000A7290000}"/>
    <cellStyle name="Normal 2 2 4 7 2 2 2 4" xfId="32088" xr:uid="{00000000-0005-0000-0000-0000A8290000}"/>
    <cellStyle name="Normal 2 2 4 7 2 2 3" xfId="4503" xr:uid="{00000000-0005-0000-0000-0000A9290000}"/>
    <cellStyle name="Normal 2 2 4 7 2 2 3 2" xfId="32089" xr:uid="{00000000-0005-0000-0000-0000AA290000}"/>
    <cellStyle name="Normal 2 2 4 7 2 2 4" xfId="4504" xr:uid="{00000000-0005-0000-0000-0000AB290000}"/>
    <cellStyle name="Normal 2 2 4 7 2 2 4 2" xfId="32090" xr:uid="{00000000-0005-0000-0000-0000AC290000}"/>
    <cellStyle name="Normal 2 2 4 7 2 2 5" xfId="4505" xr:uid="{00000000-0005-0000-0000-0000AD290000}"/>
    <cellStyle name="Normal 2 2 4 7 2 2 5 2" xfId="32091" xr:uid="{00000000-0005-0000-0000-0000AE290000}"/>
    <cellStyle name="Normal 2 2 4 7 2 2 6" xfId="32092" xr:uid="{00000000-0005-0000-0000-0000AF290000}"/>
    <cellStyle name="Normal 2 2 4 7 2 2 6 2" xfId="32093" xr:uid="{00000000-0005-0000-0000-0000B0290000}"/>
    <cellStyle name="Normal 2 2 4 7 2 2 7" xfId="32094" xr:uid="{00000000-0005-0000-0000-0000B1290000}"/>
    <cellStyle name="Normal 2 2 4 7 2 3" xfId="4506" xr:uid="{00000000-0005-0000-0000-0000B2290000}"/>
    <cellStyle name="Normal 2 2 4 7 2 3 2" xfId="4507" xr:uid="{00000000-0005-0000-0000-0000B3290000}"/>
    <cellStyle name="Normal 2 2 4 7 2 3 2 2" xfId="32095" xr:uid="{00000000-0005-0000-0000-0000B4290000}"/>
    <cellStyle name="Normal 2 2 4 7 2 3 3" xfId="4508" xr:uid="{00000000-0005-0000-0000-0000B5290000}"/>
    <cellStyle name="Normal 2 2 4 7 2 3 3 2" xfId="32096" xr:uid="{00000000-0005-0000-0000-0000B6290000}"/>
    <cellStyle name="Normal 2 2 4 7 2 3 4" xfId="32097" xr:uid="{00000000-0005-0000-0000-0000B7290000}"/>
    <cellStyle name="Normal 2 2 4 7 2 4" xfId="4509" xr:uid="{00000000-0005-0000-0000-0000B8290000}"/>
    <cellStyle name="Normal 2 2 4 7 2 4 2" xfId="4510" xr:uid="{00000000-0005-0000-0000-0000B9290000}"/>
    <cellStyle name="Normal 2 2 4 7 2 4 2 2" xfId="32098" xr:uid="{00000000-0005-0000-0000-0000BA290000}"/>
    <cellStyle name="Normal 2 2 4 7 2 4 3" xfId="32099" xr:uid="{00000000-0005-0000-0000-0000BB290000}"/>
    <cellStyle name="Normal 2 2 4 7 2 5" xfId="4511" xr:uid="{00000000-0005-0000-0000-0000BC290000}"/>
    <cellStyle name="Normal 2 2 4 7 2 5 2" xfId="32100" xr:uid="{00000000-0005-0000-0000-0000BD290000}"/>
    <cellStyle name="Normal 2 2 4 7 2 6" xfId="4512" xr:uid="{00000000-0005-0000-0000-0000BE290000}"/>
    <cellStyle name="Normal 2 2 4 7 2 6 2" xfId="32101" xr:uid="{00000000-0005-0000-0000-0000BF290000}"/>
    <cellStyle name="Normal 2 2 4 7 2 7" xfId="32102" xr:uid="{00000000-0005-0000-0000-0000C0290000}"/>
    <cellStyle name="Normal 2 2 4 7 2 7 2" xfId="32103" xr:uid="{00000000-0005-0000-0000-0000C1290000}"/>
    <cellStyle name="Normal 2 2 4 7 2 8" xfId="32104" xr:uid="{00000000-0005-0000-0000-0000C2290000}"/>
    <cellStyle name="Normal 2 2 4 7 2 9" xfId="32105" xr:uid="{00000000-0005-0000-0000-0000C3290000}"/>
    <cellStyle name="Normal 2 2 4 7 3" xfId="4513" xr:uid="{00000000-0005-0000-0000-0000C4290000}"/>
    <cellStyle name="Normal 2 2 4 7 3 2" xfId="4514" xr:uid="{00000000-0005-0000-0000-0000C5290000}"/>
    <cellStyle name="Normal 2 2 4 7 3 2 2" xfId="4515" xr:uid="{00000000-0005-0000-0000-0000C6290000}"/>
    <cellStyle name="Normal 2 2 4 7 3 2 2 2" xfId="32106" xr:uid="{00000000-0005-0000-0000-0000C7290000}"/>
    <cellStyle name="Normal 2 2 4 7 3 2 3" xfId="4516" xr:uid="{00000000-0005-0000-0000-0000C8290000}"/>
    <cellStyle name="Normal 2 2 4 7 3 2 3 2" xfId="32107" xr:uid="{00000000-0005-0000-0000-0000C9290000}"/>
    <cellStyle name="Normal 2 2 4 7 3 2 4" xfId="32108" xr:uid="{00000000-0005-0000-0000-0000CA290000}"/>
    <cellStyle name="Normal 2 2 4 7 3 3" xfId="4517" xr:uid="{00000000-0005-0000-0000-0000CB290000}"/>
    <cellStyle name="Normal 2 2 4 7 3 3 2" xfId="32109" xr:uid="{00000000-0005-0000-0000-0000CC290000}"/>
    <cellStyle name="Normal 2 2 4 7 3 4" xfId="4518" xr:uid="{00000000-0005-0000-0000-0000CD290000}"/>
    <cellStyle name="Normal 2 2 4 7 3 4 2" xfId="32110" xr:uid="{00000000-0005-0000-0000-0000CE290000}"/>
    <cellStyle name="Normal 2 2 4 7 3 5" xfId="4519" xr:uid="{00000000-0005-0000-0000-0000CF290000}"/>
    <cellStyle name="Normal 2 2 4 7 3 5 2" xfId="32111" xr:uid="{00000000-0005-0000-0000-0000D0290000}"/>
    <cellStyle name="Normal 2 2 4 7 3 6" xfId="32112" xr:uid="{00000000-0005-0000-0000-0000D1290000}"/>
    <cellStyle name="Normal 2 2 4 7 3 6 2" xfId="32113" xr:uid="{00000000-0005-0000-0000-0000D2290000}"/>
    <cellStyle name="Normal 2 2 4 7 3 7" xfId="32114" xr:uid="{00000000-0005-0000-0000-0000D3290000}"/>
    <cellStyle name="Normal 2 2 4 7 4" xfId="4520" xr:uid="{00000000-0005-0000-0000-0000D4290000}"/>
    <cellStyle name="Normal 2 2 4 7 4 2" xfId="4521" xr:uid="{00000000-0005-0000-0000-0000D5290000}"/>
    <cellStyle name="Normal 2 2 4 7 4 2 2" xfId="32115" xr:uid="{00000000-0005-0000-0000-0000D6290000}"/>
    <cellStyle name="Normal 2 2 4 7 4 3" xfId="4522" xr:uid="{00000000-0005-0000-0000-0000D7290000}"/>
    <cellStyle name="Normal 2 2 4 7 4 3 2" xfId="32116" xr:uid="{00000000-0005-0000-0000-0000D8290000}"/>
    <cellStyle name="Normal 2 2 4 7 4 4" xfId="32117" xr:uid="{00000000-0005-0000-0000-0000D9290000}"/>
    <cellStyle name="Normal 2 2 4 7 5" xfId="4523" xr:uid="{00000000-0005-0000-0000-0000DA290000}"/>
    <cellStyle name="Normal 2 2 4 7 5 2" xfId="4524" xr:uid="{00000000-0005-0000-0000-0000DB290000}"/>
    <cellStyle name="Normal 2 2 4 7 5 2 2" xfId="32118" xr:uid="{00000000-0005-0000-0000-0000DC290000}"/>
    <cellStyle name="Normal 2 2 4 7 5 3" xfId="32119" xr:uid="{00000000-0005-0000-0000-0000DD290000}"/>
    <cellStyle name="Normal 2 2 4 7 6" xfId="4525" xr:uid="{00000000-0005-0000-0000-0000DE290000}"/>
    <cellStyle name="Normal 2 2 4 7 6 2" xfId="32120" xr:uid="{00000000-0005-0000-0000-0000DF290000}"/>
    <cellStyle name="Normal 2 2 4 7 7" xfId="4526" xr:uid="{00000000-0005-0000-0000-0000E0290000}"/>
    <cellStyle name="Normal 2 2 4 7 7 2" xfId="32121" xr:uid="{00000000-0005-0000-0000-0000E1290000}"/>
    <cellStyle name="Normal 2 2 4 7 8" xfId="32122" xr:uid="{00000000-0005-0000-0000-0000E2290000}"/>
    <cellStyle name="Normal 2 2 4 7 8 2" xfId="32123" xr:uid="{00000000-0005-0000-0000-0000E3290000}"/>
    <cellStyle name="Normal 2 2 4 7 9" xfId="32124" xr:uid="{00000000-0005-0000-0000-0000E4290000}"/>
    <cellStyle name="Normal 2 2 4 8" xfId="4527" xr:uid="{00000000-0005-0000-0000-0000E5290000}"/>
    <cellStyle name="Normal 2 2 4 8 10" xfId="32125" xr:uid="{00000000-0005-0000-0000-0000E6290000}"/>
    <cellStyle name="Normal 2 2 4 8 11" xfId="32126" xr:uid="{00000000-0005-0000-0000-0000E7290000}"/>
    <cellStyle name="Normal 2 2 4 8 2" xfId="4528" xr:uid="{00000000-0005-0000-0000-0000E8290000}"/>
    <cellStyle name="Normal 2 2 4 8 2 10" xfId="32127" xr:uid="{00000000-0005-0000-0000-0000E9290000}"/>
    <cellStyle name="Normal 2 2 4 8 2 2" xfId="4529" xr:uid="{00000000-0005-0000-0000-0000EA290000}"/>
    <cellStyle name="Normal 2 2 4 8 2 2 2" xfId="4530" xr:uid="{00000000-0005-0000-0000-0000EB290000}"/>
    <cellStyle name="Normal 2 2 4 8 2 2 2 2" xfId="4531" xr:uid="{00000000-0005-0000-0000-0000EC290000}"/>
    <cellStyle name="Normal 2 2 4 8 2 2 2 2 2" xfId="32128" xr:uid="{00000000-0005-0000-0000-0000ED290000}"/>
    <cellStyle name="Normal 2 2 4 8 2 2 2 3" xfId="4532" xr:uid="{00000000-0005-0000-0000-0000EE290000}"/>
    <cellStyle name="Normal 2 2 4 8 2 2 2 3 2" xfId="32129" xr:uid="{00000000-0005-0000-0000-0000EF290000}"/>
    <cellStyle name="Normal 2 2 4 8 2 2 2 4" xfId="32130" xr:uid="{00000000-0005-0000-0000-0000F0290000}"/>
    <cellStyle name="Normal 2 2 4 8 2 2 3" xfId="4533" xr:uid="{00000000-0005-0000-0000-0000F1290000}"/>
    <cellStyle name="Normal 2 2 4 8 2 2 3 2" xfId="32131" xr:uid="{00000000-0005-0000-0000-0000F2290000}"/>
    <cellStyle name="Normal 2 2 4 8 2 2 4" xfId="4534" xr:uid="{00000000-0005-0000-0000-0000F3290000}"/>
    <cellStyle name="Normal 2 2 4 8 2 2 4 2" xfId="32132" xr:uid="{00000000-0005-0000-0000-0000F4290000}"/>
    <cellStyle name="Normal 2 2 4 8 2 2 5" xfId="4535" xr:uid="{00000000-0005-0000-0000-0000F5290000}"/>
    <cellStyle name="Normal 2 2 4 8 2 2 5 2" xfId="32133" xr:uid="{00000000-0005-0000-0000-0000F6290000}"/>
    <cellStyle name="Normal 2 2 4 8 2 2 6" xfId="32134" xr:uid="{00000000-0005-0000-0000-0000F7290000}"/>
    <cellStyle name="Normal 2 2 4 8 2 2 6 2" xfId="32135" xr:uid="{00000000-0005-0000-0000-0000F8290000}"/>
    <cellStyle name="Normal 2 2 4 8 2 2 7" xfId="32136" xr:uid="{00000000-0005-0000-0000-0000F9290000}"/>
    <cellStyle name="Normal 2 2 4 8 2 3" xfId="4536" xr:uid="{00000000-0005-0000-0000-0000FA290000}"/>
    <cellStyle name="Normal 2 2 4 8 2 3 2" xfId="4537" xr:uid="{00000000-0005-0000-0000-0000FB290000}"/>
    <cellStyle name="Normal 2 2 4 8 2 3 2 2" xfId="32137" xr:uid="{00000000-0005-0000-0000-0000FC290000}"/>
    <cellStyle name="Normal 2 2 4 8 2 3 3" xfId="4538" xr:uid="{00000000-0005-0000-0000-0000FD290000}"/>
    <cellStyle name="Normal 2 2 4 8 2 3 3 2" xfId="32138" xr:uid="{00000000-0005-0000-0000-0000FE290000}"/>
    <cellStyle name="Normal 2 2 4 8 2 3 4" xfId="32139" xr:uid="{00000000-0005-0000-0000-0000FF290000}"/>
    <cellStyle name="Normal 2 2 4 8 2 4" xfId="4539" xr:uid="{00000000-0005-0000-0000-0000002A0000}"/>
    <cellStyle name="Normal 2 2 4 8 2 4 2" xfId="4540" xr:uid="{00000000-0005-0000-0000-0000012A0000}"/>
    <cellStyle name="Normal 2 2 4 8 2 4 2 2" xfId="32140" xr:uid="{00000000-0005-0000-0000-0000022A0000}"/>
    <cellStyle name="Normal 2 2 4 8 2 4 3" xfId="32141" xr:uid="{00000000-0005-0000-0000-0000032A0000}"/>
    <cellStyle name="Normal 2 2 4 8 2 5" xfId="4541" xr:uid="{00000000-0005-0000-0000-0000042A0000}"/>
    <cellStyle name="Normal 2 2 4 8 2 5 2" xfId="32142" xr:uid="{00000000-0005-0000-0000-0000052A0000}"/>
    <cellStyle name="Normal 2 2 4 8 2 6" xfId="4542" xr:uid="{00000000-0005-0000-0000-0000062A0000}"/>
    <cellStyle name="Normal 2 2 4 8 2 6 2" xfId="32143" xr:uid="{00000000-0005-0000-0000-0000072A0000}"/>
    <cellStyle name="Normal 2 2 4 8 2 7" xfId="32144" xr:uid="{00000000-0005-0000-0000-0000082A0000}"/>
    <cellStyle name="Normal 2 2 4 8 2 7 2" xfId="32145" xr:uid="{00000000-0005-0000-0000-0000092A0000}"/>
    <cellStyle name="Normal 2 2 4 8 2 8" xfId="32146" xr:uid="{00000000-0005-0000-0000-00000A2A0000}"/>
    <cellStyle name="Normal 2 2 4 8 2 9" xfId="32147" xr:uid="{00000000-0005-0000-0000-00000B2A0000}"/>
    <cellStyle name="Normal 2 2 4 8 3" xfId="4543" xr:uid="{00000000-0005-0000-0000-00000C2A0000}"/>
    <cellStyle name="Normal 2 2 4 8 3 2" xfId="4544" xr:uid="{00000000-0005-0000-0000-00000D2A0000}"/>
    <cellStyle name="Normal 2 2 4 8 3 2 2" xfId="4545" xr:uid="{00000000-0005-0000-0000-00000E2A0000}"/>
    <cellStyle name="Normal 2 2 4 8 3 2 2 2" xfId="32148" xr:uid="{00000000-0005-0000-0000-00000F2A0000}"/>
    <cellStyle name="Normal 2 2 4 8 3 2 3" xfId="4546" xr:uid="{00000000-0005-0000-0000-0000102A0000}"/>
    <cellStyle name="Normal 2 2 4 8 3 2 3 2" xfId="32149" xr:uid="{00000000-0005-0000-0000-0000112A0000}"/>
    <cellStyle name="Normal 2 2 4 8 3 2 4" xfId="32150" xr:uid="{00000000-0005-0000-0000-0000122A0000}"/>
    <cellStyle name="Normal 2 2 4 8 3 3" xfId="4547" xr:uid="{00000000-0005-0000-0000-0000132A0000}"/>
    <cellStyle name="Normal 2 2 4 8 3 3 2" xfId="32151" xr:uid="{00000000-0005-0000-0000-0000142A0000}"/>
    <cellStyle name="Normal 2 2 4 8 3 4" xfId="4548" xr:uid="{00000000-0005-0000-0000-0000152A0000}"/>
    <cellStyle name="Normal 2 2 4 8 3 4 2" xfId="32152" xr:uid="{00000000-0005-0000-0000-0000162A0000}"/>
    <cellStyle name="Normal 2 2 4 8 3 5" xfId="4549" xr:uid="{00000000-0005-0000-0000-0000172A0000}"/>
    <cellStyle name="Normal 2 2 4 8 3 5 2" xfId="32153" xr:uid="{00000000-0005-0000-0000-0000182A0000}"/>
    <cellStyle name="Normal 2 2 4 8 3 6" xfId="32154" xr:uid="{00000000-0005-0000-0000-0000192A0000}"/>
    <cellStyle name="Normal 2 2 4 8 3 6 2" xfId="32155" xr:uid="{00000000-0005-0000-0000-00001A2A0000}"/>
    <cellStyle name="Normal 2 2 4 8 3 7" xfId="32156" xr:uid="{00000000-0005-0000-0000-00001B2A0000}"/>
    <cellStyle name="Normal 2 2 4 8 4" xfId="4550" xr:uid="{00000000-0005-0000-0000-00001C2A0000}"/>
    <cellStyle name="Normal 2 2 4 8 4 2" xfId="4551" xr:uid="{00000000-0005-0000-0000-00001D2A0000}"/>
    <cellStyle name="Normal 2 2 4 8 4 2 2" xfId="32157" xr:uid="{00000000-0005-0000-0000-00001E2A0000}"/>
    <cellStyle name="Normal 2 2 4 8 4 3" xfId="4552" xr:uid="{00000000-0005-0000-0000-00001F2A0000}"/>
    <cellStyle name="Normal 2 2 4 8 4 3 2" xfId="32158" xr:uid="{00000000-0005-0000-0000-0000202A0000}"/>
    <cellStyle name="Normal 2 2 4 8 4 4" xfId="32159" xr:uid="{00000000-0005-0000-0000-0000212A0000}"/>
    <cellStyle name="Normal 2 2 4 8 5" xfId="4553" xr:uid="{00000000-0005-0000-0000-0000222A0000}"/>
    <cellStyle name="Normal 2 2 4 8 5 2" xfId="4554" xr:uid="{00000000-0005-0000-0000-0000232A0000}"/>
    <cellStyle name="Normal 2 2 4 8 5 2 2" xfId="32160" xr:uid="{00000000-0005-0000-0000-0000242A0000}"/>
    <cellStyle name="Normal 2 2 4 8 5 3" xfId="32161" xr:uid="{00000000-0005-0000-0000-0000252A0000}"/>
    <cellStyle name="Normal 2 2 4 8 6" xfId="4555" xr:uid="{00000000-0005-0000-0000-0000262A0000}"/>
    <cellStyle name="Normal 2 2 4 8 6 2" xfId="32162" xr:uid="{00000000-0005-0000-0000-0000272A0000}"/>
    <cellStyle name="Normal 2 2 4 8 7" xfId="4556" xr:uid="{00000000-0005-0000-0000-0000282A0000}"/>
    <cellStyle name="Normal 2 2 4 8 7 2" xfId="32163" xr:uid="{00000000-0005-0000-0000-0000292A0000}"/>
    <cellStyle name="Normal 2 2 4 8 8" xfId="32164" xr:uid="{00000000-0005-0000-0000-00002A2A0000}"/>
    <cellStyle name="Normal 2 2 4 8 8 2" xfId="32165" xr:uid="{00000000-0005-0000-0000-00002B2A0000}"/>
    <cellStyle name="Normal 2 2 4 8 9" xfId="32166" xr:uid="{00000000-0005-0000-0000-00002C2A0000}"/>
    <cellStyle name="Normal 2 2 4 9" xfId="4557" xr:uid="{00000000-0005-0000-0000-00002D2A0000}"/>
    <cellStyle name="Normal 2 2 4 9 10" xfId="32167" xr:uid="{00000000-0005-0000-0000-00002E2A0000}"/>
    <cellStyle name="Normal 2 2 4 9 11" xfId="32168" xr:uid="{00000000-0005-0000-0000-00002F2A0000}"/>
    <cellStyle name="Normal 2 2 4 9 2" xfId="4558" xr:uid="{00000000-0005-0000-0000-0000302A0000}"/>
    <cellStyle name="Normal 2 2 4 9 2 10" xfId="32169" xr:uid="{00000000-0005-0000-0000-0000312A0000}"/>
    <cellStyle name="Normal 2 2 4 9 2 2" xfId="4559" xr:uid="{00000000-0005-0000-0000-0000322A0000}"/>
    <cellStyle name="Normal 2 2 4 9 2 2 2" xfId="4560" xr:uid="{00000000-0005-0000-0000-0000332A0000}"/>
    <cellStyle name="Normal 2 2 4 9 2 2 2 2" xfId="4561" xr:uid="{00000000-0005-0000-0000-0000342A0000}"/>
    <cellStyle name="Normal 2 2 4 9 2 2 2 2 2" xfId="32170" xr:uid="{00000000-0005-0000-0000-0000352A0000}"/>
    <cellStyle name="Normal 2 2 4 9 2 2 2 3" xfId="4562" xr:uid="{00000000-0005-0000-0000-0000362A0000}"/>
    <cellStyle name="Normal 2 2 4 9 2 2 2 3 2" xfId="32171" xr:uid="{00000000-0005-0000-0000-0000372A0000}"/>
    <cellStyle name="Normal 2 2 4 9 2 2 2 4" xfId="32172" xr:uid="{00000000-0005-0000-0000-0000382A0000}"/>
    <cellStyle name="Normal 2 2 4 9 2 2 3" xfId="4563" xr:uid="{00000000-0005-0000-0000-0000392A0000}"/>
    <cellStyle name="Normal 2 2 4 9 2 2 3 2" xfId="32173" xr:uid="{00000000-0005-0000-0000-00003A2A0000}"/>
    <cellStyle name="Normal 2 2 4 9 2 2 4" xfId="4564" xr:uid="{00000000-0005-0000-0000-00003B2A0000}"/>
    <cellStyle name="Normal 2 2 4 9 2 2 4 2" xfId="32174" xr:uid="{00000000-0005-0000-0000-00003C2A0000}"/>
    <cellStyle name="Normal 2 2 4 9 2 2 5" xfId="4565" xr:uid="{00000000-0005-0000-0000-00003D2A0000}"/>
    <cellStyle name="Normal 2 2 4 9 2 2 5 2" xfId="32175" xr:uid="{00000000-0005-0000-0000-00003E2A0000}"/>
    <cellStyle name="Normal 2 2 4 9 2 2 6" xfId="32176" xr:uid="{00000000-0005-0000-0000-00003F2A0000}"/>
    <cellStyle name="Normal 2 2 4 9 2 2 6 2" xfId="32177" xr:uid="{00000000-0005-0000-0000-0000402A0000}"/>
    <cellStyle name="Normal 2 2 4 9 2 2 7" xfId="32178" xr:uid="{00000000-0005-0000-0000-0000412A0000}"/>
    <cellStyle name="Normal 2 2 4 9 2 3" xfId="4566" xr:uid="{00000000-0005-0000-0000-0000422A0000}"/>
    <cellStyle name="Normal 2 2 4 9 2 3 2" xfId="4567" xr:uid="{00000000-0005-0000-0000-0000432A0000}"/>
    <cellStyle name="Normal 2 2 4 9 2 3 2 2" xfId="32179" xr:uid="{00000000-0005-0000-0000-0000442A0000}"/>
    <cellStyle name="Normal 2 2 4 9 2 3 3" xfId="4568" xr:uid="{00000000-0005-0000-0000-0000452A0000}"/>
    <cellStyle name="Normal 2 2 4 9 2 3 3 2" xfId="32180" xr:uid="{00000000-0005-0000-0000-0000462A0000}"/>
    <cellStyle name="Normal 2 2 4 9 2 3 4" xfId="32181" xr:uid="{00000000-0005-0000-0000-0000472A0000}"/>
    <cellStyle name="Normal 2 2 4 9 2 4" xfId="4569" xr:uid="{00000000-0005-0000-0000-0000482A0000}"/>
    <cellStyle name="Normal 2 2 4 9 2 4 2" xfId="4570" xr:uid="{00000000-0005-0000-0000-0000492A0000}"/>
    <cellStyle name="Normal 2 2 4 9 2 4 2 2" xfId="32182" xr:uid="{00000000-0005-0000-0000-00004A2A0000}"/>
    <cellStyle name="Normal 2 2 4 9 2 4 3" xfId="32183" xr:uid="{00000000-0005-0000-0000-00004B2A0000}"/>
    <cellStyle name="Normal 2 2 4 9 2 5" xfId="4571" xr:uid="{00000000-0005-0000-0000-00004C2A0000}"/>
    <cellStyle name="Normal 2 2 4 9 2 5 2" xfId="32184" xr:uid="{00000000-0005-0000-0000-00004D2A0000}"/>
    <cellStyle name="Normal 2 2 4 9 2 6" xfId="4572" xr:uid="{00000000-0005-0000-0000-00004E2A0000}"/>
    <cellStyle name="Normal 2 2 4 9 2 6 2" xfId="32185" xr:uid="{00000000-0005-0000-0000-00004F2A0000}"/>
    <cellStyle name="Normal 2 2 4 9 2 7" xfId="32186" xr:uid="{00000000-0005-0000-0000-0000502A0000}"/>
    <cellStyle name="Normal 2 2 4 9 2 7 2" xfId="32187" xr:uid="{00000000-0005-0000-0000-0000512A0000}"/>
    <cellStyle name="Normal 2 2 4 9 2 8" xfId="32188" xr:uid="{00000000-0005-0000-0000-0000522A0000}"/>
    <cellStyle name="Normal 2 2 4 9 2 9" xfId="32189" xr:uid="{00000000-0005-0000-0000-0000532A0000}"/>
    <cellStyle name="Normal 2 2 4 9 3" xfId="4573" xr:uid="{00000000-0005-0000-0000-0000542A0000}"/>
    <cellStyle name="Normal 2 2 4 9 3 2" xfId="4574" xr:uid="{00000000-0005-0000-0000-0000552A0000}"/>
    <cellStyle name="Normal 2 2 4 9 3 2 2" xfId="4575" xr:uid="{00000000-0005-0000-0000-0000562A0000}"/>
    <cellStyle name="Normal 2 2 4 9 3 2 2 2" xfId="32190" xr:uid="{00000000-0005-0000-0000-0000572A0000}"/>
    <cellStyle name="Normal 2 2 4 9 3 2 3" xfId="4576" xr:uid="{00000000-0005-0000-0000-0000582A0000}"/>
    <cellStyle name="Normal 2 2 4 9 3 2 3 2" xfId="32191" xr:uid="{00000000-0005-0000-0000-0000592A0000}"/>
    <cellStyle name="Normal 2 2 4 9 3 2 4" xfId="32192" xr:uid="{00000000-0005-0000-0000-00005A2A0000}"/>
    <cellStyle name="Normal 2 2 4 9 3 3" xfId="4577" xr:uid="{00000000-0005-0000-0000-00005B2A0000}"/>
    <cellStyle name="Normal 2 2 4 9 3 3 2" xfId="32193" xr:uid="{00000000-0005-0000-0000-00005C2A0000}"/>
    <cellStyle name="Normal 2 2 4 9 3 4" xfId="4578" xr:uid="{00000000-0005-0000-0000-00005D2A0000}"/>
    <cellStyle name="Normal 2 2 4 9 3 4 2" xfId="32194" xr:uid="{00000000-0005-0000-0000-00005E2A0000}"/>
    <cellStyle name="Normal 2 2 4 9 3 5" xfId="4579" xr:uid="{00000000-0005-0000-0000-00005F2A0000}"/>
    <cellStyle name="Normal 2 2 4 9 3 5 2" xfId="32195" xr:uid="{00000000-0005-0000-0000-0000602A0000}"/>
    <cellStyle name="Normal 2 2 4 9 3 6" xfId="32196" xr:uid="{00000000-0005-0000-0000-0000612A0000}"/>
    <cellStyle name="Normal 2 2 4 9 3 6 2" xfId="32197" xr:uid="{00000000-0005-0000-0000-0000622A0000}"/>
    <cellStyle name="Normal 2 2 4 9 3 7" xfId="32198" xr:uid="{00000000-0005-0000-0000-0000632A0000}"/>
    <cellStyle name="Normal 2 2 4 9 4" xfId="4580" xr:uid="{00000000-0005-0000-0000-0000642A0000}"/>
    <cellStyle name="Normal 2 2 4 9 4 2" xfId="4581" xr:uid="{00000000-0005-0000-0000-0000652A0000}"/>
    <cellStyle name="Normal 2 2 4 9 4 2 2" xfId="32199" xr:uid="{00000000-0005-0000-0000-0000662A0000}"/>
    <cellStyle name="Normal 2 2 4 9 4 3" xfId="4582" xr:uid="{00000000-0005-0000-0000-0000672A0000}"/>
    <cellStyle name="Normal 2 2 4 9 4 3 2" xfId="32200" xr:uid="{00000000-0005-0000-0000-0000682A0000}"/>
    <cellStyle name="Normal 2 2 4 9 4 4" xfId="32201" xr:uid="{00000000-0005-0000-0000-0000692A0000}"/>
    <cellStyle name="Normal 2 2 4 9 5" xfId="4583" xr:uid="{00000000-0005-0000-0000-00006A2A0000}"/>
    <cellStyle name="Normal 2 2 4 9 5 2" xfId="4584" xr:uid="{00000000-0005-0000-0000-00006B2A0000}"/>
    <cellStyle name="Normal 2 2 4 9 5 2 2" xfId="32202" xr:uid="{00000000-0005-0000-0000-00006C2A0000}"/>
    <cellStyle name="Normal 2 2 4 9 5 3" xfId="32203" xr:uid="{00000000-0005-0000-0000-00006D2A0000}"/>
    <cellStyle name="Normal 2 2 4 9 6" xfId="4585" xr:uid="{00000000-0005-0000-0000-00006E2A0000}"/>
    <cellStyle name="Normal 2 2 4 9 6 2" xfId="32204" xr:uid="{00000000-0005-0000-0000-00006F2A0000}"/>
    <cellStyle name="Normal 2 2 4 9 7" xfId="4586" xr:uid="{00000000-0005-0000-0000-0000702A0000}"/>
    <cellStyle name="Normal 2 2 4 9 7 2" xfId="32205" xr:uid="{00000000-0005-0000-0000-0000712A0000}"/>
    <cellStyle name="Normal 2 2 4 9 8" xfId="32206" xr:uid="{00000000-0005-0000-0000-0000722A0000}"/>
    <cellStyle name="Normal 2 2 4 9 8 2" xfId="32207" xr:uid="{00000000-0005-0000-0000-0000732A0000}"/>
    <cellStyle name="Normal 2 2 4 9 9" xfId="32208" xr:uid="{00000000-0005-0000-0000-0000742A0000}"/>
    <cellStyle name="Normal 2 2 40" xfId="4587" xr:uid="{00000000-0005-0000-0000-0000752A0000}"/>
    <cellStyle name="Normal 2 2 40 2" xfId="4588" xr:uid="{00000000-0005-0000-0000-0000762A0000}"/>
    <cellStyle name="Normal 2 2 40 2 2" xfId="4589" xr:uid="{00000000-0005-0000-0000-0000772A0000}"/>
    <cellStyle name="Normal 2 2 40 2 2 2" xfId="32209" xr:uid="{00000000-0005-0000-0000-0000782A0000}"/>
    <cellStyle name="Normal 2 2 40 2 3" xfId="4590" xr:uid="{00000000-0005-0000-0000-0000792A0000}"/>
    <cellStyle name="Normal 2 2 40 2 3 2" xfId="32210" xr:uid="{00000000-0005-0000-0000-00007A2A0000}"/>
    <cellStyle name="Normal 2 2 40 3" xfId="4591" xr:uid="{00000000-0005-0000-0000-00007B2A0000}"/>
    <cellStyle name="Normal 2 2 40 3 2" xfId="32211" xr:uid="{00000000-0005-0000-0000-00007C2A0000}"/>
    <cellStyle name="Normal 2 2 40 4" xfId="32212" xr:uid="{00000000-0005-0000-0000-00007D2A0000}"/>
    <cellStyle name="Normal 2 2 41" xfId="4592" xr:uid="{00000000-0005-0000-0000-00007E2A0000}"/>
    <cellStyle name="Normal 2 2 41 2" xfId="32213" xr:uid="{00000000-0005-0000-0000-00007F2A0000}"/>
    <cellStyle name="Normal 2 2 42" xfId="4593" xr:uid="{00000000-0005-0000-0000-0000802A0000}"/>
    <cellStyle name="Normal 2 2 42 2" xfId="32214" xr:uid="{00000000-0005-0000-0000-0000812A0000}"/>
    <cellStyle name="Normal 2 2 43" xfId="4594" xr:uid="{00000000-0005-0000-0000-0000822A0000}"/>
    <cellStyle name="Normal 2 2 43 2" xfId="32215" xr:uid="{00000000-0005-0000-0000-0000832A0000}"/>
    <cellStyle name="Normal 2 2 44" xfId="32216" xr:uid="{00000000-0005-0000-0000-0000842A0000}"/>
    <cellStyle name="Normal 2 2 5" xfId="4595" xr:uid="{00000000-0005-0000-0000-0000852A0000}"/>
    <cellStyle name="Normal 2 2 5 10" xfId="4596" xr:uid="{00000000-0005-0000-0000-0000862A0000}"/>
    <cellStyle name="Normal 2 2 5 10 10" xfId="32217" xr:uid="{00000000-0005-0000-0000-0000872A0000}"/>
    <cellStyle name="Normal 2 2 5 10 11" xfId="32218" xr:uid="{00000000-0005-0000-0000-0000882A0000}"/>
    <cellStyle name="Normal 2 2 5 10 2" xfId="4597" xr:uid="{00000000-0005-0000-0000-0000892A0000}"/>
    <cellStyle name="Normal 2 2 5 10 2 10" xfId="32219" xr:uid="{00000000-0005-0000-0000-00008A2A0000}"/>
    <cellStyle name="Normal 2 2 5 10 2 2" xfId="4598" xr:uid="{00000000-0005-0000-0000-00008B2A0000}"/>
    <cellStyle name="Normal 2 2 5 10 2 2 2" xfId="4599" xr:uid="{00000000-0005-0000-0000-00008C2A0000}"/>
    <cellStyle name="Normal 2 2 5 10 2 2 2 2" xfId="4600" xr:uid="{00000000-0005-0000-0000-00008D2A0000}"/>
    <cellStyle name="Normal 2 2 5 10 2 2 2 2 2" xfId="32220" xr:uid="{00000000-0005-0000-0000-00008E2A0000}"/>
    <cellStyle name="Normal 2 2 5 10 2 2 2 3" xfId="4601" xr:uid="{00000000-0005-0000-0000-00008F2A0000}"/>
    <cellStyle name="Normal 2 2 5 10 2 2 2 3 2" xfId="32221" xr:uid="{00000000-0005-0000-0000-0000902A0000}"/>
    <cellStyle name="Normal 2 2 5 10 2 2 2 4" xfId="32222" xr:uid="{00000000-0005-0000-0000-0000912A0000}"/>
    <cellStyle name="Normal 2 2 5 10 2 2 3" xfId="4602" xr:uid="{00000000-0005-0000-0000-0000922A0000}"/>
    <cellStyle name="Normal 2 2 5 10 2 2 3 2" xfId="32223" xr:uid="{00000000-0005-0000-0000-0000932A0000}"/>
    <cellStyle name="Normal 2 2 5 10 2 2 4" xfId="4603" xr:uid="{00000000-0005-0000-0000-0000942A0000}"/>
    <cellStyle name="Normal 2 2 5 10 2 2 4 2" xfId="32224" xr:uid="{00000000-0005-0000-0000-0000952A0000}"/>
    <cellStyle name="Normal 2 2 5 10 2 2 5" xfId="4604" xr:uid="{00000000-0005-0000-0000-0000962A0000}"/>
    <cellStyle name="Normal 2 2 5 10 2 2 5 2" xfId="32225" xr:uid="{00000000-0005-0000-0000-0000972A0000}"/>
    <cellStyle name="Normal 2 2 5 10 2 2 6" xfId="32226" xr:uid="{00000000-0005-0000-0000-0000982A0000}"/>
    <cellStyle name="Normal 2 2 5 10 2 2 6 2" xfId="32227" xr:uid="{00000000-0005-0000-0000-0000992A0000}"/>
    <cellStyle name="Normal 2 2 5 10 2 2 7" xfId="32228" xr:uid="{00000000-0005-0000-0000-00009A2A0000}"/>
    <cellStyle name="Normal 2 2 5 10 2 3" xfId="4605" xr:uid="{00000000-0005-0000-0000-00009B2A0000}"/>
    <cellStyle name="Normal 2 2 5 10 2 3 2" xfId="4606" xr:uid="{00000000-0005-0000-0000-00009C2A0000}"/>
    <cellStyle name="Normal 2 2 5 10 2 3 2 2" xfId="32229" xr:uid="{00000000-0005-0000-0000-00009D2A0000}"/>
    <cellStyle name="Normal 2 2 5 10 2 3 3" xfId="4607" xr:uid="{00000000-0005-0000-0000-00009E2A0000}"/>
    <cellStyle name="Normal 2 2 5 10 2 3 3 2" xfId="32230" xr:uid="{00000000-0005-0000-0000-00009F2A0000}"/>
    <cellStyle name="Normal 2 2 5 10 2 3 4" xfId="32231" xr:uid="{00000000-0005-0000-0000-0000A02A0000}"/>
    <cellStyle name="Normal 2 2 5 10 2 4" xfId="4608" xr:uid="{00000000-0005-0000-0000-0000A12A0000}"/>
    <cellStyle name="Normal 2 2 5 10 2 4 2" xfId="4609" xr:uid="{00000000-0005-0000-0000-0000A22A0000}"/>
    <cellStyle name="Normal 2 2 5 10 2 4 2 2" xfId="32232" xr:uid="{00000000-0005-0000-0000-0000A32A0000}"/>
    <cellStyle name="Normal 2 2 5 10 2 4 3" xfId="32233" xr:uid="{00000000-0005-0000-0000-0000A42A0000}"/>
    <cellStyle name="Normal 2 2 5 10 2 5" xfId="4610" xr:uid="{00000000-0005-0000-0000-0000A52A0000}"/>
    <cellStyle name="Normal 2 2 5 10 2 5 2" xfId="32234" xr:uid="{00000000-0005-0000-0000-0000A62A0000}"/>
    <cellStyle name="Normal 2 2 5 10 2 6" xfId="4611" xr:uid="{00000000-0005-0000-0000-0000A72A0000}"/>
    <cellStyle name="Normal 2 2 5 10 2 6 2" xfId="32235" xr:uid="{00000000-0005-0000-0000-0000A82A0000}"/>
    <cellStyle name="Normal 2 2 5 10 2 7" xfId="32236" xr:uid="{00000000-0005-0000-0000-0000A92A0000}"/>
    <cellStyle name="Normal 2 2 5 10 2 7 2" xfId="32237" xr:uid="{00000000-0005-0000-0000-0000AA2A0000}"/>
    <cellStyle name="Normal 2 2 5 10 2 8" xfId="32238" xr:uid="{00000000-0005-0000-0000-0000AB2A0000}"/>
    <cellStyle name="Normal 2 2 5 10 2 9" xfId="32239" xr:uid="{00000000-0005-0000-0000-0000AC2A0000}"/>
    <cellStyle name="Normal 2 2 5 10 3" xfId="4612" xr:uid="{00000000-0005-0000-0000-0000AD2A0000}"/>
    <cellStyle name="Normal 2 2 5 10 3 2" xfId="4613" xr:uid="{00000000-0005-0000-0000-0000AE2A0000}"/>
    <cellStyle name="Normal 2 2 5 10 3 2 2" xfId="4614" xr:uid="{00000000-0005-0000-0000-0000AF2A0000}"/>
    <cellStyle name="Normal 2 2 5 10 3 2 2 2" xfId="32240" xr:uid="{00000000-0005-0000-0000-0000B02A0000}"/>
    <cellStyle name="Normal 2 2 5 10 3 2 3" xfId="4615" xr:uid="{00000000-0005-0000-0000-0000B12A0000}"/>
    <cellStyle name="Normal 2 2 5 10 3 2 3 2" xfId="32241" xr:uid="{00000000-0005-0000-0000-0000B22A0000}"/>
    <cellStyle name="Normal 2 2 5 10 3 2 4" xfId="32242" xr:uid="{00000000-0005-0000-0000-0000B32A0000}"/>
    <cellStyle name="Normal 2 2 5 10 3 3" xfId="4616" xr:uid="{00000000-0005-0000-0000-0000B42A0000}"/>
    <cellStyle name="Normal 2 2 5 10 3 3 2" xfId="32243" xr:uid="{00000000-0005-0000-0000-0000B52A0000}"/>
    <cellStyle name="Normal 2 2 5 10 3 4" xfId="4617" xr:uid="{00000000-0005-0000-0000-0000B62A0000}"/>
    <cellStyle name="Normal 2 2 5 10 3 4 2" xfId="32244" xr:uid="{00000000-0005-0000-0000-0000B72A0000}"/>
    <cellStyle name="Normal 2 2 5 10 3 5" xfId="4618" xr:uid="{00000000-0005-0000-0000-0000B82A0000}"/>
    <cellStyle name="Normal 2 2 5 10 3 5 2" xfId="32245" xr:uid="{00000000-0005-0000-0000-0000B92A0000}"/>
    <cellStyle name="Normal 2 2 5 10 3 6" xfId="32246" xr:uid="{00000000-0005-0000-0000-0000BA2A0000}"/>
    <cellStyle name="Normal 2 2 5 10 3 6 2" xfId="32247" xr:uid="{00000000-0005-0000-0000-0000BB2A0000}"/>
    <cellStyle name="Normal 2 2 5 10 3 7" xfId="32248" xr:uid="{00000000-0005-0000-0000-0000BC2A0000}"/>
    <cellStyle name="Normal 2 2 5 10 4" xfId="4619" xr:uid="{00000000-0005-0000-0000-0000BD2A0000}"/>
    <cellStyle name="Normal 2 2 5 10 4 2" xfId="4620" xr:uid="{00000000-0005-0000-0000-0000BE2A0000}"/>
    <cellStyle name="Normal 2 2 5 10 4 2 2" xfId="32249" xr:uid="{00000000-0005-0000-0000-0000BF2A0000}"/>
    <cellStyle name="Normal 2 2 5 10 4 3" xfId="4621" xr:uid="{00000000-0005-0000-0000-0000C02A0000}"/>
    <cellStyle name="Normal 2 2 5 10 4 3 2" xfId="32250" xr:uid="{00000000-0005-0000-0000-0000C12A0000}"/>
    <cellStyle name="Normal 2 2 5 10 4 4" xfId="32251" xr:uid="{00000000-0005-0000-0000-0000C22A0000}"/>
    <cellStyle name="Normal 2 2 5 10 5" xfId="4622" xr:uid="{00000000-0005-0000-0000-0000C32A0000}"/>
    <cellStyle name="Normal 2 2 5 10 5 2" xfId="4623" xr:uid="{00000000-0005-0000-0000-0000C42A0000}"/>
    <cellStyle name="Normal 2 2 5 10 5 2 2" xfId="32252" xr:uid="{00000000-0005-0000-0000-0000C52A0000}"/>
    <cellStyle name="Normal 2 2 5 10 5 3" xfId="32253" xr:uid="{00000000-0005-0000-0000-0000C62A0000}"/>
    <cellStyle name="Normal 2 2 5 10 6" xfId="4624" xr:uid="{00000000-0005-0000-0000-0000C72A0000}"/>
    <cellStyle name="Normal 2 2 5 10 6 2" xfId="32254" xr:uid="{00000000-0005-0000-0000-0000C82A0000}"/>
    <cellStyle name="Normal 2 2 5 10 7" xfId="4625" xr:uid="{00000000-0005-0000-0000-0000C92A0000}"/>
    <cellStyle name="Normal 2 2 5 10 7 2" xfId="32255" xr:uid="{00000000-0005-0000-0000-0000CA2A0000}"/>
    <cellStyle name="Normal 2 2 5 10 8" xfId="32256" xr:uid="{00000000-0005-0000-0000-0000CB2A0000}"/>
    <cellStyle name="Normal 2 2 5 10 8 2" xfId="32257" xr:uid="{00000000-0005-0000-0000-0000CC2A0000}"/>
    <cellStyle name="Normal 2 2 5 10 9" xfId="32258" xr:uid="{00000000-0005-0000-0000-0000CD2A0000}"/>
    <cellStyle name="Normal 2 2 5 11" xfId="4626" xr:uid="{00000000-0005-0000-0000-0000CE2A0000}"/>
    <cellStyle name="Normal 2 2 5 11 10" xfId="32259" xr:uid="{00000000-0005-0000-0000-0000CF2A0000}"/>
    <cellStyle name="Normal 2 2 5 11 11" xfId="32260" xr:uid="{00000000-0005-0000-0000-0000D02A0000}"/>
    <cellStyle name="Normal 2 2 5 11 2" xfId="4627" xr:uid="{00000000-0005-0000-0000-0000D12A0000}"/>
    <cellStyle name="Normal 2 2 5 11 2 10" xfId="32261" xr:uid="{00000000-0005-0000-0000-0000D22A0000}"/>
    <cellStyle name="Normal 2 2 5 11 2 2" xfId="4628" xr:uid="{00000000-0005-0000-0000-0000D32A0000}"/>
    <cellStyle name="Normal 2 2 5 11 2 2 2" xfId="4629" xr:uid="{00000000-0005-0000-0000-0000D42A0000}"/>
    <cellStyle name="Normal 2 2 5 11 2 2 2 2" xfId="4630" xr:uid="{00000000-0005-0000-0000-0000D52A0000}"/>
    <cellStyle name="Normal 2 2 5 11 2 2 2 2 2" xfId="32262" xr:uid="{00000000-0005-0000-0000-0000D62A0000}"/>
    <cellStyle name="Normal 2 2 5 11 2 2 2 3" xfId="4631" xr:uid="{00000000-0005-0000-0000-0000D72A0000}"/>
    <cellStyle name="Normal 2 2 5 11 2 2 2 3 2" xfId="32263" xr:uid="{00000000-0005-0000-0000-0000D82A0000}"/>
    <cellStyle name="Normal 2 2 5 11 2 2 2 4" xfId="32264" xr:uid="{00000000-0005-0000-0000-0000D92A0000}"/>
    <cellStyle name="Normal 2 2 5 11 2 2 3" xfId="4632" xr:uid="{00000000-0005-0000-0000-0000DA2A0000}"/>
    <cellStyle name="Normal 2 2 5 11 2 2 3 2" xfId="32265" xr:uid="{00000000-0005-0000-0000-0000DB2A0000}"/>
    <cellStyle name="Normal 2 2 5 11 2 2 4" xfId="4633" xr:uid="{00000000-0005-0000-0000-0000DC2A0000}"/>
    <cellStyle name="Normal 2 2 5 11 2 2 4 2" xfId="32266" xr:uid="{00000000-0005-0000-0000-0000DD2A0000}"/>
    <cellStyle name="Normal 2 2 5 11 2 2 5" xfId="4634" xr:uid="{00000000-0005-0000-0000-0000DE2A0000}"/>
    <cellStyle name="Normal 2 2 5 11 2 2 5 2" xfId="32267" xr:uid="{00000000-0005-0000-0000-0000DF2A0000}"/>
    <cellStyle name="Normal 2 2 5 11 2 2 6" xfId="32268" xr:uid="{00000000-0005-0000-0000-0000E02A0000}"/>
    <cellStyle name="Normal 2 2 5 11 2 2 6 2" xfId="32269" xr:uid="{00000000-0005-0000-0000-0000E12A0000}"/>
    <cellStyle name="Normal 2 2 5 11 2 2 7" xfId="32270" xr:uid="{00000000-0005-0000-0000-0000E22A0000}"/>
    <cellStyle name="Normal 2 2 5 11 2 3" xfId="4635" xr:uid="{00000000-0005-0000-0000-0000E32A0000}"/>
    <cellStyle name="Normal 2 2 5 11 2 3 2" xfId="4636" xr:uid="{00000000-0005-0000-0000-0000E42A0000}"/>
    <cellStyle name="Normal 2 2 5 11 2 3 2 2" xfId="32271" xr:uid="{00000000-0005-0000-0000-0000E52A0000}"/>
    <cellStyle name="Normal 2 2 5 11 2 3 3" xfId="4637" xr:uid="{00000000-0005-0000-0000-0000E62A0000}"/>
    <cellStyle name="Normal 2 2 5 11 2 3 3 2" xfId="32272" xr:uid="{00000000-0005-0000-0000-0000E72A0000}"/>
    <cellStyle name="Normal 2 2 5 11 2 3 4" xfId="32273" xr:uid="{00000000-0005-0000-0000-0000E82A0000}"/>
    <cellStyle name="Normal 2 2 5 11 2 4" xfId="4638" xr:uid="{00000000-0005-0000-0000-0000E92A0000}"/>
    <cellStyle name="Normal 2 2 5 11 2 4 2" xfId="4639" xr:uid="{00000000-0005-0000-0000-0000EA2A0000}"/>
    <cellStyle name="Normal 2 2 5 11 2 4 2 2" xfId="32274" xr:uid="{00000000-0005-0000-0000-0000EB2A0000}"/>
    <cellStyle name="Normal 2 2 5 11 2 4 3" xfId="32275" xr:uid="{00000000-0005-0000-0000-0000EC2A0000}"/>
    <cellStyle name="Normal 2 2 5 11 2 5" xfId="4640" xr:uid="{00000000-0005-0000-0000-0000ED2A0000}"/>
    <cellStyle name="Normal 2 2 5 11 2 5 2" xfId="32276" xr:uid="{00000000-0005-0000-0000-0000EE2A0000}"/>
    <cellStyle name="Normal 2 2 5 11 2 6" xfId="4641" xr:uid="{00000000-0005-0000-0000-0000EF2A0000}"/>
    <cellStyle name="Normal 2 2 5 11 2 6 2" xfId="32277" xr:uid="{00000000-0005-0000-0000-0000F02A0000}"/>
    <cellStyle name="Normal 2 2 5 11 2 7" xfId="32278" xr:uid="{00000000-0005-0000-0000-0000F12A0000}"/>
    <cellStyle name="Normal 2 2 5 11 2 7 2" xfId="32279" xr:uid="{00000000-0005-0000-0000-0000F22A0000}"/>
    <cellStyle name="Normal 2 2 5 11 2 8" xfId="32280" xr:uid="{00000000-0005-0000-0000-0000F32A0000}"/>
    <cellStyle name="Normal 2 2 5 11 2 9" xfId="32281" xr:uid="{00000000-0005-0000-0000-0000F42A0000}"/>
    <cellStyle name="Normal 2 2 5 11 3" xfId="4642" xr:uid="{00000000-0005-0000-0000-0000F52A0000}"/>
    <cellStyle name="Normal 2 2 5 11 3 2" xfId="4643" xr:uid="{00000000-0005-0000-0000-0000F62A0000}"/>
    <cellStyle name="Normal 2 2 5 11 3 2 2" xfId="4644" xr:uid="{00000000-0005-0000-0000-0000F72A0000}"/>
    <cellStyle name="Normal 2 2 5 11 3 2 2 2" xfId="32282" xr:uid="{00000000-0005-0000-0000-0000F82A0000}"/>
    <cellStyle name="Normal 2 2 5 11 3 2 3" xfId="4645" xr:uid="{00000000-0005-0000-0000-0000F92A0000}"/>
    <cellStyle name="Normal 2 2 5 11 3 2 3 2" xfId="32283" xr:uid="{00000000-0005-0000-0000-0000FA2A0000}"/>
    <cellStyle name="Normal 2 2 5 11 3 2 4" xfId="32284" xr:uid="{00000000-0005-0000-0000-0000FB2A0000}"/>
    <cellStyle name="Normal 2 2 5 11 3 3" xfId="4646" xr:uid="{00000000-0005-0000-0000-0000FC2A0000}"/>
    <cellStyle name="Normal 2 2 5 11 3 3 2" xfId="32285" xr:uid="{00000000-0005-0000-0000-0000FD2A0000}"/>
    <cellStyle name="Normal 2 2 5 11 3 4" xfId="4647" xr:uid="{00000000-0005-0000-0000-0000FE2A0000}"/>
    <cellStyle name="Normal 2 2 5 11 3 4 2" xfId="32286" xr:uid="{00000000-0005-0000-0000-0000FF2A0000}"/>
    <cellStyle name="Normal 2 2 5 11 3 5" xfId="4648" xr:uid="{00000000-0005-0000-0000-0000002B0000}"/>
    <cellStyle name="Normal 2 2 5 11 3 5 2" xfId="32287" xr:uid="{00000000-0005-0000-0000-0000012B0000}"/>
    <cellStyle name="Normal 2 2 5 11 3 6" xfId="32288" xr:uid="{00000000-0005-0000-0000-0000022B0000}"/>
    <cellStyle name="Normal 2 2 5 11 3 6 2" xfId="32289" xr:uid="{00000000-0005-0000-0000-0000032B0000}"/>
    <cellStyle name="Normal 2 2 5 11 3 7" xfId="32290" xr:uid="{00000000-0005-0000-0000-0000042B0000}"/>
    <cellStyle name="Normal 2 2 5 11 4" xfId="4649" xr:uid="{00000000-0005-0000-0000-0000052B0000}"/>
    <cellStyle name="Normal 2 2 5 11 4 2" xfId="4650" xr:uid="{00000000-0005-0000-0000-0000062B0000}"/>
    <cellStyle name="Normal 2 2 5 11 4 2 2" xfId="32291" xr:uid="{00000000-0005-0000-0000-0000072B0000}"/>
    <cellStyle name="Normal 2 2 5 11 4 3" xfId="4651" xr:uid="{00000000-0005-0000-0000-0000082B0000}"/>
    <cellStyle name="Normal 2 2 5 11 4 3 2" xfId="32292" xr:uid="{00000000-0005-0000-0000-0000092B0000}"/>
    <cellStyle name="Normal 2 2 5 11 4 4" xfId="32293" xr:uid="{00000000-0005-0000-0000-00000A2B0000}"/>
    <cellStyle name="Normal 2 2 5 11 5" xfId="4652" xr:uid="{00000000-0005-0000-0000-00000B2B0000}"/>
    <cellStyle name="Normal 2 2 5 11 5 2" xfId="4653" xr:uid="{00000000-0005-0000-0000-00000C2B0000}"/>
    <cellStyle name="Normal 2 2 5 11 5 2 2" xfId="32294" xr:uid="{00000000-0005-0000-0000-00000D2B0000}"/>
    <cellStyle name="Normal 2 2 5 11 5 3" xfId="32295" xr:uid="{00000000-0005-0000-0000-00000E2B0000}"/>
    <cellStyle name="Normal 2 2 5 11 6" xfId="4654" xr:uid="{00000000-0005-0000-0000-00000F2B0000}"/>
    <cellStyle name="Normal 2 2 5 11 6 2" xfId="32296" xr:uid="{00000000-0005-0000-0000-0000102B0000}"/>
    <cellStyle name="Normal 2 2 5 11 7" xfId="4655" xr:uid="{00000000-0005-0000-0000-0000112B0000}"/>
    <cellStyle name="Normal 2 2 5 11 7 2" xfId="32297" xr:uid="{00000000-0005-0000-0000-0000122B0000}"/>
    <cellStyle name="Normal 2 2 5 11 8" xfId="32298" xr:uid="{00000000-0005-0000-0000-0000132B0000}"/>
    <cellStyle name="Normal 2 2 5 11 8 2" xfId="32299" xr:uid="{00000000-0005-0000-0000-0000142B0000}"/>
    <cellStyle name="Normal 2 2 5 11 9" xfId="32300" xr:uid="{00000000-0005-0000-0000-0000152B0000}"/>
    <cellStyle name="Normal 2 2 5 12" xfId="4656" xr:uid="{00000000-0005-0000-0000-0000162B0000}"/>
    <cellStyle name="Normal 2 2 5 12 10" xfId="32301" xr:uid="{00000000-0005-0000-0000-0000172B0000}"/>
    <cellStyle name="Normal 2 2 5 12 11" xfId="32302" xr:uid="{00000000-0005-0000-0000-0000182B0000}"/>
    <cellStyle name="Normal 2 2 5 12 2" xfId="4657" xr:uid="{00000000-0005-0000-0000-0000192B0000}"/>
    <cellStyle name="Normal 2 2 5 12 2 10" xfId="32303" xr:uid="{00000000-0005-0000-0000-00001A2B0000}"/>
    <cellStyle name="Normal 2 2 5 12 2 2" xfId="4658" xr:uid="{00000000-0005-0000-0000-00001B2B0000}"/>
    <cellStyle name="Normal 2 2 5 12 2 2 2" xfId="4659" xr:uid="{00000000-0005-0000-0000-00001C2B0000}"/>
    <cellStyle name="Normal 2 2 5 12 2 2 2 2" xfId="4660" xr:uid="{00000000-0005-0000-0000-00001D2B0000}"/>
    <cellStyle name="Normal 2 2 5 12 2 2 2 2 2" xfId="32304" xr:uid="{00000000-0005-0000-0000-00001E2B0000}"/>
    <cellStyle name="Normal 2 2 5 12 2 2 2 3" xfId="4661" xr:uid="{00000000-0005-0000-0000-00001F2B0000}"/>
    <cellStyle name="Normal 2 2 5 12 2 2 2 3 2" xfId="32305" xr:uid="{00000000-0005-0000-0000-0000202B0000}"/>
    <cellStyle name="Normal 2 2 5 12 2 2 2 4" xfId="32306" xr:uid="{00000000-0005-0000-0000-0000212B0000}"/>
    <cellStyle name="Normal 2 2 5 12 2 2 3" xfId="4662" xr:uid="{00000000-0005-0000-0000-0000222B0000}"/>
    <cellStyle name="Normal 2 2 5 12 2 2 3 2" xfId="32307" xr:uid="{00000000-0005-0000-0000-0000232B0000}"/>
    <cellStyle name="Normal 2 2 5 12 2 2 4" xfId="4663" xr:uid="{00000000-0005-0000-0000-0000242B0000}"/>
    <cellStyle name="Normal 2 2 5 12 2 2 4 2" xfId="32308" xr:uid="{00000000-0005-0000-0000-0000252B0000}"/>
    <cellStyle name="Normal 2 2 5 12 2 2 5" xfId="4664" xr:uid="{00000000-0005-0000-0000-0000262B0000}"/>
    <cellStyle name="Normal 2 2 5 12 2 2 5 2" xfId="32309" xr:uid="{00000000-0005-0000-0000-0000272B0000}"/>
    <cellStyle name="Normal 2 2 5 12 2 2 6" xfId="32310" xr:uid="{00000000-0005-0000-0000-0000282B0000}"/>
    <cellStyle name="Normal 2 2 5 12 2 2 6 2" xfId="32311" xr:uid="{00000000-0005-0000-0000-0000292B0000}"/>
    <cellStyle name="Normal 2 2 5 12 2 2 7" xfId="32312" xr:uid="{00000000-0005-0000-0000-00002A2B0000}"/>
    <cellStyle name="Normal 2 2 5 12 2 3" xfId="4665" xr:uid="{00000000-0005-0000-0000-00002B2B0000}"/>
    <cellStyle name="Normal 2 2 5 12 2 3 2" xfId="4666" xr:uid="{00000000-0005-0000-0000-00002C2B0000}"/>
    <cellStyle name="Normal 2 2 5 12 2 3 2 2" xfId="32313" xr:uid="{00000000-0005-0000-0000-00002D2B0000}"/>
    <cellStyle name="Normal 2 2 5 12 2 3 3" xfId="4667" xr:uid="{00000000-0005-0000-0000-00002E2B0000}"/>
    <cellStyle name="Normal 2 2 5 12 2 3 3 2" xfId="32314" xr:uid="{00000000-0005-0000-0000-00002F2B0000}"/>
    <cellStyle name="Normal 2 2 5 12 2 3 4" xfId="32315" xr:uid="{00000000-0005-0000-0000-0000302B0000}"/>
    <cellStyle name="Normal 2 2 5 12 2 4" xfId="4668" xr:uid="{00000000-0005-0000-0000-0000312B0000}"/>
    <cellStyle name="Normal 2 2 5 12 2 4 2" xfId="4669" xr:uid="{00000000-0005-0000-0000-0000322B0000}"/>
    <cellStyle name="Normal 2 2 5 12 2 4 2 2" xfId="32316" xr:uid="{00000000-0005-0000-0000-0000332B0000}"/>
    <cellStyle name="Normal 2 2 5 12 2 4 3" xfId="32317" xr:uid="{00000000-0005-0000-0000-0000342B0000}"/>
    <cellStyle name="Normal 2 2 5 12 2 5" xfId="4670" xr:uid="{00000000-0005-0000-0000-0000352B0000}"/>
    <cellStyle name="Normal 2 2 5 12 2 5 2" xfId="32318" xr:uid="{00000000-0005-0000-0000-0000362B0000}"/>
    <cellStyle name="Normal 2 2 5 12 2 6" xfId="4671" xr:uid="{00000000-0005-0000-0000-0000372B0000}"/>
    <cellStyle name="Normal 2 2 5 12 2 6 2" xfId="32319" xr:uid="{00000000-0005-0000-0000-0000382B0000}"/>
    <cellStyle name="Normal 2 2 5 12 2 7" xfId="32320" xr:uid="{00000000-0005-0000-0000-0000392B0000}"/>
    <cellStyle name="Normal 2 2 5 12 2 7 2" xfId="32321" xr:uid="{00000000-0005-0000-0000-00003A2B0000}"/>
    <cellStyle name="Normal 2 2 5 12 2 8" xfId="32322" xr:uid="{00000000-0005-0000-0000-00003B2B0000}"/>
    <cellStyle name="Normal 2 2 5 12 2 9" xfId="32323" xr:uid="{00000000-0005-0000-0000-00003C2B0000}"/>
    <cellStyle name="Normal 2 2 5 12 3" xfId="4672" xr:uid="{00000000-0005-0000-0000-00003D2B0000}"/>
    <cellStyle name="Normal 2 2 5 12 3 2" xfId="4673" xr:uid="{00000000-0005-0000-0000-00003E2B0000}"/>
    <cellStyle name="Normal 2 2 5 12 3 2 2" xfId="4674" xr:uid="{00000000-0005-0000-0000-00003F2B0000}"/>
    <cellStyle name="Normal 2 2 5 12 3 2 2 2" xfId="32324" xr:uid="{00000000-0005-0000-0000-0000402B0000}"/>
    <cellStyle name="Normal 2 2 5 12 3 2 3" xfId="4675" xr:uid="{00000000-0005-0000-0000-0000412B0000}"/>
    <cellStyle name="Normal 2 2 5 12 3 2 3 2" xfId="32325" xr:uid="{00000000-0005-0000-0000-0000422B0000}"/>
    <cellStyle name="Normal 2 2 5 12 3 2 4" xfId="32326" xr:uid="{00000000-0005-0000-0000-0000432B0000}"/>
    <cellStyle name="Normal 2 2 5 12 3 3" xfId="4676" xr:uid="{00000000-0005-0000-0000-0000442B0000}"/>
    <cellStyle name="Normal 2 2 5 12 3 3 2" xfId="32327" xr:uid="{00000000-0005-0000-0000-0000452B0000}"/>
    <cellStyle name="Normal 2 2 5 12 3 4" xfId="4677" xr:uid="{00000000-0005-0000-0000-0000462B0000}"/>
    <cellStyle name="Normal 2 2 5 12 3 4 2" xfId="32328" xr:uid="{00000000-0005-0000-0000-0000472B0000}"/>
    <cellStyle name="Normal 2 2 5 12 3 5" xfId="4678" xr:uid="{00000000-0005-0000-0000-0000482B0000}"/>
    <cellStyle name="Normal 2 2 5 12 3 5 2" xfId="32329" xr:uid="{00000000-0005-0000-0000-0000492B0000}"/>
    <cellStyle name="Normal 2 2 5 12 3 6" xfId="32330" xr:uid="{00000000-0005-0000-0000-00004A2B0000}"/>
    <cellStyle name="Normal 2 2 5 12 3 6 2" xfId="32331" xr:uid="{00000000-0005-0000-0000-00004B2B0000}"/>
    <cellStyle name="Normal 2 2 5 12 3 7" xfId="32332" xr:uid="{00000000-0005-0000-0000-00004C2B0000}"/>
    <cellStyle name="Normal 2 2 5 12 4" xfId="4679" xr:uid="{00000000-0005-0000-0000-00004D2B0000}"/>
    <cellStyle name="Normal 2 2 5 12 4 2" xfId="4680" xr:uid="{00000000-0005-0000-0000-00004E2B0000}"/>
    <cellStyle name="Normal 2 2 5 12 4 2 2" xfId="32333" xr:uid="{00000000-0005-0000-0000-00004F2B0000}"/>
    <cellStyle name="Normal 2 2 5 12 4 3" xfId="4681" xr:uid="{00000000-0005-0000-0000-0000502B0000}"/>
    <cellStyle name="Normal 2 2 5 12 4 3 2" xfId="32334" xr:uid="{00000000-0005-0000-0000-0000512B0000}"/>
    <cellStyle name="Normal 2 2 5 12 4 4" xfId="32335" xr:uid="{00000000-0005-0000-0000-0000522B0000}"/>
    <cellStyle name="Normal 2 2 5 12 5" xfId="4682" xr:uid="{00000000-0005-0000-0000-0000532B0000}"/>
    <cellStyle name="Normal 2 2 5 12 5 2" xfId="4683" xr:uid="{00000000-0005-0000-0000-0000542B0000}"/>
    <cellStyle name="Normal 2 2 5 12 5 2 2" xfId="32336" xr:uid="{00000000-0005-0000-0000-0000552B0000}"/>
    <cellStyle name="Normal 2 2 5 12 5 3" xfId="32337" xr:uid="{00000000-0005-0000-0000-0000562B0000}"/>
    <cellStyle name="Normal 2 2 5 12 6" xfId="4684" xr:uid="{00000000-0005-0000-0000-0000572B0000}"/>
    <cellStyle name="Normal 2 2 5 12 6 2" xfId="32338" xr:uid="{00000000-0005-0000-0000-0000582B0000}"/>
    <cellStyle name="Normal 2 2 5 12 7" xfId="4685" xr:uid="{00000000-0005-0000-0000-0000592B0000}"/>
    <cellStyle name="Normal 2 2 5 12 7 2" xfId="32339" xr:uid="{00000000-0005-0000-0000-00005A2B0000}"/>
    <cellStyle name="Normal 2 2 5 12 8" xfId="32340" xr:uid="{00000000-0005-0000-0000-00005B2B0000}"/>
    <cellStyle name="Normal 2 2 5 12 8 2" xfId="32341" xr:uid="{00000000-0005-0000-0000-00005C2B0000}"/>
    <cellStyle name="Normal 2 2 5 12 9" xfId="32342" xr:uid="{00000000-0005-0000-0000-00005D2B0000}"/>
    <cellStyle name="Normal 2 2 5 13" xfId="4686" xr:uid="{00000000-0005-0000-0000-00005E2B0000}"/>
    <cellStyle name="Normal 2 2 5 13 10" xfId="32343" xr:uid="{00000000-0005-0000-0000-00005F2B0000}"/>
    <cellStyle name="Normal 2 2 5 13 11" xfId="32344" xr:uid="{00000000-0005-0000-0000-0000602B0000}"/>
    <cellStyle name="Normal 2 2 5 13 2" xfId="4687" xr:uid="{00000000-0005-0000-0000-0000612B0000}"/>
    <cellStyle name="Normal 2 2 5 13 2 10" xfId="32345" xr:uid="{00000000-0005-0000-0000-0000622B0000}"/>
    <cellStyle name="Normal 2 2 5 13 2 2" xfId="4688" xr:uid="{00000000-0005-0000-0000-0000632B0000}"/>
    <cellStyle name="Normal 2 2 5 13 2 2 2" xfId="4689" xr:uid="{00000000-0005-0000-0000-0000642B0000}"/>
    <cellStyle name="Normal 2 2 5 13 2 2 2 2" xfId="4690" xr:uid="{00000000-0005-0000-0000-0000652B0000}"/>
    <cellStyle name="Normal 2 2 5 13 2 2 2 2 2" xfId="32346" xr:uid="{00000000-0005-0000-0000-0000662B0000}"/>
    <cellStyle name="Normal 2 2 5 13 2 2 2 3" xfId="4691" xr:uid="{00000000-0005-0000-0000-0000672B0000}"/>
    <cellStyle name="Normal 2 2 5 13 2 2 2 3 2" xfId="32347" xr:uid="{00000000-0005-0000-0000-0000682B0000}"/>
    <cellStyle name="Normal 2 2 5 13 2 2 2 4" xfId="32348" xr:uid="{00000000-0005-0000-0000-0000692B0000}"/>
    <cellStyle name="Normal 2 2 5 13 2 2 3" xfId="4692" xr:uid="{00000000-0005-0000-0000-00006A2B0000}"/>
    <cellStyle name="Normal 2 2 5 13 2 2 3 2" xfId="32349" xr:uid="{00000000-0005-0000-0000-00006B2B0000}"/>
    <cellStyle name="Normal 2 2 5 13 2 2 4" xfId="4693" xr:uid="{00000000-0005-0000-0000-00006C2B0000}"/>
    <cellStyle name="Normal 2 2 5 13 2 2 4 2" xfId="32350" xr:uid="{00000000-0005-0000-0000-00006D2B0000}"/>
    <cellStyle name="Normal 2 2 5 13 2 2 5" xfId="4694" xr:uid="{00000000-0005-0000-0000-00006E2B0000}"/>
    <cellStyle name="Normal 2 2 5 13 2 2 5 2" xfId="32351" xr:uid="{00000000-0005-0000-0000-00006F2B0000}"/>
    <cellStyle name="Normal 2 2 5 13 2 2 6" xfId="32352" xr:uid="{00000000-0005-0000-0000-0000702B0000}"/>
    <cellStyle name="Normal 2 2 5 13 2 2 6 2" xfId="32353" xr:uid="{00000000-0005-0000-0000-0000712B0000}"/>
    <cellStyle name="Normal 2 2 5 13 2 2 7" xfId="32354" xr:uid="{00000000-0005-0000-0000-0000722B0000}"/>
    <cellStyle name="Normal 2 2 5 13 2 3" xfId="4695" xr:uid="{00000000-0005-0000-0000-0000732B0000}"/>
    <cellStyle name="Normal 2 2 5 13 2 3 2" xfId="4696" xr:uid="{00000000-0005-0000-0000-0000742B0000}"/>
    <cellStyle name="Normal 2 2 5 13 2 3 2 2" xfId="32355" xr:uid="{00000000-0005-0000-0000-0000752B0000}"/>
    <cellStyle name="Normal 2 2 5 13 2 3 3" xfId="4697" xr:uid="{00000000-0005-0000-0000-0000762B0000}"/>
    <cellStyle name="Normal 2 2 5 13 2 3 3 2" xfId="32356" xr:uid="{00000000-0005-0000-0000-0000772B0000}"/>
    <cellStyle name="Normal 2 2 5 13 2 3 4" xfId="32357" xr:uid="{00000000-0005-0000-0000-0000782B0000}"/>
    <cellStyle name="Normal 2 2 5 13 2 4" xfId="4698" xr:uid="{00000000-0005-0000-0000-0000792B0000}"/>
    <cellStyle name="Normal 2 2 5 13 2 4 2" xfId="4699" xr:uid="{00000000-0005-0000-0000-00007A2B0000}"/>
    <cellStyle name="Normal 2 2 5 13 2 4 2 2" xfId="32358" xr:uid="{00000000-0005-0000-0000-00007B2B0000}"/>
    <cellStyle name="Normal 2 2 5 13 2 4 3" xfId="32359" xr:uid="{00000000-0005-0000-0000-00007C2B0000}"/>
    <cellStyle name="Normal 2 2 5 13 2 5" xfId="4700" xr:uid="{00000000-0005-0000-0000-00007D2B0000}"/>
    <cellStyle name="Normal 2 2 5 13 2 5 2" xfId="32360" xr:uid="{00000000-0005-0000-0000-00007E2B0000}"/>
    <cellStyle name="Normal 2 2 5 13 2 6" xfId="4701" xr:uid="{00000000-0005-0000-0000-00007F2B0000}"/>
    <cellStyle name="Normal 2 2 5 13 2 6 2" xfId="32361" xr:uid="{00000000-0005-0000-0000-0000802B0000}"/>
    <cellStyle name="Normal 2 2 5 13 2 7" xfId="32362" xr:uid="{00000000-0005-0000-0000-0000812B0000}"/>
    <cellStyle name="Normal 2 2 5 13 2 7 2" xfId="32363" xr:uid="{00000000-0005-0000-0000-0000822B0000}"/>
    <cellStyle name="Normal 2 2 5 13 2 8" xfId="32364" xr:uid="{00000000-0005-0000-0000-0000832B0000}"/>
    <cellStyle name="Normal 2 2 5 13 2 9" xfId="32365" xr:uid="{00000000-0005-0000-0000-0000842B0000}"/>
    <cellStyle name="Normal 2 2 5 13 3" xfId="4702" xr:uid="{00000000-0005-0000-0000-0000852B0000}"/>
    <cellStyle name="Normal 2 2 5 13 3 2" xfId="4703" xr:uid="{00000000-0005-0000-0000-0000862B0000}"/>
    <cellStyle name="Normal 2 2 5 13 3 2 2" xfId="4704" xr:uid="{00000000-0005-0000-0000-0000872B0000}"/>
    <cellStyle name="Normal 2 2 5 13 3 2 2 2" xfId="32366" xr:uid="{00000000-0005-0000-0000-0000882B0000}"/>
    <cellStyle name="Normal 2 2 5 13 3 2 3" xfId="4705" xr:uid="{00000000-0005-0000-0000-0000892B0000}"/>
    <cellStyle name="Normal 2 2 5 13 3 2 3 2" xfId="32367" xr:uid="{00000000-0005-0000-0000-00008A2B0000}"/>
    <cellStyle name="Normal 2 2 5 13 3 2 4" xfId="32368" xr:uid="{00000000-0005-0000-0000-00008B2B0000}"/>
    <cellStyle name="Normal 2 2 5 13 3 3" xfId="4706" xr:uid="{00000000-0005-0000-0000-00008C2B0000}"/>
    <cellStyle name="Normal 2 2 5 13 3 3 2" xfId="32369" xr:uid="{00000000-0005-0000-0000-00008D2B0000}"/>
    <cellStyle name="Normal 2 2 5 13 3 4" xfId="4707" xr:uid="{00000000-0005-0000-0000-00008E2B0000}"/>
    <cellStyle name="Normal 2 2 5 13 3 4 2" xfId="32370" xr:uid="{00000000-0005-0000-0000-00008F2B0000}"/>
    <cellStyle name="Normal 2 2 5 13 3 5" xfId="4708" xr:uid="{00000000-0005-0000-0000-0000902B0000}"/>
    <cellStyle name="Normal 2 2 5 13 3 5 2" xfId="32371" xr:uid="{00000000-0005-0000-0000-0000912B0000}"/>
    <cellStyle name="Normal 2 2 5 13 3 6" xfId="32372" xr:uid="{00000000-0005-0000-0000-0000922B0000}"/>
    <cellStyle name="Normal 2 2 5 13 3 6 2" xfId="32373" xr:uid="{00000000-0005-0000-0000-0000932B0000}"/>
    <cellStyle name="Normal 2 2 5 13 3 7" xfId="32374" xr:uid="{00000000-0005-0000-0000-0000942B0000}"/>
    <cellStyle name="Normal 2 2 5 13 4" xfId="4709" xr:uid="{00000000-0005-0000-0000-0000952B0000}"/>
    <cellStyle name="Normal 2 2 5 13 4 2" xfId="4710" xr:uid="{00000000-0005-0000-0000-0000962B0000}"/>
    <cellStyle name="Normal 2 2 5 13 4 2 2" xfId="32375" xr:uid="{00000000-0005-0000-0000-0000972B0000}"/>
    <cellStyle name="Normal 2 2 5 13 4 3" xfId="4711" xr:uid="{00000000-0005-0000-0000-0000982B0000}"/>
    <cellStyle name="Normal 2 2 5 13 4 3 2" xfId="32376" xr:uid="{00000000-0005-0000-0000-0000992B0000}"/>
    <cellStyle name="Normal 2 2 5 13 4 4" xfId="32377" xr:uid="{00000000-0005-0000-0000-00009A2B0000}"/>
    <cellStyle name="Normal 2 2 5 13 5" xfId="4712" xr:uid="{00000000-0005-0000-0000-00009B2B0000}"/>
    <cellStyle name="Normal 2 2 5 13 5 2" xfId="4713" xr:uid="{00000000-0005-0000-0000-00009C2B0000}"/>
    <cellStyle name="Normal 2 2 5 13 5 2 2" xfId="32378" xr:uid="{00000000-0005-0000-0000-00009D2B0000}"/>
    <cellStyle name="Normal 2 2 5 13 5 3" xfId="32379" xr:uid="{00000000-0005-0000-0000-00009E2B0000}"/>
    <cellStyle name="Normal 2 2 5 13 6" xfId="4714" xr:uid="{00000000-0005-0000-0000-00009F2B0000}"/>
    <cellStyle name="Normal 2 2 5 13 6 2" xfId="32380" xr:uid="{00000000-0005-0000-0000-0000A02B0000}"/>
    <cellStyle name="Normal 2 2 5 13 7" xfId="4715" xr:uid="{00000000-0005-0000-0000-0000A12B0000}"/>
    <cellStyle name="Normal 2 2 5 13 7 2" xfId="32381" xr:uid="{00000000-0005-0000-0000-0000A22B0000}"/>
    <cellStyle name="Normal 2 2 5 13 8" xfId="32382" xr:uid="{00000000-0005-0000-0000-0000A32B0000}"/>
    <cellStyle name="Normal 2 2 5 13 8 2" xfId="32383" xr:uid="{00000000-0005-0000-0000-0000A42B0000}"/>
    <cellStyle name="Normal 2 2 5 13 9" xfId="32384" xr:uid="{00000000-0005-0000-0000-0000A52B0000}"/>
    <cellStyle name="Normal 2 2 5 14" xfId="4716" xr:uid="{00000000-0005-0000-0000-0000A62B0000}"/>
    <cellStyle name="Normal 2 2 5 14 10" xfId="32385" xr:uid="{00000000-0005-0000-0000-0000A72B0000}"/>
    <cellStyle name="Normal 2 2 5 14 11" xfId="32386" xr:uid="{00000000-0005-0000-0000-0000A82B0000}"/>
    <cellStyle name="Normal 2 2 5 14 2" xfId="4717" xr:uid="{00000000-0005-0000-0000-0000A92B0000}"/>
    <cellStyle name="Normal 2 2 5 14 2 10" xfId="32387" xr:uid="{00000000-0005-0000-0000-0000AA2B0000}"/>
    <cellStyle name="Normal 2 2 5 14 2 2" xfId="4718" xr:uid="{00000000-0005-0000-0000-0000AB2B0000}"/>
    <cellStyle name="Normal 2 2 5 14 2 2 2" xfId="4719" xr:uid="{00000000-0005-0000-0000-0000AC2B0000}"/>
    <cellStyle name="Normal 2 2 5 14 2 2 2 2" xfId="4720" xr:uid="{00000000-0005-0000-0000-0000AD2B0000}"/>
    <cellStyle name="Normal 2 2 5 14 2 2 2 2 2" xfId="32388" xr:uid="{00000000-0005-0000-0000-0000AE2B0000}"/>
    <cellStyle name="Normal 2 2 5 14 2 2 2 3" xfId="4721" xr:uid="{00000000-0005-0000-0000-0000AF2B0000}"/>
    <cellStyle name="Normal 2 2 5 14 2 2 2 3 2" xfId="32389" xr:uid="{00000000-0005-0000-0000-0000B02B0000}"/>
    <cellStyle name="Normal 2 2 5 14 2 2 2 4" xfId="32390" xr:uid="{00000000-0005-0000-0000-0000B12B0000}"/>
    <cellStyle name="Normal 2 2 5 14 2 2 3" xfId="4722" xr:uid="{00000000-0005-0000-0000-0000B22B0000}"/>
    <cellStyle name="Normal 2 2 5 14 2 2 3 2" xfId="32391" xr:uid="{00000000-0005-0000-0000-0000B32B0000}"/>
    <cellStyle name="Normal 2 2 5 14 2 2 4" xfId="4723" xr:uid="{00000000-0005-0000-0000-0000B42B0000}"/>
    <cellStyle name="Normal 2 2 5 14 2 2 4 2" xfId="32392" xr:uid="{00000000-0005-0000-0000-0000B52B0000}"/>
    <cellStyle name="Normal 2 2 5 14 2 2 5" xfId="4724" xr:uid="{00000000-0005-0000-0000-0000B62B0000}"/>
    <cellStyle name="Normal 2 2 5 14 2 2 5 2" xfId="32393" xr:uid="{00000000-0005-0000-0000-0000B72B0000}"/>
    <cellStyle name="Normal 2 2 5 14 2 2 6" xfId="32394" xr:uid="{00000000-0005-0000-0000-0000B82B0000}"/>
    <cellStyle name="Normal 2 2 5 14 2 2 6 2" xfId="32395" xr:uid="{00000000-0005-0000-0000-0000B92B0000}"/>
    <cellStyle name="Normal 2 2 5 14 2 2 7" xfId="32396" xr:uid="{00000000-0005-0000-0000-0000BA2B0000}"/>
    <cellStyle name="Normal 2 2 5 14 2 3" xfId="4725" xr:uid="{00000000-0005-0000-0000-0000BB2B0000}"/>
    <cellStyle name="Normal 2 2 5 14 2 3 2" xfId="4726" xr:uid="{00000000-0005-0000-0000-0000BC2B0000}"/>
    <cellStyle name="Normal 2 2 5 14 2 3 2 2" xfId="32397" xr:uid="{00000000-0005-0000-0000-0000BD2B0000}"/>
    <cellStyle name="Normal 2 2 5 14 2 3 3" xfId="4727" xr:uid="{00000000-0005-0000-0000-0000BE2B0000}"/>
    <cellStyle name="Normal 2 2 5 14 2 3 3 2" xfId="32398" xr:uid="{00000000-0005-0000-0000-0000BF2B0000}"/>
    <cellStyle name="Normal 2 2 5 14 2 3 4" xfId="32399" xr:uid="{00000000-0005-0000-0000-0000C02B0000}"/>
    <cellStyle name="Normal 2 2 5 14 2 4" xfId="4728" xr:uid="{00000000-0005-0000-0000-0000C12B0000}"/>
    <cellStyle name="Normal 2 2 5 14 2 4 2" xfId="4729" xr:uid="{00000000-0005-0000-0000-0000C22B0000}"/>
    <cellStyle name="Normal 2 2 5 14 2 4 2 2" xfId="32400" xr:uid="{00000000-0005-0000-0000-0000C32B0000}"/>
    <cellStyle name="Normal 2 2 5 14 2 4 3" xfId="32401" xr:uid="{00000000-0005-0000-0000-0000C42B0000}"/>
    <cellStyle name="Normal 2 2 5 14 2 5" xfId="4730" xr:uid="{00000000-0005-0000-0000-0000C52B0000}"/>
    <cellStyle name="Normal 2 2 5 14 2 5 2" xfId="32402" xr:uid="{00000000-0005-0000-0000-0000C62B0000}"/>
    <cellStyle name="Normal 2 2 5 14 2 6" xfId="4731" xr:uid="{00000000-0005-0000-0000-0000C72B0000}"/>
    <cellStyle name="Normal 2 2 5 14 2 6 2" xfId="32403" xr:uid="{00000000-0005-0000-0000-0000C82B0000}"/>
    <cellStyle name="Normal 2 2 5 14 2 7" xfId="32404" xr:uid="{00000000-0005-0000-0000-0000C92B0000}"/>
    <cellStyle name="Normal 2 2 5 14 2 7 2" xfId="32405" xr:uid="{00000000-0005-0000-0000-0000CA2B0000}"/>
    <cellStyle name="Normal 2 2 5 14 2 8" xfId="32406" xr:uid="{00000000-0005-0000-0000-0000CB2B0000}"/>
    <cellStyle name="Normal 2 2 5 14 2 9" xfId="32407" xr:uid="{00000000-0005-0000-0000-0000CC2B0000}"/>
    <cellStyle name="Normal 2 2 5 14 3" xfId="4732" xr:uid="{00000000-0005-0000-0000-0000CD2B0000}"/>
    <cellStyle name="Normal 2 2 5 14 3 2" xfId="4733" xr:uid="{00000000-0005-0000-0000-0000CE2B0000}"/>
    <cellStyle name="Normal 2 2 5 14 3 2 2" xfId="4734" xr:uid="{00000000-0005-0000-0000-0000CF2B0000}"/>
    <cellStyle name="Normal 2 2 5 14 3 2 2 2" xfId="32408" xr:uid="{00000000-0005-0000-0000-0000D02B0000}"/>
    <cellStyle name="Normal 2 2 5 14 3 2 3" xfId="4735" xr:uid="{00000000-0005-0000-0000-0000D12B0000}"/>
    <cellStyle name="Normal 2 2 5 14 3 2 3 2" xfId="32409" xr:uid="{00000000-0005-0000-0000-0000D22B0000}"/>
    <cellStyle name="Normal 2 2 5 14 3 2 4" xfId="32410" xr:uid="{00000000-0005-0000-0000-0000D32B0000}"/>
    <cellStyle name="Normal 2 2 5 14 3 3" xfId="4736" xr:uid="{00000000-0005-0000-0000-0000D42B0000}"/>
    <cellStyle name="Normal 2 2 5 14 3 3 2" xfId="32411" xr:uid="{00000000-0005-0000-0000-0000D52B0000}"/>
    <cellStyle name="Normal 2 2 5 14 3 4" xfId="4737" xr:uid="{00000000-0005-0000-0000-0000D62B0000}"/>
    <cellStyle name="Normal 2 2 5 14 3 4 2" xfId="32412" xr:uid="{00000000-0005-0000-0000-0000D72B0000}"/>
    <cellStyle name="Normal 2 2 5 14 3 5" xfId="4738" xr:uid="{00000000-0005-0000-0000-0000D82B0000}"/>
    <cellStyle name="Normal 2 2 5 14 3 5 2" xfId="32413" xr:uid="{00000000-0005-0000-0000-0000D92B0000}"/>
    <cellStyle name="Normal 2 2 5 14 3 6" xfId="32414" xr:uid="{00000000-0005-0000-0000-0000DA2B0000}"/>
    <cellStyle name="Normal 2 2 5 14 3 6 2" xfId="32415" xr:uid="{00000000-0005-0000-0000-0000DB2B0000}"/>
    <cellStyle name="Normal 2 2 5 14 3 7" xfId="32416" xr:uid="{00000000-0005-0000-0000-0000DC2B0000}"/>
    <cellStyle name="Normal 2 2 5 14 4" xfId="4739" xr:uid="{00000000-0005-0000-0000-0000DD2B0000}"/>
    <cellStyle name="Normal 2 2 5 14 4 2" xfId="4740" xr:uid="{00000000-0005-0000-0000-0000DE2B0000}"/>
    <cellStyle name="Normal 2 2 5 14 4 2 2" xfId="32417" xr:uid="{00000000-0005-0000-0000-0000DF2B0000}"/>
    <cellStyle name="Normal 2 2 5 14 4 3" xfId="4741" xr:uid="{00000000-0005-0000-0000-0000E02B0000}"/>
    <cellStyle name="Normal 2 2 5 14 4 3 2" xfId="32418" xr:uid="{00000000-0005-0000-0000-0000E12B0000}"/>
    <cellStyle name="Normal 2 2 5 14 4 4" xfId="32419" xr:uid="{00000000-0005-0000-0000-0000E22B0000}"/>
    <cellStyle name="Normal 2 2 5 14 5" xfId="4742" xr:uid="{00000000-0005-0000-0000-0000E32B0000}"/>
    <cellStyle name="Normal 2 2 5 14 5 2" xfId="4743" xr:uid="{00000000-0005-0000-0000-0000E42B0000}"/>
    <cellStyle name="Normal 2 2 5 14 5 2 2" xfId="32420" xr:uid="{00000000-0005-0000-0000-0000E52B0000}"/>
    <cellStyle name="Normal 2 2 5 14 5 3" xfId="32421" xr:uid="{00000000-0005-0000-0000-0000E62B0000}"/>
    <cellStyle name="Normal 2 2 5 14 6" xfId="4744" xr:uid="{00000000-0005-0000-0000-0000E72B0000}"/>
    <cellStyle name="Normal 2 2 5 14 6 2" xfId="32422" xr:uid="{00000000-0005-0000-0000-0000E82B0000}"/>
    <cellStyle name="Normal 2 2 5 14 7" xfId="4745" xr:uid="{00000000-0005-0000-0000-0000E92B0000}"/>
    <cellStyle name="Normal 2 2 5 14 7 2" xfId="32423" xr:uid="{00000000-0005-0000-0000-0000EA2B0000}"/>
    <cellStyle name="Normal 2 2 5 14 8" xfId="32424" xr:uid="{00000000-0005-0000-0000-0000EB2B0000}"/>
    <cellStyle name="Normal 2 2 5 14 8 2" xfId="32425" xr:uid="{00000000-0005-0000-0000-0000EC2B0000}"/>
    <cellStyle name="Normal 2 2 5 14 9" xfId="32426" xr:uid="{00000000-0005-0000-0000-0000ED2B0000}"/>
    <cellStyle name="Normal 2 2 5 15" xfId="4746" xr:uid="{00000000-0005-0000-0000-0000EE2B0000}"/>
    <cellStyle name="Normal 2 2 5 15 10" xfId="32427" xr:uid="{00000000-0005-0000-0000-0000EF2B0000}"/>
    <cellStyle name="Normal 2 2 5 15 11" xfId="32428" xr:uid="{00000000-0005-0000-0000-0000F02B0000}"/>
    <cellStyle name="Normal 2 2 5 15 2" xfId="4747" xr:uid="{00000000-0005-0000-0000-0000F12B0000}"/>
    <cellStyle name="Normal 2 2 5 15 2 10" xfId="32429" xr:uid="{00000000-0005-0000-0000-0000F22B0000}"/>
    <cellStyle name="Normal 2 2 5 15 2 2" xfId="4748" xr:uid="{00000000-0005-0000-0000-0000F32B0000}"/>
    <cellStyle name="Normal 2 2 5 15 2 2 2" xfId="4749" xr:uid="{00000000-0005-0000-0000-0000F42B0000}"/>
    <cellStyle name="Normal 2 2 5 15 2 2 2 2" xfId="4750" xr:uid="{00000000-0005-0000-0000-0000F52B0000}"/>
    <cellStyle name="Normal 2 2 5 15 2 2 2 2 2" xfId="32430" xr:uid="{00000000-0005-0000-0000-0000F62B0000}"/>
    <cellStyle name="Normal 2 2 5 15 2 2 2 3" xfId="4751" xr:uid="{00000000-0005-0000-0000-0000F72B0000}"/>
    <cellStyle name="Normal 2 2 5 15 2 2 2 3 2" xfId="32431" xr:uid="{00000000-0005-0000-0000-0000F82B0000}"/>
    <cellStyle name="Normal 2 2 5 15 2 2 2 4" xfId="32432" xr:uid="{00000000-0005-0000-0000-0000F92B0000}"/>
    <cellStyle name="Normal 2 2 5 15 2 2 3" xfId="4752" xr:uid="{00000000-0005-0000-0000-0000FA2B0000}"/>
    <cellStyle name="Normal 2 2 5 15 2 2 3 2" xfId="32433" xr:uid="{00000000-0005-0000-0000-0000FB2B0000}"/>
    <cellStyle name="Normal 2 2 5 15 2 2 4" xfId="4753" xr:uid="{00000000-0005-0000-0000-0000FC2B0000}"/>
    <cellStyle name="Normal 2 2 5 15 2 2 4 2" xfId="32434" xr:uid="{00000000-0005-0000-0000-0000FD2B0000}"/>
    <cellStyle name="Normal 2 2 5 15 2 2 5" xfId="4754" xr:uid="{00000000-0005-0000-0000-0000FE2B0000}"/>
    <cellStyle name="Normal 2 2 5 15 2 2 5 2" xfId="32435" xr:uid="{00000000-0005-0000-0000-0000FF2B0000}"/>
    <cellStyle name="Normal 2 2 5 15 2 2 6" xfId="32436" xr:uid="{00000000-0005-0000-0000-0000002C0000}"/>
    <cellStyle name="Normal 2 2 5 15 2 2 6 2" xfId="32437" xr:uid="{00000000-0005-0000-0000-0000012C0000}"/>
    <cellStyle name="Normal 2 2 5 15 2 2 7" xfId="32438" xr:uid="{00000000-0005-0000-0000-0000022C0000}"/>
    <cellStyle name="Normal 2 2 5 15 2 3" xfId="4755" xr:uid="{00000000-0005-0000-0000-0000032C0000}"/>
    <cellStyle name="Normal 2 2 5 15 2 3 2" xfId="4756" xr:uid="{00000000-0005-0000-0000-0000042C0000}"/>
    <cellStyle name="Normal 2 2 5 15 2 3 2 2" xfId="32439" xr:uid="{00000000-0005-0000-0000-0000052C0000}"/>
    <cellStyle name="Normal 2 2 5 15 2 3 3" xfId="4757" xr:uid="{00000000-0005-0000-0000-0000062C0000}"/>
    <cellStyle name="Normal 2 2 5 15 2 3 3 2" xfId="32440" xr:uid="{00000000-0005-0000-0000-0000072C0000}"/>
    <cellStyle name="Normal 2 2 5 15 2 3 4" xfId="32441" xr:uid="{00000000-0005-0000-0000-0000082C0000}"/>
    <cellStyle name="Normal 2 2 5 15 2 4" xfId="4758" xr:uid="{00000000-0005-0000-0000-0000092C0000}"/>
    <cellStyle name="Normal 2 2 5 15 2 4 2" xfId="4759" xr:uid="{00000000-0005-0000-0000-00000A2C0000}"/>
    <cellStyle name="Normal 2 2 5 15 2 4 2 2" xfId="32442" xr:uid="{00000000-0005-0000-0000-00000B2C0000}"/>
    <cellStyle name="Normal 2 2 5 15 2 4 3" xfId="32443" xr:uid="{00000000-0005-0000-0000-00000C2C0000}"/>
    <cellStyle name="Normal 2 2 5 15 2 5" xfId="4760" xr:uid="{00000000-0005-0000-0000-00000D2C0000}"/>
    <cellStyle name="Normal 2 2 5 15 2 5 2" xfId="32444" xr:uid="{00000000-0005-0000-0000-00000E2C0000}"/>
    <cellStyle name="Normal 2 2 5 15 2 6" xfId="4761" xr:uid="{00000000-0005-0000-0000-00000F2C0000}"/>
    <cellStyle name="Normal 2 2 5 15 2 6 2" xfId="32445" xr:uid="{00000000-0005-0000-0000-0000102C0000}"/>
    <cellStyle name="Normal 2 2 5 15 2 7" xfId="32446" xr:uid="{00000000-0005-0000-0000-0000112C0000}"/>
    <cellStyle name="Normal 2 2 5 15 2 7 2" xfId="32447" xr:uid="{00000000-0005-0000-0000-0000122C0000}"/>
    <cellStyle name="Normal 2 2 5 15 2 8" xfId="32448" xr:uid="{00000000-0005-0000-0000-0000132C0000}"/>
    <cellStyle name="Normal 2 2 5 15 2 9" xfId="32449" xr:uid="{00000000-0005-0000-0000-0000142C0000}"/>
    <cellStyle name="Normal 2 2 5 15 3" xfId="4762" xr:uid="{00000000-0005-0000-0000-0000152C0000}"/>
    <cellStyle name="Normal 2 2 5 15 3 2" xfId="4763" xr:uid="{00000000-0005-0000-0000-0000162C0000}"/>
    <cellStyle name="Normal 2 2 5 15 3 2 2" xfId="4764" xr:uid="{00000000-0005-0000-0000-0000172C0000}"/>
    <cellStyle name="Normal 2 2 5 15 3 2 2 2" xfId="32450" xr:uid="{00000000-0005-0000-0000-0000182C0000}"/>
    <cellStyle name="Normal 2 2 5 15 3 2 3" xfId="4765" xr:uid="{00000000-0005-0000-0000-0000192C0000}"/>
    <cellStyle name="Normal 2 2 5 15 3 2 3 2" xfId="32451" xr:uid="{00000000-0005-0000-0000-00001A2C0000}"/>
    <cellStyle name="Normal 2 2 5 15 3 2 4" xfId="32452" xr:uid="{00000000-0005-0000-0000-00001B2C0000}"/>
    <cellStyle name="Normal 2 2 5 15 3 3" xfId="4766" xr:uid="{00000000-0005-0000-0000-00001C2C0000}"/>
    <cellStyle name="Normal 2 2 5 15 3 3 2" xfId="32453" xr:uid="{00000000-0005-0000-0000-00001D2C0000}"/>
    <cellStyle name="Normal 2 2 5 15 3 4" xfId="4767" xr:uid="{00000000-0005-0000-0000-00001E2C0000}"/>
    <cellStyle name="Normal 2 2 5 15 3 4 2" xfId="32454" xr:uid="{00000000-0005-0000-0000-00001F2C0000}"/>
    <cellStyle name="Normal 2 2 5 15 3 5" xfId="4768" xr:uid="{00000000-0005-0000-0000-0000202C0000}"/>
    <cellStyle name="Normal 2 2 5 15 3 5 2" xfId="32455" xr:uid="{00000000-0005-0000-0000-0000212C0000}"/>
    <cellStyle name="Normal 2 2 5 15 3 6" xfId="32456" xr:uid="{00000000-0005-0000-0000-0000222C0000}"/>
    <cellStyle name="Normal 2 2 5 15 3 6 2" xfId="32457" xr:uid="{00000000-0005-0000-0000-0000232C0000}"/>
    <cellStyle name="Normal 2 2 5 15 3 7" xfId="32458" xr:uid="{00000000-0005-0000-0000-0000242C0000}"/>
    <cellStyle name="Normal 2 2 5 15 4" xfId="4769" xr:uid="{00000000-0005-0000-0000-0000252C0000}"/>
    <cellStyle name="Normal 2 2 5 15 4 2" xfId="4770" xr:uid="{00000000-0005-0000-0000-0000262C0000}"/>
    <cellStyle name="Normal 2 2 5 15 4 2 2" xfId="32459" xr:uid="{00000000-0005-0000-0000-0000272C0000}"/>
    <cellStyle name="Normal 2 2 5 15 4 3" xfId="4771" xr:uid="{00000000-0005-0000-0000-0000282C0000}"/>
    <cellStyle name="Normal 2 2 5 15 4 3 2" xfId="32460" xr:uid="{00000000-0005-0000-0000-0000292C0000}"/>
    <cellStyle name="Normal 2 2 5 15 4 4" xfId="32461" xr:uid="{00000000-0005-0000-0000-00002A2C0000}"/>
    <cellStyle name="Normal 2 2 5 15 5" xfId="4772" xr:uid="{00000000-0005-0000-0000-00002B2C0000}"/>
    <cellStyle name="Normal 2 2 5 15 5 2" xfId="4773" xr:uid="{00000000-0005-0000-0000-00002C2C0000}"/>
    <cellStyle name="Normal 2 2 5 15 5 2 2" xfId="32462" xr:uid="{00000000-0005-0000-0000-00002D2C0000}"/>
    <cellStyle name="Normal 2 2 5 15 5 3" xfId="32463" xr:uid="{00000000-0005-0000-0000-00002E2C0000}"/>
    <cellStyle name="Normal 2 2 5 15 6" xfId="4774" xr:uid="{00000000-0005-0000-0000-00002F2C0000}"/>
    <cellStyle name="Normal 2 2 5 15 6 2" xfId="32464" xr:uid="{00000000-0005-0000-0000-0000302C0000}"/>
    <cellStyle name="Normal 2 2 5 15 7" xfId="4775" xr:uid="{00000000-0005-0000-0000-0000312C0000}"/>
    <cellStyle name="Normal 2 2 5 15 7 2" xfId="32465" xr:uid="{00000000-0005-0000-0000-0000322C0000}"/>
    <cellStyle name="Normal 2 2 5 15 8" xfId="32466" xr:uid="{00000000-0005-0000-0000-0000332C0000}"/>
    <cellStyle name="Normal 2 2 5 15 8 2" xfId="32467" xr:uid="{00000000-0005-0000-0000-0000342C0000}"/>
    <cellStyle name="Normal 2 2 5 15 9" xfId="32468" xr:uid="{00000000-0005-0000-0000-0000352C0000}"/>
    <cellStyle name="Normal 2 2 5 16" xfId="4776" xr:uid="{00000000-0005-0000-0000-0000362C0000}"/>
    <cellStyle name="Normal 2 2 5 16 10" xfId="32469" xr:uid="{00000000-0005-0000-0000-0000372C0000}"/>
    <cellStyle name="Normal 2 2 5 16 11" xfId="32470" xr:uid="{00000000-0005-0000-0000-0000382C0000}"/>
    <cellStyle name="Normal 2 2 5 16 2" xfId="4777" xr:uid="{00000000-0005-0000-0000-0000392C0000}"/>
    <cellStyle name="Normal 2 2 5 16 2 10" xfId="32471" xr:uid="{00000000-0005-0000-0000-00003A2C0000}"/>
    <cellStyle name="Normal 2 2 5 16 2 2" xfId="4778" xr:uid="{00000000-0005-0000-0000-00003B2C0000}"/>
    <cellStyle name="Normal 2 2 5 16 2 2 2" xfId="4779" xr:uid="{00000000-0005-0000-0000-00003C2C0000}"/>
    <cellStyle name="Normal 2 2 5 16 2 2 2 2" xfId="4780" xr:uid="{00000000-0005-0000-0000-00003D2C0000}"/>
    <cellStyle name="Normal 2 2 5 16 2 2 2 2 2" xfId="32472" xr:uid="{00000000-0005-0000-0000-00003E2C0000}"/>
    <cellStyle name="Normal 2 2 5 16 2 2 2 3" xfId="4781" xr:uid="{00000000-0005-0000-0000-00003F2C0000}"/>
    <cellStyle name="Normal 2 2 5 16 2 2 2 3 2" xfId="32473" xr:uid="{00000000-0005-0000-0000-0000402C0000}"/>
    <cellStyle name="Normal 2 2 5 16 2 2 2 4" xfId="32474" xr:uid="{00000000-0005-0000-0000-0000412C0000}"/>
    <cellStyle name="Normal 2 2 5 16 2 2 3" xfId="4782" xr:uid="{00000000-0005-0000-0000-0000422C0000}"/>
    <cellStyle name="Normal 2 2 5 16 2 2 3 2" xfId="32475" xr:uid="{00000000-0005-0000-0000-0000432C0000}"/>
    <cellStyle name="Normal 2 2 5 16 2 2 4" xfId="4783" xr:uid="{00000000-0005-0000-0000-0000442C0000}"/>
    <cellStyle name="Normal 2 2 5 16 2 2 4 2" xfId="32476" xr:uid="{00000000-0005-0000-0000-0000452C0000}"/>
    <cellStyle name="Normal 2 2 5 16 2 2 5" xfId="4784" xr:uid="{00000000-0005-0000-0000-0000462C0000}"/>
    <cellStyle name="Normal 2 2 5 16 2 2 5 2" xfId="32477" xr:uid="{00000000-0005-0000-0000-0000472C0000}"/>
    <cellStyle name="Normal 2 2 5 16 2 2 6" xfId="32478" xr:uid="{00000000-0005-0000-0000-0000482C0000}"/>
    <cellStyle name="Normal 2 2 5 16 2 2 6 2" xfId="32479" xr:uid="{00000000-0005-0000-0000-0000492C0000}"/>
    <cellStyle name="Normal 2 2 5 16 2 2 7" xfId="32480" xr:uid="{00000000-0005-0000-0000-00004A2C0000}"/>
    <cellStyle name="Normal 2 2 5 16 2 3" xfId="4785" xr:uid="{00000000-0005-0000-0000-00004B2C0000}"/>
    <cellStyle name="Normal 2 2 5 16 2 3 2" xfId="4786" xr:uid="{00000000-0005-0000-0000-00004C2C0000}"/>
    <cellStyle name="Normal 2 2 5 16 2 3 2 2" xfId="32481" xr:uid="{00000000-0005-0000-0000-00004D2C0000}"/>
    <cellStyle name="Normal 2 2 5 16 2 3 3" xfId="4787" xr:uid="{00000000-0005-0000-0000-00004E2C0000}"/>
    <cellStyle name="Normal 2 2 5 16 2 3 3 2" xfId="32482" xr:uid="{00000000-0005-0000-0000-00004F2C0000}"/>
    <cellStyle name="Normal 2 2 5 16 2 3 4" xfId="32483" xr:uid="{00000000-0005-0000-0000-0000502C0000}"/>
    <cellStyle name="Normal 2 2 5 16 2 4" xfId="4788" xr:uid="{00000000-0005-0000-0000-0000512C0000}"/>
    <cellStyle name="Normal 2 2 5 16 2 4 2" xfId="4789" xr:uid="{00000000-0005-0000-0000-0000522C0000}"/>
    <cellStyle name="Normal 2 2 5 16 2 4 2 2" xfId="32484" xr:uid="{00000000-0005-0000-0000-0000532C0000}"/>
    <cellStyle name="Normal 2 2 5 16 2 4 3" xfId="32485" xr:uid="{00000000-0005-0000-0000-0000542C0000}"/>
    <cellStyle name="Normal 2 2 5 16 2 5" xfId="4790" xr:uid="{00000000-0005-0000-0000-0000552C0000}"/>
    <cellStyle name="Normal 2 2 5 16 2 5 2" xfId="32486" xr:uid="{00000000-0005-0000-0000-0000562C0000}"/>
    <cellStyle name="Normal 2 2 5 16 2 6" xfId="4791" xr:uid="{00000000-0005-0000-0000-0000572C0000}"/>
    <cellStyle name="Normal 2 2 5 16 2 6 2" xfId="32487" xr:uid="{00000000-0005-0000-0000-0000582C0000}"/>
    <cellStyle name="Normal 2 2 5 16 2 7" xfId="32488" xr:uid="{00000000-0005-0000-0000-0000592C0000}"/>
    <cellStyle name="Normal 2 2 5 16 2 7 2" xfId="32489" xr:uid="{00000000-0005-0000-0000-00005A2C0000}"/>
    <cellStyle name="Normal 2 2 5 16 2 8" xfId="32490" xr:uid="{00000000-0005-0000-0000-00005B2C0000}"/>
    <cellStyle name="Normal 2 2 5 16 2 9" xfId="32491" xr:uid="{00000000-0005-0000-0000-00005C2C0000}"/>
    <cellStyle name="Normal 2 2 5 16 3" xfId="4792" xr:uid="{00000000-0005-0000-0000-00005D2C0000}"/>
    <cellStyle name="Normal 2 2 5 16 3 2" xfId="4793" xr:uid="{00000000-0005-0000-0000-00005E2C0000}"/>
    <cellStyle name="Normal 2 2 5 16 3 2 2" xfId="4794" xr:uid="{00000000-0005-0000-0000-00005F2C0000}"/>
    <cellStyle name="Normal 2 2 5 16 3 2 2 2" xfId="32492" xr:uid="{00000000-0005-0000-0000-0000602C0000}"/>
    <cellStyle name="Normal 2 2 5 16 3 2 3" xfId="4795" xr:uid="{00000000-0005-0000-0000-0000612C0000}"/>
    <cellStyle name="Normal 2 2 5 16 3 2 3 2" xfId="32493" xr:uid="{00000000-0005-0000-0000-0000622C0000}"/>
    <cellStyle name="Normal 2 2 5 16 3 2 4" xfId="32494" xr:uid="{00000000-0005-0000-0000-0000632C0000}"/>
    <cellStyle name="Normal 2 2 5 16 3 3" xfId="4796" xr:uid="{00000000-0005-0000-0000-0000642C0000}"/>
    <cellStyle name="Normal 2 2 5 16 3 3 2" xfId="32495" xr:uid="{00000000-0005-0000-0000-0000652C0000}"/>
    <cellStyle name="Normal 2 2 5 16 3 4" xfId="4797" xr:uid="{00000000-0005-0000-0000-0000662C0000}"/>
    <cellStyle name="Normal 2 2 5 16 3 4 2" xfId="32496" xr:uid="{00000000-0005-0000-0000-0000672C0000}"/>
    <cellStyle name="Normal 2 2 5 16 3 5" xfId="4798" xr:uid="{00000000-0005-0000-0000-0000682C0000}"/>
    <cellStyle name="Normal 2 2 5 16 3 5 2" xfId="32497" xr:uid="{00000000-0005-0000-0000-0000692C0000}"/>
    <cellStyle name="Normal 2 2 5 16 3 6" xfId="32498" xr:uid="{00000000-0005-0000-0000-00006A2C0000}"/>
    <cellStyle name="Normal 2 2 5 16 3 6 2" xfId="32499" xr:uid="{00000000-0005-0000-0000-00006B2C0000}"/>
    <cellStyle name="Normal 2 2 5 16 3 7" xfId="32500" xr:uid="{00000000-0005-0000-0000-00006C2C0000}"/>
    <cellStyle name="Normal 2 2 5 16 4" xfId="4799" xr:uid="{00000000-0005-0000-0000-00006D2C0000}"/>
    <cellStyle name="Normal 2 2 5 16 4 2" xfId="4800" xr:uid="{00000000-0005-0000-0000-00006E2C0000}"/>
    <cellStyle name="Normal 2 2 5 16 4 2 2" xfId="32501" xr:uid="{00000000-0005-0000-0000-00006F2C0000}"/>
    <cellStyle name="Normal 2 2 5 16 4 3" xfId="4801" xr:uid="{00000000-0005-0000-0000-0000702C0000}"/>
    <cellStyle name="Normal 2 2 5 16 4 3 2" xfId="32502" xr:uid="{00000000-0005-0000-0000-0000712C0000}"/>
    <cellStyle name="Normal 2 2 5 16 4 4" xfId="32503" xr:uid="{00000000-0005-0000-0000-0000722C0000}"/>
    <cellStyle name="Normal 2 2 5 16 5" xfId="4802" xr:uid="{00000000-0005-0000-0000-0000732C0000}"/>
    <cellStyle name="Normal 2 2 5 16 5 2" xfId="4803" xr:uid="{00000000-0005-0000-0000-0000742C0000}"/>
    <cellStyle name="Normal 2 2 5 16 5 2 2" xfId="32504" xr:uid="{00000000-0005-0000-0000-0000752C0000}"/>
    <cellStyle name="Normal 2 2 5 16 5 3" xfId="32505" xr:uid="{00000000-0005-0000-0000-0000762C0000}"/>
    <cellStyle name="Normal 2 2 5 16 6" xfId="4804" xr:uid="{00000000-0005-0000-0000-0000772C0000}"/>
    <cellStyle name="Normal 2 2 5 16 6 2" xfId="32506" xr:uid="{00000000-0005-0000-0000-0000782C0000}"/>
    <cellStyle name="Normal 2 2 5 16 7" xfId="4805" xr:uid="{00000000-0005-0000-0000-0000792C0000}"/>
    <cellStyle name="Normal 2 2 5 16 7 2" xfId="32507" xr:uid="{00000000-0005-0000-0000-00007A2C0000}"/>
    <cellStyle name="Normal 2 2 5 16 8" xfId="32508" xr:uid="{00000000-0005-0000-0000-00007B2C0000}"/>
    <cellStyle name="Normal 2 2 5 16 8 2" xfId="32509" xr:uid="{00000000-0005-0000-0000-00007C2C0000}"/>
    <cellStyle name="Normal 2 2 5 16 9" xfId="32510" xr:uid="{00000000-0005-0000-0000-00007D2C0000}"/>
    <cellStyle name="Normal 2 2 5 17" xfId="4806" xr:uid="{00000000-0005-0000-0000-00007E2C0000}"/>
    <cellStyle name="Normal 2 2 5 17 10" xfId="32511" xr:uid="{00000000-0005-0000-0000-00007F2C0000}"/>
    <cellStyle name="Normal 2 2 5 17 11" xfId="32512" xr:uid="{00000000-0005-0000-0000-0000802C0000}"/>
    <cellStyle name="Normal 2 2 5 17 2" xfId="4807" xr:uid="{00000000-0005-0000-0000-0000812C0000}"/>
    <cellStyle name="Normal 2 2 5 17 2 10" xfId="32513" xr:uid="{00000000-0005-0000-0000-0000822C0000}"/>
    <cellStyle name="Normal 2 2 5 17 2 2" xfId="4808" xr:uid="{00000000-0005-0000-0000-0000832C0000}"/>
    <cellStyle name="Normal 2 2 5 17 2 2 2" xfId="4809" xr:uid="{00000000-0005-0000-0000-0000842C0000}"/>
    <cellStyle name="Normal 2 2 5 17 2 2 2 2" xfId="4810" xr:uid="{00000000-0005-0000-0000-0000852C0000}"/>
    <cellStyle name="Normal 2 2 5 17 2 2 2 2 2" xfId="32514" xr:uid="{00000000-0005-0000-0000-0000862C0000}"/>
    <cellStyle name="Normal 2 2 5 17 2 2 2 3" xfId="4811" xr:uid="{00000000-0005-0000-0000-0000872C0000}"/>
    <cellStyle name="Normal 2 2 5 17 2 2 2 3 2" xfId="32515" xr:uid="{00000000-0005-0000-0000-0000882C0000}"/>
    <cellStyle name="Normal 2 2 5 17 2 2 2 4" xfId="32516" xr:uid="{00000000-0005-0000-0000-0000892C0000}"/>
    <cellStyle name="Normal 2 2 5 17 2 2 3" xfId="4812" xr:uid="{00000000-0005-0000-0000-00008A2C0000}"/>
    <cellStyle name="Normal 2 2 5 17 2 2 3 2" xfId="32517" xr:uid="{00000000-0005-0000-0000-00008B2C0000}"/>
    <cellStyle name="Normal 2 2 5 17 2 2 4" xfId="4813" xr:uid="{00000000-0005-0000-0000-00008C2C0000}"/>
    <cellStyle name="Normal 2 2 5 17 2 2 4 2" xfId="32518" xr:uid="{00000000-0005-0000-0000-00008D2C0000}"/>
    <cellStyle name="Normal 2 2 5 17 2 2 5" xfId="4814" xr:uid="{00000000-0005-0000-0000-00008E2C0000}"/>
    <cellStyle name="Normal 2 2 5 17 2 2 5 2" xfId="32519" xr:uid="{00000000-0005-0000-0000-00008F2C0000}"/>
    <cellStyle name="Normal 2 2 5 17 2 2 6" xfId="32520" xr:uid="{00000000-0005-0000-0000-0000902C0000}"/>
    <cellStyle name="Normal 2 2 5 17 2 2 6 2" xfId="32521" xr:uid="{00000000-0005-0000-0000-0000912C0000}"/>
    <cellStyle name="Normal 2 2 5 17 2 2 7" xfId="32522" xr:uid="{00000000-0005-0000-0000-0000922C0000}"/>
    <cellStyle name="Normal 2 2 5 17 2 3" xfId="4815" xr:uid="{00000000-0005-0000-0000-0000932C0000}"/>
    <cellStyle name="Normal 2 2 5 17 2 3 2" xfId="4816" xr:uid="{00000000-0005-0000-0000-0000942C0000}"/>
    <cellStyle name="Normal 2 2 5 17 2 3 2 2" xfId="32523" xr:uid="{00000000-0005-0000-0000-0000952C0000}"/>
    <cellStyle name="Normal 2 2 5 17 2 3 3" xfId="4817" xr:uid="{00000000-0005-0000-0000-0000962C0000}"/>
    <cellStyle name="Normal 2 2 5 17 2 3 3 2" xfId="32524" xr:uid="{00000000-0005-0000-0000-0000972C0000}"/>
    <cellStyle name="Normal 2 2 5 17 2 3 4" xfId="32525" xr:uid="{00000000-0005-0000-0000-0000982C0000}"/>
    <cellStyle name="Normal 2 2 5 17 2 4" xfId="4818" xr:uid="{00000000-0005-0000-0000-0000992C0000}"/>
    <cellStyle name="Normal 2 2 5 17 2 4 2" xfId="4819" xr:uid="{00000000-0005-0000-0000-00009A2C0000}"/>
    <cellStyle name="Normal 2 2 5 17 2 4 2 2" xfId="32526" xr:uid="{00000000-0005-0000-0000-00009B2C0000}"/>
    <cellStyle name="Normal 2 2 5 17 2 4 3" xfId="32527" xr:uid="{00000000-0005-0000-0000-00009C2C0000}"/>
    <cellStyle name="Normal 2 2 5 17 2 5" xfId="4820" xr:uid="{00000000-0005-0000-0000-00009D2C0000}"/>
    <cellStyle name="Normal 2 2 5 17 2 5 2" xfId="32528" xr:uid="{00000000-0005-0000-0000-00009E2C0000}"/>
    <cellStyle name="Normal 2 2 5 17 2 6" xfId="4821" xr:uid="{00000000-0005-0000-0000-00009F2C0000}"/>
    <cellStyle name="Normal 2 2 5 17 2 6 2" xfId="32529" xr:uid="{00000000-0005-0000-0000-0000A02C0000}"/>
    <cellStyle name="Normal 2 2 5 17 2 7" xfId="32530" xr:uid="{00000000-0005-0000-0000-0000A12C0000}"/>
    <cellStyle name="Normal 2 2 5 17 2 7 2" xfId="32531" xr:uid="{00000000-0005-0000-0000-0000A22C0000}"/>
    <cellStyle name="Normal 2 2 5 17 2 8" xfId="32532" xr:uid="{00000000-0005-0000-0000-0000A32C0000}"/>
    <cellStyle name="Normal 2 2 5 17 2 9" xfId="32533" xr:uid="{00000000-0005-0000-0000-0000A42C0000}"/>
    <cellStyle name="Normal 2 2 5 17 3" xfId="4822" xr:uid="{00000000-0005-0000-0000-0000A52C0000}"/>
    <cellStyle name="Normal 2 2 5 17 3 2" xfId="4823" xr:uid="{00000000-0005-0000-0000-0000A62C0000}"/>
    <cellStyle name="Normal 2 2 5 17 3 2 2" xfId="4824" xr:uid="{00000000-0005-0000-0000-0000A72C0000}"/>
    <cellStyle name="Normal 2 2 5 17 3 2 2 2" xfId="32534" xr:uid="{00000000-0005-0000-0000-0000A82C0000}"/>
    <cellStyle name="Normal 2 2 5 17 3 2 3" xfId="4825" xr:uid="{00000000-0005-0000-0000-0000A92C0000}"/>
    <cellStyle name="Normal 2 2 5 17 3 2 3 2" xfId="32535" xr:uid="{00000000-0005-0000-0000-0000AA2C0000}"/>
    <cellStyle name="Normal 2 2 5 17 3 2 4" xfId="32536" xr:uid="{00000000-0005-0000-0000-0000AB2C0000}"/>
    <cellStyle name="Normal 2 2 5 17 3 3" xfId="4826" xr:uid="{00000000-0005-0000-0000-0000AC2C0000}"/>
    <cellStyle name="Normal 2 2 5 17 3 3 2" xfId="32537" xr:uid="{00000000-0005-0000-0000-0000AD2C0000}"/>
    <cellStyle name="Normal 2 2 5 17 3 4" xfId="4827" xr:uid="{00000000-0005-0000-0000-0000AE2C0000}"/>
    <cellStyle name="Normal 2 2 5 17 3 4 2" xfId="32538" xr:uid="{00000000-0005-0000-0000-0000AF2C0000}"/>
    <cellStyle name="Normal 2 2 5 17 3 5" xfId="4828" xr:uid="{00000000-0005-0000-0000-0000B02C0000}"/>
    <cellStyle name="Normal 2 2 5 17 3 5 2" xfId="32539" xr:uid="{00000000-0005-0000-0000-0000B12C0000}"/>
    <cellStyle name="Normal 2 2 5 17 3 6" xfId="32540" xr:uid="{00000000-0005-0000-0000-0000B22C0000}"/>
    <cellStyle name="Normal 2 2 5 17 3 6 2" xfId="32541" xr:uid="{00000000-0005-0000-0000-0000B32C0000}"/>
    <cellStyle name="Normal 2 2 5 17 3 7" xfId="32542" xr:uid="{00000000-0005-0000-0000-0000B42C0000}"/>
    <cellStyle name="Normal 2 2 5 17 4" xfId="4829" xr:uid="{00000000-0005-0000-0000-0000B52C0000}"/>
    <cellStyle name="Normal 2 2 5 17 4 2" xfId="4830" xr:uid="{00000000-0005-0000-0000-0000B62C0000}"/>
    <cellStyle name="Normal 2 2 5 17 4 2 2" xfId="32543" xr:uid="{00000000-0005-0000-0000-0000B72C0000}"/>
    <cellStyle name="Normal 2 2 5 17 4 3" xfId="4831" xr:uid="{00000000-0005-0000-0000-0000B82C0000}"/>
    <cellStyle name="Normal 2 2 5 17 4 3 2" xfId="32544" xr:uid="{00000000-0005-0000-0000-0000B92C0000}"/>
    <cellStyle name="Normal 2 2 5 17 4 4" xfId="32545" xr:uid="{00000000-0005-0000-0000-0000BA2C0000}"/>
    <cellStyle name="Normal 2 2 5 17 5" xfId="4832" xr:uid="{00000000-0005-0000-0000-0000BB2C0000}"/>
    <cellStyle name="Normal 2 2 5 17 5 2" xfId="4833" xr:uid="{00000000-0005-0000-0000-0000BC2C0000}"/>
    <cellStyle name="Normal 2 2 5 17 5 2 2" xfId="32546" xr:uid="{00000000-0005-0000-0000-0000BD2C0000}"/>
    <cellStyle name="Normal 2 2 5 17 5 3" xfId="32547" xr:uid="{00000000-0005-0000-0000-0000BE2C0000}"/>
    <cellStyle name="Normal 2 2 5 17 6" xfId="4834" xr:uid="{00000000-0005-0000-0000-0000BF2C0000}"/>
    <cellStyle name="Normal 2 2 5 17 6 2" xfId="32548" xr:uid="{00000000-0005-0000-0000-0000C02C0000}"/>
    <cellStyle name="Normal 2 2 5 17 7" xfId="4835" xr:uid="{00000000-0005-0000-0000-0000C12C0000}"/>
    <cellStyle name="Normal 2 2 5 17 7 2" xfId="32549" xr:uid="{00000000-0005-0000-0000-0000C22C0000}"/>
    <cellStyle name="Normal 2 2 5 17 8" xfId="32550" xr:uid="{00000000-0005-0000-0000-0000C32C0000}"/>
    <cellStyle name="Normal 2 2 5 17 8 2" xfId="32551" xr:uid="{00000000-0005-0000-0000-0000C42C0000}"/>
    <cellStyle name="Normal 2 2 5 17 9" xfId="32552" xr:uid="{00000000-0005-0000-0000-0000C52C0000}"/>
    <cellStyle name="Normal 2 2 5 18" xfId="4836" xr:uid="{00000000-0005-0000-0000-0000C62C0000}"/>
    <cellStyle name="Normal 2 2 5 18 10" xfId="32553" xr:uid="{00000000-0005-0000-0000-0000C72C0000}"/>
    <cellStyle name="Normal 2 2 5 18 11" xfId="32554" xr:uid="{00000000-0005-0000-0000-0000C82C0000}"/>
    <cellStyle name="Normal 2 2 5 18 2" xfId="4837" xr:uid="{00000000-0005-0000-0000-0000C92C0000}"/>
    <cellStyle name="Normal 2 2 5 18 2 10" xfId="32555" xr:uid="{00000000-0005-0000-0000-0000CA2C0000}"/>
    <cellStyle name="Normal 2 2 5 18 2 2" xfId="4838" xr:uid="{00000000-0005-0000-0000-0000CB2C0000}"/>
    <cellStyle name="Normal 2 2 5 18 2 2 2" xfId="4839" xr:uid="{00000000-0005-0000-0000-0000CC2C0000}"/>
    <cellStyle name="Normal 2 2 5 18 2 2 2 2" xfId="4840" xr:uid="{00000000-0005-0000-0000-0000CD2C0000}"/>
    <cellStyle name="Normal 2 2 5 18 2 2 2 2 2" xfId="32556" xr:uid="{00000000-0005-0000-0000-0000CE2C0000}"/>
    <cellStyle name="Normal 2 2 5 18 2 2 2 3" xfId="4841" xr:uid="{00000000-0005-0000-0000-0000CF2C0000}"/>
    <cellStyle name="Normal 2 2 5 18 2 2 2 3 2" xfId="32557" xr:uid="{00000000-0005-0000-0000-0000D02C0000}"/>
    <cellStyle name="Normal 2 2 5 18 2 2 2 4" xfId="32558" xr:uid="{00000000-0005-0000-0000-0000D12C0000}"/>
    <cellStyle name="Normal 2 2 5 18 2 2 3" xfId="4842" xr:uid="{00000000-0005-0000-0000-0000D22C0000}"/>
    <cellStyle name="Normal 2 2 5 18 2 2 3 2" xfId="32559" xr:uid="{00000000-0005-0000-0000-0000D32C0000}"/>
    <cellStyle name="Normal 2 2 5 18 2 2 4" xfId="4843" xr:uid="{00000000-0005-0000-0000-0000D42C0000}"/>
    <cellStyle name="Normal 2 2 5 18 2 2 4 2" xfId="32560" xr:uid="{00000000-0005-0000-0000-0000D52C0000}"/>
    <cellStyle name="Normal 2 2 5 18 2 2 5" xfId="4844" xr:uid="{00000000-0005-0000-0000-0000D62C0000}"/>
    <cellStyle name="Normal 2 2 5 18 2 2 5 2" xfId="32561" xr:uid="{00000000-0005-0000-0000-0000D72C0000}"/>
    <cellStyle name="Normal 2 2 5 18 2 2 6" xfId="32562" xr:uid="{00000000-0005-0000-0000-0000D82C0000}"/>
    <cellStyle name="Normal 2 2 5 18 2 2 6 2" xfId="32563" xr:uid="{00000000-0005-0000-0000-0000D92C0000}"/>
    <cellStyle name="Normal 2 2 5 18 2 2 7" xfId="32564" xr:uid="{00000000-0005-0000-0000-0000DA2C0000}"/>
    <cellStyle name="Normal 2 2 5 18 2 3" xfId="4845" xr:uid="{00000000-0005-0000-0000-0000DB2C0000}"/>
    <cellStyle name="Normal 2 2 5 18 2 3 2" xfId="4846" xr:uid="{00000000-0005-0000-0000-0000DC2C0000}"/>
    <cellStyle name="Normal 2 2 5 18 2 3 2 2" xfId="32565" xr:uid="{00000000-0005-0000-0000-0000DD2C0000}"/>
    <cellStyle name="Normal 2 2 5 18 2 3 3" xfId="4847" xr:uid="{00000000-0005-0000-0000-0000DE2C0000}"/>
    <cellStyle name="Normal 2 2 5 18 2 3 3 2" xfId="32566" xr:uid="{00000000-0005-0000-0000-0000DF2C0000}"/>
    <cellStyle name="Normal 2 2 5 18 2 3 4" xfId="32567" xr:uid="{00000000-0005-0000-0000-0000E02C0000}"/>
    <cellStyle name="Normal 2 2 5 18 2 4" xfId="4848" xr:uid="{00000000-0005-0000-0000-0000E12C0000}"/>
    <cellStyle name="Normal 2 2 5 18 2 4 2" xfId="4849" xr:uid="{00000000-0005-0000-0000-0000E22C0000}"/>
    <cellStyle name="Normal 2 2 5 18 2 4 2 2" xfId="32568" xr:uid="{00000000-0005-0000-0000-0000E32C0000}"/>
    <cellStyle name="Normal 2 2 5 18 2 4 3" xfId="32569" xr:uid="{00000000-0005-0000-0000-0000E42C0000}"/>
    <cellStyle name="Normal 2 2 5 18 2 5" xfId="4850" xr:uid="{00000000-0005-0000-0000-0000E52C0000}"/>
    <cellStyle name="Normal 2 2 5 18 2 5 2" xfId="32570" xr:uid="{00000000-0005-0000-0000-0000E62C0000}"/>
    <cellStyle name="Normal 2 2 5 18 2 6" xfId="4851" xr:uid="{00000000-0005-0000-0000-0000E72C0000}"/>
    <cellStyle name="Normal 2 2 5 18 2 6 2" xfId="32571" xr:uid="{00000000-0005-0000-0000-0000E82C0000}"/>
    <cellStyle name="Normal 2 2 5 18 2 7" xfId="32572" xr:uid="{00000000-0005-0000-0000-0000E92C0000}"/>
    <cellStyle name="Normal 2 2 5 18 2 7 2" xfId="32573" xr:uid="{00000000-0005-0000-0000-0000EA2C0000}"/>
    <cellStyle name="Normal 2 2 5 18 2 8" xfId="32574" xr:uid="{00000000-0005-0000-0000-0000EB2C0000}"/>
    <cellStyle name="Normal 2 2 5 18 2 9" xfId="32575" xr:uid="{00000000-0005-0000-0000-0000EC2C0000}"/>
    <cellStyle name="Normal 2 2 5 18 3" xfId="4852" xr:uid="{00000000-0005-0000-0000-0000ED2C0000}"/>
    <cellStyle name="Normal 2 2 5 18 3 2" xfId="4853" xr:uid="{00000000-0005-0000-0000-0000EE2C0000}"/>
    <cellStyle name="Normal 2 2 5 18 3 2 2" xfId="4854" xr:uid="{00000000-0005-0000-0000-0000EF2C0000}"/>
    <cellStyle name="Normal 2 2 5 18 3 2 2 2" xfId="32576" xr:uid="{00000000-0005-0000-0000-0000F02C0000}"/>
    <cellStyle name="Normal 2 2 5 18 3 2 3" xfId="4855" xr:uid="{00000000-0005-0000-0000-0000F12C0000}"/>
    <cellStyle name="Normal 2 2 5 18 3 2 3 2" xfId="32577" xr:uid="{00000000-0005-0000-0000-0000F22C0000}"/>
    <cellStyle name="Normal 2 2 5 18 3 2 4" xfId="32578" xr:uid="{00000000-0005-0000-0000-0000F32C0000}"/>
    <cellStyle name="Normal 2 2 5 18 3 3" xfId="4856" xr:uid="{00000000-0005-0000-0000-0000F42C0000}"/>
    <cellStyle name="Normal 2 2 5 18 3 3 2" xfId="32579" xr:uid="{00000000-0005-0000-0000-0000F52C0000}"/>
    <cellStyle name="Normal 2 2 5 18 3 4" xfId="4857" xr:uid="{00000000-0005-0000-0000-0000F62C0000}"/>
    <cellStyle name="Normal 2 2 5 18 3 4 2" xfId="32580" xr:uid="{00000000-0005-0000-0000-0000F72C0000}"/>
    <cellStyle name="Normal 2 2 5 18 3 5" xfId="4858" xr:uid="{00000000-0005-0000-0000-0000F82C0000}"/>
    <cellStyle name="Normal 2 2 5 18 3 5 2" xfId="32581" xr:uid="{00000000-0005-0000-0000-0000F92C0000}"/>
    <cellStyle name="Normal 2 2 5 18 3 6" xfId="32582" xr:uid="{00000000-0005-0000-0000-0000FA2C0000}"/>
    <cellStyle name="Normal 2 2 5 18 3 6 2" xfId="32583" xr:uid="{00000000-0005-0000-0000-0000FB2C0000}"/>
    <cellStyle name="Normal 2 2 5 18 3 7" xfId="32584" xr:uid="{00000000-0005-0000-0000-0000FC2C0000}"/>
    <cellStyle name="Normal 2 2 5 18 4" xfId="4859" xr:uid="{00000000-0005-0000-0000-0000FD2C0000}"/>
    <cellStyle name="Normal 2 2 5 18 4 2" xfId="4860" xr:uid="{00000000-0005-0000-0000-0000FE2C0000}"/>
    <cellStyle name="Normal 2 2 5 18 4 2 2" xfId="32585" xr:uid="{00000000-0005-0000-0000-0000FF2C0000}"/>
    <cellStyle name="Normal 2 2 5 18 4 3" xfId="4861" xr:uid="{00000000-0005-0000-0000-0000002D0000}"/>
    <cellStyle name="Normal 2 2 5 18 4 3 2" xfId="32586" xr:uid="{00000000-0005-0000-0000-0000012D0000}"/>
    <cellStyle name="Normal 2 2 5 18 4 4" xfId="32587" xr:uid="{00000000-0005-0000-0000-0000022D0000}"/>
    <cellStyle name="Normal 2 2 5 18 5" xfId="4862" xr:uid="{00000000-0005-0000-0000-0000032D0000}"/>
    <cellStyle name="Normal 2 2 5 18 5 2" xfId="4863" xr:uid="{00000000-0005-0000-0000-0000042D0000}"/>
    <cellStyle name="Normal 2 2 5 18 5 2 2" xfId="32588" xr:uid="{00000000-0005-0000-0000-0000052D0000}"/>
    <cellStyle name="Normal 2 2 5 18 5 3" xfId="32589" xr:uid="{00000000-0005-0000-0000-0000062D0000}"/>
    <cellStyle name="Normal 2 2 5 18 6" xfId="4864" xr:uid="{00000000-0005-0000-0000-0000072D0000}"/>
    <cellStyle name="Normal 2 2 5 18 6 2" xfId="32590" xr:uid="{00000000-0005-0000-0000-0000082D0000}"/>
    <cellStyle name="Normal 2 2 5 18 7" xfId="4865" xr:uid="{00000000-0005-0000-0000-0000092D0000}"/>
    <cellStyle name="Normal 2 2 5 18 7 2" xfId="32591" xr:uid="{00000000-0005-0000-0000-00000A2D0000}"/>
    <cellStyle name="Normal 2 2 5 18 8" xfId="32592" xr:uid="{00000000-0005-0000-0000-00000B2D0000}"/>
    <cellStyle name="Normal 2 2 5 18 8 2" xfId="32593" xr:uid="{00000000-0005-0000-0000-00000C2D0000}"/>
    <cellStyle name="Normal 2 2 5 18 9" xfId="32594" xr:uid="{00000000-0005-0000-0000-00000D2D0000}"/>
    <cellStyle name="Normal 2 2 5 19" xfId="4866" xr:uid="{00000000-0005-0000-0000-00000E2D0000}"/>
    <cellStyle name="Normal 2 2 5 19 10" xfId="32595" xr:uid="{00000000-0005-0000-0000-00000F2D0000}"/>
    <cellStyle name="Normal 2 2 5 19 11" xfId="32596" xr:uid="{00000000-0005-0000-0000-0000102D0000}"/>
    <cellStyle name="Normal 2 2 5 19 2" xfId="4867" xr:uid="{00000000-0005-0000-0000-0000112D0000}"/>
    <cellStyle name="Normal 2 2 5 19 2 10" xfId="32597" xr:uid="{00000000-0005-0000-0000-0000122D0000}"/>
    <cellStyle name="Normal 2 2 5 19 2 2" xfId="4868" xr:uid="{00000000-0005-0000-0000-0000132D0000}"/>
    <cellStyle name="Normal 2 2 5 19 2 2 2" xfId="4869" xr:uid="{00000000-0005-0000-0000-0000142D0000}"/>
    <cellStyle name="Normal 2 2 5 19 2 2 2 2" xfId="4870" xr:uid="{00000000-0005-0000-0000-0000152D0000}"/>
    <cellStyle name="Normal 2 2 5 19 2 2 2 2 2" xfId="32598" xr:uid="{00000000-0005-0000-0000-0000162D0000}"/>
    <cellStyle name="Normal 2 2 5 19 2 2 2 3" xfId="4871" xr:uid="{00000000-0005-0000-0000-0000172D0000}"/>
    <cellStyle name="Normal 2 2 5 19 2 2 2 3 2" xfId="32599" xr:uid="{00000000-0005-0000-0000-0000182D0000}"/>
    <cellStyle name="Normal 2 2 5 19 2 2 2 4" xfId="32600" xr:uid="{00000000-0005-0000-0000-0000192D0000}"/>
    <cellStyle name="Normal 2 2 5 19 2 2 3" xfId="4872" xr:uid="{00000000-0005-0000-0000-00001A2D0000}"/>
    <cellStyle name="Normal 2 2 5 19 2 2 3 2" xfId="32601" xr:uid="{00000000-0005-0000-0000-00001B2D0000}"/>
    <cellStyle name="Normal 2 2 5 19 2 2 4" xfId="4873" xr:uid="{00000000-0005-0000-0000-00001C2D0000}"/>
    <cellStyle name="Normal 2 2 5 19 2 2 4 2" xfId="32602" xr:uid="{00000000-0005-0000-0000-00001D2D0000}"/>
    <cellStyle name="Normal 2 2 5 19 2 2 5" xfId="4874" xr:uid="{00000000-0005-0000-0000-00001E2D0000}"/>
    <cellStyle name="Normal 2 2 5 19 2 2 5 2" xfId="32603" xr:uid="{00000000-0005-0000-0000-00001F2D0000}"/>
    <cellStyle name="Normal 2 2 5 19 2 2 6" xfId="32604" xr:uid="{00000000-0005-0000-0000-0000202D0000}"/>
    <cellStyle name="Normal 2 2 5 19 2 2 6 2" xfId="32605" xr:uid="{00000000-0005-0000-0000-0000212D0000}"/>
    <cellStyle name="Normal 2 2 5 19 2 2 7" xfId="32606" xr:uid="{00000000-0005-0000-0000-0000222D0000}"/>
    <cellStyle name="Normal 2 2 5 19 2 3" xfId="4875" xr:uid="{00000000-0005-0000-0000-0000232D0000}"/>
    <cellStyle name="Normal 2 2 5 19 2 3 2" xfId="4876" xr:uid="{00000000-0005-0000-0000-0000242D0000}"/>
    <cellStyle name="Normal 2 2 5 19 2 3 2 2" xfId="32607" xr:uid="{00000000-0005-0000-0000-0000252D0000}"/>
    <cellStyle name="Normal 2 2 5 19 2 3 3" xfId="4877" xr:uid="{00000000-0005-0000-0000-0000262D0000}"/>
    <cellStyle name="Normal 2 2 5 19 2 3 3 2" xfId="32608" xr:uid="{00000000-0005-0000-0000-0000272D0000}"/>
    <cellStyle name="Normal 2 2 5 19 2 3 4" xfId="32609" xr:uid="{00000000-0005-0000-0000-0000282D0000}"/>
    <cellStyle name="Normal 2 2 5 19 2 4" xfId="4878" xr:uid="{00000000-0005-0000-0000-0000292D0000}"/>
    <cellStyle name="Normal 2 2 5 19 2 4 2" xfId="4879" xr:uid="{00000000-0005-0000-0000-00002A2D0000}"/>
    <cellStyle name="Normal 2 2 5 19 2 4 2 2" xfId="32610" xr:uid="{00000000-0005-0000-0000-00002B2D0000}"/>
    <cellStyle name="Normal 2 2 5 19 2 4 3" xfId="32611" xr:uid="{00000000-0005-0000-0000-00002C2D0000}"/>
    <cellStyle name="Normal 2 2 5 19 2 5" xfId="4880" xr:uid="{00000000-0005-0000-0000-00002D2D0000}"/>
    <cellStyle name="Normal 2 2 5 19 2 5 2" xfId="32612" xr:uid="{00000000-0005-0000-0000-00002E2D0000}"/>
    <cellStyle name="Normal 2 2 5 19 2 6" xfId="4881" xr:uid="{00000000-0005-0000-0000-00002F2D0000}"/>
    <cellStyle name="Normal 2 2 5 19 2 6 2" xfId="32613" xr:uid="{00000000-0005-0000-0000-0000302D0000}"/>
    <cellStyle name="Normal 2 2 5 19 2 7" xfId="32614" xr:uid="{00000000-0005-0000-0000-0000312D0000}"/>
    <cellStyle name="Normal 2 2 5 19 2 7 2" xfId="32615" xr:uid="{00000000-0005-0000-0000-0000322D0000}"/>
    <cellStyle name="Normal 2 2 5 19 2 8" xfId="32616" xr:uid="{00000000-0005-0000-0000-0000332D0000}"/>
    <cellStyle name="Normal 2 2 5 19 2 9" xfId="32617" xr:uid="{00000000-0005-0000-0000-0000342D0000}"/>
    <cellStyle name="Normal 2 2 5 19 3" xfId="4882" xr:uid="{00000000-0005-0000-0000-0000352D0000}"/>
    <cellStyle name="Normal 2 2 5 19 3 2" xfId="4883" xr:uid="{00000000-0005-0000-0000-0000362D0000}"/>
    <cellStyle name="Normal 2 2 5 19 3 2 2" xfId="4884" xr:uid="{00000000-0005-0000-0000-0000372D0000}"/>
    <cellStyle name="Normal 2 2 5 19 3 2 2 2" xfId="32618" xr:uid="{00000000-0005-0000-0000-0000382D0000}"/>
    <cellStyle name="Normal 2 2 5 19 3 2 3" xfId="4885" xr:uid="{00000000-0005-0000-0000-0000392D0000}"/>
    <cellStyle name="Normal 2 2 5 19 3 2 3 2" xfId="32619" xr:uid="{00000000-0005-0000-0000-00003A2D0000}"/>
    <cellStyle name="Normal 2 2 5 19 3 2 4" xfId="32620" xr:uid="{00000000-0005-0000-0000-00003B2D0000}"/>
    <cellStyle name="Normal 2 2 5 19 3 3" xfId="4886" xr:uid="{00000000-0005-0000-0000-00003C2D0000}"/>
    <cellStyle name="Normal 2 2 5 19 3 3 2" xfId="32621" xr:uid="{00000000-0005-0000-0000-00003D2D0000}"/>
    <cellStyle name="Normal 2 2 5 19 3 4" xfId="4887" xr:uid="{00000000-0005-0000-0000-00003E2D0000}"/>
    <cellStyle name="Normal 2 2 5 19 3 4 2" xfId="32622" xr:uid="{00000000-0005-0000-0000-00003F2D0000}"/>
    <cellStyle name="Normal 2 2 5 19 3 5" xfId="4888" xr:uid="{00000000-0005-0000-0000-0000402D0000}"/>
    <cellStyle name="Normal 2 2 5 19 3 5 2" xfId="32623" xr:uid="{00000000-0005-0000-0000-0000412D0000}"/>
    <cellStyle name="Normal 2 2 5 19 3 6" xfId="32624" xr:uid="{00000000-0005-0000-0000-0000422D0000}"/>
    <cellStyle name="Normal 2 2 5 19 3 6 2" xfId="32625" xr:uid="{00000000-0005-0000-0000-0000432D0000}"/>
    <cellStyle name="Normal 2 2 5 19 3 7" xfId="32626" xr:uid="{00000000-0005-0000-0000-0000442D0000}"/>
    <cellStyle name="Normal 2 2 5 19 4" xfId="4889" xr:uid="{00000000-0005-0000-0000-0000452D0000}"/>
    <cellStyle name="Normal 2 2 5 19 4 2" xfId="4890" xr:uid="{00000000-0005-0000-0000-0000462D0000}"/>
    <cellStyle name="Normal 2 2 5 19 4 2 2" xfId="32627" xr:uid="{00000000-0005-0000-0000-0000472D0000}"/>
    <cellStyle name="Normal 2 2 5 19 4 3" xfId="4891" xr:uid="{00000000-0005-0000-0000-0000482D0000}"/>
    <cellStyle name="Normal 2 2 5 19 4 3 2" xfId="32628" xr:uid="{00000000-0005-0000-0000-0000492D0000}"/>
    <cellStyle name="Normal 2 2 5 19 4 4" xfId="32629" xr:uid="{00000000-0005-0000-0000-00004A2D0000}"/>
    <cellStyle name="Normal 2 2 5 19 5" xfId="4892" xr:uid="{00000000-0005-0000-0000-00004B2D0000}"/>
    <cellStyle name="Normal 2 2 5 19 5 2" xfId="4893" xr:uid="{00000000-0005-0000-0000-00004C2D0000}"/>
    <cellStyle name="Normal 2 2 5 19 5 2 2" xfId="32630" xr:uid="{00000000-0005-0000-0000-00004D2D0000}"/>
    <cellStyle name="Normal 2 2 5 19 5 3" xfId="32631" xr:uid="{00000000-0005-0000-0000-00004E2D0000}"/>
    <cellStyle name="Normal 2 2 5 19 6" xfId="4894" xr:uid="{00000000-0005-0000-0000-00004F2D0000}"/>
    <cellStyle name="Normal 2 2 5 19 6 2" xfId="32632" xr:uid="{00000000-0005-0000-0000-0000502D0000}"/>
    <cellStyle name="Normal 2 2 5 19 7" xfId="4895" xr:uid="{00000000-0005-0000-0000-0000512D0000}"/>
    <cellStyle name="Normal 2 2 5 19 7 2" xfId="32633" xr:uid="{00000000-0005-0000-0000-0000522D0000}"/>
    <cellStyle name="Normal 2 2 5 19 8" xfId="32634" xr:uid="{00000000-0005-0000-0000-0000532D0000}"/>
    <cellStyle name="Normal 2 2 5 19 8 2" xfId="32635" xr:uid="{00000000-0005-0000-0000-0000542D0000}"/>
    <cellStyle name="Normal 2 2 5 19 9" xfId="32636" xr:uid="{00000000-0005-0000-0000-0000552D0000}"/>
    <cellStyle name="Normal 2 2 5 2" xfId="4896" xr:uid="{00000000-0005-0000-0000-0000562D0000}"/>
    <cellStyle name="Normal 2 2 5 2 10" xfId="32637" xr:uid="{00000000-0005-0000-0000-0000572D0000}"/>
    <cellStyle name="Normal 2 2 5 2 11" xfId="32638" xr:uid="{00000000-0005-0000-0000-0000582D0000}"/>
    <cellStyle name="Normal 2 2 5 2 2" xfId="4897" xr:uid="{00000000-0005-0000-0000-0000592D0000}"/>
    <cellStyle name="Normal 2 2 5 2 2 10" xfId="32639" xr:uid="{00000000-0005-0000-0000-00005A2D0000}"/>
    <cellStyle name="Normal 2 2 5 2 2 2" xfId="4898" xr:uid="{00000000-0005-0000-0000-00005B2D0000}"/>
    <cellStyle name="Normal 2 2 5 2 2 2 2" xfId="4899" xr:uid="{00000000-0005-0000-0000-00005C2D0000}"/>
    <cellStyle name="Normal 2 2 5 2 2 2 2 2" xfId="4900" xr:uid="{00000000-0005-0000-0000-00005D2D0000}"/>
    <cellStyle name="Normal 2 2 5 2 2 2 2 2 2" xfId="32640" xr:uid="{00000000-0005-0000-0000-00005E2D0000}"/>
    <cellStyle name="Normal 2 2 5 2 2 2 2 3" xfId="4901" xr:uid="{00000000-0005-0000-0000-00005F2D0000}"/>
    <cellStyle name="Normal 2 2 5 2 2 2 2 3 2" xfId="32641" xr:uid="{00000000-0005-0000-0000-0000602D0000}"/>
    <cellStyle name="Normal 2 2 5 2 2 2 2 4" xfId="32642" xr:uid="{00000000-0005-0000-0000-0000612D0000}"/>
    <cellStyle name="Normal 2 2 5 2 2 2 3" xfId="4902" xr:uid="{00000000-0005-0000-0000-0000622D0000}"/>
    <cellStyle name="Normal 2 2 5 2 2 2 3 2" xfId="32643" xr:uid="{00000000-0005-0000-0000-0000632D0000}"/>
    <cellStyle name="Normal 2 2 5 2 2 2 4" xfId="4903" xr:uid="{00000000-0005-0000-0000-0000642D0000}"/>
    <cellStyle name="Normal 2 2 5 2 2 2 4 2" xfId="32644" xr:uid="{00000000-0005-0000-0000-0000652D0000}"/>
    <cellStyle name="Normal 2 2 5 2 2 2 5" xfId="4904" xr:uid="{00000000-0005-0000-0000-0000662D0000}"/>
    <cellStyle name="Normal 2 2 5 2 2 2 5 2" xfId="32645" xr:uid="{00000000-0005-0000-0000-0000672D0000}"/>
    <cellStyle name="Normal 2 2 5 2 2 2 6" xfId="32646" xr:uid="{00000000-0005-0000-0000-0000682D0000}"/>
    <cellStyle name="Normal 2 2 5 2 2 2 6 2" xfId="32647" xr:uid="{00000000-0005-0000-0000-0000692D0000}"/>
    <cellStyle name="Normal 2 2 5 2 2 2 7" xfId="32648" xr:uid="{00000000-0005-0000-0000-00006A2D0000}"/>
    <cellStyle name="Normal 2 2 5 2 2 3" xfId="4905" xr:uid="{00000000-0005-0000-0000-00006B2D0000}"/>
    <cellStyle name="Normal 2 2 5 2 2 3 2" xfId="4906" xr:uid="{00000000-0005-0000-0000-00006C2D0000}"/>
    <cellStyle name="Normal 2 2 5 2 2 3 2 2" xfId="32649" xr:uid="{00000000-0005-0000-0000-00006D2D0000}"/>
    <cellStyle name="Normal 2 2 5 2 2 3 3" xfId="4907" xr:uid="{00000000-0005-0000-0000-00006E2D0000}"/>
    <cellStyle name="Normal 2 2 5 2 2 3 3 2" xfId="32650" xr:uid="{00000000-0005-0000-0000-00006F2D0000}"/>
    <cellStyle name="Normal 2 2 5 2 2 3 4" xfId="32651" xr:uid="{00000000-0005-0000-0000-0000702D0000}"/>
    <cellStyle name="Normal 2 2 5 2 2 4" xfId="4908" xr:uid="{00000000-0005-0000-0000-0000712D0000}"/>
    <cellStyle name="Normal 2 2 5 2 2 4 2" xfId="4909" xr:uid="{00000000-0005-0000-0000-0000722D0000}"/>
    <cellStyle name="Normal 2 2 5 2 2 4 2 2" xfId="32652" xr:uid="{00000000-0005-0000-0000-0000732D0000}"/>
    <cellStyle name="Normal 2 2 5 2 2 4 3" xfId="32653" xr:uid="{00000000-0005-0000-0000-0000742D0000}"/>
    <cellStyle name="Normal 2 2 5 2 2 5" xfId="4910" xr:uid="{00000000-0005-0000-0000-0000752D0000}"/>
    <cellStyle name="Normal 2 2 5 2 2 5 2" xfId="32654" xr:uid="{00000000-0005-0000-0000-0000762D0000}"/>
    <cellStyle name="Normal 2 2 5 2 2 6" xfId="4911" xr:uid="{00000000-0005-0000-0000-0000772D0000}"/>
    <cellStyle name="Normal 2 2 5 2 2 6 2" xfId="32655" xr:uid="{00000000-0005-0000-0000-0000782D0000}"/>
    <cellStyle name="Normal 2 2 5 2 2 7" xfId="32656" xr:uid="{00000000-0005-0000-0000-0000792D0000}"/>
    <cellStyle name="Normal 2 2 5 2 2 7 2" xfId="32657" xr:uid="{00000000-0005-0000-0000-00007A2D0000}"/>
    <cellStyle name="Normal 2 2 5 2 2 8" xfId="32658" xr:uid="{00000000-0005-0000-0000-00007B2D0000}"/>
    <cellStyle name="Normal 2 2 5 2 2 9" xfId="32659" xr:uid="{00000000-0005-0000-0000-00007C2D0000}"/>
    <cellStyle name="Normal 2 2 5 2 3" xfId="4912" xr:uid="{00000000-0005-0000-0000-00007D2D0000}"/>
    <cellStyle name="Normal 2 2 5 2 3 2" xfId="4913" xr:uid="{00000000-0005-0000-0000-00007E2D0000}"/>
    <cellStyle name="Normal 2 2 5 2 3 2 2" xfId="4914" xr:uid="{00000000-0005-0000-0000-00007F2D0000}"/>
    <cellStyle name="Normal 2 2 5 2 3 2 2 2" xfId="32660" xr:uid="{00000000-0005-0000-0000-0000802D0000}"/>
    <cellStyle name="Normal 2 2 5 2 3 2 3" xfId="4915" xr:uid="{00000000-0005-0000-0000-0000812D0000}"/>
    <cellStyle name="Normal 2 2 5 2 3 2 3 2" xfId="32661" xr:uid="{00000000-0005-0000-0000-0000822D0000}"/>
    <cellStyle name="Normal 2 2 5 2 3 2 4" xfId="32662" xr:uid="{00000000-0005-0000-0000-0000832D0000}"/>
    <cellStyle name="Normal 2 2 5 2 3 3" xfId="4916" xr:uid="{00000000-0005-0000-0000-0000842D0000}"/>
    <cellStyle name="Normal 2 2 5 2 3 3 2" xfId="32663" xr:uid="{00000000-0005-0000-0000-0000852D0000}"/>
    <cellStyle name="Normal 2 2 5 2 3 4" xfId="4917" xr:uid="{00000000-0005-0000-0000-0000862D0000}"/>
    <cellStyle name="Normal 2 2 5 2 3 4 2" xfId="32664" xr:uid="{00000000-0005-0000-0000-0000872D0000}"/>
    <cellStyle name="Normal 2 2 5 2 3 5" xfId="4918" xr:uid="{00000000-0005-0000-0000-0000882D0000}"/>
    <cellStyle name="Normal 2 2 5 2 3 5 2" xfId="32665" xr:uid="{00000000-0005-0000-0000-0000892D0000}"/>
    <cellStyle name="Normal 2 2 5 2 3 6" xfId="32666" xr:uid="{00000000-0005-0000-0000-00008A2D0000}"/>
    <cellStyle name="Normal 2 2 5 2 3 6 2" xfId="32667" xr:uid="{00000000-0005-0000-0000-00008B2D0000}"/>
    <cellStyle name="Normal 2 2 5 2 3 7" xfId="32668" xr:uid="{00000000-0005-0000-0000-00008C2D0000}"/>
    <cellStyle name="Normal 2 2 5 2 4" xfId="4919" xr:uid="{00000000-0005-0000-0000-00008D2D0000}"/>
    <cellStyle name="Normal 2 2 5 2 4 2" xfId="4920" xr:uid="{00000000-0005-0000-0000-00008E2D0000}"/>
    <cellStyle name="Normal 2 2 5 2 4 2 2" xfId="32669" xr:uid="{00000000-0005-0000-0000-00008F2D0000}"/>
    <cellStyle name="Normal 2 2 5 2 4 3" xfId="4921" xr:uid="{00000000-0005-0000-0000-0000902D0000}"/>
    <cellStyle name="Normal 2 2 5 2 4 3 2" xfId="32670" xr:uid="{00000000-0005-0000-0000-0000912D0000}"/>
    <cellStyle name="Normal 2 2 5 2 4 4" xfId="32671" xr:uid="{00000000-0005-0000-0000-0000922D0000}"/>
    <cellStyle name="Normal 2 2 5 2 5" xfId="4922" xr:uid="{00000000-0005-0000-0000-0000932D0000}"/>
    <cellStyle name="Normal 2 2 5 2 5 2" xfId="4923" xr:uid="{00000000-0005-0000-0000-0000942D0000}"/>
    <cellStyle name="Normal 2 2 5 2 5 2 2" xfId="32672" xr:uid="{00000000-0005-0000-0000-0000952D0000}"/>
    <cellStyle name="Normal 2 2 5 2 5 3" xfId="32673" xr:uid="{00000000-0005-0000-0000-0000962D0000}"/>
    <cellStyle name="Normal 2 2 5 2 6" xfId="4924" xr:uid="{00000000-0005-0000-0000-0000972D0000}"/>
    <cellStyle name="Normal 2 2 5 2 6 2" xfId="32674" xr:uid="{00000000-0005-0000-0000-0000982D0000}"/>
    <cellStyle name="Normal 2 2 5 2 7" xfId="4925" xr:uid="{00000000-0005-0000-0000-0000992D0000}"/>
    <cellStyle name="Normal 2 2 5 2 7 2" xfId="32675" xr:uid="{00000000-0005-0000-0000-00009A2D0000}"/>
    <cellStyle name="Normal 2 2 5 2 8" xfId="32676" xr:uid="{00000000-0005-0000-0000-00009B2D0000}"/>
    <cellStyle name="Normal 2 2 5 2 8 2" xfId="32677" xr:uid="{00000000-0005-0000-0000-00009C2D0000}"/>
    <cellStyle name="Normal 2 2 5 2 9" xfId="32678" xr:uid="{00000000-0005-0000-0000-00009D2D0000}"/>
    <cellStyle name="Normal 2 2 5 20" xfId="4926" xr:uid="{00000000-0005-0000-0000-00009E2D0000}"/>
    <cellStyle name="Normal 2 2 5 20 10" xfId="32679" xr:uid="{00000000-0005-0000-0000-00009F2D0000}"/>
    <cellStyle name="Normal 2 2 5 20 11" xfId="32680" xr:uid="{00000000-0005-0000-0000-0000A02D0000}"/>
    <cellStyle name="Normal 2 2 5 20 2" xfId="4927" xr:uid="{00000000-0005-0000-0000-0000A12D0000}"/>
    <cellStyle name="Normal 2 2 5 20 2 10" xfId="32681" xr:uid="{00000000-0005-0000-0000-0000A22D0000}"/>
    <cellStyle name="Normal 2 2 5 20 2 2" xfId="4928" xr:uid="{00000000-0005-0000-0000-0000A32D0000}"/>
    <cellStyle name="Normal 2 2 5 20 2 2 2" xfId="4929" xr:uid="{00000000-0005-0000-0000-0000A42D0000}"/>
    <cellStyle name="Normal 2 2 5 20 2 2 2 2" xfId="4930" xr:uid="{00000000-0005-0000-0000-0000A52D0000}"/>
    <cellStyle name="Normal 2 2 5 20 2 2 2 2 2" xfId="32682" xr:uid="{00000000-0005-0000-0000-0000A62D0000}"/>
    <cellStyle name="Normal 2 2 5 20 2 2 2 3" xfId="4931" xr:uid="{00000000-0005-0000-0000-0000A72D0000}"/>
    <cellStyle name="Normal 2 2 5 20 2 2 2 3 2" xfId="32683" xr:uid="{00000000-0005-0000-0000-0000A82D0000}"/>
    <cellStyle name="Normal 2 2 5 20 2 2 2 4" xfId="32684" xr:uid="{00000000-0005-0000-0000-0000A92D0000}"/>
    <cellStyle name="Normal 2 2 5 20 2 2 3" xfId="4932" xr:uid="{00000000-0005-0000-0000-0000AA2D0000}"/>
    <cellStyle name="Normal 2 2 5 20 2 2 3 2" xfId="32685" xr:uid="{00000000-0005-0000-0000-0000AB2D0000}"/>
    <cellStyle name="Normal 2 2 5 20 2 2 4" xfId="4933" xr:uid="{00000000-0005-0000-0000-0000AC2D0000}"/>
    <cellStyle name="Normal 2 2 5 20 2 2 4 2" xfId="32686" xr:uid="{00000000-0005-0000-0000-0000AD2D0000}"/>
    <cellStyle name="Normal 2 2 5 20 2 2 5" xfId="4934" xr:uid="{00000000-0005-0000-0000-0000AE2D0000}"/>
    <cellStyle name="Normal 2 2 5 20 2 2 5 2" xfId="32687" xr:uid="{00000000-0005-0000-0000-0000AF2D0000}"/>
    <cellStyle name="Normal 2 2 5 20 2 2 6" xfId="32688" xr:uid="{00000000-0005-0000-0000-0000B02D0000}"/>
    <cellStyle name="Normal 2 2 5 20 2 2 6 2" xfId="32689" xr:uid="{00000000-0005-0000-0000-0000B12D0000}"/>
    <cellStyle name="Normal 2 2 5 20 2 2 7" xfId="32690" xr:uid="{00000000-0005-0000-0000-0000B22D0000}"/>
    <cellStyle name="Normal 2 2 5 20 2 3" xfId="4935" xr:uid="{00000000-0005-0000-0000-0000B32D0000}"/>
    <cellStyle name="Normal 2 2 5 20 2 3 2" xfId="4936" xr:uid="{00000000-0005-0000-0000-0000B42D0000}"/>
    <cellStyle name="Normal 2 2 5 20 2 3 2 2" xfId="32691" xr:uid="{00000000-0005-0000-0000-0000B52D0000}"/>
    <cellStyle name="Normal 2 2 5 20 2 3 3" xfId="4937" xr:uid="{00000000-0005-0000-0000-0000B62D0000}"/>
    <cellStyle name="Normal 2 2 5 20 2 3 3 2" xfId="32692" xr:uid="{00000000-0005-0000-0000-0000B72D0000}"/>
    <cellStyle name="Normal 2 2 5 20 2 3 4" xfId="32693" xr:uid="{00000000-0005-0000-0000-0000B82D0000}"/>
    <cellStyle name="Normal 2 2 5 20 2 4" xfId="4938" xr:uid="{00000000-0005-0000-0000-0000B92D0000}"/>
    <cellStyle name="Normal 2 2 5 20 2 4 2" xfId="4939" xr:uid="{00000000-0005-0000-0000-0000BA2D0000}"/>
    <cellStyle name="Normal 2 2 5 20 2 4 2 2" xfId="32694" xr:uid="{00000000-0005-0000-0000-0000BB2D0000}"/>
    <cellStyle name="Normal 2 2 5 20 2 4 3" xfId="32695" xr:uid="{00000000-0005-0000-0000-0000BC2D0000}"/>
    <cellStyle name="Normal 2 2 5 20 2 5" xfId="4940" xr:uid="{00000000-0005-0000-0000-0000BD2D0000}"/>
    <cellStyle name="Normal 2 2 5 20 2 5 2" xfId="32696" xr:uid="{00000000-0005-0000-0000-0000BE2D0000}"/>
    <cellStyle name="Normal 2 2 5 20 2 6" xfId="4941" xr:uid="{00000000-0005-0000-0000-0000BF2D0000}"/>
    <cellStyle name="Normal 2 2 5 20 2 6 2" xfId="32697" xr:uid="{00000000-0005-0000-0000-0000C02D0000}"/>
    <cellStyle name="Normal 2 2 5 20 2 7" xfId="32698" xr:uid="{00000000-0005-0000-0000-0000C12D0000}"/>
    <cellStyle name="Normal 2 2 5 20 2 7 2" xfId="32699" xr:uid="{00000000-0005-0000-0000-0000C22D0000}"/>
    <cellStyle name="Normal 2 2 5 20 2 8" xfId="32700" xr:uid="{00000000-0005-0000-0000-0000C32D0000}"/>
    <cellStyle name="Normal 2 2 5 20 2 9" xfId="32701" xr:uid="{00000000-0005-0000-0000-0000C42D0000}"/>
    <cellStyle name="Normal 2 2 5 20 3" xfId="4942" xr:uid="{00000000-0005-0000-0000-0000C52D0000}"/>
    <cellStyle name="Normal 2 2 5 20 3 2" xfId="4943" xr:uid="{00000000-0005-0000-0000-0000C62D0000}"/>
    <cellStyle name="Normal 2 2 5 20 3 2 2" xfId="4944" xr:uid="{00000000-0005-0000-0000-0000C72D0000}"/>
    <cellStyle name="Normal 2 2 5 20 3 2 2 2" xfId="32702" xr:uid="{00000000-0005-0000-0000-0000C82D0000}"/>
    <cellStyle name="Normal 2 2 5 20 3 2 3" xfId="4945" xr:uid="{00000000-0005-0000-0000-0000C92D0000}"/>
    <cellStyle name="Normal 2 2 5 20 3 2 3 2" xfId="32703" xr:uid="{00000000-0005-0000-0000-0000CA2D0000}"/>
    <cellStyle name="Normal 2 2 5 20 3 2 4" xfId="32704" xr:uid="{00000000-0005-0000-0000-0000CB2D0000}"/>
    <cellStyle name="Normal 2 2 5 20 3 3" xfId="4946" xr:uid="{00000000-0005-0000-0000-0000CC2D0000}"/>
    <cellStyle name="Normal 2 2 5 20 3 3 2" xfId="32705" xr:uid="{00000000-0005-0000-0000-0000CD2D0000}"/>
    <cellStyle name="Normal 2 2 5 20 3 4" xfId="4947" xr:uid="{00000000-0005-0000-0000-0000CE2D0000}"/>
    <cellStyle name="Normal 2 2 5 20 3 4 2" xfId="32706" xr:uid="{00000000-0005-0000-0000-0000CF2D0000}"/>
    <cellStyle name="Normal 2 2 5 20 3 5" xfId="4948" xr:uid="{00000000-0005-0000-0000-0000D02D0000}"/>
    <cellStyle name="Normal 2 2 5 20 3 5 2" xfId="32707" xr:uid="{00000000-0005-0000-0000-0000D12D0000}"/>
    <cellStyle name="Normal 2 2 5 20 3 6" xfId="32708" xr:uid="{00000000-0005-0000-0000-0000D22D0000}"/>
    <cellStyle name="Normal 2 2 5 20 3 6 2" xfId="32709" xr:uid="{00000000-0005-0000-0000-0000D32D0000}"/>
    <cellStyle name="Normal 2 2 5 20 3 7" xfId="32710" xr:uid="{00000000-0005-0000-0000-0000D42D0000}"/>
    <cellStyle name="Normal 2 2 5 20 4" xfId="4949" xr:uid="{00000000-0005-0000-0000-0000D52D0000}"/>
    <cellStyle name="Normal 2 2 5 20 4 2" xfId="4950" xr:uid="{00000000-0005-0000-0000-0000D62D0000}"/>
    <cellStyle name="Normal 2 2 5 20 4 2 2" xfId="32711" xr:uid="{00000000-0005-0000-0000-0000D72D0000}"/>
    <cellStyle name="Normal 2 2 5 20 4 3" xfId="4951" xr:uid="{00000000-0005-0000-0000-0000D82D0000}"/>
    <cellStyle name="Normal 2 2 5 20 4 3 2" xfId="32712" xr:uid="{00000000-0005-0000-0000-0000D92D0000}"/>
    <cellStyle name="Normal 2 2 5 20 4 4" xfId="32713" xr:uid="{00000000-0005-0000-0000-0000DA2D0000}"/>
    <cellStyle name="Normal 2 2 5 20 5" xfId="4952" xr:uid="{00000000-0005-0000-0000-0000DB2D0000}"/>
    <cellStyle name="Normal 2 2 5 20 5 2" xfId="4953" xr:uid="{00000000-0005-0000-0000-0000DC2D0000}"/>
    <cellStyle name="Normal 2 2 5 20 5 2 2" xfId="32714" xr:uid="{00000000-0005-0000-0000-0000DD2D0000}"/>
    <cellStyle name="Normal 2 2 5 20 5 3" xfId="32715" xr:uid="{00000000-0005-0000-0000-0000DE2D0000}"/>
    <cellStyle name="Normal 2 2 5 20 6" xfId="4954" xr:uid="{00000000-0005-0000-0000-0000DF2D0000}"/>
    <cellStyle name="Normal 2 2 5 20 6 2" xfId="32716" xr:uid="{00000000-0005-0000-0000-0000E02D0000}"/>
    <cellStyle name="Normal 2 2 5 20 7" xfId="4955" xr:uid="{00000000-0005-0000-0000-0000E12D0000}"/>
    <cellStyle name="Normal 2 2 5 20 7 2" xfId="32717" xr:uid="{00000000-0005-0000-0000-0000E22D0000}"/>
    <cellStyle name="Normal 2 2 5 20 8" xfId="32718" xr:uid="{00000000-0005-0000-0000-0000E32D0000}"/>
    <cellStyle name="Normal 2 2 5 20 8 2" xfId="32719" xr:uid="{00000000-0005-0000-0000-0000E42D0000}"/>
    <cellStyle name="Normal 2 2 5 20 9" xfId="32720" xr:uid="{00000000-0005-0000-0000-0000E52D0000}"/>
    <cellStyle name="Normal 2 2 5 21" xfId="4956" xr:uid="{00000000-0005-0000-0000-0000E62D0000}"/>
    <cellStyle name="Normal 2 2 5 21 10" xfId="32721" xr:uid="{00000000-0005-0000-0000-0000E72D0000}"/>
    <cellStyle name="Normal 2 2 5 21 11" xfId="32722" xr:uid="{00000000-0005-0000-0000-0000E82D0000}"/>
    <cellStyle name="Normal 2 2 5 21 2" xfId="4957" xr:uid="{00000000-0005-0000-0000-0000E92D0000}"/>
    <cellStyle name="Normal 2 2 5 21 2 10" xfId="32723" xr:uid="{00000000-0005-0000-0000-0000EA2D0000}"/>
    <cellStyle name="Normal 2 2 5 21 2 2" xfId="4958" xr:uid="{00000000-0005-0000-0000-0000EB2D0000}"/>
    <cellStyle name="Normal 2 2 5 21 2 2 2" xfId="4959" xr:uid="{00000000-0005-0000-0000-0000EC2D0000}"/>
    <cellStyle name="Normal 2 2 5 21 2 2 2 2" xfId="4960" xr:uid="{00000000-0005-0000-0000-0000ED2D0000}"/>
    <cellStyle name="Normal 2 2 5 21 2 2 2 2 2" xfId="32724" xr:uid="{00000000-0005-0000-0000-0000EE2D0000}"/>
    <cellStyle name="Normal 2 2 5 21 2 2 2 3" xfId="4961" xr:uid="{00000000-0005-0000-0000-0000EF2D0000}"/>
    <cellStyle name="Normal 2 2 5 21 2 2 2 3 2" xfId="32725" xr:uid="{00000000-0005-0000-0000-0000F02D0000}"/>
    <cellStyle name="Normal 2 2 5 21 2 2 2 4" xfId="32726" xr:uid="{00000000-0005-0000-0000-0000F12D0000}"/>
    <cellStyle name="Normal 2 2 5 21 2 2 3" xfId="4962" xr:uid="{00000000-0005-0000-0000-0000F22D0000}"/>
    <cellStyle name="Normal 2 2 5 21 2 2 3 2" xfId="32727" xr:uid="{00000000-0005-0000-0000-0000F32D0000}"/>
    <cellStyle name="Normal 2 2 5 21 2 2 4" xfId="4963" xr:uid="{00000000-0005-0000-0000-0000F42D0000}"/>
    <cellStyle name="Normal 2 2 5 21 2 2 4 2" xfId="32728" xr:uid="{00000000-0005-0000-0000-0000F52D0000}"/>
    <cellStyle name="Normal 2 2 5 21 2 2 5" xfId="4964" xr:uid="{00000000-0005-0000-0000-0000F62D0000}"/>
    <cellStyle name="Normal 2 2 5 21 2 2 5 2" xfId="32729" xr:uid="{00000000-0005-0000-0000-0000F72D0000}"/>
    <cellStyle name="Normal 2 2 5 21 2 2 6" xfId="32730" xr:uid="{00000000-0005-0000-0000-0000F82D0000}"/>
    <cellStyle name="Normal 2 2 5 21 2 2 6 2" xfId="32731" xr:uid="{00000000-0005-0000-0000-0000F92D0000}"/>
    <cellStyle name="Normal 2 2 5 21 2 2 7" xfId="32732" xr:uid="{00000000-0005-0000-0000-0000FA2D0000}"/>
    <cellStyle name="Normal 2 2 5 21 2 3" xfId="4965" xr:uid="{00000000-0005-0000-0000-0000FB2D0000}"/>
    <cellStyle name="Normal 2 2 5 21 2 3 2" xfId="4966" xr:uid="{00000000-0005-0000-0000-0000FC2D0000}"/>
    <cellStyle name="Normal 2 2 5 21 2 3 2 2" xfId="32733" xr:uid="{00000000-0005-0000-0000-0000FD2D0000}"/>
    <cellStyle name="Normal 2 2 5 21 2 3 3" xfId="4967" xr:uid="{00000000-0005-0000-0000-0000FE2D0000}"/>
    <cellStyle name="Normal 2 2 5 21 2 3 3 2" xfId="32734" xr:uid="{00000000-0005-0000-0000-0000FF2D0000}"/>
    <cellStyle name="Normal 2 2 5 21 2 3 4" xfId="32735" xr:uid="{00000000-0005-0000-0000-0000002E0000}"/>
    <cellStyle name="Normal 2 2 5 21 2 4" xfId="4968" xr:uid="{00000000-0005-0000-0000-0000012E0000}"/>
    <cellStyle name="Normal 2 2 5 21 2 4 2" xfId="4969" xr:uid="{00000000-0005-0000-0000-0000022E0000}"/>
    <cellStyle name="Normal 2 2 5 21 2 4 2 2" xfId="32736" xr:uid="{00000000-0005-0000-0000-0000032E0000}"/>
    <cellStyle name="Normal 2 2 5 21 2 4 3" xfId="32737" xr:uid="{00000000-0005-0000-0000-0000042E0000}"/>
    <cellStyle name="Normal 2 2 5 21 2 5" xfId="4970" xr:uid="{00000000-0005-0000-0000-0000052E0000}"/>
    <cellStyle name="Normal 2 2 5 21 2 5 2" xfId="32738" xr:uid="{00000000-0005-0000-0000-0000062E0000}"/>
    <cellStyle name="Normal 2 2 5 21 2 6" xfId="4971" xr:uid="{00000000-0005-0000-0000-0000072E0000}"/>
    <cellStyle name="Normal 2 2 5 21 2 6 2" xfId="32739" xr:uid="{00000000-0005-0000-0000-0000082E0000}"/>
    <cellStyle name="Normal 2 2 5 21 2 7" xfId="32740" xr:uid="{00000000-0005-0000-0000-0000092E0000}"/>
    <cellStyle name="Normal 2 2 5 21 2 7 2" xfId="32741" xr:uid="{00000000-0005-0000-0000-00000A2E0000}"/>
    <cellStyle name="Normal 2 2 5 21 2 8" xfId="32742" xr:uid="{00000000-0005-0000-0000-00000B2E0000}"/>
    <cellStyle name="Normal 2 2 5 21 2 9" xfId="32743" xr:uid="{00000000-0005-0000-0000-00000C2E0000}"/>
    <cellStyle name="Normal 2 2 5 21 3" xfId="4972" xr:uid="{00000000-0005-0000-0000-00000D2E0000}"/>
    <cellStyle name="Normal 2 2 5 21 3 2" xfId="4973" xr:uid="{00000000-0005-0000-0000-00000E2E0000}"/>
    <cellStyle name="Normal 2 2 5 21 3 2 2" xfId="4974" xr:uid="{00000000-0005-0000-0000-00000F2E0000}"/>
    <cellStyle name="Normal 2 2 5 21 3 2 2 2" xfId="32744" xr:uid="{00000000-0005-0000-0000-0000102E0000}"/>
    <cellStyle name="Normal 2 2 5 21 3 2 3" xfId="4975" xr:uid="{00000000-0005-0000-0000-0000112E0000}"/>
    <cellStyle name="Normal 2 2 5 21 3 2 3 2" xfId="32745" xr:uid="{00000000-0005-0000-0000-0000122E0000}"/>
    <cellStyle name="Normal 2 2 5 21 3 2 4" xfId="32746" xr:uid="{00000000-0005-0000-0000-0000132E0000}"/>
    <cellStyle name="Normal 2 2 5 21 3 3" xfId="4976" xr:uid="{00000000-0005-0000-0000-0000142E0000}"/>
    <cellStyle name="Normal 2 2 5 21 3 3 2" xfId="32747" xr:uid="{00000000-0005-0000-0000-0000152E0000}"/>
    <cellStyle name="Normal 2 2 5 21 3 4" xfId="4977" xr:uid="{00000000-0005-0000-0000-0000162E0000}"/>
    <cellStyle name="Normal 2 2 5 21 3 4 2" xfId="32748" xr:uid="{00000000-0005-0000-0000-0000172E0000}"/>
    <cellStyle name="Normal 2 2 5 21 3 5" xfId="4978" xr:uid="{00000000-0005-0000-0000-0000182E0000}"/>
    <cellStyle name="Normal 2 2 5 21 3 5 2" xfId="32749" xr:uid="{00000000-0005-0000-0000-0000192E0000}"/>
    <cellStyle name="Normal 2 2 5 21 3 6" xfId="32750" xr:uid="{00000000-0005-0000-0000-00001A2E0000}"/>
    <cellStyle name="Normal 2 2 5 21 3 6 2" xfId="32751" xr:uid="{00000000-0005-0000-0000-00001B2E0000}"/>
    <cellStyle name="Normal 2 2 5 21 3 7" xfId="32752" xr:uid="{00000000-0005-0000-0000-00001C2E0000}"/>
    <cellStyle name="Normal 2 2 5 21 4" xfId="4979" xr:uid="{00000000-0005-0000-0000-00001D2E0000}"/>
    <cellStyle name="Normal 2 2 5 21 4 2" xfId="4980" xr:uid="{00000000-0005-0000-0000-00001E2E0000}"/>
    <cellStyle name="Normal 2 2 5 21 4 2 2" xfId="32753" xr:uid="{00000000-0005-0000-0000-00001F2E0000}"/>
    <cellStyle name="Normal 2 2 5 21 4 3" xfId="4981" xr:uid="{00000000-0005-0000-0000-0000202E0000}"/>
    <cellStyle name="Normal 2 2 5 21 4 3 2" xfId="32754" xr:uid="{00000000-0005-0000-0000-0000212E0000}"/>
    <cellStyle name="Normal 2 2 5 21 4 4" xfId="32755" xr:uid="{00000000-0005-0000-0000-0000222E0000}"/>
    <cellStyle name="Normal 2 2 5 21 5" xfId="4982" xr:uid="{00000000-0005-0000-0000-0000232E0000}"/>
    <cellStyle name="Normal 2 2 5 21 5 2" xfId="4983" xr:uid="{00000000-0005-0000-0000-0000242E0000}"/>
    <cellStyle name="Normal 2 2 5 21 5 2 2" xfId="32756" xr:uid="{00000000-0005-0000-0000-0000252E0000}"/>
    <cellStyle name="Normal 2 2 5 21 5 3" xfId="32757" xr:uid="{00000000-0005-0000-0000-0000262E0000}"/>
    <cellStyle name="Normal 2 2 5 21 6" xfId="4984" xr:uid="{00000000-0005-0000-0000-0000272E0000}"/>
    <cellStyle name="Normal 2 2 5 21 6 2" xfId="32758" xr:uid="{00000000-0005-0000-0000-0000282E0000}"/>
    <cellStyle name="Normal 2 2 5 21 7" xfId="4985" xr:uid="{00000000-0005-0000-0000-0000292E0000}"/>
    <cellStyle name="Normal 2 2 5 21 7 2" xfId="32759" xr:uid="{00000000-0005-0000-0000-00002A2E0000}"/>
    <cellStyle name="Normal 2 2 5 21 8" xfId="32760" xr:uid="{00000000-0005-0000-0000-00002B2E0000}"/>
    <cellStyle name="Normal 2 2 5 21 8 2" xfId="32761" xr:uid="{00000000-0005-0000-0000-00002C2E0000}"/>
    <cellStyle name="Normal 2 2 5 21 9" xfId="32762" xr:uid="{00000000-0005-0000-0000-00002D2E0000}"/>
    <cellStyle name="Normal 2 2 5 22" xfId="4986" xr:uid="{00000000-0005-0000-0000-00002E2E0000}"/>
    <cellStyle name="Normal 2 2 5 22 10" xfId="32763" xr:uid="{00000000-0005-0000-0000-00002F2E0000}"/>
    <cellStyle name="Normal 2 2 5 22 11" xfId="32764" xr:uid="{00000000-0005-0000-0000-0000302E0000}"/>
    <cellStyle name="Normal 2 2 5 22 2" xfId="4987" xr:uid="{00000000-0005-0000-0000-0000312E0000}"/>
    <cellStyle name="Normal 2 2 5 22 2 10" xfId="32765" xr:uid="{00000000-0005-0000-0000-0000322E0000}"/>
    <cellStyle name="Normal 2 2 5 22 2 2" xfId="4988" xr:uid="{00000000-0005-0000-0000-0000332E0000}"/>
    <cellStyle name="Normal 2 2 5 22 2 2 2" xfId="4989" xr:uid="{00000000-0005-0000-0000-0000342E0000}"/>
    <cellStyle name="Normal 2 2 5 22 2 2 2 2" xfId="4990" xr:uid="{00000000-0005-0000-0000-0000352E0000}"/>
    <cellStyle name="Normal 2 2 5 22 2 2 2 2 2" xfId="32766" xr:uid="{00000000-0005-0000-0000-0000362E0000}"/>
    <cellStyle name="Normal 2 2 5 22 2 2 2 3" xfId="4991" xr:uid="{00000000-0005-0000-0000-0000372E0000}"/>
    <cellStyle name="Normal 2 2 5 22 2 2 2 3 2" xfId="32767" xr:uid="{00000000-0005-0000-0000-0000382E0000}"/>
    <cellStyle name="Normal 2 2 5 22 2 2 2 4" xfId="32768" xr:uid="{00000000-0005-0000-0000-0000392E0000}"/>
    <cellStyle name="Normal 2 2 5 22 2 2 3" xfId="4992" xr:uid="{00000000-0005-0000-0000-00003A2E0000}"/>
    <cellStyle name="Normal 2 2 5 22 2 2 3 2" xfId="32769" xr:uid="{00000000-0005-0000-0000-00003B2E0000}"/>
    <cellStyle name="Normal 2 2 5 22 2 2 4" xfId="4993" xr:uid="{00000000-0005-0000-0000-00003C2E0000}"/>
    <cellStyle name="Normal 2 2 5 22 2 2 4 2" xfId="32770" xr:uid="{00000000-0005-0000-0000-00003D2E0000}"/>
    <cellStyle name="Normal 2 2 5 22 2 2 5" xfId="4994" xr:uid="{00000000-0005-0000-0000-00003E2E0000}"/>
    <cellStyle name="Normal 2 2 5 22 2 2 5 2" xfId="32771" xr:uid="{00000000-0005-0000-0000-00003F2E0000}"/>
    <cellStyle name="Normal 2 2 5 22 2 2 6" xfId="32772" xr:uid="{00000000-0005-0000-0000-0000402E0000}"/>
    <cellStyle name="Normal 2 2 5 22 2 2 6 2" xfId="32773" xr:uid="{00000000-0005-0000-0000-0000412E0000}"/>
    <cellStyle name="Normal 2 2 5 22 2 2 7" xfId="32774" xr:uid="{00000000-0005-0000-0000-0000422E0000}"/>
    <cellStyle name="Normal 2 2 5 22 2 3" xfId="4995" xr:uid="{00000000-0005-0000-0000-0000432E0000}"/>
    <cellStyle name="Normal 2 2 5 22 2 3 2" xfId="4996" xr:uid="{00000000-0005-0000-0000-0000442E0000}"/>
    <cellStyle name="Normal 2 2 5 22 2 3 2 2" xfId="32775" xr:uid="{00000000-0005-0000-0000-0000452E0000}"/>
    <cellStyle name="Normal 2 2 5 22 2 3 3" xfId="4997" xr:uid="{00000000-0005-0000-0000-0000462E0000}"/>
    <cellStyle name="Normal 2 2 5 22 2 3 3 2" xfId="32776" xr:uid="{00000000-0005-0000-0000-0000472E0000}"/>
    <cellStyle name="Normal 2 2 5 22 2 3 4" xfId="32777" xr:uid="{00000000-0005-0000-0000-0000482E0000}"/>
    <cellStyle name="Normal 2 2 5 22 2 4" xfId="4998" xr:uid="{00000000-0005-0000-0000-0000492E0000}"/>
    <cellStyle name="Normal 2 2 5 22 2 4 2" xfId="4999" xr:uid="{00000000-0005-0000-0000-00004A2E0000}"/>
    <cellStyle name="Normal 2 2 5 22 2 4 2 2" xfId="32778" xr:uid="{00000000-0005-0000-0000-00004B2E0000}"/>
    <cellStyle name="Normal 2 2 5 22 2 4 3" xfId="32779" xr:uid="{00000000-0005-0000-0000-00004C2E0000}"/>
    <cellStyle name="Normal 2 2 5 22 2 5" xfId="5000" xr:uid="{00000000-0005-0000-0000-00004D2E0000}"/>
    <cellStyle name="Normal 2 2 5 22 2 5 2" xfId="32780" xr:uid="{00000000-0005-0000-0000-00004E2E0000}"/>
    <cellStyle name="Normal 2 2 5 22 2 6" xfId="5001" xr:uid="{00000000-0005-0000-0000-00004F2E0000}"/>
    <cellStyle name="Normal 2 2 5 22 2 6 2" xfId="32781" xr:uid="{00000000-0005-0000-0000-0000502E0000}"/>
    <cellStyle name="Normal 2 2 5 22 2 7" xfId="32782" xr:uid="{00000000-0005-0000-0000-0000512E0000}"/>
    <cellStyle name="Normal 2 2 5 22 2 7 2" xfId="32783" xr:uid="{00000000-0005-0000-0000-0000522E0000}"/>
    <cellStyle name="Normal 2 2 5 22 2 8" xfId="32784" xr:uid="{00000000-0005-0000-0000-0000532E0000}"/>
    <cellStyle name="Normal 2 2 5 22 2 9" xfId="32785" xr:uid="{00000000-0005-0000-0000-0000542E0000}"/>
    <cellStyle name="Normal 2 2 5 22 3" xfId="5002" xr:uid="{00000000-0005-0000-0000-0000552E0000}"/>
    <cellStyle name="Normal 2 2 5 22 3 2" xfId="5003" xr:uid="{00000000-0005-0000-0000-0000562E0000}"/>
    <cellStyle name="Normal 2 2 5 22 3 2 2" xfId="5004" xr:uid="{00000000-0005-0000-0000-0000572E0000}"/>
    <cellStyle name="Normal 2 2 5 22 3 2 2 2" xfId="32786" xr:uid="{00000000-0005-0000-0000-0000582E0000}"/>
    <cellStyle name="Normal 2 2 5 22 3 2 3" xfId="5005" xr:uid="{00000000-0005-0000-0000-0000592E0000}"/>
    <cellStyle name="Normal 2 2 5 22 3 2 3 2" xfId="32787" xr:uid="{00000000-0005-0000-0000-00005A2E0000}"/>
    <cellStyle name="Normal 2 2 5 22 3 2 4" xfId="32788" xr:uid="{00000000-0005-0000-0000-00005B2E0000}"/>
    <cellStyle name="Normal 2 2 5 22 3 3" xfId="5006" xr:uid="{00000000-0005-0000-0000-00005C2E0000}"/>
    <cellStyle name="Normal 2 2 5 22 3 3 2" xfId="32789" xr:uid="{00000000-0005-0000-0000-00005D2E0000}"/>
    <cellStyle name="Normal 2 2 5 22 3 4" xfId="5007" xr:uid="{00000000-0005-0000-0000-00005E2E0000}"/>
    <cellStyle name="Normal 2 2 5 22 3 4 2" xfId="32790" xr:uid="{00000000-0005-0000-0000-00005F2E0000}"/>
    <cellStyle name="Normal 2 2 5 22 3 5" xfId="5008" xr:uid="{00000000-0005-0000-0000-0000602E0000}"/>
    <cellStyle name="Normal 2 2 5 22 3 5 2" xfId="32791" xr:uid="{00000000-0005-0000-0000-0000612E0000}"/>
    <cellStyle name="Normal 2 2 5 22 3 6" xfId="32792" xr:uid="{00000000-0005-0000-0000-0000622E0000}"/>
    <cellStyle name="Normal 2 2 5 22 3 6 2" xfId="32793" xr:uid="{00000000-0005-0000-0000-0000632E0000}"/>
    <cellStyle name="Normal 2 2 5 22 3 7" xfId="32794" xr:uid="{00000000-0005-0000-0000-0000642E0000}"/>
    <cellStyle name="Normal 2 2 5 22 4" xfId="5009" xr:uid="{00000000-0005-0000-0000-0000652E0000}"/>
    <cellStyle name="Normal 2 2 5 22 4 2" xfId="5010" xr:uid="{00000000-0005-0000-0000-0000662E0000}"/>
    <cellStyle name="Normal 2 2 5 22 4 2 2" xfId="32795" xr:uid="{00000000-0005-0000-0000-0000672E0000}"/>
    <cellStyle name="Normal 2 2 5 22 4 3" xfId="5011" xr:uid="{00000000-0005-0000-0000-0000682E0000}"/>
    <cellStyle name="Normal 2 2 5 22 4 3 2" xfId="32796" xr:uid="{00000000-0005-0000-0000-0000692E0000}"/>
    <cellStyle name="Normal 2 2 5 22 4 4" xfId="32797" xr:uid="{00000000-0005-0000-0000-00006A2E0000}"/>
    <cellStyle name="Normal 2 2 5 22 5" xfId="5012" xr:uid="{00000000-0005-0000-0000-00006B2E0000}"/>
    <cellStyle name="Normal 2 2 5 22 5 2" xfId="5013" xr:uid="{00000000-0005-0000-0000-00006C2E0000}"/>
    <cellStyle name="Normal 2 2 5 22 5 2 2" xfId="32798" xr:uid="{00000000-0005-0000-0000-00006D2E0000}"/>
    <cellStyle name="Normal 2 2 5 22 5 3" xfId="32799" xr:uid="{00000000-0005-0000-0000-00006E2E0000}"/>
    <cellStyle name="Normal 2 2 5 22 6" xfId="5014" xr:uid="{00000000-0005-0000-0000-00006F2E0000}"/>
    <cellStyle name="Normal 2 2 5 22 6 2" xfId="32800" xr:uid="{00000000-0005-0000-0000-0000702E0000}"/>
    <cellStyle name="Normal 2 2 5 22 7" xfId="5015" xr:uid="{00000000-0005-0000-0000-0000712E0000}"/>
    <cellStyle name="Normal 2 2 5 22 7 2" xfId="32801" xr:uid="{00000000-0005-0000-0000-0000722E0000}"/>
    <cellStyle name="Normal 2 2 5 22 8" xfId="32802" xr:uid="{00000000-0005-0000-0000-0000732E0000}"/>
    <cellStyle name="Normal 2 2 5 22 8 2" xfId="32803" xr:uid="{00000000-0005-0000-0000-0000742E0000}"/>
    <cellStyle name="Normal 2 2 5 22 9" xfId="32804" xr:uid="{00000000-0005-0000-0000-0000752E0000}"/>
    <cellStyle name="Normal 2 2 5 23" xfId="5016" xr:uid="{00000000-0005-0000-0000-0000762E0000}"/>
    <cellStyle name="Normal 2 2 5 23 10" xfId="32805" xr:uid="{00000000-0005-0000-0000-0000772E0000}"/>
    <cellStyle name="Normal 2 2 5 23 11" xfId="32806" xr:uid="{00000000-0005-0000-0000-0000782E0000}"/>
    <cellStyle name="Normal 2 2 5 23 2" xfId="5017" xr:uid="{00000000-0005-0000-0000-0000792E0000}"/>
    <cellStyle name="Normal 2 2 5 23 2 10" xfId="32807" xr:uid="{00000000-0005-0000-0000-00007A2E0000}"/>
    <cellStyle name="Normal 2 2 5 23 2 2" xfId="5018" xr:uid="{00000000-0005-0000-0000-00007B2E0000}"/>
    <cellStyle name="Normal 2 2 5 23 2 2 2" xfId="5019" xr:uid="{00000000-0005-0000-0000-00007C2E0000}"/>
    <cellStyle name="Normal 2 2 5 23 2 2 2 2" xfId="5020" xr:uid="{00000000-0005-0000-0000-00007D2E0000}"/>
    <cellStyle name="Normal 2 2 5 23 2 2 2 2 2" xfId="32808" xr:uid="{00000000-0005-0000-0000-00007E2E0000}"/>
    <cellStyle name="Normal 2 2 5 23 2 2 2 3" xfId="5021" xr:uid="{00000000-0005-0000-0000-00007F2E0000}"/>
    <cellStyle name="Normal 2 2 5 23 2 2 2 3 2" xfId="32809" xr:uid="{00000000-0005-0000-0000-0000802E0000}"/>
    <cellStyle name="Normal 2 2 5 23 2 2 2 4" xfId="32810" xr:uid="{00000000-0005-0000-0000-0000812E0000}"/>
    <cellStyle name="Normal 2 2 5 23 2 2 3" xfId="5022" xr:uid="{00000000-0005-0000-0000-0000822E0000}"/>
    <cellStyle name="Normal 2 2 5 23 2 2 3 2" xfId="32811" xr:uid="{00000000-0005-0000-0000-0000832E0000}"/>
    <cellStyle name="Normal 2 2 5 23 2 2 4" xfId="5023" xr:uid="{00000000-0005-0000-0000-0000842E0000}"/>
    <cellStyle name="Normal 2 2 5 23 2 2 4 2" xfId="32812" xr:uid="{00000000-0005-0000-0000-0000852E0000}"/>
    <cellStyle name="Normal 2 2 5 23 2 2 5" xfId="5024" xr:uid="{00000000-0005-0000-0000-0000862E0000}"/>
    <cellStyle name="Normal 2 2 5 23 2 2 5 2" xfId="32813" xr:uid="{00000000-0005-0000-0000-0000872E0000}"/>
    <cellStyle name="Normal 2 2 5 23 2 2 6" xfId="32814" xr:uid="{00000000-0005-0000-0000-0000882E0000}"/>
    <cellStyle name="Normal 2 2 5 23 2 2 6 2" xfId="32815" xr:uid="{00000000-0005-0000-0000-0000892E0000}"/>
    <cellStyle name="Normal 2 2 5 23 2 2 7" xfId="32816" xr:uid="{00000000-0005-0000-0000-00008A2E0000}"/>
    <cellStyle name="Normal 2 2 5 23 2 3" xfId="5025" xr:uid="{00000000-0005-0000-0000-00008B2E0000}"/>
    <cellStyle name="Normal 2 2 5 23 2 3 2" xfId="5026" xr:uid="{00000000-0005-0000-0000-00008C2E0000}"/>
    <cellStyle name="Normal 2 2 5 23 2 3 2 2" xfId="32817" xr:uid="{00000000-0005-0000-0000-00008D2E0000}"/>
    <cellStyle name="Normal 2 2 5 23 2 3 3" xfId="5027" xr:uid="{00000000-0005-0000-0000-00008E2E0000}"/>
    <cellStyle name="Normal 2 2 5 23 2 3 3 2" xfId="32818" xr:uid="{00000000-0005-0000-0000-00008F2E0000}"/>
    <cellStyle name="Normal 2 2 5 23 2 3 4" xfId="32819" xr:uid="{00000000-0005-0000-0000-0000902E0000}"/>
    <cellStyle name="Normal 2 2 5 23 2 4" xfId="5028" xr:uid="{00000000-0005-0000-0000-0000912E0000}"/>
    <cellStyle name="Normal 2 2 5 23 2 4 2" xfId="5029" xr:uid="{00000000-0005-0000-0000-0000922E0000}"/>
    <cellStyle name="Normal 2 2 5 23 2 4 2 2" xfId="32820" xr:uid="{00000000-0005-0000-0000-0000932E0000}"/>
    <cellStyle name="Normal 2 2 5 23 2 4 3" xfId="32821" xr:uid="{00000000-0005-0000-0000-0000942E0000}"/>
    <cellStyle name="Normal 2 2 5 23 2 5" xfId="5030" xr:uid="{00000000-0005-0000-0000-0000952E0000}"/>
    <cellStyle name="Normal 2 2 5 23 2 5 2" xfId="32822" xr:uid="{00000000-0005-0000-0000-0000962E0000}"/>
    <cellStyle name="Normal 2 2 5 23 2 6" xfId="5031" xr:uid="{00000000-0005-0000-0000-0000972E0000}"/>
    <cellStyle name="Normal 2 2 5 23 2 6 2" xfId="32823" xr:uid="{00000000-0005-0000-0000-0000982E0000}"/>
    <cellStyle name="Normal 2 2 5 23 2 7" xfId="32824" xr:uid="{00000000-0005-0000-0000-0000992E0000}"/>
    <cellStyle name="Normal 2 2 5 23 2 7 2" xfId="32825" xr:uid="{00000000-0005-0000-0000-00009A2E0000}"/>
    <cellStyle name="Normal 2 2 5 23 2 8" xfId="32826" xr:uid="{00000000-0005-0000-0000-00009B2E0000}"/>
    <cellStyle name="Normal 2 2 5 23 2 9" xfId="32827" xr:uid="{00000000-0005-0000-0000-00009C2E0000}"/>
    <cellStyle name="Normal 2 2 5 23 3" xfId="5032" xr:uid="{00000000-0005-0000-0000-00009D2E0000}"/>
    <cellStyle name="Normal 2 2 5 23 3 2" xfId="5033" xr:uid="{00000000-0005-0000-0000-00009E2E0000}"/>
    <cellStyle name="Normal 2 2 5 23 3 2 2" xfId="5034" xr:uid="{00000000-0005-0000-0000-00009F2E0000}"/>
    <cellStyle name="Normal 2 2 5 23 3 2 2 2" xfId="32828" xr:uid="{00000000-0005-0000-0000-0000A02E0000}"/>
    <cellStyle name="Normal 2 2 5 23 3 2 3" xfId="5035" xr:uid="{00000000-0005-0000-0000-0000A12E0000}"/>
    <cellStyle name="Normal 2 2 5 23 3 2 3 2" xfId="32829" xr:uid="{00000000-0005-0000-0000-0000A22E0000}"/>
    <cellStyle name="Normal 2 2 5 23 3 2 4" xfId="32830" xr:uid="{00000000-0005-0000-0000-0000A32E0000}"/>
    <cellStyle name="Normal 2 2 5 23 3 3" xfId="5036" xr:uid="{00000000-0005-0000-0000-0000A42E0000}"/>
    <cellStyle name="Normal 2 2 5 23 3 3 2" xfId="32831" xr:uid="{00000000-0005-0000-0000-0000A52E0000}"/>
    <cellStyle name="Normal 2 2 5 23 3 4" xfId="5037" xr:uid="{00000000-0005-0000-0000-0000A62E0000}"/>
    <cellStyle name="Normal 2 2 5 23 3 4 2" xfId="32832" xr:uid="{00000000-0005-0000-0000-0000A72E0000}"/>
    <cellStyle name="Normal 2 2 5 23 3 5" xfId="5038" xr:uid="{00000000-0005-0000-0000-0000A82E0000}"/>
    <cellStyle name="Normal 2 2 5 23 3 5 2" xfId="32833" xr:uid="{00000000-0005-0000-0000-0000A92E0000}"/>
    <cellStyle name="Normal 2 2 5 23 3 6" xfId="32834" xr:uid="{00000000-0005-0000-0000-0000AA2E0000}"/>
    <cellStyle name="Normal 2 2 5 23 3 6 2" xfId="32835" xr:uid="{00000000-0005-0000-0000-0000AB2E0000}"/>
    <cellStyle name="Normal 2 2 5 23 3 7" xfId="32836" xr:uid="{00000000-0005-0000-0000-0000AC2E0000}"/>
    <cellStyle name="Normal 2 2 5 23 4" xfId="5039" xr:uid="{00000000-0005-0000-0000-0000AD2E0000}"/>
    <cellStyle name="Normal 2 2 5 23 4 2" xfId="5040" xr:uid="{00000000-0005-0000-0000-0000AE2E0000}"/>
    <cellStyle name="Normal 2 2 5 23 4 2 2" xfId="32837" xr:uid="{00000000-0005-0000-0000-0000AF2E0000}"/>
    <cellStyle name="Normal 2 2 5 23 4 3" xfId="5041" xr:uid="{00000000-0005-0000-0000-0000B02E0000}"/>
    <cellStyle name="Normal 2 2 5 23 4 3 2" xfId="32838" xr:uid="{00000000-0005-0000-0000-0000B12E0000}"/>
    <cellStyle name="Normal 2 2 5 23 4 4" xfId="32839" xr:uid="{00000000-0005-0000-0000-0000B22E0000}"/>
    <cellStyle name="Normal 2 2 5 23 5" xfId="5042" xr:uid="{00000000-0005-0000-0000-0000B32E0000}"/>
    <cellStyle name="Normal 2 2 5 23 5 2" xfId="5043" xr:uid="{00000000-0005-0000-0000-0000B42E0000}"/>
    <cellStyle name="Normal 2 2 5 23 5 2 2" xfId="32840" xr:uid="{00000000-0005-0000-0000-0000B52E0000}"/>
    <cellStyle name="Normal 2 2 5 23 5 3" xfId="32841" xr:uid="{00000000-0005-0000-0000-0000B62E0000}"/>
    <cellStyle name="Normal 2 2 5 23 6" xfId="5044" xr:uid="{00000000-0005-0000-0000-0000B72E0000}"/>
    <cellStyle name="Normal 2 2 5 23 6 2" xfId="32842" xr:uid="{00000000-0005-0000-0000-0000B82E0000}"/>
    <cellStyle name="Normal 2 2 5 23 7" xfId="5045" xr:uid="{00000000-0005-0000-0000-0000B92E0000}"/>
    <cellStyle name="Normal 2 2 5 23 7 2" xfId="32843" xr:uid="{00000000-0005-0000-0000-0000BA2E0000}"/>
    <cellStyle name="Normal 2 2 5 23 8" xfId="32844" xr:uid="{00000000-0005-0000-0000-0000BB2E0000}"/>
    <cellStyle name="Normal 2 2 5 23 8 2" xfId="32845" xr:uid="{00000000-0005-0000-0000-0000BC2E0000}"/>
    <cellStyle name="Normal 2 2 5 23 9" xfId="32846" xr:uid="{00000000-0005-0000-0000-0000BD2E0000}"/>
    <cellStyle name="Normal 2 2 5 24" xfId="5046" xr:uid="{00000000-0005-0000-0000-0000BE2E0000}"/>
    <cellStyle name="Normal 2 2 5 24 10" xfId="32847" xr:uid="{00000000-0005-0000-0000-0000BF2E0000}"/>
    <cellStyle name="Normal 2 2 5 24 11" xfId="32848" xr:uid="{00000000-0005-0000-0000-0000C02E0000}"/>
    <cellStyle name="Normal 2 2 5 24 2" xfId="5047" xr:uid="{00000000-0005-0000-0000-0000C12E0000}"/>
    <cellStyle name="Normal 2 2 5 24 2 10" xfId="32849" xr:uid="{00000000-0005-0000-0000-0000C22E0000}"/>
    <cellStyle name="Normal 2 2 5 24 2 2" xfId="5048" xr:uid="{00000000-0005-0000-0000-0000C32E0000}"/>
    <cellStyle name="Normal 2 2 5 24 2 2 2" xfId="5049" xr:uid="{00000000-0005-0000-0000-0000C42E0000}"/>
    <cellStyle name="Normal 2 2 5 24 2 2 2 2" xfId="5050" xr:uid="{00000000-0005-0000-0000-0000C52E0000}"/>
    <cellStyle name="Normal 2 2 5 24 2 2 2 2 2" xfId="32850" xr:uid="{00000000-0005-0000-0000-0000C62E0000}"/>
    <cellStyle name="Normal 2 2 5 24 2 2 2 3" xfId="5051" xr:uid="{00000000-0005-0000-0000-0000C72E0000}"/>
    <cellStyle name="Normal 2 2 5 24 2 2 2 3 2" xfId="32851" xr:uid="{00000000-0005-0000-0000-0000C82E0000}"/>
    <cellStyle name="Normal 2 2 5 24 2 2 2 4" xfId="32852" xr:uid="{00000000-0005-0000-0000-0000C92E0000}"/>
    <cellStyle name="Normal 2 2 5 24 2 2 3" xfId="5052" xr:uid="{00000000-0005-0000-0000-0000CA2E0000}"/>
    <cellStyle name="Normal 2 2 5 24 2 2 3 2" xfId="32853" xr:uid="{00000000-0005-0000-0000-0000CB2E0000}"/>
    <cellStyle name="Normal 2 2 5 24 2 2 4" xfId="5053" xr:uid="{00000000-0005-0000-0000-0000CC2E0000}"/>
    <cellStyle name="Normal 2 2 5 24 2 2 4 2" xfId="32854" xr:uid="{00000000-0005-0000-0000-0000CD2E0000}"/>
    <cellStyle name="Normal 2 2 5 24 2 2 5" xfId="5054" xr:uid="{00000000-0005-0000-0000-0000CE2E0000}"/>
    <cellStyle name="Normal 2 2 5 24 2 2 5 2" xfId="32855" xr:uid="{00000000-0005-0000-0000-0000CF2E0000}"/>
    <cellStyle name="Normal 2 2 5 24 2 2 6" xfId="32856" xr:uid="{00000000-0005-0000-0000-0000D02E0000}"/>
    <cellStyle name="Normal 2 2 5 24 2 2 6 2" xfId="32857" xr:uid="{00000000-0005-0000-0000-0000D12E0000}"/>
    <cellStyle name="Normal 2 2 5 24 2 2 7" xfId="32858" xr:uid="{00000000-0005-0000-0000-0000D22E0000}"/>
    <cellStyle name="Normal 2 2 5 24 2 3" xfId="5055" xr:uid="{00000000-0005-0000-0000-0000D32E0000}"/>
    <cellStyle name="Normal 2 2 5 24 2 3 2" xfId="5056" xr:uid="{00000000-0005-0000-0000-0000D42E0000}"/>
    <cellStyle name="Normal 2 2 5 24 2 3 2 2" xfId="32859" xr:uid="{00000000-0005-0000-0000-0000D52E0000}"/>
    <cellStyle name="Normal 2 2 5 24 2 3 3" xfId="5057" xr:uid="{00000000-0005-0000-0000-0000D62E0000}"/>
    <cellStyle name="Normal 2 2 5 24 2 3 3 2" xfId="32860" xr:uid="{00000000-0005-0000-0000-0000D72E0000}"/>
    <cellStyle name="Normal 2 2 5 24 2 3 4" xfId="32861" xr:uid="{00000000-0005-0000-0000-0000D82E0000}"/>
    <cellStyle name="Normal 2 2 5 24 2 4" xfId="5058" xr:uid="{00000000-0005-0000-0000-0000D92E0000}"/>
    <cellStyle name="Normal 2 2 5 24 2 4 2" xfId="5059" xr:uid="{00000000-0005-0000-0000-0000DA2E0000}"/>
    <cellStyle name="Normal 2 2 5 24 2 4 2 2" xfId="32862" xr:uid="{00000000-0005-0000-0000-0000DB2E0000}"/>
    <cellStyle name="Normal 2 2 5 24 2 4 3" xfId="32863" xr:uid="{00000000-0005-0000-0000-0000DC2E0000}"/>
    <cellStyle name="Normal 2 2 5 24 2 5" xfId="5060" xr:uid="{00000000-0005-0000-0000-0000DD2E0000}"/>
    <cellStyle name="Normal 2 2 5 24 2 5 2" xfId="32864" xr:uid="{00000000-0005-0000-0000-0000DE2E0000}"/>
    <cellStyle name="Normal 2 2 5 24 2 6" xfId="5061" xr:uid="{00000000-0005-0000-0000-0000DF2E0000}"/>
    <cellStyle name="Normal 2 2 5 24 2 6 2" xfId="32865" xr:uid="{00000000-0005-0000-0000-0000E02E0000}"/>
    <cellStyle name="Normal 2 2 5 24 2 7" xfId="32866" xr:uid="{00000000-0005-0000-0000-0000E12E0000}"/>
    <cellStyle name="Normal 2 2 5 24 2 7 2" xfId="32867" xr:uid="{00000000-0005-0000-0000-0000E22E0000}"/>
    <cellStyle name="Normal 2 2 5 24 2 8" xfId="32868" xr:uid="{00000000-0005-0000-0000-0000E32E0000}"/>
    <cellStyle name="Normal 2 2 5 24 2 9" xfId="32869" xr:uid="{00000000-0005-0000-0000-0000E42E0000}"/>
    <cellStyle name="Normal 2 2 5 24 3" xfId="5062" xr:uid="{00000000-0005-0000-0000-0000E52E0000}"/>
    <cellStyle name="Normal 2 2 5 24 3 2" xfId="5063" xr:uid="{00000000-0005-0000-0000-0000E62E0000}"/>
    <cellStyle name="Normal 2 2 5 24 3 2 2" xfId="5064" xr:uid="{00000000-0005-0000-0000-0000E72E0000}"/>
    <cellStyle name="Normal 2 2 5 24 3 2 2 2" xfId="32870" xr:uid="{00000000-0005-0000-0000-0000E82E0000}"/>
    <cellStyle name="Normal 2 2 5 24 3 2 3" xfId="5065" xr:uid="{00000000-0005-0000-0000-0000E92E0000}"/>
    <cellStyle name="Normal 2 2 5 24 3 2 3 2" xfId="32871" xr:uid="{00000000-0005-0000-0000-0000EA2E0000}"/>
    <cellStyle name="Normal 2 2 5 24 3 2 4" xfId="32872" xr:uid="{00000000-0005-0000-0000-0000EB2E0000}"/>
    <cellStyle name="Normal 2 2 5 24 3 3" xfId="5066" xr:uid="{00000000-0005-0000-0000-0000EC2E0000}"/>
    <cellStyle name="Normal 2 2 5 24 3 3 2" xfId="32873" xr:uid="{00000000-0005-0000-0000-0000ED2E0000}"/>
    <cellStyle name="Normal 2 2 5 24 3 4" xfId="5067" xr:uid="{00000000-0005-0000-0000-0000EE2E0000}"/>
    <cellStyle name="Normal 2 2 5 24 3 4 2" xfId="32874" xr:uid="{00000000-0005-0000-0000-0000EF2E0000}"/>
    <cellStyle name="Normal 2 2 5 24 3 5" xfId="5068" xr:uid="{00000000-0005-0000-0000-0000F02E0000}"/>
    <cellStyle name="Normal 2 2 5 24 3 5 2" xfId="32875" xr:uid="{00000000-0005-0000-0000-0000F12E0000}"/>
    <cellStyle name="Normal 2 2 5 24 3 6" xfId="32876" xr:uid="{00000000-0005-0000-0000-0000F22E0000}"/>
    <cellStyle name="Normal 2 2 5 24 3 6 2" xfId="32877" xr:uid="{00000000-0005-0000-0000-0000F32E0000}"/>
    <cellStyle name="Normal 2 2 5 24 3 7" xfId="32878" xr:uid="{00000000-0005-0000-0000-0000F42E0000}"/>
    <cellStyle name="Normal 2 2 5 24 4" xfId="5069" xr:uid="{00000000-0005-0000-0000-0000F52E0000}"/>
    <cellStyle name="Normal 2 2 5 24 4 2" xfId="5070" xr:uid="{00000000-0005-0000-0000-0000F62E0000}"/>
    <cellStyle name="Normal 2 2 5 24 4 2 2" xfId="32879" xr:uid="{00000000-0005-0000-0000-0000F72E0000}"/>
    <cellStyle name="Normal 2 2 5 24 4 3" xfId="5071" xr:uid="{00000000-0005-0000-0000-0000F82E0000}"/>
    <cellStyle name="Normal 2 2 5 24 4 3 2" xfId="32880" xr:uid="{00000000-0005-0000-0000-0000F92E0000}"/>
    <cellStyle name="Normal 2 2 5 24 4 4" xfId="32881" xr:uid="{00000000-0005-0000-0000-0000FA2E0000}"/>
    <cellStyle name="Normal 2 2 5 24 5" xfId="5072" xr:uid="{00000000-0005-0000-0000-0000FB2E0000}"/>
    <cellStyle name="Normal 2 2 5 24 5 2" xfId="5073" xr:uid="{00000000-0005-0000-0000-0000FC2E0000}"/>
    <cellStyle name="Normal 2 2 5 24 5 2 2" xfId="32882" xr:uid="{00000000-0005-0000-0000-0000FD2E0000}"/>
    <cellStyle name="Normal 2 2 5 24 5 3" xfId="32883" xr:uid="{00000000-0005-0000-0000-0000FE2E0000}"/>
    <cellStyle name="Normal 2 2 5 24 6" xfId="5074" xr:uid="{00000000-0005-0000-0000-0000FF2E0000}"/>
    <cellStyle name="Normal 2 2 5 24 6 2" xfId="32884" xr:uid="{00000000-0005-0000-0000-0000002F0000}"/>
    <cellStyle name="Normal 2 2 5 24 7" xfId="5075" xr:uid="{00000000-0005-0000-0000-0000012F0000}"/>
    <cellStyle name="Normal 2 2 5 24 7 2" xfId="32885" xr:uid="{00000000-0005-0000-0000-0000022F0000}"/>
    <cellStyle name="Normal 2 2 5 24 8" xfId="32886" xr:uid="{00000000-0005-0000-0000-0000032F0000}"/>
    <cellStyle name="Normal 2 2 5 24 8 2" xfId="32887" xr:uid="{00000000-0005-0000-0000-0000042F0000}"/>
    <cellStyle name="Normal 2 2 5 24 9" xfId="32888" xr:uid="{00000000-0005-0000-0000-0000052F0000}"/>
    <cellStyle name="Normal 2 2 5 25" xfId="5076" xr:uid="{00000000-0005-0000-0000-0000062F0000}"/>
    <cellStyle name="Normal 2 2 5 25 10" xfId="32889" xr:uid="{00000000-0005-0000-0000-0000072F0000}"/>
    <cellStyle name="Normal 2 2 5 25 11" xfId="32890" xr:uid="{00000000-0005-0000-0000-0000082F0000}"/>
    <cellStyle name="Normal 2 2 5 25 2" xfId="5077" xr:uid="{00000000-0005-0000-0000-0000092F0000}"/>
    <cellStyle name="Normal 2 2 5 25 2 10" xfId="32891" xr:uid="{00000000-0005-0000-0000-00000A2F0000}"/>
    <cellStyle name="Normal 2 2 5 25 2 2" xfId="5078" xr:uid="{00000000-0005-0000-0000-00000B2F0000}"/>
    <cellStyle name="Normal 2 2 5 25 2 2 2" xfId="5079" xr:uid="{00000000-0005-0000-0000-00000C2F0000}"/>
    <cellStyle name="Normal 2 2 5 25 2 2 2 2" xfId="5080" xr:uid="{00000000-0005-0000-0000-00000D2F0000}"/>
    <cellStyle name="Normal 2 2 5 25 2 2 2 2 2" xfId="32892" xr:uid="{00000000-0005-0000-0000-00000E2F0000}"/>
    <cellStyle name="Normal 2 2 5 25 2 2 2 3" xfId="5081" xr:uid="{00000000-0005-0000-0000-00000F2F0000}"/>
    <cellStyle name="Normal 2 2 5 25 2 2 2 3 2" xfId="32893" xr:uid="{00000000-0005-0000-0000-0000102F0000}"/>
    <cellStyle name="Normal 2 2 5 25 2 2 2 4" xfId="32894" xr:uid="{00000000-0005-0000-0000-0000112F0000}"/>
    <cellStyle name="Normal 2 2 5 25 2 2 3" xfId="5082" xr:uid="{00000000-0005-0000-0000-0000122F0000}"/>
    <cellStyle name="Normal 2 2 5 25 2 2 3 2" xfId="32895" xr:uid="{00000000-0005-0000-0000-0000132F0000}"/>
    <cellStyle name="Normal 2 2 5 25 2 2 4" xfId="5083" xr:uid="{00000000-0005-0000-0000-0000142F0000}"/>
    <cellStyle name="Normal 2 2 5 25 2 2 4 2" xfId="32896" xr:uid="{00000000-0005-0000-0000-0000152F0000}"/>
    <cellStyle name="Normal 2 2 5 25 2 2 5" xfId="5084" xr:uid="{00000000-0005-0000-0000-0000162F0000}"/>
    <cellStyle name="Normal 2 2 5 25 2 2 5 2" xfId="32897" xr:uid="{00000000-0005-0000-0000-0000172F0000}"/>
    <cellStyle name="Normal 2 2 5 25 2 2 6" xfId="32898" xr:uid="{00000000-0005-0000-0000-0000182F0000}"/>
    <cellStyle name="Normal 2 2 5 25 2 2 6 2" xfId="32899" xr:uid="{00000000-0005-0000-0000-0000192F0000}"/>
    <cellStyle name="Normal 2 2 5 25 2 2 7" xfId="32900" xr:uid="{00000000-0005-0000-0000-00001A2F0000}"/>
    <cellStyle name="Normal 2 2 5 25 2 3" xfId="5085" xr:uid="{00000000-0005-0000-0000-00001B2F0000}"/>
    <cellStyle name="Normal 2 2 5 25 2 3 2" xfId="5086" xr:uid="{00000000-0005-0000-0000-00001C2F0000}"/>
    <cellStyle name="Normal 2 2 5 25 2 3 2 2" xfId="32901" xr:uid="{00000000-0005-0000-0000-00001D2F0000}"/>
    <cellStyle name="Normal 2 2 5 25 2 3 3" xfId="5087" xr:uid="{00000000-0005-0000-0000-00001E2F0000}"/>
    <cellStyle name="Normal 2 2 5 25 2 3 3 2" xfId="32902" xr:uid="{00000000-0005-0000-0000-00001F2F0000}"/>
    <cellStyle name="Normal 2 2 5 25 2 3 4" xfId="32903" xr:uid="{00000000-0005-0000-0000-0000202F0000}"/>
    <cellStyle name="Normal 2 2 5 25 2 4" xfId="5088" xr:uid="{00000000-0005-0000-0000-0000212F0000}"/>
    <cellStyle name="Normal 2 2 5 25 2 4 2" xfId="5089" xr:uid="{00000000-0005-0000-0000-0000222F0000}"/>
    <cellStyle name="Normal 2 2 5 25 2 4 2 2" xfId="32904" xr:uid="{00000000-0005-0000-0000-0000232F0000}"/>
    <cellStyle name="Normal 2 2 5 25 2 4 3" xfId="32905" xr:uid="{00000000-0005-0000-0000-0000242F0000}"/>
    <cellStyle name="Normal 2 2 5 25 2 5" xfId="5090" xr:uid="{00000000-0005-0000-0000-0000252F0000}"/>
    <cellStyle name="Normal 2 2 5 25 2 5 2" xfId="32906" xr:uid="{00000000-0005-0000-0000-0000262F0000}"/>
    <cellStyle name="Normal 2 2 5 25 2 6" xfId="5091" xr:uid="{00000000-0005-0000-0000-0000272F0000}"/>
    <cellStyle name="Normal 2 2 5 25 2 6 2" xfId="32907" xr:uid="{00000000-0005-0000-0000-0000282F0000}"/>
    <cellStyle name="Normal 2 2 5 25 2 7" xfId="32908" xr:uid="{00000000-0005-0000-0000-0000292F0000}"/>
    <cellStyle name="Normal 2 2 5 25 2 7 2" xfId="32909" xr:uid="{00000000-0005-0000-0000-00002A2F0000}"/>
    <cellStyle name="Normal 2 2 5 25 2 8" xfId="32910" xr:uid="{00000000-0005-0000-0000-00002B2F0000}"/>
    <cellStyle name="Normal 2 2 5 25 2 9" xfId="32911" xr:uid="{00000000-0005-0000-0000-00002C2F0000}"/>
    <cellStyle name="Normal 2 2 5 25 3" xfId="5092" xr:uid="{00000000-0005-0000-0000-00002D2F0000}"/>
    <cellStyle name="Normal 2 2 5 25 3 2" xfId="5093" xr:uid="{00000000-0005-0000-0000-00002E2F0000}"/>
    <cellStyle name="Normal 2 2 5 25 3 2 2" xfId="5094" xr:uid="{00000000-0005-0000-0000-00002F2F0000}"/>
    <cellStyle name="Normal 2 2 5 25 3 2 2 2" xfId="32912" xr:uid="{00000000-0005-0000-0000-0000302F0000}"/>
    <cellStyle name="Normal 2 2 5 25 3 2 3" xfId="5095" xr:uid="{00000000-0005-0000-0000-0000312F0000}"/>
    <cellStyle name="Normal 2 2 5 25 3 2 3 2" xfId="32913" xr:uid="{00000000-0005-0000-0000-0000322F0000}"/>
    <cellStyle name="Normal 2 2 5 25 3 2 4" xfId="32914" xr:uid="{00000000-0005-0000-0000-0000332F0000}"/>
    <cellStyle name="Normal 2 2 5 25 3 3" xfId="5096" xr:uid="{00000000-0005-0000-0000-0000342F0000}"/>
    <cellStyle name="Normal 2 2 5 25 3 3 2" xfId="32915" xr:uid="{00000000-0005-0000-0000-0000352F0000}"/>
    <cellStyle name="Normal 2 2 5 25 3 4" xfId="5097" xr:uid="{00000000-0005-0000-0000-0000362F0000}"/>
    <cellStyle name="Normal 2 2 5 25 3 4 2" xfId="32916" xr:uid="{00000000-0005-0000-0000-0000372F0000}"/>
    <cellStyle name="Normal 2 2 5 25 3 5" xfId="5098" xr:uid="{00000000-0005-0000-0000-0000382F0000}"/>
    <cellStyle name="Normal 2 2 5 25 3 5 2" xfId="32917" xr:uid="{00000000-0005-0000-0000-0000392F0000}"/>
    <cellStyle name="Normal 2 2 5 25 3 6" xfId="32918" xr:uid="{00000000-0005-0000-0000-00003A2F0000}"/>
    <cellStyle name="Normal 2 2 5 25 3 6 2" xfId="32919" xr:uid="{00000000-0005-0000-0000-00003B2F0000}"/>
    <cellStyle name="Normal 2 2 5 25 3 7" xfId="32920" xr:uid="{00000000-0005-0000-0000-00003C2F0000}"/>
    <cellStyle name="Normal 2 2 5 25 4" xfId="5099" xr:uid="{00000000-0005-0000-0000-00003D2F0000}"/>
    <cellStyle name="Normal 2 2 5 25 4 2" xfId="5100" xr:uid="{00000000-0005-0000-0000-00003E2F0000}"/>
    <cellStyle name="Normal 2 2 5 25 4 2 2" xfId="32921" xr:uid="{00000000-0005-0000-0000-00003F2F0000}"/>
    <cellStyle name="Normal 2 2 5 25 4 3" xfId="5101" xr:uid="{00000000-0005-0000-0000-0000402F0000}"/>
    <cellStyle name="Normal 2 2 5 25 4 3 2" xfId="32922" xr:uid="{00000000-0005-0000-0000-0000412F0000}"/>
    <cellStyle name="Normal 2 2 5 25 4 4" xfId="32923" xr:uid="{00000000-0005-0000-0000-0000422F0000}"/>
    <cellStyle name="Normal 2 2 5 25 5" xfId="5102" xr:uid="{00000000-0005-0000-0000-0000432F0000}"/>
    <cellStyle name="Normal 2 2 5 25 5 2" xfId="5103" xr:uid="{00000000-0005-0000-0000-0000442F0000}"/>
    <cellStyle name="Normal 2 2 5 25 5 2 2" xfId="32924" xr:uid="{00000000-0005-0000-0000-0000452F0000}"/>
    <cellStyle name="Normal 2 2 5 25 5 3" xfId="32925" xr:uid="{00000000-0005-0000-0000-0000462F0000}"/>
    <cellStyle name="Normal 2 2 5 25 6" xfId="5104" xr:uid="{00000000-0005-0000-0000-0000472F0000}"/>
    <cellStyle name="Normal 2 2 5 25 6 2" xfId="32926" xr:uid="{00000000-0005-0000-0000-0000482F0000}"/>
    <cellStyle name="Normal 2 2 5 25 7" xfId="5105" xr:uid="{00000000-0005-0000-0000-0000492F0000}"/>
    <cellStyle name="Normal 2 2 5 25 7 2" xfId="32927" xr:uid="{00000000-0005-0000-0000-00004A2F0000}"/>
    <cellStyle name="Normal 2 2 5 25 8" xfId="32928" xr:uid="{00000000-0005-0000-0000-00004B2F0000}"/>
    <cellStyle name="Normal 2 2 5 25 8 2" xfId="32929" xr:uid="{00000000-0005-0000-0000-00004C2F0000}"/>
    <cellStyle name="Normal 2 2 5 25 9" xfId="32930" xr:uid="{00000000-0005-0000-0000-00004D2F0000}"/>
    <cellStyle name="Normal 2 2 5 26" xfId="5106" xr:uid="{00000000-0005-0000-0000-00004E2F0000}"/>
    <cellStyle name="Normal 2 2 5 26 10" xfId="32931" xr:uid="{00000000-0005-0000-0000-00004F2F0000}"/>
    <cellStyle name="Normal 2 2 5 26 11" xfId="32932" xr:uid="{00000000-0005-0000-0000-0000502F0000}"/>
    <cellStyle name="Normal 2 2 5 26 2" xfId="5107" xr:uid="{00000000-0005-0000-0000-0000512F0000}"/>
    <cellStyle name="Normal 2 2 5 26 2 10" xfId="32933" xr:uid="{00000000-0005-0000-0000-0000522F0000}"/>
    <cellStyle name="Normal 2 2 5 26 2 2" xfId="5108" xr:uid="{00000000-0005-0000-0000-0000532F0000}"/>
    <cellStyle name="Normal 2 2 5 26 2 2 2" xfId="5109" xr:uid="{00000000-0005-0000-0000-0000542F0000}"/>
    <cellStyle name="Normal 2 2 5 26 2 2 2 2" xfId="5110" xr:uid="{00000000-0005-0000-0000-0000552F0000}"/>
    <cellStyle name="Normal 2 2 5 26 2 2 2 2 2" xfId="32934" xr:uid="{00000000-0005-0000-0000-0000562F0000}"/>
    <cellStyle name="Normal 2 2 5 26 2 2 2 3" xfId="5111" xr:uid="{00000000-0005-0000-0000-0000572F0000}"/>
    <cellStyle name="Normal 2 2 5 26 2 2 2 3 2" xfId="32935" xr:uid="{00000000-0005-0000-0000-0000582F0000}"/>
    <cellStyle name="Normal 2 2 5 26 2 2 2 4" xfId="32936" xr:uid="{00000000-0005-0000-0000-0000592F0000}"/>
    <cellStyle name="Normal 2 2 5 26 2 2 3" xfId="5112" xr:uid="{00000000-0005-0000-0000-00005A2F0000}"/>
    <cellStyle name="Normal 2 2 5 26 2 2 3 2" xfId="32937" xr:uid="{00000000-0005-0000-0000-00005B2F0000}"/>
    <cellStyle name="Normal 2 2 5 26 2 2 4" xfId="5113" xr:uid="{00000000-0005-0000-0000-00005C2F0000}"/>
    <cellStyle name="Normal 2 2 5 26 2 2 4 2" xfId="32938" xr:uid="{00000000-0005-0000-0000-00005D2F0000}"/>
    <cellStyle name="Normal 2 2 5 26 2 2 5" xfId="5114" xr:uid="{00000000-0005-0000-0000-00005E2F0000}"/>
    <cellStyle name="Normal 2 2 5 26 2 2 5 2" xfId="32939" xr:uid="{00000000-0005-0000-0000-00005F2F0000}"/>
    <cellStyle name="Normal 2 2 5 26 2 2 6" xfId="32940" xr:uid="{00000000-0005-0000-0000-0000602F0000}"/>
    <cellStyle name="Normal 2 2 5 26 2 2 6 2" xfId="32941" xr:uid="{00000000-0005-0000-0000-0000612F0000}"/>
    <cellStyle name="Normal 2 2 5 26 2 2 7" xfId="32942" xr:uid="{00000000-0005-0000-0000-0000622F0000}"/>
    <cellStyle name="Normal 2 2 5 26 2 3" xfId="5115" xr:uid="{00000000-0005-0000-0000-0000632F0000}"/>
    <cellStyle name="Normal 2 2 5 26 2 3 2" xfId="5116" xr:uid="{00000000-0005-0000-0000-0000642F0000}"/>
    <cellStyle name="Normal 2 2 5 26 2 3 2 2" xfId="32943" xr:uid="{00000000-0005-0000-0000-0000652F0000}"/>
    <cellStyle name="Normal 2 2 5 26 2 3 3" xfId="5117" xr:uid="{00000000-0005-0000-0000-0000662F0000}"/>
    <cellStyle name="Normal 2 2 5 26 2 3 3 2" xfId="32944" xr:uid="{00000000-0005-0000-0000-0000672F0000}"/>
    <cellStyle name="Normal 2 2 5 26 2 3 4" xfId="32945" xr:uid="{00000000-0005-0000-0000-0000682F0000}"/>
    <cellStyle name="Normal 2 2 5 26 2 4" xfId="5118" xr:uid="{00000000-0005-0000-0000-0000692F0000}"/>
    <cellStyle name="Normal 2 2 5 26 2 4 2" xfId="5119" xr:uid="{00000000-0005-0000-0000-00006A2F0000}"/>
    <cellStyle name="Normal 2 2 5 26 2 4 2 2" xfId="32946" xr:uid="{00000000-0005-0000-0000-00006B2F0000}"/>
    <cellStyle name="Normal 2 2 5 26 2 4 3" xfId="32947" xr:uid="{00000000-0005-0000-0000-00006C2F0000}"/>
    <cellStyle name="Normal 2 2 5 26 2 5" xfId="5120" xr:uid="{00000000-0005-0000-0000-00006D2F0000}"/>
    <cellStyle name="Normal 2 2 5 26 2 5 2" xfId="32948" xr:uid="{00000000-0005-0000-0000-00006E2F0000}"/>
    <cellStyle name="Normal 2 2 5 26 2 6" xfId="5121" xr:uid="{00000000-0005-0000-0000-00006F2F0000}"/>
    <cellStyle name="Normal 2 2 5 26 2 6 2" xfId="32949" xr:uid="{00000000-0005-0000-0000-0000702F0000}"/>
    <cellStyle name="Normal 2 2 5 26 2 7" xfId="32950" xr:uid="{00000000-0005-0000-0000-0000712F0000}"/>
    <cellStyle name="Normal 2 2 5 26 2 7 2" xfId="32951" xr:uid="{00000000-0005-0000-0000-0000722F0000}"/>
    <cellStyle name="Normal 2 2 5 26 2 8" xfId="32952" xr:uid="{00000000-0005-0000-0000-0000732F0000}"/>
    <cellStyle name="Normal 2 2 5 26 2 9" xfId="32953" xr:uid="{00000000-0005-0000-0000-0000742F0000}"/>
    <cellStyle name="Normal 2 2 5 26 3" xfId="5122" xr:uid="{00000000-0005-0000-0000-0000752F0000}"/>
    <cellStyle name="Normal 2 2 5 26 3 2" xfId="5123" xr:uid="{00000000-0005-0000-0000-0000762F0000}"/>
    <cellStyle name="Normal 2 2 5 26 3 2 2" xfId="5124" xr:uid="{00000000-0005-0000-0000-0000772F0000}"/>
    <cellStyle name="Normal 2 2 5 26 3 2 2 2" xfId="32954" xr:uid="{00000000-0005-0000-0000-0000782F0000}"/>
    <cellStyle name="Normal 2 2 5 26 3 2 3" xfId="5125" xr:uid="{00000000-0005-0000-0000-0000792F0000}"/>
    <cellStyle name="Normal 2 2 5 26 3 2 3 2" xfId="32955" xr:uid="{00000000-0005-0000-0000-00007A2F0000}"/>
    <cellStyle name="Normal 2 2 5 26 3 2 4" xfId="32956" xr:uid="{00000000-0005-0000-0000-00007B2F0000}"/>
    <cellStyle name="Normal 2 2 5 26 3 3" xfId="5126" xr:uid="{00000000-0005-0000-0000-00007C2F0000}"/>
    <cellStyle name="Normal 2 2 5 26 3 3 2" xfId="32957" xr:uid="{00000000-0005-0000-0000-00007D2F0000}"/>
    <cellStyle name="Normal 2 2 5 26 3 4" xfId="5127" xr:uid="{00000000-0005-0000-0000-00007E2F0000}"/>
    <cellStyle name="Normal 2 2 5 26 3 4 2" xfId="32958" xr:uid="{00000000-0005-0000-0000-00007F2F0000}"/>
    <cellStyle name="Normal 2 2 5 26 3 5" xfId="5128" xr:uid="{00000000-0005-0000-0000-0000802F0000}"/>
    <cellStyle name="Normal 2 2 5 26 3 5 2" xfId="32959" xr:uid="{00000000-0005-0000-0000-0000812F0000}"/>
    <cellStyle name="Normal 2 2 5 26 3 6" xfId="32960" xr:uid="{00000000-0005-0000-0000-0000822F0000}"/>
    <cellStyle name="Normal 2 2 5 26 3 6 2" xfId="32961" xr:uid="{00000000-0005-0000-0000-0000832F0000}"/>
    <cellStyle name="Normal 2 2 5 26 3 7" xfId="32962" xr:uid="{00000000-0005-0000-0000-0000842F0000}"/>
    <cellStyle name="Normal 2 2 5 26 4" xfId="5129" xr:uid="{00000000-0005-0000-0000-0000852F0000}"/>
    <cellStyle name="Normal 2 2 5 26 4 2" xfId="5130" xr:uid="{00000000-0005-0000-0000-0000862F0000}"/>
    <cellStyle name="Normal 2 2 5 26 4 2 2" xfId="32963" xr:uid="{00000000-0005-0000-0000-0000872F0000}"/>
    <cellStyle name="Normal 2 2 5 26 4 3" xfId="5131" xr:uid="{00000000-0005-0000-0000-0000882F0000}"/>
    <cellStyle name="Normal 2 2 5 26 4 3 2" xfId="32964" xr:uid="{00000000-0005-0000-0000-0000892F0000}"/>
    <cellStyle name="Normal 2 2 5 26 4 4" xfId="32965" xr:uid="{00000000-0005-0000-0000-00008A2F0000}"/>
    <cellStyle name="Normal 2 2 5 26 5" xfId="5132" xr:uid="{00000000-0005-0000-0000-00008B2F0000}"/>
    <cellStyle name="Normal 2 2 5 26 5 2" xfId="5133" xr:uid="{00000000-0005-0000-0000-00008C2F0000}"/>
    <cellStyle name="Normal 2 2 5 26 5 2 2" xfId="32966" xr:uid="{00000000-0005-0000-0000-00008D2F0000}"/>
    <cellStyle name="Normal 2 2 5 26 5 3" xfId="32967" xr:uid="{00000000-0005-0000-0000-00008E2F0000}"/>
    <cellStyle name="Normal 2 2 5 26 6" xfId="5134" xr:uid="{00000000-0005-0000-0000-00008F2F0000}"/>
    <cellStyle name="Normal 2 2 5 26 6 2" xfId="32968" xr:uid="{00000000-0005-0000-0000-0000902F0000}"/>
    <cellStyle name="Normal 2 2 5 26 7" xfId="5135" xr:uid="{00000000-0005-0000-0000-0000912F0000}"/>
    <cellStyle name="Normal 2 2 5 26 7 2" xfId="32969" xr:uid="{00000000-0005-0000-0000-0000922F0000}"/>
    <cellStyle name="Normal 2 2 5 26 8" xfId="32970" xr:uid="{00000000-0005-0000-0000-0000932F0000}"/>
    <cellStyle name="Normal 2 2 5 26 8 2" xfId="32971" xr:uid="{00000000-0005-0000-0000-0000942F0000}"/>
    <cellStyle name="Normal 2 2 5 26 9" xfId="32972" xr:uid="{00000000-0005-0000-0000-0000952F0000}"/>
    <cellStyle name="Normal 2 2 5 27" xfId="5136" xr:uid="{00000000-0005-0000-0000-0000962F0000}"/>
    <cellStyle name="Normal 2 2 5 27 10" xfId="32973" xr:uid="{00000000-0005-0000-0000-0000972F0000}"/>
    <cellStyle name="Normal 2 2 5 27 11" xfId="32974" xr:uid="{00000000-0005-0000-0000-0000982F0000}"/>
    <cellStyle name="Normal 2 2 5 27 2" xfId="5137" xr:uid="{00000000-0005-0000-0000-0000992F0000}"/>
    <cellStyle name="Normal 2 2 5 27 2 10" xfId="32975" xr:uid="{00000000-0005-0000-0000-00009A2F0000}"/>
    <cellStyle name="Normal 2 2 5 27 2 2" xfId="5138" xr:uid="{00000000-0005-0000-0000-00009B2F0000}"/>
    <cellStyle name="Normal 2 2 5 27 2 2 2" xfId="5139" xr:uid="{00000000-0005-0000-0000-00009C2F0000}"/>
    <cellStyle name="Normal 2 2 5 27 2 2 2 2" xfId="5140" xr:uid="{00000000-0005-0000-0000-00009D2F0000}"/>
    <cellStyle name="Normal 2 2 5 27 2 2 2 2 2" xfId="32976" xr:uid="{00000000-0005-0000-0000-00009E2F0000}"/>
    <cellStyle name="Normal 2 2 5 27 2 2 2 3" xfId="5141" xr:uid="{00000000-0005-0000-0000-00009F2F0000}"/>
    <cellStyle name="Normal 2 2 5 27 2 2 2 3 2" xfId="32977" xr:uid="{00000000-0005-0000-0000-0000A02F0000}"/>
    <cellStyle name="Normal 2 2 5 27 2 2 2 4" xfId="32978" xr:uid="{00000000-0005-0000-0000-0000A12F0000}"/>
    <cellStyle name="Normal 2 2 5 27 2 2 3" xfId="5142" xr:uid="{00000000-0005-0000-0000-0000A22F0000}"/>
    <cellStyle name="Normal 2 2 5 27 2 2 3 2" xfId="32979" xr:uid="{00000000-0005-0000-0000-0000A32F0000}"/>
    <cellStyle name="Normal 2 2 5 27 2 2 4" xfId="5143" xr:uid="{00000000-0005-0000-0000-0000A42F0000}"/>
    <cellStyle name="Normal 2 2 5 27 2 2 4 2" xfId="32980" xr:uid="{00000000-0005-0000-0000-0000A52F0000}"/>
    <cellStyle name="Normal 2 2 5 27 2 2 5" xfId="5144" xr:uid="{00000000-0005-0000-0000-0000A62F0000}"/>
    <cellStyle name="Normal 2 2 5 27 2 2 5 2" xfId="32981" xr:uid="{00000000-0005-0000-0000-0000A72F0000}"/>
    <cellStyle name="Normal 2 2 5 27 2 2 6" xfId="32982" xr:uid="{00000000-0005-0000-0000-0000A82F0000}"/>
    <cellStyle name="Normal 2 2 5 27 2 2 6 2" xfId="32983" xr:uid="{00000000-0005-0000-0000-0000A92F0000}"/>
    <cellStyle name="Normal 2 2 5 27 2 2 7" xfId="32984" xr:uid="{00000000-0005-0000-0000-0000AA2F0000}"/>
    <cellStyle name="Normal 2 2 5 27 2 3" xfId="5145" xr:uid="{00000000-0005-0000-0000-0000AB2F0000}"/>
    <cellStyle name="Normal 2 2 5 27 2 3 2" xfId="5146" xr:uid="{00000000-0005-0000-0000-0000AC2F0000}"/>
    <cellStyle name="Normal 2 2 5 27 2 3 2 2" xfId="32985" xr:uid="{00000000-0005-0000-0000-0000AD2F0000}"/>
    <cellStyle name="Normal 2 2 5 27 2 3 3" xfId="5147" xr:uid="{00000000-0005-0000-0000-0000AE2F0000}"/>
    <cellStyle name="Normal 2 2 5 27 2 3 3 2" xfId="32986" xr:uid="{00000000-0005-0000-0000-0000AF2F0000}"/>
    <cellStyle name="Normal 2 2 5 27 2 3 4" xfId="32987" xr:uid="{00000000-0005-0000-0000-0000B02F0000}"/>
    <cellStyle name="Normal 2 2 5 27 2 4" xfId="5148" xr:uid="{00000000-0005-0000-0000-0000B12F0000}"/>
    <cellStyle name="Normal 2 2 5 27 2 4 2" xfId="5149" xr:uid="{00000000-0005-0000-0000-0000B22F0000}"/>
    <cellStyle name="Normal 2 2 5 27 2 4 2 2" xfId="32988" xr:uid="{00000000-0005-0000-0000-0000B32F0000}"/>
    <cellStyle name="Normal 2 2 5 27 2 4 3" xfId="32989" xr:uid="{00000000-0005-0000-0000-0000B42F0000}"/>
    <cellStyle name="Normal 2 2 5 27 2 5" xfId="5150" xr:uid="{00000000-0005-0000-0000-0000B52F0000}"/>
    <cellStyle name="Normal 2 2 5 27 2 5 2" xfId="32990" xr:uid="{00000000-0005-0000-0000-0000B62F0000}"/>
    <cellStyle name="Normal 2 2 5 27 2 6" xfId="5151" xr:uid="{00000000-0005-0000-0000-0000B72F0000}"/>
    <cellStyle name="Normal 2 2 5 27 2 6 2" xfId="32991" xr:uid="{00000000-0005-0000-0000-0000B82F0000}"/>
    <cellStyle name="Normal 2 2 5 27 2 7" xfId="32992" xr:uid="{00000000-0005-0000-0000-0000B92F0000}"/>
    <cellStyle name="Normal 2 2 5 27 2 7 2" xfId="32993" xr:uid="{00000000-0005-0000-0000-0000BA2F0000}"/>
    <cellStyle name="Normal 2 2 5 27 2 8" xfId="32994" xr:uid="{00000000-0005-0000-0000-0000BB2F0000}"/>
    <cellStyle name="Normal 2 2 5 27 2 9" xfId="32995" xr:uid="{00000000-0005-0000-0000-0000BC2F0000}"/>
    <cellStyle name="Normal 2 2 5 27 3" xfId="5152" xr:uid="{00000000-0005-0000-0000-0000BD2F0000}"/>
    <cellStyle name="Normal 2 2 5 27 3 2" xfId="5153" xr:uid="{00000000-0005-0000-0000-0000BE2F0000}"/>
    <cellStyle name="Normal 2 2 5 27 3 2 2" xfId="5154" xr:uid="{00000000-0005-0000-0000-0000BF2F0000}"/>
    <cellStyle name="Normal 2 2 5 27 3 2 2 2" xfId="32996" xr:uid="{00000000-0005-0000-0000-0000C02F0000}"/>
    <cellStyle name="Normal 2 2 5 27 3 2 3" xfId="5155" xr:uid="{00000000-0005-0000-0000-0000C12F0000}"/>
    <cellStyle name="Normal 2 2 5 27 3 2 3 2" xfId="32997" xr:uid="{00000000-0005-0000-0000-0000C22F0000}"/>
    <cellStyle name="Normal 2 2 5 27 3 2 4" xfId="32998" xr:uid="{00000000-0005-0000-0000-0000C32F0000}"/>
    <cellStyle name="Normal 2 2 5 27 3 3" xfId="5156" xr:uid="{00000000-0005-0000-0000-0000C42F0000}"/>
    <cellStyle name="Normal 2 2 5 27 3 3 2" xfId="32999" xr:uid="{00000000-0005-0000-0000-0000C52F0000}"/>
    <cellStyle name="Normal 2 2 5 27 3 4" xfId="5157" xr:uid="{00000000-0005-0000-0000-0000C62F0000}"/>
    <cellStyle name="Normal 2 2 5 27 3 4 2" xfId="33000" xr:uid="{00000000-0005-0000-0000-0000C72F0000}"/>
    <cellStyle name="Normal 2 2 5 27 3 5" xfId="5158" xr:uid="{00000000-0005-0000-0000-0000C82F0000}"/>
    <cellStyle name="Normal 2 2 5 27 3 5 2" xfId="33001" xr:uid="{00000000-0005-0000-0000-0000C92F0000}"/>
    <cellStyle name="Normal 2 2 5 27 3 6" xfId="33002" xr:uid="{00000000-0005-0000-0000-0000CA2F0000}"/>
    <cellStyle name="Normal 2 2 5 27 3 6 2" xfId="33003" xr:uid="{00000000-0005-0000-0000-0000CB2F0000}"/>
    <cellStyle name="Normal 2 2 5 27 3 7" xfId="33004" xr:uid="{00000000-0005-0000-0000-0000CC2F0000}"/>
    <cellStyle name="Normal 2 2 5 27 4" xfId="5159" xr:uid="{00000000-0005-0000-0000-0000CD2F0000}"/>
    <cellStyle name="Normal 2 2 5 27 4 2" xfId="5160" xr:uid="{00000000-0005-0000-0000-0000CE2F0000}"/>
    <cellStyle name="Normal 2 2 5 27 4 2 2" xfId="33005" xr:uid="{00000000-0005-0000-0000-0000CF2F0000}"/>
    <cellStyle name="Normal 2 2 5 27 4 3" xfId="5161" xr:uid="{00000000-0005-0000-0000-0000D02F0000}"/>
    <cellStyle name="Normal 2 2 5 27 4 3 2" xfId="33006" xr:uid="{00000000-0005-0000-0000-0000D12F0000}"/>
    <cellStyle name="Normal 2 2 5 27 4 4" xfId="33007" xr:uid="{00000000-0005-0000-0000-0000D22F0000}"/>
    <cellStyle name="Normal 2 2 5 27 5" xfId="5162" xr:uid="{00000000-0005-0000-0000-0000D32F0000}"/>
    <cellStyle name="Normal 2 2 5 27 5 2" xfId="5163" xr:uid="{00000000-0005-0000-0000-0000D42F0000}"/>
    <cellStyle name="Normal 2 2 5 27 5 2 2" xfId="33008" xr:uid="{00000000-0005-0000-0000-0000D52F0000}"/>
    <cellStyle name="Normal 2 2 5 27 5 3" xfId="33009" xr:uid="{00000000-0005-0000-0000-0000D62F0000}"/>
    <cellStyle name="Normal 2 2 5 27 6" xfId="5164" xr:uid="{00000000-0005-0000-0000-0000D72F0000}"/>
    <cellStyle name="Normal 2 2 5 27 6 2" xfId="33010" xr:uid="{00000000-0005-0000-0000-0000D82F0000}"/>
    <cellStyle name="Normal 2 2 5 27 7" xfId="5165" xr:uid="{00000000-0005-0000-0000-0000D92F0000}"/>
    <cellStyle name="Normal 2 2 5 27 7 2" xfId="33011" xr:uid="{00000000-0005-0000-0000-0000DA2F0000}"/>
    <cellStyle name="Normal 2 2 5 27 8" xfId="33012" xr:uid="{00000000-0005-0000-0000-0000DB2F0000}"/>
    <cellStyle name="Normal 2 2 5 27 8 2" xfId="33013" xr:uid="{00000000-0005-0000-0000-0000DC2F0000}"/>
    <cellStyle name="Normal 2 2 5 27 9" xfId="33014" xr:uid="{00000000-0005-0000-0000-0000DD2F0000}"/>
    <cellStyle name="Normal 2 2 5 28" xfId="5166" xr:uid="{00000000-0005-0000-0000-0000DE2F0000}"/>
    <cellStyle name="Normal 2 2 5 28 10" xfId="33015" xr:uid="{00000000-0005-0000-0000-0000DF2F0000}"/>
    <cellStyle name="Normal 2 2 5 28 11" xfId="33016" xr:uid="{00000000-0005-0000-0000-0000E02F0000}"/>
    <cellStyle name="Normal 2 2 5 28 2" xfId="5167" xr:uid="{00000000-0005-0000-0000-0000E12F0000}"/>
    <cellStyle name="Normal 2 2 5 28 2 10" xfId="33017" xr:uid="{00000000-0005-0000-0000-0000E22F0000}"/>
    <cellStyle name="Normal 2 2 5 28 2 2" xfId="5168" xr:uid="{00000000-0005-0000-0000-0000E32F0000}"/>
    <cellStyle name="Normal 2 2 5 28 2 2 2" xfId="5169" xr:uid="{00000000-0005-0000-0000-0000E42F0000}"/>
    <cellStyle name="Normal 2 2 5 28 2 2 2 2" xfId="5170" xr:uid="{00000000-0005-0000-0000-0000E52F0000}"/>
    <cellStyle name="Normal 2 2 5 28 2 2 2 2 2" xfId="33018" xr:uid="{00000000-0005-0000-0000-0000E62F0000}"/>
    <cellStyle name="Normal 2 2 5 28 2 2 2 3" xfId="5171" xr:uid="{00000000-0005-0000-0000-0000E72F0000}"/>
    <cellStyle name="Normal 2 2 5 28 2 2 2 3 2" xfId="33019" xr:uid="{00000000-0005-0000-0000-0000E82F0000}"/>
    <cellStyle name="Normal 2 2 5 28 2 2 2 4" xfId="33020" xr:uid="{00000000-0005-0000-0000-0000E92F0000}"/>
    <cellStyle name="Normal 2 2 5 28 2 2 3" xfId="5172" xr:uid="{00000000-0005-0000-0000-0000EA2F0000}"/>
    <cellStyle name="Normal 2 2 5 28 2 2 3 2" xfId="33021" xr:uid="{00000000-0005-0000-0000-0000EB2F0000}"/>
    <cellStyle name="Normal 2 2 5 28 2 2 4" xfId="5173" xr:uid="{00000000-0005-0000-0000-0000EC2F0000}"/>
    <cellStyle name="Normal 2 2 5 28 2 2 4 2" xfId="33022" xr:uid="{00000000-0005-0000-0000-0000ED2F0000}"/>
    <cellStyle name="Normal 2 2 5 28 2 2 5" xfId="5174" xr:uid="{00000000-0005-0000-0000-0000EE2F0000}"/>
    <cellStyle name="Normal 2 2 5 28 2 2 5 2" xfId="33023" xr:uid="{00000000-0005-0000-0000-0000EF2F0000}"/>
    <cellStyle name="Normal 2 2 5 28 2 2 6" xfId="33024" xr:uid="{00000000-0005-0000-0000-0000F02F0000}"/>
    <cellStyle name="Normal 2 2 5 28 2 2 6 2" xfId="33025" xr:uid="{00000000-0005-0000-0000-0000F12F0000}"/>
    <cellStyle name="Normal 2 2 5 28 2 2 7" xfId="33026" xr:uid="{00000000-0005-0000-0000-0000F22F0000}"/>
    <cellStyle name="Normal 2 2 5 28 2 3" xfId="5175" xr:uid="{00000000-0005-0000-0000-0000F32F0000}"/>
    <cellStyle name="Normal 2 2 5 28 2 3 2" xfId="5176" xr:uid="{00000000-0005-0000-0000-0000F42F0000}"/>
    <cellStyle name="Normal 2 2 5 28 2 3 2 2" xfId="33027" xr:uid="{00000000-0005-0000-0000-0000F52F0000}"/>
    <cellStyle name="Normal 2 2 5 28 2 3 3" xfId="5177" xr:uid="{00000000-0005-0000-0000-0000F62F0000}"/>
    <cellStyle name="Normal 2 2 5 28 2 3 3 2" xfId="33028" xr:uid="{00000000-0005-0000-0000-0000F72F0000}"/>
    <cellStyle name="Normal 2 2 5 28 2 3 4" xfId="33029" xr:uid="{00000000-0005-0000-0000-0000F82F0000}"/>
    <cellStyle name="Normal 2 2 5 28 2 4" xfId="5178" xr:uid="{00000000-0005-0000-0000-0000F92F0000}"/>
    <cellStyle name="Normal 2 2 5 28 2 4 2" xfId="5179" xr:uid="{00000000-0005-0000-0000-0000FA2F0000}"/>
    <cellStyle name="Normal 2 2 5 28 2 4 2 2" xfId="33030" xr:uid="{00000000-0005-0000-0000-0000FB2F0000}"/>
    <cellStyle name="Normal 2 2 5 28 2 4 3" xfId="33031" xr:uid="{00000000-0005-0000-0000-0000FC2F0000}"/>
    <cellStyle name="Normal 2 2 5 28 2 5" xfId="5180" xr:uid="{00000000-0005-0000-0000-0000FD2F0000}"/>
    <cellStyle name="Normal 2 2 5 28 2 5 2" xfId="33032" xr:uid="{00000000-0005-0000-0000-0000FE2F0000}"/>
    <cellStyle name="Normal 2 2 5 28 2 6" xfId="5181" xr:uid="{00000000-0005-0000-0000-0000FF2F0000}"/>
    <cellStyle name="Normal 2 2 5 28 2 6 2" xfId="33033" xr:uid="{00000000-0005-0000-0000-000000300000}"/>
    <cellStyle name="Normal 2 2 5 28 2 7" xfId="33034" xr:uid="{00000000-0005-0000-0000-000001300000}"/>
    <cellStyle name="Normal 2 2 5 28 2 7 2" xfId="33035" xr:uid="{00000000-0005-0000-0000-000002300000}"/>
    <cellStyle name="Normal 2 2 5 28 2 8" xfId="33036" xr:uid="{00000000-0005-0000-0000-000003300000}"/>
    <cellStyle name="Normal 2 2 5 28 2 9" xfId="33037" xr:uid="{00000000-0005-0000-0000-000004300000}"/>
    <cellStyle name="Normal 2 2 5 28 3" xfId="5182" xr:uid="{00000000-0005-0000-0000-000005300000}"/>
    <cellStyle name="Normal 2 2 5 28 3 2" xfId="5183" xr:uid="{00000000-0005-0000-0000-000006300000}"/>
    <cellStyle name="Normal 2 2 5 28 3 2 2" xfId="5184" xr:uid="{00000000-0005-0000-0000-000007300000}"/>
    <cellStyle name="Normal 2 2 5 28 3 2 2 2" xfId="33038" xr:uid="{00000000-0005-0000-0000-000008300000}"/>
    <cellStyle name="Normal 2 2 5 28 3 2 3" xfId="5185" xr:uid="{00000000-0005-0000-0000-000009300000}"/>
    <cellStyle name="Normal 2 2 5 28 3 2 3 2" xfId="33039" xr:uid="{00000000-0005-0000-0000-00000A300000}"/>
    <cellStyle name="Normal 2 2 5 28 3 2 4" xfId="33040" xr:uid="{00000000-0005-0000-0000-00000B300000}"/>
    <cellStyle name="Normal 2 2 5 28 3 3" xfId="5186" xr:uid="{00000000-0005-0000-0000-00000C300000}"/>
    <cellStyle name="Normal 2 2 5 28 3 3 2" xfId="33041" xr:uid="{00000000-0005-0000-0000-00000D300000}"/>
    <cellStyle name="Normal 2 2 5 28 3 4" xfId="5187" xr:uid="{00000000-0005-0000-0000-00000E300000}"/>
    <cellStyle name="Normal 2 2 5 28 3 4 2" xfId="33042" xr:uid="{00000000-0005-0000-0000-00000F300000}"/>
    <cellStyle name="Normal 2 2 5 28 3 5" xfId="5188" xr:uid="{00000000-0005-0000-0000-000010300000}"/>
    <cellStyle name="Normal 2 2 5 28 3 5 2" xfId="33043" xr:uid="{00000000-0005-0000-0000-000011300000}"/>
    <cellStyle name="Normal 2 2 5 28 3 6" xfId="33044" xr:uid="{00000000-0005-0000-0000-000012300000}"/>
    <cellStyle name="Normal 2 2 5 28 3 6 2" xfId="33045" xr:uid="{00000000-0005-0000-0000-000013300000}"/>
    <cellStyle name="Normal 2 2 5 28 3 7" xfId="33046" xr:uid="{00000000-0005-0000-0000-000014300000}"/>
    <cellStyle name="Normal 2 2 5 28 4" xfId="5189" xr:uid="{00000000-0005-0000-0000-000015300000}"/>
    <cellStyle name="Normal 2 2 5 28 4 2" xfId="5190" xr:uid="{00000000-0005-0000-0000-000016300000}"/>
    <cellStyle name="Normal 2 2 5 28 4 2 2" xfId="33047" xr:uid="{00000000-0005-0000-0000-000017300000}"/>
    <cellStyle name="Normal 2 2 5 28 4 3" xfId="5191" xr:uid="{00000000-0005-0000-0000-000018300000}"/>
    <cellStyle name="Normal 2 2 5 28 4 3 2" xfId="33048" xr:uid="{00000000-0005-0000-0000-000019300000}"/>
    <cellStyle name="Normal 2 2 5 28 4 4" xfId="33049" xr:uid="{00000000-0005-0000-0000-00001A300000}"/>
    <cellStyle name="Normal 2 2 5 28 5" xfId="5192" xr:uid="{00000000-0005-0000-0000-00001B300000}"/>
    <cellStyle name="Normal 2 2 5 28 5 2" xfId="5193" xr:uid="{00000000-0005-0000-0000-00001C300000}"/>
    <cellStyle name="Normal 2 2 5 28 5 2 2" xfId="33050" xr:uid="{00000000-0005-0000-0000-00001D300000}"/>
    <cellStyle name="Normal 2 2 5 28 5 3" xfId="33051" xr:uid="{00000000-0005-0000-0000-00001E300000}"/>
    <cellStyle name="Normal 2 2 5 28 6" xfId="5194" xr:uid="{00000000-0005-0000-0000-00001F300000}"/>
    <cellStyle name="Normal 2 2 5 28 6 2" xfId="33052" xr:uid="{00000000-0005-0000-0000-000020300000}"/>
    <cellStyle name="Normal 2 2 5 28 7" xfId="5195" xr:uid="{00000000-0005-0000-0000-000021300000}"/>
    <cellStyle name="Normal 2 2 5 28 7 2" xfId="33053" xr:uid="{00000000-0005-0000-0000-000022300000}"/>
    <cellStyle name="Normal 2 2 5 28 8" xfId="33054" xr:uid="{00000000-0005-0000-0000-000023300000}"/>
    <cellStyle name="Normal 2 2 5 28 8 2" xfId="33055" xr:uid="{00000000-0005-0000-0000-000024300000}"/>
    <cellStyle name="Normal 2 2 5 28 9" xfId="33056" xr:uid="{00000000-0005-0000-0000-000025300000}"/>
    <cellStyle name="Normal 2 2 5 29" xfId="5196" xr:uid="{00000000-0005-0000-0000-000026300000}"/>
    <cellStyle name="Normal 2 2 5 29 10" xfId="33057" xr:uid="{00000000-0005-0000-0000-000027300000}"/>
    <cellStyle name="Normal 2 2 5 29 11" xfId="33058" xr:uid="{00000000-0005-0000-0000-000028300000}"/>
    <cellStyle name="Normal 2 2 5 29 2" xfId="5197" xr:uid="{00000000-0005-0000-0000-000029300000}"/>
    <cellStyle name="Normal 2 2 5 29 2 10" xfId="33059" xr:uid="{00000000-0005-0000-0000-00002A300000}"/>
    <cellStyle name="Normal 2 2 5 29 2 2" xfId="5198" xr:uid="{00000000-0005-0000-0000-00002B300000}"/>
    <cellStyle name="Normal 2 2 5 29 2 2 2" xfId="5199" xr:uid="{00000000-0005-0000-0000-00002C300000}"/>
    <cellStyle name="Normal 2 2 5 29 2 2 2 2" xfId="5200" xr:uid="{00000000-0005-0000-0000-00002D300000}"/>
    <cellStyle name="Normal 2 2 5 29 2 2 2 2 2" xfId="33060" xr:uid="{00000000-0005-0000-0000-00002E300000}"/>
    <cellStyle name="Normal 2 2 5 29 2 2 2 3" xfId="5201" xr:uid="{00000000-0005-0000-0000-00002F300000}"/>
    <cellStyle name="Normal 2 2 5 29 2 2 2 3 2" xfId="33061" xr:uid="{00000000-0005-0000-0000-000030300000}"/>
    <cellStyle name="Normal 2 2 5 29 2 2 2 4" xfId="33062" xr:uid="{00000000-0005-0000-0000-000031300000}"/>
    <cellStyle name="Normal 2 2 5 29 2 2 3" xfId="5202" xr:uid="{00000000-0005-0000-0000-000032300000}"/>
    <cellStyle name="Normal 2 2 5 29 2 2 3 2" xfId="33063" xr:uid="{00000000-0005-0000-0000-000033300000}"/>
    <cellStyle name="Normal 2 2 5 29 2 2 4" xfId="5203" xr:uid="{00000000-0005-0000-0000-000034300000}"/>
    <cellStyle name="Normal 2 2 5 29 2 2 4 2" xfId="33064" xr:uid="{00000000-0005-0000-0000-000035300000}"/>
    <cellStyle name="Normal 2 2 5 29 2 2 5" xfId="5204" xr:uid="{00000000-0005-0000-0000-000036300000}"/>
    <cellStyle name="Normal 2 2 5 29 2 2 5 2" xfId="33065" xr:uid="{00000000-0005-0000-0000-000037300000}"/>
    <cellStyle name="Normal 2 2 5 29 2 2 6" xfId="33066" xr:uid="{00000000-0005-0000-0000-000038300000}"/>
    <cellStyle name="Normal 2 2 5 29 2 2 6 2" xfId="33067" xr:uid="{00000000-0005-0000-0000-000039300000}"/>
    <cellStyle name="Normal 2 2 5 29 2 2 7" xfId="33068" xr:uid="{00000000-0005-0000-0000-00003A300000}"/>
    <cellStyle name="Normal 2 2 5 29 2 3" xfId="5205" xr:uid="{00000000-0005-0000-0000-00003B300000}"/>
    <cellStyle name="Normal 2 2 5 29 2 3 2" xfId="5206" xr:uid="{00000000-0005-0000-0000-00003C300000}"/>
    <cellStyle name="Normal 2 2 5 29 2 3 2 2" xfId="33069" xr:uid="{00000000-0005-0000-0000-00003D300000}"/>
    <cellStyle name="Normal 2 2 5 29 2 3 3" xfId="5207" xr:uid="{00000000-0005-0000-0000-00003E300000}"/>
    <cellStyle name="Normal 2 2 5 29 2 3 3 2" xfId="33070" xr:uid="{00000000-0005-0000-0000-00003F300000}"/>
    <cellStyle name="Normal 2 2 5 29 2 3 4" xfId="33071" xr:uid="{00000000-0005-0000-0000-000040300000}"/>
    <cellStyle name="Normal 2 2 5 29 2 4" xfId="5208" xr:uid="{00000000-0005-0000-0000-000041300000}"/>
    <cellStyle name="Normal 2 2 5 29 2 4 2" xfId="5209" xr:uid="{00000000-0005-0000-0000-000042300000}"/>
    <cellStyle name="Normal 2 2 5 29 2 4 2 2" xfId="33072" xr:uid="{00000000-0005-0000-0000-000043300000}"/>
    <cellStyle name="Normal 2 2 5 29 2 4 3" xfId="33073" xr:uid="{00000000-0005-0000-0000-000044300000}"/>
    <cellStyle name="Normal 2 2 5 29 2 5" xfId="5210" xr:uid="{00000000-0005-0000-0000-000045300000}"/>
    <cellStyle name="Normal 2 2 5 29 2 5 2" xfId="33074" xr:uid="{00000000-0005-0000-0000-000046300000}"/>
    <cellStyle name="Normal 2 2 5 29 2 6" xfId="5211" xr:uid="{00000000-0005-0000-0000-000047300000}"/>
    <cellStyle name="Normal 2 2 5 29 2 6 2" xfId="33075" xr:uid="{00000000-0005-0000-0000-000048300000}"/>
    <cellStyle name="Normal 2 2 5 29 2 7" xfId="33076" xr:uid="{00000000-0005-0000-0000-000049300000}"/>
    <cellStyle name="Normal 2 2 5 29 2 7 2" xfId="33077" xr:uid="{00000000-0005-0000-0000-00004A300000}"/>
    <cellStyle name="Normal 2 2 5 29 2 8" xfId="33078" xr:uid="{00000000-0005-0000-0000-00004B300000}"/>
    <cellStyle name="Normal 2 2 5 29 2 9" xfId="33079" xr:uid="{00000000-0005-0000-0000-00004C300000}"/>
    <cellStyle name="Normal 2 2 5 29 3" xfId="5212" xr:uid="{00000000-0005-0000-0000-00004D300000}"/>
    <cellStyle name="Normal 2 2 5 29 3 2" xfId="5213" xr:uid="{00000000-0005-0000-0000-00004E300000}"/>
    <cellStyle name="Normal 2 2 5 29 3 2 2" xfId="5214" xr:uid="{00000000-0005-0000-0000-00004F300000}"/>
    <cellStyle name="Normal 2 2 5 29 3 2 2 2" xfId="33080" xr:uid="{00000000-0005-0000-0000-000050300000}"/>
    <cellStyle name="Normal 2 2 5 29 3 2 3" xfId="5215" xr:uid="{00000000-0005-0000-0000-000051300000}"/>
    <cellStyle name="Normal 2 2 5 29 3 2 3 2" xfId="33081" xr:uid="{00000000-0005-0000-0000-000052300000}"/>
    <cellStyle name="Normal 2 2 5 29 3 2 4" xfId="33082" xr:uid="{00000000-0005-0000-0000-000053300000}"/>
    <cellStyle name="Normal 2 2 5 29 3 3" xfId="5216" xr:uid="{00000000-0005-0000-0000-000054300000}"/>
    <cellStyle name="Normal 2 2 5 29 3 3 2" xfId="33083" xr:uid="{00000000-0005-0000-0000-000055300000}"/>
    <cellStyle name="Normal 2 2 5 29 3 4" xfId="5217" xr:uid="{00000000-0005-0000-0000-000056300000}"/>
    <cellStyle name="Normal 2 2 5 29 3 4 2" xfId="33084" xr:uid="{00000000-0005-0000-0000-000057300000}"/>
    <cellStyle name="Normal 2 2 5 29 3 5" xfId="5218" xr:uid="{00000000-0005-0000-0000-000058300000}"/>
    <cellStyle name="Normal 2 2 5 29 3 5 2" xfId="33085" xr:uid="{00000000-0005-0000-0000-000059300000}"/>
    <cellStyle name="Normal 2 2 5 29 3 6" xfId="33086" xr:uid="{00000000-0005-0000-0000-00005A300000}"/>
    <cellStyle name="Normal 2 2 5 29 3 6 2" xfId="33087" xr:uid="{00000000-0005-0000-0000-00005B300000}"/>
    <cellStyle name="Normal 2 2 5 29 3 7" xfId="33088" xr:uid="{00000000-0005-0000-0000-00005C300000}"/>
    <cellStyle name="Normal 2 2 5 29 4" xfId="5219" xr:uid="{00000000-0005-0000-0000-00005D300000}"/>
    <cellStyle name="Normal 2 2 5 29 4 2" xfId="5220" xr:uid="{00000000-0005-0000-0000-00005E300000}"/>
    <cellStyle name="Normal 2 2 5 29 4 2 2" xfId="33089" xr:uid="{00000000-0005-0000-0000-00005F300000}"/>
    <cellStyle name="Normal 2 2 5 29 4 3" xfId="5221" xr:uid="{00000000-0005-0000-0000-000060300000}"/>
    <cellStyle name="Normal 2 2 5 29 4 3 2" xfId="33090" xr:uid="{00000000-0005-0000-0000-000061300000}"/>
    <cellStyle name="Normal 2 2 5 29 4 4" xfId="33091" xr:uid="{00000000-0005-0000-0000-000062300000}"/>
    <cellStyle name="Normal 2 2 5 29 5" xfId="5222" xr:uid="{00000000-0005-0000-0000-000063300000}"/>
    <cellStyle name="Normal 2 2 5 29 5 2" xfId="5223" xr:uid="{00000000-0005-0000-0000-000064300000}"/>
    <cellStyle name="Normal 2 2 5 29 5 2 2" xfId="33092" xr:uid="{00000000-0005-0000-0000-000065300000}"/>
    <cellStyle name="Normal 2 2 5 29 5 3" xfId="33093" xr:uid="{00000000-0005-0000-0000-000066300000}"/>
    <cellStyle name="Normal 2 2 5 29 6" xfId="5224" xr:uid="{00000000-0005-0000-0000-000067300000}"/>
    <cellStyle name="Normal 2 2 5 29 6 2" xfId="33094" xr:uid="{00000000-0005-0000-0000-000068300000}"/>
    <cellStyle name="Normal 2 2 5 29 7" xfId="5225" xr:uid="{00000000-0005-0000-0000-000069300000}"/>
    <cellStyle name="Normal 2 2 5 29 7 2" xfId="33095" xr:uid="{00000000-0005-0000-0000-00006A300000}"/>
    <cellStyle name="Normal 2 2 5 29 8" xfId="33096" xr:uid="{00000000-0005-0000-0000-00006B300000}"/>
    <cellStyle name="Normal 2 2 5 29 8 2" xfId="33097" xr:uid="{00000000-0005-0000-0000-00006C300000}"/>
    <cellStyle name="Normal 2 2 5 29 9" xfId="33098" xr:uid="{00000000-0005-0000-0000-00006D300000}"/>
    <cellStyle name="Normal 2 2 5 3" xfId="5226" xr:uid="{00000000-0005-0000-0000-00006E300000}"/>
    <cellStyle name="Normal 2 2 5 3 10" xfId="33099" xr:uid="{00000000-0005-0000-0000-00006F300000}"/>
    <cellStyle name="Normal 2 2 5 3 11" xfId="33100" xr:uid="{00000000-0005-0000-0000-000070300000}"/>
    <cellStyle name="Normal 2 2 5 3 2" xfId="5227" xr:uid="{00000000-0005-0000-0000-000071300000}"/>
    <cellStyle name="Normal 2 2 5 3 2 10" xfId="33101" xr:uid="{00000000-0005-0000-0000-000072300000}"/>
    <cellStyle name="Normal 2 2 5 3 2 2" xfId="5228" xr:uid="{00000000-0005-0000-0000-000073300000}"/>
    <cellStyle name="Normal 2 2 5 3 2 2 2" xfId="5229" xr:uid="{00000000-0005-0000-0000-000074300000}"/>
    <cellStyle name="Normal 2 2 5 3 2 2 2 2" xfId="5230" xr:uid="{00000000-0005-0000-0000-000075300000}"/>
    <cellStyle name="Normal 2 2 5 3 2 2 2 2 2" xfId="33102" xr:uid="{00000000-0005-0000-0000-000076300000}"/>
    <cellStyle name="Normal 2 2 5 3 2 2 2 3" xfId="5231" xr:uid="{00000000-0005-0000-0000-000077300000}"/>
    <cellStyle name="Normal 2 2 5 3 2 2 2 3 2" xfId="33103" xr:uid="{00000000-0005-0000-0000-000078300000}"/>
    <cellStyle name="Normal 2 2 5 3 2 2 2 4" xfId="33104" xr:uid="{00000000-0005-0000-0000-000079300000}"/>
    <cellStyle name="Normal 2 2 5 3 2 2 3" xfId="5232" xr:uid="{00000000-0005-0000-0000-00007A300000}"/>
    <cellStyle name="Normal 2 2 5 3 2 2 3 2" xfId="33105" xr:uid="{00000000-0005-0000-0000-00007B300000}"/>
    <cellStyle name="Normal 2 2 5 3 2 2 4" xfId="5233" xr:uid="{00000000-0005-0000-0000-00007C300000}"/>
    <cellStyle name="Normal 2 2 5 3 2 2 4 2" xfId="33106" xr:uid="{00000000-0005-0000-0000-00007D300000}"/>
    <cellStyle name="Normal 2 2 5 3 2 2 5" xfId="5234" xr:uid="{00000000-0005-0000-0000-00007E300000}"/>
    <cellStyle name="Normal 2 2 5 3 2 2 5 2" xfId="33107" xr:uid="{00000000-0005-0000-0000-00007F300000}"/>
    <cellStyle name="Normal 2 2 5 3 2 2 6" xfId="33108" xr:uid="{00000000-0005-0000-0000-000080300000}"/>
    <cellStyle name="Normal 2 2 5 3 2 2 6 2" xfId="33109" xr:uid="{00000000-0005-0000-0000-000081300000}"/>
    <cellStyle name="Normal 2 2 5 3 2 2 7" xfId="33110" xr:uid="{00000000-0005-0000-0000-000082300000}"/>
    <cellStyle name="Normal 2 2 5 3 2 3" xfId="5235" xr:uid="{00000000-0005-0000-0000-000083300000}"/>
    <cellStyle name="Normal 2 2 5 3 2 3 2" xfId="5236" xr:uid="{00000000-0005-0000-0000-000084300000}"/>
    <cellStyle name="Normal 2 2 5 3 2 3 2 2" xfId="33111" xr:uid="{00000000-0005-0000-0000-000085300000}"/>
    <cellStyle name="Normal 2 2 5 3 2 3 3" xfId="5237" xr:uid="{00000000-0005-0000-0000-000086300000}"/>
    <cellStyle name="Normal 2 2 5 3 2 3 3 2" xfId="33112" xr:uid="{00000000-0005-0000-0000-000087300000}"/>
    <cellStyle name="Normal 2 2 5 3 2 3 4" xfId="33113" xr:uid="{00000000-0005-0000-0000-000088300000}"/>
    <cellStyle name="Normal 2 2 5 3 2 4" xfId="5238" xr:uid="{00000000-0005-0000-0000-000089300000}"/>
    <cellStyle name="Normal 2 2 5 3 2 4 2" xfId="5239" xr:uid="{00000000-0005-0000-0000-00008A300000}"/>
    <cellStyle name="Normal 2 2 5 3 2 4 2 2" xfId="33114" xr:uid="{00000000-0005-0000-0000-00008B300000}"/>
    <cellStyle name="Normal 2 2 5 3 2 4 3" xfId="33115" xr:uid="{00000000-0005-0000-0000-00008C300000}"/>
    <cellStyle name="Normal 2 2 5 3 2 5" xfId="5240" xr:uid="{00000000-0005-0000-0000-00008D300000}"/>
    <cellStyle name="Normal 2 2 5 3 2 5 2" xfId="33116" xr:uid="{00000000-0005-0000-0000-00008E300000}"/>
    <cellStyle name="Normal 2 2 5 3 2 6" xfId="5241" xr:uid="{00000000-0005-0000-0000-00008F300000}"/>
    <cellStyle name="Normal 2 2 5 3 2 6 2" xfId="33117" xr:uid="{00000000-0005-0000-0000-000090300000}"/>
    <cellStyle name="Normal 2 2 5 3 2 7" xfId="33118" xr:uid="{00000000-0005-0000-0000-000091300000}"/>
    <cellStyle name="Normal 2 2 5 3 2 7 2" xfId="33119" xr:uid="{00000000-0005-0000-0000-000092300000}"/>
    <cellStyle name="Normal 2 2 5 3 2 8" xfId="33120" xr:uid="{00000000-0005-0000-0000-000093300000}"/>
    <cellStyle name="Normal 2 2 5 3 2 9" xfId="33121" xr:uid="{00000000-0005-0000-0000-000094300000}"/>
    <cellStyle name="Normal 2 2 5 3 3" xfId="5242" xr:uid="{00000000-0005-0000-0000-000095300000}"/>
    <cellStyle name="Normal 2 2 5 3 3 2" xfId="5243" xr:uid="{00000000-0005-0000-0000-000096300000}"/>
    <cellStyle name="Normal 2 2 5 3 3 2 2" xfId="5244" xr:uid="{00000000-0005-0000-0000-000097300000}"/>
    <cellStyle name="Normal 2 2 5 3 3 2 2 2" xfId="33122" xr:uid="{00000000-0005-0000-0000-000098300000}"/>
    <cellStyle name="Normal 2 2 5 3 3 2 3" xfId="5245" xr:uid="{00000000-0005-0000-0000-000099300000}"/>
    <cellStyle name="Normal 2 2 5 3 3 2 3 2" xfId="33123" xr:uid="{00000000-0005-0000-0000-00009A300000}"/>
    <cellStyle name="Normal 2 2 5 3 3 2 4" xfId="33124" xr:uid="{00000000-0005-0000-0000-00009B300000}"/>
    <cellStyle name="Normal 2 2 5 3 3 3" xfId="5246" xr:uid="{00000000-0005-0000-0000-00009C300000}"/>
    <cellStyle name="Normal 2 2 5 3 3 3 2" xfId="33125" xr:uid="{00000000-0005-0000-0000-00009D300000}"/>
    <cellStyle name="Normal 2 2 5 3 3 4" xfId="5247" xr:uid="{00000000-0005-0000-0000-00009E300000}"/>
    <cellStyle name="Normal 2 2 5 3 3 4 2" xfId="33126" xr:uid="{00000000-0005-0000-0000-00009F300000}"/>
    <cellStyle name="Normal 2 2 5 3 3 5" xfId="5248" xr:uid="{00000000-0005-0000-0000-0000A0300000}"/>
    <cellStyle name="Normal 2 2 5 3 3 5 2" xfId="33127" xr:uid="{00000000-0005-0000-0000-0000A1300000}"/>
    <cellStyle name="Normal 2 2 5 3 3 6" xfId="33128" xr:uid="{00000000-0005-0000-0000-0000A2300000}"/>
    <cellStyle name="Normal 2 2 5 3 3 6 2" xfId="33129" xr:uid="{00000000-0005-0000-0000-0000A3300000}"/>
    <cellStyle name="Normal 2 2 5 3 3 7" xfId="33130" xr:uid="{00000000-0005-0000-0000-0000A4300000}"/>
    <cellStyle name="Normal 2 2 5 3 4" xfId="5249" xr:uid="{00000000-0005-0000-0000-0000A5300000}"/>
    <cellStyle name="Normal 2 2 5 3 4 2" xfId="5250" xr:uid="{00000000-0005-0000-0000-0000A6300000}"/>
    <cellStyle name="Normal 2 2 5 3 4 2 2" xfId="33131" xr:uid="{00000000-0005-0000-0000-0000A7300000}"/>
    <cellStyle name="Normal 2 2 5 3 4 3" xfId="5251" xr:uid="{00000000-0005-0000-0000-0000A8300000}"/>
    <cellStyle name="Normal 2 2 5 3 4 3 2" xfId="33132" xr:uid="{00000000-0005-0000-0000-0000A9300000}"/>
    <cellStyle name="Normal 2 2 5 3 4 4" xfId="33133" xr:uid="{00000000-0005-0000-0000-0000AA300000}"/>
    <cellStyle name="Normal 2 2 5 3 5" xfId="5252" xr:uid="{00000000-0005-0000-0000-0000AB300000}"/>
    <cellStyle name="Normal 2 2 5 3 5 2" xfId="5253" xr:uid="{00000000-0005-0000-0000-0000AC300000}"/>
    <cellStyle name="Normal 2 2 5 3 5 2 2" xfId="33134" xr:uid="{00000000-0005-0000-0000-0000AD300000}"/>
    <cellStyle name="Normal 2 2 5 3 5 3" xfId="33135" xr:uid="{00000000-0005-0000-0000-0000AE300000}"/>
    <cellStyle name="Normal 2 2 5 3 6" xfId="5254" xr:uid="{00000000-0005-0000-0000-0000AF300000}"/>
    <cellStyle name="Normal 2 2 5 3 6 2" xfId="33136" xr:uid="{00000000-0005-0000-0000-0000B0300000}"/>
    <cellStyle name="Normal 2 2 5 3 7" xfId="5255" xr:uid="{00000000-0005-0000-0000-0000B1300000}"/>
    <cellStyle name="Normal 2 2 5 3 7 2" xfId="33137" xr:uid="{00000000-0005-0000-0000-0000B2300000}"/>
    <cellStyle name="Normal 2 2 5 3 8" xfId="33138" xr:uid="{00000000-0005-0000-0000-0000B3300000}"/>
    <cellStyle name="Normal 2 2 5 3 8 2" xfId="33139" xr:uid="{00000000-0005-0000-0000-0000B4300000}"/>
    <cellStyle name="Normal 2 2 5 3 9" xfId="33140" xr:uid="{00000000-0005-0000-0000-0000B5300000}"/>
    <cellStyle name="Normal 2 2 5 30" xfId="5256" xr:uid="{00000000-0005-0000-0000-0000B6300000}"/>
    <cellStyle name="Normal 2 2 5 30 10" xfId="33141" xr:uid="{00000000-0005-0000-0000-0000B7300000}"/>
    <cellStyle name="Normal 2 2 5 30 11" xfId="33142" xr:uid="{00000000-0005-0000-0000-0000B8300000}"/>
    <cellStyle name="Normal 2 2 5 30 2" xfId="5257" xr:uid="{00000000-0005-0000-0000-0000B9300000}"/>
    <cellStyle name="Normal 2 2 5 30 2 10" xfId="33143" xr:uid="{00000000-0005-0000-0000-0000BA300000}"/>
    <cellStyle name="Normal 2 2 5 30 2 2" xfId="5258" xr:uid="{00000000-0005-0000-0000-0000BB300000}"/>
    <cellStyle name="Normal 2 2 5 30 2 2 2" xfId="5259" xr:uid="{00000000-0005-0000-0000-0000BC300000}"/>
    <cellStyle name="Normal 2 2 5 30 2 2 2 2" xfId="5260" xr:uid="{00000000-0005-0000-0000-0000BD300000}"/>
    <cellStyle name="Normal 2 2 5 30 2 2 2 2 2" xfId="33144" xr:uid="{00000000-0005-0000-0000-0000BE300000}"/>
    <cellStyle name="Normal 2 2 5 30 2 2 2 3" xfId="5261" xr:uid="{00000000-0005-0000-0000-0000BF300000}"/>
    <cellStyle name="Normal 2 2 5 30 2 2 2 3 2" xfId="33145" xr:uid="{00000000-0005-0000-0000-0000C0300000}"/>
    <cellStyle name="Normal 2 2 5 30 2 2 2 4" xfId="33146" xr:uid="{00000000-0005-0000-0000-0000C1300000}"/>
    <cellStyle name="Normal 2 2 5 30 2 2 3" xfId="5262" xr:uid="{00000000-0005-0000-0000-0000C2300000}"/>
    <cellStyle name="Normal 2 2 5 30 2 2 3 2" xfId="33147" xr:uid="{00000000-0005-0000-0000-0000C3300000}"/>
    <cellStyle name="Normal 2 2 5 30 2 2 4" xfId="5263" xr:uid="{00000000-0005-0000-0000-0000C4300000}"/>
    <cellStyle name="Normal 2 2 5 30 2 2 4 2" xfId="33148" xr:uid="{00000000-0005-0000-0000-0000C5300000}"/>
    <cellStyle name="Normal 2 2 5 30 2 2 5" xfId="5264" xr:uid="{00000000-0005-0000-0000-0000C6300000}"/>
    <cellStyle name="Normal 2 2 5 30 2 2 5 2" xfId="33149" xr:uid="{00000000-0005-0000-0000-0000C7300000}"/>
    <cellStyle name="Normal 2 2 5 30 2 2 6" xfId="33150" xr:uid="{00000000-0005-0000-0000-0000C8300000}"/>
    <cellStyle name="Normal 2 2 5 30 2 2 6 2" xfId="33151" xr:uid="{00000000-0005-0000-0000-0000C9300000}"/>
    <cellStyle name="Normal 2 2 5 30 2 2 7" xfId="33152" xr:uid="{00000000-0005-0000-0000-0000CA300000}"/>
    <cellStyle name="Normal 2 2 5 30 2 3" xfId="5265" xr:uid="{00000000-0005-0000-0000-0000CB300000}"/>
    <cellStyle name="Normal 2 2 5 30 2 3 2" xfId="5266" xr:uid="{00000000-0005-0000-0000-0000CC300000}"/>
    <cellStyle name="Normal 2 2 5 30 2 3 2 2" xfId="33153" xr:uid="{00000000-0005-0000-0000-0000CD300000}"/>
    <cellStyle name="Normal 2 2 5 30 2 3 3" xfId="5267" xr:uid="{00000000-0005-0000-0000-0000CE300000}"/>
    <cellStyle name="Normal 2 2 5 30 2 3 3 2" xfId="33154" xr:uid="{00000000-0005-0000-0000-0000CF300000}"/>
    <cellStyle name="Normal 2 2 5 30 2 3 4" xfId="33155" xr:uid="{00000000-0005-0000-0000-0000D0300000}"/>
    <cellStyle name="Normal 2 2 5 30 2 4" xfId="5268" xr:uid="{00000000-0005-0000-0000-0000D1300000}"/>
    <cellStyle name="Normal 2 2 5 30 2 4 2" xfId="5269" xr:uid="{00000000-0005-0000-0000-0000D2300000}"/>
    <cellStyle name="Normal 2 2 5 30 2 4 2 2" xfId="33156" xr:uid="{00000000-0005-0000-0000-0000D3300000}"/>
    <cellStyle name="Normal 2 2 5 30 2 4 3" xfId="33157" xr:uid="{00000000-0005-0000-0000-0000D4300000}"/>
    <cellStyle name="Normal 2 2 5 30 2 5" xfId="5270" xr:uid="{00000000-0005-0000-0000-0000D5300000}"/>
    <cellStyle name="Normal 2 2 5 30 2 5 2" xfId="33158" xr:uid="{00000000-0005-0000-0000-0000D6300000}"/>
    <cellStyle name="Normal 2 2 5 30 2 6" xfId="5271" xr:uid="{00000000-0005-0000-0000-0000D7300000}"/>
    <cellStyle name="Normal 2 2 5 30 2 6 2" xfId="33159" xr:uid="{00000000-0005-0000-0000-0000D8300000}"/>
    <cellStyle name="Normal 2 2 5 30 2 7" xfId="33160" xr:uid="{00000000-0005-0000-0000-0000D9300000}"/>
    <cellStyle name="Normal 2 2 5 30 2 7 2" xfId="33161" xr:uid="{00000000-0005-0000-0000-0000DA300000}"/>
    <cellStyle name="Normal 2 2 5 30 2 8" xfId="33162" xr:uid="{00000000-0005-0000-0000-0000DB300000}"/>
    <cellStyle name="Normal 2 2 5 30 2 9" xfId="33163" xr:uid="{00000000-0005-0000-0000-0000DC300000}"/>
    <cellStyle name="Normal 2 2 5 30 3" xfId="5272" xr:uid="{00000000-0005-0000-0000-0000DD300000}"/>
    <cellStyle name="Normal 2 2 5 30 3 2" xfId="5273" xr:uid="{00000000-0005-0000-0000-0000DE300000}"/>
    <cellStyle name="Normal 2 2 5 30 3 2 2" xfId="5274" xr:uid="{00000000-0005-0000-0000-0000DF300000}"/>
    <cellStyle name="Normal 2 2 5 30 3 2 2 2" xfId="33164" xr:uid="{00000000-0005-0000-0000-0000E0300000}"/>
    <cellStyle name="Normal 2 2 5 30 3 2 3" xfId="5275" xr:uid="{00000000-0005-0000-0000-0000E1300000}"/>
    <cellStyle name="Normal 2 2 5 30 3 2 3 2" xfId="33165" xr:uid="{00000000-0005-0000-0000-0000E2300000}"/>
    <cellStyle name="Normal 2 2 5 30 3 2 4" xfId="33166" xr:uid="{00000000-0005-0000-0000-0000E3300000}"/>
    <cellStyle name="Normal 2 2 5 30 3 3" xfId="5276" xr:uid="{00000000-0005-0000-0000-0000E4300000}"/>
    <cellStyle name="Normal 2 2 5 30 3 3 2" xfId="33167" xr:uid="{00000000-0005-0000-0000-0000E5300000}"/>
    <cellStyle name="Normal 2 2 5 30 3 4" xfId="5277" xr:uid="{00000000-0005-0000-0000-0000E6300000}"/>
    <cellStyle name="Normal 2 2 5 30 3 4 2" xfId="33168" xr:uid="{00000000-0005-0000-0000-0000E7300000}"/>
    <cellStyle name="Normal 2 2 5 30 3 5" xfId="5278" xr:uid="{00000000-0005-0000-0000-0000E8300000}"/>
    <cellStyle name="Normal 2 2 5 30 3 5 2" xfId="33169" xr:uid="{00000000-0005-0000-0000-0000E9300000}"/>
    <cellStyle name="Normal 2 2 5 30 3 6" xfId="33170" xr:uid="{00000000-0005-0000-0000-0000EA300000}"/>
    <cellStyle name="Normal 2 2 5 30 3 6 2" xfId="33171" xr:uid="{00000000-0005-0000-0000-0000EB300000}"/>
    <cellStyle name="Normal 2 2 5 30 3 7" xfId="33172" xr:uid="{00000000-0005-0000-0000-0000EC300000}"/>
    <cellStyle name="Normal 2 2 5 30 4" xfId="5279" xr:uid="{00000000-0005-0000-0000-0000ED300000}"/>
    <cellStyle name="Normal 2 2 5 30 4 2" xfId="5280" xr:uid="{00000000-0005-0000-0000-0000EE300000}"/>
    <cellStyle name="Normal 2 2 5 30 4 2 2" xfId="33173" xr:uid="{00000000-0005-0000-0000-0000EF300000}"/>
    <cellStyle name="Normal 2 2 5 30 4 3" xfId="5281" xr:uid="{00000000-0005-0000-0000-0000F0300000}"/>
    <cellStyle name="Normal 2 2 5 30 4 3 2" xfId="33174" xr:uid="{00000000-0005-0000-0000-0000F1300000}"/>
    <cellStyle name="Normal 2 2 5 30 4 4" xfId="33175" xr:uid="{00000000-0005-0000-0000-0000F2300000}"/>
    <cellStyle name="Normal 2 2 5 30 5" xfId="5282" xr:uid="{00000000-0005-0000-0000-0000F3300000}"/>
    <cellStyle name="Normal 2 2 5 30 5 2" xfId="5283" xr:uid="{00000000-0005-0000-0000-0000F4300000}"/>
    <cellStyle name="Normal 2 2 5 30 5 2 2" xfId="33176" xr:uid="{00000000-0005-0000-0000-0000F5300000}"/>
    <cellStyle name="Normal 2 2 5 30 5 3" xfId="33177" xr:uid="{00000000-0005-0000-0000-0000F6300000}"/>
    <cellStyle name="Normal 2 2 5 30 6" xfId="5284" xr:uid="{00000000-0005-0000-0000-0000F7300000}"/>
    <cellStyle name="Normal 2 2 5 30 6 2" xfId="33178" xr:uid="{00000000-0005-0000-0000-0000F8300000}"/>
    <cellStyle name="Normal 2 2 5 30 7" xfId="5285" xr:uid="{00000000-0005-0000-0000-0000F9300000}"/>
    <cellStyle name="Normal 2 2 5 30 7 2" xfId="33179" xr:uid="{00000000-0005-0000-0000-0000FA300000}"/>
    <cellStyle name="Normal 2 2 5 30 8" xfId="33180" xr:uid="{00000000-0005-0000-0000-0000FB300000}"/>
    <cellStyle name="Normal 2 2 5 30 8 2" xfId="33181" xr:uid="{00000000-0005-0000-0000-0000FC300000}"/>
    <cellStyle name="Normal 2 2 5 30 9" xfId="33182" xr:uid="{00000000-0005-0000-0000-0000FD300000}"/>
    <cellStyle name="Normal 2 2 5 31" xfId="5286" xr:uid="{00000000-0005-0000-0000-0000FE300000}"/>
    <cellStyle name="Normal 2 2 5 31 10" xfId="33183" xr:uid="{00000000-0005-0000-0000-0000FF300000}"/>
    <cellStyle name="Normal 2 2 5 31 2" xfId="5287" xr:uid="{00000000-0005-0000-0000-000000310000}"/>
    <cellStyle name="Normal 2 2 5 31 2 2" xfId="5288" xr:uid="{00000000-0005-0000-0000-000001310000}"/>
    <cellStyle name="Normal 2 2 5 31 2 2 2" xfId="5289" xr:uid="{00000000-0005-0000-0000-000002310000}"/>
    <cellStyle name="Normal 2 2 5 31 2 2 2 2" xfId="33184" xr:uid="{00000000-0005-0000-0000-000003310000}"/>
    <cellStyle name="Normal 2 2 5 31 2 2 3" xfId="5290" xr:uid="{00000000-0005-0000-0000-000004310000}"/>
    <cellStyle name="Normal 2 2 5 31 2 2 3 2" xfId="33185" xr:uid="{00000000-0005-0000-0000-000005310000}"/>
    <cellStyle name="Normal 2 2 5 31 2 2 4" xfId="33186" xr:uid="{00000000-0005-0000-0000-000006310000}"/>
    <cellStyle name="Normal 2 2 5 31 2 3" xfId="5291" xr:uid="{00000000-0005-0000-0000-000007310000}"/>
    <cellStyle name="Normal 2 2 5 31 2 3 2" xfId="33187" xr:uid="{00000000-0005-0000-0000-000008310000}"/>
    <cellStyle name="Normal 2 2 5 31 2 4" xfId="5292" xr:uid="{00000000-0005-0000-0000-000009310000}"/>
    <cellStyle name="Normal 2 2 5 31 2 4 2" xfId="33188" xr:uid="{00000000-0005-0000-0000-00000A310000}"/>
    <cellStyle name="Normal 2 2 5 31 2 5" xfId="5293" xr:uid="{00000000-0005-0000-0000-00000B310000}"/>
    <cellStyle name="Normal 2 2 5 31 2 5 2" xfId="33189" xr:uid="{00000000-0005-0000-0000-00000C310000}"/>
    <cellStyle name="Normal 2 2 5 31 2 6" xfId="33190" xr:uid="{00000000-0005-0000-0000-00000D310000}"/>
    <cellStyle name="Normal 2 2 5 31 2 6 2" xfId="33191" xr:uid="{00000000-0005-0000-0000-00000E310000}"/>
    <cellStyle name="Normal 2 2 5 31 2 7" xfId="33192" xr:uid="{00000000-0005-0000-0000-00000F310000}"/>
    <cellStyle name="Normal 2 2 5 31 3" xfId="5294" xr:uid="{00000000-0005-0000-0000-000010310000}"/>
    <cellStyle name="Normal 2 2 5 31 3 2" xfId="5295" xr:uid="{00000000-0005-0000-0000-000011310000}"/>
    <cellStyle name="Normal 2 2 5 31 3 2 2" xfId="33193" xr:uid="{00000000-0005-0000-0000-000012310000}"/>
    <cellStyle name="Normal 2 2 5 31 3 3" xfId="5296" xr:uid="{00000000-0005-0000-0000-000013310000}"/>
    <cellStyle name="Normal 2 2 5 31 3 3 2" xfId="33194" xr:uid="{00000000-0005-0000-0000-000014310000}"/>
    <cellStyle name="Normal 2 2 5 31 3 4" xfId="33195" xr:uid="{00000000-0005-0000-0000-000015310000}"/>
    <cellStyle name="Normal 2 2 5 31 4" xfId="5297" xr:uid="{00000000-0005-0000-0000-000016310000}"/>
    <cellStyle name="Normal 2 2 5 31 4 2" xfId="5298" xr:uid="{00000000-0005-0000-0000-000017310000}"/>
    <cellStyle name="Normal 2 2 5 31 4 2 2" xfId="33196" xr:uid="{00000000-0005-0000-0000-000018310000}"/>
    <cellStyle name="Normal 2 2 5 31 4 3" xfId="33197" xr:uid="{00000000-0005-0000-0000-000019310000}"/>
    <cellStyle name="Normal 2 2 5 31 5" xfId="5299" xr:uid="{00000000-0005-0000-0000-00001A310000}"/>
    <cellStyle name="Normal 2 2 5 31 5 2" xfId="33198" xr:uid="{00000000-0005-0000-0000-00001B310000}"/>
    <cellStyle name="Normal 2 2 5 31 6" xfId="5300" xr:uid="{00000000-0005-0000-0000-00001C310000}"/>
    <cellStyle name="Normal 2 2 5 31 6 2" xfId="33199" xr:uid="{00000000-0005-0000-0000-00001D310000}"/>
    <cellStyle name="Normal 2 2 5 31 7" xfId="33200" xr:uid="{00000000-0005-0000-0000-00001E310000}"/>
    <cellStyle name="Normal 2 2 5 31 7 2" xfId="33201" xr:uid="{00000000-0005-0000-0000-00001F310000}"/>
    <cellStyle name="Normal 2 2 5 31 8" xfId="33202" xr:uid="{00000000-0005-0000-0000-000020310000}"/>
    <cellStyle name="Normal 2 2 5 31 9" xfId="33203" xr:uid="{00000000-0005-0000-0000-000021310000}"/>
    <cellStyle name="Normal 2 2 5 32" xfId="5301" xr:uid="{00000000-0005-0000-0000-000022310000}"/>
    <cellStyle name="Normal 2 2 5 32 2" xfId="5302" xr:uid="{00000000-0005-0000-0000-000023310000}"/>
    <cellStyle name="Normal 2 2 5 32 2 2" xfId="5303" xr:uid="{00000000-0005-0000-0000-000024310000}"/>
    <cellStyle name="Normal 2 2 5 32 2 2 2" xfId="33204" xr:uid="{00000000-0005-0000-0000-000025310000}"/>
    <cellStyle name="Normal 2 2 5 32 2 3" xfId="5304" xr:uid="{00000000-0005-0000-0000-000026310000}"/>
    <cellStyle name="Normal 2 2 5 32 2 3 2" xfId="33205" xr:uid="{00000000-0005-0000-0000-000027310000}"/>
    <cellStyle name="Normal 2 2 5 32 2 4" xfId="33206" xr:uid="{00000000-0005-0000-0000-000028310000}"/>
    <cellStyle name="Normal 2 2 5 32 3" xfId="5305" xr:uid="{00000000-0005-0000-0000-000029310000}"/>
    <cellStyle name="Normal 2 2 5 32 3 2" xfId="33207" xr:uid="{00000000-0005-0000-0000-00002A310000}"/>
    <cellStyle name="Normal 2 2 5 32 4" xfId="5306" xr:uid="{00000000-0005-0000-0000-00002B310000}"/>
    <cellStyle name="Normal 2 2 5 32 4 2" xfId="33208" xr:uid="{00000000-0005-0000-0000-00002C310000}"/>
    <cellStyle name="Normal 2 2 5 32 5" xfId="5307" xr:uid="{00000000-0005-0000-0000-00002D310000}"/>
    <cellStyle name="Normal 2 2 5 32 5 2" xfId="33209" xr:uid="{00000000-0005-0000-0000-00002E310000}"/>
    <cellStyle name="Normal 2 2 5 32 6" xfId="33210" xr:uid="{00000000-0005-0000-0000-00002F310000}"/>
    <cellStyle name="Normal 2 2 5 32 6 2" xfId="33211" xr:uid="{00000000-0005-0000-0000-000030310000}"/>
    <cellStyle name="Normal 2 2 5 32 7" xfId="33212" xr:uid="{00000000-0005-0000-0000-000031310000}"/>
    <cellStyle name="Normal 2 2 5 33" xfId="5308" xr:uid="{00000000-0005-0000-0000-000032310000}"/>
    <cellStyle name="Normal 2 2 5 33 2" xfId="5309" xr:uid="{00000000-0005-0000-0000-000033310000}"/>
    <cellStyle name="Normal 2 2 5 33 2 2" xfId="33213" xr:uid="{00000000-0005-0000-0000-000034310000}"/>
    <cellStyle name="Normal 2 2 5 33 3" xfId="5310" xr:uid="{00000000-0005-0000-0000-000035310000}"/>
    <cellStyle name="Normal 2 2 5 33 3 2" xfId="33214" xr:uid="{00000000-0005-0000-0000-000036310000}"/>
    <cellStyle name="Normal 2 2 5 33 4" xfId="33215" xr:uid="{00000000-0005-0000-0000-000037310000}"/>
    <cellStyle name="Normal 2 2 5 34" xfId="5311" xr:uid="{00000000-0005-0000-0000-000038310000}"/>
    <cellStyle name="Normal 2 2 5 34 2" xfId="5312" xr:uid="{00000000-0005-0000-0000-000039310000}"/>
    <cellStyle name="Normal 2 2 5 34 2 2" xfId="33216" xr:uid="{00000000-0005-0000-0000-00003A310000}"/>
    <cellStyle name="Normal 2 2 5 34 3" xfId="33217" xr:uid="{00000000-0005-0000-0000-00003B310000}"/>
    <cellStyle name="Normal 2 2 5 35" xfId="5313" xr:uid="{00000000-0005-0000-0000-00003C310000}"/>
    <cellStyle name="Normal 2 2 5 35 2" xfId="33218" xr:uid="{00000000-0005-0000-0000-00003D310000}"/>
    <cellStyle name="Normal 2 2 5 36" xfId="5314" xr:uid="{00000000-0005-0000-0000-00003E310000}"/>
    <cellStyle name="Normal 2 2 5 36 2" xfId="33219" xr:uid="{00000000-0005-0000-0000-00003F310000}"/>
    <cellStyle name="Normal 2 2 5 37" xfId="33220" xr:uid="{00000000-0005-0000-0000-000040310000}"/>
    <cellStyle name="Normal 2 2 5 37 2" xfId="33221" xr:uid="{00000000-0005-0000-0000-000041310000}"/>
    <cellStyle name="Normal 2 2 5 38" xfId="33222" xr:uid="{00000000-0005-0000-0000-000042310000}"/>
    <cellStyle name="Normal 2 2 5 39" xfId="33223" xr:uid="{00000000-0005-0000-0000-000043310000}"/>
    <cellStyle name="Normal 2 2 5 4" xfId="5315" xr:uid="{00000000-0005-0000-0000-000044310000}"/>
    <cellStyle name="Normal 2 2 5 4 10" xfId="33224" xr:uid="{00000000-0005-0000-0000-000045310000}"/>
    <cellStyle name="Normal 2 2 5 4 11" xfId="33225" xr:uid="{00000000-0005-0000-0000-000046310000}"/>
    <cellStyle name="Normal 2 2 5 4 2" xfId="5316" xr:uid="{00000000-0005-0000-0000-000047310000}"/>
    <cellStyle name="Normal 2 2 5 4 2 10" xfId="33226" xr:uid="{00000000-0005-0000-0000-000048310000}"/>
    <cellStyle name="Normal 2 2 5 4 2 2" xfId="5317" xr:uid="{00000000-0005-0000-0000-000049310000}"/>
    <cellStyle name="Normal 2 2 5 4 2 2 2" xfId="5318" xr:uid="{00000000-0005-0000-0000-00004A310000}"/>
    <cellStyle name="Normal 2 2 5 4 2 2 2 2" xfId="5319" xr:uid="{00000000-0005-0000-0000-00004B310000}"/>
    <cellStyle name="Normal 2 2 5 4 2 2 2 2 2" xfId="33227" xr:uid="{00000000-0005-0000-0000-00004C310000}"/>
    <cellStyle name="Normal 2 2 5 4 2 2 2 3" xfId="5320" xr:uid="{00000000-0005-0000-0000-00004D310000}"/>
    <cellStyle name="Normal 2 2 5 4 2 2 2 3 2" xfId="33228" xr:uid="{00000000-0005-0000-0000-00004E310000}"/>
    <cellStyle name="Normal 2 2 5 4 2 2 2 4" xfId="33229" xr:uid="{00000000-0005-0000-0000-00004F310000}"/>
    <cellStyle name="Normal 2 2 5 4 2 2 3" xfId="5321" xr:uid="{00000000-0005-0000-0000-000050310000}"/>
    <cellStyle name="Normal 2 2 5 4 2 2 3 2" xfId="33230" xr:uid="{00000000-0005-0000-0000-000051310000}"/>
    <cellStyle name="Normal 2 2 5 4 2 2 4" xfId="5322" xr:uid="{00000000-0005-0000-0000-000052310000}"/>
    <cellStyle name="Normal 2 2 5 4 2 2 4 2" xfId="33231" xr:uid="{00000000-0005-0000-0000-000053310000}"/>
    <cellStyle name="Normal 2 2 5 4 2 2 5" xfId="5323" xr:uid="{00000000-0005-0000-0000-000054310000}"/>
    <cellStyle name="Normal 2 2 5 4 2 2 5 2" xfId="33232" xr:uid="{00000000-0005-0000-0000-000055310000}"/>
    <cellStyle name="Normal 2 2 5 4 2 2 6" xfId="33233" xr:uid="{00000000-0005-0000-0000-000056310000}"/>
    <cellStyle name="Normal 2 2 5 4 2 2 6 2" xfId="33234" xr:uid="{00000000-0005-0000-0000-000057310000}"/>
    <cellStyle name="Normal 2 2 5 4 2 2 7" xfId="33235" xr:uid="{00000000-0005-0000-0000-000058310000}"/>
    <cellStyle name="Normal 2 2 5 4 2 3" xfId="5324" xr:uid="{00000000-0005-0000-0000-000059310000}"/>
    <cellStyle name="Normal 2 2 5 4 2 3 2" xfId="5325" xr:uid="{00000000-0005-0000-0000-00005A310000}"/>
    <cellStyle name="Normal 2 2 5 4 2 3 2 2" xfId="33236" xr:uid="{00000000-0005-0000-0000-00005B310000}"/>
    <cellStyle name="Normal 2 2 5 4 2 3 3" xfId="5326" xr:uid="{00000000-0005-0000-0000-00005C310000}"/>
    <cellStyle name="Normal 2 2 5 4 2 3 3 2" xfId="33237" xr:uid="{00000000-0005-0000-0000-00005D310000}"/>
    <cellStyle name="Normal 2 2 5 4 2 3 4" xfId="33238" xr:uid="{00000000-0005-0000-0000-00005E310000}"/>
    <cellStyle name="Normal 2 2 5 4 2 4" xfId="5327" xr:uid="{00000000-0005-0000-0000-00005F310000}"/>
    <cellStyle name="Normal 2 2 5 4 2 4 2" xfId="5328" xr:uid="{00000000-0005-0000-0000-000060310000}"/>
    <cellStyle name="Normal 2 2 5 4 2 4 2 2" xfId="33239" xr:uid="{00000000-0005-0000-0000-000061310000}"/>
    <cellStyle name="Normal 2 2 5 4 2 4 3" xfId="33240" xr:uid="{00000000-0005-0000-0000-000062310000}"/>
    <cellStyle name="Normal 2 2 5 4 2 5" xfId="5329" xr:uid="{00000000-0005-0000-0000-000063310000}"/>
    <cellStyle name="Normal 2 2 5 4 2 5 2" xfId="33241" xr:uid="{00000000-0005-0000-0000-000064310000}"/>
    <cellStyle name="Normal 2 2 5 4 2 6" xfId="5330" xr:uid="{00000000-0005-0000-0000-000065310000}"/>
    <cellStyle name="Normal 2 2 5 4 2 6 2" xfId="33242" xr:uid="{00000000-0005-0000-0000-000066310000}"/>
    <cellStyle name="Normal 2 2 5 4 2 7" xfId="33243" xr:uid="{00000000-0005-0000-0000-000067310000}"/>
    <cellStyle name="Normal 2 2 5 4 2 7 2" xfId="33244" xr:uid="{00000000-0005-0000-0000-000068310000}"/>
    <cellStyle name="Normal 2 2 5 4 2 8" xfId="33245" xr:uid="{00000000-0005-0000-0000-000069310000}"/>
    <cellStyle name="Normal 2 2 5 4 2 9" xfId="33246" xr:uid="{00000000-0005-0000-0000-00006A310000}"/>
    <cellStyle name="Normal 2 2 5 4 3" xfId="5331" xr:uid="{00000000-0005-0000-0000-00006B310000}"/>
    <cellStyle name="Normal 2 2 5 4 3 2" xfId="5332" xr:uid="{00000000-0005-0000-0000-00006C310000}"/>
    <cellStyle name="Normal 2 2 5 4 3 2 2" xfId="5333" xr:uid="{00000000-0005-0000-0000-00006D310000}"/>
    <cellStyle name="Normal 2 2 5 4 3 2 2 2" xfId="33247" xr:uid="{00000000-0005-0000-0000-00006E310000}"/>
    <cellStyle name="Normal 2 2 5 4 3 2 3" xfId="5334" xr:uid="{00000000-0005-0000-0000-00006F310000}"/>
    <cellStyle name="Normal 2 2 5 4 3 2 3 2" xfId="33248" xr:uid="{00000000-0005-0000-0000-000070310000}"/>
    <cellStyle name="Normal 2 2 5 4 3 2 4" xfId="33249" xr:uid="{00000000-0005-0000-0000-000071310000}"/>
    <cellStyle name="Normal 2 2 5 4 3 3" xfId="5335" xr:uid="{00000000-0005-0000-0000-000072310000}"/>
    <cellStyle name="Normal 2 2 5 4 3 3 2" xfId="33250" xr:uid="{00000000-0005-0000-0000-000073310000}"/>
    <cellStyle name="Normal 2 2 5 4 3 4" xfId="5336" xr:uid="{00000000-0005-0000-0000-000074310000}"/>
    <cellStyle name="Normal 2 2 5 4 3 4 2" xfId="33251" xr:uid="{00000000-0005-0000-0000-000075310000}"/>
    <cellStyle name="Normal 2 2 5 4 3 5" xfId="5337" xr:uid="{00000000-0005-0000-0000-000076310000}"/>
    <cellStyle name="Normal 2 2 5 4 3 5 2" xfId="33252" xr:uid="{00000000-0005-0000-0000-000077310000}"/>
    <cellStyle name="Normal 2 2 5 4 3 6" xfId="33253" xr:uid="{00000000-0005-0000-0000-000078310000}"/>
    <cellStyle name="Normal 2 2 5 4 3 6 2" xfId="33254" xr:uid="{00000000-0005-0000-0000-000079310000}"/>
    <cellStyle name="Normal 2 2 5 4 3 7" xfId="33255" xr:uid="{00000000-0005-0000-0000-00007A310000}"/>
    <cellStyle name="Normal 2 2 5 4 4" xfId="5338" xr:uid="{00000000-0005-0000-0000-00007B310000}"/>
    <cellStyle name="Normal 2 2 5 4 4 2" xfId="5339" xr:uid="{00000000-0005-0000-0000-00007C310000}"/>
    <cellStyle name="Normal 2 2 5 4 4 2 2" xfId="33256" xr:uid="{00000000-0005-0000-0000-00007D310000}"/>
    <cellStyle name="Normal 2 2 5 4 4 3" xfId="5340" xr:uid="{00000000-0005-0000-0000-00007E310000}"/>
    <cellStyle name="Normal 2 2 5 4 4 3 2" xfId="33257" xr:uid="{00000000-0005-0000-0000-00007F310000}"/>
    <cellStyle name="Normal 2 2 5 4 4 4" xfId="33258" xr:uid="{00000000-0005-0000-0000-000080310000}"/>
    <cellStyle name="Normal 2 2 5 4 5" xfId="5341" xr:uid="{00000000-0005-0000-0000-000081310000}"/>
    <cellStyle name="Normal 2 2 5 4 5 2" xfId="5342" xr:uid="{00000000-0005-0000-0000-000082310000}"/>
    <cellStyle name="Normal 2 2 5 4 5 2 2" xfId="33259" xr:uid="{00000000-0005-0000-0000-000083310000}"/>
    <cellStyle name="Normal 2 2 5 4 5 3" xfId="33260" xr:uid="{00000000-0005-0000-0000-000084310000}"/>
    <cellStyle name="Normal 2 2 5 4 6" xfId="5343" xr:uid="{00000000-0005-0000-0000-000085310000}"/>
    <cellStyle name="Normal 2 2 5 4 6 2" xfId="33261" xr:uid="{00000000-0005-0000-0000-000086310000}"/>
    <cellStyle name="Normal 2 2 5 4 7" xfId="5344" xr:uid="{00000000-0005-0000-0000-000087310000}"/>
    <cellStyle name="Normal 2 2 5 4 7 2" xfId="33262" xr:uid="{00000000-0005-0000-0000-000088310000}"/>
    <cellStyle name="Normal 2 2 5 4 8" xfId="33263" xr:uid="{00000000-0005-0000-0000-000089310000}"/>
    <cellStyle name="Normal 2 2 5 4 8 2" xfId="33264" xr:uid="{00000000-0005-0000-0000-00008A310000}"/>
    <cellStyle name="Normal 2 2 5 4 9" xfId="33265" xr:uid="{00000000-0005-0000-0000-00008B310000}"/>
    <cellStyle name="Normal 2 2 5 40" xfId="33266" xr:uid="{00000000-0005-0000-0000-00008C310000}"/>
    <cellStyle name="Normal 2 2 5 5" xfId="5345" xr:uid="{00000000-0005-0000-0000-00008D310000}"/>
    <cellStyle name="Normal 2 2 5 5 10" xfId="33267" xr:uid="{00000000-0005-0000-0000-00008E310000}"/>
    <cellStyle name="Normal 2 2 5 5 11" xfId="33268" xr:uid="{00000000-0005-0000-0000-00008F310000}"/>
    <cellStyle name="Normal 2 2 5 5 2" xfId="5346" xr:uid="{00000000-0005-0000-0000-000090310000}"/>
    <cellStyle name="Normal 2 2 5 5 2 10" xfId="33269" xr:uid="{00000000-0005-0000-0000-000091310000}"/>
    <cellStyle name="Normal 2 2 5 5 2 2" xfId="5347" xr:uid="{00000000-0005-0000-0000-000092310000}"/>
    <cellStyle name="Normal 2 2 5 5 2 2 2" xfId="5348" xr:uid="{00000000-0005-0000-0000-000093310000}"/>
    <cellStyle name="Normal 2 2 5 5 2 2 2 2" xfId="5349" xr:uid="{00000000-0005-0000-0000-000094310000}"/>
    <cellStyle name="Normal 2 2 5 5 2 2 2 2 2" xfId="33270" xr:uid="{00000000-0005-0000-0000-000095310000}"/>
    <cellStyle name="Normal 2 2 5 5 2 2 2 3" xfId="5350" xr:uid="{00000000-0005-0000-0000-000096310000}"/>
    <cellStyle name="Normal 2 2 5 5 2 2 2 3 2" xfId="33271" xr:uid="{00000000-0005-0000-0000-000097310000}"/>
    <cellStyle name="Normal 2 2 5 5 2 2 2 4" xfId="33272" xr:uid="{00000000-0005-0000-0000-000098310000}"/>
    <cellStyle name="Normal 2 2 5 5 2 2 3" xfId="5351" xr:uid="{00000000-0005-0000-0000-000099310000}"/>
    <cellStyle name="Normal 2 2 5 5 2 2 3 2" xfId="33273" xr:uid="{00000000-0005-0000-0000-00009A310000}"/>
    <cellStyle name="Normal 2 2 5 5 2 2 4" xfId="5352" xr:uid="{00000000-0005-0000-0000-00009B310000}"/>
    <cellStyle name="Normal 2 2 5 5 2 2 4 2" xfId="33274" xr:uid="{00000000-0005-0000-0000-00009C310000}"/>
    <cellStyle name="Normal 2 2 5 5 2 2 5" xfId="5353" xr:uid="{00000000-0005-0000-0000-00009D310000}"/>
    <cellStyle name="Normal 2 2 5 5 2 2 5 2" xfId="33275" xr:uid="{00000000-0005-0000-0000-00009E310000}"/>
    <cellStyle name="Normal 2 2 5 5 2 2 6" xfId="33276" xr:uid="{00000000-0005-0000-0000-00009F310000}"/>
    <cellStyle name="Normal 2 2 5 5 2 2 6 2" xfId="33277" xr:uid="{00000000-0005-0000-0000-0000A0310000}"/>
    <cellStyle name="Normal 2 2 5 5 2 2 7" xfId="33278" xr:uid="{00000000-0005-0000-0000-0000A1310000}"/>
    <cellStyle name="Normal 2 2 5 5 2 3" xfId="5354" xr:uid="{00000000-0005-0000-0000-0000A2310000}"/>
    <cellStyle name="Normal 2 2 5 5 2 3 2" xfId="5355" xr:uid="{00000000-0005-0000-0000-0000A3310000}"/>
    <cellStyle name="Normal 2 2 5 5 2 3 2 2" xfId="33279" xr:uid="{00000000-0005-0000-0000-0000A4310000}"/>
    <cellStyle name="Normal 2 2 5 5 2 3 3" xfId="5356" xr:uid="{00000000-0005-0000-0000-0000A5310000}"/>
    <cellStyle name="Normal 2 2 5 5 2 3 3 2" xfId="33280" xr:uid="{00000000-0005-0000-0000-0000A6310000}"/>
    <cellStyle name="Normal 2 2 5 5 2 3 4" xfId="33281" xr:uid="{00000000-0005-0000-0000-0000A7310000}"/>
    <cellStyle name="Normal 2 2 5 5 2 4" xfId="5357" xr:uid="{00000000-0005-0000-0000-0000A8310000}"/>
    <cellStyle name="Normal 2 2 5 5 2 4 2" xfId="5358" xr:uid="{00000000-0005-0000-0000-0000A9310000}"/>
    <cellStyle name="Normal 2 2 5 5 2 4 2 2" xfId="33282" xr:uid="{00000000-0005-0000-0000-0000AA310000}"/>
    <cellStyle name="Normal 2 2 5 5 2 4 3" xfId="33283" xr:uid="{00000000-0005-0000-0000-0000AB310000}"/>
    <cellStyle name="Normal 2 2 5 5 2 5" xfId="5359" xr:uid="{00000000-0005-0000-0000-0000AC310000}"/>
    <cellStyle name="Normal 2 2 5 5 2 5 2" xfId="33284" xr:uid="{00000000-0005-0000-0000-0000AD310000}"/>
    <cellStyle name="Normal 2 2 5 5 2 6" xfId="5360" xr:uid="{00000000-0005-0000-0000-0000AE310000}"/>
    <cellStyle name="Normal 2 2 5 5 2 6 2" xfId="33285" xr:uid="{00000000-0005-0000-0000-0000AF310000}"/>
    <cellStyle name="Normal 2 2 5 5 2 7" xfId="33286" xr:uid="{00000000-0005-0000-0000-0000B0310000}"/>
    <cellStyle name="Normal 2 2 5 5 2 7 2" xfId="33287" xr:uid="{00000000-0005-0000-0000-0000B1310000}"/>
    <cellStyle name="Normal 2 2 5 5 2 8" xfId="33288" xr:uid="{00000000-0005-0000-0000-0000B2310000}"/>
    <cellStyle name="Normal 2 2 5 5 2 9" xfId="33289" xr:uid="{00000000-0005-0000-0000-0000B3310000}"/>
    <cellStyle name="Normal 2 2 5 5 3" xfId="5361" xr:uid="{00000000-0005-0000-0000-0000B4310000}"/>
    <cellStyle name="Normal 2 2 5 5 3 2" xfId="5362" xr:uid="{00000000-0005-0000-0000-0000B5310000}"/>
    <cellStyle name="Normal 2 2 5 5 3 2 2" xfId="5363" xr:uid="{00000000-0005-0000-0000-0000B6310000}"/>
    <cellStyle name="Normal 2 2 5 5 3 2 2 2" xfId="33290" xr:uid="{00000000-0005-0000-0000-0000B7310000}"/>
    <cellStyle name="Normal 2 2 5 5 3 2 3" xfId="5364" xr:uid="{00000000-0005-0000-0000-0000B8310000}"/>
    <cellStyle name="Normal 2 2 5 5 3 2 3 2" xfId="33291" xr:uid="{00000000-0005-0000-0000-0000B9310000}"/>
    <cellStyle name="Normal 2 2 5 5 3 2 4" xfId="33292" xr:uid="{00000000-0005-0000-0000-0000BA310000}"/>
    <cellStyle name="Normal 2 2 5 5 3 3" xfId="5365" xr:uid="{00000000-0005-0000-0000-0000BB310000}"/>
    <cellStyle name="Normal 2 2 5 5 3 3 2" xfId="33293" xr:uid="{00000000-0005-0000-0000-0000BC310000}"/>
    <cellStyle name="Normal 2 2 5 5 3 4" xfId="5366" xr:uid="{00000000-0005-0000-0000-0000BD310000}"/>
    <cellStyle name="Normal 2 2 5 5 3 4 2" xfId="33294" xr:uid="{00000000-0005-0000-0000-0000BE310000}"/>
    <cellStyle name="Normal 2 2 5 5 3 5" xfId="5367" xr:uid="{00000000-0005-0000-0000-0000BF310000}"/>
    <cellStyle name="Normal 2 2 5 5 3 5 2" xfId="33295" xr:uid="{00000000-0005-0000-0000-0000C0310000}"/>
    <cellStyle name="Normal 2 2 5 5 3 6" xfId="33296" xr:uid="{00000000-0005-0000-0000-0000C1310000}"/>
    <cellStyle name="Normal 2 2 5 5 3 6 2" xfId="33297" xr:uid="{00000000-0005-0000-0000-0000C2310000}"/>
    <cellStyle name="Normal 2 2 5 5 3 7" xfId="33298" xr:uid="{00000000-0005-0000-0000-0000C3310000}"/>
    <cellStyle name="Normal 2 2 5 5 4" xfId="5368" xr:uid="{00000000-0005-0000-0000-0000C4310000}"/>
    <cellStyle name="Normal 2 2 5 5 4 2" xfId="5369" xr:uid="{00000000-0005-0000-0000-0000C5310000}"/>
    <cellStyle name="Normal 2 2 5 5 4 2 2" xfId="33299" xr:uid="{00000000-0005-0000-0000-0000C6310000}"/>
    <cellStyle name="Normal 2 2 5 5 4 3" xfId="5370" xr:uid="{00000000-0005-0000-0000-0000C7310000}"/>
    <cellStyle name="Normal 2 2 5 5 4 3 2" xfId="33300" xr:uid="{00000000-0005-0000-0000-0000C8310000}"/>
    <cellStyle name="Normal 2 2 5 5 4 4" xfId="33301" xr:uid="{00000000-0005-0000-0000-0000C9310000}"/>
    <cellStyle name="Normal 2 2 5 5 5" xfId="5371" xr:uid="{00000000-0005-0000-0000-0000CA310000}"/>
    <cellStyle name="Normal 2 2 5 5 5 2" xfId="5372" xr:uid="{00000000-0005-0000-0000-0000CB310000}"/>
    <cellStyle name="Normal 2 2 5 5 5 2 2" xfId="33302" xr:uid="{00000000-0005-0000-0000-0000CC310000}"/>
    <cellStyle name="Normal 2 2 5 5 5 3" xfId="33303" xr:uid="{00000000-0005-0000-0000-0000CD310000}"/>
    <cellStyle name="Normal 2 2 5 5 6" xfId="5373" xr:uid="{00000000-0005-0000-0000-0000CE310000}"/>
    <cellStyle name="Normal 2 2 5 5 6 2" xfId="33304" xr:uid="{00000000-0005-0000-0000-0000CF310000}"/>
    <cellStyle name="Normal 2 2 5 5 7" xfId="5374" xr:uid="{00000000-0005-0000-0000-0000D0310000}"/>
    <cellStyle name="Normal 2 2 5 5 7 2" xfId="33305" xr:uid="{00000000-0005-0000-0000-0000D1310000}"/>
    <cellStyle name="Normal 2 2 5 5 8" xfId="33306" xr:uid="{00000000-0005-0000-0000-0000D2310000}"/>
    <cellStyle name="Normal 2 2 5 5 8 2" xfId="33307" xr:uid="{00000000-0005-0000-0000-0000D3310000}"/>
    <cellStyle name="Normal 2 2 5 5 9" xfId="33308" xr:uid="{00000000-0005-0000-0000-0000D4310000}"/>
    <cellStyle name="Normal 2 2 5 6" xfId="5375" xr:uid="{00000000-0005-0000-0000-0000D5310000}"/>
    <cellStyle name="Normal 2 2 5 6 10" xfId="33309" xr:uid="{00000000-0005-0000-0000-0000D6310000}"/>
    <cellStyle name="Normal 2 2 5 6 11" xfId="33310" xr:uid="{00000000-0005-0000-0000-0000D7310000}"/>
    <cellStyle name="Normal 2 2 5 6 2" xfId="5376" xr:uid="{00000000-0005-0000-0000-0000D8310000}"/>
    <cellStyle name="Normal 2 2 5 6 2 10" xfId="33311" xr:uid="{00000000-0005-0000-0000-0000D9310000}"/>
    <cellStyle name="Normal 2 2 5 6 2 2" xfId="5377" xr:uid="{00000000-0005-0000-0000-0000DA310000}"/>
    <cellStyle name="Normal 2 2 5 6 2 2 2" xfId="5378" xr:uid="{00000000-0005-0000-0000-0000DB310000}"/>
    <cellStyle name="Normal 2 2 5 6 2 2 2 2" xfId="5379" xr:uid="{00000000-0005-0000-0000-0000DC310000}"/>
    <cellStyle name="Normal 2 2 5 6 2 2 2 2 2" xfId="33312" xr:uid="{00000000-0005-0000-0000-0000DD310000}"/>
    <cellStyle name="Normal 2 2 5 6 2 2 2 3" xfId="5380" xr:uid="{00000000-0005-0000-0000-0000DE310000}"/>
    <cellStyle name="Normal 2 2 5 6 2 2 2 3 2" xfId="33313" xr:uid="{00000000-0005-0000-0000-0000DF310000}"/>
    <cellStyle name="Normal 2 2 5 6 2 2 2 4" xfId="33314" xr:uid="{00000000-0005-0000-0000-0000E0310000}"/>
    <cellStyle name="Normal 2 2 5 6 2 2 3" xfId="5381" xr:uid="{00000000-0005-0000-0000-0000E1310000}"/>
    <cellStyle name="Normal 2 2 5 6 2 2 3 2" xfId="33315" xr:uid="{00000000-0005-0000-0000-0000E2310000}"/>
    <cellStyle name="Normal 2 2 5 6 2 2 4" xfId="5382" xr:uid="{00000000-0005-0000-0000-0000E3310000}"/>
    <cellStyle name="Normal 2 2 5 6 2 2 4 2" xfId="33316" xr:uid="{00000000-0005-0000-0000-0000E4310000}"/>
    <cellStyle name="Normal 2 2 5 6 2 2 5" xfId="5383" xr:uid="{00000000-0005-0000-0000-0000E5310000}"/>
    <cellStyle name="Normal 2 2 5 6 2 2 5 2" xfId="33317" xr:uid="{00000000-0005-0000-0000-0000E6310000}"/>
    <cellStyle name="Normal 2 2 5 6 2 2 6" xfId="33318" xr:uid="{00000000-0005-0000-0000-0000E7310000}"/>
    <cellStyle name="Normal 2 2 5 6 2 2 6 2" xfId="33319" xr:uid="{00000000-0005-0000-0000-0000E8310000}"/>
    <cellStyle name="Normal 2 2 5 6 2 2 7" xfId="33320" xr:uid="{00000000-0005-0000-0000-0000E9310000}"/>
    <cellStyle name="Normal 2 2 5 6 2 3" xfId="5384" xr:uid="{00000000-0005-0000-0000-0000EA310000}"/>
    <cellStyle name="Normal 2 2 5 6 2 3 2" xfId="5385" xr:uid="{00000000-0005-0000-0000-0000EB310000}"/>
    <cellStyle name="Normal 2 2 5 6 2 3 2 2" xfId="33321" xr:uid="{00000000-0005-0000-0000-0000EC310000}"/>
    <cellStyle name="Normal 2 2 5 6 2 3 3" xfId="5386" xr:uid="{00000000-0005-0000-0000-0000ED310000}"/>
    <cellStyle name="Normal 2 2 5 6 2 3 3 2" xfId="33322" xr:uid="{00000000-0005-0000-0000-0000EE310000}"/>
    <cellStyle name="Normal 2 2 5 6 2 3 4" xfId="33323" xr:uid="{00000000-0005-0000-0000-0000EF310000}"/>
    <cellStyle name="Normal 2 2 5 6 2 4" xfId="5387" xr:uid="{00000000-0005-0000-0000-0000F0310000}"/>
    <cellStyle name="Normal 2 2 5 6 2 4 2" xfId="5388" xr:uid="{00000000-0005-0000-0000-0000F1310000}"/>
    <cellStyle name="Normal 2 2 5 6 2 4 2 2" xfId="33324" xr:uid="{00000000-0005-0000-0000-0000F2310000}"/>
    <cellStyle name="Normal 2 2 5 6 2 4 3" xfId="33325" xr:uid="{00000000-0005-0000-0000-0000F3310000}"/>
    <cellStyle name="Normal 2 2 5 6 2 5" xfId="5389" xr:uid="{00000000-0005-0000-0000-0000F4310000}"/>
    <cellStyle name="Normal 2 2 5 6 2 5 2" xfId="33326" xr:uid="{00000000-0005-0000-0000-0000F5310000}"/>
    <cellStyle name="Normal 2 2 5 6 2 6" xfId="5390" xr:uid="{00000000-0005-0000-0000-0000F6310000}"/>
    <cellStyle name="Normal 2 2 5 6 2 6 2" xfId="33327" xr:uid="{00000000-0005-0000-0000-0000F7310000}"/>
    <cellStyle name="Normal 2 2 5 6 2 7" xfId="33328" xr:uid="{00000000-0005-0000-0000-0000F8310000}"/>
    <cellStyle name="Normal 2 2 5 6 2 7 2" xfId="33329" xr:uid="{00000000-0005-0000-0000-0000F9310000}"/>
    <cellStyle name="Normal 2 2 5 6 2 8" xfId="33330" xr:uid="{00000000-0005-0000-0000-0000FA310000}"/>
    <cellStyle name="Normal 2 2 5 6 2 9" xfId="33331" xr:uid="{00000000-0005-0000-0000-0000FB310000}"/>
    <cellStyle name="Normal 2 2 5 6 3" xfId="5391" xr:uid="{00000000-0005-0000-0000-0000FC310000}"/>
    <cellStyle name="Normal 2 2 5 6 3 2" xfId="5392" xr:uid="{00000000-0005-0000-0000-0000FD310000}"/>
    <cellStyle name="Normal 2 2 5 6 3 2 2" xfId="5393" xr:uid="{00000000-0005-0000-0000-0000FE310000}"/>
    <cellStyle name="Normal 2 2 5 6 3 2 2 2" xfId="33332" xr:uid="{00000000-0005-0000-0000-0000FF310000}"/>
    <cellStyle name="Normal 2 2 5 6 3 2 3" xfId="5394" xr:uid="{00000000-0005-0000-0000-000000320000}"/>
    <cellStyle name="Normal 2 2 5 6 3 2 3 2" xfId="33333" xr:uid="{00000000-0005-0000-0000-000001320000}"/>
    <cellStyle name="Normal 2 2 5 6 3 2 4" xfId="33334" xr:uid="{00000000-0005-0000-0000-000002320000}"/>
    <cellStyle name="Normal 2 2 5 6 3 3" xfId="5395" xr:uid="{00000000-0005-0000-0000-000003320000}"/>
    <cellStyle name="Normal 2 2 5 6 3 3 2" xfId="33335" xr:uid="{00000000-0005-0000-0000-000004320000}"/>
    <cellStyle name="Normal 2 2 5 6 3 4" xfId="5396" xr:uid="{00000000-0005-0000-0000-000005320000}"/>
    <cellStyle name="Normal 2 2 5 6 3 4 2" xfId="33336" xr:uid="{00000000-0005-0000-0000-000006320000}"/>
    <cellStyle name="Normal 2 2 5 6 3 5" xfId="5397" xr:uid="{00000000-0005-0000-0000-000007320000}"/>
    <cellStyle name="Normal 2 2 5 6 3 5 2" xfId="33337" xr:uid="{00000000-0005-0000-0000-000008320000}"/>
    <cellStyle name="Normal 2 2 5 6 3 6" xfId="33338" xr:uid="{00000000-0005-0000-0000-000009320000}"/>
    <cellStyle name="Normal 2 2 5 6 3 6 2" xfId="33339" xr:uid="{00000000-0005-0000-0000-00000A320000}"/>
    <cellStyle name="Normal 2 2 5 6 3 7" xfId="33340" xr:uid="{00000000-0005-0000-0000-00000B320000}"/>
    <cellStyle name="Normal 2 2 5 6 4" xfId="5398" xr:uid="{00000000-0005-0000-0000-00000C320000}"/>
    <cellStyle name="Normal 2 2 5 6 4 2" xfId="5399" xr:uid="{00000000-0005-0000-0000-00000D320000}"/>
    <cellStyle name="Normal 2 2 5 6 4 2 2" xfId="33341" xr:uid="{00000000-0005-0000-0000-00000E320000}"/>
    <cellStyle name="Normal 2 2 5 6 4 3" xfId="5400" xr:uid="{00000000-0005-0000-0000-00000F320000}"/>
    <cellStyle name="Normal 2 2 5 6 4 3 2" xfId="33342" xr:uid="{00000000-0005-0000-0000-000010320000}"/>
    <cellStyle name="Normal 2 2 5 6 4 4" xfId="33343" xr:uid="{00000000-0005-0000-0000-000011320000}"/>
    <cellStyle name="Normal 2 2 5 6 5" xfId="5401" xr:uid="{00000000-0005-0000-0000-000012320000}"/>
    <cellStyle name="Normal 2 2 5 6 5 2" xfId="5402" xr:uid="{00000000-0005-0000-0000-000013320000}"/>
    <cellStyle name="Normal 2 2 5 6 5 2 2" xfId="33344" xr:uid="{00000000-0005-0000-0000-000014320000}"/>
    <cellStyle name="Normal 2 2 5 6 5 3" xfId="33345" xr:uid="{00000000-0005-0000-0000-000015320000}"/>
    <cellStyle name="Normal 2 2 5 6 6" xfId="5403" xr:uid="{00000000-0005-0000-0000-000016320000}"/>
    <cellStyle name="Normal 2 2 5 6 6 2" xfId="33346" xr:uid="{00000000-0005-0000-0000-000017320000}"/>
    <cellStyle name="Normal 2 2 5 6 7" xfId="5404" xr:uid="{00000000-0005-0000-0000-000018320000}"/>
    <cellStyle name="Normal 2 2 5 6 7 2" xfId="33347" xr:uid="{00000000-0005-0000-0000-000019320000}"/>
    <cellStyle name="Normal 2 2 5 6 8" xfId="33348" xr:uid="{00000000-0005-0000-0000-00001A320000}"/>
    <cellStyle name="Normal 2 2 5 6 8 2" xfId="33349" xr:uid="{00000000-0005-0000-0000-00001B320000}"/>
    <cellStyle name="Normal 2 2 5 6 9" xfId="33350" xr:uid="{00000000-0005-0000-0000-00001C320000}"/>
    <cellStyle name="Normal 2 2 5 7" xfId="5405" xr:uid="{00000000-0005-0000-0000-00001D320000}"/>
    <cellStyle name="Normal 2 2 5 7 10" xfId="33351" xr:uid="{00000000-0005-0000-0000-00001E320000}"/>
    <cellStyle name="Normal 2 2 5 7 11" xfId="33352" xr:uid="{00000000-0005-0000-0000-00001F320000}"/>
    <cellStyle name="Normal 2 2 5 7 2" xfId="5406" xr:uid="{00000000-0005-0000-0000-000020320000}"/>
    <cellStyle name="Normal 2 2 5 7 2 10" xfId="33353" xr:uid="{00000000-0005-0000-0000-000021320000}"/>
    <cellStyle name="Normal 2 2 5 7 2 2" xfId="5407" xr:uid="{00000000-0005-0000-0000-000022320000}"/>
    <cellStyle name="Normal 2 2 5 7 2 2 2" xfId="5408" xr:uid="{00000000-0005-0000-0000-000023320000}"/>
    <cellStyle name="Normal 2 2 5 7 2 2 2 2" xfId="5409" xr:uid="{00000000-0005-0000-0000-000024320000}"/>
    <cellStyle name="Normal 2 2 5 7 2 2 2 2 2" xfId="33354" xr:uid="{00000000-0005-0000-0000-000025320000}"/>
    <cellStyle name="Normal 2 2 5 7 2 2 2 3" xfId="5410" xr:uid="{00000000-0005-0000-0000-000026320000}"/>
    <cellStyle name="Normal 2 2 5 7 2 2 2 3 2" xfId="33355" xr:uid="{00000000-0005-0000-0000-000027320000}"/>
    <cellStyle name="Normal 2 2 5 7 2 2 2 4" xfId="33356" xr:uid="{00000000-0005-0000-0000-000028320000}"/>
    <cellStyle name="Normal 2 2 5 7 2 2 3" xfId="5411" xr:uid="{00000000-0005-0000-0000-000029320000}"/>
    <cellStyle name="Normal 2 2 5 7 2 2 3 2" xfId="33357" xr:uid="{00000000-0005-0000-0000-00002A320000}"/>
    <cellStyle name="Normal 2 2 5 7 2 2 4" xfId="5412" xr:uid="{00000000-0005-0000-0000-00002B320000}"/>
    <cellStyle name="Normal 2 2 5 7 2 2 4 2" xfId="33358" xr:uid="{00000000-0005-0000-0000-00002C320000}"/>
    <cellStyle name="Normal 2 2 5 7 2 2 5" xfId="5413" xr:uid="{00000000-0005-0000-0000-00002D320000}"/>
    <cellStyle name="Normal 2 2 5 7 2 2 5 2" xfId="33359" xr:uid="{00000000-0005-0000-0000-00002E320000}"/>
    <cellStyle name="Normal 2 2 5 7 2 2 6" xfId="33360" xr:uid="{00000000-0005-0000-0000-00002F320000}"/>
    <cellStyle name="Normal 2 2 5 7 2 2 6 2" xfId="33361" xr:uid="{00000000-0005-0000-0000-000030320000}"/>
    <cellStyle name="Normal 2 2 5 7 2 2 7" xfId="33362" xr:uid="{00000000-0005-0000-0000-000031320000}"/>
    <cellStyle name="Normal 2 2 5 7 2 3" xfId="5414" xr:uid="{00000000-0005-0000-0000-000032320000}"/>
    <cellStyle name="Normal 2 2 5 7 2 3 2" xfId="5415" xr:uid="{00000000-0005-0000-0000-000033320000}"/>
    <cellStyle name="Normal 2 2 5 7 2 3 2 2" xfId="33363" xr:uid="{00000000-0005-0000-0000-000034320000}"/>
    <cellStyle name="Normal 2 2 5 7 2 3 3" xfId="5416" xr:uid="{00000000-0005-0000-0000-000035320000}"/>
    <cellStyle name="Normal 2 2 5 7 2 3 3 2" xfId="33364" xr:uid="{00000000-0005-0000-0000-000036320000}"/>
    <cellStyle name="Normal 2 2 5 7 2 3 4" xfId="33365" xr:uid="{00000000-0005-0000-0000-000037320000}"/>
    <cellStyle name="Normal 2 2 5 7 2 4" xfId="5417" xr:uid="{00000000-0005-0000-0000-000038320000}"/>
    <cellStyle name="Normal 2 2 5 7 2 4 2" xfId="5418" xr:uid="{00000000-0005-0000-0000-000039320000}"/>
    <cellStyle name="Normal 2 2 5 7 2 4 2 2" xfId="33366" xr:uid="{00000000-0005-0000-0000-00003A320000}"/>
    <cellStyle name="Normal 2 2 5 7 2 4 3" xfId="33367" xr:uid="{00000000-0005-0000-0000-00003B320000}"/>
    <cellStyle name="Normal 2 2 5 7 2 5" xfId="5419" xr:uid="{00000000-0005-0000-0000-00003C320000}"/>
    <cellStyle name="Normal 2 2 5 7 2 5 2" xfId="33368" xr:uid="{00000000-0005-0000-0000-00003D320000}"/>
    <cellStyle name="Normal 2 2 5 7 2 6" xfId="5420" xr:uid="{00000000-0005-0000-0000-00003E320000}"/>
    <cellStyle name="Normal 2 2 5 7 2 6 2" xfId="33369" xr:uid="{00000000-0005-0000-0000-00003F320000}"/>
    <cellStyle name="Normal 2 2 5 7 2 7" xfId="33370" xr:uid="{00000000-0005-0000-0000-000040320000}"/>
    <cellStyle name="Normal 2 2 5 7 2 7 2" xfId="33371" xr:uid="{00000000-0005-0000-0000-000041320000}"/>
    <cellStyle name="Normal 2 2 5 7 2 8" xfId="33372" xr:uid="{00000000-0005-0000-0000-000042320000}"/>
    <cellStyle name="Normal 2 2 5 7 2 9" xfId="33373" xr:uid="{00000000-0005-0000-0000-000043320000}"/>
    <cellStyle name="Normal 2 2 5 7 3" xfId="5421" xr:uid="{00000000-0005-0000-0000-000044320000}"/>
    <cellStyle name="Normal 2 2 5 7 3 2" xfId="5422" xr:uid="{00000000-0005-0000-0000-000045320000}"/>
    <cellStyle name="Normal 2 2 5 7 3 2 2" xfId="5423" xr:uid="{00000000-0005-0000-0000-000046320000}"/>
    <cellStyle name="Normal 2 2 5 7 3 2 2 2" xfId="33374" xr:uid="{00000000-0005-0000-0000-000047320000}"/>
    <cellStyle name="Normal 2 2 5 7 3 2 3" xfId="5424" xr:uid="{00000000-0005-0000-0000-000048320000}"/>
    <cellStyle name="Normal 2 2 5 7 3 2 3 2" xfId="33375" xr:uid="{00000000-0005-0000-0000-000049320000}"/>
    <cellStyle name="Normal 2 2 5 7 3 2 4" xfId="33376" xr:uid="{00000000-0005-0000-0000-00004A320000}"/>
    <cellStyle name="Normal 2 2 5 7 3 3" xfId="5425" xr:uid="{00000000-0005-0000-0000-00004B320000}"/>
    <cellStyle name="Normal 2 2 5 7 3 3 2" xfId="33377" xr:uid="{00000000-0005-0000-0000-00004C320000}"/>
    <cellStyle name="Normal 2 2 5 7 3 4" xfId="5426" xr:uid="{00000000-0005-0000-0000-00004D320000}"/>
    <cellStyle name="Normal 2 2 5 7 3 4 2" xfId="33378" xr:uid="{00000000-0005-0000-0000-00004E320000}"/>
    <cellStyle name="Normal 2 2 5 7 3 5" xfId="5427" xr:uid="{00000000-0005-0000-0000-00004F320000}"/>
    <cellStyle name="Normal 2 2 5 7 3 5 2" xfId="33379" xr:uid="{00000000-0005-0000-0000-000050320000}"/>
    <cellStyle name="Normal 2 2 5 7 3 6" xfId="33380" xr:uid="{00000000-0005-0000-0000-000051320000}"/>
    <cellStyle name="Normal 2 2 5 7 3 6 2" xfId="33381" xr:uid="{00000000-0005-0000-0000-000052320000}"/>
    <cellStyle name="Normal 2 2 5 7 3 7" xfId="33382" xr:uid="{00000000-0005-0000-0000-000053320000}"/>
    <cellStyle name="Normal 2 2 5 7 4" xfId="5428" xr:uid="{00000000-0005-0000-0000-000054320000}"/>
    <cellStyle name="Normal 2 2 5 7 4 2" xfId="5429" xr:uid="{00000000-0005-0000-0000-000055320000}"/>
    <cellStyle name="Normal 2 2 5 7 4 2 2" xfId="33383" xr:uid="{00000000-0005-0000-0000-000056320000}"/>
    <cellStyle name="Normal 2 2 5 7 4 3" xfId="5430" xr:uid="{00000000-0005-0000-0000-000057320000}"/>
    <cellStyle name="Normal 2 2 5 7 4 3 2" xfId="33384" xr:uid="{00000000-0005-0000-0000-000058320000}"/>
    <cellStyle name="Normal 2 2 5 7 4 4" xfId="33385" xr:uid="{00000000-0005-0000-0000-000059320000}"/>
    <cellStyle name="Normal 2 2 5 7 5" xfId="5431" xr:uid="{00000000-0005-0000-0000-00005A320000}"/>
    <cellStyle name="Normal 2 2 5 7 5 2" xfId="5432" xr:uid="{00000000-0005-0000-0000-00005B320000}"/>
    <cellStyle name="Normal 2 2 5 7 5 2 2" xfId="33386" xr:uid="{00000000-0005-0000-0000-00005C320000}"/>
    <cellStyle name="Normal 2 2 5 7 5 3" xfId="33387" xr:uid="{00000000-0005-0000-0000-00005D320000}"/>
    <cellStyle name="Normal 2 2 5 7 6" xfId="5433" xr:uid="{00000000-0005-0000-0000-00005E320000}"/>
    <cellStyle name="Normal 2 2 5 7 6 2" xfId="33388" xr:uid="{00000000-0005-0000-0000-00005F320000}"/>
    <cellStyle name="Normal 2 2 5 7 7" xfId="5434" xr:uid="{00000000-0005-0000-0000-000060320000}"/>
    <cellStyle name="Normal 2 2 5 7 7 2" xfId="33389" xr:uid="{00000000-0005-0000-0000-000061320000}"/>
    <cellStyle name="Normal 2 2 5 7 8" xfId="33390" xr:uid="{00000000-0005-0000-0000-000062320000}"/>
    <cellStyle name="Normal 2 2 5 7 8 2" xfId="33391" xr:uid="{00000000-0005-0000-0000-000063320000}"/>
    <cellStyle name="Normal 2 2 5 7 9" xfId="33392" xr:uid="{00000000-0005-0000-0000-000064320000}"/>
    <cellStyle name="Normal 2 2 5 8" xfId="5435" xr:uid="{00000000-0005-0000-0000-000065320000}"/>
    <cellStyle name="Normal 2 2 5 8 10" xfId="33393" xr:uid="{00000000-0005-0000-0000-000066320000}"/>
    <cellStyle name="Normal 2 2 5 8 11" xfId="33394" xr:uid="{00000000-0005-0000-0000-000067320000}"/>
    <cellStyle name="Normal 2 2 5 8 2" xfId="5436" xr:uid="{00000000-0005-0000-0000-000068320000}"/>
    <cellStyle name="Normal 2 2 5 8 2 10" xfId="33395" xr:uid="{00000000-0005-0000-0000-000069320000}"/>
    <cellStyle name="Normal 2 2 5 8 2 2" xfId="5437" xr:uid="{00000000-0005-0000-0000-00006A320000}"/>
    <cellStyle name="Normal 2 2 5 8 2 2 2" xfId="5438" xr:uid="{00000000-0005-0000-0000-00006B320000}"/>
    <cellStyle name="Normal 2 2 5 8 2 2 2 2" xfId="5439" xr:uid="{00000000-0005-0000-0000-00006C320000}"/>
    <cellStyle name="Normal 2 2 5 8 2 2 2 2 2" xfId="33396" xr:uid="{00000000-0005-0000-0000-00006D320000}"/>
    <cellStyle name="Normal 2 2 5 8 2 2 2 3" xfId="5440" xr:uid="{00000000-0005-0000-0000-00006E320000}"/>
    <cellStyle name="Normal 2 2 5 8 2 2 2 3 2" xfId="33397" xr:uid="{00000000-0005-0000-0000-00006F320000}"/>
    <cellStyle name="Normal 2 2 5 8 2 2 2 4" xfId="33398" xr:uid="{00000000-0005-0000-0000-000070320000}"/>
    <cellStyle name="Normal 2 2 5 8 2 2 3" xfId="5441" xr:uid="{00000000-0005-0000-0000-000071320000}"/>
    <cellStyle name="Normal 2 2 5 8 2 2 3 2" xfId="33399" xr:uid="{00000000-0005-0000-0000-000072320000}"/>
    <cellStyle name="Normal 2 2 5 8 2 2 4" xfId="5442" xr:uid="{00000000-0005-0000-0000-000073320000}"/>
    <cellStyle name="Normal 2 2 5 8 2 2 4 2" xfId="33400" xr:uid="{00000000-0005-0000-0000-000074320000}"/>
    <cellStyle name="Normal 2 2 5 8 2 2 5" xfId="5443" xr:uid="{00000000-0005-0000-0000-000075320000}"/>
    <cellStyle name="Normal 2 2 5 8 2 2 5 2" xfId="33401" xr:uid="{00000000-0005-0000-0000-000076320000}"/>
    <cellStyle name="Normal 2 2 5 8 2 2 6" xfId="33402" xr:uid="{00000000-0005-0000-0000-000077320000}"/>
    <cellStyle name="Normal 2 2 5 8 2 2 6 2" xfId="33403" xr:uid="{00000000-0005-0000-0000-000078320000}"/>
    <cellStyle name="Normal 2 2 5 8 2 2 7" xfId="33404" xr:uid="{00000000-0005-0000-0000-000079320000}"/>
    <cellStyle name="Normal 2 2 5 8 2 3" xfId="5444" xr:uid="{00000000-0005-0000-0000-00007A320000}"/>
    <cellStyle name="Normal 2 2 5 8 2 3 2" xfId="5445" xr:uid="{00000000-0005-0000-0000-00007B320000}"/>
    <cellStyle name="Normal 2 2 5 8 2 3 2 2" xfId="33405" xr:uid="{00000000-0005-0000-0000-00007C320000}"/>
    <cellStyle name="Normal 2 2 5 8 2 3 3" xfId="5446" xr:uid="{00000000-0005-0000-0000-00007D320000}"/>
    <cellStyle name="Normal 2 2 5 8 2 3 3 2" xfId="33406" xr:uid="{00000000-0005-0000-0000-00007E320000}"/>
    <cellStyle name="Normal 2 2 5 8 2 3 4" xfId="33407" xr:uid="{00000000-0005-0000-0000-00007F320000}"/>
    <cellStyle name="Normal 2 2 5 8 2 4" xfId="5447" xr:uid="{00000000-0005-0000-0000-000080320000}"/>
    <cellStyle name="Normal 2 2 5 8 2 4 2" xfId="5448" xr:uid="{00000000-0005-0000-0000-000081320000}"/>
    <cellStyle name="Normal 2 2 5 8 2 4 2 2" xfId="33408" xr:uid="{00000000-0005-0000-0000-000082320000}"/>
    <cellStyle name="Normal 2 2 5 8 2 4 3" xfId="33409" xr:uid="{00000000-0005-0000-0000-000083320000}"/>
    <cellStyle name="Normal 2 2 5 8 2 5" xfId="5449" xr:uid="{00000000-0005-0000-0000-000084320000}"/>
    <cellStyle name="Normal 2 2 5 8 2 5 2" xfId="33410" xr:uid="{00000000-0005-0000-0000-000085320000}"/>
    <cellStyle name="Normal 2 2 5 8 2 6" xfId="5450" xr:uid="{00000000-0005-0000-0000-000086320000}"/>
    <cellStyle name="Normal 2 2 5 8 2 6 2" xfId="33411" xr:uid="{00000000-0005-0000-0000-000087320000}"/>
    <cellStyle name="Normal 2 2 5 8 2 7" xfId="33412" xr:uid="{00000000-0005-0000-0000-000088320000}"/>
    <cellStyle name="Normal 2 2 5 8 2 7 2" xfId="33413" xr:uid="{00000000-0005-0000-0000-000089320000}"/>
    <cellStyle name="Normal 2 2 5 8 2 8" xfId="33414" xr:uid="{00000000-0005-0000-0000-00008A320000}"/>
    <cellStyle name="Normal 2 2 5 8 2 9" xfId="33415" xr:uid="{00000000-0005-0000-0000-00008B320000}"/>
    <cellStyle name="Normal 2 2 5 8 3" xfId="5451" xr:uid="{00000000-0005-0000-0000-00008C320000}"/>
    <cellStyle name="Normal 2 2 5 8 3 2" xfId="5452" xr:uid="{00000000-0005-0000-0000-00008D320000}"/>
    <cellStyle name="Normal 2 2 5 8 3 2 2" xfId="5453" xr:uid="{00000000-0005-0000-0000-00008E320000}"/>
    <cellStyle name="Normal 2 2 5 8 3 2 2 2" xfId="33416" xr:uid="{00000000-0005-0000-0000-00008F320000}"/>
    <cellStyle name="Normal 2 2 5 8 3 2 3" xfId="5454" xr:uid="{00000000-0005-0000-0000-000090320000}"/>
    <cellStyle name="Normal 2 2 5 8 3 2 3 2" xfId="33417" xr:uid="{00000000-0005-0000-0000-000091320000}"/>
    <cellStyle name="Normal 2 2 5 8 3 2 4" xfId="33418" xr:uid="{00000000-0005-0000-0000-000092320000}"/>
    <cellStyle name="Normal 2 2 5 8 3 3" xfId="5455" xr:uid="{00000000-0005-0000-0000-000093320000}"/>
    <cellStyle name="Normal 2 2 5 8 3 3 2" xfId="33419" xr:uid="{00000000-0005-0000-0000-000094320000}"/>
    <cellStyle name="Normal 2 2 5 8 3 4" xfId="5456" xr:uid="{00000000-0005-0000-0000-000095320000}"/>
    <cellStyle name="Normal 2 2 5 8 3 4 2" xfId="33420" xr:uid="{00000000-0005-0000-0000-000096320000}"/>
    <cellStyle name="Normal 2 2 5 8 3 5" xfId="5457" xr:uid="{00000000-0005-0000-0000-000097320000}"/>
    <cellStyle name="Normal 2 2 5 8 3 5 2" xfId="33421" xr:uid="{00000000-0005-0000-0000-000098320000}"/>
    <cellStyle name="Normal 2 2 5 8 3 6" xfId="33422" xr:uid="{00000000-0005-0000-0000-000099320000}"/>
    <cellStyle name="Normal 2 2 5 8 3 6 2" xfId="33423" xr:uid="{00000000-0005-0000-0000-00009A320000}"/>
    <cellStyle name="Normal 2 2 5 8 3 7" xfId="33424" xr:uid="{00000000-0005-0000-0000-00009B320000}"/>
    <cellStyle name="Normal 2 2 5 8 4" xfId="5458" xr:uid="{00000000-0005-0000-0000-00009C320000}"/>
    <cellStyle name="Normal 2 2 5 8 4 2" xfId="5459" xr:uid="{00000000-0005-0000-0000-00009D320000}"/>
    <cellStyle name="Normal 2 2 5 8 4 2 2" xfId="33425" xr:uid="{00000000-0005-0000-0000-00009E320000}"/>
    <cellStyle name="Normal 2 2 5 8 4 3" xfId="5460" xr:uid="{00000000-0005-0000-0000-00009F320000}"/>
    <cellStyle name="Normal 2 2 5 8 4 3 2" xfId="33426" xr:uid="{00000000-0005-0000-0000-0000A0320000}"/>
    <cellStyle name="Normal 2 2 5 8 4 4" xfId="33427" xr:uid="{00000000-0005-0000-0000-0000A1320000}"/>
    <cellStyle name="Normal 2 2 5 8 5" xfId="5461" xr:uid="{00000000-0005-0000-0000-0000A2320000}"/>
    <cellStyle name="Normal 2 2 5 8 5 2" xfId="5462" xr:uid="{00000000-0005-0000-0000-0000A3320000}"/>
    <cellStyle name="Normal 2 2 5 8 5 2 2" xfId="33428" xr:uid="{00000000-0005-0000-0000-0000A4320000}"/>
    <cellStyle name="Normal 2 2 5 8 5 3" xfId="33429" xr:uid="{00000000-0005-0000-0000-0000A5320000}"/>
    <cellStyle name="Normal 2 2 5 8 6" xfId="5463" xr:uid="{00000000-0005-0000-0000-0000A6320000}"/>
    <cellStyle name="Normal 2 2 5 8 6 2" xfId="33430" xr:uid="{00000000-0005-0000-0000-0000A7320000}"/>
    <cellStyle name="Normal 2 2 5 8 7" xfId="5464" xr:uid="{00000000-0005-0000-0000-0000A8320000}"/>
    <cellStyle name="Normal 2 2 5 8 7 2" xfId="33431" xr:uid="{00000000-0005-0000-0000-0000A9320000}"/>
    <cellStyle name="Normal 2 2 5 8 8" xfId="33432" xr:uid="{00000000-0005-0000-0000-0000AA320000}"/>
    <cellStyle name="Normal 2 2 5 8 8 2" xfId="33433" xr:uid="{00000000-0005-0000-0000-0000AB320000}"/>
    <cellStyle name="Normal 2 2 5 8 9" xfId="33434" xr:uid="{00000000-0005-0000-0000-0000AC320000}"/>
    <cellStyle name="Normal 2 2 5 9" xfId="5465" xr:uid="{00000000-0005-0000-0000-0000AD320000}"/>
    <cellStyle name="Normal 2 2 5 9 10" xfId="33435" xr:uid="{00000000-0005-0000-0000-0000AE320000}"/>
    <cellStyle name="Normal 2 2 5 9 11" xfId="33436" xr:uid="{00000000-0005-0000-0000-0000AF320000}"/>
    <cellStyle name="Normal 2 2 5 9 2" xfId="5466" xr:uid="{00000000-0005-0000-0000-0000B0320000}"/>
    <cellStyle name="Normal 2 2 5 9 2 10" xfId="33437" xr:uid="{00000000-0005-0000-0000-0000B1320000}"/>
    <cellStyle name="Normal 2 2 5 9 2 2" xfId="5467" xr:uid="{00000000-0005-0000-0000-0000B2320000}"/>
    <cellStyle name="Normal 2 2 5 9 2 2 2" xfId="5468" xr:uid="{00000000-0005-0000-0000-0000B3320000}"/>
    <cellStyle name="Normal 2 2 5 9 2 2 2 2" xfId="5469" xr:uid="{00000000-0005-0000-0000-0000B4320000}"/>
    <cellStyle name="Normal 2 2 5 9 2 2 2 2 2" xfId="33438" xr:uid="{00000000-0005-0000-0000-0000B5320000}"/>
    <cellStyle name="Normal 2 2 5 9 2 2 2 3" xfId="5470" xr:uid="{00000000-0005-0000-0000-0000B6320000}"/>
    <cellStyle name="Normal 2 2 5 9 2 2 2 3 2" xfId="33439" xr:uid="{00000000-0005-0000-0000-0000B7320000}"/>
    <cellStyle name="Normal 2 2 5 9 2 2 2 4" xfId="33440" xr:uid="{00000000-0005-0000-0000-0000B8320000}"/>
    <cellStyle name="Normal 2 2 5 9 2 2 3" xfId="5471" xr:uid="{00000000-0005-0000-0000-0000B9320000}"/>
    <cellStyle name="Normal 2 2 5 9 2 2 3 2" xfId="33441" xr:uid="{00000000-0005-0000-0000-0000BA320000}"/>
    <cellStyle name="Normal 2 2 5 9 2 2 4" xfId="5472" xr:uid="{00000000-0005-0000-0000-0000BB320000}"/>
    <cellStyle name="Normal 2 2 5 9 2 2 4 2" xfId="33442" xr:uid="{00000000-0005-0000-0000-0000BC320000}"/>
    <cellStyle name="Normal 2 2 5 9 2 2 5" xfId="5473" xr:uid="{00000000-0005-0000-0000-0000BD320000}"/>
    <cellStyle name="Normal 2 2 5 9 2 2 5 2" xfId="33443" xr:uid="{00000000-0005-0000-0000-0000BE320000}"/>
    <cellStyle name="Normal 2 2 5 9 2 2 6" xfId="33444" xr:uid="{00000000-0005-0000-0000-0000BF320000}"/>
    <cellStyle name="Normal 2 2 5 9 2 2 6 2" xfId="33445" xr:uid="{00000000-0005-0000-0000-0000C0320000}"/>
    <cellStyle name="Normal 2 2 5 9 2 2 7" xfId="33446" xr:uid="{00000000-0005-0000-0000-0000C1320000}"/>
    <cellStyle name="Normal 2 2 5 9 2 3" xfId="5474" xr:uid="{00000000-0005-0000-0000-0000C2320000}"/>
    <cellStyle name="Normal 2 2 5 9 2 3 2" xfId="5475" xr:uid="{00000000-0005-0000-0000-0000C3320000}"/>
    <cellStyle name="Normal 2 2 5 9 2 3 2 2" xfId="33447" xr:uid="{00000000-0005-0000-0000-0000C4320000}"/>
    <cellStyle name="Normal 2 2 5 9 2 3 3" xfId="5476" xr:uid="{00000000-0005-0000-0000-0000C5320000}"/>
    <cellStyle name="Normal 2 2 5 9 2 3 3 2" xfId="33448" xr:uid="{00000000-0005-0000-0000-0000C6320000}"/>
    <cellStyle name="Normal 2 2 5 9 2 3 4" xfId="33449" xr:uid="{00000000-0005-0000-0000-0000C7320000}"/>
    <cellStyle name="Normal 2 2 5 9 2 4" xfId="5477" xr:uid="{00000000-0005-0000-0000-0000C8320000}"/>
    <cellStyle name="Normal 2 2 5 9 2 4 2" xfId="5478" xr:uid="{00000000-0005-0000-0000-0000C9320000}"/>
    <cellStyle name="Normal 2 2 5 9 2 4 2 2" xfId="33450" xr:uid="{00000000-0005-0000-0000-0000CA320000}"/>
    <cellStyle name="Normal 2 2 5 9 2 4 3" xfId="33451" xr:uid="{00000000-0005-0000-0000-0000CB320000}"/>
    <cellStyle name="Normal 2 2 5 9 2 5" xfId="5479" xr:uid="{00000000-0005-0000-0000-0000CC320000}"/>
    <cellStyle name="Normal 2 2 5 9 2 5 2" xfId="33452" xr:uid="{00000000-0005-0000-0000-0000CD320000}"/>
    <cellStyle name="Normal 2 2 5 9 2 6" xfId="5480" xr:uid="{00000000-0005-0000-0000-0000CE320000}"/>
    <cellStyle name="Normal 2 2 5 9 2 6 2" xfId="33453" xr:uid="{00000000-0005-0000-0000-0000CF320000}"/>
    <cellStyle name="Normal 2 2 5 9 2 7" xfId="33454" xr:uid="{00000000-0005-0000-0000-0000D0320000}"/>
    <cellStyle name="Normal 2 2 5 9 2 7 2" xfId="33455" xr:uid="{00000000-0005-0000-0000-0000D1320000}"/>
    <cellStyle name="Normal 2 2 5 9 2 8" xfId="33456" xr:uid="{00000000-0005-0000-0000-0000D2320000}"/>
    <cellStyle name="Normal 2 2 5 9 2 9" xfId="33457" xr:uid="{00000000-0005-0000-0000-0000D3320000}"/>
    <cellStyle name="Normal 2 2 5 9 3" xfId="5481" xr:uid="{00000000-0005-0000-0000-0000D4320000}"/>
    <cellStyle name="Normal 2 2 5 9 3 2" xfId="5482" xr:uid="{00000000-0005-0000-0000-0000D5320000}"/>
    <cellStyle name="Normal 2 2 5 9 3 2 2" xfId="5483" xr:uid="{00000000-0005-0000-0000-0000D6320000}"/>
    <cellStyle name="Normal 2 2 5 9 3 2 2 2" xfId="33458" xr:uid="{00000000-0005-0000-0000-0000D7320000}"/>
    <cellStyle name="Normal 2 2 5 9 3 2 3" xfId="5484" xr:uid="{00000000-0005-0000-0000-0000D8320000}"/>
    <cellStyle name="Normal 2 2 5 9 3 2 3 2" xfId="33459" xr:uid="{00000000-0005-0000-0000-0000D9320000}"/>
    <cellStyle name="Normal 2 2 5 9 3 2 4" xfId="33460" xr:uid="{00000000-0005-0000-0000-0000DA320000}"/>
    <cellStyle name="Normal 2 2 5 9 3 3" xfId="5485" xr:uid="{00000000-0005-0000-0000-0000DB320000}"/>
    <cellStyle name="Normal 2 2 5 9 3 3 2" xfId="33461" xr:uid="{00000000-0005-0000-0000-0000DC320000}"/>
    <cellStyle name="Normal 2 2 5 9 3 4" xfId="5486" xr:uid="{00000000-0005-0000-0000-0000DD320000}"/>
    <cellStyle name="Normal 2 2 5 9 3 4 2" xfId="33462" xr:uid="{00000000-0005-0000-0000-0000DE320000}"/>
    <cellStyle name="Normal 2 2 5 9 3 5" xfId="5487" xr:uid="{00000000-0005-0000-0000-0000DF320000}"/>
    <cellStyle name="Normal 2 2 5 9 3 5 2" xfId="33463" xr:uid="{00000000-0005-0000-0000-0000E0320000}"/>
    <cellStyle name="Normal 2 2 5 9 3 6" xfId="33464" xr:uid="{00000000-0005-0000-0000-0000E1320000}"/>
    <cellStyle name="Normal 2 2 5 9 3 6 2" xfId="33465" xr:uid="{00000000-0005-0000-0000-0000E2320000}"/>
    <cellStyle name="Normal 2 2 5 9 3 7" xfId="33466" xr:uid="{00000000-0005-0000-0000-0000E3320000}"/>
    <cellStyle name="Normal 2 2 5 9 4" xfId="5488" xr:uid="{00000000-0005-0000-0000-0000E4320000}"/>
    <cellStyle name="Normal 2 2 5 9 4 2" xfId="5489" xr:uid="{00000000-0005-0000-0000-0000E5320000}"/>
    <cellStyle name="Normal 2 2 5 9 4 2 2" xfId="33467" xr:uid="{00000000-0005-0000-0000-0000E6320000}"/>
    <cellStyle name="Normal 2 2 5 9 4 3" xfId="5490" xr:uid="{00000000-0005-0000-0000-0000E7320000}"/>
    <cellStyle name="Normal 2 2 5 9 4 3 2" xfId="33468" xr:uid="{00000000-0005-0000-0000-0000E8320000}"/>
    <cellStyle name="Normal 2 2 5 9 4 4" xfId="33469" xr:uid="{00000000-0005-0000-0000-0000E9320000}"/>
    <cellStyle name="Normal 2 2 5 9 5" xfId="5491" xr:uid="{00000000-0005-0000-0000-0000EA320000}"/>
    <cellStyle name="Normal 2 2 5 9 5 2" xfId="5492" xr:uid="{00000000-0005-0000-0000-0000EB320000}"/>
    <cellStyle name="Normal 2 2 5 9 5 2 2" xfId="33470" xr:uid="{00000000-0005-0000-0000-0000EC320000}"/>
    <cellStyle name="Normal 2 2 5 9 5 3" xfId="33471" xr:uid="{00000000-0005-0000-0000-0000ED320000}"/>
    <cellStyle name="Normal 2 2 5 9 6" xfId="5493" xr:uid="{00000000-0005-0000-0000-0000EE320000}"/>
    <cellStyle name="Normal 2 2 5 9 6 2" xfId="33472" xr:uid="{00000000-0005-0000-0000-0000EF320000}"/>
    <cellStyle name="Normal 2 2 5 9 7" xfId="5494" xr:uid="{00000000-0005-0000-0000-0000F0320000}"/>
    <cellStyle name="Normal 2 2 5 9 7 2" xfId="33473" xr:uid="{00000000-0005-0000-0000-0000F1320000}"/>
    <cellStyle name="Normal 2 2 5 9 8" xfId="33474" xr:uid="{00000000-0005-0000-0000-0000F2320000}"/>
    <cellStyle name="Normal 2 2 5 9 8 2" xfId="33475" xr:uid="{00000000-0005-0000-0000-0000F3320000}"/>
    <cellStyle name="Normal 2 2 5 9 9" xfId="33476" xr:uid="{00000000-0005-0000-0000-0000F4320000}"/>
    <cellStyle name="Normal 2 2 6" xfId="5495" xr:uid="{00000000-0005-0000-0000-0000F5320000}"/>
    <cellStyle name="Normal 2 2 6 10" xfId="5496" xr:uid="{00000000-0005-0000-0000-0000F6320000}"/>
    <cellStyle name="Normal 2 2 6 10 10" xfId="33477" xr:uid="{00000000-0005-0000-0000-0000F7320000}"/>
    <cellStyle name="Normal 2 2 6 10 11" xfId="33478" xr:uid="{00000000-0005-0000-0000-0000F8320000}"/>
    <cellStyle name="Normal 2 2 6 10 2" xfId="5497" xr:uid="{00000000-0005-0000-0000-0000F9320000}"/>
    <cellStyle name="Normal 2 2 6 10 2 10" xfId="33479" xr:uid="{00000000-0005-0000-0000-0000FA320000}"/>
    <cellStyle name="Normal 2 2 6 10 2 2" xfId="5498" xr:uid="{00000000-0005-0000-0000-0000FB320000}"/>
    <cellStyle name="Normal 2 2 6 10 2 2 2" xfId="5499" xr:uid="{00000000-0005-0000-0000-0000FC320000}"/>
    <cellStyle name="Normal 2 2 6 10 2 2 2 2" xfId="5500" xr:uid="{00000000-0005-0000-0000-0000FD320000}"/>
    <cellStyle name="Normal 2 2 6 10 2 2 2 2 2" xfId="33480" xr:uid="{00000000-0005-0000-0000-0000FE320000}"/>
    <cellStyle name="Normal 2 2 6 10 2 2 2 3" xfId="5501" xr:uid="{00000000-0005-0000-0000-0000FF320000}"/>
    <cellStyle name="Normal 2 2 6 10 2 2 2 3 2" xfId="33481" xr:uid="{00000000-0005-0000-0000-000000330000}"/>
    <cellStyle name="Normal 2 2 6 10 2 2 2 4" xfId="33482" xr:uid="{00000000-0005-0000-0000-000001330000}"/>
    <cellStyle name="Normal 2 2 6 10 2 2 3" xfId="5502" xr:uid="{00000000-0005-0000-0000-000002330000}"/>
    <cellStyle name="Normal 2 2 6 10 2 2 3 2" xfId="33483" xr:uid="{00000000-0005-0000-0000-000003330000}"/>
    <cellStyle name="Normal 2 2 6 10 2 2 4" xfId="5503" xr:uid="{00000000-0005-0000-0000-000004330000}"/>
    <cellStyle name="Normal 2 2 6 10 2 2 4 2" xfId="33484" xr:uid="{00000000-0005-0000-0000-000005330000}"/>
    <cellStyle name="Normal 2 2 6 10 2 2 5" xfId="5504" xr:uid="{00000000-0005-0000-0000-000006330000}"/>
    <cellStyle name="Normal 2 2 6 10 2 2 5 2" xfId="33485" xr:uid="{00000000-0005-0000-0000-000007330000}"/>
    <cellStyle name="Normal 2 2 6 10 2 2 6" xfId="33486" xr:uid="{00000000-0005-0000-0000-000008330000}"/>
    <cellStyle name="Normal 2 2 6 10 2 2 6 2" xfId="33487" xr:uid="{00000000-0005-0000-0000-000009330000}"/>
    <cellStyle name="Normal 2 2 6 10 2 2 7" xfId="33488" xr:uid="{00000000-0005-0000-0000-00000A330000}"/>
    <cellStyle name="Normal 2 2 6 10 2 3" xfId="5505" xr:uid="{00000000-0005-0000-0000-00000B330000}"/>
    <cellStyle name="Normal 2 2 6 10 2 3 2" xfId="5506" xr:uid="{00000000-0005-0000-0000-00000C330000}"/>
    <cellStyle name="Normal 2 2 6 10 2 3 2 2" xfId="33489" xr:uid="{00000000-0005-0000-0000-00000D330000}"/>
    <cellStyle name="Normal 2 2 6 10 2 3 3" xfId="5507" xr:uid="{00000000-0005-0000-0000-00000E330000}"/>
    <cellStyle name="Normal 2 2 6 10 2 3 3 2" xfId="33490" xr:uid="{00000000-0005-0000-0000-00000F330000}"/>
    <cellStyle name="Normal 2 2 6 10 2 3 4" xfId="33491" xr:uid="{00000000-0005-0000-0000-000010330000}"/>
    <cellStyle name="Normal 2 2 6 10 2 4" xfId="5508" xr:uid="{00000000-0005-0000-0000-000011330000}"/>
    <cellStyle name="Normal 2 2 6 10 2 4 2" xfId="5509" xr:uid="{00000000-0005-0000-0000-000012330000}"/>
    <cellStyle name="Normal 2 2 6 10 2 4 2 2" xfId="33492" xr:uid="{00000000-0005-0000-0000-000013330000}"/>
    <cellStyle name="Normal 2 2 6 10 2 4 3" xfId="33493" xr:uid="{00000000-0005-0000-0000-000014330000}"/>
    <cellStyle name="Normal 2 2 6 10 2 5" xfId="5510" xr:uid="{00000000-0005-0000-0000-000015330000}"/>
    <cellStyle name="Normal 2 2 6 10 2 5 2" xfId="33494" xr:uid="{00000000-0005-0000-0000-000016330000}"/>
    <cellStyle name="Normal 2 2 6 10 2 6" xfId="5511" xr:uid="{00000000-0005-0000-0000-000017330000}"/>
    <cellStyle name="Normal 2 2 6 10 2 6 2" xfId="33495" xr:uid="{00000000-0005-0000-0000-000018330000}"/>
    <cellStyle name="Normal 2 2 6 10 2 7" xfId="33496" xr:uid="{00000000-0005-0000-0000-000019330000}"/>
    <cellStyle name="Normal 2 2 6 10 2 7 2" xfId="33497" xr:uid="{00000000-0005-0000-0000-00001A330000}"/>
    <cellStyle name="Normal 2 2 6 10 2 8" xfId="33498" xr:uid="{00000000-0005-0000-0000-00001B330000}"/>
    <cellStyle name="Normal 2 2 6 10 2 9" xfId="33499" xr:uid="{00000000-0005-0000-0000-00001C330000}"/>
    <cellStyle name="Normal 2 2 6 10 3" xfId="5512" xr:uid="{00000000-0005-0000-0000-00001D330000}"/>
    <cellStyle name="Normal 2 2 6 10 3 2" xfId="5513" xr:uid="{00000000-0005-0000-0000-00001E330000}"/>
    <cellStyle name="Normal 2 2 6 10 3 2 2" xfId="5514" xr:uid="{00000000-0005-0000-0000-00001F330000}"/>
    <cellStyle name="Normal 2 2 6 10 3 2 2 2" xfId="33500" xr:uid="{00000000-0005-0000-0000-000020330000}"/>
    <cellStyle name="Normal 2 2 6 10 3 2 3" xfId="5515" xr:uid="{00000000-0005-0000-0000-000021330000}"/>
    <cellStyle name="Normal 2 2 6 10 3 2 3 2" xfId="33501" xr:uid="{00000000-0005-0000-0000-000022330000}"/>
    <cellStyle name="Normal 2 2 6 10 3 2 4" xfId="33502" xr:uid="{00000000-0005-0000-0000-000023330000}"/>
    <cellStyle name="Normal 2 2 6 10 3 3" xfId="5516" xr:uid="{00000000-0005-0000-0000-000024330000}"/>
    <cellStyle name="Normal 2 2 6 10 3 3 2" xfId="33503" xr:uid="{00000000-0005-0000-0000-000025330000}"/>
    <cellStyle name="Normal 2 2 6 10 3 4" xfId="5517" xr:uid="{00000000-0005-0000-0000-000026330000}"/>
    <cellStyle name="Normal 2 2 6 10 3 4 2" xfId="33504" xr:uid="{00000000-0005-0000-0000-000027330000}"/>
    <cellStyle name="Normal 2 2 6 10 3 5" xfId="5518" xr:uid="{00000000-0005-0000-0000-000028330000}"/>
    <cellStyle name="Normal 2 2 6 10 3 5 2" xfId="33505" xr:uid="{00000000-0005-0000-0000-000029330000}"/>
    <cellStyle name="Normal 2 2 6 10 3 6" xfId="33506" xr:uid="{00000000-0005-0000-0000-00002A330000}"/>
    <cellStyle name="Normal 2 2 6 10 3 6 2" xfId="33507" xr:uid="{00000000-0005-0000-0000-00002B330000}"/>
    <cellStyle name="Normal 2 2 6 10 3 7" xfId="33508" xr:uid="{00000000-0005-0000-0000-00002C330000}"/>
    <cellStyle name="Normal 2 2 6 10 4" xfId="5519" xr:uid="{00000000-0005-0000-0000-00002D330000}"/>
    <cellStyle name="Normal 2 2 6 10 4 2" xfId="5520" xr:uid="{00000000-0005-0000-0000-00002E330000}"/>
    <cellStyle name="Normal 2 2 6 10 4 2 2" xfId="33509" xr:uid="{00000000-0005-0000-0000-00002F330000}"/>
    <cellStyle name="Normal 2 2 6 10 4 3" xfId="5521" xr:uid="{00000000-0005-0000-0000-000030330000}"/>
    <cellStyle name="Normal 2 2 6 10 4 3 2" xfId="33510" xr:uid="{00000000-0005-0000-0000-000031330000}"/>
    <cellStyle name="Normal 2 2 6 10 4 4" xfId="33511" xr:uid="{00000000-0005-0000-0000-000032330000}"/>
    <cellStyle name="Normal 2 2 6 10 5" xfId="5522" xr:uid="{00000000-0005-0000-0000-000033330000}"/>
    <cellStyle name="Normal 2 2 6 10 5 2" xfId="5523" xr:uid="{00000000-0005-0000-0000-000034330000}"/>
    <cellStyle name="Normal 2 2 6 10 5 2 2" xfId="33512" xr:uid="{00000000-0005-0000-0000-000035330000}"/>
    <cellStyle name="Normal 2 2 6 10 5 3" xfId="33513" xr:uid="{00000000-0005-0000-0000-000036330000}"/>
    <cellStyle name="Normal 2 2 6 10 6" xfId="5524" xr:uid="{00000000-0005-0000-0000-000037330000}"/>
    <cellStyle name="Normal 2 2 6 10 6 2" xfId="33514" xr:uid="{00000000-0005-0000-0000-000038330000}"/>
    <cellStyle name="Normal 2 2 6 10 7" xfId="5525" xr:uid="{00000000-0005-0000-0000-000039330000}"/>
    <cellStyle name="Normal 2 2 6 10 7 2" xfId="33515" xr:uid="{00000000-0005-0000-0000-00003A330000}"/>
    <cellStyle name="Normal 2 2 6 10 8" xfId="33516" xr:uid="{00000000-0005-0000-0000-00003B330000}"/>
    <cellStyle name="Normal 2 2 6 10 8 2" xfId="33517" xr:uid="{00000000-0005-0000-0000-00003C330000}"/>
    <cellStyle name="Normal 2 2 6 10 9" xfId="33518" xr:uid="{00000000-0005-0000-0000-00003D330000}"/>
    <cellStyle name="Normal 2 2 6 11" xfId="5526" xr:uid="{00000000-0005-0000-0000-00003E330000}"/>
    <cellStyle name="Normal 2 2 6 11 10" xfId="33519" xr:uid="{00000000-0005-0000-0000-00003F330000}"/>
    <cellStyle name="Normal 2 2 6 11 11" xfId="33520" xr:uid="{00000000-0005-0000-0000-000040330000}"/>
    <cellStyle name="Normal 2 2 6 11 2" xfId="5527" xr:uid="{00000000-0005-0000-0000-000041330000}"/>
    <cellStyle name="Normal 2 2 6 11 2 10" xfId="33521" xr:uid="{00000000-0005-0000-0000-000042330000}"/>
    <cellStyle name="Normal 2 2 6 11 2 2" xfId="5528" xr:uid="{00000000-0005-0000-0000-000043330000}"/>
    <cellStyle name="Normal 2 2 6 11 2 2 2" xfId="5529" xr:uid="{00000000-0005-0000-0000-000044330000}"/>
    <cellStyle name="Normal 2 2 6 11 2 2 2 2" xfId="5530" xr:uid="{00000000-0005-0000-0000-000045330000}"/>
    <cellStyle name="Normal 2 2 6 11 2 2 2 2 2" xfId="33522" xr:uid="{00000000-0005-0000-0000-000046330000}"/>
    <cellStyle name="Normal 2 2 6 11 2 2 2 3" xfId="5531" xr:uid="{00000000-0005-0000-0000-000047330000}"/>
    <cellStyle name="Normal 2 2 6 11 2 2 2 3 2" xfId="33523" xr:uid="{00000000-0005-0000-0000-000048330000}"/>
    <cellStyle name="Normal 2 2 6 11 2 2 2 4" xfId="33524" xr:uid="{00000000-0005-0000-0000-000049330000}"/>
    <cellStyle name="Normal 2 2 6 11 2 2 3" xfId="5532" xr:uid="{00000000-0005-0000-0000-00004A330000}"/>
    <cellStyle name="Normal 2 2 6 11 2 2 3 2" xfId="33525" xr:uid="{00000000-0005-0000-0000-00004B330000}"/>
    <cellStyle name="Normal 2 2 6 11 2 2 4" xfId="5533" xr:uid="{00000000-0005-0000-0000-00004C330000}"/>
    <cellStyle name="Normal 2 2 6 11 2 2 4 2" xfId="33526" xr:uid="{00000000-0005-0000-0000-00004D330000}"/>
    <cellStyle name="Normal 2 2 6 11 2 2 5" xfId="5534" xr:uid="{00000000-0005-0000-0000-00004E330000}"/>
    <cellStyle name="Normal 2 2 6 11 2 2 5 2" xfId="33527" xr:uid="{00000000-0005-0000-0000-00004F330000}"/>
    <cellStyle name="Normal 2 2 6 11 2 2 6" xfId="33528" xr:uid="{00000000-0005-0000-0000-000050330000}"/>
    <cellStyle name="Normal 2 2 6 11 2 2 6 2" xfId="33529" xr:uid="{00000000-0005-0000-0000-000051330000}"/>
    <cellStyle name="Normal 2 2 6 11 2 2 7" xfId="33530" xr:uid="{00000000-0005-0000-0000-000052330000}"/>
    <cellStyle name="Normal 2 2 6 11 2 3" xfId="5535" xr:uid="{00000000-0005-0000-0000-000053330000}"/>
    <cellStyle name="Normal 2 2 6 11 2 3 2" xfId="5536" xr:uid="{00000000-0005-0000-0000-000054330000}"/>
    <cellStyle name="Normal 2 2 6 11 2 3 2 2" xfId="33531" xr:uid="{00000000-0005-0000-0000-000055330000}"/>
    <cellStyle name="Normal 2 2 6 11 2 3 3" xfId="5537" xr:uid="{00000000-0005-0000-0000-000056330000}"/>
    <cellStyle name="Normal 2 2 6 11 2 3 3 2" xfId="33532" xr:uid="{00000000-0005-0000-0000-000057330000}"/>
    <cellStyle name="Normal 2 2 6 11 2 3 4" xfId="33533" xr:uid="{00000000-0005-0000-0000-000058330000}"/>
    <cellStyle name="Normal 2 2 6 11 2 4" xfId="5538" xr:uid="{00000000-0005-0000-0000-000059330000}"/>
    <cellStyle name="Normal 2 2 6 11 2 4 2" xfId="5539" xr:uid="{00000000-0005-0000-0000-00005A330000}"/>
    <cellStyle name="Normal 2 2 6 11 2 4 2 2" xfId="33534" xr:uid="{00000000-0005-0000-0000-00005B330000}"/>
    <cellStyle name="Normal 2 2 6 11 2 4 3" xfId="33535" xr:uid="{00000000-0005-0000-0000-00005C330000}"/>
    <cellStyle name="Normal 2 2 6 11 2 5" xfId="5540" xr:uid="{00000000-0005-0000-0000-00005D330000}"/>
    <cellStyle name="Normal 2 2 6 11 2 5 2" xfId="33536" xr:uid="{00000000-0005-0000-0000-00005E330000}"/>
    <cellStyle name="Normal 2 2 6 11 2 6" xfId="5541" xr:uid="{00000000-0005-0000-0000-00005F330000}"/>
    <cellStyle name="Normal 2 2 6 11 2 6 2" xfId="33537" xr:uid="{00000000-0005-0000-0000-000060330000}"/>
    <cellStyle name="Normal 2 2 6 11 2 7" xfId="33538" xr:uid="{00000000-0005-0000-0000-000061330000}"/>
    <cellStyle name="Normal 2 2 6 11 2 7 2" xfId="33539" xr:uid="{00000000-0005-0000-0000-000062330000}"/>
    <cellStyle name="Normal 2 2 6 11 2 8" xfId="33540" xr:uid="{00000000-0005-0000-0000-000063330000}"/>
    <cellStyle name="Normal 2 2 6 11 2 9" xfId="33541" xr:uid="{00000000-0005-0000-0000-000064330000}"/>
    <cellStyle name="Normal 2 2 6 11 3" xfId="5542" xr:uid="{00000000-0005-0000-0000-000065330000}"/>
    <cellStyle name="Normal 2 2 6 11 3 2" xfId="5543" xr:uid="{00000000-0005-0000-0000-000066330000}"/>
    <cellStyle name="Normal 2 2 6 11 3 2 2" xfId="5544" xr:uid="{00000000-0005-0000-0000-000067330000}"/>
    <cellStyle name="Normal 2 2 6 11 3 2 2 2" xfId="33542" xr:uid="{00000000-0005-0000-0000-000068330000}"/>
    <cellStyle name="Normal 2 2 6 11 3 2 3" xfId="5545" xr:uid="{00000000-0005-0000-0000-000069330000}"/>
    <cellStyle name="Normal 2 2 6 11 3 2 3 2" xfId="33543" xr:uid="{00000000-0005-0000-0000-00006A330000}"/>
    <cellStyle name="Normal 2 2 6 11 3 2 4" xfId="33544" xr:uid="{00000000-0005-0000-0000-00006B330000}"/>
    <cellStyle name="Normal 2 2 6 11 3 3" xfId="5546" xr:uid="{00000000-0005-0000-0000-00006C330000}"/>
    <cellStyle name="Normal 2 2 6 11 3 3 2" xfId="33545" xr:uid="{00000000-0005-0000-0000-00006D330000}"/>
    <cellStyle name="Normal 2 2 6 11 3 4" xfId="5547" xr:uid="{00000000-0005-0000-0000-00006E330000}"/>
    <cellStyle name="Normal 2 2 6 11 3 4 2" xfId="33546" xr:uid="{00000000-0005-0000-0000-00006F330000}"/>
    <cellStyle name="Normal 2 2 6 11 3 5" xfId="5548" xr:uid="{00000000-0005-0000-0000-000070330000}"/>
    <cellStyle name="Normal 2 2 6 11 3 5 2" xfId="33547" xr:uid="{00000000-0005-0000-0000-000071330000}"/>
    <cellStyle name="Normal 2 2 6 11 3 6" xfId="33548" xr:uid="{00000000-0005-0000-0000-000072330000}"/>
    <cellStyle name="Normal 2 2 6 11 3 6 2" xfId="33549" xr:uid="{00000000-0005-0000-0000-000073330000}"/>
    <cellStyle name="Normal 2 2 6 11 3 7" xfId="33550" xr:uid="{00000000-0005-0000-0000-000074330000}"/>
    <cellStyle name="Normal 2 2 6 11 4" xfId="5549" xr:uid="{00000000-0005-0000-0000-000075330000}"/>
    <cellStyle name="Normal 2 2 6 11 4 2" xfId="5550" xr:uid="{00000000-0005-0000-0000-000076330000}"/>
    <cellStyle name="Normal 2 2 6 11 4 2 2" xfId="33551" xr:uid="{00000000-0005-0000-0000-000077330000}"/>
    <cellStyle name="Normal 2 2 6 11 4 3" xfId="5551" xr:uid="{00000000-0005-0000-0000-000078330000}"/>
    <cellStyle name="Normal 2 2 6 11 4 3 2" xfId="33552" xr:uid="{00000000-0005-0000-0000-000079330000}"/>
    <cellStyle name="Normal 2 2 6 11 4 4" xfId="33553" xr:uid="{00000000-0005-0000-0000-00007A330000}"/>
    <cellStyle name="Normal 2 2 6 11 5" xfId="5552" xr:uid="{00000000-0005-0000-0000-00007B330000}"/>
    <cellStyle name="Normal 2 2 6 11 5 2" xfId="5553" xr:uid="{00000000-0005-0000-0000-00007C330000}"/>
    <cellStyle name="Normal 2 2 6 11 5 2 2" xfId="33554" xr:uid="{00000000-0005-0000-0000-00007D330000}"/>
    <cellStyle name="Normal 2 2 6 11 5 3" xfId="33555" xr:uid="{00000000-0005-0000-0000-00007E330000}"/>
    <cellStyle name="Normal 2 2 6 11 6" xfId="5554" xr:uid="{00000000-0005-0000-0000-00007F330000}"/>
    <cellStyle name="Normal 2 2 6 11 6 2" xfId="33556" xr:uid="{00000000-0005-0000-0000-000080330000}"/>
    <cellStyle name="Normal 2 2 6 11 7" xfId="5555" xr:uid="{00000000-0005-0000-0000-000081330000}"/>
    <cellStyle name="Normal 2 2 6 11 7 2" xfId="33557" xr:uid="{00000000-0005-0000-0000-000082330000}"/>
    <cellStyle name="Normal 2 2 6 11 8" xfId="33558" xr:uid="{00000000-0005-0000-0000-000083330000}"/>
    <cellStyle name="Normal 2 2 6 11 8 2" xfId="33559" xr:uid="{00000000-0005-0000-0000-000084330000}"/>
    <cellStyle name="Normal 2 2 6 11 9" xfId="33560" xr:uid="{00000000-0005-0000-0000-000085330000}"/>
    <cellStyle name="Normal 2 2 6 12" xfId="5556" xr:uid="{00000000-0005-0000-0000-000086330000}"/>
    <cellStyle name="Normal 2 2 6 12 10" xfId="33561" xr:uid="{00000000-0005-0000-0000-000087330000}"/>
    <cellStyle name="Normal 2 2 6 12 11" xfId="33562" xr:uid="{00000000-0005-0000-0000-000088330000}"/>
    <cellStyle name="Normal 2 2 6 12 2" xfId="5557" xr:uid="{00000000-0005-0000-0000-000089330000}"/>
    <cellStyle name="Normal 2 2 6 12 2 10" xfId="33563" xr:uid="{00000000-0005-0000-0000-00008A330000}"/>
    <cellStyle name="Normal 2 2 6 12 2 2" xfId="5558" xr:uid="{00000000-0005-0000-0000-00008B330000}"/>
    <cellStyle name="Normal 2 2 6 12 2 2 2" xfId="5559" xr:uid="{00000000-0005-0000-0000-00008C330000}"/>
    <cellStyle name="Normal 2 2 6 12 2 2 2 2" xfId="5560" xr:uid="{00000000-0005-0000-0000-00008D330000}"/>
    <cellStyle name="Normal 2 2 6 12 2 2 2 2 2" xfId="33564" xr:uid="{00000000-0005-0000-0000-00008E330000}"/>
    <cellStyle name="Normal 2 2 6 12 2 2 2 3" xfId="5561" xr:uid="{00000000-0005-0000-0000-00008F330000}"/>
    <cellStyle name="Normal 2 2 6 12 2 2 2 3 2" xfId="33565" xr:uid="{00000000-0005-0000-0000-000090330000}"/>
    <cellStyle name="Normal 2 2 6 12 2 2 2 4" xfId="33566" xr:uid="{00000000-0005-0000-0000-000091330000}"/>
    <cellStyle name="Normal 2 2 6 12 2 2 3" xfId="5562" xr:uid="{00000000-0005-0000-0000-000092330000}"/>
    <cellStyle name="Normal 2 2 6 12 2 2 3 2" xfId="33567" xr:uid="{00000000-0005-0000-0000-000093330000}"/>
    <cellStyle name="Normal 2 2 6 12 2 2 4" xfId="5563" xr:uid="{00000000-0005-0000-0000-000094330000}"/>
    <cellStyle name="Normal 2 2 6 12 2 2 4 2" xfId="33568" xr:uid="{00000000-0005-0000-0000-000095330000}"/>
    <cellStyle name="Normal 2 2 6 12 2 2 5" xfId="5564" xr:uid="{00000000-0005-0000-0000-000096330000}"/>
    <cellStyle name="Normal 2 2 6 12 2 2 5 2" xfId="33569" xr:uid="{00000000-0005-0000-0000-000097330000}"/>
    <cellStyle name="Normal 2 2 6 12 2 2 6" xfId="33570" xr:uid="{00000000-0005-0000-0000-000098330000}"/>
    <cellStyle name="Normal 2 2 6 12 2 2 6 2" xfId="33571" xr:uid="{00000000-0005-0000-0000-000099330000}"/>
    <cellStyle name="Normal 2 2 6 12 2 2 7" xfId="33572" xr:uid="{00000000-0005-0000-0000-00009A330000}"/>
    <cellStyle name="Normal 2 2 6 12 2 3" xfId="5565" xr:uid="{00000000-0005-0000-0000-00009B330000}"/>
    <cellStyle name="Normal 2 2 6 12 2 3 2" xfId="5566" xr:uid="{00000000-0005-0000-0000-00009C330000}"/>
    <cellStyle name="Normal 2 2 6 12 2 3 2 2" xfId="33573" xr:uid="{00000000-0005-0000-0000-00009D330000}"/>
    <cellStyle name="Normal 2 2 6 12 2 3 3" xfId="5567" xr:uid="{00000000-0005-0000-0000-00009E330000}"/>
    <cellStyle name="Normal 2 2 6 12 2 3 3 2" xfId="33574" xr:uid="{00000000-0005-0000-0000-00009F330000}"/>
    <cellStyle name="Normal 2 2 6 12 2 3 4" xfId="33575" xr:uid="{00000000-0005-0000-0000-0000A0330000}"/>
    <cellStyle name="Normal 2 2 6 12 2 4" xfId="5568" xr:uid="{00000000-0005-0000-0000-0000A1330000}"/>
    <cellStyle name="Normal 2 2 6 12 2 4 2" xfId="5569" xr:uid="{00000000-0005-0000-0000-0000A2330000}"/>
    <cellStyle name="Normal 2 2 6 12 2 4 2 2" xfId="33576" xr:uid="{00000000-0005-0000-0000-0000A3330000}"/>
    <cellStyle name="Normal 2 2 6 12 2 4 3" xfId="33577" xr:uid="{00000000-0005-0000-0000-0000A4330000}"/>
    <cellStyle name="Normal 2 2 6 12 2 5" xfId="5570" xr:uid="{00000000-0005-0000-0000-0000A5330000}"/>
    <cellStyle name="Normal 2 2 6 12 2 5 2" xfId="33578" xr:uid="{00000000-0005-0000-0000-0000A6330000}"/>
    <cellStyle name="Normal 2 2 6 12 2 6" xfId="5571" xr:uid="{00000000-0005-0000-0000-0000A7330000}"/>
    <cellStyle name="Normal 2 2 6 12 2 6 2" xfId="33579" xr:uid="{00000000-0005-0000-0000-0000A8330000}"/>
    <cellStyle name="Normal 2 2 6 12 2 7" xfId="33580" xr:uid="{00000000-0005-0000-0000-0000A9330000}"/>
    <cellStyle name="Normal 2 2 6 12 2 7 2" xfId="33581" xr:uid="{00000000-0005-0000-0000-0000AA330000}"/>
    <cellStyle name="Normal 2 2 6 12 2 8" xfId="33582" xr:uid="{00000000-0005-0000-0000-0000AB330000}"/>
    <cellStyle name="Normal 2 2 6 12 2 9" xfId="33583" xr:uid="{00000000-0005-0000-0000-0000AC330000}"/>
    <cellStyle name="Normal 2 2 6 12 3" xfId="5572" xr:uid="{00000000-0005-0000-0000-0000AD330000}"/>
    <cellStyle name="Normal 2 2 6 12 3 2" xfId="5573" xr:uid="{00000000-0005-0000-0000-0000AE330000}"/>
    <cellStyle name="Normal 2 2 6 12 3 2 2" xfId="5574" xr:uid="{00000000-0005-0000-0000-0000AF330000}"/>
    <cellStyle name="Normal 2 2 6 12 3 2 2 2" xfId="33584" xr:uid="{00000000-0005-0000-0000-0000B0330000}"/>
    <cellStyle name="Normal 2 2 6 12 3 2 3" xfId="5575" xr:uid="{00000000-0005-0000-0000-0000B1330000}"/>
    <cellStyle name="Normal 2 2 6 12 3 2 3 2" xfId="33585" xr:uid="{00000000-0005-0000-0000-0000B2330000}"/>
    <cellStyle name="Normal 2 2 6 12 3 2 4" xfId="33586" xr:uid="{00000000-0005-0000-0000-0000B3330000}"/>
    <cellStyle name="Normal 2 2 6 12 3 3" xfId="5576" xr:uid="{00000000-0005-0000-0000-0000B4330000}"/>
    <cellStyle name="Normal 2 2 6 12 3 3 2" xfId="33587" xr:uid="{00000000-0005-0000-0000-0000B5330000}"/>
    <cellStyle name="Normal 2 2 6 12 3 4" xfId="5577" xr:uid="{00000000-0005-0000-0000-0000B6330000}"/>
    <cellStyle name="Normal 2 2 6 12 3 4 2" xfId="33588" xr:uid="{00000000-0005-0000-0000-0000B7330000}"/>
    <cellStyle name="Normal 2 2 6 12 3 5" xfId="5578" xr:uid="{00000000-0005-0000-0000-0000B8330000}"/>
    <cellStyle name="Normal 2 2 6 12 3 5 2" xfId="33589" xr:uid="{00000000-0005-0000-0000-0000B9330000}"/>
    <cellStyle name="Normal 2 2 6 12 3 6" xfId="33590" xr:uid="{00000000-0005-0000-0000-0000BA330000}"/>
    <cellStyle name="Normal 2 2 6 12 3 6 2" xfId="33591" xr:uid="{00000000-0005-0000-0000-0000BB330000}"/>
    <cellStyle name="Normal 2 2 6 12 3 7" xfId="33592" xr:uid="{00000000-0005-0000-0000-0000BC330000}"/>
    <cellStyle name="Normal 2 2 6 12 4" xfId="5579" xr:uid="{00000000-0005-0000-0000-0000BD330000}"/>
    <cellStyle name="Normal 2 2 6 12 4 2" xfId="5580" xr:uid="{00000000-0005-0000-0000-0000BE330000}"/>
    <cellStyle name="Normal 2 2 6 12 4 2 2" xfId="33593" xr:uid="{00000000-0005-0000-0000-0000BF330000}"/>
    <cellStyle name="Normal 2 2 6 12 4 3" xfId="5581" xr:uid="{00000000-0005-0000-0000-0000C0330000}"/>
    <cellStyle name="Normal 2 2 6 12 4 3 2" xfId="33594" xr:uid="{00000000-0005-0000-0000-0000C1330000}"/>
    <cellStyle name="Normal 2 2 6 12 4 4" xfId="33595" xr:uid="{00000000-0005-0000-0000-0000C2330000}"/>
    <cellStyle name="Normal 2 2 6 12 5" xfId="5582" xr:uid="{00000000-0005-0000-0000-0000C3330000}"/>
    <cellStyle name="Normal 2 2 6 12 5 2" xfId="5583" xr:uid="{00000000-0005-0000-0000-0000C4330000}"/>
    <cellStyle name="Normal 2 2 6 12 5 2 2" xfId="33596" xr:uid="{00000000-0005-0000-0000-0000C5330000}"/>
    <cellStyle name="Normal 2 2 6 12 5 3" xfId="33597" xr:uid="{00000000-0005-0000-0000-0000C6330000}"/>
    <cellStyle name="Normal 2 2 6 12 6" xfId="5584" xr:uid="{00000000-0005-0000-0000-0000C7330000}"/>
    <cellStyle name="Normal 2 2 6 12 6 2" xfId="33598" xr:uid="{00000000-0005-0000-0000-0000C8330000}"/>
    <cellStyle name="Normal 2 2 6 12 7" xfId="5585" xr:uid="{00000000-0005-0000-0000-0000C9330000}"/>
    <cellStyle name="Normal 2 2 6 12 7 2" xfId="33599" xr:uid="{00000000-0005-0000-0000-0000CA330000}"/>
    <cellStyle name="Normal 2 2 6 12 8" xfId="33600" xr:uid="{00000000-0005-0000-0000-0000CB330000}"/>
    <cellStyle name="Normal 2 2 6 12 8 2" xfId="33601" xr:uid="{00000000-0005-0000-0000-0000CC330000}"/>
    <cellStyle name="Normal 2 2 6 12 9" xfId="33602" xr:uid="{00000000-0005-0000-0000-0000CD330000}"/>
    <cellStyle name="Normal 2 2 6 13" xfId="5586" xr:uid="{00000000-0005-0000-0000-0000CE330000}"/>
    <cellStyle name="Normal 2 2 6 13 10" xfId="33603" xr:uid="{00000000-0005-0000-0000-0000CF330000}"/>
    <cellStyle name="Normal 2 2 6 13 11" xfId="33604" xr:uid="{00000000-0005-0000-0000-0000D0330000}"/>
    <cellStyle name="Normal 2 2 6 13 2" xfId="5587" xr:uid="{00000000-0005-0000-0000-0000D1330000}"/>
    <cellStyle name="Normal 2 2 6 13 2 10" xfId="33605" xr:uid="{00000000-0005-0000-0000-0000D2330000}"/>
    <cellStyle name="Normal 2 2 6 13 2 2" xfId="5588" xr:uid="{00000000-0005-0000-0000-0000D3330000}"/>
    <cellStyle name="Normal 2 2 6 13 2 2 2" xfId="5589" xr:uid="{00000000-0005-0000-0000-0000D4330000}"/>
    <cellStyle name="Normal 2 2 6 13 2 2 2 2" xfId="5590" xr:uid="{00000000-0005-0000-0000-0000D5330000}"/>
    <cellStyle name="Normal 2 2 6 13 2 2 2 2 2" xfId="33606" xr:uid="{00000000-0005-0000-0000-0000D6330000}"/>
    <cellStyle name="Normal 2 2 6 13 2 2 2 3" xfId="5591" xr:uid="{00000000-0005-0000-0000-0000D7330000}"/>
    <cellStyle name="Normal 2 2 6 13 2 2 2 3 2" xfId="33607" xr:uid="{00000000-0005-0000-0000-0000D8330000}"/>
    <cellStyle name="Normal 2 2 6 13 2 2 2 4" xfId="33608" xr:uid="{00000000-0005-0000-0000-0000D9330000}"/>
    <cellStyle name="Normal 2 2 6 13 2 2 3" xfId="5592" xr:uid="{00000000-0005-0000-0000-0000DA330000}"/>
    <cellStyle name="Normal 2 2 6 13 2 2 3 2" xfId="33609" xr:uid="{00000000-0005-0000-0000-0000DB330000}"/>
    <cellStyle name="Normal 2 2 6 13 2 2 4" xfId="5593" xr:uid="{00000000-0005-0000-0000-0000DC330000}"/>
    <cellStyle name="Normal 2 2 6 13 2 2 4 2" xfId="33610" xr:uid="{00000000-0005-0000-0000-0000DD330000}"/>
    <cellStyle name="Normal 2 2 6 13 2 2 5" xfId="5594" xr:uid="{00000000-0005-0000-0000-0000DE330000}"/>
    <cellStyle name="Normal 2 2 6 13 2 2 5 2" xfId="33611" xr:uid="{00000000-0005-0000-0000-0000DF330000}"/>
    <cellStyle name="Normal 2 2 6 13 2 2 6" xfId="33612" xr:uid="{00000000-0005-0000-0000-0000E0330000}"/>
    <cellStyle name="Normal 2 2 6 13 2 2 6 2" xfId="33613" xr:uid="{00000000-0005-0000-0000-0000E1330000}"/>
    <cellStyle name="Normal 2 2 6 13 2 2 7" xfId="33614" xr:uid="{00000000-0005-0000-0000-0000E2330000}"/>
    <cellStyle name="Normal 2 2 6 13 2 3" xfId="5595" xr:uid="{00000000-0005-0000-0000-0000E3330000}"/>
    <cellStyle name="Normal 2 2 6 13 2 3 2" xfId="5596" xr:uid="{00000000-0005-0000-0000-0000E4330000}"/>
    <cellStyle name="Normal 2 2 6 13 2 3 2 2" xfId="33615" xr:uid="{00000000-0005-0000-0000-0000E5330000}"/>
    <cellStyle name="Normal 2 2 6 13 2 3 3" xfId="5597" xr:uid="{00000000-0005-0000-0000-0000E6330000}"/>
    <cellStyle name="Normal 2 2 6 13 2 3 3 2" xfId="33616" xr:uid="{00000000-0005-0000-0000-0000E7330000}"/>
    <cellStyle name="Normal 2 2 6 13 2 3 4" xfId="33617" xr:uid="{00000000-0005-0000-0000-0000E8330000}"/>
    <cellStyle name="Normal 2 2 6 13 2 4" xfId="5598" xr:uid="{00000000-0005-0000-0000-0000E9330000}"/>
    <cellStyle name="Normal 2 2 6 13 2 4 2" xfId="5599" xr:uid="{00000000-0005-0000-0000-0000EA330000}"/>
    <cellStyle name="Normal 2 2 6 13 2 4 2 2" xfId="33618" xr:uid="{00000000-0005-0000-0000-0000EB330000}"/>
    <cellStyle name="Normal 2 2 6 13 2 4 3" xfId="33619" xr:uid="{00000000-0005-0000-0000-0000EC330000}"/>
    <cellStyle name="Normal 2 2 6 13 2 5" xfId="5600" xr:uid="{00000000-0005-0000-0000-0000ED330000}"/>
    <cellStyle name="Normal 2 2 6 13 2 5 2" xfId="33620" xr:uid="{00000000-0005-0000-0000-0000EE330000}"/>
    <cellStyle name="Normal 2 2 6 13 2 6" xfId="5601" xr:uid="{00000000-0005-0000-0000-0000EF330000}"/>
    <cellStyle name="Normal 2 2 6 13 2 6 2" xfId="33621" xr:uid="{00000000-0005-0000-0000-0000F0330000}"/>
    <cellStyle name="Normal 2 2 6 13 2 7" xfId="33622" xr:uid="{00000000-0005-0000-0000-0000F1330000}"/>
    <cellStyle name="Normal 2 2 6 13 2 7 2" xfId="33623" xr:uid="{00000000-0005-0000-0000-0000F2330000}"/>
    <cellStyle name="Normal 2 2 6 13 2 8" xfId="33624" xr:uid="{00000000-0005-0000-0000-0000F3330000}"/>
    <cellStyle name="Normal 2 2 6 13 2 9" xfId="33625" xr:uid="{00000000-0005-0000-0000-0000F4330000}"/>
    <cellStyle name="Normal 2 2 6 13 3" xfId="5602" xr:uid="{00000000-0005-0000-0000-0000F5330000}"/>
    <cellStyle name="Normal 2 2 6 13 3 2" xfId="5603" xr:uid="{00000000-0005-0000-0000-0000F6330000}"/>
    <cellStyle name="Normal 2 2 6 13 3 2 2" xfId="5604" xr:uid="{00000000-0005-0000-0000-0000F7330000}"/>
    <cellStyle name="Normal 2 2 6 13 3 2 2 2" xfId="33626" xr:uid="{00000000-0005-0000-0000-0000F8330000}"/>
    <cellStyle name="Normal 2 2 6 13 3 2 3" xfId="5605" xr:uid="{00000000-0005-0000-0000-0000F9330000}"/>
    <cellStyle name="Normal 2 2 6 13 3 2 3 2" xfId="33627" xr:uid="{00000000-0005-0000-0000-0000FA330000}"/>
    <cellStyle name="Normal 2 2 6 13 3 2 4" xfId="33628" xr:uid="{00000000-0005-0000-0000-0000FB330000}"/>
    <cellStyle name="Normal 2 2 6 13 3 3" xfId="5606" xr:uid="{00000000-0005-0000-0000-0000FC330000}"/>
    <cellStyle name="Normal 2 2 6 13 3 3 2" xfId="33629" xr:uid="{00000000-0005-0000-0000-0000FD330000}"/>
    <cellStyle name="Normal 2 2 6 13 3 4" xfId="5607" xr:uid="{00000000-0005-0000-0000-0000FE330000}"/>
    <cellStyle name="Normal 2 2 6 13 3 4 2" xfId="33630" xr:uid="{00000000-0005-0000-0000-0000FF330000}"/>
    <cellStyle name="Normal 2 2 6 13 3 5" xfId="5608" xr:uid="{00000000-0005-0000-0000-000000340000}"/>
    <cellStyle name="Normal 2 2 6 13 3 5 2" xfId="33631" xr:uid="{00000000-0005-0000-0000-000001340000}"/>
    <cellStyle name="Normal 2 2 6 13 3 6" xfId="33632" xr:uid="{00000000-0005-0000-0000-000002340000}"/>
    <cellStyle name="Normal 2 2 6 13 3 6 2" xfId="33633" xr:uid="{00000000-0005-0000-0000-000003340000}"/>
    <cellStyle name="Normal 2 2 6 13 3 7" xfId="33634" xr:uid="{00000000-0005-0000-0000-000004340000}"/>
    <cellStyle name="Normal 2 2 6 13 4" xfId="5609" xr:uid="{00000000-0005-0000-0000-000005340000}"/>
    <cellStyle name="Normal 2 2 6 13 4 2" xfId="5610" xr:uid="{00000000-0005-0000-0000-000006340000}"/>
    <cellStyle name="Normal 2 2 6 13 4 2 2" xfId="33635" xr:uid="{00000000-0005-0000-0000-000007340000}"/>
    <cellStyle name="Normal 2 2 6 13 4 3" xfId="5611" xr:uid="{00000000-0005-0000-0000-000008340000}"/>
    <cellStyle name="Normal 2 2 6 13 4 3 2" xfId="33636" xr:uid="{00000000-0005-0000-0000-000009340000}"/>
    <cellStyle name="Normal 2 2 6 13 4 4" xfId="33637" xr:uid="{00000000-0005-0000-0000-00000A340000}"/>
    <cellStyle name="Normal 2 2 6 13 5" xfId="5612" xr:uid="{00000000-0005-0000-0000-00000B340000}"/>
    <cellStyle name="Normal 2 2 6 13 5 2" xfId="5613" xr:uid="{00000000-0005-0000-0000-00000C340000}"/>
    <cellStyle name="Normal 2 2 6 13 5 2 2" xfId="33638" xr:uid="{00000000-0005-0000-0000-00000D340000}"/>
    <cellStyle name="Normal 2 2 6 13 5 3" xfId="33639" xr:uid="{00000000-0005-0000-0000-00000E340000}"/>
    <cellStyle name="Normal 2 2 6 13 6" xfId="5614" xr:uid="{00000000-0005-0000-0000-00000F340000}"/>
    <cellStyle name="Normal 2 2 6 13 6 2" xfId="33640" xr:uid="{00000000-0005-0000-0000-000010340000}"/>
    <cellStyle name="Normal 2 2 6 13 7" xfId="5615" xr:uid="{00000000-0005-0000-0000-000011340000}"/>
    <cellStyle name="Normal 2 2 6 13 7 2" xfId="33641" xr:uid="{00000000-0005-0000-0000-000012340000}"/>
    <cellStyle name="Normal 2 2 6 13 8" xfId="33642" xr:uid="{00000000-0005-0000-0000-000013340000}"/>
    <cellStyle name="Normal 2 2 6 13 8 2" xfId="33643" xr:uid="{00000000-0005-0000-0000-000014340000}"/>
    <cellStyle name="Normal 2 2 6 13 9" xfId="33644" xr:uid="{00000000-0005-0000-0000-000015340000}"/>
    <cellStyle name="Normal 2 2 6 14" xfId="5616" xr:uid="{00000000-0005-0000-0000-000016340000}"/>
    <cellStyle name="Normal 2 2 6 14 10" xfId="33645" xr:uid="{00000000-0005-0000-0000-000017340000}"/>
    <cellStyle name="Normal 2 2 6 14 11" xfId="33646" xr:uid="{00000000-0005-0000-0000-000018340000}"/>
    <cellStyle name="Normal 2 2 6 14 2" xfId="5617" xr:uid="{00000000-0005-0000-0000-000019340000}"/>
    <cellStyle name="Normal 2 2 6 14 2 10" xfId="33647" xr:uid="{00000000-0005-0000-0000-00001A340000}"/>
    <cellStyle name="Normal 2 2 6 14 2 2" xfId="5618" xr:uid="{00000000-0005-0000-0000-00001B340000}"/>
    <cellStyle name="Normal 2 2 6 14 2 2 2" xfId="5619" xr:uid="{00000000-0005-0000-0000-00001C340000}"/>
    <cellStyle name="Normal 2 2 6 14 2 2 2 2" xfId="5620" xr:uid="{00000000-0005-0000-0000-00001D340000}"/>
    <cellStyle name="Normal 2 2 6 14 2 2 2 2 2" xfId="33648" xr:uid="{00000000-0005-0000-0000-00001E340000}"/>
    <cellStyle name="Normal 2 2 6 14 2 2 2 3" xfId="5621" xr:uid="{00000000-0005-0000-0000-00001F340000}"/>
    <cellStyle name="Normal 2 2 6 14 2 2 2 3 2" xfId="33649" xr:uid="{00000000-0005-0000-0000-000020340000}"/>
    <cellStyle name="Normal 2 2 6 14 2 2 2 4" xfId="33650" xr:uid="{00000000-0005-0000-0000-000021340000}"/>
    <cellStyle name="Normal 2 2 6 14 2 2 3" xfId="5622" xr:uid="{00000000-0005-0000-0000-000022340000}"/>
    <cellStyle name="Normal 2 2 6 14 2 2 3 2" xfId="33651" xr:uid="{00000000-0005-0000-0000-000023340000}"/>
    <cellStyle name="Normal 2 2 6 14 2 2 4" xfId="5623" xr:uid="{00000000-0005-0000-0000-000024340000}"/>
    <cellStyle name="Normal 2 2 6 14 2 2 4 2" xfId="33652" xr:uid="{00000000-0005-0000-0000-000025340000}"/>
    <cellStyle name="Normal 2 2 6 14 2 2 5" xfId="5624" xr:uid="{00000000-0005-0000-0000-000026340000}"/>
    <cellStyle name="Normal 2 2 6 14 2 2 5 2" xfId="33653" xr:uid="{00000000-0005-0000-0000-000027340000}"/>
    <cellStyle name="Normal 2 2 6 14 2 2 6" xfId="33654" xr:uid="{00000000-0005-0000-0000-000028340000}"/>
    <cellStyle name="Normal 2 2 6 14 2 2 6 2" xfId="33655" xr:uid="{00000000-0005-0000-0000-000029340000}"/>
    <cellStyle name="Normal 2 2 6 14 2 2 7" xfId="33656" xr:uid="{00000000-0005-0000-0000-00002A340000}"/>
    <cellStyle name="Normal 2 2 6 14 2 3" xfId="5625" xr:uid="{00000000-0005-0000-0000-00002B340000}"/>
    <cellStyle name="Normal 2 2 6 14 2 3 2" xfId="5626" xr:uid="{00000000-0005-0000-0000-00002C340000}"/>
    <cellStyle name="Normal 2 2 6 14 2 3 2 2" xfId="33657" xr:uid="{00000000-0005-0000-0000-00002D340000}"/>
    <cellStyle name="Normal 2 2 6 14 2 3 3" xfId="5627" xr:uid="{00000000-0005-0000-0000-00002E340000}"/>
    <cellStyle name="Normal 2 2 6 14 2 3 3 2" xfId="33658" xr:uid="{00000000-0005-0000-0000-00002F340000}"/>
    <cellStyle name="Normal 2 2 6 14 2 3 4" xfId="33659" xr:uid="{00000000-0005-0000-0000-000030340000}"/>
    <cellStyle name="Normal 2 2 6 14 2 4" xfId="5628" xr:uid="{00000000-0005-0000-0000-000031340000}"/>
    <cellStyle name="Normal 2 2 6 14 2 4 2" xfId="5629" xr:uid="{00000000-0005-0000-0000-000032340000}"/>
    <cellStyle name="Normal 2 2 6 14 2 4 2 2" xfId="33660" xr:uid="{00000000-0005-0000-0000-000033340000}"/>
    <cellStyle name="Normal 2 2 6 14 2 4 3" xfId="33661" xr:uid="{00000000-0005-0000-0000-000034340000}"/>
    <cellStyle name="Normal 2 2 6 14 2 5" xfId="5630" xr:uid="{00000000-0005-0000-0000-000035340000}"/>
    <cellStyle name="Normal 2 2 6 14 2 5 2" xfId="33662" xr:uid="{00000000-0005-0000-0000-000036340000}"/>
    <cellStyle name="Normal 2 2 6 14 2 6" xfId="5631" xr:uid="{00000000-0005-0000-0000-000037340000}"/>
    <cellStyle name="Normal 2 2 6 14 2 6 2" xfId="33663" xr:uid="{00000000-0005-0000-0000-000038340000}"/>
    <cellStyle name="Normal 2 2 6 14 2 7" xfId="33664" xr:uid="{00000000-0005-0000-0000-000039340000}"/>
    <cellStyle name="Normal 2 2 6 14 2 7 2" xfId="33665" xr:uid="{00000000-0005-0000-0000-00003A340000}"/>
    <cellStyle name="Normal 2 2 6 14 2 8" xfId="33666" xr:uid="{00000000-0005-0000-0000-00003B340000}"/>
    <cellStyle name="Normal 2 2 6 14 2 9" xfId="33667" xr:uid="{00000000-0005-0000-0000-00003C340000}"/>
    <cellStyle name="Normal 2 2 6 14 3" xfId="5632" xr:uid="{00000000-0005-0000-0000-00003D340000}"/>
    <cellStyle name="Normal 2 2 6 14 3 2" xfId="5633" xr:uid="{00000000-0005-0000-0000-00003E340000}"/>
    <cellStyle name="Normal 2 2 6 14 3 2 2" xfId="5634" xr:uid="{00000000-0005-0000-0000-00003F340000}"/>
    <cellStyle name="Normal 2 2 6 14 3 2 2 2" xfId="33668" xr:uid="{00000000-0005-0000-0000-000040340000}"/>
    <cellStyle name="Normal 2 2 6 14 3 2 3" xfId="5635" xr:uid="{00000000-0005-0000-0000-000041340000}"/>
    <cellStyle name="Normal 2 2 6 14 3 2 3 2" xfId="33669" xr:uid="{00000000-0005-0000-0000-000042340000}"/>
    <cellStyle name="Normal 2 2 6 14 3 2 4" xfId="33670" xr:uid="{00000000-0005-0000-0000-000043340000}"/>
    <cellStyle name="Normal 2 2 6 14 3 3" xfId="5636" xr:uid="{00000000-0005-0000-0000-000044340000}"/>
    <cellStyle name="Normal 2 2 6 14 3 3 2" xfId="33671" xr:uid="{00000000-0005-0000-0000-000045340000}"/>
    <cellStyle name="Normal 2 2 6 14 3 4" xfId="5637" xr:uid="{00000000-0005-0000-0000-000046340000}"/>
    <cellStyle name="Normal 2 2 6 14 3 4 2" xfId="33672" xr:uid="{00000000-0005-0000-0000-000047340000}"/>
    <cellStyle name="Normal 2 2 6 14 3 5" xfId="5638" xr:uid="{00000000-0005-0000-0000-000048340000}"/>
    <cellStyle name="Normal 2 2 6 14 3 5 2" xfId="33673" xr:uid="{00000000-0005-0000-0000-000049340000}"/>
    <cellStyle name="Normal 2 2 6 14 3 6" xfId="33674" xr:uid="{00000000-0005-0000-0000-00004A340000}"/>
    <cellStyle name="Normal 2 2 6 14 3 6 2" xfId="33675" xr:uid="{00000000-0005-0000-0000-00004B340000}"/>
    <cellStyle name="Normal 2 2 6 14 3 7" xfId="33676" xr:uid="{00000000-0005-0000-0000-00004C340000}"/>
    <cellStyle name="Normal 2 2 6 14 4" xfId="5639" xr:uid="{00000000-0005-0000-0000-00004D340000}"/>
    <cellStyle name="Normal 2 2 6 14 4 2" xfId="5640" xr:uid="{00000000-0005-0000-0000-00004E340000}"/>
    <cellStyle name="Normal 2 2 6 14 4 2 2" xfId="33677" xr:uid="{00000000-0005-0000-0000-00004F340000}"/>
    <cellStyle name="Normal 2 2 6 14 4 3" xfId="5641" xr:uid="{00000000-0005-0000-0000-000050340000}"/>
    <cellStyle name="Normal 2 2 6 14 4 3 2" xfId="33678" xr:uid="{00000000-0005-0000-0000-000051340000}"/>
    <cellStyle name="Normal 2 2 6 14 4 4" xfId="33679" xr:uid="{00000000-0005-0000-0000-000052340000}"/>
    <cellStyle name="Normal 2 2 6 14 5" xfId="5642" xr:uid="{00000000-0005-0000-0000-000053340000}"/>
    <cellStyle name="Normal 2 2 6 14 5 2" xfId="5643" xr:uid="{00000000-0005-0000-0000-000054340000}"/>
    <cellStyle name="Normal 2 2 6 14 5 2 2" xfId="33680" xr:uid="{00000000-0005-0000-0000-000055340000}"/>
    <cellStyle name="Normal 2 2 6 14 5 3" xfId="33681" xr:uid="{00000000-0005-0000-0000-000056340000}"/>
    <cellStyle name="Normal 2 2 6 14 6" xfId="5644" xr:uid="{00000000-0005-0000-0000-000057340000}"/>
    <cellStyle name="Normal 2 2 6 14 6 2" xfId="33682" xr:uid="{00000000-0005-0000-0000-000058340000}"/>
    <cellStyle name="Normal 2 2 6 14 7" xfId="5645" xr:uid="{00000000-0005-0000-0000-000059340000}"/>
    <cellStyle name="Normal 2 2 6 14 7 2" xfId="33683" xr:uid="{00000000-0005-0000-0000-00005A340000}"/>
    <cellStyle name="Normal 2 2 6 14 8" xfId="33684" xr:uid="{00000000-0005-0000-0000-00005B340000}"/>
    <cellStyle name="Normal 2 2 6 14 8 2" xfId="33685" xr:uid="{00000000-0005-0000-0000-00005C340000}"/>
    <cellStyle name="Normal 2 2 6 14 9" xfId="33686" xr:uid="{00000000-0005-0000-0000-00005D340000}"/>
    <cellStyle name="Normal 2 2 6 15" xfId="5646" xr:uid="{00000000-0005-0000-0000-00005E340000}"/>
    <cellStyle name="Normal 2 2 6 15 10" xfId="33687" xr:uid="{00000000-0005-0000-0000-00005F340000}"/>
    <cellStyle name="Normal 2 2 6 15 11" xfId="33688" xr:uid="{00000000-0005-0000-0000-000060340000}"/>
    <cellStyle name="Normal 2 2 6 15 2" xfId="5647" xr:uid="{00000000-0005-0000-0000-000061340000}"/>
    <cellStyle name="Normal 2 2 6 15 2 10" xfId="33689" xr:uid="{00000000-0005-0000-0000-000062340000}"/>
    <cellStyle name="Normal 2 2 6 15 2 2" xfId="5648" xr:uid="{00000000-0005-0000-0000-000063340000}"/>
    <cellStyle name="Normal 2 2 6 15 2 2 2" xfId="5649" xr:uid="{00000000-0005-0000-0000-000064340000}"/>
    <cellStyle name="Normal 2 2 6 15 2 2 2 2" xfId="5650" xr:uid="{00000000-0005-0000-0000-000065340000}"/>
    <cellStyle name="Normal 2 2 6 15 2 2 2 2 2" xfId="33690" xr:uid="{00000000-0005-0000-0000-000066340000}"/>
    <cellStyle name="Normal 2 2 6 15 2 2 2 3" xfId="5651" xr:uid="{00000000-0005-0000-0000-000067340000}"/>
    <cellStyle name="Normal 2 2 6 15 2 2 2 3 2" xfId="33691" xr:uid="{00000000-0005-0000-0000-000068340000}"/>
    <cellStyle name="Normal 2 2 6 15 2 2 2 4" xfId="33692" xr:uid="{00000000-0005-0000-0000-000069340000}"/>
    <cellStyle name="Normal 2 2 6 15 2 2 3" xfId="5652" xr:uid="{00000000-0005-0000-0000-00006A340000}"/>
    <cellStyle name="Normal 2 2 6 15 2 2 3 2" xfId="33693" xr:uid="{00000000-0005-0000-0000-00006B340000}"/>
    <cellStyle name="Normal 2 2 6 15 2 2 4" xfId="5653" xr:uid="{00000000-0005-0000-0000-00006C340000}"/>
    <cellStyle name="Normal 2 2 6 15 2 2 4 2" xfId="33694" xr:uid="{00000000-0005-0000-0000-00006D340000}"/>
    <cellStyle name="Normal 2 2 6 15 2 2 5" xfId="5654" xr:uid="{00000000-0005-0000-0000-00006E340000}"/>
    <cellStyle name="Normal 2 2 6 15 2 2 5 2" xfId="33695" xr:uid="{00000000-0005-0000-0000-00006F340000}"/>
    <cellStyle name="Normal 2 2 6 15 2 2 6" xfId="33696" xr:uid="{00000000-0005-0000-0000-000070340000}"/>
    <cellStyle name="Normal 2 2 6 15 2 2 6 2" xfId="33697" xr:uid="{00000000-0005-0000-0000-000071340000}"/>
    <cellStyle name="Normal 2 2 6 15 2 2 7" xfId="33698" xr:uid="{00000000-0005-0000-0000-000072340000}"/>
    <cellStyle name="Normal 2 2 6 15 2 3" xfId="5655" xr:uid="{00000000-0005-0000-0000-000073340000}"/>
    <cellStyle name="Normal 2 2 6 15 2 3 2" xfId="5656" xr:uid="{00000000-0005-0000-0000-000074340000}"/>
    <cellStyle name="Normal 2 2 6 15 2 3 2 2" xfId="33699" xr:uid="{00000000-0005-0000-0000-000075340000}"/>
    <cellStyle name="Normal 2 2 6 15 2 3 3" xfId="5657" xr:uid="{00000000-0005-0000-0000-000076340000}"/>
    <cellStyle name="Normal 2 2 6 15 2 3 3 2" xfId="33700" xr:uid="{00000000-0005-0000-0000-000077340000}"/>
    <cellStyle name="Normal 2 2 6 15 2 3 4" xfId="33701" xr:uid="{00000000-0005-0000-0000-000078340000}"/>
    <cellStyle name="Normal 2 2 6 15 2 4" xfId="5658" xr:uid="{00000000-0005-0000-0000-000079340000}"/>
    <cellStyle name="Normal 2 2 6 15 2 4 2" xfId="5659" xr:uid="{00000000-0005-0000-0000-00007A340000}"/>
    <cellStyle name="Normal 2 2 6 15 2 4 2 2" xfId="33702" xr:uid="{00000000-0005-0000-0000-00007B340000}"/>
    <cellStyle name="Normal 2 2 6 15 2 4 3" xfId="33703" xr:uid="{00000000-0005-0000-0000-00007C340000}"/>
    <cellStyle name="Normal 2 2 6 15 2 5" xfId="5660" xr:uid="{00000000-0005-0000-0000-00007D340000}"/>
    <cellStyle name="Normal 2 2 6 15 2 5 2" xfId="33704" xr:uid="{00000000-0005-0000-0000-00007E340000}"/>
    <cellStyle name="Normal 2 2 6 15 2 6" xfId="5661" xr:uid="{00000000-0005-0000-0000-00007F340000}"/>
    <cellStyle name="Normal 2 2 6 15 2 6 2" xfId="33705" xr:uid="{00000000-0005-0000-0000-000080340000}"/>
    <cellStyle name="Normal 2 2 6 15 2 7" xfId="33706" xr:uid="{00000000-0005-0000-0000-000081340000}"/>
    <cellStyle name="Normal 2 2 6 15 2 7 2" xfId="33707" xr:uid="{00000000-0005-0000-0000-000082340000}"/>
    <cellStyle name="Normal 2 2 6 15 2 8" xfId="33708" xr:uid="{00000000-0005-0000-0000-000083340000}"/>
    <cellStyle name="Normal 2 2 6 15 2 9" xfId="33709" xr:uid="{00000000-0005-0000-0000-000084340000}"/>
    <cellStyle name="Normal 2 2 6 15 3" xfId="5662" xr:uid="{00000000-0005-0000-0000-000085340000}"/>
    <cellStyle name="Normal 2 2 6 15 3 2" xfId="5663" xr:uid="{00000000-0005-0000-0000-000086340000}"/>
    <cellStyle name="Normal 2 2 6 15 3 2 2" xfId="5664" xr:uid="{00000000-0005-0000-0000-000087340000}"/>
    <cellStyle name="Normal 2 2 6 15 3 2 2 2" xfId="33710" xr:uid="{00000000-0005-0000-0000-000088340000}"/>
    <cellStyle name="Normal 2 2 6 15 3 2 3" xfId="5665" xr:uid="{00000000-0005-0000-0000-000089340000}"/>
    <cellStyle name="Normal 2 2 6 15 3 2 3 2" xfId="33711" xr:uid="{00000000-0005-0000-0000-00008A340000}"/>
    <cellStyle name="Normal 2 2 6 15 3 2 4" xfId="33712" xr:uid="{00000000-0005-0000-0000-00008B340000}"/>
    <cellStyle name="Normal 2 2 6 15 3 3" xfId="5666" xr:uid="{00000000-0005-0000-0000-00008C340000}"/>
    <cellStyle name="Normal 2 2 6 15 3 3 2" xfId="33713" xr:uid="{00000000-0005-0000-0000-00008D340000}"/>
    <cellStyle name="Normal 2 2 6 15 3 4" xfId="5667" xr:uid="{00000000-0005-0000-0000-00008E340000}"/>
    <cellStyle name="Normal 2 2 6 15 3 4 2" xfId="33714" xr:uid="{00000000-0005-0000-0000-00008F340000}"/>
    <cellStyle name="Normal 2 2 6 15 3 5" xfId="5668" xr:uid="{00000000-0005-0000-0000-000090340000}"/>
    <cellStyle name="Normal 2 2 6 15 3 5 2" xfId="33715" xr:uid="{00000000-0005-0000-0000-000091340000}"/>
    <cellStyle name="Normal 2 2 6 15 3 6" xfId="33716" xr:uid="{00000000-0005-0000-0000-000092340000}"/>
    <cellStyle name="Normal 2 2 6 15 3 6 2" xfId="33717" xr:uid="{00000000-0005-0000-0000-000093340000}"/>
    <cellStyle name="Normal 2 2 6 15 3 7" xfId="33718" xr:uid="{00000000-0005-0000-0000-000094340000}"/>
    <cellStyle name="Normal 2 2 6 15 4" xfId="5669" xr:uid="{00000000-0005-0000-0000-000095340000}"/>
    <cellStyle name="Normal 2 2 6 15 4 2" xfId="5670" xr:uid="{00000000-0005-0000-0000-000096340000}"/>
    <cellStyle name="Normal 2 2 6 15 4 2 2" xfId="33719" xr:uid="{00000000-0005-0000-0000-000097340000}"/>
    <cellStyle name="Normal 2 2 6 15 4 3" xfId="5671" xr:uid="{00000000-0005-0000-0000-000098340000}"/>
    <cellStyle name="Normal 2 2 6 15 4 3 2" xfId="33720" xr:uid="{00000000-0005-0000-0000-000099340000}"/>
    <cellStyle name="Normal 2 2 6 15 4 4" xfId="33721" xr:uid="{00000000-0005-0000-0000-00009A340000}"/>
    <cellStyle name="Normal 2 2 6 15 5" xfId="5672" xr:uid="{00000000-0005-0000-0000-00009B340000}"/>
    <cellStyle name="Normal 2 2 6 15 5 2" xfId="5673" xr:uid="{00000000-0005-0000-0000-00009C340000}"/>
    <cellStyle name="Normal 2 2 6 15 5 2 2" xfId="33722" xr:uid="{00000000-0005-0000-0000-00009D340000}"/>
    <cellStyle name="Normal 2 2 6 15 5 3" xfId="33723" xr:uid="{00000000-0005-0000-0000-00009E340000}"/>
    <cellStyle name="Normal 2 2 6 15 6" xfId="5674" xr:uid="{00000000-0005-0000-0000-00009F340000}"/>
    <cellStyle name="Normal 2 2 6 15 6 2" xfId="33724" xr:uid="{00000000-0005-0000-0000-0000A0340000}"/>
    <cellStyle name="Normal 2 2 6 15 7" xfId="5675" xr:uid="{00000000-0005-0000-0000-0000A1340000}"/>
    <cellStyle name="Normal 2 2 6 15 7 2" xfId="33725" xr:uid="{00000000-0005-0000-0000-0000A2340000}"/>
    <cellStyle name="Normal 2 2 6 15 8" xfId="33726" xr:uid="{00000000-0005-0000-0000-0000A3340000}"/>
    <cellStyle name="Normal 2 2 6 15 8 2" xfId="33727" xr:uid="{00000000-0005-0000-0000-0000A4340000}"/>
    <cellStyle name="Normal 2 2 6 15 9" xfId="33728" xr:uid="{00000000-0005-0000-0000-0000A5340000}"/>
    <cellStyle name="Normal 2 2 6 16" xfId="5676" xr:uid="{00000000-0005-0000-0000-0000A6340000}"/>
    <cellStyle name="Normal 2 2 6 16 10" xfId="33729" xr:uid="{00000000-0005-0000-0000-0000A7340000}"/>
    <cellStyle name="Normal 2 2 6 16 11" xfId="33730" xr:uid="{00000000-0005-0000-0000-0000A8340000}"/>
    <cellStyle name="Normal 2 2 6 16 2" xfId="5677" xr:uid="{00000000-0005-0000-0000-0000A9340000}"/>
    <cellStyle name="Normal 2 2 6 16 2 10" xfId="33731" xr:uid="{00000000-0005-0000-0000-0000AA340000}"/>
    <cellStyle name="Normal 2 2 6 16 2 2" xfId="5678" xr:uid="{00000000-0005-0000-0000-0000AB340000}"/>
    <cellStyle name="Normal 2 2 6 16 2 2 2" xfId="5679" xr:uid="{00000000-0005-0000-0000-0000AC340000}"/>
    <cellStyle name="Normal 2 2 6 16 2 2 2 2" xfId="5680" xr:uid="{00000000-0005-0000-0000-0000AD340000}"/>
    <cellStyle name="Normal 2 2 6 16 2 2 2 2 2" xfId="33732" xr:uid="{00000000-0005-0000-0000-0000AE340000}"/>
    <cellStyle name="Normal 2 2 6 16 2 2 2 3" xfId="5681" xr:uid="{00000000-0005-0000-0000-0000AF340000}"/>
    <cellStyle name="Normal 2 2 6 16 2 2 2 3 2" xfId="33733" xr:uid="{00000000-0005-0000-0000-0000B0340000}"/>
    <cellStyle name="Normal 2 2 6 16 2 2 2 4" xfId="33734" xr:uid="{00000000-0005-0000-0000-0000B1340000}"/>
    <cellStyle name="Normal 2 2 6 16 2 2 3" xfId="5682" xr:uid="{00000000-0005-0000-0000-0000B2340000}"/>
    <cellStyle name="Normal 2 2 6 16 2 2 3 2" xfId="33735" xr:uid="{00000000-0005-0000-0000-0000B3340000}"/>
    <cellStyle name="Normal 2 2 6 16 2 2 4" xfId="5683" xr:uid="{00000000-0005-0000-0000-0000B4340000}"/>
    <cellStyle name="Normal 2 2 6 16 2 2 4 2" xfId="33736" xr:uid="{00000000-0005-0000-0000-0000B5340000}"/>
    <cellStyle name="Normal 2 2 6 16 2 2 5" xfId="5684" xr:uid="{00000000-0005-0000-0000-0000B6340000}"/>
    <cellStyle name="Normal 2 2 6 16 2 2 5 2" xfId="33737" xr:uid="{00000000-0005-0000-0000-0000B7340000}"/>
    <cellStyle name="Normal 2 2 6 16 2 2 6" xfId="33738" xr:uid="{00000000-0005-0000-0000-0000B8340000}"/>
    <cellStyle name="Normal 2 2 6 16 2 2 6 2" xfId="33739" xr:uid="{00000000-0005-0000-0000-0000B9340000}"/>
    <cellStyle name="Normal 2 2 6 16 2 2 7" xfId="33740" xr:uid="{00000000-0005-0000-0000-0000BA340000}"/>
    <cellStyle name="Normal 2 2 6 16 2 3" xfId="5685" xr:uid="{00000000-0005-0000-0000-0000BB340000}"/>
    <cellStyle name="Normal 2 2 6 16 2 3 2" xfId="5686" xr:uid="{00000000-0005-0000-0000-0000BC340000}"/>
    <cellStyle name="Normal 2 2 6 16 2 3 2 2" xfId="33741" xr:uid="{00000000-0005-0000-0000-0000BD340000}"/>
    <cellStyle name="Normal 2 2 6 16 2 3 3" xfId="5687" xr:uid="{00000000-0005-0000-0000-0000BE340000}"/>
    <cellStyle name="Normal 2 2 6 16 2 3 3 2" xfId="33742" xr:uid="{00000000-0005-0000-0000-0000BF340000}"/>
    <cellStyle name="Normal 2 2 6 16 2 3 4" xfId="33743" xr:uid="{00000000-0005-0000-0000-0000C0340000}"/>
    <cellStyle name="Normal 2 2 6 16 2 4" xfId="5688" xr:uid="{00000000-0005-0000-0000-0000C1340000}"/>
    <cellStyle name="Normal 2 2 6 16 2 4 2" xfId="5689" xr:uid="{00000000-0005-0000-0000-0000C2340000}"/>
    <cellStyle name="Normal 2 2 6 16 2 4 2 2" xfId="33744" xr:uid="{00000000-0005-0000-0000-0000C3340000}"/>
    <cellStyle name="Normal 2 2 6 16 2 4 3" xfId="33745" xr:uid="{00000000-0005-0000-0000-0000C4340000}"/>
    <cellStyle name="Normal 2 2 6 16 2 5" xfId="5690" xr:uid="{00000000-0005-0000-0000-0000C5340000}"/>
    <cellStyle name="Normal 2 2 6 16 2 5 2" xfId="33746" xr:uid="{00000000-0005-0000-0000-0000C6340000}"/>
    <cellStyle name="Normal 2 2 6 16 2 6" xfId="5691" xr:uid="{00000000-0005-0000-0000-0000C7340000}"/>
    <cellStyle name="Normal 2 2 6 16 2 6 2" xfId="33747" xr:uid="{00000000-0005-0000-0000-0000C8340000}"/>
    <cellStyle name="Normal 2 2 6 16 2 7" xfId="33748" xr:uid="{00000000-0005-0000-0000-0000C9340000}"/>
    <cellStyle name="Normal 2 2 6 16 2 7 2" xfId="33749" xr:uid="{00000000-0005-0000-0000-0000CA340000}"/>
    <cellStyle name="Normal 2 2 6 16 2 8" xfId="33750" xr:uid="{00000000-0005-0000-0000-0000CB340000}"/>
    <cellStyle name="Normal 2 2 6 16 2 9" xfId="33751" xr:uid="{00000000-0005-0000-0000-0000CC340000}"/>
    <cellStyle name="Normal 2 2 6 16 3" xfId="5692" xr:uid="{00000000-0005-0000-0000-0000CD340000}"/>
    <cellStyle name="Normal 2 2 6 16 3 2" xfId="5693" xr:uid="{00000000-0005-0000-0000-0000CE340000}"/>
    <cellStyle name="Normal 2 2 6 16 3 2 2" xfId="5694" xr:uid="{00000000-0005-0000-0000-0000CF340000}"/>
    <cellStyle name="Normal 2 2 6 16 3 2 2 2" xfId="33752" xr:uid="{00000000-0005-0000-0000-0000D0340000}"/>
    <cellStyle name="Normal 2 2 6 16 3 2 3" xfId="5695" xr:uid="{00000000-0005-0000-0000-0000D1340000}"/>
    <cellStyle name="Normal 2 2 6 16 3 2 3 2" xfId="33753" xr:uid="{00000000-0005-0000-0000-0000D2340000}"/>
    <cellStyle name="Normal 2 2 6 16 3 2 4" xfId="33754" xr:uid="{00000000-0005-0000-0000-0000D3340000}"/>
    <cellStyle name="Normal 2 2 6 16 3 3" xfId="5696" xr:uid="{00000000-0005-0000-0000-0000D4340000}"/>
    <cellStyle name="Normal 2 2 6 16 3 3 2" xfId="33755" xr:uid="{00000000-0005-0000-0000-0000D5340000}"/>
    <cellStyle name="Normal 2 2 6 16 3 4" xfId="5697" xr:uid="{00000000-0005-0000-0000-0000D6340000}"/>
    <cellStyle name="Normal 2 2 6 16 3 4 2" xfId="33756" xr:uid="{00000000-0005-0000-0000-0000D7340000}"/>
    <cellStyle name="Normal 2 2 6 16 3 5" xfId="5698" xr:uid="{00000000-0005-0000-0000-0000D8340000}"/>
    <cellStyle name="Normal 2 2 6 16 3 5 2" xfId="33757" xr:uid="{00000000-0005-0000-0000-0000D9340000}"/>
    <cellStyle name="Normal 2 2 6 16 3 6" xfId="33758" xr:uid="{00000000-0005-0000-0000-0000DA340000}"/>
    <cellStyle name="Normal 2 2 6 16 3 6 2" xfId="33759" xr:uid="{00000000-0005-0000-0000-0000DB340000}"/>
    <cellStyle name="Normal 2 2 6 16 3 7" xfId="33760" xr:uid="{00000000-0005-0000-0000-0000DC340000}"/>
    <cellStyle name="Normal 2 2 6 16 4" xfId="5699" xr:uid="{00000000-0005-0000-0000-0000DD340000}"/>
    <cellStyle name="Normal 2 2 6 16 4 2" xfId="5700" xr:uid="{00000000-0005-0000-0000-0000DE340000}"/>
    <cellStyle name="Normal 2 2 6 16 4 2 2" xfId="33761" xr:uid="{00000000-0005-0000-0000-0000DF340000}"/>
    <cellStyle name="Normal 2 2 6 16 4 3" xfId="5701" xr:uid="{00000000-0005-0000-0000-0000E0340000}"/>
    <cellStyle name="Normal 2 2 6 16 4 3 2" xfId="33762" xr:uid="{00000000-0005-0000-0000-0000E1340000}"/>
    <cellStyle name="Normal 2 2 6 16 4 4" xfId="33763" xr:uid="{00000000-0005-0000-0000-0000E2340000}"/>
    <cellStyle name="Normal 2 2 6 16 5" xfId="5702" xr:uid="{00000000-0005-0000-0000-0000E3340000}"/>
    <cellStyle name="Normal 2 2 6 16 5 2" xfId="5703" xr:uid="{00000000-0005-0000-0000-0000E4340000}"/>
    <cellStyle name="Normal 2 2 6 16 5 2 2" xfId="33764" xr:uid="{00000000-0005-0000-0000-0000E5340000}"/>
    <cellStyle name="Normal 2 2 6 16 5 3" xfId="33765" xr:uid="{00000000-0005-0000-0000-0000E6340000}"/>
    <cellStyle name="Normal 2 2 6 16 6" xfId="5704" xr:uid="{00000000-0005-0000-0000-0000E7340000}"/>
    <cellStyle name="Normal 2 2 6 16 6 2" xfId="33766" xr:uid="{00000000-0005-0000-0000-0000E8340000}"/>
    <cellStyle name="Normal 2 2 6 16 7" xfId="5705" xr:uid="{00000000-0005-0000-0000-0000E9340000}"/>
    <cellStyle name="Normal 2 2 6 16 7 2" xfId="33767" xr:uid="{00000000-0005-0000-0000-0000EA340000}"/>
    <cellStyle name="Normal 2 2 6 16 8" xfId="33768" xr:uid="{00000000-0005-0000-0000-0000EB340000}"/>
    <cellStyle name="Normal 2 2 6 16 8 2" xfId="33769" xr:uid="{00000000-0005-0000-0000-0000EC340000}"/>
    <cellStyle name="Normal 2 2 6 16 9" xfId="33770" xr:uid="{00000000-0005-0000-0000-0000ED340000}"/>
    <cellStyle name="Normal 2 2 6 17" xfId="5706" xr:uid="{00000000-0005-0000-0000-0000EE340000}"/>
    <cellStyle name="Normal 2 2 6 17 10" xfId="33771" xr:uid="{00000000-0005-0000-0000-0000EF340000}"/>
    <cellStyle name="Normal 2 2 6 17 11" xfId="33772" xr:uid="{00000000-0005-0000-0000-0000F0340000}"/>
    <cellStyle name="Normal 2 2 6 17 2" xfId="5707" xr:uid="{00000000-0005-0000-0000-0000F1340000}"/>
    <cellStyle name="Normal 2 2 6 17 2 10" xfId="33773" xr:uid="{00000000-0005-0000-0000-0000F2340000}"/>
    <cellStyle name="Normal 2 2 6 17 2 2" xfId="5708" xr:uid="{00000000-0005-0000-0000-0000F3340000}"/>
    <cellStyle name="Normal 2 2 6 17 2 2 2" xfId="5709" xr:uid="{00000000-0005-0000-0000-0000F4340000}"/>
    <cellStyle name="Normal 2 2 6 17 2 2 2 2" xfId="5710" xr:uid="{00000000-0005-0000-0000-0000F5340000}"/>
    <cellStyle name="Normal 2 2 6 17 2 2 2 2 2" xfId="33774" xr:uid="{00000000-0005-0000-0000-0000F6340000}"/>
    <cellStyle name="Normal 2 2 6 17 2 2 2 3" xfId="5711" xr:uid="{00000000-0005-0000-0000-0000F7340000}"/>
    <cellStyle name="Normal 2 2 6 17 2 2 2 3 2" xfId="33775" xr:uid="{00000000-0005-0000-0000-0000F8340000}"/>
    <cellStyle name="Normal 2 2 6 17 2 2 2 4" xfId="33776" xr:uid="{00000000-0005-0000-0000-0000F9340000}"/>
    <cellStyle name="Normal 2 2 6 17 2 2 3" xfId="5712" xr:uid="{00000000-0005-0000-0000-0000FA340000}"/>
    <cellStyle name="Normal 2 2 6 17 2 2 3 2" xfId="33777" xr:uid="{00000000-0005-0000-0000-0000FB340000}"/>
    <cellStyle name="Normal 2 2 6 17 2 2 4" xfId="5713" xr:uid="{00000000-0005-0000-0000-0000FC340000}"/>
    <cellStyle name="Normal 2 2 6 17 2 2 4 2" xfId="33778" xr:uid="{00000000-0005-0000-0000-0000FD340000}"/>
    <cellStyle name="Normal 2 2 6 17 2 2 5" xfId="5714" xr:uid="{00000000-0005-0000-0000-0000FE340000}"/>
    <cellStyle name="Normal 2 2 6 17 2 2 5 2" xfId="33779" xr:uid="{00000000-0005-0000-0000-0000FF340000}"/>
    <cellStyle name="Normal 2 2 6 17 2 2 6" xfId="33780" xr:uid="{00000000-0005-0000-0000-000000350000}"/>
    <cellStyle name="Normal 2 2 6 17 2 2 6 2" xfId="33781" xr:uid="{00000000-0005-0000-0000-000001350000}"/>
    <cellStyle name="Normal 2 2 6 17 2 2 7" xfId="33782" xr:uid="{00000000-0005-0000-0000-000002350000}"/>
    <cellStyle name="Normal 2 2 6 17 2 3" xfId="5715" xr:uid="{00000000-0005-0000-0000-000003350000}"/>
    <cellStyle name="Normal 2 2 6 17 2 3 2" xfId="5716" xr:uid="{00000000-0005-0000-0000-000004350000}"/>
    <cellStyle name="Normal 2 2 6 17 2 3 2 2" xfId="33783" xr:uid="{00000000-0005-0000-0000-000005350000}"/>
    <cellStyle name="Normal 2 2 6 17 2 3 3" xfId="5717" xr:uid="{00000000-0005-0000-0000-000006350000}"/>
    <cellStyle name="Normal 2 2 6 17 2 3 3 2" xfId="33784" xr:uid="{00000000-0005-0000-0000-000007350000}"/>
    <cellStyle name="Normal 2 2 6 17 2 3 4" xfId="33785" xr:uid="{00000000-0005-0000-0000-000008350000}"/>
    <cellStyle name="Normal 2 2 6 17 2 4" xfId="5718" xr:uid="{00000000-0005-0000-0000-000009350000}"/>
    <cellStyle name="Normal 2 2 6 17 2 4 2" xfId="5719" xr:uid="{00000000-0005-0000-0000-00000A350000}"/>
    <cellStyle name="Normal 2 2 6 17 2 4 2 2" xfId="33786" xr:uid="{00000000-0005-0000-0000-00000B350000}"/>
    <cellStyle name="Normal 2 2 6 17 2 4 3" xfId="33787" xr:uid="{00000000-0005-0000-0000-00000C350000}"/>
    <cellStyle name="Normal 2 2 6 17 2 5" xfId="5720" xr:uid="{00000000-0005-0000-0000-00000D350000}"/>
    <cellStyle name="Normal 2 2 6 17 2 5 2" xfId="33788" xr:uid="{00000000-0005-0000-0000-00000E350000}"/>
    <cellStyle name="Normal 2 2 6 17 2 6" xfId="5721" xr:uid="{00000000-0005-0000-0000-00000F350000}"/>
    <cellStyle name="Normal 2 2 6 17 2 6 2" xfId="33789" xr:uid="{00000000-0005-0000-0000-000010350000}"/>
    <cellStyle name="Normal 2 2 6 17 2 7" xfId="33790" xr:uid="{00000000-0005-0000-0000-000011350000}"/>
    <cellStyle name="Normal 2 2 6 17 2 7 2" xfId="33791" xr:uid="{00000000-0005-0000-0000-000012350000}"/>
    <cellStyle name="Normal 2 2 6 17 2 8" xfId="33792" xr:uid="{00000000-0005-0000-0000-000013350000}"/>
    <cellStyle name="Normal 2 2 6 17 2 9" xfId="33793" xr:uid="{00000000-0005-0000-0000-000014350000}"/>
    <cellStyle name="Normal 2 2 6 17 3" xfId="5722" xr:uid="{00000000-0005-0000-0000-000015350000}"/>
    <cellStyle name="Normal 2 2 6 17 3 2" xfId="5723" xr:uid="{00000000-0005-0000-0000-000016350000}"/>
    <cellStyle name="Normal 2 2 6 17 3 2 2" xfId="5724" xr:uid="{00000000-0005-0000-0000-000017350000}"/>
    <cellStyle name="Normal 2 2 6 17 3 2 2 2" xfId="33794" xr:uid="{00000000-0005-0000-0000-000018350000}"/>
    <cellStyle name="Normal 2 2 6 17 3 2 3" xfId="5725" xr:uid="{00000000-0005-0000-0000-000019350000}"/>
    <cellStyle name="Normal 2 2 6 17 3 2 3 2" xfId="33795" xr:uid="{00000000-0005-0000-0000-00001A350000}"/>
    <cellStyle name="Normal 2 2 6 17 3 2 4" xfId="33796" xr:uid="{00000000-0005-0000-0000-00001B350000}"/>
    <cellStyle name="Normal 2 2 6 17 3 3" xfId="5726" xr:uid="{00000000-0005-0000-0000-00001C350000}"/>
    <cellStyle name="Normal 2 2 6 17 3 3 2" xfId="33797" xr:uid="{00000000-0005-0000-0000-00001D350000}"/>
    <cellStyle name="Normal 2 2 6 17 3 4" xfId="5727" xr:uid="{00000000-0005-0000-0000-00001E350000}"/>
    <cellStyle name="Normal 2 2 6 17 3 4 2" xfId="33798" xr:uid="{00000000-0005-0000-0000-00001F350000}"/>
    <cellStyle name="Normal 2 2 6 17 3 5" xfId="5728" xr:uid="{00000000-0005-0000-0000-000020350000}"/>
    <cellStyle name="Normal 2 2 6 17 3 5 2" xfId="33799" xr:uid="{00000000-0005-0000-0000-000021350000}"/>
    <cellStyle name="Normal 2 2 6 17 3 6" xfId="33800" xr:uid="{00000000-0005-0000-0000-000022350000}"/>
    <cellStyle name="Normal 2 2 6 17 3 6 2" xfId="33801" xr:uid="{00000000-0005-0000-0000-000023350000}"/>
    <cellStyle name="Normal 2 2 6 17 3 7" xfId="33802" xr:uid="{00000000-0005-0000-0000-000024350000}"/>
    <cellStyle name="Normal 2 2 6 17 4" xfId="5729" xr:uid="{00000000-0005-0000-0000-000025350000}"/>
    <cellStyle name="Normal 2 2 6 17 4 2" xfId="5730" xr:uid="{00000000-0005-0000-0000-000026350000}"/>
    <cellStyle name="Normal 2 2 6 17 4 2 2" xfId="33803" xr:uid="{00000000-0005-0000-0000-000027350000}"/>
    <cellStyle name="Normal 2 2 6 17 4 3" xfId="5731" xr:uid="{00000000-0005-0000-0000-000028350000}"/>
    <cellStyle name="Normal 2 2 6 17 4 3 2" xfId="33804" xr:uid="{00000000-0005-0000-0000-000029350000}"/>
    <cellStyle name="Normal 2 2 6 17 4 4" xfId="33805" xr:uid="{00000000-0005-0000-0000-00002A350000}"/>
    <cellStyle name="Normal 2 2 6 17 5" xfId="5732" xr:uid="{00000000-0005-0000-0000-00002B350000}"/>
    <cellStyle name="Normal 2 2 6 17 5 2" xfId="5733" xr:uid="{00000000-0005-0000-0000-00002C350000}"/>
    <cellStyle name="Normal 2 2 6 17 5 2 2" xfId="33806" xr:uid="{00000000-0005-0000-0000-00002D350000}"/>
    <cellStyle name="Normal 2 2 6 17 5 3" xfId="33807" xr:uid="{00000000-0005-0000-0000-00002E350000}"/>
    <cellStyle name="Normal 2 2 6 17 6" xfId="5734" xr:uid="{00000000-0005-0000-0000-00002F350000}"/>
    <cellStyle name="Normal 2 2 6 17 6 2" xfId="33808" xr:uid="{00000000-0005-0000-0000-000030350000}"/>
    <cellStyle name="Normal 2 2 6 17 7" xfId="5735" xr:uid="{00000000-0005-0000-0000-000031350000}"/>
    <cellStyle name="Normal 2 2 6 17 7 2" xfId="33809" xr:uid="{00000000-0005-0000-0000-000032350000}"/>
    <cellStyle name="Normal 2 2 6 17 8" xfId="33810" xr:uid="{00000000-0005-0000-0000-000033350000}"/>
    <cellStyle name="Normal 2 2 6 17 8 2" xfId="33811" xr:uid="{00000000-0005-0000-0000-000034350000}"/>
    <cellStyle name="Normal 2 2 6 17 9" xfId="33812" xr:uid="{00000000-0005-0000-0000-000035350000}"/>
    <cellStyle name="Normal 2 2 6 18" xfId="5736" xr:uid="{00000000-0005-0000-0000-000036350000}"/>
    <cellStyle name="Normal 2 2 6 18 10" xfId="33813" xr:uid="{00000000-0005-0000-0000-000037350000}"/>
    <cellStyle name="Normal 2 2 6 18 11" xfId="33814" xr:uid="{00000000-0005-0000-0000-000038350000}"/>
    <cellStyle name="Normal 2 2 6 18 2" xfId="5737" xr:uid="{00000000-0005-0000-0000-000039350000}"/>
    <cellStyle name="Normal 2 2 6 18 2 10" xfId="33815" xr:uid="{00000000-0005-0000-0000-00003A350000}"/>
    <cellStyle name="Normal 2 2 6 18 2 2" xfId="5738" xr:uid="{00000000-0005-0000-0000-00003B350000}"/>
    <cellStyle name="Normal 2 2 6 18 2 2 2" xfId="5739" xr:uid="{00000000-0005-0000-0000-00003C350000}"/>
    <cellStyle name="Normal 2 2 6 18 2 2 2 2" xfId="5740" xr:uid="{00000000-0005-0000-0000-00003D350000}"/>
    <cellStyle name="Normal 2 2 6 18 2 2 2 2 2" xfId="33816" xr:uid="{00000000-0005-0000-0000-00003E350000}"/>
    <cellStyle name="Normal 2 2 6 18 2 2 2 3" xfId="5741" xr:uid="{00000000-0005-0000-0000-00003F350000}"/>
    <cellStyle name="Normal 2 2 6 18 2 2 2 3 2" xfId="33817" xr:uid="{00000000-0005-0000-0000-000040350000}"/>
    <cellStyle name="Normal 2 2 6 18 2 2 2 4" xfId="33818" xr:uid="{00000000-0005-0000-0000-000041350000}"/>
    <cellStyle name="Normal 2 2 6 18 2 2 3" xfId="5742" xr:uid="{00000000-0005-0000-0000-000042350000}"/>
    <cellStyle name="Normal 2 2 6 18 2 2 3 2" xfId="33819" xr:uid="{00000000-0005-0000-0000-000043350000}"/>
    <cellStyle name="Normal 2 2 6 18 2 2 4" xfId="5743" xr:uid="{00000000-0005-0000-0000-000044350000}"/>
    <cellStyle name="Normal 2 2 6 18 2 2 4 2" xfId="33820" xr:uid="{00000000-0005-0000-0000-000045350000}"/>
    <cellStyle name="Normal 2 2 6 18 2 2 5" xfId="5744" xr:uid="{00000000-0005-0000-0000-000046350000}"/>
    <cellStyle name="Normal 2 2 6 18 2 2 5 2" xfId="33821" xr:uid="{00000000-0005-0000-0000-000047350000}"/>
    <cellStyle name="Normal 2 2 6 18 2 2 6" xfId="33822" xr:uid="{00000000-0005-0000-0000-000048350000}"/>
    <cellStyle name="Normal 2 2 6 18 2 2 6 2" xfId="33823" xr:uid="{00000000-0005-0000-0000-000049350000}"/>
    <cellStyle name="Normal 2 2 6 18 2 2 7" xfId="33824" xr:uid="{00000000-0005-0000-0000-00004A350000}"/>
    <cellStyle name="Normal 2 2 6 18 2 3" xfId="5745" xr:uid="{00000000-0005-0000-0000-00004B350000}"/>
    <cellStyle name="Normal 2 2 6 18 2 3 2" xfId="5746" xr:uid="{00000000-0005-0000-0000-00004C350000}"/>
    <cellStyle name="Normal 2 2 6 18 2 3 2 2" xfId="33825" xr:uid="{00000000-0005-0000-0000-00004D350000}"/>
    <cellStyle name="Normal 2 2 6 18 2 3 3" xfId="5747" xr:uid="{00000000-0005-0000-0000-00004E350000}"/>
    <cellStyle name="Normal 2 2 6 18 2 3 3 2" xfId="33826" xr:uid="{00000000-0005-0000-0000-00004F350000}"/>
    <cellStyle name="Normal 2 2 6 18 2 3 4" xfId="33827" xr:uid="{00000000-0005-0000-0000-000050350000}"/>
    <cellStyle name="Normal 2 2 6 18 2 4" xfId="5748" xr:uid="{00000000-0005-0000-0000-000051350000}"/>
    <cellStyle name="Normal 2 2 6 18 2 4 2" xfId="5749" xr:uid="{00000000-0005-0000-0000-000052350000}"/>
    <cellStyle name="Normal 2 2 6 18 2 4 2 2" xfId="33828" xr:uid="{00000000-0005-0000-0000-000053350000}"/>
    <cellStyle name="Normal 2 2 6 18 2 4 3" xfId="33829" xr:uid="{00000000-0005-0000-0000-000054350000}"/>
    <cellStyle name="Normal 2 2 6 18 2 5" xfId="5750" xr:uid="{00000000-0005-0000-0000-000055350000}"/>
    <cellStyle name="Normal 2 2 6 18 2 5 2" xfId="33830" xr:uid="{00000000-0005-0000-0000-000056350000}"/>
    <cellStyle name="Normal 2 2 6 18 2 6" xfId="5751" xr:uid="{00000000-0005-0000-0000-000057350000}"/>
    <cellStyle name="Normal 2 2 6 18 2 6 2" xfId="33831" xr:uid="{00000000-0005-0000-0000-000058350000}"/>
    <cellStyle name="Normal 2 2 6 18 2 7" xfId="33832" xr:uid="{00000000-0005-0000-0000-000059350000}"/>
    <cellStyle name="Normal 2 2 6 18 2 7 2" xfId="33833" xr:uid="{00000000-0005-0000-0000-00005A350000}"/>
    <cellStyle name="Normal 2 2 6 18 2 8" xfId="33834" xr:uid="{00000000-0005-0000-0000-00005B350000}"/>
    <cellStyle name="Normal 2 2 6 18 2 9" xfId="33835" xr:uid="{00000000-0005-0000-0000-00005C350000}"/>
    <cellStyle name="Normal 2 2 6 18 3" xfId="5752" xr:uid="{00000000-0005-0000-0000-00005D350000}"/>
    <cellStyle name="Normal 2 2 6 18 3 2" xfId="5753" xr:uid="{00000000-0005-0000-0000-00005E350000}"/>
    <cellStyle name="Normal 2 2 6 18 3 2 2" xfId="5754" xr:uid="{00000000-0005-0000-0000-00005F350000}"/>
    <cellStyle name="Normal 2 2 6 18 3 2 2 2" xfId="33836" xr:uid="{00000000-0005-0000-0000-000060350000}"/>
    <cellStyle name="Normal 2 2 6 18 3 2 3" xfId="5755" xr:uid="{00000000-0005-0000-0000-000061350000}"/>
    <cellStyle name="Normal 2 2 6 18 3 2 3 2" xfId="33837" xr:uid="{00000000-0005-0000-0000-000062350000}"/>
    <cellStyle name="Normal 2 2 6 18 3 2 4" xfId="33838" xr:uid="{00000000-0005-0000-0000-000063350000}"/>
    <cellStyle name="Normal 2 2 6 18 3 3" xfId="5756" xr:uid="{00000000-0005-0000-0000-000064350000}"/>
    <cellStyle name="Normal 2 2 6 18 3 3 2" xfId="33839" xr:uid="{00000000-0005-0000-0000-000065350000}"/>
    <cellStyle name="Normal 2 2 6 18 3 4" xfId="5757" xr:uid="{00000000-0005-0000-0000-000066350000}"/>
    <cellStyle name="Normal 2 2 6 18 3 4 2" xfId="33840" xr:uid="{00000000-0005-0000-0000-000067350000}"/>
    <cellStyle name="Normal 2 2 6 18 3 5" xfId="5758" xr:uid="{00000000-0005-0000-0000-000068350000}"/>
    <cellStyle name="Normal 2 2 6 18 3 5 2" xfId="33841" xr:uid="{00000000-0005-0000-0000-000069350000}"/>
    <cellStyle name="Normal 2 2 6 18 3 6" xfId="33842" xr:uid="{00000000-0005-0000-0000-00006A350000}"/>
    <cellStyle name="Normal 2 2 6 18 3 6 2" xfId="33843" xr:uid="{00000000-0005-0000-0000-00006B350000}"/>
    <cellStyle name="Normal 2 2 6 18 3 7" xfId="33844" xr:uid="{00000000-0005-0000-0000-00006C350000}"/>
    <cellStyle name="Normal 2 2 6 18 4" xfId="5759" xr:uid="{00000000-0005-0000-0000-00006D350000}"/>
    <cellStyle name="Normal 2 2 6 18 4 2" xfId="5760" xr:uid="{00000000-0005-0000-0000-00006E350000}"/>
    <cellStyle name="Normal 2 2 6 18 4 2 2" xfId="33845" xr:uid="{00000000-0005-0000-0000-00006F350000}"/>
    <cellStyle name="Normal 2 2 6 18 4 3" xfId="5761" xr:uid="{00000000-0005-0000-0000-000070350000}"/>
    <cellStyle name="Normal 2 2 6 18 4 3 2" xfId="33846" xr:uid="{00000000-0005-0000-0000-000071350000}"/>
    <cellStyle name="Normal 2 2 6 18 4 4" xfId="33847" xr:uid="{00000000-0005-0000-0000-000072350000}"/>
    <cellStyle name="Normal 2 2 6 18 5" xfId="5762" xr:uid="{00000000-0005-0000-0000-000073350000}"/>
    <cellStyle name="Normal 2 2 6 18 5 2" xfId="5763" xr:uid="{00000000-0005-0000-0000-000074350000}"/>
    <cellStyle name="Normal 2 2 6 18 5 2 2" xfId="33848" xr:uid="{00000000-0005-0000-0000-000075350000}"/>
    <cellStyle name="Normal 2 2 6 18 5 3" xfId="33849" xr:uid="{00000000-0005-0000-0000-000076350000}"/>
    <cellStyle name="Normal 2 2 6 18 6" xfId="5764" xr:uid="{00000000-0005-0000-0000-000077350000}"/>
    <cellStyle name="Normal 2 2 6 18 6 2" xfId="33850" xr:uid="{00000000-0005-0000-0000-000078350000}"/>
    <cellStyle name="Normal 2 2 6 18 7" xfId="5765" xr:uid="{00000000-0005-0000-0000-000079350000}"/>
    <cellStyle name="Normal 2 2 6 18 7 2" xfId="33851" xr:uid="{00000000-0005-0000-0000-00007A350000}"/>
    <cellStyle name="Normal 2 2 6 18 8" xfId="33852" xr:uid="{00000000-0005-0000-0000-00007B350000}"/>
    <cellStyle name="Normal 2 2 6 18 8 2" xfId="33853" xr:uid="{00000000-0005-0000-0000-00007C350000}"/>
    <cellStyle name="Normal 2 2 6 18 9" xfId="33854" xr:uid="{00000000-0005-0000-0000-00007D350000}"/>
    <cellStyle name="Normal 2 2 6 19" xfId="5766" xr:uid="{00000000-0005-0000-0000-00007E350000}"/>
    <cellStyle name="Normal 2 2 6 19 10" xfId="33855" xr:uid="{00000000-0005-0000-0000-00007F350000}"/>
    <cellStyle name="Normal 2 2 6 19 11" xfId="33856" xr:uid="{00000000-0005-0000-0000-000080350000}"/>
    <cellStyle name="Normal 2 2 6 19 2" xfId="5767" xr:uid="{00000000-0005-0000-0000-000081350000}"/>
    <cellStyle name="Normal 2 2 6 19 2 10" xfId="33857" xr:uid="{00000000-0005-0000-0000-000082350000}"/>
    <cellStyle name="Normal 2 2 6 19 2 2" xfId="5768" xr:uid="{00000000-0005-0000-0000-000083350000}"/>
    <cellStyle name="Normal 2 2 6 19 2 2 2" xfId="5769" xr:uid="{00000000-0005-0000-0000-000084350000}"/>
    <cellStyle name="Normal 2 2 6 19 2 2 2 2" xfId="5770" xr:uid="{00000000-0005-0000-0000-000085350000}"/>
    <cellStyle name="Normal 2 2 6 19 2 2 2 2 2" xfId="33858" xr:uid="{00000000-0005-0000-0000-000086350000}"/>
    <cellStyle name="Normal 2 2 6 19 2 2 2 3" xfId="5771" xr:uid="{00000000-0005-0000-0000-000087350000}"/>
    <cellStyle name="Normal 2 2 6 19 2 2 2 3 2" xfId="33859" xr:uid="{00000000-0005-0000-0000-000088350000}"/>
    <cellStyle name="Normal 2 2 6 19 2 2 2 4" xfId="33860" xr:uid="{00000000-0005-0000-0000-000089350000}"/>
    <cellStyle name="Normal 2 2 6 19 2 2 3" xfId="5772" xr:uid="{00000000-0005-0000-0000-00008A350000}"/>
    <cellStyle name="Normal 2 2 6 19 2 2 3 2" xfId="33861" xr:uid="{00000000-0005-0000-0000-00008B350000}"/>
    <cellStyle name="Normal 2 2 6 19 2 2 4" xfId="5773" xr:uid="{00000000-0005-0000-0000-00008C350000}"/>
    <cellStyle name="Normal 2 2 6 19 2 2 4 2" xfId="33862" xr:uid="{00000000-0005-0000-0000-00008D350000}"/>
    <cellStyle name="Normal 2 2 6 19 2 2 5" xfId="5774" xr:uid="{00000000-0005-0000-0000-00008E350000}"/>
    <cellStyle name="Normal 2 2 6 19 2 2 5 2" xfId="33863" xr:uid="{00000000-0005-0000-0000-00008F350000}"/>
    <cellStyle name="Normal 2 2 6 19 2 2 6" xfId="33864" xr:uid="{00000000-0005-0000-0000-000090350000}"/>
    <cellStyle name="Normal 2 2 6 19 2 2 6 2" xfId="33865" xr:uid="{00000000-0005-0000-0000-000091350000}"/>
    <cellStyle name="Normal 2 2 6 19 2 2 7" xfId="33866" xr:uid="{00000000-0005-0000-0000-000092350000}"/>
    <cellStyle name="Normal 2 2 6 19 2 3" xfId="5775" xr:uid="{00000000-0005-0000-0000-000093350000}"/>
    <cellStyle name="Normal 2 2 6 19 2 3 2" xfId="5776" xr:uid="{00000000-0005-0000-0000-000094350000}"/>
    <cellStyle name="Normal 2 2 6 19 2 3 2 2" xfId="33867" xr:uid="{00000000-0005-0000-0000-000095350000}"/>
    <cellStyle name="Normal 2 2 6 19 2 3 3" xfId="5777" xr:uid="{00000000-0005-0000-0000-000096350000}"/>
    <cellStyle name="Normal 2 2 6 19 2 3 3 2" xfId="33868" xr:uid="{00000000-0005-0000-0000-000097350000}"/>
    <cellStyle name="Normal 2 2 6 19 2 3 4" xfId="33869" xr:uid="{00000000-0005-0000-0000-000098350000}"/>
    <cellStyle name="Normal 2 2 6 19 2 4" xfId="5778" xr:uid="{00000000-0005-0000-0000-000099350000}"/>
    <cellStyle name="Normal 2 2 6 19 2 4 2" xfId="5779" xr:uid="{00000000-0005-0000-0000-00009A350000}"/>
    <cellStyle name="Normal 2 2 6 19 2 4 2 2" xfId="33870" xr:uid="{00000000-0005-0000-0000-00009B350000}"/>
    <cellStyle name="Normal 2 2 6 19 2 4 3" xfId="33871" xr:uid="{00000000-0005-0000-0000-00009C350000}"/>
    <cellStyle name="Normal 2 2 6 19 2 5" xfId="5780" xr:uid="{00000000-0005-0000-0000-00009D350000}"/>
    <cellStyle name="Normal 2 2 6 19 2 5 2" xfId="33872" xr:uid="{00000000-0005-0000-0000-00009E350000}"/>
    <cellStyle name="Normal 2 2 6 19 2 6" xfId="5781" xr:uid="{00000000-0005-0000-0000-00009F350000}"/>
    <cellStyle name="Normal 2 2 6 19 2 6 2" xfId="33873" xr:uid="{00000000-0005-0000-0000-0000A0350000}"/>
    <cellStyle name="Normal 2 2 6 19 2 7" xfId="33874" xr:uid="{00000000-0005-0000-0000-0000A1350000}"/>
    <cellStyle name="Normal 2 2 6 19 2 7 2" xfId="33875" xr:uid="{00000000-0005-0000-0000-0000A2350000}"/>
    <cellStyle name="Normal 2 2 6 19 2 8" xfId="33876" xr:uid="{00000000-0005-0000-0000-0000A3350000}"/>
    <cellStyle name="Normal 2 2 6 19 2 9" xfId="33877" xr:uid="{00000000-0005-0000-0000-0000A4350000}"/>
    <cellStyle name="Normal 2 2 6 19 3" xfId="5782" xr:uid="{00000000-0005-0000-0000-0000A5350000}"/>
    <cellStyle name="Normal 2 2 6 19 3 2" xfId="5783" xr:uid="{00000000-0005-0000-0000-0000A6350000}"/>
    <cellStyle name="Normal 2 2 6 19 3 2 2" xfId="5784" xr:uid="{00000000-0005-0000-0000-0000A7350000}"/>
    <cellStyle name="Normal 2 2 6 19 3 2 2 2" xfId="33878" xr:uid="{00000000-0005-0000-0000-0000A8350000}"/>
    <cellStyle name="Normal 2 2 6 19 3 2 3" xfId="5785" xr:uid="{00000000-0005-0000-0000-0000A9350000}"/>
    <cellStyle name="Normal 2 2 6 19 3 2 3 2" xfId="33879" xr:uid="{00000000-0005-0000-0000-0000AA350000}"/>
    <cellStyle name="Normal 2 2 6 19 3 2 4" xfId="33880" xr:uid="{00000000-0005-0000-0000-0000AB350000}"/>
    <cellStyle name="Normal 2 2 6 19 3 3" xfId="5786" xr:uid="{00000000-0005-0000-0000-0000AC350000}"/>
    <cellStyle name="Normal 2 2 6 19 3 3 2" xfId="33881" xr:uid="{00000000-0005-0000-0000-0000AD350000}"/>
    <cellStyle name="Normal 2 2 6 19 3 4" xfId="5787" xr:uid="{00000000-0005-0000-0000-0000AE350000}"/>
    <cellStyle name="Normal 2 2 6 19 3 4 2" xfId="33882" xr:uid="{00000000-0005-0000-0000-0000AF350000}"/>
    <cellStyle name="Normal 2 2 6 19 3 5" xfId="5788" xr:uid="{00000000-0005-0000-0000-0000B0350000}"/>
    <cellStyle name="Normal 2 2 6 19 3 5 2" xfId="33883" xr:uid="{00000000-0005-0000-0000-0000B1350000}"/>
    <cellStyle name="Normal 2 2 6 19 3 6" xfId="33884" xr:uid="{00000000-0005-0000-0000-0000B2350000}"/>
    <cellStyle name="Normal 2 2 6 19 3 6 2" xfId="33885" xr:uid="{00000000-0005-0000-0000-0000B3350000}"/>
    <cellStyle name="Normal 2 2 6 19 3 7" xfId="33886" xr:uid="{00000000-0005-0000-0000-0000B4350000}"/>
    <cellStyle name="Normal 2 2 6 19 4" xfId="5789" xr:uid="{00000000-0005-0000-0000-0000B5350000}"/>
    <cellStyle name="Normal 2 2 6 19 4 2" xfId="5790" xr:uid="{00000000-0005-0000-0000-0000B6350000}"/>
    <cellStyle name="Normal 2 2 6 19 4 2 2" xfId="33887" xr:uid="{00000000-0005-0000-0000-0000B7350000}"/>
    <cellStyle name="Normal 2 2 6 19 4 3" xfId="5791" xr:uid="{00000000-0005-0000-0000-0000B8350000}"/>
    <cellStyle name="Normal 2 2 6 19 4 3 2" xfId="33888" xr:uid="{00000000-0005-0000-0000-0000B9350000}"/>
    <cellStyle name="Normal 2 2 6 19 4 4" xfId="33889" xr:uid="{00000000-0005-0000-0000-0000BA350000}"/>
    <cellStyle name="Normal 2 2 6 19 5" xfId="5792" xr:uid="{00000000-0005-0000-0000-0000BB350000}"/>
    <cellStyle name="Normal 2 2 6 19 5 2" xfId="5793" xr:uid="{00000000-0005-0000-0000-0000BC350000}"/>
    <cellStyle name="Normal 2 2 6 19 5 2 2" xfId="33890" xr:uid="{00000000-0005-0000-0000-0000BD350000}"/>
    <cellStyle name="Normal 2 2 6 19 5 3" xfId="33891" xr:uid="{00000000-0005-0000-0000-0000BE350000}"/>
    <cellStyle name="Normal 2 2 6 19 6" xfId="5794" xr:uid="{00000000-0005-0000-0000-0000BF350000}"/>
    <cellStyle name="Normal 2 2 6 19 6 2" xfId="33892" xr:uid="{00000000-0005-0000-0000-0000C0350000}"/>
    <cellStyle name="Normal 2 2 6 19 7" xfId="5795" xr:uid="{00000000-0005-0000-0000-0000C1350000}"/>
    <cellStyle name="Normal 2 2 6 19 7 2" xfId="33893" xr:uid="{00000000-0005-0000-0000-0000C2350000}"/>
    <cellStyle name="Normal 2 2 6 19 8" xfId="33894" xr:uid="{00000000-0005-0000-0000-0000C3350000}"/>
    <cellStyle name="Normal 2 2 6 19 8 2" xfId="33895" xr:uid="{00000000-0005-0000-0000-0000C4350000}"/>
    <cellStyle name="Normal 2 2 6 19 9" xfId="33896" xr:uid="{00000000-0005-0000-0000-0000C5350000}"/>
    <cellStyle name="Normal 2 2 6 2" xfId="5796" xr:uid="{00000000-0005-0000-0000-0000C6350000}"/>
    <cellStyle name="Normal 2 2 6 2 10" xfId="33897" xr:uid="{00000000-0005-0000-0000-0000C7350000}"/>
    <cellStyle name="Normal 2 2 6 2 11" xfId="33898" xr:uid="{00000000-0005-0000-0000-0000C8350000}"/>
    <cellStyle name="Normal 2 2 6 2 2" xfId="5797" xr:uid="{00000000-0005-0000-0000-0000C9350000}"/>
    <cellStyle name="Normal 2 2 6 2 2 10" xfId="33899" xr:uid="{00000000-0005-0000-0000-0000CA350000}"/>
    <cellStyle name="Normal 2 2 6 2 2 2" xfId="5798" xr:uid="{00000000-0005-0000-0000-0000CB350000}"/>
    <cellStyle name="Normal 2 2 6 2 2 2 2" xfId="5799" xr:uid="{00000000-0005-0000-0000-0000CC350000}"/>
    <cellStyle name="Normal 2 2 6 2 2 2 2 2" xfId="5800" xr:uid="{00000000-0005-0000-0000-0000CD350000}"/>
    <cellStyle name="Normal 2 2 6 2 2 2 2 2 2" xfId="33900" xr:uid="{00000000-0005-0000-0000-0000CE350000}"/>
    <cellStyle name="Normal 2 2 6 2 2 2 2 3" xfId="5801" xr:uid="{00000000-0005-0000-0000-0000CF350000}"/>
    <cellStyle name="Normal 2 2 6 2 2 2 2 3 2" xfId="33901" xr:uid="{00000000-0005-0000-0000-0000D0350000}"/>
    <cellStyle name="Normal 2 2 6 2 2 2 2 4" xfId="33902" xr:uid="{00000000-0005-0000-0000-0000D1350000}"/>
    <cellStyle name="Normal 2 2 6 2 2 2 3" xfId="5802" xr:uid="{00000000-0005-0000-0000-0000D2350000}"/>
    <cellStyle name="Normal 2 2 6 2 2 2 3 2" xfId="33903" xr:uid="{00000000-0005-0000-0000-0000D3350000}"/>
    <cellStyle name="Normal 2 2 6 2 2 2 4" xfId="5803" xr:uid="{00000000-0005-0000-0000-0000D4350000}"/>
    <cellStyle name="Normal 2 2 6 2 2 2 4 2" xfId="33904" xr:uid="{00000000-0005-0000-0000-0000D5350000}"/>
    <cellStyle name="Normal 2 2 6 2 2 2 5" xfId="5804" xr:uid="{00000000-0005-0000-0000-0000D6350000}"/>
    <cellStyle name="Normal 2 2 6 2 2 2 5 2" xfId="33905" xr:uid="{00000000-0005-0000-0000-0000D7350000}"/>
    <cellStyle name="Normal 2 2 6 2 2 2 6" xfId="33906" xr:uid="{00000000-0005-0000-0000-0000D8350000}"/>
    <cellStyle name="Normal 2 2 6 2 2 2 6 2" xfId="33907" xr:uid="{00000000-0005-0000-0000-0000D9350000}"/>
    <cellStyle name="Normal 2 2 6 2 2 2 7" xfId="33908" xr:uid="{00000000-0005-0000-0000-0000DA350000}"/>
    <cellStyle name="Normal 2 2 6 2 2 3" xfId="5805" xr:uid="{00000000-0005-0000-0000-0000DB350000}"/>
    <cellStyle name="Normal 2 2 6 2 2 3 2" xfId="5806" xr:uid="{00000000-0005-0000-0000-0000DC350000}"/>
    <cellStyle name="Normal 2 2 6 2 2 3 2 2" xfId="33909" xr:uid="{00000000-0005-0000-0000-0000DD350000}"/>
    <cellStyle name="Normal 2 2 6 2 2 3 3" xfId="5807" xr:uid="{00000000-0005-0000-0000-0000DE350000}"/>
    <cellStyle name="Normal 2 2 6 2 2 3 3 2" xfId="33910" xr:uid="{00000000-0005-0000-0000-0000DF350000}"/>
    <cellStyle name="Normal 2 2 6 2 2 3 4" xfId="33911" xr:uid="{00000000-0005-0000-0000-0000E0350000}"/>
    <cellStyle name="Normal 2 2 6 2 2 4" xfId="5808" xr:uid="{00000000-0005-0000-0000-0000E1350000}"/>
    <cellStyle name="Normal 2 2 6 2 2 4 2" xfId="5809" xr:uid="{00000000-0005-0000-0000-0000E2350000}"/>
    <cellStyle name="Normal 2 2 6 2 2 4 2 2" xfId="33912" xr:uid="{00000000-0005-0000-0000-0000E3350000}"/>
    <cellStyle name="Normal 2 2 6 2 2 4 3" xfId="33913" xr:uid="{00000000-0005-0000-0000-0000E4350000}"/>
    <cellStyle name="Normal 2 2 6 2 2 5" xfId="5810" xr:uid="{00000000-0005-0000-0000-0000E5350000}"/>
    <cellStyle name="Normal 2 2 6 2 2 5 2" xfId="33914" xr:uid="{00000000-0005-0000-0000-0000E6350000}"/>
    <cellStyle name="Normal 2 2 6 2 2 6" xfId="5811" xr:uid="{00000000-0005-0000-0000-0000E7350000}"/>
    <cellStyle name="Normal 2 2 6 2 2 6 2" xfId="33915" xr:uid="{00000000-0005-0000-0000-0000E8350000}"/>
    <cellStyle name="Normal 2 2 6 2 2 7" xfId="33916" xr:uid="{00000000-0005-0000-0000-0000E9350000}"/>
    <cellStyle name="Normal 2 2 6 2 2 7 2" xfId="33917" xr:uid="{00000000-0005-0000-0000-0000EA350000}"/>
    <cellStyle name="Normal 2 2 6 2 2 8" xfId="33918" xr:uid="{00000000-0005-0000-0000-0000EB350000}"/>
    <cellStyle name="Normal 2 2 6 2 2 9" xfId="33919" xr:uid="{00000000-0005-0000-0000-0000EC350000}"/>
    <cellStyle name="Normal 2 2 6 2 3" xfId="5812" xr:uid="{00000000-0005-0000-0000-0000ED350000}"/>
    <cellStyle name="Normal 2 2 6 2 3 2" xfId="5813" xr:uid="{00000000-0005-0000-0000-0000EE350000}"/>
    <cellStyle name="Normal 2 2 6 2 3 2 2" xfId="5814" xr:uid="{00000000-0005-0000-0000-0000EF350000}"/>
    <cellStyle name="Normal 2 2 6 2 3 2 2 2" xfId="33920" xr:uid="{00000000-0005-0000-0000-0000F0350000}"/>
    <cellStyle name="Normal 2 2 6 2 3 2 3" xfId="5815" xr:uid="{00000000-0005-0000-0000-0000F1350000}"/>
    <cellStyle name="Normal 2 2 6 2 3 2 3 2" xfId="33921" xr:uid="{00000000-0005-0000-0000-0000F2350000}"/>
    <cellStyle name="Normal 2 2 6 2 3 2 4" xfId="33922" xr:uid="{00000000-0005-0000-0000-0000F3350000}"/>
    <cellStyle name="Normal 2 2 6 2 3 3" xfId="5816" xr:uid="{00000000-0005-0000-0000-0000F4350000}"/>
    <cellStyle name="Normal 2 2 6 2 3 3 2" xfId="33923" xr:uid="{00000000-0005-0000-0000-0000F5350000}"/>
    <cellStyle name="Normal 2 2 6 2 3 4" xfId="5817" xr:uid="{00000000-0005-0000-0000-0000F6350000}"/>
    <cellStyle name="Normal 2 2 6 2 3 4 2" xfId="33924" xr:uid="{00000000-0005-0000-0000-0000F7350000}"/>
    <cellStyle name="Normal 2 2 6 2 3 5" xfId="5818" xr:uid="{00000000-0005-0000-0000-0000F8350000}"/>
    <cellStyle name="Normal 2 2 6 2 3 5 2" xfId="33925" xr:uid="{00000000-0005-0000-0000-0000F9350000}"/>
    <cellStyle name="Normal 2 2 6 2 3 6" xfId="33926" xr:uid="{00000000-0005-0000-0000-0000FA350000}"/>
    <cellStyle name="Normal 2 2 6 2 3 6 2" xfId="33927" xr:uid="{00000000-0005-0000-0000-0000FB350000}"/>
    <cellStyle name="Normal 2 2 6 2 3 7" xfId="33928" xr:uid="{00000000-0005-0000-0000-0000FC350000}"/>
    <cellStyle name="Normal 2 2 6 2 4" xfId="5819" xr:uid="{00000000-0005-0000-0000-0000FD350000}"/>
    <cellStyle name="Normal 2 2 6 2 4 2" xfId="5820" xr:uid="{00000000-0005-0000-0000-0000FE350000}"/>
    <cellStyle name="Normal 2 2 6 2 4 2 2" xfId="33929" xr:uid="{00000000-0005-0000-0000-0000FF350000}"/>
    <cellStyle name="Normal 2 2 6 2 4 3" xfId="5821" xr:uid="{00000000-0005-0000-0000-000000360000}"/>
    <cellStyle name="Normal 2 2 6 2 4 3 2" xfId="33930" xr:uid="{00000000-0005-0000-0000-000001360000}"/>
    <cellStyle name="Normal 2 2 6 2 4 4" xfId="33931" xr:uid="{00000000-0005-0000-0000-000002360000}"/>
    <cellStyle name="Normal 2 2 6 2 5" xfId="5822" xr:uid="{00000000-0005-0000-0000-000003360000}"/>
    <cellStyle name="Normal 2 2 6 2 5 2" xfId="5823" xr:uid="{00000000-0005-0000-0000-000004360000}"/>
    <cellStyle name="Normal 2 2 6 2 5 2 2" xfId="33932" xr:uid="{00000000-0005-0000-0000-000005360000}"/>
    <cellStyle name="Normal 2 2 6 2 5 3" xfId="33933" xr:uid="{00000000-0005-0000-0000-000006360000}"/>
    <cellStyle name="Normal 2 2 6 2 6" xfId="5824" xr:uid="{00000000-0005-0000-0000-000007360000}"/>
    <cellStyle name="Normal 2 2 6 2 6 2" xfId="33934" xr:uid="{00000000-0005-0000-0000-000008360000}"/>
    <cellStyle name="Normal 2 2 6 2 7" xfId="5825" xr:uid="{00000000-0005-0000-0000-000009360000}"/>
    <cellStyle name="Normal 2 2 6 2 7 2" xfId="33935" xr:uid="{00000000-0005-0000-0000-00000A360000}"/>
    <cellStyle name="Normal 2 2 6 2 8" xfId="33936" xr:uid="{00000000-0005-0000-0000-00000B360000}"/>
    <cellStyle name="Normal 2 2 6 2 8 2" xfId="33937" xr:uid="{00000000-0005-0000-0000-00000C360000}"/>
    <cellStyle name="Normal 2 2 6 2 9" xfId="33938" xr:uid="{00000000-0005-0000-0000-00000D360000}"/>
    <cellStyle name="Normal 2 2 6 20" xfId="5826" xr:uid="{00000000-0005-0000-0000-00000E360000}"/>
    <cellStyle name="Normal 2 2 6 20 10" xfId="33939" xr:uid="{00000000-0005-0000-0000-00000F360000}"/>
    <cellStyle name="Normal 2 2 6 20 11" xfId="33940" xr:uid="{00000000-0005-0000-0000-000010360000}"/>
    <cellStyle name="Normal 2 2 6 20 2" xfId="5827" xr:uid="{00000000-0005-0000-0000-000011360000}"/>
    <cellStyle name="Normal 2 2 6 20 2 10" xfId="33941" xr:uid="{00000000-0005-0000-0000-000012360000}"/>
    <cellStyle name="Normal 2 2 6 20 2 2" xfId="5828" xr:uid="{00000000-0005-0000-0000-000013360000}"/>
    <cellStyle name="Normal 2 2 6 20 2 2 2" xfId="5829" xr:uid="{00000000-0005-0000-0000-000014360000}"/>
    <cellStyle name="Normal 2 2 6 20 2 2 2 2" xfId="5830" xr:uid="{00000000-0005-0000-0000-000015360000}"/>
    <cellStyle name="Normal 2 2 6 20 2 2 2 2 2" xfId="33942" xr:uid="{00000000-0005-0000-0000-000016360000}"/>
    <cellStyle name="Normal 2 2 6 20 2 2 2 3" xfId="5831" xr:uid="{00000000-0005-0000-0000-000017360000}"/>
    <cellStyle name="Normal 2 2 6 20 2 2 2 3 2" xfId="33943" xr:uid="{00000000-0005-0000-0000-000018360000}"/>
    <cellStyle name="Normal 2 2 6 20 2 2 2 4" xfId="33944" xr:uid="{00000000-0005-0000-0000-000019360000}"/>
    <cellStyle name="Normal 2 2 6 20 2 2 3" xfId="5832" xr:uid="{00000000-0005-0000-0000-00001A360000}"/>
    <cellStyle name="Normal 2 2 6 20 2 2 3 2" xfId="33945" xr:uid="{00000000-0005-0000-0000-00001B360000}"/>
    <cellStyle name="Normal 2 2 6 20 2 2 4" xfId="5833" xr:uid="{00000000-0005-0000-0000-00001C360000}"/>
    <cellStyle name="Normal 2 2 6 20 2 2 4 2" xfId="33946" xr:uid="{00000000-0005-0000-0000-00001D360000}"/>
    <cellStyle name="Normal 2 2 6 20 2 2 5" xfId="5834" xr:uid="{00000000-0005-0000-0000-00001E360000}"/>
    <cellStyle name="Normal 2 2 6 20 2 2 5 2" xfId="33947" xr:uid="{00000000-0005-0000-0000-00001F360000}"/>
    <cellStyle name="Normal 2 2 6 20 2 2 6" xfId="33948" xr:uid="{00000000-0005-0000-0000-000020360000}"/>
    <cellStyle name="Normal 2 2 6 20 2 2 6 2" xfId="33949" xr:uid="{00000000-0005-0000-0000-000021360000}"/>
    <cellStyle name="Normal 2 2 6 20 2 2 7" xfId="33950" xr:uid="{00000000-0005-0000-0000-000022360000}"/>
    <cellStyle name="Normal 2 2 6 20 2 3" xfId="5835" xr:uid="{00000000-0005-0000-0000-000023360000}"/>
    <cellStyle name="Normal 2 2 6 20 2 3 2" xfId="5836" xr:uid="{00000000-0005-0000-0000-000024360000}"/>
    <cellStyle name="Normal 2 2 6 20 2 3 2 2" xfId="33951" xr:uid="{00000000-0005-0000-0000-000025360000}"/>
    <cellStyle name="Normal 2 2 6 20 2 3 3" xfId="5837" xr:uid="{00000000-0005-0000-0000-000026360000}"/>
    <cellStyle name="Normal 2 2 6 20 2 3 3 2" xfId="33952" xr:uid="{00000000-0005-0000-0000-000027360000}"/>
    <cellStyle name="Normal 2 2 6 20 2 3 4" xfId="33953" xr:uid="{00000000-0005-0000-0000-000028360000}"/>
    <cellStyle name="Normal 2 2 6 20 2 4" xfId="5838" xr:uid="{00000000-0005-0000-0000-000029360000}"/>
    <cellStyle name="Normal 2 2 6 20 2 4 2" xfId="5839" xr:uid="{00000000-0005-0000-0000-00002A360000}"/>
    <cellStyle name="Normal 2 2 6 20 2 4 2 2" xfId="33954" xr:uid="{00000000-0005-0000-0000-00002B360000}"/>
    <cellStyle name="Normal 2 2 6 20 2 4 3" xfId="33955" xr:uid="{00000000-0005-0000-0000-00002C360000}"/>
    <cellStyle name="Normal 2 2 6 20 2 5" xfId="5840" xr:uid="{00000000-0005-0000-0000-00002D360000}"/>
    <cellStyle name="Normal 2 2 6 20 2 5 2" xfId="33956" xr:uid="{00000000-0005-0000-0000-00002E360000}"/>
    <cellStyle name="Normal 2 2 6 20 2 6" xfId="5841" xr:uid="{00000000-0005-0000-0000-00002F360000}"/>
    <cellStyle name="Normal 2 2 6 20 2 6 2" xfId="33957" xr:uid="{00000000-0005-0000-0000-000030360000}"/>
    <cellStyle name="Normal 2 2 6 20 2 7" xfId="33958" xr:uid="{00000000-0005-0000-0000-000031360000}"/>
    <cellStyle name="Normal 2 2 6 20 2 7 2" xfId="33959" xr:uid="{00000000-0005-0000-0000-000032360000}"/>
    <cellStyle name="Normal 2 2 6 20 2 8" xfId="33960" xr:uid="{00000000-0005-0000-0000-000033360000}"/>
    <cellStyle name="Normal 2 2 6 20 2 9" xfId="33961" xr:uid="{00000000-0005-0000-0000-000034360000}"/>
    <cellStyle name="Normal 2 2 6 20 3" xfId="5842" xr:uid="{00000000-0005-0000-0000-000035360000}"/>
    <cellStyle name="Normal 2 2 6 20 3 2" xfId="5843" xr:uid="{00000000-0005-0000-0000-000036360000}"/>
    <cellStyle name="Normal 2 2 6 20 3 2 2" xfId="5844" xr:uid="{00000000-0005-0000-0000-000037360000}"/>
    <cellStyle name="Normal 2 2 6 20 3 2 2 2" xfId="33962" xr:uid="{00000000-0005-0000-0000-000038360000}"/>
    <cellStyle name="Normal 2 2 6 20 3 2 3" xfId="5845" xr:uid="{00000000-0005-0000-0000-000039360000}"/>
    <cellStyle name="Normal 2 2 6 20 3 2 3 2" xfId="33963" xr:uid="{00000000-0005-0000-0000-00003A360000}"/>
    <cellStyle name="Normal 2 2 6 20 3 2 4" xfId="33964" xr:uid="{00000000-0005-0000-0000-00003B360000}"/>
    <cellStyle name="Normal 2 2 6 20 3 3" xfId="5846" xr:uid="{00000000-0005-0000-0000-00003C360000}"/>
    <cellStyle name="Normal 2 2 6 20 3 3 2" xfId="33965" xr:uid="{00000000-0005-0000-0000-00003D360000}"/>
    <cellStyle name="Normal 2 2 6 20 3 4" xfId="5847" xr:uid="{00000000-0005-0000-0000-00003E360000}"/>
    <cellStyle name="Normal 2 2 6 20 3 4 2" xfId="33966" xr:uid="{00000000-0005-0000-0000-00003F360000}"/>
    <cellStyle name="Normal 2 2 6 20 3 5" xfId="5848" xr:uid="{00000000-0005-0000-0000-000040360000}"/>
    <cellStyle name="Normal 2 2 6 20 3 5 2" xfId="33967" xr:uid="{00000000-0005-0000-0000-000041360000}"/>
    <cellStyle name="Normal 2 2 6 20 3 6" xfId="33968" xr:uid="{00000000-0005-0000-0000-000042360000}"/>
    <cellStyle name="Normal 2 2 6 20 3 6 2" xfId="33969" xr:uid="{00000000-0005-0000-0000-000043360000}"/>
    <cellStyle name="Normal 2 2 6 20 3 7" xfId="33970" xr:uid="{00000000-0005-0000-0000-000044360000}"/>
    <cellStyle name="Normal 2 2 6 20 4" xfId="5849" xr:uid="{00000000-0005-0000-0000-000045360000}"/>
    <cellStyle name="Normal 2 2 6 20 4 2" xfId="5850" xr:uid="{00000000-0005-0000-0000-000046360000}"/>
    <cellStyle name="Normal 2 2 6 20 4 2 2" xfId="33971" xr:uid="{00000000-0005-0000-0000-000047360000}"/>
    <cellStyle name="Normal 2 2 6 20 4 3" xfId="5851" xr:uid="{00000000-0005-0000-0000-000048360000}"/>
    <cellStyle name="Normal 2 2 6 20 4 3 2" xfId="33972" xr:uid="{00000000-0005-0000-0000-000049360000}"/>
    <cellStyle name="Normal 2 2 6 20 4 4" xfId="33973" xr:uid="{00000000-0005-0000-0000-00004A360000}"/>
    <cellStyle name="Normal 2 2 6 20 5" xfId="5852" xr:uid="{00000000-0005-0000-0000-00004B360000}"/>
    <cellStyle name="Normal 2 2 6 20 5 2" xfId="5853" xr:uid="{00000000-0005-0000-0000-00004C360000}"/>
    <cellStyle name="Normal 2 2 6 20 5 2 2" xfId="33974" xr:uid="{00000000-0005-0000-0000-00004D360000}"/>
    <cellStyle name="Normal 2 2 6 20 5 3" xfId="33975" xr:uid="{00000000-0005-0000-0000-00004E360000}"/>
    <cellStyle name="Normal 2 2 6 20 6" xfId="5854" xr:uid="{00000000-0005-0000-0000-00004F360000}"/>
    <cellStyle name="Normal 2 2 6 20 6 2" xfId="33976" xr:uid="{00000000-0005-0000-0000-000050360000}"/>
    <cellStyle name="Normal 2 2 6 20 7" xfId="5855" xr:uid="{00000000-0005-0000-0000-000051360000}"/>
    <cellStyle name="Normal 2 2 6 20 7 2" xfId="33977" xr:uid="{00000000-0005-0000-0000-000052360000}"/>
    <cellStyle name="Normal 2 2 6 20 8" xfId="33978" xr:uid="{00000000-0005-0000-0000-000053360000}"/>
    <cellStyle name="Normal 2 2 6 20 8 2" xfId="33979" xr:uid="{00000000-0005-0000-0000-000054360000}"/>
    <cellStyle name="Normal 2 2 6 20 9" xfId="33980" xr:uid="{00000000-0005-0000-0000-000055360000}"/>
    <cellStyle name="Normal 2 2 6 21" xfId="5856" xr:uid="{00000000-0005-0000-0000-000056360000}"/>
    <cellStyle name="Normal 2 2 6 21 10" xfId="33981" xr:uid="{00000000-0005-0000-0000-000057360000}"/>
    <cellStyle name="Normal 2 2 6 21 11" xfId="33982" xr:uid="{00000000-0005-0000-0000-000058360000}"/>
    <cellStyle name="Normal 2 2 6 21 2" xfId="5857" xr:uid="{00000000-0005-0000-0000-000059360000}"/>
    <cellStyle name="Normal 2 2 6 21 2 10" xfId="33983" xr:uid="{00000000-0005-0000-0000-00005A360000}"/>
    <cellStyle name="Normal 2 2 6 21 2 2" xfId="5858" xr:uid="{00000000-0005-0000-0000-00005B360000}"/>
    <cellStyle name="Normal 2 2 6 21 2 2 2" xfId="5859" xr:uid="{00000000-0005-0000-0000-00005C360000}"/>
    <cellStyle name="Normal 2 2 6 21 2 2 2 2" xfId="5860" xr:uid="{00000000-0005-0000-0000-00005D360000}"/>
    <cellStyle name="Normal 2 2 6 21 2 2 2 2 2" xfId="33984" xr:uid="{00000000-0005-0000-0000-00005E360000}"/>
    <cellStyle name="Normal 2 2 6 21 2 2 2 3" xfId="5861" xr:uid="{00000000-0005-0000-0000-00005F360000}"/>
    <cellStyle name="Normal 2 2 6 21 2 2 2 3 2" xfId="33985" xr:uid="{00000000-0005-0000-0000-000060360000}"/>
    <cellStyle name="Normal 2 2 6 21 2 2 2 4" xfId="33986" xr:uid="{00000000-0005-0000-0000-000061360000}"/>
    <cellStyle name="Normal 2 2 6 21 2 2 3" xfId="5862" xr:uid="{00000000-0005-0000-0000-000062360000}"/>
    <cellStyle name="Normal 2 2 6 21 2 2 3 2" xfId="33987" xr:uid="{00000000-0005-0000-0000-000063360000}"/>
    <cellStyle name="Normal 2 2 6 21 2 2 4" xfId="5863" xr:uid="{00000000-0005-0000-0000-000064360000}"/>
    <cellStyle name="Normal 2 2 6 21 2 2 4 2" xfId="33988" xr:uid="{00000000-0005-0000-0000-000065360000}"/>
    <cellStyle name="Normal 2 2 6 21 2 2 5" xfId="5864" xr:uid="{00000000-0005-0000-0000-000066360000}"/>
    <cellStyle name="Normal 2 2 6 21 2 2 5 2" xfId="33989" xr:uid="{00000000-0005-0000-0000-000067360000}"/>
    <cellStyle name="Normal 2 2 6 21 2 2 6" xfId="33990" xr:uid="{00000000-0005-0000-0000-000068360000}"/>
    <cellStyle name="Normal 2 2 6 21 2 2 6 2" xfId="33991" xr:uid="{00000000-0005-0000-0000-000069360000}"/>
    <cellStyle name="Normal 2 2 6 21 2 2 7" xfId="33992" xr:uid="{00000000-0005-0000-0000-00006A360000}"/>
    <cellStyle name="Normal 2 2 6 21 2 3" xfId="5865" xr:uid="{00000000-0005-0000-0000-00006B360000}"/>
    <cellStyle name="Normal 2 2 6 21 2 3 2" xfId="5866" xr:uid="{00000000-0005-0000-0000-00006C360000}"/>
    <cellStyle name="Normal 2 2 6 21 2 3 2 2" xfId="33993" xr:uid="{00000000-0005-0000-0000-00006D360000}"/>
    <cellStyle name="Normal 2 2 6 21 2 3 3" xfId="5867" xr:uid="{00000000-0005-0000-0000-00006E360000}"/>
    <cellStyle name="Normal 2 2 6 21 2 3 3 2" xfId="33994" xr:uid="{00000000-0005-0000-0000-00006F360000}"/>
    <cellStyle name="Normal 2 2 6 21 2 3 4" xfId="33995" xr:uid="{00000000-0005-0000-0000-000070360000}"/>
    <cellStyle name="Normal 2 2 6 21 2 4" xfId="5868" xr:uid="{00000000-0005-0000-0000-000071360000}"/>
    <cellStyle name="Normal 2 2 6 21 2 4 2" xfId="5869" xr:uid="{00000000-0005-0000-0000-000072360000}"/>
    <cellStyle name="Normal 2 2 6 21 2 4 2 2" xfId="33996" xr:uid="{00000000-0005-0000-0000-000073360000}"/>
    <cellStyle name="Normal 2 2 6 21 2 4 3" xfId="33997" xr:uid="{00000000-0005-0000-0000-000074360000}"/>
    <cellStyle name="Normal 2 2 6 21 2 5" xfId="5870" xr:uid="{00000000-0005-0000-0000-000075360000}"/>
    <cellStyle name="Normal 2 2 6 21 2 5 2" xfId="33998" xr:uid="{00000000-0005-0000-0000-000076360000}"/>
    <cellStyle name="Normal 2 2 6 21 2 6" xfId="5871" xr:uid="{00000000-0005-0000-0000-000077360000}"/>
    <cellStyle name="Normal 2 2 6 21 2 6 2" xfId="33999" xr:uid="{00000000-0005-0000-0000-000078360000}"/>
    <cellStyle name="Normal 2 2 6 21 2 7" xfId="34000" xr:uid="{00000000-0005-0000-0000-000079360000}"/>
    <cellStyle name="Normal 2 2 6 21 2 7 2" xfId="34001" xr:uid="{00000000-0005-0000-0000-00007A360000}"/>
    <cellStyle name="Normal 2 2 6 21 2 8" xfId="34002" xr:uid="{00000000-0005-0000-0000-00007B360000}"/>
    <cellStyle name="Normal 2 2 6 21 2 9" xfId="34003" xr:uid="{00000000-0005-0000-0000-00007C360000}"/>
    <cellStyle name="Normal 2 2 6 21 3" xfId="5872" xr:uid="{00000000-0005-0000-0000-00007D360000}"/>
    <cellStyle name="Normal 2 2 6 21 3 2" xfId="5873" xr:uid="{00000000-0005-0000-0000-00007E360000}"/>
    <cellStyle name="Normal 2 2 6 21 3 2 2" xfId="5874" xr:uid="{00000000-0005-0000-0000-00007F360000}"/>
    <cellStyle name="Normal 2 2 6 21 3 2 2 2" xfId="34004" xr:uid="{00000000-0005-0000-0000-000080360000}"/>
    <cellStyle name="Normal 2 2 6 21 3 2 3" xfId="5875" xr:uid="{00000000-0005-0000-0000-000081360000}"/>
    <cellStyle name="Normal 2 2 6 21 3 2 3 2" xfId="34005" xr:uid="{00000000-0005-0000-0000-000082360000}"/>
    <cellStyle name="Normal 2 2 6 21 3 2 4" xfId="34006" xr:uid="{00000000-0005-0000-0000-000083360000}"/>
    <cellStyle name="Normal 2 2 6 21 3 3" xfId="5876" xr:uid="{00000000-0005-0000-0000-000084360000}"/>
    <cellStyle name="Normal 2 2 6 21 3 3 2" xfId="34007" xr:uid="{00000000-0005-0000-0000-000085360000}"/>
    <cellStyle name="Normal 2 2 6 21 3 4" xfId="5877" xr:uid="{00000000-0005-0000-0000-000086360000}"/>
    <cellStyle name="Normal 2 2 6 21 3 4 2" xfId="34008" xr:uid="{00000000-0005-0000-0000-000087360000}"/>
    <cellStyle name="Normal 2 2 6 21 3 5" xfId="5878" xr:uid="{00000000-0005-0000-0000-000088360000}"/>
    <cellStyle name="Normal 2 2 6 21 3 5 2" xfId="34009" xr:uid="{00000000-0005-0000-0000-000089360000}"/>
    <cellStyle name="Normal 2 2 6 21 3 6" xfId="34010" xr:uid="{00000000-0005-0000-0000-00008A360000}"/>
    <cellStyle name="Normal 2 2 6 21 3 6 2" xfId="34011" xr:uid="{00000000-0005-0000-0000-00008B360000}"/>
    <cellStyle name="Normal 2 2 6 21 3 7" xfId="34012" xr:uid="{00000000-0005-0000-0000-00008C360000}"/>
    <cellStyle name="Normal 2 2 6 21 4" xfId="5879" xr:uid="{00000000-0005-0000-0000-00008D360000}"/>
    <cellStyle name="Normal 2 2 6 21 4 2" xfId="5880" xr:uid="{00000000-0005-0000-0000-00008E360000}"/>
    <cellStyle name="Normal 2 2 6 21 4 2 2" xfId="34013" xr:uid="{00000000-0005-0000-0000-00008F360000}"/>
    <cellStyle name="Normal 2 2 6 21 4 3" xfId="5881" xr:uid="{00000000-0005-0000-0000-000090360000}"/>
    <cellStyle name="Normal 2 2 6 21 4 3 2" xfId="34014" xr:uid="{00000000-0005-0000-0000-000091360000}"/>
    <cellStyle name="Normal 2 2 6 21 4 4" xfId="34015" xr:uid="{00000000-0005-0000-0000-000092360000}"/>
    <cellStyle name="Normal 2 2 6 21 5" xfId="5882" xr:uid="{00000000-0005-0000-0000-000093360000}"/>
    <cellStyle name="Normal 2 2 6 21 5 2" xfId="5883" xr:uid="{00000000-0005-0000-0000-000094360000}"/>
    <cellStyle name="Normal 2 2 6 21 5 2 2" xfId="34016" xr:uid="{00000000-0005-0000-0000-000095360000}"/>
    <cellStyle name="Normal 2 2 6 21 5 3" xfId="34017" xr:uid="{00000000-0005-0000-0000-000096360000}"/>
    <cellStyle name="Normal 2 2 6 21 6" xfId="5884" xr:uid="{00000000-0005-0000-0000-000097360000}"/>
    <cellStyle name="Normal 2 2 6 21 6 2" xfId="34018" xr:uid="{00000000-0005-0000-0000-000098360000}"/>
    <cellStyle name="Normal 2 2 6 21 7" xfId="5885" xr:uid="{00000000-0005-0000-0000-000099360000}"/>
    <cellStyle name="Normal 2 2 6 21 7 2" xfId="34019" xr:uid="{00000000-0005-0000-0000-00009A360000}"/>
    <cellStyle name="Normal 2 2 6 21 8" xfId="34020" xr:uid="{00000000-0005-0000-0000-00009B360000}"/>
    <cellStyle name="Normal 2 2 6 21 8 2" xfId="34021" xr:uid="{00000000-0005-0000-0000-00009C360000}"/>
    <cellStyle name="Normal 2 2 6 21 9" xfId="34022" xr:uid="{00000000-0005-0000-0000-00009D360000}"/>
    <cellStyle name="Normal 2 2 6 22" xfId="5886" xr:uid="{00000000-0005-0000-0000-00009E360000}"/>
    <cellStyle name="Normal 2 2 6 22 10" xfId="34023" xr:uid="{00000000-0005-0000-0000-00009F360000}"/>
    <cellStyle name="Normal 2 2 6 22 11" xfId="34024" xr:uid="{00000000-0005-0000-0000-0000A0360000}"/>
    <cellStyle name="Normal 2 2 6 22 2" xfId="5887" xr:uid="{00000000-0005-0000-0000-0000A1360000}"/>
    <cellStyle name="Normal 2 2 6 22 2 10" xfId="34025" xr:uid="{00000000-0005-0000-0000-0000A2360000}"/>
    <cellStyle name="Normal 2 2 6 22 2 2" xfId="5888" xr:uid="{00000000-0005-0000-0000-0000A3360000}"/>
    <cellStyle name="Normal 2 2 6 22 2 2 2" xfId="5889" xr:uid="{00000000-0005-0000-0000-0000A4360000}"/>
    <cellStyle name="Normal 2 2 6 22 2 2 2 2" xfId="5890" xr:uid="{00000000-0005-0000-0000-0000A5360000}"/>
    <cellStyle name="Normal 2 2 6 22 2 2 2 2 2" xfId="34026" xr:uid="{00000000-0005-0000-0000-0000A6360000}"/>
    <cellStyle name="Normal 2 2 6 22 2 2 2 3" xfId="5891" xr:uid="{00000000-0005-0000-0000-0000A7360000}"/>
    <cellStyle name="Normal 2 2 6 22 2 2 2 3 2" xfId="34027" xr:uid="{00000000-0005-0000-0000-0000A8360000}"/>
    <cellStyle name="Normal 2 2 6 22 2 2 2 4" xfId="34028" xr:uid="{00000000-0005-0000-0000-0000A9360000}"/>
    <cellStyle name="Normal 2 2 6 22 2 2 3" xfId="5892" xr:uid="{00000000-0005-0000-0000-0000AA360000}"/>
    <cellStyle name="Normal 2 2 6 22 2 2 3 2" xfId="34029" xr:uid="{00000000-0005-0000-0000-0000AB360000}"/>
    <cellStyle name="Normal 2 2 6 22 2 2 4" xfId="5893" xr:uid="{00000000-0005-0000-0000-0000AC360000}"/>
    <cellStyle name="Normal 2 2 6 22 2 2 4 2" xfId="34030" xr:uid="{00000000-0005-0000-0000-0000AD360000}"/>
    <cellStyle name="Normal 2 2 6 22 2 2 5" xfId="5894" xr:uid="{00000000-0005-0000-0000-0000AE360000}"/>
    <cellStyle name="Normal 2 2 6 22 2 2 5 2" xfId="34031" xr:uid="{00000000-0005-0000-0000-0000AF360000}"/>
    <cellStyle name="Normal 2 2 6 22 2 2 6" xfId="34032" xr:uid="{00000000-0005-0000-0000-0000B0360000}"/>
    <cellStyle name="Normal 2 2 6 22 2 2 6 2" xfId="34033" xr:uid="{00000000-0005-0000-0000-0000B1360000}"/>
    <cellStyle name="Normal 2 2 6 22 2 2 7" xfId="34034" xr:uid="{00000000-0005-0000-0000-0000B2360000}"/>
    <cellStyle name="Normal 2 2 6 22 2 3" xfId="5895" xr:uid="{00000000-0005-0000-0000-0000B3360000}"/>
    <cellStyle name="Normal 2 2 6 22 2 3 2" xfId="5896" xr:uid="{00000000-0005-0000-0000-0000B4360000}"/>
    <cellStyle name="Normal 2 2 6 22 2 3 2 2" xfId="34035" xr:uid="{00000000-0005-0000-0000-0000B5360000}"/>
    <cellStyle name="Normal 2 2 6 22 2 3 3" xfId="5897" xr:uid="{00000000-0005-0000-0000-0000B6360000}"/>
    <cellStyle name="Normal 2 2 6 22 2 3 3 2" xfId="34036" xr:uid="{00000000-0005-0000-0000-0000B7360000}"/>
    <cellStyle name="Normal 2 2 6 22 2 3 4" xfId="34037" xr:uid="{00000000-0005-0000-0000-0000B8360000}"/>
    <cellStyle name="Normal 2 2 6 22 2 4" xfId="5898" xr:uid="{00000000-0005-0000-0000-0000B9360000}"/>
    <cellStyle name="Normal 2 2 6 22 2 4 2" xfId="5899" xr:uid="{00000000-0005-0000-0000-0000BA360000}"/>
    <cellStyle name="Normal 2 2 6 22 2 4 2 2" xfId="34038" xr:uid="{00000000-0005-0000-0000-0000BB360000}"/>
    <cellStyle name="Normal 2 2 6 22 2 4 3" xfId="34039" xr:uid="{00000000-0005-0000-0000-0000BC360000}"/>
    <cellStyle name="Normal 2 2 6 22 2 5" xfId="5900" xr:uid="{00000000-0005-0000-0000-0000BD360000}"/>
    <cellStyle name="Normal 2 2 6 22 2 5 2" xfId="34040" xr:uid="{00000000-0005-0000-0000-0000BE360000}"/>
    <cellStyle name="Normal 2 2 6 22 2 6" xfId="5901" xr:uid="{00000000-0005-0000-0000-0000BF360000}"/>
    <cellStyle name="Normal 2 2 6 22 2 6 2" xfId="34041" xr:uid="{00000000-0005-0000-0000-0000C0360000}"/>
    <cellStyle name="Normal 2 2 6 22 2 7" xfId="34042" xr:uid="{00000000-0005-0000-0000-0000C1360000}"/>
    <cellStyle name="Normal 2 2 6 22 2 7 2" xfId="34043" xr:uid="{00000000-0005-0000-0000-0000C2360000}"/>
    <cellStyle name="Normal 2 2 6 22 2 8" xfId="34044" xr:uid="{00000000-0005-0000-0000-0000C3360000}"/>
    <cellStyle name="Normal 2 2 6 22 2 9" xfId="34045" xr:uid="{00000000-0005-0000-0000-0000C4360000}"/>
    <cellStyle name="Normal 2 2 6 22 3" xfId="5902" xr:uid="{00000000-0005-0000-0000-0000C5360000}"/>
    <cellStyle name="Normal 2 2 6 22 3 2" xfId="5903" xr:uid="{00000000-0005-0000-0000-0000C6360000}"/>
    <cellStyle name="Normal 2 2 6 22 3 2 2" xfId="5904" xr:uid="{00000000-0005-0000-0000-0000C7360000}"/>
    <cellStyle name="Normal 2 2 6 22 3 2 2 2" xfId="34046" xr:uid="{00000000-0005-0000-0000-0000C8360000}"/>
    <cellStyle name="Normal 2 2 6 22 3 2 3" xfId="5905" xr:uid="{00000000-0005-0000-0000-0000C9360000}"/>
    <cellStyle name="Normal 2 2 6 22 3 2 3 2" xfId="34047" xr:uid="{00000000-0005-0000-0000-0000CA360000}"/>
    <cellStyle name="Normal 2 2 6 22 3 2 4" xfId="34048" xr:uid="{00000000-0005-0000-0000-0000CB360000}"/>
    <cellStyle name="Normal 2 2 6 22 3 3" xfId="5906" xr:uid="{00000000-0005-0000-0000-0000CC360000}"/>
    <cellStyle name="Normal 2 2 6 22 3 3 2" xfId="34049" xr:uid="{00000000-0005-0000-0000-0000CD360000}"/>
    <cellStyle name="Normal 2 2 6 22 3 4" xfId="5907" xr:uid="{00000000-0005-0000-0000-0000CE360000}"/>
    <cellStyle name="Normal 2 2 6 22 3 4 2" xfId="34050" xr:uid="{00000000-0005-0000-0000-0000CF360000}"/>
    <cellStyle name="Normal 2 2 6 22 3 5" xfId="5908" xr:uid="{00000000-0005-0000-0000-0000D0360000}"/>
    <cellStyle name="Normal 2 2 6 22 3 5 2" xfId="34051" xr:uid="{00000000-0005-0000-0000-0000D1360000}"/>
    <cellStyle name="Normal 2 2 6 22 3 6" xfId="34052" xr:uid="{00000000-0005-0000-0000-0000D2360000}"/>
    <cellStyle name="Normal 2 2 6 22 3 6 2" xfId="34053" xr:uid="{00000000-0005-0000-0000-0000D3360000}"/>
    <cellStyle name="Normal 2 2 6 22 3 7" xfId="34054" xr:uid="{00000000-0005-0000-0000-0000D4360000}"/>
    <cellStyle name="Normal 2 2 6 22 4" xfId="5909" xr:uid="{00000000-0005-0000-0000-0000D5360000}"/>
    <cellStyle name="Normal 2 2 6 22 4 2" xfId="5910" xr:uid="{00000000-0005-0000-0000-0000D6360000}"/>
    <cellStyle name="Normal 2 2 6 22 4 2 2" xfId="34055" xr:uid="{00000000-0005-0000-0000-0000D7360000}"/>
    <cellStyle name="Normal 2 2 6 22 4 3" xfId="5911" xr:uid="{00000000-0005-0000-0000-0000D8360000}"/>
    <cellStyle name="Normal 2 2 6 22 4 3 2" xfId="34056" xr:uid="{00000000-0005-0000-0000-0000D9360000}"/>
    <cellStyle name="Normal 2 2 6 22 4 4" xfId="34057" xr:uid="{00000000-0005-0000-0000-0000DA360000}"/>
    <cellStyle name="Normal 2 2 6 22 5" xfId="5912" xr:uid="{00000000-0005-0000-0000-0000DB360000}"/>
    <cellStyle name="Normal 2 2 6 22 5 2" xfId="5913" xr:uid="{00000000-0005-0000-0000-0000DC360000}"/>
    <cellStyle name="Normal 2 2 6 22 5 2 2" xfId="34058" xr:uid="{00000000-0005-0000-0000-0000DD360000}"/>
    <cellStyle name="Normal 2 2 6 22 5 3" xfId="34059" xr:uid="{00000000-0005-0000-0000-0000DE360000}"/>
    <cellStyle name="Normal 2 2 6 22 6" xfId="5914" xr:uid="{00000000-0005-0000-0000-0000DF360000}"/>
    <cellStyle name="Normal 2 2 6 22 6 2" xfId="34060" xr:uid="{00000000-0005-0000-0000-0000E0360000}"/>
    <cellStyle name="Normal 2 2 6 22 7" xfId="5915" xr:uid="{00000000-0005-0000-0000-0000E1360000}"/>
    <cellStyle name="Normal 2 2 6 22 7 2" xfId="34061" xr:uid="{00000000-0005-0000-0000-0000E2360000}"/>
    <cellStyle name="Normal 2 2 6 22 8" xfId="34062" xr:uid="{00000000-0005-0000-0000-0000E3360000}"/>
    <cellStyle name="Normal 2 2 6 22 8 2" xfId="34063" xr:uid="{00000000-0005-0000-0000-0000E4360000}"/>
    <cellStyle name="Normal 2 2 6 22 9" xfId="34064" xr:uid="{00000000-0005-0000-0000-0000E5360000}"/>
    <cellStyle name="Normal 2 2 6 23" xfId="5916" xr:uid="{00000000-0005-0000-0000-0000E6360000}"/>
    <cellStyle name="Normal 2 2 6 23 10" xfId="34065" xr:uid="{00000000-0005-0000-0000-0000E7360000}"/>
    <cellStyle name="Normal 2 2 6 23 11" xfId="34066" xr:uid="{00000000-0005-0000-0000-0000E8360000}"/>
    <cellStyle name="Normal 2 2 6 23 2" xfId="5917" xr:uid="{00000000-0005-0000-0000-0000E9360000}"/>
    <cellStyle name="Normal 2 2 6 23 2 10" xfId="34067" xr:uid="{00000000-0005-0000-0000-0000EA360000}"/>
    <cellStyle name="Normal 2 2 6 23 2 2" xfId="5918" xr:uid="{00000000-0005-0000-0000-0000EB360000}"/>
    <cellStyle name="Normal 2 2 6 23 2 2 2" xfId="5919" xr:uid="{00000000-0005-0000-0000-0000EC360000}"/>
    <cellStyle name="Normal 2 2 6 23 2 2 2 2" xfId="5920" xr:uid="{00000000-0005-0000-0000-0000ED360000}"/>
    <cellStyle name="Normal 2 2 6 23 2 2 2 2 2" xfId="34068" xr:uid="{00000000-0005-0000-0000-0000EE360000}"/>
    <cellStyle name="Normal 2 2 6 23 2 2 2 3" xfId="5921" xr:uid="{00000000-0005-0000-0000-0000EF360000}"/>
    <cellStyle name="Normal 2 2 6 23 2 2 2 3 2" xfId="34069" xr:uid="{00000000-0005-0000-0000-0000F0360000}"/>
    <cellStyle name="Normal 2 2 6 23 2 2 2 4" xfId="34070" xr:uid="{00000000-0005-0000-0000-0000F1360000}"/>
    <cellStyle name="Normal 2 2 6 23 2 2 3" xfId="5922" xr:uid="{00000000-0005-0000-0000-0000F2360000}"/>
    <cellStyle name="Normal 2 2 6 23 2 2 3 2" xfId="34071" xr:uid="{00000000-0005-0000-0000-0000F3360000}"/>
    <cellStyle name="Normal 2 2 6 23 2 2 4" xfId="5923" xr:uid="{00000000-0005-0000-0000-0000F4360000}"/>
    <cellStyle name="Normal 2 2 6 23 2 2 4 2" xfId="34072" xr:uid="{00000000-0005-0000-0000-0000F5360000}"/>
    <cellStyle name="Normal 2 2 6 23 2 2 5" xfId="5924" xr:uid="{00000000-0005-0000-0000-0000F6360000}"/>
    <cellStyle name="Normal 2 2 6 23 2 2 5 2" xfId="34073" xr:uid="{00000000-0005-0000-0000-0000F7360000}"/>
    <cellStyle name="Normal 2 2 6 23 2 2 6" xfId="34074" xr:uid="{00000000-0005-0000-0000-0000F8360000}"/>
    <cellStyle name="Normal 2 2 6 23 2 2 6 2" xfId="34075" xr:uid="{00000000-0005-0000-0000-0000F9360000}"/>
    <cellStyle name="Normal 2 2 6 23 2 2 7" xfId="34076" xr:uid="{00000000-0005-0000-0000-0000FA360000}"/>
    <cellStyle name="Normal 2 2 6 23 2 3" xfId="5925" xr:uid="{00000000-0005-0000-0000-0000FB360000}"/>
    <cellStyle name="Normal 2 2 6 23 2 3 2" xfId="5926" xr:uid="{00000000-0005-0000-0000-0000FC360000}"/>
    <cellStyle name="Normal 2 2 6 23 2 3 2 2" xfId="34077" xr:uid="{00000000-0005-0000-0000-0000FD360000}"/>
    <cellStyle name="Normal 2 2 6 23 2 3 3" xfId="5927" xr:uid="{00000000-0005-0000-0000-0000FE360000}"/>
    <cellStyle name="Normal 2 2 6 23 2 3 3 2" xfId="34078" xr:uid="{00000000-0005-0000-0000-0000FF360000}"/>
    <cellStyle name="Normal 2 2 6 23 2 3 4" xfId="34079" xr:uid="{00000000-0005-0000-0000-000000370000}"/>
    <cellStyle name="Normal 2 2 6 23 2 4" xfId="5928" xr:uid="{00000000-0005-0000-0000-000001370000}"/>
    <cellStyle name="Normal 2 2 6 23 2 4 2" xfId="5929" xr:uid="{00000000-0005-0000-0000-000002370000}"/>
    <cellStyle name="Normal 2 2 6 23 2 4 2 2" xfId="34080" xr:uid="{00000000-0005-0000-0000-000003370000}"/>
    <cellStyle name="Normal 2 2 6 23 2 4 3" xfId="34081" xr:uid="{00000000-0005-0000-0000-000004370000}"/>
    <cellStyle name="Normal 2 2 6 23 2 5" xfId="5930" xr:uid="{00000000-0005-0000-0000-000005370000}"/>
    <cellStyle name="Normal 2 2 6 23 2 5 2" xfId="34082" xr:uid="{00000000-0005-0000-0000-000006370000}"/>
    <cellStyle name="Normal 2 2 6 23 2 6" xfId="5931" xr:uid="{00000000-0005-0000-0000-000007370000}"/>
    <cellStyle name="Normal 2 2 6 23 2 6 2" xfId="34083" xr:uid="{00000000-0005-0000-0000-000008370000}"/>
    <cellStyle name="Normal 2 2 6 23 2 7" xfId="34084" xr:uid="{00000000-0005-0000-0000-000009370000}"/>
    <cellStyle name="Normal 2 2 6 23 2 7 2" xfId="34085" xr:uid="{00000000-0005-0000-0000-00000A370000}"/>
    <cellStyle name="Normal 2 2 6 23 2 8" xfId="34086" xr:uid="{00000000-0005-0000-0000-00000B370000}"/>
    <cellStyle name="Normal 2 2 6 23 2 9" xfId="34087" xr:uid="{00000000-0005-0000-0000-00000C370000}"/>
    <cellStyle name="Normal 2 2 6 23 3" xfId="5932" xr:uid="{00000000-0005-0000-0000-00000D370000}"/>
    <cellStyle name="Normal 2 2 6 23 3 2" xfId="5933" xr:uid="{00000000-0005-0000-0000-00000E370000}"/>
    <cellStyle name="Normal 2 2 6 23 3 2 2" xfId="5934" xr:uid="{00000000-0005-0000-0000-00000F370000}"/>
    <cellStyle name="Normal 2 2 6 23 3 2 2 2" xfId="34088" xr:uid="{00000000-0005-0000-0000-000010370000}"/>
    <cellStyle name="Normal 2 2 6 23 3 2 3" xfId="5935" xr:uid="{00000000-0005-0000-0000-000011370000}"/>
    <cellStyle name="Normal 2 2 6 23 3 2 3 2" xfId="34089" xr:uid="{00000000-0005-0000-0000-000012370000}"/>
    <cellStyle name="Normal 2 2 6 23 3 2 4" xfId="34090" xr:uid="{00000000-0005-0000-0000-000013370000}"/>
    <cellStyle name="Normal 2 2 6 23 3 3" xfId="5936" xr:uid="{00000000-0005-0000-0000-000014370000}"/>
    <cellStyle name="Normal 2 2 6 23 3 3 2" xfId="34091" xr:uid="{00000000-0005-0000-0000-000015370000}"/>
    <cellStyle name="Normal 2 2 6 23 3 4" xfId="5937" xr:uid="{00000000-0005-0000-0000-000016370000}"/>
    <cellStyle name="Normal 2 2 6 23 3 4 2" xfId="34092" xr:uid="{00000000-0005-0000-0000-000017370000}"/>
    <cellStyle name="Normal 2 2 6 23 3 5" xfId="5938" xr:uid="{00000000-0005-0000-0000-000018370000}"/>
    <cellStyle name="Normal 2 2 6 23 3 5 2" xfId="34093" xr:uid="{00000000-0005-0000-0000-000019370000}"/>
    <cellStyle name="Normal 2 2 6 23 3 6" xfId="34094" xr:uid="{00000000-0005-0000-0000-00001A370000}"/>
    <cellStyle name="Normal 2 2 6 23 3 6 2" xfId="34095" xr:uid="{00000000-0005-0000-0000-00001B370000}"/>
    <cellStyle name="Normal 2 2 6 23 3 7" xfId="34096" xr:uid="{00000000-0005-0000-0000-00001C370000}"/>
    <cellStyle name="Normal 2 2 6 23 4" xfId="5939" xr:uid="{00000000-0005-0000-0000-00001D370000}"/>
    <cellStyle name="Normal 2 2 6 23 4 2" xfId="5940" xr:uid="{00000000-0005-0000-0000-00001E370000}"/>
    <cellStyle name="Normal 2 2 6 23 4 2 2" xfId="34097" xr:uid="{00000000-0005-0000-0000-00001F370000}"/>
    <cellStyle name="Normal 2 2 6 23 4 3" xfId="5941" xr:uid="{00000000-0005-0000-0000-000020370000}"/>
    <cellStyle name="Normal 2 2 6 23 4 3 2" xfId="34098" xr:uid="{00000000-0005-0000-0000-000021370000}"/>
    <cellStyle name="Normal 2 2 6 23 4 4" xfId="34099" xr:uid="{00000000-0005-0000-0000-000022370000}"/>
    <cellStyle name="Normal 2 2 6 23 5" xfId="5942" xr:uid="{00000000-0005-0000-0000-000023370000}"/>
    <cellStyle name="Normal 2 2 6 23 5 2" xfId="5943" xr:uid="{00000000-0005-0000-0000-000024370000}"/>
    <cellStyle name="Normal 2 2 6 23 5 2 2" xfId="34100" xr:uid="{00000000-0005-0000-0000-000025370000}"/>
    <cellStyle name="Normal 2 2 6 23 5 3" xfId="34101" xr:uid="{00000000-0005-0000-0000-000026370000}"/>
    <cellStyle name="Normal 2 2 6 23 6" xfId="5944" xr:uid="{00000000-0005-0000-0000-000027370000}"/>
    <cellStyle name="Normal 2 2 6 23 6 2" xfId="34102" xr:uid="{00000000-0005-0000-0000-000028370000}"/>
    <cellStyle name="Normal 2 2 6 23 7" xfId="5945" xr:uid="{00000000-0005-0000-0000-000029370000}"/>
    <cellStyle name="Normal 2 2 6 23 7 2" xfId="34103" xr:uid="{00000000-0005-0000-0000-00002A370000}"/>
    <cellStyle name="Normal 2 2 6 23 8" xfId="34104" xr:uid="{00000000-0005-0000-0000-00002B370000}"/>
    <cellStyle name="Normal 2 2 6 23 8 2" xfId="34105" xr:uid="{00000000-0005-0000-0000-00002C370000}"/>
    <cellStyle name="Normal 2 2 6 23 9" xfId="34106" xr:uid="{00000000-0005-0000-0000-00002D370000}"/>
    <cellStyle name="Normal 2 2 6 24" xfId="5946" xr:uid="{00000000-0005-0000-0000-00002E370000}"/>
    <cellStyle name="Normal 2 2 6 24 10" xfId="34107" xr:uid="{00000000-0005-0000-0000-00002F370000}"/>
    <cellStyle name="Normal 2 2 6 24 11" xfId="34108" xr:uid="{00000000-0005-0000-0000-000030370000}"/>
    <cellStyle name="Normal 2 2 6 24 2" xfId="5947" xr:uid="{00000000-0005-0000-0000-000031370000}"/>
    <cellStyle name="Normal 2 2 6 24 2 10" xfId="34109" xr:uid="{00000000-0005-0000-0000-000032370000}"/>
    <cellStyle name="Normal 2 2 6 24 2 2" xfId="5948" xr:uid="{00000000-0005-0000-0000-000033370000}"/>
    <cellStyle name="Normal 2 2 6 24 2 2 2" xfId="5949" xr:uid="{00000000-0005-0000-0000-000034370000}"/>
    <cellStyle name="Normal 2 2 6 24 2 2 2 2" xfId="5950" xr:uid="{00000000-0005-0000-0000-000035370000}"/>
    <cellStyle name="Normal 2 2 6 24 2 2 2 2 2" xfId="34110" xr:uid="{00000000-0005-0000-0000-000036370000}"/>
    <cellStyle name="Normal 2 2 6 24 2 2 2 3" xfId="5951" xr:uid="{00000000-0005-0000-0000-000037370000}"/>
    <cellStyle name="Normal 2 2 6 24 2 2 2 3 2" xfId="34111" xr:uid="{00000000-0005-0000-0000-000038370000}"/>
    <cellStyle name="Normal 2 2 6 24 2 2 2 4" xfId="34112" xr:uid="{00000000-0005-0000-0000-000039370000}"/>
    <cellStyle name="Normal 2 2 6 24 2 2 3" xfId="5952" xr:uid="{00000000-0005-0000-0000-00003A370000}"/>
    <cellStyle name="Normal 2 2 6 24 2 2 3 2" xfId="34113" xr:uid="{00000000-0005-0000-0000-00003B370000}"/>
    <cellStyle name="Normal 2 2 6 24 2 2 4" xfId="5953" xr:uid="{00000000-0005-0000-0000-00003C370000}"/>
    <cellStyle name="Normal 2 2 6 24 2 2 4 2" xfId="34114" xr:uid="{00000000-0005-0000-0000-00003D370000}"/>
    <cellStyle name="Normal 2 2 6 24 2 2 5" xfId="5954" xr:uid="{00000000-0005-0000-0000-00003E370000}"/>
    <cellStyle name="Normal 2 2 6 24 2 2 5 2" xfId="34115" xr:uid="{00000000-0005-0000-0000-00003F370000}"/>
    <cellStyle name="Normal 2 2 6 24 2 2 6" xfId="34116" xr:uid="{00000000-0005-0000-0000-000040370000}"/>
    <cellStyle name="Normal 2 2 6 24 2 2 6 2" xfId="34117" xr:uid="{00000000-0005-0000-0000-000041370000}"/>
    <cellStyle name="Normal 2 2 6 24 2 2 7" xfId="34118" xr:uid="{00000000-0005-0000-0000-000042370000}"/>
    <cellStyle name="Normal 2 2 6 24 2 3" xfId="5955" xr:uid="{00000000-0005-0000-0000-000043370000}"/>
    <cellStyle name="Normal 2 2 6 24 2 3 2" xfId="5956" xr:uid="{00000000-0005-0000-0000-000044370000}"/>
    <cellStyle name="Normal 2 2 6 24 2 3 2 2" xfId="34119" xr:uid="{00000000-0005-0000-0000-000045370000}"/>
    <cellStyle name="Normal 2 2 6 24 2 3 3" xfId="5957" xr:uid="{00000000-0005-0000-0000-000046370000}"/>
    <cellStyle name="Normal 2 2 6 24 2 3 3 2" xfId="34120" xr:uid="{00000000-0005-0000-0000-000047370000}"/>
    <cellStyle name="Normal 2 2 6 24 2 3 4" xfId="34121" xr:uid="{00000000-0005-0000-0000-000048370000}"/>
    <cellStyle name="Normal 2 2 6 24 2 4" xfId="5958" xr:uid="{00000000-0005-0000-0000-000049370000}"/>
    <cellStyle name="Normal 2 2 6 24 2 4 2" xfId="5959" xr:uid="{00000000-0005-0000-0000-00004A370000}"/>
    <cellStyle name="Normal 2 2 6 24 2 4 2 2" xfId="34122" xr:uid="{00000000-0005-0000-0000-00004B370000}"/>
    <cellStyle name="Normal 2 2 6 24 2 4 3" xfId="34123" xr:uid="{00000000-0005-0000-0000-00004C370000}"/>
    <cellStyle name="Normal 2 2 6 24 2 5" xfId="5960" xr:uid="{00000000-0005-0000-0000-00004D370000}"/>
    <cellStyle name="Normal 2 2 6 24 2 5 2" xfId="34124" xr:uid="{00000000-0005-0000-0000-00004E370000}"/>
    <cellStyle name="Normal 2 2 6 24 2 6" xfId="5961" xr:uid="{00000000-0005-0000-0000-00004F370000}"/>
    <cellStyle name="Normal 2 2 6 24 2 6 2" xfId="34125" xr:uid="{00000000-0005-0000-0000-000050370000}"/>
    <cellStyle name="Normal 2 2 6 24 2 7" xfId="34126" xr:uid="{00000000-0005-0000-0000-000051370000}"/>
    <cellStyle name="Normal 2 2 6 24 2 7 2" xfId="34127" xr:uid="{00000000-0005-0000-0000-000052370000}"/>
    <cellStyle name="Normal 2 2 6 24 2 8" xfId="34128" xr:uid="{00000000-0005-0000-0000-000053370000}"/>
    <cellStyle name="Normal 2 2 6 24 2 9" xfId="34129" xr:uid="{00000000-0005-0000-0000-000054370000}"/>
    <cellStyle name="Normal 2 2 6 24 3" xfId="5962" xr:uid="{00000000-0005-0000-0000-000055370000}"/>
    <cellStyle name="Normal 2 2 6 24 3 2" xfId="5963" xr:uid="{00000000-0005-0000-0000-000056370000}"/>
    <cellStyle name="Normal 2 2 6 24 3 2 2" xfId="5964" xr:uid="{00000000-0005-0000-0000-000057370000}"/>
    <cellStyle name="Normal 2 2 6 24 3 2 2 2" xfId="34130" xr:uid="{00000000-0005-0000-0000-000058370000}"/>
    <cellStyle name="Normal 2 2 6 24 3 2 3" xfId="5965" xr:uid="{00000000-0005-0000-0000-000059370000}"/>
    <cellStyle name="Normal 2 2 6 24 3 2 3 2" xfId="34131" xr:uid="{00000000-0005-0000-0000-00005A370000}"/>
    <cellStyle name="Normal 2 2 6 24 3 2 4" xfId="34132" xr:uid="{00000000-0005-0000-0000-00005B370000}"/>
    <cellStyle name="Normal 2 2 6 24 3 3" xfId="5966" xr:uid="{00000000-0005-0000-0000-00005C370000}"/>
    <cellStyle name="Normal 2 2 6 24 3 3 2" xfId="34133" xr:uid="{00000000-0005-0000-0000-00005D370000}"/>
    <cellStyle name="Normal 2 2 6 24 3 4" xfId="5967" xr:uid="{00000000-0005-0000-0000-00005E370000}"/>
    <cellStyle name="Normal 2 2 6 24 3 4 2" xfId="34134" xr:uid="{00000000-0005-0000-0000-00005F370000}"/>
    <cellStyle name="Normal 2 2 6 24 3 5" xfId="5968" xr:uid="{00000000-0005-0000-0000-000060370000}"/>
    <cellStyle name="Normal 2 2 6 24 3 5 2" xfId="34135" xr:uid="{00000000-0005-0000-0000-000061370000}"/>
    <cellStyle name="Normal 2 2 6 24 3 6" xfId="34136" xr:uid="{00000000-0005-0000-0000-000062370000}"/>
    <cellStyle name="Normal 2 2 6 24 3 6 2" xfId="34137" xr:uid="{00000000-0005-0000-0000-000063370000}"/>
    <cellStyle name="Normal 2 2 6 24 3 7" xfId="34138" xr:uid="{00000000-0005-0000-0000-000064370000}"/>
    <cellStyle name="Normal 2 2 6 24 4" xfId="5969" xr:uid="{00000000-0005-0000-0000-000065370000}"/>
    <cellStyle name="Normal 2 2 6 24 4 2" xfId="5970" xr:uid="{00000000-0005-0000-0000-000066370000}"/>
    <cellStyle name="Normal 2 2 6 24 4 2 2" xfId="34139" xr:uid="{00000000-0005-0000-0000-000067370000}"/>
    <cellStyle name="Normal 2 2 6 24 4 3" xfId="5971" xr:uid="{00000000-0005-0000-0000-000068370000}"/>
    <cellStyle name="Normal 2 2 6 24 4 3 2" xfId="34140" xr:uid="{00000000-0005-0000-0000-000069370000}"/>
    <cellStyle name="Normal 2 2 6 24 4 4" xfId="34141" xr:uid="{00000000-0005-0000-0000-00006A370000}"/>
    <cellStyle name="Normal 2 2 6 24 5" xfId="5972" xr:uid="{00000000-0005-0000-0000-00006B370000}"/>
    <cellStyle name="Normal 2 2 6 24 5 2" xfId="5973" xr:uid="{00000000-0005-0000-0000-00006C370000}"/>
    <cellStyle name="Normal 2 2 6 24 5 2 2" xfId="34142" xr:uid="{00000000-0005-0000-0000-00006D370000}"/>
    <cellStyle name="Normal 2 2 6 24 5 3" xfId="34143" xr:uid="{00000000-0005-0000-0000-00006E370000}"/>
    <cellStyle name="Normal 2 2 6 24 6" xfId="5974" xr:uid="{00000000-0005-0000-0000-00006F370000}"/>
    <cellStyle name="Normal 2 2 6 24 6 2" xfId="34144" xr:uid="{00000000-0005-0000-0000-000070370000}"/>
    <cellStyle name="Normal 2 2 6 24 7" xfId="5975" xr:uid="{00000000-0005-0000-0000-000071370000}"/>
    <cellStyle name="Normal 2 2 6 24 7 2" xfId="34145" xr:uid="{00000000-0005-0000-0000-000072370000}"/>
    <cellStyle name="Normal 2 2 6 24 8" xfId="34146" xr:uid="{00000000-0005-0000-0000-000073370000}"/>
    <cellStyle name="Normal 2 2 6 24 8 2" xfId="34147" xr:uid="{00000000-0005-0000-0000-000074370000}"/>
    <cellStyle name="Normal 2 2 6 24 9" xfId="34148" xr:uid="{00000000-0005-0000-0000-000075370000}"/>
    <cellStyle name="Normal 2 2 6 25" xfId="5976" xr:uid="{00000000-0005-0000-0000-000076370000}"/>
    <cellStyle name="Normal 2 2 6 25 10" xfId="34149" xr:uid="{00000000-0005-0000-0000-000077370000}"/>
    <cellStyle name="Normal 2 2 6 25 11" xfId="34150" xr:uid="{00000000-0005-0000-0000-000078370000}"/>
    <cellStyle name="Normal 2 2 6 25 2" xfId="5977" xr:uid="{00000000-0005-0000-0000-000079370000}"/>
    <cellStyle name="Normal 2 2 6 25 2 10" xfId="34151" xr:uid="{00000000-0005-0000-0000-00007A370000}"/>
    <cellStyle name="Normal 2 2 6 25 2 2" xfId="5978" xr:uid="{00000000-0005-0000-0000-00007B370000}"/>
    <cellStyle name="Normal 2 2 6 25 2 2 2" xfId="5979" xr:uid="{00000000-0005-0000-0000-00007C370000}"/>
    <cellStyle name="Normal 2 2 6 25 2 2 2 2" xfId="5980" xr:uid="{00000000-0005-0000-0000-00007D370000}"/>
    <cellStyle name="Normal 2 2 6 25 2 2 2 2 2" xfId="34152" xr:uid="{00000000-0005-0000-0000-00007E370000}"/>
    <cellStyle name="Normal 2 2 6 25 2 2 2 3" xfId="5981" xr:uid="{00000000-0005-0000-0000-00007F370000}"/>
    <cellStyle name="Normal 2 2 6 25 2 2 2 3 2" xfId="34153" xr:uid="{00000000-0005-0000-0000-000080370000}"/>
    <cellStyle name="Normal 2 2 6 25 2 2 2 4" xfId="34154" xr:uid="{00000000-0005-0000-0000-000081370000}"/>
    <cellStyle name="Normal 2 2 6 25 2 2 3" xfId="5982" xr:uid="{00000000-0005-0000-0000-000082370000}"/>
    <cellStyle name="Normal 2 2 6 25 2 2 3 2" xfId="34155" xr:uid="{00000000-0005-0000-0000-000083370000}"/>
    <cellStyle name="Normal 2 2 6 25 2 2 4" xfId="5983" xr:uid="{00000000-0005-0000-0000-000084370000}"/>
    <cellStyle name="Normal 2 2 6 25 2 2 4 2" xfId="34156" xr:uid="{00000000-0005-0000-0000-000085370000}"/>
    <cellStyle name="Normal 2 2 6 25 2 2 5" xfId="5984" xr:uid="{00000000-0005-0000-0000-000086370000}"/>
    <cellStyle name="Normal 2 2 6 25 2 2 5 2" xfId="34157" xr:uid="{00000000-0005-0000-0000-000087370000}"/>
    <cellStyle name="Normal 2 2 6 25 2 2 6" xfId="34158" xr:uid="{00000000-0005-0000-0000-000088370000}"/>
    <cellStyle name="Normal 2 2 6 25 2 2 6 2" xfId="34159" xr:uid="{00000000-0005-0000-0000-000089370000}"/>
    <cellStyle name="Normal 2 2 6 25 2 2 7" xfId="34160" xr:uid="{00000000-0005-0000-0000-00008A370000}"/>
    <cellStyle name="Normal 2 2 6 25 2 3" xfId="5985" xr:uid="{00000000-0005-0000-0000-00008B370000}"/>
    <cellStyle name="Normal 2 2 6 25 2 3 2" xfId="5986" xr:uid="{00000000-0005-0000-0000-00008C370000}"/>
    <cellStyle name="Normal 2 2 6 25 2 3 2 2" xfId="34161" xr:uid="{00000000-0005-0000-0000-00008D370000}"/>
    <cellStyle name="Normal 2 2 6 25 2 3 3" xfId="5987" xr:uid="{00000000-0005-0000-0000-00008E370000}"/>
    <cellStyle name="Normal 2 2 6 25 2 3 3 2" xfId="34162" xr:uid="{00000000-0005-0000-0000-00008F370000}"/>
    <cellStyle name="Normal 2 2 6 25 2 3 4" xfId="34163" xr:uid="{00000000-0005-0000-0000-000090370000}"/>
    <cellStyle name="Normal 2 2 6 25 2 4" xfId="5988" xr:uid="{00000000-0005-0000-0000-000091370000}"/>
    <cellStyle name="Normal 2 2 6 25 2 4 2" xfId="5989" xr:uid="{00000000-0005-0000-0000-000092370000}"/>
    <cellStyle name="Normal 2 2 6 25 2 4 2 2" xfId="34164" xr:uid="{00000000-0005-0000-0000-000093370000}"/>
    <cellStyle name="Normal 2 2 6 25 2 4 3" xfId="34165" xr:uid="{00000000-0005-0000-0000-000094370000}"/>
    <cellStyle name="Normal 2 2 6 25 2 5" xfId="5990" xr:uid="{00000000-0005-0000-0000-000095370000}"/>
    <cellStyle name="Normal 2 2 6 25 2 5 2" xfId="34166" xr:uid="{00000000-0005-0000-0000-000096370000}"/>
    <cellStyle name="Normal 2 2 6 25 2 6" xfId="5991" xr:uid="{00000000-0005-0000-0000-000097370000}"/>
    <cellStyle name="Normal 2 2 6 25 2 6 2" xfId="34167" xr:uid="{00000000-0005-0000-0000-000098370000}"/>
    <cellStyle name="Normal 2 2 6 25 2 7" xfId="34168" xr:uid="{00000000-0005-0000-0000-000099370000}"/>
    <cellStyle name="Normal 2 2 6 25 2 7 2" xfId="34169" xr:uid="{00000000-0005-0000-0000-00009A370000}"/>
    <cellStyle name="Normal 2 2 6 25 2 8" xfId="34170" xr:uid="{00000000-0005-0000-0000-00009B370000}"/>
    <cellStyle name="Normal 2 2 6 25 2 9" xfId="34171" xr:uid="{00000000-0005-0000-0000-00009C370000}"/>
    <cellStyle name="Normal 2 2 6 25 3" xfId="5992" xr:uid="{00000000-0005-0000-0000-00009D370000}"/>
    <cellStyle name="Normal 2 2 6 25 3 2" xfId="5993" xr:uid="{00000000-0005-0000-0000-00009E370000}"/>
    <cellStyle name="Normal 2 2 6 25 3 2 2" xfId="5994" xr:uid="{00000000-0005-0000-0000-00009F370000}"/>
    <cellStyle name="Normal 2 2 6 25 3 2 2 2" xfId="34172" xr:uid="{00000000-0005-0000-0000-0000A0370000}"/>
    <cellStyle name="Normal 2 2 6 25 3 2 3" xfId="5995" xr:uid="{00000000-0005-0000-0000-0000A1370000}"/>
    <cellStyle name="Normal 2 2 6 25 3 2 3 2" xfId="34173" xr:uid="{00000000-0005-0000-0000-0000A2370000}"/>
    <cellStyle name="Normal 2 2 6 25 3 2 4" xfId="34174" xr:uid="{00000000-0005-0000-0000-0000A3370000}"/>
    <cellStyle name="Normal 2 2 6 25 3 3" xfId="5996" xr:uid="{00000000-0005-0000-0000-0000A4370000}"/>
    <cellStyle name="Normal 2 2 6 25 3 3 2" xfId="34175" xr:uid="{00000000-0005-0000-0000-0000A5370000}"/>
    <cellStyle name="Normal 2 2 6 25 3 4" xfId="5997" xr:uid="{00000000-0005-0000-0000-0000A6370000}"/>
    <cellStyle name="Normal 2 2 6 25 3 4 2" xfId="34176" xr:uid="{00000000-0005-0000-0000-0000A7370000}"/>
    <cellStyle name="Normal 2 2 6 25 3 5" xfId="5998" xr:uid="{00000000-0005-0000-0000-0000A8370000}"/>
    <cellStyle name="Normal 2 2 6 25 3 5 2" xfId="34177" xr:uid="{00000000-0005-0000-0000-0000A9370000}"/>
    <cellStyle name="Normal 2 2 6 25 3 6" xfId="34178" xr:uid="{00000000-0005-0000-0000-0000AA370000}"/>
    <cellStyle name="Normal 2 2 6 25 3 6 2" xfId="34179" xr:uid="{00000000-0005-0000-0000-0000AB370000}"/>
    <cellStyle name="Normal 2 2 6 25 3 7" xfId="34180" xr:uid="{00000000-0005-0000-0000-0000AC370000}"/>
    <cellStyle name="Normal 2 2 6 25 4" xfId="5999" xr:uid="{00000000-0005-0000-0000-0000AD370000}"/>
    <cellStyle name="Normal 2 2 6 25 4 2" xfId="6000" xr:uid="{00000000-0005-0000-0000-0000AE370000}"/>
    <cellStyle name="Normal 2 2 6 25 4 2 2" xfId="34181" xr:uid="{00000000-0005-0000-0000-0000AF370000}"/>
    <cellStyle name="Normal 2 2 6 25 4 3" xfId="6001" xr:uid="{00000000-0005-0000-0000-0000B0370000}"/>
    <cellStyle name="Normal 2 2 6 25 4 3 2" xfId="34182" xr:uid="{00000000-0005-0000-0000-0000B1370000}"/>
    <cellStyle name="Normal 2 2 6 25 4 4" xfId="34183" xr:uid="{00000000-0005-0000-0000-0000B2370000}"/>
    <cellStyle name="Normal 2 2 6 25 5" xfId="6002" xr:uid="{00000000-0005-0000-0000-0000B3370000}"/>
    <cellStyle name="Normal 2 2 6 25 5 2" xfId="6003" xr:uid="{00000000-0005-0000-0000-0000B4370000}"/>
    <cellStyle name="Normal 2 2 6 25 5 2 2" xfId="34184" xr:uid="{00000000-0005-0000-0000-0000B5370000}"/>
    <cellStyle name="Normal 2 2 6 25 5 3" xfId="34185" xr:uid="{00000000-0005-0000-0000-0000B6370000}"/>
    <cellStyle name="Normal 2 2 6 25 6" xfId="6004" xr:uid="{00000000-0005-0000-0000-0000B7370000}"/>
    <cellStyle name="Normal 2 2 6 25 6 2" xfId="34186" xr:uid="{00000000-0005-0000-0000-0000B8370000}"/>
    <cellStyle name="Normal 2 2 6 25 7" xfId="6005" xr:uid="{00000000-0005-0000-0000-0000B9370000}"/>
    <cellStyle name="Normal 2 2 6 25 7 2" xfId="34187" xr:uid="{00000000-0005-0000-0000-0000BA370000}"/>
    <cellStyle name="Normal 2 2 6 25 8" xfId="34188" xr:uid="{00000000-0005-0000-0000-0000BB370000}"/>
    <cellStyle name="Normal 2 2 6 25 8 2" xfId="34189" xr:uid="{00000000-0005-0000-0000-0000BC370000}"/>
    <cellStyle name="Normal 2 2 6 25 9" xfId="34190" xr:uid="{00000000-0005-0000-0000-0000BD370000}"/>
    <cellStyle name="Normal 2 2 6 26" xfId="6006" xr:uid="{00000000-0005-0000-0000-0000BE370000}"/>
    <cellStyle name="Normal 2 2 6 26 10" xfId="34191" xr:uid="{00000000-0005-0000-0000-0000BF370000}"/>
    <cellStyle name="Normal 2 2 6 26 11" xfId="34192" xr:uid="{00000000-0005-0000-0000-0000C0370000}"/>
    <cellStyle name="Normal 2 2 6 26 2" xfId="6007" xr:uid="{00000000-0005-0000-0000-0000C1370000}"/>
    <cellStyle name="Normal 2 2 6 26 2 10" xfId="34193" xr:uid="{00000000-0005-0000-0000-0000C2370000}"/>
    <cellStyle name="Normal 2 2 6 26 2 2" xfId="6008" xr:uid="{00000000-0005-0000-0000-0000C3370000}"/>
    <cellStyle name="Normal 2 2 6 26 2 2 2" xfId="6009" xr:uid="{00000000-0005-0000-0000-0000C4370000}"/>
    <cellStyle name="Normal 2 2 6 26 2 2 2 2" xfId="6010" xr:uid="{00000000-0005-0000-0000-0000C5370000}"/>
    <cellStyle name="Normal 2 2 6 26 2 2 2 2 2" xfId="34194" xr:uid="{00000000-0005-0000-0000-0000C6370000}"/>
    <cellStyle name="Normal 2 2 6 26 2 2 2 3" xfId="6011" xr:uid="{00000000-0005-0000-0000-0000C7370000}"/>
    <cellStyle name="Normal 2 2 6 26 2 2 2 3 2" xfId="34195" xr:uid="{00000000-0005-0000-0000-0000C8370000}"/>
    <cellStyle name="Normal 2 2 6 26 2 2 2 4" xfId="34196" xr:uid="{00000000-0005-0000-0000-0000C9370000}"/>
    <cellStyle name="Normal 2 2 6 26 2 2 3" xfId="6012" xr:uid="{00000000-0005-0000-0000-0000CA370000}"/>
    <cellStyle name="Normal 2 2 6 26 2 2 3 2" xfId="34197" xr:uid="{00000000-0005-0000-0000-0000CB370000}"/>
    <cellStyle name="Normal 2 2 6 26 2 2 4" xfId="6013" xr:uid="{00000000-0005-0000-0000-0000CC370000}"/>
    <cellStyle name="Normal 2 2 6 26 2 2 4 2" xfId="34198" xr:uid="{00000000-0005-0000-0000-0000CD370000}"/>
    <cellStyle name="Normal 2 2 6 26 2 2 5" xfId="6014" xr:uid="{00000000-0005-0000-0000-0000CE370000}"/>
    <cellStyle name="Normal 2 2 6 26 2 2 5 2" xfId="34199" xr:uid="{00000000-0005-0000-0000-0000CF370000}"/>
    <cellStyle name="Normal 2 2 6 26 2 2 6" xfId="34200" xr:uid="{00000000-0005-0000-0000-0000D0370000}"/>
    <cellStyle name="Normal 2 2 6 26 2 2 6 2" xfId="34201" xr:uid="{00000000-0005-0000-0000-0000D1370000}"/>
    <cellStyle name="Normal 2 2 6 26 2 2 7" xfId="34202" xr:uid="{00000000-0005-0000-0000-0000D2370000}"/>
    <cellStyle name="Normal 2 2 6 26 2 3" xfId="6015" xr:uid="{00000000-0005-0000-0000-0000D3370000}"/>
    <cellStyle name="Normal 2 2 6 26 2 3 2" xfId="6016" xr:uid="{00000000-0005-0000-0000-0000D4370000}"/>
    <cellStyle name="Normal 2 2 6 26 2 3 2 2" xfId="34203" xr:uid="{00000000-0005-0000-0000-0000D5370000}"/>
    <cellStyle name="Normal 2 2 6 26 2 3 3" xfId="6017" xr:uid="{00000000-0005-0000-0000-0000D6370000}"/>
    <cellStyle name="Normal 2 2 6 26 2 3 3 2" xfId="34204" xr:uid="{00000000-0005-0000-0000-0000D7370000}"/>
    <cellStyle name="Normal 2 2 6 26 2 3 4" xfId="34205" xr:uid="{00000000-0005-0000-0000-0000D8370000}"/>
    <cellStyle name="Normal 2 2 6 26 2 4" xfId="6018" xr:uid="{00000000-0005-0000-0000-0000D9370000}"/>
    <cellStyle name="Normal 2 2 6 26 2 4 2" xfId="6019" xr:uid="{00000000-0005-0000-0000-0000DA370000}"/>
    <cellStyle name="Normal 2 2 6 26 2 4 2 2" xfId="34206" xr:uid="{00000000-0005-0000-0000-0000DB370000}"/>
    <cellStyle name="Normal 2 2 6 26 2 4 3" xfId="34207" xr:uid="{00000000-0005-0000-0000-0000DC370000}"/>
    <cellStyle name="Normal 2 2 6 26 2 5" xfId="6020" xr:uid="{00000000-0005-0000-0000-0000DD370000}"/>
    <cellStyle name="Normal 2 2 6 26 2 5 2" xfId="34208" xr:uid="{00000000-0005-0000-0000-0000DE370000}"/>
    <cellStyle name="Normal 2 2 6 26 2 6" xfId="6021" xr:uid="{00000000-0005-0000-0000-0000DF370000}"/>
    <cellStyle name="Normal 2 2 6 26 2 6 2" xfId="34209" xr:uid="{00000000-0005-0000-0000-0000E0370000}"/>
    <cellStyle name="Normal 2 2 6 26 2 7" xfId="34210" xr:uid="{00000000-0005-0000-0000-0000E1370000}"/>
    <cellStyle name="Normal 2 2 6 26 2 7 2" xfId="34211" xr:uid="{00000000-0005-0000-0000-0000E2370000}"/>
    <cellStyle name="Normal 2 2 6 26 2 8" xfId="34212" xr:uid="{00000000-0005-0000-0000-0000E3370000}"/>
    <cellStyle name="Normal 2 2 6 26 2 9" xfId="34213" xr:uid="{00000000-0005-0000-0000-0000E4370000}"/>
    <cellStyle name="Normal 2 2 6 26 3" xfId="6022" xr:uid="{00000000-0005-0000-0000-0000E5370000}"/>
    <cellStyle name="Normal 2 2 6 26 3 2" xfId="6023" xr:uid="{00000000-0005-0000-0000-0000E6370000}"/>
    <cellStyle name="Normal 2 2 6 26 3 2 2" xfId="6024" xr:uid="{00000000-0005-0000-0000-0000E7370000}"/>
    <cellStyle name="Normal 2 2 6 26 3 2 2 2" xfId="34214" xr:uid="{00000000-0005-0000-0000-0000E8370000}"/>
    <cellStyle name="Normal 2 2 6 26 3 2 3" xfId="6025" xr:uid="{00000000-0005-0000-0000-0000E9370000}"/>
    <cellStyle name="Normal 2 2 6 26 3 2 3 2" xfId="34215" xr:uid="{00000000-0005-0000-0000-0000EA370000}"/>
    <cellStyle name="Normal 2 2 6 26 3 2 4" xfId="34216" xr:uid="{00000000-0005-0000-0000-0000EB370000}"/>
    <cellStyle name="Normal 2 2 6 26 3 3" xfId="6026" xr:uid="{00000000-0005-0000-0000-0000EC370000}"/>
    <cellStyle name="Normal 2 2 6 26 3 3 2" xfId="34217" xr:uid="{00000000-0005-0000-0000-0000ED370000}"/>
    <cellStyle name="Normal 2 2 6 26 3 4" xfId="6027" xr:uid="{00000000-0005-0000-0000-0000EE370000}"/>
    <cellStyle name="Normal 2 2 6 26 3 4 2" xfId="34218" xr:uid="{00000000-0005-0000-0000-0000EF370000}"/>
    <cellStyle name="Normal 2 2 6 26 3 5" xfId="6028" xr:uid="{00000000-0005-0000-0000-0000F0370000}"/>
    <cellStyle name="Normal 2 2 6 26 3 5 2" xfId="34219" xr:uid="{00000000-0005-0000-0000-0000F1370000}"/>
    <cellStyle name="Normal 2 2 6 26 3 6" xfId="34220" xr:uid="{00000000-0005-0000-0000-0000F2370000}"/>
    <cellStyle name="Normal 2 2 6 26 3 6 2" xfId="34221" xr:uid="{00000000-0005-0000-0000-0000F3370000}"/>
    <cellStyle name="Normal 2 2 6 26 3 7" xfId="34222" xr:uid="{00000000-0005-0000-0000-0000F4370000}"/>
    <cellStyle name="Normal 2 2 6 26 4" xfId="6029" xr:uid="{00000000-0005-0000-0000-0000F5370000}"/>
    <cellStyle name="Normal 2 2 6 26 4 2" xfId="6030" xr:uid="{00000000-0005-0000-0000-0000F6370000}"/>
    <cellStyle name="Normal 2 2 6 26 4 2 2" xfId="34223" xr:uid="{00000000-0005-0000-0000-0000F7370000}"/>
    <cellStyle name="Normal 2 2 6 26 4 3" xfId="6031" xr:uid="{00000000-0005-0000-0000-0000F8370000}"/>
    <cellStyle name="Normal 2 2 6 26 4 3 2" xfId="34224" xr:uid="{00000000-0005-0000-0000-0000F9370000}"/>
    <cellStyle name="Normal 2 2 6 26 4 4" xfId="34225" xr:uid="{00000000-0005-0000-0000-0000FA370000}"/>
    <cellStyle name="Normal 2 2 6 26 5" xfId="6032" xr:uid="{00000000-0005-0000-0000-0000FB370000}"/>
    <cellStyle name="Normal 2 2 6 26 5 2" xfId="6033" xr:uid="{00000000-0005-0000-0000-0000FC370000}"/>
    <cellStyle name="Normal 2 2 6 26 5 2 2" xfId="34226" xr:uid="{00000000-0005-0000-0000-0000FD370000}"/>
    <cellStyle name="Normal 2 2 6 26 5 3" xfId="34227" xr:uid="{00000000-0005-0000-0000-0000FE370000}"/>
    <cellStyle name="Normal 2 2 6 26 6" xfId="6034" xr:uid="{00000000-0005-0000-0000-0000FF370000}"/>
    <cellStyle name="Normal 2 2 6 26 6 2" xfId="34228" xr:uid="{00000000-0005-0000-0000-000000380000}"/>
    <cellStyle name="Normal 2 2 6 26 7" xfId="6035" xr:uid="{00000000-0005-0000-0000-000001380000}"/>
    <cellStyle name="Normal 2 2 6 26 7 2" xfId="34229" xr:uid="{00000000-0005-0000-0000-000002380000}"/>
    <cellStyle name="Normal 2 2 6 26 8" xfId="34230" xr:uid="{00000000-0005-0000-0000-000003380000}"/>
    <cellStyle name="Normal 2 2 6 26 8 2" xfId="34231" xr:uid="{00000000-0005-0000-0000-000004380000}"/>
    <cellStyle name="Normal 2 2 6 26 9" xfId="34232" xr:uid="{00000000-0005-0000-0000-000005380000}"/>
    <cellStyle name="Normal 2 2 6 27" xfId="6036" xr:uid="{00000000-0005-0000-0000-000006380000}"/>
    <cellStyle name="Normal 2 2 6 27 10" xfId="34233" xr:uid="{00000000-0005-0000-0000-000007380000}"/>
    <cellStyle name="Normal 2 2 6 27 11" xfId="34234" xr:uid="{00000000-0005-0000-0000-000008380000}"/>
    <cellStyle name="Normal 2 2 6 27 2" xfId="6037" xr:uid="{00000000-0005-0000-0000-000009380000}"/>
    <cellStyle name="Normal 2 2 6 27 2 10" xfId="34235" xr:uid="{00000000-0005-0000-0000-00000A380000}"/>
    <cellStyle name="Normal 2 2 6 27 2 2" xfId="6038" xr:uid="{00000000-0005-0000-0000-00000B380000}"/>
    <cellStyle name="Normal 2 2 6 27 2 2 2" xfId="6039" xr:uid="{00000000-0005-0000-0000-00000C380000}"/>
    <cellStyle name="Normal 2 2 6 27 2 2 2 2" xfId="6040" xr:uid="{00000000-0005-0000-0000-00000D380000}"/>
    <cellStyle name="Normal 2 2 6 27 2 2 2 2 2" xfId="34236" xr:uid="{00000000-0005-0000-0000-00000E380000}"/>
    <cellStyle name="Normal 2 2 6 27 2 2 2 3" xfId="6041" xr:uid="{00000000-0005-0000-0000-00000F380000}"/>
    <cellStyle name="Normal 2 2 6 27 2 2 2 3 2" xfId="34237" xr:uid="{00000000-0005-0000-0000-000010380000}"/>
    <cellStyle name="Normal 2 2 6 27 2 2 2 4" xfId="34238" xr:uid="{00000000-0005-0000-0000-000011380000}"/>
    <cellStyle name="Normal 2 2 6 27 2 2 3" xfId="6042" xr:uid="{00000000-0005-0000-0000-000012380000}"/>
    <cellStyle name="Normal 2 2 6 27 2 2 3 2" xfId="34239" xr:uid="{00000000-0005-0000-0000-000013380000}"/>
    <cellStyle name="Normal 2 2 6 27 2 2 4" xfId="6043" xr:uid="{00000000-0005-0000-0000-000014380000}"/>
    <cellStyle name="Normal 2 2 6 27 2 2 4 2" xfId="34240" xr:uid="{00000000-0005-0000-0000-000015380000}"/>
    <cellStyle name="Normal 2 2 6 27 2 2 5" xfId="6044" xr:uid="{00000000-0005-0000-0000-000016380000}"/>
    <cellStyle name="Normal 2 2 6 27 2 2 5 2" xfId="34241" xr:uid="{00000000-0005-0000-0000-000017380000}"/>
    <cellStyle name="Normal 2 2 6 27 2 2 6" xfId="34242" xr:uid="{00000000-0005-0000-0000-000018380000}"/>
    <cellStyle name="Normal 2 2 6 27 2 2 6 2" xfId="34243" xr:uid="{00000000-0005-0000-0000-000019380000}"/>
    <cellStyle name="Normal 2 2 6 27 2 2 7" xfId="34244" xr:uid="{00000000-0005-0000-0000-00001A380000}"/>
    <cellStyle name="Normal 2 2 6 27 2 3" xfId="6045" xr:uid="{00000000-0005-0000-0000-00001B380000}"/>
    <cellStyle name="Normal 2 2 6 27 2 3 2" xfId="6046" xr:uid="{00000000-0005-0000-0000-00001C380000}"/>
    <cellStyle name="Normal 2 2 6 27 2 3 2 2" xfId="34245" xr:uid="{00000000-0005-0000-0000-00001D380000}"/>
    <cellStyle name="Normal 2 2 6 27 2 3 3" xfId="6047" xr:uid="{00000000-0005-0000-0000-00001E380000}"/>
    <cellStyle name="Normal 2 2 6 27 2 3 3 2" xfId="34246" xr:uid="{00000000-0005-0000-0000-00001F380000}"/>
    <cellStyle name="Normal 2 2 6 27 2 3 4" xfId="34247" xr:uid="{00000000-0005-0000-0000-000020380000}"/>
    <cellStyle name="Normal 2 2 6 27 2 4" xfId="6048" xr:uid="{00000000-0005-0000-0000-000021380000}"/>
    <cellStyle name="Normal 2 2 6 27 2 4 2" xfId="6049" xr:uid="{00000000-0005-0000-0000-000022380000}"/>
    <cellStyle name="Normal 2 2 6 27 2 4 2 2" xfId="34248" xr:uid="{00000000-0005-0000-0000-000023380000}"/>
    <cellStyle name="Normal 2 2 6 27 2 4 3" xfId="34249" xr:uid="{00000000-0005-0000-0000-000024380000}"/>
    <cellStyle name="Normal 2 2 6 27 2 5" xfId="6050" xr:uid="{00000000-0005-0000-0000-000025380000}"/>
    <cellStyle name="Normal 2 2 6 27 2 5 2" xfId="34250" xr:uid="{00000000-0005-0000-0000-000026380000}"/>
    <cellStyle name="Normal 2 2 6 27 2 6" xfId="6051" xr:uid="{00000000-0005-0000-0000-000027380000}"/>
    <cellStyle name="Normal 2 2 6 27 2 6 2" xfId="34251" xr:uid="{00000000-0005-0000-0000-000028380000}"/>
    <cellStyle name="Normal 2 2 6 27 2 7" xfId="34252" xr:uid="{00000000-0005-0000-0000-000029380000}"/>
    <cellStyle name="Normal 2 2 6 27 2 7 2" xfId="34253" xr:uid="{00000000-0005-0000-0000-00002A380000}"/>
    <cellStyle name="Normal 2 2 6 27 2 8" xfId="34254" xr:uid="{00000000-0005-0000-0000-00002B380000}"/>
    <cellStyle name="Normal 2 2 6 27 2 9" xfId="34255" xr:uid="{00000000-0005-0000-0000-00002C380000}"/>
    <cellStyle name="Normal 2 2 6 27 3" xfId="6052" xr:uid="{00000000-0005-0000-0000-00002D380000}"/>
    <cellStyle name="Normal 2 2 6 27 3 2" xfId="6053" xr:uid="{00000000-0005-0000-0000-00002E380000}"/>
    <cellStyle name="Normal 2 2 6 27 3 2 2" xfId="6054" xr:uid="{00000000-0005-0000-0000-00002F380000}"/>
    <cellStyle name="Normal 2 2 6 27 3 2 2 2" xfId="34256" xr:uid="{00000000-0005-0000-0000-000030380000}"/>
    <cellStyle name="Normal 2 2 6 27 3 2 3" xfId="6055" xr:uid="{00000000-0005-0000-0000-000031380000}"/>
    <cellStyle name="Normal 2 2 6 27 3 2 3 2" xfId="34257" xr:uid="{00000000-0005-0000-0000-000032380000}"/>
    <cellStyle name="Normal 2 2 6 27 3 2 4" xfId="34258" xr:uid="{00000000-0005-0000-0000-000033380000}"/>
    <cellStyle name="Normal 2 2 6 27 3 3" xfId="6056" xr:uid="{00000000-0005-0000-0000-000034380000}"/>
    <cellStyle name="Normal 2 2 6 27 3 3 2" xfId="34259" xr:uid="{00000000-0005-0000-0000-000035380000}"/>
    <cellStyle name="Normal 2 2 6 27 3 4" xfId="6057" xr:uid="{00000000-0005-0000-0000-000036380000}"/>
    <cellStyle name="Normal 2 2 6 27 3 4 2" xfId="34260" xr:uid="{00000000-0005-0000-0000-000037380000}"/>
    <cellStyle name="Normal 2 2 6 27 3 5" xfId="6058" xr:uid="{00000000-0005-0000-0000-000038380000}"/>
    <cellStyle name="Normal 2 2 6 27 3 5 2" xfId="34261" xr:uid="{00000000-0005-0000-0000-000039380000}"/>
    <cellStyle name="Normal 2 2 6 27 3 6" xfId="34262" xr:uid="{00000000-0005-0000-0000-00003A380000}"/>
    <cellStyle name="Normal 2 2 6 27 3 6 2" xfId="34263" xr:uid="{00000000-0005-0000-0000-00003B380000}"/>
    <cellStyle name="Normal 2 2 6 27 3 7" xfId="34264" xr:uid="{00000000-0005-0000-0000-00003C380000}"/>
    <cellStyle name="Normal 2 2 6 27 4" xfId="6059" xr:uid="{00000000-0005-0000-0000-00003D380000}"/>
    <cellStyle name="Normal 2 2 6 27 4 2" xfId="6060" xr:uid="{00000000-0005-0000-0000-00003E380000}"/>
    <cellStyle name="Normal 2 2 6 27 4 2 2" xfId="34265" xr:uid="{00000000-0005-0000-0000-00003F380000}"/>
    <cellStyle name="Normal 2 2 6 27 4 3" xfId="6061" xr:uid="{00000000-0005-0000-0000-000040380000}"/>
    <cellStyle name="Normal 2 2 6 27 4 3 2" xfId="34266" xr:uid="{00000000-0005-0000-0000-000041380000}"/>
    <cellStyle name="Normal 2 2 6 27 4 4" xfId="34267" xr:uid="{00000000-0005-0000-0000-000042380000}"/>
    <cellStyle name="Normal 2 2 6 27 5" xfId="6062" xr:uid="{00000000-0005-0000-0000-000043380000}"/>
    <cellStyle name="Normal 2 2 6 27 5 2" xfId="6063" xr:uid="{00000000-0005-0000-0000-000044380000}"/>
    <cellStyle name="Normal 2 2 6 27 5 2 2" xfId="34268" xr:uid="{00000000-0005-0000-0000-000045380000}"/>
    <cellStyle name="Normal 2 2 6 27 5 3" xfId="34269" xr:uid="{00000000-0005-0000-0000-000046380000}"/>
    <cellStyle name="Normal 2 2 6 27 6" xfId="6064" xr:uid="{00000000-0005-0000-0000-000047380000}"/>
    <cellStyle name="Normal 2 2 6 27 6 2" xfId="34270" xr:uid="{00000000-0005-0000-0000-000048380000}"/>
    <cellStyle name="Normal 2 2 6 27 7" xfId="6065" xr:uid="{00000000-0005-0000-0000-000049380000}"/>
    <cellStyle name="Normal 2 2 6 27 7 2" xfId="34271" xr:uid="{00000000-0005-0000-0000-00004A380000}"/>
    <cellStyle name="Normal 2 2 6 27 8" xfId="34272" xr:uid="{00000000-0005-0000-0000-00004B380000}"/>
    <cellStyle name="Normal 2 2 6 27 8 2" xfId="34273" xr:uid="{00000000-0005-0000-0000-00004C380000}"/>
    <cellStyle name="Normal 2 2 6 27 9" xfId="34274" xr:uid="{00000000-0005-0000-0000-00004D380000}"/>
    <cellStyle name="Normal 2 2 6 28" xfId="6066" xr:uid="{00000000-0005-0000-0000-00004E380000}"/>
    <cellStyle name="Normal 2 2 6 28 10" xfId="34275" xr:uid="{00000000-0005-0000-0000-00004F380000}"/>
    <cellStyle name="Normal 2 2 6 28 11" xfId="34276" xr:uid="{00000000-0005-0000-0000-000050380000}"/>
    <cellStyle name="Normal 2 2 6 28 2" xfId="6067" xr:uid="{00000000-0005-0000-0000-000051380000}"/>
    <cellStyle name="Normal 2 2 6 28 2 10" xfId="34277" xr:uid="{00000000-0005-0000-0000-000052380000}"/>
    <cellStyle name="Normal 2 2 6 28 2 2" xfId="6068" xr:uid="{00000000-0005-0000-0000-000053380000}"/>
    <cellStyle name="Normal 2 2 6 28 2 2 2" xfId="6069" xr:uid="{00000000-0005-0000-0000-000054380000}"/>
    <cellStyle name="Normal 2 2 6 28 2 2 2 2" xfId="6070" xr:uid="{00000000-0005-0000-0000-000055380000}"/>
    <cellStyle name="Normal 2 2 6 28 2 2 2 2 2" xfId="34278" xr:uid="{00000000-0005-0000-0000-000056380000}"/>
    <cellStyle name="Normal 2 2 6 28 2 2 2 3" xfId="6071" xr:uid="{00000000-0005-0000-0000-000057380000}"/>
    <cellStyle name="Normal 2 2 6 28 2 2 2 3 2" xfId="34279" xr:uid="{00000000-0005-0000-0000-000058380000}"/>
    <cellStyle name="Normal 2 2 6 28 2 2 2 4" xfId="34280" xr:uid="{00000000-0005-0000-0000-000059380000}"/>
    <cellStyle name="Normal 2 2 6 28 2 2 3" xfId="6072" xr:uid="{00000000-0005-0000-0000-00005A380000}"/>
    <cellStyle name="Normal 2 2 6 28 2 2 3 2" xfId="34281" xr:uid="{00000000-0005-0000-0000-00005B380000}"/>
    <cellStyle name="Normal 2 2 6 28 2 2 4" xfId="6073" xr:uid="{00000000-0005-0000-0000-00005C380000}"/>
    <cellStyle name="Normal 2 2 6 28 2 2 4 2" xfId="34282" xr:uid="{00000000-0005-0000-0000-00005D380000}"/>
    <cellStyle name="Normal 2 2 6 28 2 2 5" xfId="6074" xr:uid="{00000000-0005-0000-0000-00005E380000}"/>
    <cellStyle name="Normal 2 2 6 28 2 2 5 2" xfId="34283" xr:uid="{00000000-0005-0000-0000-00005F380000}"/>
    <cellStyle name="Normal 2 2 6 28 2 2 6" xfId="34284" xr:uid="{00000000-0005-0000-0000-000060380000}"/>
    <cellStyle name="Normal 2 2 6 28 2 2 6 2" xfId="34285" xr:uid="{00000000-0005-0000-0000-000061380000}"/>
    <cellStyle name="Normal 2 2 6 28 2 2 7" xfId="34286" xr:uid="{00000000-0005-0000-0000-000062380000}"/>
    <cellStyle name="Normal 2 2 6 28 2 3" xfId="6075" xr:uid="{00000000-0005-0000-0000-000063380000}"/>
    <cellStyle name="Normal 2 2 6 28 2 3 2" xfId="6076" xr:uid="{00000000-0005-0000-0000-000064380000}"/>
    <cellStyle name="Normal 2 2 6 28 2 3 2 2" xfId="34287" xr:uid="{00000000-0005-0000-0000-000065380000}"/>
    <cellStyle name="Normal 2 2 6 28 2 3 3" xfId="6077" xr:uid="{00000000-0005-0000-0000-000066380000}"/>
    <cellStyle name="Normal 2 2 6 28 2 3 3 2" xfId="34288" xr:uid="{00000000-0005-0000-0000-000067380000}"/>
    <cellStyle name="Normal 2 2 6 28 2 3 4" xfId="34289" xr:uid="{00000000-0005-0000-0000-000068380000}"/>
    <cellStyle name="Normal 2 2 6 28 2 4" xfId="6078" xr:uid="{00000000-0005-0000-0000-000069380000}"/>
    <cellStyle name="Normal 2 2 6 28 2 4 2" xfId="6079" xr:uid="{00000000-0005-0000-0000-00006A380000}"/>
    <cellStyle name="Normal 2 2 6 28 2 4 2 2" xfId="34290" xr:uid="{00000000-0005-0000-0000-00006B380000}"/>
    <cellStyle name="Normal 2 2 6 28 2 4 3" xfId="34291" xr:uid="{00000000-0005-0000-0000-00006C380000}"/>
    <cellStyle name="Normal 2 2 6 28 2 5" xfId="6080" xr:uid="{00000000-0005-0000-0000-00006D380000}"/>
    <cellStyle name="Normal 2 2 6 28 2 5 2" xfId="34292" xr:uid="{00000000-0005-0000-0000-00006E380000}"/>
    <cellStyle name="Normal 2 2 6 28 2 6" xfId="6081" xr:uid="{00000000-0005-0000-0000-00006F380000}"/>
    <cellStyle name="Normal 2 2 6 28 2 6 2" xfId="34293" xr:uid="{00000000-0005-0000-0000-000070380000}"/>
    <cellStyle name="Normal 2 2 6 28 2 7" xfId="34294" xr:uid="{00000000-0005-0000-0000-000071380000}"/>
    <cellStyle name="Normal 2 2 6 28 2 7 2" xfId="34295" xr:uid="{00000000-0005-0000-0000-000072380000}"/>
    <cellStyle name="Normal 2 2 6 28 2 8" xfId="34296" xr:uid="{00000000-0005-0000-0000-000073380000}"/>
    <cellStyle name="Normal 2 2 6 28 2 9" xfId="34297" xr:uid="{00000000-0005-0000-0000-000074380000}"/>
    <cellStyle name="Normal 2 2 6 28 3" xfId="6082" xr:uid="{00000000-0005-0000-0000-000075380000}"/>
    <cellStyle name="Normal 2 2 6 28 3 2" xfId="6083" xr:uid="{00000000-0005-0000-0000-000076380000}"/>
    <cellStyle name="Normal 2 2 6 28 3 2 2" xfId="6084" xr:uid="{00000000-0005-0000-0000-000077380000}"/>
    <cellStyle name="Normal 2 2 6 28 3 2 2 2" xfId="34298" xr:uid="{00000000-0005-0000-0000-000078380000}"/>
    <cellStyle name="Normal 2 2 6 28 3 2 3" xfId="6085" xr:uid="{00000000-0005-0000-0000-000079380000}"/>
    <cellStyle name="Normal 2 2 6 28 3 2 3 2" xfId="34299" xr:uid="{00000000-0005-0000-0000-00007A380000}"/>
    <cellStyle name="Normal 2 2 6 28 3 2 4" xfId="34300" xr:uid="{00000000-0005-0000-0000-00007B380000}"/>
    <cellStyle name="Normal 2 2 6 28 3 3" xfId="6086" xr:uid="{00000000-0005-0000-0000-00007C380000}"/>
    <cellStyle name="Normal 2 2 6 28 3 3 2" xfId="34301" xr:uid="{00000000-0005-0000-0000-00007D380000}"/>
    <cellStyle name="Normal 2 2 6 28 3 4" xfId="6087" xr:uid="{00000000-0005-0000-0000-00007E380000}"/>
    <cellStyle name="Normal 2 2 6 28 3 4 2" xfId="34302" xr:uid="{00000000-0005-0000-0000-00007F380000}"/>
    <cellStyle name="Normal 2 2 6 28 3 5" xfId="6088" xr:uid="{00000000-0005-0000-0000-000080380000}"/>
    <cellStyle name="Normal 2 2 6 28 3 5 2" xfId="34303" xr:uid="{00000000-0005-0000-0000-000081380000}"/>
    <cellStyle name="Normal 2 2 6 28 3 6" xfId="34304" xr:uid="{00000000-0005-0000-0000-000082380000}"/>
    <cellStyle name="Normal 2 2 6 28 3 6 2" xfId="34305" xr:uid="{00000000-0005-0000-0000-000083380000}"/>
    <cellStyle name="Normal 2 2 6 28 3 7" xfId="34306" xr:uid="{00000000-0005-0000-0000-000084380000}"/>
    <cellStyle name="Normal 2 2 6 28 4" xfId="6089" xr:uid="{00000000-0005-0000-0000-000085380000}"/>
    <cellStyle name="Normal 2 2 6 28 4 2" xfId="6090" xr:uid="{00000000-0005-0000-0000-000086380000}"/>
    <cellStyle name="Normal 2 2 6 28 4 2 2" xfId="34307" xr:uid="{00000000-0005-0000-0000-000087380000}"/>
    <cellStyle name="Normal 2 2 6 28 4 3" xfId="6091" xr:uid="{00000000-0005-0000-0000-000088380000}"/>
    <cellStyle name="Normal 2 2 6 28 4 3 2" xfId="34308" xr:uid="{00000000-0005-0000-0000-000089380000}"/>
    <cellStyle name="Normal 2 2 6 28 4 4" xfId="34309" xr:uid="{00000000-0005-0000-0000-00008A380000}"/>
    <cellStyle name="Normal 2 2 6 28 5" xfId="6092" xr:uid="{00000000-0005-0000-0000-00008B380000}"/>
    <cellStyle name="Normal 2 2 6 28 5 2" xfId="6093" xr:uid="{00000000-0005-0000-0000-00008C380000}"/>
    <cellStyle name="Normal 2 2 6 28 5 2 2" xfId="34310" xr:uid="{00000000-0005-0000-0000-00008D380000}"/>
    <cellStyle name="Normal 2 2 6 28 5 3" xfId="34311" xr:uid="{00000000-0005-0000-0000-00008E380000}"/>
    <cellStyle name="Normal 2 2 6 28 6" xfId="6094" xr:uid="{00000000-0005-0000-0000-00008F380000}"/>
    <cellStyle name="Normal 2 2 6 28 6 2" xfId="34312" xr:uid="{00000000-0005-0000-0000-000090380000}"/>
    <cellStyle name="Normal 2 2 6 28 7" xfId="6095" xr:uid="{00000000-0005-0000-0000-000091380000}"/>
    <cellStyle name="Normal 2 2 6 28 7 2" xfId="34313" xr:uid="{00000000-0005-0000-0000-000092380000}"/>
    <cellStyle name="Normal 2 2 6 28 8" xfId="34314" xr:uid="{00000000-0005-0000-0000-000093380000}"/>
    <cellStyle name="Normal 2 2 6 28 8 2" xfId="34315" xr:uid="{00000000-0005-0000-0000-000094380000}"/>
    <cellStyle name="Normal 2 2 6 28 9" xfId="34316" xr:uid="{00000000-0005-0000-0000-000095380000}"/>
    <cellStyle name="Normal 2 2 6 29" xfId="6096" xr:uid="{00000000-0005-0000-0000-000096380000}"/>
    <cellStyle name="Normal 2 2 6 29 10" xfId="34317" xr:uid="{00000000-0005-0000-0000-000097380000}"/>
    <cellStyle name="Normal 2 2 6 29 11" xfId="34318" xr:uid="{00000000-0005-0000-0000-000098380000}"/>
    <cellStyle name="Normal 2 2 6 29 2" xfId="6097" xr:uid="{00000000-0005-0000-0000-000099380000}"/>
    <cellStyle name="Normal 2 2 6 29 2 10" xfId="34319" xr:uid="{00000000-0005-0000-0000-00009A380000}"/>
    <cellStyle name="Normal 2 2 6 29 2 2" xfId="6098" xr:uid="{00000000-0005-0000-0000-00009B380000}"/>
    <cellStyle name="Normal 2 2 6 29 2 2 2" xfId="6099" xr:uid="{00000000-0005-0000-0000-00009C380000}"/>
    <cellStyle name="Normal 2 2 6 29 2 2 2 2" xfId="6100" xr:uid="{00000000-0005-0000-0000-00009D380000}"/>
    <cellStyle name="Normal 2 2 6 29 2 2 2 2 2" xfId="34320" xr:uid="{00000000-0005-0000-0000-00009E380000}"/>
    <cellStyle name="Normal 2 2 6 29 2 2 2 3" xfId="6101" xr:uid="{00000000-0005-0000-0000-00009F380000}"/>
    <cellStyle name="Normal 2 2 6 29 2 2 2 3 2" xfId="34321" xr:uid="{00000000-0005-0000-0000-0000A0380000}"/>
    <cellStyle name="Normal 2 2 6 29 2 2 2 4" xfId="34322" xr:uid="{00000000-0005-0000-0000-0000A1380000}"/>
    <cellStyle name="Normal 2 2 6 29 2 2 3" xfId="6102" xr:uid="{00000000-0005-0000-0000-0000A2380000}"/>
    <cellStyle name="Normal 2 2 6 29 2 2 3 2" xfId="34323" xr:uid="{00000000-0005-0000-0000-0000A3380000}"/>
    <cellStyle name="Normal 2 2 6 29 2 2 4" xfId="6103" xr:uid="{00000000-0005-0000-0000-0000A4380000}"/>
    <cellStyle name="Normal 2 2 6 29 2 2 4 2" xfId="34324" xr:uid="{00000000-0005-0000-0000-0000A5380000}"/>
    <cellStyle name="Normal 2 2 6 29 2 2 5" xfId="6104" xr:uid="{00000000-0005-0000-0000-0000A6380000}"/>
    <cellStyle name="Normal 2 2 6 29 2 2 5 2" xfId="34325" xr:uid="{00000000-0005-0000-0000-0000A7380000}"/>
    <cellStyle name="Normal 2 2 6 29 2 2 6" xfId="34326" xr:uid="{00000000-0005-0000-0000-0000A8380000}"/>
    <cellStyle name="Normal 2 2 6 29 2 2 6 2" xfId="34327" xr:uid="{00000000-0005-0000-0000-0000A9380000}"/>
    <cellStyle name="Normal 2 2 6 29 2 2 7" xfId="34328" xr:uid="{00000000-0005-0000-0000-0000AA380000}"/>
    <cellStyle name="Normal 2 2 6 29 2 3" xfId="6105" xr:uid="{00000000-0005-0000-0000-0000AB380000}"/>
    <cellStyle name="Normal 2 2 6 29 2 3 2" xfId="6106" xr:uid="{00000000-0005-0000-0000-0000AC380000}"/>
    <cellStyle name="Normal 2 2 6 29 2 3 2 2" xfId="34329" xr:uid="{00000000-0005-0000-0000-0000AD380000}"/>
    <cellStyle name="Normal 2 2 6 29 2 3 3" xfId="6107" xr:uid="{00000000-0005-0000-0000-0000AE380000}"/>
    <cellStyle name="Normal 2 2 6 29 2 3 3 2" xfId="34330" xr:uid="{00000000-0005-0000-0000-0000AF380000}"/>
    <cellStyle name="Normal 2 2 6 29 2 3 4" xfId="34331" xr:uid="{00000000-0005-0000-0000-0000B0380000}"/>
    <cellStyle name="Normal 2 2 6 29 2 4" xfId="6108" xr:uid="{00000000-0005-0000-0000-0000B1380000}"/>
    <cellStyle name="Normal 2 2 6 29 2 4 2" xfId="6109" xr:uid="{00000000-0005-0000-0000-0000B2380000}"/>
    <cellStyle name="Normal 2 2 6 29 2 4 2 2" xfId="34332" xr:uid="{00000000-0005-0000-0000-0000B3380000}"/>
    <cellStyle name="Normal 2 2 6 29 2 4 3" xfId="34333" xr:uid="{00000000-0005-0000-0000-0000B4380000}"/>
    <cellStyle name="Normal 2 2 6 29 2 5" xfId="6110" xr:uid="{00000000-0005-0000-0000-0000B5380000}"/>
    <cellStyle name="Normal 2 2 6 29 2 5 2" xfId="34334" xr:uid="{00000000-0005-0000-0000-0000B6380000}"/>
    <cellStyle name="Normal 2 2 6 29 2 6" xfId="6111" xr:uid="{00000000-0005-0000-0000-0000B7380000}"/>
    <cellStyle name="Normal 2 2 6 29 2 6 2" xfId="34335" xr:uid="{00000000-0005-0000-0000-0000B8380000}"/>
    <cellStyle name="Normal 2 2 6 29 2 7" xfId="34336" xr:uid="{00000000-0005-0000-0000-0000B9380000}"/>
    <cellStyle name="Normal 2 2 6 29 2 7 2" xfId="34337" xr:uid="{00000000-0005-0000-0000-0000BA380000}"/>
    <cellStyle name="Normal 2 2 6 29 2 8" xfId="34338" xr:uid="{00000000-0005-0000-0000-0000BB380000}"/>
    <cellStyle name="Normal 2 2 6 29 2 9" xfId="34339" xr:uid="{00000000-0005-0000-0000-0000BC380000}"/>
    <cellStyle name="Normal 2 2 6 29 3" xfId="6112" xr:uid="{00000000-0005-0000-0000-0000BD380000}"/>
    <cellStyle name="Normal 2 2 6 29 3 2" xfId="6113" xr:uid="{00000000-0005-0000-0000-0000BE380000}"/>
    <cellStyle name="Normal 2 2 6 29 3 2 2" xfId="6114" xr:uid="{00000000-0005-0000-0000-0000BF380000}"/>
    <cellStyle name="Normal 2 2 6 29 3 2 2 2" xfId="34340" xr:uid="{00000000-0005-0000-0000-0000C0380000}"/>
    <cellStyle name="Normal 2 2 6 29 3 2 3" xfId="6115" xr:uid="{00000000-0005-0000-0000-0000C1380000}"/>
    <cellStyle name="Normal 2 2 6 29 3 2 3 2" xfId="34341" xr:uid="{00000000-0005-0000-0000-0000C2380000}"/>
    <cellStyle name="Normal 2 2 6 29 3 2 4" xfId="34342" xr:uid="{00000000-0005-0000-0000-0000C3380000}"/>
    <cellStyle name="Normal 2 2 6 29 3 3" xfId="6116" xr:uid="{00000000-0005-0000-0000-0000C4380000}"/>
    <cellStyle name="Normal 2 2 6 29 3 3 2" xfId="34343" xr:uid="{00000000-0005-0000-0000-0000C5380000}"/>
    <cellStyle name="Normal 2 2 6 29 3 4" xfId="6117" xr:uid="{00000000-0005-0000-0000-0000C6380000}"/>
    <cellStyle name="Normal 2 2 6 29 3 4 2" xfId="34344" xr:uid="{00000000-0005-0000-0000-0000C7380000}"/>
    <cellStyle name="Normal 2 2 6 29 3 5" xfId="6118" xr:uid="{00000000-0005-0000-0000-0000C8380000}"/>
    <cellStyle name="Normal 2 2 6 29 3 5 2" xfId="34345" xr:uid="{00000000-0005-0000-0000-0000C9380000}"/>
    <cellStyle name="Normal 2 2 6 29 3 6" xfId="34346" xr:uid="{00000000-0005-0000-0000-0000CA380000}"/>
    <cellStyle name="Normal 2 2 6 29 3 6 2" xfId="34347" xr:uid="{00000000-0005-0000-0000-0000CB380000}"/>
    <cellStyle name="Normal 2 2 6 29 3 7" xfId="34348" xr:uid="{00000000-0005-0000-0000-0000CC380000}"/>
    <cellStyle name="Normal 2 2 6 29 4" xfId="6119" xr:uid="{00000000-0005-0000-0000-0000CD380000}"/>
    <cellStyle name="Normal 2 2 6 29 4 2" xfId="6120" xr:uid="{00000000-0005-0000-0000-0000CE380000}"/>
    <cellStyle name="Normal 2 2 6 29 4 2 2" xfId="34349" xr:uid="{00000000-0005-0000-0000-0000CF380000}"/>
    <cellStyle name="Normal 2 2 6 29 4 3" xfId="6121" xr:uid="{00000000-0005-0000-0000-0000D0380000}"/>
    <cellStyle name="Normal 2 2 6 29 4 3 2" xfId="34350" xr:uid="{00000000-0005-0000-0000-0000D1380000}"/>
    <cellStyle name="Normal 2 2 6 29 4 4" xfId="34351" xr:uid="{00000000-0005-0000-0000-0000D2380000}"/>
    <cellStyle name="Normal 2 2 6 29 5" xfId="6122" xr:uid="{00000000-0005-0000-0000-0000D3380000}"/>
    <cellStyle name="Normal 2 2 6 29 5 2" xfId="6123" xr:uid="{00000000-0005-0000-0000-0000D4380000}"/>
    <cellStyle name="Normal 2 2 6 29 5 2 2" xfId="34352" xr:uid="{00000000-0005-0000-0000-0000D5380000}"/>
    <cellStyle name="Normal 2 2 6 29 5 3" xfId="34353" xr:uid="{00000000-0005-0000-0000-0000D6380000}"/>
    <cellStyle name="Normal 2 2 6 29 6" xfId="6124" xr:uid="{00000000-0005-0000-0000-0000D7380000}"/>
    <cellStyle name="Normal 2 2 6 29 6 2" xfId="34354" xr:uid="{00000000-0005-0000-0000-0000D8380000}"/>
    <cellStyle name="Normal 2 2 6 29 7" xfId="6125" xr:uid="{00000000-0005-0000-0000-0000D9380000}"/>
    <cellStyle name="Normal 2 2 6 29 7 2" xfId="34355" xr:uid="{00000000-0005-0000-0000-0000DA380000}"/>
    <cellStyle name="Normal 2 2 6 29 8" xfId="34356" xr:uid="{00000000-0005-0000-0000-0000DB380000}"/>
    <cellStyle name="Normal 2 2 6 29 8 2" xfId="34357" xr:uid="{00000000-0005-0000-0000-0000DC380000}"/>
    <cellStyle name="Normal 2 2 6 29 9" xfId="34358" xr:uid="{00000000-0005-0000-0000-0000DD380000}"/>
    <cellStyle name="Normal 2 2 6 3" xfId="6126" xr:uid="{00000000-0005-0000-0000-0000DE380000}"/>
    <cellStyle name="Normal 2 2 6 3 10" xfId="34359" xr:uid="{00000000-0005-0000-0000-0000DF380000}"/>
    <cellStyle name="Normal 2 2 6 3 11" xfId="34360" xr:uid="{00000000-0005-0000-0000-0000E0380000}"/>
    <cellStyle name="Normal 2 2 6 3 2" xfId="6127" xr:uid="{00000000-0005-0000-0000-0000E1380000}"/>
    <cellStyle name="Normal 2 2 6 3 2 10" xfId="34361" xr:uid="{00000000-0005-0000-0000-0000E2380000}"/>
    <cellStyle name="Normal 2 2 6 3 2 2" xfId="6128" xr:uid="{00000000-0005-0000-0000-0000E3380000}"/>
    <cellStyle name="Normal 2 2 6 3 2 2 2" xfId="6129" xr:uid="{00000000-0005-0000-0000-0000E4380000}"/>
    <cellStyle name="Normal 2 2 6 3 2 2 2 2" xfId="6130" xr:uid="{00000000-0005-0000-0000-0000E5380000}"/>
    <cellStyle name="Normal 2 2 6 3 2 2 2 2 2" xfId="34362" xr:uid="{00000000-0005-0000-0000-0000E6380000}"/>
    <cellStyle name="Normal 2 2 6 3 2 2 2 3" xfId="6131" xr:uid="{00000000-0005-0000-0000-0000E7380000}"/>
    <cellStyle name="Normal 2 2 6 3 2 2 2 3 2" xfId="34363" xr:uid="{00000000-0005-0000-0000-0000E8380000}"/>
    <cellStyle name="Normal 2 2 6 3 2 2 2 4" xfId="34364" xr:uid="{00000000-0005-0000-0000-0000E9380000}"/>
    <cellStyle name="Normal 2 2 6 3 2 2 3" xfId="6132" xr:uid="{00000000-0005-0000-0000-0000EA380000}"/>
    <cellStyle name="Normal 2 2 6 3 2 2 3 2" xfId="34365" xr:uid="{00000000-0005-0000-0000-0000EB380000}"/>
    <cellStyle name="Normal 2 2 6 3 2 2 4" xfId="6133" xr:uid="{00000000-0005-0000-0000-0000EC380000}"/>
    <cellStyle name="Normal 2 2 6 3 2 2 4 2" xfId="34366" xr:uid="{00000000-0005-0000-0000-0000ED380000}"/>
    <cellStyle name="Normal 2 2 6 3 2 2 5" xfId="6134" xr:uid="{00000000-0005-0000-0000-0000EE380000}"/>
    <cellStyle name="Normal 2 2 6 3 2 2 5 2" xfId="34367" xr:uid="{00000000-0005-0000-0000-0000EF380000}"/>
    <cellStyle name="Normal 2 2 6 3 2 2 6" xfId="34368" xr:uid="{00000000-0005-0000-0000-0000F0380000}"/>
    <cellStyle name="Normal 2 2 6 3 2 2 6 2" xfId="34369" xr:uid="{00000000-0005-0000-0000-0000F1380000}"/>
    <cellStyle name="Normal 2 2 6 3 2 2 7" xfId="34370" xr:uid="{00000000-0005-0000-0000-0000F2380000}"/>
    <cellStyle name="Normal 2 2 6 3 2 3" xfId="6135" xr:uid="{00000000-0005-0000-0000-0000F3380000}"/>
    <cellStyle name="Normal 2 2 6 3 2 3 2" xfId="6136" xr:uid="{00000000-0005-0000-0000-0000F4380000}"/>
    <cellStyle name="Normal 2 2 6 3 2 3 2 2" xfId="34371" xr:uid="{00000000-0005-0000-0000-0000F5380000}"/>
    <cellStyle name="Normal 2 2 6 3 2 3 3" xfId="6137" xr:uid="{00000000-0005-0000-0000-0000F6380000}"/>
    <cellStyle name="Normal 2 2 6 3 2 3 3 2" xfId="34372" xr:uid="{00000000-0005-0000-0000-0000F7380000}"/>
    <cellStyle name="Normal 2 2 6 3 2 3 4" xfId="34373" xr:uid="{00000000-0005-0000-0000-0000F8380000}"/>
    <cellStyle name="Normal 2 2 6 3 2 4" xfId="6138" xr:uid="{00000000-0005-0000-0000-0000F9380000}"/>
    <cellStyle name="Normal 2 2 6 3 2 4 2" xfId="6139" xr:uid="{00000000-0005-0000-0000-0000FA380000}"/>
    <cellStyle name="Normal 2 2 6 3 2 4 2 2" xfId="34374" xr:uid="{00000000-0005-0000-0000-0000FB380000}"/>
    <cellStyle name="Normal 2 2 6 3 2 4 3" xfId="34375" xr:uid="{00000000-0005-0000-0000-0000FC380000}"/>
    <cellStyle name="Normal 2 2 6 3 2 5" xfId="6140" xr:uid="{00000000-0005-0000-0000-0000FD380000}"/>
    <cellStyle name="Normal 2 2 6 3 2 5 2" xfId="34376" xr:uid="{00000000-0005-0000-0000-0000FE380000}"/>
    <cellStyle name="Normal 2 2 6 3 2 6" xfId="6141" xr:uid="{00000000-0005-0000-0000-0000FF380000}"/>
    <cellStyle name="Normal 2 2 6 3 2 6 2" xfId="34377" xr:uid="{00000000-0005-0000-0000-000000390000}"/>
    <cellStyle name="Normal 2 2 6 3 2 7" xfId="34378" xr:uid="{00000000-0005-0000-0000-000001390000}"/>
    <cellStyle name="Normal 2 2 6 3 2 7 2" xfId="34379" xr:uid="{00000000-0005-0000-0000-000002390000}"/>
    <cellStyle name="Normal 2 2 6 3 2 8" xfId="34380" xr:uid="{00000000-0005-0000-0000-000003390000}"/>
    <cellStyle name="Normal 2 2 6 3 2 9" xfId="34381" xr:uid="{00000000-0005-0000-0000-000004390000}"/>
    <cellStyle name="Normal 2 2 6 3 3" xfId="6142" xr:uid="{00000000-0005-0000-0000-000005390000}"/>
    <cellStyle name="Normal 2 2 6 3 3 2" xfId="6143" xr:uid="{00000000-0005-0000-0000-000006390000}"/>
    <cellStyle name="Normal 2 2 6 3 3 2 2" xfId="6144" xr:uid="{00000000-0005-0000-0000-000007390000}"/>
    <cellStyle name="Normal 2 2 6 3 3 2 2 2" xfId="34382" xr:uid="{00000000-0005-0000-0000-000008390000}"/>
    <cellStyle name="Normal 2 2 6 3 3 2 3" xfId="6145" xr:uid="{00000000-0005-0000-0000-000009390000}"/>
    <cellStyle name="Normal 2 2 6 3 3 2 3 2" xfId="34383" xr:uid="{00000000-0005-0000-0000-00000A390000}"/>
    <cellStyle name="Normal 2 2 6 3 3 2 4" xfId="34384" xr:uid="{00000000-0005-0000-0000-00000B390000}"/>
    <cellStyle name="Normal 2 2 6 3 3 3" xfId="6146" xr:uid="{00000000-0005-0000-0000-00000C390000}"/>
    <cellStyle name="Normal 2 2 6 3 3 3 2" xfId="34385" xr:uid="{00000000-0005-0000-0000-00000D390000}"/>
    <cellStyle name="Normal 2 2 6 3 3 4" xfId="6147" xr:uid="{00000000-0005-0000-0000-00000E390000}"/>
    <cellStyle name="Normal 2 2 6 3 3 4 2" xfId="34386" xr:uid="{00000000-0005-0000-0000-00000F390000}"/>
    <cellStyle name="Normal 2 2 6 3 3 5" xfId="6148" xr:uid="{00000000-0005-0000-0000-000010390000}"/>
    <cellStyle name="Normal 2 2 6 3 3 5 2" xfId="34387" xr:uid="{00000000-0005-0000-0000-000011390000}"/>
    <cellStyle name="Normal 2 2 6 3 3 6" xfId="34388" xr:uid="{00000000-0005-0000-0000-000012390000}"/>
    <cellStyle name="Normal 2 2 6 3 3 6 2" xfId="34389" xr:uid="{00000000-0005-0000-0000-000013390000}"/>
    <cellStyle name="Normal 2 2 6 3 3 7" xfId="34390" xr:uid="{00000000-0005-0000-0000-000014390000}"/>
    <cellStyle name="Normal 2 2 6 3 4" xfId="6149" xr:uid="{00000000-0005-0000-0000-000015390000}"/>
    <cellStyle name="Normal 2 2 6 3 4 2" xfId="6150" xr:uid="{00000000-0005-0000-0000-000016390000}"/>
    <cellStyle name="Normal 2 2 6 3 4 2 2" xfId="34391" xr:uid="{00000000-0005-0000-0000-000017390000}"/>
    <cellStyle name="Normal 2 2 6 3 4 3" xfId="6151" xr:uid="{00000000-0005-0000-0000-000018390000}"/>
    <cellStyle name="Normal 2 2 6 3 4 3 2" xfId="34392" xr:uid="{00000000-0005-0000-0000-000019390000}"/>
    <cellStyle name="Normal 2 2 6 3 4 4" xfId="34393" xr:uid="{00000000-0005-0000-0000-00001A390000}"/>
    <cellStyle name="Normal 2 2 6 3 5" xfId="6152" xr:uid="{00000000-0005-0000-0000-00001B390000}"/>
    <cellStyle name="Normal 2 2 6 3 5 2" xfId="6153" xr:uid="{00000000-0005-0000-0000-00001C390000}"/>
    <cellStyle name="Normal 2 2 6 3 5 2 2" xfId="34394" xr:uid="{00000000-0005-0000-0000-00001D390000}"/>
    <cellStyle name="Normal 2 2 6 3 5 3" xfId="34395" xr:uid="{00000000-0005-0000-0000-00001E390000}"/>
    <cellStyle name="Normal 2 2 6 3 6" xfId="6154" xr:uid="{00000000-0005-0000-0000-00001F390000}"/>
    <cellStyle name="Normal 2 2 6 3 6 2" xfId="34396" xr:uid="{00000000-0005-0000-0000-000020390000}"/>
    <cellStyle name="Normal 2 2 6 3 7" xfId="6155" xr:uid="{00000000-0005-0000-0000-000021390000}"/>
    <cellStyle name="Normal 2 2 6 3 7 2" xfId="34397" xr:uid="{00000000-0005-0000-0000-000022390000}"/>
    <cellStyle name="Normal 2 2 6 3 8" xfId="34398" xr:uid="{00000000-0005-0000-0000-000023390000}"/>
    <cellStyle name="Normal 2 2 6 3 8 2" xfId="34399" xr:uid="{00000000-0005-0000-0000-000024390000}"/>
    <cellStyle name="Normal 2 2 6 3 9" xfId="34400" xr:uid="{00000000-0005-0000-0000-000025390000}"/>
    <cellStyle name="Normal 2 2 6 30" xfId="6156" xr:uid="{00000000-0005-0000-0000-000026390000}"/>
    <cellStyle name="Normal 2 2 6 30 10" xfId="34401" xr:uid="{00000000-0005-0000-0000-000027390000}"/>
    <cellStyle name="Normal 2 2 6 30 11" xfId="34402" xr:uid="{00000000-0005-0000-0000-000028390000}"/>
    <cellStyle name="Normal 2 2 6 30 2" xfId="6157" xr:uid="{00000000-0005-0000-0000-000029390000}"/>
    <cellStyle name="Normal 2 2 6 30 2 10" xfId="34403" xr:uid="{00000000-0005-0000-0000-00002A390000}"/>
    <cellStyle name="Normal 2 2 6 30 2 2" xfId="6158" xr:uid="{00000000-0005-0000-0000-00002B390000}"/>
    <cellStyle name="Normal 2 2 6 30 2 2 2" xfId="6159" xr:uid="{00000000-0005-0000-0000-00002C390000}"/>
    <cellStyle name="Normal 2 2 6 30 2 2 2 2" xfId="6160" xr:uid="{00000000-0005-0000-0000-00002D390000}"/>
    <cellStyle name="Normal 2 2 6 30 2 2 2 2 2" xfId="34404" xr:uid="{00000000-0005-0000-0000-00002E390000}"/>
    <cellStyle name="Normal 2 2 6 30 2 2 2 3" xfId="6161" xr:uid="{00000000-0005-0000-0000-00002F390000}"/>
    <cellStyle name="Normal 2 2 6 30 2 2 2 3 2" xfId="34405" xr:uid="{00000000-0005-0000-0000-000030390000}"/>
    <cellStyle name="Normal 2 2 6 30 2 2 2 4" xfId="34406" xr:uid="{00000000-0005-0000-0000-000031390000}"/>
    <cellStyle name="Normal 2 2 6 30 2 2 3" xfId="6162" xr:uid="{00000000-0005-0000-0000-000032390000}"/>
    <cellStyle name="Normal 2 2 6 30 2 2 3 2" xfId="34407" xr:uid="{00000000-0005-0000-0000-000033390000}"/>
    <cellStyle name="Normal 2 2 6 30 2 2 4" xfId="6163" xr:uid="{00000000-0005-0000-0000-000034390000}"/>
    <cellStyle name="Normal 2 2 6 30 2 2 4 2" xfId="34408" xr:uid="{00000000-0005-0000-0000-000035390000}"/>
    <cellStyle name="Normal 2 2 6 30 2 2 5" xfId="6164" xr:uid="{00000000-0005-0000-0000-000036390000}"/>
    <cellStyle name="Normal 2 2 6 30 2 2 5 2" xfId="34409" xr:uid="{00000000-0005-0000-0000-000037390000}"/>
    <cellStyle name="Normal 2 2 6 30 2 2 6" xfId="34410" xr:uid="{00000000-0005-0000-0000-000038390000}"/>
    <cellStyle name="Normal 2 2 6 30 2 2 6 2" xfId="34411" xr:uid="{00000000-0005-0000-0000-000039390000}"/>
    <cellStyle name="Normal 2 2 6 30 2 2 7" xfId="34412" xr:uid="{00000000-0005-0000-0000-00003A390000}"/>
    <cellStyle name="Normal 2 2 6 30 2 3" xfId="6165" xr:uid="{00000000-0005-0000-0000-00003B390000}"/>
    <cellStyle name="Normal 2 2 6 30 2 3 2" xfId="6166" xr:uid="{00000000-0005-0000-0000-00003C390000}"/>
    <cellStyle name="Normal 2 2 6 30 2 3 2 2" xfId="34413" xr:uid="{00000000-0005-0000-0000-00003D390000}"/>
    <cellStyle name="Normal 2 2 6 30 2 3 3" xfId="6167" xr:uid="{00000000-0005-0000-0000-00003E390000}"/>
    <cellStyle name="Normal 2 2 6 30 2 3 3 2" xfId="34414" xr:uid="{00000000-0005-0000-0000-00003F390000}"/>
    <cellStyle name="Normal 2 2 6 30 2 3 4" xfId="34415" xr:uid="{00000000-0005-0000-0000-000040390000}"/>
    <cellStyle name="Normal 2 2 6 30 2 4" xfId="6168" xr:uid="{00000000-0005-0000-0000-000041390000}"/>
    <cellStyle name="Normal 2 2 6 30 2 4 2" xfId="6169" xr:uid="{00000000-0005-0000-0000-000042390000}"/>
    <cellStyle name="Normal 2 2 6 30 2 4 2 2" xfId="34416" xr:uid="{00000000-0005-0000-0000-000043390000}"/>
    <cellStyle name="Normal 2 2 6 30 2 4 3" xfId="34417" xr:uid="{00000000-0005-0000-0000-000044390000}"/>
    <cellStyle name="Normal 2 2 6 30 2 5" xfId="6170" xr:uid="{00000000-0005-0000-0000-000045390000}"/>
    <cellStyle name="Normal 2 2 6 30 2 5 2" xfId="34418" xr:uid="{00000000-0005-0000-0000-000046390000}"/>
    <cellStyle name="Normal 2 2 6 30 2 6" xfId="6171" xr:uid="{00000000-0005-0000-0000-000047390000}"/>
    <cellStyle name="Normal 2 2 6 30 2 6 2" xfId="34419" xr:uid="{00000000-0005-0000-0000-000048390000}"/>
    <cellStyle name="Normal 2 2 6 30 2 7" xfId="34420" xr:uid="{00000000-0005-0000-0000-000049390000}"/>
    <cellStyle name="Normal 2 2 6 30 2 7 2" xfId="34421" xr:uid="{00000000-0005-0000-0000-00004A390000}"/>
    <cellStyle name="Normal 2 2 6 30 2 8" xfId="34422" xr:uid="{00000000-0005-0000-0000-00004B390000}"/>
    <cellStyle name="Normal 2 2 6 30 2 9" xfId="34423" xr:uid="{00000000-0005-0000-0000-00004C390000}"/>
    <cellStyle name="Normal 2 2 6 30 3" xfId="6172" xr:uid="{00000000-0005-0000-0000-00004D390000}"/>
    <cellStyle name="Normal 2 2 6 30 3 2" xfId="6173" xr:uid="{00000000-0005-0000-0000-00004E390000}"/>
    <cellStyle name="Normal 2 2 6 30 3 2 2" xfId="6174" xr:uid="{00000000-0005-0000-0000-00004F390000}"/>
    <cellStyle name="Normal 2 2 6 30 3 2 2 2" xfId="34424" xr:uid="{00000000-0005-0000-0000-000050390000}"/>
    <cellStyle name="Normal 2 2 6 30 3 2 3" xfId="6175" xr:uid="{00000000-0005-0000-0000-000051390000}"/>
    <cellStyle name="Normal 2 2 6 30 3 2 3 2" xfId="34425" xr:uid="{00000000-0005-0000-0000-000052390000}"/>
    <cellStyle name="Normal 2 2 6 30 3 2 4" xfId="34426" xr:uid="{00000000-0005-0000-0000-000053390000}"/>
    <cellStyle name="Normal 2 2 6 30 3 3" xfId="6176" xr:uid="{00000000-0005-0000-0000-000054390000}"/>
    <cellStyle name="Normal 2 2 6 30 3 3 2" xfId="34427" xr:uid="{00000000-0005-0000-0000-000055390000}"/>
    <cellStyle name="Normal 2 2 6 30 3 4" xfId="6177" xr:uid="{00000000-0005-0000-0000-000056390000}"/>
    <cellStyle name="Normal 2 2 6 30 3 4 2" xfId="34428" xr:uid="{00000000-0005-0000-0000-000057390000}"/>
    <cellStyle name="Normal 2 2 6 30 3 5" xfId="6178" xr:uid="{00000000-0005-0000-0000-000058390000}"/>
    <cellStyle name="Normal 2 2 6 30 3 5 2" xfId="34429" xr:uid="{00000000-0005-0000-0000-000059390000}"/>
    <cellStyle name="Normal 2 2 6 30 3 6" xfId="34430" xr:uid="{00000000-0005-0000-0000-00005A390000}"/>
    <cellStyle name="Normal 2 2 6 30 3 6 2" xfId="34431" xr:uid="{00000000-0005-0000-0000-00005B390000}"/>
    <cellStyle name="Normal 2 2 6 30 3 7" xfId="34432" xr:uid="{00000000-0005-0000-0000-00005C390000}"/>
    <cellStyle name="Normal 2 2 6 30 4" xfId="6179" xr:uid="{00000000-0005-0000-0000-00005D390000}"/>
    <cellStyle name="Normal 2 2 6 30 4 2" xfId="6180" xr:uid="{00000000-0005-0000-0000-00005E390000}"/>
    <cellStyle name="Normal 2 2 6 30 4 2 2" xfId="34433" xr:uid="{00000000-0005-0000-0000-00005F390000}"/>
    <cellStyle name="Normal 2 2 6 30 4 3" xfId="6181" xr:uid="{00000000-0005-0000-0000-000060390000}"/>
    <cellStyle name="Normal 2 2 6 30 4 3 2" xfId="34434" xr:uid="{00000000-0005-0000-0000-000061390000}"/>
    <cellStyle name="Normal 2 2 6 30 4 4" xfId="34435" xr:uid="{00000000-0005-0000-0000-000062390000}"/>
    <cellStyle name="Normal 2 2 6 30 5" xfId="6182" xr:uid="{00000000-0005-0000-0000-000063390000}"/>
    <cellStyle name="Normal 2 2 6 30 5 2" xfId="6183" xr:uid="{00000000-0005-0000-0000-000064390000}"/>
    <cellStyle name="Normal 2 2 6 30 5 2 2" xfId="34436" xr:uid="{00000000-0005-0000-0000-000065390000}"/>
    <cellStyle name="Normal 2 2 6 30 5 3" xfId="34437" xr:uid="{00000000-0005-0000-0000-000066390000}"/>
    <cellStyle name="Normal 2 2 6 30 6" xfId="6184" xr:uid="{00000000-0005-0000-0000-000067390000}"/>
    <cellStyle name="Normal 2 2 6 30 6 2" xfId="34438" xr:uid="{00000000-0005-0000-0000-000068390000}"/>
    <cellStyle name="Normal 2 2 6 30 7" xfId="6185" xr:uid="{00000000-0005-0000-0000-000069390000}"/>
    <cellStyle name="Normal 2 2 6 30 7 2" xfId="34439" xr:uid="{00000000-0005-0000-0000-00006A390000}"/>
    <cellStyle name="Normal 2 2 6 30 8" xfId="34440" xr:uid="{00000000-0005-0000-0000-00006B390000}"/>
    <cellStyle name="Normal 2 2 6 30 8 2" xfId="34441" xr:uid="{00000000-0005-0000-0000-00006C390000}"/>
    <cellStyle name="Normal 2 2 6 30 9" xfId="34442" xr:uid="{00000000-0005-0000-0000-00006D390000}"/>
    <cellStyle name="Normal 2 2 6 31" xfId="6186" xr:uid="{00000000-0005-0000-0000-00006E390000}"/>
    <cellStyle name="Normal 2 2 6 31 10" xfId="34443" xr:uid="{00000000-0005-0000-0000-00006F390000}"/>
    <cellStyle name="Normal 2 2 6 31 2" xfId="6187" xr:uid="{00000000-0005-0000-0000-000070390000}"/>
    <cellStyle name="Normal 2 2 6 31 2 2" xfId="6188" xr:uid="{00000000-0005-0000-0000-000071390000}"/>
    <cellStyle name="Normal 2 2 6 31 2 2 2" xfId="6189" xr:uid="{00000000-0005-0000-0000-000072390000}"/>
    <cellStyle name="Normal 2 2 6 31 2 2 2 2" xfId="34444" xr:uid="{00000000-0005-0000-0000-000073390000}"/>
    <cellStyle name="Normal 2 2 6 31 2 2 3" xfId="6190" xr:uid="{00000000-0005-0000-0000-000074390000}"/>
    <cellStyle name="Normal 2 2 6 31 2 2 3 2" xfId="34445" xr:uid="{00000000-0005-0000-0000-000075390000}"/>
    <cellStyle name="Normal 2 2 6 31 2 2 4" xfId="34446" xr:uid="{00000000-0005-0000-0000-000076390000}"/>
    <cellStyle name="Normal 2 2 6 31 2 3" xfId="6191" xr:uid="{00000000-0005-0000-0000-000077390000}"/>
    <cellStyle name="Normal 2 2 6 31 2 3 2" xfId="34447" xr:uid="{00000000-0005-0000-0000-000078390000}"/>
    <cellStyle name="Normal 2 2 6 31 2 4" xfId="6192" xr:uid="{00000000-0005-0000-0000-000079390000}"/>
    <cellStyle name="Normal 2 2 6 31 2 4 2" xfId="34448" xr:uid="{00000000-0005-0000-0000-00007A390000}"/>
    <cellStyle name="Normal 2 2 6 31 2 5" xfId="6193" xr:uid="{00000000-0005-0000-0000-00007B390000}"/>
    <cellStyle name="Normal 2 2 6 31 2 5 2" xfId="34449" xr:uid="{00000000-0005-0000-0000-00007C390000}"/>
    <cellStyle name="Normal 2 2 6 31 2 6" xfId="34450" xr:uid="{00000000-0005-0000-0000-00007D390000}"/>
    <cellStyle name="Normal 2 2 6 31 2 6 2" xfId="34451" xr:uid="{00000000-0005-0000-0000-00007E390000}"/>
    <cellStyle name="Normal 2 2 6 31 2 7" xfId="34452" xr:uid="{00000000-0005-0000-0000-00007F390000}"/>
    <cellStyle name="Normal 2 2 6 31 3" xfId="6194" xr:uid="{00000000-0005-0000-0000-000080390000}"/>
    <cellStyle name="Normal 2 2 6 31 3 2" xfId="6195" xr:uid="{00000000-0005-0000-0000-000081390000}"/>
    <cellStyle name="Normal 2 2 6 31 3 2 2" xfId="34453" xr:uid="{00000000-0005-0000-0000-000082390000}"/>
    <cellStyle name="Normal 2 2 6 31 3 3" xfId="6196" xr:uid="{00000000-0005-0000-0000-000083390000}"/>
    <cellStyle name="Normal 2 2 6 31 3 3 2" xfId="34454" xr:uid="{00000000-0005-0000-0000-000084390000}"/>
    <cellStyle name="Normal 2 2 6 31 3 4" xfId="34455" xr:uid="{00000000-0005-0000-0000-000085390000}"/>
    <cellStyle name="Normal 2 2 6 31 4" xfId="6197" xr:uid="{00000000-0005-0000-0000-000086390000}"/>
    <cellStyle name="Normal 2 2 6 31 4 2" xfId="6198" xr:uid="{00000000-0005-0000-0000-000087390000}"/>
    <cellStyle name="Normal 2 2 6 31 4 2 2" xfId="34456" xr:uid="{00000000-0005-0000-0000-000088390000}"/>
    <cellStyle name="Normal 2 2 6 31 4 3" xfId="34457" xr:uid="{00000000-0005-0000-0000-000089390000}"/>
    <cellStyle name="Normal 2 2 6 31 5" xfId="6199" xr:uid="{00000000-0005-0000-0000-00008A390000}"/>
    <cellStyle name="Normal 2 2 6 31 5 2" xfId="34458" xr:uid="{00000000-0005-0000-0000-00008B390000}"/>
    <cellStyle name="Normal 2 2 6 31 6" xfId="6200" xr:uid="{00000000-0005-0000-0000-00008C390000}"/>
    <cellStyle name="Normal 2 2 6 31 6 2" xfId="34459" xr:uid="{00000000-0005-0000-0000-00008D390000}"/>
    <cellStyle name="Normal 2 2 6 31 7" xfId="34460" xr:uid="{00000000-0005-0000-0000-00008E390000}"/>
    <cellStyle name="Normal 2 2 6 31 7 2" xfId="34461" xr:uid="{00000000-0005-0000-0000-00008F390000}"/>
    <cellStyle name="Normal 2 2 6 31 8" xfId="34462" xr:uid="{00000000-0005-0000-0000-000090390000}"/>
    <cellStyle name="Normal 2 2 6 31 9" xfId="34463" xr:uid="{00000000-0005-0000-0000-000091390000}"/>
    <cellStyle name="Normal 2 2 6 32" xfId="6201" xr:uid="{00000000-0005-0000-0000-000092390000}"/>
    <cellStyle name="Normal 2 2 6 32 2" xfId="6202" xr:uid="{00000000-0005-0000-0000-000093390000}"/>
    <cellStyle name="Normal 2 2 6 32 2 2" xfId="6203" xr:uid="{00000000-0005-0000-0000-000094390000}"/>
    <cellStyle name="Normal 2 2 6 32 2 2 2" xfId="34464" xr:uid="{00000000-0005-0000-0000-000095390000}"/>
    <cellStyle name="Normal 2 2 6 32 2 3" xfId="6204" xr:uid="{00000000-0005-0000-0000-000096390000}"/>
    <cellStyle name="Normal 2 2 6 32 2 3 2" xfId="34465" xr:uid="{00000000-0005-0000-0000-000097390000}"/>
    <cellStyle name="Normal 2 2 6 32 2 4" xfId="34466" xr:uid="{00000000-0005-0000-0000-000098390000}"/>
    <cellStyle name="Normal 2 2 6 32 3" xfId="6205" xr:uid="{00000000-0005-0000-0000-000099390000}"/>
    <cellStyle name="Normal 2 2 6 32 3 2" xfId="34467" xr:uid="{00000000-0005-0000-0000-00009A390000}"/>
    <cellStyle name="Normal 2 2 6 32 4" xfId="6206" xr:uid="{00000000-0005-0000-0000-00009B390000}"/>
    <cellStyle name="Normal 2 2 6 32 4 2" xfId="34468" xr:uid="{00000000-0005-0000-0000-00009C390000}"/>
    <cellStyle name="Normal 2 2 6 32 5" xfId="6207" xr:uid="{00000000-0005-0000-0000-00009D390000}"/>
    <cellStyle name="Normal 2 2 6 32 5 2" xfId="34469" xr:uid="{00000000-0005-0000-0000-00009E390000}"/>
    <cellStyle name="Normal 2 2 6 32 6" xfId="34470" xr:uid="{00000000-0005-0000-0000-00009F390000}"/>
    <cellStyle name="Normal 2 2 6 32 6 2" xfId="34471" xr:uid="{00000000-0005-0000-0000-0000A0390000}"/>
    <cellStyle name="Normal 2 2 6 32 7" xfId="34472" xr:uid="{00000000-0005-0000-0000-0000A1390000}"/>
    <cellStyle name="Normal 2 2 6 33" xfId="6208" xr:uid="{00000000-0005-0000-0000-0000A2390000}"/>
    <cellStyle name="Normal 2 2 6 33 2" xfId="6209" xr:uid="{00000000-0005-0000-0000-0000A3390000}"/>
    <cellStyle name="Normal 2 2 6 33 2 2" xfId="34473" xr:uid="{00000000-0005-0000-0000-0000A4390000}"/>
    <cellStyle name="Normal 2 2 6 33 3" xfId="6210" xr:uid="{00000000-0005-0000-0000-0000A5390000}"/>
    <cellStyle name="Normal 2 2 6 33 3 2" xfId="34474" xr:uid="{00000000-0005-0000-0000-0000A6390000}"/>
    <cellStyle name="Normal 2 2 6 33 4" xfId="34475" xr:uid="{00000000-0005-0000-0000-0000A7390000}"/>
    <cellStyle name="Normal 2 2 6 34" xfId="6211" xr:uid="{00000000-0005-0000-0000-0000A8390000}"/>
    <cellStyle name="Normal 2 2 6 34 2" xfId="6212" xr:uid="{00000000-0005-0000-0000-0000A9390000}"/>
    <cellStyle name="Normal 2 2 6 34 2 2" xfId="34476" xr:uid="{00000000-0005-0000-0000-0000AA390000}"/>
    <cellStyle name="Normal 2 2 6 34 3" xfId="34477" xr:uid="{00000000-0005-0000-0000-0000AB390000}"/>
    <cellStyle name="Normal 2 2 6 35" xfId="6213" xr:uid="{00000000-0005-0000-0000-0000AC390000}"/>
    <cellStyle name="Normal 2 2 6 35 2" xfId="34478" xr:uid="{00000000-0005-0000-0000-0000AD390000}"/>
    <cellStyle name="Normal 2 2 6 36" xfId="6214" xr:uid="{00000000-0005-0000-0000-0000AE390000}"/>
    <cellStyle name="Normal 2 2 6 36 2" xfId="34479" xr:uid="{00000000-0005-0000-0000-0000AF390000}"/>
    <cellStyle name="Normal 2 2 6 37" xfId="34480" xr:uid="{00000000-0005-0000-0000-0000B0390000}"/>
    <cellStyle name="Normal 2 2 6 37 2" xfId="34481" xr:uid="{00000000-0005-0000-0000-0000B1390000}"/>
    <cellStyle name="Normal 2 2 6 38" xfId="34482" xr:uid="{00000000-0005-0000-0000-0000B2390000}"/>
    <cellStyle name="Normal 2 2 6 39" xfId="34483" xr:uid="{00000000-0005-0000-0000-0000B3390000}"/>
    <cellStyle name="Normal 2 2 6 4" xfId="6215" xr:uid="{00000000-0005-0000-0000-0000B4390000}"/>
    <cellStyle name="Normal 2 2 6 4 10" xfId="34484" xr:uid="{00000000-0005-0000-0000-0000B5390000}"/>
    <cellStyle name="Normal 2 2 6 4 11" xfId="34485" xr:uid="{00000000-0005-0000-0000-0000B6390000}"/>
    <cellStyle name="Normal 2 2 6 4 2" xfId="6216" xr:uid="{00000000-0005-0000-0000-0000B7390000}"/>
    <cellStyle name="Normal 2 2 6 4 2 10" xfId="34486" xr:uid="{00000000-0005-0000-0000-0000B8390000}"/>
    <cellStyle name="Normal 2 2 6 4 2 2" xfId="6217" xr:uid="{00000000-0005-0000-0000-0000B9390000}"/>
    <cellStyle name="Normal 2 2 6 4 2 2 2" xfId="6218" xr:uid="{00000000-0005-0000-0000-0000BA390000}"/>
    <cellStyle name="Normal 2 2 6 4 2 2 2 2" xfId="6219" xr:uid="{00000000-0005-0000-0000-0000BB390000}"/>
    <cellStyle name="Normal 2 2 6 4 2 2 2 2 2" xfId="34487" xr:uid="{00000000-0005-0000-0000-0000BC390000}"/>
    <cellStyle name="Normal 2 2 6 4 2 2 2 3" xfId="6220" xr:uid="{00000000-0005-0000-0000-0000BD390000}"/>
    <cellStyle name="Normal 2 2 6 4 2 2 2 3 2" xfId="34488" xr:uid="{00000000-0005-0000-0000-0000BE390000}"/>
    <cellStyle name="Normal 2 2 6 4 2 2 2 4" xfId="34489" xr:uid="{00000000-0005-0000-0000-0000BF390000}"/>
    <cellStyle name="Normal 2 2 6 4 2 2 3" xfId="6221" xr:uid="{00000000-0005-0000-0000-0000C0390000}"/>
    <cellStyle name="Normal 2 2 6 4 2 2 3 2" xfId="34490" xr:uid="{00000000-0005-0000-0000-0000C1390000}"/>
    <cellStyle name="Normal 2 2 6 4 2 2 4" xfId="6222" xr:uid="{00000000-0005-0000-0000-0000C2390000}"/>
    <cellStyle name="Normal 2 2 6 4 2 2 4 2" xfId="34491" xr:uid="{00000000-0005-0000-0000-0000C3390000}"/>
    <cellStyle name="Normal 2 2 6 4 2 2 5" xfId="6223" xr:uid="{00000000-0005-0000-0000-0000C4390000}"/>
    <cellStyle name="Normal 2 2 6 4 2 2 5 2" xfId="34492" xr:uid="{00000000-0005-0000-0000-0000C5390000}"/>
    <cellStyle name="Normal 2 2 6 4 2 2 6" xfId="34493" xr:uid="{00000000-0005-0000-0000-0000C6390000}"/>
    <cellStyle name="Normal 2 2 6 4 2 2 6 2" xfId="34494" xr:uid="{00000000-0005-0000-0000-0000C7390000}"/>
    <cellStyle name="Normal 2 2 6 4 2 2 7" xfId="34495" xr:uid="{00000000-0005-0000-0000-0000C8390000}"/>
    <cellStyle name="Normal 2 2 6 4 2 3" xfId="6224" xr:uid="{00000000-0005-0000-0000-0000C9390000}"/>
    <cellStyle name="Normal 2 2 6 4 2 3 2" xfId="6225" xr:uid="{00000000-0005-0000-0000-0000CA390000}"/>
    <cellStyle name="Normal 2 2 6 4 2 3 2 2" xfId="34496" xr:uid="{00000000-0005-0000-0000-0000CB390000}"/>
    <cellStyle name="Normal 2 2 6 4 2 3 3" xfId="6226" xr:uid="{00000000-0005-0000-0000-0000CC390000}"/>
    <cellStyle name="Normal 2 2 6 4 2 3 3 2" xfId="34497" xr:uid="{00000000-0005-0000-0000-0000CD390000}"/>
    <cellStyle name="Normal 2 2 6 4 2 3 4" xfId="34498" xr:uid="{00000000-0005-0000-0000-0000CE390000}"/>
    <cellStyle name="Normal 2 2 6 4 2 4" xfId="6227" xr:uid="{00000000-0005-0000-0000-0000CF390000}"/>
    <cellStyle name="Normal 2 2 6 4 2 4 2" xfId="6228" xr:uid="{00000000-0005-0000-0000-0000D0390000}"/>
    <cellStyle name="Normal 2 2 6 4 2 4 2 2" xfId="34499" xr:uid="{00000000-0005-0000-0000-0000D1390000}"/>
    <cellStyle name="Normal 2 2 6 4 2 4 3" xfId="34500" xr:uid="{00000000-0005-0000-0000-0000D2390000}"/>
    <cellStyle name="Normal 2 2 6 4 2 5" xfId="6229" xr:uid="{00000000-0005-0000-0000-0000D3390000}"/>
    <cellStyle name="Normal 2 2 6 4 2 5 2" xfId="34501" xr:uid="{00000000-0005-0000-0000-0000D4390000}"/>
    <cellStyle name="Normal 2 2 6 4 2 6" xfId="6230" xr:uid="{00000000-0005-0000-0000-0000D5390000}"/>
    <cellStyle name="Normal 2 2 6 4 2 6 2" xfId="34502" xr:uid="{00000000-0005-0000-0000-0000D6390000}"/>
    <cellStyle name="Normal 2 2 6 4 2 7" xfId="34503" xr:uid="{00000000-0005-0000-0000-0000D7390000}"/>
    <cellStyle name="Normal 2 2 6 4 2 7 2" xfId="34504" xr:uid="{00000000-0005-0000-0000-0000D8390000}"/>
    <cellStyle name="Normal 2 2 6 4 2 8" xfId="34505" xr:uid="{00000000-0005-0000-0000-0000D9390000}"/>
    <cellStyle name="Normal 2 2 6 4 2 9" xfId="34506" xr:uid="{00000000-0005-0000-0000-0000DA390000}"/>
    <cellStyle name="Normal 2 2 6 4 3" xfId="6231" xr:uid="{00000000-0005-0000-0000-0000DB390000}"/>
    <cellStyle name="Normal 2 2 6 4 3 2" xfId="6232" xr:uid="{00000000-0005-0000-0000-0000DC390000}"/>
    <cellStyle name="Normal 2 2 6 4 3 2 2" xfId="6233" xr:uid="{00000000-0005-0000-0000-0000DD390000}"/>
    <cellStyle name="Normal 2 2 6 4 3 2 2 2" xfId="34507" xr:uid="{00000000-0005-0000-0000-0000DE390000}"/>
    <cellStyle name="Normal 2 2 6 4 3 2 3" xfId="6234" xr:uid="{00000000-0005-0000-0000-0000DF390000}"/>
    <cellStyle name="Normal 2 2 6 4 3 2 3 2" xfId="34508" xr:uid="{00000000-0005-0000-0000-0000E0390000}"/>
    <cellStyle name="Normal 2 2 6 4 3 2 4" xfId="34509" xr:uid="{00000000-0005-0000-0000-0000E1390000}"/>
    <cellStyle name="Normal 2 2 6 4 3 3" xfId="6235" xr:uid="{00000000-0005-0000-0000-0000E2390000}"/>
    <cellStyle name="Normal 2 2 6 4 3 3 2" xfId="34510" xr:uid="{00000000-0005-0000-0000-0000E3390000}"/>
    <cellStyle name="Normal 2 2 6 4 3 4" xfId="6236" xr:uid="{00000000-0005-0000-0000-0000E4390000}"/>
    <cellStyle name="Normal 2 2 6 4 3 4 2" xfId="34511" xr:uid="{00000000-0005-0000-0000-0000E5390000}"/>
    <cellStyle name="Normal 2 2 6 4 3 5" xfId="6237" xr:uid="{00000000-0005-0000-0000-0000E6390000}"/>
    <cellStyle name="Normal 2 2 6 4 3 5 2" xfId="34512" xr:uid="{00000000-0005-0000-0000-0000E7390000}"/>
    <cellStyle name="Normal 2 2 6 4 3 6" xfId="34513" xr:uid="{00000000-0005-0000-0000-0000E8390000}"/>
    <cellStyle name="Normal 2 2 6 4 3 6 2" xfId="34514" xr:uid="{00000000-0005-0000-0000-0000E9390000}"/>
    <cellStyle name="Normal 2 2 6 4 3 7" xfId="34515" xr:uid="{00000000-0005-0000-0000-0000EA390000}"/>
    <cellStyle name="Normal 2 2 6 4 4" xfId="6238" xr:uid="{00000000-0005-0000-0000-0000EB390000}"/>
    <cellStyle name="Normal 2 2 6 4 4 2" xfId="6239" xr:uid="{00000000-0005-0000-0000-0000EC390000}"/>
    <cellStyle name="Normal 2 2 6 4 4 2 2" xfId="34516" xr:uid="{00000000-0005-0000-0000-0000ED390000}"/>
    <cellStyle name="Normal 2 2 6 4 4 3" xfId="6240" xr:uid="{00000000-0005-0000-0000-0000EE390000}"/>
    <cellStyle name="Normal 2 2 6 4 4 3 2" xfId="34517" xr:uid="{00000000-0005-0000-0000-0000EF390000}"/>
    <cellStyle name="Normal 2 2 6 4 4 4" xfId="34518" xr:uid="{00000000-0005-0000-0000-0000F0390000}"/>
    <cellStyle name="Normal 2 2 6 4 5" xfId="6241" xr:uid="{00000000-0005-0000-0000-0000F1390000}"/>
    <cellStyle name="Normal 2 2 6 4 5 2" xfId="6242" xr:uid="{00000000-0005-0000-0000-0000F2390000}"/>
    <cellStyle name="Normal 2 2 6 4 5 2 2" xfId="34519" xr:uid="{00000000-0005-0000-0000-0000F3390000}"/>
    <cellStyle name="Normal 2 2 6 4 5 3" xfId="34520" xr:uid="{00000000-0005-0000-0000-0000F4390000}"/>
    <cellStyle name="Normal 2 2 6 4 6" xfId="6243" xr:uid="{00000000-0005-0000-0000-0000F5390000}"/>
    <cellStyle name="Normal 2 2 6 4 6 2" xfId="34521" xr:uid="{00000000-0005-0000-0000-0000F6390000}"/>
    <cellStyle name="Normal 2 2 6 4 7" xfId="6244" xr:uid="{00000000-0005-0000-0000-0000F7390000}"/>
    <cellStyle name="Normal 2 2 6 4 7 2" xfId="34522" xr:uid="{00000000-0005-0000-0000-0000F8390000}"/>
    <cellStyle name="Normal 2 2 6 4 8" xfId="34523" xr:uid="{00000000-0005-0000-0000-0000F9390000}"/>
    <cellStyle name="Normal 2 2 6 4 8 2" xfId="34524" xr:uid="{00000000-0005-0000-0000-0000FA390000}"/>
    <cellStyle name="Normal 2 2 6 4 9" xfId="34525" xr:uid="{00000000-0005-0000-0000-0000FB390000}"/>
    <cellStyle name="Normal 2 2 6 40" xfId="34526" xr:uid="{00000000-0005-0000-0000-0000FC390000}"/>
    <cellStyle name="Normal 2 2 6 5" xfId="6245" xr:uid="{00000000-0005-0000-0000-0000FD390000}"/>
    <cellStyle name="Normal 2 2 6 5 10" xfId="34527" xr:uid="{00000000-0005-0000-0000-0000FE390000}"/>
    <cellStyle name="Normal 2 2 6 5 11" xfId="34528" xr:uid="{00000000-0005-0000-0000-0000FF390000}"/>
    <cellStyle name="Normal 2 2 6 5 2" xfId="6246" xr:uid="{00000000-0005-0000-0000-0000003A0000}"/>
    <cellStyle name="Normal 2 2 6 5 2 10" xfId="34529" xr:uid="{00000000-0005-0000-0000-0000013A0000}"/>
    <cellStyle name="Normal 2 2 6 5 2 2" xfId="6247" xr:uid="{00000000-0005-0000-0000-0000023A0000}"/>
    <cellStyle name="Normal 2 2 6 5 2 2 2" xfId="6248" xr:uid="{00000000-0005-0000-0000-0000033A0000}"/>
    <cellStyle name="Normal 2 2 6 5 2 2 2 2" xfId="6249" xr:uid="{00000000-0005-0000-0000-0000043A0000}"/>
    <cellStyle name="Normal 2 2 6 5 2 2 2 2 2" xfId="34530" xr:uid="{00000000-0005-0000-0000-0000053A0000}"/>
    <cellStyle name="Normal 2 2 6 5 2 2 2 3" xfId="6250" xr:uid="{00000000-0005-0000-0000-0000063A0000}"/>
    <cellStyle name="Normal 2 2 6 5 2 2 2 3 2" xfId="34531" xr:uid="{00000000-0005-0000-0000-0000073A0000}"/>
    <cellStyle name="Normal 2 2 6 5 2 2 2 4" xfId="34532" xr:uid="{00000000-0005-0000-0000-0000083A0000}"/>
    <cellStyle name="Normal 2 2 6 5 2 2 3" xfId="6251" xr:uid="{00000000-0005-0000-0000-0000093A0000}"/>
    <cellStyle name="Normal 2 2 6 5 2 2 3 2" xfId="34533" xr:uid="{00000000-0005-0000-0000-00000A3A0000}"/>
    <cellStyle name="Normal 2 2 6 5 2 2 4" xfId="6252" xr:uid="{00000000-0005-0000-0000-00000B3A0000}"/>
    <cellStyle name="Normal 2 2 6 5 2 2 4 2" xfId="34534" xr:uid="{00000000-0005-0000-0000-00000C3A0000}"/>
    <cellStyle name="Normal 2 2 6 5 2 2 5" xfId="6253" xr:uid="{00000000-0005-0000-0000-00000D3A0000}"/>
    <cellStyle name="Normal 2 2 6 5 2 2 5 2" xfId="34535" xr:uid="{00000000-0005-0000-0000-00000E3A0000}"/>
    <cellStyle name="Normal 2 2 6 5 2 2 6" xfId="34536" xr:uid="{00000000-0005-0000-0000-00000F3A0000}"/>
    <cellStyle name="Normal 2 2 6 5 2 2 6 2" xfId="34537" xr:uid="{00000000-0005-0000-0000-0000103A0000}"/>
    <cellStyle name="Normal 2 2 6 5 2 2 7" xfId="34538" xr:uid="{00000000-0005-0000-0000-0000113A0000}"/>
    <cellStyle name="Normal 2 2 6 5 2 3" xfId="6254" xr:uid="{00000000-0005-0000-0000-0000123A0000}"/>
    <cellStyle name="Normal 2 2 6 5 2 3 2" xfId="6255" xr:uid="{00000000-0005-0000-0000-0000133A0000}"/>
    <cellStyle name="Normal 2 2 6 5 2 3 2 2" xfId="34539" xr:uid="{00000000-0005-0000-0000-0000143A0000}"/>
    <cellStyle name="Normal 2 2 6 5 2 3 3" xfId="6256" xr:uid="{00000000-0005-0000-0000-0000153A0000}"/>
    <cellStyle name="Normal 2 2 6 5 2 3 3 2" xfId="34540" xr:uid="{00000000-0005-0000-0000-0000163A0000}"/>
    <cellStyle name="Normal 2 2 6 5 2 3 4" xfId="34541" xr:uid="{00000000-0005-0000-0000-0000173A0000}"/>
    <cellStyle name="Normal 2 2 6 5 2 4" xfId="6257" xr:uid="{00000000-0005-0000-0000-0000183A0000}"/>
    <cellStyle name="Normal 2 2 6 5 2 4 2" xfId="6258" xr:uid="{00000000-0005-0000-0000-0000193A0000}"/>
    <cellStyle name="Normal 2 2 6 5 2 4 2 2" xfId="34542" xr:uid="{00000000-0005-0000-0000-00001A3A0000}"/>
    <cellStyle name="Normal 2 2 6 5 2 4 3" xfId="34543" xr:uid="{00000000-0005-0000-0000-00001B3A0000}"/>
    <cellStyle name="Normal 2 2 6 5 2 5" xfId="6259" xr:uid="{00000000-0005-0000-0000-00001C3A0000}"/>
    <cellStyle name="Normal 2 2 6 5 2 5 2" xfId="34544" xr:uid="{00000000-0005-0000-0000-00001D3A0000}"/>
    <cellStyle name="Normal 2 2 6 5 2 6" xfId="6260" xr:uid="{00000000-0005-0000-0000-00001E3A0000}"/>
    <cellStyle name="Normal 2 2 6 5 2 6 2" xfId="34545" xr:uid="{00000000-0005-0000-0000-00001F3A0000}"/>
    <cellStyle name="Normal 2 2 6 5 2 7" xfId="34546" xr:uid="{00000000-0005-0000-0000-0000203A0000}"/>
    <cellStyle name="Normal 2 2 6 5 2 7 2" xfId="34547" xr:uid="{00000000-0005-0000-0000-0000213A0000}"/>
    <cellStyle name="Normal 2 2 6 5 2 8" xfId="34548" xr:uid="{00000000-0005-0000-0000-0000223A0000}"/>
    <cellStyle name="Normal 2 2 6 5 2 9" xfId="34549" xr:uid="{00000000-0005-0000-0000-0000233A0000}"/>
    <cellStyle name="Normal 2 2 6 5 3" xfId="6261" xr:uid="{00000000-0005-0000-0000-0000243A0000}"/>
    <cellStyle name="Normal 2 2 6 5 3 2" xfId="6262" xr:uid="{00000000-0005-0000-0000-0000253A0000}"/>
    <cellStyle name="Normal 2 2 6 5 3 2 2" xfId="6263" xr:uid="{00000000-0005-0000-0000-0000263A0000}"/>
    <cellStyle name="Normal 2 2 6 5 3 2 2 2" xfId="34550" xr:uid="{00000000-0005-0000-0000-0000273A0000}"/>
    <cellStyle name="Normal 2 2 6 5 3 2 3" xfId="6264" xr:uid="{00000000-0005-0000-0000-0000283A0000}"/>
    <cellStyle name="Normal 2 2 6 5 3 2 3 2" xfId="34551" xr:uid="{00000000-0005-0000-0000-0000293A0000}"/>
    <cellStyle name="Normal 2 2 6 5 3 2 4" xfId="34552" xr:uid="{00000000-0005-0000-0000-00002A3A0000}"/>
    <cellStyle name="Normal 2 2 6 5 3 3" xfId="6265" xr:uid="{00000000-0005-0000-0000-00002B3A0000}"/>
    <cellStyle name="Normal 2 2 6 5 3 3 2" xfId="34553" xr:uid="{00000000-0005-0000-0000-00002C3A0000}"/>
    <cellStyle name="Normal 2 2 6 5 3 4" xfId="6266" xr:uid="{00000000-0005-0000-0000-00002D3A0000}"/>
    <cellStyle name="Normal 2 2 6 5 3 4 2" xfId="34554" xr:uid="{00000000-0005-0000-0000-00002E3A0000}"/>
    <cellStyle name="Normal 2 2 6 5 3 5" xfId="6267" xr:uid="{00000000-0005-0000-0000-00002F3A0000}"/>
    <cellStyle name="Normal 2 2 6 5 3 5 2" xfId="34555" xr:uid="{00000000-0005-0000-0000-0000303A0000}"/>
    <cellStyle name="Normal 2 2 6 5 3 6" xfId="34556" xr:uid="{00000000-0005-0000-0000-0000313A0000}"/>
    <cellStyle name="Normal 2 2 6 5 3 6 2" xfId="34557" xr:uid="{00000000-0005-0000-0000-0000323A0000}"/>
    <cellStyle name="Normal 2 2 6 5 3 7" xfId="34558" xr:uid="{00000000-0005-0000-0000-0000333A0000}"/>
    <cellStyle name="Normal 2 2 6 5 4" xfId="6268" xr:uid="{00000000-0005-0000-0000-0000343A0000}"/>
    <cellStyle name="Normal 2 2 6 5 4 2" xfId="6269" xr:uid="{00000000-0005-0000-0000-0000353A0000}"/>
    <cellStyle name="Normal 2 2 6 5 4 2 2" xfId="34559" xr:uid="{00000000-0005-0000-0000-0000363A0000}"/>
    <cellStyle name="Normal 2 2 6 5 4 3" xfId="6270" xr:uid="{00000000-0005-0000-0000-0000373A0000}"/>
    <cellStyle name="Normal 2 2 6 5 4 3 2" xfId="34560" xr:uid="{00000000-0005-0000-0000-0000383A0000}"/>
    <cellStyle name="Normal 2 2 6 5 4 4" xfId="34561" xr:uid="{00000000-0005-0000-0000-0000393A0000}"/>
    <cellStyle name="Normal 2 2 6 5 5" xfId="6271" xr:uid="{00000000-0005-0000-0000-00003A3A0000}"/>
    <cellStyle name="Normal 2 2 6 5 5 2" xfId="6272" xr:uid="{00000000-0005-0000-0000-00003B3A0000}"/>
    <cellStyle name="Normal 2 2 6 5 5 2 2" xfId="34562" xr:uid="{00000000-0005-0000-0000-00003C3A0000}"/>
    <cellStyle name="Normal 2 2 6 5 5 3" xfId="34563" xr:uid="{00000000-0005-0000-0000-00003D3A0000}"/>
    <cellStyle name="Normal 2 2 6 5 6" xfId="6273" xr:uid="{00000000-0005-0000-0000-00003E3A0000}"/>
    <cellStyle name="Normal 2 2 6 5 6 2" xfId="34564" xr:uid="{00000000-0005-0000-0000-00003F3A0000}"/>
    <cellStyle name="Normal 2 2 6 5 7" xfId="6274" xr:uid="{00000000-0005-0000-0000-0000403A0000}"/>
    <cellStyle name="Normal 2 2 6 5 7 2" xfId="34565" xr:uid="{00000000-0005-0000-0000-0000413A0000}"/>
    <cellStyle name="Normal 2 2 6 5 8" xfId="34566" xr:uid="{00000000-0005-0000-0000-0000423A0000}"/>
    <cellStyle name="Normal 2 2 6 5 8 2" xfId="34567" xr:uid="{00000000-0005-0000-0000-0000433A0000}"/>
    <cellStyle name="Normal 2 2 6 5 9" xfId="34568" xr:uid="{00000000-0005-0000-0000-0000443A0000}"/>
    <cellStyle name="Normal 2 2 6 6" xfId="6275" xr:uid="{00000000-0005-0000-0000-0000453A0000}"/>
    <cellStyle name="Normal 2 2 6 6 10" xfId="34569" xr:uid="{00000000-0005-0000-0000-0000463A0000}"/>
    <cellStyle name="Normal 2 2 6 6 11" xfId="34570" xr:uid="{00000000-0005-0000-0000-0000473A0000}"/>
    <cellStyle name="Normal 2 2 6 6 2" xfId="6276" xr:uid="{00000000-0005-0000-0000-0000483A0000}"/>
    <cellStyle name="Normal 2 2 6 6 2 10" xfId="34571" xr:uid="{00000000-0005-0000-0000-0000493A0000}"/>
    <cellStyle name="Normal 2 2 6 6 2 2" xfId="6277" xr:uid="{00000000-0005-0000-0000-00004A3A0000}"/>
    <cellStyle name="Normal 2 2 6 6 2 2 2" xfId="6278" xr:uid="{00000000-0005-0000-0000-00004B3A0000}"/>
    <cellStyle name="Normal 2 2 6 6 2 2 2 2" xfId="6279" xr:uid="{00000000-0005-0000-0000-00004C3A0000}"/>
    <cellStyle name="Normal 2 2 6 6 2 2 2 2 2" xfId="34572" xr:uid="{00000000-0005-0000-0000-00004D3A0000}"/>
    <cellStyle name="Normal 2 2 6 6 2 2 2 3" xfId="6280" xr:uid="{00000000-0005-0000-0000-00004E3A0000}"/>
    <cellStyle name="Normal 2 2 6 6 2 2 2 3 2" xfId="34573" xr:uid="{00000000-0005-0000-0000-00004F3A0000}"/>
    <cellStyle name="Normal 2 2 6 6 2 2 2 4" xfId="34574" xr:uid="{00000000-0005-0000-0000-0000503A0000}"/>
    <cellStyle name="Normal 2 2 6 6 2 2 3" xfId="6281" xr:uid="{00000000-0005-0000-0000-0000513A0000}"/>
    <cellStyle name="Normal 2 2 6 6 2 2 3 2" xfId="34575" xr:uid="{00000000-0005-0000-0000-0000523A0000}"/>
    <cellStyle name="Normal 2 2 6 6 2 2 4" xfId="6282" xr:uid="{00000000-0005-0000-0000-0000533A0000}"/>
    <cellStyle name="Normal 2 2 6 6 2 2 4 2" xfId="34576" xr:uid="{00000000-0005-0000-0000-0000543A0000}"/>
    <cellStyle name="Normal 2 2 6 6 2 2 5" xfId="6283" xr:uid="{00000000-0005-0000-0000-0000553A0000}"/>
    <cellStyle name="Normal 2 2 6 6 2 2 5 2" xfId="34577" xr:uid="{00000000-0005-0000-0000-0000563A0000}"/>
    <cellStyle name="Normal 2 2 6 6 2 2 6" xfId="34578" xr:uid="{00000000-0005-0000-0000-0000573A0000}"/>
    <cellStyle name="Normal 2 2 6 6 2 2 6 2" xfId="34579" xr:uid="{00000000-0005-0000-0000-0000583A0000}"/>
    <cellStyle name="Normal 2 2 6 6 2 2 7" xfId="34580" xr:uid="{00000000-0005-0000-0000-0000593A0000}"/>
    <cellStyle name="Normal 2 2 6 6 2 3" xfId="6284" xr:uid="{00000000-0005-0000-0000-00005A3A0000}"/>
    <cellStyle name="Normal 2 2 6 6 2 3 2" xfId="6285" xr:uid="{00000000-0005-0000-0000-00005B3A0000}"/>
    <cellStyle name="Normal 2 2 6 6 2 3 2 2" xfId="34581" xr:uid="{00000000-0005-0000-0000-00005C3A0000}"/>
    <cellStyle name="Normal 2 2 6 6 2 3 3" xfId="6286" xr:uid="{00000000-0005-0000-0000-00005D3A0000}"/>
    <cellStyle name="Normal 2 2 6 6 2 3 3 2" xfId="34582" xr:uid="{00000000-0005-0000-0000-00005E3A0000}"/>
    <cellStyle name="Normal 2 2 6 6 2 3 4" xfId="34583" xr:uid="{00000000-0005-0000-0000-00005F3A0000}"/>
    <cellStyle name="Normal 2 2 6 6 2 4" xfId="6287" xr:uid="{00000000-0005-0000-0000-0000603A0000}"/>
    <cellStyle name="Normal 2 2 6 6 2 4 2" xfId="6288" xr:uid="{00000000-0005-0000-0000-0000613A0000}"/>
    <cellStyle name="Normal 2 2 6 6 2 4 2 2" xfId="34584" xr:uid="{00000000-0005-0000-0000-0000623A0000}"/>
    <cellStyle name="Normal 2 2 6 6 2 4 3" xfId="34585" xr:uid="{00000000-0005-0000-0000-0000633A0000}"/>
    <cellStyle name="Normal 2 2 6 6 2 5" xfId="6289" xr:uid="{00000000-0005-0000-0000-0000643A0000}"/>
    <cellStyle name="Normal 2 2 6 6 2 5 2" xfId="34586" xr:uid="{00000000-0005-0000-0000-0000653A0000}"/>
    <cellStyle name="Normal 2 2 6 6 2 6" xfId="6290" xr:uid="{00000000-0005-0000-0000-0000663A0000}"/>
    <cellStyle name="Normal 2 2 6 6 2 6 2" xfId="34587" xr:uid="{00000000-0005-0000-0000-0000673A0000}"/>
    <cellStyle name="Normal 2 2 6 6 2 7" xfId="34588" xr:uid="{00000000-0005-0000-0000-0000683A0000}"/>
    <cellStyle name="Normal 2 2 6 6 2 7 2" xfId="34589" xr:uid="{00000000-0005-0000-0000-0000693A0000}"/>
    <cellStyle name="Normal 2 2 6 6 2 8" xfId="34590" xr:uid="{00000000-0005-0000-0000-00006A3A0000}"/>
    <cellStyle name="Normal 2 2 6 6 2 9" xfId="34591" xr:uid="{00000000-0005-0000-0000-00006B3A0000}"/>
    <cellStyle name="Normal 2 2 6 6 3" xfId="6291" xr:uid="{00000000-0005-0000-0000-00006C3A0000}"/>
    <cellStyle name="Normal 2 2 6 6 3 2" xfId="6292" xr:uid="{00000000-0005-0000-0000-00006D3A0000}"/>
    <cellStyle name="Normal 2 2 6 6 3 2 2" xfId="6293" xr:uid="{00000000-0005-0000-0000-00006E3A0000}"/>
    <cellStyle name="Normal 2 2 6 6 3 2 2 2" xfId="34592" xr:uid="{00000000-0005-0000-0000-00006F3A0000}"/>
    <cellStyle name="Normal 2 2 6 6 3 2 3" xfId="6294" xr:uid="{00000000-0005-0000-0000-0000703A0000}"/>
    <cellStyle name="Normal 2 2 6 6 3 2 3 2" xfId="34593" xr:uid="{00000000-0005-0000-0000-0000713A0000}"/>
    <cellStyle name="Normal 2 2 6 6 3 2 4" xfId="34594" xr:uid="{00000000-0005-0000-0000-0000723A0000}"/>
    <cellStyle name="Normal 2 2 6 6 3 3" xfId="6295" xr:uid="{00000000-0005-0000-0000-0000733A0000}"/>
    <cellStyle name="Normal 2 2 6 6 3 3 2" xfId="34595" xr:uid="{00000000-0005-0000-0000-0000743A0000}"/>
    <cellStyle name="Normal 2 2 6 6 3 4" xfId="6296" xr:uid="{00000000-0005-0000-0000-0000753A0000}"/>
    <cellStyle name="Normal 2 2 6 6 3 4 2" xfId="34596" xr:uid="{00000000-0005-0000-0000-0000763A0000}"/>
    <cellStyle name="Normal 2 2 6 6 3 5" xfId="6297" xr:uid="{00000000-0005-0000-0000-0000773A0000}"/>
    <cellStyle name="Normal 2 2 6 6 3 5 2" xfId="34597" xr:uid="{00000000-0005-0000-0000-0000783A0000}"/>
    <cellStyle name="Normal 2 2 6 6 3 6" xfId="34598" xr:uid="{00000000-0005-0000-0000-0000793A0000}"/>
    <cellStyle name="Normal 2 2 6 6 3 6 2" xfId="34599" xr:uid="{00000000-0005-0000-0000-00007A3A0000}"/>
    <cellStyle name="Normal 2 2 6 6 3 7" xfId="34600" xr:uid="{00000000-0005-0000-0000-00007B3A0000}"/>
    <cellStyle name="Normal 2 2 6 6 4" xfId="6298" xr:uid="{00000000-0005-0000-0000-00007C3A0000}"/>
    <cellStyle name="Normal 2 2 6 6 4 2" xfId="6299" xr:uid="{00000000-0005-0000-0000-00007D3A0000}"/>
    <cellStyle name="Normal 2 2 6 6 4 2 2" xfId="34601" xr:uid="{00000000-0005-0000-0000-00007E3A0000}"/>
    <cellStyle name="Normal 2 2 6 6 4 3" xfId="6300" xr:uid="{00000000-0005-0000-0000-00007F3A0000}"/>
    <cellStyle name="Normal 2 2 6 6 4 3 2" xfId="34602" xr:uid="{00000000-0005-0000-0000-0000803A0000}"/>
    <cellStyle name="Normal 2 2 6 6 4 4" xfId="34603" xr:uid="{00000000-0005-0000-0000-0000813A0000}"/>
    <cellStyle name="Normal 2 2 6 6 5" xfId="6301" xr:uid="{00000000-0005-0000-0000-0000823A0000}"/>
    <cellStyle name="Normal 2 2 6 6 5 2" xfId="6302" xr:uid="{00000000-0005-0000-0000-0000833A0000}"/>
    <cellStyle name="Normal 2 2 6 6 5 2 2" xfId="34604" xr:uid="{00000000-0005-0000-0000-0000843A0000}"/>
    <cellStyle name="Normal 2 2 6 6 5 3" xfId="34605" xr:uid="{00000000-0005-0000-0000-0000853A0000}"/>
    <cellStyle name="Normal 2 2 6 6 6" xfId="6303" xr:uid="{00000000-0005-0000-0000-0000863A0000}"/>
    <cellStyle name="Normal 2 2 6 6 6 2" xfId="34606" xr:uid="{00000000-0005-0000-0000-0000873A0000}"/>
    <cellStyle name="Normal 2 2 6 6 7" xfId="6304" xr:uid="{00000000-0005-0000-0000-0000883A0000}"/>
    <cellStyle name="Normal 2 2 6 6 7 2" xfId="34607" xr:uid="{00000000-0005-0000-0000-0000893A0000}"/>
    <cellStyle name="Normal 2 2 6 6 8" xfId="34608" xr:uid="{00000000-0005-0000-0000-00008A3A0000}"/>
    <cellStyle name="Normal 2 2 6 6 8 2" xfId="34609" xr:uid="{00000000-0005-0000-0000-00008B3A0000}"/>
    <cellStyle name="Normal 2 2 6 6 9" xfId="34610" xr:uid="{00000000-0005-0000-0000-00008C3A0000}"/>
    <cellStyle name="Normal 2 2 6 7" xfId="6305" xr:uid="{00000000-0005-0000-0000-00008D3A0000}"/>
    <cellStyle name="Normal 2 2 6 7 10" xfId="34611" xr:uid="{00000000-0005-0000-0000-00008E3A0000}"/>
    <cellStyle name="Normal 2 2 6 7 11" xfId="34612" xr:uid="{00000000-0005-0000-0000-00008F3A0000}"/>
    <cellStyle name="Normal 2 2 6 7 2" xfId="6306" xr:uid="{00000000-0005-0000-0000-0000903A0000}"/>
    <cellStyle name="Normal 2 2 6 7 2 10" xfId="34613" xr:uid="{00000000-0005-0000-0000-0000913A0000}"/>
    <cellStyle name="Normal 2 2 6 7 2 2" xfId="6307" xr:uid="{00000000-0005-0000-0000-0000923A0000}"/>
    <cellStyle name="Normal 2 2 6 7 2 2 2" xfId="6308" xr:uid="{00000000-0005-0000-0000-0000933A0000}"/>
    <cellStyle name="Normal 2 2 6 7 2 2 2 2" xfId="6309" xr:uid="{00000000-0005-0000-0000-0000943A0000}"/>
    <cellStyle name="Normal 2 2 6 7 2 2 2 2 2" xfId="34614" xr:uid="{00000000-0005-0000-0000-0000953A0000}"/>
    <cellStyle name="Normal 2 2 6 7 2 2 2 3" xfId="6310" xr:uid="{00000000-0005-0000-0000-0000963A0000}"/>
    <cellStyle name="Normal 2 2 6 7 2 2 2 3 2" xfId="34615" xr:uid="{00000000-0005-0000-0000-0000973A0000}"/>
    <cellStyle name="Normal 2 2 6 7 2 2 2 4" xfId="34616" xr:uid="{00000000-0005-0000-0000-0000983A0000}"/>
    <cellStyle name="Normal 2 2 6 7 2 2 3" xfId="6311" xr:uid="{00000000-0005-0000-0000-0000993A0000}"/>
    <cellStyle name="Normal 2 2 6 7 2 2 3 2" xfId="34617" xr:uid="{00000000-0005-0000-0000-00009A3A0000}"/>
    <cellStyle name="Normal 2 2 6 7 2 2 4" xfId="6312" xr:uid="{00000000-0005-0000-0000-00009B3A0000}"/>
    <cellStyle name="Normal 2 2 6 7 2 2 4 2" xfId="34618" xr:uid="{00000000-0005-0000-0000-00009C3A0000}"/>
    <cellStyle name="Normal 2 2 6 7 2 2 5" xfId="6313" xr:uid="{00000000-0005-0000-0000-00009D3A0000}"/>
    <cellStyle name="Normal 2 2 6 7 2 2 5 2" xfId="34619" xr:uid="{00000000-0005-0000-0000-00009E3A0000}"/>
    <cellStyle name="Normal 2 2 6 7 2 2 6" xfId="34620" xr:uid="{00000000-0005-0000-0000-00009F3A0000}"/>
    <cellStyle name="Normal 2 2 6 7 2 2 6 2" xfId="34621" xr:uid="{00000000-0005-0000-0000-0000A03A0000}"/>
    <cellStyle name="Normal 2 2 6 7 2 2 7" xfId="34622" xr:uid="{00000000-0005-0000-0000-0000A13A0000}"/>
    <cellStyle name="Normal 2 2 6 7 2 3" xfId="6314" xr:uid="{00000000-0005-0000-0000-0000A23A0000}"/>
    <cellStyle name="Normal 2 2 6 7 2 3 2" xfId="6315" xr:uid="{00000000-0005-0000-0000-0000A33A0000}"/>
    <cellStyle name="Normal 2 2 6 7 2 3 2 2" xfId="34623" xr:uid="{00000000-0005-0000-0000-0000A43A0000}"/>
    <cellStyle name="Normal 2 2 6 7 2 3 3" xfId="6316" xr:uid="{00000000-0005-0000-0000-0000A53A0000}"/>
    <cellStyle name="Normal 2 2 6 7 2 3 3 2" xfId="34624" xr:uid="{00000000-0005-0000-0000-0000A63A0000}"/>
    <cellStyle name="Normal 2 2 6 7 2 3 4" xfId="34625" xr:uid="{00000000-0005-0000-0000-0000A73A0000}"/>
    <cellStyle name="Normal 2 2 6 7 2 4" xfId="6317" xr:uid="{00000000-0005-0000-0000-0000A83A0000}"/>
    <cellStyle name="Normal 2 2 6 7 2 4 2" xfId="6318" xr:uid="{00000000-0005-0000-0000-0000A93A0000}"/>
    <cellStyle name="Normal 2 2 6 7 2 4 2 2" xfId="34626" xr:uid="{00000000-0005-0000-0000-0000AA3A0000}"/>
    <cellStyle name="Normal 2 2 6 7 2 4 3" xfId="34627" xr:uid="{00000000-0005-0000-0000-0000AB3A0000}"/>
    <cellStyle name="Normal 2 2 6 7 2 5" xfId="6319" xr:uid="{00000000-0005-0000-0000-0000AC3A0000}"/>
    <cellStyle name="Normal 2 2 6 7 2 5 2" xfId="34628" xr:uid="{00000000-0005-0000-0000-0000AD3A0000}"/>
    <cellStyle name="Normal 2 2 6 7 2 6" xfId="6320" xr:uid="{00000000-0005-0000-0000-0000AE3A0000}"/>
    <cellStyle name="Normal 2 2 6 7 2 6 2" xfId="34629" xr:uid="{00000000-0005-0000-0000-0000AF3A0000}"/>
    <cellStyle name="Normal 2 2 6 7 2 7" xfId="34630" xr:uid="{00000000-0005-0000-0000-0000B03A0000}"/>
    <cellStyle name="Normal 2 2 6 7 2 7 2" xfId="34631" xr:uid="{00000000-0005-0000-0000-0000B13A0000}"/>
    <cellStyle name="Normal 2 2 6 7 2 8" xfId="34632" xr:uid="{00000000-0005-0000-0000-0000B23A0000}"/>
    <cellStyle name="Normal 2 2 6 7 2 9" xfId="34633" xr:uid="{00000000-0005-0000-0000-0000B33A0000}"/>
    <cellStyle name="Normal 2 2 6 7 3" xfId="6321" xr:uid="{00000000-0005-0000-0000-0000B43A0000}"/>
    <cellStyle name="Normal 2 2 6 7 3 2" xfId="6322" xr:uid="{00000000-0005-0000-0000-0000B53A0000}"/>
    <cellStyle name="Normal 2 2 6 7 3 2 2" xfId="6323" xr:uid="{00000000-0005-0000-0000-0000B63A0000}"/>
    <cellStyle name="Normal 2 2 6 7 3 2 2 2" xfId="34634" xr:uid="{00000000-0005-0000-0000-0000B73A0000}"/>
    <cellStyle name="Normal 2 2 6 7 3 2 3" xfId="6324" xr:uid="{00000000-0005-0000-0000-0000B83A0000}"/>
    <cellStyle name="Normal 2 2 6 7 3 2 3 2" xfId="34635" xr:uid="{00000000-0005-0000-0000-0000B93A0000}"/>
    <cellStyle name="Normal 2 2 6 7 3 2 4" xfId="34636" xr:uid="{00000000-0005-0000-0000-0000BA3A0000}"/>
    <cellStyle name="Normal 2 2 6 7 3 3" xfId="6325" xr:uid="{00000000-0005-0000-0000-0000BB3A0000}"/>
    <cellStyle name="Normal 2 2 6 7 3 3 2" xfId="34637" xr:uid="{00000000-0005-0000-0000-0000BC3A0000}"/>
    <cellStyle name="Normal 2 2 6 7 3 4" xfId="6326" xr:uid="{00000000-0005-0000-0000-0000BD3A0000}"/>
    <cellStyle name="Normal 2 2 6 7 3 4 2" xfId="34638" xr:uid="{00000000-0005-0000-0000-0000BE3A0000}"/>
    <cellStyle name="Normal 2 2 6 7 3 5" xfId="6327" xr:uid="{00000000-0005-0000-0000-0000BF3A0000}"/>
    <cellStyle name="Normal 2 2 6 7 3 5 2" xfId="34639" xr:uid="{00000000-0005-0000-0000-0000C03A0000}"/>
    <cellStyle name="Normal 2 2 6 7 3 6" xfId="34640" xr:uid="{00000000-0005-0000-0000-0000C13A0000}"/>
    <cellStyle name="Normal 2 2 6 7 3 6 2" xfId="34641" xr:uid="{00000000-0005-0000-0000-0000C23A0000}"/>
    <cellStyle name="Normal 2 2 6 7 3 7" xfId="34642" xr:uid="{00000000-0005-0000-0000-0000C33A0000}"/>
    <cellStyle name="Normal 2 2 6 7 4" xfId="6328" xr:uid="{00000000-0005-0000-0000-0000C43A0000}"/>
    <cellStyle name="Normal 2 2 6 7 4 2" xfId="6329" xr:uid="{00000000-0005-0000-0000-0000C53A0000}"/>
    <cellStyle name="Normal 2 2 6 7 4 2 2" xfId="34643" xr:uid="{00000000-0005-0000-0000-0000C63A0000}"/>
    <cellStyle name="Normal 2 2 6 7 4 3" xfId="6330" xr:uid="{00000000-0005-0000-0000-0000C73A0000}"/>
    <cellStyle name="Normal 2 2 6 7 4 3 2" xfId="34644" xr:uid="{00000000-0005-0000-0000-0000C83A0000}"/>
    <cellStyle name="Normal 2 2 6 7 4 4" xfId="34645" xr:uid="{00000000-0005-0000-0000-0000C93A0000}"/>
    <cellStyle name="Normal 2 2 6 7 5" xfId="6331" xr:uid="{00000000-0005-0000-0000-0000CA3A0000}"/>
    <cellStyle name="Normal 2 2 6 7 5 2" xfId="6332" xr:uid="{00000000-0005-0000-0000-0000CB3A0000}"/>
    <cellStyle name="Normal 2 2 6 7 5 2 2" xfId="34646" xr:uid="{00000000-0005-0000-0000-0000CC3A0000}"/>
    <cellStyle name="Normal 2 2 6 7 5 3" xfId="34647" xr:uid="{00000000-0005-0000-0000-0000CD3A0000}"/>
    <cellStyle name="Normal 2 2 6 7 6" xfId="6333" xr:uid="{00000000-0005-0000-0000-0000CE3A0000}"/>
    <cellStyle name="Normal 2 2 6 7 6 2" xfId="34648" xr:uid="{00000000-0005-0000-0000-0000CF3A0000}"/>
    <cellStyle name="Normal 2 2 6 7 7" xfId="6334" xr:uid="{00000000-0005-0000-0000-0000D03A0000}"/>
    <cellStyle name="Normal 2 2 6 7 7 2" xfId="34649" xr:uid="{00000000-0005-0000-0000-0000D13A0000}"/>
    <cellStyle name="Normal 2 2 6 7 8" xfId="34650" xr:uid="{00000000-0005-0000-0000-0000D23A0000}"/>
    <cellStyle name="Normal 2 2 6 7 8 2" xfId="34651" xr:uid="{00000000-0005-0000-0000-0000D33A0000}"/>
    <cellStyle name="Normal 2 2 6 7 9" xfId="34652" xr:uid="{00000000-0005-0000-0000-0000D43A0000}"/>
    <cellStyle name="Normal 2 2 6 8" xfId="6335" xr:uid="{00000000-0005-0000-0000-0000D53A0000}"/>
    <cellStyle name="Normal 2 2 6 8 10" xfId="34653" xr:uid="{00000000-0005-0000-0000-0000D63A0000}"/>
    <cellStyle name="Normal 2 2 6 8 11" xfId="34654" xr:uid="{00000000-0005-0000-0000-0000D73A0000}"/>
    <cellStyle name="Normal 2 2 6 8 2" xfId="6336" xr:uid="{00000000-0005-0000-0000-0000D83A0000}"/>
    <cellStyle name="Normal 2 2 6 8 2 10" xfId="34655" xr:uid="{00000000-0005-0000-0000-0000D93A0000}"/>
    <cellStyle name="Normal 2 2 6 8 2 2" xfId="6337" xr:uid="{00000000-0005-0000-0000-0000DA3A0000}"/>
    <cellStyle name="Normal 2 2 6 8 2 2 2" xfId="6338" xr:uid="{00000000-0005-0000-0000-0000DB3A0000}"/>
    <cellStyle name="Normal 2 2 6 8 2 2 2 2" xfId="6339" xr:uid="{00000000-0005-0000-0000-0000DC3A0000}"/>
    <cellStyle name="Normal 2 2 6 8 2 2 2 2 2" xfId="34656" xr:uid="{00000000-0005-0000-0000-0000DD3A0000}"/>
    <cellStyle name="Normal 2 2 6 8 2 2 2 3" xfId="6340" xr:uid="{00000000-0005-0000-0000-0000DE3A0000}"/>
    <cellStyle name="Normal 2 2 6 8 2 2 2 3 2" xfId="34657" xr:uid="{00000000-0005-0000-0000-0000DF3A0000}"/>
    <cellStyle name="Normal 2 2 6 8 2 2 2 4" xfId="34658" xr:uid="{00000000-0005-0000-0000-0000E03A0000}"/>
    <cellStyle name="Normal 2 2 6 8 2 2 3" xfId="6341" xr:uid="{00000000-0005-0000-0000-0000E13A0000}"/>
    <cellStyle name="Normal 2 2 6 8 2 2 3 2" xfId="34659" xr:uid="{00000000-0005-0000-0000-0000E23A0000}"/>
    <cellStyle name="Normal 2 2 6 8 2 2 4" xfId="6342" xr:uid="{00000000-0005-0000-0000-0000E33A0000}"/>
    <cellStyle name="Normal 2 2 6 8 2 2 4 2" xfId="34660" xr:uid="{00000000-0005-0000-0000-0000E43A0000}"/>
    <cellStyle name="Normal 2 2 6 8 2 2 5" xfId="6343" xr:uid="{00000000-0005-0000-0000-0000E53A0000}"/>
    <cellStyle name="Normal 2 2 6 8 2 2 5 2" xfId="34661" xr:uid="{00000000-0005-0000-0000-0000E63A0000}"/>
    <cellStyle name="Normal 2 2 6 8 2 2 6" xfId="34662" xr:uid="{00000000-0005-0000-0000-0000E73A0000}"/>
    <cellStyle name="Normal 2 2 6 8 2 2 6 2" xfId="34663" xr:uid="{00000000-0005-0000-0000-0000E83A0000}"/>
    <cellStyle name="Normal 2 2 6 8 2 2 7" xfId="34664" xr:uid="{00000000-0005-0000-0000-0000E93A0000}"/>
    <cellStyle name="Normal 2 2 6 8 2 3" xfId="6344" xr:uid="{00000000-0005-0000-0000-0000EA3A0000}"/>
    <cellStyle name="Normal 2 2 6 8 2 3 2" xfId="6345" xr:uid="{00000000-0005-0000-0000-0000EB3A0000}"/>
    <cellStyle name="Normal 2 2 6 8 2 3 2 2" xfId="34665" xr:uid="{00000000-0005-0000-0000-0000EC3A0000}"/>
    <cellStyle name="Normal 2 2 6 8 2 3 3" xfId="6346" xr:uid="{00000000-0005-0000-0000-0000ED3A0000}"/>
    <cellStyle name="Normal 2 2 6 8 2 3 3 2" xfId="34666" xr:uid="{00000000-0005-0000-0000-0000EE3A0000}"/>
    <cellStyle name="Normal 2 2 6 8 2 3 4" xfId="34667" xr:uid="{00000000-0005-0000-0000-0000EF3A0000}"/>
    <cellStyle name="Normal 2 2 6 8 2 4" xfId="6347" xr:uid="{00000000-0005-0000-0000-0000F03A0000}"/>
    <cellStyle name="Normal 2 2 6 8 2 4 2" xfId="6348" xr:uid="{00000000-0005-0000-0000-0000F13A0000}"/>
    <cellStyle name="Normal 2 2 6 8 2 4 2 2" xfId="34668" xr:uid="{00000000-0005-0000-0000-0000F23A0000}"/>
    <cellStyle name="Normal 2 2 6 8 2 4 3" xfId="34669" xr:uid="{00000000-0005-0000-0000-0000F33A0000}"/>
    <cellStyle name="Normal 2 2 6 8 2 5" xfId="6349" xr:uid="{00000000-0005-0000-0000-0000F43A0000}"/>
    <cellStyle name="Normal 2 2 6 8 2 5 2" xfId="34670" xr:uid="{00000000-0005-0000-0000-0000F53A0000}"/>
    <cellStyle name="Normal 2 2 6 8 2 6" xfId="6350" xr:uid="{00000000-0005-0000-0000-0000F63A0000}"/>
    <cellStyle name="Normal 2 2 6 8 2 6 2" xfId="34671" xr:uid="{00000000-0005-0000-0000-0000F73A0000}"/>
    <cellStyle name="Normal 2 2 6 8 2 7" xfId="34672" xr:uid="{00000000-0005-0000-0000-0000F83A0000}"/>
    <cellStyle name="Normal 2 2 6 8 2 7 2" xfId="34673" xr:uid="{00000000-0005-0000-0000-0000F93A0000}"/>
    <cellStyle name="Normal 2 2 6 8 2 8" xfId="34674" xr:uid="{00000000-0005-0000-0000-0000FA3A0000}"/>
    <cellStyle name="Normal 2 2 6 8 2 9" xfId="34675" xr:uid="{00000000-0005-0000-0000-0000FB3A0000}"/>
    <cellStyle name="Normal 2 2 6 8 3" xfId="6351" xr:uid="{00000000-0005-0000-0000-0000FC3A0000}"/>
    <cellStyle name="Normal 2 2 6 8 3 2" xfId="6352" xr:uid="{00000000-0005-0000-0000-0000FD3A0000}"/>
    <cellStyle name="Normal 2 2 6 8 3 2 2" xfId="6353" xr:uid="{00000000-0005-0000-0000-0000FE3A0000}"/>
    <cellStyle name="Normal 2 2 6 8 3 2 2 2" xfId="34676" xr:uid="{00000000-0005-0000-0000-0000FF3A0000}"/>
    <cellStyle name="Normal 2 2 6 8 3 2 3" xfId="6354" xr:uid="{00000000-0005-0000-0000-0000003B0000}"/>
    <cellStyle name="Normal 2 2 6 8 3 2 3 2" xfId="34677" xr:uid="{00000000-0005-0000-0000-0000013B0000}"/>
    <cellStyle name="Normal 2 2 6 8 3 2 4" xfId="34678" xr:uid="{00000000-0005-0000-0000-0000023B0000}"/>
    <cellStyle name="Normal 2 2 6 8 3 3" xfId="6355" xr:uid="{00000000-0005-0000-0000-0000033B0000}"/>
    <cellStyle name="Normal 2 2 6 8 3 3 2" xfId="34679" xr:uid="{00000000-0005-0000-0000-0000043B0000}"/>
    <cellStyle name="Normal 2 2 6 8 3 4" xfId="6356" xr:uid="{00000000-0005-0000-0000-0000053B0000}"/>
    <cellStyle name="Normal 2 2 6 8 3 4 2" xfId="34680" xr:uid="{00000000-0005-0000-0000-0000063B0000}"/>
    <cellStyle name="Normal 2 2 6 8 3 5" xfId="6357" xr:uid="{00000000-0005-0000-0000-0000073B0000}"/>
    <cellStyle name="Normal 2 2 6 8 3 5 2" xfId="34681" xr:uid="{00000000-0005-0000-0000-0000083B0000}"/>
    <cellStyle name="Normal 2 2 6 8 3 6" xfId="34682" xr:uid="{00000000-0005-0000-0000-0000093B0000}"/>
    <cellStyle name="Normal 2 2 6 8 3 6 2" xfId="34683" xr:uid="{00000000-0005-0000-0000-00000A3B0000}"/>
    <cellStyle name="Normal 2 2 6 8 3 7" xfId="34684" xr:uid="{00000000-0005-0000-0000-00000B3B0000}"/>
    <cellStyle name="Normal 2 2 6 8 4" xfId="6358" xr:uid="{00000000-0005-0000-0000-00000C3B0000}"/>
    <cellStyle name="Normal 2 2 6 8 4 2" xfId="6359" xr:uid="{00000000-0005-0000-0000-00000D3B0000}"/>
    <cellStyle name="Normal 2 2 6 8 4 2 2" xfId="34685" xr:uid="{00000000-0005-0000-0000-00000E3B0000}"/>
    <cellStyle name="Normal 2 2 6 8 4 3" xfId="6360" xr:uid="{00000000-0005-0000-0000-00000F3B0000}"/>
    <cellStyle name="Normal 2 2 6 8 4 3 2" xfId="34686" xr:uid="{00000000-0005-0000-0000-0000103B0000}"/>
    <cellStyle name="Normal 2 2 6 8 4 4" xfId="34687" xr:uid="{00000000-0005-0000-0000-0000113B0000}"/>
    <cellStyle name="Normal 2 2 6 8 5" xfId="6361" xr:uid="{00000000-0005-0000-0000-0000123B0000}"/>
    <cellStyle name="Normal 2 2 6 8 5 2" xfId="6362" xr:uid="{00000000-0005-0000-0000-0000133B0000}"/>
    <cellStyle name="Normal 2 2 6 8 5 2 2" xfId="34688" xr:uid="{00000000-0005-0000-0000-0000143B0000}"/>
    <cellStyle name="Normal 2 2 6 8 5 3" xfId="34689" xr:uid="{00000000-0005-0000-0000-0000153B0000}"/>
    <cellStyle name="Normal 2 2 6 8 6" xfId="6363" xr:uid="{00000000-0005-0000-0000-0000163B0000}"/>
    <cellStyle name="Normal 2 2 6 8 6 2" xfId="34690" xr:uid="{00000000-0005-0000-0000-0000173B0000}"/>
    <cellStyle name="Normal 2 2 6 8 7" xfId="6364" xr:uid="{00000000-0005-0000-0000-0000183B0000}"/>
    <cellStyle name="Normal 2 2 6 8 7 2" xfId="34691" xr:uid="{00000000-0005-0000-0000-0000193B0000}"/>
    <cellStyle name="Normal 2 2 6 8 8" xfId="34692" xr:uid="{00000000-0005-0000-0000-00001A3B0000}"/>
    <cellStyle name="Normal 2 2 6 8 8 2" xfId="34693" xr:uid="{00000000-0005-0000-0000-00001B3B0000}"/>
    <cellStyle name="Normal 2 2 6 8 9" xfId="34694" xr:uid="{00000000-0005-0000-0000-00001C3B0000}"/>
    <cellStyle name="Normal 2 2 6 9" xfId="6365" xr:uid="{00000000-0005-0000-0000-00001D3B0000}"/>
    <cellStyle name="Normal 2 2 6 9 10" xfId="34695" xr:uid="{00000000-0005-0000-0000-00001E3B0000}"/>
    <cellStyle name="Normal 2 2 6 9 11" xfId="34696" xr:uid="{00000000-0005-0000-0000-00001F3B0000}"/>
    <cellStyle name="Normal 2 2 6 9 2" xfId="6366" xr:uid="{00000000-0005-0000-0000-0000203B0000}"/>
    <cellStyle name="Normal 2 2 6 9 2 10" xfId="34697" xr:uid="{00000000-0005-0000-0000-0000213B0000}"/>
    <cellStyle name="Normal 2 2 6 9 2 2" xfId="6367" xr:uid="{00000000-0005-0000-0000-0000223B0000}"/>
    <cellStyle name="Normal 2 2 6 9 2 2 2" xfId="6368" xr:uid="{00000000-0005-0000-0000-0000233B0000}"/>
    <cellStyle name="Normal 2 2 6 9 2 2 2 2" xfId="6369" xr:uid="{00000000-0005-0000-0000-0000243B0000}"/>
    <cellStyle name="Normal 2 2 6 9 2 2 2 2 2" xfId="34698" xr:uid="{00000000-0005-0000-0000-0000253B0000}"/>
    <cellStyle name="Normal 2 2 6 9 2 2 2 3" xfId="6370" xr:uid="{00000000-0005-0000-0000-0000263B0000}"/>
    <cellStyle name="Normal 2 2 6 9 2 2 2 3 2" xfId="34699" xr:uid="{00000000-0005-0000-0000-0000273B0000}"/>
    <cellStyle name="Normal 2 2 6 9 2 2 2 4" xfId="34700" xr:uid="{00000000-0005-0000-0000-0000283B0000}"/>
    <cellStyle name="Normal 2 2 6 9 2 2 3" xfId="6371" xr:uid="{00000000-0005-0000-0000-0000293B0000}"/>
    <cellStyle name="Normal 2 2 6 9 2 2 3 2" xfId="34701" xr:uid="{00000000-0005-0000-0000-00002A3B0000}"/>
    <cellStyle name="Normal 2 2 6 9 2 2 4" xfId="6372" xr:uid="{00000000-0005-0000-0000-00002B3B0000}"/>
    <cellStyle name="Normal 2 2 6 9 2 2 4 2" xfId="34702" xr:uid="{00000000-0005-0000-0000-00002C3B0000}"/>
    <cellStyle name="Normal 2 2 6 9 2 2 5" xfId="6373" xr:uid="{00000000-0005-0000-0000-00002D3B0000}"/>
    <cellStyle name="Normal 2 2 6 9 2 2 5 2" xfId="34703" xr:uid="{00000000-0005-0000-0000-00002E3B0000}"/>
    <cellStyle name="Normal 2 2 6 9 2 2 6" xfId="34704" xr:uid="{00000000-0005-0000-0000-00002F3B0000}"/>
    <cellStyle name="Normal 2 2 6 9 2 2 6 2" xfId="34705" xr:uid="{00000000-0005-0000-0000-0000303B0000}"/>
    <cellStyle name="Normal 2 2 6 9 2 2 7" xfId="34706" xr:uid="{00000000-0005-0000-0000-0000313B0000}"/>
    <cellStyle name="Normal 2 2 6 9 2 3" xfId="6374" xr:uid="{00000000-0005-0000-0000-0000323B0000}"/>
    <cellStyle name="Normal 2 2 6 9 2 3 2" xfId="6375" xr:uid="{00000000-0005-0000-0000-0000333B0000}"/>
    <cellStyle name="Normal 2 2 6 9 2 3 2 2" xfId="34707" xr:uid="{00000000-0005-0000-0000-0000343B0000}"/>
    <cellStyle name="Normal 2 2 6 9 2 3 3" xfId="6376" xr:uid="{00000000-0005-0000-0000-0000353B0000}"/>
    <cellStyle name="Normal 2 2 6 9 2 3 3 2" xfId="34708" xr:uid="{00000000-0005-0000-0000-0000363B0000}"/>
    <cellStyle name="Normal 2 2 6 9 2 3 4" xfId="34709" xr:uid="{00000000-0005-0000-0000-0000373B0000}"/>
    <cellStyle name="Normal 2 2 6 9 2 4" xfId="6377" xr:uid="{00000000-0005-0000-0000-0000383B0000}"/>
    <cellStyle name="Normal 2 2 6 9 2 4 2" xfId="6378" xr:uid="{00000000-0005-0000-0000-0000393B0000}"/>
    <cellStyle name="Normal 2 2 6 9 2 4 2 2" xfId="34710" xr:uid="{00000000-0005-0000-0000-00003A3B0000}"/>
    <cellStyle name="Normal 2 2 6 9 2 4 3" xfId="34711" xr:uid="{00000000-0005-0000-0000-00003B3B0000}"/>
    <cellStyle name="Normal 2 2 6 9 2 5" xfId="6379" xr:uid="{00000000-0005-0000-0000-00003C3B0000}"/>
    <cellStyle name="Normal 2 2 6 9 2 5 2" xfId="34712" xr:uid="{00000000-0005-0000-0000-00003D3B0000}"/>
    <cellStyle name="Normal 2 2 6 9 2 6" xfId="6380" xr:uid="{00000000-0005-0000-0000-00003E3B0000}"/>
    <cellStyle name="Normal 2 2 6 9 2 6 2" xfId="34713" xr:uid="{00000000-0005-0000-0000-00003F3B0000}"/>
    <cellStyle name="Normal 2 2 6 9 2 7" xfId="34714" xr:uid="{00000000-0005-0000-0000-0000403B0000}"/>
    <cellStyle name="Normal 2 2 6 9 2 7 2" xfId="34715" xr:uid="{00000000-0005-0000-0000-0000413B0000}"/>
    <cellStyle name="Normal 2 2 6 9 2 8" xfId="34716" xr:uid="{00000000-0005-0000-0000-0000423B0000}"/>
    <cellStyle name="Normal 2 2 6 9 2 9" xfId="34717" xr:uid="{00000000-0005-0000-0000-0000433B0000}"/>
    <cellStyle name="Normal 2 2 6 9 3" xfId="6381" xr:uid="{00000000-0005-0000-0000-0000443B0000}"/>
    <cellStyle name="Normal 2 2 6 9 3 2" xfId="6382" xr:uid="{00000000-0005-0000-0000-0000453B0000}"/>
    <cellStyle name="Normal 2 2 6 9 3 2 2" xfId="6383" xr:uid="{00000000-0005-0000-0000-0000463B0000}"/>
    <cellStyle name="Normal 2 2 6 9 3 2 2 2" xfId="34718" xr:uid="{00000000-0005-0000-0000-0000473B0000}"/>
    <cellStyle name="Normal 2 2 6 9 3 2 3" xfId="6384" xr:uid="{00000000-0005-0000-0000-0000483B0000}"/>
    <cellStyle name="Normal 2 2 6 9 3 2 3 2" xfId="34719" xr:uid="{00000000-0005-0000-0000-0000493B0000}"/>
    <cellStyle name="Normal 2 2 6 9 3 2 4" xfId="34720" xr:uid="{00000000-0005-0000-0000-00004A3B0000}"/>
    <cellStyle name="Normal 2 2 6 9 3 3" xfId="6385" xr:uid="{00000000-0005-0000-0000-00004B3B0000}"/>
    <cellStyle name="Normal 2 2 6 9 3 3 2" xfId="34721" xr:uid="{00000000-0005-0000-0000-00004C3B0000}"/>
    <cellStyle name="Normal 2 2 6 9 3 4" xfId="6386" xr:uid="{00000000-0005-0000-0000-00004D3B0000}"/>
    <cellStyle name="Normal 2 2 6 9 3 4 2" xfId="34722" xr:uid="{00000000-0005-0000-0000-00004E3B0000}"/>
    <cellStyle name="Normal 2 2 6 9 3 5" xfId="6387" xr:uid="{00000000-0005-0000-0000-00004F3B0000}"/>
    <cellStyle name="Normal 2 2 6 9 3 5 2" xfId="34723" xr:uid="{00000000-0005-0000-0000-0000503B0000}"/>
    <cellStyle name="Normal 2 2 6 9 3 6" xfId="34724" xr:uid="{00000000-0005-0000-0000-0000513B0000}"/>
    <cellStyle name="Normal 2 2 6 9 3 6 2" xfId="34725" xr:uid="{00000000-0005-0000-0000-0000523B0000}"/>
    <cellStyle name="Normal 2 2 6 9 3 7" xfId="34726" xr:uid="{00000000-0005-0000-0000-0000533B0000}"/>
    <cellStyle name="Normal 2 2 6 9 4" xfId="6388" xr:uid="{00000000-0005-0000-0000-0000543B0000}"/>
    <cellStyle name="Normal 2 2 6 9 4 2" xfId="6389" xr:uid="{00000000-0005-0000-0000-0000553B0000}"/>
    <cellStyle name="Normal 2 2 6 9 4 2 2" xfId="34727" xr:uid="{00000000-0005-0000-0000-0000563B0000}"/>
    <cellStyle name="Normal 2 2 6 9 4 3" xfId="6390" xr:uid="{00000000-0005-0000-0000-0000573B0000}"/>
    <cellStyle name="Normal 2 2 6 9 4 3 2" xfId="34728" xr:uid="{00000000-0005-0000-0000-0000583B0000}"/>
    <cellStyle name="Normal 2 2 6 9 4 4" xfId="34729" xr:uid="{00000000-0005-0000-0000-0000593B0000}"/>
    <cellStyle name="Normal 2 2 6 9 5" xfId="6391" xr:uid="{00000000-0005-0000-0000-00005A3B0000}"/>
    <cellStyle name="Normal 2 2 6 9 5 2" xfId="6392" xr:uid="{00000000-0005-0000-0000-00005B3B0000}"/>
    <cellStyle name="Normal 2 2 6 9 5 2 2" xfId="34730" xr:uid="{00000000-0005-0000-0000-00005C3B0000}"/>
    <cellStyle name="Normal 2 2 6 9 5 3" xfId="34731" xr:uid="{00000000-0005-0000-0000-00005D3B0000}"/>
    <cellStyle name="Normal 2 2 6 9 6" xfId="6393" xr:uid="{00000000-0005-0000-0000-00005E3B0000}"/>
    <cellStyle name="Normal 2 2 6 9 6 2" xfId="34732" xr:uid="{00000000-0005-0000-0000-00005F3B0000}"/>
    <cellStyle name="Normal 2 2 6 9 7" xfId="6394" xr:uid="{00000000-0005-0000-0000-0000603B0000}"/>
    <cellStyle name="Normal 2 2 6 9 7 2" xfId="34733" xr:uid="{00000000-0005-0000-0000-0000613B0000}"/>
    <cellStyle name="Normal 2 2 6 9 8" xfId="34734" xr:uid="{00000000-0005-0000-0000-0000623B0000}"/>
    <cellStyle name="Normal 2 2 6 9 8 2" xfId="34735" xr:uid="{00000000-0005-0000-0000-0000633B0000}"/>
    <cellStyle name="Normal 2 2 6 9 9" xfId="34736" xr:uid="{00000000-0005-0000-0000-0000643B0000}"/>
    <cellStyle name="Normal 2 2 7" xfId="6395" xr:uid="{00000000-0005-0000-0000-0000653B0000}"/>
    <cellStyle name="Normal 2 2 7 10" xfId="6396" xr:uid="{00000000-0005-0000-0000-0000663B0000}"/>
    <cellStyle name="Normal 2 2 7 10 10" xfId="34737" xr:uid="{00000000-0005-0000-0000-0000673B0000}"/>
    <cellStyle name="Normal 2 2 7 10 11" xfId="34738" xr:uid="{00000000-0005-0000-0000-0000683B0000}"/>
    <cellStyle name="Normal 2 2 7 10 2" xfId="6397" xr:uid="{00000000-0005-0000-0000-0000693B0000}"/>
    <cellStyle name="Normal 2 2 7 10 2 10" xfId="34739" xr:uid="{00000000-0005-0000-0000-00006A3B0000}"/>
    <cellStyle name="Normal 2 2 7 10 2 2" xfId="6398" xr:uid="{00000000-0005-0000-0000-00006B3B0000}"/>
    <cellStyle name="Normal 2 2 7 10 2 2 2" xfId="6399" xr:uid="{00000000-0005-0000-0000-00006C3B0000}"/>
    <cellStyle name="Normal 2 2 7 10 2 2 2 2" xfId="6400" xr:uid="{00000000-0005-0000-0000-00006D3B0000}"/>
    <cellStyle name="Normal 2 2 7 10 2 2 2 2 2" xfId="34740" xr:uid="{00000000-0005-0000-0000-00006E3B0000}"/>
    <cellStyle name="Normal 2 2 7 10 2 2 2 3" xfId="6401" xr:uid="{00000000-0005-0000-0000-00006F3B0000}"/>
    <cellStyle name="Normal 2 2 7 10 2 2 2 3 2" xfId="34741" xr:uid="{00000000-0005-0000-0000-0000703B0000}"/>
    <cellStyle name="Normal 2 2 7 10 2 2 2 4" xfId="34742" xr:uid="{00000000-0005-0000-0000-0000713B0000}"/>
    <cellStyle name="Normal 2 2 7 10 2 2 3" xfId="6402" xr:uid="{00000000-0005-0000-0000-0000723B0000}"/>
    <cellStyle name="Normal 2 2 7 10 2 2 3 2" xfId="34743" xr:uid="{00000000-0005-0000-0000-0000733B0000}"/>
    <cellStyle name="Normal 2 2 7 10 2 2 4" xfId="6403" xr:uid="{00000000-0005-0000-0000-0000743B0000}"/>
    <cellStyle name="Normal 2 2 7 10 2 2 4 2" xfId="34744" xr:uid="{00000000-0005-0000-0000-0000753B0000}"/>
    <cellStyle name="Normal 2 2 7 10 2 2 5" xfId="6404" xr:uid="{00000000-0005-0000-0000-0000763B0000}"/>
    <cellStyle name="Normal 2 2 7 10 2 2 5 2" xfId="34745" xr:uid="{00000000-0005-0000-0000-0000773B0000}"/>
    <cellStyle name="Normal 2 2 7 10 2 2 6" xfId="34746" xr:uid="{00000000-0005-0000-0000-0000783B0000}"/>
    <cellStyle name="Normal 2 2 7 10 2 2 6 2" xfId="34747" xr:uid="{00000000-0005-0000-0000-0000793B0000}"/>
    <cellStyle name="Normal 2 2 7 10 2 2 7" xfId="34748" xr:uid="{00000000-0005-0000-0000-00007A3B0000}"/>
    <cellStyle name="Normal 2 2 7 10 2 3" xfId="6405" xr:uid="{00000000-0005-0000-0000-00007B3B0000}"/>
    <cellStyle name="Normal 2 2 7 10 2 3 2" xfId="6406" xr:uid="{00000000-0005-0000-0000-00007C3B0000}"/>
    <cellStyle name="Normal 2 2 7 10 2 3 2 2" xfId="34749" xr:uid="{00000000-0005-0000-0000-00007D3B0000}"/>
    <cellStyle name="Normal 2 2 7 10 2 3 3" xfId="6407" xr:uid="{00000000-0005-0000-0000-00007E3B0000}"/>
    <cellStyle name="Normal 2 2 7 10 2 3 3 2" xfId="34750" xr:uid="{00000000-0005-0000-0000-00007F3B0000}"/>
    <cellStyle name="Normal 2 2 7 10 2 3 4" xfId="34751" xr:uid="{00000000-0005-0000-0000-0000803B0000}"/>
    <cellStyle name="Normal 2 2 7 10 2 4" xfId="6408" xr:uid="{00000000-0005-0000-0000-0000813B0000}"/>
    <cellStyle name="Normal 2 2 7 10 2 4 2" xfId="6409" xr:uid="{00000000-0005-0000-0000-0000823B0000}"/>
    <cellStyle name="Normal 2 2 7 10 2 4 2 2" xfId="34752" xr:uid="{00000000-0005-0000-0000-0000833B0000}"/>
    <cellStyle name="Normal 2 2 7 10 2 4 3" xfId="34753" xr:uid="{00000000-0005-0000-0000-0000843B0000}"/>
    <cellStyle name="Normal 2 2 7 10 2 5" xfId="6410" xr:uid="{00000000-0005-0000-0000-0000853B0000}"/>
    <cellStyle name="Normal 2 2 7 10 2 5 2" xfId="34754" xr:uid="{00000000-0005-0000-0000-0000863B0000}"/>
    <cellStyle name="Normal 2 2 7 10 2 6" xfId="6411" xr:uid="{00000000-0005-0000-0000-0000873B0000}"/>
    <cellStyle name="Normal 2 2 7 10 2 6 2" xfId="34755" xr:uid="{00000000-0005-0000-0000-0000883B0000}"/>
    <cellStyle name="Normal 2 2 7 10 2 7" xfId="34756" xr:uid="{00000000-0005-0000-0000-0000893B0000}"/>
    <cellStyle name="Normal 2 2 7 10 2 7 2" xfId="34757" xr:uid="{00000000-0005-0000-0000-00008A3B0000}"/>
    <cellStyle name="Normal 2 2 7 10 2 8" xfId="34758" xr:uid="{00000000-0005-0000-0000-00008B3B0000}"/>
    <cellStyle name="Normal 2 2 7 10 2 9" xfId="34759" xr:uid="{00000000-0005-0000-0000-00008C3B0000}"/>
    <cellStyle name="Normal 2 2 7 10 3" xfId="6412" xr:uid="{00000000-0005-0000-0000-00008D3B0000}"/>
    <cellStyle name="Normal 2 2 7 10 3 2" xfId="6413" xr:uid="{00000000-0005-0000-0000-00008E3B0000}"/>
    <cellStyle name="Normal 2 2 7 10 3 2 2" xfId="6414" xr:uid="{00000000-0005-0000-0000-00008F3B0000}"/>
    <cellStyle name="Normal 2 2 7 10 3 2 2 2" xfId="34760" xr:uid="{00000000-0005-0000-0000-0000903B0000}"/>
    <cellStyle name="Normal 2 2 7 10 3 2 3" xfId="6415" xr:uid="{00000000-0005-0000-0000-0000913B0000}"/>
    <cellStyle name="Normal 2 2 7 10 3 2 3 2" xfId="34761" xr:uid="{00000000-0005-0000-0000-0000923B0000}"/>
    <cellStyle name="Normal 2 2 7 10 3 2 4" xfId="34762" xr:uid="{00000000-0005-0000-0000-0000933B0000}"/>
    <cellStyle name="Normal 2 2 7 10 3 3" xfId="6416" xr:uid="{00000000-0005-0000-0000-0000943B0000}"/>
    <cellStyle name="Normal 2 2 7 10 3 3 2" xfId="34763" xr:uid="{00000000-0005-0000-0000-0000953B0000}"/>
    <cellStyle name="Normal 2 2 7 10 3 4" xfId="6417" xr:uid="{00000000-0005-0000-0000-0000963B0000}"/>
    <cellStyle name="Normal 2 2 7 10 3 4 2" xfId="34764" xr:uid="{00000000-0005-0000-0000-0000973B0000}"/>
    <cellStyle name="Normal 2 2 7 10 3 5" xfId="6418" xr:uid="{00000000-0005-0000-0000-0000983B0000}"/>
    <cellStyle name="Normal 2 2 7 10 3 5 2" xfId="34765" xr:uid="{00000000-0005-0000-0000-0000993B0000}"/>
    <cellStyle name="Normal 2 2 7 10 3 6" xfId="34766" xr:uid="{00000000-0005-0000-0000-00009A3B0000}"/>
    <cellStyle name="Normal 2 2 7 10 3 6 2" xfId="34767" xr:uid="{00000000-0005-0000-0000-00009B3B0000}"/>
    <cellStyle name="Normal 2 2 7 10 3 7" xfId="34768" xr:uid="{00000000-0005-0000-0000-00009C3B0000}"/>
    <cellStyle name="Normal 2 2 7 10 4" xfId="6419" xr:uid="{00000000-0005-0000-0000-00009D3B0000}"/>
    <cellStyle name="Normal 2 2 7 10 4 2" xfId="6420" xr:uid="{00000000-0005-0000-0000-00009E3B0000}"/>
    <cellStyle name="Normal 2 2 7 10 4 2 2" xfId="34769" xr:uid="{00000000-0005-0000-0000-00009F3B0000}"/>
    <cellStyle name="Normal 2 2 7 10 4 3" xfId="6421" xr:uid="{00000000-0005-0000-0000-0000A03B0000}"/>
    <cellStyle name="Normal 2 2 7 10 4 3 2" xfId="34770" xr:uid="{00000000-0005-0000-0000-0000A13B0000}"/>
    <cellStyle name="Normal 2 2 7 10 4 4" xfId="34771" xr:uid="{00000000-0005-0000-0000-0000A23B0000}"/>
    <cellStyle name="Normal 2 2 7 10 5" xfId="6422" xr:uid="{00000000-0005-0000-0000-0000A33B0000}"/>
    <cellStyle name="Normal 2 2 7 10 5 2" xfId="6423" xr:uid="{00000000-0005-0000-0000-0000A43B0000}"/>
    <cellStyle name="Normal 2 2 7 10 5 2 2" xfId="34772" xr:uid="{00000000-0005-0000-0000-0000A53B0000}"/>
    <cellStyle name="Normal 2 2 7 10 5 3" xfId="34773" xr:uid="{00000000-0005-0000-0000-0000A63B0000}"/>
    <cellStyle name="Normal 2 2 7 10 6" xfId="6424" xr:uid="{00000000-0005-0000-0000-0000A73B0000}"/>
    <cellStyle name="Normal 2 2 7 10 6 2" xfId="34774" xr:uid="{00000000-0005-0000-0000-0000A83B0000}"/>
    <cellStyle name="Normal 2 2 7 10 7" xfId="6425" xr:uid="{00000000-0005-0000-0000-0000A93B0000}"/>
    <cellStyle name="Normal 2 2 7 10 7 2" xfId="34775" xr:uid="{00000000-0005-0000-0000-0000AA3B0000}"/>
    <cellStyle name="Normal 2 2 7 10 8" xfId="34776" xr:uid="{00000000-0005-0000-0000-0000AB3B0000}"/>
    <cellStyle name="Normal 2 2 7 10 8 2" xfId="34777" xr:uid="{00000000-0005-0000-0000-0000AC3B0000}"/>
    <cellStyle name="Normal 2 2 7 10 9" xfId="34778" xr:uid="{00000000-0005-0000-0000-0000AD3B0000}"/>
    <cellStyle name="Normal 2 2 7 11" xfId="6426" xr:uid="{00000000-0005-0000-0000-0000AE3B0000}"/>
    <cellStyle name="Normal 2 2 7 11 10" xfId="34779" xr:uid="{00000000-0005-0000-0000-0000AF3B0000}"/>
    <cellStyle name="Normal 2 2 7 11 11" xfId="34780" xr:uid="{00000000-0005-0000-0000-0000B03B0000}"/>
    <cellStyle name="Normal 2 2 7 11 2" xfId="6427" xr:uid="{00000000-0005-0000-0000-0000B13B0000}"/>
    <cellStyle name="Normal 2 2 7 11 2 10" xfId="34781" xr:uid="{00000000-0005-0000-0000-0000B23B0000}"/>
    <cellStyle name="Normal 2 2 7 11 2 2" xfId="6428" xr:uid="{00000000-0005-0000-0000-0000B33B0000}"/>
    <cellStyle name="Normal 2 2 7 11 2 2 2" xfId="6429" xr:uid="{00000000-0005-0000-0000-0000B43B0000}"/>
    <cellStyle name="Normal 2 2 7 11 2 2 2 2" xfId="6430" xr:uid="{00000000-0005-0000-0000-0000B53B0000}"/>
    <cellStyle name="Normal 2 2 7 11 2 2 2 2 2" xfId="34782" xr:uid="{00000000-0005-0000-0000-0000B63B0000}"/>
    <cellStyle name="Normal 2 2 7 11 2 2 2 3" xfId="6431" xr:uid="{00000000-0005-0000-0000-0000B73B0000}"/>
    <cellStyle name="Normal 2 2 7 11 2 2 2 3 2" xfId="34783" xr:uid="{00000000-0005-0000-0000-0000B83B0000}"/>
    <cellStyle name="Normal 2 2 7 11 2 2 2 4" xfId="34784" xr:uid="{00000000-0005-0000-0000-0000B93B0000}"/>
    <cellStyle name="Normal 2 2 7 11 2 2 3" xfId="6432" xr:uid="{00000000-0005-0000-0000-0000BA3B0000}"/>
    <cellStyle name="Normal 2 2 7 11 2 2 3 2" xfId="34785" xr:uid="{00000000-0005-0000-0000-0000BB3B0000}"/>
    <cellStyle name="Normal 2 2 7 11 2 2 4" xfId="6433" xr:uid="{00000000-0005-0000-0000-0000BC3B0000}"/>
    <cellStyle name="Normal 2 2 7 11 2 2 4 2" xfId="34786" xr:uid="{00000000-0005-0000-0000-0000BD3B0000}"/>
    <cellStyle name="Normal 2 2 7 11 2 2 5" xfId="6434" xr:uid="{00000000-0005-0000-0000-0000BE3B0000}"/>
    <cellStyle name="Normal 2 2 7 11 2 2 5 2" xfId="34787" xr:uid="{00000000-0005-0000-0000-0000BF3B0000}"/>
    <cellStyle name="Normal 2 2 7 11 2 2 6" xfId="34788" xr:uid="{00000000-0005-0000-0000-0000C03B0000}"/>
    <cellStyle name="Normal 2 2 7 11 2 2 6 2" xfId="34789" xr:uid="{00000000-0005-0000-0000-0000C13B0000}"/>
    <cellStyle name="Normal 2 2 7 11 2 2 7" xfId="34790" xr:uid="{00000000-0005-0000-0000-0000C23B0000}"/>
    <cellStyle name="Normal 2 2 7 11 2 3" xfId="6435" xr:uid="{00000000-0005-0000-0000-0000C33B0000}"/>
    <cellStyle name="Normal 2 2 7 11 2 3 2" xfId="6436" xr:uid="{00000000-0005-0000-0000-0000C43B0000}"/>
    <cellStyle name="Normal 2 2 7 11 2 3 2 2" xfId="34791" xr:uid="{00000000-0005-0000-0000-0000C53B0000}"/>
    <cellStyle name="Normal 2 2 7 11 2 3 3" xfId="6437" xr:uid="{00000000-0005-0000-0000-0000C63B0000}"/>
    <cellStyle name="Normal 2 2 7 11 2 3 3 2" xfId="34792" xr:uid="{00000000-0005-0000-0000-0000C73B0000}"/>
    <cellStyle name="Normal 2 2 7 11 2 3 4" xfId="34793" xr:uid="{00000000-0005-0000-0000-0000C83B0000}"/>
    <cellStyle name="Normal 2 2 7 11 2 4" xfId="6438" xr:uid="{00000000-0005-0000-0000-0000C93B0000}"/>
    <cellStyle name="Normal 2 2 7 11 2 4 2" xfId="6439" xr:uid="{00000000-0005-0000-0000-0000CA3B0000}"/>
    <cellStyle name="Normal 2 2 7 11 2 4 2 2" xfId="34794" xr:uid="{00000000-0005-0000-0000-0000CB3B0000}"/>
    <cellStyle name="Normal 2 2 7 11 2 4 3" xfId="34795" xr:uid="{00000000-0005-0000-0000-0000CC3B0000}"/>
    <cellStyle name="Normal 2 2 7 11 2 5" xfId="6440" xr:uid="{00000000-0005-0000-0000-0000CD3B0000}"/>
    <cellStyle name="Normal 2 2 7 11 2 5 2" xfId="34796" xr:uid="{00000000-0005-0000-0000-0000CE3B0000}"/>
    <cellStyle name="Normal 2 2 7 11 2 6" xfId="6441" xr:uid="{00000000-0005-0000-0000-0000CF3B0000}"/>
    <cellStyle name="Normal 2 2 7 11 2 6 2" xfId="34797" xr:uid="{00000000-0005-0000-0000-0000D03B0000}"/>
    <cellStyle name="Normal 2 2 7 11 2 7" xfId="34798" xr:uid="{00000000-0005-0000-0000-0000D13B0000}"/>
    <cellStyle name="Normal 2 2 7 11 2 7 2" xfId="34799" xr:uid="{00000000-0005-0000-0000-0000D23B0000}"/>
    <cellStyle name="Normal 2 2 7 11 2 8" xfId="34800" xr:uid="{00000000-0005-0000-0000-0000D33B0000}"/>
    <cellStyle name="Normal 2 2 7 11 2 9" xfId="34801" xr:uid="{00000000-0005-0000-0000-0000D43B0000}"/>
    <cellStyle name="Normal 2 2 7 11 3" xfId="6442" xr:uid="{00000000-0005-0000-0000-0000D53B0000}"/>
    <cellStyle name="Normal 2 2 7 11 3 2" xfId="6443" xr:uid="{00000000-0005-0000-0000-0000D63B0000}"/>
    <cellStyle name="Normal 2 2 7 11 3 2 2" xfId="6444" xr:uid="{00000000-0005-0000-0000-0000D73B0000}"/>
    <cellStyle name="Normal 2 2 7 11 3 2 2 2" xfId="34802" xr:uid="{00000000-0005-0000-0000-0000D83B0000}"/>
    <cellStyle name="Normal 2 2 7 11 3 2 3" xfId="6445" xr:uid="{00000000-0005-0000-0000-0000D93B0000}"/>
    <cellStyle name="Normal 2 2 7 11 3 2 3 2" xfId="34803" xr:uid="{00000000-0005-0000-0000-0000DA3B0000}"/>
    <cellStyle name="Normal 2 2 7 11 3 2 4" xfId="34804" xr:uid="{00000000-0005-0000-0000-0000DB3B0000}"/>
    <cellStyle name="Normal 2 2 7 11 3 3" xfId="6446" xr:uid="{00000000-0005-0000-0000-0000DC3B0000}"/>
    <cellStyle name="Normal 2 2 7 11 3 3 2" xfId="34805" xr:uid="{00000000-0005-0000-0000-0000DD3B0000}"/>
    <cellStyle name="Normal 2 2 7 11 3 4" xfId="6447" xr:uid="{00000000-0005-0000-0000-0000DE3B0000}"/>
    <cellStyle name="Normal 2 2 7 11 3 4 2" xfId="34806" xr:uid="{00000000-0005-0000-0000-0000DF3B0000}"/>
    <cellStyle name="Normal 2 2 7 11 3 5" xfId="6448" xr:uid="{00000000-0005-0000-0000-0000E03B0000}"/>
    <cellStyle name="Normal 2 2 7 11 3 5 2" xfId="34807" xr:uid="{00000000-0005-0000-0000-0000E13B0000}"/>
    <cellStyle name="Normal 2 2 7 11 3 6" xfId="34808" xr:uid="{00000000-0005-0000-0000-0000E23B0000}"/>
    <cellStyle name="Normal 2 2 7 11 3 6 2" xfId="34809" xr:uid="{00000000-0005-0000-0000-0000E33B0000}"/>
    <cellStyle name="Normal 2 2 7 11 3 7" xfId="34810" xr:uid="{00000000-0005-0000-0000-0000E43B0000}"/>
    <cellStyle name="Normal 2 2 7 11 4" xfId="6449" xr:uid="{00000000-0005-0000-0000-0000E53B0000}"/>
    <cellStyle name="Normal 2 2 7 11 4 2" xfId="6450" xr:uid="{00000000-0005-0000-0000-0000E63B0000}"/>
    <cellStyle name="Normal 2 2 7 11 4 2 2" xfId="34811" xr:uid="{00000000-0005-0000-0000-0000E73B0000}"/>
    <cellStyle name="Normal 2 2 7 11 4 3" xfId="6451" xr:uid="{00000000-0005-0000-0000-0000E83B0000}"/>
    <cellStyle name="Normal 2 2 7 11 4 3 2" xfId="34812" xr:uid="{00000000-0005-0000-0000-0000E93B0000}"/>
    <cellStyle name="Normal 2 2 7 11 4 4" xfId="34813" xr:uid="{00000000-0005-0000-0000-0000EA3B0000}"/>
    <cellStyle name="Normal 2 2 7 11 5" xfId="6452" xr:uid="{00000000-0005-0000-0000-0000EB3B0000}"/>
    <cellStyle name="Normal 2 2 7 11 5 2" xfId="6453" xr:uid="{00000000-0005-0000-0000-0000EC3B0000}"/>
    <cellStyle name="Normal 2 2 7 11 5 2 2" xfId="34814" xr:uid="{00000000-0005-0000-0000-0000ED3B0000}"/>
    <cellStyle name="Normal 2 2 7 11 5 3" xfId="34815" xr:uid="{00000000-0005-0000-0000-0000EE3B0000}"/>
    <cellStyle name="Normal 2 2 7 11 6" xfId="6454" xr:uid="{00000000-0005-0000-0000-0000EF3B0000}"/>
    <cellStyle name="Normal 2 2 7 11 6 2" xfId="34816" xr:uid="{00000000-0005-0000-0000-0000F03B0000}"/>
    <cellStyle name="Normal 2 2 7 11 7" xfId="6455" xr:uid="{00000000-0005-0000-0000-0000F13B0000}"/>
    <cellStyle name="Normal 2 2 7 11 7 2" xfId="34817" xr:uid="{00000000-0005-0000-0000-0000F23B0000}"/>
    <cellStyle name="Normal 2 2 7 11 8" xfId="34818" xr:uid="{00000000-0005-0000-0000-0000F33B0000}"/>
    <cellStyle name="Normal 2 2 7 11 8 2" xfId="34819" xr:uid="{00000000-0005-0000-0000-0000F43B0000}"/>
    <cellStyle name="Normal 2 2 7 11 9" xfId="34820" xr:uid="{00000000-0005-0000-0000-0000F53B0000}"/>
    <cellStyle name="Normal 2 2 7 12" xfId="6456" xr:uid="{00000000-0005-0000-0000-0000F63B0000}"/>
    <cellStyle name="Normal 2 2 7 12 10" xfId="34821" xr:uid="{00000000-0005-0000-0000-0000F73B0000}"/>
    <cellStyle name="Normal 2 2 7 12 11" xfId="34822" xr:uid="{00000000-0005-0000-0000-0000F83B0000}"/>
    <cellStyle name="Normal 2 2 7 12 2" xfId="6457" xr:uid="{00000000-0005-0000-0000-0000F93B0000}"/>
    <cellStyle name="Normal 2 2 7 12 2 10" xfId="34823" xr:uid="{00000000-0005-0000-0000-0000FA3B0000}"/>
    <cellStyle name="Normal 2 2 7 12 2 2" xfId="6458" xr:uid="{00000000-0005-0000-0000-0000FB3B0000}"/>
    <cellStyle name="Normal 2 2 7 12 2 2 2" xfId="6459" xr:uid="{00000000-0005-0000-0000-0000FC3B0000}"/>
    <cellStyle name="Normal 2 2 7 12 2 2 2 2" xfId="6460" xr:uid="{00000000-0005-0000-0000-0000FD3B0000}"/>
    <cellStyle name="Normal 2 2 7 12 2 2 2 2 2" xfId="34824" xr:uid="{00000000-0005-0000-0000-0000FE3B0000}"/>
    <cellStyle name="Normal 2 2 7 12 2 2 2 3" xfId="6461" xr:uid="{00000000-0005-0000-0000-0000FF3B0000}"/>
    <cellStyle name="Normal 2 2 7 12 2 2 2 3 2" xfId="34825" xr:uid="{00000000-0005-0000-0000-0000003C0000}"/>
    <cellStyle name="Normal 2 2 7 12 2 2 2 4" xfId="34826" xr:uid="{00000000-0005-0000-0000-0000013C0000}"/>
    <cellStyle name="Normal 2 2 7 12 2 2 3" xfId="6462" xr:uid="{00000000-0005-0000-0000-0000023C0000}"/>
    <cellStyle name="Normal 2 2 7 12 2 2 3 2" xfId="34827" xr:uid="{00000000-0005-0000-0000-0000033C0000}"/>
    <cellStyle name="Normal 2 2 7 12 2 2 4" xfId="6463" xr:uid="{00000000-0005-0000-0000-0000043C0000}"/>
    <cellStyle name="Normal 2 2 7 12 2 2 4 2" xfId="34828" xr:uid="{00000000-0005-0000-0000-0000053C0000}"/>
    <cellStyle name="Normal 2 2 7 12 2 2 5" xfId="6464" xr:uid="{00000000-0005-0000-0000-0000063C0000}"/>
    <cellStyle name="Normal 2 2 7 12 2 2 5 2" xfId="34829" xr:uid="{00000000-0005-0000-0000-0000073C0000}"/>
    <cellStyle name="Normal 2 2 7 12 2 2 6" xfId="34830" xr:uid="{00000000-0005-0000-0000-0000083C0000}"/>
    <cellStyle name="Normal 2 2 7 12 2 2 6 2" xfId="34831" xr:uid="{00000000-0005-0000-0000-0000093C0000}"/>
    <cellStyle name="Normal 2 2 7 12 2 2 7" xfId="34832" xr:uid="{00000000-0005-0000-0000-00000A3C0000}"/>
    <cellStyle name="Normal 2 2 7 12 2 3" xfId="6465" xr:uid="{00000000-0005-0000-0000-00000B3C0000}"/>
    <cellStyle name="Normal 2 2 7 12 2 3 2" xfId="6466" xr:uid="{00000000-0005-0000-0000-00000C3C0000}"/>
    <cellStyle name="Normal 2 2 7 12 2 3 2 2" xfId="34833" xr:uid="{00000000-0005-0000-0000-00000D3C0000}"/>
    <cellStyle name="Normal 2 2 7 12 2 3 3" xfId="6467" xr:uid="{00000000-0005-0000-0000-00000E3C0000}"/>
    <cellStyle name="Normal 2 2 7 12 2 3 3 2" xfId="34834" xr:uid="{00000000-0005-0000-0000-00000F3C0000}"/>
    <cellStyle name="Normal 2 2 7 12 2 3 4" xfId="34835" xr:uid="{00000000-0005-0000-0000-0000103C0000}"/>
    <cellStyle name="Normal 2 2 7 12 2 4" xfId="6468" xr:uid="{00000000-0005-0000-0000-0000113C0000}"/>
    <cellStyle name="Normal 2 2 7 12 2 4 2" xfId="6469" xr:uid="{00000000-0005-0000-0000-0000123C0000}"/>
    <cellStyle name="Normal 2 2 7 12 2 4 2 2" xfId="34836" xr:uid="{00000000-0005-0000-0000-0000133C0000}"/>
    <cellStyle name="Normal 2 2 7 12 2 4 3" xfId="34837" xr:uid="{00000000-0005-0000-0000-0000143C0000}"/>
    <cellStyle name="Normal 2 2 7 12 2 5" xfId="6470" xr:uid="{00000000-0005-0000-0000-0000153C0000}"/>
    <cellStyle name="Normal 2 2 7 12 2 5 2" xfId="34838" xr:uid="{00000000-0005-0000-0000-0000163C0000}"/>
    <cellStyle name="Normal 2 2 7 12 2 6" xfId="6471" xr:uid="{00000000-0005-0000-0000-0000173C0000}"/>
    <cellStyle name="Normal 2 2 7 12 2 6 2" xfId="34839" xr:uid="{00000000-0005-0000-0000-0000183C0000}"/>
    <cellStyle name="Normal 2 2 7 12 2 7" xfId="34840" xr:uid="{00000000-0005-0000-0000-0000193C0000}"/>
    <cellStyle name="Normal 2 2 7 12 2 7 2" xfId="34841" xr:uid="{00000000-0005-0000-0000-00001A3C0000}"/>
    <cellStyle name="Normal 2 2 7 12 2 8" xfId="34842" xr:uid="{00000000-0005-0000-0000-00001B3C0000}"/>
    <cellStyle name="Normal 2 2 7 12 2 9" xfId="34843" xr:uid="{00000000-0005-0000-0000-00001C3C0000}"/>
    <cellStyle name="Normal 2 2 7 12 3" xfId="6472" xr:uid="{00000000-0005-0000-0000-00001D3C0000}"/>
    <cellStyle name="Normal 2 2 7 12 3 2" xfId="6473" xr:uid="{00000000-0005-0000-0000-00001E3C0000}"/>
    <cellStyle name="Normal 2 2 7 12 3 2 2" xfId="6474" xr:uid="{00000000-0005-0000-0000-00001F3C0000}"/>
    <cellStyle name="Normal 2 2 7 12 3 2 2 2" xfId="34844" xr:uid="{00000000-0005-0000-0000-0000203C0000}"/>
    <cellStyle name="Normal 2 2 7 12 3 2 3" xfId="6475" xr:uid="{00000000-0005-0000-0000-0000213C0000}"/>
    <cellStyle name="Normal 2 2 7 12 3 2 3 2" xfId="34845" xr:uid="{00000000-0005-0000-0000-0000223C0000}"/>
    <cellStyle name="Normal 2 2 7 12 3 2 4" xfId="34846" xr:uid="{00000000-0005-0000-0000-0000233C0000}"/>
    <cellStyle name="Normal 2 2 7 12 3 3" xfId="6476" xr:uid="{00000000-0005-0000-0000-0000243C0000}"/>
    <cellStyle name="Normal 2 2 7 12 3 3 2" xfId="34847" xr:uid="{00000000-0005-0000-0000-0000253C0000}"/>
    <cellStyle name="Normal 2 2 7 12 3 4" xfId="6477" xr:uid="{00000000-0005-0000-0000-0000263C0000}"/>
    <cellStyle name="Normal 2 2 7 12 3 4 2" xfId="34848" xr:uid="{00000000-0005-0000-0000-0000273C0000}"/>
    <cellStyle name="Normal 2 2 7 12 3 5" xfId="6478" xr:uid="{00000000-0005-0000-0000-0000283C0000}"/>
    <cellStyle name="Normal 2 2 7 12 3 5 2" xfId="34849" xr:uid="{00000000-0005-0000-0000-0000293C0000}"/>
    <cellStyle name="Normal 2 2 7 12 3 6" xfId="34850" xr:uid="{00000000-0005-0000-0000-00002A3C0000}"/>
    <cellStyle name="Normal 2 2 7 12 3 6 2" xfId="34851" xr:uid="{00000000-0005-0000-0000-00002B3C0000}"/>
    <cellStyle name="Normal 2 2 7 12 3 7" xfId="34852" xr:uid="{00000000-0005-0000-0000-00002C3C0000}"/>
    <cellStyle name="Normal 2 2 7 12 4" xfId="6479" xr:uid="{00000000-0005-0000-0000-00002D3C0000}"/>
    <cellStyle name="Normal 2 2 7 12 4 2" xfId="6480" xr:uid="{00000000-0005-0000-0000-00002E3C0000}"/>
    <cellStyle name="Normal 2 2 7 12 4 2 2" xfId="34853" xr:uid="{00000000-0005-0000-0000-00002F3C0000}"/>
    <cellStyle name="Normal 2 2 7 12 4 3" xfId="6481" xr:uid="{00000000-0005-0000-0000-0000303C0000}"/>
    <cellStyle name="Normal 2 2 7 12 4 3 2" xfId="34854" xr:uid="{00000000-0005-0000-0000-0000313C0000}"/>
    <cellStyle name="Normal 2 2 7 12 4 4" xfId="34855" xr:uid="{00000000-0005-0000-0000-0000323C0000}"/>
    <cellStyle name="Normal 2 2 7 12 5" xfId="6482" xr:uid="{00000000-0005-0000-0000-0000333C0000}"/>
    <cellStyle name="Normal 2 2 7 12 5 2" xfId="6483" xr:uid="{00000000-0005-0000-0000-0000343C0000}"/>
    <cellStyle name="Normal 2 2 7 12 5 2 2" xfId="34856" xr:uid="{00000000-0005-0000-0000-0000353C0000}"/>
    <cellStyle name="Normal 2 2 7 12 5 3" xfId="34857" xr:uid="{00000000-0005-0000-0000-0000363C0000}"/>
    <cellStyle name="Normal 2 2 7 12 6" xfId="6484" xr:uid="{00000000-0005-0000-0000-0000373C0000}"/>
    <cellStyle name="Normal 2 2 7 12 6 2" xfId="34858" xr:uid="{00000000-0005-0000-0000-0000383C0000}"/>
    <cellStyle name="Normal 2 2 7 12 7" xfId="6485" xr:uid="{00000000-0005-0000-0000-0000393C0000}"/>
    <cellStyle name="Normal 2 2 7 12 7 2" xfId="34859" xr:uid="{00000000-0005-0000-0000-00003A3C0000}"/>
    <cellStyle name="Normal 2 2 7 12 8" xfId="34860" xr:uid="{00000000-0005-0000-0000-00003B3C0000}"/>
    <cellStyle name="Normal 2 2 7 12 8 2" xfId="34861" xr:uid="{00000000-0005-0000-0000-00003C3C0000}"/>
    <cellStyle name="Normal 2 2 7 12 9" xfId="34862" xr:uid="{00000000-0005-0000-0000-00003D3C0000}"/>
    <cellStyle name="Normal 2 2 7 13" xfId="6486" xr:uid="{00000000-0005-0000-0000-00003E3C0000}"/>
    <cellStyle name="Normal 2 2 7 13 10" xfId="34863" xr:uid="{00000000-0005-0000-0000-00003F3C0000}"/>
    <cellStyle name="Normal 2 2 7 13 11" xfId="34864" xr:uid="{00000000-0005-0000-0000-0000403C0000}"/>
    <cellStyle name="Normal 2 2 7 13 2" xfId="6487" xr:uid="{00000000-0005-0000-0000-0000413C0000}"/>
    <cellStyle name="Normal 2 2 7 13 2 10" xfId="34865" xr:uid="{00000000-0005-0000-0000-0000423C0000}"/>
    <cellStyle name="Normal 2 2 7 13 2 2" xfId="6488" xr:uid="{00000000-0005-0000-0000-0000433C0000}"/>
    <cellStyle name="Normal 2 2 7 13 2 2 2" xfId="6489" xr:uid="{00000000-0005-0000-0000-0000443C0000}"/>
    <cellStyle name="Normal 2 2 7 13 2 2 2 2" xfId="6490" xr:uid="{00000000-0005-0000-0000-0000453C0000}"/>
    <cellStyle name="Normal 2 2 7 13 2 2 2 2 2" xfId="34866" xr:uid="{00000000-0005-0000-0000-0000463C0000}"/>
    <cellStyle name="Normal 2 2 7 13 2 2 2 3" xfId="6491" xr:uid="{00000000-0005-0000-0000-0000473C0000}"/>
    <cellStyle name="Normal 2 2 7 13 2 2 2 3 2" xfId="34867" xr:uid="{00000000-0005-0000-0000-0000483C0000}"/>
    <cellStyle name="Normal 2 2 7 13 2 2 2 4" xfId="34868" xr:uid="{00000000-0005-0000-0000-0000493C0000}"/>
    <cellStyle name="Normal 2 2 7 13 2 2 3" xfId="6492" xr:uid="{00000000-0005-0000-0000-00004A3C0000}"/>
    <cellStyle name="Normal 2 2 7 13 2 2 3 2" xfId="34869" xr:uid="{00000000-0005-0000-0000-00004B3C0000}"/>
    <cellStyle name="Normal 2 2 7 13 2 2 4" xfId="6493" xr:uid="{00000000-0005-0000-0000-00004C3C0000}"/>
    <cellStyle name="Normal 2 2 7 13 2 2 4 2" xfId="34870" xr:uid="{00000000-0005-0000-0000-00004D3C0000}"/>
    <cellStyle name="Normal 2 2 7 13 2 2 5" xfId="6494" xr:uid="{00000000-0005-0000-0000-00004E3C0000}"/>
    <cellStyle name="Normal 2 2 7 13 2 2 5 2" xfId="34871" xr:uid="{00000000-0005-0000-0000-00004F3C0000}"/>
    <cellStyle name="Normal 2 2 7 13 2 2 6" xfId="34872" xr:uid="{00000000-0005-0000-0000-0000503C0000}"/>
    <cellStyle name="Normal 2 2 7 13 2 2 6 2" xfId="34873" xr:uid="{00000000-0005-0000-0000-0000513C0000}"/>
    <cellStyle name="Normal 2 2 7 13 2 2 7" xfId="34874" xr:uid="{00000000-0005-0000-0000-0000523C0000}"/>
    <cellStyle name="Normal 2 2 7 13 2 3" xfId="6495" xr:uid="{00000000-0005-0000-0000-0000533C0000}"/>
    <cellStyle name="Normal 2 2 7 13 2 3 2" xfId="6496" xr:uid="{00000000-0005-0000-0000-0000543C0000}"/>
    <cellStyle name="Normal 2 2 7 13 2 3 2 2" xfId="34875" xr:uid="{00000000-0005-0000-0000-0000553C0000}"/>
    <cellStyle name="Normal 2 2 7 13 2 3 3" xfId="6497" xr:uid="{00000000-0005-0000-0000-0000563C0000}"/>
    <cellStyle name="Normal 2 2 7 13 2 3 3 2" xfId="34876" xr:uid="{00000000-0005-0000-0000-0000573C0000}"/>
    <cellStyle name="Normal 2 2 7 13 2 3 4" xfId="34877" xr:uid="{00000000-0005-0000-0000-0000583C0000}"/>
    <cellStyle name="Normal 2 2 7 13 2 4" xfId="6498" xr:uid="{00000000-0005-0000-0000-0000593C0000}"/>
    <cellStyle name="Normal 2 2 7 13 2 4 2" xfId="6499" xr:uid="{00000000-0005-0000-0000-00005A3C0000}"/>
    <cellStyle name="Normal 2 2 7 13 2 4 2 2" xfId="34878" xr:uid="{00000000-0005-0000-0000-00005B3C0000}"/>
    <cellStyle name="Normal 2 2 7 13 2 4 3" xfId="34879" xr:uid="{00000000-0005-0000-0000-00005C3C0000}"/>
    <cellStyle name="Normal 2 2 7 13 2 5" xfId="6500" xr:uid="{00000000-0005-0000-0000-00005D3C0000}"/>
    <cellStyle name="Normal 2 2 7 13 2 5 2" xfId="34880" xr:uid="{00000000-0005-0000-0000-00005E3C0000}"/>
    <cellStyle name="Normal 2 2 7 13 2 6" xfId="6501" xr:uid="{00000000-0005-0000-0000-00005F3C0000}"/>
    <cellStyle name="Normal 2 2 7 13 2 6 2" xfId="34881" xr:uid="{00000000-0005-0000-0000-0000603C0000}"/>
    <cellStyle name="Normal 2 2 7 13 2 7" xfId="34882" xr:uid="{00000000-0005-0000-0000-0000613C0000}"/>
    <cellStyle name="Normal 2 2 7 13 2 7 2" xfId="34883" xr:uid="{00000000-0005-0000-0000-0000623C0000}"/>
    <cellStyle name="Normal 2 2 7 13 2 8" xfId="34884" xr:uid="{00000000-0005-0000-0000-0000633C0000}"/>
    <cellStyle name="Normal 2 2 7 13 2 9" xfId="34885" xr:uid="{00000000-0005-0000-0000-0000643C0000}"/>
    <cellStyle name="Normal 2 2 7 13 3" xfId="6502" xr:uid="{00000000-0005-0000-0000-0000653C0000}"/>
    <cellStyle name="Normal 2 2 7 13 3 2" xfId="6503" xr:uid="{00000000-0005-0000-0000-0000663C0000}"/>
    <cellStyle name="Normal 2 2 7 13 3 2 2" xfId="6504" xr:uid="{00000000-0005-0000-0000-0000673C0000}"/>
    <cellStyle name="Normal 2 2 7 13 3 2 2 2" xfId="34886" xr:uid="{00000000-0005-0000-0000-0000683C0000}"/>
    <cellStyle name="Normal 2 2 7 13 3 2 3" xfId="6505" xr:uid="{00000000-0005-0000-0000-0000693C0000}"/>
    <cellStyle name="Normal 2 2 7 13 3 2 3 2" xfId="34887" xr:uid="{00000000-0005-0000-0000-00006A3C0000}"/>
    <cellStyle name="Normal 2 2 7 13 3 2 4" xfId="34888" xr:uid="{00000000-0005-0000-0000-00006B3C0000}"/>
    <cellStyle name="Normal 2 2 7 13 3 3" xfId="6506" xr:uid="{00000000-0005-0000-0000-00006C3C0000}"/>
    <cellStyle name="Normal 2 2 7 13 3 3 2" xfId="34889" xr:uid="{00000000-0005-0000-0000-00006D3C0000}"/>
    <cellStyle name="Normal 2 2 7 13 3 4" xfId="6507" xr:uid="{00000000-0005-0000-0000-00006E3C0000}"/>
    <cellStyle name="Normal 2 2 7 13 3 4 2" xfId="34890" xr:uid="{00000000-0005-0000-0000-00006F3C0000}"/>
    <cellStyle name="Normal 2 2 7 13 3 5" xfId="6508" xr:uid="{00000000-0005-0000-0000-0000703C0000}"/>
    <cellStyle name="Normal 2 2 7 13 3 5 2" xfId="34891" xr:uid="{00000000-0005-0000-0000-0000713C0000}"/>
    <cellStyle name="Normal 2 2 7 13 3 6" xfId="34892" xr:uid="{00000000-0005-0000-0000-0000723C0000}"/>
    <cellStyle name="Normal 2 2 7 13 3 6 2" xfId="34893" xr:uid="{00000000-0005-0000-0000-0000733C0000}"/>
    <cellStyle name="Normal 2 2 7 13 3 7" xfId="34894" xr:uid="{00000000-0005-0000-0000-0000743C0000}"/>
    <cellStyle name="Normal 2 2 7 13 4" xfId="6509" xr:uid="{00000000-0005-0000-0000-0000753C0000}"/>
    <cellStyle name="Normal 2 2 7 13 4 2" xfId="6510" xr:uid="{00000000-0005-0000-0000-0000763C0000}"/>
    <cellStyle name="Normal 2 2 7 13 4 2 2" xfId="34895" xr:uid="{00000000-0005-0000-0000-0000773C0000}"/>
    <cellStyle name="Normal 2 2 7 13 4 3" xfId="6511" xr:uid="{00000000-0005-0000-0000-0000783C0000}"/>
    <cellStyle name="Normal 2 2 7 13 4 3 2" xfId="34896" xr:uid="{00000000-0005-0000-0000-0000793C0000}"/>
    <cellStyle name="Normal 2 2 7 13 4 4" xfId="34897" xr:uid="{00000000-0005-0000-0000-00007A3C0000}"/>
    <cellStyle name="Normal 2 2 7 13 5" xfId="6512" xr:uid="{00000000-0005-0000-0000-00007B3C0000}"/>
    <cellStyle name="Normal 2 2 7 13 5 2" xfId="6513" xr:uid="{00000000-0005-0000-0000-00007C3C0000}"/>
    <cellStyle name="Normal 2 2 7 13 5 2 2" xfId="34898" xr:uid="{00000000-0005-0000-0000-00007D3C0000}"/>
    <cellStyle name="Normal 2 2 7 13 5 3" xfId="34899" xr:uid="{00000000-0005-0000-0000-00007E3C0000}"/>
    <cellStyle name="Normal 2 2 7 13 6" xfId="6514" xr:uid="{00000000-0005-0000-0000-00007F3C0000}"/>
    <cellStyle name="Normal 2 2 7 13 6 2" xfId="34900" xr:uid="{00000000-0005-0000-0000-0000803C0000}"/>
    <cellStyle name="Normal 2 2 7 13 7" xfId="6515" xr:uid="{00000000-0005-0000-0000-0000813C0000}"/>
    <cellStyle name="Normal 2 2 7 13 7 2" xfId="34901" xr:uid="{00000000-0005-0000-0000-0000823C0000}"/>
    <cellStyle name="Normal 2 2 7 13 8" xfId="34902" xr:uid="{00000000-0005-0000-0000-0000833C0000}"/>
    <cellStyle name="Normal 2 2 7 13 8 2" xfId="34903" xr:uid="{00000000-0005-0000-0000-0000843C0000}"/>
    <cellStyle name="Normal 2 2 7 13 9" xfId="34904" xr:uid="{00000000-0005-0000-0000-0000853C0000}"/>
    <cellStyle name="Normal 2 2 7 14" xfId="6516" xr:uid="{00000000-0005-0000-0000-0000863C0000}"/>
    <cellStyle name="Normal 2 2 7 14 10" xfId="34905" xr:uid="{00000000-0005-0000-0000-0000873C0000}"/>
    <cellStyle name="Normal 2 2 7 14 11" xfId="34906" xr:uid="{00000000-0005-0000-0000-0000883C0000}"/>
    <cellStyle name="Normal 2 2 7 14 2" xfId="6517" xr:uid="{00000000-0005-0000-0000-0000893C0000}"/>
    <cellStyle name="Normal 2 2 7 14 2 10" xfId="34907" xr:uid="{00000000-0005-0000-0000-00008A3C0000}"/>
    <cellStyle name="Normal 2 2 7 14 2 2" xfId="6518" xr:uid="{00000000-0005-0000-0000-00008B3C0000}"/>
    <cellStyle name="Normal 2 2 7 14 2 2 2" xfId="6519" xr:uid="{00000000-0005-0000-0000-00008C3C0000}"/>
    <cellStyle name="Normal 2 2 7 14 2 2 2 2" xfId="6520" xr:uid="{00000000-0005-0000-0000-00008D3C0000}"/>
    <cellStyle name="Normal 2 2 7 14 2 2 2 2 2" xfId="34908" xr:uid="{00000000-0005-0000-0000-00008E3C0000}"/>
    <cellStyle name="Normal 2 2 7 14 2 2 2 3" xfId="6521" xr:uid="{00000000-0005-0000-0000-00008F3C0000}"/>
    <cellStyle name="Normal 2 2 7 14 2 2 2 3 2" xfId="34909" xr:uid="{00000000-0005-0000-0000-0000903C0000}"/>
    <cellStyle name="Normal 2 2 7 14 2 2 2 4" xfId="34910" xr:uid="{00000000-0005-0000-0000-0000913C0000}"/>
    <cellStyle name="Normal 2 2 7 14 2 2 3" xfId="6522" xr:uid="{00000000-0005-0000-0000-0000923C0000}"/>
    <cellStyle name="Normal 2 2 7 14 2 2 3 2" xfId="34911" xr:uid="{00000000-0005-0000-0000-0000933C0000}"/>
    <cellStyle name="Normal 2 2 7 14 2 2 4" xfId="6523" xr:uid="{00000000-0005-0000-0000-0000943C0000}"/>
    <cellStyle name="Normal 2 2 7 14 2 2 4 2" xfId="34912" xr:uid="{00000000-0005-0000-0000-0000953C0000}"/>
    <cellStyle name="Normal 2 2 7 14 2 2 5" xfId="6524" xr:uid="{00000000-0005-0000-0000-0000963C0000}"/>
    <cellStyle name="Normal 2 2 7 14 2 2 5 2" xfId="34913" xr:uid="{00000000-0005-0000-0000-0000973C0000}"/>
    <cellStyle name="Normal 2 2 7 14 2 2 6" xfId="34914" xr:uid="{00000000-0005-0000-0000-0000983C0000}"/>
    <cellStyle name="Normal 2 2 7 14 2 2 6 2" xfId="34915" xr:uid="{00000000-0005-0000-0000-0000993C0000}"/>
    <cellStyle name="Normal 2 2 7 14 2 2 7" xfId="34916" xr:uid="{00000000-0005-0000-0000-00009A3C0000}"/>
    <cellStyle name="Normal 2 2 7 14 2 3" xfId="6525" xr:uid="{00000000-0005-0000-0000-00009B3C0000}"/>
    <cellStyle name="Normal 2 2 7 14 2 3 2" xfId="6526" xr:uid="{00000000-0005-0000-0000-00009C3C0000}"/>
    <cellStyle name="Normal 2 2 7 14 2 3 2 2" xfId="34917" xr:uid="{00000000-0005-0000-0000-00009D3C0000}"/>
    <cellStyle name="Normal 2 2 7 14 2 3 3" xfId="6527" xr:uid="{00000000-0005-0000-0000-00009E3C0000}"/>
    <cellStyle name="Normal 2 2 7 14 2 3 3 2" xfId="34918" xr:uid="{00000000-0005-0000-0000-00009F3C0000}"/>
    <cellStyle name="Normal 2 2 7 14 2 3 4" xfId="34919" xr:uid="{00000000-0005-0000-0000-0000A03C0000}"/>
    <cellStyle name="Normal 2 2 7 14 2 4" xfId="6528" xr:uid="{00000000-0005-0000-0000-0000A13C0000}"/>
    <cellStyle name="Normal 2 2 7 14 2 4 2" xfId="6529" xr:uid="{00000000-0005-0000-0000-0000A23C0000}"/>
    <cellStyle name="Normal 2 2 7 14 2 4 2 2" xfId="34920" xr:uid="{00000000-0005-0000-0000-0000A33C0000}"/>
    <cellStyle name="Normal 2 2 7 14 2 4 3" xfId="34921" xr:uid="{00000000-0005-0000-0000-0000A43C0000}"/>
    <cellStyle name="Normal 2 2 7 14 2 5" xfId="6530" xr:uid="{00000000-0005-0000-0000-0000A53C0000}"/>
    <cellStyle name="Normal 2 2 7 14 2 5 2" xfId="34922" xr:uid="{00000000-0005-0000-0000-0000A63C0000}"/>
    <cellStyle name="Normal 2 2 7 14 2 6" xfId="6531" xr:uid="{00000000-0005-0000-0000-0000A73C0000}"/>
    <cellStyle name="Normal 2 2 7 14 2 6 2" xfId="34923" xr:uid="{00000000-0005-0000-0000-0000A83C0000}"/>
    <cellStyle name="Normal 2 2 7 14 2 7" xfId="34924" xr:uid="{00000000-0005-0000-0000-0000A93C0000}"/>
    <cellStyle name="Normal 2 2 7 14 2 7 2" xfId="34925" xr:uid="{00000000-0005-0000-0000-0000AA3C0000}"/>
    <cellStyle name="Normal 2 2 7 14 2 8" xfId="34926" xr:uid="{00000000-0005-0000-0000-0000AB3C0000}"/>
    <cellStyle name="Normal 2 2 7 14 2 9" xfId="34927" xr:uid="{00000000-0005-0000-0000-0000AC3C0000}"/>
    <cellStyle name="Normal 2 2 7 14 3" xfId="6532" xr:uid="{00000000-0005-0000-0000-0000AD3C0000}"/>
    <cellStyle name="Normal 2 2 7 14 3 2" xfId="6533" xr:uid="{00000000-0005-0000-0000-0000AE3C0000}"/>
    <cellStyle name="Normal 2 2 7 14 3 2 2" xfId="6534" xr:uid="{00000000-0005-0000-0000-0000AF3C0000}"/>
    <cellStyle name="Normal 2 2 7 14 3 2 2 2" xfId="34928" xr:uid="{00000000-0005-0000-0000-0000B03C0000}"/>
    <cellStyle name="Normal 2 2 7 14 3 2 3" xfId="6535" xr:uid="{00000000-0005-0000-0000-0000B13C0000}"/>
    <cellStyle name="Normal 2 2 7 14 3 2 3 2" xfId="34929" xr:uid="{00000000-0005-0000-0000-0000B23C0000}"/>
    <cellStyle name="Normal 2 2 7 14 3 2 4" xfId="34930" xr:uid="{00000000-0005-0000-0000-0000B33C0000}"/>
    <cellStyle name="Normal 2 2 7 14 3 3" xfId="6536" xr:uid="{00000000-0005-0000-0000-0000B43C0000}"/>
    <cellStyle name="Normal 2 2 7 14 3 3 2" xfId="34931" xr:uid="{00000000-0005-0000-0000-0000B53C0000}"/>
    <cellStyle name="Normal 2 2 7 14 3 4" xfId="6537" xr:uid="{00000000-0005-0000-0000-0000B63C0000}"/>
    <cellStyle name="Normal 2 2 7 14 3 4 2" xfId="34932" xr:uid="{00000000-0005-0000-0000-0000B73C0000}"/>
    <cellStyle name="Normal 2 2 7 14 3 5" xfId="6538" xr:uid="{00000000-0005-0000-0000-0000B83C0000}"/>
    <cellStyle name="Normal 2 2 7 14 3 5 2" xfId="34933" xr:uid="{00000000-0005-0000-0000-0000B93C0000}"/>
    <cellStyle name="Normal 2 2 7 14 3 6" xfId="34934" xr:uid="{00000000-0005-0000-0000-0000BA3C0000}"/>
    <cellStyle name="Normal 2 2 7 14 3 6 2" xfId="34935" xr:uid="{00000000-0005-0000-0000-0000BB3C0000}"/>
    <cellStyle name="Normal 2 2 7 14 3 7" xfId="34936" xr:uid="{00000000-0005-0000-0000-0000BC3C0000}"/>
    <cellStyle name="Normal 2 2 7 14 4" xfId="6539" xr:uid="{00000000-0005-0000-0000-0000BD3C0000}"/>
    <cellStyle name="Normal 2 2 7 14 4 2" xfId="6540" xr:uid="{00000000-0005-0000-0000-0000BE3C0000}"/>
    <cellStyle name="Normal 2 2 7 14 4 2 2" xfId="34937" xr:uid="{00000000-0005-0000-0000-0000BF3C0000}"/>
    <cellStyle name="Normal 2 2 7 14 4 3" xfId="6541" xr:uid="{00000000-0005-0000-0000-0000C03C0000}"/>
    <cellStyle name="Normal 2 2 7 14 4 3 2" xfId="34938" xr:uid="{00000000-0005-0000-0000-0000C13C0000}"/>
    <cellStyle name="Normal 2 2 7 14 4 4" xfId="34939" xr:uid="{00000000-0005-0000-0000-0000C23C0000}"/>
    <cellStyle name="Normal 2 2 7 14 5" xfId="6542" xr:uid="{00000000-0005-0000-0000-0000C33C0000}"/>
    <cellStyle name="Normal 2 2 7 14 5 2" xfId="6543" xr:uid="{00000000-0005-0000-0000-0000C43C0000}"/>
    <cellStyle name="Normal 2 2 7 14 5 2 2" xfId="34940" xr:uid="{00000000-0005-0000-0000-0000C53C0000}"/>
    <cellStyle name="Normal 2 2 7 14 5 3" xfId="34941" xr:uid="{00000000-0005-0000-0000-0000C63C0000}"/>
    <cellStyle name="Normal 2 2 7 14 6" xfId="6544" xr:uid="{00000000-0005-0000-0000-0000C73C0000}"/>
    <cellStyle name="Normal 2 2 7 14 6 2" xfId="34942" xr:uid="{00000000-0005-0000-0000-0000C83C0000}"/>
    <cellStyle name="Normal 2 2 7 14 7" xfId="6545" xr:uid="{00000000-0005-0000-0000-0000C93C0000}"/>
    <cellStyle name="Normal 2 2 7 14 7 2" xfId="34943" xr:uid="{00000000-0005-0000-0000-0000CA3C0000}"/>
    <cellStyle name="Normal 2 2 7 14 8" xfId="34944" xr:uid="{00000000-0005-0000-0000-0000CB3C0000}"/>
    <cellStyle name="Normal 2 2 7 14 8 2" xfId="34945" xr:uid="{00000000-0005-0000-0000-0000CC3C0000}"/>
    <cellStyle name="Normal 2 2 7 14 9" xfId="34946" xr:uid="{00000000-0005-0000-0000-0000CD3C0000}"/>
    <cellStyle name="Normal 2 2 7 15" xfId="6546" xr:uid="{00000000-0005-0000-0000-0000CE3C0000}"/>
    <cellStyle name="Normal 2 2 7 15 10" xfId="34947" xr:uid="{00000000-0005-0000-0000-0000CF3C0000}"/>
    <cellStyle name="Normal 2 2 7 15 11" xfId="34948" xr:uid="{00000000-0005-0000-0000-0000D03C0000}"/>
    <cellStyle name="Normal 2 2 7 15 2" xfId="6547" xr:uid="{00000000-0005-0000-0000-0000D13C0000}"/>
    <cellStyle name="Normal 2 2 7 15 2 10" xfId="34949" xr:uid="{00000000-0005-0000-0000-0000D23C0000}"/>
    <cellStyle name="Normal 2 2 7 15 2 2" xfId="6548" xr:uid="{00000000-0005-0000-0000-0000D33C0000}"/>
    <cellStyle name="Normal 2 2 7 15 2 2 2" xfId="6549" xr:uid="{00000000-0005-0000-0000-0000D43C0000}"/>
    <cellStyle name="Normal 2 2 7 15 2 2 2 2" xfId="6550" xr:uid="{00000000-0005-0000-0000-0000D53C0000}"/>
    <cellStyle name="Normal 2 2 7 15 2 2 2 2 2" xfId="34950" xr:uid="{00000000-0005-0000-0000-0000D63C0000}"/>
    <cellStyle name="Normal 2 2 7 15 2 2 2 3" xfId="6551" xr:uid="{00000000-0005-0000-0000-0000D73C0000}"/>
    <cellStyle name="Normal 2 2 7 15 2 2 2 3 2" xfId="34951" xr:uid="{00000000-0005-0000-0000-0000D83C0000}"/>
    <cellStyle name="Normal 2 2 7 15 2 2 2 4" xfId="34952" xr:uid="{00000000-0005-0000-0000-0000D93C0000}"/>
    <cellStyle name="Normal 2 2 7 15 2 2 3" xfId="6552" xr:uid="{00000000-0005-0000-0000-0000DA3C0000}"/>
    <cellStyle name="Normal 2 2 7 15 2 2 3 2" xfId="34953" xr:uid="{00000000-0005-0000-0000-0000DB3C0000}"/>
    <cellStyle name="Normal 2 2 7 15 2 2 4" xfId="6553" xr:uid="{00000000-0005-0000-0000-0000DC3C0000}"/>
    <cellStyle name="Normal 2 2 7 15 2 2 4 2" xfId="34954" xr:uid="{00000000-0005-0000-0000-0000DD3C0000}"/>
    <cellStyle name="Normal 2 2 7 15 2 2 5" xfId="6554" xr:uid="{00000000-0005-0000-0000-0000DE3C0000}"/>
    <cellStyle name="Normal 2 2 7 15 2 2 5 2" xfId="34955" xr:uid="{00000000-0005-0000-0000-0000DF3C0000}"/>
    <cellStyle name="Normal 2 2 7 15 2 2 6" xfId="34956" xr:uid="{00000000-0005-0000-0000-0000E03C0000}"/>
    <cellStyle name="Normal 2 2 7 15 2 2 6 2" xfId="34957" xr:uid="{00000000-0005-0000-0000-0000E13C0000}"/>
    <cellStyle name="Normal 2 2 7 15 2 2 7" xfId="34958" xr:uid="{00000000-0005-0000-0000-0000E23C0000}"/>
    <cellStyle name="Normal 2 2 7 15 2 3" xfId="6555" xr:uid="{00000000-0005-0000-0000-0000E33C0000}"/>
    <cellStyle name="Normal 2 2 7 15 2 3 2" xfId="6556" xr:uid="{00000000-0005-0000-0000-0000E43C0000}"/>
    <cellStyle name="Normal 2 2 7 15 2 3 2 2" xfId="34959" xr:uid="{00000000-0005-0000-0000-0000E53C0000}"/>
    <cellStyle name="Normal 2 2 7 15 2 3 3" xfId="6557" xr:uid="{00000000-0005-0000-0000-0000E63C0000}"/>
    <cellStyle name="Normal 2 2 7 15 2 3 3 2" xfId="34960" xr:uid="{00000000-0005-0000-0000-0000E73C0000}"/>
    <cellStyle name="Normal 2 2 7 15 2 3 4" xfId="34961" xr:uid="{00000000-0005-0000-0000-0000E83C0000}"/>
    <cellStyle name="Normal 2 2 7 15 2 4" xfId="6558" xr:uid="{00000000-0005-0000-0000-0000E93C0000}"/>
    <cellStyle name="Normal 2 2 7 15 2 4 2" xfId="6559" xr:uid="{00000000-0005-0000-0000-0000EA3C0000}"/>
    <cellStyle name="Normal 2 2 7 15 2 4 2 2" xfId="34962" xr:uid="{00000000-0005-0000-0000-0000EB3C0000}"/>
    <cellStyle name="Normal 2 2 7 15 2 4 3" xfId="34963" xr:uid="{00000000-0005-0000-0000-0000EC3C0000}"/>
    <cellStyle name="Normal 2 2 7 15 2 5" xfId="6560" xr:uid="{00000000-0005-0000-0000-0000ED3C0000}"/>
    <cellStyle name="Normal 2 2 7 15 2 5 2" xfId="34964" xr:uid="{00000000-0005-0000-0000-0000EE3C0000}"/>
    <cellStyle name="Normal 2 2 7 15 2 6" xfId="6561" xr:uid="{00000000-0005-0000-0000-0000EF3C0000}"/>
    <cellStyle name="Normal 2 2 7 15 2 6 2" xfId="34965" xr:uid="{00000000-0005-0000-0000-0000F03C0000}"/>
    <cellStyle name="Normal 2 2 7 15 2 7" xfId="34966" xr:uid="{00000000-0005-0000-0000-0000F13C0000}"/>
    <cellStyle name="Normal 2 2 7 15 2 7 2" xfId="34967" xr:uid="{00000000-0005-0000-0000-0000F23C0000}"/>
    <cellStyle name="Normal 2 2 7 15 2 8" xfId="34968" xr:uid="{00000000-0005-0000-0000-0000F33C0000}"/>
    <cellStyle name="Normal 2 2 7 15 2 9" xfId="34969" xr:uid="{00000000-0005-0000-0000-0000F43C0000}"/>
    <cellStyle name="Normal 2 2 7 15 3" xfId="6562" xr:uid="{00000000-0005-0000-0000-0000F53C0000}"/>
    <cellStyle name="Normal 2 2 7 15 3 2" xfId="6563" xr:uid="{00000000-0005-0000-0000-0000F63C0000}"/>
    <cellStyle name="Normal 2 2 7 15 3 2 2" xfId="6564" xr:uid="{00000000-0005-0000-0000-0000F73C0000}"/>
    <cellStyle name="Normal 2 2 7 15 3 2 2 2" xfId="34970" xr:uid="{00000000-0005-0000-0000-0000F83C0000}"/>
    <cellStyle name="Normal 2 2 7 15 3 2 3" xfId="6565" xr:uid="{00000000-0005-0000-0000-0000F93C0000}"/>
    <cellStyle name="Normal 2 2 7 15 3 2 3 2" xfId="34971" xr:uid="{00000000-0005-0000-0000-0000FA3C0000}"/>
    <cellStyle name="Normal 2 2 7 15 3 2 4" xfId="34972" xr:uid="{00000000-0005-0000-0000-0000FB3C0000}"/>
    <cellStyle name="Normal 2 2 7 15 3 3" xfId="6566" xr:uid="{00000000-0005-0000-0000-0000FC3C0000}"/>
    <cellStyle name="Normal 2 2 7 15 3 3 2" xfId="34973" xr:uid="{00000000-0005-0000-0000-0000FD3C0000}"/>
    <cellStyle name="Normal 2 2 7 15 3 4" xfId="6567" xr:uid="{00000000-0005-0000-0000-0000FE3C0000}"/>
    <cellStyle name="Normal 2 2 7 15 3 4 2" xfId="34974" xr:uid="{00000000-0005-0000-0000-0000FF3C0000}"/>
    <cellStyle name="Normal 2 2 7 15 3 5" xfId="6568" xr:uid="{00000000-0005-0000-0000-0000003D0000}"/>
    <cellStyle name="Normal 2 2 7 15 3 5 2" xfId="34975" xr:uid="{00000000-0005-0000-0000-0000013D0000}"/>
    <cellStyle name="Normal 2 2 7 15 3 6" xfId="34976" xr:uid="{00000000-0005-0000-0000-0000023D0000}"/>
    <cellStyle name="Normal 2 2 7 15 3 6 2" xfId="34977" xr:uid="{00000000-0005-0000-0000-0000033D0000}"/>
    <cellStyle name="Normal 2 2 7 15 3 7" xfId="34978" xr:uid="{00000000-0005-0000-0000-0000043D0000}"/>
    <cellStyle name="Normal 2 2 7 15 4" xfId="6569" xr:uid="{00000000-0005-0000-0000-0000053D0000}"/>
    <cellStyle name="Normal 2 2 7 15 4 2" xfId="6570" xr:uid="{00000000-0005-0000-0000-0000063D0000}"/>
    <cellStyle name="Normal 2 2 7 15 4 2 2" xfId="34979" xr:uid="{00000000-0005-0000-0000-0000073D0000}"/>
    <cellStyle name="Normal 2 2 7 15 4 3" xfId="6571" xr:uid="{00000000-0005-0000-0000-0000083D0000}"/>
    <cellStyle name="Normal 2 2 7 15 4 3 2" xfId="34980" xr:uid="{00000000-0005-0000-0000-0000093D0000}"/>
    <cellStyle name="Normal 2 2 7 15 4 4" xfId="34981" xr:uid="{00000000-0005-0000-0000-00000A3D0000}"/>
    <cellStyle name="Normal 2 2 7 15 5" xfId="6572" xr:uid="{00000000-0005-0000-0000-00000B3D0000}"/>
    <cellStyle name="Normal 2 2 7 15 5 2" xfId="6573" xr:uid="{00000000-0005-0000-0000-00000C3D0000}"/>
    <cellStyle name="Normal 2 2 7 15 5 2 2" xfId="34982" xr:uid="{00000000-0005-0000-0000-00000D3D0000}"/>
    <cellStyle name="Normal 2 2 7 15 5 3" xfId="34983" xr:uid="{00000000-0005-0000-0000-00000E3D0000}"/>
    <cellStyle name="Normal 2 2 7 15 6" xfId="6574" xr:uid="{00000000-0005-0000-0000-00000F3D0000}"/>
    <cellStyle name="Normal 2 2 7 15 6 2" xfId="34984" xr:uid="{00000000-0005-0000-0000-0000103D0000}"/>
    <cellStyle name="Normal 2 2 7 15 7" xfId="6575" xr:uid="{00000000-0005-0000-0000-0000113D0000}"/>
    <cellStyle name="Normal 2 2 7 15 7 2" xfId="34985" xr:uid="{00000000-0005-0000-0000-0000123D0000}"/>
    <cellStyle name="Normal 2 2 7 15 8" xfId="34986" xr:uid="{00000000-0005-0000-0000-0000133D0000}"/>
    <cellStyle name="Normal 2 2 7 15 8 2" xfId="34987" xr:uid="{00000000-0005-0000-0000-0000143D0000}"/>
    <cellStyle name="Normal 2 2 7 15 9" xfId="34988" xr:uid="{00000000-0005-0000-0000-0000153D0000}"/>
    <cellStyle name="Normal 2 2 7 16" xfId="6576" xr:uid="{00000000-0005-0000-0000-0000163D0000}"/>
    <cellStyle name="Normal 2 2 7 16 10" xfId="34989" xr:uid="{00000000-0005-0000-0000-0000173D0000}"/>
    <cellStyle name="Normal 2 2 7 16 11" xfId="34990" xr:uid="{00000000-0005-0000-0000-0000183D0000}"/>
    <cellStyle name="Normal 2 2 7 16 2" xfId="6577" xr:uid="{00000000-0005-0000-0000-0000193D0000}"/>
    <cellStyle name="Normal 2 2 7 16 2 10" xfId="34991" xr:uid="{00000000-0005-0000-0000-00001A3D0000}"/>
    <cellStyle name="Normal 2 2 7 16 2 2" xfId="6578" xr:uid="{00000000-0005-0000-0000-00001B3D0000}"/>
    <cellStyle name="Normal 2 2 7 16 2 2 2" xfId="6579" xr:uid="{00000000-0005-0000-0000-00001C3D0000}"/>
    <cellStyle name="Normal 2 2 7 16 2 2 2 2" xfId="6580" xr:uid="{00000000-0005-0000-0000-00001D3D0000}"/>
    <cellStyle name="Normal 2 2 7 16 2 2 2 2 2" xfId="34992" xr:uid="{00000000-0005-0000-0000-00001E3D0000}"/>
    <cellStyle name="Normal 2 2 7 16 2 2 2 3" xfId="6581" xr:uid="{00000000-0005-0000-0000-00001F3D0000}"/>
    <cellStyle name="Normal 2 2 7 16 2 2 2 3 2" xfId="34993" xr:uid="{00000000-0005-0000-0000-0000203D0000}"/>
    <cellStyle name="Normal 2 2 7 16 2 2 2 4" xfId="34994" xr:uid="{00000000-0005-0000-0000-0000213D0000}"/>
    <cellStyle name="Normal 2 2 7 16 2 2 3" xfId="6582" xr:uid="{00000000-0005-0000-0000-0000223D0000}"/>
    <cellStyle name="Normal 2 2 7 16 2 2 3 2" xfId="34995" xr:uid="{00000000-0005-0000-0000-0000233D0000}"/>
    <cellStyle name="Normal 2 2 7 16 2 2 4" xfId="6583" xr:uid="{00000000-0005-0000-0000-0000243D0000}"/>
    <cellStyle name="Normal 2 2 7 16 2 2 4 2" xfId="34996" xr:uid="{00000000-0005-0000-0000-0000253D0000}"/>
    <cellStyle name="Normal 2 2 7 16 2 2 5" xfId="6584" xr:uid="{00000000-0005-0000-0000-0000263D0000}"/>
    <cellStyle name="Normal 2 2 7 16 2 2 5 2" xfId="34997" xr:uid="{00000000-0005-0000-0000-0000273D0000}"/>
    <cellStyle name="Normal 2 2 7 16 2 2 6" xfId="34998" xr:uid="{00000000-0005-0000-0000-0000283D0000}"/>
    <cellStyle name="Normal 2 2 7 16 2 2 6 2" xfId="34999" xr:uid="{00000000-0005-0000-0000-0000293D0000}"/>
    <cellStyle name="Normal 2 2 7 16 2 2 7" xfId="35000" xr:uid="{00000000-0005-0000-0000-00002A3D0000}"/>
    <cellStyle name="Normal 2 2 7 16 2 3" xfId="6585" xr:uid="{00000000-0005-0000-0000-00002B3D0000}"/>
    <cellStyle name="Normal 2 2 7 16 2 3 2" xfId="6586" xr:uid="{00000000-0005-0000-0000-00002C3D0000}"/>
    <cellStyle name="Normal 2 2 7 16 2 3 2 2" xfId="35001" xr:uid="{00000000-0005-0000-0000-00002D3D0000}"/>
    <cellStyle name="Normal 2 2 7 16 2 3 3" xfId="6587" xr:uid="{00000000-0005-0000-0000-00002E3D0000}"/>
    <cellStyle name="Normal 2 2 7 16 2 3 3 2" xfId="35002" xr:uid="{00000000-0005-0000-0000-00002F3D0000}"/>
    <cellStyle name="Normal 2 2 7 16 2 3 4" xfId="35003" xr:uid="{00000000-0005-0000-0000-0000303D0000}"/>
    <cellStyle name="Normal 2 2 7 16 2 4" xfId="6588" xr:uid="{00000000-0005-0000-0000-0000313D0000}"/>
    <cellStyle name="Normal 2 2 7 16 2 4 2" xfId="6589" xr:uid="{00000000-0005-0000-0000-0000323D0000}"/>
    <cellStyle name="Normal 2 2 7 16 2 4 2 2" xfId="35004" xr:uid="{00000000-0005-0000-0000-0000333D0000}"/>
    <cellStyle name="Normal 2 2 7 16 2 4 3" xfId="35005" xr:uid="{00000000-0005-0000-0000-0000343D0000}"/>
    <cellStyle name="Normal 2 2 7 16 2 5" xfId="6590" xr:uid="{00000000-0005-0000-0000-0000353D0000}"/>
    <cellStyle name="Normal 2 2 7 16 2 5 2" xfId="35006" xr:uid="{00000000-0005-0000-0000-0000363D0000}"/>
    <cellStyle name="Normal 2 2 7 16 2 6" xfId="6591" xr:uid="{00000000-0005-0000-0000-0000373D0000}"/>
    <cellStyle name="Normal 2 2 7 16 2 6 2" xfId="35007" xr:uid="{00000000-0005-0000-0000-0000383D0000}"/>
    <cellStyle name="Normal 2 2 7 16 2 7" xfId="35008" xr:uid="{00000000-0005-0000-0000-0000393D0000}"/>
    <cellStyle name="Normal 2 2 7 16 2 7 2" xfId="35009" xr:uid="{00000000-0005-0000-0000-00003A3D0000}"/>
    <cellStyle name="Normal 2 2 7 16 2 8" xfId="35010" xr:uid="{00000000-0005-0000-0000-00003B3D0000}"/>
    <cellStyle name="Normal 2 2 7 16 2 9" xfId="35011" xr:uid="{00000000-0005-0000-0000-00003C3D0000}"/>
    <cellStyle name="Normal 2 2 7 16 3" xfId="6592" xr:uid="{00000000-0005-0000-0000-00003D3D0000}"/>
    <cellStyle name="Normal 2 2 7 16 3 2" xfId="6593" xr:uid="{00000000-0005-0000-0000-00003E3D0000}"/>
    <cellStyle name="Normal 2 2 7 16 3 2 2" xfId="6594" xr:uid="{00000000-0005-0000-0000-00003F3D0000}"/>
    <cellStyle name="Normal 2 2 7 16 3 2 2 2" xfId="35012" xr:uid="{00000000-0005-0000-0000-0000403D0000}"/>
    <cellStyle name="Normal 2 2 7 16 3 2 3" xfId="6595" xr:uid="{00000000-0005-0000-0000-0000413D0000}"/>
    <cellStyle name="Normal 2 2 7 16 3 2 3 2" xfId="35013" xr:uid="{00000000-0005-0000-0000-0000423D0000}"/>
    <cellStyle name="Normal 2 2 7 16 3 2 4" xfId="35014" xr:uid="{00000000-0005-0000-0000-0000433D0000}"/>
    <cellStyle name="Normal 2 2 7 16 3 3" xfId="6596" xr:uid="{00000000-0005-0000-0000-0000443D0000}"/>
    <cellStyle name="Normal 2 2 7 16 3 3 2" xfId="35015" xr:uid="{00000000-0005-0000-0000-0000453D0000}"/>
    <cellStyle name="Normal 2 2 7 16 3 4" xfId="6597" xr:uid="{00000000-0005-0000-0000-0000463D0000}"/>
    <cellStyle name="Normal 2 2 7 16 3 4 2" xfId="35016" xr:uid="{00000000-0005-0000-0000-0000473D0000}"/>
    <cellStyle name="Normal 2 2 7 16 3 5" xfId="6598" xr:uid="{00000000-0005-0000-0000-0000483D0000}"/>
    <cellStyle name="Normal 2 2 7 16 3 5 2" xfId="35017" xr:uid="{00000000-0005-0000-0000-0000493D0000}"/>
    <cellStyle name="Normal 2 2 7 16 3 6" xfId="35018" xr:uid="{00000000-0005-0000-0000-00004A3D0000}"/>
    <cellStyle name="Normal 2 2 7 16 3 6 2" xfId="35019" xr:uid="{00000000-0005-0000-0000-00004B3D0000}"/>
    <cellStyle name="Normal 2 2 7 16 3 7" xfId="35020" xr:uid="{00000000-0005-0000-0000-00004C3D0000}"/>
    <cellStyle name="Normal 2 2 7 16 4" xfId="6599" xr:uid="{00000000-0005-0000-0000-00004D3D0000}"/>
    <cellStyle name="Normal 2 2 7 16 4 2" xfId="6600" xr:uid="{00000000-0005-0000-0000-00004E3D0000}"/>
    <cellStyle name="Normal 2 2 7 16 4 2 2" xfId="35021" xr:uid="{00000000-0005-0000-0000-00004F3D0000}"/>
    <cellStyle name="Normal 2 2 7 16 4 3" xfId="6601" xr:uid="{00000000-0005-0000-0000-0000503D0000}"/>
    <cellStyle name="Normal 2 2 7 16 4 3 2" xfId="35022" xr:uid="{00000000-0005-0000-0000-0000513D0000}"/>
    <cellStyle name="Normal 2 2 7 16 4 4" xfId="35023" xr:uid="{00000000-0005-0000-0000-0000523D0000}"/>
    <cellStyle name="Normal 2 2 7 16 5" xfId="6602" xr:uid="{00000000-0005-0000-0000-0000533D0000}"/>
    <cellStyle name="Normal 2 2 7 16 5 2" xfId="6603" xr:uid="{00000000-0005-0000-0000-0000543D0000}"/>
    <cellStyle name="Normal 2 2 7 16 5 2 2" xfId="35024" xr:uid="{00000000-0005-0000-0000-0000553D0000}"/>
    <cellStyle name="Normal 2 2 7 16 5 3" xfId="35025" xr:uid="{00000000-0005-0000-0000-0000563D0000}"/>
    <cellStyle name="Normal 2 2 7 16 6" xfId="6604" xr:uid="{00000000-0005-0000-0000-0000573D0000}"/>
    <cellStyle name="Normal 2 2 7 16 6 2" xfId="35026" xr:uid="{00000000-0005-0000-0000-0000583D0000}"/>
    <cellStyle name="Normal 2 2 7 16 7" xfId="6605" xr:uid="{00000000-0005-0000-0000-0000593D0000}"/>
    <cellStyle name="Normal 2 2 7 16 7 2" xfId="35027" xr:uid="{00000000-0005-0000-0000-00005A3D0000}"/>
    <cellStyle name="Normal 2 2 7 16 8" xfId="35028" xr:uid="{00000000-0005-0000-0000-00005B3D0000}"/>
    <cellStyle name="Normal 2 2 7 16 8 2" xfId="35029" xr:uid="{00000000-0005-0000-0000-00005C3D0000}"/>
    <cellStyle name="Normal 2 2 7 16 9" xfId="35030" xr:uid="{00000000-0005-0000-0000-00005D3D0000}"/>
    <cellStyle name="Normal 2 2 7 17" xfId="6606" xr:uid="{00000000-0005-0000-0000-00005E3D0000}"/>
    <cellStyle name="Normal 2 2 7 17 10" xfId="35031" xr:uid="{00000000-0005-0000-0000-00005F3D0000}"/>
    <cellStyle name="Normal 2 2 7 17 11" xfId="35032" xr:uid="{00000000-0005-0000-0000-0000603D0000}"/>
    <cellStyle name="Normal 2 2 7 17 2" xfId="6607" xr:uid="{00000000-0005-0000-0000-0000613D0000}"/>
    <cellStyle name="Normal 2 2 7 17 2 10" xfId="35033" xr:uid="{00000000-0005-0000-0000-0000623D0000}"/>
    <cellStyle name="Normal 2 2 7 17 2 2" xfId="6608" xr:uid="{00000000-0005-0000-0000-0000633D0000}"/>
    <cellStyle name="Normal 2 2 7 17 2 2 2" xfId="6609" xr:uid="{00000000-0005-0000-0000-0000643D0000}"/>
    <cellStyle name="Normal 2 2 7 17 2 2 2 2" xfId="6610" xr:uid="{00000000-0005-0000-0000-0000653D0000}"/>
    <cellStyle name="Normal 2 2 7 17 2 2 2 2 2" xfId="35034" xr:uid="{00000000-0005-0000-0000-0000663D0000}"/>
    <cellStyle name="Normal 2 2 7 17 2 2 2 3" xfId="6611" xr:uid="{00000000-0005-0000-0000-0000673D0000}"/>
    <cellStyle name="Normal 2 2 7 17 2 2 2 3 2" xfId="35035" xr:uid="{00000000-0005-0000-0000-0000683D0000}"/>
    <cellStyle name="Normal 2 2 7 17 2 2 2 4" xfId="35036" xr:uid="{00000000-0005-0000-0000-0000693D0000}"/>
    <cellStyle name="Normal 2 2 7 17 2 2 3" xfId="6612" xr:uid="{00000000-0005-0000-0000-00006A3D0000}"/>
    <cellStyle name="Normal 2 2 7 17 2 2 3 2" xfId="35037" xr:uid="{00000000-0005-0000-0000-00006B3D0000}"/>
    <cellStyle name="Normal 2 2 7 17 2 2 4" xfId="6613" xr:uid="{00000000-0005-0000-0000-00006C3D0000}"/>
    <cellStyle name="Normal 2 2 7 17 2 2 4 2" xfId="35038" xr:uid="{00000000-0005-0000-0000-00006D3D0000}"/>
    <cellStyle name="Normal 2 2 7 17 2 2 5" xfId="6614" xr:uid="{00000000-0005-0000-0000-00006E3D0000}"/>
    <cellStyle name="Normal 2 2 7 17 2 2 5 2" xfId="35039" xr:uid="{00000000-0005-0000-0000-00006F3D0000}"/>
    <cellStyle name="Normal 2 2 7 17 2 2 6" xfId="35040" xr:uid="{00000000-0005-0000-0000-0000703D0000}"/>
    <cellStyle name="Normal 2 2 7 17 2 2 6 2" xfId="35041" xr:uid="{00000000-0005-0000-0000-0000713D0000}"/>
    <cellStyle name="Normal 2 2 7 17 2 2 7" xfId="35042" xr:uid="{00000000-0005-0000-0000-0000723D0000}"/>
    <cellStyle name="Normal 2 2 7 17 2 3" xfId="6615" xr:uid="{00000000-0005-0000-0000-0000733D0000}"/>
    <cellStyle name="Normal 2 2 7 17 2 3 2" xfId="6616" xr:uid="{00000000-0005-0000-0000-0000743D0000}"/>
    <cellStyle name="Normal 2 2 7 17 2 3 2 2" xfId="35043" xr:uid="{00000000-0005-0000-0000-0000753D0000}"/>
    <cellStyle name="Normal 2 2 7 17 2 3 3" xfId="6617" xr:uid="{00000000-0005-0000-0000-0000763D0000}"/>
    <cellStyle name="Normal 2 2 7 17 2 3 3 2" xfId="35044" xr:uid="{00000000-0005-0000-0000-0000773D0000}"/>
    <cellStyle name="Normal 2 2 7 17 2 3 4" xfId="35045" xr:uid="{00000000-0005-0000-0000-0000783D0000}"/>
    <cellStyle name="Normal 2 2 7 17 2 4" xfId="6618" xr:uid="{00000000-0005-0000-0000-0000793D0000}"/>
    <cellStyle name="Normal 2 2 7 17 2 4 2" xfId="6619" xr:uid="{00000000-0005-0000-0000-00007A3D0000}"/>
    <cellStyle name="Normal 2 2 7 17 2 4 2 2" xfId="35046" xr:uid="{00000000-0005-0000-0000-00007B3D0000}"/>
    <cellStyle name="Normal 2 2 7 17 2 4 3" xfId="35047" xr:uid="{00000000-0005-0000-0000-00007C3D0000}"/>
    <cellStyle name="Normal 2 2 7 17 2 5" xfId="6620" xr:uid="{00000000-0005-0000-0000-00007D3D0000}"/>
    <cellStyle name="Normal 2 2 7 17 2 5 2" xfId="35048" xr:uid="{00000000-0005-0000-0000-00007E3D0000}"/>
    <cellStyle name="Normal 2 2 7 17 2 6" xfId="6621" xr:uid="{00000000-0005-0000-0000-00007F3D0000}"/>
    <cellStyle name="Normal 2 2 7 17 2 6 2" xfId="35049" xr:uid="{00000000-0005-0000-0000-0000803D0000}"/>
    <cellStyle name="Normal 2 2 7 17 2 7" xfId="35050" xr:uid="{00000000-0005-0000-0000-0000813D0000}"/>
    <cellStyle name="Normal 2 2 7 17 2 7 2" xfId="35051" xr:uid="{00000000-0005-0000-0000-0000823D0000}"/>
    <cellStyle name="Normal 2 2 7 17 2 8" xfId="35052" xr:uid="{00000000-0005-0000-0000-0000833D0000}"/>
    <cellStyle name="Normal 2 2 7 17 2 9" xfId="35053" xr:uid="{00000000-0005-0000-0000-0000843D0000}"/>
    <cellStyle name="Normal 2 2 7 17 3" xfId="6622" xr:uid="{00000000-0005-0000-0000-0000853D0000}"/>
    <cellStyle name="Normal 2 2 7 17 3 2" xfId="6623" xr:uid="{00000000-0005-0000-0000-0000863D0000}"/>
    <cellStyle name="Normal 2 2 7 17 3 2 2" xfId="6624" xr:uid="{00000000-0005-0000-0000-0000873D0000}"/>
    <cellStyle name="Normal 2 2 7 17 3 2 2 2" xfId="35054" xr:uid="{00000000-0005-0000-0000-0000883D0000}"/>
    <cellStyle name="Normal 2 2 7 17 3 2 3" xfId="6625" xr:uid="{00000000-0005-0000-0000-0000893D0000}"/>
    <cellStyle name="Normal 2 2 7 17 3 2 3 2" xfId="35055" xr:uid="{00000000-0005-0000-0000-00008A3D0000}"/>
    <cellStyle name="Normal 2 2 7 17 3 2 4" xfId="35056" xr:uid="{00000000-0005-0000-0000-00008B3D0000}"/>
    <cellStyle name="Normal 2 2 7 17 3 3" xfId="6626" xr:uid="{00000000-0005-0000-0000-00008C3D0000}"/>
    <cellStyle name="Normal 2 2 7 17 3 3 2" xfId="35057" xr:uid="{00000000-0005-0000-0000-00008D3D0000}"/>
    <cellStyle name="Normal 2 2 7 17 3 4" xfId="6627" xr:uid="{00000000-0005-0000-0000-00008E3D0000}"/>
    <cellStyle name="Normal 2 2 7 17 3 4 2" xfId="35058" xr:uid="{00000000-0005-0000-0000-00008F3D0000}"/>
    <cellStyle name="Normal 2 2 7 17 3 5" xfId="6628" xr:uid="{00000000-0005-0000-0000-0000903D0000}"/>
    <cellStyle name="Normal 2 2 7 17 3 5 2" xfId="35059" xr:uid="{00000000-0005-0000-0000-0000913D0000}"/>
    <cellStyle name="Normal 2 2 7 17 3 6" xfId="35060" xr:uid="{00000000-0005-0000-0000-0000923D0000}"/>
    <cellStyle name="Normal 2 2 7 17 3 6 2" xfId="35061" xr:uid="{00000000-0005-0000-0000-0000933D0000}"/>
    <cellStyle name="Normal 2 2 7 17 3 7" xfId="35062" xr:uid="{00000000-0005-0000-0000-0000943D0000}"/>
    <cellStyle name="Normal 2 2 7 17 4" xfId="6629" xr:uid="{00000000-0005-0000-0000-0000953D0000}"/>
    <cellStyle name="Normal 2 2 7 17 4 2" xfId="6630" xr:uid="{00000000-0005-0000-0000-0000963D0000}"/>
    <cellStyle name="Normal 2 2 7 17 4 2 2" xfId="35063" xr:uid="{00000000-0005-0000-0000-0000973D0000}"/>
    <cellStyle name="Normal 2 2 7 17 4 3" xfId="6631" xr:uid="{00000000-0005-0000-0000-0000983D0000}"/>
    <cellStyle name="Normal 2 2 7 17 4 3 2" xfId="35064" xr:uid="{00000000-0005-0000-0000-0000993D0000}"/>
    <cellStyle name="Normal 2 2 7 17 4 4" xfId="35065" xr:uid="{00000000-0005-0000-0000-00009A3D0000}"/>
    <cellStyle name="Normal 2 2 7 17 5" xfId="6632" xr:uid="{00000000-0005-0000-0000-00009B3D0000}"/>
    <cellStyle name="Normal 2 2 7 17 5 2" xfId="6633" xr:uid="{00000000-0005-0000-0000-00009C3D0000}"/>
    <cellStyle name="Normal 2 2 7 17 5 2 2" xfId="35066" xr:uid="{00000000-0005-0000-0000-00009D3D0000}"/>
    <cellStyle name="Normal 2 2 7 17 5 3" xfId="35067" xr:uid="{00000000-0005-0000-0000-00009E3D0000}"/>
    <cellStyle name="Normal 2 2 7 17 6" xfId="6634" xr:uid="{00000000-0005-0000-0000-00009F3D0000}"/>
    <cellStyle name="Normal 2 2 7 17 6 2" xfId="35068" xr:uid="{00000000-0005-0000-0000-0000A03D0000}"/>
    <cellStyle name="Normal 2 2 7 17 7" xfId="6635" xr:uid="{00000000-0005-0000-0000-0000A13D0000}"/>
    <cellStyle name="Normal 2 2 7 17 7 2" xfId="35069" xr:uid="{00000000-0005-0000-0000-0000A23D0000}"/>
    <cellStyle name="Normal 2 2 7 17 8" xfId="35070" xr:uid="{00000000-0005-0000-0000-0000A33D0000}"/>
    <cellStyle name="Normal 2 2 7 17 8 2" xfId="35071" xr:uid="{00000000-0005-0000-0000-0000A43D0000}"/>
    <cellStyle name="Normal 2 2 7 17 9" xfId="35072" xr:uid="{00000000-0005-0000-0000-0000A53D0000}"/>
    <cellStyle name="Normal 2 2 7 18" xfId="6636" xr:uid="{00000000-0005-0000-0000-0000A63D0000}"/>
    <cellStyle name="Normal 2 2 7 18 10" xfId="35073" xr:uid="{00000000-0005-0000-0000-0000A73D0000}"/>
    <cellStyle name="Normal 2 2 7 18 11" xfId="35074" xr:uid="{00000000-0005-0000-0000-0000A83D0000}"/>
    <cellStyle name="Normal 2 2 7 18 2" xfId="6637" xr:uid="{00000000-0005-0000-0000-0000A93D0000}"/>
    <cellStyle name="Normal 2 2 7 18 2 10" xfId="35075" xr:uid="{00000000-0005-0000-0000-0000AA3D0000}"/>
    <cellStyle name="Normal 2 2 7 18 2 2" xfId="6638" xr:uid="{00000000-0005-0000-0000-0000AB3D0000}"/>
    <cellStyle name="Normal 2 2 7 18 2 2 2" xfId="6639" xr:uid="{00000000-0005-0000-0000-0000AC3D0000}"/>
    <cellStyle name="Normal 2 2 7 18 2 2 2 2" xfId="6640" xr:uid="{00000000-0005-0000-0000-0000AD3D0000}"/>
    <cellStyle name="Normal 2 2 7 18 2 2 2 2 2" xfId="35076" xr:uid="{00000000-0005-0000-0000-0000AE3D0000}"/>
    <cellStyle name="Normal 2 2 7 18 2 2 2 3" xfId="6641" xr:uid="{00000000-0005-0000-0000-0000AF3D0000}"/>
    <cellStyle name="Normal 2 2 7 18 2 2 2 3 2" xfId="35077" xr:uid="{00000000-0005-0000-0000-0000B03D0000}"/>
    <cellStyle name="Normal 2 2 7 18 2 2 2 4" xfId="35078" xr:uid="{00000000-0005-0000-0000-0000B13D0000}"/>
    <cellStyle name="Normal 2 2 7 18 2 2 3" xfId="6642" xr:uid="{00000000-0005-0000-0000-0000B23D0000}"/>
    <cellStyle name="Normal 2 2 7 18 2 2 3 2" xfId="35079" xr:uid="{00000000-0005-0000-0000-0000B33D0000}"/>
    <cellStyle name="Normal 2 2 7 18 2 2 4" xfId="6643" xr:uid="{00000000-0005-0000-0000-0000B43D0000}"/>
    <cellStyle name="Normal 2 2 7 18 2 2 4 2" xfId="35080" xr:uid="{00000000-0005-0000-0000-0000B53D0000}"/>
    <cellStyle name="Normal 2 2 7 18 2 2 5" xfId="6644" xr:uid="{00000000-0005-0000-0000-0000B63D0000}"/>
    <cellStyle name="Normal 2 2 7 18 2 2 5 2" xfId="35081" xr:uid="{00000000-0005-0000-0000-0000B73D0000}"/>
    <cellStyle name="Normal 2 2 7 18 2 2 6" xfId="35082" xr:uid="{00000000-0005-0000-0000-0000B83D0000}"/>
    <cellStyle name="Normal 2 2 7 18 2 2 6 2" xfId="35083" xr:uid="{00000000-0005-0000-0000-0000B93D0000}"/>
    <cellStyle name="Normal 2 2 7 18 2 2 7" xfId="35084" xr:uid="{00000000-0005-0000-0000-0000BA3D0000}"/>
    <cellStyle name="Normal 2 2 7 18 2 3" xfId="6645" xr:uid="{00000000-0005-0000-0000-0000BB3D0000}"/>
    <cellStyle name="Normal 2 2 7 18 2 3 2" xfId="6646" xr:uid="{00000000-0005-0000-0000-0000BC3D0000}"/>
    <cellStyle name="Normal 2 2 7 18 2 3 2 2" xfId="35085" xr:uid="{00000000-0005-0000-0000-0000BD3D0000}"/>
    <cellStyle name="Normal 2 2 7 18 2 3 3" xfId="6647" xr:uid="{00000000-0005-0000-0000-0000BE3D0000}"/>
    <cellStyle name="Normal 2 2 7 18 2 3 3 2" xfId="35086" xr:uid="{00000000-0005-0000-0000-0000BF3D0000}"/>
    <cellStyle name="Normal 2 2 7 18 2 3 4" xfId="35087" xr:uid="{00000000-0005-0000-0000-0000C03D0000}"/>
    <cellStyle name="Normal 2 2 7 18 2 4" xfId="6648" xr:uid="{00000000-0005-0000-0000-0000C13D0000}"/>
    <cellStyle name="Normal 2 2 7 18 2 4 2" xfId="6649" xr:uid="{00000000-0005-0000-0000-0000C23D0000}"/>
    <cellStyle name="Normal 2 2 7 18 2 4 2 2" xfId="35088" xr:uid="{00000000-0005-0000-0000-0000C33D0000}"/>
    <cellStyle name="Normal 2 2 7 18 2 4 3" xfId="35089" xr:uid="{00000000-0005-0000-0000-0000C43D0000}"/>
    <cellStyle name="Normal 2 2 7 18 2 5" xfId="6650" xr:uid="{00000000-0005-0000-0000-0000C53D0000}"/>
    <cellStyle name="Normal 2 2 7 18 2 5 2" xfId="35090" xr:uid="{00000000-0005-0000-0000-0000C63D0000}"/>
    <cellStyle name="Normal 2 2 7 18 2 6" xfId="6651" xr:uid="{00000000-0005-0000-0000-0000C73D0000}"/>
    <cellStyle name="Normal 2 2 7 18 2 6 2" xfId="35091" xr:uid="{00000000-0005-0000-0000-0000C83D0000}"/>
    <cellStyle name="Normal 2 2 7 18 2 7" xfId="35092" xr:uid="{00000000-0005-0000-0000-0000C93D0000}"/>
    <cellStyle name="Normal 2 2 7 18 2 7 2" xfId="35093" xr:uid="{00000000-0005-0000-0000-0000CA3D0000}"/>
    <cellStyle name="Normal 2 2 7 18 2 8" xfId="35094" xr:uid="{00000000-0005-0000-0000-0000CB3D0000}"/>
    <cellStyle name="Normal 2 2 7 18 2 9" xfId="35095" xr:uid="{00000000-0005-0000-0000-0000CC3D0000}"/>
    <cellStyle name="Normal 2 2 7 18 3" xfId="6652" xr:uid="{00000000-0005-0000-0000-0000CD3D0000}"/>
    <cellStyle name="Normal 2 2 7 18 3 2" xfId="6653" xr:uid="{00000000-0005-0000-0000-0000CE3D0000}"/>
    <cellStyle name="Normal 2 2 7 18 3 2 2" xfId="6654" xr:uid="{00000000-0005-0000-0000-0000CF3D0000}"/>
    <cellStyle name="Normal 2 2 7 18 3 2 2 2" xfId="35096" xr:uid="{00000000-0005-0000-0000-0000D03D0000}"/>
    <cellStyle name="Normal 2 2 7 18 3 2 3" xfId="6655" xr:uid="{00000000-0005-0000-0000-0000D13D0000}"/>
    <cellStyle name="Normal 2 2 7 18 3 2 3 2" xfId="35097" xr:uid="{00000000-0005-0000-0000-0000D23D0000}"/>
    <cellStyle name="Normal 2 2 7 18 3 2 4" xfId="35098" xr:uid="{00000000-0005-0000-0000-0000D33D0000}"/>
    <cellStyle name="Normal 2 2 7 18 3 3" xfId="6656" xr:uid="{00000000-0005-0000-0000-0000D43D0000}"/>
    <cellStyle name="Normal 2 2 7 18 3 3 2" xfId="35099" xr:uid="{00000000-0005-0000-0000-0000D53D0000}"/>
    <cellStyle name="Normal 2 2 7 18 3 4" xfId="6657" xr:uid="{00000000-0005-0000-0000-0000D63D0000}"/>
    <cellStyle name="Normal 2 2 7 18 3 4 2" xfId="35100" xr:uid="{00000000-0005-0000-0000-0000D73D0000}"/>
    <cellStyle name="Normal 2 2 7 18 3 5" xfId="6658" xr:uid="{00000000-0005-0000-0000-0000D83D0000}"/>
    <cellStyle name="Normal 2 2 7 18 3 5 2" xfId="35101" xr:uid="{00000000-0005-0000-0000-0000D93D0000}"/>
    <cellStyle name="Normal 2 2 7 18 3 6" xfId="35102" xr:uid="{00000000-0005-0000-0000-0000DA3D0000}"/>
    <cellStyle name="Normal 2 2 7 18 3 6 2" xfId="35103" xr:uid="{00000000-0005-0000-0000-0000DB3D0000}"/>
    <cellStyle name="Normal 2 2 7 18 3 7" xfId="35104" xr:uid="{00000000-0005-0000-0000-0000DC3D0000}"/>
    <cellStyle name="Normal 2 2 7 18 4" xfId="6659" xr:uid="{00000000-0005-0000-0000-0000DD3D0000}"/>
    <cellStyle name="Normal 2 2 7 18 4 2" xfId="6660" xr:uid="{00000000-0005-0000-0000-0000DE3D0000}"/>
    <cellStyle name="Normal 2 2 7 18 4 2 2" xfId="35105" xr:uid="{00000000-0005-0000-0000-0000DF3D0000}"/>
    <cellStyle name="Normal 2 2 7 18 4 3" xfId="6661" xr:uid="{00000000-0005-0000-0000-0000E03D0000}"/>
    <cellStyle name="Normal 2 2 7 18 4 3 2" xfId="35106" xr:uid="{00000000-0005-0000-0000-0000E13D0000}"/>
    <cellStyle name="Normal 2 2 7 18 4 4" xfId="35107" xr:uid="{00000000-0005-0000-0000-0000E23D0000}"/>
    <cellStyle name="Normal 2 2 7 18 5" xfId="6662" xr:uid="{00000000-0005-0000-0000-0000E33D0000}"/>
    <cellStyle name="Normal 2 2 7 18 5 2" xfId="6663" xr:uid="{00000000-0005-0000-0000-0000E43D0000}"/>
    <cellStyle name="Normal 2 2 7 18 5 2 2" xfId="35108" xr:uid="{00000000-0005-0000-0000-0000E53D0000}"/>
    <cellStyle name="Normal 2 2 7 18 5 3" xfId="35109" xr:uid="{00000000-0005-0000-0000-0000E63D0000}"/>
    <cellStyle name="Normal 2 2 7 18 6" xfId="6664" xr:uid="{00000000-0005-0000-0000-0000E73D0000}"/>
    <cellStyle name="Normal 2 2 7 18 6 2" xfId="35110" xr:uid="{00000000-0005-0000-0000-0000E83D0000}"/>
    <cellStyle name="Normal 2 2 7 18 7" xfId="6665" xr:uid="{00000000-0005-0000-0000-0000E93D0000}"/>
    <cellStyle name="Normal 2 2 7 18 7 2" xfId="35111" xr:uid="{00000000-0005-0000-0000-0000EA3D0000}"/>
    <cellStyle name="Normal 2 2 7 18 8" xfId="35112" xr:uid="{00000000-0005-0000-0000-0000EB3D0000}"/>
    <cellStyle name="Normal 2 2 7 18 8 2" xfId="35113" xr:uid="{00000000-0005-0000-0000-0000EC3D0000}"/>
    <cellStyle name="Normal 2 2 7 18 9" xfId="35114" xr:uid="{00000000-0005-0000-0000-0000ED3D0000}"/>
    <cellStyle name="Normal 2 2 7 19" xfId="6666" xr:uid="{00000000-0005-0000-0000-0000EE3D0000}"/>
    <cellStyle name="Normal 2 2 7 19 10" xfId="35115" xr:uid="{00000000-0005-0000-0000-0000EF3D0000}"/>
    <cellStyle name="Normal 2 2 7 19 11" xfId="35116" xr:uid="{00000000-0005-0000-0000-0000F03D0000}"/>
    <cellStyle name="Normal 2 2 7 19 2" xfId="6667" xr:uid="{00000000-0005-0000-0000-0000F13D0000}"/>
    <cellStyle name="Normal 2 2 7 19 2 10" xfId="35117" xr:uid="{00000000-0005-0000-0000-0000F23D0000}"/>
    <cellStyle name="Normal 2 2 7 19 2 2" xfId="6668" xr:uid="{00000000-0005-0000-0000-0000F33D0000}"/>
    <cellStyle name="Normal 2 2 7 19 2 2 2" xfId="6669" xr:uid="{00000000-0005-0000-0000-0000F43D0000}"/>
    <cellStyle name="Normal 2 2 7 19 2 2 2 2" xfId="6670" xr:uid="{00000000-0005-0000-0000-0000F53D0000}"/>
    <cellStyle name="Normal 2 2 7 19 2 2 2 2 2" xfId="35118" xr:uid="{00000000-0005-0000-0000-0000F63D0000}"/>
    <cellStyle name="Normal 2 2 7 19 2 2 2 3" xfId="6671" xr:uid="{00000000-0005-0000-0000-0000F73D0000}"/>
    <cellStyle name="Normal 2 2 7 19 2 2 2 3 2" xfId="35119" xr:uid="{00000000-0005-0000-0000-0000F83D0000}"/>
    <cellStyle name="Normal 2 2 7 19 2 2 2 4" xfId="35120" xr:uid="{00000000-0005-0000-0000-0000F93D0000}"/>
    <cellStyle name="Normal 2 2 7 19 2 2 3" xfId="6672" xr:uid="{00000000-0005-0000-0000-0000FA3D0000}"/>
    <cellStyle name="Normal 2 2 7 19 2 2 3 2" xfId="35121" xr:uid="{00000000-0005-0000-0000-0000FB3D0000}"/>
    <cellStyle name="Normal 2 2 7 19 2 2 4" xfId="6673" xr:uid="{00000000-0005-0000-0000-0000FC3D0000}"/>
    <cellStyle name="Normal 2 2 7 19 2 2 4 2" xfId="35122" xr:uid="{00000000-0005-0000-0000-0000FD3D0000}"/>
    <cellStyle name="Normal 2 2 7 19 2 2 5" xfId="6674" xr:uid="{00000000-0005-0000-0000-0000FE3D0000}"/>
    <cellStyle name="Normal 2 2 7 19 2 2 5 2" xfId="35123" xr:uid="{00000000-0005-0000-0000-0000FF3D0000}"/>
    <cellStyle name="Normal 2 2 7 19 2 2 6" xfId="35124" xr:uid="{00000000-0005-0000-0000-0000003E0000}"/>
    <cellStyle name="Normal 2 2 7 19 2 2 6 2" xfId="35125" xr:uid="{00000000-0005-0000-0000-0000013E0000}"/>
    <cellStyle name="Normal 2 2 7 19 2 2 7" xfId="35126" xr:uid="{00000000-0005-0000-0000-0000023E0000}"/>
    <cellStyle name="Normal 2 2 7 19 2 3" xfId="6675" xr:uid="{00000000-0005-0000-0000-0000033E0000}"/>
    <cellStyle name="Normal 2 2 7 19 2 3 2" xfId="6676" xr:uid="{00000000-0005-0000-0000-0000043E0000}"/>
    <cellStyle name="Normal 2 2 7 19 2 3 2 2" xfId="35127" xr:uid="{00000000-0005-0000-0000-0000053E0000}"/>
    <cellStyle name="Normal 2 2 7 19 2 3 3" xfId="6677" xr:uid="{00000000-0005-0000-0000-0000063E0000}"/>
    <cellStyle name="Normal 2 2 7 19 2 3 3 2" xfId="35128" xr:uid="{00000000-0005-0000-0000-0000073E0000}"/>
    <cellStyle name="Normal 2 2 7 19 2 3 4" xfId="35129" xr:uid="{00000000-0005-0000-0000-0000083E0000}"/>
    <cellStyle name="Normal 2 2 7 19 2 4" xfId="6678" xr:uid="{00000000-0005-0000-0000-0000093E0000}"/>
    <cellStyle name="Normal 2 2 7 19 2 4 2" xfId="6679" xr:uid="{00000000-0005-0000-0000-00000A3E0000}"/>
    <cellStyle name="Normal 2 2 7 19 2 4 2 2" xfId="35130" xr:uid="{00000000-0005-0000-0000-00000B3E0000}"/>
    <cellStyle name="Normal 2 2 7 19 2 4 3" xfId="35131" xr:uid="{00000000-0005-0000-0000-00000C3E0000}"/>
    <cellStyle name="Normal 2 2 7 19 2 5" xfId="6680" xr:uid="{00000000-0005-0000-0000-00000D3E0000}"/>
    <cellStyle name="Normal 2 2 7 19 2 5 2" xfId="35132" xr:uid="{00000000-0005-0000-0000-00000E3E0000}"/>
    <cellStyle name="Normal 2 2 7 19 2 6" xfId="6681" xr:uid="{00000000-0005-0000-0000-00000F3E0000}"/>
    <cellStyle name="Normal 2 2 7 19 2 6 2" xfId="35133" xr:uid="{00000000-0005-0000-0000-0000103E0000}"/>
    <cellStyle name="Normal 2 2 7 19 2 7" xfId="35134" xr:uid="{00000000-0005-0000-0000-0000113E0000}"/>
    <cellStyle name="Normal 2 2 7 19 2 7 2" xfId="35135" xr:uid="{00000000-0005-0000-0000-0000123E0000}"/>
    <cellStyle name="Normal 2 2 7 19 2 8" xfId="35136" xr:uid="{00000000-0005-0000-0000-0000133E0000}"/>
    <cellStyle name="Normal 2 2 7 19 2 9" xfId="35137" xr:uid="{00000000-0005-0000-0000-0000143E0000}"/>
    <cellStyle name="Normal 2 2 7 19 3" xfId="6682" xr:uid="{00000000-0005-0000-0000-0000153E0000}"/>
    <cellStyle name="Normal 2 2 7 19 3 2" xfId="6683" xr:uid="{00000000-0005-0000-0000-0000163E0000}"/>
    <cellStyle name="Normal 2 2 7 19 3 2 2" xfId="6684" xr:uid="{00000000-0005-0000-0000-0000173E0000}"/>
    <cellStyle name="Normal 2 2 7 19 3 2 2 2" xfId="35138" xr:uid="{00000000-0005-0000-0000-0000183E0000}"/>
    <cellStyle name="Normal 2 2 7 19 3 2 3" xfId="6685" xr:uid="{00000000-0005-0000-0000-0000193E0000}"/>
    <cellStyle name="Normal 2 2 7 19 3 2 3 2" xfId="35139" xr:uid="{00000000-0005-0000-0000-00001A3E0000}"/>
    <cellStyle name="Normal 2 2 7 19 3 2 4" xfId="35140" xr:uid="{00000000-0005-0000-0000-00001B3E0000}"/>
    <cellStyle name="Normal 2 2 7 19 3 3" xfId="6686" xr:uid="{00000000-0005-0000-0000-00001C3E0000}"/>
    <cellStyle name="Normal 2 2 7 19 3 3 2" xfId="35141" xr:uid="{00000000-0005-0000-0000-00001D3E0000}"/>
    <cellStyle name="Normal 2 2 7 19 3 4" xfId="6687" xr:uid="{00000000-0005-0000-0000-00001E3E0000}"/>
    <cellStyle name="Normal 2 2 7 19 3 4 2" xfId="35142" xr:uid="{00000000-0005-0000-0000-00001F3E0000}"/>
    <cellStyle name="Normal 2 2 7 19 3 5" xfId="6688" xr:uid="{00000000-0005-0000-0000-0000203E0000}"/>
    <cellStyle name="Normal 2 2 7 19 3 5 2" xfId="35143" xr:uid="{00000000-0005-0000-0000-0000213E0000}"/>
    <cellStyle name="Normal 2 2 7 19 3 6" xfId="35144" xr:uid="{00000000-0005-0000-0000-0000223E0000}"/>
    <cellStyle name="Normal 2 2 7 19 3 6 2" xfId="35145" xr:uid="{00000000-0005-0000-0000-0000233E0000}"/>
    <cellStyle name="Normal 2 2 7 19 3 7" xfId="35146" xr:uid="{00000000-0005-0000-0000-0000243E0000}"/>
    <cellStyle name="Normal 2 2 7 19 4" xfId="6689" xr:uid="{00000000-0005-0000-0000-0000253E0000}"/>
    <cellStyle name="Normal 2 2 7 19 4 2" xfId="6690" xr:uid="{00000000-0005-0000-0000-0000263E0000}"/>
    <cellStyle name="Normal 2 2 7 19 4 2 2" xfId="35147" xr:uid="{00000000-0005-0000-0000-0000273E0000}"/>
    <cellStyle name="Normal 2 2 7 19 4 3" xfId="6691" xr:uid="{00000000-0005-0000-0000-0000283E0000}"/>
    <cellStyle name="Normal 2 2 7 19 4 3 2" xfId="35148" xr:uid="{00000000-0005-0000-0000-0000293E0000}"/>
    <cellStyle name="Normal 2 2 7 19 4 4" xfId="35149" xr:uid="{00000000-0005-0000-0000-00002A3E0000}"/>
    <cellStyle name="Normal 2 2 7 19 5" xfId="6692" xr:uid="{00000000-0005-0000-0000-00002B3E0000}"/>
    <cellStyle name="Normal 2 2 7 19 5 2" xfId="6693" xr:uid="{00000000-0005-0000-0000-00002C3E0000}"/>
    <cellStyle name="Normal 2 2 7 19 5 2 2" xfId="35150" xr:uid="{00000000-0005-0000-0000-00002D3E0000}"/>
    <cellStyle name="Normal 2 2 7 19 5 3" xfId="35151" xr:uid="{00000000-0005-0000-0000-00002E3E0000}"/>
    <cellStyle name="Normal 2 2 7 19 6" xfId="6694" xr:uid="{00000000-0005-0000-0000-00002F3E0000}"/>
    <cellStyle name="Normal 2 2 7 19 6 2" xfId="35152" xr:uid="{00000000-0005-0000-0000-0000303E0000}"/>
    <cellStyle name="Normal 2 2 7 19 7" xfId="6695" xr:uid="{00000000-0005-0000-0000-0000313E0000}"/>
    <cellStyle name="Normal 2 2 7 19 7 2" xfId="35153" xr:uid="{00000000-0005-0000-0000-0000323E0000}"/>
    <cellStyle name="Normal 2 2 7 19 8" xfId="35154" xr:uid="{00000000-0005-0000-0000-0000333E0000}"/>
    <cellStyle name="Normal 2 2 7 19 8 2" xfId="35155" xr:uid="{00000000-0005-0000-0000-0000343E0000}"/>
    <cellStyle name="Normal 2 2 7 19 9" xfId="35156" xr:uid="{00000000-0005-0000-0000-0000353E0000}"/>
    <cellStyle name="Normal 2 2 7 2" xfId="6696" xr:uid="{00000000-0005-0000-0000-0000363E0000}"/>
    <cellStyle name="Normal 2 2 7 2 10" xfId="35157" xr:uid="{00000000-0005-0000-0000-0000373E0000}"/>
    <cellStyle name="Normal 2 2 7 2 11" xfId="35158" xr:uid="{00000000-0005-0000-0000-0000383E0000}"/>
    <cellStyle name="Normal 2 2 7 2 2" xfId="6697" xr:uid="{00000000-0005-0000-0000-0000393E0000}"/>
    <cellStyle name="Normal 2 2 7 2 2 10" xfId="35159" xr:uid="{00000000-0005-0000-0000-00003A3E0000}"/>
    <cellStyle name="Normal 2 2 7 2 2 2" xfId="6698" xr:uid="{00000000-0005-0000-0000-00003B3E0000}"/>
    <cellStyle name="Normal 2 2 7 2 2 2 2" xfId="6699" xr:uid="{00000000-0005-0000-0000-00003C3E0000}"/>
    <cellStyle name="Normal 2 2 7 2 2 2 2 2" xfId="6700" xr:uid="{00000000-0005-0000-0000-00003D3E0000}"/>
    <cellStyle name="Normal 2 2 7 2 2 2 2 2 2" xfId="35160" xr:uid="{00000000-0005-0000-0000-00003E3E0000}"/>
    <cellStyle name="Normal 2 2 7 2 2 2 2 3" xfId="6701" xr:uid="{00000000-0005-0000-0000-00003F3E0000}"/>
    <cellStyle name="Normal 2 2 7 2 2 2 2 3 2" xfId="35161" xr:uid="{00000000-0005-0000-0000-0000403E0000}"/>
    <cellStyle name="Normal 2 2 7 2 2 2 2 4" xfId="35162" xr:uid="{00000000-0005-0000-0000-0000413E0000}"/>
    <cellStyle name="Normal 2 2 7 2 2 2 3" xfId="6702" xr:uid="{00000000-0005-0000-0000-0000423E0000}"/>
    <cellStyle name="Normal 2 2 7 2 2 2 3 2" xfId="35163" xr:uid="{00000000-0005-0000-0000-0000433E0000}"/>
    <cellStyle name="Normal 2 2 7 2 2 2 4" xfId="6703" xr:uid="{00000000-0005-0000-0000-0000443E0000}"/>
    <cellStyle name="Normal 2 2 7 2 2 2 4 2" xfId="35164" xr:uid="{00000000-0005-0000-0000-0000453E0000}"/>
    <cellStyle name="Normal 2 2 7 2 2 2 5" xfId="6704" xr:uid="{00000000-0005-0000-0000-0000463E0000}"/>
    <cellStyle name="Normal 2 2 7 2 2 2 5 2" xfId="35165" xr:uid="{00000000-0005-0000-0000-0000473E0000}"/>
    <cellStyle name="Normal 2 2 7 2 2 2 6" xfId="35166" xr:uid="{00000000-0005-0000-0000-0000483E0000}"/>
    <cellStyle name="Normal 2 2 7 2 2 2 6 2" xfId="35167" xr:uid="{00000000-0005-0000-0000-0000493E0000}"/>
    <cellStyle name="Normal 2 2 7 2 2 2 7" xfId="35168" xr:uid="{00000000-0005-0000-0000-00004A3E0000}"/>
    <cellStyle name="Normal 2 2 7 2 2 3" xfId="6705" xr:uid="{00000000-0005-0000-0000-00004B3E0000}"/>
    <cellStyle name="Normal 2 2 7 2 2 3 2" xfId="6706" xr:uid="{00000000-0005-0000-0000-00004C3E0000}"/>
    <cellStyle name="Normal 2 2 7 2 2 3 2 2" xfId="35169" xr:uid="{00000000-0005-0000-0000-00004D3E0000}"/>
    <cellStyle name="Normal 2 2 7 2 2 3 3" xfId="6707" xr:uid="{00000000-0005-0000-0000-00004E3E0000}"/>
    <cellStyle name="Normal 2 2 7 2 2 3 3 2" xfId="35170" xr:uid="{00000000-0005-0000-0000-00004F3E0000}"/>
    <cellStyle name="Normal 2 2 7 2 2 3 4" xfId="35171" xr:uid="{00000000-0005-0000-0000-0000503E0000}"/>
    <cellStyle name="Normal 2 2 7 2 2 4" xfId="6708" xr:uid="{00000000-0005-0000-0000-0000513E0000}"/>
    <cellStyle name="Normal 2 2 7 2 2 4 2" xfId="6709" xr:uid="{00000000-0005-0000-0000-0000523E0000}"/>
    <cellStyle name="Normal 2 2 7 2 2 4 2 2" xfId="35172" xr:uid="{00000000-0005-0000-0000-0000533E0000}"/>
    <cellStyle name="Normal 2 2 7 2 2 4 3" xfId="35173" xr:uid="{00000000-0005-0000-0000-0000543E0000}"/>
    <cellStyle name="Normal 2 2 7 2 2 5" xfId="6710" xr:uid="{00000000-0005-0000-0000-0000553E0000}"/>
    <cellStyle name="Normal 2 2 7 2 2 5 2" xfId="35174" xr:uid="{00000000-0005-0000-0000-0000563E0000}"/>
    <cellStyle name="Normal 2 2 7 2 2 6" xfId="6711" xr:uid="{00000000-0005-0000-0000-0000573E0000}"/>
    <cellStyle name="Normal 2 2 7 2 2 6 2" xfId="35175" xr:uid="{00000000-0005-0000-0000-0000583E0000}"/>
    <cellStyle name="Normal 2 2 7 2 2 7" xfId="35176" xr:uid="{00000000-0005-0000-0000-0000593E0000}"/>
    <cellStyle name="Normal 2 2 7 2 2 7 2" xfId="35177" xr:uid="{00000000-0005-0000-0000-00005A3E0000}"/>
    <cellStyle name="Normal 2 2 7 2 2 8" xfId="35178" xr:uid="{00000000-0005-0000-0000-00005B3E0000}"/>
    <cellStyle name="Normal 2 2 7 2 2 9" xfId="35179" xr:uid="{00000000-0005-0000-0000-00005C3E0000}"/>
    <cellStyle name="Normal 2 2 7 2 3" xfId="6712" xr:uid="{00000000-0005-0000-0000-00005D3E0000}"/>
    <cellStyle name="Normal 2 2 7 2 3 2" xfId="6713" xr:uid="{00000000-0005-0000-0000-00005E3E0000}"/>
    <cellStyle name="Normal 2 2 7 2 3 2 2" xfId="6714" xr:uid="{00000000-0005-0000-0000-00005F3E0000}"/>
    <cellStyle name="Normal 2 2 7 2 3 2 2 2" xfId="35180" xr:uid="{00000000-0005-0000-0000-0000603E0000}"/>
    <cellStyle name="Normal 2 2 7 2 3 2 3" xfId="6715" xr:uid="{00000000-0005-0000-0000-0000613E0000}"/>
    <cellStyle name="Normal 2 2 7 2 3 2 3 2" xfId="35181" xr:uid="{00000000-0005-0000-0000-0000623E0000}"/>
    <cellStyle name="Normal 2 2 7 2 3 2 4" xfId="35182" xr:uid="{00000000-0005-0000-0000-0000633E0000}"/>
    <cellStyle name="Normal 2 2 7 2 3 3" xfId="6716" xr:uid="{00000000-0005-0000-0000-0000643E0000}"/>
    <cellStyle name="Normal 2 2 7 2 3 3 2" xfId="35183" xr:uid="{00000000-0005-0000-0000-0000653E0000}"/>
    <cellStyle name="Normal 2 2 7 2 3 4" xfId="6717" xr:uid="{00000000-0005-0000-0000-0000663E0000}"/>
    <cellStyle name="Normal 2 2 7 2 3 4 2" xfId="35184" xr:uid="{00000000-0005-0000-0000-0000673E0000}"/>
    <cellStyle name="Normal 2 2 7 2 3 5" xfId="6718" xr:uid="{00000000-0005-0000-0000-0000683E0000}"/>
    <cellStyle name="Normal 2 2 7 2 3 5 2" xfId="35185" xr:uid="{00000000-0005-0000-0000-0000693E0000}"/>
    <cellStyle name="Normal 2 2 7 2 3 6" xfId="35186" xr:uid="{00000000-0005-0000-0000-00006A3E0000}"/>
    <cellStyle name="Normal 2 2 7 2 3 6 2" xfId="35187" xr:uid="{00000000-0005-0000-0000-00006B3E0000}"/>
    <cellStyle name="Normal 2 2 7 2 3 7" xfId="35188" xr:uid="{00000000-0005-0000-0000-00006C3E0000}"/>
    <cellStyle name="Normal 2 2 7 2 4" xfId="6719" xr:uid="{00000000-0005-0000-0000-00006D3E0000}"/>
    <cellStyle name="Normal 2 2 7 2 4 2" xfId="6720" xr:uid="{00000000-0005-0000-0000-00006E3E0000}"/>
    <cellStyle name="Normal 2 2 7 2 4 2 2" xfId="35189" xr:uid="{00000000-0005-0000-0000-00006F3E0000}"/>
    <cellStyle name="Normal 2 2 7 2 4 3" xfId="6721" xr:uid="{00000000-0005-0000-0000-0000703E0000}"/>
    <cellStyle name="Normal 2 2 7 2 4 3 2" xfId="35190" xr:uid="{00000000-0005-0000-0000-0000713E0000}"/>
    <cellStyle name="Normal 2 2 7 2 4 4" xfId="35191" xr:uid="{00000000-0005-0000-0000-0000723E0000}"/>
    <cellStyle name="Normal 2 2 7 2 5" xfId="6722" xr:uid="{00000000-0005-0000-0000-0000733E0000}"/>
    <cellStyle name="Normal 2 2 7 2 5 2" xfId="6723" xr:uid="{00000000-0005-0000-0000-0000743E0000}"/>
    <cellStyle name="Normal 2 2 7 2 5 2 2" xfId="35192" xr:uid="{00000000-0005-0000-0000-0000753E0000}"/>
    <cellStyle name="Normal 2 2 7 2 5 3" xfId="35193" xr:uid="{00000000-0005-0000-0000-0000763E0000}"/>
    <cellStyle name="Normal 2 2 7 2 6" xfId="6724" xr:uid="{00000000-0005-0000-0000-0000773E0000}"/>
    <cellStyle name="Normal 2 2 7 2 6 2" xfId="35194" xr:uid="{00000000-0005-0000-0000-0000783E0000}"/>
    <cellStyle name="Normal 2 2 7 2 7" xfId="6725" xr:uid="{00000000-0005-0000-0000-0000793E0000}"/>
    <cellStyle name="Normal 2 2 7 2 7 2" xfId="35195" xr:uid="{00000000-0005-0000-0000-00007A3E0000}"/>
    <cellStyle name="Normal 2 2 7 2 8" xfId="35196" xr:uid="{00000000-0005-0000-0000-00007B3E0000}"/>
    <cellStyle name="Normal 2 2 7 2 8 2" xfId="35197" xr:uid="{00000000-0005-0000-0000-00007C3E0000}"/>
    <cellStyle name="Normal 2 2 7 2 9" xfId="35198" xr:uid="{00000000-0005-0000-0000-00007D3E0000}"/>
    <cellStyle name="Normal 2 2 7 20" xfId="6726" xr:uid="{00000000-0005-0000-0000-00007E3E0000}"/>
    <cellStyle name="Normal 2 2 7 20 10" xfId="35199" xr:uid="{00000000-0005-0000-0000-00007F3E0000}"/>
    <cellStyle name="Normal 2 2 7 20 11" xfId="35200" xr:uid="{00000000-0005-0000-0000-0000803E0000}"/>
    <cellStyle name="Normal 2 2 7 20 2" xfId="6727" xr:uid="{00000000-0005-0000-0000-0000813E0000}"/>
    <cellStyle name="Normal 2 2 7 20 2 10" xfId="35201" xr:uid="{00000000-0005-0000-0000-0000823E0000}"/>
    <cellStyle name="Normal 2 2 7 20 2 2" xfId="6728" xr:uid="{00000000-0005-0000-0000-0000833E0000}"/>
    <cellStyle name="Normal 2 2 7 20 2 2 2" xfId="6729" xr:uid="{00000000-0005-0000-0000-0000843E0000}"/>
    <cellStyle name="Normal 2 2 7 20 2 2 2 2" xfId="6730" xr:uid="{00000000-0005-0000-0000-0000853E0000}"/>
    <cellStyle name="Normal 2 2 7 20 2 2 2 2 2" xfId="35202" xr:uid="{00000000-0005-0000-0000-0000863E0000}"/>
    <cellStyle name="Normal 2 2 7 20 2 2 2 3" xfId="6731" xr:uid="{00000000-0005-0000-0000-0000873E0000}"/>
    <cellStyle name="Normal 2 2 7 20 2 2 2 3 2" xfId="35203" xr:uid="{00000000-0005-0000-0000-0000883E0000}"/>
    <cellStyle name="Normal 2 2 7 20 2 2 2 4" xfId="35204" xr:uid="{00000000-0005-0000-0000-0000893E0000}"/>
    <cellStyle name="Normal 2 2 7 20 2 2 3" xfId="6732" xr:uid="{00000000-0005-0000-0000-00008A3E0000}"/>
    <cellStyle name="Normal 2 2 7 20 2 2 3 2" xfId="35205" xr:uid="{00000000-0005-0000-0000-00008B3E0000}"/>
    <cellStyle name="Normal 2 2 7 20 2 2 4" xfId="6733" xr:uid="{00000000-0005-0000-0000-00008C3E0000}"/>
    <cellStyle name="Normal 2 2 7 20 2 2 4 2" xfId="35206" xr:uid="{00000000-0005-0000-0000-00008D3E0000}"/>
    <cellStyle name="Normal 2 2 7 20 2 2 5" xfId="6734" xr:uid="{00000000-0005-0000-0000-00008E3E0000}"/>
    <cellStyle name="Normal 2 2 7 20 2 2 5 2" xfId="35207" xr:uid="{00000000-0005-0000-0000-00008F3E0000}"/>
    <cellStyle name="Normal 2 2 7 20 2 2 6" xfId="35208" xr:uid="{00000000-0005-0000-0000-0000903E0000}"/>
    <cellStyle name="Normal 2 2 7 20 2 2 6 2" xfId="35209" xr:uid="{00000000-0005-0000-0000-0000913E0000}"/>
    <cellStyle name="Normal 2 2 7 20 2 2 7" xfId="35210" xr:uid="{00000000-0005-0000-0000-0000923E0000}"/>
    <cellStyle name="Normal 2 2 7 20 2 3" xfId="6735" xr:uid="{00000000-0005-0000-0000-0000933E0000}"/>
    <cellStyle name="Normal 2 2 7 20 2 3 2" xfId="6736" xr:uid="{00000000-0005-0000-0000-0000943E0000}"/>
    <cellStyle name="Normal 2 2 7 20 2 3 2 2" xfId="35211" xr:uid="{00000000-0005-0000-0000-0000953E0000}"/>
    <cellStyle name="Normal 2 2 7 20 2 3 3" xfId="6737" xr:uid="{00000000-0005-0000-0000-0000963E0000}"/>
    <cellStyle name="Normal 2 2 7 20 2 3 3 2" xfId="35212" xr:uid="{00000000-0005-0000-0000-0000973E0000}"/>
    <cellStyle name="Normal 2 2 7 20 2 3 4" xfId="35213" xr:uid="{00000000-0005-0000-0000-0000983E0000}"/>
    <cellStyle name="Normal 2 2 7 20 2 4" xfId="6738" xr:uid="{00000000-0005-0000-0000-0000993E0000}"/>
    <cellStyle name="Normal 2 2 7 20 2 4 2" xfId="6739" xr:uid="{00000000-0005-0000-0000-00009A3E0000}"/>
    <cellStyle name="Normal 2 2 7 20 2 4 2 2" xfId="35214" xr:uid="{00000000-0005-0000-0000-00009B3E0000}"/>
    <cellStyle name="Normal 2 2 7 20 2 4 3" xfId="35215" xr:uid="{00000000-0005-0000-0000-00009C3E0000}"/>
    <cellStyle name="Normal 2 2 7 20 2 5" xfId="6740" xr:uid="{00000000-0005-0000-0000-00009D3E0000}"/>
    <cellStyle name="Normal 2 2 7 20 2 5 2" xfId="35216" xr:uid="{00000000-0005-0000-0000-00009E3E0000}"/>
    <cellStyle name="Normal 2 2 7 20 2 6" xfId="6741" xr:uid="{00000000-0005-0000-0000-00009F3E0000}"/>
    <cellStyle name="Normal 2 2 7 20 2 6 2" xfId="35217" xr:uid="{00000000-0005-0000-0000-0000A03E0000}"/>
    <cellStyle name="Normal 2 2 7 20 2 7" xfId="35218" xr:uid="{00000000-0005-0000-0000-0000A13E0000}"/>
    <cellStyle name="Normal 2 2 7 20 2 7 2" xfId="35219" xr:uid="{00000000-0005-0000-0000-0000A23E0000}"/>
    <cellStyle name="Normal 2 2 7 20 2 8" xfId="35220" xr:uid="{00000000-0005-0000-0000-0000A33E0000}"/>
    <cellStyle name="Normal 2 2 7 20 2 9" xfId="35221" xr:uid="{00000000-0005-0000-0000-0000A43E0000}"/>
    <cellStyle name="Normal 2 2 7 20 3" xfId="6742" xr:uid="{00000000-0005-0000-0000-0000A53E0000}"/>
    <cellStyle name="Normal 2 2 7 20 3 2" xfId="6743" xr:uid="{00000000-0005-0000-0000-0000A63E0000}"/>
    <cellStyle name="Normal 2 2 7 20 3 2 2" xfId="6744" xr:uid="{00000000-0005-0000-0000-0000A73E0000}"/>
    <cellStyle name="Normal 2 2 7 20 3 2 2 2" xfId="35222" xr:uid="{00000000-0005-0000-0000-0000A83E0000}"/>
    <cellStyle name="Normal 2 2 7 20 3 2 3" xfId="6745" xr:uid="{00000000-0005-0000-0000-0000A93E0000}"/>
    <cellStyle name="Normal 2 2 7 20 3 2 3 2" xfId="35223" xr:uid="{00000000-0005-0000-0000-0000AA3E0000}"/>
    <cellStyle name="Normal 2 2 7 20 3 2 4" xfId="35224" xr:uid="{00000000-0005-0000-0000-0000AB3E0000}"/>
    <cellStyle name="Normal 2 2 7 20 3 3" xfId="6746" xr:uid="{00000000-0005-0000-0000-0000AC3E0000}"/>
    <cellStyle name="Normal 2 2 7 20 3 3 2" xfId="35225" xr:uid="{00000000-0005-0000-0000-0000AD3E0000}"/>
    <cellStyle name="Normal 2 2 7 20 3 4" xfId="6747" xr:uid="{00000000-0005-0000-0000-0000AE3E0000}"/>
    <cellStyle name="Normal 2 2 7 20 3 4 2" xfId="35226" xr:uid="{00000000-0005-0000-0000-0000AF3E0000}"/>
    <cellStyle name="Normal 2 2 7 20 3 5" xfId="6748" xr:uid="{00000000-0005-0000-0000-0000B03E0000}"/>
    <cellStyle name="Normal 2 2 7 20 3 5 2" xfId="35227" xr:uid="{00000000-0005-0000-0000-0000B13E0000}"/>
    <cellStyle name="Normal 2 2 7 20 3 6" xfId="35228" xr:uid="{00000000-0005-0000-0000-0000B23E0000}"/>
    <cellStyle name="Normal 2 2 7 20 3 6 2" xfId="35229" xr:uid="{00000000-0005-0000-0000-0000B33E0000}"/>
    <cellStyle name="Normal 2 2 7 20 3 7" xfId="35230" xr:uid="{00000000-0005-0000-0000-0000B43E0000}"/>
    <cellStyle name="Normal 2 2 7 20 4" xfId="6749" xr:uid="{00000000-0005-0000-0000-0000B53E0000}"/>
    <cellStyle name="Normal 2 2 7 20 4 2" xfId="6750" xr:uid="{00000000-0005-0000-0000-0000B63E0000}"/>
    <cellStyle name="Normal 2 2 7 20 4 2 2" xfId="35231" xr:uid="{00000000-0005-0000-0000-0000B73E0000}"/>
    <cellStyle name="Normal 2 2 7 20 4 3" xfId="6751" xr:uid="{00000000-0005-0000-0000-0000B83E0000}"/>
    <cellStyle name="Normal 2 2 7 20 4 3 2" xfId="35232" xr:uid="{00000000-0005-0000-0000-0000B93E0000}"/>
    <cellStyle name="Normal 2 2 7 20 4 4" xfId="35233" xr:uid="{00000000-0005-0000-0000-0000BA3E0000}"/>
    <cellStyle name="Normal 2 2 7 20 5" xfId="6752" xr:uid="{00000000-0005-0000-0000-0000BB3E0000}"/>
    <cellStyle name="Normal 2 2 7 20 5 2" xfId="6753" xr:uid="{00000000-0005-0000-0000-0000BC3E0000}"/>
    <cellStyle name="Normal 2 2 7 20 5 2 2" xfId="35234" xr:uid="{00000000-0005-0000-0000-0000BD3E0000}"/>
    <cellStyle name="Normal 2 2 7 20 5 3" xfId="35235" xr:uid="{00000000-0005-0000-0000-0000BE3E0000}"/>
    <cellStyle name="Normal 2 2 7 20 6" xfId="6754" xr:uid="{00000000-0005-0000-0000-0000BF3E0000}"/>
    <cellStyle name="Normal 2 2 7 20 6 2" xfId="35236" xr:uid="{00000000-0005-0000-0000-0000C03E0000}"/>
    <cellStyle name="Normal 2 2 7 20 7" xfId="6755" xr:uid="{00000000-0005-0000-0000-0000C13E0000}"/>
    <cellStyle name="Normal 2 2 7 20 7 2" xfId="35237" xr:uid="{00000000-0005-0000-0000-0000C23E0000}"/>
    <cellStyle name="Normal 2 2 7 20 8" xfId="35238" xr:uid="{00000000-0005-0000-0000-0000C33E0000}"/>
    <cellStyle name="Normal 2 2 7 20 8 2" xfId="35239" xr:uid="{00000000-0005-0000-0000-0000C43E0000}"/>
    <cellStyle name="Normal 2 2 7 20 9" xfId="35240" xr:uid="{00000000-0005-0000-0000-0000C53E0000}"/>
    <cellStyle name="Normal 2 2 7 21" xfId="6756" xr:uid="{00000000-0005-0000-0000-0000C63E0000}"/>
    <cellStyle name="Normal 2 2 7 21 10" xfId="35241" xr:uid="{00000000-0005-0000-0000-0000C73E0000}"/>
    <cellStyle name="Normal 2 2 7 21 11" xfId="35242" xr:uid="{00000000-0005-0000-0000-0000C83E0000}"/>
    <cellStyle name="Normal 2 2 7 21 2" xfId="6757" xr:uid="{00000000-0005-0000-0000-0000C93E0000}"/>
    <cellStyle name="Normal 2 2 7 21 2 10" xfId="35243" xr:uid="{00000000-0005-0000-0000-0000CA3E0000}"/>
    <cellStyle name="Normal 2 2 7 21 2 2" xfId="6758" xr:uid="{00000000-0005-0000-0000-0000CB3E0000}"/>
    <cellStyle name="Normal 2 2 7 21 2 2 2" xfId="6759" xr:uid="{00000000-0005-0000-0000-0000CC3E0000}"/>
    <cellStyle name="Normal 2 2 7 21 2 2 2 2" xfId="6760" xr:uid="{00000000-0005-0000-0000-0000CD3E0000}"/>
    <cellStyle name="Normal 2 2 7 21 2 2 2 2 2" xfId="35244" xr:uid="{00000000-0005-0000-0000-0000CE3E0000}"/>
    <cellStyle name="Normal 2 2 7 21 2 2 2 3" xfId="6761" xr:uid="{00000000-0005-0000-0000-0000CF3E0000}"/>
    <cellStyle name="Normal 2 2 7 21 2 2 2 3 2" xfId="35245" xr:uid="{00000000-0005-0000-0000-0000D03E0000}"/>
    <cellStyle name="Normal 2 2 7 21 2 2 2 4" xfId="35246" xr:uid="{00000000-0005-0000-0000-0000D13E0000}"/>
    <cellStyle name="Normal 2 2 7 21 2 2 3" xfId="6762" xr:uid="{00000000-0005-0000-0000-0000D23E0000}"/>
    <cellStyle name="Normal 2 2 7 21 2 2 3 2" xfId="35247" xr:uid="{00000000-0005-0000-0000-0000D33E0000}"/>
    <cellStyle name="Normal 2 2 7 21 2 2 4" xfId="6763" xr:uid="{00000000-0005-0000-0000-0000D43E0000}"/>
    <cellStyle name="Normal 2 2 7 21 2 2 4 2" xfId="35248" xr:uid="{00000000-0005-0000-0000-0000D53E0000}"/>
    <cellStyle name="Normal 2 2 7 21 2 2 5" xfId="6764" xr:uid="{00000000-0005-0000-0000-0000D63E0000}"/>
    <cellStyle name="Normal 2 2 7 21 2 2 5 2" xfId="35249" xr:uid="{00000000-0005-0000-0000-0000D73E0000}"/>
    <cellStyle name="Normal 2 2 7 21 2 2 6" xfId="35250" xr:uid="{00000000-0005-0000-0000-0000D83E0000}"/>
    <cellStyle name="Normal 2 2 7 21 2 2 6 2" xfId="35251" xr:uid="{00000000-0005-0000-0000-0000D93E0000}"/>
    <cellStyle name="Normal 2 2 7 21 2 2 7" xfId="35252" xr:uid="{00000000-0005-0000-0000-0000DA3E0000}"/>
    <cellStyle name="Normal 2 2 7 21 2 3" xfId="6765" xr:uid="{00000000-0005-0000-0000-0000DB3E0000}"/>
    <cellStyle name="Normal 2 2 7 21 2 3 2" xfId="6766" xr:uid="{00000000-0005-0000-0000-0000DC3E0000}"/>
    <cellStyle name="Normal 2 2 7 21 2 3 2 2" xfId="35253" xr:uid="{00000000-0005-0000-0000-0000DD3E0000}"/>
    <cellStyle name="Normal 2 2 7 21 2 3 3" xfId="6767" xr:uid="{00000000-0005-0000-0000-0000DE3E0000}"/>
    <cellStyle name="Normal 2 2 7 21 2 3 3 2" xfId="35254" xr:uid="{00000000-0005-0000-0000-0000DF3E0000}"/>
    <cellStyle name="Normal 2 2 7 21 2 3 4" xfId="35255" xr:uid="{00000000-0005-0000-0000-0000E03E0000}"/>
    <cellStyle name="Normal 2 2 7 21 2 4" xfId="6768" xr:uid="{00000000-0005-0000-0000-0000E13E0000}"/>
    <cellStyle name="Normal 2 2 7 21 2 4 2" xfId="6769" xr:uid="{00000000-0005-0000-0000-0000E23E0000}"/>
    <cellStyle name="Normal 2 2 7 21 2 4 2 2" xfId="35256" xr:uid="{00000000-0005-0000-0000-0000E33E0000}"/>
    <cellStyle name="Normal 2 2 7 21 2 4 3" xfId="35257" xr:uid="{00000000-0005-0000-0000-0000E43E0000}"/>
    <cellStyle name="Normal 2 2 7 21 2 5" xfId="6770" xr:uid="{00000000-0005-0000-0000-0000E53E0000}"/>
    <cellStyle name="Normal 2 2 7 21 2 5 2" xfId="35258" xr:uid="{00000000-0005-0000-0000-0000E63E0000}"/>
    <cellStyle name="Normal 2 2 7 21 2 6" xfId="6771" xr:uid="{00000000-0005-0000-0000-0000E73E0000}"/>
    <cellStyle name="Normal 2 2 7 21 2 6 2" xfId="35259" xr:uid="{00000000-0005-0000-0000-0000E83E0000}"/>
    <cellStyle name="Normal 2 2 7 21 2 7" xfId="35260" xr:uid="{00000000-0005-0000-0000-0000E93E0000}"/>
    <cellStyle name="Normal 2 2 7 21 2 7 2" xfId="35261" xr:uid="{00000000-0005-0000-0000-0000EA3E0000}"/>
    <cellStyle name="Normal 2 2 7 21 2 8" xfId="35262" xr:uid="{00000000-0005-0000-0000-0000EB3E0000}"/>
    <cellStyle name="Normal 2 2 7 21 2 9" xfId="35263" xr:uid="{00000000-0005-0000-0000-0000EC3E0000}"/>
    <cellStyle name="Normal 2 2 7 21 3" xfId="6772" xr:uid="{00000000-0005-0000-0000-0000ED3E0000}"/>
    <cellStyle name="Normal 2 2 7 21 3 2" xfId="6773" xr:uid="{00000000-0005-0000-0000-0000EE3E0000}"/>
    <cellStyle name="Normal 2 2 7 21 3 2 2" xfId="6774" xr:uid="{00000000-0005-0000-0000-0000EF3E0000}"/>
    <cellStyle name="Normal 2 2 7 21 3 2 2 2" xfId="35264" xr:uid="{00000000-0005-0000-0000-0000F03E0000}"/>
    <cellStyle name="Normal 2 2 7 21 3 2 3" xfId="6775" xr:uid="{00000000-0005-0000-0000-0000F13E0000}"/>
    <cellStyle name="Normal 2 2 7 21 3 2 3 2" xfId="35265" xr:uid="{00000000-0005-0000-0000-0000F23E0000}"/>
    <cellStyle name="Normal 2 2 7 21 3 2 4" xfId="35266" xr:uid="{00000000-0005-0000-0000-0000F33E0000}"/>
    <cellStyle name="Normal 2 2 7 21 3 3" xfId="6776" xr:uid="{00000000-0005-0000-0000-0000F43E0000}"/>
    <cellStyle name="Normal 2 2 7 21 3 3 2" xfId="35267" xr:uid="{00000000-0005-0000-0000-0000F53E0000}"/>
    <cellStyle name="Normal 2 2 7 21 3 4" xfId="6777" xr:uid="{00000000-0005-0000-0000-0000F63E0000}"/>
    <cellStyle name="Normal 2 2 7 21 3 4 2" xfId="35268" xr:uid="{00000000-0005-0000-0000-0000F73E0000}"/>
    <cellStyle name="Normal 2 2 7 21 3 5" xfId="6778" xr:uid="{00000000-0005-0000-0000-0000F83E0000}"/>
    <cellStyle name="Normal 2 2 7 21 3 5 2" xfId="35269" xr:uid="{00000000-0005-0000-0000-0000F93E0000}"/>
    <cellStyle name="Normal 2 2 7 21 3 6" xfId="35270" xr:uid="{00000000-0005-0000-0000-0000FA3E0000}"/>
    <cellStyle name="Normal 2 2 7 21 3 6 2" xfId="35271" xr:uid="{00000000-0005-0000-0000-0000FB3E0000}"/>
    <cellStyle name="Normal 2 2 7 21 3 7" xfId="35272" xr:uid="{00000000-0005-0000-0000-0000FC3E0000}"/>
    <cellStyle name="Normal 2 2 7 21 4" xfId="6779" xr:uid="{00000000-0005-0000-0000-0000FD3E0000}"/>
    <cellStyle name="Normal 2 2 7 21 4 2" xfId="6780" xr:uid="{00000000-0005-0000-0000-0000FE3E0000}"/>
    <cellStyle name="Normal 2 2 7 21 4 2 2" xfId="35273" xr:uid="{00000000-0005-0000-0000-0000FF3E0000}"/>
    <cellStyle name="Normal 2 2 7 21 4 3" xfId="6781" xr:uid="{00000000-0005-0000-0000-0000003F0000}"/>
    <cellStyle name="Normal 2 2 7 21 4 3 2" xfId="35274" xr:uid="{00000000-0005-0000-0000-0000013F0000}"/>
    <cellStyle name="Normal 2 2 7 21 4 4" xfId="35275" xr:uid="{00000000-0005-0000-0000-0000023F0000}"/>
    <cellStyle name="Normal 2 2 7 21 5" xfId="6782" xr:uid="{00000000-0005-0000-0000-0000033F0000}"/>
    <cellStyle name="Normal 2 2 7 21 5 2" xfId="6783" xr:uid="{00000000-0005-0000-0000-0000043F0000}"/>
    <cellStyle name="Normal 2 2 7 21 5 2 2" xfId="35276" xr:uid="{00000000-0005-0000-0000-0000053F0000}"/>
    <cellStyle name="Normal 2 2 7 21 5 3" xfId="35277" xr:uid="{00000000-0005-0000-0000-0000063F0000}"/>
    <cellStyle name="Normal 2 2 7 21 6" xfId="6784" xr:uid="{00000000-0005-0000-0000-0000073F0000}"/>
    <cellStyle name="Normal 2 2 7 21 6 2" xfId="35278" xr:uid="{00000000-0005-0000-0000-0000083F0000}"/>
    <cellStyle name="Normal 2 2 7 21 7" xfId="6785" xr:uid="{00000000-0005-0000-0000-0000093F0000}"/>
    <cellStyle name="Normal 2 2 7 21 7 2" xfId="35279" xr:uid="{00000000-0005-0000-0000-00000A3F0000}"/>
    <cellStyle name="Normal 2 2 7 21 8" xfId="35280" xr:uid="{00000000-0005-0000-0000-00000B3F0000}"/>
    <cellStyle name="Normal 2 2 7 21 8 2" xfId="35281" xr:uid="{00000000-0005-0000-0000-00000C3F0000}"/>
    <cellStyle name="Normal 2 2 7 21 9" xfId="35282" xr:uid="{00000000-0005-0000-0000-00000D3F0000}"/>
    <cellStyle name="Normal 2 2 7 22" xfId="6786" xr:uid="{00000000-0005-0000-0000-00000E3F0000}"/>
    <cellStyle name="Normal 2 2 7 22 10" xfId="35283" xr:uid="{00000000-0005-0000-0000-00000F3F0000}"/>
    <cellStyle name="Normal 2 2 7 22 11" xfId="35284" xr:uid="{00000000-0005-0000-0000-0000103F0000}"/>
    <cellStyle name="Normal 2 2 7 22 2" xfId="6787" xr:uid="{00000000-0005-0000-0000-0000113F0000}"/>
    <cellStyle name="Normal 2 2 7 22 2 10" xfId="35285" xr:uid="{00000000-0005-0000-0000-0000123F0000}"/>
    <cellStyle name="Normal 2 2 7 22 2 2" xfId="6788" xr:uid="{00000000-0005-0000-0000-0000133F0000}"/>
    <cellStyle name="Normal 2 2 7 22 2 2 2" xfId="6789" xr:uid="{00000000-0005-0000-0000-0000143F0000}"/>
    <cellStyle name="Normal 2 2 7 22 2 2 2 2" xfId="6790" xr:uid="{00000000-0005-0000-0000-0000153F0000}"/>
    <cellStyle name="Normal 2 2 7 22 2 2 2 2 2" xfId="35286" xr:uid="{00000000-0005-0000-0000-0000163F0000}"/>
    <cellStyle name="Normal 2 2 7 22 2 2 2 3" xfId="6791" xr:uid="{00000000-0005-0000-0000-0000173F0000}"/>
    <cellStyle name="Normal 2 2 7 22 2 2 2 3 2" xfId="35287" xr:uid="{00000000-0005-0000-0000-0000183F0000}"/>
    <cellStyle name="Normal 2 2 7 22 2 2 2 4" xfId="35288" xr:uid="{00000000-0005-0000-0000-0000193F0000}"/>
    <cellStyle name="Normal 2 2 7 22 2 2 3" xfId="6792" xr:uid="{00000000-0005-0000-0000-00001A3F0000}"/>
    <cellStyle name="Normal 2 2 7 22 2 2 3 2" xfId="35289" xr:uid="{00000000-0005-0000-0000-00001B3F0000}"/>
    <cellStyle name="Normal 2 2 7 22 2 2 4" xfId="6793" xr:uid="{00000000-0005-0000-0000-00001C3F0000}"/>
    <cellStyle name="Normal 2 2 7 22 2 2 4 2" xfId="35290" xr:uid="{00000000-0005-0000-0000-00001D3F0000}"/>
    <cellStyle name="Normal 2 2 7 22 2 2 5" xfId="6794" xr:uid="{00000000-0005-0000-0000-00001E3F0000}"/>
    <cellStyle name="Normal 2 2 7 22 2 2 5 2" xfId="35291" xr:uid="{00000000-0005-0000-0000-00001F3F0000}"/>
    <cellStyle name="Normal 2 2 7 22 2 2 6" xfId="35292" xr:uid="{00000000-0005-0000-0000-0000203F0000}"/>
    <cellStyle name="Normal 2 2 7 22 2 2 6 2" xfId="35293" xr:uid="{00000000-0005-0000-0000-0000213F0000}"/>
    <cellStyle name="Normal 2 2 7 22 2 2 7" xfId="35294" xr:uid="{00000000-0005-0000-0000-0000223F0000}"/>
    <cellStyle name="Normal 2 2 7 22 2 3" xfId="6795" xr:uid="{00000000-0005-0000-0000-0000233F0000}"/>
    <cellStyle name="Normal 2 2 7 22 2 3 2" xfId="6796" xr:uid="{00000000-0005-0000-0000-0000243F0000}"/>
    <cellStyle name="Normal 2 2 7 22 2 3 2 2" xfId="35295" xr:uid="{00000000-0005-0000-0000-0000253F0000}"/>
    <cellStyle name="Normal 2 2 7 22 2 3 3" xfId="6797" xr:uid="{00000000-0005-0000-0000-0000263F0000}"/>
    <cellStyle name="Normal 2 2 7 22 2 3 3 2" xfId="35296" xr:uid="{00000000-0005-0000-0000-0000273F0000}"/>
    <cellStyle name="Normal 2 2 7 22 2 3 4" xfId="35297" xr:uid="{00000000-0005-0000-0000-0000283F0000}"/>
    <cellStyle name="Normal 2 2 7 22 2 4" xfId="6798" xr:uid="{00000000-0005-0000-0000-0000293F0000}"/>
    <cellStyle name="Normal 2 2 7 22 2 4 2" xfId="6799" xr:uid="{00000000-0005-0000-0000-00002A3F0000}"/>
    <cellStyle name="Normal 2 2 7 22 2 4 2 2" xfId="35298" xr:uid="{00000000-0005-0000-0000-00002B3F0000}"/>
    <cellStyle name="Normal 2 2 7 22 2 4 3" xfId="35299" xr:uid="{00000000-0005-0000-0000-00002C3F0000}"/>
    <cellStyle name="Normal 2 2 7 22 2 5" xfId="6800" xr:uid="{00000000-0005-0000-0000-00002D3F0000}"/>
    <cellStyle name="Normal 2 2 7 22 2 5 2" xfId="35300" xr:uid="{00000000-0005-0000-0000-00002E3F0000}"/>
    <cellStyle name="Normal 2 2 7 22 2 6" xfId="6801" xr:uid="{00000000-0005-0000-0000-00002F3F0000}"/>
    <cellStyle name="Normal 2 2 7 22 2 6 2" xfId="35301" xr:uid="{00000000-0005-0000-0000-0000303F0000}"/>
    <cellStyle name="Normal 2 2 7 22 2 7" xfId="35302" xr:uid="{00000000-0005-0000-0000-0000313F0000}"/>
    <cellStyle name="Normal 2 2 7 22 2 7 2" xfId="35303" xr:uid="{00000000-0005-0000-0000-0000323F0000}"/>
    <cellStyle name="Normal 2 2 7 22 2 8" xfId="35304" xr:uid="{00000000-0005-0000-0000-0000333F0000}"/>
    <cellStyle name="Normal 2 2 7 22 2 9" xfId="35305" xr:uid="{00000000-0005-0000-0000-0000343F0000}"/>
    <cellStyle name="Normal 2 2 7 22 3" xfId="6802" xr:uid="{00000000-0005-0000-0000-0000353F0000}"/>
    <cellStyle name="Normal 2 2 7 22 3 2" xfId="6803" xr:uid="{00000000-0005-0000-0000-0000363F0000}"/>
    <cellStyle name="Normal 2 2 7 22 3 2 2" xfId="6804" xr:uid="{00000000-0005-0000-0000-0000373F0000}"/>
    <cellStyle name="Normal 2 2 7 22 3 2 2 2" xfId="35306" xr:uid="{00000000-0005-0000-0000-0000383F0000}"/>
    <cellStyle name="Normal 2 2 7 22 3 2 3" xfId="6805" xr:uid="{00000000-0005-0000-0000-0000393F0000}"/>
    <cellStyle name="Normal 2 2 7 22 3 2 3 2" xfId="35307" xr:uid="{00000000-0005-0000-0000-00003A3F0000}"/>
    <cellStyle name="Normal 2 2 7 22 3 2 4" xfId="35308" xr:uid="{00000000-0005-0000-0000-00003B3F0000}"/>
    <cellStyle name="Normal 2 2 7 22 3 3" xfId="6806" xr:uid="{00000000-0005-0000-0000-00003C3F0000}"/>
    <cellStyle name="Normal 2 2 7 22 3 3 2" xfId="35309" xr:uid="{00000000-0005-0000-0000-00003D3F0000}"/>
    <cellStyle name="Normal 2 2 7 22 3 4" xfId="6807" xr:uid="{00000000-0005-0000-0000-00003E3F0000}"/>
    <cellStyle name="Normal 2 2 7 22 3 4 2" xfId="35310" xr:uid="{00000000-0005-0000-0000-00003F3F0000}"/>
    <cellStyle name="Normal 2 2 7 22 3 5" xfId="6808" xr:uid="{00000000-0005-0000-0000-0000403F0000}"/>
    <cellStyle name="Normal 2 2 7 22 3 5 2" xfId="35311" xr:uid="{00000000-0005-0000-0000-0000413F0000}"/>
    <cellStyle name="Normal 2 2 7 22 3 6" xfId="35312" xr:uid="{00000000-0005-0000-0000-0000423F0000}"/>
    <cellStyle name="Normal 2 2 7 22 3 6 2" xfId="35313" xr:uid="{00000000-0005-0000-0000-0000433F0000}"/>
    <cellStyle name="Normal 2 2 7 22 3 7" xfId="35314" xr:uid="{00000000-0005-0000-0000-0000443F0000}"/>
    <cellStyle name="Normal 2 2 7 22 4" xfId="6809" xr:uid="{00000000-0005-0000-0000-0000453F0000}"/>
    <cellStyle name="Normal 2 2 7 22 4 2" xfId="6810" xr:uid="{00000000-0005-0000-0000-0000463F0000}"/>
    <cellStyle name="Normal 2 2 7 22 4 2 2" xfId="35315" xr:uid="{00000000-0005-0000-0000-0000473F0000}"/>
    <cellStyle name="Normal 2 2 7 22 4 3" xfId="6811" xr:uid="{00000000-0005-0000-0000-0000483F0000}"/>
    <cellStyle name="Normal 2 2 7 22 4 3 2" xfId="35316" xr:uid="{00000000-0005-0000-0000-0000493F0000}"/>
    <cellStyle name="Normal 2 2 7 22 4 4" xfId="35317" xr:uid="{00000000-0005-0000-0000-00004A3F0000}"/>
    <cellStyle name="Normal 2 2 7 22 5" xfId="6812" xr:uid="{00000000-0005-0000-0000-00004B3F0000}"/>
    <cellStyle name="Normal 2 2 7 22 5 2" xfId="6813" xr:uid="{00000000-0005-0000-0000-00004C3F0000}"/>
    <cellStyle name="Normal 2 2 7 22 5 2 2" xfId="35318" xr:uid="{00000000-0005-0000-0000-00004D3F0000}"/>
    <cellStyle name="Normal 2 2 7 22 5 3" xfId="35319" xr:uid="{00000000-0005-0000-0000-00004E3F0000}"/>
    <cellStyle name="Normal 2 2 7 22 6" xfId="6814" xr:uid="{00000000-0005-0000-0000-00004F3F0000}"/>
    <cellStyle name="Normal 2 2 7 22 6 2" xfId="35320" xr:uid="{00000000-0005-0000-0000-0000503F0000}"/>
    <cellStyle name="Normal 2 2 7 22 7" xfId="6815" xr:uid="{00000000-0005-0000-0000-0000513F0000}"/>
    <cellStyle name="Normal 2 2 7 22 7 2" xfId="35321" xr:uid="{00000000-0005-0000-0000-0000523F0000}"/>
    <cellStyle name="Normal 2 2 7 22 8" xfId="35322" xr:uid="{00000000-0005-0000-0000-0000533F0000}"/>
    <cellStyle name="Normal 2 2 7 22 8 2" xfId="35323" xr:uid="{00000000-0005-0000-0000-0000543F0000}"/>
    <cellStyle name="Normal 2 2 7 22 9" xfId="35324" xr:uid="{00000000-0005-0000-0000-0000553F0000}"/>
    <cellStyle name="Normal 2 2 7 23" xfId="6816" xr:uid="{00000000-0005-0000-0000-0000563F0000}"/>
    <cellStyle name="Normal 2 2 7 23 10" xfId="35325" xr:uid="{00000000-0005-0000-0000-0000573F0000}"/>
    <cellStyle name="Normal 2 2 7 23 11" xfId="35326" xr:uid="{00000000-0005-0000-0000-0000583F0000}"/>
    <cellStyle name="Normal 2 2 7 23 2" xfId="6817" xr:uid="{00000000-0005-0000-0000-0000593F0000}"/>
    <cellStyle name="Normal 2 2 7 23 2 10" xfId="35327" xr:uid="{00000000-0005-0000-0000-00005A3F0000}"/>
    <cellStyle name="Normal 2 2 7 23 2 2" xfId="6818" xr:uid="{00000000-0005-0000-0000-00005B3F0000}"/>
    <cellStyle name="Normal 2 2 7 23 2 2 2" xfId="6819" xr:uid="{00000000-0005-0000-0000-00005C3F0000}"/>
    <cellStyle name="Normal 2 2 7 23 2 2 2 2" xfId="6820" xr:uid="{00000000-0005-0000-0000-00005D3F0000}"/>
    <cellStyle name="Normal 2 2 7 23 2 2 2 2 2" xfId="35328" xr:uid="{00000000-0005-0000-0000-00005E3F0000}"/>
    <cellStyle name="Normal 2 2 7 23 2 2 2 3" xfId="6821" xr:uid="{00000000-0005-0000-0000-00005F3F0000}"/>
    <cellStyle name="Normal 2 2 7 23 2 2 2 3 2" xfId="35329" xr:uid="{00000000-0005-0000-0000-0000603F0000}"/>
    <cellStyle name="Normal 2 2 7 23 2 2 2 4" xfId="35330" xr:uid="{00000000-0005-0000-0000-0000613F0000}"/>
    <cellStyle name="Normal 2 2 7 23 2 2 3" xfId="6822" xr:uid="{00000000-0005-0000-0000-0000623F0000}"/>
    <cellStyle name="Normal 2 2 7 23 2 2 3 2" xfId="35331" xr:uid="{00000000-0005-0000-0000-0000633F0000}"/>
    <cellStyle name="Normal 2 2 7 23 2 2 4" xfId="6823" xr:uid="{00000000-0005-0000-0000-0000643F0000}"/>
    <cellStyle name="Normal 2 2 7 23 2 2 4 2" xfId="35332" xr:uid="{00000000-0005-0000-0000-0000653F0000}"/>
    <cellStyle name="Normal 2 2 7 23 2 2 5" xfId="6824" xr:uid="{00000000-0005-0000-0000-0000663F0000}"/>
    <cellStyle name="Normal 2 2 7 23 2 2 5 2" xfId="35333" xr:uid="{00000000-0005-0000-0000-0000673F0000}"/>
    <cellStyle name="Normal 2 2 7 23 2 2 6" xfId="35334" xr:uid="{00000000-0005-0000-0000-0000683F0000}"/>
    <cellStyle name="Normal 2 2 7 23 2 2 6 2" xfId="35335" xr:uid="{00000000-0005-0000-0000-0000693F0000}"/>
    <cellStyle name="Normal 2 2 7 23 2 2 7" xfId="35336" xr:uid="{00000000-0005-0000-0000-00006A3F0000}"/>
    <cellStyle name="Normal 2 2 7 23 2 3" xfId="6825" xr:uid="{00000000-0005-0000-0000-00006B3F0000}"/>
    <cellStyle name="Normal 2 2 7 23 2 3 2" xfId="6826" xr:uid="{00000000-0005-0000-0000-00006C3F0000}"/>
    <cellStyle name="Normal 2 2 7 23 2 3 2 2" xfId="35337" xr:uid="{00000000-0005-0000-0000-00006D3F0000}"/>
    <cellStyle name="Normal 2 2 7 23 2 3 3" xfId="6827" xr:uid="{00000000-0005-0000-0000-00006E3F0000}"/>
    <cellStyle name="Normal 2 2 7 23 2 3 3 2" xfId="35338" xr:uid="{00000000-0005-0000-0000-00006F3F0000}"/>
    <cellStyle name="Normal 2 2 7 23 2 3 4" xfId="35339" xr:uid="{00000000-0005-0000-0000-0000703F0000}"/>
    <cellStyle name="Normal 2 2 7 23 2 4" xfId="6828" xr:uid="{00000000-0005-0000-0000-0000713F0000}"/>
    <cellStyle name="Normal 2 2 7 23 2 4 2" xfId="6829" xr:uid="{00000000-0005-0000-0000-0000723F0000}"/>
    <cellStyle name="Normal 2 2 7 23 2 4 2 2" xfId="35340" xr:uid="{00000000-0005-0000-0000-0000733F0000}"/>
    <cellStyle name="Normal 2 2 7 23 2 4 3" xfId="35341" xr:uid="{00000000-0005-0000-0000-0000743F0000}"/>
    <cellStyle name="Normal 2 2 7 23 2 5" xfId="6830" xr:uid="{00000000-0005-0000-0000-0000753F0000}"/>
    <cellStyle name="Normal 2 2 7 23 2 5 2" xfId="35342" xr:uid="{00000000-0005-0000-0000-0000763F0000}"/>
    <cellStyle name="Normal 2 2 7 23 2 6" xfId="6831" xr:uid="{00000000-0005-0000-0000-0000773F0000}"/>
    <cellStyle name="Normal 2 2 7 23 2 6 2" xfId="35343" xr:uid="{00000000-0005-0000-0000-0000783F0000}"/>
    <cellStyle name="Normal 2 2 7 23 2 7" xfId="35344" xr:uid="{00000000-0005-0000-0000-0000793F0000}"/>
    <cellStyle name="Normal 2 2 7 23 2 7 2" xfId="35345" xr:uid="{00000000-0005-0000-0000-00007A3F0000}"/>
    <cellStyle name="Normal 2 2 7 23 2 8" xfId="35346" xr:uid="{00000000-0005-0000-0000-00007B3F0000}"/>
    <cellStyle name="Normal 2 2 7 23 2 9" xfId="35347" xr:uid="{00000000-0005-0000-0000-00007C3F0000}"/>
    <cellStyle name="Normal 2 2 7 23 3" xfId="6832" xr:uid="{00000000-0005-0000-0000-00007D3F0000}"/>
    <cellStyle name="Normal 2 2 7 23 3 2" xfId="6833" xr:uid="{00000000-0005-0000-0000-00007E3F0000}"/>
    <cellStyle name="Normal 2 2 7 23 3 2 2" xfId="6834" xr:uid="{00000000-0005-0000-0000-00007F3F0000}"/>
    <cellStyle name="Normal 2 2 7 23 3 2 2 2" xfId="35348" xr:uid="{00000000-0005-0000-0000-0000803F0000}"/>
    <cellStyle name="Normal 2 2 7 23 3 2 3" xfId="6835" xr:uid="{00000000-0005-0000-0000-0000813F0000}"/>
    <cellStyle name="Normal 2 2 7 23 3 2 3 2" xfId="35349" xr:uid="{00000000-0005-0000-0000-0000823F0000}"/>
    <cellStyle name="Normal 2 2 7 23 3 2 4" xfId="35350" xr:uid="{00000000-0005-0000-0000-0000833F0000}"/>
    <cellStyle name="Normal 2 2 7 23 3 3" xfId="6836" xr:uid="{00000000-0005-0000-0000-0000843F0000}"/>
    <cellStyle name="Normal 2 2 7 23 3 3 2" xfId="35351" xr:uid="{00000000-0005-0000-0000-0000853F0000}"/>
    <cellStyle name="Normal 2 2 7 23 3 4" xfId="6837" xr:uid="{00000000-0005-0000-0000-0000863F0000}"/>
    <cellStyle name="Normal 2 2 7 23 3 4 2" xfId="35352" xr:uid="{00000000-0005-0000-0000-0000873F0000}"/>
    <cellStyle name="Normal 2 2 7 23 3 5" xfId="6838" xr:uid="{00000000-0005-0000-0000-0000883F0000}"/>
    <cellStyle name="Normal 2 2 7 23 3 5 2" xfId="35353" xr:uid="{00000000-0005-0000-0000-0000893F0000}"/>
    <cellStyle name="Normal 2 2 7 23 3 6" xfId="35354" xr:uid="{00000000-0005-0000-0000-00008A3F0000}"/>
    <cellStyle name="Normal 2 2 7 23 3 6 2" xfId="35355" xr:uid="{00000000-0005-0000-0000-00008B3F0000}"/>
    <cellStyle name="Normal 2 2 7 23 3 7" xfId="35356" xr:uid="{00000000-0005-0000-0000-00008C3F0000}"/>
    <cellStyle name="Normal 2 2 7 23 4" xfId="6839" xr:uid="{00000000-0005-0000-0000-00008D3F0000}"/>
    <cellStyle name="Normal 2 2 7 23 4 2" xfId="6840" xr:uid="{00000000-0005-0000-0000-00008E3F0000}"/>
    <cellStyle name="Normal 2 2 7 23 4 2 2" xfId="35357" xr:uid="{00000000-0005-0000-0000-00008F3F0000}"/>
    <cellStyle name="Normal 2 2 7 23 4 3" xfId="6841" xr:uid="{00000000-0005-0000-0000-0000903F0000}"/>
    <cellStyle name="Normal 2 2 7 23 4 3 2" xfId="35358" xr:uid="{00000000-0005-0000-0000-0000913F0000}"/>
    <cellStyle name="Normal 2 2 7 23 4 4" xfId="35359" xr:uid="{00000000-0005-0000-0000-0000923F0000}"/>
    <cellStyle name="Normal 2 2 7 23 5" xfId="6842" xr:uid="{00000000-0005-0000-0000-0000933F0000}"/>
    <cellStyle name="Normal 2 2 7 23 5 2" xfId="6843" xr:uid="{00000000-0005-0000-0000-0000943F0000}"/>
    <cellStyle name="Normal 2 2 7 23 5 2 2" xfId="35360" xr:uid="{00000000-0005-0000-0000-0000953F0000}"/>
    <cellStyle name="Normal 2 2 7 23 5 3" xfId="35361" xr:uid="{00000000-0005-0000-0000-0000963F0000}"/>
    <cellStyle name="Normal 2 2 7 23 6" xfId="6844" xr:uid="{00000000-0005-0000-0000-0000973F0000}"/>
    <cellStyle name="Normal 2 2 7 23 6 2" xfId="35362" xr:uid="{00000000-0005-0000-0000-0000983F0000}"/>
    <cellStyle name="Normal 2 2 7 23 7" xfId="6845" xr:uid="{00000000-0005-0000-0000-0000993F0000}"/>
    <cellStyle name="Normal 2 2 7 23 7 2" xfId="35363" xr:uid="{00000000-0005-0000-0000-00009A3F0000}"/>
    <cellStyle name="Normal 2 2 7 23 8" xfId="35364" xr:uid="{00000000-0005-0000-0000-00009B3F0000}"/>
    <cellStyle name="Normal 2 2 7 23 8 2" xfId="35365" xr:uid="{00000000-0005-0000-0000-00009C3F0000}"/>
    <cellStyle name="Normal 2 2 7 23 9" xfId="35366" xr:uid="{00000000-0005-0000-0000-00009D3F0000}"/>
    <cellStyle name="Normal 2 2 7 24" xfId="6846" xr:uid="{00000000-0005-0000-0000-00009E3F0000}"/>
    <cellStyle name="Normal 2 2 7 24 10" xfId="35367" xr:uid="{00000000-0005-0000-0000-00009F3F0000}"/>
    <cellStyle name="Normal 2 2 7 24 11" xfId="35368" xr:uid="{00000000-0005-0000-0000-0000A03F0000}"/>
    <cellStyle name="Normal 2 2 7 24 2" xfId="6847" xr:uid="{00000000-0005-0000-0000-0000A13F0000}"/>
    <cellStyle name="Normal 2 2 7 24 2 10" xfId="35369" xr:uid="{00000000-0005-0000-0000-0000A23F0000}"/>
    <cellStyle name="Normal 2 2 7 24 2 2" xfId="6848" xr:uid="{00000000-0005-0000-0000-0000A33F0000}"/>
    <cellStyle name="Normal 2 2 7 24 2 2 2" xfId="6849" xr:uid="{00000000-0005-0000-0000-0000A43F0000}"/>
    <cellStyle name="Normal 2 2 7 24 2 2 2 2" xfId="6850" xr:uid="{00000000-0005-0000-0000-0000A53F0000}"/>
    <cellStyle name="Normal 2 2 7 24 2 2 2 2 2" xfId="35370" xr:uid="{00000000-0005-0000-0000-0000A63F0000}"/>
    <cellStyle name="Normal 2 2 7 24 2 2 2 3" xfId="6851" xr:uid="{00000000-0005-0000-0000-0000A73F0000}"/>
    <cellStyle name="Normal 2 2 7 24 2 2 2 3 2" xfId="35371" xr:uid="{00000000-0005-0000-0000-0000A83F0000}"/>
    <cellStyle name="Normal 2 2 7 24 2 2 2 4" xfId="35372" xr:uid="{00000000-0005-0000-0000-0000A93F0000}"/>
    <cellStyle name="Normal 2 2 7 24 2 2 3" xfId="6852" xr:uid="{00000000-0005-0000-0000-0000AA3F0000}"/>
    <cellStyle name="Normal 2 2 7 24 2 2 3 2" xfId="35373" xr:uid="{00000000-0005-0000-0000-0000AB3F0000}"/>
    <cellStyle name="Normal 2 2 7 24 2 2 4" xfId="6853" xr:uid="{00000000-0005-0000-0000-0000AC3F0000}"/>
    <cellStyle name="Normal 2 2 7 24 2 2 4 2" xfId="35374" xr:uid="{00000000-0005-0000-0000-0000AD3F0000}"/>
    <cellStyle name="Normal 2 2 7 24 2 2 5" xfId="6854" xr:uid="{00000000-0005-0000-0000-0000AE3F0000}"/>
    <cellStyle name="Normal 2 2 7 24 2 2 5 2" xfId="35375" xr:uid="{00000000-0005-0000-0000-0000AF3F0000}"/>
    <cellStyle name="Normal 2 2 7 24 2 2 6" xfId="35376" xr:uid="{00000000-0005-0000-0000-0000B03F0000}"/>
    <cellStyle name="Normal 2 2 7 24 2 2 6 2" xfId="35377" xr:uid="{00000000-0005-0000-0000-0000B13F0000}"/>
    <cellStyle name="Normal 2 2 7 24 2 2 7" xfId="35378" xr:uid="{00000000-0005-0000-0000-0000B23F0000}"/>
    <cellStyle name="Normal 2 2 7 24 2 3" xfId="6855" xr:uid="{00000000-0005-0000-0000-0000B33F0000}"/>
    <cellStyle name="Normal 2 2 7 24 2 3 2" xfId="6856" xr:uid="{00000000-0005-0000-0000-0000B43F0000}"/>
    <cellStyle name="Normal 2 2 7 24 2 3 2 2" xfId="35379" xr:uid="{00000000-0005-0000-0000-0000B53F0000}"/>
    <cellStyle name="Normal 2 2 7 24 2 3 3" xfId="6857" xr:uid="{00000000-0005-0000-0000-0000B63F0000}"/>
    <cellStyle name="Normal 2 2 7 24 2 3 3 2" xfId="35380" xr:uid="{00000000-0005-0000-0000-0000B73F0000}"/>
    <cellStyle name="Normal 2 2 7 24 2 3 4" xfId="35381" xr:uid="{00000000-0005-0000-0000-0000B83F0000}"/>
    <cellStyle name="Normal 2 2 7 24 2 4" xfId="6858" xr:uid="{00000000-0005-0000-0000-0000B93F0000}"/>
    <cellStyle name="Normal 2 2 7 24 2 4 2" xfId="6859" xr:uid="{00000000-0005-0000-0000-0000BA3F0000}"/>
    <cellStyle name="Normal 2 2 7 24 2 4 2 2" xfId="35382" xr:uid="{00000000-0005-0000-0000-0000BB3F0000}"/>
    <cellStyle name="Normal 2 2 7 24 2 4 3" xfId="35383" xr:uid="{00000000-0005-0000-0000-0000BC3F0000}"/>
    <cellStyle name="Normal 2 2 7 24 2 5" xfId="6860" xr:uid="{00000000-0005-0000-0000-0000BD3F0000}"/>
    <cellStyle name="Normal 2 2 7 24 2 5 2" xfId="35384" xr:uid="{00000000-0005-0000-0000-0000BE3F0000}"/>
    <cellStyle name="Normal 2 2 7 24 2 6" xfId="6861" xr:uid="{00000000-0005-0000-0000-0000BF3F0000}"/>
    <cellStyle name="Normal 2 2 7 24 2 6 2" xfId="35385" xr:uid="{00000000-0005-0000-0000-0000C03F0000}"/>
    <cellStyle name="Normal 2 2 7 24 2 7" xfId="35386" xr:uid="{00000000-0005-0000-0000-0000C13F0000}"/>
    <cellStyle name="Normal 2 2 7 24 2 7 2" xfId="35387" xr:uid="{00000000-0005-0000-0000-0000C23F0000}"/>
    <cellStyle name="Normal 2 2 7 24 2 8" xfId="35388" xr:uid="{00000000-0005-0000-0000-0000C33F0000}"/>
    <cellStyle name="Normal 2 2 7 24 2 9" xfId="35389" xr:uid="{00000000-0005-0000-0000-0000C43F0000}"/>
    <cellStyle name="Normal 2 2 7 24 3" xfId="6862" xr:uid="{00000000-0005-0000-0000-0000C53F0000}"/>
    <cellStyle name="Normal 2 2 7 24 3 2" xfId="6863" xr:uid="{00000000-0005-0000-0000-0000C63F0000}"/>
    <cellStyle name="Normal 2 2 7 24 3 2 2" xfId="6864" xr:uid="{00000000-0005-0000-0000-0000C73F0000}"/>
    <cellStyle name="Normal 2 2 7 24 3 2 2 2" xfId="35390" xr:uid="{00000000-0005-0000-0000-0000C83F0000}"/>
    <cellStyle name="Normal 2 2 7 24 3 2 3" xfId="6865" xr:uid="{00000000-0005-0000-0000-0000C93F0000}"/>
    <cellStyle name="Normal 2 2 7 24 3 2 3 2" xfId="35391" xr:uid="{00000000-0005-0000-0000-0000CA3F0000}"/>
    <cellStyle name="Normal 2 2 7 24 3 2 4" xfId="35392" xr:uid="{00000000-0005-0000-0000-0000CB3F0000}"/>
    <cellStyle name="Normal 2 2 7 24 3 3" xfId="6866" xr:uid="{00000000-0005-0000-0000-0000CC3F0000}"/>
    <cellStyle name="Normal 2 2 7 24 3 3 2" xfId="35393" xr:uid="{00000000-0005-0000-0000-0000CD3F0000}"/>
    <cellStyle name="Normal 2 2 7 24 3 4" xfId="6867" xr:uid="{00000000-0005-0000-0000-0000CE3F0000}"/>
    <cellStyle name="Normal 2 2 7 24 3 4 2" xfId="35394" xr:uid="{00000000-0005-0000-0000-0000CF3F0000}"/>
    <cellStyle name="Normal 2 2 7 24 3 5" xfId="6868" xr:uid="{00000000-0005-0000-0000-0000D03F0000}"/>
    <cellStyle name="Normal 2 2 7 24 3 5 2" xfId="35395" xr:uid="{00000000-0005-0000-0000-0000D13F0000}"/>
    <cellStyle name="Normal 2 2 7 24 3 6" xfId="35396" xr:uid="{00000000-0005-0000-0000-0000D23F0000}"/>
    <cellStyle name="Normal 2 2 7 24 3 6 2" xfId="35397" xr:uid="{00000000-0005-0000-0000-0000D33F0000}"/>
    <cellStyle name="Normal 2 2 7 24 3 7" xfId="35398" xr:uid="{00000000-0005-0000-0000-0000D43F0000}"/>
    <cellStyle name="Normal 2 2 7 24 4" xfId="6869" xr:uid="{00000000-0005-0000-0000-0000D53F0000}"/>
    <cellStyle name="Normal 2 2 7 24 4 2" xfId="6870" xr:uid="{00000000-0005-0000-0000-0000D63F0000}"/>
    <cellStyle name="Normal 2 2 7 24 4 2 2" xfId="35399" xr:uid="{00000000-0005-0000-0000-0000D73F0000}"/>
    <cellStyle name="Normal 2 2 7 24 4 3" xfId="6871" xr:uid="{00000000-0005-0000-0000-0000D83F0000}"/>
    <cellStyle name="Normal 2 2 7 24 4 3 2" xfId="35400" xr:uid="{00000000-0005-0000-0000-0000D93F0000}"/>
    <cellStyle name="Normal 2 2 7 24 4 4" xfId="35401" xr:uid="{00000000-0005-0000-0000-0000DA3F0000}"/>
    <cellStyle name="Normal 2 2 7 24 5" xfId="6872" xr:uid="{00000000-0005-0000-0000-0000DB3F0000}"/>
    <cellStyle name="Normal 2 2 7 24 5 2" xfId="6873" xr:uid="{00000000-0005-0000-0000-0000DC3F0000}"/>
    <cellStyle name="Normal 2 2 7 24 5 2 2" xfId="35402" xr:uid="{00000000-0005-0000-0000-0000DD3F0000}"/>
    <cellStyle name="Normal 2 2 7 24 5 3" xfId="35403" xr:uid="{00000000-0005-0000-0000-0000DE3F0000}"/>
    <cellStyle name="Normal 2 2 7 24 6" xfId="6874" xr:uid="{00000000-0005-0000-0000-0000DF3F0000}"/>
    <cellStyle name="Normal 2 2 7 24 6 2" xfId="35404" xr:uid="{00000000-0005-0000-0000-0000E03F0000}"/>
    <cellStyle name="Normal 2 2 7 24 7" xfId="6875" xr:uid="{00000000-0005-0000-0000-0000E13F0000}"/>
    <cellStyle name="Normal 2 2 7 24 7 2" xfId="35405" xr:uid="{00000000-0005-0000-0000-0000E23F0000}"/>
    <cellStyle name="Normal 2 2 7 24 8" xfId="35406" xr:uid="{00000000-0005-0000-0000-0000E33F0000}"/>
    <cellStyle name="Normal 2 2 7 24 8 2" xfId="35407" xr:uid="{00000000-0005-0000-0000-0000E43F0000}"/>
    <cellStyle name="Normal 2 2 7 24 9" xfId="35408" xr:uid="{00000000-0005-0000-0000-0000E53F0000}"/>
    <cellStyle name="Normal 2 2 7 25" xfId="6876" xr:uid="{00000000-0005-0000-0000-0000E63F0000}"/>
    <cellStyle name="Normal 2 2 7 25 10" xfId="35409" xr:uid="{00000000-0005-0000-0000-0000E73F0000}"/>
    <cellStyle name="Normal 2 2 7 25 11" xfId="35410" xr:uid="{00000000-0005-0000-0000-0000E83F0000}"/>
    <cellStyle name="Normal 2 2 7 25 2" xfId="6877" xr:uid="{00000000-0005-0000-0000-0000E93F0000}"/>
    <cellStyle name="Normal 2 2 7 25 2 10" xfId="35411" xr:uid="{00000000-0005-0000-0000-0000EA3F0000}"/>
    <cellStyle name="Normal 2 2 7 25 2 2" xfId="6878" xr:uid="{00000000-0005-0000-0000-0000EB3F0000}"/>
    <cellStyle name="Normal 2 2 7 25 2 2 2" xfId="6879" xr:uid="{00000000-0005-0000-0000-0000EC3F0000}"/>
    <cellStyle name="Normal 2 2 7 25 2 2 2 2" xfId="6880" xr:uid="{00000000-0005-0000-0000-0000ED3F0000}"/>
    <cellStyle name="Normal 2 2 7 25 2 2 2 2 2" xfId="35412" xr:uid="{00000000-0005-0000-0000-0000EE3F0000}"/>
    <cellStyle name="Normal 2 2 7 25 2 2 2 3" xfId="6881" xr:uid="{00000000-0005-0000-0000-0000EF3F0000}"/>
    <cellStyle name="Normal 2 2 7 25 2 2 2 3 2" xfId="35413" xr:uid="{00000000-0005-0000-0000-0000F03F0000}"/>
    <cellStyle name="Normal 2 2 7 25 2 2 2 4" xfId="35414" xr:uid="{00000000-0005-0000-0000-0000F13F0000}"/>
    <cellStyle name="Normal 2 2 7 25 2 2 3" xfId="6882" xr:uid="{00000000-0005-0000-0000-0000F23F0000}"/>
    <cellStyle name="Normal 2 2 7 25 2 2 3 2" xfId="35415" xr:uid="{00000000-0005-0000-0000-0000F33F0000}"/>
    <cellStyle name="Normal 2 2 7 25 2 2 4" xfId="6883" xr:uid="{00000000-0005-0000-0000-0000F43F0000}"/>
    <cellStyle name="Normal 2 2 7 25 2 2 4 2" xfId="35416" xr:uid="{00000000-0005-0000-0000-0000F53F0000}"/>
    <cellStyle name="Normal 2 2 7 25 2 2 5" xfId="6884" xr:uid="{00000000-0005-0000-0000-0000F63F0000}"/>
    <cellStyle name="Normal 2 2 7 25 2 2 5 2" xfId="35417" xr:uid="{00000000-0005-0000-0000-0000F73F0000}"/>
    <cellStyle name="Normal 2 2 7 25 2 2 6" xfId="35418" xr:uid="{00000000-0005-0000-0000-0000F83F0000}"/>
    <cellStyle name="Normal 2 2 7 25 2 2 6 2" xfId="35419" xr:uid="{00000000-0005-0000-0000-0000F93F0000}"/>
    <cellStyle name="Normal 2 2 7 25 2 2 7" xfId="35420" xr:uid="{00000000-0005-0000-0000-0000FA3F0000}"/>
    <cellStyle name="Normal 2 2 7 25 2 3" xfId="6885" xr:uid="{00000000-0005-0000-0000-0000FB3F0000}"/>
    <cellStyle name="Normal 2 2 7 25 2 3 2" xfId="6886" xr:uid="{00000000-0005-0000-0000-0000FC3F0000}"/>
    <cellStyle name="Normal 2 2 7 25 2 3 2 2" xfId="35421" xr:uid="{00000000-0005-0000-0000-0000FD3F0000}"/>
    <cellStyle name="Normal 2 2 7 25 2 3 3" xfId="6887" xr:uid="{00000000-0005-0000-0000-0000FE3F0000}"/>
    <cellStyle name="Normal 2 2 7 25 2 3 3 2" xfId="35422" xr:uid="{00000000-0005-0000-0000-0000FF3F0000}"/>
    <cellStyle name="Normal 2 2 7 25 2 3 4" xfId="35423" xr:uid="{00000000-0005-0000-0000-000000400000}"/>
    <cellStyle name="Normal 2 2 7 25 2 4" xfId="6888" xr:uid="{00000000-0005-0000-0000-000001400000}"/>
    <cellStyle name="Normal 2 2 7 25 2 4 2" xfId="6889" xr:uid="{00000000-0005-0000-0000-000002400000}"/>
    <cellStyle name="Normal 2 2 7 25 2 4 2 2" xfId="35424" xr:uid="{00000000-0005-0000-0000-000003400000}"/>
    <cellStyle name="Normal 2 2 7 25 2 4 3" xfId="35425" xr:uid="{00000000-0005-0000-0000-000004400000}"/>
    <cellStyle name="Normal 2 2 7 25 2 5" xfId="6890" xr:uid="{00000000-0005-0000-0000-000005400000}"/>
    <cellStyle name="Normal 2 2 7 25 2 5 2" xfId="35426" xr:uid="{00000000-0005-0000-0000-000006400000}"/>
    <cellStyle name="Normal 2 2 7 25 2 6" xfId="6891" xr:uid="{00000000-0005-0000-0000-000007400000}"/>
    <cellStyle name="Normal 2 2 7 25 2 6 2" xfId="35427" xr:uid="{00000000-0005-0000-0000-000008400000}"/>
    <cellStyle name="Normal 2 2 7 25 2 7" xfId="35428" xr:uid="{00000000-0005-0000-0000-000009400000}"/>
    <cellStyle name="Normal 2 2 7 25 2 7 2" xfId="35429" xr:uid="{00000000-0005-0000-0000-00000A400000}"/>
    <cellStyle name="Normal 2 2 7 25 2 8" xfId="35430" xr:uid="{00000000-0005-0000-0000-00000B400000}"/>
    <cellStyle name="Normal 2 2 7 25 2 9" xfId="35431" xr:uid="{00000000-0005-0000-0000-00000C400000}"/>
    <cellStyle name="Normal 2 2 7 25 3" xfId="6892" xr:uid="{00000000-0005-0000-0000-00000D400000}"/>
    <cellStyle name="Normal 2 2 7 25 3 2" xfId="6893" xr:uid="{00000000-0005-0000-0000-00000E400000}"/>
    <cellStyle name="Normal 2 2 7 25 3 2 2" xfId="6894" xr:uid="{00000000-0005-0000-0000-00000F400000}"/>
    <cellStyle name="Normal 2 2 7 25 3 2 2 2" xfId="35432" xr:uid="{00000000-0005-0000-0000-000010400000}"/>
    <cellStyle name="Normal 2 2 7 25 3 2 3" xfId="6895" xr:uid="{00000000-0005-0000-0000-000011400000}"/>
    <cellStyle name="Normal 2 2 7 25 3 2 3 2" xfId="35433" xr:uid="{00000000-0005-0000-0000-000012400000}"/>
    <cellStyle name="Normal 2 2 7 25 3 2 4" xfId="35434" xr:uid="{00000000-0005-0000-0000-000013400000}"/>
    <cellStyle name="Normal 2 2 7 25 3 3" xfId="6896" xr:uid="{00000000-0005-0000-0000-000014400000}"/>
    <cellStyle name="Normal 2 2 7 25 3 3 2" xfId="35435" xr:uid="{00000000-0005-0000-0000-000015400000}"/>
    <cellStyle name="Normal 2 2 7 25 3 4" xfId="6897" xr:uid="{00000000-0005-0000-0000-000016400000}"/>
    <cellStyle name="Normal 2 2 7 25 3 4 2" xfId="35436" xr:uid="{00000000-0005-0000-0000-000017400000}"/>
    <cellStyle name="Normal 2 2 7 25 3 5" xfId="6898" xr:uid="{00000000-0005-0000-0000-000018400000}"/>
    <cellStyle name="Normal 2 2 7 25 3 5 2" xfId="35437" xr:uid="{00000000-0005-0000-0000-000019400000}"/>
    <cellStyle name="Normal 2 2 7 25 3 6" xfId="35438" xr:uid="{00000000-0005-0000-0000-00001A400000}"/>
    <cellStyle name="Normal 2 2 7 25 3 6 2" xfId="35439" xr:uid="{00000000-0005-0000-0000-00001B400000}"/>
    <cellStyle name="Normal 2 2 7 25 3 7" xfId="35440" xr:uid="{00000000-0005-0000-0000-00001C400000}"/>
    <cellStyle name="Normal 2 2 7 25 4" xfId="6899" xr:uid="{00000000-0005-0000-0000-00001D400000}"/>
    <cellStyle name="Normal 2 2 7 25 4 2" xfId="6900" xr:uid="{00000000-0005-0000-0000-00001E400000}"/>
    <cellStyle name="Normal 2 2 7 25 4 2 2" xfId="35441" xr:uid="{00000000-0005-0000-0000-00001F400000}"/>
    <cellStyle name="Normal 2 2 7 25 4 3" xfId="6901" xr:uid="{00000000-0005-0000-0000-000020400000}"/>
    <cellStyle name="Normal 2 2 7 25 4 3 2" xfId="35442" xr:uid="{00000000-0005-0000-0000-000021400000}"/>
    <cellStyle name="Normal 2 2 7 25 4 4" xfId="35443" xr:uid="{00000000-0005-0000-0000-000022400000}"/>
    <cellStyle name="Normal 2 2 7 25 5" xfId="6902" xr:uid="{00000000-0005-0000-0000-000023400000}"/>
    <cellStyle name="Normal 2 2 7 25 5 2" xfId="6903" xr:uid="{00000000-0005-0000-0000-000024400000}"/>
    <cellStyle name="Normal 2 2 7 25 5 2 2" xfId="35444" xr:uid="{00000000-0005-0000-0000-000025400000}"/>
    <cellStyle name="Normal 2 2 7 25 5 3" xfId="35445" xr:uid="{00000000-0005-0000-0000-000026400000}"/>
    <cellStyle name="Normal 2 2 7 25 6" xfId="6904" xr:uid="{00000000-0005-0000-0000-000027400000}"/>
    <cellStyle name="Normal 2 2 7 25 6 2" xfId="35446" xr:uid="{00000000-0005-0000-0000-000028400000}"/>
    <cellStyle name="Normal 2 2 7 25 7" xfId="6905" xr:uid="{00000000-0005-0000-0000-000029400000}"/>
    <cellStyle name="Normal 2 2 7 25 7 2" xfId="35447" xr:uid="{00000000-0005-0000-0000-00002A400000}"/>
    <cellStyle name="Normal 2 2 7 25 8" xfId="35448" xr:uid="{00000000-0005-0000-0000-00002B400000}"/>
    <cellStyle name="Normal 2 2 7 25 8 2" xfId="35449" xr:uid="{00000000-0005-0000-0000-00002C400000}"/>
    <cellStyle name="Normal 2 2 7 25 9" xfId="35450" xr:uid="{00000000-0005-0000-0000-00002D400000}"/>
    <cellStyle name="Normal 2 2 7 26" xfId="6906" xr:uid="{00000000-0005-0000-0000-00002E400000}"/>
    <cellStyle name="Normal 2 2 7 26 10" xfId="35451" xr:uid="{00000000-0005-0000-0000-00002F400000}"/>
    <cellStyle name="Normal 2 2 7 26 11" xfId="35452" xr:uid="{00000000-0005-0000-0000-000030400000}"/>
    <cellStyle name="Normal 2 2 7 26 2" xfId="6907" xr:uid="{00000000-0005-0000-0000-000031400000}"/>
    <cellStyle name="Normal 2 2 7 26 2 10" xfId="35453" xr:uid="{00000000-0005-0000-0000-000032400000}"/>
    <cellStyle name="Normal 2 2 7 26 2 2" xfId="6908" xr:uid="{00000000-0005-0000-0000-000033400000}"/>
    <cellStyle name="Normal 2 2 7 26 2 2 2" xfId="6909" xr:uid="{00000000-0005-0000-0000-000034400000}"/>
    <cellStyle name="Normal 2 2 7 26 2 2 2 2" xfId="6910" xr:uid="{00000000-0005-0000-0000-000035400000}"/>
    <cellStyle name="Normal 2 2 7 26 2 2 2 2 2" xfId="35454" xr:uid="{00000000-0005-0000-0000-000036400000}"/>
    <cellStyle name="Normal 2 2 7 26 2 2 2 3" xfId="6911" xr:uid="{00000000-0005-0000-0000-000037400000}"/>
    <cellStyle name="Normal 2 2 7 26 2 2 2 3 2" xfId="35455" xr:uid="{00000000-0005-0000-0000-000038400000}"/>
    <cellStyle name="Normal 2 2 7 26 2 2 2 4" xfId="35456" xr:uid="{00000000-0005-0000-0000-000039400000}"/>
    <cellStyle name="Normal 2 2 7 26 2 2 3" xfId="6912" xr:uid="{00000000-0005-0000-0000-00003A400000}"/>
    <cellStyle name="Normal 2 2 7 26 2 2 3 2" xfId="35457" xr:uid="{00000000-0005-0000-0000-00003B400000}"/>
    <cellStyle name="Normal 2 2 7 26 2 2 4" xfId="6913" xr:uid="{00000000-0005-0000-0000-00003C400000}"/>
    <cellStyle name="Normal 2 2 7 26 2 2 4 2" xfId="35458" xr:uid="{00000000-0005-0000-0000-00003D400000}"/>
    <cellStyle name="Normal 2 2 7 26 2 2 5" xfId="6914" xr:uid="{00000000-0005-0000-0000-00003E400000}"/>
    <cellStyle name="Normal 2 2 7 26 2 2 5 2" xfId="35459" xr:uid="{00000000-0005-0000-0000-00003F400000}"/>
    <cellStyle name="Normal 2 2 7 26 2 2 6" xfId="35460" xr:uid="{00000000-0005-0000-0000-000040400000}"/>
    <cellStyle name="Normal 2 2 7 26 2 2 6 2" xfId="35461" xr:uid="{00000000-0005-0000-0000-000041400000}"/>
    <cellStyle name="Normal 2 2 7 26 2 2 7" xfId="35462" xr:uid="{00000000-0005-0000-0000-000042400000}"/>
    <cellStyle name="Normal 2 2 7 26 2 3" xfId="6915" xr:uid="{00000000-0005-0000-0000-000043400000}"/>
    <cellStyle name="Normal 2 2 7 26 2 3 2" xfId="6916" xr:uid="{00000000-0005-0000-0000-000044400000}"/>
    <cellStyle name="Normal 2 2 7 26 2 3 2 2" xfId="35463" xr:uid="{00000000-0005-0000-0000-000045400000}"/>
    <cellStyle name="Normal 2 2 7 26 2 3 3" xfId="6917" xr:uid="{00000000-0005-0000-0000-000046400000}"/>
    <cellStyle name="Normal 2 2 7 26 2 3 3 2" xfId="35464" xr:uid="{00000000-0005-0000-0000-000047400000}"/>
    <cellStyle name="Normal 2 2 7 26 2 3 4" xfId="35465" xr:uid="{00000000-0005-0000-0000-000048400000}"/>
    <cellStyle name="Normal 2 2 7 26 2 4" xfId="6918" xr:uid="{00000000-0005-0000-0000-000049400000}"/>
    <cellStyle name="Normal 2 2 7 26 2 4 2" xfId="6919" xr:uid="{00000000-0005-0000-0000-00004A400000}"/>
    <cellStyle name="Normal 2 2 7 26 2 4 2 2" xfId="35466" xr:uid="{00000000-0005-0000-0000-00004B400000}"/>
    <cellStyle name="Normal 2 2 7 26 2 4 3" xfId="35467" xr:uid="{00000000-0005-0000-0000-00004C400000}"/>
    <cellStyle name="Normal 2 2 7 26 2 5" xfId="6920" xr:uid="{00000000-0005-0000-0000-00004D400000}"/>
    <cellStyle name="Normal 2 2 7 26 2 5 2" xfId="35468" xr:uid="{00000000-0005-0000-0000-00004E400000}"/>
    <cellStyle name="Normal 2 2 7 26 2 6" xfId="6921" xr:uid="{00000000-0005-0000-0000-00004F400000}"/>
    <cellStyle name="Normal 2 2 7 26 2 6 2" xfId="35469" xr:uid="{00000000-0005-0000-0000-000050400000}"/>
    <cellStyle name="Normal 2 2 7 26 2 7" xfId="35470" xr:uid="{00000000-0005-0000-0000-000051400000}"/>
    <cellStyle name="Normal 2 2 7 26 2 7 2" xfId="35471" xr:uid="{00000000-0005-0000-0000-000052400000}"/>
    <cellStyle name="Normal 2 2 7 26 2 8" xfId="35472" xr:uid="{00000000-0005-0000-0000-000053400000}"/>
    <cellStyle name="Normal 2 2 7 26 2 9" xfId="35473" xr:uid="{00000000-0005-0000-0000-000054400000}"/>
    <cellStyle name="Normal 2 2 7 26 3" xfId="6922" xr:uid="{00000000-0005-0000-0000-000055400000}"/>
    <cellStyle name="Normal 2 2 7 26 3 2" xfId="6923" xr:uid="{00000000-0005-0000-0000-000056400000}"/>
    <cellStyle name="Normal 2 2 7 26 3 2 2" xfId="6924" xr:uid="{00000000-0005-0000-0000-000057400000}"/>
    <cellStyle name="Normal 2 2 7 26 3 2 2 2" xfId="35474" xr:uid="{00000000-0005-0000-0000-000058400000}"/>
    <cellStyle name="Normal 2 2 7 26 3 2 3" xfId="6925" xr:uid="{00000000-0005-0000-0000-000059400000}"/>
    <cellStyle name="Normal 2 2 7 26 3 2 3 2" xfId="35475" xr:uid="{00000000-0005-0000-0000-00005A400000}"/>
    <cellStyle name="Normal 2 2 7 26 3 2 4" xfId="35476" xr:uid="{00000000-0005-0000-0000-00005B400000}"/>
    <cellStyle name="Normal 2 2 7 26 3 3" xfId="6926" xr:uid="{00000000-0005-0000-0000-00005C400000}"/>
    <cellStyle name="Normal 2 2 7 26 3 3 2" xfId="35477" xr:uid="{00000000-0005-0000-0000-00005D400000}"/>
    <cellStyle name="Normal 2 2 7 26 3 4" xfId="6927" xr:uid="{00000000-0005-0000-0000-00005E400000}"/>
    <cellStyle name="Normal 2 2 7 26 3 4 2" xfId="35478" xr:uid="{00000000-0005-0000-0000-00005F400000}"/>
    <cellStyle name="Normal 2 2 7 26 3 5" xfId="6928" xr:uid="{00000000-0005-0000-0000-000060400000}"/>
    <cellStyle name="Normal 2 2 7 26 3 5 2" xfId="35479" xr:uid="{00000000-0005-0000-0000-000061400000}"/>
    <cellStyle name="Normal 2 2 7 26 3 6" xfId="35480" xr:uid="{00000000-0005-0000-0000-000062400000}"/>
    <cellStyle name="Normal 2 2 7 26 3 6 2" xfId="35481" xr:uid="{00000000-0005-0000-0000-000063400000}"/>
    <cellStyle name="Normal 2 2 7 26 3 7" xfId="35482" xr:uid="{00000000-0005-0000-0000-000064400000}"/>
    <cellStyle name="Normal 2 2 7 26 4" xfId="6929" xr:uid="{00000000-0005-0000-0000-000065400000}"/>
    <cellStyle name="Normal 2 2 7 26 4 2" xfId="6930" xr:uid="{00000000-0005-0000-0000-000066400000}"/>
    <cellStyle name="Normal 2 2 7 26 4 2 2" xfId="35483" xr:uid="{00000000-0005-0000-0000-000067400000}"/>
    <cellStyle name="Normal 2 2 7 26 4 3" xfId="6931" xr:uid="{00000000-0005-0000-0000-000068400000}"/>
    <cellStyle name="Normal 2 2 7 26 4 3 2" xfId="35484" xr:uid="{00000000-0005-0000-0000-000069400000}"/>
    <cellStyle name="Normal 2 2 7 26 4 4" xfId="35485" xr:uid="{00000000-0005-0000-0000-00006A400000}"/>
    <cellStyle name="Normal 2 2 7 26 5" xfId="6932" xr:uid="{00000000-0005-0000-0000-00006B400000}"/>
    <cellStyle name="Normal 2 2 7 26 5 2" xfId="6933" xr:uid="{00000000-0005-0000-0000-00006C400000}"/>
    <cellStyle name="Normal 2 2 7 26 5 2 2" xfId="35486" xr:uid="{00000000-0005-0000-0000-00006D400000}"/>
    <cellStyle name="Normal 2 2 7 26 5 3" xfId="35487" xr:uid="{00000000-0005-0000-0000-00006E400000}"/>
    <cellStyle name="Normal 2 2 7 26 6" xfId="6934" xr:uid="{00000000-0005-0000-0000-00006F400000}"/>
    <cellStyle name="Normal 2 2 7 26 6 2" xfId="35488" xr:uid="{00000000-0005-0000-0000-000070400000}"/>
    <cellStyle name="Normal 2 2 7 26 7" xfId="6935" xr:uid="{00000000-0005-0000-0000-000071400000}"/>
    <cellStyle name="Normal 2 2 7 26 7 2" xfId="35489" xr:uid="{00000000-0005-0000-0000-000072400000}"/>
    <cellStyle name="Normal 2 2 7 26 8" xfId="35490" xr:uid="{00000000-0005-0000-0000-000073400000}"/>
    <cellStyle name="Normal 2 2 7 26 8 2" xfId="35491" xr:uid="{00000000-0005-0000-0000-000074400000}"/>
    <cellStyle name="Normal 2 2 7 26 9" xfId="35492" xr:uid="{00000000-0005-0000-0000-000075400000}"/>
    <cellStyle name="Normal 2 2 7 27" xfId="6936" xr:uid="{00000000-0005-0000-0000-000076400000}"/>
    <cellStyle name="Normal 2 2 7 27 10" xfId="35493" xr:uid="{00000000-0005-0000-0000-000077400000}"/>
    <cellStyle name="Normal 2 2 7 27 11" xfId="35494" xr:uid="{00000000-0005-0000-0000-000078400000}"/>
    <cellStyle name="Normal 2 2 7 27 2" xfId="6937" xr:uid="{00000000-0005-0000-0000-000079400000}"/>
    <cellStyle name="Normal 2 2 7 27 2 10" xfId="35495" xr:uid="{00000000-0005-0000-0000-00007A400000}"/>
    <cellStyle name="Normal 2 2 7 27 2 2" xfId="6938" xr:uid="{00000000-0005-0000-0000-00007B400000}"/>
    <cellStyle name="Normal 2 2 7 27 2 2 2" xfId="6939" xr:uid="{00000000-0005-0000-0000-00007C400000}"/>
    <cellStyle name="Normal 2 2 7 27 2 2 2 2" xfId="6940" xr:uid="{00000000-0005-0000-0000-00007D400000}"/>
    <cellStyle name="Normal 2 2 7 27 2 2 2 2 2" xfId="35496" xr:uid="{00000000-0005-0000-0000-00007E400000}"/>
    <cellStyle name="Normal 2 2 7 27 2 2 2 3" xfId="6941" xr:uid="{00000000-0005-0000-0000-00007F400000}"/>
    <cellStyle name="Normal 2 2 7 27 2 2 2 3 2" xfId="35497" xr:uid="{00000000-0005-0000-0000-000080400000}"/>
    <cellStyle name="Normal 2 2 7 27 2 2 2 4" xfId="35498" xr:uid="{00000000-0005-0000-0000-000081400000}"/>
    <cellStyle name="Normal 2 2 7 27 2 2 3" xfId="6942" xr:uid="{00000000-0005-0000-0000-000082400000}"/>
    <cellStyle name="Normal 2 2 7 27 2 2 3 2" xfId="35499" xr:uid="{00000000-0005-0000-0000-000083400000}"/>
    <cellStyle name="Normal 2 2 7 27 2 2 4" xfId="6943" xr:uid="{00000000-0005-0000-0000-000084400000}"/>
    <cellStyle name="Normal 2 2 7 27 2 2 4 2" xfId="35500" xr:uid="{00000000-0005-0000-0000-000085400000}"/>
    <cellStyle name="Normal 2 2 7 27 2 2 5" xfId="6944" xr:uid="{00000000-0005-0000-0000-000086400000}"/>
    <cellStyle name="Normal 2 2 7 27 2 2 5 2" xfId="35501" xr:uid="{00000000-0005-0000-0000-000087400000}"/>
    <cellStyle name="Normal 2 2 7 27 2 2 6" xfId="35502" xr:uid="{00000000-0005-0000-0000-000088400000}"/>
    <cellStyle name="Normal 2 2 7 27 2 2 6 2" xfId="35503" xr:uid="{00000000-0005-0000-0000-000089400000}"/>
    <cellStyle name="Normal 2 2 7 27 2 2 7" xfId="35504" xr:uid="{00000000-0005-0000-0000-00008A400000}"/>
    <cellStyle name="Normal 2 2 7 27 2 3" xfId="6945" xr:uid="{00000000-0005-0000-0000-00008B400000}"/>
    <cellStyle name="Normal 2 2 7 27 2 3 2" xfId="6946" xr:uid="{00000000-0005-0000-0000-00008C400000}"/>
    <cellStyle name="Normal 2 2 7 27 2 3 2 2" xfId="35505" xr:uid="{00000000-0005-0000-0000-00008D400000}"/>
    <cellStyle name="Normal 2 2 7 27 2 3 3" xfId="6947" xr:uid="{00000000-0005-0000-0000-00008E400000}"/>
    <cellStyle name="Normal 2 2 7 27 2 3 3 2" xfId="35506" xr:uid="{00000000-0005-0000-0000-00008F400000}"/>
    <cellStyle name="Normal 2 2 7 27 2 3 4" xfId="35507" xr:uid="{00000000-0005-0000-0000-000090400000}"/>
    <cellStyle name="Normal 2 2 7 27 2 4" xfId="6948" xr:uid="{00000000-0005-0000-0000-000091400000}"/>
    <cellStyle name="Normal 2 2 7 27 2 4 2" xfId="6949" xr:uid="{00000000-0005-0000-0000-000092400000}"/>
    <cellStyle name="Normal 2 2 7 27 2 4 2 2" xfId="35508" xr:uid="{00000000-0005-0000-0000-000093400000}"/>
    <cellStyle name="Normal 2 2 7 27 2 4 3" xfId="35509" xr:uid="{00000000-0005-0000-0000-000094400000}"/>
    <cellStyle name="Normal 2 2 7 27 2 5" xfId="6950" xr:uid="{00000000-0005-0000-0000-000095400000}"/>
    <cellStyle name="Normal 2 2 7 27 2 5 2" xfId="35510" xr:uid="{00000000-0005-0000-0000-000096400000}"/>
    <cellStyle name="Normal 2 2 7 27 2 6" xfId="6951" xr:uid="{00000000-0005-0000-0000-000097400000}"/>
    <cellStyle name="Normal 2 2 7 27 2 6 2" xfId="35511" xr:uid="{00000000-0005-0000-0000-000098400000}"/>
    <cellStyle name="Normal 2 2 7 27 2 7" xfId="35512" xr:uid="{00000000-0005-0000-0000-000099400000}"/>
    <cellStyle name="Normal 2 2 7 27 2 7 2" xfId="35513" xr:uid="{00000000-0005-0000-0000-00009A400000}"/>
    <cellStyle name="Normal 2 2 7 27 2 8" xfId="35514" xr:uid="{00000000-0005-0000-0000-00009B400000}"/>
    <cellStyle name="Normal 2 2 7 27 2 9" xfId="35515" xr:uid="{00000000-0005-0000-0000-00009C400000}"/>
    <cellStyle name="Normal 2 2 7 27 3" xfId="6952" xr:uid="{00000000-0005-0000-0000-00009D400000}"/>
    <cellStyle name="Normal 2 2 7 27 3 2" xfId="6953" xr:uid="{00000000-0005-0000-0000-00009E400000}"/>
    <cellStyle name="Normal 2 2 7 27 3 2 2" xfId="6954" xr:uid="{00000000-0005-0000-0000-00009F400000}"/>
    <cellStyle name="Normal 2 2 7 27 3 2 2 2" xfId="35516" xr:uid="{00000000-0005-0000-0000-0000A0400000}"/>
    <cellStyle name="Normal 2 2 7 27 3 2 3" xfId="6955" xr:uid="{00000000-0005-0000-0000-0000A1400000}"/>
    <cellStyle name="Normal 2 2 7 27 3 2 3 2" xfId="35517" xr:uid="{00000000-0005-0000-0000-0000A2400000}"/>
    <cellStyle name="Normal 2 2 7 27 3 2 4" xfId="35518" xr:uid="{00000000-0005-0000-0000-0000A3400000}"/>
    <cellStyle name="Normal 2 2 7 27 3 3" xfId="6956" xr:uid="{00000000-0005-0000-0000-0000A4400000}"/>
    <cellStyle name="Normal 2 2 7 27 3 3 2" xfId="35519" xr:uid="{00000000-0005-0000-0000-0000A5400000}"/>
    <cellStyle name="Normal 2 2 7 27 3 4" xfId="6957" xr:uid="{00000000-0005-0000-0000-0000A6400000}"/>
    <cellStyle name="Normal 2 2 7 27 3 4 2" xfId="35520" xr:uid="{00000000-0005-0000-0000-0000A7400000}"/>
    <cellStyle name="Normal 2 2 7 27 3 5" xfId="6958" xr:uid="{00000000-0005-0000-0000-0000A8400000}"/>
    <cellStyle name="Normal 2 2 7 27 3 5 2" xfId="35521" xr:uid="{00000000-0005-0000-0000-0000A9400000}"/>
    <cellStyle name="Normal 2 2 7 27 3 6" xfId="35522" xr:uid="{00000000-0005-0000-0000-0000AA400000}"/>
    <cellStyle name="Normal 2 2 7 27 3 6 2" xfId="35523" xr:uid="{00000000-0005-0000-0000-0000AB400000}"/>
    <cellStyle name="Normal 2 2 7 27 3 7" xfId="35524" xr:uid="{00000000-0005-0000-0000-0000AC400000}"/>
    <cellStyle name="Normal 2 2 7 27 4" xfId="6959" xr:uid="{00000000-0005-0000-0000-0000AD400000}"/>
    <cellStyle name="Normal 2 2 7 27 4 2" xfId="6960" xr:uid="{00000000-0005-0000-0000-0000AE400000}"/>
    <cellStyle name="Normal 2 2 7 27 4 2 2" xfId="35525" xr:uid="{00000000-0005-0000-0000-0000AF400000}"/>
    <cellStyle name="Normal 2 2 7 27 4 3" xfId="6961" xr:uid="{00000000-0005-0000-0000-0000B0400000}"/>
    <cellStyle name="Normal 2 2 7 27 4 3 2" xfId="35526" xr:uid="{00000000-0005-0000-0000-0000B1400000}"/>
    <cellStyle name="Normal 2 2 7 27 4 4" xfId="35527" xr:uid="{00000000-0005-0000-0000-0000B2400000}"/>
    <cellStyle name="Normal 2 2 7 27 5" xfId="6962" xr:uid="{00000000-0005-0000-0000-0000B3400000}"/>
    <cellStyle name="Normal 2 2 7 27 5 2" xfId="6963" xr:uid="{00000000-0005-0000-0000-0000B4400000}"/>
    <cellStyle name="Normal 2 2 7 27 5 2 2" xfId="35528" xr:uid="{00000000-0005-0000-0000-0000B5400000}"/>
    <cellStyle name="Normal 2 2 7 27 5 3" xfId="35529" xr:uid="{00000000-0005-0000-0000-0000B6400000}"/>
    <cellStyle name="Normal 2 2 7 27 6" xfId="6964" xr:uid="{00000000-0005-0000-0000-0000B7400000}"/>
    <cellStyle name="Normal 2 2 7 27 6 2" xfId="35530" xr:uid="{00000000-0005-0000-0000-0000B8400000}"/>
    <cellStyle name="Normal 2 2 7 27 7" xfId="6965" xr:uid="{00000000-0005-0000-0000-0000B9400000}"/>
    <cellStyle name="Normal 2 2 7 27 7 2" xfId="35531" xr:uid="{00000000-0005-0000-0000-0000BA400000}"/>
    <cellStyle name="Normal 2 2 7 27 8" xfId="35532" xr:uid="{00000000-0005-0000-0000-0000BB400000}"/>
    <cellStyle name="Normal 2 2 7 27 8 2" xfId="35533" xr:uid="{00000000-0005-0000-0000-0000BC400000}"/>
    <cellStyle name="Normal 2 2 7 27 9" xfId="35534" xr:uid="{00000000-0005-0000-0000-0000BD400000}"/>
    <cellStyle name="Normal 2 2 7 28" xfId="6966" xr:uid="{00000000-0005-0000-0000-0000BE400000}"/>
    <cellStyle name="Normal 2 2 7 28 10" xfId="35535" xr:uid="{00000000-0005-0000-0000-0000BF400000}"/>
    <cellStyle name="Normal 2 2 7 28 11" xfId="35536" xr:uid="{00000000-0005-0000-0000-0000C0400000}"/>
    <cellStyle name="Normal 2 2 7 28 2" xfId="6967" xr:uid="{00000000-0005-0000-0000-0000C1400000}"/>
    <cellStyle name="Normal 2 2 7 28 2 10" xfId="35537" xr:uid="{00000000-0005-0000-0000-0000C2400000}"/>
    <cellStyle name="Normal 2 2 7 28 2 2" xfId="6968" xr:uid="{00000000-0005-0000-0000-0000C3400000}"/>
    <cellStyle name="Normal 2 2 7 28 2 2 2" xfId="6969" xr:uid="{00000000-0005-0000-0000-0000C4400000}"/>
    <cellStyle name="Normal 2 2 7 28 2 2 2 2" xfId="6970" xr:uid="{00000000-0005-0000-0000-0000C5400000}"/>
    <cellStyle name="Normal 2 2 7 28 2 2 2 2 2" xfId="35538" xr:uid="{00000000-0005-0000-0000-0000C6400000}"/>
    <cellStyle name="Normal 2 2 7 28 2 2 2 3" xfId="6971" xr:uid="{00000000-0005-0000-0000-0000C7400000}"/>
    <cellStyle name="Normal 2 2 7 28 2 2 2 3 2" xfId="35539" xr:uid="{00000000-0005-0000-0000-0000C8400000}"/>
    <cellStyle name="Normal 2 2 7 28 2 2 2 4" xfId="35540" xr:uid="{00000000-0005-0000-0000-0000C9400000}"/>
    <cellStyle name="Normal 2 2 7 28 2 2 3" xfId="6972" xr:uid="{00000000-0005-0000-0000-0000CA400000}"/>
    <cellStyle name="Normal 2 2 7 28 2 2 3 2" xfId="35541" xr:uid="{00000000-0005-0000-0000-0000CB400000}"/>
    <cellStyle name="Normal 2 2 7 28 2 2 4" xfId="6973" xr:uid="{00000000-0005-0000-0000-0000CC400000}"/>
    <cellStyle name="Normal 2 2 7 28 2 2 4 2" xfId="35542" xr:uid="{00000000-0005-0000-0000-0000CD400000}"/>
    <cellStyle name="Normal 2 2 7 28 2 2 5" xfId="6974" xr:uid="{00000000-0005-0000-0000-0000CE400000}"/>
    <cellStyle name="Normal 2 2 7 28 2 2 5 2" xfId="35543" xr:uid="{00000000-0005-0000-0000-0000CF400000}"/>
    <cellStyle name="Normal 2 2 7 28 2 2 6" xfId="35544" xr:uid="{00000000-0005-0000-0000-0000D0400000}"/>
    <cellStyle name="Normal 2 2 7 28 2 2 6 2" xfId="35545" xr:uid="{00000000-0005-0000-0000-0000D1400000}"/>
    <cellStyle name="Normal 2 2 7 28 2 2 7" xfId="35546" xr:uid="{00000000-0005-0000-0000-0000D2400000}"/>
    <cellStyle name="Normal 2 2 7 28 2 3" xfId="6975" xr:uid="{00000000-0005-0000-0000-0000D3400000}"/>
    <cellStyle name="Normal 2 2 7 28 2 3 2" xfId="6976" xr:uid="{00000000-0005-0000-0000-0000D4400000}"/>
    <cellStyle name="Normal 2 2 7 28 2 3 2 2" xfId="35547" xr:uid="{00000000-0005-0000-0000-0000D5400000}"/>
    <cellStyle name="Normal 2 2 7 28 2 3 3" xfId="6977" xr:uid="{00000000-0005-0000-0000-0000D6400000}"/>
    <cellStyle name="Normal 2 2 7 28 2 3 3 2" xfId="35548" xr:uid="{00000000-0005-0000-0000-0000D7400000}"/>
    <cellStyle name="Normal 2 2 7 28 2 3 4" xfId="35549" xr:uid="{00000000-0005-0000-0000-0000D8400000}"/>
    <cellStyle name="Normal 2 2 7 28 2 4" xfId="6978" xr:uid="{00000000-0005-0000-0000-0000D9400000}"/>
    <cellStyle name="Normal 2 2 7 28 2 4 2" xfId="6979" xr:uid="{00000000-0005-0000-0000-0000DA400000}"/>
    <cellStyle name="Normal 2 2 7 28 2 4 2 2" xfId="35550" xr:uid="{00000000-0005-0000-0000-0000DB400000}"/>
    <cellStyle name="Normal 2 2 7 28 2 4 3" xfId="35551" xr:uid="{00000000-0005-0000-0000-0000DC400000}"/>
    <cellStyle name="Normal 2 2 7 28 2 5" xfId="6980" xr:uid="{00000000-0005-0000-0000-0000DD400000}"/>
    <cellStyle name="Normal 2 2 7 28 2 5 2" xfId="35552" xr:uid="{00000000-0005-0000-0000-0000DE400000}"/>
    <cellStyle name="Normal 2 2 7 28 2 6" xfId="6981" xr:uid="{00000000-0005-0000-0000-0000DF400000}"/>
    <cellStyle name="Normal 2 2 7 28 2 6 2" xfId="35553" xr:uid="{00000000-0005-0000-0000-0000E0400000}"/>
    <cellStyle name="Normal 2 2 7 28 2 7" xfId="35554" xr:uid="{00000000-0005-0000-0000-0000E1400000}"/>
    <cellStyle name="Normal 2 2 7 28 2 7 2" xfId="35555" xr:uid="{00000000-0005-0000-0000-0000E2400000}"/>
    <cellStyle name="Normal 2 2 7 28 2 8" xfId="35556" xr:uid="{00000000-0005-0000-0000-0000E3400000}"/>
    <cellStyle name="Normal 2 2 7 28 2 9" xfId="35557" xr:uid="{00000000-0005-0000-0000-0000E4400000}"/>
    <cellStyle name="Normal 2 2 7 28 3" xfId="6982" xr:uid="{00000000-0005-0000-0000-0000E5400000}"/>
    <cellStyle name="Normal 2 2 7 28 3 2" xfId="6983" xr:uid="{00000000-0005-0000-0000-0000E6400000}"/>
    <cellStyle name="Normal 2 2 7 28 3 2 2" xfId="6984" xr:uid="{00000000-0005-0000-0000-0000E7400000}"/>
    <cellStyle name="Normal 2 2 7 28 3 2 2 2" xfId="35558" xr:uid="{00000000-0005-0000-0000-0000E8400000}"/>
    <cellStyle name="Normal 2 2 7 28 3 2 3" xfId="6985" xr:uid="{00000000-0005-0000-0000-0000E9400000}"/>
    <cellStyle name="Normal 2 2 7 28 3 2 3 2" xfId="35559" xr:uid="{00000000-0005-0000-0000-0000EA400000}"/>
    <cellStyle name="Normal 2 2 7 28 3 2 4" xfId="35560" xr:uid="{00000000-0005-0000-0000-0000EB400000}"/>
    <cellStyle name="Normal 2 2 7 28 3 3" xfId="6986" xr:uid="{00000000-0005-0000-0000-0000EC400000}"/>
    <cellStyle name="Normal 2 2 7 28 3 3 2" xfId="35561" xr:uid="{00000000-0005-0000-0000-0000ED400000}"/>
    <cellStyle name="Normal 2 2 7 28 3 4" xfId="6987" xr:uid="{00000000-0005-0000-0000-0000EE400000}"/>
    <cellStyle name="Normal 2 2 7 28 3 4 2" xfId="35562" xr:uid="{00000000-0005-0000-0000-0000EF400000}"/>
    <cellStyle name="Normal 2 2 7 28 3 5" xfId="6988" xr:uid="{00000000-0005-0000-0000-0000F0400000}"/>
    <cellStyle name="Normal 2 2 7 28 3 5 2" xfId="35563" xr:uid="{00000000-0005-0000-0000-0000F1400000}"/>
    <cellStyle name="Normal 2 2 7 28 3 6" xfId="35564" xr:uid="{00000000-0005-0000-0000-0000F2400000}"/>
    <cellStyle name="Normal 2 2 7 28 3 6 2" xfId="35565" xr:uid="{00000000-0005-0000-0000-0000F3400000}"/>
    <cellStyle name="Normal 2 2 7 28 3 7" xfId="35566" xr:uid="{00000000-0005-0000-0000-0000F4400000}"/>
    <cellStyle name="Normal 2 2 7 28 4" xfId="6989" xr:uid="{00000000-0005-0000-0000-0000F5400000}"/>
    <cellStyle name="Normal 2 2 7 28 4 2" xfId="6990" xr:uid="{00000000-0005-0000-0000-0000F6400000}"/>
    <cellStyle name="Normal 2 2 7 28 4 2 2" xfId="35567" xr:uid="{00000000-0005-0000-0000-0000F7400000}"/>
    <cellStyle name="Normal 2 2 7 28 4 3" xfId="6991" xr:uid="{00000000-0005-0000-0000-0000F8400000}"/>
    <cellStyle name="Normal 2 2 7 28 4 3 2" xfId="35568" xr:uid="{00000000-0005-0000-0000-0000F9400000}"/>
    <cellStyle name="Normal 2 2 7 28 4 4" xfId="35569" xr:uid="{00000000-0005-0000-0000-0000FA400000}"/>
    <cellStyle name="Normal 2 2 7 28 5" xfId="6992" xr:uid="{00000000-0005-0000-0000-0000FB400000}"/>
    <cellStyle name="Normal 2 2 7 28 5 2" xfId="6993" xr:uid="{00000000-0005-0000-0000-0000FC400000}"/>
    <cellStyle name="Normal 2 2 7 28 5 2 2" xfId="35570" xr:uid="{00000000-0005-0000-0000-0000FD400000}"/>
    <cellStyle name="Normal 2 2 7 28 5 3" xfId="35571" xr:uid="{00000000-0005-0000-0000-0000FE400000}"/>
    <cellStyle name="Normal 2 2 7 28 6" xfId="6994" xr:uid="{00000000-0005-0000-0000-0000FF400000}"/>
    <cellStyle name="Normal 2 2 7 28 6 2" xfId="35572" xr:uid="{00000000-0005-0000-0000-000000410000}"/>
    <cellStyle name="Normal 2 2 7 28 7" xfId="6995" xr:uid="{00000000-0005-0000-0000-000001410000}"/>
    <cellStyle name="Normal 2 2 7 28 7 2" xfId="35573" xr:uid="{00000000-0005-0000-0000-000002410000}"/>
    <cellStyle name="Normal 2 2 7 28 8" xfId="35574" xr:uid="{00000000-0005-0000-0000-000003410000}"/>
    <cellStyle name="Normal 2 2 7 28 8 2" xfId="35575" xr:uid="{00000000-0005-0000-0000-000004410000}"/>
    <cellStyle name="Normal 2 2 7 28 9" xfId="35576" xr:uid="{00000000-0005-0000-0000-000005410000}"/>
    <cellStyle name="Normal 2 2 7 29" xfId="6996" xr:uid="{00000000-0005-0000-0000-000006410000}"/>
    <cellStyle name="Normal 2 2 7 29 10" xfId="35577" xr:uid="{00000000-0005-0000-0000-000007410000}"/>
    <cellStyle name="Normal 2 2 7 29 11" xfId="35578" xr:uid="{00000000-0005-0000-0000-000008410000}"/>
    <cellStyle name="Normal 2 2 7 29 2" xfId="6997" xr:uid="{00000000-0005-0000-0000-000009410000}"/>
    <cellStyle name="Normal 2 2 7 29 2 10" xfId="35579" xr:uid="{00000000-0005-0000-0000-00000A410000}"/>
    <cellStyle name="Normal 2 2 7 29 2 2" xfId="6998" xr:uid="{00000000-0005-0000-0000-00000B410000}"/>
    <cellStyle name="Normal 2 2 7 29 2 2 2" xfId="6999" xr:uid="{00000000-0005-0000-0000-00000C410000}"/>
    <cellStyle name="Normal 2 2 7 29 2 2 2 2" xfId="7000" xr:uid="{00000000-0005-0000-0000-00000D410000}"/>
    <cellStyle name="Normal 2 2 7 29 2 2 2 2 2" xfId="35580" xr:uid="{00000000-0005-0000-0000-00000E410000}"/>
    <cellStyle name="Normal 2 2 7 29 2 2 2 3" xfId="7001" xr:uid="{00000000-0005-0000-0000-00000F410000}"/>
    <cellStyle name="Normal 2 2 7 29 2 2 2 3 2" xfId="35581" xr:uid="{00000000-0005-0000-0000-000010410000}"/>
    <cellStyle name="Normal 2 2 7 29 2 2 2 4" xfId="35582" xr:uid="{00000000-0005-0000-0000-000011410000}"/>
    <cellStyle name="Normal 2 2 7 29 2 2 3" xfId="7002" xr:uid="{00000000-0005-0000-0000-000012410000}"/>
    <cellStyle name="Normal 2 2 7 29 2 2 3 2" xfId="35583" xr:uid="{00000000-0005-0000-0000-000013410000}"/>
    <cellStyle name="Normal 2 2 7 29 2 2 4" xfId="7003" xr:uid="{00000000-0005-0000-0000-000014410000}"/>
    <cellStyle name="Normal 2 2 7 29 2 2 4 2" xfId="35584" xr:uid="{00000000-0005-0000-0000-000015410000}"/>
    <cellStyle name="Normal 2 2 7 29 2 2 5" xfId="7004" xr:uid="{00000000-0005-0000-0000-000016410000}"/>
    <cellStyle name="Normal 2 2 7 29 2 2 5 2" xfId="35585" xr:uid="{00000000-0005-0000-0000-000017410000}"/>
    <cellStyle name="Normal 2 2 7 29 2 2 6" xfId="35586" xr:uid="{00000000-0005-0000-0000-000018410000}"/>
    <cellStyle name="Normal 2 2 7 29 2 2 6 2" xfId="35587" xr:uid="{00000000-0005-0000-0000-000019410000}"/>
    <cellStyle name="Normal 2 2 7 29 2 2 7" xfId="35588" xr:uid="{00000000-0005-0000-0000-00001A410000}"/>
    <cellStyle name="Normal 2 2 7 29 2 3" xfId="7005" xr:uid="{00000000-0005-0000-0000-00001B410000}"/>
    <cellStyle name="Normal 2 2 7 29 2 3 2" xfId="7006" xr:uid="{00000000-0005-0000-0000-00001C410000}"/>
    <cellStyle name="Normal 2 2 7 29 2 3 2 2" xfId="35589" xr:uid="{00000000-0005-0000-0000-00001D410000}"/>
    <cellStyle name="Normal 2 2 7 29 2 3 3" xfId="7007" xr:uid="{00000000-0005-0000-0000-00001E410000}"/>
    <cellStyle name="Normal 2 2 7 29 2 3 3 2" xfId="35590" xr:uid="{00000000-0005-0000-0000-00001F410000}"/>
    <cellStyle name="Normal 2 2 7 29 2 3 4" xfId="35591" xr:uid="{00000000-0005-0000-0000-000020410000}"/>
    <cellStyle name="Normal 2 2 7 29 2 4" xfId="7008" xr:uid="{00000000-0005-0000-0000-000021410000}"/>
    <cellStyle name="Normal 2 2 7 29 2 4 2" xfId="7009" xr:uid="{00000000-0005-0000-0000-000022410000}"/>
    <cellStyle name="Normal 2 2 7 29 2 4 2 2" xfId="35592" xr:uid="{00000000-0005-0000-0000-000023410000}"/>
    <cellStyle name="Normal 2 2 7 29 2 4 3" xfId="35593" xr:uid="{00000000-0005-0000-0000-000024410000}"/>
    <cellStyle name="Normal 2 2 7 29 2 5" xfId="7010" xr:uid="{00000000-0005-0000-0000-000025410000}"/>
    <cellStyle name="Normal 2 2 7 29 2 5 2" xfId="35594" xr:uid="{00000000-0005-0000-0000-000026410000}"/>
    <cellStyle name="Normal 2 2 7 29 2 6" xfId="7011" xr:uid="{00000000-0005-0000-0000-000027410000}"/>
    <cellStyle name="Normal 2 2 7 29 2 6 2" xfId="35595" xr:uid="{00000000-0005-0000-0000-000028410000}"/>
    <cellStyle name="Normal 2 2 7 29 2 7" xfId="35596" xr:uid="{00000000-0005-0000-0000-000029410000}"/>
    <cellStyle name="Normal 2 2 7 29 2 7 2" xfId="35597" xr:uid="{00000000-0005-0000-0000-00002A410000}"/>
    <cellStyle name="Normal 2 2 7 29 2 8" xfId="35598" xr:uid="{00000000-0005-0000-0000-00002B410000}"/>
    <cellStyle name="Normal 2 2 7 29 2 9" xfId="35599" xr:uid="{00000000-0005-0000-0000-00002C410000}"/>
    <cellStyle name="Normal 2 2 7 29 3" xfId="7012" xr:uid="{00000000-0005-0000-0000-00002D410000}"/>
    <cellStyle name="Normal 2 2 7 29 3 2" xfId="7013" xr:uid="{00000000-0005-0000-0000-00002E410000}"/>
    <cellStyle name="Normal 2 2 7 29 3 2 2" xfId="7014" xr:uid="{00000000-0005-0000-0000-00002F410000}"/>
    <cellStyle name="Normal 2 2 7 29 3 2 2 2" xfId="35600" xr:uid="{00000000-0005-0000-0000-000030410000}"/>
    <cellStyle name="Normal 2 2 7 29 3 2 3" xfId="7015" xr:uid="{00000000-0005-0000-0000-000031410000}"/>
    <cellStyle name="Normal 2 2 7 29 3 2 3 2" xfId="35601" xr:uid="{00000000-0005-0000-0000-000032410000}"/>
    <cellStyle name="Normal 2 2 7 29 3 2 4" xfId="35602" xr:uid="{00000000-0005-0000-0000-000033410000}"/>
    <cellStyle name="Normal 2 2 7 29 3 3" xfId="7016" xr:uid="{00000000-0005-0000-0000-000034410000}"/>
    <cellStyle name="Normal 2 2 7 29 3 3 2" xfId="35603" xr:uid="{00000000-0005-0000-0000-000035410000}"/>
    <cellStyle name="Normal 2 2 7 29 3 4" xfId="7017" xr:uid="{00000000-0005-0000-0000-000036410000}"/>
    <cellStyle name="Normal 2 2 7 29 3 4 2" xfId="35604" xr:uid="{00000000-0005-0000-0000-000037410000}"/>
    <cellStyle name="Normal 2 2 7 29 3 5" xfId="7018" xr:uid="{00000000-0005-0000-0000-000038410000}"/>
    <cellStyle name="Normal 2 2 7 29 3 5 2" xfId="35605" xr:uid="{00000000-0005-0000-0000-000039410000}"/>
    <cellStyle name="Normal 2 2 7 29 3 6" xfId="35606" xr:uid="{00000000-0005-0000-0000-00003A410000}"/>
    <cellStyle name="Normal 2 2 7 29 3 6 2" xfId="35607" xr:uid="{00000000-0005-0000-0000-00003B410000}"/>
    <cellStyle name="Normal 2 2 7 29 3 7" xfId="35608" xr:uid="{00000000-0005-0000-0000-00003C410000}"/>
    <cellStyle name="Normal 2 2 7 29 4" xfId="7019" xr:uid="{00000000-0005-0000-0000-00003D410000}"/>
    <cellStyle name="Normal 2 2 7 29 4 2" xfId="7020" xr:uid="{00000000-0005-0000-0000-00003E410000}"/>
    <cellStyle name="Normal 2 2 7 29 4 2 2" xfId="35609" xr:uid="{00000000-0005-0000-0000-00003F410000}"/>
    <cellStyle name="Normal 2 2 7 29 4 3" xfId="7021" xr:uid="{00000000-0005-0000-0000-000040410000}"/>
    <cellStyle name="Normal 2 2 7 29 4 3 2" xfId="35610" xr:uid="{00000000-0005-0000-0000-000041410000}"/>
    <cellStyle name="Normal 2 2 7 29 4 4" xfId="35611" xr:uid="{00000000-0005-0000-0000-000042410000}"/>
    <cellStyle name="Normal 2 2 7 29 5" xfId="7022" xr:uid="{00000000-0005-0000-0000-000043410000}"/>
    <cellStyle name="Normal 2 2 7 29 5 2" xfId="7023" xr:uid="{00000000-0005-0000-0000-000044410000}"/>
    <cellStyle name="Normal 2 2 7 29 5 2 2" xfId="35612" xr:uid="{00000000-0005-0000-0000-000045410000}"/>
    <cellStyle name="Normal 2 2 7 29 5 3" xfId="35613" xr:uid="{00000000-0005-0000-0000-000046410000}"/>
    <cellStyle name="Normal 2 2 7 29 6" xfId="7024" xr:uid="{00000000-0005-0000-0000-000047410000}"/>
    <cellStyle name="Normal 2 2 7 29 6 2" xfId="35614" xr:uid="{00000000-0005-0000-0000-000048410000}"/>
    <cellStyle name="Normal 2 2 7 29 7" xfId="7025" xr:uid="{00000000-0005-0000-0000-000049410000}"/>
    <cellStyle name="Normal 2 2 7 29 7 2" xfId="35615" xr:uid="{00000000-0005-0000-0000-00004A410000}"/>
    <cellStyle name="Normal 2 2 7 29 8" xfId="35616" xr:uid="{00000000-0005-0000-0000-00004B410000}"/>
    <cellStyle name="Normal 2 2 7 29 8 2" xfId="35617" xr:uid="{00000000-0005-0000-0000-00004C410000}"/>
    <cellStyle name="Normal 2 2 7 29 9" xfId="35618" xr:uid="{00000000-0005-0000-0000-00004D410000}"/>
    <cellStyle name="Normal 2 2 7 3" xfId="7026" xr:uid="{00000000-0005-0000-0000-00004E410000}"/>
    <cellStyle name="Normal 2 2 7 3 10" xfId="35619" xr:uid="{00000000-0005-0000-0000-00004F410000}"/>
    <cellStyle name="Normal 2 2 7 3 11" xfId="35620" xr:uid="{00000000-0005-0000-0000-000050410000}"/>
    <cellStyle name="Normal 2 2 7 3 2" xfId="7027" xr:uid="{00000000-0005-0000-0000-000051410000}"/>
    <cellStyle name="Normal 2 2 7 3 2 10" xfId="35621" xr:uid="{00000000-0005-0000-0000-000052410000}"/>
    <cellStyle name="Normal 2 2 7 3 2 2" xfId="7028" xr:uid="{00000000-0005-0000-0000-000053410000}"/>
    <cellStyle name="Normal 2 2 7 3 2 2 2" xfId="7029" xr:uid="{00000000-0005-0000-0000-000054410000}"/>
    <cellStyle name="Normal 2 2 7 3 2 2 2 2" xfId="7030" xr:uid="{00000000-0005-0000-0000-000055410000}"/>
    <cellStyle name="Normal 2 2 7 3 2 2 2 2 2" xfId="35622" xr:uid="{00000000-0005-0000-0000-000056410000}"/>
    <cellStyle name="Normal 2 2 7 3 2 2 2 3" xfId="7031" xr:uid="{00000000-0005-0000-0000-000057410000}"/>
    <cellStyle name="Normal 2 2 7 3 2 2 2 3 2" xfId="35623" xr:uid="{00000000-0005-0000-0000-000058410000}"/>
    <cellStyle name="Normal 2 2 7 3 2 2 2 4" xfId="35624" xr:uid="{00000000-0005-0000-0000-000059410000}"/>
    <cellStyle name="Normal 2 2 7 3 2 2 3" xfId="7032" xr:uid="{00000000-0005-0000-0000-00005A410000}"/>
    <cellStyle name="Normal 2 2 7 3 2 2 3 2" xfId="35625" xr:uid="{00000000-0005-0000-0000-00005B410000}"/>
    <cellStyle name="Normal 2 2 7 3 2 2 4" xfId="7033" xr:uid="{00000000-0005-0000-0000-00005C410000}"/>
    <cellStyle name="Normal 2 2 7 3 2 2 4 2" xfId="35626" xr:uid="{00000000-0005-0000-0000-00005D410000}"/>
    <cellStyle name="Normal 2 2 7 3 2 2 5" xfId="7034" xr:uid="{00000000-0005-0000-0000-00005E410000}"/>
    <cellStyle name="Normal 2 2 7 3 2 2 5 2" xfId="35627" xr:uid="{00000000-0005-0000-0000-00005F410000}"/>
    <cellStyle name="Normal 2 2 7 3 2 2 6" xfId="35628" xr:uid="{00000000-0005-0000-0000-000060410000}"/>
    <cellStyle name="Normal 2 2 7 3 2 2 6 2" xfId="35629" xr:uid="{00000000-0005-0000-0000-000061410000}"/>
    <cellStyle name="Normal 2 2 7 3 2 2 7" xfId="35630" xr:uid="{00000000-0005-0000-0000-000062410000}"/>
    <cellStyle name="Normal 2 2 7 3 2 3" xfId="7035" xr:uid="{00000000-0005-0000-0000-000063410000}"/>
    <cellStyle name="Normal 2 2 7 3 2 3 2" xfId="7036" xr:uid="{00000000-0005-0000-0000-000064410000}"/>
    <cellStyle name="Normal 2 2 7 3 2 3 2 2" xfId="35631" xr:uid="{00000000-0005-0000-0000-000065410000}"/>
    <cellStyle name="Normal 2 2 7 3 2 3 3" xfId="7037" xr:uid="{00000000-0005-0000-0000-000066410000}"/>
    <cellStyle name="Normal 2 2 7 3 2 3 3 2" xfId="35632" xr:uid="{00000000-0005-0000-0000-000067410000}"/>
    <cellStyle name="Normal 2 2 7 3 2 3 4" xfId="35633" xr:uid="{00000000-0005-0000-0000-000068410000}"/>
    <cellStyle name="Normal 2 2 7 3 2 4" xfId="7038" xr:uid="{00000000-0005-0000-0000-000069410000}"/>
    <cellStyle name="Normal 2 2 7 3 2 4 2" xfId="7039" xr:uid="{00000000-0005-0000-0000-00006A410000}"/>
    <cellStyle name="Normal 2 2 7 3 2 4 2 2" xfId="35634" xr:uid="{00000000-0005-0000-0000-00006B410000}"/>
    <cellStyle name="Normal 2 2 7 3 2 4 3" xfId="35635" xr:uid="{00000000-0005-0000-0000-00006C410000}"/>
    <cellStyle name="Normal 2 2 7 3 2 5" xfId="7040" xr:uid="{00000000-0005-0000-0000-00006D410000}"/>
    <cellStyle name="Normal 2 2 7 3 2 5 2" xfId="35636" xr:uid="{00000000-0005-0000-0000-00006E410000}"/>
    <cellStyle name="Normal 2 2 7 3 2 6" xfId="7041" xr:uid="{00000000-0005-0000-0000-00006F410000}"/>
    <cellStyle name="Normal 2 2 7 3 2 6 2" xfId="35637" xr:uid="{00000000-0005-0000-0000-000070410000}"/>
    <cellStyle name="Normal 2 2 7 3 2 7" xfId="35638" xr:uid="{00000000-0005-0000-0000-000071410000}"/>
    <cellStyle name="Normal 2 2 7 3 2 7 2" xfId="35639" xr:uid="{00000000-0005-0000-0000-000072410000}"/>
    <cellStyle name="Normal 2 2 7 3 2 8" xfId="35640" xr:uid="{00000000-0005-0000-0000-000073410000}"/>
    <cellStyle name="Normal 2 2 7 3 2 9" xfId="35641" xr:uid="{00000000-0005-0000-0000-000074410000}"/>
    <cellStyle name="Normal 2 2 7 3 3" xfId="7042" xr:uid="{00000000-0005-0000-0000-000075410000}"/>
    <cellStyle name="Normal 2 2 7 3 3 2" xfId="7043" xr:uid="{00000000-0005-0000-0000-000076410000}"/>
    <cellStyle name="Normal 2 2 7 3 3 2 2" xfId="7044" xr:uid="{00000000-0005-0000-0000-000077410000}"/>
    <cellStyle name="Normal 2 2 7 3 3 2 2 2" xfId="35642" xr:uid="{00000000-0005-0000-0000-000078410000}"/>
    <cellStyle name="Normal 2 2 7 3 3 2 3" xfId="7045" xr:uid="{00000000-0005-0000-0000-000079410000}"/>
    <cellStyle name="Normal 2 2 7 3 3 2 3 2" xfId="35643" xr:uid="{00000000-0005-0000-0000-00007A410000}"/>
    <cellStyle name="Normal 2 2 7 3 3 2 4" xfId="35644" xr:uid="{00000000-0005-0000-0000-00007B410000}"/>
    <cellStyle name="Normal 2 2 7 3 3 3" xfId="7046" xr:uid="{00000000-0005-0000-0000-00007C410000}"/>
    <cellStyle name="Normal 2 2 7 3 3 3 2" xfId="35645" xr:uid="{00000000-0005-0000-0000-00007D410000}"/>
    <cellStyle name="Normal 2 2 7 3 3 4" xfId="7047" xr:uid="{00000000-0005-0000-0000-00007E410000}"/>
    <cellStyle name="Normal 2 2 7 3 3 4 2" xfId="35646" xr:uid="{00000000-0005-0000-0000-00007F410000}"/>
    <cellStyle name="Normal 2 2 7 3 3 5" xfId="7048" xr:uid="{00000000-0005-0000-0000-000080410000}"/>
    <cellStyle name="Normal 2 2 7 3 3 5 2" xfId="35647" xr:uid="{00000000-0005-0000-0000-000081410000}"/>
    <cellStyle name="Normal 2 2 7 3 3 6" xfId="35648" xr:uid="{00000000-0005-0000-0000-000082410000}"/>
    <cellStyle name="Normal 2 2 7 3 3 6 2" xfId="35649" xr:uid="{00000000-0005-0000-0000-000083410000}"/>
    <cellStyle name="Normal 2 2 7 3 3 7" xfId="35650" xr:uid="{00000000-0005-0000-0000-000084410000}"/>
    <cellStyle name="Normal 2 2 7 3 4" xfId="7049" xr:uid="{00000000-0005-0000-0000-000085410000}"/>
    <cellStyle name="Normal 2 2 7 3 4 2" xfId="7050" xr:uid="{00000000-0005-0000-0000-000086410000}"/>
    <cellStyle name="Normal 2 2 7 3 4 2 2" xfId="35651" xr:uid="{00000000-0005-0000-0000-000087410000}"/>
    <cellStyle name="Normal 2 2 7 3 4 3" xfId="7051" xr:uid="{00000000-0005-0000-0000-000088410000}"/>
    <cellStyle name="Normal 2 2 7 3 4 3 2" xfId="35652" xr:uid="{00000000-0005-0000-0000-000089410000}"/>
    <cellStyle name="Normal 2 2 7 3 4 4" xfId="35653" xr:uid="{00000000-0005-0000-0000-00008A410000}"/>
    <cellStyle name="Normal 2 2 7 3 5" xfId="7052" xr:uid="{00000000-0005-0000-0000-00008B410000}"/>
    <cellStyle name="Normal 2 2 7 3 5 2" xfId="7053" xr:uid="{00000000-0005-0000-0000-00008C410000}"/>
    <cellStyle name="Normal 2 2 7 3 5 2 2" xfId="35654" xr:uid="{00000000-0005-0000-0000-00008D410000}"/>
    <cellStyle name="Normal 2 2 7 3 5 3" xfId="35655" xr:uid="{00000000-0005-0000-0000-00008E410000}"/>
    <cellStyle name="Normal 2 2 7 3 6" xfId="7054" xr:uid="{00000000-0005-0000-0000-00008F410000}"/>
    <cellStyle name="Normal 2 2 7 3 6 2" xfId="35656" xr:uid="{00000000-0005-0000-0000-000090410000}"/>
    <cellStyle name="Normal 2 2 7 3 7" xfId="7055" xr:uid="{00000000-0005-0000-0000-000091410000}"/>
    <cellStyle name="Normal 2 2 7 3 7 2" xfId="35657" xr:uid="{00000000-0005-0000-0000-000092410000}"/>
    <cellStyle name="Normal 2 2 7 3 8" xfId="35658" xr:uid="{00000000-0005-0000-0000-000093410000}"/>
    <cellStyle name="Normal 2 2 7 3 8 2" xfId="35659" xr:uid="{00000000-0005-0000-0000-000094410000}"/>
    <cellStyle name="Normal 2 2 7 3 9" xfId="35660" xr:uid="{00000000-0005-0000-0000-000095410000}"/>
    <cellStyle name="Normal 2 2 7 30" xfId="7056" xr:uid="{00000000-0005-0000-0000-000096410000}"/>
    <cellStyle name="Normal 2 2 7 30 10" xfId="35661" xr:uid="{00000000-0005-0000-0000-000097410000}"/>
    <cellStyle name="Normal 2 2 7 30 11" xfId="35662" xr:uid="{00000000-0005-0000-0000-000098410000}"/>
    <cellStyle name="Normal 2 2 7 30 2" xfId="7057" xr:uid="{00000000-0005-0000-0000-000099410000}"/>
    <cellStyle name="Normal 2 2 7 30 2 10" xfId="35663" xr:uid="{00000000-0005-0000-0000-00009A410000}"/>
    <cellStyle name="Normal 2 2 7 30 2 2" xfId="7058" xr:uid="{00000000-0005-0000-0000-00009B410000}"/>
    <cellStyle name="Normal 2 2 7 30 2 2 2" xfId="7059" xr:uid="{00000000-0005-0000-0000-00009C410000}"/>
    <cellStyle name="Normal 2 2 7 30 2 2 2 2" xfId="7060" xr:uid="{00000000-0005-0000-0000-00009D410000}"/>
    <cellStyle name="Normal 2 2 7 30 2 2 2 2 2" xfId="35664" xr:uid="{00000000-0005-0000-0000-00009E410000}"/>
    <cellStyle name="Normal 2 2 7 30 2 2 2 3" xfId="7061" xr:uid="{00000000-0005-0000-0000-00009F410000}"/>
    <cellStyle name="Normal 2 2 7 30 2 2 2 3 2" xfId="35665" xr:uid="{00000000-0005-0000-0000-0000A0410000}"/>
    <cellStyle name="Normal 2 2 7 30 2 2 2 4" xfId="35666" xr:uid="{00000000-0005-0000-0000-0000A1410000}"/>
    <cellStyle name="Normal 2 2 7 30 2 2 3" xfId="7062" xr:uid="{00000000-0005-0000-0000-0000A2410000}"/>
    <cellStyle name="Normal 2 2 7 30 2 2 3 2" xfId="35667" xr:uid="{00000000-0005-0000-0000-0000A3410000}"/>
    <cellStyle name="Normal 2 2 7 30 2 2 4" xfId="7063" xr:uid="{00000000-0005-0000-0000-0000A4410000}"/>
    <cellStyle name="Normal 2 2 7 30 2 2 4 2" xfId="35668" xr:uid="{00000000-0005-0000-0000-0000A5410000}"/>
    <cellStyle name="Normal 2 2 7 30 2 2 5" xfId="7064" xr:uid="{00000000-0005-0000-0000-0000A6410000}"/>
    <cellStyle name="Normal 2 2 7 30 2 2 5 2" xfId="35669" xr:uid="{00000000-0005-0000-0000-0000A7410000}"/>
    <cellStyle name="Normal 2 2 7 30 2 2 6" xfId="35670" xr:uid="{00000000-0005-0000-0000-0000A8410000}"/>
    <cellStyle name="Normal 2 2 7 30 2 2 6 2" xfId="35671" xr:uid="{00000000-0005-0000-0000-0000A9410000}"/>
    <cellStyle name="Normal 2 2 7 30 2 2 7" xfId="35672" xr:uid="{00000000-0005-0000-0000-0000AA410000}"/>
    <cellStyle name="Normal 2 2 7 30 2 3" xfId="7065" xr:uid="{00000000-0005-0000-0000-0000AB410000}"/>
    <cellStyle name="Normal 2 2 7 30 2 3 2" xfId="7066" xr:uid="{00000000-0005-0000-0000-0000AC410000}"/>
    <cellStyle name="Normal 2 2 7 30 2 3 2 2" xfId="35673" xr:uid="{00000000-0005-0000-0000-0000AD410000}"/>
    <cellStyle name="Normal 2 2 7 30 2 3 3" xfId="7067" xr:uid="{00000000-0005-0000-0000-0000AE410000}"/>
    <cellStyle name="Normal 2 2 7 30 2 3 3 2" xfId="35674" xr:uid="{00000000-0005-0000-0000-0000AF410000}"/>
    <cellStyle name="Normal 2 2 7 30 2 3 4" xfId="35675" xr:uid="{00000000-0005-0000-0000-0000B0410000}"/>
    <cellStyle name="Normal 2 2 7 30 2 4" xfId="7068" xr:uid="{00000000-0005-0000-0000-0000B1410000}"/>
    <cellStyle name="Normal 2 2 7 30 2 4 2" xfId="7069" xr:uid="{00000000-0005-0000-0000-0000B2410000}"/>
    <cellStyle name="Normal 2 2 7 30 2 4 2 2" xfId="35676" xr:uid="{00000000-0005-0000-0000-0000B3410000}"/>
    <cellStyle name="Normal 2 2 7 30 2 4 3" xfId="35677" xr:uid="{00000000-0005-0000-0000-0000B4410000}"/>
    <cellStyle name="Normal 2 2 7 30 2 5" xfId="7070" xr:uid="{00000000-0005-0000-0000-0000B5410000}"/>
    <cellStyle name="Normal 2 2 7 30 2 5 2" xfId="35678" xr:uid="{00000000-0005-0000-0000-0000B6410000}"/>
    <cellStyle name="Normal 2 2 7 30 2 6" xfId="7071" xr:uid="{00000000-0005-0000-0000-0000B7410000}"/>
    <cellStyle name="Normal 2 2 7 30 2 6 2" xfId="35679" xr:uid="{00000000-0005-0000-0000-0000B8410000}"/>
    <cellStyle name="Normal 2 2 7 30 2 7" xfId="35680" xr:uid="{00000000-0005-0000-0000-0000B9410000}"/>
    <cellStyle name="Normal 2 2 7 30 2 7 2" xfId="35681" xr:uid="{00000000-0005-0000-0000-0000BA410000}"/>
    <cellStyle name="Normal 2 2 7 30 2 8" xfId="35682" xr:uid="{00000000-0005-0000-0000-0000BB410000}"/>
    <cellStyle name="Normal 2 2 7 30 2 9" xfId="35683" xr:uid="{00000000-0005-0000-0000-0000BC410000}"/>
    <cellStyle name="Normal 2 2 7 30 3" xfId="7072" xr:uid="{00000000-0005-0000-0000-0000BD410000}"/>
    <cellStyle name="Normal 2 2 7 30 3 2" xfId="7073" xr:uid="{00000000-0005-0000-0000-0000BE410000}"/>
    <cellStyle name="Normal 2 2 7 30 3 2 2" xfId="7074" xr:uid="{00000000-0005-0000-0000-0000BF410000}"/>
    <cellStyle name="Normal 2 2 7 30 3 2 2 2" xfId="35684" xr:uid="{00000000-0005-0000-0000-0000C0410000}"/>
    <cellStyle name="Normal 2 2 7 30 3 2 3" xfId="7075" xr:uid="{00000000-0005-0000-0000-0000C1410000}"/>
    <cellStyle name="Normal 2 2 7 30 3 2 3 2" xfId="35685" xr:uid="{00000000-0005-0000-0000-0000C2410000}"/>
    <cellStyle name="Normal 2 2 7 30 3 2 4" xfId="35686" xr:uid="{00000000-0005-0000-0000-0000C3410000}"/>
    <cellStyle name="Normal 2 2 7 30 3 3" xfId="7076" xr:uid="{00000000-0005-0000-0000-0000C4410000}"/>
    <cellStyle name="Normal 2 2 7 30 3 3 2" xfId="35687" xr:uid="{00000000-0005-0000-0000-0000C5410000}"/>
    <cellStyle name="Normal 2 2 7 30 3 4" xfId="7077" xr:uid="{00000000-0005-0000-0000-0000C6410000}"/>
    <cellStyle name="Normal 2 2 7 30 3 4 2" xfId="35688" xr:uid="{00000000-0005-0000-0000-0000C7410000}"/>
    <cellStyle name="Normal 2 2 7 30 3 5" xfId="7078" xr:uid="{00000000-0005-0000-0000-0000C8410000}"/>
    <cellStyle name="Normal 2 2 7 30 3 5 2" xfId="35689" xr:uid="{00000000-0005-0000-0000-0000C9410000}"/>
    <cellStyle name="Normal 2 2 7 30 3 6" xfId="35690" xr:uid="{00000000-0005-0000-0000-0000CA410000}"/>
    <cellStyle name="Normal 2 2 7 30 3 6 2" xfId="35691" xr:uid="{00000000-0005-0000-0000-0000CB410000}"/>
    <cellStyle name="Normal 2 2 7 30 3 7" xfId="35692" xr:uid="{00000000-0005-0000-0000-0000CC410000}"/>
    <cellStyle name="Normal 2 2 7 30 4" xfId="7079" xr:uid="{00000000-0005-0000-0000-0000CD410000}"/>
    <cellStyle name="Normal 2 2 7 30 4 2" xfId="7080" xr:uid="{00000000-0005-0000-0000-0000CE410000}"/>
    <cellStyle name="Normal 2 2 7 30 4 2 2" xfId="35693" xr:uid="{00000000-0005-0000-0000-0000CF410000}"/>
    <cellStyle name="Normal 2 2 7 30 4 3" xfId="7081" xr:uid="{00000000-0005-0000-0000-0000D0410000}"/>
    <cellStyle name="Normal 2 2 7 30 4 3 2" xfId="35694" xr:uid="{00000000-0005-0000-0000-0000D1410000}"/>
    <cellStyle name="Normal 2 2 7 30 4 4" xfId="35695" xr:uid="{00000000-0005-0000-0000-0000D2410000}"/>
    <cellStyle name="Normal 2 2 7 30 5" xfId="7082" xr:uid="{00000000-0005-0000-0000-0000D3410000}"/>
    <cellStyle name="Normal 2 2 7 30 5 2" xfId="7083" xr:uid="{00000000-0005-0000-0000-0000D4410000}"/>
    <cellStyle name="Normal 2 2 7 30 5 2 2" xfId="35696" xr:uid="{00000000-0005-0000-0000-0000D5410000}"/>
    <cellStyle name="Normal 2 2 7 30 5 3" xfId="35697" xr:uid="{00000000-0005-0000-0000-0000D6410000}"/>
    <cellStyle name="Normal 2 2 7 30 6" xfId="7084" xr:uid="{00000000-0005-0000-0000-0000D7410000}"/>
    <cellStyle name="Normal 2 2 7 30 6 2" xfId="35698" xr:uid="{00000000-0005-0000-0000-0000D8410000}"/>
    <cellStyle name="Normal 2 2 7 30 7" xfId="7085" xr:uid="{00000000-0005-0000-0000-0000D9410000}"/>
    <cellStyle name="Normal 2 2 7 30 7 2" xfId="35699" xr:uid="{00000000-0005-0000-0000-0000DA410000}"/>
    <cellStyle name="Normal 2 2 7 30 8" xfId="35700" xr:uid="{00000000-0005-0000-0000-0000DB410000}"/>
    <cellStyle name="Normal 2 2 7 30 8 2" xfId="35701" xr:uid="{00000000-0005-0000-0000-0000DC410000}"/>
    <cellStyle name="Normal 2 2 7 30 9" xfId="35702" xr:uid="{00000000-0005-0000-0000-0000DD410000}"/>
    <cellStyle name="Normal 2 2 7 31" xfId="7086" xr:uid="{00000000-0005-0000-0000-0000DE410000}"/>
    <cellStyle name="Normal 2 2 7 31 10" xfId="35703" xr:uid="{00000000-0005-0000-0000-0000DF410000}"/>
    <cellStyle name="Normal 2 2 7 31 2" xfId="7087" xr:uid="{00000000-0005-0000-0000-0000E0410000}"/>
    <cellStyle name="Normal 2 2 7 31 2 2" xfId="7088" xr:uid="{00000000-0005-0000-0000-0000E1410000}"/>
    <cellStyle name="Normal 2 2 7 31 2 2 2" xfId="7089" xr:uid="{00000000-0005-0000-0000-0000E2410000}"/>
    <cellStyle name="Normal 2 2 7 31 2 2 2 2" xfId="35704" xr:uid="{00000000-0005-0000-0000-0000E3410000}"/>
    <cellStyle name="Normal 2 2 7 31 2 2 3" xfId="7090" xr:uid="{00000000-0005-0000-0000-0000E4410000}"/>
    <cellStyle name="Normal 2 2 7 31 2 2 3 2" xfId="35705" xr:uid="{00000000-0005-0000-0000-0000E5410000}"/>
    <cellStyle name="Normal 2 2 7 31 2 2 4" xfId="35706" xr:uid="{00000000-0005-0000-0000-0000E6410000}"/>
    <cellStyle name="Normal 2 2 7 31 2 3" xfId="7091" xr:uid="{00000000-0005-0000-0000-0000E7410000}"/>
    <cellStyle name="Normal 2 2 7 31 2 3 2" xfId="35707" xr:uid="{00000000-0005-0000-0000-0000E8410000}"/>
    <cellStyle name="Normal 2 2 7 31 2 4" xfId="7092" xr:uid="{00000000-0005-0000-0000-0000E9410000}"/>
    <cellStyle name="Normal 2 2 7 31 2 4 2" xfId="35708" xr:uid="{00000000-0005-0000-0000-0000EA410000}"/>
    <cellStyle name="Normal 2 2 7 31 2 5" xfId="7093" xr:uid="{00000000-0005-0000-0000-0000EB410000}"/>
    <cellStyle name="Normal 2 2 7 31 2 5 2" xfId="35709" xr:uid="{00000000-0005-0000-0000-0000EC410000}"/>
    <cellStyle name="Normal 2 2 7 31 2 6" xfId="35710" xr:uid="{00000000-0005-0000-0000-0000ED410000}"/>
    <cellStyle name="Normal 2 2 7 31 2 6 2" xfId="35711" xr:uid="{00000000-0005-0000-0000-0000EE410000}"/>
    <cellStyle name="Normal 2 2 7 31 2 7" xfId="35712" xr:uid="{00000000-0005-0000-0000-0000EF410000}"/>
    <cellStyle name="Normal 2 2 7 31 3" xfId="7094" xr:uid="{00000000-0005-0000-0000-0000F0410000}"/>
    <cellStyle name="Normal 2 2 7 31 3 2" xfId="7095" xr:uid="{00000000-0005-0000-0000-0000F1410000}"/>
    <cellStyle name="Normal 2 2 7 31 3 2 2" xfId="35713" xr:uid="{00000000-0005-0000-0000-0000F2410000}"/>
    <cellStyle name="Normal 2 2 7 31 3 3" xfId="7096" xr:uid="{00000000-0005-0000-0000-0000F3410000}"/>
    <cellStyle name="Normal 2 2 7 31 3 3 2" xfId="35714" xr:uid="{00000000-0005-0000-0000-0000F4410000}"/>
    <cellStyle name="Normal 2 2 7 31 3 4" xfId="35715" xr:uid="{00000000-0005-0000-0000-0000F5410000}"/>
    <cellStyle name="Normal 2 2 7 31 4" xfId="7097" xr:uid="{00000000-0005-0000-0000-0000F6410000}"/>
    <cellStyle name="Normal 2 2 7 31 4 2" xfId="7098" xr:uid="{00000000-0005-0000-0000-0000F7410000}"/>
    <cellStyle name="Normal 2 2 7 31 4 2 2" xfId="35716" xr:uid="{00000000-0005-0000-0000-0000F8410000}"/>
    <cellStyle name="Normal 2 2 7 31 4 3" xfId="35717" xr:uid="{00000000-0005-0000-0000-0000F9410000}"/>
    <cellStyle name="Normal 2 2 7 31 5" xfId="7099" xr:uid="{00000000-0005-0000-0000-0000FA410000}"/>
    <cellStyle name="Normal 2 2 7 31 5 2" xfId="35718" xr:uid="{00000000-0005-0000-0000-0000FB410000}"/>
    <cellStyle name="Normal 2 2 7 31 6" xfId="7100" xr:uid="{00000000-0005-0000-0000-0000FC410000}"/>
    <cellStyle name="Normal 2 2 7 31 6 2" xfId="35719" xr:uid="{00000000-0005-0000-0000-0000FD410000}"/>
    <cellStyle name="Normal 2 2 7 31 7" xfId="35720" xr:uid="{00000000-0005-0000-0000-0000FE410000}"/>
    <cellStyle name="Normal 2 2 7 31 7 2" xfId="35721" xr:uid="{00000000-0005-0000-0000-0000FF410000}"/>
    <cellStyle name="Normal 2 2 7 31 8" xfId="35722" xr:uid="{00000000-0005-0000-0000-000000420000}"/>
    <cellStyle name="Normal 2 2 7 31 9" xfId="35723" xr:uid="{00000000-0005-0000-0000-000001420000}"/>
    <cellStyle name="Normal 2 2 7 32" xfId="7101" xr:uid="{00000000-0005-0000-0000-000002420000}"/>
    <cellStyle name="Normal 2 2 7 32 2" xfId="7102" xr:uid="{00000000-0005-0000-0000-000003420000}"/>
    <cellStyle name="Normal 2 2 7 32 2 2" xfId="7103" xr:uid="{00000000-0005-0000-0000-000004420000}"/>
    <cellStyle name="Normal 2 2 7 32 2 2 2" xfId="35724" xr:uid="{00000000-0005-0000-0000-000005420000}"/>
    <cellStyle name="Normal 2 2 7 32 2 3" xfId="7104" xr:uid="{00000000-0005-0000-0000-000006420000}"/>
    <cellStyle name="Normal 2 2 7 32 2 3 2" xfId="35725" xr:uid="{00000000-0005-0000-0000-000007420000}"/>
    <cellStyle name="Normal 2 2 7 32 2 4" xfId="35726" xr:uid="{00000000-0005-0000-0000-000008420000}"/>
    <cellStyle name="Normal 2 2 7 32 3" xfId="7105" xr:uid="{00000000-0005-0000-0000-000009420000}"/>
    <cellStyle name="Normal 2 2 7 32 3 2" xfId="35727" xr:uid="{00000000-0005-0000-0000-00000A420000}"/>
    <cellStyle name="Normal 2 2 7 32 4" xfId="7106" xr:uid="{00000000-0005-0000-0000-00000B420000}"/>
    <cellStyle name="Normal 2 2 7 32 4 2" xfId="35728" xr:uid="{00000000-0005-0000-0000-00000C420000}"/>
    <cellStyle name="Normal 2 2 7 32 5" xfId="7107" xr:uid="{00000000-0005-0000-0000-00000D420000}"/>
    <cellStyle name="Normal 2 2 7 32 5 2" xfId="35729" xr:uid="{00000000-0005-0000-0000-00000E420000}"/>
    <cellStyle name="Normal 2 2 7 32 6" xfId="35730" xr:uid="{00000000-0005-0000-0000-00000F420000}"/>
    <cellStyle name="Normal 2 2 7 32 6 2" xfId="35731" xr:uid="{00000000-0005-0000-0000-000010420000}"/>
    <cellStyle name="Normal 2 2 7 32 7" xfId="35732" xr:uid="{00000000-0005-0000-0000-000011420000}"/>
    <cellStyle name="Normal 2 2 7 33" xfId="7108" xr:uid="{00000000-0005-0000-0000-000012420000}"/>
    <cellStyle name="Normal 2 2 7 33 2" xfId="7109" xr:uid="{00000000-0005-0000-0000-000013420000}"/>
    <cellStyle name="Normal 2 2 7 33 2 2" xfId="35733" xr:uid="{00000000-0005-0000-0000-000014420000}"/>
    <cellStyle name="Normal 2 2 7 33 3" xfId="7110" xr:uid="{00000000-0005-0000-0000-000015420000}"/>
    <cellStyle name="Normal 2 2 7 33 3 2" xfId="35734" xr:uid="{00000000-0005-0000-0000-000016420000}"/>
    <cellStyle name="Normal 2 2 7 33 4" xfId="35735" xr:uid="{00000000-0005-0000-0000-000017420000}"/>
    <cellStyle name="Normal 2 2 7 34" xfId="7111" xr:uid="{00000000-0005-0000-0000-000018420000}"/>
    <cellStyle name="Normal 2 2 7 34 2" xfId="7112" xr:uid="{00000000-0005-0000-0000-000019420000}"/>
    <cellStyle name="Normal 2 2 7 34 2 2" xfId="35736" xr:uid="{00000000-0005-0000-0000-00001A420000}"/>
    <cellStyle name="Normal 2 2 7 34 3" xfId="35737" xr:uid="{00000000-0005-0000-0000-00001B420000}"/>
    <cellStyle name="Normal 2 2 7 35" xfId="7113" xr:uid="{00000000-0005-0000-0000-00001C420000}"/>
    <cellStyle name="Normal 2 2 7 35 2" xfId="35738" xr:uid="{00000000-0005-0000-0000-00001D420000}"/>
    <cellStyle name="Normal 2 2 7 36" xfId="7114" xr:uid="{00000000-0005-0000-0000-00001E420000}"/>
    <cellStyle name="Normal 2 2 7 36 2" xfId="35739" xr:uid="{00000000-0005-0000-0000-00001F420000}"/>
    <cellStyle name="Normal 2 2 7 37" xfId="35740" xr:uid="{00000000-0005-0000-0000-000020420000}"/>
    <cellStyle name="Normal 2 2 7 37 2" xfId="35741" xr:uid="{00000000-0005-0000-0000-000021420000}"/>
    <cellStyle name="Normal 2 2 7 38" xfId="35742" xr:uid="{00000000-0005-0000-0000-000022420000}"/>
    <cellStyle name="Normal 2 2 7 39" xfId="35743" xr:uid="{00000000-0005-0000-0000-000023420000}"/>
    <cellStyle name="Normal 2 2 7 4" xfId="7115" xr:uid="{00000000-0005-0000-0000-000024420000}"/>
    <cellStyle name="Normal 2 2 7 4 10" xfId="35744" xr:uid="{00000000-0005-0000-0000-000025420000}"/>
    <cellStyle name="Normal 2 2 7 4 11" xfId="35745" xr:uid="{00000000-0005-0000-0000-000026420000}"/>
    <cellStyle name="Normal 2 2 7 4 2" xfId="7116" xr:uid="{00000000-0005-0000-0000-000027420000}"/>
    <cellStyle name="Normal 2 2 7 4 2 10" xfId="35746" xr:uid="{00000000-0005-0000-0000-000028420000}"/>
    <cellStyle name="Normal 2 2 7 4 2 2" xfId="7117" xr:uid="{00000000-0005-0000-0000-000029420000}"/>
    <cellStyle name="Normal 2 2 7 4 2 2 2" xfId="7118" xr:uid="{00000000-0005-0000-0000-00002A420000}"/>
    <cellStyle name="Normal 2 2 7 4 2 2 2 2" xfId="7119" xr:uid="{00000000-0005-0000-0000-00002B420000}"/>
    <cellStyle name="Normal 2 2 7 4 2 2 2 2 2" xfId="35747" xr:uid="{00000000-0005-0000-0000-00002C420000}"/>
    <cellStyle name="Normal 2 2 7 4 2 2 2 3" xfId="7120" xr:uid="{00000000-0005-0000-0000-00002D420000}"/>
    <cellStyle name="Normal 2 2 7 4 2 2 2 3 2" xfId="35748" xr:uid="{00000000-0005-0000-0000-00002E420000}"/>
    <cellStyle name="Normal 2 2 7 4 2 2 2 4" xfId="35749" xr:uid="{00000000-0005-0000-0000-00002F420000}"/>
    <cellStyle name="Normal 2 2 7 4 2 2 3" xfId="7121" xr:uid="{00000000-0005-0000-0000-000030420000}"/>
    <cellStyle name="Normal 2 2 7 4 2 2 3 2" xfId="35750" xr:uid="{00000000-0005-0000-0000-000031420000}"/>
    <cellStyle name="Normal 2 2 7 4 2 2 4" xfId="7122" xr:uid="{00000000-0005-0000-0000-000032420000}"/>
    <cellStyle name="Normal 2 2 7 4 2 2 4 2" xfId="35751" xr:uid="{00000000-0005-0000-0000-000033420000}"/>
    <cellStyle name="Normal 2 2 7 4 2 2 5" xfId="7123" xr:uid="{00000000-0005-0000-0000-000034420000}"/>
    <cellStyle name="Normal 2 2 7 4 2 2 5 2" xfId="35752" xr:uid="{00000000-0005-0000-0000-000035420000}"/>
    <cellStyle name="Normal 2 2 7 4 2 2 6" xfId="35753" xr:uid="{00000000-0005-0000-0000-000036420000}"/>
    <cellStyle name="Normal 2 2 7 4 2 2 6 2" xfId="35754" xr:uid="{00000000-0005-0000-0000-000037420000}"/>
    <cellStyle name="Normal 2 2 7 4 2 2 7" xfId="35755" xr:uid="{00000000-0005-0000-0000-000038420000}"/>
    <cellStyle name="Normal 2 2 7 4 2 3" xfId="7124" xr:uid="{00000000-0005-0000-0000-000039420000}"/>
    <cellStyle name="Normal 2 2 7 4 2 3 2" xfId="7125" xr:uid="{00000000-0005-0000-0000-00003A420000}"/>
    <cellStyle name="Normal 2 2 7 4 2 3 2 2" xfId="35756" xr:uid="{00000000-0005-0000-0000-00003B420000}"/>
    <cellStyle name="Normal 2 2 7 4 2 3 3" xfId="7126" xr:uid="{00000000-0005-0000-0000-00003C420000}"/>
    <cellStyle name="Normal 2 2 7 4 2 3 3 2" xfId="35757" xr:uid="{00000000-0005-0000-0000-00003D420000}"/>
    <cellStyle name="Normal 2 2 7 4 2 3 4" xfId="35758" xr:uid="{00000000-0005-0000-0000-00003E420000}"/>
    <cellStyle name="Normal 2 2 7 4 2 4" xfId="7127" xr:uid="{00000000-0005-0000-0000-00003F420000}"/>
    <cellStyle name="Normal 2 2 7 4 2 4 2" xfId="7128" xr:uid="{00000000-0005-0000-0000-000040420000}"/>
    <cellStyle name="Normal 2 2 7 4 2 4 2 2" xfId="35759" xr:uid="{00000000-0005-0000-0000-000041420000}"/>
    <cellStyle name="Normal 2 2 7 4 2 4 3" xfId="35760" xr:uid="{00000000-0005-0000-0000-000042420000}"/>
    <cellStyle name="Normal 2 2 7 4 2 5" xfId="7129" xr:uid="{00000000-0005-0000-0000-000043420000}"/>
    <cellStyle name="Normal 2 2 7 4 2 5 2" xfId="35761" xr:uid="{00000000-0005-0000-0000-000044420000}"/>
    <cellStyle name="Normal 2 2 7 4 2 6" xfId="7130" xr:uid="{00000000-0005-0000-0000-000045420000}"/>
    <cellStyle name="Normal 2 2 7 4 2 6 2" xfId="35762" xr:uid="{00000000-0005-0000-0000-000046420000}"/>
    <cellStyle name="Normal 2 2 7 4 2 7" xfId="35763" xr:uid="{00000000-0005-0000-0000-000047420000}"/>
    <cellStyle name="Normal 2 2 7 4 2 7 2" xfId="35764" xr:uid="{00000000-0005-0000-0000-000048420000}"/>
    <cellStyle name="Normal 2 2 7 4 2 8" xfId="35765" xr:uid="{00000000-0005-0000-0000-000049420000}"/>
    <cellStyle name="Normal 2 2 7 4 2 9" xfId="35766" xr:uid="{00000000-0005-0000-0000-00004A420000}"/>
    <cellStyle name="Normal 2 2 7 4 3" xfId="7131" xr:uid="{00000000-0005-0000-0000-00004B420000}"/>
    <cellStyle name="Normal 2 2 7 4 3 2" xfId="7132" xr:uid="{00000000-0005-0000-0000-00004C420000}"/>
    <cellStyle name="Normal 2 2 7 4 3 2 2" xfId="7133" xr:uid="{00000000-0005-0000-0000-00004D420000}"/>
    <cellStyle name="Normal 2 2 7 4 3 2 2 2" xfId="35767" xr:uid="{00000000-0005-0000-0000-00004E420000}"/>
    <cellStyle name="Normal 2 2 7 4 3 2 3" xfId="7134" xr:uid="{00000000-0005-0000-0000-00004F420000}"/>
    <cellStyle name="Normal 2 2 7 4 3 2 3 2" xfId="35768" xr:uid="{00000000-0005-0000-0000-000050420000}"/>
    <cellStyle name="Normal 2 2 7 4 3 2 4" xfId="35769" xr:uid="{00000000-0005-0000-0000-000051420000}"/>
    <cellStyle name="Normal 2 2 7 4 3 3" xfId="7135" xr:uid="{00000000-0005-0000-0000-000052420000}"/>
    <cellStyle name="Normal 2 2 7 4 3 3 2" xfId="35770" xr:uid="{00000000-0005-0000-0000-000053420000}"/>
    <cellStyle name="Normal 2 2 7 4 3 4" xfId="7136" xr:uid="{00000000-0005-0000-0000-000054420000}"/>
    <cellStyle name="Normal 2 2 7 4 3 4 2" xfId="35771" xr:uid="{00000000-0005-0000-0000-000055420000}"/>
    <cellStyle name="Normal 2 2 7 4 3 5" xfId="7137" xr:uid="{00000000-0005-0000-0000-000056420000}"/>
    <cellStyle name="Normal 2 2 7 4 3 5 2" xfId="35772" xr:uid="{00000000-0005-0000-0000-000057420000}"/>
    <cellStyle name="Normal 2 2 7 4 3 6" xfId="35773" xr:uid="{00000000-0005-0000-0000-000058420000}"/>
    <cellStyle name="Normal 2 2 7 4 3 6 2" xfId="35774" xr:uid="{00000000-0005-0000-0000-000059420000}"/>
    <cellStyle name="Normal 2 2 7 4 3 7" xfId="35775" xr:uid="{00000000-0005-0000-0000-00005A420000}"/>
    <cellStyle name="Normal 2 2 7 4 4" xfId="7138" xr:uid="{00000000-0005-0000-0000-00005B420000}"/>
    <cellStyle name="Normal 2 2 7 4 4 2" xfId="7139" xr:uid="{00000000-0005-0000-0000-00005C420000}"/>
    <cellStyle name="Normal 2 2 7 4 4 2 2" xfId="35776" xr:uid="{00000000-0005-0000-0000-00005D420000}"/>
    <cellStyle name="Normal 2 2 7 4 4 3" xfId="7140" xr:uid="{00000000-0005-0000-0000-00005E420000}"/>
    <cellStyle name="Normal 2 2 7 4 4 3 2" xfId="35777" xr:uid="{00000000-0005-0000-0000-00005F420000}"/>
    <cellStyle name="Normal 2 2 7 4 4 4" xfId="35778" xr:uid="{00000000-0005-0000-0000-000060420000}"/>
    <cellStyle name="Normal 2 2 7 4 5" xfId="7141" xr:uid="{00000000-0005-0000-0000-000061420000}"/>
    <cellStyle name="Normal 2 2 7 4 5 2" xfId="7142" xr:uid="{00000000-0005-0000-0000-000062420000}"/>
    <cellStyle name="Normal 2 2 7 4 5 2 2" xfId="35779" xr:uid="{00000000-0005-0000-0000-000063420000}"/>
    <cellStyle name="Normal 2 2 7 4 5 3" xfId="35780" xr:uid="{00000000-0005-0000-0000-000064420000}"/>
    <cellStyle name="Normal 2 2 7 4 6" xfId="7143" xr:uid="{00000000-0005-0000-0000-000065420000}"/>
    <cellStyle name="Normal 2 2 7 4 6 2" xfId="35781" xr:uid="{00000000-0005-0000-0000-000066420000}"/>
    <cellStyle name="Normal 2 2 7 4 7" xfId="7144" xr:uid="{00000000-0005-0000-0000-000067420000}"/>
    <cellStyle name="Normal 2 2 7 4 7 2" xfId="35782" xr:uid="{00000000-0005-0000-0000-000068420000}"/>
    <cellStyle name="Normal 2 2 7 4 8" xfId="35783" xr:uid="{00000000-0005-0000-0000-000069420000}"/>
    <cellStyle name="Normal 2 2 7 4 8 2" xfId="35784" xr:uid="{00000000-0005-0000-0000-00006A420000}"/>
    <cellStyle name="Normal 2 2 7 4 9" xfId="35785" xr:uid="{00000000-0005-0000-0000-00006B420000}"/>
    <cellStyle name="Normal 2 2 7 40" xfId="35786" xr:uid="{00000000-0005-0000-0000-00006C420000}"/>
    <cellStyle name="Normal 2 2 7 5" xfId="7145" xr:uid="{00000000-0005-0000-0000-00006D420000}"/>
    <cellStyle name="Normal 2 2 7 5 10" xfId="35787" xr:uid="{00000000-0005-0000-0000-00006E420000}"/>
    <cellStyle name="Normal 2 2 7 5 11" xfId="35788" xr:uid="{00000000-0005-0000-0000-00006F420000}"/>
    <cellStyle name="Normal 2 2 7 5 2" xfId="7146" xr:uid="{00000000-0005-0000-0000-000070420000}"/>
    <cellStyle name="Normal 2 2 7 5 2 10" xfId="35789" xr:uid="{00000000-0005-0000-0000-000071420000}"/>
    <cellStyle name="Normal 2 2 7 5 2 2" xfId="7147" xr:uid="{00000000-0005-0000-0000-000072420000}"/>
    <cellStyle name="Normal 2 2 7 5 2 2 2" xfId="7148" xr:uid="{00000000-0005-0000-0000-000073420000}"/>
    <cellStyle name="Normal 2 2 7 5 2 2 2 2" xfId="7149" xr:uid="{00000000-0005-0000-0000-000074420000}"/>
    <cellStyle name="Normal 2 2 7 5 2 2 2 2 2" xfId="35790" xr:uid="{00000000-0005-0000-0000-000075420000}"/>
    <cellStyle name="Normal 2 2 7 5 2 2 2 3" xfId="7150" xr:uid="{00000000-0005-0000-0000-000076420000}"/>
    <cellStyle name="Normal 2 2 7 5 2 2 2 3 2" xfId="35791" xr:uid="{00000000-0005-0000-0000-000077420000}"/>
    <cellStyle name="Normal 2 2 7 5 2 2 2 4" xfId="35792" xr:uid="{00000000-0005-0000-0000-000078420000}"/>
    <cellStyle name="Normal 2 2 7 5 2 2 3" xfId="7151" xr:uid="{00000000-0005-0000-0000-000079420000}"/>
    <cellStyle name="Normal 2 2 7 5 2 2 3 2" xfId="35793" xr:uid="{00000000-0005-0000-0000-00007A420000}"/>
    <cellStyle name="Normal 2 2 7 5 2 2 4" xfId="7152" xr:uid="{00000000-0005-0000-0000-00007B420000}"/>
    <cellStyle name="Normal 2 2 7 5 2 2 4 2" xfId="35794" xr:uid="{00000000-0005-0000-0000-00007C420000}"/>
    <cellStyle name="Normal 2 2 7 5 2 2 5" xfId="7153" xr:uid="{00000000-0005-0000-0000-00007D420000}"/>
    <cellStyle name="Normal 2 2 7 5 2 2 5 2" xfId="35795" xr:uid="{00000000-0005-0000-0000-00007E420000}"/>
    <cellStyle name="Normal 2 2 7 5 2 2 6" xfId="35796" xr:uid="{00000000-0005-0000-0000-00007F420000}"/>
    <cellStyle name="Normal 2 2 7 5 2 2 6 2" xfId="35797" xr:uid="{00000000-0005-0000-0000-000080420000}"/>
    <cellStyle name="Normal 2 2 7 5 2 2 7" xfId="35798" xr:uid="{00000000-0005-0000-0000-000081420000}"/>
    <cellStyle name="Normal 2 2 7 5 2 3" xfId="7154" xr:uid="{00000000-0005-0000-0000-000082420000}"/>
    <cellStyle name="Normal 2 2 7 5 2 3 2" xfId="7155" xr:uid="{00000000-0005-0000-0000-000083420000}"/>
    <cellStyle name="Normal 2 2 7 5 2 3 2 2" xfId="35799" xr:uid="{00000000-0005-0000-0000-000084420000}"/>
    <cellStyle name="Normal 2 2 7 5 2 3 3" xfId="7156" xr:uid="{00000000-0005-0000-0000-000085420000}"/>
    <cellStyle name="Normal 2 2 7 5 2 3 3 2" xfId="35800" xr:uid="{00000000-0005-0000-0000-000086420000}"/>
    <cellStyle name="Normal 2 2 7 5 2 3 4" xfId="35801" xr:uid="{00000000-0005-0000-0000-000087420000}"/>
    <cellStyle name="Normal 2 2 7 5 2 4" xfId="7157" xr:uid="{00000000-0005-0000-0000-000088420000}"/>
    <cellStyle name="Normal 2 2 7 5 2 4 2" xfId="7158" xr:uid="{00000000-0005-0000-0000-000089420000}"/>
    <cellStyle name="Normal 2 2 7 5 2 4 2 2" xfId="35802" xr:uid="{00000000-0005-0000-0000-00008A420000}"/>
    <cellStyle name="Normal 2 2 7 5 2 4 3" xfId="35803" xr:uid="{00000000-0005-0000-0000-00008B420000}"/>
    <cellStyle name="Normal 2 2 7 5 2 5" xfId="7159" xr:uid="{00000000-0005-0000-0000-00008C420000}"/>
    <cellStyle name="Normal 2 2 7 5 2 5 2" xfId="35804" xr:uid="{00000000-0005-0000-0000-00008D420000}"/>
    <cellStyle name="Normal 2 2 7 5 2 6" xfId="7160" xr:uid="{00000000-0005-0000-0000-00008E420000}"/>
    <cellStyle name="Normal 2 2 7 5 2 6 2" xfId="35805" xr:uid="{00000000-0005-0000-0000-00008F420000}"/>
    <cellStyle name="Normal 2 2 7 5 2 7" xfId="35806" xr:uid="{00000000-0005-0000-0000-000090420000}"/>
    <cellStyle name="Normal 2 2 7 5 2 7 2" xfId="35807" xr:uid="{00000000-0005-0000-0000-000091420000}"/>
    <cellStyle name="Normal 2 2 7 5 2 8" xfId="35808" xr:uid="{00000000-0005-0000-0000-000092420000}"/>
    <cellStyle name="Normal 2 2 7 5 2 9" xfId="35809" xr:uid="{00000000-0005-0000-0000-000093420000}"/>
    <cellStyle name="Normal 2 2 7 5 3" xfId="7161" xr:uid="{00000000-0005-0000-0000-000094420000}"/>
    <cellStyle name="Normal 2 2 7 5 3 2" xfId="7162" xr:uid="{00000000-0005-0000-0000-000095420000}"/>
    <cellStyle name="Normal 2 2 7 5 3 2 2" xfId="7163" xr:uid="{00000000-0005-0000-0000-000096420000}"/>
    <cellStyle name="Normal 2 2 7 5 3 2 2 2" xfId="35810" xr:uid="{00000000-0005-0000-0000-000097420000}"/>
    <cellStyle name="Normal 2 2 7 5 3 2 3" xfId="7164" xr:uid="{00000000-0005-0000-0000-000098420000}"/>
    <cellStyle name="Normal 2 2 7 5 3 2 3 2" xfId="35811" xr:uid="{00000000-0005-0000-0000-000099420000}"/>
    <cellStyle name="Normal 2 2 7 5 3 2 4" xfId="35812" xr:uid="{00000000-0005-0000-0000-00009A420000}"/>
    <cellStyle name="Normal 2 2 7 5 3 3" xfId="7165" xr:uid="{00000000-0005-0000-0000-00009B420000}"/>
    <cellStyle name="Normal 2 2 7 5 3 3 2" xfId="35813" xr:uid="{00000000-0005-0000-0000-00009C420000}"/>
    <cellStyle name="Normal 2 2 7 5 3 4" xfId="7166" xr:uid="{00000000-0005-0000-0000-00009D420000}"/>
    <cellStyle name="Normal 2 2 7 5 3 4 2" xfId="35814" xr:uid="{00000000-0005-0000-0000-00009E420000}"/>
    <cellStyle name="Normal 2 2 7 5 3 5" xfId="7167" xr:uid="{00000000-0005-0000-0000-00009F420000}"/>
    <cellStyle name="Normal 2 2 7 5 3 5 2" xfId="35815" xr:uid="{00000000-0005-0000-0000-0000A0420000}"/>
    <cellStyle name="Normal 2 2 7 5 3 6" xfId="35816" xr:uid="{00000000-0005-0000-0000-0000A1420000}"/>
    <cellStyle name="Normal 2 2 7 5 3 6 2" xfId="35817" xr:uid="{00000000-0005-0000-0000-0000A2420000}"/>
    <cellStyle name="Normal 2 2 7 5 3 7" xfId="35818" xr:uid="{00000000-0005-0000-0000-0000A3420000}"/>
    <cellStyle name="Normal 2 2 7 5 4" xfId="7168" xr:uid="{00000000-0005-0000-0000-0000A4420000}"/>
    <cellStyle name="Normal 2 2 7 5 4 2" xfId="7169" xr:uid="{00000000-0005-0000-0000-0000A5420000}"/>
    <cellStyle name="Normal 2 2 7 5 4 2 2" xfId="35819" xr:uid="{00000000-0005-0000-0000-0000A6420000}"/>
    <cellStyle name="Normal 2 2 7 5 4 3" xfId="7170" xr:uid="{00000000-0005-0000-0000-0000A7420000}"/>
    <cellStyle name="Normal 2 2 7 5 4 3 2" xfId="35820" xr:uid="{00000000-0005-0000-0000-0000A8420000}"/>
    <cellStyle name="Normal 2 2 7 5 4 4" xfId="35821" xr:uid="{00000000-0005-0000-0000-0000A9420000}"/>
    <cellStyle name="Normal 2 2 7 5 5" xfId="7171" xr:uid="{00000000-0005-0000-0000-0000AA420000}"/>
    <cellStyle name="Normal 2 2 7 5 5 2" xfId="7172" xr:uid="{00000000-0005-0000-0000-0000AB420000}"/>
    <cellStyle name="Normal 2 2 7 5 5 2 2" xfId="35822" xr:uid="{00000000-0005-0000-0000-0000AC420000}"/>
    <cellStyle name="Normal 2 2 7 5 5 3" xfId="35823" xr:uid="{00000000-0005-0000-0000-0000AD420000}"/>
    <cellStyle name="Normal 2 2 7 5 6" xfId="7173" xr:uid="{00000000-0005-0000-0000-0000AE420000}"/>
    <cellStyle name="Normal 2 2 7 5 6 2" xfId="35824" xr:uid="{00000000-0005-0000-0000-0000AF420000}"/>
    <cellStyle name="Normal 2 2 7 5 7" xfId="7174" xr:uid="{00000000-0005-0000-0000-0000B0420000}"/>
    <cellStyle name="Normal 2 2 7 5 7 2" xfId="35825" xr:uid="{00000000-0005-0000-0000-0000B1420000}"/>
    <cellStyle name="Normal 2 2 7 5 8" xfId="35826" xr:uid="{00000000-0005-0000-0000-0000B2420000}"/>
    <cellStyle name="Normal 2 2 7 5 8 2" xfId="35827" xr:uid="{00000000-0005-0000-0000-0000B3420000}"/>
    <cellStyle name="Normal 2 2 7 5 9" xfId="35828" xr:uid="{00000000-0005-0000-0000-0000B4420000}"/>
    <cellStyle name="Normal 2 2 7 6" xfId="7175" xr:uid="{00000000-0005-0000-0000-0000B5420000}"/>
    <cellStyle name="Normal 2 2 7 6 10" xfId="35829" xr:uid="{00000000-0005-0000-0000-0000B6420000}"/>
    <cellStyle name="Normal 2 2 7 6 11" xfId="35830" xr:uid="{00000000-0005-0000-0000-0000B7420000}"/>
    <cellStyle name="Normal 2 2 7 6 2" xfId="7176" xr:uid="{00000000-0005-0000-0000-0000B8420000}"/>
    <cellStyle name="Normal 2 2 7 6 2 10" xfId="35831" xr:uid="{00000000-0005-0000-0000-0000B9420000}"/>
    <cellStyle name="Normal 2 2 7 6 2 2" xfId="7177" xr:uid="{00000000-0005-0000-0000-0000BA420000}"/>
    <cellStyle name="Normal 2 2 7 6 2 2 2" xfId="7178" xr:uid="{00000000-0005-0000-0000-0000BB420000}"/>
    <cellStyle name="Normal 2 2 7 6 2 2 2 2" xfId="7179" xr:uid="{00000000-0005-0000-0000-0000BC420000}"/>
    <cellStyle name="Normal 2 2 7 6 2 2 2 2 2" xfId="35832" xr:uid="{00000000-0005-0000-0000-0000BD420000}"/>
    <cellStyle name="Normal 2 2 7 6 2 2 2 3" xfId="7180" xr:uid="{00000000-0005-0000-0000-0000BE420000}"/>
    <cellStyle name="Normal 2 2 7 6 2 2 2 3 2" xfId="35833" xr:uid="{00000000-0005-0000-0000-0000BF420000}"/>
    <cellStyle name="Normal 2 2 7 6 2 2 2 4" xfId="35834" xr:uid="{00000000-0005-0000-0000-0000C0420000}"/>
    <cellStyle name="Normal 2 2 7 6 2 2 3" xfId="7181" xr:uid="{00000000-0005-0000-0000-0000C1420000}"/>
    <cellStyle name="Normal 2 2 7 6 2 2 3 2" xfId="35835" xr:uid="{00000000-0005-0000-0000-0000C2420000}"/>
    <cellStyle name="Normal 2 2 7 6 2 2 4" xfId="7182" xr:uid="{00000000-0005-0000-0000-0000C3420000}"/>
    <cellStyle name="Normal 2 2 7 6 2 2 4 2" xfId="35836" xr:uid="{00000000-0005-0000-0000-0000C4420000}"/>
    <cellStyle name="Normal 2 2 7 6 2 2 5" xfId="7183" xr:uid="{00000000-0005-0000-0000-0000C5420000}"/>
    <cellStyle name="Normal 2 2 7 6 2 2 5 2" xfId="35837" xr:uid="{00000000-0005-0000-0000-0000C6420000}"/>
    <cellStyle name="Normal 2 2 7 6 2 2 6" xfId="35838" xr:uid="{00000000-0005-0000-0000-0000C7420000}"/>
    <cellStyle name="Normal 2 2 7 6 2 2 6 2" xfId="35839" xr:uid="{00000000-0005-0000-0000-0000C8420000}"/>
    <cellStyle name="Normal 2 2 7 6 2 2 7" xfId="35840" xr:uid="{00000000-0005-0000-0000-0000C9420000}"/>
    <cellStyle name="Normal 2 2 7 6 2 3" xfId="7184" xr:uid="{00000000-0005-0000-0000-0000CA420000}"/>
    <cellStyle name="Normal 2 2 7 6 2 3 2" xfId="7185" xr:uid="{00000000-0005-0000-0000-0000CB420000}"/>
    <cellStyle name="Normal 2 2 7 6 2 3 2 2" xfId="35841" xr:uid="{00000000-0005-0000-0000-0000CC420000}"/>
    <cellStyle name="Normal 2 2 7 6 2 3 3" xfId="7186" xr:uid="{00000000-0005-0000-0000-0000CD420000}"/>
    <cellStyle name="Normal 2 2 7 6 2 3 3 2" xfId="35842" xr:uid="{00000000-0005-0000-0000-0000CE420000}"/>
    <cellStyle name="Normal 2 2 7 6 2 3 4" xfId="35843" xr:uid="{00000000-0005-0000-0000-0000CF420000}"/>
    <cellStyle name="Normal 2 2 7 6 2 4" xfId="7187" xr:uid="{00000000-0005-0000-0000-0000D0420000}"/>
    <cellStyle name="Normal 2 2 7 6 2 4 2" xfId="7188" xr:uid="{00000000-0005-0000-0000-0000D1420000}"/>
    <cellStyle name="Normal 2 2 7 6 2 4 2 2" xfId="35844" xr:uid="{00000000-0005-0000-0000-0000D2420000}"/>
    <cellStyle name="Normal 2 2 7 6 2 4 3" xfId="35845" xr:uid="{00000000-0005-0000-0000-0000D3420000}"/>
    <cellStyle name="Normal 2 2 7 6 2 5" xfId="7189" xr:uid="{00000000-0005-0000-0000-0000D4420000}"/>
    <cellStyle name="Normal 2 2 7 6 2 5 2" xfId="35846" xr:uid="{00000000-0005-0000-0000-0000D5420000}"/>
    <cellStyle name="Normal 2 2 7 6 2 6" xfId="7190" xr:uid="{00000000-0005-0000-0000-0000D6420000}"/>
    <cellStyle name="Normal 2 2 7 6 2 6 2" xfId="35847" xr:uid="{00000000-0005-0000-0000-0000D7420000}"/>
    <cellStyle name="Normal 2 2 7 6 2 7" xfId="35848" xr:uid="{00000000-0005-0000-0000-0000D8420000}"/>
    <cellStyle name="Normal 2 2 7 6 2 7 2" xfId="35849" xr:uid="{00000000-0005-0000-0000-0000D9420000}"/>
    <cellStyle name="Normal 2 2 7 6 2 8" xfId="35850" xr:uid="{00000000-0005-0000-0000-0000DA420000}"/>
    <cellStyle name="Normal 2 2 7 6 2 9" xfId="35851" xr:uid="{00000000-0005-0000-0000-0000DB420000}"/>
    <cellStyle name="Normal 2 2 7 6 3" xfId="7191" xr:uid="{00000000-0005-0000-0000-0000DC420000}"/>
    <cellStyle name="Normal 2 2 7 6 3 2" xfId="7192" xr:uid="{00000000-0005-0000-0000-0000DD420000}"/>
    <cellStyle name="Normal 2 2 7 6 3 2 2" xfId="7193" xr:uid="{00000000-0005-0000-0000-0000DE420000}"/>
    <cellStyle name="Normal 2 2 7 6 3 2 2 2" xfId="35852" xr:uid="{00000000-0005-0000-0000-0000DF420000}"/>
    <cellStyle name="Normal 2 2 7 6 3 2 3" xfId="7194" xr:uid="{00000000-0005-0000-0000-0000E0420000}"/>
    <cellStyle name="Normal 2 2 7 6 3 2 3 2" xfId="35853" xr:uid="{00000000-0005-0000-0000-0000E1420000}"/>
    <cellStyle name="Normal 2 2 7 6 3 2 4" xfId="35854" xr:uid="{00000000-0005-0000-0000-0000E2420000}"/>
    <cellStyle name="Normal 2 2 7 6 3 3" xfId="7195" xr:uid="{00000000-0005-0000-0000-0000E3420000}"/>
    <cellStyle name="Normal 2 2 7 6 3 3 2" xfId="35855" xr:uid="{00000000-0005-0000-0000-0000E4420000}"/>
    <cellStyle name="Normal 2 2 7 6 3 4" xfId="7196" xr:uid="{00000000-0005-0000-0000-0000E5420000}"/>
    <cellStyle name="Normal 2 2 7 6 3 4 2" xfId="35856" xr:uid="{00000000-0005-0000-0000-0000E6420000}"/>
    <cellStyle name="Normal 2 2 7 6 3 5" xfId="7197" xr:uid="{00000000-0005-0000-0000-0000E7420000}"/>
    <cellStyle name="Normal 2 2 7 6 3 5 2" xfId="35857" xr:uid="{00000000-0005-0000-0000-0000E8420000}"/>
    <cellStyle name="Normal 2 2 7 6 3 6" xfId="35858" xr:uid="{00000000-0005-0000-0000-0000E9420000}"/>
    <cellStyle name="Normal 2 2 7 6 3 6 2" xfId="35859" xr:uid="{00000000-0005-0000-0000-0000EA420000}"/>
    <cellStyle name="Normal 2 2 7 6 3 7" xfId="35860" xr:uid="{00000000-0005-0000-0000-0000EB420000}"/>
    <cellStyle name="Normal 2 2 7 6 4" xfId="7198" xr:uid="{00000000-0005-0000-0000-0000EC420000}"/>
    <cellStyle name="Normal 2 2 7 6 4 2" xfId="7199" xr:uid="{00000000-0005-0000-0000-0000ED420000}"/>
    <cellStyle name="Normal 2 2 7 6 4 2 2" xfId="35861" xr:uid="{00000000-0005-0000-0000-0000EE420000}"/>
    <cellStyle name="Normal 2 2 7 6 4 3" xfId="7200" xr:uid="{00000000-0005-0000-0000-0000EF420000}"/>
    <cellStyle name="Normal 2 2 7 6 4 3 2" xfId="35862" xr:uid="{00000000-0005-0000-0000-0000F0420000}"/>
    <cellStyle name="Normal 2 2 7 6 4 4" xfId="35863" xr:uid="{00000000-0005-0000-0000-0000F1420000}"/>
    <cellStyle name="Normal 2 2 7 6 5" xfId="7201" xr:uid="{00000000-0005-0000-0000-0000F2420000}"/>
    <cellStyle name="Normal 2 2 7 6 5 2" xfId="7202" xr:uid="{00000000-0005-0000-0000-0000F3420000}"/>
    <cellStyle name="Normal 2 2 7 6 5 2 2" xfId="35864" xr:uid="{00000000-0005-0000-0000-0000F4420000}"/>
    <cellStyle name="Normal 2 2 7 6 5 3" xfId="35865" xr:uid="{00000000-0005-0000-0000-0000F5420000}"/>
    <cellStyle name="Normal 2 2 7 6 6" xfId="7203" xr:uid="{00000000-0005-0000-0000-0000F6420000}"/>
    <cellStyle name="Normal 2 2 7 6 6 2" xfId="35866" xr:uid="{00000000-0005-0000-0000-0000F7420000}"/>
    <cellStyle name="Normal 2 2 7 6 7" xfId="7204" xr:uid="{00000000-0005-0000-0000-0000F8420000}"/>
    <cellStyle name="Normal 2 2 7 6 7 2" xfId="35867" xr:uid="{00000000-0005-0000-0000-0000F9420000}"/>
    <cellStyle name="Normal 2 2 7 6 8" xfId="35868" xr:uid="{00000000-0005-0000-0000-0000FA420000}"/>
    <cellStyle name="Normal 2 2 7 6 8 2" xfId="35869" xr:uid="{00000000-0005-0000-0000-0000FB420000}"/>
    <cellStyle name="Normal 2 2 7 6 9" xfId="35870" xr:uid="{00000000-0005-0000-0000-0000FC420000}"/>
    <cellStyle name="Normal 2 2 7 7" xfId="7205" xr:uid="{00000000-0005-0000-0000-0000FD420000}"/>
    <cellStyle name="Normal 2 2 7 7 10" xfId="35871" xr:uid="{00000000-0005-0000-0000-0000FE420000}"/>
    <cellStyle name="Normal 2 2 7 7 11" xfId="35872" xr:uid="{00000000-0005-0000-0000-0000FF420000}"/>
    <cellStyle name="Normal 2 2 7 7 2" xfId="7206" xr:uid="{00000000-0005-0000-0000-000000430000}"/>
    <cellStyle name="Normal 2 2 7 7 2 10" xfId="35873" xr:uid="{00000000-0005-0000-0000-000001430000}"/>
    <cellStyle name="Normal 2 2 7 7 2 2" xfId="7207" xr:uid="{00000000-0005-0000-0000-000002430000}"/>
    <cellStyle name="Normal 2 2 7 7 2 2 2" xfId="7208" xr:uid="{00000000-0005-0000-0000-000003430000}"/>
    <cellStyle name="Normal 2 2 7 7 2 2 2 2" xfId="7209" xr:uid="{00000000-0005-0000-0000-000004430000}"/>
    <cellStyle name="Normal 2 2 7 7 2 2 2 2 2" xfId="35874" xr:uid="{00000000-0005-0000-0000-000005430000}"/>
    <cellStyle name="Normal 2 2 7 7 2 2 2 3" xfId="7210" xr:uid="{00000000-0005-0000-0000-000006430000}"/>
    <cellStyle name="Normal 2 2 7 7 2 2 2 3 2" xfId="35875" xr:uid="{00000000-0005-0000-0000-000007430000}"/>
    <cellStyle name="Normal 2 2 7 7 2 2 2 4" xfId="35876" xr:uid="{00000000-0005-0000-0000-000008430000}"/>
    <cellStyle name="Normal 2 2 7 7 2 2 3" xfId="7211" xr:uid="{00000000-0005-0000-0000-000009430000}"/>
    <cellStyle name="Normal 2 2 7 7 2 2 3 2" xfId="35877" xr:uid="{00000000-0005-0000-0000-00000A430000}"/>
    <cellStyle name="Normal 2 2 7 7 2 2 4" xfId="7212" xr:uid="{00000000-0005-0000-0000-00000B430000}"/>
    <cellStyle name="Normal 2 2 7 7 2 2 4 2" xfId="35878" xr:uid="{00000000-0005-0000-0000-00000C430000}"/>
    <cellStyle name="Normal 2 2 7 7 2 2 5" xfId="7213" xr:uid="{00000000-0005-0000-0000-00000D430000}"/>
    <cellStyle name="Normal 2 2 7 7 2 2 5 2" xfId="35879" xr:uid="{00000000-0005-0000-0000-00000E430000}"/>
    <cellStyle name="Normal 2 2 7 7 2 2 6" xfId="35880" xr:uid="{00000000-0005-0000-0000-00000F430000}"/>
    <cellStyle name="Normal 2 2 7 7 2 2 6 2" xfId="35881" xr:uid="{00000000-0005-0000-0000-000010430000}"/>
    <cellStyle name="Normal 2 2 7 7 2 2 7" xfId="35882" xr:uid="{00000000-0005-0000-0000-000011430000}"/>
    <cellStyle name="Normal 2 2 7 7 2 3" xfId="7214" xr:uid="{00000000-0005-0000-0000-000012430000}"/>
    <cellStyle name="Normal 2 2 7 7 2 3 2" xfId="7215" xr:uid="{00000000-0005-0000-0000-000013430000}"/>
    <cellStyle name="Normal 2 2 7 7 2 3 2 2" xfId="35883" xr:uid="{00000000-0005-0000-0000-000014430000}"/>
    <cellStyle name="Normal 2 2 7 7 2 3 3" xfId="7216" xr:uid="{00000000-0005-0000-0000-000015430000}"/>
    <cellStyle name="Normal 2 2 7 7 2 3 3 2" xfId="35884" xr:uid="{00000000-0005-0000-0000-000016430000}"/>
    <cellStyle name="Normal 2 2 7 7 2 3 4" xfId="35885" xr:uid="{00000000-0005-0000-0000-000017430000}"/>
    <cellStyle name="Normal 2 2 7 7 2 4" xfId="7217" xr:uid="{00000000-0005-0000-0000-000018430000}"/>
    <cellStyle name="Normal 2 2 7 7 2 4 2" xfId="7218" xr:uid="{00000000-0005-0000-0000-000019430000}"/>
    <cellStyle name="Normal 2 2 7 7 2 4 2 2" xfId="35886" xr:uid="{00000000-0005-0000-0000-00001A430000}"/>
    <cellStyle name="Normal 2 2 7 7 2 4 3" xfId="35887" xr:uid="{00000000-0005-0000-0000-00001B430000}"/>
    <cellStyle name="Normal 2 2 7 7 2 5" xfId="7219" xr:uid="{00000000-0005-0000-0000-00001C430000}"/>
    <cellStyle name="Normal 2 2 7 7 2 5 2" xfId="35888" xr:uid="{00000000-0005-0000-0000-00001D430000}"/>
    <cellStyle name="Normal 2 2 7 7 2 6" xfId="7220" xr:uid="{00000000-0005-0000-0000-00001E430000}"/>
    <cellStyle name="Normal 2 2 7 7 2 6 2" xfId="35889" xr:uid="{00000000-0005-0000-0000-00001F430000}"/>
    <cellStyle name="Normal 2 2 7 7 2 7" xfId="35890" xr:uid="{00000000-0005-0000-0000-000020430000}"/>
    <cellStyle name="Normal 2 2 7 7 2 7 2" xfId="35891" xr:uid="{00000000-0005-0000-0000-000021430000}"/>
    <cellStyle name="Normal 2 2 7 7 2 8" xfId="35892" xr:uid="{00000000-0005-0000-0000-000022430000}"/>
    <cellStyle name="Normal 2 2 7 7 2 9" xfId="35893" xr:uid="{00000000-0005-0000-0000-000023430000}"/>
    <cellStyle name="Normal 2 2 7 7 3" xfId="7221" xr:uid="{00000000-0005-0000-0000-000024430000}"/>
    <cellStyle name="Normal 2 2 7 7 3 2" xfId="7222" xr:uid="{00000000-0005-0000-0000-000025430000}"/>
    <cellStyle name="Normal 2 2 7 7 3 2 2" xfId="7223" xr:uid="{00000000-0005-0000-0000-000026430000}"/>
    <cellStyle name="Normal 2 2 7 7 3 2 2 2" xfId="35894" xr:uid="{00000000-0005-0000-0000-000027430000}"/>
    <cellStyle name="Normal 2 2 7 7 3 2 3" xfId="7224" xr:uid="{00000000-0005-0000-0000-000028430000}"/>
    <cellStyle name="Normal 2 2 7 7 3 2 3 2" xfId="35895" xr:uid="{00000000-0005-0000-0000-000029430000}"/>
    <cellStyle name="Normal 2 2 7 7 3 2 4" xfId="35896" xr:uid="{00000000-0005-0000-0000-00002A430000}"/>
    <cellStyle name="Normal 2 2 7 7 3 3" xfId="7225" xr:uid="{00000000-0005-0000-0000-00002B430000}"/>
    <cellStyle name="Normal 2 2 7 7 3 3 2" xfId="35897" xr:uid="{00000000-0005-0000-0000-00002C430000}"/>
    <cellStyle name="Normal 2 2 7 7 3 4" xfId="7226" xr:uid="{00000000-0005-0000-0000-00002D430000}"/>
    <cellStyle name="Normal 2 2 7 7 3 4 2" xfId="35898" xr:uid="{00000000-0005-0000-0000-00002E430000}"/>
    <cellStyle name="Normal 2 2 7 7 3 5" xfId="7227" xr:uid="{00000000-0005-0000-0000-00002F430000}"/>
    <cellStyle name="Normal 2 2 7 7 3 5 2" xfId="35899" xr:uid="{00000000-0005-0000-0000-000030430000}"/>
    <cellStyle name="Normal 2 2 7 7 3 6" xfId="35900" xr:uid="{00000000-0005-0000-0000-000031430000}"/>
    <cellStyle name="Normal 2 2 7 7 3 6 2" xfId="35901" xr:uid="{00000000-0005-0000-0000-000032430000}"/>
    <cellStyle name="Normal 2 2 7 7 3 7" xfId="35902" xr:uid="{00000000-0005-0000-0000-000033430000}"/>
    <cellStyle name="Normal 2 2 7 7 4" xfId="7228" xr:uid="{00000000-0005-0000-0000-000034430000}"/>
    <cellStyle name="Normal 2 2 7 7 4 2" xfId="7229" xr:uid="{00000000-0005-0000-0000-000035430000}"/>
    <cellStyle name="Normal 2 2 7 7 4 2 2" xfId="35903" xr:uid="{00000000-0005-0000-0000-000036430000}"/>
    <cellStyle name="Normal 2 2 7 7 4 3" xfId="7230" xr:uid="{00000000-0005-0000-0000-000037430000}"/>
    <cellStyle name="Normal 2 2 7 7 4 3 2" xfId="35904" xr:uid="{00000000-0005-0000-0000-000038430000}"/>
    <cellStyle name="Normal 2 2 7 7 4 4" xfId="35905" xr:uid="{00000000-0005-0000-0000-000039430000}"/>
    <cellStyle name="Normal 2 2 7 7 5" xfId="7231" xr:uid="{00000000-0005-0000-0000-00003A430000}"/>
    <cellStyle name="Normal 2 2 7 7 5 2" xfId="7232" xr:uid="{00000000-0005-0000-0000-00003B430000}"/>
    <cellStyle name="Normal 2 2 7 7 5 2 2" xfId="35906" xr:uid="{00000000-0005-0000-0000-00003C430000}"/>
    <cellStyle name="Normal 2 2 7 7 5 3" xfId="35907" xr:uid="{00000000-0005-0000-0000-00003D430000}"/>
    <cellStyle name="Normal 2 2 7 7 6" xfId="7233" xr:uid="{00000000-0005-0000-0000-00003E430000}"/>
    <cellStyle name="Normal 2 2 7 7 6 2" xfId="35908" xr:uid="{00000000-0005-0000-0000-00003F430000}"/>
    <cellStyle name="Normal 2 2 7 7 7" xfId="7234" xr:uid="{00000000-0005-0000-0000-000040430000}"/>
    <cellStyle name="Normal 2 2 7 7 7 2" xfId="35909" xr:uid="{00000000-0005-0000-0000-000041430000}"/>
    <cellStyle name="Normal 2 2 7 7 8" xfId="35910" xr:uid="{00000000-0005-0000-0000-000042430000}"/>
    <cellStyle name="Normal 2 2 7 7 8 2" xfId="35911" xr:uid="{00000000-0005-0000-0000-000043430000}"/>
    <cellStyle name="Normal 2 2 7 7 9" xfId="35912" xr:uid="{00000000-0005-0000-0000-000044430000}"/>
    <cellStyle name="Normal 2 2 7 8" xfId="7235" xr:uid="{00000000-0005-0000-0000-000045430000}"/>
    <cellStyle name="Normal 2 2 7 8 10" xfId="35913" xr:uid="{00000000-0005-0000-0000-000046430000}"/>
    <cellStyle name="Normal 2 2 7 8 11" xfId="35914" xr:uid="{00000000-0005-0000-0000-000047430000}"/>
    <cellStyle name="Normal 2 2 7 8 2" xfId="7236" xr:uid="{00000000-0005-0000-0000-000048430000}"/>
    <cellStyle name="Normal 2 2 7 8 2 10" xfId="35915" xr:uid="{00000000-0005-0000-0000-000049430000}"/>
    <cellStyle name="Normal 2 2 7 8 2 2" xfId="7237" xr:uid="{00000000-0005-0000-0000-00004A430000}"/>
    <cellStyle name="Normal 2 2 7 8 2 2 2" xfId="7238" xr:uid="{00000000-0005-0000-0000-00004B430000}"/>
    <cellStyle name="Normal 2 2 7 8 2 2 2 2" xfId="7239" xr:uid="{00000000-0005-0000-0000-00004C430000}"/>
    <cellStyle name="Normal 2 2 7 8 2 2 2 2 2" xfId="35916" xr:uid="{00000000-0005-0000-0000-00004D430000}"/>
    <cellStyle name="Normal 2 2 7 8 2 2 2 3" xfId="7240" xr:uid="{00000000-0005-0000-0000-00004E430000}"/>
    <cellStyle name="Normal 2 2 7 8 2 2 2 3 2" xfId="35917" xr:uid="{00000000-0005-0000-0000-00004F430000}"/>
    <cellStyle name="Normal 2 2 7 8 2 2 2 4" xfId="35918" xr:uid="{00000000-0005-0000-0000-000050430000}"/>
    <cellStyle name="Normal 2 2 7 8 2 2 3" xfId="7241" xr:uid="{00000000-0005-0000-0000-000051430000}"/>
    <cellStyle name="Normal 2 2 7 8 2 2 3 2" xfId="35919" xr:uid="{00000000-0005-0000-0000-000052430000}"/>
    <cellStyle name="Normal 2 2 7 8 2 2 4" xfId="7242" xr:uid="{00000000-0005-0000-0000-000053430000}"/>
    <cellStyle name="Normal 2 2 7 8 2 2 4 2" xfId="35920" xr:uid="{00000000-0005-0000-0000-000054430000}"/>
    <cellStyle name="Normal 2 2 7 8 2 2 5" xfId="7243" xr:uid="{00000000-0005-0000-0000-000055430000}"/>
    <cellStyle name="Normal 2 2 7 8 2 2 5 2" xfId="35921" xr:uid="{00000000-0005-0000-0000-000056430000}"/>
    <cellStyle name="Normal 2 2 7 8 2 2 6" xfId="35922" xr:uid="{00000000-0005-0000-0000-000057430000}"/>
    <cellStyle name="Normal 2 2 7 8 2 2 6 2" xfId="35923" xr:uid="{00000000-0005-0000-0000-000058430000}"/>
    <cellStyle name="Normal 2 2 7 8 2 2 7" xfId="35924" xr:uid="{00000000-0005-0000-0000-000059430000}"/>
    <cellStyle name="Normal 2 2 7 8 2 3" xfId="7244" xr:uid="{00000000-0005-0000-0000-00005A430000}"/>
    <cellStyle name="Normal 2 2 7 8 2 3 2" xfId="7245" xr:uid="{00000000-0005-0000-0000-00005B430000}"/>
    <cellStyle name="Normal 2 2 7 8 2 3 2 2" xfId="35925" xr:uid="{00000000-0005-0000-0000-00005C430000}"/>
    <cellStyle name="Normal 2 2 7 8 2 3 3" xfId="7246" xr:uid="{00000000-0005-0000-0000-00005D430000}"/>
    <cellStyle name="Normal 2 2 7 8 2 3 3 2" xfId="35926" xr:uid="{00000000-0005-0000-0000-00005E430000}"/>
    <cellStyle name="Normal 2 2 7 8 2 3 4" xfId="35927" xr:uid="{00000000-0005-0000-0000-00005F430000}"/>
    <cellStyle name="Normal 2 2 7 8 2 4" xfId="7247" xr:uid="{00000000-0005-0000-0000-000060430000}"/>
    <cellStyle name="Normal 2 2 7 8 2 4 2" xfId="7248" xr:uid="{00000000-0005-0000-0000-000061430000}"/>
    <cellStyle name="Normal 2 2 7 8 2 4 2 2" xfId="35928" xr:uid="{00000000-0005-0000-0000-000062430000}"/>
    <cellStyle name="Normal 2 2 7 8 2 4 3" xfId="35929" xr:uid="{00000000-0005-0000-0000-000063430000}"/>
    <cellStyle name="Normal 2 2 7 8 2 5" xfId="7249" xr:uid="{00000000-0005-0000-0000-000064430000}"/>
    <cellStyle name="Normal 2 2 7 8 2 5 2" xfId="35930" xr:uid="{00000000-0005-0000-0000-000065430000}"/>
    <cellStyle name="Normal 2 2 7 8 2 6" xfId="7250" xr:uid="{00000000-0005-0000-0000-000066430000}"/>
    <cellStyle name="Normal 2 2 7 8 2 6 2" xfId="35931" xr:uid="{00000000-0005-0000-0000-000067430000}"/>
    <cellStyle name="Normal 2 2 7 8 2 7" xfId="35932" xr:uid="{00000000-0005-0000-0000-000068430000}"/>
    <cellStyle name="Normal 2 2 7 8 2 7 2" xfId="35933" xr:uid="{00000000-0005-0000-0000-000069430000}"/>
    <cellStyle name="Normal 2 2 7 8 2 8" xfId="35934" xr:uid="{00000000-0005-0000-0000-00006A430000}"/>
    <cellStyle name="Normal 2 2 7 8 2 9" xfId="35935" xr:uid="{00000000-0005-0000-0000-00006B430000}"/>
    <cellStyle name="Normal 2 2 7 8 3" xfId="7251" xr:uid="{00000000-0005-0000-0000-00006C430000}"/>
    <cellStyle name="Normal 2 2 7 8 3 2" xfId="7252" xr:uid="{00000000-0005-0000-0000-00006D430000}"/>
    <cellStyle name="Normal 2 2 7 8 3 2 2" xfId="7253" xr:uid="{00000000-0005-0000-0000-00006E430000}"/>
    <cellStyle name="Normal 2 2 7 8 3 2 2 2" xfId="35936" xr:uid="{00000000-0005-0000-0000-00006F430000}"/>
    <cellStyle name="Normal 2 2 7 8 3 2 3" xfId="7254" xr:uid="{00000000-0005-0000-0000-000070430000}"/>
    <cellStyle name="Normal 2 2 7 8 3 2 3 2" xfId="35937" xr:uid="{00000000-0005-0000-0000-000071430000}"/>
    <cellStyle name="Normal 2 2 7 8 3 2 4" xfId="35938" xr:uid="{00000000-0005-0000-0000-000072430000}"/>
    <cellStyle name="Normal 2 2 7 8 3 3" xfId="7255" xr:uid="{00000000-0005-0000-0000-000073430000}"/>
    <cellStyle name="Normal 2 2 7 8 3 3 2" xfId="35939" xr:uid="{00000000-0005-0000-0000-000074430000}"/>
    <cellStyle name="Normal 2 2 7 8 3 4" xfId="7256" xr:uid="{00000000-0005-0000-0000-000075430000}"/>
    <cellStyle name="Normal 2 2 7 8 3 4 2" xfId="35940" xr:uid="{00000000-0005-0000-0000-000076430000}"/>
    <cellStyle name="Normal 2 2 7 8 3 5" xfId="7257" xr:uid="{00000000-0005-0000-0000-000077430000}"/>
    <cellStyle name="Normal 2 2 7 8 3 5 2" xfId="35941" xr:uid="{00000000-0005-0000-0000-000078430000}"/>
    <cellStyle name="Normal 2 2 7 8 3 6" xfId="35942" xr:uid="{00000000-0005-0000-0000-000079430000}"/>
    <cellStyle name="Normal 2 2 7 8 3 6 2" xfId="35943" xr:uid="{00000000-0005-0000-0000-00007A430000}"/>
    <cellStyle name="Normal 2 2 7 8 3 7" xfId="35944" xr:uid="{00000000-0005-0000-0000-00007B430000}"/>
    <cellStyle name="Normal 2 2 7 8 4" xfId="7258" xr:uid="{00000000-0005-0000-0000-00007C430000}"/>
    <cellStyle name="Normal 2 2 7 8 4 2" xfId="7259" xr:uid="{00000000-0005-0000-0000-00007D430000}"/>
    <cellStyle name="Normal 2 2 7 8 4 2 2" xfId="35945" xr:uid="{00000000-0005-0000-0000-00007E430000}"/>
    <cellStyle name="Normal 2 2 7 8 4 3" xfId="7260" xr:uid="{00000000-0005-0000-0000-00007F430000}"/>
    <cellStyle name="Normal 2 2 7 8 4 3 2" xfId="35946" xr:uid="{00000000-0005-0000-0000-000080430000}"/>
    <cellStyle name="Normal 2 2 7 8 4 4" xfId="35947" xr:uid="{00000000-0005-0000-0000-000081430000}"/>
    <cellStyle name="Normal 2 2 7 8 5" xfId="7261" xr:uid="{00000000-0005-0000-0000-000082430000}"/>
    <cellStyle name="Normal 2 2 7 8 5 2" xfId="7262" xr:uid="{00000000-0005-0000-0000-000083430000}"/>
    <cellStyle name="Normal 2 2 7 8 5 2 2" xfId="35948" xr:uid="{00000000-0005-0000-0000-000084430000}"/>
    <cellStyle name="Normal 2 2 7 8 5 3" xfId="35949" xr:uid="{00000000-0005-0000-0000-000085430000}"/>
    <cellStyle name="Normal 2 2 7 8 6" xfId="7263" xr:uid="{00000000-0005-0000-0000-000086430000}"/>
    <cellStyle name="Normal 2 2 7 8 6 2" xfId="35950" xr:uid="{00000000-0005-0000-0000-000087430000}"/>
    <cellStyle name="Normal 2 2 7 8 7" xfId="7264" xr:uid="{00000000-0005-0000-0000-000088430000}"/>
    <cellStyle name="Normal 2 2 7 8 7 2" xfId="35951" xr:uid="{00000000-0005-0000-0000-000089430000}"/>
    <cellStyle name="Normal 2 2 7 8 8" xfId="35952" xr:uid="{00000000-0005-0000-0000-00008A430000}"/>
    <cellStyle name="Normal 2 2 7 8 8 2" xfId="35953" xr:uid="{00000000-0005-0000-0000-00008B430000}"/>
    <cellStyle name="Normal 2 2 7 8 9" xfId="35954" xr:uid="{00000000-0005-0000-0000-00008C430000}"/>
    <cellStyle name="Normal 2 2 7 9" xfId="7265" xr:uid="{00000000-0005-0000-0000-00008D430000}"/>
    <cellStyle name="Normal 2 2 7 9 10" xfId="35955" xr:uid="{00000000-0005-0000-0000-00008E430000}"/>
    <cellStyle name="Normal 2 2 7 9 11" xfId="35956" xr:uid="{00000000-0005-0000-0000-00008F430000}"/>
    <cellStyle name="Normal 2 2 7 9 2" xfId="7266" xr:uid="{00000000-0005-0000-0000-000090430000}"/>
    <cellStyle name="Normal 2 2 7 9 2 10" xfId="35957" xr:uid="{00000000-0005-0000-0000-000091430000}"/>
    <cellStyle name="Normal 2 2 7 9 2 2" xfId="7267" xr:uid="{00000000-0005-0000-0000-000092430000}"/>
    <cellStyle name="Normal 2 2 7 9 2 2 2" xfId="7268" xr:uid="{00000000-0005-0000-0000-000093430000}"/>
    <cellStyle name="Normal 2 2 7 9 2 2 2 2" xfId="7269" xr:uid="{00000000-0005-0000-0000-000094430000}"/>
    <cellStyle name="Normal 2 2 7 9 2 2 2 2 2" xfId="35958" xr:uid="{00000000-0005-0000-0000-000095430000}"/>
    <cellStyle name="Normal 2 2 7 9 2 2 2 3" xfId="7270" xr:uid="{00000000-0005-0000-0000-000096430000}"/>
    <cellStyle name="Normal 2 2 7 9 2 2 2 3 2" xfId="35959" xr:uid="{00000000-0005-0000-0000-000097430000}"/>
    <cellStyle name="Normal 2 2 7 9 2 2 2 4" xfId="35960" xr:uid="{00000000-0005-0000-0000-000098430000}"/>
    <cellStyle name="Normal 2 2 7 9 2 2 3" xfId="7271" xr:uid="{00000000-0005-0000-0000-000099430000}"/>
    <cellStyle name="Normal 2 2 7 9 2 2 3 2" xfId="35961" xr:uid="{00000000-0005-0000-0000-00009A430000}"/>
    <cellStyle name="Normal 2 2 7 9 2 2 4" xfId="7272" xr:uid="{00000000-0005-0000-0000-00009B430000}"/>
    <cellStyle name="Normal 2 2 7 9 2 2 4 2" xfId="35962" xr:uid="{00000000-0005-0000-0000-00009C430000}"/>
    <cellStyle name="Normal 2 2 7 9 2 2 5" xfId="7273" xr:uid="{00000000-0005-0000-0000-00009D430000}"/>
    <cellStyle name="Normal 2 2 7 9 2 2 5 2" xfId="35963" xr:uid="{00000000-0005-0000-0000-00009E430000}"/>
    <cellStyle name="Normal 2 2 7 9 2 2 6" xfId="35964" xr:uid="{00000000-0005-0000-0000-00009F430000}"/>
    <cellStyle name="Normal 2 2 7 9 2 2 6 2" xfId="35965" xr:uid="{00000000-0005-0000-0000-0000A0430000}"/>
    <cellStyle name="Normal 2 2 7 9 2 2 7" xfId="35966" xr:uid="{00000000-0005-0000-0000-0000A1430000}"/>
    <cellStyle name="Normal 2 2 7 9 2 3" xfId="7274" xr:uid="{00000000-0005-0000-0000-0000A2430000}"/>
    <cellStyle name="Normal 2 2 7 9 2 3 2" xfId="7275" xr:uid="{00000000-0005-0000-0000-0000A3430000}"/>
    <cellStyle name="Normal 2 2 7 9 2 3 2 2" xfId="35967" xr:uid="{00000000-0005-0000-0000-0000A4430000}"/>
    <cellStyle name="Normal 2 2 7 9 2 3 3" xfId="7276" xr:uid="{00000000-0005-0000-0000-0000A5430000}"/>
    <cellStyle name="Normal 2 2 7 9 2 3 3 2" xfId="35968" xr:uid="{00000000-0005-0000-0000-0000A6430000}"/>
    <cellStyle name="Normal 2 2 7 9 2 3 4" xfId="35969" xr:uid="{00000000-0005-0000-0000-0000A7430000}"/>
    <cellStyle name="Normal 2 2 7 9 2 4" xfId="7277" xr:uid="{00000000-0005-0000-0000-0000A8430000}"/>
    <cellStyle name="Normal 2 2 7 9 2 4 2" xfId="7278" xr:uid="{00000000-0005-0000-0000-0000A9430000}"/>
    <cellStyle name="Normal 2 2 7 9 2 4 2 2" xfId="35970" xr:uid="{00000000-0005-0000-0000-0000AA430000}"/>
    <cellStyle name="Normal 2 2 7 9 2 4 3" xfId="35971" xr:uid="{00000000-0005-0000-0000-0000AB430000}"/>
    <cellStyle name="Normal 2 2 7 9 2 5" xfId="7279" xr:uid="{00000000-0005-0000-0000-0000AC430000}"/>
    <cellStyle name="Normal 2 2 7 9 2 5 2" xfId="35972" xr:uid="{00000000-0005-0000-0000-0000AD430000}"/>
    <cellStyle name="Normal 2 2 7 9 2 6" xfId="7280" xr:uid="{00000000-0005-0000-0000-0000AE430000}"/>
    <cellStyle name="Normal 2 2 7 9 2 6 2" xfId="35973" xr:uid="{00000000-0005-0000-0000-0000AF430000}"/>
    <cellStyle name="Normal 2 2 7 9 2 7" xfId="35974" xr:uid="{00000000-0005-0000-0000-0000B0430000}"/>
    <cellStyle name="Normal 2 2 7 9 2 7 2" xfId="35975" xr:uid="{00000000-0005-0000-0000-0000B1430000}"/>
    <cellStyle name="Normal 2 2 7 9 2 8" xfId="35976" xr:uid="{00000000-0005-0000-0000-0000B2430000}"/>
    <cellStyle name="Normal 2 2 7 9 2 9" xfId="35977" xr:uid="{00000000-0005-0000-0000-0000B3430000}"/>
    <cellStyle name="Normal 2 2 7 9 3" xfId="7281" xr:uid="{00000000-0005-0000-0000-0000B4430000}"/>
    <cellStyle name="Normal 2 2 7 9 3 2" xfId="7282" xr:uid="{00000000-0005-0000-0000-0000B5430000}"/>
    <cellStyle name="Normal 2 2 7 9 3 2 2" xfId="7283" xr:uid="{00000000-0005-0000-0000-0000B6430000}"/>
    <cellStyle name="Normal 2 2 7 9 3 2 2 2" xfId="35978" xr:uid="{00000000-0005-0000-0000-0000B7430000}"/>
    <cellStyle name="Normal 2 2 7 9 3 2 3" xfId="7284" xr:uid="{00000000-0005-0000-0000-0000B8430000}"/>
    <cellStyle name="Normal 2 2 7 9 3 2 3 2" xfId="35979" xr:uid="{00000000-0005-0000-0000-0000B9430000}"/>
    <cellStyle name="Normal 2 2 7 9 3 2 4" xfId="35980" xr:uid="{00000000-0005-0000-0000-0000BA430000}"/>
    <cellStyle name="Normal 2 2 7 9 3 3" xfId="7285" xr:uid="{00000000-0005-0000-0000-0000BB430000}"/>
    <cellStyle name="Normal 2 2 7 9 3 3 2" xfId="35981" xr:uid="{00000000-0005-0000-0000-0000BC430000}"/>
    <cellStyle name="Normal 2 2 7 9 3 4" xfId="7286" xr:uid="{00000000-0005-0000-0000-0000BD430000}"/>
    <cellStyle name="Normal 2 2 7 9 3 4 2" xfId="35982" xr:uid="{00000000-0005-0000-0000-0000BE430000}"/>
    <cellStyle name="Normal 2 2 7 9 3 5" xfId="7287" xr:uid="{00000000-0005-0000-0000-0000BF430000}"/>
    <cellStyle name="Normal 2 2 7 9 3 5 2" xfId="35983" xr:uid="{00000000-0005-0000-0000-0000C0430000}"/>
    <cellStyle name="Normal 2 2 7 9 3 6" xfId="35984" xr:uid="{00000000-0005-0000-0000-0000C1430000}"/>
    <cellStyle name="Normal 2 2 7 9 3 6 2" xfId="35985" xr:uid="{00000000-0005-0000-0000-0000C2430000}"/>
    <cellStyle name="Normal 2 2 7 9 3 7" xfId="35986" xr:uid="{00000000-0005-0000-0000-0000C3430000}"/>
    <cellStyle name="Normal 2 2 7 9 4" xfId="7288" xr:uid="{00000000-0005-0000-0000-0000C4430000}"/>
    <cellStyle name="Normal 2 2 7 9 4 2" xfId="7289" xr:uid="{00000000-0005-0000-0000-0000C5430000}"/>
    <cellStyle name="Normal 2 2 7 9 4 2 2" xfId="35987" xr:uid="{00000000-0005-0000-0000-0000C6430000}"/>
    <cellStyle name="Normal 2 2 7 9 4 3" xfId="7290" xr:uid="{00000000-0005-0000-0000-0000C7430000}"/>
    <cellStyle name="Normal 2 2 7 9 4 3 2" xfId="35988" xr:uid="{00000000-0005-0000-0000-0000C8430000}"/>
    <cellStyle name="Normal 2 2 7 9 4 4" xfId="35989" xr:uid="{00000000-0005-0000-0000-0000C9430000}"/>
    <cellStyle name="Normal 2 2 7 9 5" xfId="7291" xr:uid="{00000000-0005-0000-0000-0000CA430000}"/>
    <cellStyle name="Normal 2 2 7 9 5 2" xfId="7292" xr:uid="{00000000-0005-0000-0000-0000CB430000}"/>
    <cellStyle name="Normal 2 2 7 9 5 2 2" xfId="35990" xr:uid="{00000000-0005-0000-0000-0000CC430000}"/>
    <cellStyle name="Normal 2 2 7 9 5 3" xfId="35991" xr:uid="{00000000-0005-0000-0000-0000CD430000}"/>
    <cellStyle name="Normal 2 2 7 9 6" xfId="7293" xr:uid="{00000000-0005-0000-0000-0000CE430000}"/>
    <cellStyle name="Normal 2 2 7 9 6 2" xfId="35992" xr:uid="{00000000-0005-0000-0000-0000CF430000}"/>
    <cellStyle name="Normal 2 2 7 9 7" xfId="7294" xr:uid="{00000000-0005-0000-0000-0000D0430000}"/>
    <cellStyle name="Normal 2 2 7 9 7 2" xfId="35993" xr:uid="{00000000-0005-0000-0000-0000D1430000}"/>
    <cellStyle name="Normal 2 2 7 9 8" xfId="35994" xr:uid="{00000000-0005-0000-0000-0000D2430000}"/>
    <cellStyle name="Normal 2 2 7 9 8 2" xfId="35995" xr:uid="{00000000-0005-0000-0000-0000D3430000}"/>
    <cellStyle name="Normal 2 2 7 9 9" xfId="35996" xr:uid="{00000000-0005-0000-0000-0000D4430000}"/>
    <cellStyle name="Normal 2 2 8" xfId="7295" xr:uid="{00000000-0005-0000-0000-0000D5430000}"/>
    <cellStyle name="Normal 2 2 8 10" xfId="7296" xr:uid="{00000000-0005-0000-0000-0000D6430000}"/>
    <cellStyle name="Normal 2 2 8 10 10" xfId="35997" xr:uid="{00000000-0005-0000-0000-0000D7430000}"/>
    <cellStyle name="Normal 2 2 8 10 11" xfId="35998" xr:uid="{00000000-0005-0000-0000-0000D8430000}"/>
    <cellStyle name="Normal 2 2 8 10 2" xfId="7297" xr:uid="{00000000-0005-0000-0000-0000D9430000}"/>
    <cellStyle name="Normal 2 2 8 10 2 10" xfId="35999" xr:uid="{00000000-0005-0000-0000-0000DA430000}"/>
    <cellStyle name="Normal 2 2 8 10 2 2" xfId="7298" xr:uid="{00000000-0005-0000-0000-0000DB430000}"/>
    <cellStyle name="Normal 2 2 8 10 2 2 2" xfId="7299" xr:uid="{00000000-0005-0000-0000-0000DC430000}"/>
    <cellStyle name="Normal 2 2 8 10 2 2 2 2" xfId="7300" xr:uid="{00000000-0005-0000-0000-0000DD430000}"/>
    <cellStyle name="Normal 2 2 8 10 2 2 2 2 2" xfId="36000" xr:uid="{00000000-0005-0000-0000-0000DE430000}"/>
    <cellStyle name="Normal 2 2 8 10 2 2 2 3" xfId="7301" xr:uid="{00000000-0005-0000-0000-0000DF430000}"/>
    <cellStyle name="Normal 2 2 8 10 2 2 2 3 2" xfId="36001" xr:uid="{00000000-0005-0000-0000-0000E0430000}"/>
    <cellStyle name="Normal 2 2 8 10 2 2 2 4" xfId="36002" xr:uid="{00000000-0005-0000-0000-0000E1430000}"/>
    <cellStyle name="Normal 2 2 8 10 2 2 3" xfId="7302" xr:uid="{00000000-0005-0000-0000-0000E2430000}"/>
    <cellStyle name="Normal 2 2 8 10 2 2 3 2" xfId="36003" xr:uid="{00000000-0005-0000-0000-0000E3430000}"/>
    <cellStyle name="Normal 2 2 8 10 2 2 4" xfId="7303" xr:uid="{00000000-0005-0000-0000-0000E4430000}"/>
    <cellStyle name="Normal 2 2 8 10 2 2 4 2" xfId="36004" xr:uid="{00000000-0005-0000-0000-0000E5430000}"/>
    <cellStyle name="Normal 2 2 8 10 2 2 5" xfId="7304" xr:uid="{00000000-0005-0000-0000-0000E6430000}"/>
    <cellStyle name="Normal 2 2 8 10 2 2 5 2" xfId="36005" xr:uid="{00000000-0005-0000-0000-0000E7430000}"/>
    <cellStyle name="Normal 2 2 8 10 2 2 6" xfId="36006" xr:uid="{00000000-0005-0000-0000-0000E8430000}"/>
    <cellStyle name="Normal 2 2 8 10 2 2 6 2" xfId="36007" xr:uid="{00000000-0005-0000-0000-0000E9430000}"/>
    <cellStyle name="Normal 2 2 8 10 2 2 7" xfId="36008" xr:uid="{00000000-0005-0000-0000-0000EA430000}"/>
    <cellStyle name="Normal 2 2 8 10 2 3" xfId="7305" xr:uid="{00000000-0005-0000-0000-0000EB430000}"/>
    <cellStyle name="Normal 2 2 8 10 2 3 2" xfId="7306" xr:uid="{00000000-0005-0000-0000-0000EC430000}"/>
    <cellStyle name="Normal 2 2 8 10 2 3 2 2" xfId="36009" xr:uid="{00000000-0005-0000-0000-0000ED430000}"/>
    <cellStyle name="Normal 2 2 8 10 2 3 3" xfId="7307" xr:uid="{00000000-0005-0000-0000-0000EE430000}"/>
    <cellStyle name="Normal 2 2 8 10 2 3 3 2" xfId="36010" xr:uid="{00000000-0005-0000-0000-0000EF430000}"/>
    <cellStyle name="Normal 2 2 8 10 2 3 4" xfId="36011" xr:uid="{00000000-0005-0000-0000-0000F0430000}"/>
    <cellStyle name="Normal 2 2 8 10 2 4" xfId="7308" xr:uid="{00000000-0005-0000-0000-0000F1430000}"/>
    <cellStyle name="Normal 2 2 8 10 2 4 2" xfId="7309" xr:uid="{00000000-0005-0000-0000-0000F2430000}"/>
    <cellStyle name="Normal 2 2 8 10 2 4 2 2" xfId="36012" xr:uid="{00000000-0005-0000-0000-0000F3430000}"/>
    <cellStyle name="Normal 2 2 8 10 2 4 3" xfId="36013" xr:uid="{00000000-0005-0000-0000-0000F4430000}"/>
    <cellStyle name="Normal 2 2 8 10 2 5" xfId="7310" xr:uid="{00000000-0005-0000-0000-0000F5430000}"/>
    <cellStyle name="Normal 2 2 8 10 2 5 2" xfId="36014" xr:uid="{00000000-0005-0000-0000-0000F6430000}"/>
    <cellStyle name="Normal 2 2 8 10 2 6" xfId="7311" xr:uid="{00000000-0005-0000-0000-0000F7430000}"/>
    <cellStyle name="Normal 2 2 8 10 2 6 2" xfId="36015" xr:uid="{00000000-0005-0000-0000-0000F8430000}"/>
    <cellStyle name="Normal 2 2 8 10 2 7" xfId="36016" xr:uid="{00000000-0005-0000-0000-0000F9430000}"/>
    <cellStyle name="Normal 2 2 8 10 2 7 2" xfId="36017" xr:uid="{00000000-0005-0000-0000-0000FA430000}"/>
    <cellStyle name="Normal 2 2 8 10 2 8" xfId="36018" xr:uid="{00000000-0005-0000-0000-0000FB430000}"/>
    <cellStyle name="Normal 2 2 8 10 2 9" xfId="36019" xr:uid="{00000000-0005-0000-0000-0000FC430000}"/>
    <cellStyle name="Normal 2 2 8 10 3" xfId="7312" xr:uid="{00000000-0005-0000-0000-0000FD430000}"/>
    <cellStyle name="Normal 2 2 8 10 3 2" xfId="7313" xr:uid="{00000000-0005-0000-0000-0000FE430000}"/>
    <cellStyle name="Normal 2 2 8 10 3 2 2" xfId="7314" xr:uid="{00000000-0005-0000-0000-0000FF430000}"/>
    <cellStyle name="Normal 2 2 8 10 3 2 2 2" xfId="36020" xr:uid="{00000000-0005-0000-0000-000000440000}"/>
    <cellStyle name="Normal 2 2 8 10 3 2 3" xfId="7315" xr:uid="{00000000-0005-0000-0000-000001440000}"/>
    <cellStyle name="Normal 2 2 8 10 3 2 3 2" xfId="36021" xr:uid="{00000000-0005-0000-0000-000002440000}"/>
    <cellStyle name="Normal 2 2 8 10 3 2 4" xfId="36022" xr:uid="{00000000-0005-0000-0000-000003440000}"/>
    <cellStyle name="Normal 2 2 8 10 3 3" xfId="7316" xr:uid="{00000000-0005-0000-0000-000004440000}"/>
    <cellStyle name="Normal 2 2 8 10 3 3 2" xfId="36023" xr:uid="{00000000-0005-0000-0000-000005440000}"/>
    <cellStyle name="Normal 2 2 8 10 3 4" xfId="7317" xr:uid="{00000000-0005-0000-0000-000006440000}"/>
    <cellStyle name="Normal 2 2 8 10 3 4 2" xfId="36024" xr:uid="{00000000-0005-0000-0000-000007440000}"/>
    <cellStyle name="Normal 2 2 8 10 3 5" xfId="7318" xr:uid="{00000000-0005-0000-0000-000008440000}"/>
    <cellStyle name="Normal 2 2 8 10 3 5 2" xfId="36025" xr:uid="{00000000-0005-0000-0000-000009440000}"/>
    <cellStyle name="Normal 2 2 8 10 3 6" xfId="36026" xr:uid="{00000000-0005-0000-0000-00000A440000}"/>
    <cellStyle name="Normal 2 2 8 10 3 6 2" xfId="36027" xr:uid="{00000000-0005-0000-0000-00000B440000}"/>
    <cellStyle name="Normal 2 2 8 10 3 7" xfId="36028" xr:uid="{00000000-0005-0000-0000-00000C440000}"/>
    <cellStyle name="Normal 2 2 8 10 4" xfId="7319" xr:uid="{00000000-0005-0000-0000-00000D440000}"/>
    <cellStyle name="Normal 2 2 8 10 4 2" xfId="7320" xr:uid="{00000000-0005-0000-0000-00000E440000}"/>
    <cellStyle name="Normal 2 2 8 10 4 2 2" xfId="36029" xr:uid="{00000000-0005-0000-0000-00000F440000}"/>
    <cellStyle name="Normal 2 2 8 10 4 3" xfId="7321" xr:uid="{00000000-0005-0000-0000-000010440000}"/>
    <cellStyle name="Normal 2 2 8 10 4 3 2" xfId="36030" xr:uid="{00000000-0005-0000-0000-000011440000}"/>
    <cellStyle name="Normal 2 2 8 10 4 4" xfId="36031" xr:uid="{00000000-0005-0000-0000-000012440000}"/>
    <cellStyle name="Normal 2 2 8 10 5" xfId="7322" xr:uid="{00000000-0005-0000-0000-000013440000}"/>
    <cellStyle name="Normal 2 2 8 10 5 2" xfId="7323" xr:uid="{00000000-0005-0000-0000-000014440000}"/>
    <cellStyle name="Normal 2 2 8 10 5 2 2" xfId="36032" xr:uid="{00000000-0005-0000-0000-000015440000}"/>
    <cellStyle name="Normal 2 2 8 10 5 3" xfId="36033" xr:uid="{00000000-0005-0000-0000-000016440000}"/>
    <cellStyle name="Normal 2 2 8 10 6" xfId="7324" xr:uid="{00000000-0005-0000-0000-000017440000}"/>
    <cellStyle name="Normal 2 2 8 10 6 2" xfId="36034" xr:uid="{00000000-0005-0000-0000-000018440000}"/>
    <cellStyle name="Normal 2 2 8 10 7" xfId="7325" xr:uid="{00000000-0005-0000-0000-000019440000}"/>
    <cellStyle name="Normal 2 2 8 10 7 2" xfId="36035" xr:uid="{00000000-0005-0000-0000-00001A440000}"/>
    <cellStyle name="Normal 2 2 8 10 8" xfId="36036" xr:uid="{00000000-0005-0000-0000-00001B440000}"/>
    <cellStyle name="Normal 2 2 8 10 8 2" xfId="36037" xr:uid="{00000000-0005-0000-0000-00001C440000}"/>
    <cellStyle name="Normal 2 2 8 10 9" xfId="36038" xr:uid="{00000000-0005-0000-0000-00001D440000}"/>
    <cellStyle name="Normal 2 2 8 11" xfId="7326" xr:uid="{00000000-0005-0000-0000-00001E440000}"/>
    <cellStyle name="Normal 2 2 8 11 10" xfId="36039" xr:uid="{00000000-0005-0000-0000-00001F440000}"/>
    <cellStyle name="Normal 2 2 8 11 11" xfId="36040" xr:uid="{00000000-0005-0000-0000-000020440000}"/>
    <cellStyle name="Normal 2 2 8 11 2" xfId="7327" xr:uid="{00000000-0005-0000-0000-000021440000}"/>
    <cellStyle name="Normal 2 2 8 11 2 10" xfId="36041" xr:uid="{00000000-0005-0000-0000-000022440000}"/>
    <cellStyle name="Normal 2 2 8 11 2 2" xfId="7328" xr:uid="{00000000-0005-0000-0000-000023440000}"/>
    <cellStyle name="Normal 2 2 8 11 2 2 2" xfId="7329" xr:uid="{00000000-0005-0000-0000-000024440000}"/>
    <cellStyle name="Normal 2 2 8 11 2 2 2 2" xfId="7330" xr:uid="{00000000-0005-0000-0000-000025440000}"/>
    <cellStyle name="Normal 2 2 8 11 2 2 2 2 2" xfId="36042" xr:uid="{00000000-0005-0000-0000-000026440000}"/>
    <cellStyle name="Normal 2 2 8 11 2 2 2 3" xfId="7331" xr:uid="{00000000-0005-0000-0000-000027440000}"/>
    <cellStyle name="Normal 2 2 8 11 2 2 2 3 2" xfId="36043" xr:uid="{00000000-0005-0000-0000-000028440000}"/>
    <cellStyle name="Normal 2 2 8 11 2 2 2 4" xfId="36044" xr:uid="{00000000-0005-0000-0000-000029440000}"/>
    <cellStyle name="Normal 2 2 8 11 2 2 3" xfId="7332" xr:uid="{00000000-0005-0000-0000-00002A440000}"/>
    <cellStyle name="Normal 2 2 8 11 2 2 3 2" xfId="36045" xr:uid="{00000000-0005-0000-0000-00002B440000}"/>
    <cellStyle name="Normal 2 2 8 11 2 2 4" xfId="7333" xr:uid="{00000000-0005-0000-0000-00002C440000}"/>
    <cellStyle name="Normal 2 2 8 11 2 2 4 2" xfId="36046" xr:uid="{00000000-0005-0000-0000-00002D440000}"/>
    <cellStyle name="Normal 2 2 8 11 2 2 5" xfId="7334" xr:uid="{00000000-0005-0000-0000-00002E440000}"/>
    <cellStyle name="Normal 2 2 8 11 2 2 5 2" xfId="36047" xr:uid="{00000000-0005-0000-0000-00002F440000}"/>
    <cellStyle name="Normal 2 2 8 11 2 2 6" xfId="36048" xr:uid="{00000000-0005-0000-0000-000030440000}"/>
    <cellStyle name="Normal 2 2 8 11 2 2 6 2" xfId="36049" xr:uid="{00000000-0005-0000-0000-000031440000}"/>
    <cellStyle name="Normal 2 2 8 11 2 2 7" xfId="36050" xr:uid="{00000000-0005-0000-0000-000032440000}"/>
    <cellStyle name="Normal 2 2 8 11 2 3" xfId="7335" xr:uid="{00000000-0005-0000-0000-000033440000}"/>
    <cellStyle name="Normal 2 2 8 11 2 3 2" xfId="7336" xr:uid="{00000000-0005-0000-0000-000034440000}"/>
    <cellStyle name="Normal 2 2 8 11 2 3 2 2" xfId="36051" xr:uid="{00000000-0005-0000-0000-000035440000}"/>
    <cellStyle name="Normal 2 2 8 11 2 3 3" xfId="7337" xr:uid="{00000000-0005-0000-0000-000036440000}"/>
    <cellStyle name="Normal 2 2 8 11 2 3 3 2" xfId="36052" xr:uid="{00000000-0005-0000-0000-000037440000}"/>
    <cellStyle name="Normal 2 2 8 11 2 3 4" xfId="36053" xr:uid="{00000000-0005-0000-0000-000038440000}"/>
    <cellStyle name="Normal 2 2 8 11 2 4" xfId="7338" xr:uid="{00000000-0005-0000-0000-000039440000}"/>
    <cellStyle name="Normal 2 2 8 11 2 4 2" xfId="7339" xr:uid="{00000000-0005-0000-0000-00003A440000}"/>
    <cellStyle name="Normal 2 2 8 11 2 4 2 2" xfId="36054" xr:uid="{00000000-0005-0000-0000-00003B440000}"/>
    <cellStyle name="Normal 2 2 8 11 2 4 3" xfId="36055" xr:uid="{00000000-0005-0000-0000-00003C440000}"/>
    <cellStyle name="Normal 2 2 8 11 2 5" xfId="7340" xr:uid="{00000000-0005-0000-0000-00003D440000}"/>
    <cellStyle name="Normal 2 2 8 11 2 5 2" xfId="36056" xr:uid="{00000000-0005-0000-0000-00003E440000}"/>
    <cellStyle name="Normal 2 2 8 11 2 6" xfId="7341" xr:uid="{00000000-0005-0000-0000-00003F440000}"/>
    <cellStyle name="Normal 2 2 8 11 2 6 2" xfId="36057" xr:uid="{00000000-0005-0000-0000-000040440000}"/>
    <cellStyle name="Normal 2 2 8 11 2 7" xfId="36058" xr:uid="{00000000-0005-0000-0000-000041440000}"/>
    <cellStyle name="Normal 2 2 8 11 2 7 2" xfId="36059" xr:uid="{00000000-0005-0000-0000-000042440000}"/>
    <cellStyle name="Normal 2 2 8 11 2 8" xfId="36060" xr:uid="{00000000-0005-0000-0000-000043440000}"/>
    <cellStyle name="Normal 2 2 8 11 2 9" xfId="36061" xr:uid="{00000000-0005-0000-0000-000044440000}"/>
    <cellStyle name="Normal 2 2 8 11 3" xfId="7342" xr:uid="{00000000-0005-0000-0000-000045440000}"/>
    <cellStyle name="Normal 2 2 8 11 3 2" xfId="7343" xr:uid="{00000000-0005-0000-0000-000046440000}"/>
    <cellStyle name="Normal 2 2 8 11 3 2 2" xfId="7344" xr:uid="{00000000-0005-0000-0000-000047440000}"/>
    <cellStyle name="Normal 2 2 8 11 3 2 2 2" xfId="36062" xr:uid="{00000000-0005-0000-0000-000048440000}"/>
    <cellStyle name="Normal 2 2 8 11 3 2 3" xfId="7345" xr:uid="{00000000-0005-0000-0000-000049440000}"/>
    <cellStyle name="Normal 2 2 8 11 3 2 3 2" xfId="36063" xr:uid="{00000000-0005-0000-0000-00004A440000}"/>
    <cellStyle name="Normal 2 2 8 11 3 2 4" xfId="36064" xr:uid="{00000000-0005-0000-0000-00004B440000}"/>
    <cellStyle name="Normal 2 2 8 11 3 3" xfId="7346" xr:uid="{00000000-0005-0000-0000-00004C440000}"/>
    <cellStyle name="Normal 2 2 8 11 3 3 2" xfId="36065" xr:uid="{00000000-0005-0000-0000-00004D440000}"/>
    <cellStyle name="Normal 2 2 8 11 3 4" xfId="7347" xr:uid="{00000000-0005-0000-0000-00004E440000}"/>
    <cellStyle name="Normal 2 2 8 11 3 4 2" xfId="36066" xr:uid="{00000000-0005-0000-0000-00004F440000}"/>
    <cellStyle name="Normal 2 2 8 11 3 5" xfId="7348" xr:uid="{00000000-0005-0000-0000-000050440000}"/>
    <cellStyle name="Normal 2 2 8 11 3 5 2" xfId="36067" xr:uid="{00000000-0005-0000-0000-000051440000}"/>
    <cellStyle name="Normal 2 2 8 11 3 6" xfId="36068" xr:uid="{00000000-0005-0000-0000-000052440000}"/>
    <cellStyle name="Normal 2 2 8 11 3 6 2" xfId="36069" xr:uid="{00000000-0005-0000-0000-000053440000}"/>
    <cellStyle name="Normal 2 2 8 11 3 7" xfId="36070" xr:uid="{00000000-0005-0000-0000-000054440000}"/>
    <cellStyle name="Normal 2 2 8 11 4" xfId="7349" xr:uid="{00000000-0005-0000-0000-000055440000}"/>
    <cellStyle name="Normal 2 2 8 11 4 2" xfId="7350" xr:uid="{00000000-0005-0000-0000-000056440000}"/>
    <cellStyle name="Normal 2 2 8 11 4 2 2" xfId="36071" xr:uid="{00000000-0005-0000-0000-000057440000}"/>
    <cellStyle name="Normal 2 2 8 11 4 3" xfId="7351" xr:uid="{00000000-0005-0000-0000-000058440000}"/>
    <cellStyle name="Normal 2 2 8 11 4 3 2" xfId="36072" xr:uid="{00000000-0005-0000-0000-000059440000}"/>
    <cellStyle name="Normal 2 2 8 11 4 4" xfId="36073" xr:uid="{00000000-0005-0000-0000-00005A440000}"/>
    <cellStyle name="Normal 2 2 8 11 5" xfId="7352" xr:uid="{00000000-0005-0000-0000-00005B440000}"/>
    <cellStyle name="Normal 2 2 8 11 5 2" xfId="7353" xr:uid="{00000000-0005-0000-0000-00005C440000}"/>
    <cellStyle name="Normal 2 2 8 11 5 2 2" xfId="36074" xr:uid="{00000000-0005-0000-0000-00005D440000}"/>
    <cellStyle name="Normal 2 2 8 11 5 3" xfId="36075" xr:uid="{00000000-0005-0000-0000-00005E440000}"/>
    <cellStyle name="Normal 2 2 8 11 6" xfId="7354" xr:uid="{00000000-0005-0000-0000-00005F440000}"/>
    <cellStyle name="Normal 2 2 8 11 6 2" xfId="36076" xr:uid="{00000000-0005-0000-0000-000060440000}"/>
    <cellStyle name="Normal 2 2 8 11 7" xfId="7355" xr:uid="{00000000-0005-0000-0000-000061440000}"/>
    <cellStyle name="Normal 2 2 8 11 7 2" xfId="36077" xr:uid="{00000000-0005-0000-0000-000062440000}"/>
    <cellStyle name="Normal 2 2 8 11 8" xfId="36078" xr:uid="{00000000-0005-0000-0000-000063440000}"/>
    <cellStyle name="Normal 2 2 8 11 8 2" xfId="36079" xr:uid="{00000000-0005-0000-0000-000064440000}"/>
    <cellStyle name="Normal 2 2 8 11 9" xfId="36080" xr:uid="{00000000-0005-0000-0000-000065440000}"/>
    <cellStyle name="Normal 2 2 8 12" xfId="7356" xr:uid="{00000000-0005-0000-0000-000066440000}"/>
    <cellStyle name="Normal 2 2 8 12 10" xfId="36081" xr:uid="{00000000-0005-0000-0000-000067440000}"/>
    <cellStyle name="Normal 2 2 8 12 11" xfId="36082" xr:uid="{00000000-0005-0000-0000-000068440000}"/>
    <cellStyle name="Normal 2 2 8 12 2" xfId="7357" xr:uid="{00000000-0005-0000-0000-000069440000}"/>
    <cellStyle name="Normal 2 2 8 12 2 10" xfId="36083" xr:uid="{00000000-0005-0000-0000-00006A440000}"/>
    <cellStyle name="Normal 2 2 8 12 2 2" xfId="7358" xr:uid="{00000000-0005-0000-0000-00006B440000}"/>
    <cellStyle name="Normal 2 2 8 12 2 2 2" xfId="7359" xr:uid="{00000000-0005-0000-0000-00006C440000}"/>
    <cellStyle name="Normal 2 2 8 12 2 2 2 2" xfId="7360" xr:uid="{00000000-0005-0000-0000-00006D440000}"/>
    <cellStyle name="Normal 2 2 8 12 2 2 2 2 2" xfId="36084" xr:uid="{00000000-0005-0000-0000-00006E440000}"/>
    <cellStyle name="Normal 2 2 8 12 2 2 2 3" xfId="7361" xr:uid="{00000000-0005-0000-0000-00006F440000}"/>
    <cellStyle name="Normal 2 2 8 12 2 2 2 3 2" xfId="36085" xr:uid="{00000000-0005-0000-0000-000070440000}"/>
    <cellStyle name="Normal 2 2 8 12 2 2 2 4" xfId="36086" xr:uid="{00000000-0005-0000-0000-000071440000}"/>
    <cellStyle name="Normal 2 2 8 12 2 2 3" xfId="7362" xr:uid="{00000000-0005-0000-0000-000072440000}"/>
    <cellStyle name="Normal 2 2 8 12 2 2 3 2" xfId="36087" xr:uid="{00000000-0005-0000-0000-000073440000}"/>
    <cellStyle name="Normal 2 2 8 12 2 2 4" xfId="7363" xr:uid="{00000000-0005-0000-0000-000074440000}"/>
    <cellStyle name="Normal 2 2 8 12 2 2 4 2" xfId="36088" xr:uid="{00000000-0005-0000-0000-000075440000}"/>
    <cellStyle name="Normal 2 2 8 12 2 2 5" xfId="7364" xr:uid="{00000000-0005-0000-0000-000076440000}"/>
    <cellStyle name="Normal 2 2 8 12 2 2 5 2" xfId="36089" xr:uid="{00000000-0005-0000-0000-000077440000}"/>
    <cellStyle name="Normal 2 2 8 12 2 2 6" xfId="36090" xr:uid="{00000000-0005-0000-0000-000078440000}"/>
    <cellStyle name="Normal 2 2 8 12 2 2 6 2" xfId="36091" xr:uid="{00000000-0005-0000-0000-000079440000}"/>
    <cellStyle name="Normal 2 2 8 12 2 2 7" xfId="36092" xr:uid="{00000000-0005-0000-0000-00007A440000}"/>
    <cellStyle name="Normal 2 2 8 12 2 3" xfId="7365" xr:uid="{00000000-0005-0000-0000-00007B440000}"/>
    <cellStyle name="Normal 2 2 8 12 2 3 2" xfId="7366" xr:uid="{00000000-0005-0000-0000-00007C440000}"/>
    <cellStyle name="Normal 2 2 8 12 2 3 2 2" xfId="36093" xr:uid="{00000000-0005-0000-0000-00007D440000}"/>
    <cellStyle name="Normal 2 2 8 12 2 3 3" xfId="7367" xr:uid="{00000000-0005-0000-0000-00007E440000}"/>
    <cellStyle name="Normal 2 2 8 12 2 3 3 2" xfId="36094" xr:uid="{00000000-0005-0000-0000-00007F440000}"/>
    <cellStyle name="Normal 2 2 8 12 2 3 4" xfId="36095" xr:uid="{00000000-0005-0000-0000-000080440000}"/>
    <cellStyle name="Normal 2 2 8 12 2 4" xfId="7368" xr:uid="{00000000-0005-0000-0000-000081440000}"/>
    <cellStyle name="Normal 2 2 8 12 2 4 2" xfId="7369" xr:uid="{00000000-0005-0000-0000-000082440000}"/>
    <cellStyle name="Normal 2 2 8 12 2 4 2 2" xfId="36096" xr:uid="{00000000-0005-0000-0000-000083440000}"/>
    <cellStyle name="Normal 2 2 8 12 2 4 3" xfId="36097" xr:uid="{00000000-0005-0000-0000-000084440000}"/>
    <cellStyle name="Normal 2 2 8 12 2 5" xfId="7370" xr:uid="{00000000-0005-0000-0000-000085440000}"/>
    <cellStyle name="Normal 2 2 8 12 2 5 2" xfId="36098" xr:uid="{00000000-0005-0000-0000-000086440000}"/>
    <cellStyle name="Normal 2 2 8 12 2 6" xfId="7371" xr:uid="{00000000-0005-0000-0000-000087440000}"/>
    <cellStyle name="Normal 2 2 8 12 2 6 2" xfId="36099" xr:uid="{00000000-0005-0000-0000-000088440000}"/>
    <cellStyle name="Normal 2 2 8 12 2 7" xfId="36100" xr:uid="{00000000-0005-0000-0000-000089440000}"/>
    <cellStyle name="Normal 2 2 8 12 2 7 2" xfId="36101" xr:uid="{00000000-0005-0000-0000-00008A440000}"/>
    <cellStyle name="Normal 2 2 8 12 2 8" xfId="36102" xr:uid="{00000000-0005-0000-0000-00008B440000}"/>
    <cellStyle name="Normal 2 2 8 12 2 9" xfId="36103" xr:uid="{00000000-0005-0000-0000-00008C440000}"/>
    <cellStyle name="Normal 2 2 8 12 3" xfId="7372" xr:uid="{00000000-0005-0000-0000-00008D440000}"/>
    <cellStyle name="Normal 2 2 8 12 3 2" xfId="7373" xr:uid="{00000000-0005-0000-0000-00008E440000}"/>
    <cellStyle name="Normal 2 2 8 12 3 2 2" xfId="7374" xr:uid="{00000000-0005-0000-0000-00008F440000}"/>
    <cellStyle name="Normal 2 2 8 12 3 2 2 2" xfId="36104" xr:uid="{00000000-0005-0000-0000-000090440000}"/>
    <cellStyle name="Normal 2 2 8 12 3 2 3" xfId="7375" xr:uid="{00000000-0005-0000-0000-000091440000}"/>
    <cellStyle name="Normal 2 2 8 12 3 2 3 2" xfId="36105" xr:uid="{00000000-0005-0000-0000-000092440000}"/>
    <cellStyle name="Normal 2 2 8 12 3 2 4" xfId="36106" xr:uid="{00000000-0005-0000-0000-000093440000}"/>
    <cellStyle name="Normal 2 2 8 12 3 3" xfId="7376" xr:uid="{00000000-0005-0000-0000-000094440000}"/>
    <cellStyle name="Normal 2 2 8 12 3 3 2" xfId="36107" xr:uid="{00000000-0005-0000-0000-000095440000}"/>
    <cellStyle name="Normal 2 2 8 12 3 4" xfId="7377" xr:uid="{00000000-0005-0000-0000-000096440000}"/>
    <cellStyle name="Normal 2 2 8 12 3 4 2" xfId="36108" xr:uid="{00000000-0005-0000-0000-000097440000}"/>
    <cellStyle name="Normal 2 2 8 12 3 5" xfId="7378" xr:uid="{00000000-0005-0000-0000-000098440000}"/>
    <cellStyle name="Normal 2 2 8 12 3 5 2" xfId="36109" xr:uid="{00000000-0005-0000-0000-000099440000}"/>
    <cellStyle name="Normal 2 2 8 12 3 6" xfId="36110" xr:uid="{00000000-0005-0000-0000-00009A440000}"/>
    <cellStyle name="Normal 2 2 8 12 3 6 2" xfId="36111" xr:uid="{00000000-0005-0000-0000-00009B440000}"/>
    <cellStyle name="Normal 2 2 8 12 3 7" xfId="36112" xr:uid="{00000000-0005-0000-0000-00009C440000}"/>
    <cellStyle name="Normal 2 2 8 12 4" xfId="7379" xr:uid="{00000000-0005-0000-0000-00009D440000}"/>
    <cellStyle name="Normal 2 2 8 12 4 2" xfId="7380" xr:uid="{00000000-0005-0000-0000-00009E440000}"/>
    <cellStyle name="Normal 2 2 8 12 4 2 2" xfId="36113" xr:uid="{00000000-0005-0000-0000-00009F440000}"/>
    <cellStyle name="Normal 2 2 8 12 4 3" xfId="7381" xr:uid="{00000000-0005-0000-0000-0000A0440000}"/>
    <cellStyle name="Normal 2 2 8 12 4 3 2" xfId="36114" xr:uid="{00000000-0005-0000-0000-0000A1440000}"/>
    <cellStyle name="Normal 2 2 8 12 4 4" xfId="36115" xr:uid="{00000000-0005-0000-0000-0000A2440000}"/>
    <cellStyle name="Normal 2 2 8 12 5" xfId="7382" xr:uid="{00000000-0005-0000-0000-0000A3440000}"/>
    <cellStyle name="Normal 2 2 8 12 5 2" xfId="7383" xr:uid="{00000000-0005-0000-0000-0000A4440000}"/>
    <cellStyle name="Normal 2 2 8 12 5 2 2" xfId="36116" xr:uid="{00000000-0005-0000-0000-0000A5440000}"/>
    <cellStyle name="Normal 2 2 8 12 5 3" xfId="36117" xr:uid="{00000000-0005-0000-0000-0000A6440000}"/>
    <cellStyle name="Normal 2 2 8 12 6" xfId="7384" xr:uid="{00000000-0005-0000-0000-0000A7440000}"/>
    <cellStyle name="Normal 2 2 8 12 6 2" xfId="36118" xr:uid="{00000000-0005-0000-0000-0000A8440000}"/>
    <cellStyle name="Normal 2 2 8 12 7" xfId="7385" xr:uid="{00000000-0005-0000-0000-0000A9440000}"/>
    <cellStyle name="Normal 2 2 8 12 7 2" xfId="36119" xr:uid="{00000000-0005-0000-0000-0000AA440000}"/>
    <cellStyle name="Normal 2 2 8 12 8" xfId="36120" xr:uid="{00000000-0005-0000-0000-0000AB440000}"/>
    <cellStyle name="Normal 2 2 8 12 8 2" xfId="36121" xr:uid="{00000000-0005-0000-0000-0000AC440000}"/>
    <cellStyle name="Normal 2 2 8 12 9" xfId="36122" xr:uid="{00000000-0005-0000-0000-0000AD440000}"/>
    <cellStyle name="Normal 2 2 8 13" xfId="7386" xr:uid="{00000000-0005-0000-0000-0000AE440000}"/>
    <cellStyle name="Normal 2 2 8 13 10" xfId="36123" xr:uid="{00000000-0005-0000-0000-0000AF440000}"/>
    <cellStyle name="Normal 2 2 8 13 11" xfId="36124" xr:uid="{00000000-0005-0000-0000-0000B0440000}"/>
    <cellStyle name="Normal 2 2 8 13 2" xfId="7387" xr:uid="{00000000-0005-0000-0000-0000B1440000}"/>
    <cellStyle name="Normal 2 2 8 13 2 10" xfId="36125" xr:uid="{00000000-0005-0000-0000-0000B2440000}"/>
    <cellStyle name="Normal 2 2 8 13 2 2" xfId="7388" xr:uid="{00000000-0005-0000-0000-0000B3440000}"/>
    <cellStyle name="Normal 2 2 8 13 2 2 2" xfId="7389" xr:uid="{00000000-0005-0000-0000-0000B4440000}"/>
    <cellStyle name="Normal 2 2 8 13 2 2 2 2" xfId="7390" xr:uid="{00000000-0005-0000-0000-0000B5440000}"/>
    <cellStyle name="Normal 2 2 8 13 2 2 2 2 2" xfId="36126" xr:uid="{00000000-0005-0000-0000-0000B6440000}"/>
    <cellStyle name="Normal 2 2 8 13 2 2 2 3" xfId="7391" xr:uid="{00000000-0005-0000-0000-0000B7440000}"/>
    <cellStyle name="Normal 2 2 8 13 2 2 2 3 2" xfId="36127" xr:uid="{00000000-0005-0000-0000-0000B8440000}"/>
    <cellStyle name="Normal 2 2 8 13 2 2 2 4" xfId="36128" xr:uid="{00000000-0005-0000-0000-0000B9440000}"/>
    <cellStyle name="Normal 2 2 8 13 2 2 3" xfId="7392" xr:uid="{00000000-0005-0000-0000-0000BA440000}"/>
    <cellStyle name="Normal 2 2 8 13 2 2 3 2" xfId="36129" xr:uid="{00000000-0005-0000-0000-0000BB440000}"/>
    <cellStyle name="Normal 2 2 8 13 2 2 4" xfId="7393" xr:uid="{00000000-0005-0000-0000-0000BC440000}"/>
    <cellStyle name="Normal 2 2 8 13 2 2 4 2" xfId="36130" xr:uid="{00000000-0005-0000-0000-0000BD440000}"/>
    <cellStyle name="Normal 2 2 8 13 2 2 5" xfId="7394" xr:uid="{00000000-0005-0000-0000-0000BE440000}"/>
    <cellStyle name="Normal 2 2 8 13 2 2 5 2" xfId="36131" xr:uid="{00000000-0005-0000-0000-0000BF440000}"/>
    <cellStyle name="Normal 2 2 8 13 2 2 6" xfId="36132" xr:uid="{00000000-0005-0000-0000-0000C0440000}"/>
    <cellStyle name="Normal 2 2 8 13 2 2 6 2" xfId="36133" xr:uid="{00000000-0005-0000-0000-0000C1440000}"/>
    <cellStyle name="Normal 2 2 8 13 2 2 7" xfId="36134" xr:uid="{00000000-0005-0000-0000-0000C2440000}"/>
    <cellStyle name="Normal 2 2 8 13 2 3" xfId="7395" xr:uid="{00000000-0005-0000-0000-0000C3440000}"/>
    <cellStyle name="Normal 2 2 8 13 2 3 2" xfId="7396" xr:uid="{00000000-0005-0000-0000-0000C4440000}"/>
    <cellStyle name="Normal 2 2 8 13 2 3 2 2" xfId="36135" xr:uid="{00000000-0005-0000-0000-0000C5440000}"/>
    <cellStyle name="Normal 2 2 8 13 2 3 3" xfId="7397" xr:uid="{00000000-0005-0000-0000-0000C6440000}"/>
    <cellStyle name="Normal 2 2 8 13 2 3 3 2" xfId="36136" xr:uid="{00000000-0005-0000-0000-0000C7440000}"/>
    <cellStyle name="Normal 2 2 8 13 2 3 4" xfId="36137" xr:uid="{00000000-0005-0000-0000-0000C8440000}"/>
    <cellStyle name="Normal 2 2 8 13 2 4" xfId="7398" xr:uid="{00000000-0005-0000-0000-0000C9440000}"/>
    <cellStyle name="Normal 2 2 8 13 2 4 2" xfId="7399" xr:uid="{00000000-0005-0000-0000-0000CA440000}"/>
    <cellStyle name="Normal 2 2 8 13 2 4 2 2" xfId="36138" xr:uid="{00000000-0005-0000-0000-0000CB440000}"/>
    <cellStyle name="Normal 2 2 8 13 2 4 3" xfId="36139" xr:uid="{00000000-0005-0000-0000-0000CC440000}"/>
    <cellStyle name="Normal 2 2 8 13 2 5" xfId="7400" xr:uid="{00000000-0005-0000-0000-0000CD440000}"/>
    <cellStyle name="Normal 2 2 8 13 2 5 2" xfId="36140" xr:uid="{00000000-0005-0000-0000-0000CE440000}"/>
    <cellStyle name="Normal 2 2 8 13 2 6" xfId="7401" xr:uid="{00000000-0005-0000-0000-0000CF440000}"/>
    <cellStyle name="Normal 2 2 8 13 2 6 2" xfId="36141" xr:uid="{00000000-0005-0000-0000-0000D0440000}"/>
    <cellStyle name="Normal 2 2 8 13 2 7" xfId="36142" xr:uid="{00000000-0005-0000-0000-0000D1440000}"/>
    <cellStyle name="Normal 2 2 8 13 2 7 2" xfId="36143" xr:uid="{00000000-0005-0000-0000-0000D2440000}"/>
    <cellStyle name="Normal 2 2 8 13 2 8" xfId="36144" xr:uid="{00000000-0005-0000-0000-0000D3440000}"/>
    <cellStyle name="Normal 2 2 8 13 2 9" xfId="36145" xr:uid="{00000000-0005-0000-0000-0000D4440000}"/>
    <cellStyle name="Normal 2 2 8 13 3" xfId="7402" xr:uid="{00000000-0005-0000-0000-0000D5440000}"/>
    <cellStyle name="Normal 2 2 8 13 3 2" xfId="7403" xr:uid="{00000000-0005-0000-0000-0000D6440000}"/>
    <cellStyle name="Normal 2 2 8 13 3 2 2" xfId="7404" xr:uid="{00000000-0005-0000-0000-0000D7440000}"/>
    <cellStyle name="Normal 2 2 8 13 3 2 2 2" xfId="36146" xr:uid="{00000000-0005-0000-0000-0000D8440000}"/>
    <cellStyle name="Normal 2 2 8 13 3 2 3" xfId="7405" xr:uid="{00000000-0005-0000-0000-0000D9440000}"/>
    <cellStyle name="Normal 2 2 8 13 3 2 3 2" xfId="36147" xr:uid="{00000000-0005-0000-0000-0000DA440000}"/>
    <cellStyle name="Normal 2 2 8 13 3 2 4" xfId="36148" xr:uid="{00000000-0005-0000-0000-0000DB440000}"/>
    <cellStyle name="Normal 2 2 8 13 3 3" xfId="7406" xr:uid="{00000000-0005-0000-0000-0000DC440000}"/>
    <cellStyle name="Normal 2 2 8 13 3 3 2" xfId="36149" xr:uid="{00000000-0005-0000-0000-0000DD440000}"/>
    <cellStyle name="Normal 2 2 8 13 3 4" xfId="7407" xr:uid="{00000000-0005-0000-0000-0000DE440000}"/>
    <cellStyle name="Normal 2 2 8 13 3 4 2" xfId="36150" xr:uid="{00000000-0005-0000-0000-0000DF440000}"/>
    <cellStyle name="Normal 2 2 8 13 3 5" xfId="7408" xr:uid="{00000000-0005-0000-0000-0000E0440000}"/>
    <cellStyle name="Normal 2 2 8 13 3 5 2" xfId="36151" xr:uid="{00000000-0005-0000-0000-0000E1440000}"/>
    <cellStyle name="Normal 2 2 8 13 3 6" xfId="36152" xr:uid="{00000000-0005-0000-0000-0000E2440000}"/>
    <cellStyle name="Normal 2 2 8 13 3 6 2" xfId="36153" xr:uid="{00000000-0005-0000-0000-0000E3440000}"/>
    <cellStyle name="Normal 2 2 8 13 3 7" xfId="36154" xr:uid="{00000000-0005-0000-0000-0000E4440000}"/>
    <cellStyle name="Normal 2 2 8 13 4" xfId="7409" xr:uid="{00000000-0005-0000-0000-0000E5440000}"/>
    <cellStyle name="Normal 2 2 8 13 4 2" xfId="7410" xr:uid="{00000000-0005-0000-0000-0000E6440000}"/>
    <cellStyle name="Normal 2 2 8 13 4 2 2" xfId="36155" xr:uid="{00000000-0005-0000-0000-0000E7440000}"/>
    <cellStyle name="Normal 2 2 8 13 4 3" xfId="7411" xr:uid="{00000000-0005-0000-0000-0000E8440000}"/>
    <cellStyle name="Normal 2 2 8 13 4 3 2" xfId="36156" xr:uid="{00000000-0005-0000-0000-0000E9440000}"/>
    <cellStyle name="Normal 2 2 8 13 4 4" xfId="36157" xr:uid="{00000000-0005-0000-0000-0000EA440000}"/>
    <cellStyle name="Normal 2 2 8 13 5" xfId="7412" xr:uid="{00000000-0005-0000-0000-0000EB440000}"/>
    <cellStyle name="Normal 2 2 8 13 5 2" xfId="7413" xr:uid="{00000000-0005-0000-0000-0000EC440000}"/>
    <cellStyle name="Normal 2 2 8 13 5 2 2" xfId="36158" xr:uid="{00000000-0005-0000-0000-0000ED440000}"/>
    <cellStyle name="Normal 2 2 8 13 5 3" xfId="36159" xr:uid="{00000000-0005-0000-0000-0000EE440000}"/>
    <cellStyle name="Normal 2 2 8 13 6" xfId="7414" xr:uid="{00000000-0005-0000-0000-0000EF440000}"/>
    <cellStyle name="Normal 2 2 8 13 6 2" xfId="36160" xr:uid="{00000000-0005-0000-0000-0000F0440000}"/>
    <cellStyle name="Normal 2 2 8 13 7" xfId="7415" xr:uid="{00000000-0005-0000-0000-0000F1440000}"/>
    <cellStyle name="Normal 2 2 8 13 7 2" xfId="36161" xr:uid="{00000000-0005-0000-0000-0000F2440000}"/>
    <cellStyle name="Normal 2 2 8 13 8" xfId="36162" xr:uid="{00000000-0005-0000-0000-0000F3440000}"/>
    <cellStyle name="Normal 2 2 8 13 8 2" xfId="36163" xr:uid="{00000000-0005-0000-0000-0000F4440000}"/>
    <cellStyle name="Normal 2 2 8 13 9" xfId="36164" xr:uid="{00000000-0005-0000-0000-0000F5440000}"/>
    <cellStyle name="Normal 2 2 8 14" xfId="7416" xr:uid="{00000000-0005-0000-0000-0000F6440000}"/>
    <cellStyle name="Normal 2 2 8 14 10" xfId="36165" xr:uid="{00000000-0005-0000-0000-0000F7440000}"/>
    <cellStyle name="Normal 2 2 8 14 11" xfId="36166" xr:uid="{00000000-0005-0000-0000-0000F8440000}"/>
    <cellStyle name="Normal 2 2 8 14 2" xfId="7417" xr:uid="{00000000-0005-0000-0000-0000F9440000}"/>
    <cellStyle name="Normal 2 2 8 14 2 10" xfId="36167" xr:uid="{00000000-0005-0000-0000-0000FA440000}"/>
    <cellStyle name="Normal 2 2 8 14 2 2" xfId="7418" xr:uid="{00000000-0005-0000-0000-0000FB440000}"/>
    <cellStyle name="Normal 2 2 8 14 2 2 2" xfId="7419" xr:uid="{00000000-0005-0000-0000-0000FC440000}"/>
    <cellStyle name="Normal 2 2 8 14 2 2 2 2" xfId="7420" xr:uid="{00000000-0005-0000-0000-0000FD440000}"/>
    <cellStyle name="Normal 2 2 8 14 2 2 2 2 2" xfId="36168" xr:uid="{00000000-0005-0000-0000-0000FE440000}"/>
    <cellStyle name="Normal 2 2 8 14 2 2 2 3" xfId="7421" xr:uid="{00000000-0005-0000-0000-0000FF440000}"/>
    <cellStyle name="Normal 2 2 8 14 2 2 2 3 2" xfId="36169" xr:uid="{00000000-0005-0000-0000-000000450000}"/>
    <cellStyle name="Normal 2 2 8 14 2 2 2 4" xfId="36170" xr:uid="{00000000-0005-0000-0000-000001450000}"/>
    <cellStyle name="Normal 2 2 8 14 2 2 3" xfId="7422" xr:uid="{00000000-0005-0000-0000-000002450000}"/>
    <cellStyle name="Normal 2 2 8 14 2 2 3 2" xfId="36171" xr:uid="{00000000-0005-0000-0000-000003450000}"/>
    <cellStyle name="Normal 2 2 8 14 2 2 4" xfId="7423" xr:uid="{00000000-0005-0000-0000-000004450000}"/>
    <cellStyle name="Normal 2 2 8 14 2 2 4 2" xfId="36172" xr:uid="{00000000-0005-0000-0000-000005450000}"/>
    <cellStyle name="Normal 2 2 8 14 2 2 5" xfId="7424" xr:uid="{00000000-0005-0000-0000-000006450000}"/>
    <cellStyle name="Normal 2 2 8 14 2 2 5 2" xfId="36173" xr:uid="{00000000-0005-0000-0000-000007450000}"/>
    <cellStyle name="Normal 2 2 8 14 2 2 6" xfId="36174" xr:uid="{00000000-0005-0000-0000-000008450000}"/>
    <cellStyle name="Normal 2 2 8 14 2 2 6 2" xfId="36175" xr:uid="{00000000-0005-0000-0000-000009450000}"/>
    <cellStyle name="Normal 2 2 8 14 2 2 7" xfId="36176" xr:uid="{00000000-0005-0000-0000-00000A450000}"/>
    <cellStyle name="Normal 2 2 8 14 2 3" xfId="7425" xr:uid="{00000000-0005-0000-0000-00000B450000}"/>
    <cellStyle name="Normal 2 2 8 14 2 3 2" xfId="7426" xr:uid="{00000000-0005-0000-0000-00000C450000}"/>
    <cellStyle name="Normal 2 2 8 14 2 3 2 2" xfId="36177" xr:uid="{00000000-0005-0000-0000-00000D450000}"/>
    <cellStyle name="Normal 2 2 8 14 2 3 3" xfId="7427" xr:uid="{00000000-0005-0000-0000-00000E450000}"/>
    <cellStyle name="Normal 2 2 8 14 2 3 3 2" xfId="36178" xr:uid="{00000000-0005-0000-0000-00000F450000}"/>
    <cellStyle name="Normal 2 2 8 14 2 3 4" xfId="36179" xr:uid="{00000000-0005-0000-0000-000010450000}"/>
    <cellStyle name="Normal 2 2 8 14 2 4" xfId="7428" xr:uid="{00000000-0005-0000-0000-000011450000}"/>
    <cellStyle name="Normal 2 2 8 14 2 4 2" xfId="7429" xr:uid="{00000000-0005-0000-0000-000012450000}"/>
    <cellStyle name="Normal 2 2 8 14 2 4 2 2" xfId="36180" xr:uid="{00000000-0005-0000-0000-000013450000}"/>
    <cellStyle name="Normal 2 2 8 14 2 4 3" xfId="36181" xr:uid="{00000000-0005-0000-0000-000014450000}"/>
    <cellStyle name="Normal 2 2 8 14 2 5" xfId="7430" xr:uid="{00000000-0005-0000-0000-000015450000}"/>
    <cellStyle name="Normal 2 2 8 14 2 5 2" xfId="36182" xr:uid="{00000000-0005-0000-0000-000016450000}"/>
    <cellStyle name="Normal 2 2 8 14 2 6" xfId="7431" xr:uid="{00000000-0005-0000-0000-000017450000}"/>
    <cellStyle name="Normal 2 2 8 14 2 6 2" xfId="36183" xr:uid="{00000000-0005-0000-0000-000018450000}"/>
    <cellStyle name="Normal 2 2 8 14 2 7" xfId="36184" xr:uid="{00000000-0005-0000-0000-000019450000}"/>
    <cellStyle name="Normal 2 2 8 14 2 7 2" xfId="36185" xr:uid="{00000000-0005-0000-0000-00001A450000}"/>
    <cellStyle name="Normal 2 2 8 14 2 8" xfId="36186" xr:uid="{00000000-0005-0000-0000-00001B450000}"/>
    <cellStyle name="Normal 2 2 8 14 2 9" xfId="36187" xr:uid="{00000000-0005-0000-0000-00001C450000}"/>
    <cellStyle name="Normal 2 2 8 14 3" xfId="7432" xr:uid="{00000000-0005-0000-0000-00001D450000}"/>
    <cellStyle name="Normal 2 2 8 14 3 2" xfId="7433" xr:uid="{00000000-0005-0000-0000-00001E450000}"/>
    <cellStyle name="Normal 2 2 8 14 3 2 2" xfId="7434" xr:uid="{00000000-0005-0000-0000-00001F450000}"/>
    <cellStyle name="Normal 2 2 8 14 3 2 2 2" xfId="36188" xr:uid="{00000000-0005-0000-0000-000020450000}"/>
    <cellStyle name="Normal 2 2 8 14 3 2 3" xfId="7435" xr:uid="{00000000-0005-0000-0000-000021450000}"/>
    <cellStyle name="Normal 2 2 8 14 3 2 3 2" xfId="36189" xr:uid="{00000000-0005-0000-0000-000022450000}"/>
    <cellStyle name="Normal 2 2 8 14 3 2 4" xfId="36190" xr:uid="{00000000-0005-0000-0000-000023450000}"/>
    <cellStyle name="Normal 2 2 8 14 3 3" xfId="7436" xr:uid="{00000000-0005-0000-0000-000024450000}"/>
    <cellStyle name="Normal 2 2 8 14 3 3 2" xfId="36191" xr:uid="{00000000-0005-0000-0000-000025450000}"/>
    <cellStyle name="Normal 2 2 8 14 3 4" xfId="7437" xr:uid="{00000000-0005-0000-0000-000026450000}"/>
    <cellStyle name="Normal 2 2 8 14 3 4 2" xfId="36192" xr:uid="{00000000-0005-0000-0000-000027450000}"/>
    <cellStyle name="Normal 2 2 8 14 3 5" xfId="7438" xr:uid="{00000000-0005-0000-0000-000028450000}"/>
    <cellStyle name="Normal 2 2 8 14 3 5 2" xfId="36193" xr:uid="{00000000-0005-0000-0000-000029450000}"/>
    <cellStyle name="Normal 2 2 8 14 3 6" xfId="36194" xr:uid="{00000000-0005-0000-0000-00002A450000}"/>
    <cellStyle name="Normal 2 2 8 14 3 6 2" xfId="36195" xr:uid="{00000000-0005-0000-0000-00002B450000}"/>
    <cellStyle name="Normal 2 2 8 14 3 7" xfId="36196" xr:uid="{00000000-0005-0000-0000-00002C450000}"/>
    <cellStyle name="Normal 2 2 8 14 4" xfId="7439" xr:uid="{00000000-0005-0000-0000-00002D450000}"/>
    <cellStyle name="Normal 2 2 8 14 4 2" xfId="7440" xr:uid="{00000000-0005-0000-0000-00002E450000}"/>
    <cellStyle name="Normal 2 2 8 14 4 2 2" xfId="36197" xr:uid="{00000000-0005-0000-0000-00002F450000}"/>
    <cellStyle name="Normal 2 2 8 14 4 3" xfId="7441" xr:uid="{00000000-0005-0000-0000-000030450000}"/>
    <cellStyle name="Normal 2 2 8 14 4 3 2" xfId="36198" xr:uid="{00000000-0005-0000-0000-000031450000}"/>
    <cellStyle name="Normal 2 2 8 14 4 4" xfId="36199" xr:uid="{00000000-0005-0000-0000-000032450000}"/>
    <cellStyle name="Normal 2 2 8 14 5" xfId="7442" xr:uid="{00000000-0005-0000-0000-000033450000}"/>
    <cellStyle name="Normal 2 2 8 14 5 2" xfId="7443" xr:uid="{00000000-0005-0000-0000-000034450000}"/>
    <cellStyle name="Normal 2 2 8 14 5 2 2" xfId="36200" xr:uid="{00000000-0005-0000-0000-000035450000}"/>
    <cellStyle name="Normal 2 2 8 14 5 3" xfId="36201" xr:uid="{00000000-0005-0000-0000-000036450000}"/>
    <cellStyle name="Normal 2 2 8 14 6" xfId="7444" xr:uid="{00000000-0005-0000-0000-000037450000}"/>
    <cellStyle name="Normal 2 2 8 14 6 2" xfId="36202" xr:uid="{00000000-0005-0000-0000-000038450000}"/>
    <cellStyle name="Normal 2 2 8 14 7" xfId="7445" xr:uid="{00000000-0005-0000-0000-000039450000}"/>
    <cellStyle name="Normal 2 2 8 14 7 2" xfId="36203" xr:uid="{00000000-0005-0000-0000-00003A450000}"/>
    <cellStyle name="Normal 2 2 8 14 8" xfId="36204" xr:uid="{00000000-0005-0000-0000-00003B450000}"/>
    <cellStyle name="Normal 2 2 8 14 8 2" xfId="36205" xr:uid="{00000000-0005-0000-0000-00003C450000}"/>
    <cellStyle name="Normal 2 2 8 14 9" xfId="36206" xr:uid="{00000000-0005-0000-0000-00003D450000}"/>
    <cellStyle name="Normal 2 2 8 15" xfId="7446" xr:uid="{00000000-0005-0000-0000-00003E450000}"/>
    <cellStyle name="Normal 2 2 8 15 10" xfId="36207" xr:uid="{00000000-0005-0000-0000-00003F450000}"/>
    <cellStyle name="Normal 2 2 8 15 11" xfId="36208" xr:uid="{00000000-0005-0000-0000-000040450000}"/>
    <cellStyle name="Normal 2 2 8 15 2" xfId="7447" xr:uid="{00000000-0005-0000-0000-000041450000}"/>
    <cellStyle name="Normal 2 2 8 15 2 10" xfId="36209" xr:uid="{00000000-0005-0000-0000-000042450000}"/>
    <cellStyle name="Normal 2 2 8 15 2 2" xfId="7448" xr:uid="{00000000-0005-0000-0000-000043450000}"/>
    <cellStyle name="Normal 2 2 8 15 2 2 2" xfId="7449" xr:uid="{00000000-0005-0000-0000-000044450000}"/>
    <cellStyle name="Normal 2 2 8 15 2 2 2 2" xfId="7450" xr:uid="{00000000-0005-0000-0000-000045450000}"/>
    <cellStyle name="Normal 2 2 8 15 2 2 2 2 2" xfId="36210" xr:uid="{00000000-0005-0000-0000-000046450000}"/>
    <cellStyle name="Normal 2 2 8 15 2 2 2 3" xfId="7451" xr:uid="{00000000-0005-0000-0000-000047450000}"/>
    <cellStyle name="Normal 2 2 8 15 2 2 2 3 2" xfId="36211" xr:uid="{00000000-0005-0000-0000-000048450000}"/>
    <cellStyle name="Normal 2 2 8 15 2 2 2 4" xfId="36212" xr:uid="{00000000-0005-0000-0000-000049450000}"/>
    <cellStyle name="Normal 2 2 8 15 2 2 3" xfId="7452" xr:uid="{00000000-0005-0000-0000-00004A450000}"/>
    <cellStyle name="Normal 2 2 8 15 2 2 3 2" xfId="36213" xr:uid="{00000000-0005-0000-0000-00004B450000}"/>
    <cellStyle name="Normal 2 2 8 15 2 2 4" xfId="7453" xr:uid="{00000000-0005-0000-0000-00004C450000}"/>
    <cellStyle name="Normal 2 2 8 15 2 2 4 2" xfId="36214" xr:uid="{00000000-0005-0000-0000-00004D450000}"/>
    <cellStyle name="Normal 2 2 8 15 2 2 5" xfId="7454" xr:uid="{00000000-0005-0000-0000-00004E450000}"/>
    <cellStyle name="Normal 2 2 8 15 2 2 5 2" xfId="36215" xr:uid="{00000000-0005-0000-0000-00004F450000}"/>
    <cellStyle name="Normal 2 2 8 15 2 2 6" xfId="36216" xr:uid="{00000000-0005-0000-0000-000050450000}"/>
    <cellStyle name="Normal 2 2 8 15 2 2 6 2" xfId="36217" xr:uid="{00000000-0005-0000-0000-000051450000}"/>
    <cellStyle name="Normal 2 2 8 15 2 2 7" xfId="36218" xr:uid="{00000000-0005-0000-0000-000052450000}"/>
    <cellStyle name="Normal 2 2 8 15 2 3" xfId="7455" xr:uid="{00000000-0005-0000-0000-000053450000}"/>
    <cellStyle name="Normal 2 2 8 15 2 3 2" xfId="7456" xr:uid="{00000000-0005-0000-0000-000054450000}"/>
    <cellStyle name="Normal 2 2 8 15 2 3 2 2" xfId="36219" xr:uid="{00000000-0005-0000-0000-000055450000}"/>
    <cellStyle name="Normal 2 2 8 15 2 3 3" xfId="7457" xr:uid="{00000000-0005-0000-0000-000056450000}"/>
    <cellStyle name="Normal 2 2 8 15 2 3 3 2" xfId="36220" xr:uid="{00000000-0005-0000-0000-000057450000}"/>
    <cellStyle name="Normal 2 2 8 15 2 3 4" xfId="36221" xr:uid="{00000000-0005-0000-0000-000058450000}"/>
    <cellStyle name="Normal 2 2 8 15 2 4" xfId="7458" xr:uid="{00000000-0005-0000-0000-000059450000}"/>
    <cellStyle name="Normal 2 2 8 15 2 4 2" xfId="7459" xr:uid="{00000000-0005-0000-0000-00005A450000}"/>
    <cellStyle name="Normal 2 2 8 15 2 4 2 2" xfId="36222" xr:uid="{00000000-0005-0000-0000-00005B450000}"/>
    <cellStyle name="Normal 2 2 8 15 2 4 3" xfId="36223" xr:uid="{00000000-0005-0000-0000-00005C450000}"/>
    <cellStyle name="Normal 2 2 8 15 2 5" xfId="7460" xr:uid="{00000000-0005-0000-0000-00005D450000}"/>
    <cellStyle name="Normal 2 2 8 15 2 5 2" xfId="36224" xr:uid="{00000000-0005-0000-0000-00005E450000}"/>
    <cellStyle name="Normal 2 2 8 15 2 6" xfId="7461" xr:uid="{00000000-0005-0000-0000-00005F450000}"/>
    <cellStyle name="Normal 2 2 8 15 2 6 2" xfId="36225" xr:uid="{00000000-0005-0000-0000-000060450000}"/>
    <cellStyle name="Normal 2 2 8 15 2 7" xfId="36226" xr:uid="{00000000-0005-0000-0000-000061450000}"/>
    <cellStyle name="Normal 2 2 8 15 2 7 2" xfId="36227" xr:uid="{00000000-0005-0000-0000-000062450000}"/>
    <cellStyle name="Normal 2 2 8 15 2 8" xfId="36228" xr:uid="{00000000-0005-0000-0000-000063450000}"/>
    <cellStyle name="Normal 2 2 8 15 2 9" xfId="36229" xr:uid="{00000000-0005-0000-0000-000064450000}"/>
    <cellStyle name="Normal 2 2 8 15 3" xfId="7462" xr:uid="{00000000-0005-0000-0000-000065450000}"/>
    <cellStyle name="Normal 2 2 8 15 3 2" xfId="7463" xr:uid="{00000000-0005-0000-0000-000066450000}"/>
    <cellStyle name="Normal 2 2 8 15 3 2 2" xfId="7464" xr:uid="{00000000-0005-0000-0000-000067450000}"/>
    <cellStyle name="Normal 2 2 8 15 3 2 2 2" xfId="36230" xr:uid="{00000000-0005-0000-0000-000068450000}"/>
    <cellStyle name="Normal 2 2 8 15 3 2 3" xfId="7465" xr:uid="{00000000-0005-0000-0000-000069450000}"/>
    <cellStyle name="Normal 2 2 8 15 3 2 3 2" xfId="36231" xr:uid="{00000000-0005-0000-0000-00006A450000}"/>
    <cellStyle name="Normal 2 2 8 15 3 2 4" xfId="36232" xr:uid="{00000000-0005-0000-0000-00006B450000}"/>
    <cellStyle name="Normal 2 2 8 15 3 3" xfId="7466" xr:uid="{00000000-0005-0000-0000-00006C450000}"/>
    <cellStyle name="Normal 2 2 8 15 3 3 2" xfId="36233" xr:uid="{00000000-0005-0000-0000-00006D450000}"/>
    <cellStyle name="Normal 2 2 8 15 3 4" xfId="7467" xr:uid="{00000000-0005-0000-0000-00006E450000}"/>
    <cellStyle name="Normal 2 2 8 15 3 4 2" xfId="36234" xr:uid="{00000000-0005-0000-0000-00006F450000}"/>
    <cellStyle name="Normal 2 2 8 15 3 5" xfId="7468" xr:uid="{00000000-0005-0000-0000-000070450000}"/>
    <cellStyle name="Normal 2 2 8 15 3 5 2" xfId="36235" xr:uid="{00000000-0005-0000-0000-000071450000}"/>
    <cellStyle name="Normal 2 2 8 15 3 6" xfId="36236" xr:uid="{00000000-0005-0000-0000-000072450000}"/>
    <cellStyle name="Normal 2 2 8 15 3 6 2" xfId="36237" xr:uid="{00000000-0005-0000-0000-000073450000}"/>
    <cellStyle name="Normal 2 2 8 15 3 7" xfId="36238" xr:uid="{00000000-0005-0000-0000-000074450000}"/>
    <cellStyle name="Normal 2 2 8 15 4" xfId="7469" xr:uid="{00000000-0005-0000-0000-000075450000}"/>
    <cellStyle name="Normal 2 2 8 15 4 2" xfId="7470" xr:uid="{00000000-0005-0000-0000-000076450000}"/>
    <cellStyle name="Normal 2 2 8 15 4 2 2" xfId="36239" xr:uid="{00000000-0005-0000-0000-000077450000}"/>
    <cellStyle name="Normal 2 2 8 15 4 3" xfId="7471" xr:uid="{00000000-0005-0000-0000-000078450000}"/>
    <cellStyle name="Normal 2 2 8 15 4 3 2" xfId="36240" xr:uid="{00000000-0005-0000-0000-000079450000}"/>
    <cellStyle name="Normal 2 2 8 15 4 4" xfId="36241" xr:uid="{00000000-0005-0000-0000-00007A450000}"/>
    <cellStyle name="Normal 2 2 8 15 5" xfId="7472" xr:uid="{00000000-0005-0000-0000-00007B450000}"/>
    <cellStyle name="Normal 2 2 8 15 5 2" xfId="7473" xr:uid="{00000000-0005-0000-0000-00007C450000}"/>
    <cellStyle name="Normal 2 2 8 15 5 2 2" xfId="36242" xr:uid="{00000000-0005-0000-0000-00007D450000}"/>
    <cellStyle name="Normal 2 2 8 15 5 3" xfId="36243" xr:uid="{00000000-0005-0000-0000-00007E450000}"/>
    <cellStyle name="Normal 2 2 8 15 6" xfId="7474" xr:uid="{00000000-0005-0000-0000-00007F450000}"/>
    <cellStyle name="Normal 2 2 8 15 6 2" xfId="36244" xr:uid="{00000000-0005-0000-0000-000080450000}"/>
    <cellStyle name="Normal 2 2 8 15 7" xfId="7475" xr:uid="{00000000-0005-0000-0000-000081450000}"/>
    <cellStyle name="Normal 2 2 8 15 7 2" xfId="36245" xr:uid="{00000000-0005-0000-0000-000082450000}"/>
    <cellStyle name="Normal 2 2 8 15 8" xfId="36246" xr:uid="{00000000-0005-0000-0000-000083450000}"/>
    <cellStyle name="Normal 2 2 8 15 8 2" xfId="36247" xr:uid="{00000000-0005-0000-0000-000084450000}"/>
    <cellStyle name="Normal 2 2 8 15 9" xfId="36248" xr:uid="{00000000-0005-0000-0000-000085450000}"/>
    <cellStyle name="Normal 2 2 8 16" xfId="7476" xr:uid="{00000000-0005-0000-0000-000086450000}"/>
    <cellStyle name="Normal 2 2 8 16 10" xfId="36249" xr:uid="{00000000-0005-0000-0000-000087450000}"/>
    <cellStyle name="Normal 2 2 8 16 11" xfId="36250" xr:uid="{00000000-0005-0000-0000-000088450000}"/>
    <cellStyle name="Normal 2 2 8 16 2" xfId="7477" xr:uid="{00000000-0005-0000-0000-000089450000}"/>
    <cellStyle name="Normal 2 2 8 16 2 10" xfId="36251" xr:uid="{00000000-0005-0000-0000-00008A450000}"/>
    <cellStyle name="Normal 2 2 8 16 2 2" xfId="7478" xr:uid="{00000000-0005-0000-0000-00008B450000}"/>
    <cellStyle name="Normal 2 2 8 16 2 2 2" xfId="7479" xr:uid="{00000000-0005-0000-0000-00008C450000}"/>
    <cellStyle name="Normal 2 2 8 16 2 2 2 2" xfId="7480" xr:uid="{00000000-0005-0000-0000-00008D450000}"/>
    <cellStyle name="Normal 2 2 8 16 2 2 2 2 2" xfId="36252" xr:uid="{00000000-0005-0000-0000-00008E450000}"/>
    <cellStyle name="Normal 2 2 8 16 2 2 2 3" xfId="7481" xr:uid="{00000000-0005-0000-0000-00008F450000}"/>
    <cellStyle name="Normal 2 2 8 16 2 2 2 3 2" xfId="36253" xr:uid="{00000000-0005-0000-0000-000090450000}"/>
    <cellStyle name="Normal 2 2 8 16 2 2 2 4" xfId="36254" xr:uid="{00000000-0005-0000-0000-000091450000}"/>
    <cellStyle name="Normal 2 2 8 16 2 2 3" xfId="7482" xr:uid="{00000000-0005-0000-0000-000092450000}"/>
    <cellStyle name="Normal 2 2 8 16 2 2 3 2" xfId="36255" xr:uid="{00000000-0005-0000-0000-000093450000}"/>
    <cellStyle name="Normal 2 2 8 16 2 2 4" xfId="7483" xr:uid="{00000000-0005-0000-0000-000094450000}"/>
    <cellStyle name="Normal 2 2 8 16 2 2 4 2" xfId="36256" xr:uid="{00000000-0005-0000-0000-000095450000}"/>
    <cellStyle name="Normal 2 2 8 16 2 2 5" xfId="7484" xr:uid="{00000000-0005-0000-0000-000096450000}"/>
    <cellStyle name="Normal 2 2 8 16 2 2 5 2" xfId="36257" xr:uid="{00000000-0005-0000-0000-000097450000}"/>
    <cellStyle name="Normal 2 2 8 16 2 2 6" xfId="36258" xr:uid="{00000000-0005-0000-0000-000098450000}"/>
    <cellStyle name="Normal 2 2 8 16 2 2 6 2" xfId="36259" xr:uid="{00000000-0005-0000-0000-000099450000}"/>
    <cellStyle name="Normal 2 2 8 16 2 2 7" xfId="36260" xr:uid="{00000000-0005-0000-0000-00009A450000}"/>
    <cellStyle name="Normal 2 2 8 16 2 3" xfId="7485" xr:uid="{00000000-0005-0000-0000-00009B450000}"/>
    <cellStyle name="Normal 2 2 8 16 2 3 2" xfId="7486" xr:uid="{00000000-0005-0000-0000-00009C450000}"/>
    <cellStyle name="Normal 2 2 8 16 2 3 2 2" xfId="36261" xr:uid="{00000000-0005-0000-0000-00009D450000}"/>
    <cellStyle name="Normal 2 2 8 16 2 3 3" xfId="7487" xr:uid="{00000000-0005-0000-0000-00009E450000}"/>
    <cellStyle name="Normal 2 2 8 16 2 3 3 2" xfId="36262" xr:uid="{00000000-0005-0000-0000-00009F450000}"/>
    <cellStyle name="Normal 2 2 8 16 2 3 4" xfId="36263" xr:uid="{00000000-0005-0000-0000-0000A0450000}"/>
    <cellStyle name="Normal 2 2 8 16 2 4" xfId="7488" xr:uid="{00000000-0005-0000-0000-0000A1450000}"/>
    <cellStyle name="Normal 2 2 8 16 2 4 2" xfId="7489" xr:uid="{00000000-0005-0000-0000-0000A2450000}"/>
    <cellStyle name="Normal 2 2 8 16 2 4 2 2" xfId="36264" xr:uid="{00000000-0005-0000-0000-0000A3450000}"/>
    <cellStyle name="Normal 2 2 8 16 2 4 3" xfId="36265" xr:uid="{00000000-0005-0000-0000-0000A4450000}"/>
    <cellStyle name="Normal 2 2 8 16 2 5" xfId="7490" xr:uid="{00000000-0005-0000-0000-0000A5450000}"/>
    <cellStyle name="Normal 2 2 8 16 2 5 2" xfId="36266" xr:uid="{00000000-0005-0000-0000-0000A6450000}"/>
    <cellStyle name="Normal 2 2 8 16 2 6" xfId="7491" xr:uid="{00000000-0005-0000-0000-0000A7450000}"/>
    <cellStyle name="Normal 2 2 8 16 2 6 2" xfId="36267" xr:uid="{00000000-0005-0000-0000-0000A8450000}"/>
    <cellStyle name="Normal 2 2 8 16 2 7" xfId="36268" xr:uid="{00000000-0005-0000-0000-0000A9450000}"/>
    <cellStyle name="Normal 2 2 8 16 2 7 2" xfId="36269" xr:uid="{00000000-0005-0000-0000-0000AA450000}"/>
    <cellStyle name="Normal 2 2 8 16 2 8" xfId="36270" xr:uid="{00000000-0005-0000-0000-0000AB450000}"/>
    <cellStyle name="Normal 2 2 8 16 2 9" xfId="36271" xr:uid="{00000000-0005-0000-0000-0000AC450000}"/>
    <cellStyle name="Normal 2 2 8 16 3" xfId="7492" xr:uid="{00000000-0005-0000-0000-0000AD450000}"/>
    <cellStyle name="Normal 2 2 8 16 3 2" xfId="7493" xr:uid="{00000000-0005-0000-0000-0000AE450000}"/>
    <cellStyle name="Normal 2 2 8 16 3 2 2" xfId="7494" xr:uid="{00000000-0005-0000-0000-0000AF450000}"/>
    <cellStyle name="Normal 2 2 8 16 3 2 2 2" xfId="36272" xr:uid="{00000000-0005-0000-0000-0000B0450000}"/>
    <cellStyle name="Normal 2 2 8 16 3 2 3" xfId="7495" xr:uid="{00000000-0005-0000-0000-0000B1450000}"/>
    <cellStyle name="Normal 2 2 8 16 3 2 3 2" xfId="36273" xr:uid="{00000000-0005-0000-0000-0000B2450000}"/>
    <cellStyle name="Normal 2 2 8 16 3 2 4" xfId="36274" xr:uid="{00000000-0005-0000-0000-0000B3450000}"/>
    <cellStyle name="Normal 2 2 8 16 3 3" xfId="7496" xr:uid="{00000000-0005-0000-0000-0000B4450000}"/>
    <cellStyle name="Normal 2 2 8 16 3 3 2" xfId="36275" xr:uid="{00000000-0005-0000-0000-0000B5450000}"/>
    <cellStyle name="Normal 2 2 8 16 3 4" xfId="7497" xr:uid="{00000000-0005-0000-0000-0000B6450000}"/>
    <cellStyle name="Normal 2 2 8 16 3 4 2" xfId="36276" xr:uid="{00000000-0005-0000-0000-0000B7450000}"/>
    <cellStyle name="Normal 2 2 8 16 3 5" xfId="7498" xr:uid="{00000000-0005-0000-0000-0000B8450000}"/>
    <cellStyle name="Normal 2 2 8 16 3 5 2" xfId="36277" xr:uid="{00000000-0005-0000-0000-0000B9450000}"/>
    <cellStyle name="Normal 2 2 8 16 3 6" xfId="36278" xr:uid="{00000000-0005-0000-0000-0000BA450000}"/>
    <cellStyle name="Normal 2 2 8 16 3 6 2" xfId="36279" xr:uid="{00000000-0005-0000-0000-0000BB450000}"/>
    <cellStyle name="Normal 2 2 8 16 3 7" xfId="36280" xr:uid="{00000000-0005-0000-0000-0000BC450000}"/>
    <cellStyle name="Normal 2 2 8 16 4" xfId="7499" xr:uid="{00000000-0005-0000-0000-0000BD450000}"/>
    <cellStyle name="Normal 2 2 8 16 4 2" xfId="7500" xr:uid="{00000000-0005-0000-0000-0000BE450000}"/>
    <cellStyle name="Normal 2 2 8 16 4 2 2" xfId="36281" xr:uid="{00000000-0005-0000-0000-0000BF450000}"/>
    <cellStyle name="Normal 2 2 8 16 4 3" xfId="7501" xr:uid="{00000000-0005-0000-0000-0000C0450000}"/>
    <cellStyle name="Normal 2 2 8 16 4 3 2" xfId="36282" xr:uid="{00000000-0005-0000-0000-0000C1450000}"/>
    <cellStyle name="Normal 2 2 8 16 4 4" xfId="36283" xr:uid="{00000000-0005-0000-0000-0000C2450000}"/>
    <cellStyle name="Normal 2 2 8 16 5" xfId="7502" xr:uid="{00000000-0005-0000-0000-0000C3450000}"/>
    <cellStyle name="Normal 2 2 8 16 5 2" xfId="7503" xr:uid="{00000000-0005-0000-0000-0000C4450000}"/>
    <cellStyle name="Normal 2 2 8 16 5 2 2" xfId="36284" xr:uid="{00000000-0005-0000-0000-0000C5450000}"/>
    <cellStyle name="Normal 2 2 8 16 5 3" xfId="36285" xr:uid="{00000000-0005-0000-0000-0000C6450000}"/>
    <cellStyle name="Normal 2 2 8 16 6" xfId="7504" xr:uid="{00000000-0005-0000-0000-0000C7450000}"/>
    <cellStyle name="Normal 2 2 8 16 6 2" xfId="36286" xr:uid="{00000000-0005-0000-0000-0000C8450000}"/>
    <cellStyle name="Normal 2 2 8 16 7" xfId="7505" xr:uid="{00000000-0005-0000-0000-0000C9450000}"/>
    <cellStyle name="Normal 2 2 8 16 7 2" xfId="36287" xr:uid="{00000000-0005-0000-0000-0000CA450000}"/>
    <cellStyle name="Normal 2 2 8 16 8" xfId="36288" xr:uid="{00000000-0005-0000-0000-0000CB450000}"/>
    <cellStyle name="Normal 2 2 8 16 8 2" xfId="36289" xr:uid="{00000000-0005-0000-0000-0000CC450000}"/>
    <cellStyle name="Normal 2 2 8 16 9" xfId="36290" xr:uid="{00000000-0005-0000-0000-0000CD450000}"/>
    <cellStyle name="Normal 2 2 8 17" xfId="7506" xr:uid="{00000000-0005-0000-0000-0000CE450000}"/>
    <cellStyle name="Normal 2 2 8 17 10" xfId="36291" xr:uid="{00000000-0005-0000-0000-0000CF450000}"/>
    <cellStyle name="Normal 2 2 8 17 11" xfId="36292" xr:uid="{00000000-0005-0000-0000-0000D0450000}"/>
    <cellStyle name="Normal 2 2 8 17 2" xfId="7507" xr:uid="{00000000-0005-0000-0000-0000D1450000}"/>
    <cellStyle name="Normal 2 2 8 17 2 10" xfId="36293" xr:uid="{00000000-0005-0000-0000-0000D2450000}"/>
    <cellStyle name="Normal 2 2 8 17 2 2" xfId="7508" xr:uid="{00000000-0005-0000-0000-0000D3450000}"/>
    <cellStyle name="Normal 2 2 8 17 2 2 2" xfId="7509" xr:uid="{00000000-0005-0000-0000-0000D4450000}"/>
    <cellStyle name="Normal 2 2 8 17 2 2 2 2" xfId="7510" xr:uid="{00000000-0005-0000-0000-0000D5450000}"/>
    <cellStyle name="Normal 2 2 8 17 2 2 2 2 2" xfId="36294" xr:uid="{00000000-0005-0000-0000-0000D6450000}"/>
    <cellStyle name="Normal 2 2 8 17 2 2 2 3" xfId="7511" xr:uid="{00000000-0005-0000-0000-0000D7450000}"/>
    <cellStyle name="Normal 2 2 8 17 2 2 2 3 2" xfId="36295" xr:uid="{00000000-0005-0000-0000-0000D8450000}"/>
    <cellStyle name="Normal 2 2 8 17 2 2 2 4" xfId="36296" xr:uid="{00000000-0005-0000-0000-0000D9450000}"/>
    <cellStyle name="Normal 2 2 8 17 2 2 3" xfId="7512" xr:uid="{00000000-0005-0000-0000-0000DA450000}"/>
    <cellStyle name="Normal 2 2 8 17 2 2 3 2" xfId="36297" xr:uid="{00000000-0005-0000-0000-0000DB450000}"/>
    <cellStyle name="Normal 2 2 8 17 2 2 4" xfId="7513" xr:uid="{00000000-0005-0000-0000-0000DC450000}"/>
    <cellStyle name="Normal 2 2 8 17 2 2 4 2" xfId="36298" xr:uid="{00000000-0005-0000-0000-0000DD450000}"/>
    <cellStyle name="Normal 2 2 8 17 2 2 5" xfId="7514" xr:uid="{00000000-0005-0000-0000-0000DE450000}"/>
    <cellStyle name="Normal 2 2 8 17 2 2 5 2" xfId="36299" xr:uid="{00000000-0005-0000-0000-0000DF450000}"/>
    <cellStyle name="Normal 2 2 8 17 2 2 6" xfId="36300" xr:uid="{00000000-0005-0000-0000-0000E0450000}"/>
    <cellStyle name="Normal 2 2 8 17 2 2 6 2" xfId="36301" xr:uid="{00000000-0005-0000-0000-0000E1450000}"/>
    <cellStyle name="Normal 2 2 8 17 2 2 7" xfId="36302" xr:uid="{00000000-0005-0000-0000-0000E2450000}"/>
    <cellStyle name="Normal 2 2 8 17 2 3" xfId="7515" xr:uid="{00000000-0005-0000-0000-0000E3450000}"/>
    <cellStyle name="Normal 2 2 8 17 2 3 2" xfId="7516" xr:uid="{00000000-0005-0000-0000-0000E4450000}"/>
    <cellStyle name="Normal 2 2 8 17 2 3 2 2" xfId="36303" xr:uid="{00000000-0005-0000-0000-0000E5450000}"/>
    <cellStyle name="Normal 2 2 8 17 2 3 3" xfId="7517" xr:uid="{00000000-0005-0000-0000-0000E6450000}"/>
    <cellStyle name="Normal 2 2 8 17 2 3 3 2" xfId="36304" xr:uid="{00000000-0005-0000-0000-0000E7450000}"/>
    <cellStyle name="Normal 2 2 8 17 2 3 4" xfId="36305" xr:uid="{00000000-0005-0000-0000-0000E8450000}"/>
    <cellStyle name="Normal 2 2 8 17 2 4" xfId="7518" xr:uid="{00000000-0005-0000-0000-0000E9450000}"/>
    <cellStyle name="Normal 2 2 8 17 2 4 2" xfId="7519" xr:uid="{00000000-0005-0000-0000-0000EA450000}"/>
    <cellStyle name="Normal 2 2 8 17 2 4 2 2" xfId="36306" xr:uid="{00000000-0005-0000-0000-0000EB450000}"/>
    <cellStyle name="Normal 2 2 8 17 2 4 3" xfId="36307" xr:uid="{00000000-0005-0000-0000-0000EC450000}"/>
    <cellStyle name="Normal 2 2 8 17 2 5" xfId="7520" xr:uid="{00000000-0005-0000-0000-0000ED450000}"/>
    <cellStyle name="Normal 2 2 8 17 2 5 2" xfId="36308" xr:uid="{00000000-0005-0000-0000-0000EE450000}"/>
    <cellStyle name="Normal 2 2 8 17 2 6" xfId="7521" xr:uid="{00000000-0005-0000-0000-0000EF450000}"/>
    <cellStyle name="Normal 2 2 8 17 2 6 2" xfId="36309" xr:uid="{00000000-0005-0000-0000-0000F0450000}"/>
    <cellStyle name="Normal 2 2 8 17 2 7" xfId="36310" xr:uid="{00000000-0005-0000-0000-0000F1450000}"/>
    <cellStyle name="Normal 2 2 8 17 2 7 2" xfId="36311" xr:uid="{00000000-0005-0000-0000-0000F2450000}"/>
    <cellStyle name="Normal 2 2 8 17 2 8" xfId="36312" xr:uid="{00000000-0005-0000-0000-0000F3450000}"/>
    <cellStyle name="Normal 2 2 8 17 2 9" xfId="36313" xr:uid="{00000000-0005-0000-0000-0000F4450000}"/>
    <cellStyle name="Normal 2 2 8 17 3" xfId="7522" xr:uid="{00000000-0005-0000-0000-0000F5450000}"/>
    <cellStyle name="Normal 2 2 8 17 3 2" xfId="7523" xr:uid="{00000000-0005-0000-0000-0000F6450000}"/>
    <cellStyle name="Normal 2 2 8 17 3 2 2" xfId="7524" xr:uid="{00000000-0005-0000-0000-0000F7450000}"/>
    <cellStyle name="Normal 2 2 8 17 3 2 2 2" xfId="36314" xr:uid="{00000000-0005-0000-0000-0000F8450000}"/>
    <cellStyle name="Normal 2 2 8 17 3 2 3" xfId="7525" xr:uid="{00000000-0005-0000-0000-0000F9450000}"/>
    <cellStyle name="Normal 2 2 8 17 3 2 3 2" xfId="36315" xr:uid="{00000000-0005-0000-0000-0000FA450000}"/>
    <cellStyle name="Normal 2 2 8 17 3 2 4" xfId="36316" xr:uid="{00000000-0005-0000-0000-0000FB450000}"/>
    <cellStyle name="Normal 2 2 8 17 3 3" xfId="7526" xr:uid="{00000000-0005-0000-0000-0000FC450000}"/>
    <cellStyle name="Normal 2 2 8 17 3 3 2" xfId="36317" xr:uid="{00000000-0005-0000-0000-0000FD450000}"/>
    <cellStyle name="Normal 2 2 8 17 3 4" xfId="7527" xr:uid="{00000000-0005-0000-0000-0000FE450000}"/>
    <cellStyle name="Normal 2 2 8 17 3 4 2" xfId="36318" xr:uid="{00000000-0005-0000-0000-0000FF450000}"/>
    <cellStyle name="Normal 2 2 8 17 3 5" xfId="7528" xr:uid="{00000000-0005-0000-0000-000000460000}"/>
    <cellStyle name="Normal 2 2 8 17 3 5 2" xfId="36319" xr:uid="{00000000-0005-0000-0000-000001460000}"/>
    <cellStyle name="Normal 2 2 8 17 3 6" xfId="36320" xr:uid="{00000000-0005-0000-0000-000002460000}"/>
    <cellStyle name="Normal 2 2 8 17 3 6 2" xfId="36321" xr:uid="{00000000-0005-0000-0000-000003460000}"/>
    <cellStyle name="Normal 2 2 8 17 3 7" xfId="36322" xr:uid="{00000000-0005-0000-0000-000004460000}"/>
    <cellStyle name="Normal 2 2 8 17 4" xfId="7529" xr:uid="{00000000-0005-0000-0000-000005460000}"/>
    <cellStyle name="Normal 2 2 8 17 4 2" xfId="7530" xr:uid="{00000000-0005-0000-0000-000006460000}"/>
    <cellStyle name="Normal 2 2 8 17 4 2 2" xfId="36323" xr:uid="{00000000-0005-0000-0000-000007460000}"/>
    <cellStyle name="Normal 2 2 8 17 4 3" xfId="7531" xr:uid="{00000000-0005-0000-0000-000008460000}"/>
    <cellStyle name="Normal 2 2 8 17 4 3 2" xfId="36324" xr:uid="{00000000-0005-0000-0000-000009460000}"/>
    <cellStyle name="Normal 2 2 8 17 4 4" xfId="36325" xr:uid="{00000000-0005-0000-0000-00000A460000}"/>
    <cellStyle name="Normal 2 2 8 17 5" xfId="7532" xr:uid="{00000000-0005-0000-0000-00000B460000}"/>
    <cellStyle name="Normal 2 2 8 17 5 2" xfId="7533" xr:uid="{00000000-0005-0000-0000-00000C460000}"/>
    <cellStyle name="Normal 2 2 8 17 5 2 2" xfId="36326" xr:uid="{00000000-0005-0000-0000-00000D460000}"/>
    <cellStyle name="Normal 2 2 8 17 5 3" xfId="36327" xr:uid="{00000000-0005-0000-0000-00000E460000}"/>
    <cellStyle name="Normal 2 2 8 17 6" xfId="7534" xr:uid="{00000000-0005-0000-0000-00000F460000}"/>
    <cellStyle name="Normal 2 2 8 17 6 2" xfId="36328" xr:uid="{00000000-0005-0000-0000-000010460000}"/>
    <cellStyle name="Normal 2 2 8 17 7" xfId="7535" xr:uid="{00000000-0005-0000-0000-000011460000}"/>
    <cellStyle name="Normal 2 2 8 17 7 2" xfId="36329" xr:uid="{00000000-0005-0000-0000-000012460000}"/>
    <cellStyle name="Normal 2 2 8 17 8" xfId="36330" xr:uid="{00000000-0005-0000-0000-000013460000}"/>
    <cellStyle name="Normal 2 2 8 17 8 2" xfId="36331" xr:uid="{00000000-0005-0000-0000-000014460000}"/>
    <cellStyle name="Normal 2 2 8 17 9" xfId="36332" xr:uid="{00000000-0005-0000-0000-000015460000}"/>
    <cellStyle name="Normal 2 2 8 18" xfId="7536" xr:uid="{00000000-0005-0000-0000-000016460000}"/>
    <cellStyle name="Normal 2 2 8 18 10" xfId="36333" xr:uid="{00000000-0005-0000-0000-000017460000}"/>
    <cellStyle name="Normal 2 2 8 18 11" xfId="36334" xr:uid="{00000000-0005-0000-0000-000018460000}"/>
    <cellStyle name="Normal 2 2 8 18 2" xfId="7537" xr:uid="{00000000-0005-0000-0000-000019460000}"/>
    <cellStyle name="Normal 2 2 8 18 2 10" xfId="36335" xr:uid="{00000000-0005-0000-0000-00001A460000}"/>
    <cellStyle name="Normal 2 2 8 18 2 2" xfId="7538" xr:uid="{00000000-0005-0000-0000-00001B460000}"/>
    <cellStyle name="Normal 2 2 8 18 2 2 2" xfId="7539" xr:uid="{00000000-0005-0000-0000-00001C460000}"/>
    <cellStyle name="Normal 2 2 8 18 2 2 2 2" xfId="7540" xr:uid="{00000000-0005-0000-0000-00001D460000}"/>
    <cellStyle name="Normal 2 2 8 18 2 2 2 2 2" xfId="36336" xr:uid="{00000000-0005-0000-0000-00001E460000}"/>
    <cellStyle name="Normal 2 2 8 18 2 2 2 3" xfId="7541" xr:uid="{00000000-0005-0000-0000-00001F460000}"/>
    <cellStyle name="Normal 2 2 8 18 2 2 2 3 2" xfId="36337" xr:uid="{00000000-0005-0000-0000-000020460000}"/>
    <cellStyle name="Normal 2 2 8 18 2 2 2 4" xfId="36338" xr:uid="{00000000-0005-0000-0000-000021460000}"/>
    <cellStyle name="Normal 2 2 8 18 2 2 3" xfId="7542" xr:uid="{00000000-0005-0000-0000-000022460000}"/>
    <cellStyle name="Normal 2 2 8 18 2 2 3 2" xfId="36339" xr:uid="{00000000-0005-0000-0000-000023460000}"/>
    <cellStyle name="Normal 2 2 8 18 2 2 4" xfId="7543" xr:uid="{00000000-0005-0000-0000-000024460000}"/>
    <cellStyle name="Normal 2 2 8 18 2 2 4 2" xfId="36340" xr:uid="{00000000-0005-0000-0000-000025460000}"/>
    <cellStyle name="Normal 2 2 8 18 2 2 5" xfId="7544" xr:uid="{00000000-0005-0000-0000-000026460000}"/>
    <cellStyle name="Normal 2 2 8 18 2 2 5 2" xfId="36341" xr:uid="{00000000-0005-0000-0000-000027460000}"/>
    <cellStyle name="Normal 2 2 8 18 2 2 6" xfId="36342" xr:uid="{00000000-0005-0000-0000-000028460000}"/>
    <cellStyle name="Normal 2 2 8 18 2 2 6 2" xfId="36343" xr:uid="{00000000-0005-0000-0000-000029460000}"/>
    <cellStyle name="Normal 2 2 8 18 2 2 7" xfId="36344" xr:uid="{00000000-0005-0000-0000-00002A460000}"/>
    <cellStyle name="Normal 2 2 8 18 2 3" xfId="7545" xr:uid="{00000000-0005-0000-0000-00002B460000}"/>
    <cellStyle name="Normal 2 2 8 18 2 3 2" xfId="7546" xr:uid="{00000000-0005-0000-0000-00002C460000}"/>
    <cellStyle name="Normal 2 2 8 18 2 3 2 2" xfId="36345" xr:uid="{00000000-0005-0000-0000-00002D460000}"/>
    <cellStyle name="Normal 2 2 8 18 2 3 3" xfId="7547" xr:uid="{00000000-0005-0000-0000-00002E460000}"/>
    <cellStyle name="Normal 2 2 8 18 2 3 3 2" xfId="36346" xr:uid="{00000000-0005-0000-0000-00002F460000}"/>
    <cellStyle name="Normal 2 2 8 18 2 3 4" xfId="36347" xr:uid="{00000000-0005-0000-0000-000030460000}"/>
    <cellStyle name="Normal 2 2 8 18 2 4" xfId="7548" xr:uid="{00000000-0005-0000-0000-000031460000}"/>
    <cellStyle name="Normal 2 2 8 18 2 4 2" xfId="7549" xr:uid="{00000000-0005-0000-0000-000032460000}"/>
    <cellStyle name="Normal 2 2 8 18 2 4 2 2" xfId="36348" xr:uid="{00000000-0005-0000-0000-000033460000}"/>
    <cellStyle name="Normal 2 2 8 18 2 4 3" xfId="36349" xr:uid="{00000000-0005-0000-0000-000034460000}"/>
    <cellStyle name="Normal 2 2 8 18 2 5" xfId="7550" xr:uid="{00000000-0005-0000-0000-000035460000}"/>
    <cellStyle name="Normal 2 2 8 18 2 5 2" xfId="36350" xr:uid="{00000000-0005-0000-0000-000036460000}"/>
    <cellStyle name="Normal 2 2 8 18 2 6" xfId="7551" xr:uid="{00000000-0005-0000-0000-000037460000}"/>
    <cellStyle name="Normal 2 2 8 18 2 6 2" xfId="36351" xr:uid="{00000000-0005-0000-0000-000038460000}"/>
    <cellStyle name="Normal 2 2 8 18 2 7" xfId="36352" xr:uid="{00000000-0005-0000-0000-000039460000}"/>
    <cellStyle name="Normal 2 2 8 18 2 7 2" xfId="36353" xr:uid="{00000000-0005-0000-0000-00003A460000}"/>
    <cellStyle name="Normal 2 2 8 18 2 8" xfId="36354" xr:uid="{00000000-0005-0000-0000-00003B460000}"/>
    <cellStyle name="Normal 2 2 8 18 2 9" xfId="36355" xr:uid="{00000000-0005-0000-0000-00003C460000}"/>
    <cellStyle name="Normal 2 2 8 18 3" xfId="7552" xr:uid="{00000000-0005-0000-0000-00003D460000}"/>
    <cellStyle name="Normal 2 2 8 18 3 2" xfId="7553" xr:uid="{00000000-0005-0000-0000-00003E460000}"/>
    <cellStyle name="Normal 2 2 8 18 3 2 2" xfId="7554" xr:uid="{00000000-0005-0000-0000-00003F460000}"/>
    <cellStyle name="Normal 2 2 8 18 3 2 2 2" xfId="36356" xr:uid="{00000000-0005-0000-0000-000040460000}"/>
    <cellStyle name="Normal 2 2 8 18 3 2 3" xfId="7555" xr:uid="{00000000-0005-0000-0000-000041460000}"/>
    <cellStyle name="Normal 2 2 8 18 3 2 3 2" xfId="36357" xr:uid="{00000000-0005-0000-0000-000042460000}"/>
    <cellStyle name="Normal 2 2 8 18 3 2 4" xfId="36358" xr:uid="{00000000-0005-0000-0000-000043460000}"/>
    <cellStyle name="Normal 2 2 8 18 3 3" xfId="7556" xr:uid="{00000000-0005-0000-0000-000044460000}"/>
    <cellStyle name="Normal 2 2 8 18 3 3 2" xfId="36359" xr:uid="{00000000-0005-0000-0000-000045460000}"/>
    <cellStyle name="Normal 2 2 8 18 3 4" xfId="7557" xr:uid="{00000000-0005-0000-0000-000046460000}"/>
    <cellStyle name="Normal 2 2 8 18 3 4 2" xfId="36360" xr:uid="{00000000-0005-0000-0000-000047460000}"/>
    <cellStyle name="Normal 2 2 8 18 3 5" xfId="7558" xr:uid="{00000000-0005-0000-0000-000048460000}"/>
    <cellStyle name="Normal 2 2 8 18 3 5 2" xfId="36361" xr:uid="{00000000-0005-0000-0000-000049460000}"/>
    <cellStyle name="Normal 2 2 8 18 3 6" xfId="36362" xr:uid="{00000000-0005-0000-0000-00004A460000}"/>
    <cellStyle name="Normal 2 2 8 18 3 6 2" xfId="36363" xr:uid="{00000000-0005-0000-0000-00004B460000}"/>
    <cellStyle name="Normal 2 2 8 18 3 7" xfId="36364" xr:uid="{00000000-0005-0000-0000-00004C460000}"/>
    <cellStyle name="Normal 2 2 8 18 4" xfId="7559" xr:uid="{00000000-0005-0000-0000-00004D460000}"/>
    <cellStyle name="Normal 2 2 8 18 4 2" xfId="7560" xr:uid="{00000000-0005-0000-0000-00004E460000}"/>
    <cellStyle name="Normal 2 2 8 18 4 2 2" xfId="36365" xr:uid="{00000000-0005-0000-0000-00004F460000}"/>
    <cellStyle name="Normal 2 2 8 18 4 3" xfId="7561" xr:uid="{00000000-0005-0000-0000-000050460000}"/>
    <cellStyle name="Normal 2 2 8 18 4 3 2" xfId="36366" xr:uid="{00000000-0005-0000-0000-000051460000}"/>
    <cellStyle name="Normal 2 2 8 18 4 4" xfId="36367" xr:uid="{00000000-0005-0000-0000-000052460000}"/>
    <cellStyle name="Normal 2 2 8 18 5" xfId="7562" xr:uid="{00000000-0005-0000-0000-000053460000}"/>
    <cellStyle name="Normal 2 2 8 18 5 2" xfId="7563" xr:uid="{00000000-0005-0000-0000-000054460000}"/>
    <cellStyle name="Normal 2 2 8 18 5 2 2" xfId="36368" xr:uid="{00000000-0005-0000-0000-000055460000}"/>
    <cellStyle name="Normal 2 2 8 18 5 3" xfId="36369" xr:uid="{00000000-0005-0000-0000-000056460000}"/>
    <cellStyle name="Normal 2 2 8 18 6" xfId="7564" xr:uid="{00000000-0005-0000-0000-000057460000}"/>
    <cellStyle name="Normal 2 2 8 18 6 2" xfId="36370" xr:uid="{00000000-0005-0000-0000-000058460000}"/>
    <cellStyle name="Normal 2 2 8 18 7" xfId="7565" xr:uid="{00000000-0005-0000-0000-000059460000}"/>
    <cellStyle name="Normal 2 2 8 18 7 2" xfId="36371" xr:uid="{00000000-0005-0000-0000-00005A460000}"/>
    <cellStyle name="Normal 2 2 8 18 8" xfId="36372" xr:uid="{00000000-0005-0000-0000-00005B460000}"/>
    <cellStyle name="Normal 2 2 8 18 8 2" xfId="36373" xr:uid="{00000000-0005-0000-0000-00005C460000}"/>
    <cellStyle name="Normal 2 2 8 18 9" xfId="36374" xr:uid="{00000000-0005-0000-0000-00005D460000}"/>
    <cellStyle name="Normal 2 2 8 19" xfId="7566" xr:uid="{00000000-0005-0000-0000-00005E460000}"/>
    <cellStyle name="Normal 2 2 8 19 10" xfId="36375" xr:uid="{00000000-0005-0000-0000-00005F460000}"/>
    <cellStyle name="Normal 2 2 8 19 11" xfId="36376" xr:uid="{00000000-0005-0000-0000-000060460000}"/>
    <cellStyle name="Normal 2 2 8 19 2" xfId="7567" xr:uid="{00000000-0005-0000-0000-000061460000}"/>
    <cellStyle name="Normal 2 2 8 19 2 10" xfId="36377" xr:uid="{00000000-0005-0000-0000-000062460000}"/>
    <cellStyle name="Normal 2 2 8 19 2 2" xfId="7568" xr:uid="{00000000-0005-0000-0000-000063460000}"/>
    <cellStyle name="Normal 2 2 8 19 2 2 2" xfId="7569" xr:uid="{00000000-0005-0000-0000-000064460000}"/>
    <cellStyle name="Normal 2 2 8 19 2 2 2 2" xfId="7570" xr:uid="{00000000-0005-0000-0000-000065460000}"/>
    <cellStyle name="Normal 2 2 8 19 2 2 2 2 2" xfId="36378" xr:uid="{00000000-0005-0000-0000-000066460000}"/>
    <cellStyle name="Normal 2 2 8 19 2 2 2 3" xfId="7571" xr:uid="{00000000-0005-0000-0000-000067460000}"/>
    <cellStyle name="Normal 2 2 8 19 2 2 2 3 2" xfId="36379" xr:uid="{00000000-0005-0000-0000-000068460000}"/>
    <cellStyle name="Normal 2 2 8 19 2 2 2 4" xfId="36380" xr:uid="{00000000-0005-0000-0000-000069460000}"/>
    <cellStyle name="Normal 2 2 8 19 2 2 3" xfId="7572" xr:uid="{00000000-0005-0000-0000-00006A460000}"/>
    <cellStyle name="Normal 2 2 8 19 2 2 3 2" xfId="36381" xr:uid="{00000000-0005-0000-0000-00006B460000}"/>
    <cellStyle name="Normal 2 2 8 19 2 2 4" xfId="7573" xr:uid="{00000000-0005-0000-0000-00006C460000}"/>
    <cellStyle name="Normal 2 2 8 19 2 2 4 2" xfId="36382" xr:uid="{00000000-0005-0000-0000-00006D460000}"/>
    <cellStyle name="Normal 2 2 8 19 2 2 5" xfId="7574" xr:uid="{00000000-0005-0000-0000-00006E460000}"/>
    <cellStyle name="Normal 2 2 8 19 2 2 5 2" xfId="36383" xr:uid="{00000000-0005-0000-0000-00006F460000}"/>
    <cellStyle name="Normal 2 2 8 19 2 2 6" xfId="36384" xr:uid="{00000000-0005-0000-0000-000070460000}"/>
    <cellStyle name="Normal 2 2 8 19 2 2 6 2" xfId="36385" xr:uid="{00000000-0005-0000-0000-000071460000}"/>
    <cellStyle name="Normal 2 2 8 19 2 2 7" xfId="36386" xr:uid="{00000000-0005-0000-0000-000072460000}"/>
    <cellStyle name="Normal 2 2 8 19 2 3" xfId="7575" xr:uid="{00000000-0005-0000-0000-000073460000}"/>
    <cellStyle name="Normal 2 2 8 19 2 3 2" xfId="7576" xr:uid="{00000000-0005-0000-0000-000074460000}"/>
    <cellStyle name="Normal 2 2 8 19 2 3 2 2" xfId="36387" xr:uid="{00000000-0005-0000-0000-000075460000}"/>
    <cellStyle name="Normal 2 2 8 19 2 3 3" xfId="7577" xr:uid="{00000000-0005-0000-0000-000076460000}"/>
    <cellStyle name="Normal 2 2 8 19 2 3 3 2" xfId="36388" xr:uid="{00000000-0005-0000-0000-000077460000}"/>
    <cellStyle name="Normal 2 2 8 19 2 3 4" xfId="36389" xr:uid="{00000000-0005-0000-0000-000078460000}"/>
    <cellStyle name="Normal 2 2 8 19 2 4" xfId="7578" xr:uid="{00000000-0005-0000-0000-000079460000}"/>
    <cellStyle name="Normal 2 2 8 19 2 4 2" xfId="7579" xr:uid="{00000000-0005-0000-0000-00007A460000}"/>
    <cellStyle name="Normal 2 2 8 19 2 4 2 2" xfId="36390" xr:uid="{00000000-0005-0000-0000-00007B460000}"/>
    <cellStyle name="Normal 2 2 8 19 2 4 3" xfId="36391" xr:uid="{00000000-0005-0000-0000-00007C460000}"/>
    <cellStyle name="Normal 2 2 8 19 2 5" xfId="7580" xr:uid="{00000000-0005-0000-0000-00007D460000}"/>
    <cellStyle name="Normal 2 2 8 19 2 5 2" xfId="36392" xr:uid="{00000000-0005-0000-0000-00007E460000}"/>
    <cellStyle name="Normal 2 2 8 19 2 6" xfId="7581" xr:uid="{00000000-0005-0000-0000-00007F460000}"/>
    <cellStyle name="Normal 2 2 8 19 2 6 2" xfId="36393" xr:uid="{00000000-0005-0000-0000-000080460000}"/>
    <cellStyle name="Normal 2 2 8 19 2 7" xfId="36394" xr:uid="{00000000-0005-0000-0000-000081460000}"/>
    <cellStyle name="Normal 2 2 8 19 2 7 2" xfId="36395" xr:uid="{00000000-0005-0000-0000-000082460000}"/>
    <cellStyle name="Normal 2 2 8 19 2 8" xfId="36396" xr:uid="{00000000-0005-0000-0000-000083460000}"/>
    <cellStyle name="Normal 2 2 8 19 2 9" xfId="36397" xr:uid="{00000000-0005-0000-0000-000084460000}"/>
    <cellStyle name="Normal 2 2 8 19 3" xfId="7582" xr:uid="{00000000-0005-0000-0000-000085460000}"/>
    <cellStyle name="Normal 2 2 8 19 3 2" xfId="7583" xr:uid="{00000000-0005-0000-0000-000086460000}"/>
    <cellStyle name="Normal 2 2 8 19 3 2 2" xfId="7584" xr:uid="{00000000-0005-0000-0000-000087460000}"/>
    <cellStyle name="Normal 2 2 8 19 3 2 2 2" xfId="36398" xr:uid="{00000000-0005-0000-0000-000088460000}"/>
    <cellStyle name="Normal 2 2 8 19 3 2 3" xfId="7585" xr:uid="{00000000-0005-0000-0000-000089460000}"/>
    <cellStyle name="Normal 2 2 8 19 3 2 3 2" xfId="36399" xr:uid="{00000000-0005-0000-0000-00008A460000}"/>
    <cellStyle name="Normal 2 2 8 19 3 2 4" xfId="36400" xr:uid="{00000000-0005-0000-0000-00008B460000}"/>
    <cellStyle name="Normal 2 2 8 19 3 3" xfId="7586" xr:uid="{00000000-0005-0000-0000-00008C460000}"/>
    <cellStyle name="Normal 2 2 8 19 3 3 2" xfId="36401" xr:uid="{00000000-0005-0000-0000-00008D460000}"/>
    <cellStyle name="Normal 2 2 8 19 3 4" xfId="7587" xr:uid="{00000000-0005-0000-0000-00008E460000}"/>
    <cellStyle name="Normal 2 2 8 19 3 4 2" xfId="36402" xr:uid="{00000000-0005-0000-0000-00008F460000}"/>
    <cellStyle name="Normal 2 2 8 19 3 5" xfId="7588" xr:uid="{00000000-0005-0000-0000-000090460000}"/>
    <cellStyle name="Normal 2 2 8 19 3 5 2" xfId="36403" xr:uid="{00000000-0005-0000-0000-000091460000}"/>
    <cellStyle name="Normal 2 2 8 19 3 6" xfId="36404" xr:uid="{00000000-0005-0000-0000-000092460000}"/>
    <cellStyle name="Normal 2 2 8 19 3 6 2" xfId="36405" xr:uid="{00000000-0005-0000-0000-000093460000}"/>
    <cellStyle name="Normal 2 2 8 19 3 7" xfId="36406" xr:uid="{00000000-0005-0000-0000-000094460000}"/>
    <cellStyle name="Normal 2 2 8 19 4" xfId="7589" xr:uid="{00000000-0005-0000-0000-000095460000}"/>
    <cellStyle name="Normal 2 2 8 19 4 2" xfId="7590" xr:uid="{00000000-0005-0000-0000-000096460000}"/>
    <cellStyle name="Normal 2 2 8 19 4 2 2" xfId="36407" xr:uid="{00000000-0005-0000-0000-000097460000}"/>
    <cellStyle name="Normal 2 2 8 19 4 3" xfId="7591" xr:uid="{00000000-0005-0000-0000-000098460000}"/>
    <cellStyle name="Normal 2 2 8 19 4 3 2" xfId="36408" xr:uid="{00000000-0005-0000-0000-000099460000}"/>
    <cellStyle name="Normal 2 2 8 19 4 4" xfId="36409" xr:uid="{00000000-0005-0000-0000-00009A460000}"/>
    <cellStyle name="Normal 2 2 8 19 5" xfId="7592" xr:uid="{00000000-0005-0000-0000-00009B460000}"/>
    <cellStyle name="Normal 2 2 8 19 5 2" xfId="7593" xr:uid="{00000000-0005-0000-0000-00009C460000}"/>
    <cellStyle name="Normal 2 2 8 19 5 2 2" xfId="36410" xr:uid="{00000000-0005-0000-0000-00009D460000}"/>
    <cellStyle name="Normal 2 2 8 19 5 3" xfId="36411" xr:uid="{00000000-0005-0000-0000-00009E460000}"/>
    <cellStyle name="Normal 2 2 8 19 6" xfId="7594" xr:uid="{00000000-0005-0000-0000-00009F460000}"/>
    <cellStyle name="Normal 2 2 8 19 6 2" xfId="36412" xr:uid="{00000000-0005-0000-0000-0000A0460000}"/>
    <cellStyle name="Normal 2 2 8 19 7" xfId="7595" xr:uid="{00000000-0005-0000-0000-0000A1460000}"/>
    <cellStyle name="Normal 2 2 8 19 7 2" xfId="36413" xr:uid="{00000000-0005-0000-0000-0000A2460000}"/>
    <cellStyle name="Normal 2 2 8 19 8" xfId="36414" xr:uid="{00000000-0005-0000-0000-0000A3460000}"/>
    <cellStyle name="Normal 2 2 8 19 8 2" xfId="36415" xr:uid="{00000000-0005-0000-0000-0000A4460000}"/>
    <cellStyle name="Normal 2 2 8 19 9" xfId="36416" xr:uid="{00000000-0005-0000-0000-0000A5460000}"/>
    <cellStyle name="Normal 2 2 8 2" xfId="7596" xr:uid="{00000000-0005-0000-0000-0000A6460000}"/>
    <cellStyle name="Normal 2 2 8 2 10" xfId="36417" xr:uid="{00000000-0005-0000-0000-0000A7460000}"/>
    <cellStyle name="Normal 2 2 8 2 11" xfId="36418" xr:uid="{00000000-0005-0000-0000-0000A8460000}"/>
    <cellStyle name="Normal 2 2 8 2 2" xfId="7597" xr:uid="{00000000-0005-0000-0000-0000A9460000}"/>
    <cellStyle name="Normal 2 2 8 2 2 10" xfId="36419" xr:uid="{00000000-0005-0000-0000-0000AA460000}"/>
    <cellStyle name="Normal 2 2 8 2 2 2" xfId="7598" xr:uid="{00000000-0005-0000-0000-0000AB460000}"/>
    <cellStyle name="Normal 2 2 8 2 2 2 2" xfId="7599" xr:uid="{00000000-0005-0000-0000-0000AC460000}"/>
    <cellStyle name="Normal 2 2 8 2 2 2 2 2" xfId="7600" xr:uid="{00000000-0005-0000-0000-0000AD460000}"/>
    <cellStyle name="Normal 2 2 8 2 2 2 2 2 2" xfId="36420" xr:uid="{00000000-0005-0000-0000-0000AE460000}"/>
    <cellStyle name="Normal 2 2 8 2 2 2 2 3" xfId="7601" xr:uid="{00000000-0005-0000-0000-0000AF460000}"/>
    <cellStyle name="Normal 2 2 8 2 2 2 2 3 2" xfId="36421" xr:uid="{00000000-0005-0000-0000-0000B0460000}"/>
    <cellStyle name="Normal 2 2 8 2 2 2 2 4" xfId="36422" xr:uid="{00000000-0005-0000-0000-0000B1460000}"/>
    <cellStyle name="Normal 2 2 8 2 2 2 3" xfId="7602" xr:uid="{00000000-0005-0000-0000-0000B2460000}"/>
    <cellStyle name="Normal 2 2 8 2 2 2 3 2" xfId="36423" xr:uid="{00000000-0005-0000-0000-0000B3460000}"/>
    <cellStyle name="Normal 2 2 8 2 2 2 4" xfId="7603" xr:uid="{00000000-0005-0000-0000-0000B4460000}"/>
    <cellStyle name="Normal 2 2 8 2 2 2 4 2" xfId="36424" xr:uid="{00000000-0005-0000-0000-0000B5460000}"/>
    <cellStyle name="Normal 2 2 8 2 2 2 5" xfId="7604" xr:uid="{00000000-0005-0000-0000-0000B6460000}"/>
    <cellStyle name="Normal 2 2 8 2 2 2 5 2" xfId="36425" xr:uid="{00000000-0005-0000-0000-0000B7460000}"/>
    <cellStyle name="Normal 2 2 8 2 2 2 6" xfId="36426" xr:uid="{00000000-0005-0000-0000-0000B8460000}"/>
    <cellStyle name="Normal 2 2 8 2 2 2 6 2" xfId="36427" xr:uid="{00000000-0005-0000-0000-0000B9460000}"/>
    <cellStyle name="Normal 2 2 8 2 2 2 7" xfId="36428" xr:uid="{00000000-0005-0000-0000-0000BA460000}"/>
    <cellStyle name="Normal 2 2 8 2 2 3" xfId="7605" xr:uid="{00000000-0005-0000-0000-0000BB460000}"/>
    <cellStyle name="Normal 2 2 8 2 2 3 2" xfId="7606" xr:uid="{00000000-0005-0000-0000-0000BC460000}"/>
    <cellStyle name="Normal 2 2 8 2 2 3 2 2" xfId="36429" xr:uid="{00000000-0005-0000-0000-0000BD460000}"/>
    <cellStyle name="Normal 2 2 8 2 2 3 3" xfId="7607" xr:uid="{00000000-0005-0000-0000-0000BE460000}"/>
    <cellStyle name="Normal 2 2 8 2 2 3 3 2" xfId="36430" xr:uid="{00000000-0005-0000-0000-0000BF460000}"/>
    <cellStyle name="Normal 2 2 8 2 2 3 4" xfId="36431" xr:uid="{00000000-0005-0000-0000-0000C0460000}"/>
    <cellStyle name="Normal 2 2 8 2 2 4" xfId="7608" xr:uid="{00000000-0005-0000-0000-0000C1460000}"/>
    <cellStyle name="Normal 2 2 8 2 2 4 2" xfId="7609" xr:uid="{00000000-0005-0000-0000-0000C2460000}"/>
    <cellStyle name="Normal 2 2 8 2 2 4 2 2" xfId="36432" xr:uid="{00000000-0005-0000-0000-0000C3460000}"/>
    <cellStyle name="Normal 2 2 8 2 2 4 3" xfId="36433" xr:uid="{00000000-0005-0000-0000-0000C4460000}"/>
    <cellStyle name="Normal 2 2 8 2 2 5" xfId="7610" xr:uid="{00000000-0005-0000-0000-0000C5460000}"/>
    <cellStyle name="Normal 2 2 8 2 2 5 2" xfId="36434" xr:uid="{00000000-0005-0000-0000-0000C6460000}"/>
    <cellStyle name="Normal 2 2 8 2 2 6" xfId="7611" xr:uid="{00000000-0005-0000-0000-0000C7460000}"/>
    <cellStyle name="Normal 2 2 8 2 2 6 2" xfId="36435" xr:uid="{00000000-0005-0000-0000-0000C8460000}"/>
    <cellStyle name="Normal 2 2 8 2 2 7" xfId="36436" xr:uid="{00000000-0005-0000-0000-0000C9460000}"/>
    <cellStyle name="Normal 2 2 8 2 2 7 2" xfId="36437" xr:uid="{00000000-0005-0000-0000-0000CA460000}"/>
    <cellStyle name="Normal 2 2 8 2 2 8" xfId="36438" xr:uid="{00000000-0005-0000-0000-0000CB460000}"/>
    <cellStyle name="Normal 2 2 8 2 2 9" xfId="36439" xr:uid="{00000000-0005-0000-0000-0000CC460000}"/>
    <cellStyle name="Normal 2 2 8 2 3" xfId="7612" xr:uid="{00000000-0005-0000-0000-0000CD460000}"/>
    <cellStyle name="Normal 2 2 8 2 3 2" xfId="7613" xr:uid="{00000000-0005-0000-0000-0000CE460000}"/>
    <cellStyle name="Normal 2 2 8 2 3 2 2" xfId="7614" xr:uid="{00000000-0005-0000-0000-0000CF460000}"/>
    <cellStyle name="Normal 2 2 8 2 3 2 2 2" xfId="36440" xr:uid="{00000000-0005-0000-0000-0000D0460000}"/>
    <cellStyle name="Normal 2 2 8 2 3 2 3" xfId="7615" xr:uid="{00000000-0005-0000-0000-0000D1460000}"/>
    <cellStyle name="Normal 2 2 8 2 3 2 3 2" xfId="36441" xr:uid="{00000000-0005-0000-0000-0000D2460000}"/>
    <cellStyle name="Normal 2 2 8 2 3 2 4" xfId="36442" xr:uid="{00000000-0005-0000-0000-0000D3460000}"/>
    <cellStyle name="Normal 2 2 8 2 3 3" xfId="7616" xr:uid="{00000000-0005-0000-0000-0000D4460000}"/>
    <cellStyle name="Normal 2 2 8 2 3 3 2" xfId="36443" xr:uid="{00000000-0005-0000-0000-0000D5460000}"/>
    <cellStyle name="Normal 2 2 8 2 3 4" xfId="7617" xr:uid="{00000000-0005-0000-0000-0000D6460000}"/>
    <cellStyle name="Normal 2 2 8 2 3 4 2" xfId="36444" xr:uid="{00000000-0005-0000-0000-0000D7460000}"/>
    <cellStyle name="Normal 2 2 8 2 3 5" xfId="7618" xr:uid="{00000000-0005-0000-0000-0000D8460000}"/>
    <cellStyle name="Normal 2 2 8 2 3 5 2" xfId="36445" xr:uid="{00000000-0005-0000-0000-0000D9460000}"/>
    <cellStyle name="Normal 2 2 8 2 3 6" xfId="36446" xr:uid="{00000000-0005-0000-0000-0000DA460000}"/>
    <cellStyle name="Normal 2 2 8 2 3 6 2" xfId="36447" xr:uid="{00000000-0005-0000-0000-0000DB460000}"/>
    <cellStyle name="Normal 2 2 8 2 3 7" xfId="36448" xr:uid="{00000000-0005-0000-0000-0000DC460000}"/>
    <cellStyle name="Normal 2 2 8 2 4" xfId="7619" xr:uid="{00000000-0005-0000-0000-0000DD460000}"/>
    <cellStyle name="Normal 2 2 8 2 4 2" xfId="7620" xr:uid="{00000000-0005-0000-0000-0000DE460000}"/>
    <cellStyle name="Normal 2 2 8 2 4 2 2" xfId="36449" xr:uid="{00000000-0005-0000-0000-0000DF460000}"/>
    <cellStyle name="Normal 2 2 8 2 4 3" xfId="7621" xr:uid="{00000000-0005-0000-0000-0000E0460000}"/>
    <cellStyle name="Normal 2 2 8 2 4 3 2" xfId="36450" xr:uid="{00000000-0005-0000-0000-0000E1460000}"/>
    <cellStyle name="Normal 2 2 8 2 4 4" xfId="36451" xr:uid="{00000000-0005-0000-0000-0000E2460000}"/>
    <cellStyle name="Normal 2 2 8 2 5" xfId="7622" xr:uid="{00000000-0005-0000-0000-0000E3460000}"/>
    <cellStyle name="Normal 2 2 8 2 5 2" xfId="7623" xr:uid="{00000000-0005-0000-0000-0000E4460000}"/>
    <cellStyle name="Normal 2 2 8 2 5 2 2" xfId="36452" xr:uid="{00000000-0005-0000-0000-0000E5460000}"/>
    <cellStyle name="Normal 2 2 8 2 5 3" xfId="36453" xr:uid="{00000000-0005-0000-0000-0000E6460000}"/>
    <cellStyle name="Normal 2 2 8 2 6" xfId="7624" xr:uid="{00000000-0005-0000-0000-0000E7460000}"/>
    <cellStyle name="Normal 2 2 8 2 6 2" xfId="36454" xr:uid="{00000000-0005-0000-0000-0000E8460000}"/>
    <cellStyle name="Normal 2 2 8 2 7" xfId="7625" xr:uid="{00000000-0005-0000-0000-0000E9460000}"/>
    <cellStyle name="Normal 2 2 8 2 7 2" xfId="36455" xr:uid="{00000000-0005-0000-0000-0000EA460000}"/>
    <cellStyle name="Normal 2 2 8 2 8" xfId="36456" xr:uid="{00000000-0005-0000-0000-0000EB460000}"/>
    <cellStyle name="Normal 2 2 8 2 8 2" xfId="36457" xr:uid="{00000000-0005-0000-0000-0000EC460000}"/>
    <cellStyle name="Normal 2 2 8 2 9" xfId="36458" xr:uid="{00000000-0005-0000-0000-0000ED460000}"/>
    <cellStyle name="Normal 2 2 8 20" xfId="7626" xr:uid="{00000000-0005-0000-0000-0000EE460000}"/>
    <cellStyle name="Normal 2 2 8 20 10" xfId="36459" xr:uid="{00000000-0005-0000-0000-0000EF460000}"/>
    <cellStyle name="Normal 2 2 8 20 11" xfId="36460" xr:uid="{00000000-0005-0000-0000-0000F0460000}"/>
    <cellStyle name="Normal 2 2 8 20 2" xfId="7627" xr:uid="{00000000-0005-0000-0000-0000F1460000}"/>
    <cellStyle name="Normal 2 2 8 20 2 10" xfId="36461" xr:uid="{00000000-0005-0000-0000-0000F2460000}"/>
    <cellStyle name="Normal 2 2 8 20 2 2" xfId="7628" xr:uid="{00000000-0005-0000-0000-0000F3460000}"/>
    <cellStyle name="Normal 2 2 8 20 2 2 2" xfId="7629" xr:uid="{00000000-0005-0000-0000-0000F4460000}"/>
    <cellStyle name="Normal 2 2 8 20 2 2 2 2" xfId="7630" xr:uid="{00000000-0005-0000-0000-0000F5460000}"/>
    <cellStyle name="Normal 2 2 8 20 2 2 2 2 2" xfId="36462" xr:uid="{00000000-0005-0000-0000-0000F6460000}"/>
    <cellStyle name="Normal 2 2 8 20 2 2 2 3" xfId="7631" xr:uid="{00000000-0005-0000-0000-0000F7460000}"/>
    <cellStyle name="Normal 2 2 8 20 2 2 2 3 2" xfId="36463" xr:uid="{00000000-0005-0000-0000-0000F8460000}"/>
    <cellStyle name="Normal 2 2 8 20 2 2 2 4" xfId="36464" xr:uid="{00000000-0005-0000-0000-0000F9460000}"/>
    <cellStyle name="Normal 2 2 8 20 2 2 3" xfId="7632" xr:uid="{00000000-0005-0000-0000-0000FA460000}"/>
    <cellStyle name="Normal 2 2 8 20 2 2 3 2" xfId="36465" xr:uid="{00000000-0005-0000-0000-0000FB460000}"/>
    <cellStyle name="Normal 2 2 8 20 2 2 4" xfId="7633" xr:uid="{00000000-0005-0000-0000-0000FC460000}"/>
    <cellStyle name="Normal 2 2 8 20 2 2 4 2" xfId="36466" xr:uid="{00000000-0005-0000-0000-0000FD460000}"/>
    <cellStyle name="Normal 2 2 8 20 2 2 5" xfId="7634" xr:uid="{00000000-0005-0000-0000-0000FE460000}"/>
    <cellStyle name="Normal 2 2 8 20 2 2 5 2" xfId="36467" xr:uid="{00000000-0005-0000-0000-0000FF460000}"/>
    <cellStyle name="Normal 2 2 8 20 2 2 6" xfId="36468" xr:uid="{00000000-0005-0000-0000-000000470000}"/>
    <cellStyle name="Normal 2 2 8 20 2 2 6 2" xfId="36469" xr:uid="{00000000-0005-0000-0000-000001470000}"/>
    <cellStyle name="Normal 2 2 8 20 2 2 7" xfId="36470" xr:uid="{00000000-0005-0000-0000-000002470000}"/>
    <cellStyle name="Normal 2 2 8 20 2 3" xfId="7635" xr:uid="{00000000-0005-0000-0000-000003470000}"/>
    <cellStyle name="Normal 2 2 8 20 2 3 2" xfId="7636" xr:uid="{00000000-0005-0000-0000-000004470000}"/>
    <cellStyle name="Normal 2 2 8 20 2 3 2 2" xfId="36471" xr:uid="{00000000-0005-0000-0000-000005470000}"/>
    <cellStyle name="Normal 2 2 8 20 2 3 3" xfId="7637" xr:uid="{00000000-0005-0000-0000-000006470000}"/>
    <cellStyle name="Normal 2 2 8 20 2 3 3 2" xfId="36472" xr:uid="{00000000-0005-0000-0000-000007470000}"/>
    <cellStyle name="Normal 2 2 8 20 2 3 4" xfId="36473" xr:uid="{00000000-0005-0000-0000-000008470000}"/>
    <cellStyle name="Normal 2 2 8 20 2 4" xfId="7638" xr:uid="{00000000-0005-0000-0000-000009470000}"/>
    <cellStyle name="Normal 2 2 8 20 2 4 2" xfId="7639" xr:uid="{00000000-0005-0000-0000-00000A470000}"/>
    <cellStyle name="Normal 2 2 8 20 2 4 2 2" xfId="36474" xr:uid="{00000000-0005-0000-0000-00000B470000}"/>
    <cellStyle name="Normal 2 2 8 20 2 4 3" xfId="36475" xr:uid="{00000000-0005-0000-0000-00000C470000}"/>
    <cellStyle name="Normal 2 2 8 20 2 5" xfId="7640" xr:uid="{00000000-0005-0000-0000-00000D470000}"/>
    <cellStyle name="Normal 2 2 8 20 2 5 2" xfId="36476" xr:uid="{00000000-0005-0000-0000-00000E470000}"/>
    <cellStyle name="Normal 2 2 8 20 2 6" xfId="7641" xr:uid="{00000000-0005-0000-0000-00000F470000}"/>
    <cellStyle name="Normal 2 2 8 20 2 6 2" xfId="36477" xr:uid="{00000000-0005-0000-0000-000010470000}"/>
    <cellStyle name="Normal 2 2 8 20 2 7" xfId="36478" xr:uid="{00000000-0005-0000-0000-000011470000}"/>
    <cellStyle name="Normal 2 2 8 20 2 7 2" xfId="36479" xr:uid="{00000000-0005-0000-0000-000012470000}"/>
    <cellStyle name="Normal 2 2 8 20 2 8" xfId="36480" xr:uid="{00000000-0005-0000-0000-000013470000}"/>
    <cellStyle name="Normal 2 2 8 20 2 9" xfId="36481" xr:uid="{00000000-0005-0000-0000-000014470000}"/>
    <cellStyle name="Normal 2 2 8 20 3" xfId="7642" xr:uid="{00000000-0005-0000-0000-000015470000}"/>
    <cellStyle name="Normal 2 2 8 20 3 2" xfId="7643" xr:uid="{00000000-0005-0000-0000-000016470000}"/>
    <cellStyle name="Normal 2 2 8 20 3 2 2" xfId="7644" xr:uid="{00000000-0005-0000-0000-000017470000}"/>
    <cellStyle name="Normal 2 2 8 20 3 2 2 2" xfId="36482" xr:uid="{00000000-0005-0000-0000-000018470000}"/>
    <cellStyle name="Normal 2 2 8 20 3 2 3" xfId="7645" xr:uid="{00000000-0005-0000-0000-000019470000}"/>
    <cellStyle name="Normal 2 2 8 20 3 2 3 2" xfId="36483" xr:uid="{00000000-0005-0000-0000-00001A470000}"/>
    <cellStyle name="Normal 2 2 8 20 3 2 4" xfId="36484" xr:uid="{00000000-0005-0000-0000-00001B470000}"/>
    <cellStyle name="Normal 2 2 8 20 3 3" xfId="7646" xr:uid="{00000000-0005-0000-0000-00001C470000}"/>
    <cellStyle name="Normal 2 2 8 20 3 3 2" xfId="36485" xr:uid="{00000000-0005-0000-0000-00001D470000}"/>
    <cellStyle name="Normal 2 2 8 20 3 4" xfId="7647" xr:uid="{00000000-0005-0000-0000-00001E470000}"/>
    <cellStyle name="Normal 2 2 8 20 3 4 2" xfId="36486" xr:uid="{00000000-0005-0000-0000-00001F470000}"/>
    <cellStyle name="Normal 2 2 8 20 3 5" xfId="7648" xr:uid="{00000000-0005-0000-0000-000020470000}"/>
    <cellStyle name="Normal 2 2 8 20 3 5 2" xfId="36487" xr:uid="{00000000-0005-0000-0000-000021470000}"/>
    <cellStyle name="Normal 2 2 8 20 3 6" xfId="36488" xr:uid="{00000000-0005-0000-0000-000022470000}"/>
    <cellStyle name="Normal 2 2 8 20 3 6 2" xfId="36489" xr:uid="{00000000-0005-0000-0000-000023470000}"/>
    <cellStyle name="Normal 2 2 8 20 3 7" xfId="36490" xr:uid="{00000000-0005-0000-0000-000024470000}"/>
    <cellStyle name="Normal 2 2 8 20 4" xfId="7649" xr:uid="{00000000-0005-0000-0000-000025470000}"/>
    <cellStyle name="Normal 2 2 8 20 4 2" xfId="7650" xr:uid="{00000000-0005-0000-0000-000026470000}"/>
    <cellStyle name="Normal 2 2 8 20 4 2 2" xfId="36491" xr:uid="{00000000-0005-0000-0000-000027470000}"/>
    <cellStyle name="Normal 2 2 8 20 4 3" xfId="7651" xr:uid="{00000000-0005-0000-0000-000028470000}"/>
    <cellStyle name="Normal 2 2 8 20 4 3 2" xfId="36492" xr:uid="{00000000-0005-0000-0000-000029470000}"/>
    <cellStyle name="Normal 2 2 8 20 4 4" xfId="36493" xr:uid="{00000000-0005-0000-0000-00002A470000}"/>
    <cellStyle name="Normal 2 2 8 20 5" xfId="7652" xr:uid="{00000000-0005-0000-0000-00002B470000}"/>
    <cellStyle name="Normal 2 2 8 20 5 2" xfId="7653" xr:uid="{00000000-0005-0000-0000-00002C470000}"/>
    <cellStyle name="Normal 2 2 8 20 5 2 2" xfId="36494" xr:uid="{00000000-0005-0000-0000-00002D470000}"/>
    <cellStyle name="Normal 2 2 8 20 5 3" xfId="36495" xr:uid="{00000000-0005-0000-0000-00002E470000}"/>
    <cellStyle name="Normal 2 2 8 20 6" xfId="7654" xr:uid="{00000000-0005-0000-0000-00002F470000}"/>
    <cellStyle name="Normal 2 2 8 20 6 2" xfId="36496" xr:uid="{00000000-0005-0000-0000-000030470000}"/>
    <cellStyle name="Normal 2 2 8 20 7" xfId="7655" xr:uid="{00000000-0005-0000-0000-000031470000}"/>
    <cellStyle name="Normal 2 2 8 20 7 2" xfId="36497" xr:uid="{00000000-0005-0000-0000-000032470000}"/>
    <cellStyle name="Normal 2 2 8 20 8" xfId="36498" xr:uid="{00000000-0005-0000-0000-000033470000}"/>
    <cellStyle name="Normal 2 2 8 20 8 2" xfId="36499" xr:uid="{00000000-0005-0000-0000-000034470000}"/>
    <cellStyle name="Normal 2 2 8 20 9" xfId="36500" xr:uid="{00000000-0005-0000-0000-000035470000}"/>
    <cellStyle name="Normal 2 2 8 21" xfId="7656" xr:uid="{00000000-0005-0000-0000-000036470000}"/>
    <cellStyle name="Normal 2 2 8 21 10" xfId="36501" xr:uid="{00000000-0005-0000-0000-000037470000}"/>
    <cellStyle name="Normal 2 2 8 21 11" xfId="36502" xr:uid="{00000000-0005-0000-0000-000038470000}"/>
    <cellStyle name="Normal 2 2 8 21 2" xfId="7657" xr:uid="{00000000-0005-0000-0000-000039470000}"/>
    <cellStyle name="Normal 2 2 8 21 2 10" xfId="36503" xr:uid="{00000000-0005-0000-0000-00003A470000}"/>
    <cellStyle name="Normal 2 2 8 21 2 2" xfId="7658" xr:uid="{00000000-0005-0000-0000-00003B470000}"/>
    <cellStyle name="Normal 2 2 8 21 2 2 2" xfId="7659" xr:uid="{00000000-0005-0000-0000-00003C470000}"/>
    <cellStyle name="Normal 2 2 8 21 2 2 2 2" xfId="7660" xr:uid="{00000000-0005-0000-0000-00003D470000}"/>
    <cellStyle name="Normal 2 2 8 21 2 2 2 2 2" xfId="36504" xr:uid="{00000000-0005-0000-0000-00003E470000}"/>
    <cellStyle name="Normal 2 2 8 21 2 2 2 3" xfId="7661" xr:uid="{00000000-0005-0000-0000-00003F470000}"/>
    <cellStyle name="Normal 2 2 8 21 2 2 2 3 2" xfId="36505" xr:uid="{00000000-0005-0000-0000-000040470000}"/>
    <cellStyle name="Normal 2 2 8 21 2 2 2 4" xfId="36506" xr:uid="{00000000-0005-0000-0000-000041470000}"/>
    <cellStyle name="Normal 2 2 8 21 2 2 3" xfId="7662" xr:uid="{00000000-0005-0000-0000-000042470000}"/>
    <cellStyle name="Normal 2 2 8 21 2 2 3 2" xfId="36507" xr:uid="{00000000-0005-0000-0000-000043470000}"/>
    <cellStyle name="Normal 2 2 8 21 2 2 4" xfId="7663" xr:uid="{00000000-0005-0000-0000-000044470000}"/>
    <cellStyle name="Normal 2 2 8 21 2 2 4 2" xfId="36508" xr:uid="{00000000-0005-0000-0000-000045470000}"/>
    <cellStyle name="Normal 2 2 8 21 2 2 5" xfId="7664" xr:uid="{00000000-0005-0000-0000-000046470000}"/>
    <cellStyle name="Normal 2 2 8 21 2 2 5 2" xfId="36509" xr:uid="{00000000-0005-0000-0000-000047470000}"/>
    <cellStyle name="Normal 2 2 8 21 2 2 6" xfId="36510" xr:uid="{00000000-0005-0000-0000-000048470000}"/>
    <cellStyle name="Normal 2 2 8 21 2 2 6 2" xfId="36511" xr:uid="{00000000-0005-0000-0000-000049470000}"/>
    <cellStyle name="Normal 2 2 8 21 2 2 7" xfId="36512" xr:uid="{00000000-0005-0000-0000-00004A470000}"/>
    <cellStyle name="Normal 2 2 8 21 2 3" xfId="7665" xr:uid="{00000000-0005-0000-0000-00004B470000}"/>
    <cellStyle name="Normal 2 2 8 21 2 3 2" xfId="7666" xr:uid="{00000000-0005-0000-0000-00004C470000}"/>
    <cellStyle name="Normal 2 2 8 21 2 3 2 2" xfId="36513" xr:uid="{00000000-0005-0000-0000-00004D470000}"/>
    <cellStyle name="Normal 2 2 8 21 2 3 3" xfId="7667" xr:uid="{00000000-0005-0000-0000-00004E470000}"/>
    <cellStyle name="Normal 2 2 8 21 2 3 3 2" xfId="36514" xr:uid="{00000000-0005-0000-0000-00004F470000}"/>
    <cellStyle name="Normal 2 2 8 21 2 3 4" xfId="36515" xr:uid="{00000000-0005-0000-0000-000050470000}"/>
    <cellStyle name="Normal 2 2 8 21 2 4" xfId="7668" xr:uid="{00000000-0005-0000-0000-000051470000}"/>
    <cellStyle name="Normal 2 2 8 21 2 4 2" xfId="7669" xr:uid="{00000000-0005-0000-0000-000052470000}"/>
    <cellStyle name="Normal 2 2 8 21 2 4 2 2" xfId="36516" xr:uid="{00000000-0005-0000-0000-000053470000}"/>
    <cellStyle name="Normal 2 2 8 21 2 4 3" xfId="36517" xr:uid="{00000000-0005-0000-0000-000054470000}"/>
    <cellStyle name="Normal 2 2 8 21 2 5" xfId="7670" xr:uid="{00000000-0005-0000-0000-000055470000}"/>
    <cellStyle name="Normal 2 2 8 21 2 5 2" xfId="36518" xr:uid="{00000000-0005-0000-0000-000056470000}"/>
    <cellStyle name="Normal 2 2 8 21 2 6" xfId="7671" xr:uid="{00000000-0005-0000-0000-000057470000}"/>
    <cellStyle name="Normal 2 2 8 21 2 6 2" xfId="36519" xr:uid="{00000000-0005-0000-0000-000058470000}"/>
    <cellStyle name="Normal 2 2 8 21 2 7" xfId="36520" xr:uid="{00000000-0005-0000-0000-000059470000}"/>
    <cellStyle name="Normal 2 2 8 21 2 7 2" xfId="36521" xr:uid="{00000000-0005-0000-0000-00005A470000}"/>
    <cellStyle name="Normal 2 2 8 21 2 8" xfId="36522" xr:uid="{00000000-0005-0000-0000-00005B470000}"/>
    <cellStyle name="Normal 2 2 8 21 2 9" xfId="36523" xr:uid="{00000000-0005-0000-0000-00005C470000}"/>
    <cellStyle name="Normal 2 2 8 21 3" xfId="7672" xr:uid="{00000000-0005-0000-0000-00005D470000}"/>
    <cellStyle name="Normal 2 2 8 21 3 2" xfId="7673" xr:uid="{00000000-0005-0000-0000-00005E470000}"/>
    <cellStyle name="Normal 2 2 8 21 3 2 2" xfId="7674" xr:uid="{00000000-0005-0000-0000-00005F470000}"/>
    <cellStyle name="Normal 2 2 8 21 3 2 2 2" xfId="36524" xr:uid="{00000000-0005-0000-0000-000060470000}"/>
    <cellStyle name="Normal 2 2 8 21 3 2 3" xfId="7675" xr:uid="{00000000-0005-0000-0000-000061470000}"/>
    <cellStyle name="Normal 2 2 8 21 3 2 3 2" xfId="36525" xr:uid="{00000000-0005-0000-0000-000062470000}"/>
    <cellStyle name="Normal 2 2 8 21 3 2 4" xfId="36526" xr:uid="{00000000-0005-0000-0000-000063470000}"/>
    <cellStyle name="Normal 2 2 8 21 3 3" xfId="7676" xr:uid="{00000000-0005-0000-0000-000064470000}"/>
    <cellStyle name="Normal 2 2 8 21 3 3 2" xfId="36527" xr:uid="{00000000-0005-0000-0000-000065470000}"/>
    <cellStyle name="Normal 2 2 8 21 3 4" xfId="7677" xr:uid="{00000000-0005-0000-0000-000066470000}"/>
    <cellStyle name="Normal 2 2 8 21 3 4 2" xfId="36528" xr:uid="{00000000-0005-0000-0000-000067470000}"/>
    <cellStyle name="Normal 2 2 8 21 3 5" xfId="7678" xr:uid="{00000000-0005-0000-0000-000068470000}"/>
    <cellStyle name="Normal 2 2 8 21 3 5 2" xfId="36529" xr:uid="{00000000-0005-0000-0000-000069470000}"/>
    <cellStyle name="Normal 2 2 8 21 3 6" xfId="36530" xr:uid="{00000000-0005-0000-0000-00006A470000}"/>
    <cellStyle name="Normal 2 2 8 21 3 6 2" xfId="36531" xr:uid="{00000000-0005-0000-0000-00006B470000}"/>
    <cellStyle name="Normal 2 2 8 21 3 7" xfId="36532" xr:uid="{00000000-0005-0000-0000-00006C470000}"/>
    <cellStyle name="Normal 2 2 8 21 4" xfId="7679" xr:uid="{00000000-0005-0000-0000-00006D470000}"/>
    <cellStyle name="Normal 2 2 8 21 4 2" xfId="7680" xr:uid="{00000000-0005-0000-0000-00006E470000}"/>
    <cellStyle name="Normal 2 2 8 21 4 2 2" xfId="36533" xr:uid="{00000000-0005-0000-0000-00006F470000}"/>
    <cellStyle name="Normal 2 2 8 21 4 3" xfId="7681" xr:uid="{00000000-0005-0000-0000-000070470000}"/>
    <cellStyle name="Normal 2 2 8 21 4 3 2" xfId="36534" xr:uid="{00000000-0005-0000-0000-000071470000}"/>
    <cellStyle name="Normal 2 2 8 21 4 4" xfId="36535" xr:uid="{00000000-0005-0000-0000-000072470000}"/>
    <cellStyle name="Normal 2 2 8 21 5" xfId="7682" xr:uid="{00000000-0005-0000-0000-000073470000}"/>
    <cellStyle name="Normal 2 2 8 21 5 2" xfId="7683" xr:uid="{00000000-0005-0000-0000-000074470000}"/>
    <cellStyle name="Normal 2 2 8 21 5 2 2" xfId="36536" xr:uid="{00000000-0005-0000-0000-000075470000}"/>
    <cellStyle name="Normal 2 2 8 21 5 3" xfId="36537" xr:uid="{00000000-0005-0000-0000-000076470000}"/>
    <cellStyle name="Normal 2 2 8 21 6" xfId="7684" xr:uid="{00000000-0005-0000-0000-000077470000}"/>
    <cellStyle name="Normal 2 2 8 21 6 2" xfId="36538" xr:uid="{00000000-0005-0000-0000-000078470000}"/>
    <cellStyle name="Normal 2 2 8 21 7" xfId="7685" xr:uid="{00000000-0005-0000-0000-000079470000}"/>
    <cellStyle name="Normal 2 2 8 21 7 2" xfId="36539" xr:uid="{00000000-0005-0000-0000-00007A470000}"/>
    <cellStyle name="Normal 2 2 8 21 8" xfId="36540" xr:uid="{00000000-0005-0000-0000-00007B470000}"/>
    <cellStyle name="Normal 2 2 8 21 8 2" xfId="36541" xr:uid="{00000000-0005-0000-0000-00007C470000}"/>
    <cellStyle name="Normal 2 2 8 21 9" xfId="36542" xr:uid="{00000000-0005-0000-0000-00007D470000}"/>
    <cellStyle name="Normal 2 2 8 22" xfId="7686" xr:uid="{00000000-0005-0000-0000-00007E470000}"/>
    <cellStyle name="Normal 2 2 8 22 10" xfId="36543" xr:uid="{00000000-0005-0000-0000-00007F470000}"/>
    <cellStyle name="Normal 2 2 8 22 11" xfId="36544" xr:uid="{00000000-0005-0000-0000-000080470000}"/>
    <cellStyle name="Normal 2 2 8 22 2" xfId="7687" xr:uid="{00000000-0005-0000-0000-000081470000}"/>
    <cellStyle name="Normal 2 2 8 22 2 10" xfId="36545" xr:uid="{00000000-0005-0000-0000-000082470000}"/>
    <cellStyle name="Normal 2 2 8 22 2 2" xfId="7688" xr:uid="{00000000-0005-0000-0000-000083470000}"/>
    <cellStyle name="Normal 2 2 8 22 2 2 2" xfId="7689" xr:uid="{00000000-0005-0000-0000-000084470000}"/>
    <cellStyle name="Normal 2 2 8 22 2 2 2 2" xfId="7690" xr:uid="{00000000-0005-0000-0000-000085470000}"/>
    <cellStyle name="Normal 2 2 8 22 2 2 2 2 2" xfId="36546" xr:uid="{00000000-0005-0000-0000-000086470000}"/>
    <cellStyle name="Normal 2 2 8 22 2 2 2 3" xfId="7691" xr:uid="{00000000-0005-0000-0000-000087470000}"/>
    <cellStyle name="Normal 2 2 8 22 2 2 2 3 2" xfId="36547" xr:uid="{00000000-0005-0000-0000-000088470000}"/>
    <cellStyle name="Normal 2 2 8 22 2 2 2 4" xfId="36548" xr:uid="{00000000-0005-0000-0000-000089470000}"/>
    <cellStyle name="Normal 2 2 8 22 2 2 3" xfId="7692" xr:uid="{00000000-0005-0000-0000-00008A470000}"/>
    <cellStyle name="Normal 2 2 8 22 2 2 3 2" xfId="36549" xr:uid="{00000000-0005-0000-0000-00008B470000}"/>
    <cellStyle name="Normal 2 2 8 22 2 2 4" xfId="7693" xr:uid="{00000000-0005-0000-0000-00008C470000}"/>
    <cellStyle name="Normal 2 2 8 22 2 2 4 2" xfId="36550" xr:uid="{00000000-0005-0000-0000-00008D470000}"/>
    <cellStyle name="Normal 2 2 8 22 2 2 5" xfId="7694" xr:uid="{00000000-0005-0000-0000-00008E470000}"/>
    <cellStyle name="Normal 2 2 8 22 2 2 5 2" xfId="36551" xr:uid="{00000000-0005-0000-0000-00008F470000}"/>
    <cellStyle name="Normal 2 2 8 22 2 2 6" xfId="36552" xr:uid="{00000000-0005-0000-0000-000090470000}"/>
    <cellStyle name="Normal 2 2 8 22 2 2 6 2" xfId="36553" xr:uid="{00000000-0005-0000-0000-000091470000}"/>
    <cellStyle name="Normal 2 2 8 22 2 2 7" xfId="36554" xr:uid="{00000000-0005-0000-0000-000092470000}"/>
    <cellStyle name="Normal 2 2 8 22 2 3" xfId="7695" xr:uid="{00000000-0005-0000-0000-000093470000}"/>
    <cellStyle name="Normal 2 2 8 22 2 3 2" xfId="7696" xr:uid="{00000000-0005-0000-0000-000094470000}"/>
    <cellStyle name="Normal 2 2 8 22 2 3 2 2" xfId="36555" xr:uid="{00000000-0005-0000-0000-000095470000}"/>
    <cellStyle name="Normal 2 2 8 22 2 3 3" xfId="7697" xr:uid="{00000000-0005-0000-0000-000096470000}"/>
    <cellStyle name="Normal 2 2 8 22 2 3 3 2" xfId="36556" xr:uid="{00000000-0005-0000-0000-000097470000}"/>
    <cellStyle name="Normal 2 2 8 22 2 3 4" xfId="36557" xr:uid="{00000000-0005-0000-0000-000098470000}"/>
    <cellStyle name="Normal 2 2 8 22 2 4" xfId="7698" xr:uid="{00000000-0005-0000-0000-000099470000}"/>
    <cellStyle name="Normal 2 2 8 22 2 4 2" xfId="7699" xr:uid="{00000000-0005-0000-0000-00009A470000}"/>
    <cellStyle name="Normal 2 2 8 22 2 4 2 2" xfId="36558" xr:uid="{00000000-0005-0000-0000-00009B470000}"/>
    <cellStyle name="Normal 2 2 8 22 2 4 3" xfId="36559" xr:uid="{00000000-0005-0000-0000-00009C470000}"/>
    <cellStyle name="Normal 2 2 8 22 2 5" xfId="7700" xr:uid="{00000000-0005-0000-0000-00009D470000}"/>
    <cellStyle name="Normal 2 2 8 22 2 5 2" xfId="36560" xr:uid="{00000000-0005-0000-0000-00009E470000}"/>
    <cellStyle name="Normal 2 2 8 22 2 6" xfId="7701" xr:uid="{00000000-0005-0000-0000-00009F470000}"/>
    <cellStyle name="Normal 2 2 8 22 2 6 2" xfId="36561" xr:uid="{00000000-0005-0000-0000-0000A0470000}"/>
    <cellStyle name="Normal 2 2 8 22 2 7" xfId="36562" xr:uid="{00000000-0005-0000-0000-0000A1470000}"/>
    <cellStyle name="Normal 2 2 8 22 2 7 2" xfId="36563" xr:uid="{00000000-0005-0000-0000-0000A2470000}"/>
    <cellStyle name="Normal 2 2 8 22 2 8" xfId="36564" xr:uid="{00000000-0005-0000-0000-0000A3470000}"/>
    <cellStyle name="Normal 2 2 8 22 2 9" xfId="36565" xr:uid="{00000000-0005-0000-0000-0000A4470000}"/>
    <cellStyle name="Normal 2 2 8 22 3" xfId="7702" xr:uid="{00000000-0005-0000-0000-0000A5470000}"/>
    <cellStyle name="Normal 2 2 8 22 3 2" xfId="7703" xr:uid="{00000000-0005-0000-0000-0000A6470000}"/>
    <cellStyle name="Normal 2 2 8 22 3 2 2" xfId="7704" xr:uid="{00000000-0005-0000-0000-0000A7470000}"/>
    <cellStyle name="Normal 2 2 8 22 3 2 2 2" xfId="36566" xr:uid="{00000000-0005-0000-0000-0000A8470000}"/>
    <cellStyle name="Normal 2 2 8 22 3 2 3" xfId="7705" xr:uid="{00000000-0005-0000-0000-0000A9470000}"/>
    <cellStyle name="Normal 2 2 8 22 3 2 3 2" xfId="36567" xr:uid="{00000000-0005-0000-0000-0000AA470000}"/>
    <cellStyle name="Normal 2 2 8 22 3 2 4" xfId="36568" xr:uid="{00000000-0005-0000-0000-0000AB470000}"/>
    <cellStyle name="Normal 2 2 8 22 3 3" xfId="7706" xr:uid="{00000000-0005-0000-0000-0000AC470000}"/>
    <cellStyle name="Normal 2 2 8 22 3 3 2" xfId="36569" xr:uid="{00000000-0005-0000-0000-0000AD470000}"/>
    <cellStyle name="Normal 2 2 8 22 3 4" xfId="7707" xr:uid="{00000000-0005-0000-0000-0000AE470000}"/>
    <cellStyle name="Normal 2 2 8 22 3 4 2" xfId="36570" xr:uid="{00000000-0005-0000-0000-0000AF470000}"/>
    <cellStyle name="Normal 2 2 8 22 3 5" xfId="7708" xr:uid="{00000000-0005-0000-0000-0000B0470000}"/>
    <cellStyle name="Normal 2 2 8 22 3 5 2" xfId="36571" xr:uid="{00000000-0005-0000-0000-0000B1470000}"/>
    <cellStyle name="Normal 2 2 8 22 3 6" xfId="36572" xr:uid="{00000000-0005-0000-0000-0000B2470000}"/>
    <cellStyle name="Normal 2 2 8 22 3 6 2" xfId="36573" xr:uid="{00000000-0005-0000-0000-0000B3470000}"/>
    <cellStyle name="Normal 2 2 8 22 3 7" xfId="36574" xr:uid="{00000000-0005-0000-0000-0000B4470000}"/>
    <cellStyle name="Normal 2 2 8 22 4" xfId="7709" xr:uid="{00000000-0005-0000-0000-0000B5470000}"/>
    <cellStyle name="Normal 2 2 8 22 4 2" xfId="7710" xr:uid="{00000000-0005-0000-0000-0000B6470000}"/>
    <cellStyle name="Normal 2 2 8 22 4 2 2" xfId="36575" xr:uid="{00000000-0005-0000-0000-0000B7470000}"/>
    <cellStyle name="Normal 2 2 8 22 4 3" xfId="7711" xr:uid="{00000000-0005-0000-0000-0000B8470000}"/>
    <cellStyle name="Normal 2 2 8 22 4 3 2" xfId="36576" xr:uid="{00000000-0005-0000-0000-0000B9470000}"/>
    <cellStyle name="Normal 2 2 8 22 4 4" xfId="36577" xr:uid="{00000000-0005-0000-0000-0000BA470000}"/>
    <cellStyle name="Normal 2 2 8 22 5" xfId="7712" xr:uid="{00000000-0005-0000-0000-0000BB470000}"/>
    <cellStyle name="Normal 2 2 8 22 5 2" xfId="7713" xr:uid="{00000000-0005-0000-0000-0000BC470000}"/>
    <cellStyle name="Normal 2 2 8 22 5 2 2" xfId="36578" xr:uid="{00000000-0005-0000-0000-0000BD470000}"/>
    <cellStyle name="Normal 2 2 8 22 5 3" xfId="36579" xr:uid="{00000000-0005-0000-0000-0000BE470000}"/>
    <cellStyle name="Normal 2 2 8 22 6" xfId="7714" xr:uid="{00000000-0005-0000-0000-0000BF470000}"/>
    <cellStyle name="Normal 2 2 8 22 6 2" xfId="36580" xr:uid="{00000000-0005-0000-0000-0000C0470000}"/>
    <cellStyle name="Normal 2 2 8 22 7" xfId="7715" xr:uid="{00000000-0005-0000-0000-0000C1470000}"/>
    <cellStyle name="Normal 2 2 8 22 7 2" xfId="36581" xr:uid="{00000000-0005-0000-0000-0000C2470000}"/>
    <cellStyle name="Normal 2 2 8 22 8" xfId="36582" xr:uid="{00000000-0005-0000-0000-0000C3470000}"/>
    <cellStyle name="Normal 2 2 8 22 8 2" xfId="36583" xr:uid="{00000000-0005-0000-0000-0000C4470000}"/>
    <cellStyle name="Normal 2 2 8 22 9" xfId="36584" xr:uid="{00000000-0005-0000-0000-0000C5470000}"/>
    <cellStyle name="Normal 2 2 8 23" xfId="7716" xr:uid="{00000000-0005-0000-0000-0000C6470000}"/>
    <cellStyle name="Normal 2 2 8 23 10" xfId="36585" xr:uid="{00000000-0005-0000-0000-0000C7470000}"/>
    <cellStyle name="Normal 2 2 8 23 11" xfId="36586" xr:uid="{00000000-0005-0000-0000-0000C8470000}"/>
    <cellStyle name="Normal 2 2 8 23 2" xfId="7717" xr:uid="{00000000-0005-0000-0000-0000C9470000}"/>
    <cellStyle name="Normal 2 2 8 23 2 10" xfId="36587" xr:uid="{00000000-0005-0000-0000-0000CA470000}"/>
    <cellStyle name="Normal 2 2 8 23 2 2" xfId="7718" xr:uid="{00000000-0005-0000-0000-0000CB470000}"/>
    <cellStyle name="Normal 2 2 8 23 2 2 2" xfId="7719" xr:uid="{00000000-0005-0000-0000-0000CC470000}"/>
    <cellStyle name="Normal 2 2 8 23 2 2 2 2" xfId="7720" xr:uid="{00000000-0005-0000-0000-0000CD470000}"/>
    <cellStyle name="Normal 2 2 8 23 2 2 2 2 2" xfId="36588" xr:uid="{00000000-0005-0000-0000-0000CE470000}"/>
    <cellStyle name="Normal 2 2 8 23 2 2 2 3" xfId="7721" xr:uid="{00000000-0005-0000-0000-0000CF470000}"/>
    <cellStyle name="Normal 2 2 8 23 2 2 2 3 2" xfId="36589" xr:uid="{00000000-0005-0000-0000-0000D0470000}"/>
    <cellStyle name="Normal 2 2 8 23 2 2 2 4" xfId="36590" xr:uid="{00000000-0005-0000-0000-0000D1470000}"/>
    <cellStyle name="Normal 2 2 8 23 2 2 3" xfId="7722" xr:uid="{00000000-0005-0000-0000-0000D2470000}"/>
    <cellStyle name="Normal 2 2 8 23 2 2 3 2" xfId="36591" xr:uid="{00000000-0005-0000-0000-0000D3470000}"/>
    <cellStyle name="Normal 2 2 8 23 2 2 4" xfId="7723" xr:uid="{00000000-0005-0000-0000-0000D4470000}"/>
    <cellStyle name="Normal 2 2 8 23 2 2 4 2" xfId="36592" xr:uid="{00000000-0005-0000-0000-0000D5470000}"/>
    <cellStyle name="Normal 2 2 8 23 2 2 5" xfId="7724" xr:uid="{00000000-0005-0000-0000-0000D6470000}"/>
    <cellStyle name="Normal 2 2 8 23 2 2 5 2" xfId="36593" xr:uid="{00000000-0005-0000-0000-0000D7470000}"/>
    <cellStyle name="Normal 2 2 8 23 2 2 6" xfId="36594" xr:uid="{00000000-0005-0000-0000-0000D8470000}"/>
    <cellStyle name="Normal 2 2 8 23 2 2 6 2" xfId="36595" xr:uid="{00000000-0005-0000-0000-0000D9470000}"/>
    <cellStyle name="Normal 2 2 8 23 2 2 7" xfId="36596" xr:uid="{00000000-0005-0000-0000-0000DA470000}"/>
    <cellStyle name="Normal 2 2 8 23 2 3" xfId="7725" xr:uid="{00000000-0005-0000-0000-0000DB470000}"/>
    <cellStyle name="Normal 2 2 8 23 2 3 2" xfId="7726" xr:uid="{00000000-0005-0000-0000-0000DC470000}"/>
    <cellStyle name="Normal 2 2 8 23 2 3 2 2" xfId="36597" xr:uid="{00000000-0005-0000-0000-0000DD470000}"/>
    <cellStyle name="Normal 2 2 8 23 2 3 3" xfId="7727" xr:uid="{00000000-0005-0000-0000-0000DE470000}"/>
    <cellStyle name="Normal 2 2 8 23 2 3 3 2" xfId="36598" xr:uid="{00000000-0005-0000-0000-0000DF470000}"/>
    <cellStyle name="Normal 2 2 8 23 2 3 4" xfId="36599" xr:uid="{00000000-0005-0000-0000-0000E0470000}"/>
    <cellStyle name="Normal 2 2 8 23 2 4" xfId="7728" xr:uid="{00000000-0005-0000-0000-0000E1470000}"/>
    <cellStyle name="Normal 2 2 8 23 2 4 2" xfId="7729" xr:uid="{00000000-0005-0000-0000-0000E2470000}"/>
    <cellStyle name="Normal 2 2 8 23 2 4 2 2" xfId="36600" xr:uid="{00000000-0005-0000-0000-0000E3470000}"/>
    <cellStyle name="Normal 2 2 8 23 2 4 3" xfId="36601" xr:uid="{00000000-0005-0000-0000-0000E4470000}"/>
    <cellStyle name="Normal 2 2 8 23 2 5" xfId="7730" xr:uid="{00000000-0005-0000-0000-0000E5470000}"/>
    <cellStyle name="Normal 2 2 8 23 2 5 2" xfId="36602" xr:uid="{00000000-0005-0000-0000-0000E6470000}"/>
    <cellStyle name="Normal 2 2 8 23 2 6" xfId="7731" xr:uid="{00000000-0005-0000-0000-0000E7470000}"/>
    <cellStyle name="Normal 2 2 8 23 2 6 2" xfId="36603" xr:uid="{00000000-0005-0000-0000-0000E8470000}"/>
    <cellStyle name="Normal 2 2 8 23 2 7" xfId="36604" xr:uid="{00000000-0005-0000-0000-0000E9470000}"/>
    <cellStyle name="Normal 2 2 8 23 2 7 2" xfId="36605" xr:uid="{00000000-0005-0000-0000-0000EA470000}"/>
    <cellStyle name="Normal 2 2 8 23 2 8" xfId="36606" xr:uid="{00000000-0005-0000-0000-0000EB470000}"/>
    <cellStyle name="Normal 2 2 8 23 2 9" xfId="36607" xr:uid="{00000000-0005-0000-0000-0000EC470000}"/>
    <cellStyle name="Normal 2 2 8 23 3" xfId="7732" xr:uid="{00000000-0005-0000-0000-0000ED470000}"/>
    <cellStyle name="Normal 2 2 8 23 3 2" xfId="7733" xr:uid="{00000000-0005-0000-0000-0000EE470000}"/>
    <cellStyle name="Normal 2 2 8 23 3 2 2" xfId="7734" xr:uid="{00000000-0005-0000-0000-0000EF470000}"/>
    <cellStyle name="Normal 2 2 8 23 3 2 2 2" xfId="36608" xr:uid="{00000000-0005-0000-0000-0000F0470000}"/>
    <cellStyle name="Normal 2 2 8 23 3 2 3" xfId="7735" xr:uid="{00000000-0005-0000-0000-0000F1470000}"/>
    <cellStyle name="Normal 2 2 8 23 3 2 3 2" xfId="36609" xr:uid="{00000000-0005-0000-0000-0000F2470000}"/>
    <cellStyle name="Normal 2 2 8 23 3 2 4" xfId="36610" xr:uid="{00000000-0005-0000-0000-0000F3470000}"/>
    <cellStyle name="Normal 2 2 8 23 3 3" xfId="7736" xr:uid="{00000000-0005-0000-0000-0000F4470000}"/>
    <cellStyle name="Normal 2 2 8 23 3 3 2" xfId="36611" xr:uid="{00000000-0005-0000-0000-0000F5470000}"/>
    <cellStyle name="Normal 2 2 8 23 3 4" xfId="7737" xr:uid="{00000000-0005-0000-0000-0000F6470000}"/>
    <cellStyle name="Normal 2 2 8 23 3 4 2" xfId="36612" xr:uid="{00000000-0005-0000-0000-0000F7470000}"/>
    <cellStyle name="Normal 2 2 8 23 3 5" xfId="7738" xr:uid="{00000000-0005-0000-0000-0000F8470000}"/>
    <cellStyle name="Normal 2 2 8 23 3 5 2" xfId="36613" xr:uid="{00000000-0005-0000-0000-0000F9470000}"/>
    <cellStyle name="Normal 2 2 8 23 3 6" xfId="36614" xr:uid="{00000000-0005-0000-0000-0000FA470000}"/>
    <cellStyle name="Normal 2 2 8 23 3 6 2" xfId="36615" xr:uid="{00000000-0005-0000-0000-0000FB470000}"/>
    <cellStyle name="Normal 2 2 8 23 3 7" xfId="36616" xr:uid="{00000000-0005-0000-0000-0000FC470000}"/>
    <cellStyle name="Normal 2 2 8 23 4" xfId="7739" xr:uid="{00000000-0005-0000-0000-0000FD470000}"/>
    <cellStyle name="Normal 2 2 8 23 4 2" xfId="7740" xr:uid="{00000000-0005-0000-0000-0000FE470000}"/>
    <cellStyle name="Normal 2 2 8 23 4 2 2" xfId="36617" xr:uid="{00000000-0005-0000-0000-0000FF470000}"/>
    <cellStyle name="Normal 2 2 8 23 4 3" xfId="7741" xr:uid="{00000000-0005-0000-0000-000000480000}"/>
    <cellStyle name="Normal 2 2 8 23 4 3 2" xfId="36618" xr:uid="{00000000-0005-0000-0000-000001480000}"/>
    <cellStyle name="Normal 2 2 8 23 4 4" xfId="36619" xr:uid="{00000000-0005-0000-0000-000002480000}"/>
    <cellStyle name="Normal 2 2 8 23 5" xfId="7742" xr:uid="{00000000-0005-0000-0000-000003480000}"/>
    <cellStyle name="Normal 2 2 8 23 5 2" xfId="7743" xr:uid="{00000000-0005-0000-0000-000004480000}"/>
    <cellStyle name="Normal 2 2 8 23 5 2 2" xfId="36620" xr:uid="{00000000-0005-0000-0000-000005480000}"/>
    <cellStyle name="Normal 2 2 8 23 5 3" xfId="36621" xr:uid="{00000000-0005-0000-0000-000006480000}"/>
    <cellStyle name="Normal 2 2 8 23 6" xfId="7744" xr:uid="{00000000-0005-0000-0000-000007480000}"/>
    <cellStyle name="Normal 2 2 8 23 6 2" xfId="36622" xr:uid="{00000000-0005-0000-0000-000008480000}"/>
    <cellStyle name="Normal 2 2 8 23 7" xfId="7745" xr:uid="{00000000-0005-0000-0000-000009480000}"/>
    <cellStyle name="Normal 2 2 8 23 7 2" xfId="36623" xr:uid="{00000000-0005-0000-0000-00000A480000}"/>
    <cellStyle name="Normal 2 2 8 23 8" xfId="36624" xr:uid="{00000000-0005-0000-0000-00000B480000}"/>
    <cellStyle name="Normal 2 2 8 23 8 2" xfId="36625" xr:uid="{00000000-0005-0000-0000-00000C480000}"/>
    <cellStyle name="Normal 2 2 8 23 9" xfId="36626" xr:uid="{00000000-0005-0000-0000-00000D480000}"/>
    <cellStyle name="Normal 2 2 8 24" xfId="7746" xr:uid="{00000000-0005-0000-0000-00000E480000}"/>
    <cellStyle name="Normal 2 2 8 24 10" xfId="36627" xr:uid="{00000000-0005-0000-0000-00000F480000}"/>
    <cellStyle name="Normal 2 2 8 24 11" xfId="36628" xr:uid="{00000000-0005-0000-0000-000010480000}"/>
    <cellStyle name="Normal 2 2 8 24 2" xfId="7747" xr:uid="{00000000-0005-0000-0000-000011480000}"/>
    <cellStyle name="Normal 2 2 8 24 2 10" xfId="36629" xr:uid="{00000000-0005-0000-0000-000012480000}"/>
    <cellStyle name="Normal 2 2 8 24 2 2" xfId="7748" xr:uid="{00000000-0005-0000-0000-000013480000}"/>
    <cellStyle name="Normal 2 2 8 24 2 2 2" xfId="7749" xr:uid="{00000000-0005-0000-0000-000014480000}"/>
    <cellStyle name="Normal 2 2 8 24 2 2 2 2" xfId="7750" xr:uid="{00000000-0005-0000-0000-000015480000}"/>
    <cellStyle name="Normal 2 2 8 24 2 2 2 2 2" xfId="36630" xr:uid="{00000000-0005-0000-0000-000016480000}"/>
    <cellStyle name="Normal 2 2 8 24 2 2 2 3" xfId="7751" xr:uid="{00000000-0005-0000-0000-000017480000}"/>
    <cellStyle name="Normal 2 2 8 24 2 2 2 3 2" xfId="36631" xr:uid="{00000000-0005-0000-0000-000018480000}"/>
    <cellStyle name="Normal 2 2 8 24 2 2 2 4" xfId="36632" xr:uid="{00000000-0005-0000-0000-000019480000}"/>
    <cellStyle name="Normal 2 2 8 24 2 2 3" xfId="7752" xr:uid="{00000000-0005-0000-0000-00001A480000}"/>
    <cellStyle name="Normal 2 2 8 24 2 2 3 2" xfId="36633" xr:uid="{00000000-0005-0000-0000-00001B480000}"/>
    <cellStyle name="Normal 2 2 8 24 2 2 4" xfId="7753" xr:uid="{00000000-0005-0000-0000-00001C480000}"/>
    <cellStyle name="Normal 2 2 8 24 2 2 4 2" xfId="36634" xr:uid="{00000000-0005-0000-0000-00001D480000}"/>
    <cellStyle name="Normal 2 2 8 24 2 2 5" xfId="7754" xr:uid="{00000000-0005-0000-0000-00001E480000}"/>
    <cellStyle name="Normal 2 2 8 24 2 2 5 2" xfId="36635" xr:uid="{00000000-0005-0000-0000-00001F480000}"/>
    <cellStyle name="Normal 2 2 8 24 2 2 6" xfId="36636" xr:uid="{00000000-0005-0000-0000-000020480000}"/>
    <cellStyle name="Normal 2 2 8 24 2 2 6 2" xfId="36637" xr:uid="{00000000-0005-0000-0000-000021480000}"/>
    <cellStyle name="Normal 2 2 8 24 2 2 7" xfId="36638" xr:uid="{00000000-0005-0000-0000-000022480000}"/>
    <cellStyle name="Normal 2 2 8 24 2 3" xfId="7755" xr:uid="{00000000-0005-0000-0000-000023480000}"/>
    <cellStyle name="Normal 2 2 8 24 2 3 2" xfId="7756" xr:uid="{00000000-0005-0000-0000-000024480000}"/>
    <cellStyle name="Normal 2 2 8 24 2 3 2 2" xfId="36639" xr:uid="{00000000-0005-0000-0000-000025480000}"/>
    <cellStyle name="Normal 2 2 8 24 2 3 3" xfId="7757" xr:uid="{00000000-0005-0000-0000-000026480000}"/>
    <cellStyle name="Normal 2 2 8 24 2 3 3 2" xfId="36640" xr:uid="{00000000-0005-0000-0000-000027480000}"/>
    <cellStyle name="Normal 2 2 8 24 2 3 4" xfId="36641" xr:uid="{00000000-0005-0000-0000-000028480000}"/>
    <cellStyle name="Normal 2 2 8 24 2 4" xfId="7758" xr:uid="{00000000-0005-0000-0000-000029480000}"/>
    <cellStyle name="Normal 2 2 8 24 2 4 2" xfId="7759" xr:uid="{00000000-0005-0000-0000-00002A480000}"/>
    <cellStyle name="Normal 2 2 8 24 2 4 2 2" xfId="36642" xr:uid="{00000000-0005-0000-0000-00002B480000}"/>
    <cellStyle name="Normal 2 2 8 24 2 4 3" xfId="36643" xr:uid="{00000000-0005-0000-0000-00002C480000}"/>
    <cellStyle name="Normal 2 2 8 24 2 5" xfId="7760" xr:uid="{00000000-0005-0000-0000-00002D480000}"/>
    <cellStyle name="Normal 2 2 8 24 2 5 2" xfId="36644" xr:uid="{00000000-0005-0000-0000-00002E480000}"/>
    <cellStyle name="Normal 2 2 8 24 2 6" xfId="7761" xr:uid="{00000000-0005-0000-0000-00002F480000}"/>
    <cellStyle name="Normal 2 2 8 24 2 6 2" xfId="36645" xr:uid="{00000000-0005-0000-0000-000030480000}"/>
    <cellStyle name="Normal 2 2 8 24 2 7" xfId="36646" xr:uid="{00000000-0005-0000-0000-000031480000}"/>
    <cellStyle name="Normal 2 2 8 24 2 7 2" xfId="36647" xr:uid="{00000000-0005-0000-0000-000032480000}"/>
    <cellStyle name="Normal 2 2 8 24 2 8" xfId="36648" xr:uid="{00000000-0005-0000-0000-000033480000}"/>
    <cellStyle name="Normal 2 2 8 24 2 9" xfId="36649" xr:uid="{00000000-0005-0000-0000-000034480000}"/>
    <cellStyle name="Normal 2 2 8 24 3" xfId="7762" xr:uid="{00000000-0005-0000-0000-000035480000}"/>
    <cellStyle name="Normal 2 2 8 24 3 2" xfId="7763" xr:uid="{00000000-0005-0000-0000-000036480000}"/>
    <cellStyle name="Normal 2 2 8 24 3 2 2" xfId="7764" xr:uid="{00000000-0005-0000-0000-000037480000}"/>
    <cellStyle name="Normal 2 2 8 24 3 2 2 2" xfId="36650" xr:uid="{00000000-0005-0000-0000-000038480000}"/>
    <cellStyle name="Normal 2 2 8 24 3 2 3" xfId="7765" xr:uid="{00000000-0005-0000-0000-000039480000}"/>
    <cellStyle name="Normal 2 2 8 24 3 2 3 2" xfId="36651" xr:uid="{00000000-0005-0000-0000-00003A480000}"/>
    <cellStyle name="Normal 2 2 8 24 3 2 4" xfId="36652" xr:uid="{00000000-0005-0000-0000-00003B480000}"/>
    <cellStyle name="Normal 2 2 8 24 3 3" xfId="7766" xr:uid="{00000000-0005-0000-0000-00003C480000}"/>
    <cellStyle name="Normal 2 2 8 24 3 3 2" xfId="36653" xr:uid="{00000000-0005-0000-0000-00003D480000}"/>
    <cellStyle name="Normal 2 2 8 24 3 4" xfId="7767" xr:uid="{00000000-0005-0000-0000-00003E480000}"/>
    <cellStyle name="Normal 2 2 8 24 3 4 2" xfId="36654" xr:uid="{00000000-0005-0000-0000-00003F480000}"/>
    <cellStyle name="Normal 2 2 8 24 3 5" xfId="7768" xr:uid="{00000000-0005-0000-0000-000040480000}"/>
    <cellStyle name="Normal 2 2 8 24 3 5 2" xfId="36655" xr:uid="{00000000-0005-0000-0000-000041480000}"/>
    <cellStyle name="Normal 2 2 8 24 3 6" xfId="36656" xr:uid="{00000000-0005-0000-0000-000042480000}"/>
    <cellStyle name="Normal 2 2 8 24 3 6 2" xfId="36657" xr:uid="{00000000-0005-0000-0000-000043480000}"/>
    <cellStyle name="Normal 2 2 8 24 3 7" xfId="36658" xr:uid="{00000000-0005-0000-0000-000044480000}"/>
    <cellStyle name="Normal 2 2 8 24 4" xfId="7769" xr:uid="{00000000-0005-0000-0000-000045480000}"/>
    <cellStyle name="Normal 2 2 8 24 4 2" xfId="7770" xr:uid="{00000000-0005-0000-0000-000046480000}"/>
    <cellStyle name="Normal 2 2 8 24 4 2 2" xfId="36659" xr:uid="{00000000-0005-0000-0000-000047480000}"/>
    <cellStyle name="Normal 2 2 8 24 4 3" xfId="7771" xr:uid="{00000000-0005-0000-0000-000048480000}"/>
    <cellStyle name="Normal 2 2 8 24 4 3 2" xfId="36660" xr:uid="{00000000-0005-0000-0000-000049480000}"/>
    <cellStyle name="Normal 2 2 8 24 4 4" xfId="36661" xr:uid="{00000000-0005-0000-0000-00004A480000}"/>
    <cellStyle name="Normal 2 2 8 24 5" xfId="7772" xr:uid="{00000000-0005-0000-0000-00004B480000}"/>
    <cellStyle name="Normal 2 2 8 24 5 2" xfId="7773" xr:uid="{00000000-0005-0000-0000-00004C480000}"/>
    <cellStyle name="Normal 2 2 8 24 5 2 2" xfId="36662" xr:uid="{00000000-0005-0000-0000-00004D480000}"/>
    <cellStyle name="Normal 2 2 8 24 5 3" xfId="36663" xr:uid="{00000000-0005-0000-0000-00004E480000}"/>
    <cellStyle name="Normal 2 2 8 24 6" xfId="7774" xr:uid="{00000000-0005-0000-0000-00004F480000}"/>
    <cellStyle name="Normal 2 2 8 24 6 2" xfId="36664" xr:uid="{00000000-0005-0000-0000-000050480000}"/>
    <cellStyle name="Normal 2 2 8 24 7" xfId="7775" xr:uid="{00000000-0005-0000-0000-000051480000}"/>
    <cellStyle name="Normal 2 2 8 24 7 2" xfId="36665" xr:uid="{00000000-0005-0000-0000-000052480000}"/>
    <cellStyle name="Normal 2 2 8 24 8" xfId="36666" xr:uid="{00000000-0005-0000-0000-000053480000}"/>
    <cellStyle name="Normal 2 2 8 24 8 2" xfId="36667" xr:uid="{00000000-0005-0000-0000-000054480000}"/>
    <cellStyle name="Normal 2 2 8 24 9" xfId="36668" xr:uid="{00000000-0005-0000-0000-000055480000}"/>
    <cellStyle name="Normal 2 2 8 25" xfId="7776" xr:uid="{00000000-0005-0000-0000-000056480000}"/>
    <cellStyle name="Normal 2 2 8 25 10" xfId="36669" xr:uid="{00000000-0005-0000-0000-000057480000}"/>
    <cellStyle name="Normal 2 2 8 25 11" xfId="36670" xr:uid="{00000000-0005-0000-0000-000058480000}"/>
    <cellStyle name="Normal 2 2 8 25 2" xfId="7777" xr:uid="{00000000-0005-0000-0000-000059480000}"/>
    <cellStyle name="Normal 2 2 8 25 2 10" xfId="36671" xr:uid="{00000000-0005-0000-0000-00005A480000}"/>
    <cellStyle name="Normal 2 2 8 25 2 2" xfId="7778" xr:uid="{00000000-0005-0000-0000-00005B480000}"/>
    <cellStyle name="Normal 2 2 8 25 2 2 2" xfId="7779" xr:uid="{00000000-0005-0000-0000-00005C480000}"/>
    <cellStyle name="Normal 2 2 8 25 2 2 2 2" xfId="7780" xr:uid="{00000000-0005-0000-0000-00005D480000}"/>
    <cellStyle name="Normal 2 2 8 25 2 2 2 2 2" xfId="36672" xr:uid="{00000000-0005-0000-0000-00005E480000}"/>
    <cellStyle name="Normal 2 2 8 25 2 2 2 3" xfId="7781" xr:uid="{00000000-0005-0000-0000-00005F480000}"/>
    <cellStyle name="Normal 2 2 8 25 2 2 2 3 2" xfId="36673" xr:uid="{00000000-0005-0000-0000-000060480000}"/>
    <cellStyle name="Normal 2 2 8 25 2 2 2 4" xfId="36674" xr:uid="{00000000-0005-0000-0000-000061480000}"/>
    <cellStyle name="Normal 2 2 8 25 2 2 3" xfId="7782" xr:uid="{00000000-0005-0000-0000-000062480000}"/>
    <cellStyle name="Normal 2 2 8 25 2 2 3 2" xfId="36675" xr:uid="{00000000-0005-0000-0000-000063480000}"/>
    <cellStyle name="Normal 2 2 8 25 2 2 4" xfId="7783" xr:uid="{00000000-0005-0000-0000-000064480000}"/>
    <cellStyle name="Normal 2 2 8 25 2 2 4 2" xfId="36676" xr:uid="{00000000-0005-0000-0000-000065480000}"/>
    <cellStyle name="Normal 2 2 8 25 2 2 5" xfId="7784" xr:uid="{00000000-0005-0000-0000-000066480000}"/>
    <cellStyle name="Normal 2 2 8 25 2 2 5 2" xfId="36677" xr:uid="{00000000-0005-0000-0000-000067480000}"/>
    <cellStyle name="Normal 2 2 8 25 2 2 6" xfId="36678" xr:uid="{00000000-0005-0000-0000-000068480000}"/>
    <cellStyle name="Normal 2 2 8 25 2 2 6 2" xfId="36679" xr:uid="{00000000-0005-0000-0000-000069480000}"/>
    <cellStyle name="Normal 2 2 8 25 2 2 7" xfId="36680" xr:uid="{00000000-0005-0000-0000-00006A480000}"/>
    <cellStyle name="Normal 2 2 8 25 2 3" xfId="7785" xr:uid="{00000000-0005-0000-0000-00006B480000}"/>
    <cellStyle name="Normal 2 2 8 25 2 3 2" xfId="7786" xr:uid="{00000000-0005-0000-0000-00006C480000}"/>
    <cellStyle name="Normal 2 2 8 25 2 3 2 2" xfId="36681" xr:uid="{00000000-0005-0000-0000-00006D480000}"/>
    <cellStyle name="Normal 2 2 8 25 2 3 3" xfId="7787" xr:uid="{00000000-0005-0000-0000-00006E480000}"/>
    <cellStyle name="Normal 2 2 8 25 2 3 3 2" xfId="36682" xr:uid="{00000000-0005-0000-0000-00006F480000}"/>
    <cellStyle name="Normal 2 2 8 25 2 3 4" xfId="36683" xr:uid="{00000000-0005-0000-0000-000070480000}"/>
    <cellStyle name="Normal 2 2 8 25 2 4" xfId="7788" xr:uid="{00000000-0005-0000-0000-000071480000}"/>
    <cellStyle name="Normal 2 2 8 25 2 4 2" xfId="7789" xr:uid="{00000000-0005-0000-0000-000072480000}"/>
    <cellStyle name="Normal 2 2 8 25 2 4 2 2" xfId="36684" xr:uid="{00000000-0005-0000-0000-000073480000}"/>
    <cellStyle name="Normal 2 2 8 25 2 4 3" xfId="36685" xr:uid="{00000000-0005-0000-0000-000074480000}"/>
    <cellStyle name="Normal 2 2 8 25 2 5" xfId="7790" xr:uid="{00000000-0005-0000-0000-000075480000}"/>
    <cellStyle name="Normal 2 2 8 25 2 5 2" xfId="36686" xr:uid="{00000000-0005-0000-0000-000076480000}"/>
    <cellStyle name="Normal 2 2 8 25 2 6" xfId="7791" xr:uid="{00000000-0005-0000-0000-000077480000}"/>
    <cellStyle name="Normal 2 2 8 25 2 6 2" xfId="36687" xr:uid="{00000000-0005-0000-0000-000078480000}"/>
    <cellStyle name="Normal 2 2 8 25 2 7" xfId="36688" xr:uid="{00000000-0005-0000-0000-000079480000}"/>
    <cellStyle name="Normal 2 2 8 25 2 7 2" xfId="36689" xr:uid="{00000000-0005-0000-0000-00007A480000}"/>
    <cellStyle name="Normal 2 2 8 25 2 8" xfId="36690" xr:uid="{00000000-0005-0000-0000-00007B480000}"/>
    <cellStyle name="Normal 2 2 8 25 2 9" xfId="36691" xr:uid="{00000000-0005-0000-0000-00007C480000}"/>
    <cellStyle name="Normal 2 2 8 25 3" xfId="7792" xr:uid="{00000000-0005-0000-0000-00007D480000}"/>
    <cellStyle name="Normal 2 2 8 25 3 2" xfId="7793" xr:uid="{00000000-0005-0000-0000-00007E480000}"/>
    <cellStyle name="Normal 2 2 8 25 3 2 2" xfId="7794" xr:uid="{00000000-0005-0000-0000-00007F480000}"/>
    <cellStyle name="Normal 2 2 8 25 3 2 2 2" xfId="36692" xr:uid="{00000000-0005-0000-0000-000080480000}"/>
    <cellStyle name="Normal 2 2 8 25 3 2 3" xfId="7795" xr:uid="{00000000-0005-0000-0000-000081480000}"/>
    <cellStyle name="Normal 2 2 8 25 3 2 3 2" xfId="36693" xr:uid="{00000000-0005-0000-0000-000082480000}"/>
    <cellStyle name="Normal 2 2 8 25 3 2 4" xfId="36694" xr:uid="{00000000-0005-0000-0000-000083480000}"/>
    <cellStyle name="Normal 2 2 8 25 3 3" xfId="7796" xr:uid="{00000000-0005-0000-0000-000084480000}"/>
    <cellStyle name="Normal 2 2 8 25 3 3 2" xfId="36695" xr:uid="{00000000-0005-0000-0000-000085480000}"/>
    <cellStyle name="Normal 2 2 8 25 3 4" xfId="7797" xr:uid="{00000000-0005-0000-0000-000086480000}"/>
    <cellStyle name="Normal 2 2 8 25 3 4 2" xfId="36696" xr:uid="{00000000-0005-0000-0000-000087480000}"/>
    <cellStyle name="Normal 2 2 8 25 3 5" xfId="7798" xr:uid="{00000000-0005-0000-0000-000088480000}"/>
    <cellStyle name="Normal 2 2 8 25 3 5 2" xfId="36697" xr:uid="{00000000-0005-0000-0000-000089480000}"/>
    <cellStyle name="Normal 2 2 8 25 3 6" xfId="36698" xr:uid="{00000000-0005-0000-0000-00008A480000}"/>
    <cellStyle name="Normal 2 2 8 25 3 6 2" xfId="36699" xr:uid="{00000000-0005-0000-0000-00008B480000}"/>
    <cellStyle name="Normal 2 2 8 25 3 7" xfId="36700" xr:uid="{00000000-0005-0000-0000-00008C480000}"/>
    <cellStyle name="Normal 2 2 8 25 4" xfId="7799" xr:uid="{00000000-0005-0000-0000-00008D480000}"/>
    <cellStyle name="Normal 2 2 8 25 4 2" xfId="7800" xr:uid="{00000000-0005-0000-0000-00008E480000}"/>
    <cellStyle name="Normal 2 2 8 25 4 2 2" xfId="36701" xr:uid="{00000000-0005-0000-0000-00008F480000}"/>
    <cellStyle name="Normal 2 2 8 25 4 3" xfId="7801" xr:uid="{00000000-0005-0000-0000-000090480000}"/>
    <cellStyle name="Normal 2 2 8 25 4 3 2" xfId="36702" xr:uid="{00000000-0005-0000-0000-000091480000}"/>
    <cellStyle name="Normal 2 2 8 25 4 4" xfId="36703" xr:uid="{00000000-0005-0000-0000-000092480000}"/>
    <cellStyle name="Normal 2 2 8 25 5" xfId="7802" xr:uid="{00000000-0005-0000-0000-000093480000}"/>
    <cellStyle name="Normal 2 2 8 25 5 2" xfId="7803" xr:uid="{00000000-0005-0000-0000-000094480000}"/>
    <cellStyle name="Normal 2 2 8 25 5 2 2" xfId="36704" xr:uid="{00000000-0005-0000-0000-000095480000}"/>
    <cellStyle name="Normal 2 2 8 25 5 3" xfId="36705" xr:uid="{00000000-0005-0000-0000-000096480000}"/>
    <cellStyle name="Normal 2 2 8 25 6" xfId="7804" xr:uid="{00000000-0005-0000-0000-000097480000}"/>
    <cellStyle name="Normal 2 2 8 25 6 2" xfId="36706" xr:uid="{00000000-0005-0000-0000-000098480000}"/>
    <cellStyle name="Normal 2 2 8 25 7" xfId="7805" xr:uid="{00000000-0005-0000-0000-000099480000}"/>
    <cellStyle name="Normal 2 2 8 25 7 2" xfId="36707" xr:uid="{00000000-0005-0000-0000-00009A480000}"/>
    <cellStyle name="Normal 2 2 8 25 8" xfId="36708" xr:uid="{00000000-0005-0000-0000-00009B480000}"/>
    <cellStyle name="Normal 2 2 8 25 8 2" xfId="36709" xr:uid="{00000000-0005-0000-0000-00009C480000}"/>
    <cellStyle name="Normal 2 2 8 25 9" xfId="36710" xr:uid="{00000000-0005-0000-0000-00009D480000}"/>
    <cellStyle name="Normal 2 2 8 26" xfId="7806" xr:uid="{00000000-0005-0000-0000-00009E480000}"/>
    <cellStyle name="Normal 2 2 8 26 10" xfId="36711" xr:uid="{00000000-0005-0000-0000-00009F480000}"/>
    <cellStyle name="Normal 2 2 8 26 11" xfId="36712" xr:uid="{00000000-0005-0000-0000-0000A0480000}"/>
    <cellStyle name="Normal 2 2 8 26 2" xfId="7807" xr:uid="{00000000-0005-0000-0000-0000A1480000}"/>
    <cellStyle name="Normal 2 2 8 26 2 10" xfId="36713" xr:uid="{00000000-0005-0000-0000-0000A2480000}"/>
    <cellStyle name="Normal 2 2 8 26 2 2" xfId="7808" xr:uid="{00000000-0005-0000-0000-0000A3480000}"/>
    <cellStyle name="Normal 2 2 8 26 2 2 2" xfId="7809" xr:uid="{00000000-0005-0000-0000-0000A4480000}"/>
    <cellStyle name="Normal 2 2 8 26 2 2 2 2" xfId="7810" xr:uid="{00000000-0005-0000-0000-0000A5480000}"/>
    <cellStyle name="Normal 2 2 8 26 2 2 2 2 2" xfId="36714" xr:uid="{00000000-0005-0000-0000-0000A6480000}"/>
    <cellStyle name="Normal 2 2 8 26 2 2 2 3" xfId="7811" xr:uid="{00000000-0005-0000-0000-0000A7480000}"/>
    <cellStyle name="Normal 2 2 8 26 2 2 2 3 2" xfId="36715" xr:uid="{00000000-0005-0000-0000-0000A8480000}"/>
    <cellStyle name="Normal 2 2 8 26 2 2 2 4" xfId="36716" xr:uid="{00000000-0005-0000-0000-0000A9480000}"/>
    <cellStyle name="Normal 2 2 8 26 2 2 3" xfId="7812" xr:uid="{00000000-0005-0000-0000-0000AA480000}"/>
    <cellStyle name="Normal 2 2 8 26 2 2 3 2" xfId="36717" xr:uid="{00000000-0005-0000-0000-0000AB480000}"/>
    <cellStyle name="Normal 2 2 8 26 2 2 4" xfId="7813" xr:uid="{00000000-0005-0000-0000-0000AC480000}"/>
    <cellStyle name="Normal 2 2 8 26 2 2 4 2" xfId="36718" xr:uid="{00000000-0005-0000-0000-0000AD480000}"/>
    <cellStyle name="Normal 2 2 8 26 2 2 5" xfId="7814" xr:uid="{00000000-0005-0000-0000-0000AE480000}"/>
    <cellStyle name="Normal 2 2 8 26 2 2 5 2" xfId="36719" xr:uid="{00000000-0005-0000-0000-0000AF480000}"/>
    <cellStyle name="Normal 2 2 8 26 2 2 6" xfId="36720" xr:uid="{00000000-0005-0000-0000-0000B0480000}"/>
    <cellStyle name="Normal 2 2 8 26 2 2 6 2" xfId="36721" xr:uid="{00000000-0005-0000-0000-0000B1480000}"/>
    <cellStyle name="Normal 2 2 8 26 2 2 7" xfId="36722" xr:uid="{00000000-0005-0000-0000-0000B2480000}"/>
    <cellStyle name="Normal 2 2 8 26 2 3" xfId="7815" xr:uid="{00000000-0005-0000-0000-0000B3480000}"/>
    <cellStyle name="Normal 2 2 8 26 2 3 2" xfId="7816" xr:uid="{00000000-0005-0000-0000-0000B4480000}"/>
    <cellStyle name="Normal 2 2 8 26 2 3 2 2" xfId="36723" xr:uid="{00000000-0005-0000-0000-0000B5480000}"/>
    <cellStyle name="Normal 2 2 8 26 2 3 3" xfId="7817" xr:uid="{00000000-0005-0000-0000-0000B6480000}"/>
    <cellStyle name="Normal 2 2 8 26 2 3 3 2" xfId="36724" xr:uid="{00000000-0005-0000-0000-0000B7480000}"/>
    <cellStyle name="Normal 2 2 8 26 2 3 4" xfId="36725" xr:uid="{00000000-0005-0000-0000-0000B8480000}"/>
    <cellStyle name="Normal 2 2 8 26 2 4" xfId="7818" xr:uid="{00000000-0005-0000-0000-0000B9480000}"/>
    <cellStyle name="Normal 2 2 8 26 2 4 2" xfId="7819" xr:uid="{00000000-0005-0000-0000-0000BA480000}"/>
    <cellStyle name="Normal 2 2 8 26 2 4 2 2" xfId="36726" xr:uid="{00000000-0005-0000-0000-0000BB480000}"/>
    <cellStyle name="Normal 2 2 8 26 2 4 3" xfId="36727" xr:uid="{00000000-0005-0000-0000-0000BC480000}"/>
    <cellStyle name="Normal 2 2 8 26 2 5" xfId="7820" xr:uid="{00000000-0005-0000-0000-0000BD480000}"/>
    <cellStyle name="Normal 2 2 8 26 2 5 2" xfId="36728" xr:uid="{00000000-0005-0000-0000-0000BE480000}"/>
    <cellStyle name="Normal 2 2 8 26 2 6" xfId="7821" xr:uid="{00000000-0005-0000-0000-0000BF480000}"/>
    <cellStyle name="Normal 2 2 8 26 2 6 2" xfId="36729" xr:uid="{00000000-0005-0000-0000-0000C0480000}"/>
    <cellStyle name="Normal 2 2 8 26 2 7" xfId="36730" xr:uid="{00000000-0005-0000-0000-0000C1480000}"/>
    <cellStyle name="Normal 2 2 8 26 2 7 2" xfId="36731" xr:uid="{00000000-0005-0000-0000-0000C2480000}"/>
    <cellStyle name="Normal 2 2 8 26 2 8" xfId="36732" xr:uid="{00000000-0005-0000-0000-0000C3480000}"/>
    <cellStyle name="Normal 2 2 8 26 2 9" xfId="36733" xr:uid="{00000000-0005-0000-0000-0000C4480000}"/>
    <cellStyle name="Normal 2 2 8 26 3" xfId="7822" xr:uid="{00000000-0005-0000-0000-0000C5480000}"/>
    <cellStyle name="Normal 2 2 8 26 3 2" xfId="7823" xr:uid="{00000000-0005-0000-0000-0000C6480000}"/>
    <cellStyle name="Normal 2 2 8 26 3 2 2" xfId="7824" xr:uid="{00000000-0005-0000-0000-0000C7480000}"/>
    <cellStyle name="Normal 2 2 8 26 3 2 2 2" xfId="36734" xr:uid="{00000000-0005-0000-0000-0000C8480000}"/>
    <cellStyle name="Normal 2 2 8 26 3 2 3" xfId="7825" xr:uid="{00000000-0005-0000-0000-0000C9480000}"/>
    <cellStyle name="Normal 2 2 8 26 3 2 3 2" xfId="36735" xr:uid="{00000000-0005-0000-0000-0000CA480000}"/>
    <cellStyle name="Normal 2 2 8 26 3 2 4" xfId="36736" xr:uid="{00000000-0005-0000-0000-0000CB480000}"/>
    <cellStyle name="Normal 2 2 8 26 3 3" xfId="7826" xr:uid="{00000000-0005-0000-0000-0000CC480000}"/>
    <cellStyle name="Normal 2 2 8 26 3 3 2" xfId="36737" xr:uid="{00000000-0005-0000-0000-0000CD480000}"/>
    <cellStyle name="Normal 2 2 8 26 3 4" xfId="7827" xr:uid="{00000000-0005-0000-0000-0000CE480000}"/>
    <cellStyle name="Normal 2 2 8 26 3 4 2" xfId="36738" xr:uid="{00000000-0005-0000-0000-0000CF480000}"/>
    <cellStyle name="Normal 2 2 8 26 3 5" xfId="7828" xr:uid="{00000000-0005-0000-0000-0000D0480000}"/>
    <cellStyle name="Normal 2 2 8 26 3 5 2" xfId="36739" xr:uid="{00000000-0005-0000-0000-0000D1480000}"/>
    <cellStyle name="Normal 2 2 8 26 3 6" xfId="36740" xr:uid="{00000000-0005-0000-0000-0000D2480000}"/>
    <cellStyle name="Normal 2 2 8 26 3 6 2" xfId="36741" xr:uid="{00000000-0005-0000-0000-0000D3480000}"/>
    <cellStyle name="Normal 2 2 8 26 3 7" xfId="36742" xr:uid="{00000000-0005-0000-0000-0000D4480000}"/>
    <cellStyle name="Normal 2 2 8 26 4" xfId="7829" xr:uid="{00000000-0005-0000-0000-0000D5480000}"/>
    <cellStyle name="Normal 2 2 8 26 4 2" xfId="7830" xr:uid="{00000000-0005-0000-0000-0000D6480000}"/>
    <cellStyle name="Normal 2 2 8 26 4 2 2" xfId="36743" xr:uid="{00000000-0005-0000-0000-0000D7480000}"/>
    <cellStyle name="Normal 2 2 8 26 4 3" xfId="7831" xr:uid="{00000000-0005-0000-0000-0000D8480000}"/>
    <cellStyle name="Normal 2 2 8 26 4 3 2" xfId="36744" xr:uid="{00000000-0005-0000-0000-0000D9480000}"/>
    <cellStyle name="Normal 2 2 8 26 4 4" xfId="36745" xr:uid="{00000000-0005-0000-0000-0000DA480000}"/>
    <cellStyle name="Normal 2 2 8 26 5" xfId="7832" xr:uid="{00000000-0005-0000-0000-0000DB480000}"/>
    <cellStyle name="Normal 2 2 8 26 5 2" xfId="7833" xr:uid="{00000000-0005-0000-0000-0000DC480000}"/>
    <cellStyle name="Normal 2 2 8 26 5 2 2" xfId="36746" xr:uid="{00000000-0005-0000-0000-0000DD480000}"/>
    <cellStyle name="Normal 2 2 8 26 5 3" xfId="36747" xr:uid="{00000000-0005-0000-0000-0000DE480000}"/>
    <cellStyle name="Normal 2 2 8 26 6" xfId="7834" xr:uid="{00000000-0005-0000-0000-0000DF480000}"/>
    <cellStyle name="Normal 2 2 8 26 6 2" xfId="36748" xr:uid="{00000000-0005-0000-0000-0000E0480000}"/>
    <cellStyle name="Normal 2 2 8 26 7" xfId="7835" xr:uid="{00000000-0005-0000-0000-0000E1480000}"/>
    <cellStyle name="Normal 2 2 8 26 7 2" xfId="36749" xr:uid="{00000000-0005-0000-0000-0000E2480000}"/>
    <cellStyle name="Normal 2 2 8 26 8" xfId="36750" xr:uid="{00000000-0005-0000-0000-0000E3480000}"/>
    <cellStyle name="Normal 2 2 8 26 8 2" xfId="36751" xr:uid="{00000000-0005-0000-0000-0000E4480000}"/>
    <cellStyle name="Normal 2 2 8 26 9" xfId="36752" xr:uid="{00000000-0005-0000-0000-0000E5480000}"/>
    <cellStyle name="Normal 2 2 8 27" xfId="7836" xr:uid="{00000000-0005-0000-0000-0000E6480000}"/>
    <cellStyle name="Normal 2 2 8 27 10" xfId="36753" xr:uid="{00000000-0005-0000-0000-0000E7480000}"/>
    <cellStyle name="Normal 2 2 8 27 11" xfId="36754" xr:uid="{00000000-0005-0000-0000-0000E8480000}"/>
    <cellStyle name="Normal 2 2 8 27 2" xfId="7837" xr:uid="{00000000-0005-0000-0000-0000E9480000}"/>
    <cellStyle name="Normal 2 2 8 27 2 10" xfId="36755" xr:uid="{00000000-0005-0000-0000-0000EA480000}"/>
    <cellStyle name="Normal 2 2 8 27 2 2" xfId="7838" xr:uid="{00000000-0005-0000-0000-0000EB480000}"/>
    <cellStyle name="Normal 2 2 8 27 2 2 2" xfId="7839" xr:uid="{00000000-0005-0000-0000-0000EC480000}"/>
    <cellStyle name="Normal 2 2 8 27 2 2 2 2" xfId="7840" xr:uid="{00000000-0005-0000-0000-0000ED480000}"/>
    <cellStyle name="Normal 2 2 8 27 2 2 2 2 2" xfId="36756" xr:uid="{00000000-0005-0000-0000-0000EE480000}"/>
    <cellStyle name="Normal 2 2 8 27 2 2 2 3" xfId="7841" xr:uid="{00000000-0005-0000-0000-0000EF480000}"/>
    <cellStyle name="Normal 2 2 8 27 2 2 2 3 2" xfId="36757" xr:uid="{00000000-0005-0000-0000-0000F0480000}"/>
    <cellStyle name="Normal 2 2 8 27 2 2 2 4" xfId="36758" xr:uid="{00000000-0005-0000-0000-0000F1480000}"/>
    <cellStyle name="Normal 2 2 8 27 2 2 3" xfId="7842" xr:uid="{00000000-0005-0000-0000-0000F2480000}"/>
    <cellStyle name="Normal 2 2 8 27 2 2 3 2" xfId="36759" xr:uid="{00000000-0005-0000-0000-0000F3480000}"/>
    <cellStyle name="Normal 2 2 8 27 2 2 4" xfId="7843" xr:uid="{00000000-0005-0000-0000-0000F4480000}"/>
    <cellStyle name="Normal 2 2 8 27 2 2 4 2" xfId="36760" xr:uid="{00000000-0005-0000-0000-0000F5480000}"/>
    <cellStyle name="Normal 2 2 8 27 2 2 5" xfId="7844" xr:uid="{00000000-0005-0000-0000-0000F6480000}"/>
    <cellStyle name="Normal 2 2 8 27 2 2 5 2" xfId="36761" xr:uid="{00000000-0005-0000-0000-0000F7480000}"/>
    <cellStyle name="Normal 2 2 8 27 2 2 6" xfId="36762" xr:uid="{00000000-0005-0000-0000-0000F8480000}"/>
    <cellStyle name="Normal 2 2 8 27 2 2 6 2" xfId="36763" xr:uid="{00000000-0005-0000-0000-0000F9480000}"/>
    <cellStyle name="Normal 2 2 8 27 2 2 7" xfId="36764" xr:uid="{00000000-0005-0000-0000-0000FA480000}"/>
    <cellStyle name="Normal 2 2 8 27 2 3" xfId="7845" xr:uid="{00000000-0005-0000-0000-0000FB480000}"/>
    <cellStyle name="Normal 2 2 8 27 2 3 2" xfId="7846" xr:uid="{00000000-0005-0000-0000-0000FC480000}"/>
    <cellStyle name="Normal 2 2 8 27 2 3 2 2" xfId="36765" xr:uid="{00000000-0005-0000-0000-0000FD480000}"/>
    <cellStyle name="Normal 2 2 8 27 2 3 3" xfId="7847" xr:uid="{00000000-0005-0000-0000-0000FE480000}"/>
    <cellStyle name="Normal 2 2 8 27 2 3 3 2" xfId="36766" xr:uid="{00000000-0005-0000-0000-0000FF480000}"/>
    <cellStyle name="Normal 2 2 8 27 2 3 4" xfId="36767" xr:uid="{00000000-0005-0000-0000-000000490000}"/>
    <cellStyle name="Normal 2 2 8 27 2 4" xfId="7848" xr:uid="{00000000-0005-0000-0000-000001490000}"/>
    <cellStyle name="Normal 2 2 8 27 2 4 2" xfId="7849" xr:uid="{00000000-0005-0000-0000-000002490000}"/>
    <cellStyle name="Normal 2 2 8 27 2 4 2 2" xfId="36768" xr:uid="{00000000-0005-0000-0000-000003490000}"/>
    <cellStyle name="Normal 2 2 8 27 2 4 3" xfId="36769" xr:uid="{00000000-0005-0000-0000-000004490000}"/>
    <cellStyle name="Normal 2 2 8 27 2 5" xfId="7850" xr:uid="{00000000-0005-0000-0000-000005490000}"/>
    <cellStyle name="Normal 2 2 8 27 2 5 2" xfId="36770" xr:uid="{00000000-0005-0000-0000-000006490000}"/>
    <cellStyle name="Normal 2 2 8 27 2 6" xfId="7851" xr:uid="{00000000-0005-0000-0000-000007490000}"/>
    <cellStyle name="Normal 2 2 8 27 2 6 2" xfId="36771" xr:uid="{00000000-0005-0000-0000-000008490000}"/>
    <cellStyle name="Normal 2 2 8 27 2 7" xfId="36772" xr:uid="{00000000-0005-0000-0000-000009490000}"/>
    <cellStyle name="Normal 2 2 8 27 2 7 2" xfId="36773" xr:uid="{00000000-0005-0000-0000-00000A490000}"/>
    <cellStyle name="Normal 2 2 8 27 2 8" xfId="36774" xr:uid="{00000000-0005-0000-0000-00000B490000}"/>
    <cellStyle name="Normal 2 2 8 27 2 9" xfId="36775" xr:uid="{00000000-0005-0000-0000-00000C490000}"/>
    <cellStyle name="Normal 2 2 8 27 3" xfId="7852" xr:uid="{00000000-0005-0000-0000-00000D490000}"/>
    <cellStyle name="Normal 2 2 8 27 3 2" xfId="7853" xr:uid="{00000000-0005-0000-0000-00000E490000}"/>
    <cellStyle name="Normal 2 2 8 27 3 2 2" xfId="7854" xr:uid="{00000000-0005-0000-0000-00000F490000}"/>
    <cellStyle name="Normal 2 2 8 27 3 2 2 2" xfId="36776" xr:uid="{00000000-0005-0000-0000-000010490000}"/>
    <cellStyle name="Normal 2 2 8 27 3 2 3" xfId="7855" xr:uid="{00000000-0005-0000-0000-000011490000}"/>
    <cellStyle name="Normal 2 2 8 27 3 2 3 2" xfId="36777" xr:uid="{00000000-0005-0000-0000-000012490000}"/>
    <cellStyle name="Normal 2 2 8 27 3 2 4" xfId="36778" xr:uid="{00000000-0005-0000-0000-000013490000}"/>
    <cellStyle name="Normal 2 2 8 27 3 3" xfId="7856" xr:uid="{00000000-0005-0000-0000-000014490000}"/>
    <cellStyle name="Normal 2 2 8 27 3 3 2" xfId="36779" xr:uid="{00000000-0005-0000-0000-000015490000}"/>
    <cellStyle name="Normal 2 2 8 27 3 4" xfId="7857" xr:uid="{00000000-0005-0000-0000-000016490000}"/>
    <cellStyle name="Normal 2 2 8 27 3 4 2" xfId="36780" xr:uid="{00000000-0005-0000-0000-000017490000}"/>
    <cellStyle name="Normal 2 2 8 27 3 5" xfId="7858" xr:uid="{00000000-0005-0000-0000-000018490000}"/>
    <cellStyle name="Normal 2 2 8 27 3 5 2" xfId="36781" xr:uid="{00000000-0005-0000-0000-000019490000}"/>
    <cellStyle name="Normal 2 2 8 27 3 6" xfId="36782" xr:uid="{00000000-0005-0000-0000-00001A490000}"/>
    <cellStyle name="Normal 2 2 8 27 3 6 2" xfId="36783" xr:uid="{00000000-0005-0000-0000-00001B490000}"/>
    <cellStyle name="Normal 2 2 8 27 3 7" xfId="36784" xr:uid="{00000000-0005-0000-0000-00001C490000}"/>
    <cellStyle name="Normal 2 2 8 27 4" xfId="7859" xr:uid="{00000000-0005-0000-0000-00001D490000}"/>
    <cellStyle name="Normal 2 2 8 27 4 2" xfId="7860" xr:uid="{00000000-0005-0000-0000-00001E490000}"/>
    <cellStyle name="Normal 2 2 8 27 4 2 2" xfId="36785" xr:uid="{00000000-0005-0000-0000-00001F490000}"/>
    <cellStyle name="Normal 2 2 8 27 4 3" xfId="7861" xr:uid="{00000000-0005-0000-0000-000020490000}"/>
    <cellStyle name="Normal 2 2 8 27 4 3 2" xfId="36786" xr:uid="{00000000-0005-0000-0000-000021490000}"/>
    <cellStyle name="Normal 2 2 8 27 4 4" xfId="36787" xr:uid="{00000000-0005-0000-0000-000022490000}"/>
    <cellStyle name="Normal 2 2 8 27 5" xfId="7862" xr:uid="{00000000-0005-0000-0000-000023490000}"/>
    <cellStyle name="Normal 2 2 8 27 5 2" xfId="7863" xr:uid="{00000000-0005-0000-0000-000024490000}"/>
    <cellStyle name="Normal 2 2 8 27 5 2 2" xfId="36788" xr:uid="{00000000-0005-0000-0000-000025490000}"/>
    <cellStyle name="Normal 2 2 8 27 5 3" xfId="36789" xr:uid="{00000000-0005-0000-0000-000026490000}"/>
    <cellStyle name="Normal 2 2 8 27 6" xfId="7864" xr:uid="{00000000-0005-0000-0000-000027490000}"/>
    <cellStyle name="Normal 2 2 8 27 6 2" xfId="36790" xr:uid="{00000000-0005-0000-0000-000028490000}"/>
    <cellStyle name="Normal 2 2 8 27 7" xfId="7865" xr:uid="{00000000-0005-0000-0000-000029490000}"/>
    <cellStyle name="Normal 2 2 8 27 7 2" xfId="36791" xr:uid="{00000000-0005-0000-0000-00002A490000}"/>
    <cellStyle name="Normal 2 2 8 27 8" xfId="36792" xr:uid="{00000000-0005-0000-0000-00002B490000}"/>
    <cellStyle name="Normal 2 2 8 27 8 2" xfId="36793" xr:uid="{00000000-0005-0000-0000-00002C490000}"/>
    <cellStyle name="Normal 2 2 8 27 9" xfId="36794" xr:uid="{00000000-0005-0000-0000-00002D490000}"/>
    <cellStyle name="Normal 2 2 8 28" xfId="7866" xr:uid="{00000000-0005-0000-0000-00002E490000}"/>
    <cellStyle name="Normal 2 2 8 28 10" xfId="36795" xr:uid="{00000000-0005-0000-0000-00002F490000}"/>
    <cellStyle name="Normal 2 2 8 28 11" xfId="36796" xr:uid="{00000000-0005-0000-0000-000030490000}"/>
    <cellStyle name="Normal 2 2 8 28 2" xfId="7867" xr:uid="{00000000-0005-0000-0000-000031490000}"/>
    <cellStyle name="Normal 2 2 8 28 2 10" xfId="36797" xr:uid="{00000000-0005-0000-0000-000032490000}"/>
    <cellStyle name="Normal 2 2 8 28 2 2" xfId="7868" xr:uid="{00000000-0005-0000-0000-000033490000}"/>
    <cellStyle name="Normal 2 2 8 28 2 2 2" xfId="7869" xr:uid="{00000000-0005-0000-0000-000034490000}"/>
    <cellStyle name="Normal 2 2 8 28 2 2 2 2" xfId="7870" xr:uid="{00000000-0005-0000-0000-000035490000}"/>
    <cellStyle name="Normal 2 2 8 28 2 2 2 2 2" xfId="36798" xr:uid="{00000000-0005-0000-0000-000036490000}"/>
    <cellStyle name="Normal 2 2 8 28 2 2 2 3" xfId="7871" xr:uid="{00000000-0005-0000-0000-000037490000}"/>
    <cellStyle name="Normal 2 2 8 28 2 2 2 3 2" xfId="36799" xr:uid="{00000000-0005-0000-0000-000038490000}"/>
    <cellStyle name="Normal 2 2 8 28 2 2 2 4" xfId="36800" xr:uid="{00000000-0005-0000-0000-000039490000}"/>
    <cellStyle name="Normal 2 2 8 28 2 2 3" xfId="7872" xr:uid="{00000000-0005-0000-0000-00003A490000}"/>
    <cellStyle name="Normal 2 2 8 28 2 2 3 2" xfId="36801" xr:uid="{00000000-0005-0000-0000-00003B490000}"/>
    <cellStyle name="Normal 2 2 8 28 2 2 4" xfId="7873" xr:uid="{00000000-0005-0000-0000-00003C490000}"/>
    <cellStyle name="Normal 2 2 8 28 2 2 4 2" xfId="36802" xr:uid="{00000000-0005-0000-0000-00003D490000}"/>
    <cellStyle name="Normal 2 2 8 28 2 2 5" xfId="7874" xr:uid="{00000000-0005-0000-0000-00003E490000}"/>
    <cellStyle name="Normal 2 2 8 28 2 2 5 2" xfId="36803" xr:uid="{00000000-0005-0000-0000-00003F490000}"/>
    <cellStyle name="Normal 2 2 8 28 2 2 6" xfId="36804" xr:uid="{00000000-0005-0000-0000-000040490000}"/>
    <cellStyle name="Normal 2 2 8 28 2 2 6 2" xfId="36805" xr:uid="{00000000-0005-0000-0000-000041490000}"/>
    <cellStyle name="Normal 2 2 8 28 2 2 7" xfId="36806" xr:uid="{00000000-0005-0000-0000-000042490000}"/>
    <cellStyle name="Normal 2 2 8 28 2 3" xfId="7875" xr:uid="{00000000-0005-0000-0000-000043490000}"/>
    <cellStyle name="Normal 2 2 8 28 2 3 2" xfId="7876" xr:uid="{00000000-0005-0000-0000-000044490000}"/>
    <cellStyle name="Normal 2 2 8 28 2 3 2 2" xfId="36807" xr:uid="{00000000-0005-0000-0000-000045490000}"/>
    <cellStyle name="Normal 2 2 8 28 2 3 3" xfId="7877" xr:uid="{00000000-0005-0000-0000-000046490000}"/>
    <cellStyle name="Normal 2 2 8 28 2 3 3 2" xfId="36808" xr:uid="{00000000-0005-0000-0000-000047490000}"/>
    <cellStyle name="Normal 2 2 8 28 2 3 4" xfId="36809" xr:uid="{00000000-0005-0000-0000-000048490000}"/>
    <cellStyle name="Normal 2 2 8 28 2 4" xfId="7878" xr:uid="{00000000-0005-0000-0000-000049490000}"/>
    <cellStyle name="Normal 2 2 8 28 2 4 2" xfId="7879" xr:uid="{00000000-0005-0000-0000-00004A490000}"/>
    <cellStyle name="Normal 2 2 8 28 2 4 2 2" xfId="36810" xr:uid="{00000000-0005-0000-0000-00004B490000}"/>
    <cellStyle name="Normal 2 2 8 28 2 4 3" xfId="36811" xr:uid="{00000000-0005-0000-0000-00004C490000}"/>
    <cellStyle name="Normal 2 2 8 28 2 5" xfId="7880" xr:uid="{00000000-0005-0000-0000-00004D490000}"/>
    <cellStyle name="Normal 2 2 8 28 2 5 2" xfId="36812" xr:uid="{00000000-0005-0000-0000-00004E490000}"/>
    <cellStyle name="Normal 2 2 8 28 2 6" xfId="7881" xr:uid="{00000000-0005-0000-0000-00004F490000}"/>
    <cellStyle name="Normal 2 2 8 28 2 6 2" xfId="36813" xr:uid="{00000000-0005-0000-0000-000050490000}"/>
    <cellStyle name="Normal 2 2 8 28 2 7" xfId="36814" xr:uid="{00000000-0005-0000-0000-000051490000}"/>
    <cellStyle name="Normal 2 2 8 28 2 7 2" xfId="36815" xr:uid="{00000000-0005-0000-0000-000052490000}"/>
    <cellStyle name="Normal 2 2 8 28 2 8" xfId="36816" xr:uid="{00000000-0005-0000-0000-000053490000}"/>
    <cellStyle name="Normal 2 2 8 28 2 9" xfId="36817" xr:uid="{00000000-0005-0000-0000-000054490000}"/>
    <cellStyle name="Normal 2 2 8 28 3" xfId="7882" xr:uid="{00000000-0005-0000-0000-000055490000}"/>
    <cellStyle name="Normal 2 2 8 28 3 2" xfId="7883" xr:uid="{00000000-0005-0000-0000-000056490000}"/>
    <cellStyle name="Normal 2 2 8 28 3 2 2" xfId="7884" xr:uid="{00000000-0005-0000-0000-000057490000}"/>
    <cellStyle name="Normal 2 2 8 28 3 2 2 2" xfId="36818" xr:uid="{00000000-0005-0000-0000-000058490000}"/>
    <cellStyle name="Normal 2 2 8 28 3 2 3" xfId="7885" xr:uid="{00000000-0005-0000-0000-000059490000}"/>
    <cellStyle name="Normal 2 2 8 28 3 2 3 2" xfId="36819" xr:uid="{00000000-0005-0000-0000-00005A490000}"/>
    <cellStyle name="Normal 2 2 8 28 3 2 4" xfId="36820" xr:uid="{00000000-0005-0000-0000-00005B490000}"/>
    <cellStyle name="Normal 2 2 8 28 3 3" xfId="7886" xr:uid="{00000000-0005-0000-0000-00005C490000}"/>
    <cellStyle name="Normal 2 2 8 28 3 3 2" xfId="36821" xr:uid="{00000000-0005-0000-0000-00005D490000}"/>
    <cellStyle name="Normal 2 2 8 28 3 4" xfId="7887" xr:uid="{00000000-0005-0000-0000-00005E490000}"/>
    <cellStyle name="Normal 2 2 8 28 3 4 2" xfId="36822" xr:uid="{00000000-0005-0000-0000-00005F490000}"/>
    <cellStyle name="Normal 2 2 8 28 3 5" xfId="7888" xr:uid="{00000000-0005-0000-0000-000060490000}"/>
    <cellStyle name="Normal 2 2 8 28 3 5 2" xfId="36823" xr:uid="{00000000-0005-0000-0000-000061490000}"/>
    <cellStyle name="Normal 2 2 8 28 3 6" xfId="36824" xr:uid="{00000000-0005-0000-0000-000062490000}"/>
    <cellStyle name="Normal 2 2 8 28 3 6 2" xfId="36825" xr:uid="{00000000-0005-0000-0000-000063490000}"/>
    <cellStyle name="Normal 2 2 8 28 3 7" xfId="36826" xr:uid="{00000000-0005-0000-0000-000064490000}"/>
    <cellStyle name="Normal 2 2 8 28 4" xfId="7889" xr:uid="{00000000-0005-0000-0000-000065490000}"/>
    <cellStyle name="Normal 2 2 8 28 4 2" xfId="7890" xr:uid="{00000000-0005-0000-0000-000066490000}"/>
    <cellStyle name="Normal 2 2 8 28 4 2 2" xfId="36827" xr:uid="{00000000-0005-0000-0000-000067490000}"/>
    <cellStyle name="Normal 2 2 8 28 4 3" xfId="7891" xr:uid="{00000000-0005-0000-0000-000068490000}"/>
    <cellStyle name="Normal 2 2 8 28 4 3 2" xfId="36828" xr:uid="{00000000-0005-0000-0000-000069490000}"/>
    <cellStyle name="Normal 2 2 8 28 4 4" xfId="36829" xr:uid="{00000000-0005-0000-0000-00006A490000}"/>
    <cellStyle name="Normal 2 2 8 28 5" xfId="7892" xr:uid="{00000000-0005-0000-0000-00006B490000}"/>
    <cellStyle name="Normal 2 2 8 28 5 2" xfId="7893" xr:uid="{00000000-0005-0000-0000-00006C490000}"/>
    <cellStyle name="Normal 2 2 8 28 5 2 2" xfId="36830" xr:uid="{00000000-0005-0000-0000-00006D490000}"/>
    <cellStyle name="Normal 2 2 8 28 5 3" xfId="36831" xr:uid="{00000000-0005-0000-0000-00006E490000}"/>
    <cellStyle name="Normal 2 2 8 28 6" xfId="7894" xr:uid="{00000000-0005-0000-0000-00006F490000}"/>
    <cellStyle name="Normal 2 2 8 28 6 2" xfId="36832" xr:uid="{00000000-0005-0000-0000-000070490000}"/>
    <cellStyle name="Normal 2 2 8 28 7" xfId="7895" xr:uid="{00000000-0005-0000-0000-000071490000}"/>
    <cellStyle name="Normal 2 2 8 28 7 2" xfId="36833" xr:uid="{00000000-0005-0000-0000-000072490000}"/>
    <cellStyle name="Normal 2 2 8 28 8" xfId="36834" xr:uid="{00000000-0005-0000-0000-000073490000}"/>
    <cellStyle name="Normal 2 2 8 28 8 2" xfId="36835" xr:uid="{00000000-0005-0000-0000-000074490000}"/>
    <cellStyle name="Normal 2 2 8 28 9" xfId="36836" xr:uid="{00000000-0005-0000-0000-000075490000}"/>
    <cellStyle name="Normal 2 2 8 29" xfId="7896" xr:uid="{00000000-0005-0000-0000-000076490000}"/>
    <cellStyle name="Normal 2 2 8 29 10" xfId="36837" xr:uid="{00000000-0005-0000-0000-000077490000}"/>
    <cellStyle name="Normal 2 2 8 29 11" xfId="36838" xr:uid="{00000000-0005-0000-0000-000078490000}"/>
    <cellStyle name="Normal 2 2 8 29 2" xfId="7897" xr:uid="{00000000-0005-0000-0000-000079490000}"/>
    <cellStyle name="Normal 2 2 8 29 2 10" xfId="36839" xr:uid="{00000000-0005-0000-0000-00007A490000}"/>
    <cellStyle name="Normal 2 2 8 29 2 2" xfId="7898" xr:uid="{00000000-0005-0000-0000-00007B490000}"/>
    <cellStyle name="Normal 2 2 8 29 2 2 2" xfId="7899" xr:uid="{00000000-0005-0000-0000-00007C490000}"/>
    <cellStyle name="Normal 2 2 8 29 2 2 2 2" xfId="7900" xr:uid="{00000000-0005-0000-0000-00007D490000}"/>
    <cellStyle name="Normal 2 2 8 29 2 2 2 2 2" xfId="36840" xr:uid="{00000000-0005-0000-0000-00007E490000}"/>
    <cellStyle name="Normal 2 2 8 29 2 2 2 3" xfId="7901" xr:uid="{00000000-0005-0000-0000-00007F490000}"/>
    <cellStyle name="Normal 2 2 8 29 2 2 2 3 2" xfId="36841" xr:uid="{00000000-0005-0000-0000-000080490000}"/>
    <cellStyle name="Normal 2 2 8 29 2 2 2 4" xfId="36842" xr:uid="{00000000-0005-0000-0000-000081490000}"/>
    <cellStyle name="Normal 2 2 8 29 2 2 3" xfId="7902" xr:uid="{00000000-0005-0000-0000-000082490000}"/>
    <cellStyle name="Normal 2 2 8 29 2 2 3 2" xfId="36843" xr:uid="{00000000-0005-0000-0000-000083490000}"/>
    <cellStyle name="Normal 2 2 8 29 2 2 4" xfId="7903" xr:uid="{00000000-0005-0000-0000-000084490000}"/>
    <cellStyle name="Normal 2 2 8 29 2 2 4 2" xfId="36844" xr:uid="{00000000-0005-0000-0000-000085490000}"/>
    <cellStyle name="Normal 2 2 8 29 2 2 5" xfId="7904" xr:uid="{00000000-0005-0000-0000-000086490000}"/>
    <cellStyle name="Normal 2 2 8 29 2 2 5 2" xfId="36845" xr:uid="{00000000-0005-0000-0000-000087490000}"/>
    <cellStyle name="Normal 2 2 8 29 2 2 6" xfId="36846" xr:uid="{00000000-0005-0000-0000-000088490000}"/>
    <cellStyle name="Normal 2 2 8 29 2 2 6 2" xfId="36847" xr:uid="{00000000-0005-0000-0000-000089490000}"/>
    <cellStyle name="Normal 2 2 8 29 2 2 7" xfId="36848" xr:uid="{00000000-0005-0000-0000-00008A490000}"/>
    <cellStyle name="Normal 2 2 8 29 2 3" xfId="7905" xr:uid="{00000000-0005-0000-0000-00008B490000}"/>
    <cellStyle name="Normal 2 2 8 29 2 3 2" xfId="7906" xr:uid="{00000000-0005-0000-0000-00008C490000}"/>
    <cellStyle name="Normal 2 2 8 29 2 3 2 2" xfId="36849" xr:uid="{00000000-0005-0000-0000-00008D490000}"/>
    <cellStyle name="Normal 2 2 8 29 2 3 3" xfId="7907" xr:uid="{00000000-0005-0000-0000-00008E490000}"/>
    <cellStyle name="Normal 2 2 8 29 2 3 3 2" xfId="36850" xr:uid="{00000000-0005-0000-0000-00008F490000}"/>
    <cellStyle name="Normal 2 2 8 29 2 3 4" xfId="36851" xr:uid="{00000000-0005-0000-0000-000090490000}"/>
    <cellStyle name="Normal 2 2 8 29 2 4" xfId="7908" xr:uid="{00000000-0005-0000-0000-000091490000}"/>
    <cellStyle name="Normal 2 2 8 29 2 4 2" xfId="7909" xr:uid="{00000000-0005-0000-0000-000092490000}"/>
    <cellStyle name="Normal 2 2 8 29 2 4 2 2" xfId="36852" xr:uid="{00000000-0005-0000-0000-000093490000}"/>
    <cellStyle name="Normal 2 2 8 29 2 4 3" xfId="36853" xr:uid="{00000000-0005-0000-0000-000094490000}"/>
    <cellStyle name="Normal 2 2 8 29 2 5" xfId="7910" xr:uid="{00000000-0005-0000-0000-000095490000}"/>
    <cellStyle name="Normal 2 2 8 29 2 5 2" xfId="36854" xr:uid="{00000000-0005-0000-0000-000096490000}"/>
    <cellStyle name="Normal 2 2 8 29 2 6" xfId="7911" xr:uid="{00000000-0005-0000-0000-000097490000}"/>
    <cellStyle name="Normal 2 2 8 29 2 6 2" xfId="36855" xr:uid="{00000000-0005-0000-0000-000098490000}"/>
    <cellStyle name="Normal 2 2 8 29 2 7" xfId="36856" xr:uid="{00000000-0005-0000-0000-000099490000}"/>
    <cellStyle name="Normal 2 2 8 29 2 7 2" xfId="36857" xr:uid="{00000000-0005-0000-0000-00009A490000}"/>
    <cellStyle name="Normal 2 2 8 29 2 8" xfId="36858" xr:uid="{00000000-0005-0000-0000-00009B490000}"/>
    <cellStyle name="Normal 2 2 8 29 2 9" xfId="36859" xr:uid="{00000000-0005-0000-0000-00009C490000}"/>
    <cellStyle name="Normal 2 2 8 29 3" xfId="7912" xr:uid="{00000000-0005-0000-0000-00009D490000}"/>
    <cellStyle name="Normal 2 2 8 29 3 2" xfId="7913" xr:uid="{00000000-0005-0000-0000-00009E490000}"/>
    <cellStyle name="Normal 2 2 8 29 3 2 2" xfId="7914" xr:uid="{00000000-0005-0000-0000-00009F490000}"/>
    <cellStyle name="Normal 2 2 8 29 3 2 2 2" xfId="36860" xr:uid="{00000000-0005-0000-0000-0000A0490000}"/>
    <cellStyle name="Normal 2 2 8 29 3 2 3" xfId="7915" xr:uid="{00000000-0005-0000-0000-0000A1490000}"/>
    <cellStyle name="Normal 2 2 8 29 3 2 3 2" xfId="36861" xr:uid="{00000000-0005-0000-0000-0000A2490000}"/>
    <cellStyle name="Normal 2 2 8 29 3 2 4" xfId="36862" xr:uid="{00000000-0005-0000-0000-0000A3490000}"/>
    <cellStyle name="Normal 2 2 8 29 3 3" xfId="7916" xr:uid="{00000000-0005-0000-0000-0000A4490000}"/>
    <cellStyle name="Normal 2 2 8 29 3 3 2" xfId="36863" xr:uid="{00000000-0005-0000-0000-0000A5490000}"/>
    <cellStyle name="Normal 2 2 8 29 3 4" xfId="7917" xr:uid="{00000000-0005-0000-0000-0000A6490000}"/>
    <cellStyle name="Normal 2 2 8 29 3 4 2" xfId="36864" xr:uid="{00000000-0005-0000-0000-0000A7490000}"/>
    <cellStyle name="Normal 2 2 8 29 3 5" xfId="7918" xr:uid="{00000000-0005-0000-0000-0000A8490000}"/>
    <cellStyle name="Normal 2 2 8 29 3 5 2" xfId="36865" xr:uid="{00000000-0005-0000-0000-0000A9490000}"/>
    <cellStyle name="Normal 2 2 8 29 3 6" xfId="36866" xr:uid="{00000000-0005-0000-0000-0000AA490000}"/>
    <cellStyle name="Normal 2 2 8 29 3 6 2" xfId="36867" xr:uid="{00000000-0005-0000-0000-0000AB490000}"/>
    <cellStyle name="Normal 2 2 8 29 3 7" xfId="36868" xr:uid="{00000000-0005-0000-0000-0000AC490000}"/>
    <cellStyle name="Normal 2 2 8 29 4" xfId="7919" xr:uid="{00000000-0005-0000-0000-0000AD490000}"/>
    <cellStyle name="Normal 2 2 8 29 4 2" xfId="7920" xr:uid="{00000000-0005-0000-0000-0000AE490000}"/>
    <cellStyle name="Normal 2 2 8 29 4 2 2" xfId="36869" xr:uid="{00000000-0005-0000-0000-0000AF490000}"/>
    <cellStyle name="Normal 2 2 8 29 4 3" xfId="7921" xr:uid="{00000000-0005-0000-0000-0000B0490000}"/>
    <cellStyle name="Normal 2 2 8 29 4 3 2" xfId="36870" xr:uid="{00000000-0005-0000-0000-0000B1490000}"/>
    <cellStyle name="Normal 2 2 8 29 4 4" xfId="36871" xr:uid="{00000000-0005-0000-0000-0000B2490000}"/>
    <cellStyle name="Normal 2 2 8 29 5" xfId="7922" xr:uid="{00000000-0005-0000-0000-0000B3490000}"/>
    <cellStyle name="Normal 2 2 8 29 5 2" xfId="7923" xr:uid="{00000000-0005-0000-0000-0000B4490000}"/>
    <cellStyle name="Normal 2 2 8 29 5 2 2" xfId="36872" xr:uid="{00000000-0005-0000-0000-0000B5490000}"/>
    <cellStyle name="Normal 2 2 8 29 5 3" xfId="36873" xr:uid="{00000000-0005-0000-0000-0000B6490000}"/>
    <cellStyle name="Normal 2 2 8 29 6" xfId="7924" xr:uid="{00000000-0005-0000-0000-0000B7490000}"/>
    <cellStyle name="Normal 2 2 8 29 6 2" xfId="36874" xr:uid="{00000000-0005-0000-0000-0000B8490000}"/>
    <cellStyle name="Normal 2 2 8 29 7" xfId="7925" xr:uid="{00000000-0005-0000-0000-0000B9490000}"/>
    <cellStyle name="Normal 2 2 8 29 7 2" xfId="36875" xr:uid="{00000000-0005-0000-0000-0000BA490000}"/>
    <cellStyle name="Normal 2 2 8 29 8" xfId="36876" xr:uid="{00000000-0005-0000-0000-0000BB490000}"/>
    <cellStyle name="Normal 2 2 8 29 8 2" xfId="36877" xr:uid="{00000000-0005-0000-0000-0000BC490000}"/>
    <cellStyle name="Normal 2 2 8 29 9" xfId="36878" xr:uid="{00000000-0005-0000-0000-0000BD490000}"/>
    <cellStyle name="Normal 2 2 8 3" xfId="7926" xr:uid="{00000000-0005-0000-0000-0000BE490000}"/>
    <cellStyle name="Normal 2 2 8 3 10" xfId="36879" xr:uid="{00000000-0005-0000-0000-0000BF490000}"/>
    <cellStyle name="Normal 2 2 8 3 11" xfId="36880" xr:uid="{00000000-0005-0000-0000-0000C0490000}"/>
    <cellStyle name="Normal 2 2 8 3 2" xfId="7927" xr:uid="{00000000-0005-0000-0000-0000C1490000}"/>
    <cellStyle name="Normal 2 2 8 3 2 10" xfId="36881" xr:uid="{00000000-0005-0000-0000-0000C2490000}"/>
    <cellStyle name="Normal 2 2 8 3 2 2" xfId="7928" xr:uid="{00000000-0005-0000-0000-0000C3490000}"/>
    <cellStyle name="Normal 2 2 8 3 2 2 2" xfId="7929" xr:uid="{00000000-0005-0000-0000-0000C4490000}"/>
    <cellStyle name="Normal 2 2 8 3 2 2 2 2" xfId="7930" xr:uid="{00000000-0005-0000-0000-0000C5490000}"/>
    <cellStyle name="Normal 2 2 8 3 2 2 2 2 2" xfId="36882" xr:uid="{00000000-0005-0000-0000-0000C6490000}"/>
    <cellStyle name="Normal 2 2 8 3 2 2 2 3" xfId="7931" xr:uid="{00000000-0005-0000-0000-0000C7490000}"/>
    <cellStyle name="Normal 2 2 8 3 2 2 2 3 2" xfId="36883" xr:uid="{00000000-0005-0000-0000-0000C8490000}"/>
    <cellStyle name="Normal 2 2 8 3 2 2 2 4" xfId="36884" xr:uid="{00000000-0005-0000-0000-0000C9490000}"/>
    <cellStyle name="Normal 2 2 8 3 2 2 3" xfId="7932" xr:uid="{00000000-0005-0000-0000-0000CA490000}"/>
    <cellStyle name="Normal 2 2 8 3 2 2 3 2" xfId="36885" xr:uid="{00000000-0005-0000-0000-0000CB490000}"/>
    <cellStyle name="Normal 2 2 8 3 2 2 4" xfId="7933" xr:uid="{00000000-0005-0000-0000-0000CC490000}"/>
    <cellStyle name="Normal 2 2 8 3 2 2 4 2" xfId="36886" xr:uid="{00000000-0005-0000-0000-0000CD490000}"/>
    <cellStyle name="Normal 2 2 8 3 2 2 5" xfId="7934" xr:uid="{00000000-0005-0000-0000-0000CE490000}"/>
    <cellStyle name="Normal 2 2 8 3 2 2 5 2" xfId="36887" xr:uid="{00000000-0005-0000-0000-0000CF490000}"/>
    <cellStyle name="Normal 2 2 8 3 2 2 6" xfId="36888" xr:uid="{00000000-0005-0000-0000-0000D0490000}"/>
    <cellStyle name="Normal 2 2 8 3 2 2 6 2" xfId="36889" xr:uid="{00000000-0005-0000-0000-0000D1490000}"/>
    <cellStyle name="Normal 2 2 8 3 2 2 7" xfId="36890" xr:uid="{00000000-0005-0000-0000-0000D2490000}"/>
    <cellStyle name="Normal 2 2 8 3 2 3" xfId="7935" xr:uid="{00000000-0005-0000-0000-0000D3490000}"/>
    <cellStyle name="Normal 2 2 8 3 2 3 2" xfId="7936" xr:uid="{00000000-0005-0000-0000-0000D4490000}"/>
    <cellStyle name="Normal 2 2 8 3 2 3 2 2" xfId="36891" xr:uid="{00000000-0005-0000-0000-0000D5490000}"/>
    <cellStyle name="Normal 2 2 8 3 2 3 3" xfId="7937" xr:uid="{00000000-0005-0000-0000-0000D6490000}"/>
    <cellStyle name="Normal 2 2 8 3 2 3 3 2" xfId="36892" xr:uid="{00000000-0005-0000-0000-0000D7490000}"/>
    <cellStyle name="Normal 2 2 8 3 2 3 4" xfId="36893" xr:uid="{00000000-0005-0000-0000-0000D8490000}"/>
    <cellStyle name="Normal 2 2 8 3 2 4" xfId="7938" xr:uid="{00000000-0005-0000-0000-0000D9490000}"/>
    <cellStyle name="Normal 2 2 8 3 2 4 2" xfId="7939" xr:uid="{00000000-0005-0000-0000-0000DA490000}"/>
    <cellStyle name="Normal 2 2 8 3 2 4 2 2" xfId="36894" xr:uid="{00000000-0005-0000-0000-0000DB490000}"/>
    <cellStyle name="Normal 2 2 8 3 2 4 3" xfId="36895" xr:uid="{00000000-0005-0000-0000-0000DC490000}"/>
    <cellStyle name="Normal 2 2 8 3 2 5" xfId="7940" xr:uid="{00000000-0005-0000-0000-0000DD490000}"/>
    <cellStyle name="Normal 2 2 8 3 2 5 2" xfId="36896" xr:uid="{00000000-0005-0000-0000-0000DE490000}"/>
    <cellStyle name="Normal 2 2 8 3 2 6" xfId="7941" xr:uid="{00000000-0005-0000-0000-0000DF490000}"/>
    <cellStyle name="Normal 2 2 8 3 2 6 2" xfId="36897" xr:uid="{00000000-0005-0000-0000-0000E0490000}"/>
    <cellStyle name="Normal 2 2 8 3 2 7" xfId="36898" xr:uid="{00000000-0005-0000-0000-0000E1490000}"/>
    <cellStyle name="Normal 2 2 8 3 2 7 2" xfId="36899" xr:uid="{00000000-0005-0000-0000-0000E2490000}"/>
    <cellStyle name="Normal 2 2 8 3 2 8" xfId="36900" xr:uid="{00000000-0005-0000-0000-0000E3490000}"/>
    <cellStyle name="Normal 2 2 8 3 2 9" xfId="36901" xr:uid="{00000000-0005-0000-0000-0000E4490000}"/>
    <cellStyle name="Normal 2 2 8 3 3" xfId="7942" xr:uid="{00000000-0005-0000-0000-0000E5490000}"/>
    <cellStyle name="Normal 2 2 8 3 3 2" xfId="7943" xr:uid="{00000000-0005-0000-0000-0000E6490000}"/>
    <cellStyle name="Normal 2 2 8 3 3 2 2" xfId="7944" xr:uid="{00000000-0005-0000-0000-0000E7490000}"/>
    <cellStyle name="Normal 2 2 8 3 3 2 2 2" xfId="36902" xr:uid="{00000000-0005-0000-0000-0000E8490000}"/>
    <cellStyle name="Normal 2 2 8 3 3 2 3" xfId="7945" xr:uid="{00000000-0005-0000-0000-0000E9490000}"/>
    <cellStyle name="Normal 2 2 8 3 3 2 3 2" xfId="36903" xr:uid="{00000000-0005-0000-0000-0000EA490000}"/>
    <cellStyle name="Normal 2 2 8 3 3 2 4" xfId="36904" xr:uid="{00000000-0005-0000-0000-0000EB490000}"/>
    <cellStyle name="Normal 2 2 8 3 3 3" xfId="7946" xr:uid="{00000000-0005-0000-0000-0000EC490000}"/>
    <cellStyle name="Normal 2 2 8 3 3 3 2" xfId="36905" xr:uid="{00000000-0005-0000-0000-0000ED490000}"/>
    <cellStyle name="Normal 2 2 8 3 3 4" xfId="7947" xr:uid="{00000000-0005-0000-0000-0000EE490000}"/>
    <cellStyle name="Normal 2 2 8 3 3 4 2" xfId="36906" xr:uid="{00000000-0005-0000-0000-0000EF490000}"/>
    <cellStyle name="Normal 2 2 8 3 3 5" xfId="7948" xr:uid="{00000000-0005-0000-0000-0000F0490000}"/>
    <cellStyle name="Normal 2 2 8 3 3 5 2" xfId="36907" xr:uid="{00000000-0005-0000-0000-0000F1490000}"/>
    <cellStyle name="Normal 2 2 8 3 3 6" xfId="36908" xr:uid="{00000000-0005-0000-0000-0000F2490000}"/>
    <cellStyle name="Normal 2 2 8 3 3 6 2" xfId="36909" xr:uid="{00000000-0005-0000-0000-0000F3490000}"/>
    <cellStyle name="Normal 2 2 8 3 3 7" xfId="36910" xr:uid="{00000000-0005-0000-0000-0000F4490000}"/>
    <cellStyle name="Normal 2 2 8 3 4" xfId="7949" xr:uid="{00000000-0005-0000-0000-0000F5490000}"/>
    <cellStyle name="Normal 2 2 8 3 4 2" xfId="7950" xr:uid="{00000000-0005-0000-0000-0000F6490000}"/>
    <cellStyle name="Normal 2 2 8 3 4 2 2" xfId="36911" xr:uid="{00000000-0005-0000-0000-0000F7490000}"/>
    <cellStyle name="Normal 2 2 8 3 4 3" xfId="7951" xr:uid="{00000000-0005-0000-0000-0000F8490000}"/>
    <cellStyle name="Normal 2 2 8 3 4 3 2" xfId="36912" xr:uid="{00000000-0005-0000-0000-0000F9490000}"/>
    <cellStyle name="Normal 2 2 8 3 4 4" xfId="36913" xr:uid="{00000000-0005-0000-0000-0000FA490000}"/>
    <cellStyle name="Normal 2 2 8 3 5" xfId="7952" xr:uid="{00000000-0005-0000-0000-0000FB490000}"/>
    <cellStyle name="Normal 2 2 8 3 5 2" xfId="7953" xr:uid="{00000000-0005-0000-0000-0000FC490000}"/>
    <cellStyle name="Normal 2 2 8 3 5 2 2" xfId="36914" xr:uid="{00000000-0005-0000-0000-0000FD490000}"/>
    <cellStyle name="Normal 2 2 8 3 5 3" xfId="36915" xr:uid="{00000000-0005-0000-0000-0000FE490000}"/>
    <cellStyle name="Normal 2 2 8 3 6" xfId="7954" xr:uid="{00000000-0005-0000-0000-0000FF490000}"/>
    <cellStyle name="Normal 2 2 8 3 6 2" xfId="36916" xr:uid="{00000000-0005-0000-0000-0000004A0000}"/>
    <cellStyle name="Normal 2 2 8 3 7" xfId="7955" xr:uid="{00000000-0005-0000-0000-0000014A0000}"/>
    <cellStyle name="Normal 2 2 8 3 7 2" xfId="36917" xr:uid="{00000000-0005-0000-0000-0000024A0000}"/>
    <cellStyle name="Normal 2 2 8 3 8" xfId="36918" xr:uid="{00000000-0005-0000-0000-0000034A0000}"/>
    <cellStyle name="Normal 2 2 8 3 8 2" xfId="36919" xr:uid="{00000000-0005-0000-0000-0000044A0000}"/>
    <cellStyle name="Normal 2 2 8 3 9" xfId="36920" xr:uid="{00000000-0005-0000-0000-0000054A0000}"/>
    <cellStyle name="Normal 2 2 8 30" xfId="7956" xr:uid="{00000000-0005-0000-0000-0000064A0000}"/>
    <cellStyle name="Normal 2 2 8 30 10" xfId="36921" xr:uid="{00000000-0005-0000-0000-0000074A0000}"/>
    <cellStyle name="Normal 2 2 8 30 11" xfId="36922" xr:uid="{00000000-0005-0000-0000-0000084A0000}"/>
    <cellStyle name="Normal 2 2 8 30 2" xfId="7957" xr:uid="{00000000-0005-0000-0000-0000094A0000}"/>
    <cellStyle name="Normal 2 2 8 30 2 10" xfId="36923" xr:uid="{00000000-0005-0000-0000-00000A4A0000}"/>
    <cellStyle name="Normal 2 2 8 30 2 2" xfId="7958" xr:uid="{00000000-0005-0000-0000-00000B4A0000}"/>
    <cellStyle name="Normal 2 2 8 30 2 2 2" xfId="7959" xr:uid="{00000000-0005-0000-0000-00000C4A0000}"/>
    <cellStyle name="Normal 2 2 8 30 2 2 2 2" xfId="7960" xr:uid="{00000000-0005-0000-0000-00000D4A0000}"/>
    <cellStyle name="Normal 2 2 8 30 2 2 2 2 2" xfId="36924" xr:uid="{00000000-0005-0000-0000-00000E4A0000}"/>
    <cellStyle name="Normal 2 2 8 30 2 2 2 3" xfId="7961" xr:uid="{00000000-0005-0000-0000-00000F4A0000}"/>
    <cellStyle name="Normal 2 2 8 30 2 2 2 3 2" xfId="36925" xr:uid="{00000000-0005-0000-0000-0000104A0000}"/>
    <cellStyle name="Normal 2 2 8 30 2 2 2 4" xfId="36926" xr:uid="{00000000-0005-0000-0000-0000114A0000}"/>
    <cellStyle name="Normal 2 2 8 30 2 2 3" xfId="7962" xr:uid="{00000000-0005-0000-0000-0000124A0000}"/>
    <cellStyle name="Normal 2 2 8 30 2 2 3 2" xfId="36927" xr:uid="{00000000-0005-0000-0000-0000134A0000}"/>
    <cellStyle name="Normal 2 2 8 30 2 2 4" xfId="7963" xr:uid="{00000000-0005-0000-0000-0000144A0000}"/>
    <cellStyle name="Normal 2 2 8 30 2 2 4 2" xfId="36928" xr:uid="{00000000-0005-0000-0000-0000154A0000}"/>
    <cellStyle name="Normal 2 2 8 30 2 2 5" xfId="7964" xr:uid="{00000000-0005-0000-0000-0000164A0000}"/>
    <cellStyle name="Normal 2 2 8 30 2 2 5 2" xfId="36929" xr:uid="{00000000-0005-0000-0000-0000174A0000}"/>
    <cellStyle name="Normal 2 2 8 30 2 2 6" xfId="36930" xr:uid="{00000000-0005-0000-0000-0000184A0000}"/>
    <cellStyle name="Normal 2 2 8 30 2 2 6 2" xfId="36931" xr:uid="{00000000-0005-0000-0000-0000194A0000}"/>
    <cellStyle name="Normal 2 2 8 30 2 2 7" xfId="36932" xr:uid="{00000000-0005-0000-0000-00001A4A0000}"/>
    <cellStyle name="Normal 2 2 8 30 2 3" xfId="7965" xr:uid="{00000000-0005-0000-0000-00001B4A0000}"/>
    <cellStyle name="Normal 2 2 8 30 2 3 2" xfId="7966" xr:uid="{00000000-0005-0000-0000-00001C4A0000}"/>
    <cellStyle name="Normal 2 2 8 30 2 3 2 2" xfId="36933" xr:uid="{00000000-0005-0000-0000-00001D4A0000}"/>
    <cellStyle name="Normal 2 2 8 30 2 3 3" xfId="7967" xr:uid="{00000000-0005-0000-0000-00001E4A0000}"/>
    <cellStyle name="Normal 2 2 8 30 2 3 3 2" xfId="36934" xr:uid="{00000000-0005-0000-0000-00001F4A0000}"/>
    <cellStyle name="Normal 2 2 8 30 2 3 4" xfId="36935" xr:uid="{00000000-0005-0000-0000-0000204A0000}"/>
    <cellStyle name="Normal 2 2 8 30 2 4" xfId="7968" xr:uid="{00000000-0005-0000-0000-0000214A0000}"/>
    <cellStyle name="Normal 2 2 8 30 2 4 2" xfId="7969" xr:uid="{00000000-0005-0000-0000-0000224A0000}"/>
    <cellStyle name="Normal 2 2 8 30 2 4 2 2" xfId="36936" xr:uid="{00000000-0005-0000-0000-0000234A0000}"/>
    <cellStyle name="Normal 2 2 8 30 2 4 3" xfId="36937" xr:uid="{00000000-0005-0000-0000-0000244A0000}"/>
    <cellStyle name="Normal 2 2 8 30 2 5" xfId="7970" xr:uid="{00000000-0005-0000-0000-0000254A0000}"/>
    <cellStyle name="Normal 2 2 8 30 2 5 2" xfId="36938" xr:uid="{00000000-0005-0000-0000-0000264A0000}"/>
    <cellStyle name="Normal 2 2 8 30 2 6" xfId="7971" xr:uid="{00000000-0005-0000-0000-0000274A0000}"/>
    <cellStyle name="Normal 2 2 8 30 2 6 2" xfId="36939" xr:uid="{00000000-0005-0000-0000-0000284A0000}"/>
    <cellStyle name="Normal 2 2 8 30 2 7" xfId="36940" xr:uid="{00000000-0005-0000-0000-0000294A0000}"/>
    <cellStyle name="Normal 2 2 8 30 2 7 2" xfId="36941" xr:uid="{00000000-0005-0000-0000-00002A4A0000}"/>
    <cellStyle name="Normal 2 2 8 30 2 8" xfId="36942" xr:uid="{00000000-0005-0000-0000-00002B4A0000}"/>
    <cellStyle name="Normal 2 2 8 30 2 9" xfId="36943" xr:uid="{00000000-0005-0000-0000-00002C4A0000}"/>
    <cellStyle name="Normal 2 2 8 30 3" xfId="7972" xr:uid="{00000000-0005-0000-0000-00002D4A0000}"/>
    <cellStyle name="Normal 2 2 8 30 3 2" xfId="7973" xr:uid="{00000000-0005-0000-0000-00002E4A0000}"/>
    <cellStyle name="Normal 2 2 8 30 3 2 2" xfId="7974" xr:uid="{00000000-0005-0000-0000-00002F4A0000}"/>
    <cellStyle name="Normal 2 2 8 30 3 2 2 2" xfId="36944" xr:uid="{00000000-0005-0000-0000-0000304A0000}"/>
    <cellStyle name="Normal 2 2 8 30 3 2 3" xfId="7975" xr:uid="{00000000-0005-0000-0000-0000314A0000}"/>
    <cellStyle name="Normal 2 2 8 30 3 2 3 2" xfId="36945" xr:uid="{00000000-0005-0000-0000-0000324A0000}"/>
    <cellStyle name="Normal 2 2 8 30 3 2 4" xfId="36946" xr:uid="{00000000-0005-0000-0000-0000334A0000}"/>
    <cellStyle name="Normal 2 2 8 30 3 3" xfId="7976" xr:uid="{00000000-0005-0000-0000-0000344A0000}"/>
    <cellStyle name="Normal 2 2 8 30 3 3 2" xfId="36947" xr:uid="{00000000-0005-0000-0000-0000354A0000}"/>
    <cellStyle name="Normal 2 2 8 30 3 4" xfId="7977" xr:uid="{00000000-0005-0000-0000-0000364A0000}"/>
    <cellStyle name="Normal 2 2 8 30 3 4 2" xfId="36948" xr:uid="{00000000-0005-0000-0000-0000374A0000}"/>
    <cellStyle name="Normal 2 2 8 30 3 5" xfId="7978" xr:uid="{00000000-0005-0000-0000-0000384A0000}"/>
    <cellStyle name="Normal 2 2 8 30 3 5 2" xfId="36949" xr:uid="{00000000-0005-0000-0000-0000394A0000}"/>
    <cellStyle name="Normal 2 2 8 30 3 6" xfId="36950" xr:uid="{00000000-0005-0000-0000-00003A4A0000}"/>
    <cellStyle name="Normal 2 2 8 30 3 6 2" xfId="36951" xr:uid="{00000000-0005-0000-0000-00003B4A0000}"/>
    <cellStyle name="Normal 2 2 8 30 3 7" xfId="36952" xr:uid="{00000000-0005-0000-0000-00003C4A0000}"/>
    <cellStyle name="Normal 2 2 8 30 4" xfId="7979" xr:uid="{00000000-0005-0000-0000-00003D4A0000}"/>
    <cellStyle name="Normal 2 2 8 30 4 2" xfId="7980" xr:uid="{00000000-0005-0000-0000-00003E4A0000}"/>
    <cellStyle name="Normal 2 2 8 30 4 2 2" xfId="36953" xr:uid="{00000000-0005-0000-0000-00003F4A0000}"/>
    <cellStyle name="Normal 2 2 8 30 4 3" xfId="7981" xr:uid="{00000000-0005-0000-0000-0000404A0000}"/>
    <cellStyle name="Normal 2 2 8 30 4 3 2" xfId="36954" xr:uid="{00000000-0005-0000-0000-0000414A0000}"/>
    <cellStyle name="Normal 2 2 8 30 4 4" xfId="36955" xr:uid="{00000000-0005-0000-0000-0000424A0000}"/>
    <cellStyle name="Normal 2 2 8 30 5" xfId="7982" xr:uid="{00000000-0005-0000-0000-0000434A0000}"/>
    <cellStyle name="Normal 2 2 8 30 5 2" xfId="7983" xr:uid="{00000000-0005-0000-0000-0000444A0000}"/>
    <cellStyle name="Normal 2 2 8 30 5 2 2" xfId="36956" xr:uid="{00000000-0005-0000-0000-0000454A0000}"/>
    <cellStyle name="Normal 2 2 8 30 5 3" xfId="36957" xr:uid="{00000000-0005-0000-0000-0000464A0000}"/>
    <cellStyle name="Normal 2 2 8 30 6" xfId="7984" xr:uid="{00000000-0005-0000-0000-0000474A0000}"/>
    <cellStyle name="Normal 2 2 8 30 6 2" xfId="36958" xr:uid="{00000000-0005-0000-0000-0000484A0000}"/>
    <cellStyle name="Normal 2 2 8 30 7" xfId="7985" xr:uid="{00000000-0005-0000-0000-0000494A0000}"/>
    <cellStyle name="Normal 2 2 8 30 7 2" xfId="36959" xr:uid="{00000000-0005-0000-0000-00004A4A0000}"/>
    <cellStyle name="Normal 2 2 8 30 8" xfId="36960" xr:uid="{00000000-0005-0000-0000-00004B4A0000}"/>
    <cellStyle name="Normal 2 2 8 30 8 2" xfId="36961" xr:uid="{00000000-0005-0000-0000-00004C4A0000}"/>
    <cellStyle name="Normal 2 2 8 30 9" xfId="36962" xr:uid="{00000000-0005-0000-0000-00004D4A0000}"/>
    <cellStyle name="Normal 2 2 8 31" xfId="7986" xr:uid="{00000000-0005-0000-0000-00004E4A0000}"/>
    <cellStyle name="Normal 2 2 8 31 10" xfId="36963" xr:uid="{00000000-0005-0000-0000-00004F4A0000}"/>
    <cellStyle name="Normal 2 2 8 31 2" xfId="7987" xr:uid="{00000000-0005-0000-0000-0000504A0000}"/>
    <cellStyle name="Normal 2 2 8 31 2 2" xfId="7988" xr:uid="{00000000-0005-0000-0000-0000514A0000}"/>
    <cellStyle name="Normal 2 2 8 31 2 2 2" xfId="7989" xr:uid="{00000000-0005-0000-0000-0000524A0000}"/>
    <cellStyle name="Normal 2 2 8 31 2 2 2 2" xfId="36964" xr:uid="{00000000-0005-0000-0000-0000534A0000}"/>
    <cellStyle name="Normal 2 2 8 31 2 2 3" xfId="7990" xr:uid="{00000000-0005-0000-0000-0000544A0000}"/>
    <cellStyle name="Normal 2 2 8 31 2 2 3 2" xfId="36965" xr:uid="{00000000-0005-0000-0000-0000554A0000}"/>
    <cellStyle name="Normal 2 2 8 31 2 2 4" xfId="36966" xr:uid="{00000000-0005-0000-0000-0000564A0000}"/>
    <cellStyle name="Normal 2 2 8 31 2 3" xfId="7991" xr:uid="{00000000-0005-0000-0000-0000574A0000}"/>
    <cellStyle name="Normal 2 2 8 31 2 3 2" xfId="36967" xr:uid="{00000000-0005-0000-0000-0000584A0000}"/>
    <cellStyle name="Normal 2 2 8 31 2 4" xfId="7992" xr:uid="{00000000-0005-0000-0000-0000594A0000}"/>
    <cellStyle name="Normal 2 2 8 31 2 4 2" xfId="36968" xr:uid="{00000000-0005-0000-0000-00005A4A0000}"/>
    <cellStyle name="Normal 2 2 8 31 2 5" xfId="7993" xr:uid="{00000000-0005-0000-0000-00005B4A0000}"/>
    <cellStyle name="Normal 2 2 8 31 2 5 2" xfId="36969" xr:uid="{00000000-0005-0000-0000-00005C4A0000}"/>
    <cellStyle name="Normal 2 2 8 31 2 6" xfId="36970" xr:uid="{00000000-0005-0000-0000-00005D4A0000}"/>
    <cellStyle name="Normal 2 2 8 31 2 6 2" xfId="36971" xr:uid="{00000000-0005-0000-0000-00005E4A0000}"/>
    <cellStyle name="Normal 2 2 8 31 2 7" xfId="36972" xr:uid="{00000000-0005-0000-0000-00005F4A0000}"/>
    <cellStyle name="Normal 2 2 8 31 3" xfId="7994" xr:uid="{00000000-0005-0000-0000-0000604A0000}"/>
    <cellStyle name="Normal 2 2 8 31 3 2" xfId="7995" xr:uid="{00000000-0005-0000-0000-0000614A0000}"/>
    <cellStyle name="Normal 2 2 8 31 3 2 2" xfId="36973" xr:uid="{00000000-0005-0000-0000-0000624A0000}"/>
    <cellStyle name="Normal 2 2 8 31 3 3" xfId="7996" xr:uid="{00000000-0005-0000-0000-0000634A0000}"/>
    <cellStyle name="Normal 2 2 8 31 3 3 2" xfId="36974" xr:uid="{00000000-0005-0000-0000-0000644A0000}"/>
    <cellStyle name="Normal 2 2 8 31 3 4" xfId="36975" xr:uid="{00000000-0005-0000-0000-0000654A0000}"/>
    <cellStyle name="Normal 2 2 8 31 4" xfId="7997" xr:uid="{00000000-0005-0000-0000-0000664A0000}"/>
    <cellStyle name="Normal 2 2 8 31 4 2" xfId="7998" xr:uid="{00000000-0005-0000-0000-0000674A0000}"/>
    <cellStyle name="Normal 2 2 8 31 4 2 2" xfId="36976" xr:uid="{00000000-0005-0000-0000-0000684A0000}"/>
    <cellStyle name="Normal 2 2 8 31 4 3" xfId="36977" xr:uid="{00000000-0005-0000-0000-0000694A0000}"/>
    <cellStyle name="Normal 2 2 8 31 5" xfId="7999" xr:uid="{00000000-0005-0000-0000-00006A4A0000}"/>
    <cellStyle name="Normal 2 2 8 31 5 2" xfId="36978" xr:uid="{00000000-0005-0000-0000-00006B4A0000}"/>
    <cellStyle name="Normal 2 2 8 31 6" xfId="8000" xr:uid="{00000000-0005-0000-0000-00006C4A0000}"/>
    <cellStyle name="Normal 2 2 8 31 6 2" xfId="36979" xr:uid="{00000000-0005-0000-0000-00006D4A0000}"/>
    <cellStyle name="Normal 2 2 8 31 7" xfId="36980" xr:uid="{00000000-0005-0000-0000-00006E4A0000}"/>
    <cellStyle name="Normal 2 2 8 31 7 2" xfId="36981" xr:uid="{00000000-0005-0000-0000-00006F4A0000}"/>
    <cellStyle name="Normal 2 2 8 31 8" xfId="36982" xr:uid="{00000000-0005-0000-0000-0000704A0000}"/>
    <cellStyle name="Normal 2 2 8 31 9" xfId="36983" xr:uid="{00000000-0005-0000-0000-0000714A0000}"/>
    <cellStyle name="Normal 2 2 8 32" xfId="8001" xr:uid="{00000000-0005-0000-0000-0000724A0000}"/>
    <cellStyle name="Normal 2 2 8 32 2" xfId="8002" xr:uid="{00000000-0005-0000-0000-0000734A0000}"/>
    <cellStyle name="Normal 2 2 8 32 2 2" xfId="8003" xr:uid="{00000000-0005-0000-0000-0000744A0000}"/>
    <cellStyle name="Normal 2 2 8 32 2 2 2" xfId="36984" xr:uid="{00000000-0005-0000-0000-0000754A0000}"/>
    <cellStyle name="Normal 2 2 8 32 2 3" xfId="8004" xr:uid="{00000000-0005-0000-0000-0000764A0000}"/>
    <cellStyle name="Normal 2 2 8 32 2 3 2" xfId="36985" xr:uid="{00000000-0005-0000-0000-0000774A0000}"/>
    <cellStyle name="Normal 2 2 8 32 2 4" xfId="36986" xr:uid="{00000000-0005-0000-0000-0000784A0000}"/>
    <cellStyle name="Normal 2 2 8 32 3" xfId="8005" xr:uid="{00000000-0005-0000-0000-0000794A0000}"/>
    <cellStyle name="Normal 2 2 8 32 3 2" xfId="36987" xr:uid="{00000000-0005-0000-0000-00007A4A0000}"/>
    <cellStyle name="Normal 2 2 8 32 4" xfId="8006" xr:uid="{00000000-0005-0000-0000-00007B4A0000}"/>
    <cellStyle name="Normal 2 2 8 32 4 2" xfId="36988" xr:uid="{00000000-0005-0000-0000-00007C4A0000}"/>
    <cellStyle name="Normal 2 2 8 32 5" xfId="8007" xr:uid="{00000000-0005-0000-0000-00007D4A0000}"/>
    <cellStyle name="Normal 2 2 8 32 5 2" xfId="36989" xr:uid="{00000000-0005-0000-0000-00007E4A0000}"/>
    <cellStyle name="Normal 2 2 8 32 6" xfId="36990" xr:uid="{00000000-0005-0000-0000-00007F4A0000}"/>
    <cellStyle name="Normal 2 2 8 32 6 2" xfId="36991" xr:uid="{00000000-0005-0000-0000-0000804A0000}"/>
    <cellStyle name="Normal 2 2 8 32 7" xfId="36992" xr:uid="{00000000-0005-0000-0000-0000814A0000}"/>
    <cellStyle name="Normal 2 2 8 33" xfId="8008" xr:uid="{00000000-0005-0000-0000-0000824A0000}"/>
    <cellStyle name="Normal 2 2 8 33 2" xfId="8009" xr:uid="{00000000-0005-0000-0000-0000834A0000}"/>
    <cellStyle name="Normal 2 2 8 33 2 2" xfId="36993" xr:uid="{00000000-0005-0000-0000-0000844A0000}"/>
    <cellStyle name="Normal 2 2 8 33 3" xfId="8010" xr:uid="{00000000-0005-0000-0000-0000854A0000}"/>
    <cellStyle name="Normal 2 2 8 33 3 2" xfId="36994" xr:uid="{00000000-0005-0000-0000-0000864A0000}"/>
    <cellStyle name="Normal 2 2 8 33 4" xfId="36995" xr:uid="{00000000-0005-0000-0000-0000874A0000}"/>
    <cellStyle name="Normal 2 2 8 34" xfId="8011" xr:uid="{00000000-0005-0000-0000-0000884A0000}"/>
    <cellStyle name="Normal 2 2 8 34 2" xfId="8012" xr:uid="{00000000-0005-0000-0000-0000894A0000}"/>
    <cellStyle name="Normal 2 2 8 34 2 2" xfId="36996" xr:uid="{00000000-0005-0000-0000-00008A4A0000}"/>
    <cellStyle name="Normal 2 2 8 34 3" xfId="36997" xr:uid="{00000000-0005-0000-0000-00008B4A0000}"/>
    <cellStyle name="Normal 2 2 8 35" xfId="8013" xr:uid="{00000000-0005-0000-0000-00008C4A0000}"/>
    <cellStyle name="Normal 2 2 8 35 2" xfId="36998" xr:uid="{00000000-0005-0000-0000-00008D4A0000}"/>
    <cellStyle name="Normal 2 2 8 36" xfId="8014" xr:uid="{00000000-0005-0000-0000-00008E4A0000}"/>
    <cellStyle name="Normal 2 2 8 36 2" xfId="36999" xr:uid="{00000000-0005-0000-0000-00008F4A0000}"/>
    <cellStyle name="Normal 2 2 8 37" xfId="37000" xr:uid="{00000000-0005-0000-0000-0000904A0000}"/>
    <cellStyle name="Normal 2 2 8 37 2" xfId="37001" xr:uid="{00000000-0005-0000-0000-0000914A0000}"/>
    <cellStyle name="Normal 2 2 8 38" xfId="37002" xr:uid="{00000000-0005-0000-0000-0000924A0000}"/>
    <cellStyle name="Normal 2 2 8 39" xfId="37003" xr:uid="{00000000-0005-0000-0000-0000934A0000}"/>
    <cellStyle name="Normal 2 2 8 4" xfId="8015" xr:uid="{00000000-0005-0000-0000-0000944A0000}"/>
    <cellStyle name="Normal 2 2 8 4 10" xfId="37004" xr:uid="{00000000-0005-0000-0000-0000954A0000}"/>
    <cellStyle name="Normal 2 2 8 4 11" xfId="37005" xr:uid="{00000000-0005-0000-0000-0000964A0000}"/>
    <cellStyle name="Normal 2 2 8 4 2" xfId="8016" xr:uid="{00000000-0005-0000-0000-0000974A0000}"/>
    <cellStyle name="Normal 2 2 8 4 2 10" xfId="37006" xr:uid="{00000000-0005-0000-0000-0000984A0000}"/>
    <cellStyle name="Normal 2 2 8 4 2 2" xfId="8017" xr:uid="{00000000-0005-0000-0000-0000994A0000}"/>
    <cellStyle name="Normal 2 2 8 4 2 2 2" xfId="8018" xr:uid="{00000000-0005-0000-0000-00009A4A0000}"/>
    <cellStyle name="Normal 2 2 8 4 2 2 2 2" xfId="8019" xr:uid="{00000000-0005-0000-0000-00009B4A0000}"/>
    <cellStyle name="Normal 2 2 8 4 2 2 2 2 2" xfId="37007" xr:uid="{00000000-0005-0000-0000-00009C4A0000}"/>
    <cellStyle name="Normal 2 2 8 4 2 2 2 3" xfId="8020" xr:uid="{00000000-0005-0000-0000-00009D4A0000}"/>
    <cellStyle name="Normal 2 2 8 4 2 2 2 3 2" xfId="37008" xr:uid="{00000000-0005-0000-0000-00009E4A0000}"/>
    <cellStyle name="Normal 2 2 8 4 2 2 2 4" xfId="37009" xr:uid="{00000000-0005-0000-0000-00009F4A0000}"/>
    <cellStyle name="Normal 2 2 8 4 2 2 3" xfId="8021" xr:uid="{00000000-0005-0000-0000-0000A04A0000}"/>
    <cellStyle name="Normal 2 2 8 4 2 2 3 2" xfId="37010" xr:uid="{00000000-0005-0000-0000-0000A14A0000}"/>
    <cellStyle name="Normal 2 2 8 4 2 2 4" xfId="8022" xr:uid="{00000000-0005-0000-0000-0000A24A0000}"/>
    <cellStyle name="Normal 2 2 8 4 2 2 4 2" xfId="37011" xr:uid="{00000000-0005-0000-0000-0000A34A0000}"/>
    <cellStyle name="Normal 2 2 8 4 2 2 5" xfId="8023" xr:uid="{00000000-0005-0000-0000-0000A44A0000}"/>
    <cellStyle name="Normal 2 2 8 4 2 2 5 2" xfId="37012" xr:uid="{00000000-0005-0000-0000-0000A54A0000}"/>
    <cellStyle name="Normal 2 2 8 4 2 2 6" xfId="37013" xr:uid="{00000000-0005-0000-0000-0000A64A0000}"/>
    <cellStyle name="Normal 2 2 8 4 2 2 6 2" xfId="37014" xr:uid="{00000000-0005-0000-0000-0000A74A0000}"/>
    <cellStyle name="Normal 2 2 8 4 2 2 7" xfId="37015" xr:uid="{00000000-0005-0000-0000-0000A84A0000}"/>
    <cellStyle name="Normal 2 2 8 4 2 3" xfId="8024" xr:uid="{00000000-0005-0000-0000-0000A94A0000}"/>
    <cellStyle name="Normal 2 2 8 4 2 3 2" xfId="8025" xr:uid="{00000000-0005-0000-0000-0000AA4A0000}"/>
    <cellStyle name="Normal 2 2 8 4 2 3 2 2" xfId="37016" xr:uid="{00000000-0005-0000-0000-0000AB4A0000}"/>
    <cellStyle name="Normal 2 2 8 4 2 3 3" xfId="8026" xr:uid="{00000000-0005-0000-0000-0000AC4A0000}"/>
    <cellStyle name="Normal 2 2 8 4 2 3 3 2" xfId="37017" xr:uid="{00000000-0005-0000-0000-0000AD4A0000}"/>
    <cellStyle name="Normal 2 2 8 4 2 3 4" xfId="37018" xr:uid="{00000000-0005-0000-0000-0000AE4A0000}"/>
    <cellStyle name="Normal 2 2 8 4 2 4" xfId="8027" xr:uid="{00000000-0005-0000-0000-0000AF4A0000}"/>
    <cellStyle name="Normal 2 2 8 4 2 4 2" xfId="8028" xr:uid="{00000000-0005-0000-0000-0000B04A0000}"/>
    <cellStyle name="Normal 2 2 8 4 2 4 2 2" xfId="37019" xr:uid="{00000000-0005-0000-0000-0000B14A0000}"/>
    <cellStyle name="Normal 2 2 8 4 2 4 3" xfId="37020" xr:uid="{00000000-0005-0000-0000-0000B24A0000}"/>
    <cellStyle name="Normal 2 2 8 4 2 5" xfId="8029" xr:uid="{00000000-0005-0000-0000-0000B34A0000}"/>
    <cellStyle name="Normal 2 2 8 4 2 5 2" xfId="37021" xr:uid="{00000000-0005-0000-0000-0000B44A0000}"/>
    <cellStyle name="Normal 2 2 8 4 2 6" xfId="8030" xr:uid="{00000000-0005-0000-0000-0000B54A0000}"/>
    <cellStyle name="Normal 2 2 8 4 2 6 2" xfId="37022" xr:uid="{00000000-0005-0000-0000-0000B64A0000}"/>
    <cellStyle name="Normal 2 2 8 4 2 7" xfId="37023" xr:uid="{00000000-0005-0000-0000-0000B74A0000}"/>
    <cellStyle name="Normal 2 2 8 4 2 7 2" xfId="37024" xr:uid="{00000000-0005-0000-0000-0000B84A0000}"/>
    <cellStyle name="Normal 2 2 8 4 2 8" xfId="37025" xr:uid="{00000000-0005-0000-0000-0000B94A0000}"/>
    <cellStyle name="Normal 2 2 8 4 2 9" xfId="37026" xr:uid="{00000000-0005-0000-0000-0000BA4A0000}"/>
    <cellStyle name="Normal 2 2 8 4 3" xfId="8031" xr:uid="{00000000-0005-0000-0000-0000BB4A0000}"/>
    <cellStyle name="Normal 2 2 8 4 3 2" xfId="8032" xr:uid="{00000000-0005-0000-0000-0000BC4A0000}"/>
    <cellStyle name="Normal 2 2 8 4 3 2 2" xfId="8033" xr:uid="{00000000-0005-0000-0000-0000BD4A0000}"/>
    <cellStyle name="Normal 2 2 8 4 3 2 2 2" xfId="37027" xr:uid="{00000000-0005-0000-0000-0000BE4A0000}"/>
    <cellStyle name="Normal 2 2 8 4 3 2 3" xfId="8034" xr:uid="{00000000-0005-0000-0000-0000BF4A0000}"/>
    <cellStyle name="Normal 2 2 8 4 3 2 3 2" xfId="37028" xr:uid="{00000000-0005-0000-0000-0000C04A0000}"/>
    <cellStyle name="Normal 2 2 8 4 3 2 4" xfId="37029" xr:uid="{00000000-0005-0000-0000-0000C14A0000}"/>
    <cellStyle name="Normal 2 2 8 4 3 3" xfId="8035" xr:uid="{00000000-0005-0000-0000-0000C24A0000}"/>
    <cellStyle name="Normal 2 2 8 4 3 3 2" xfId="37030" xr:uid="{00000000-0005-0000-0000-0000C34A0000}"/>
    <cellStyle name="Normal 2 2 8 4 3 4" xfId="8036" xr:uid="{00000000-0005-0000-0000-0000C44A0000}"/>
    <cellStyle name="Normal 2 2 8 4 3 4 2" xfId="37031" xr:uid="{00000000-0005-0000-0000-0000C54A0000}"/>
    <cellStyle name="Normal 2 2 8 4 3 5" xfId="8037" xr:uid="{00000000-0005-0000-0000-0000C64A0000}"/>
    <cellStyle name="Normal 2 2 8 4 3 5 2" xfId="37032" xr:uid="{00000000-0005-0000-0000-0000C74A0000}"/>
    <cellStyle name="Normal 2 2 8 4 3 6" xfId="37033" xr:uid="{00000000-0005-0000-0000-0000C84A0000}"/>
    <cellStyle name="Normal 2 2 8 4 3 6 2" xfId="37034" xr:uid="{00000000-0005-0000-0000-0000C94A0000}"/>
    <cellStyle name="Normal 2 2 8 4 3 7" xfId="37035" xr:uid="{00000000-0005-0000-0000-0000CA4A0000}"/>
    <cellStyle name="Normal 2 2 8 4 4" xfId="8038" xr:uid="{00000000-0005-0000-0000-0000CB4A0000}"/>
    <cellStyle name="Normal 2 2 8 4 4 2" xfId="8039" xr:uid="{00000000-0005-0000-0000-0000CC4A0000}"/>
    <cellStyle name="Normal 2 2 8 4 4 2 2" xfId="37036" xr:uid="{00000000-0005-0000-0000-0000CD4A0000}"/>
    <cellStyle name="Normal 2 2 8 4 4 3" xfId="8040" xr:uid="{00000000-0005-0000-0000-0000CE4A0000}"/>
    <cellStyle name="Normal 2 2 8 4 4 3 2" xfId="37037" xr:uid="{00000000-0005-0000-0000-0000CF4A0000}"/>
    <cellStyle name="Normal 2 2 8 4 4 4" xfId="37038" xr:uid="{00000000-0005-0000-0000-0000D04A0000}"/>
    <cellStyle name="Normal 2 2 8 4 5" xfId="8041" xr:uid="{00000000-0005-0000-0000-0000D14A0000}"/>
    <cellStyle name="Normal 2 2 8 4 5 2" xfId="8042" xr:uid="{00000000-0005-0000-0000-0000D24A0000}"/>
    <cellStyle name="Normal 2 2 8 4 5 2 2" xfId="37039" xr:uid="{00000000-0005-0000-0000-0000D34A0000}"/>
    <cellStyle name="Normal 2 2 8 4 5 3" xfId="37040" xr:uid="{00000000-0005-0000-0000-0000D44A0000}"/>
    <cellStyle name="Normal 2 2 8 4 6" xfId="8043" xr:uid="{00000000-0005-0000-0000-0000D54A0000}"/>
    <cellStyle name="Normal 2 2 8 4 6 2" xfId="37041" xr:uid="{00000000-0005-0000-0000-0000D64A0000}"/>
    <cellStyle name="Normal 2 2 8 4 7" xfId="8044" xr:uid="{00000000-0005-0000-0000-0000D74A0000}"/>
    <cellStyle name="Normal 2 2 8 4 7 2" xfId="37042" xr:uid="{00000000-0005-0000-0000-0000D84A0000}"/>
    <cellStyle name="Normal 2 2 8 4 8" xfId="37043" xr:uid="{00000000-0005-0000-0000-0000D94A0000}"/>
    <cellStyle name="Normal 2 2 8 4 8 2" xfId="37044" xr:uid="{00000000-0005-0000-0000-0000DA4A0000}"/>
    <cellStyle name="Normal 2 2 8 4 9" xfId="37045" xr:uid="{00000000-0005-0000-0000-0000DB4A0000}"/>
    <cellStyle name="Normal 2 2 8 40" xfId="37046" xr:uid="{00000000-0005-0000-0000-0000DC4A0000}"/>
    <cellStyle name="Normal 2 2 8 5" xfId="8045" xr:uid="{00000000-0005-0000-0000-0000DD4A0000}"/>
    <cellStyle name="Normal 2 2 8 5 10" xfId="37047" xr:uid="{00000000-0005-0000-0000-0000DE4A0000}"/>
    <cellStyle name="Normal 2 2 8 5 11" xfId="37048" xr:uid="{00000000-0005-0000-0000-0000DF4A0000}"/>
    <cellStyle name="Normal 2 2 8 5 2" xfId="8046" xr:uid="{00000000-0005-0000-0000-0000E04A0000}"/>
    <cellStyle name="Normal 2 2 8 5 2 10" xfId="37049" xr:uid="{00000000-0005-0000-0000-0000E14A0000}"/>
    <cellStyle name="Normal 2 2 8 5 2 2" xfId="8047" xr:uid="{00000000-0005-0000-0000-0000E24A0000}"/>
    <cellStyle name="Normal 2 2 8 5 2 2 2" xfId="8048" xr:uid="{00000000-0005-0000-0000-0000E34A0000}"/>
    <cellStyle name="Normal 2 2 8 5 2 2 2 2" xfId="8049" xr:uid="{00000000-0005-0000-0000-0000E44A0000}"/>
    <cellStyle name="Normal 2 2 8 5 2 2 2 2 2" xfId="37050" xr:uid="{00000000-0005-0000-0000-0000E54A0000}"/>
    <cellStyle name="Normal 2 2 8 5 2 2 2 3" xfId="8050" xr:uid="{00000000-0005-0000-0000-0000E64A0000}"/>
    <cellStyle name="Normal 2 2 8 5 2 2 2 3 2" xfId="37051" xr:uid="{00000000-0005-0000-0000-0000E74A0000}"/>
    <cellStyle name="Normal 2 2 8 5 2 2 2 4" xfId="37052" xr:uid="{00000000-0005-0000-0000-0000E84A0000}"/>
    <cellStyle name="Normal 2 2 8 5 2 2 3" xfId="8051" xr:uid="{00000000-0005-0000-0000-0000E94A0000}"/>
    <cellStyle name="Normal 2 2 8 5 2 2 3 2" xfId="37053" xr:uid="{00000000-0005-0000-0000-0000EA4A0000}"/>
    <cellStyle name="Normal 2 2 8 5 2 2 4" xfId="8052" xr:uid="{00000000-0005-0000-0000-0000EB4A0000}"/>
    <cellStyle name="Normal 2 2 8 5 2 2 4 2" xfId="37054" xr:uid="{00000000-0005-0000-0000-0000EC4A0000}"/>
    <cellStyle name="Normal 2 2 8 5 2 2 5" xfId="8053" xr:uid="{00000000-0005-0000-0000-0000ED4A0000}"/>
    <cellStyle name="Normal 2 2 8 5 2 2 5 2" xfId="37055" xr:uid="{00000000-0005-0000-0000-0000EE4A0000}"/>
    <cellStyle name="Normal 2 2 8 5 2 2 6" xfId="37056" xr:uid="{00000000-0005-0000-0000-0000EF4A0000}"/>
    <cellStyle name="Normal 2 2 8 5 2 2 6 2" xfId="37057" xr:uid="{00000000-0005-0000-0000-0000F04A0000}"/>
    <cellStyle name="Normal 2 2 8 5 2 2 7" xfId="37058" xr:uid="{00000000-0005-0000-0000-0000F14A0000}"/>
    <cellStyle name="Normal 2 2 8 5 2 3" xfId="8054" xr:uid="{00000000-0005-0000-0000-0000F24A0000}"/>
    <cellStyle name="Normal 2 2 8 5 2 3 2" xfId="8055" xr:uid="{00000000-0005-0000-0000-0000F34A0000}"/>
    <cellStyle name="Normal 2 2 8 5 2 3 2 2" xfId="37059" xr:uid="{00000000-0005-0000-0000-0000F44A0000}"/>
    <cellStyle name="Normal 2 2 8 5 2 3 3" xfId="8056" xr:uid="{00000000-0005-0000-0000-0000F54A0000}"/>
    <cellStyle name="Normal 2 2 8 5 2 3 3 2" xfId="37060" xr:uid="{00000000-0005-0000-0000-0000F64A0000}"/>
    <cellStyle name="Normal 2 2 8 5 2 3 4" xfId="37061" xr:uid="{00000000-0005-0000-0000-0000F74A0000}"/>
    <cellStyle name="Normal 2 2 8 5 2 4" xfId="8057" xr:uid="{00000000-0005-0000-0000-0000F84A0000}"/>
    <cellStyle name="Normal 2 2 8 5 2 4 2" xfId="8058" xr:uid="{00000000-0005-0000-0000-0000F94A0000}"/>
    <cellStyle name="Normal 2 2 8 5 2 4 2 2" xfId="37062" xr:uid="{00000000-0005-0000-0000-0000FA4A0000}"/>
    <cellStyle name="Normal 2 2 8 5 2 4 3" xfId="37063" xr:uid="{00000000-0005-0000-0000-0000FB4A0000}"/>
    <cellStyle name="Normal 2 2 8 5 2 5" xfId="8059" xr:uid="{00000000-0005-0000-0000-0000FC4A0000}"/>
    <cellStyle name="Normal 2 2 8 5 2 5 2" xfId="37064" xr:uid="{00000000-0005-0000-0000-0000FD4A0000}"/>
    <cellStyle name="Normal 2 2 8 5 2 6" xfId="8060" xr:uid="{00000000-0005-0000-0000-0000FE4A0000}"/>
    <cellStyle name="Normal 2 2 8 5 2 6 2" xfId="37065" xr:uid="{00000000-0005-0000-0000-0000FF4A0000}"/>
    <cellStyle name="Normal 2 2 8 5 2 7" xfId="37066" xr:uid="{00000000-0005-0000-0000-0000004B0000}"/>
    <cellStyle name="Normal 2 2 8 5 2 7 2" xfId="37067" xr:uid="{00000000-0005-0000-0000-0000014B0000}"/>
    <cellStyle name="Normal 2 2 8 5 2 8" xfId="37068" xr:uid="{00000000-0005-0000-0000-0000024B0000}"/>
    <cellStyle name="Normal 2 2 8 5 2 9" xfId="37069" xr:uid="{00000000-0005-0000-0000-0000034B0000}"/>
    <cellStyle name="Normal 2 2 8 5 3" xfId="8061" xr:uid="{00000000-0005-0000-0000-0000044B0000}"/>
    <cellStyle name="Normal 2 2 8 5 3 2" xfId="8062" xr:uid="{00000000-0005-0000-0000-0000054B0000}"/>
    <cellStyle name="Normal 2 2 8 5 3 2 2" xfId="8063" xr:uid="{00000000-0005-0000-0000-0000064B0000}"/>
    <cellStyle name="Normal 2 2 8 5 3 2 2 2" xfId="37070" xr:uid="{00000000-0005-0000-0000-0000074B0000}"/>
    <cellStyle name="Normal 2 2 8 5 3 2 3" xfId="8064" xr:uid="{00000000-0005-0000-0000-0000084B0000}"/>
    <cellStyle name="Normal 2 2 8 5 3 2 3 2" xfId="37071" xr:uid="{00000000-0005-0000-0000-0000094B0000}"/>
    <cellStyle name="Normal 2 2 8 5 3 2 4" xfId="37072" xr:uid="{00000000-0005-0000-0000-00000A4B0000}"/>
    <cellStyle name="Normal 2 2 8 5 3 3" xfId="8065" xr:uid="{00000000-0005-0000-0000-00000B4B0000}"/>
    <cellStyle name="Normal 2 2 8 5 3 3 2" xfId="37073" xr:uid="{00000000-0005-0000-0000-00000C4B0000}"/>
    <cellStyle name="Normal 2 2 8 5 3 4" xfId="8066" xr:uid="{00000000-0005-0000-0000-00000D4B0000}"/>
    <cellStyle name="Normal 2 2 8 5 3 4 2" xfId="37074" xr:uid="{00000000-0005-0000-0000-00000E4B0000}"/>
    <cellStyle name="Normal 2 2 8 5 3 5" xfId="8067" xr:uid="{00000000-0005-0000-0000-00000F4B0000}"/>
    <cellStyle name="Normal 2 2 8 5 3 5 2" xfId="37075" xr:uid="{00000000-0005-0000-0000-0000104B0000}"/>
    <cellStyle name="Normal 2 2 8 5 3 6" xfId="37076" xr:uid="{00000000-0005-0000-0000-0000114B0000}"/>
    <cellStyle name="Normal 2 2 8 5 3 6 2" xfId="37077" xr:uid="{00000000-0005-0000-0000-0000124B0000}"/>
    <cellStyle name="Normal 2 2 8 5 3 7" xfId="37078" xr:uid="{00000000-0005-0000-0000-0000134B0000}"/>
    <cellStyle name="Normal 2 2 8 5 4" xfId="8068" xr:uid="{00000000-0005-0000-0000-0000144B0000}"/>
    <cellStyle name="Normal 2 2 8 5 4 2" xfId="8069" xr:uid="{00000000-0005-0000-0000-0000154B0000}"/>
    <cellStyle name="Normal 2 2 8 5 4 2 2" xfId="37079" xr:uid="{00000000-0005-0000-0000-0000164B0000}"/>
    <cellStyle name="Normal 2 2 8 5 4 3" xfId="8070" xr:uid="{00000000-0005-0000-0000-0000174B0000}"/>
    <cellStyle name="Normal 2 2 8 5 4 3 2" xfId="37080" xr:uid="{00000000-0005-0000-0000-0000184B0000}"/>
    <cellStyle name="Normal 2 2 8 5 4 4" xfId="37081" xr:uid="{00000000-0005-0000-0000-0000194B0000}"/>
    <cellStyle name="Normal 2 2 8 5 5" xfId="8071" xr:uid="{00000000-0005-0000-0000-00001A4B0000}"/>
    <cellStyle name="Normal 2 2 8 5 5 2" xfId="8072" xr:uid="{00000000-0005-0000-0000-00001B4B0000}"/>
    <cellStyle name="Normal 2 2 8 5 5 2 2" xfId="37082" xr:uid="{00000000-0005-0000-0000-00001C4B0000}"/>
    <cellStyle name="Normal 2 2 8 5 5 3" xfId="37083" xr:uid="{00000000-0005-0000-0000-00001D4B0000}"/>
    <cellStyle name="Normal 2 2 8 5 6" xfId="8073" xr:uid="{00000000-0005-0000-0000-00001E4B0000}"/>
    <cellStyle name="Normal 2 2 8 5 6 2" xfId="37084" xr:uid="{00000000-0005-0000-0000-00001F4B0000}"/>
    <cellStyle name="Normal 2 2 8 5 7" xfId="8074" xr:uid="{00000000-0005-0000-0000-0000204B0000}"/>
    <cellStyle name="Normal 2 2 8 5 7 2" xfId="37085" xr:uid="{00000000-0005-0000-0000-0000214B0000}"/>
    <cellStyle name="Normal 2 2 8 5 8" xfId="37086" xr:uid="{00000000-0005-0000-0000-0000224B0000}"/>
    <cellStyle name="Normal 2 2 8 5 8 2" xfId="37087" xr:uid="{00000000-0005-0000-0000-0000234B0000}"/>
    <cellStyle name="Normal 2 2 8 5 9" xfId="37088" xr:uid="{00000000-0005-0000-0000-0000244B0000}"/>
    <cellStyle name="Normal 2 2 8 6" xfId="8075" xr:uid="{00000000-0005-0000-0000-0000254B0000}"/>
    <cellStyle name="Normal 2 2 8 6 10" xfId="37089" xr:uid="{00000000-0005-0000-0000-0000264B0000}"/>
    <cellStyle name="Normal 2 2 8 6 11" xfId="37090" xr:uid="{00000000-0005-0000-0000-0000274B0000}"/>
    <cellStyle name="Normal 2 2 8 6 2" xfId="8076" xr:uid="{00000000-0005-0000-0000-0000284B0000}"/>
    <cellStyle name="Normal 2 2 8 6 2 10" xfId="37091" xr:uid="{00000000-0005-0000-0000-0000294B0000}"/>
    <cellStyle name="Normal 2 2 8 6 2 2" xfId="8077" xr:uid="{00000000-0005-0000-0000-00002A4B0000}"/>
    <cellStyle name="Normal 2 2 8 6 2 2 2" xfId="8078" xr:uid="{00000000-0005-0000-0000-00002B4B0000}"/>
    <cellStyle name="Normal 2 2 8 6 2 2 2 2" xfId="8079" xr:uid="{00000000-0005-0000-0000-00002C4B0000}"/>
    <cellStyle name="Normal 2 2 8 6 2 2 2 2 2" xfId="37092" xr:uid="{00000000-0005-0000-0000-00002D4B0000}"/>
    <cellStyle name="Normal 2 2 8 6 2 2 2 3" xfId="8080" xr:uid="{00000000-0005-0000-0000-00002E4B0000}"/>
    <cellStyle name="Normal 2 2 8 6 2 2 2 3 2" xfId="37093" xr:uid="{00000000-0005-0000-0000-00002F4B0000}"/>
    <cellStyle name="Normal 2 2 8 6 2 2 2 4" xfId="37094" xr:uid="{00000000-0005-0000-0000-0000304B0000}"/>
    <cellStyle name="Normal 2 2 8 6 2 2 3" xfId="8081" xr:uid="{00000000-0005-0000-0000-0000314B0000}"/>
    <cellStyle name="Normal 2 2 8 6 2 2 3 2" xfId="37095" xr:uid="{00000000-0005-0000-0000-0000324B0000}"/>
    <cellStyle name="Normal 2 2 8 6 2 2 4" xfId="8082" xr:uid="{00000000-0005-0000-0000-0000334B0000}"/>
    <cellStyle name="Normal 2 2 8 6 2 2 4 2" xfId="37096" xr:uid="{00000000-0005-0000-0000-0000344B0000}"/>
    <cellStyle name="Normal 2 2 8 6 2 2 5" xfId="8083" xr:uid="{00000000-0005-0000-0000-0000354B0000}"/>
    <cellStyle name="Normal 2 2 8 6 2 2 5 2" xfId="37097" xr:uid="{00000000-0005-0000-0000-0000364B0000}"/>
    <cellStyle name="Normal 2 2 8 6 2 2 6" xfId="37098" xr:uid="{00000000-0005-0000-0000-0000374B0000}"/>
    <cellStyle name="Normal 2 2 8 6 2 2 6 2" xfId="37099" xr:uid="{00000000-0005-0000-0000-0000384B0000}"/>
    <cellStyle name="Normal 2 2 8 6 2 2 7" xfId="37100" xr:uid="{00000000-0005-0000-0000-0000394B0000}"/>
    <cellStyle name="Normal 2 2 8 6 2 3" xfId="8084" xr:uid="{00000000-0005-0000-0000-00003A4B0000}"/>
    <cellStyle name="Normal 2 2 8 6 2 3 2" xfId="8085" xr:uid="{00000000-0005-0000-0000-00003B4B0000}"/>
    <cellStyle name="Normal 2 2 8 6 2 3 2 2" xfId="37101" xr:uid="{00000000-0005-0000-0000-00003C4B0000}"/>
    <cellStyle name="Normal 2 2 8 6 2 3 3" xfId="8086" xr:uid="{00000000-0005-0000-0000-00003D4B0000}"/>
    <cellStyle name="Normal 2 2 8 6 2 3 3 2" xfId="37102" xr:uid="{00000000-0005-0000-0000-00003E4B0000}"/>
    <cellStyle name="Normal 2 2 8 6 2 3 4" xfId="37103" xr:uid="{00000000-0005-0000-0000-00003F4B0000}"/>
    <cellStyle name="Normal 2 2 8 6 2 4" xfId="8087" xr:uid="{00000000-0005-0000-0000-0000404B0000}"/>
    <cellStyle name="Normal 2 2 8 6 2 4 2" xfId="8088" xr:uid="{00000000-0005-0000-0000-0000414B0000}"/>
    <cellStyle name="Normal 2 2 8 6 2 4 2 2" xfId="37104" xr:uid="{00000000-0005-0000-0000-0000424B0000}"/>
    <cellStyle name="Normal 2 2 8 6 2 4 3" xfId="37105" xr:uid="{00000000-0005-0000-0000-0000434B0000}"/>
    <cellStyle name="Normal 2 2 8 6 2 5" xfId="8089" xr:uid="{00000000-0005-0000-0000-0000444B0000}"/>
    <cellStyle name="Normal 2 2 8 6 2 5 2" xfId="37106" xr:uid="{00000000-0005-0000-0000-0000454B0000}"/>
    <cellStyle name="Normal 2 2 8 6 2 6" xfId="8090" xr:uid="{00000000-0005-0000-0000-0000464B0000}"/>
    <cellStyle name="Normal 2 2 8 6 2 6 2" xfId="37107" xr:uid="{00000000-0005-0000-0000-0000474B0000}"/>
    <cellStyle name="Normal 2 2 8 6 2 7" xfId="37108" xr:uid="{00000000-0005-0000-0000-0000484B0000}"/>
    <cellStyle name="Normal 2 2 8 6 2 7 2" xfId="37109" xr:uid="{00000000-0005-0000-0000-0000494B0000}"/>
    <cellStyle name="Normal 2 2 8 6 2 8" xfId="37110" xr:uid="{00000000-0005-0000-0000-00004A4B0000}"/>
    <cellStyle name="Normal 2 2 8 6 2 9" xfId="37111" xr:uid="{00000000-0005-0000-0000-00004B4B0000}"/>
    <cellStyle name="Normal 2 2 8 6 3" xfId="8091" xr:uid="{00000000-0005-0000-0000-00004C4B0000}"/>
    <cellStyle name="Normal 2 2 8 6 3 2" xfId="8092" xr:uid="{00000000-0005-0000-0000-00004D4B0000}"/>
    <cellStyle name="Normal 2 2 8 6 3 2 2" xfId="8093" xr:uid="{00000000-0005-0000-0000-00004E4B0000}"/>
    <cellStyle name="Normal 2 2 8 6 3 2 2 2" xfId="37112" xr:uid="{00000000-0005-0000-0000-00004F4B0000}"/>
    <cellStyle name="Normal 2 2 8 6 3 2 3" xfId="8094" xr:uid="{00000000-0005-0000-0000-0000504B0000}"/>
    <cellStyle name="Normal 2 2 8 6 3 2 3 2" xfId="37113" xr:uid="{00000000-0005-0000-0000-0000514B0000}"/>
    <cellStyle name="Normal 2 2 8 6 3 2 4" xfId="37114" xr:uid="{00000000-0005-0000-0000-0000524B0000}"/>
    <cellStyle name="Normal 2 2 8 6 3 3" xfId="8095" xr:uid="{00000000-0005-0000-0000-0000534B0000}"/>
    <cellStyle name="Normal 2 2 8 6 3 3 2" xfId="37115" xr:uid="{00000000-0005-0000-0000-0000544B0000}"/>
    <cellStyle name="Normal 2 2 8 6 3 4" xfId="8096" xr:uid="{00000000-0005-0000-0000-0000554B0000}"/>
    <cellStyle name="Normal 2 2 8 6 3 4 2" xfId="37116" xr:uid="{00000000-0005-0000-0000-0000564B0000}"/>
    <cellStyle name="Normal 2 2 8 6 3 5" xfId="8097" xr:uid="{00000000-0005-0000-0000-0000574B0000}"/>
    <cellStyle name="Normal 2 2 8 6 3 5 2" xfId="37117" xr:uid="{00000000-0005-0000-0000-0000584B0000}"/>
    <cellStyle name="Normal 2 2 8 6 3 6" xfId="37118" xr:uid="{00000000-0005-0000-0000-0000594B0000}"/>
    <cellStyle name="Normal 2 2 8 6 3 6 2" xfId="37119" xr:uid="{00000000-0005-0000-0000-00005A4B0000}"/>
    <cellStyle name="Normal 2 2 8 6 3 7" xfId="37120" xr:uid="{00000000-0005-0000-0000-00005B4B0000}"/>
    <cellStyle name="Normal 2 2 8 6 4" xfId="8098" xr:uid="{00000000-0005-0000-0000-00005C4B0000}"/>
    <cellStyle name="Normal 2 2 8 6 4 2" xfId="8099" xr:uid="{00000000-0005-0000-0000-00005D4B0000}"/>
    <cellStyle name="Normal 2 2 8 6 4 2 2" xfId="37121" xr:uid="{00000000-0005-0000-0000-00005E4B0000}"/>
    <cellStyle name="Normal 2 2 8 6 4 3" xfId="8100" xr:uid="{00000000-0005-0000-0000-00005F4B0000}"/>
    <cellStyle name="Normal 2 2 8 6 4 3 2" xfId="37122" xr:uid="{00000000-0005-0000-0000-0000604B0000}"/>
    <cellStyle name="Normal 2 2 8 6 4 4" xfId="37123" xr:uid="{00000000-0005-0000-0000-0000614B0000}"/>
    <cellStyle name="Normal 2 2 8 6 5" xfId="8101" xr:uid="{00000000-0005-0000-0000-0000624B0000}"/>
    <cellStyle name="Normal 2 2 8 6 5 2" xfId="8102" xr:uid="{00000000-0005-0000-0000-0000634B0000}"/>
    <cellStyle name="Normal 2 2 8 6 5 2 2" xfId="37124" xr:uid="{00000000-0005-0000-0000-0000644B0000}"/>
    <cellStyle name="Normal 2 2 8 6 5 3" xfId="37125" xr:uid="{00000000-0005-0000-0000-0000654B0000}"/>
    <cellStyle name="Normal 2 2 8 6 6" xfId="8103" xr:uid="{00000000-0005-0000-0000-0000664B0000}"/>
    <cellStyle name="Normal 2 2 8 6 6 2" xfId="37126" xr:uid="{00000000-0005-0000-0000-0000674B0000}"/>
    <cellStyle name="Normal 2 2 8 6 7" xfId="8104" xr:uid="{00000000-0005-0000-0000-0000684B0000}"/>
    <cellStyle name="Normal 2 2 8 6 7 2" xfId="37127" xr:uid="{00000000-0005-0000-0000-0000694B0000}"/>
    <cellStyle name="Normal 2 2 8 6 8" xfId="37128" xr:uid="{00000000-0005-0000-0000-00006A4B0000}"/>
    <cellStyle name="Normal 2 2 8 6 8 2" xfId="37129" xr:uid="{00000000-0005-0000-0000-00006B4B0000}"/>
    <cellStyle name="Normal 2 2 8 6 9" xfId="37130" xr:uid="{00000000-0005-0000-0000-00006C4B0000}"/>
    <cellStyle name="Normal 2 2 8 7" xfId="8105" xr:uid="{00000000-0005-0000-0000-00006D4B0000}"/>
    <cellStyle name="Normal 2 2 8 7 10" xfId="37131" xr:uid="{00000000-0005-0000-0000-00006E4B0000}"/>
    <cellStyle name="Normal 2 2 8 7 11" xfId="37132" xr:uid="{00000000-0005-0000-0000-00006F4B0000}"/>
    <cellStyle name="Normal 2 2 8 7 2" xfId="8106" xr:uid="{00000000-0005-0000-0000-0000704B0000}"/>
    <cellStyle name="Normal 2 2 8 7 2 10" xfId="37133" xr:uid="{00000000-0005-0000-0000-0000714B0000}"/>
    <cellStyle name="Normal 2 2 8 7 2 2" xfId="8107" xr:uid="{00000000-0005-0000-0000-0000724B0000}"/>
    <cellStyle name="Normal 2 2 8 7 2 2 2" xfId="8108" xr:uid="{00000000-0005-0000-0000-0000734B0000}"/>
    <cellStyle name="Normal 2 2 8 7 2 2 2 2" xfId="8109" xr:uid="{00000000-0005-0000-0000-0000744B0000}"/>
    <cellStyle name="Normal 2 2 8 7 2 2 2 2 2" xfId="37134" xr:uid="{00000000-0005-0000-0000-0000754B0000}"/>
    <cellStyle name="Normal 2 2 8 7 2 2 2 3" xfId="8110" xr:uid="{00000000-0005-0000-0000-0000764B0000}"/>
    <cellStyle name="Normal 2 2 8 7 2 2 2 3 2" xfId="37135" xr:uid="{00000000-0005-0000-0000-0000774B0000}"/>
    <cellStyle name="Normal 2 2 8 7 2 2 2 4" xfId="37136" xr:uid="{00000000-0005-0000-0000-0000784B0000}"/>
    <cellStyle name="Normal 2 2 8 7 2 2 3" xfId="8111" xr:uid="{00000000-0005-0000-0000-0000794B0000}"/>
    <cellStyle name="Normal 2 2 8 7 2 2 3 2" xfId="37137" xr:uid="{00000000-0005-0000-0000-00007A4B0000}"/>
    <cellStyle name="Normal 2 2 8 7 2 2 4" xfId="8112" xr:uid="{00000000-0005-0000-0000-00007B4B0000}"/>
    <cellStyle name="Normal 2 2 8 7 2 2 4 2" xfId="37138" xr:uid="{00000000-0005-0000-0000-00007C4B0000}"/>
    <cellStyle name="Normal 2 2 8 7 2 2 5" xfId="8113" xr:uid="{00000000-0005-0000-0000-00007D4B0000}"/>
    <cellStyle name="Normal 2 2 8 7 2 2 5 2" xfId="37139" xr:uid="{00000000-0005-0000-0000-00007E4B0000}"/>
    <cellStyle name="Normal 2 2 8 7 2 2 6" xfId="37140" xr:uid="{00000000-0005-0000-0000-00007F4B0000}"/>
    <cellStyle name="Normal 2 2 8 7 2 2 6 2" xfId="37141" xr:uid="{00000000-0005-0000-0000-0000804B0000}"/>
    <cellStyle name="Normal 2 2 8 7 2 2 7" xfId="37142" xr:uid="{00000000-0005-0000-0000-0000814B0000}"/>
    <cellStyle name="Normal 2 2 8 7 2 3" xfId="8114" xr:uid="{00000000-0005-0000-0000-0000824B0000}"/>
    <cellStyle name="Normal 2 2 8 7 2 3 2" xfId="8115" xr:uid="{00000000-0005-0000-0000-0000834B0000}"/>
    <cellStyle name="Normal 2 2 8 7 2 3 2 2" xfId="37143" xr:uid="{00000000-0005-0000-0000-0000844B0000}"/>
    <cellStyle name="Normal 2 2 8 7 2 3 3" xfId="8116" xr:uid="{00000000-0005-0000-0000-0000854B0000}"/>
    <cellStyle name="Normal 2 2 8 7 2 3 3 2" xfId="37144" xr:uid="{00000000-0005-0000-0000-0000864B0000}"/>
    <cellStyle name="Normal 2 2 8 7 2 3 4" xfId="37145" xr:uid="{00000000-0005-0000-0000-0000874B0000}"/>
    <cellStyle name="Normal 2 2 8 7 2 4" xfId="8117" xr:uid="{00000000-0005-0000-0000-0000884B0000}"/>
    <cellStyle name="Normal 2 2 8 7 2 4 2" xfId="8118" xr:uid="{00000000-0005-0000-0000-0000894B0000}"/>
    <cellStyle name="Normal 2 2 8 7 2 4 2 2" xfId="37146" xr:uid="{00000000-0005-0000-0000-00008A4B0000}"/>
    <cellStyle name="Normal 2 2 8 7 2 4 3" xfId="37147" xr:uid="{00000000-0005-0000-0000-00008B4B0000}"/>
    <cellStyle name="Normal 2 2 8 7 2 5" xfId="8119" xr:uid="{00000000-0005-0000-0000-00008C4B0000}"/>
    <cellStyle name="Normal 2 2 8 7 2 5 2" xfId="37148" xr:uid="{00000000-0005-0000-0000-00008D4B0000}"/>
    <cellStyle name="Normal 2 2 8 7 2 6" xfId="8120" xr:uid="{00000000-0005-0000-0000-00008E4B0000}"/>
    <cellStyle name="Normal 2 2 8 7 2 6 2" xfId="37149" xr:uid="{00000000-0005-0000-0000-00008F4B0000}"/>
    <cellStyle name="Normal 2 2 8 7 2 7" xfId="37150" xr:uid="{00000000-0005-0000-0000-0000904B0000}"/>
    <cellStyle name="Normal 2 2 8 7 2 7 2" xfId="37151" xr:uid="{00000000-0005-0000-0000-0000914B0000}"/>
    <cellStyle name="Normal 2 2 8 7 2 8" xfId="37152" xr:uid="{00000000-0005-0000-0000-0000924B0000}"/>
    <cellStyle name="Normal 2 2 8 7 2 9" xfId="37153" xr:uid="{00000000-0005-0000-0000-0000934B0000}"/>
    <cellStyle name="Normal 2 2 8 7 3" xfId="8121" xr:uid="{00000000-0005-0000-0000-0000944B0000}"/>
    <cellStyle name="Normal 2 2 8 7 3 2" xfId="8122" xr:uid="{00000000-0005-0000-0000-0000954B0000}"/>
    <cellStyle name="Normal 2 2 8 7 3 2 2" xfId="8123" xr:uid="{00000000-0005-0000-0000-0000964B0000}"/>
    <cellStyle name="Normal 2 2 8 7 3 2 2 2" xfId="37154" xr:uid="{00000000-0005-0000-0000-0000974B0000}"/>
    <cellStyle name="Normal 2 2 8 7 3 2 3" xfId="8124" xr:uid="{00000000-0005-0000-0000-0000984B0000}"/>
    <cellStyle name="Normal 2 2 8 7 3 2 3 2" xfId="37155" xr:uid="{00000000-0005-0000-0000-0000994B0000}"/>
    <cellStyle name="Normal 2 2 8 7 3 2 4" xfId="37156" xr:uid="{00000000-0005-0000-0000-00009A4B0000}"/>
    <cellStyle name="Normal 2 2 8 7 3 3" xfId="8125" xr:uid="{00000000-0005-0000-0000-00009B4B0000}"/>
    <cellStyle name="Normal 2 2 8 7 3 3 2" xfId="37157" xr:uid="{00000000-0005-0000-0000-00009C4B0000}"/>
    <cellStyle name="Normal 2 2 8 7 3 4" xfId="8126" xr:uid="{00000000-0005-0000-0000-00009D4B0000}"/>
    <cellStyle name="Normal 2 2 8 7 3 4 2" xfId="37158" xr:uid="{00000000-0005-0000-0000-00009E4B0000}"/>
    <cellStyle name="Normal 2 2 8 7 3 5" xfId="8127" xr:uid="{00000000-0005-0000-0000-00009F4B0000}"/>
    <cellStyle name="Normal 2 2 8 7 3 5 2" xfId="37159" xr:uid="{00000000-0005-0000-0000-0000A04B0000}"/>
    <cellStyle name="Normal 2 2 8 7 3 6" xfId="37160" xr:uid="{00000000-0005-0000-0000-0000A14B0000}"/>
    <cellStyle name="Normal 2 2 8 7 3 6 2" xfId="37161" xr:uid="{00000000-0005-0000-0000-0000A24B0000}"/>
    <cellStyle name="Normal 2 2 8 7 3 7" xfId="37162" xr:uid="{00000000-0005-0000-0000-0000A34B0000}"/>
    <cellStyle name="Normal 2 2 8 7 4" xfId="8128" xr:uid="{00000000-0005-0000-0000-0000A44B0000}"/>
    <cellStyle name="Normal 2 2 8 7 4 2" xfId="8129" xr:uid="{00000000-0005-0000-0000-0000A54B0000}"/>
    <cellStyle name="Normal 2 2 8 7 4 2 2" xfId="37163" xr:uid="{00000000-0005-0000-0000-0000A64B0000}"/>
    <cellStyle name="Normal 2 2 8 7 4 3" xfId="8130" xr:uid="{00000000-0005-0000-0000-0000A74B0000}"/>
    <cellStyle name="Normal 2 2 8 7 4 3 2" xfId="37164" xr:uid="{00000000-0005-0000-0000-0000A84B0000}"/>
    <cellStyle name="Normal 2 2 8 7 4 4" xfId="37165" xr:uid="{00000000-0005-0000-0000-0000A94B0000}"/>
    <cellStyle name="Normal 2 2 8 7 5" xfId="8131" xr:uid="{00000000-0005-0000-0000-0000AA4B0000}"/>
    <cellStyle name="Normal 2 2 8 7 5 2" xfId="8132" xr:uid="{00000000-0005-0000-0000-0000AB4B0000}"/>
    <cellStyle name="Normal 2 2 8 7 5 2 2" xfId="37166" xr:uid="{00000000-0005-0000-0000-0000AC4B0000}"/>
    <cellStyle name="Normal 2 2 8 7 5 3" xfId="37167" xr:uid="{00000000-0005-0000-0000-0000AD4B0000}"/>
    <cellStyle name="Normal 2 2 8 7 6" xfId="8133" xr:uid="{00000000-0005-0000-0000-0000AE4B0000}"/>
    <cellStyle name="Normal 2 2 8 7 6 2" xfId="37168" xr:uid="{00000000-0005-0000-0000-0000AF4B0000}"/>
    <cellStyle name="Normal 2 2 8 7 7" xfId="8134" xr:uid="{00000000-0005-0000-0000-0000B04B0000}"/>
    <cellStyle name="Normal 2 2 8 7 7 2" xfId="37169" xr:uid="{00000000-0005-0000-0000-0000B14B0000}"/>
    <cellStyle name="Normal 2 2 8 7 8" xfId="37170" xr:uid="{00000000-0005-0000-0000-0000B24B0000}"/>
    <cellStyle name="Normal 2 2 8 7 8 2" xfId="37171" xr:uid="{00000000-0005-0000-0000-0000B34B0000}"/>
    <cellStyle name="Normal 2 2 8 7 9" xfId="37172" xr:uid="{00000000-0005-0000-0000-0000B44B0000}"/>
    <cellStyle name="Normal 2 2 8 8" xfId="8135" xr:uid="{00000000-0005-0000-0000-0000B54B0000}"/>
    <cellStyle name="Normal 2 2 8 8 10" xfId="37173" xr:uid="{00000000-0005-0000-0000-0000B64B0000}"/>
    <cellStyle name="Normal 2 2 8 8 11" xfId="37174" xr:uid="{00000000-0005-0000-0000-0000B74B0000}"/>
    <cellStyle name="Normal 2 2 8 8 2" xfId="8136" xr:uid="{00000000-0005-0000-0000-0000B84B0000}"/>
    <cellStyle name="Normal 2 2 8 8 2 10" xfId="37175" xr:uid="{00000000-0005-0000-0000-0000B94B0000}"/>
    <cellStyle name="Normal 2 2 8 8 2 2" xfId="8137" xr:uid="{00000000-0005-0000-0000-0000BA4B0000}"/>
    <cellStyle name="Normal 2 2 8 8 2 2 2" xfId="8138" xr:uid="{00000000-0005-0000-0000-0000BB4B0000}"/>
    <cellStyle name="Normal 2 2 8 8 2 2 2 2" xfId="8139" xr:uid="{00000000-0005-0000-0000-0000BC4B0000}"/>
    <cellStyle name="Normal 2 2 8 8 2 2 2 2 2" xfId="37176" xr:uid="{00000000-0005-0000-0000-0000BD4B0000}"/>
    <cellStyle name="Normal 2 2 8 8 2 2 2 3" xfId="8140" xr:uid="{00000000-0005-0000-0000-0000BE4B0000}"/>
    <cellStyle name="Normal 2 2 8 8 2 2 2 3 2" xfId="37177" xr:uid="{00000000-0005-0000-0000-0000BF4B0000}"/>
    <cellStyle name="Normal 2 2 8 8 2 2 2 4" xfId="37178" xr:uid="{00000000-0005-0000-0000-0000C04B0000}"/>
    <cellStyle name="Normal 2 2 8 8 2 2 3" xfId="8141" xr:uid="{00000000-0005-0000-0000-0000C14B0000}"/>
    <cellStyle name="Normal 2 2 8 8 2 2 3 2" xfId="37179" xr:uid="{00000000-0005-0000-0000-0000C24B0000}"/>
    <cellStyle name="Normal 2 2 8 8 2 2 4" xfId="8142" xr:uid="{00000000-0005-0000-0000-0000C34B0000}"/>
    <cellStyle name="Normal 2 2 8 8 2 2 4 2" xfId="37180" xr:uid="{00000000-0005-0000-0000-0000C44B0000}"/>
    <cellStyle name="Normal 2 2 8 8 2 2 5" xfId="8143" xr:uid="{00000000-0005-0000-0000-0000C54B0000}"/>
    <cellStyle name="Normal 2 2 8 8 2 2 5 2" xfId="37181" xr:uid="{00000000-0005-0000-0000-0000C64B0000}"/>
    <cellStyle name="Normal 2 2 8 8 2 2 6" xfId="37182" xr:uid="{00000000-0005-0000-0000-0000C74B0000}"/>
    <cellStyle name="Normal 2 2 8 8 2 2 6 2" xfId="37183" xr:uid="{00000000-0005-0000-0000-0000C84B0000}"/>
    <cellStyle name="Normal 2 2 8 8 2 2 7" xfId="37184" xr:uid="{00000000-0005-0000-0000-0000C94B0000}"/>
    <cellStyle name="Normal 2 2 8 8 2 3" xfId="8144" xr:uid="{00000000-0005-0000-0000-0000CA4B0000}"/>
    <cellStyle name="Normal 2 2 8 8 2 3 2" xfId="8145" xr:uid="{00000000-0005-0000-0000-0000CB4B0000}"/>
    <cellStyle name="Normal 2 2 8 8 2 3 2 2" xfId="37185" xr:uid="{00000000-0005-0000-0000-0000CC4B0000}"/>
    <cellStyle name="Normal 2 2 8 8 2 3 3" xfId="8146" xr:uid="{00000000-0005-0000-0000-0000CD4B0000}"/>
    <cellStyle name="Normal 2 2 8 8 2 3 3 2" xfId="37186" xr:uid="{00000000-0005-0000-0000-0000CE4B0000}"/>
    <cellStyle name="Normal 2 2 8 8 2 3 4" xfId="37187" xr:uid="{00000000-0005-0000-0000-0000CF4B0000}"/>
    <cellStyle name="Normal 2 2 8 8 2 4" xfId="8147" xr:uid="{00000000-0005-0000-0000-0000D04B0000}"/>
    <cellStyle name="Normal 2 2 8 8 2 4 2" xfId="8148" xr:uid="{00000000-0005-0000-0000-0000D14B0000}"/>
    <cellStyle name="Normal 2 2 8 8 2 4 2 2" xfId="37188" xr:uid="{00000000-0005-0000-0000-0000D24B0000}"/>
    <cellStyle name="Normal 2 2 8 8 2 4 3" xfId="37189" xr:uid="{00000000-0005-0000-0000-0000D34B0000}"/>
    <cellStyle name="Normal 2 2 8 8 2 5" xfId="8149" xr:uid="{00000000-0005-0000-0000-0000D44B0000}"/>
    <cellStyle name="Normal 2 2 8 8 2 5 2" xfId="37190" xr:uid="{00000000-0005-0000-0000-0000D54B0000}"/>
    <cellStyle name="Normal 2 2 8 8 2 6" xfId="8150" xr:uid="{00000000-0005-0000-0000-0000D64B0000}"/>
    <cellStyle name="Normal 2 2 8 8 2 6 2" xfId="37191" xr:uid="{00000000-0005-0000-0000-0000D74B0000}"/>
    <cellStyle name="Normal 2 2 8 8 2 7" xfId="37192" xr:uid="{00000000-0005-0000-0000-0000D84B0000}"/>
    <cellStyle name="Normal 2 2 8 8 2 7 2" xfId="37193" xr:uid="{00000000-0005-0000-0000-0000D94B0000}"/>
    <cellStyle name="Normal 2 2 8 8 2 8" xfId="37194" xr:uid="{00000000-0005-0000-0000-0000DA4B0000}"/>
    <cellStyle name="Normal 2 2 8 8 2 9" xfId="37195" xr:uid="{00000000-0005-0000-0000-0000DB4B0000}"/>
    <cellStyle name="Normal 2 2 8 8 3" xfId="8151" xr:uid="{00000000-0005-0000-0000-0000DC4B0000}"/>
    <cellStyle name="Normal 2 2 8 8 3 2" xfId="8152" xr:uid="{00000000-0005-0000-0000-0000DD4B0000}"/>
    <cellStyle name="Normal 2 2 8 8 3 2 2" xfId="8153" xr:uid="{00000000-0005-0000-0000-0000DE4B0000}"/>
    <cellStyle name="Normal 2 2 8 8 3 2 2 2" xfId="37196" xr:uid="{00000000-0005-0000-0000-0000DF4B0000}"/>
    <cellStyle name="Normal 2 2 8 8 3 2 3" xfId="8154" xr:uid="{00000000-0005-0000-0000-0000E04B0000}"/>
    <cellStyle name="Normal 2 2 8 8 3 2 3 2" xfId="37197" xr:uid="{00000000-0005-0000-0000-0000E14B0000}"/>
    <cellStyle name="Normal 2 2 8 8 3 2 4" xfId="37198" xr:uid="{00000000-0005-0000-0000-0000E24B0000}"/>
    <cellStyle name="Normal 2 2 8 8 3 3" xfId="8155" xr:uid="{00000000-0005-0000-0000-0000E34B0000}"/>
    <cellStyle name="Normal 2 2 8 8 3 3 2" xfId="37199" xr:uid="{00000000-0005-0000-0000-0000E44B0000}"/>
    <cellStyle name="Normal 2 2 8 8 3 4" xfId="8156" xr:uid="{00000000-0005-0000-0000-0000E54B0000}"/>
    <cellStyle name="Normal 2 2 8 8 3 4 2" xfId="37200" xr:uid="{00000000-0005-0000-0000-0000E64B0000}"/>
    <cellStyle name="Normal 2 2 8 8 3 5" xfId="8157" xr:uid="{00000000-0005-0000-0000-0000E74B0000}"/>
    <cellStyle name="Normal 2 2 8 8 3 5 2" xfId="37201" xr:uid="{00000000-0005-0000-0000-0000E84B0000}"/>
    <cellStyle name="Normal 2 2 8 8 3 6" xfId="37202" xr:uid="{00000000-0005-0000-0000-0000E94B0000}"/>
    <cellStyle name="Normal 2 2 8 8 3 6 2" xfId="37203" xr:uid="{00000000-0005-0000-0000-0000EA4B0000}"/>
    <cellStyle name="Normal 2 2 8 8 3 7" xfId="37204" xr:uid="{00000000-0005-0000-0000-0000EB4B0000}"/>
    <cellStyle name="Normal 2 2 8 8 4" xfId="8158" xr:uid="{00000000-0005-0000-0000-0000EC4B0000}"/>
    <cellStyle name="Normal 2 2 8 8 4 2" xfId="8159" xr:uid="{00000000-0005-0000-0000-0000ED4B0000}"/>
    <cellStyle name="Normal 2 2 8 8 4 2 2" xfId="37205" xr:uid="{00000000-0005-0000-0000-0000EE4B0000}"/>
    <cellStyle name="Normal 2 2 8 8 4 3" xfId="8160" xr:uid="{00000000-0005-0000-0000-0000EF4B0000}"/>
    <cellStyle name="Normal 2 2 8 8 4 3 2" xfId="37206" xr:uid="{00000000-0005-0000-0000-0000F04B0000}"/>
    <cellStyle name="Normal 2 2 8 8 4 4" xfId="37207" xr:uid="{00000000-0005-0000-0000-0000F14B0000}"/>
    <cellStyle name="Normal 2 2 8 8 5" xfId="8161" xr:uid="{00000000-0005-0000-0000-0000F24B0000}"/>
    <cellStyle name="Normal 2 2 8 8 5 2" xfId="8162" xr:uid="{00000000-0005-0000-0000-0000F34B0000}"/>
    <cellStyle name="Normal 2 2 8 8 5 2 2" xfId="37208" xr:uid="{00000000-0005-0000-0000-0000F44B0000}"/>
    <cellStyle name="Normal 2 2 8 8 5 3" xfId="37209" xr:uid="{00000000-0005-0000-0000-0000F54B0000}"/>
    <cellStyle name="Normal 2 2 8 8 6" xfId="8163" xr:uid="{00000000-0005-0000-0000-0000F64B0000}"/>
    <cellStyle name="Normal 2 2 8 8 6 2" xfId="37210" xr:uid="{00000000-0005-0000-0000-0000F74B0000}"/>
    <cellStyle name="Normal 2 2 8 8 7" xfId="8164" xr:uid="{00000000-0005-0000-0000-0000F84B0000}"/>
    <cellStyle name="Normal 2 2 8 8 7 2" xfId="37211" xr:uid="{00000000-0005-0000-0000-0000F94B0000}"/>
    <cellStyle name="Normal 2 2 8 8 8" xfId="37212" xr:uid="{00000000-0005-0000-0000-0000FA4B0000}"/>
    <cellStyle name="Normal 2 2 8 8 8 2" xfId="37213" xr:uid="{00000000-0005-0000-0000-0000FB4B0000}"/>
    <cellStyle name="Normal 2 2 8 8 9" xfId="37214" xr:uid="{00000000-0005-0000-0000-0000FC4B0000}"/>
    <cellStyle name="Normal 2 2 8 9" xfId="8165" xr:uid="{00000000-0005-0000-0000-0000FD4B0000}"/>
    <cellStyle name="Normal 2 2 8 9 10" xfId="37215" xr:uid="{00000000-0005-0000-0000-0000FE4B0000}"/>
    <cellStyle name="Normal 2 2 8 9 11" xfId="37216" xr:uid="{00000000-0005-0000-0000-0000FF4B0000}"/>
    <cellStyle name="Normal 2 2 8 9 2" xfId="8166" xr:uid="{00000000-0005-0000-0000-0000004C0000}"/>
    <cellStyle name="Normal 2 2 8 9 2 10" xfId="37217" xr:uid="{00000000-0005-0000-0000-0000014C0000}"/>
    <cellStyle name="Normal 2 2 8 9 2 2" xfId="8167" xr:uid="{00000000-0005-0000-0000-0000024C0000}"/>
    <cellStyle name="Normal 2 2 8 9 2 2 2" xfId="8168" xr:uid="{00000000-0005-0000-0000-0000034C0000}"/>
    <cellStyle name="Normal 2 2 8 9 2 2 2 2" xfId="8169" xr:uid="{00000000-0005-0000-0000-0000044C0000}"/>
    <cellStyle name="Normal 2 2 8 9 2 2 2 2 2" xfId="37218" xr:uid="{00000000-0005-0000-0000-0000054C0000}"/>
    <cellStyle name="Normal 2 2 8 9 2 2 2 3" xfId="8170" xr:uid="{00000000-0005-0000-0000-0000064C0000}"/>
    <cellStyle name="Normal 2 2 8 9 2 2 2 3 2" xfId="37219" xr:uid="{00000000-0005-0000-0000-0000074C0000}"/>
    <cellStyle name="Normal 2 2 8 9 2 2 2 4" xfId="37220" xr:uid="{00000000-0005-0000-0000-0000084C0000}"/>
    <cellStyle name="Normal 2 2 8 9 2 2 3" xfId="8171" xr:uid="{00000000-0005-0000-0000-0000094C0000}"/>
    <cellStyle name="Normal 2 2 8 9 2 2 3 2" xfId="37221" xr:uid="{00000000-0005-0000-0000-00000A4C0000}"/>
    <cellStyle name="Normal 2 2 8 9 2 2 4" xfId="8172" xr:uid="{00000000-0005-0000-0000-00000B4C0000}"/>
    <cellStyle name="Normal 2 2 8 9 2 2 4 2" xfId="37222" xr:uid="{00000000-0005-0000-0000-00000C4C0000}"/>
    <cellStyle name="Normal 2 2 8 9 2 2 5" xfId="8173" xr:uid="{00000000-0005-0000-0000-00000D4C0000}"/>
    <cellStyle name="Normal 2 2 8 9 2 2 5 2" xfId="37223" xr:uid="{00000000-0005-0000-0000-00000E4C0000}"/>
    <cellStyle name="Normal 2 2 8 9 2 2 6" xfId="37224" xr:uid="{00000000-0005-0000-0000-00000F4C0000}"/>
    <cellStyle name="Normal 2 2 8 9 2 2 6 2" xfId="37225" xr:uid="{00000000-0005-0000-0000-0000104C0000}"/>
    <cellStyle name="Normal 2 2 8 9 2 2 7" xfId="37226" xr:uid="{00000000-0005-0000-0000-0000114C0000}"/>
    <cellStyle name="Normal 2 2 8 9 2 3" xfId="8174" xr:uid="{00000000-0005-0000-0000-0000124C0000}"/>
    <cellStyle name="Normal 2 2 8 9 2 3 2" xfId="8175" xr:uid="{00000000-0005-0000-0000-0000134C0000}"/>
    <cellStyle name="Normal 2 2 8 9 2 3 2 2" xfId="37227" xr:uid="{00000000-0005-0000-0000-0000144C0000}"/>
    <cellStyle name="Normal 2 2 8 9 2 3 3" xfId="8176" xr:uid="{00000000-0005-0000-0000-0000154C0000}"/>
    <cellStyle name="Normal 2 2 8 9 2 3 3 2" xfId="37228" xr:uid="{00000000-0005-0000-0000-0000164C0000}"/>
    <cellStyle name="Normal 2 2 8 9 2 3 4" xfId="37229" xr:uid="{00000000-0005-0000-0000-0000174C0000}"/>
    <cellStyle name="Normal 2 2 8 9 2 4" xfId="8177" xr:uid="{00000000-0005-0000-0000-0000184C0000}"/>
    <cellStyle name="Normal 2 2 8 9 2 4 2" xfId="8178" xr:uid="{00000000-0005-0000-0000-0000194C0000}"/>
    <cellStyle name="Normal 2 2 8 9 2 4 2 2" xfId="37230" xr:uid="{00000000-0005-0000-0000-00001A4C0000}"/>
    <cellStyle name="Normal 2 2 8 9 2 4 3" xfId="37231" xr:uid="{00000000-0005-0000-0000-00001B4C0000}"/>
    <cellStyle name="Normal 2 2 8 9 2 5" xfId="8179" xr:uid="{00000000-0005-0000-0000-00001C4C0000}"/>
    <cellStyle name="Normal 2 2 8 9 2 5 2" xfId="37232" xr:uid="{00000000-0005-0000-0000-00001D4C0000}"/>
    <cellStyle name="Normal 2 2 8 9 2 6" xfId="8180" xr:uid="{00000000-0005-0000-0000-00001E4C0000}"/>
    <cellStyle name="Normal 2 2 8 9 2 6 2" xfId="37233" xr:uid="{00000000-0005-0000-0000-00001F4C0000}"/>
    <cellStyle name="Normal 2 2 8 9 2 7" xfId="37234" xr:uid="{00000000-0005-0000-0000-0000204C0000}"/>
    <cellStyle name="Normal 2 2 8 9 2 7 2" xfId="37235" xr:uid="{00000000-0005-0000-0000-0000214C0000}"/>
    <cellStyle name="Normal 2 2 8 9 2 8" xfId="37236" xr:uid="{00000000-0005-0000-0000-0000224C0000}"/>
    <cellStyle name="Normal 2 2 8 9 2 9" xfId="37237" xr:uid="{00000000-0005-0000-0000-0000234C0000}"/>
    <cellStyle name="Normal 2 2 8 9 3" xfId="8181" xr:uid="{00000000-0005-0000-0000-0000244C0000}"/>
    <cellStyle name="Normal 2 2 8 9 3 2" xfId="8182" xr:uid="{00000000-0005-0000-0000-0000254C0000}"/>
    <cellStyle name="Normal 2 2 8 9 3 2 2" xfId="8183" xr:uid="{00000000-0005-0000-0000-0000264C0000}"/>
    <cellStyle name="Normal 2 2 8 9 3 2 2 2" xfId="37238" xr:uid="{00000000-0005-0000-0000-0000274C0000}"/>
    <cellStyle name="Normal 2 2 8 9 3 2 3" xfId="8184" xr:uid="{00000000-0005-0000-0000-0000284C0000}"/>
    <cellStyle name="Normal 2 2 8 9 3 2 3 2" xfId="37239" xr:uid="{00000000-0005-0000-0000-0000294C0000}"/>
    <cellStyle name="Normal 2 2 8 9 3 2 4" xfId="37240" xr:uid="{00000000-0005-0000-0000-00002A4C0000}"/>
    <cellStyle name="Normal 2 2 8 9 3 3" xfId="8185" xr:uid="{00000000-0005-0000-0000-00002B4C0000}"/>
    <cellStyle name="Normal 2 2 8 9 3 3 2" xfId="37241" xr:uid="{00000000-0005-0000-0000-00002C4C0000}"/>
    <cellStyle name="Normal 2 2 8 9 3 4" xfId="8186" xr:uid="{00000000-0005-0000-0000-00002D4C0000}"/>
    <cellStyle name="Normal 2 2 8 9 3 4 2" xfId="37242" xr:uid="{00000000-0005-0000-0000-00002E4C0000}"/>
    <cellStyle name="Normal 2 2 8 9 3 5" xfId="8187" xr:uid="{00000000-0005-0000-0000-00002F4C0000}"/>
    <cellStyle name="Normal 2 2 8 9 3 5 2" xfId="37243" xr:uid="{00000000-0005-0000-0000-0000304C0000}"/>
    <cellStyle name="Normal 2 2 8 9 3 6" xfId="37244" xr:uid="{00000000-0005-0000-0000-0000314C0000}"/>
    <cellStyle name="Normal 2 2 8 9 3 6 2" xfId="37245" xr:uid="{00000000-0005-0000-0000-0000324C0000}"/>
    <cellStyle name="Normal 2 2 8 9 3 7" xfId="37246" xr:uid="{00000000-0005-0000-0000-0000334C0000}"/>
    <cellStyle name="Normal 2 2 8 9 4" xfId="8188" xr:uid="{00000000-0005-0000-0000-0000344C0000}"/>
    <cellStyle name="Normal 2 2 8 9 4 2" xfId="8189" xr:uid="{00000000-0005-0000-0000-0000354C0000}"/>
    <cellStyle name="Normal 2 2 8 9 4 2 2" xfId="37247" xr:uid="{00000000-0005-0000-0000-0000364C0000}"/>
    <cellStyle name="Normal 2 2 8 9 4 3" xfId="8190" xr:uid="{00000000-0005-0000-0000-0000374C0000}"/>
    <cellStyle name="Normal 2 2 8 9 4 3 2" xfId="37248" xr:uid="{00000000-0005-0000-0000-0000384C0000}"/>
    <cellStyle name="Normal 2 2 8 9 4 4" xfId="37249" xr:uid="{00000000-0005-0000-0000-0000394C0000}"/>
    <cellStyle name="Normal 2 2 8 9 5" xfId="8191" xr:uid="{00000000-0005-0000-0000-00003A4C0000}"/>
    <cellStyle name="Normal 2 2 8 9 5 2" xfId="8192" xr:uid="{00000000-0005-0000-0000-00003B4C0000}"/>
    <cellStyle name="Normal 2 2 8 9 5 2 2" xfId="37250" xr:uid="{00000000-0005-0000-0000-00003C4C0000}"/>
    <cellStyle name="Normal 2 2 8 9 5 3" xfId="37251" xr:uid="{00000000-0005-0000-0000-00003D4C0000}"/>
    <cellStyle name="Normal 2 2 8 9 6" xfId="8193" xr:uid="{00000000-0005-0000-0000-00003E4C0000}"/>
    <cellStyle name="Normal 2 2 8 9 6 2" xfId="37252" xr:uid="{00000000-0005-0000-0000-00003F4C0000}"/>
    <cellStyle name="Normal 2 2 8 9 7" xfId="8194" xr:uid="{00000000-0005-0000-0000-0000404C0000}"/>
    <cellStyle name="Normal 2 2 8 9 7 2" xfId="37253" xr:uid="{00000000-0005-0000-0000-0000414C0000}"/>
    <cellStyle name="Normal 2 2 8 9 8" xfId="37254" xr:uid="{00000000-0005-0000-0000-0000424C0000}"/>
    <cellStyle name="Normal 2 2 8 9 8 2" xfId="37255" xr:uid="{00000000-0005-0000-0000-0000434C0000}"/>
    <cellStyle name="Normal 2 2 8 9 9" xfId="37256" xr:uid="{00000000-0005-0000-0000-0000444C0000}"/>
    <cellStyle name="Normal 2 2 9" xfId="8195" xr:uid="{00000000-0005-0000-0000-0000454C0000}"/>
    <cellStyle name="Normal 2 2 9 10" xfId="8196" xr:uid="{00000000-0005-0000-0000-0000464C0000}"/>
    <cellStyle name="Normal 2 2 9 10 10" xfId="37257" xr:uid="{00000000-0005-0000-0000-0000474C0000}"/>
    <cellStyle name="Normal 2 2 9 10 11" xfId="37258" xr:uid="{00000000-0005-0000-0000-0000484C0000}"/>
    <cellStyle name="Normal 2 2 9 10 2" xfId="8197" xr:uid="{00000000-0005-0000-0000-0000494C0000}"/>
    <cellStyle name="Normal 2 2 9 10 2 10" xfId="37259" xr:uid="{00000000-0005-0000-0000-00004A4C0000}"/>
    <cellStyle name="Normal 2 2 9 10 2 2" xfId="8198" xr:uid="{00000000-0005-0000-0000-00004B4C0000}"/>
    <cellStyle name="Normal 2 2 9 10 2 2 2" xfId="8199" xr:uid="{00000000-0005-0000-0000-00004C4C0000}"/>
    <cellStyle name="Normal 2 2 9 10 2 2 2 2" xfId="8200" xr:uid="{00000000-0005-0000-0000-00004D4C0000}"/>
    <cellStyle name="Normal 2 2 9 10 2 2 2 2 2" xfId="37260" xr:uid="{00000000-0005-0000-0000-00004E4C0000}"/>
    <cellStyle name="Normal 2 2 9 10 2 2 2 3" xfId="8201" xr:uid="{00000000-0005-0000-0000-00004F4C0000}"/>
    <cellStyle name="Normal 2 2 9 10 2 2 2 3 2" xfId="37261" xr:uid="{00000000-0005-0000-0000-0000504C0000}"/>
    <cellStyle name="Normal 2 2 9 10 2 2 2 4" xfId="37262" xr:uid="{00000000-0005-0000-0000-0000514C0000}"/>
    <cellStyle name="Normal 2 2 9 10 2 2 3" xfId="8202" xr:uid="{00000000-0005-0000-0000-0000524C0000}"/>
    <cellStyle name="Normal 2 2 9 10 2 2 3 2" xfId="37263" xr:uid="{00000000-0005-0000-0000-0000534C0000}"/>
    <cellStyle name="Normal 2 2 9 10 2 2 4" xfId="8203" xr:uid="{00000000-0005-0000-0000-0000544C0000}"/>
    <cellStyle name="Normal 2 2 9 10 2 2 4 2" xfId="37264" xr:uid="{00000000-0005-0000-0000-0000554C0000}"/>
    <cellStyle name="Normal 2 2 9 10 2 2 5" xfId="8204" xr:uid="{00000000-0005-0000-0000-0000564C0000}"/>
    <cellStyle name="Normal 2 2 9 10 2 2 5 2" xfId="37265" xr:uid="{00000000-0005-0000-0000-0000574C0000}"/>
    <cellStyle name="Normal 2 2 9 10 2 2 6" xfId="37266" xr:uid="{00000000-0005-0000-0000-0000584C0000}"/>
    <cellStyle name="Normal 2 2 9 10 2 2 6 2" xfId="37267" xr:uid="{00000000-0005-0000-0000-0000594C0000}"/>
    <cellStyle name="Normal 2 2 9 10 2 2 7" xfId="37268" xr:uid="{00000000-0005-0000-0000-00005A4C0000}"/>
    <cellStyle name="Normal 2 2 9 10 2 3" xfId="8205" xr:uid="{00000000-0005-0000-0000-00005B4C0000}"/>
    <cellStyle name="Normal 2 2 9 10 2 3 2" xfId="8206" xr:uid="{00000000-0005-0000-0000-00005C4C0000}"/>
    <cellStyle name="Normal 2 2 9 10 2 3 2 2" xfId="37269" xr:uid="{00000000-0005-0000-0000-00005D4C0000}"/>
    <cellStyle name="Normal 2 2 9 10 2 3 3" xfId="8207" xr:uid="{00000000-0005-0000-0000-00005E4C0000}"/>
    <cellStyle name="Normal 2 2 9 10 2 3 3 2" xfId="37270" xr:uid="{00000000-0005-0000-0000-00005F4C0000}"/>
    <cellStyle name="Normal 2 2 9 10 2 3 4" xfId="37271" xr:uid="{00000000-0005-0000-0000-0000604C0000}"/>
    <cellStyle name="Normal 2 2 9 10 2 4" xfId="8208" xr:uid="{00000000-0005-0000-0000-0000614C0000}"/>
    <cellStyle name="Normal 2 2 9 10 2 4 2" xfId="8209" xr:uid="{00000000-0005-0000-0000-0000624C0000}"/>
    <cellStyle name="Normal 2 2 9 10 2 4 2 2" xfId="37272" xr:uid="{00000000-0005-0000-0000-0000634C0000}"/>
    <cellStyle name="Normal 2 2 9 10 2 4 3" xfId="37273" xr:uid="{00000000-0005-0000-0000-0000644C0000}"/>
    <cellStyle name="Normal 2 2 9 10 2 5" xfId="8210" xr:uid="{00000000-0005-0000-0000-0000654C0000}"/>
    <cellStyle name="Normal 2 2 9 10 2 5 2" xfId="37274" xr:uid="{00000000-0005-0000-0000-0000664C0000}"/>
    <cellStyle name="Normal 2 2 9 10 2 6" xfId="8211" xr:uid="{00000000-0005-0000-0000-0000674C0000}"/>
    <cellStyle name="Normal 2 2 9 10 2 6 2" xfId="37275" xr:uid="{00000000-0005-0000-0000-0000684C0000}"/>
    <cellStyle name="Normal 2 2 9 10 2 7" xfId="37276" xr:uid="{00000000-0005-0000-0000-0000694C0000}"/>
    <cellStyle name="Normal 2 2 9 10 2 7 2" xfId="37277" xr:uid="{00000000-0005-0000-0000-00006A4C0000}"/>
    <cellStyle name="Normal 2 2 9 10 2 8" xfId="37278" xr:uid="{00000000-0005-0000-0000-00006B4C0000}"/>
    <cellStyle name="Normal 2 2 9 10 2 9" xfId="37279" xr:uid="{00000000-0005-0000-0000-00006C4C0000}"/>
    <cellStyle name="Normal 2 2 9 10 3" xfId="8212" xr:uid="{00000000-0005-0000-0000-00006D4C0000}"/>
    <cellStyle name="Normal 2 2 9 10 3 2" xfId="8213" xr:uid="{00000000-0005-0000-0000-00006E4C0000}"/>
    <cellStyle name="Normal 2 2 9 10 3 2 2" xfId="8214" xr:uid="{00000000-0005-0000-0000-00006F4C0000}"/>
    <cellStyle name="Normal 2 2 9 10 3 2 2 2" xfId="37280" xr:uid="{00000000-0005-0000-0000-0000704C0000}"/>
    <cellStyle name="Normal 2 2 9 10 3 2 3" xfId="8215" xr:uid="{00000000-0005-0000-0000-0000714C0000}"/>
    <cellStyle name="Normal 2 2 9 10 3 2 3 2" xfId="37281" xr:uid="{00000000-0005-0000-0000-0000724C0000}"/>
    <cellStyle name="Normal 2 2 9 10 3 2 4" xfId="37282" xr:uid="{00000000-0005-0000-0000-0000734C0000}"/>
    <cellStyle name="Normal 2 2 9 10 3 3" xfId="8216" xr:uid="{00000000-0005-0000-0000-0000744C0000}"/>
    <cellStyle name="Normal 2 2 9 10 3 3 2" xfId="37283" xr:uid="{00000000-0005-0000-0000-0000754C0000}"/>
    <cellStyle name="Normal 2 2 9 10 3 4" xfId="8217" xr:uid="{00000000-0005-0000-0000-0000764C0000}"/>
    <cellStyle name="Normal 2 2 9 10 3 4 2" xfId="37284" xr:uid="{00000000-0005-0000-0000-0000774C0000}"/>
    <cellStyle name="Normal 2 2 9 10 3 5" xfId="8218" xr:uid="{00000000-0005-0000-0000-0000784C0000}"/>
    <cellStyle name="Normal 2 2 9 10 3 5 2" xfId="37285" xr:uid="{00000000-0005-0000-0000-0000794C0000}"/>
    <cellStyle name="Normal 2 2 9 10 3 6" xfId="37286" xr:uid="{00000000-0005-0000-0000-00007A4C0000}"/>
    <cellStyle name="Normal 2 2 9 10 3 6 2" xfId="37287" xr:uid="{00000000-0005-0000-0000-00007B4C0000}"/>
    <cellStyle name="Normal 2 2 9 10 3 7" xfId="37288" xr:uid="{00000000-0005-0000-0000-00007C4C0000}"/>
    <cellStyle name="Normal 2 2 9 10 4" xfId="8219" xr:uid="{00000000-0005-0000-0000-00007D4C0000}"/>
    <cellStyle name="Normal 2 2 9 10 4 2" xfId="8220" xr:uid="{00000000-0005-0000-0000-00007E4C0000}"/>
    <cellStyle name="Normal 2 2 9 10 4 2 2" xfId="37289" xr:uid="{00000000-0005-0000-0000-00007F4C0000}"/>
    <cellStyle name="Normal 2 2 9 10 4 3" xfId="8221" xr:uid="{00000000-0005-0000-0000-0000804C0000}"/>
    <cellStyle name="Normal 2 2 9 10 4 3 2" xfId="37290" xr:uid="{00000000-0005-0000-0000-0000814C0000}"/>
    <cellStyle name="Normal 2 2 9 10 4 4" xfId="37291" xr:uid="{00000000-0005-0000-0000-0000824C0000}"/>
    <cellStyle name="Normal 2 2 9 10 5" xfId="8222" xr:uid="{00000000-0005-0000-0000-0000834C0000}"/>
    <cellStyle name="Normal 2 2 9 10 5 2" xfId="8223" xr:uid="{00000000-0005-0000-0000-0000844C0000}"/>
    <cellStyle name="Normal 2 2 9 10 5 2 2" xfId="37292" xr:uid="{00000000-0005-0000-0000-0000854C0000}"/>
    <cellStyle name="Normal 2 2 9 10 5 3" xfId="37293" xr:uid="{00000000-0005-0000-0000-0000864C0000}"/>
    <cellStyle name="Normal 2 2 9 10 6" xfId="8224" xr:uid="{00000000-0005-0000-0000-0000874C0000}"/>
    <cellStyle name="Normal 2 2 9 10 6 2" xfId="37294" xr:uid="{00000000-0005-0000-0000-0000884C0000}"/>
    <cellStyle name="Normal 2 2 9 10 7" xfId="8225" xr:uid="{00000000-0005-0000-0000-0000894C0000}"/>
    <cellStyle name="Normal 2 2 9 10 7 2" xfId="37295" xr:uid="{00000000-0005-0000-0000-00008A4C0000}"/>
    <cellStyle name="Normal 2 2 9 10 8" xfId="37296" xr:uid="{00000000-0005-0000-0000-00008B4C0000}"/>
    <cellStyle name="Normal 2 2 9 10 8 2" xfId="37297" xr:uid="{00000000-0005-0000-0000-00008C4C0000}"/>
    <cellStyle name="Normal 2 2 9 10 9" xfId="37298" xr:uid="{00000000-0005-0000-0000-00008D4C0000}"/>
    <cellStyle name="Normal 2 2 9 11" xfId="8226" xr:uid="{00000000-0005-0000-0000-00008E4C0000}"/>
    <cellStyle name="Normal 2 2 9 11 10" xfId="37299" xr:uid="{00000000-0005-0000-0000-00008F4C0000}"/>
    <cellStyle name="Normal 2 2 9 11 11" xfId="37300" xr:uid="{00000000-0005-0000-0000-0000904C0000}"/>
    <cellStyle name="Normal 2 2 9 11 2" xfId="8227" xr:uid="{00000000-0005-0000-0000-0000914C0000}"/>
    <cellStyle name="Normal 2 2 9 11 2 10" xfId="37301" xr:uid="{00000000-0005-0000-0000-0000924C0000}"/>
    <cellStyle name="Normal 2 2 9 11 2 2" xfId="8228" xr:uid="{00000000-0005-0000-0000-0000934C0000}"/>
    <cellStyle name="Normal 2 2 9 11 2 2 2" xfId="8229" xr:uid="{00000000-0005-0000-0000-0000944C0000}"/>
    <cellStyle name="Normal 2 2 9 11 2 2 2 2" xfId="8230" xr:uid="{00000000-0005-0000-0000-0000954C0000}"/>
    <cellStyle name="Normal 2 2 9 11 2 2 2 2 2" xfId="37302" xr:uid="{00000000-0005-0000-0000-0000964C0000}"/>
    <cellStyle name="Normal 2 2 9 11 2 2 2 3" xfId="8231" xr:uid="{00000000-0005-0000-0000-0000974C0000}"/>
    <cellStyle name="Normal 2 2 9 11 2 2 2 3 2" xfId="37303" xr:uid="{00000000-0005-0000-0000-0000984C0000}"/>
    <cellStyle name="Normal 2 2 9 11 2 2 2 4" xfId="37304" xr:uid="{00000000-0005-0000-0000-0000994C0000}"/>
    <cellStyle name="Normal 2 2 9 11 2 2 3" xfId="8232" xr:uid="{00000000-0005-0000-0000-00009A4C0000}"/>
    <cellStyle name="Normal 2 2 9 11 2 2 3 2" xfId="37305" xr:uid="{00000000-0005-0000-0000-00009B4C0000}"/>
    <cellStyle name="Normal 2 2 9 11 2 2 4" xfId="8233" xr:uid="{00000000-0005-0000-0000-00009C4C0000}"/>
    <cellStyle name="Normal 2 2 9 11 2 2 4 2" xfId="37306" xr:uid="{00000000-0005-0000-0000-00009D4C0000}"/>
    <cellStyle name="Normal 2 2 9 11 2 2 5" xfId="8234" xr:uid="{00000000-0005-0000-0000-00009E4C0000}"/>
    <cellStyle name="Normal 2 2 9 11 2 2 5 2" xfId="37307" xr:uid="{00000000-0005-0000-0000-00009F4C0000}"/>
    <cellStyle name="Normal 2 2 9 11 2 2 6" xfId="37308" xr:uid="{00000000-0005-0000-0000-0000A04C0000}"/>
    <cellStyle name="Normal 2 2 9 11 2 2 6 2" xfId="37309" xr:uid="{00000000-0005-0000-0000-0000A14C0000}"/>
    <cellStyle name="Normal 2 2 9 11 2 2 7" xfId="37310" xr:uid="{00000000-0005-0000-0000-0000A24C0000}"/>
    <cellStyle name="Normal 2 2 9 11 2 3" xfId="8235" xr:uid="{00000000-0005-0000-0000-0000A34C0000}"/>
    <cellStyle name="Normal 2 2 9 11 2 3 2" xfId="8236" xr:uid="{00000000-0005-0000-0000-0000A44C0000}"/>
    <cellStyle name="Normal 2 2 9 11 2 3 2 2" xfId="37311" xr:uid="{00000000-0005-0000-0000-0000A54C0000}"/>
    <cellStyle name="Normal 2 2 9 11 2 3 3" xfId="8237" xr:uid="{00000000-0005-0000-0000-0000A64C0000}"/>
    <cellStyle name="Normal 2 2 9 11 2 3 3 2" xfId="37312" xr:uid="{00000000-0005-0000-0000-0000A74C0000}"/>
    <cellStyle name="Normal 2 2 9 11 2 3 4" xfId="37313" xr:uid="{00000000-0005-0000-0000-0000A84C0000}"/>
    <cellStyle name="Normal 2 2 9 11 2 4" xfId="8238" xr:uid="{00000000-0005-0000-0000-0000A94C0000}"/>
    <cellStyle name="Normal 2 2 9 11 2 4 2" xfId="8239" xr:uid="{00000000-0005-0000-0000-0000AA4C0000}"/>
    <cellStyle name="Normal 2 2 9 11 2 4 2 2" xfId="37314" xr:uid="{00000000-0005-0000-0000-0000AB4C0000}"/>
    <cellStyle name="Normal 2 2 9 11 2 4 3" xfId="37315" xr:uid="{00000000-0005-0000-0000-0000AC4C0000}"/>
    <cellStyle name="Normal 2 2 9 11 2 5" xfId="8240" xr:uid="{00000000-0005-0000-0000-0000AD4C0000}"/>
    <cellStyle name="Normal 2 2 9 11 2 5 2" xfId="37316" xr:uid="{00000000-0005-0000-0000-0000AE4C0000}"/>
    <cellStyle name="Normal 2 2 9 11 2 6" xfId="8241" xr:uid="{00000000-0005-0000-0000-0000AF4C0000}"/>
    <cellStyle name="Normal 2 2 9 11 2 6 2" xfId="37317" xr:uid="{00000000-0005-0000-0000-0000B04C0000}"/>
    <cellStyle name="Normal 2 2 9 11 2 7" xfId="37318" xr:uid="{00000000-0005-0000-0000-0000B14C0000}"/>
    <cellStyle name="Normal 2 2 9 11 2 7 2" xfId="37319" xr:uid="{00000000-0005-0000-0000-0000B24C0000}"/>
    <cellStyle name="Normal 2 2 9 11 2 8" xfId="37320" xr:uid="{00000000-0005-0000-0000-0000B34C0000}"/>
    <cellStyle name="Normal 2 2 9 11 2 9" xfId="37321" xr:uid="{00000000-0005-0000-0000-0000B44C0000}"/>
    <cellStyle name="Normal 2 2 9 11 3" xfId="8242" xr:uid="{00000000-0005-0000-0000-0000B54C0000}"/>
    <cellStyle name="Normal 2 2 9 11 3 2" xfId="8243" xr:uid="{00000000-0005-0000-0000-0000B64C0000}"/>
    <cellStyle name="Normal 2 2 9 11 3 2 2" xfId="8244" xr:uid="{00000000-0005-0000-0000-0000B74C0000}"/>
    <cellStyle name="Normal 2 2 9 11 3 2 2 2" xfId="37322" xr:uid="{00000000-0005-0000-0000-0000B84C0000}"/>
    <cellStyle name="Normal 2 2 9 11 3 2 3" xfId="8245" xr:uid="{00000000-0005-0000-0000-0000B94C0000}"/>
    <cellStyle name="Normal 2 2 9 11 3 2 3 2" xfId="37323" xr:uid="{00000000-0005-0000-0000-0000BA4C0000}"/>
    <cellStyle name="Normal 2 2 9 11 3 2 4" xfId="37324" xr:uid="{00000000-0005-0000-0000-0000BB4C0000}"/>
    <cellStyle name="Normal 2 2 9 11 3 3" xfId="8246" xr:uid="{00000000-0005-0000-0000-0000BC4C0000}"/>
    <cellStyle name="Normal 2 2 9 11 3 3 2" xfId="37325" xr:uid="{00000000-0005-0000-0000-0000BD4C0000}"/>
    <cellStyle name="Normal 2 2 9 11 3 4" xfId="8247" xr:uid="{00000000-0005-0000-0000-0000BE4C0000}"/>
    <cellStyle name="Normal 2 2 9 11 3 4 2" xfId="37326" xr:uid="{00000000-0005-0000-0000-0000BF4C0000}"/>
    <cellStyle name="Normal 2 2 9 11 3 5" xfId="8248" xr:uid="{00000000-0005-0000-0000-0000C04C0000}"/>
    <cellStyle name="Normal 2 2 9 11 3 5 2" xfId="37327" xr:uid="{00000000-0005-0000-0000-0000C14C0000}"/>
    <cellStyle name="Normal 2 2 9 11 3 6" xfId="37328" xr:uid="{00000000-0005-0000-0000-0000C24C0000}"/>
    <cellStyle name="Normal 2 2 9 11 3 6 2" xfId="37329" xr:uid="{00000000-0005-0000-0000-0000C34C0000}"/>
    <cellStyle name="Normal 2 2 9 11 3 7" xfId="37330" xr:uid="{00000000-0005-0000-0000-0000C44C0000}"/>
    <cellStyle name="Normal 2 2 9 11 4" xfId="8249" xr:uid="{00000000-0005-0000-0000-0000C54C0000}"/>
    <cellStyle name="Normal 2 2 9 11 4 2" xfId="8250" xr:uid="{00000000-0005-0000-0000-0000C64C0000}"/>
    <cellStyle name="Normal 2 2 9 11 4 2 2" xfId="37331" xr:uid="{00000000-0005-0000-0000-0000C74C0000}"/>
    <cellStyle name="Normal 2 2 9 11 4 3" xfId="8251" xr:uid="{00000000-0005-0000-0000-0000C84C0000}"/>
    <cellStyle name="Normal 2 2 9 11 4 3 2" xfId="37332" xr:uid="{00000000-0005-0000-0000-0000C94C0000}"/>
    <cellStyle name="Normal 2 2 9 11 4 4" xfId="37333" xr:uid="{00000000-0005-0000-0000-0000CA4C0000}"/>
    <cellStyle name="Normal 2 2 9 11 5" xfId="8252" xr:uid="{00000000-0005-0000-0000-0000CB4C0000}"/>
    <cellStyle name="Normal 2 2 9 11 5 2" xfId="8253" xr:uid="{00000000-0005-0000-0000-0000CC4C0000}"/>
    <cellStyle name="Normal 2 2 9 11 5 2 2" xfId="37334" xr:uid="{00000000-0005-0000-0000-0000CD4C0000}"/>
    <cellStyle name="Normal 2 2 9 11 5 3" xfId="37335" xr:uid="{00000000-0005-0000-0000-0000CE4C0000}"/>
    <cellStyle name="Normal 2 2 9 11 6" xfId="8254" xr:uid="{00000000-0005-0000-0000-0000CF4C0000}"/>
    <cellStyle name="Normal 2 2 9 11 6 2" xfId="37336" xr:uid="{00000000-0005-0000-0000-0000D04C0000}"/>
    <cellStyle name="Normal 2 2 9 11 7" xfId="8255" xr:uid="{00000000-0005-0000-0000-0000D14C0000}"/>
    <cellStyle name="Normal 2 2 9 11 7 2" xfId="37337" xr:uid="{00000000-0005-0000-0000-0000D24C0000}"/>
    <cellStyle name="Normal 2 2 9 11 8" xfId="37338" xr:uid="{00000000-0005-0000-0000-0000D34C0000}"/>
    <cellStyle name="Normal 2 2 9 11 8 2" xfId="37339" xr:uid="{00000000-0005-0000-0000-0000D44C0000}"/>
    <cellStyle name="Normal 2 2 9 11 9" xfId="37340" xr:uid="{00000000-0005-0000-0000-0000D54C0000}"/>
    <cellStyle name="Normal 2 2 9 12" xfId="8256" xr:uid="{00000000-0005-0000-0000-0000D64C0000}"/>
    <cellStyle name="Normal 2 2 9 12 10" xfId="37341" xr:uid="{00000000-0005-0000-0000-0000D74C0000}"/>
    <cellStyle name="Normal 2 2 9 12 11" xfId="37342" xr:uid="{00000000-0005-0000-0000-0000D84C0000}"/>
    <cellStyle name="Normal 2 2 9 12 2" xfId="8257" xr:uid="{00000000-0005-0000-0000-0000D94C0000}"/>
    <cellStyle name="Normal 2 2 9 12 2 10" xfId="37343" xr:uid="{00000000-0005-0000-0000-0000DA4C0000}"/>
    <cellStyle name="Normal 2 2 9 12 2 2" xfId="8258" xr:uid="{00000000-0005-0000-0000-0000DB4C0000}"/>
    <cellStyle name="Normal 2 2 9 12 2 2 2" xfId="8259" xr:uid="{00000000-0005-0000-0000-0000DC4C0000}"/>
    <cellStyle name="Normal 2 2 9 12 2 2 2 2" xfId="8260" xr:uid="{00000000-0005-0000-0000-0000DD4C0000}"/>
    <cellStyle name="Normal 2 2 9 12 2 2 2 2 2" xfId="37344" xr:uid="{00000000-0005-0000-0000-0000DE4C0000}"/>
    <cellStyle name="Normal 2 2 9 12 2 2 2 3" xfId="8261" xr:uid="{00000000-0005-0000-0000-0000DF4C0000}"/>
    <cellStyle name="Normal 2 2 9 12 2 2 2 3 2" xfId="37345" xr:uid="{00000000-0005-0000-0000-0000E04C0000}"/>
    <cellStyle name="Normal 2 2 9 12 2 2 2 4" xfId="37346" xr:uid="{00000000-0005-0000-0000-0000E14C0000}"/>
    <cellStyle name="Normal 2 2 9 12 2 2 3" xfId="8262" xr:uid="{00000000-0005-0000-0000-0000E24C0000}"/>
    <cellStyle name="Normal 2 2 9 12 2 2 3 2" xfId="37347" xr:uid="{00000000-0005-0000-0000-0000E34C0000}"/>
    <cellStyle name="Normal 2 2 9 12 2 2 4" xfId="8263" xr:uid="{00000000-0005-0000-0000-0000E44C0000}"/>
    <cellStyle name="Normal 2 2 9 12 2 2 4 2" xfId="37348" xr:uid="{00000000-0005-0000-0000-0000E54C0000}"/>
    <cellStyle name="Normal 2 2 9 12 2 2 5" xfId="8264" xr:uid="{00000000-0005-0000-0000-0000E64C0000}"/>
    <cellStyle name="Normal 2 2 9 12 2 2 5 2" xfId="37349" xr:uid="{00000000-0005-0000-0000-0000E74C0000}"/>
    <cellStyle name="Normal 2 2 9 12 2 2 6" xfId="37350" xr:uid="{00000000-0005-0000-0000-0000E84C0000}"/>
    <cellStyle name="Normal 2 2 9 12 2 2 6 2" xfId="37351" xr:uid="{00000000-0005-0000-0000-0000E94C0000}"/>
    <cellStyle name="Normal 2 2 9 12 2 2 7" xfId="37352" xr:uid="{00000000-0005-0000-0000-0000EA4C0000}"/>
    <cellStyle name="Normal 2 2 9 12 2 3" xfId="8265" xr:uid="{00000000-0005-0000-0000-0000EB4C0000}"/>
    <cellStyle name="Normal 2 2 9 12 2 3 2" xfId="8266" xr:uid="{00000000-0005-0000-0000-0000EC4C0000}"/>
    <cellStyle name="Normal 2 2 9 12 2 3 2 2" xfId="37353" xr:uid="{00000000-0005-0000-0000-0000ED4C0000}"/>
    <cellStyle name="Normal 2 2 9 12 2 3 3" xfId="8267" xr:uid="{00000000-0005-0000-0000-0000EE4C0000}"/>
    <cellStyle name="Normal 2 2 9 12 2 3 3 2" xfId="37354" xr:uid="{00000000-0005-0000-0000-0000EF4C0000}"/>
    <cellStyle name="Normal 2 2 9 12 2 3 4" xfId="37355" xr:uid="{00000000-0005-0000-0000-0000F04C0000}"/>
    <cellStyle name="Normal 2 2 9 12 2 4" xfId="8268" xr:uid="{00000000-0005-0000-0000-0000F14C0000}"/>
    <cellStyle name="Normal 2 2 9 12 2 4 2" xfId="8269" xr:uid="{00000000-0005-0000-0000-0000F24C0000}"/>
    <cellStyle name="Normal 2 2 9 12 2 4 2 2" xfId="37356" xr:uid="{00000000-0005-0000-0000-0000F34C0000}"/>
    <cellStyle name="Normal 2 2 9 12 2 4 3" xfId="37357" xr:uid="{00000000-0005-0000-0000-0000F44C0000}"/>
    <cellStyle name="Normal 2 2 9 12 2 5" xfId="8270" xr:uid="{00000000-0005-0000-0000-0000F54C0000}"/>
    <cellStyle name="Normal 2 2 9 12 2 5 2" xfId="37358" xr:uid="{00000000-0005-0000-0000-0000F64C0000}"/>
    <cellStyle name="Normal 2 2 9 12 2 6" xfId="8271" xr:uid="{00000000-0005-0000-0000-0000F74C0000}"/>
    <cellStyle name="Normal 2 2 9 12 2 6 2" xfId="37359" xr:uid="{00000000-0005-0000-0000-0000F84C0000}"/>
    <cellStyle name="Normal 2 2 9 12 2 7" xfId="37360" xr:uid="{00000000-0005-0000-0000-0000F94C0000}"/>
    <cellStyle name="Normal 2 2 9 12 2 7 2" xfId="37361" xr:uid="{00000000-0005-0000-0000-0000FA4C0000}"/>
    <cellStyle name="Normal 2 2 9 12 2 8" xfId="37362" xr:uid="{00000000-0005-0000-0000-0000FB4C0000}"/>
    <cellStyle name="Normal 2 2 9 12 2 9" xfId="37363" xr:uid="{00000000-0005-0000-0000-0000FC4C0000}"/>
    <cellStyle name="Normal 2 2 9 12 3" xfId="8272" xr:uid="{00000000-0005-0000-0000-0000FD4C0000}"/>
    <cellStyle name="Normal 2 2 9 12 3 2" xfId="8273" xr:uid="{00000000-0005-0000-0000-0000FE4C0000}"/>
    <cellStyle name="Normal 2 2 9 12 3 2 2" xfId="8274" xr:uid="{00000000-0005-0000-0000-0000FF4C0000}"/>
    <cellStyle name="Normal 2 2 9 12 3 2 2 2" xfId="37364" xr:uid="{00000000-0005-0000-0000-0000004D0000}"/>
    <cellStyle name="Normal 2 2 9 12 3 2 3" xfId="8275" xr:uid="{00000000-0005-0000-0000-0000014D0000}"/>
    <cellStyle name="Normal 2 2 9 12 3 2 3 2" xfId="37365" xr:uid="{00000000-0005-0000-0000-0000024D0000}"/>
    <cellStyle name="Normal 2 2 9 12 3 2 4" xfId="37366" xr:uid="{00000000-0005-0000-0000-0000034D0000}"/>
    <cellStyle name="Normal 2 2 9 12 3 3" xfId="8276" xr:uid="{00000000-0005-0000-0000-0000044D0000}"/>
    <cellStyle name="Normal 2 2 9 12 3 3 2" xfId="37367" xr:uid="{00000000-0005-0000-0000-0000054D0000}"/>
    <cellStyle name="Normal 2 2 9 12 3 4" xfId="8277" xr:uid="{00000000-0005-0000-0000-0000064D0000}"/>
    <cellStyle name="Normal 2 2 9 12 3 4 2" xfId="37368" xr:uid="{00000000-0005-0000-0000-0000074D0000}"/>
    <cellStyle name="Normal 2 2 9 12 3 5" xfId="8278" xr:uid="{00000000-0005-0000-0000-0000084D0000}"/>
    <cellStyle name="Normal 2 2 9 12 3 5 2" xfId="37369" xr:uid="{00000000-0005-0000-0000-0000094D0000}"/>
    <cellStyle name="Normal 2 2 9 12 3 6" xfId="37370" xr:uid="{00000000-0005-0000-0000-00000A4D0000}"/>
    <cellStyle name="Normal 2 2 9 12 3 6 2" xfId="37371" xr:uid="{00000000-0005-0000-0000-00000B4D0000}"/>
    <cellStyle name="Normal 2 2 9 12 3 7" xfId="37372" xr:uid="{00000000-0005-0000-0000-00000C4D0000}"/>
    <cellStyle name="Normal 2 2 9 12 4" xfId="8279" xr:uid="{00000000-0005-0000-0000-00000D4D0000}"/>
    <cellStyle name="Normal 2 2 9 12 4 2" xfId="8280" xr:uid="{00000000-0005-0000-0000-00000E4D0000}"/>
    <cellStyle name="Normal 2 2 9 12 4 2 2" xfId="37373" xr:uid="{00000000-0005-0000-0000-00000F4D0000}"/>
    <cellStyle name="Normal 2 2 9 12 4 3" xfId="8281" xr:uid="{00000000-0005-0000-0000-0000104D0000}"/>
    <cellStyle name="Normal 2 2 9 12 4 3 2" xfId="37374" xr:uid="{00000000-0005-0000-0000-0000114D0000}"/>
    <cellStyle name="Normal 2 2 9 12 4 4" xfId="37375" xr:uid="{00000000-0005-0000-0000-0000124D0000}"/>
    <cellStyle name="Normal 2 2 9 12 5" xfId="8282" xr:uid="{00000000-0005-0000-0000-0000134D0000}"/>
    <cellStyle name="Normal 2 2 9 12 5 2" xfId="8283" xr:uid="{00000000-0005-0000-0000-0000144D0000}"/>
    <cellStyle name="Normal 2 2 9 12 5 2 2" xfId="37376" xr:uid="{00000000-0005-0000-0000-0000154D0000}"/>
    <cellStyle name="Normal 2 2 9 12 5 3" xfId="37377" xr:uid="{00000000-0005-0000-0000-0000164D0000}"/>
    <cellStyle name="Normal 2 2 9 12 6" xfId="8284" xr:uid="{00000000-0005-0000-0000-0000174D0000}"/>
    <cellStyle name="Normal 2 2 9 12 6 2" xfId="37378" xr:uid="{00000000-0005-0000-0000-0000184D0000}"/>
    <cellStyle name="Normal 2 2 9 12 7" xfId="8285" xr:uid="{00000000-0005-0000-0000-0000194D0000}"/>
    <cellStyle name="Normal 2 2 9 12 7 2" xfId="37379" xr:uid="{00000000-0005-0000-0000-00001A4D0000}"/>
    <cellStyle name="Normal 2 2 9 12 8" xfId="37380" xr:uid="{00000000-0005-0000-0000-00001B4D0000}"/>
    <cellStyle name="Normal 2 2 9 12 8 2" xfId="37381" xr:uid="{00000000-0005-0000-0000-00001C4D0000}"/>
    <cellStyle name="Normal 2 2 9 12 9" xfId="37382" xr:uid="{00000000-0005-0000-0000-00001D4D0000}"/>
    <cellStyle name="Normal 2 2 9 13" xfId="8286" xr:uid="{00000000-0005-0000-0000-00001E4D0000}"/>
    <cellStyle name="Normal 2 2 9 13 10" xfId="37383" xr:uid="{00000000-0005-0000-0000-00001F4D0000}"/>
    <cellStyle name="Normal 2 2 9 13 11" xfId="37384" xr:uid="{00000000-0005-0000-0000-0000204D0000}"/>
    <cellStyle name="Normal 2 2 9 13 2" xfId="8287" xr:uid="{00000000-0005-0000-0000-0000214D0000}"/>
    <cellStyle name="Normal 2 2 9 13 2 10" xfId="37385" xr:uid="{00000000-0005-0000-0000-0000224D0000}"/>
    <cellStyle name="Normal 2 2 9 13 2 2" xfId="8288" xr:uid="{00000000-0005-0000-0000-0000234D0000}"/>
    <cellStyle name="Normal 2 2 9 13 2 2 2" xfId="8289" xr:uid="{00000000-0005-0000-0000-0000244D0000}"/>
    <cellStyle name="Normal 2 2 9 13 2 2 2 2" xfId="8290" xr:uid="{00000000-0005-0000-0000-0000254D0000}"/>
    <cellStyle name="Normal 2 2 9 13 2 2 2 2 2" xfId="37386" xr:uid="{00000000-0005-0000-0000-0000264D0000}"/>
    <cellStyle name="Normal 2 2 9 13 2 2 2 3" xfId="8291" xr:uid="{00000000-0005-0000-0000-0000274D0000}"/>
    <cellStyle name="Normal 2 2 9 13 2 2 2 3 2" xfId="37387" xr:uid="{00000000-0005-0000-0000-0000284D0000}"/>
    <cellStyle name="Normal 2 2 9 13 2 2 2 4" xfId="37388" xr:uid="{00000000-0005-0000-0000-0000294D0000}"/>
    <cellStyle name="Normal 2 2 9 13 2 2 3" xfId="8292" xr:uid="{00000000-0005-0000-0000-00002A4D0000}"/>
    <cellStyle name="Normal 2 2 9 13 2 2 3 2" xfId="37389" xr:uid="{00000000-0005-0000-0000-00002B4D0000}"/>
    <cellStyle name="Normal 2 2 9 13 2 2 4" xfId="8293" xr:uid="{00000000-0005-0000-0000-00002C4D0000}"/>
    <cellStyle name="Normal 2 2 9 13 2 2 4 2" xfId="37390" xr:uid="{00000000-0005-0000-0000-00002D4D0000}"/>
    <cellStyle name="Normal 2 2 9 13 2 2 5" xfId="8294" xr:uid="{00000000-0005-0000-0000-00002E4D0000}"/>
    <cellStyle name="Normal 2 2 9 13 2 2 5 2" xfId="37391" xr:uid="{00000000-0005-0000-0000-00002F4D0000}"/>
    <cellStyle name="Normal 2 2 9 13 2 2 6" xfId="37392" xr:uid="{00000000-0005-0000-0000-0000304D0000}"/>
    <cellStyle name="Normal 2 2 9 13 2 2 6 2" xfId="37393" xr:uid="{00000000-0005-0000-0000-0000314D0000}"/>
    <cellStyle name="Normal 2 2 9 13 2 2 7" xfId="37394" xr:uid="{00000000-0005-0000-0000-0000324D0000}"/>
    <cellStyle name="Normal 2 2 9 13 2 3" xfId="8295" xr:uid="{00000000-0005-0000-0000-0000334D0000}"/>
    <cellStyle name="Normal 2 2 9 13 2 3 2" xfId="8296" xr:uid="{00000000-0005-0000-0000-0000344D0000}"/>
    <cellStyle name="Normal 2 2 9 13 2 3 2 2" xfId="37395" xr:uid="{00000000-0005-0000-0000-0000354D0000}"/>
    <cellStyle name="Normal 2 2 9 13 2 3 3" xfId="8297" xr:uid="{00000000-0005-0000-0000-0000364D0000}"/>
    <cellStyle name="Normal 2 2 9 13 2 3 3 2" xfId="37396" xr:uid="{00000000-0005-0000-0000-0000374D0000}"/>
    <cellStyle name="Normal 2 2 9 13 2 3 4" xfId="37397" xr:uid="{00000000-0005-0000-0000-0000384D0000}"/>
    <cellStyle name="Normal 2 2 9 13 2 4" xfId="8298" xr:uid="{00000000-0005-0000-0000-0000394D0000}"/>
    <cellStyle name="Normal 2 2 9 13 2 4 2" xfId="8299" xr:uid="{00000000-0005-0000-0000-00003A4D0000}"/>
    <cellStyle name="Normal 2 2 9 13 2 4 2 2" xfId="37398" xr:uid="{00000000-0005-0000-0000-00003B4D0000}"/>
    <cellStyle name="Normal 2 2 9 13 2 4 3" xfId="37399" xr:uid="{00000000-0005-0000-0000-00003C4D0000}"/>
    <cellStyle name="Normal 2 2 9 13 2 5" xfId="8300" xr:uid="{00000000-0005-0000-0000-00003D4D0000}"/>
    <cellStyle name="Normal 2 2 9 13 2 5 2" xfId="37400" xr:uid="{00000000-0005-0000-0000-00003E4D0000}"/>
    <cellStyle name="Normal 2 2 9 13 2 6" xfId="8301" xr:uid="{00000000-0005-0000-0000-00003F4D0000}"/>
    <cellStyle name="Normal 2 2 9 13 2 6 2" xfId="37401" xr:uid="{00000000-0005-0000-0000-0000404D0000}"/>
    <cellStyle name="Normal 2 2 9 13 2 7" xfId="37402" xr:uid="{00000000-0005-0000-0000-0000414D0000}"/>
    <cellStyle name="Normal 2 2 9 13 2 7 2" xfId="37403" xr:uid="{00000000-0005-0000-0000-0000424D0000}"/>
    <cellStyle name="Normal 2 2 9 13 2 8" xfId="37404" xr:uid="{00000000-0005-0000-0000-0000434D0000}"/>
    <cellStyle name="Normal 2 2 9 13 2 9" xfId="37405" xr:uid="{00000000-0005-0000-0000-0000444D0000}"/>
    <cellStyle name="Normal 2 2 9 13 3" xfId="8302" xr:uid="{00000000-0005-0000-0000-0000454D0000}"/>
    <cellStyle name="Normal 2 2 9 13 3 2" xfId="8303" xr:uid="{00000000-0005-0000-0000-0000464D0000}"/>
    <cellStyle name="Normal 2 2 9 13 3 2 2" xfId="8304" xr:uid="{00000000-0005-0000-0000-0000474D0000}"/>
    <cellStyle name="Normal 2 2 9 13 3 2 2 2" xfId="37406" xr:uid="{00000000-0005-0000-0000-0000484D0000}"/>
    <cellStyle name="Normal 2 2 9 13 3 2 3" xfId="8305" xr:uid="{00000000-0005-0000-0000-0000494D0000}"/>
    <cellStyle name="Normal 2 2 9 13 3 2 3 2" xfId="37407" xr:uid="{00000000-0005-0000-0000-00004A4D0000}"/>
    <cellStyle name="Normal 2 2 9 13 3 2 4" xfId="37408" xr:uid="{00000000-0005-0000-0000-00004B4D0000}"/>
    <cellStyle name="Normal 2 2 9 13 3 3" xfId="8306" xr:uid="{00000000-0005-0000-0000-00004C4D0000}"/>
    <cellStyle name="Normal 2 2 9 13 3 3 2" xfId="37409" xr:uid="{00000000-0005-0000-0000-00004D4D0000}"/>
    <cellStyle name="Normal 2 2 9 13 3 4" xfId="8307" xr:uid="{00000000-0005-0000-0000-00004E4D0000}"/>
    <cellStyle name="Normal 2 2 9 13 3 4 2" xfId="37410" xr:uid="{00000000-0005-0000-0000-00004F4D0000}"/>
    <cellStyle name="Normal 2 2 9 13 3 5" xfId="8308" xr:uid="{00000000-0005-0000-0000-0000504D0000}"/>
    <cellStyle name="Normal 2 2 9 13 3 5 2" xfId="37411" xr:uid="{00000000-0005-0000-0000-0000514D0000}"/>
    <cellStyle name="Normal 2 2 9 13 3 6" xfId="37412" xr:uid="{00000000-0005-0000-0000-0000524D0000}"/>
    <cellStyle name="Normal 2 2 9 13 3 6 2" xfId="37413" xr:uid="{00000000-0005-0000-0000-0000534D0000}"/>
    <cellStyle name="Normal 2 2 9 13 3 7" xfId="37414" xr:uid="{00000000-0005-0000-0000-0000544D0000}"/>
    <cellStyle name="Normal 2 2 9 13 4" xfId="8309" xr:uid="{00000000-0005-0000-0000-0000554D0000}"/>
    <cellStyle name="Normal 2 2 9 13 4 2" xfId="8310" xr:uid="{00000000-0005-0000-0000-0000564D0000}"/>
    <cellStyle name="Normal 2 2 9 13 4 2 2" xfId="37415" xr:uid="{00000000-0005-0000-0000-0000574D0000}"/>
    <cellStyle name="Normal 2 2 9 13 4 3" xfId="8311" xr:uid="{00000000-0005-0000-0000-0000584D0000}"/>
    <cellStyle name="Normal 2 2 9 13 4 3 2" xfId="37416" xr:uid="{00000000-0005-0000-0000-0000594D0000}"/>
    <cellStyle name="Normal 2 2 9 13 4 4" xfId="37417" xr:uid="{00000000-0005-0000-0000-00005A4D0000}"/>
    <cellStyle name="Normal 2 2 9 13 5" xfId="8312" xr:uid="{00000000-0005-0000-0000-00005B4D0000}"/>
    <cellStyle name="Normal 2 2 9 13 5 2" xfId="8313" xr:uid="{00000000-0005-0000-0000-00005C4D0000}"/>
    <cellStyle name="Normal 2 2 9 13 5 2 2" xfId="37418" xr:uid="{00000000-0005-0000-0000-00005D4D0000}"/>
    <cellStyle name="Normal 2 2 9 13 5 3" xfId="37419" xr:uid="{00000000-0005-0000-0000-00005E4D0000}"/>
    <cellStyle name="Normal 2 2 9 13 6" xfId="8314" xr:uid="{00000000-0005-0000-0000-00005F4D0000}"/>
    <cellStyle name="Normal 2 2 9 13 6 2" xfId="37420" xr:uid="{00000000-0005-0000-0000-0000604D0000}"/>
    <cellStyle name="Normal 2 2 9 13 7" xfId="8315" xr:uid="{00000000-0005-0000-0000-0000614D0000}"/>
    <cellStyle name="Normal 2 2 9 13 7 2" xfId="37421" xr:uid="{00000000-0005-0000-0000-0000624D0000}"/>
    <cellStyle name="Normal 2 2 9 13 8" xfId="37422" xr:uid="{00000000-0005-0000-0000-0000634D0000}"/>
    <cellStyle name="Normal 2 2 9 13 8 2" xfId="37423" xr:uid="{00000000-0005-0000-0000-0000644D0000}"/>
    <cellStyle name="Normal 2 2 9 13 9" xfId="37424" xr:uid="{00000000-0005-0000-0000-0000654D0000}"/>
    <cellStyle name="Normal 2 2 9 14" xfId="8316" xr:uid="{00000000-0005-0000-0000-0000664D0000}"/>
    <cellStyle name="Normal 2 2 9 14 10" xfId="37425" xr:uid="{00000000-0005-0000-0000-0000674D0000}"/>
    <cellStyle name="Normal 2 2 9 14 11" xfId="37426" xr:uid="{00000000-0005-0000-0000-0000684D0000}"/>
    <cellStyle name="Normal 2 2 9 14 2" xfId="8317" xr:uid="{00000000-0005-0000-0000-0000694D0000}"/>
    <cellStyle name="Normal 2 2 9 14 2 10" xfId="37427" xr:uid="{00000000-0005-0000-0000-00006A4D0000}"/>
    <cellStyle name="Normal 2 2 9 14 2 2" xfId="8318" xr:uid="{00000000-0005-0000-0000-00006B4D0000}"/>
    <cellStyle name="Normal 2 2 9 14 2 2 2" xfId="8319" xr:uid="{00000000-0005-0000-0000-00006C4D0000}"/>
    <cellStyle name="Normal 2 2 9 14 2 2 2 2" xfId="8320" xr:uid="{00000000-0005-0000-0000-00006D4D0000}"/>
    <cellStyle name="Normal 2 2 9 14 2 2 2 2 2" xfId="37428" xr:uid="{00000000-0005-0000-0000-00006E4D0000}"/>
    <cellStyle name="Normal 2 2 9 14 2 2 2 3" xfId="8321" xr:uid="{00000000-0005-0000-0000-00006F4D0000}"/>
    <cellStyle name="Normal 2 2 9 14 2 2 2 3 2" xfId="37429" xr:uid="{00000000-0005-0000-0000-0000704D0000}"/>
    <cellStyle name="Normal 2 2 9 14 2 2 2 4" xfId="37430" xr:uid="{00000000-0005-0000-0000-0000714D0000}"/>
    <cellStyle name="Normal 2 2 9 14 2 2 3" xfId="8322" xr:uid="{00000000-0005-0000-0000-0000724D0000}"/>
    <cellStyle name="Normal 2 2 9 14 2 2 3 2" xfId="37431" xr:uid="{00000000-0005-0000-0000-0000734D0000}"/>
    <cellStyle name="Normal 2 2 9 14 2 2 4" xfId="8323" xr:uid="{00000000-0005-0000-0000-0000744D0000}"/>
    <cellStyle name="Normal 2 2 9 14 2 2 4 2" xfId="37432" xr:uid="{00000000-0005-0000-0000-0000754D0000}"/>
    <cellStyle name="Normal 2 2 9 14 2 2 5" xfId="8324" xr:uid="{00000000-0005-0000-0000-0000764D0000}"/>
    <cellStyle name="Normal 2 2 9 14 2 2 5 2" xfId="37433" xr:uid="{00000000-0005-0000-0000-0000774D0000}"/>
    <cellStyle name="Normal 2 2 9 14 2 2 6" xfId="37434" xr:uid="{00000000-0005-0000-0000-0000784D0000}"/>
    <cellStyle name="Normal 2 2 9 14 2 2 6 2" xfId="37435" xr:uid="{00000000-0005-0000-0000-0000794D0000}"/>
    <cellStyle name="Normal 2 2 9 14 2 2 7" xfId="37436" xr:uid="{00000000-0005-0000-0000-00007A4D0000}"/>
    <cellStyle name="Normal 2 2 9 14 2 3" xfId="8325" xr:uid="{00000000-0005-0000-0000-00007B4D0000}"/>
    <cellStyle name="Normal 2 2 9 14 2 3 2" xfId="8326" xr:uid="{00000000-0005-0000-0000-00007C4D0000}"/>
    <cellStyle name="Normal 2 2 9 14 2 3 2 2" xfId="37437" xr:uid="{00000000-0005-0000-0000-00007D4D0000}"/>
    <cellStyle name="Normal 2 2 9 14 2 3 3" xfId="8327" xr:uid="{00000000-0005-0000-0000-00007E4D0000}"/>
    <cellStyle name="Normal 2 2 9 14 2 3 3 2" xfId="37438" xr:uid="{00000000-0005-0000-0000-00007F4D0000}"/>
    <cellStyle name="Normal 2 2 9 14 2 3 4" xfId="37439" xr:uid="{00000000-0005-0000-0000-0000804D0000}"/>
    <cellStyle name="Normal 2 2 9 14 2 4" xfId="8328" xr:uid="{00000000-0005-0000-0000-0000814D0000}"/>
    <cellStyle name="Normal 2 2 9 14 2 4 2" xfId="8329" xr:uid="{00000000-0005-0000-0000-0000824D0000}"/>
    <cellStyle name="Normal 2 2 9 14 2 4 2 2" xfId="37440" xr:uid="{00000000-0005-0000-0000-0000834D0000}"/>
    <cellStyle name="Normal 2 2 9 14 2 4 3" xfId="37441" xr:uid="{00000000-0005-0000-0000-0000844D0000}"/>
    <cellStyle name="Normal 2 2 9 14 2 5" xfId="8330" xr:uid="{00000000-0005-0000-0000-0000854D0000}"/>
    <cellStyle name="Normal 2 2 9 14 2 5 2" xfId="37442" xr:uid="{00000000-0005-0000-0000-0000864D0000}"/>
    <cellStyle name="Normal 2 2 9 14 2 6" xfId="8331" xr:uid="{00000000-0005-0000-0000-0000874D0000}"/>
    <cellStyle name="Normal 2 2 9 14 2 6 2" xfId="37443" xr:uid="{00000000-0005-0000-0000-0000884D0000}"/>
    <cellStyle name="Normal 2 2 9 14 2 7" xfId="37444" xr:uid="{00000000-0005-0000-0000-0000894D0000}"/>
    <cellStyle name="Normal 2 2 9 14 2 7 2" xfId="37445" xr:uid="{00000000-0005-0000-0000-00008A4D0000}"/>
    <cellStyle name="Normal 2 2 9 14 2 8" xfId="37446" xr:uid="{00000000-0005-0000-0000-00008B4D0000}"/>
    <cellStyle name="Normal 2 2 9 14 2 9" xfId="37447" xr:uid="{00000000-0005-0000-0000-00008C4D0000}"/>
    <cellStyle name="Normal 2 2 9 14 3" xfId="8332" xr:uid="{00000000-0005-0000-0000-00008D4D0000}"/>
    <cellStyle name="Normal 2 2 9 14 3 2" xfId="8333" xr:uid="{00000000-0005-0000-0000-00008E4D0000}"/>
    <cellStyle name="Normal 2 2 9 14 3 2 2" xfId="8334" xr:uid="{00000000-0005-0000-0000-00008F4D0000}"/>
    <cellStyle name="Normal 2 2 9 14 3 2 2 2" xfId="37448" xr:uid="{00000000-0005-0000-0000-0000904D0000}"/>
    <cellStyle name="Normal 2 2 9 14 3 2 3" xfId="8335" xr:uid="{00000000-0005-0000-0000-0000914D0000}"/>
    <cellStyle name="Normal 2 2 9 14 3 2 3 2" xfId="37449" xr:uid="{00000000-0005-0000-0000-0000924D0000}"/>
    <cellStyle name="Normal 2 2 9 14 3 2 4" xfId="37450" xr:uid="{00000000-0005-0000-0000-0000934D0000}"/>
    <cellStyle name="Normal 2 2 9 14 3 3" xfId="8336" xr:uid="{00000000-0005-0000-0000-0000944D0000}"/>
    <cellStyle name="Normal 2 2 9 14 3 3 2" xfId="37451" xr:uid="{00000000-0005-0000-0000-0000954D0000}"/>
    <cellStyle name="Normal 2 2 9 14 3 4" xfId="8337" xr:uid="{00000000-0005-0000-0000-0000964D0000}"/>
    <cellStyle name="Normal 2 2 9 14 3 4 2" xfId="37452" xr:uid="{00000000-0005-0000-0000-0000974D0000}"/>
    <cellStyle name="Normal 2 2 9 14 3 5" xfId="8338" xr:uid="{00000000-0005-0000-0000-0000984D0000}"/>
    <cellStyle name="Normal 2 2 9 14 3 5 2" xfId="37453" xr:uid="{00000000-0005-0000-0000-0000994D0000}"/>
    <cellStyle name="Normal 2 2 9 14 3 6" xfId="37454" xr:uid="{00000000-0005-0000-0000-00009A4D0000}"/>
    <cellStyle name="Normal 2 2 9 14 3 6 2" xfId="37455" xr:uid="{00000000-0005-0000-0000-00009B4D0000}"/>
    <cellStyle name="Normal 2 2 9 14 3 7" xfId="37456" xr:uid="{00000000-0005-0000-0000-00009C4D0000}"/>
    <cellStyle name="Normal 2 2 9 14 4" xfId="8339" xr:uid="{00000000-0005-0000-0000-00009D4D0000}"/>
    <cellStyle name="Normal 2 2 9 14 4 2" xfId="8340" xr:uid="{00000000-0005-0000-0000-00009E4D0000}"/>
    <cellStyle name="Normal 2 2 9 14 4 2 2" xfId="37457" xr:uid="{00000000-0005-0000-0000-00009F4D0000}"/>
    <cellStyle name="Normal 2 2 9 14 4 3" xfId="8341" xr:uid="{00000000-0005-0000-0000-0000A04D0000}"/>
    <cellStyle name="Normal 2 2 9 14 4 3 2" xfId="37458" xr:uid="{00000000-0005-0000-0000-0000A14D0000}"/>
    <cellStyle name="Normal 2 2 9 14 4 4" xfId="37459" xr:uid="{00000000-0005-0000-0000-0000A24D0000}"/>
    <cellStyle name="Normal 2 2 9 14 5" xfId="8342" xr:uid="{00000000-0005-0000-0000-0000A34D0000}"/>
    <cellStyle name="Normal 2 2 9 14 5 2" xfId="8343" xr:uid="{00000000-0005-0000-0000-0000A44D0000}"/>
    <cellStyle name="Normal 2 2 9 14 5 2 2" xfId="37460" xr:uid="{00000000-0005-0000-0000-0000A54D0000}"/>
    <cellStyle name="Normal 2 2 9 14 5 3" xfId="37461" xr:uid="{00000000-0005-0000-0000-0000A64D0000}"/>
    <cellStyle name="Normal 2 2 9 14 6" xfId="8344" xr:uid="{00000000-0005-0000-0000-0000A74D0000}"/>
    <cellStyle name="Normal 2 2 9 14 6 2" xfId="37462" xr:uid="{00000000-0005-0000-0000-0000A84D0000}"/>
    <cellStyle name="Normal 2 2 9 14 7" xfId="8345" xr:uid="{00000000-0005-0000-0000-0000A94D0000}"/>
    <cellStyle name="Normal 2 2 9 14 7 2" xfId="37463" xr:uid="{00000000-0005-0000-0000-0000AA4D0000}"/>
    <cellStyle name="Normal 2 2 9 14 8" xfId="37464" xr:uid="{00000000-0005-0000-0000-0000AB4D0000}"/>
    <cellStyle name="Normal 2 2 9 14 8 2" xfId="37465" xr:uid="{00000000-0005-0000-0000-0000AC4D0000}"/>
    <cellStyle name="Normal 2 2 9 14 9" xfId="37466" xr:uid="{00000000-0005-0000-0000-0000AD4D0000}"/>
    <cellStyle name="Normal 2 2 9 15" xfId="8346" xr:uid="{00000000-0005-0000-0000-0000AE4D0000}"/>
    <cellStyle name="Normal 2 2 9 15 10" xfId="37467" xr:uid="{00000000-0005-0000-0000-0000AF4D0000}"/>
    <cellStyle name="Normal 2 2 9 15 11" xfId="37468" xr:uid="{00000000-0005-0000-0000-0000B04D0000}"/>
    <cellStyle name="Normal 2 2 9 15 2" xfId="8347" xr:uid="{00000000-0005-0000-0000-0000B14D0000}"/>
    <cellStyle name="Normal 2 2 9 15 2 10" xfId="37469" xr:uid="{00000000-0005-0000-0000-0000B24D0000}"/>
    <cellStyle name="Normal 2 2 9 15 2 2" xfId="8348" xr:uid="{00000000-0005-0000-0000-0000B34D0000}"/>
    <cellStyle name="Normal 2 2 9 15 2 2 2" xfId="8349" xr:uid="{00000000-0005-0000-0000-0000B44D0000}"/>
    <cellStyle name="Normal 2 2 9 15 2 2 2 2" xfId="8350" xr:uid="{00000000-0005-0000-0000-0000B54D0000}"/>
    <cellStyle name="Normal 2 2 9 15 2 2 2 2 2" xfId="37470" xr:uid="{00000000-0005-0000-0000-0000B64D0000}"/>
    <cellStyle name="Normal 2 2 9 15 2 2 2 3" xfId="8351" xr:uid="{00000000-0005-0000-0000-0000B74D0000}"/>
    <cellStyle name="Normal 2 2 9 15 2 2 2 3 2" xfId="37471" xr:uid="{00000000-0005-0000-0000-0000B84D0000}"/>
    <cellStyle name="Normal 2 2 9 15 2 2 2 4" xfId="37472" xr:uid="{00000000-0005-0000-0000-0000B94D0000}"/>
    <cellStyle name="Normal 2 2 9 15 2 2 3" xfId="8352" xr:uid="{00000000-0005-0000-0000-0000BA4D0000}"/>
    <cellStyle name="Normal 2 2 9 15 2 2 3 2" xfId="37473" xr:uid="{00000000-0005-0000-0000-0000BB4D0000}"/>
    <cellStyle name="Normal 2 2 9 15 2 2 4" xfId="8353" xr:uid="{00000000-0005-0000-0000-0000BC4D0000}"/>
    <cellStyle name="Normal 2 2 9 15 2 2 4 2" xfId="37474" xr:uid="{00000000-0005-0000-0000-0000BD4D0000}"/>
    <cellStyle name="Normal 2 2 9 15 2 2 5" xfId="8354" xr:uid="{00000000-0005-0000-0000-0000BE4D0000}"/>
    <cellStyle name="Normal 2 2 9 15 2 2 5 2" xfId="37475" xr:uid="{00000000-0005-0000-0000-0000BF4D0000}"/>
    <cellStyle name="Normal 2 2 9 15 2 2 6" xfId="37476" xr:uid="{00000000-0005-0000-0000-0000C04D0000}"/>
    <cellStyle name="Normal 2 2 9 15 2 2 6 2" xfId="37477" xr:uid="{00000000-0005-0000-0000-0000C14D0000}"/>
    <cellStyle name="Normal 2 2 9 15 2 2 7" xfId="37478" xr:uid="{00000000-0005-0000-0000-0000C24D0000}"/>
    <cellStyle name="Normal 2 2 9 15 2 3" xfId="8355" xr:uid="{00000000-0005-0000-0000-0000C34D0000}"/>
    <cellStyle name="Normal 2 2 9 15 2 3 2" xfId="8356" xr:uid="{00000000-0005-0000-0000-0000C44D0000}"/>
    <cellStyle name="Normal 2 2 9 15 2 3 2 2" xfId="37479" xr:uid="{00000000-0005-0000-0000-0000C54D0000}"/>
    <cellStyle name="Normal 2 2 9 15 2 3 3" xfId="8357" xr:uid="{00000000-0005-0000-0000-0000C64D0000}"/>
    <cellStyle name="Normal 2 2 9 15 2 3 3 2" xfId="37480" xr:uid="{00000000-0005-0000-0000-0000C74D0000}"/>
    <cellStyle name="Normal 2 2 9 15 2 3 4" xfId="37481" xr:uid="{00000000-0005-0000-0000-0000C84D0000}"/>
    <cellStyle name="Normal 2 2 9 15 2 4" xfId="8358" xr:uid="{00000000-0005-0000-0000-0000C94D0000}"/>
    <cellStyle name="Normal 2 2 9 15 2 4 2" xfId="8359" xr:uid="{00000000-0005-0000-0000-0000CA4D0000}"/>
    <cellStyle name="Normal 2 2 9 15 2 4 2 2" xfId="37482" xr:uid="{00000000-0005-0000-0000-0000CB4D0000}"/>
    <cellStyle name="Normal 2 2 9 15 2 4 3" xfId="37483" xr:uid="{00000000-0005-0000-0000-0000CC4D0000}"/>
    <cellStyle name="Normal 2 2 9 15 2 5" xfId="8360" xr:uid="{00000000-0005-0000-0000-0000CD4D0000}"/>
    <cellStyle name="Normal 2 2 9 15 2 5 2" xfId="37484" xr:uid="{00000000-0005-0000-0000-0000CE4D0000}"/>
    <cellStyle name="Normal 2 2 9 15 2 6" xfId="8361" xr:uid="{00000000-0005-0000-0000-0000CF4D0000}"/>
    <cellStyle name="Normal 2 2 9 15 2 6 2" xfId="37485" xr:uid="{00000000-0005-0000-0000-0000D04D0000}"/>
    <cellStyle name="Normal 2 2 9 15 2 7" xfId="37486" xr:uid="{00000000-0005-0000-0000-0000D14D0000}"/>
    <cellStyle name="Normal 2 2 9 15 2 7 2" xfId="37487" xr:uid="{00000000-0005-0000-0000-0000D24D0000}"/>
    <cellStyle name="Normal 2 2 9 15 2 8" xfId="37488" xr:uid="{00000000-0005-0000-0000-0000D34D0000}"/>
    <cellStyle name="Normal 2 2 9 15 2 9" xfId="37489" xr:uid="{00000000-0005-0000-0000-0000D44D0000}"/>
    <cellStyle name="Normal 2 2 9 15 3" xfId="8362" xr:uid="{00000000-0005-0000-0000-0000D54D0000}"/>
    <cellStyle name="Normal 2 2 9 15 3 2" xfId="8363" xr:uid="{00000000-0005-0000-0000-0000D64D0000}"/>
    <cellStyle name="Normal 2 2 9 15 3 2 2" xfId="8364" xr:uid="{00000000-0005-0000-0000-0000D74D0000}"/>
    <cellStyle name="Normal 2 2 9 15 3 2 2 2" xfId="37490" xr:uid="{00000000-0005-0000-0000-0000D84D0000}"/>
    <cellStyle name="Normal 2 2 9 15 3 2 3" xfId="8365" xr:uid="{00000000-0005-0000-0000-0000D94D0000}"/>
    <cellStyle name="Normal 2 2 9 15 3 2 3 2" xfId="37491" xr:uid="{00000000-0005-0000-0000-0000DA4D0000}"/>
    <cellStyle name="Normal 2 2 9 15 3 2 4" xfId="37492" xr:uid="{00000000-0005-0000-0000-0000DB4D0000}"/>
    <cellStyle name="Normal 2 2 9 15 3 3" xfId="8366" xr:uid="{00000000-0005-0000-0000-0000DC4D0000}"/>
    <cellStyle name="Normal 2 2 9 15 3 3 2" xfId="37493" xr:uid="{00000000-0005-0000-0000-0000DD4D0000}"/>
    <cellStyle name="Normal 2 2 9 15 3 4" xfId="8367" xr:uid="{00000000-0005-0000-0000-0000DE4D0000}"/>
    <cellStyle name="Normal 2 2 9 15 3 4 2" xfId="37494" xr:uid="{00000000-0005-0000-0000-0000DF4D0000}"/>
    <cellStyle name="Normal 2 2 9 15 3 5" xfId="8368" xr:uid="{00000000-0005-0000-0000-0000E04D0000}"/>
    <cellStyle name="Normal 2 2 9 15 3 5 2" xfId="37495" xr:uid="{00000000-0005-0000-0000-0000E14D0000}"/>
    <cellStyle name="Normal 2 2 9 15 3 6" xfId="37496" xr:uid="{00000000-0005-0000-0000-0000E24D0000}"/>
    <cellStyle name="Normal 2 2 9 15 3 6 2" xfId="37497" xr:uid="{00000000-0005-0000-0000-0000E34D0000}"/>
    <cellStyle name="Normal 2 2 9 15 3 7" xfId="37498" xr:uid="{00000000-0005-0000-0000-0000E44D0000}"/>
    <cellStyle name="Normal 2 2 9 15 4" xfId="8369" xr:uid="{00000000-0005-0000-0000-0000E54D0000}"/>
    <cellStyle name="Normal 2 2 9 15 4 2" xfId="8370" xr:uid="{00000000-0005-0000-0000-0000E64D0000}"/>
    <cellStyle name="Normal 2 2 9 15 4 2 2" xfId="37499" xr:uid="{00000000-0005-0000-0000-0000E74D0000}"/>
    <cellStyle name="Normal 2 2 9 15 4 3" xfId="8371" xr:uid="{00000000-0005-0000-0000-0000E84D0000}"/>
    <cellStyle name="Normal 2 2 9 15 4 3 2" xfId="37500" xr:uid="{00000000-0005-0000-0000-0000E94D0000}"/>
    <cellStyle name="Normal 2 2 9 15 4 4" xfId="37501" xr:uid="{00000000-0005-0000-0000-0000EA4D0000}"/>
    <cellStyle name="Normal 2 2 9 15 5" xfId="8372" xr:uid="{00000000-0005-0000-0000-0000EB4D0000}"/>
    <cellStyle name="Normal 2 2 9 15 5 2" xfId="8373" xr:uid="{00000000-0005-0000-0000-0000EC4D0000}"/>
    <cellStyle name="Normal 2 2 9 15 5 2 2" xfId="37502" xr:uid="{00000000-0005-0000-0000-0000ED4D0000}"/>
    <cellStyle name="Normal 2 2 9 15 5 3" xfId="37503" xr:uid="{00000000-0005-0000-0000-0000EE4D0000}"/>
    <cellStyle name="Normal 2 2 9 15 6" xfId="8374" xr:uid="{00000000-0005-0000-0000-0000EF4D0000}"/>
    <cellStyle name="Normal 2 2 9 15 6 2" xfId="37504" xr:uid="{00000000-0005-0000-0000-0000F04D0000}"/>
    <cellStyle name="Normal 2 2 9 15 7" xfId="8375" xr:uid="{00000000-0005-0000-0000-0000F14D0000}"/>
    <cellStyle name="Normal 2 2 9 15 7 2" xfId="37505" xr:uid="{00000000-0005-0000-0000-0000F24D0000}"/>
    <cellStyle name="Normal 2 2 9 15 8" xfId="37506" xr:uid="{00000000-0005-0000-0000-0000F34D0000}"/>
    <cellStyle name="Normal 2 2 9 15 8 2" xfId="37507" xr:uid="{00000000-0005-0000-0000-0000F44D0000}"/>
    <cellStyle name="Normal 2 2 9 15 9" xfId="37508" xr:uid="{00000000-0005-0000-0000-0000F54D0000}"/>
    <cellStyle name="Normal 2 2 9 16" xfId="8376" xr:uid="{00000000-0005-0000-0000-0000F64D0000}"/>
    <cellStyle name="Normal 2 2 9 16 10" xfId="37509" xr:uid="{00000000-0005-0000-0000-0000F74D0000}"/>
    <cellStyle name="Normal 2 2 9 16 11" xfId="37510" xr:uid="{00000000-0005-0000-0000-0000F84D0000}"/>
    <cellStyle name="Normal 2 2 9 16 2" xfId="8377" xr:uid="{00000000-0005-0000-0000-0000F94D0000}"/>
    <cellStyle name="Normal 2 2 9 16 2 10" xfId="37511" xr:uid="{00000000-0005-0000-0000-0000FA4D0000}"/>
    <cellStyle name="Normal 2 2 9 16 2 2" xfId="8378" xr:uid="{00000000-0005-0000-0000-0000FB4D0000}"/>
    <cellStyle name="Normal 2 2 9 16 2 2 2" xfId="8379" xr:uid="{00000000-0005-0000-0000-0000FC4D0000}"/>
    <cellStyle name="Normal 2 2 9 16 2 2 2 2" xfId="8380" xr:uid="{00000000-0005-0000-0000-0000FD4D0000}"/>
    <cellStyle name="Normal 2 2 9 16 2 2 2 2 2" xfId="37512" xr:uid="{00000000-0005-0000-0000-0000FE4D0000}"/>
    <cellStyle name="Normal 2 2 9 16 2 2 2 3" xfId="8381" xr:uid="{00000000-0005-0000-0000-0000FF4D0000}"/>
    <cellStyle name="Normal 2 2 9 16 2 2 2 3 2" xfId="37513" xr:uid="{00000000-0005-0000-0000-0000004E0000}"/>
    <cellStyle name="Normal 2 2 9 16 2 2 2 4" xfId="37514" xr:uid="{00000000-0005-0000-0000-0000014E0000}"/>
    <cellStyle name="Normal 2 2 9 16 2 2 3" xfId="8382" xr:uid="{00000000-0005-0000-0000-0000024E0000}"/>
    <cellStyle name="Normal 2 2 9 16 2 2 3 2" xfId="37515" xr:uid="{00000000-0005-0000-0000-0000034E0000}"/>
    <cellStyle name="Normal 2 2 9 16 2 2 4" xfId="8383" xr:uid="{00000000-0005-0000-0000-0000044E0000}"/>
    <cellStyle name="Normal 2 2 9 16 2 2 4 2" xfId="37516" xr:uid="{00000000-0005-0000-0000-0000054E0000}"/>
    <cellStyle name="Normal 2 2 9 16 2 2 5" xfId="8384" xr:uid="{00000000-0005-0000-0000-0000064E0000}"/>
    <cellStyle name="Normal 2 2 9 16 2 2 5 2" xfId="37517" xr:uid="{00000000-0005-0000-0000-0000074E0000}"/>
    <cellStyle name="Normal 2 2 9 16 2 2 6" xfId="37518" xr:uid="{00000000-0005-0000-0000-0000084E0000}"/>
    <cellStyle name="Normal 2 2 9 16 2 2 6 2" xfId="37519" xr:uid="{00000000-0005-0000-0000-0000094E0000}"/>
    <cellStyle name="Normal 2 2 9 16 2 2 7" xfId="37520" xr:uid="{00000000-0005-0000-0000-00000A4E0000}"/>
    <cellStyle name="Normal 2 2 9 16 2 3" xfId="8385" xr:uid="{00000000-0005-0000-0000-00000B4E0000}"/>
    <cellStyle name="Normal 2 2 9 16 2 3 2" xfId="8386" xr:uid="{00000000-0005-0000-0000-00000C4E0000}"/>
    <cellStyle name="Normal 2 2 9 16 2 3 2 2" xfId="37521" xr:uid="{00000000-0005-0000-0000-00000D4E0000}"/>
    <cellStyle name="Normal 2 2 9 16 2 3 3" xfId="8387" xr:uid="{00000000-0005-0000-0000-00000E4E0000}"/>
    <cellStyle name="Normal 2 2 9 16 2 3 3 2" xfId="37522" xr:uid="{00000000-0005-0000-0000-00000F4E0000}"/>
    <cellStyle name="Normal 2 2 9 16 2 3 4" xfId="37523" xr:uid="{00000000-0005-0000-0000-0000104E0000}"/>
    <cellStyle name="Normal 2 2 9 16 2 4" xfId="8388" xr:uid="{00000000-0005-0000-0000-0000114E0000}"/>
    <cellStyle name="Normal 2 2 9 16 2 4 2" xfId="8389" xr:uid="{00000000-0005-0000-0000-0000124E0000}"/>
    <cellStyle name="Normal 2 2 9 16 2 4 2 2" xfId="37524" xr:uid="{00000000-0005-0000-0000-0000134E0000}"/>
    <cellStyle name="Normal 2 2 9 16 2 4 3" xfId="37525" xr:uid="{00000000-0005-0000-0000-0000144E0000}"/>
    <cellStyle name="Normal 2 2 9 16 2 5" xfId="8390" xr:uid="{00000000-0005-0000-0000-0000154E0000}"/>
    <cellStyle name="Normal 2 2 9 16 2 5 2" xfId="37526" xr:uid="{00000000-0005-0000-0000-0000164E0000}"/>
    <cellStyle name="Normal 2 2 9 16 2 6" xfId="8391" xr:uid="{00000000-0005-0000-0000-0000174E0000}"/>
    <cellStyle name="Normal 2 2 9 16 2 6 2" xfId="37527" xr:uid="{00000000-0005-0000-0000-0000184E0000}"/>
    <cellStyle name="Normal 2 2 9 16 2 7" xfId="37528" xr:uid="{00000000-0005-0000-0000-0000194E0000}"/>
    <cellStyle name="Normal 2 2 9 16 2 7 2" xfId="37529" xr:uid="{00000000-0005-0000-0000-00001A4E0000}"/>
    <cellStyle name="Normal 2 2 9 16 2 8" xfId="37530" xr:uid="{00000000-0005-0000-0000-00001B4E0000}"/>
    <cellStyle name="Normal 2 2 9 16 2 9" xfId="37531" xr:uid="{00000000-0005-0000-0000-00001C4E0000}"/>
    <cellStyle name="Normal 2 2 9 16 3" xfId="8392" xr:uid="{00000000-0005-0000-0000-00001D4E0000}"/>
    <cellStyle name="Normal 2 2 9 16 3 2" xfId="8393" xr:uid="{00000000-0005-0000-0000-00001E4E0000}"/>
    <cellStyle name="Normal 2 2 9 16 3 2 2" xfId="8394" xr:uid="{00000000-0005-0000-0000-00001F4E0000}"/>
    <cellStyle name="Normal 2 2 9 16 3 2 2 2" xfId="37532" xr:uid="{00000000-0005-0000-0000-0000204E0000}"/>
    <cellStyle name="Normal 2 2 9 16 3 2 3" xfId="8395" xr:uid="{00000000-0005-0000-0000-0000214E0000}"/>
    <cellStyle name="Normal 2 2 9 16 3 2 3 2" xfId="37533" xr:uid="{00000000-0005-0000-0000-0000224E0000}"/>
    <cellStyle name="Normal 2 2 9 16 3 2 4" xfId="37534" xr:uid="{00000000-0005-0000-0000-0000234E0000}"/>
    <cellStyle name="Normal 2 2 9 16 3 3" xfId="8396" xr:uid="{00000000-0005-0000-0000-0000244E0000}"/>
    <cellStyle name="Normal 2 2 9 16 3 3 2" xfId="37535" xr:uid="{00000000-0005-0000-0000-0000254E0000}"/>
    <cellStyle name="Normal 2 2 9 16 3 4" xfId="8397" xr:uid="{00000000-0005-0000-0000-0000264E0000}"/>
    <cellStyle name="Normal 2 2 9 16 3 4 2" xfId="37536" xr:uid="{00000000-0005-0000-0000-0000274E0000}"/>
    <cellStyle name="Normal 2 2 9 16 3 5" xfId="8398" xr:uid="{00000000-0005-0000-0000-0000284E0000}"/>
    <cellStyle name="Normal 2 2 9 16 3 5 2" xfId="37537" xr:uid="{00000000-0005-0000-0000-0000294E0000}"/>
    <cellStyle name="Normal 2 2 9 16 3 6" xfId="37538" xr:uid="{00000000-0005-0000-0000-00002A4E0000}"/>
    <cellStyle name="Normal 2 2 9 16 3 6 2" xfId="37539" xr:uid="{00000000-0005-0000-0000-00002B4E0000}"/>
    <cellStyle name="Normal 2 2 9 16 3 7" xfId="37540" xr:uid="{00000000-0005-0000-0000-00002C4E0000}"/>
    <cellStyle name="Normal 2 2 9 16 4" xfId="8399" xr:uid="{00000000-0005-0000-0000-00002D4E0000}"/>
    <cellStyle name="Normal 2 2 9 16 4 2" xfId="8400" xr:uid="{00000000-0005-0000-0000-00002E4E0000}"/>
    <cellStyle name="Normal 2 2 9 16 4 2 2" xfId="37541" xr:uid="{00000000-0005-0000-0000-00002F4E0000}"/>
    <cellStyle name="Normal 2 2 9 16 4 3" xfId="8401" xr:uid="{00000000-0005-0000-0000-0000304E0000}"/>
    <cellStyle name="Normal 2 2 9 16 4 3 2" xfId="37542" xr:uid="{00000000-0005-0000-0000-0000314E0000}"/>
    <cellStyle name="Normal 2 2 9 16 4 4" xfId="37543" xr:uid="{00000000-0005-0000-0000-0000324E0000}"/>
    <cellStyle name="Normal 2 2 9 16 5" xfId="8402" xr:uid="{00000000-0005-0000-0000-0000334E0000}"/>
    <cellStyle name="Normal 2 2 9 16 5 2" xfId="8403" xr:uid="{00000000-0005-0000-0000-0000344E0000}"/>
    <cellStyle name="Normal 2 2 9 16 5 2 2" xfId="37544" xr:uid="{00000000-0005-0000-0000-0000354E0000}"/>
    <cellStyle name="Normal 2 2 9 16 5 3" xfId="37545" xr:uid="{00000000-0005-0000-0000-0000364E0000}"/>
    <cellStyle name="Normal 2 2 9 16 6" xfId="8404" xr:uid="{00000000-0005-0000-0000-0000374E0000}"/>
    <cellStyle name="Normal 2 2 9 16 6 2" xfId="37546" xr:uid="{00000000-0005-0000-0000-0000384E0000}"/>
    <cellStyle name="Normal 2 2 9 16 7" xfId="8405" xr:uid="{00000000-0005-0000-0000-0000394E0000}"/>
    <cellStyle name="Normal 2 2 9 16 7 2" xfId="37547" xr:uid="{00000000-0005-0000-0000-00003A4E0000}"/>
    <cellStyle name="Normal 2 2 9 16 8" xfId="37548" xr:uid="{00000000-0005-0000-0000-00003B4E0000}"/>
    <cellStyle name="Normal 2 2 9 16 8 2" xfId="37549" xr:uid="{00000000-0005-0000-0000-00003C4E0000}"/>
    <cellStyle name="Normal 2 2 9 16 9" xfId="37550" xr:uid="{00000000-0005-0000-0000-00003D4E0000}"/>
    <cellStyle name="Normal 2 2 9 17" xfId="8406" xr:uid="{00000000-0005-0000-0000-00003E4E0000}"/>
    <cellStyle name="Normal 2 2 9 17 10" xfId="37551" xr:uid="{00000000-0005-0000-0000-00003F4E0000}"/>
    <cellStyle name="Normal 2 2 9 17 11" xfId="37552" xr:uid="{00000000-0005-0000-0000-0000404E0000}"/>
    <cellStyle name="Normal 2 2 9 17 2" xfId="8407" xr:uid="{00000000-0005-0000-0000-0000414E0000}"/>
    <cellStyle name="Normal 2 2 9 17 2 10" xfId="37553" xr:uid="{00000000-0005-0000-0000-0000424E0000}"/>
    <cellStyle name="Normal 2 2 9 17 2 2" xfId="8408" xr:uid="{00000000-0005-0000-0000-0000434E0000}"/>
    <cellStyle name="Normal 2 2 9 17 2 2 2" xfId="8409" xr:uid="{00000000-0005-0000-0000-0000444E0000}"/>
    <cellStyle name="Normal 2 2 9 17 2 2 2 2" xfId="8410" xr:uid="{00000000-0005-0000-0000-0000454E0000}"/>
    <cellStyle name="Normal 2 2 9 17 2 2 2 2 2" xfId="37554" xr:uid="{00000000-0005-0000-0000-0000464E0000}"/>
    <cellStyle name="Normal 2 2 9 17 2 2 2 3" xfId="8411" xr:uid="{00000000-0005-0000-0000-0000474E0000}"/>
    <cellStyle name="Normal 2 2 9 17 2 2 2 3 2" xfId="37555" xr:uid="{00000000-0005-0000-0000-0000484E0000}"/>
    <cellStyle name="Normal 2 2 9 17 2 2 2 4" xfId="37556" xr:uid="{00000000-0005-0000-0000-0000494E0000}"/>
    <cellStyle name="Normal 2 2 9 17 2 2 3" xfId="8412" xr:uid="{00000000-0005-0000-0000-00004A4E0000}"/>
    <cellStyle name="Normal 2 2 9 17 2 2 3 2" xfId="37557" xr:uid="{00000000-0005-0000-0000-00004B4E0000}"/>
    <cellStyle name="Normal 2 2 9 17 2 2 4" xfId="8413" xr:uid="{00000000-0005-0000-0000-00004C4E0000}"/>
    <cellStyle name="Normal 2 2 9 17 2 2 4 2" xfId="37558" xr:uid="{00000000-0005-0000-0000-00004D4E0000}"/>
    <cellStyle name="Normal 2 2 9 17 2 2 5" xfId="8414" xr:uid="{00000000-0005-0000-0000-00004E4E0000}"/>
    <cellStyle name="Normal 2 2 9 17 2 2 5 2" xfId="37559" xr:uid="{00000000-0005-0000-0000-00004F4E0000}"/>
    <cellStyle name="Normal 2 2 9 17 2 2 6" xfId="37560" xr:uid="{00000000-0005-0000-0000-0000504E0000}"/>
    <cellStyle name="Normal 2 2 9 17 2 2 6 2" xfId="37561" xr:uid="{00000000-0005-0000-0000-0000514E0000}"/>
    <cellStyle name="Normal 2 2 9 17 2 2 7" xfId="37562" xr:uid="{00000000-0005-0000-0000-0000524E0000}"/>
    <cellStyle name="Normal 2 2 9 17 2 3" xfId="8415" xr:uid="{00000000-0005-0000-0000-0000534E0000}"/>
    <cellStyle name="Normal 2 2 9 17 2 3 2" xfId="8416" xr:uid="{00000000-0005-0000-0000-0000544E0000}"/>
    <cellStyle name="Normal 2 2 9 17 2 3 2 2" xfId="37563" xr:uid="{00000000-0005-0000-0000-0000554E0000}"/>
    <cellStyle name="Normal 2 2 9 17 2 3 3" xfId="8417" xr:uid="{00000000-0005-0000-0000-0000564E0000}"/>
    <cellStyle name="Normal 2 2 9 17 2 3 3 2" xfId="37564" xr:uid="{00000000-0005-0000-0000-0000574E0000}"/>
    <cellStyle name="Normal 2 2 9 17 2 3 4" xfId="37565" xr:uid="{00000000-0005-0000-0000-0000584E0000}"/>
    <cellStyle name="Normal 2 2 9 17 2 4" xfId="8418" xr:uid="{00000000-0005-0000-0000-0000594E0000}"/>
    <cellStyle name="Normal 2 2 9 17 2 4 2" xfId="8419" xr:uid="{00000000-0005-0000-0000-00005A4E0000}"/>
    <cellStyle name="Normal 2 2 9 17 2 4 2 2" xfId="37566" xr:uid="{00000000-0005-0000-0000-00005B4E0000}"/>
    <cellStyle name="Normal 2 2 9 17 2 4 3" xfId="37567" xr:uid="{00000000-0005-0000-0000-00005C4E0000}"/>
    <cellStyle name="Normal 2 2 9 17 2 5" xfId="8420" xr:uid="{00000000-0005-0000-0000-00005D4E0000}"/>
    <cellStyle name="Normal 2 2 9 17 2 5 2" xfId="37568" xr:uid="{00000000-0005-0000-0000-00005E4E0000}"/>
    <cellStyle name="Normal 2 2 9 17 2 6" xfId="8421" xr:uid="{00000000-0005-0000-0000-00005F4E0000}"/>
    <cellStyle name="Normal 2 2 9 17 2 6 2" xfId="37569" xr:uid="{00000000-0005-0000-0000-0000604E0000}"/>
    <cellStyle name="Normal 2 2 9 17 2 7" xfId="37570" xr:uid="{00000000-0005-0000-0000-0000614E0000}"/>
    <cellStyle name="Normal 2 2 9 17 2 7 2" xfId="37571" xr:uid="{00000000-0005-0000-0000-0000624E0000}"/>
    <cellStyle name="Normal 2 2 9 17 2 8" xfId="37572" xr:uid="{00000000-0005-0000-0000-0000634E0000}"/>
    <cellStyle name="Normal 2 2 9 17 2 9" xfId="37573" xr:uid="{00000000-0005-0000-0000-0000644E0000}"/>
    <cellStyle name="Normal 2 2 9 17 3" xfId="8422" xr:uid="{00000000-0005-0000-0000-0000654E0000}"/>
    <cellStyle name="Normal 2 2 9 17 3 2" xfId="8423" xr:uid="{00000000-0005-0000-0000-0000664E0000}"/>
    <cellStyle name="Normal 2 2 9 17 3 2 2" xfId="8424" xr:uid="{00000000-0005-0000-0000-0000674E0000}"/>
    <cellStyle name="Normal 2 2 9 17 3 2 2 2" xfId="37574" xr:uid="{00000000-0005-0000-0000-0000684E0000}"/>
    <cellStyle name="Normal 2 2 9 17 3 2 3" xfId="8425" xr:uid="{00000000-0005-0000-0000-0000694E0000}"/>
    <cellStyle name="Normal 2 2 9 17 3 2 3 2" xfId="37575" xr:uid="{00000000-0005-0000-0000-00006A4E0000}"/>
    <cellStyle name="Normal 2 2 9 17 3 2 4" xfId="37576" xr:uid="{00000000-0005-0000-0000-00006B4E0000}"/>
    <cellStyle name="Normal 2 2 9 17 3 3" xfId="8426" xr:uid="{00000000-0005-0000-0000-00006C4E0000}"/>
    <cellStyle name="Normal 2 2 9 17 3 3 2" xfId="37577" xr:uid="{00000000-0005-0000-0000-00006D4E0000}"/>
    <cellStyle name="Normal 2 2 9 17 3 4" xfId="8427" xr:uid="{00000000-0005-0000-0000-00006E4E0000}"/>
    <cellStyle name="Normal 2 2 9 17 3 4 2" xfId="37578" xr:uid="{00000000-0005-0000-0000-00006F4E0000}"/>
    <cellStyle name="Normal 2 2 9 17 3 5" xfId="8428" xr:uid="{00000000-0005-0000-0000-0000704E0000}"/>
    <cellStyle name="Normal 2 2 9 17 3 5 2" xfId="37579" xr:uid="{00000000-0005-0000-0000-0000714E0000}"/>
    <cellStyle name="Normal 2 2 9 17 3 6" xfId="37580" xr:uid="{00000000-0005-0000-0000-0000724E0000}"/>
    <cellStyle name="Normal 2 2 9 17 3 6 2" xfId="37581" xr:uid="{00000000-0005-0000-0000-0000734E0000}"/>
    <cellStyle name="Normal 2 2 9 17 3 7" xfId="37582" xr:uid="{00000000-0005-0000-0000-0000744E0000}"/>
    <cellStyle name="Normal 2 2 9 17 4" xfId="8429" xr:uid="{00000000-0005-0000-0000-0000754E0000}"/>
    <cellStyle name="Normal 2 2 9 17 4 2" xfId="8430" xr:uid="{00000000-0005-0000-0000-0000764E0000}"/>
    <cellStyle name="Normal 2 2 9 17 4 2 2" xfId="37583" xr:uid="{00000000-0005-0000-0000-0000774E0000}"/>
    <cellStyle name="Normal 2 2 9 17 4 3" xfId="8431" xr:uid="{00000000-0005-0000-0000-0000784E0000}"/>
    <cellStyle name="Normal 2 2 9 17 4 3 2" xfId="37584" xr:uid="{00000000-0005-0000-0000-0000794E0000}"/>
    <cellStyle name="Normal 2 2 9 17 4 4" xfId="37585" xr:uid="{00000000-0005-0000-0000-00007A4E0000}"/>
    <cellStyle name="Normal 2 2 9 17 5" xfId="8432" xr:uid="{00000000-0005-0000-0000-00007B4E0000}"/>
    <cellStyle name="Normal 2 2 9 17 5 2" xfId="8433" xr:uid="{00000000-0005-0000-0000-00007C4E0000}"/>
    <cellStyle name="Normal 2 2 9 17 5 2 2" xfId="37586" xr:uid="{00000000-0005-0000-0000-00007D4E0000}"/>
    <cellStyle name="Normal 2 2 9 17 5 3" xfId="37587" xr:uid="{00000000-0005-0000-0000-00007E4E0000}"/>
    <cellStyle name="Normal 2 2 9 17 6" xfId="8434" xr:uid="{00000000-0005-0000-0000-00007F4E0000}"/>
    <cellStyle name="Normal 2 2 9 17 6 2" xfId="37588" xr:uid="{00000000-0005-0000-0000-0000804E0000}"/>
    <cellStyle name="Normal 2 2 9 17 7" xfId="8435" xr:uid="{00000000-0005-0000-0000-0000814E0000}"/>
    <cellStyle name="Normal 2 2 9 17 7 2" xfId="37589" xr:uid="{00000000-0005-0000-0000-0000824E0000}"/>
    <cellStyle name="Normal 2 2 9 17 8" xfId="37590" xr:uid="{00000000-0005-0000-0000-0000834E0000}"/>
    <cellStyle name="Normal 2 2 9 17 8 2" xfId="37591" xr:uid="{00000000-0005-0000-0000-0000844E0000}"/>
    <cellStyle name="Normal 2 2 9 17 9" xfId="37592" xr:uid="{00000000-0005-0000-0000-0000854E0000}"/>
    <cellStyle name="Normal 2 2 9 18" xfId="8436" xr:uid="{00000000-0005-0000-0000-0000864E0000}"/>
    <cellStyle name="Normal 2 2 9 18 10" xfId="37593" xr:uid="{00000000-0005-0000-0000-0000874E0000}"/>
    <cellStyle name="Normal 2 2 9 18 11" xfId="37594" xr:uid="{00000000-0005-0000-0000-0000884E0000}"/>
    <cellStyle name="Normal 2 2 9 18 2" xfId="8437" xr:uid="{00000000-0005-0000-0000-0000894E0000}"/>
    <cellStyle name="Normal 2 2 9 18 2 10" xfId="37595" xr:uid="{00000000-0005-0000-0000-00008A4E0000}"/>
    <cellStyle name="Normal 2 2 9 18 2 2" xfId="8438" xr:uid="{00000000-0005-0000-0000-00008B4E0000}"/>
    <cellStyle name="Normal 2 2 9 18 2 2 2" xfId="8439" xr:uid="{00000000-0005-0000-0000-00008C4E0000}"/>
    <cellStyle name="Normal 2 2 9 18 2 2 2 2" xfId="8440" xr:uid="{00000000-0005-0000-0000-00008D4E0000}"/>
    <cellStyle name="Normal 2 2 9 18 2 2 2 2 2" xfId="37596" xr:uid="{00000000-0005-0000-0000-00008E4E0000}"/>
    <cellStyle name="Normal 2 2 9 18 2 2 2 3" xfId="8441" xr:uid="{00000000-0005-0000-0000-00008F4E0000}"/>
    <cellStyle name="Normal 2 2 9 18 2 2 2 3 2" xfId="37597" xr:uid="{00000000-0005-0000-0000-0000904E0000}"/>
    <cellStyle name="Normal 2 2 9 18 2 2 2 4" xfId="37598" xr:uid="{00000000-0005-0000-0000-0000914E0000}"/>
    <cellStyle name="Normal 2 2 9 18 2 2 3" xfId="8442" xr:uid="{00000000-0005-0000-0000-0000924E0000}"/>
    <cellStyle name="Normal 2 2 9 18 2 2 3 2" xfId="37599" xr:uid="{00000000-0005-0000-0000-0000934E0000}"/>
    <cellStyle name="Normal 2 2 9 18 2 2 4" xfId="8443" xr:uid="{00000000-0005-0000-0000-0000944E0000}"/>
    <cellStyle name="Normal 2 2 9 18 2 2 4 2" xfId="37600" xr:uid="{00000000-0005-0000-0000-0000954E0000}"/>
    <cellStyle name="Normal 2 2 9 18 2 2 5" xfId="8444" xr:uid="{00000000-0005-0000-0000-0000964E0000}"/>
    <cellStyle name="Normal 2 2 9 18 2 2 5 2" xfId="37601" xr:uid="{00000000-0005-0000-0000-0000974E0000}"/>
    <cellStyle name="Normal 2 2 9 18 2 2 6" xfId="37602" xr:uid="{00000000-0005-0000-0000-0000984E0000}"/>
    <cellStyle name="Normal 2 2 9 18 2 2 6 2" xfId="37603" xr:uid="{00000000-0005-0000-0000-0000994E0000}"/>
    <cellStyle name="Normal 2 2 9 18 2 2 7" xfId="37604" xr:uid="{00000000-0005-0000-0000-00009A4E0000}"/>
    <cellStyle name="Normal 2 2 9 18 2 3" xfId="8445" xr:uid="{00000000-0005-0000-0000-00009B4E0000}"/>
    <cellStyle name="Normal 2 2 9 18 2 3 2" xfId="8446" xr:uid="{00000000-0005-0000-0000-00009C4E0000}"/>
    <cellStyle name="Normal 2 2 9 18 2 3 2 2" xfId="37605" xr:uid="{00000000-0005-0000-0000-00009D4E0000}"/>
    <cellStyle name="Normal 2 2 9 18 2 3 3" xfId="8447" xr:uid="{00000000-0005-0000-0000-00009E4E0000}"/>
    <cellStyle name="Normal 2 2 9 18 2 3 3 2" xfId="37606" xr:uid="{00000000-0005-0000-0000-00009F4E0000}"/>
    <cellStyle name="Normal 2 2 9 18 2 3 4" xfId="37607" xr:uid="{00000000-0005-0000-0000-0000A04E0000}"/>
    <cellStyle name="Normal 2 2 9 18 2 4" xfId="8448" xr:uid="{00000000-0005-0000-0000-0000A14E0000}"/>
    <cellStyle name="Normal 2 2 9 18 2 4 2" xfId="8449" xr:uid="{00000000-0005-0000-0000-0000A24E0000}"/>
    <cellStyle name="Normal 2 2 9 18 2 4 2 2" xfId="37608" xr:uid="{00000000-0005-0000-0000-0000A34E0000}"/>
    <cellStyle name="Normal 2 2 9 18 2 4 3" xfId="37609" xr:uid="{00000000-0005-0000-0000-0000A44E0000}"/>
    <cellStyle name="Normal 2 2 9 18 2 5" xfId="8450" xr:uid="{00000000-0005-0000-0000-0000A54E0000}"/>
    <cellStyle name="Normal 2 2 9 18 2 5 2" xfId="37610" xr:uid="{00000000-0005-0000-0000-0000A64E0000}"/>
    <cellStyle name="Normal 2 2 9 18 2 6" xfId="8451" xr:uid="{00000000-0005-0000-0000-0000A74E0000}"/>
    <cellStyle name="Normal 2 2 9 18 2 6 2" xfId="37611" xr:uid="{00000000-0005-0000-0000-0000A84E0000}"/>
    <cellStyle name="Normal 2 2 9 18 2 7" xfId="37612" xr:uid="{00000000-0005-0000-0000-0000A94E0000}"/>
    <cellStyle name="Normal 2 2 9 18 2 7 2" xfId="37613" xr:uid="{00000000-0005-0000-0000-0000AA4E0000}"/>
    <cellStyle name="Normal 2 2 9 18 2 8" xfId="37614" xr:uid="{00000000-0005-0000-0000-0000AB4E0000}"/>
    <cellStyle name="Normal 2 2 9 18 2 9" xfId="37615" xr:uid="{00000000-0005-0000-0000-0000AC4E0000}"/>
    <cellStyle name="Normal 2 2 9 18 3" xfId="8452" xr:uid="{00000000-0005-0000-0000-0000AD4E0000}"/>
    <cellStyle name="Normal 2 2 9 18 3 2" xfId="8453" xr:uid="{00000000-0005-0000-0000-0000AE4E0000}"/>
    <cellStyle name="Normal 2 2 9 18 3 2 2" xfId="8454" xr:uid="{00000000-0005-0000-0000-0000AF4E0000}"/>
    <cellStyle name="Normal 2 2 9 18 3 2 2 2" xfId="37616" xr:uid="{00000000-0005-0000-0000-0000B04E0000}"/>
    <cellStyle name="Normal 2 2 9 18 3 2 3" xfId="8455" xr:uid="{00000000-0005-0000-0000-0000B14E0000}"/>
    <cellStyle name="Normal 2 2 9 18 3 2 3 2" xfId="37617" xr:uid="{00000000-0005-0000-0000-0000B24E0000}"/>
    <cellStyle name="Normal 2 2 9 18 3 2 4" xfId="37618" xr:uid="{00000000-0005-0000-0000-0000B34E0000}"/>
    <cellStyle name="Normal 2 2 9 18 3 3" xfId="8456" xr:uid="{00000000-0005-0000-0000-0000B44E0000}"/>
    <cellStyle name="Normal 2 2 9 18 3 3 2" xfId="37619" xr:uid="{00000000-0005-0000-0000-0000B54E0000}"/>
    <cellStyle name="Normal 2 2 9 18 3 4" xfId="8457" xr:uid="{00000000-0005-0000-0000-0000B64E0000}"/>
    <cellStyle name="Normal 2 2 9 18 3 4 2" xfId="37620" xr:uid="{00000000-0005-0000-0000-0000B74E0000}"/>
    <cellStyle name="Normal 2 2 9 18 3 5" xfId="8458" xr:uid="{00000000-0005-0000-0000-0000B84E0000}"/>
    <cellStyle name="Normal 2 2 9 18 3 5 2" xfId="37621" xr:uid="{00000000-0005-0000-0000-0000B94E0000}"/>
    <cellStyle name="Normal 2 2 9 18 3 6" xfId="37622" xr:uid="{00000000-0005-0000-0000-0000BA4E0000}"/>
    <cellStyle name="Normal 2 2 9 18 3 6 2" xfId="37623" xr:uid="{00000000-0005-0000-0000-0000BB4E0000}"/>
    <cellStyle name="Normal 2 2 9 18 3 7" xfId="37624" xr:uid="{00000000-0005-0000-0000-0000BC4E0000}"/>
    <cellStyle name="Normal 2 2 9 18 4" xfId="8459" xr:uid="{00000000-0005-0000-0000-0000BD4E0000}"/>
    <cellStyle name="Normal 2 2 9 18 4 2" xfId="8460" xr:uid="{00000000-0005-0000-0000-0000BE4E0000}"/>
    <cellStyle name="Normal 2 2 9 18 4 2 2" xfId="37625" xr:uid="{00000000-0005-0000-0000-0000BF4E0000}"/>
    <cellStyle name="Normal 2 2 9 18 4 3" xfId="8461" xr:uid="{00000000-0005-0000-0000-0000C04E0000}"/>
    <cellStyle name="Normal 2 2 9 18 4 3 2" xfId="37626" xr:uid="{00000000-0005-0000-0000-0000C14E0000}"/>
    <cellStyle name="Normal 2 2 9 18 4 4" xfId="37627" xr:uid="{00000000-0005-0000-0000-0000C24E0000}"/>
    <cellStyle name="Normal 2 2 9 18 5" xfId="8462" xr:uid="{00000000-0005-0000-0000-0000C34E0000}"/>
    <cellStyle name="Normal 2 2 9 18 5 2" xfId="8463" xr:uid="{00000000-0005-0000-0000-0000C44E0000}"/>
    <cellStyle name="Normal 2 2 9 18 5 2 2" xfId="37628" xr:uid="{00000000-0005-0000-0000-0000C54E0000}"/>
    <cellStyle name="Normal 2 2 9 18 5 3" xfId="37629" xr:uid="{00000000-0005-0000-0000-0000C64E0000}"/>
    <cellStyle name="Normal 2 2 9 18 6" xfId="8464" xr:uid="{00000000-0005-0000-0000-0000C74E0000}"/>
    <cellStyle name="Normal 2 2 9 18 6 2" xfId="37630" xr:uid="{00000000-0005-0000-0000-0000C84E0000}"/>
    <cellStyle name="Normal 2 2 9 18 7" xfId="8465" xr:uid="{00000000-0005-0000-0000-0000C94E0000}"/>
    <cellStyle name="Normal 2 2 9 18 7 2" xfId="37631" xr:uid="{00000000-0005-0000-0000-0000CA4E0000}"/>
    <cellStyle name="Normal 2 2 9 18 8" xfId="37632" xr:uid="{00000000-0005-0000-0000-0000CB4E0000}"/>
    <cellStyle name="Normal 2 2 9 18 8 2" xfId="37633" xr:uid="{00000000-0005-0000-0000-0000CC4E0000}"/>
    <cellStyle name="Normal 2 2 9 18 9" xfId="37634" xr:uid="{00000000-0005-0000-0000-0000CD4E0000}"/>
    <cellStyle name="Normal 2 2 9 19" xfId="8466" xr:uid="{00000000-0005-0000-0000-0000CE4E0000}"/>
    <cellStyle name="Normal 2 2 9 19 10" xfId="37635" xr:uid="{00000000-0005-0000-0000-0000CF4E0000}"/>
    <cellStyle name="Normal 2 2 9 19 11" xfId="37636" xr:uid="{00000000-0005-0000-0000-0000D04E0000}"/>
    <cellStyle name="Normal 2 2 9 19 2" xfId="8467" xr:uid="{00000000-0005-0000-0000-0000D14E0000}"/>
    <cellStyle name="Normal 2 2 9 19 2 10" xfId="37637" xr:uid="{00000000-0005-0000-0000-0000D24E0000}"/>
    <cellStyle name="Normal 2 2 9 19 2 2" xfId="8468" xr:uid="{00000000-0005-0000-0000-0000D34E0000}"/>
    <cellStyle name="Normal 2 2 9 19 2 2 2" xfId="8469" xr:uid="{00000000-0005-0000-0000-0000D44E0000}"/>
    <cellStyle name="Normal 2 2 9 19 2 2 2 2" xfId="8470" xr:uid="{00000000-0005-0000-0000-0000D54E0000}"/>
    <cellStyle name="Normal 2 2 9 19 2 2 2 2 2" xfId="37638" xr:uid="{00000000-0005-0000-0000-0000D64E0000}"/>
    <cellStyle name="Normal 2 2 9 19 2 2 2 3" xfId="8471" xr:uid="{00000000-0005-0000-0000-0000D74E0000}"/>
    <cellStyle name="Normal 2 2 9 19 2 2 2 3 2" xfId="37639" xr:uid="{00000000-0005-0000-0000-0000D84E0000}"/>
    <cellStyle name="Normal 2 2 9 19 2 2 2 4" xfId="37640" xr:uid="{00000000-0005-0000-0000-0000D94E0000}"/>
    <cellStyle name="Normal 2 2 9 19 2 2 3" xfId="8472" xr:uid="{00000000-0005-0000-0000-0000DA4E0000}"/>
    <cellStyle name="Normal 2 2 9 19 2 2 3 2" xfId="37641" xr:uid="{00000000-0005-0000-0000-0000DB4E0000}"/>
    <cellStyle name="Normal 2 2 9 19 2 2 4" xfId="8473" xr:uid="{00000000-0005-0000-0000-0000DC4E0000}"/>
    <cellStyle name="Normal 2 2 9 19 2 2 4 2" xfId="37642" xr:uid="{00000000-0005-0000-0000-0000DD4E0000}"/>
    <cellStyle name="Normal 2 2 9 19 2 2 5" xfId="8474" xr:uid="{00000000-0005-0000-0000-0000DE4E0000}"/>
    <cellStyle name="Normal 2 2 9 19 2 2 5 2" xfId="37643" xr:uid="{00000000-0005-0000-0000-0000DF4E0000}"/>
    <cellStyle name="Normal 2 2 9 19 2 2 6" xfId="37644" xr:uid="{00000000-0005-0000-0000-0000E04E0000}"/>
    <cellStyle name="Normal 2 2 9 19 2 2 6 2" xfId="37645" xr:uid="{00000000-0005-0000-0000-0000E14E0000}"/>
    <cellStyle name="Normal 2 2 9 19 2 2 7" xfId="37646" xr:uid="{00000000-0005-0000-0000-0000E24E0000}"/>
    <cellStyle name="Normal 2 2 9 19 2 3" xfId="8475" xr:uid="{00000000-0005-0000-0000-0000E34E0000}"/>
    <cellStyle name="Normal 2 2 9 19 2 3 2" xfId="8476" xr:uid="{00000000-0005-0000-0000-0000E44E0000}"/>
    <cellStyle name="Normal 2 2 9 19 2 3 2 2" xfId="37647" xr:uid="{00000000-0005-0000-0000-0000E54E0000}"/>
    <cellStyle name="Normal 2 2 9 19 2 3 3" xfId="8477" xr:uid="{00000000-0005-0000-0000-0000E64E0000}"/>
    <cellStyle name="Normal 2 2 9 19 2 3 3 2" xfId="37648" xr:uid="{00000000-0005-0000-0000-0000E74E0000}"/>
    <cellStyle name="Normal 2 2 9 19 2 3 4" xfId="37649" xr:uid="{00000000-0005-0000-0000-0000E84E0000}"/>
    <cellStyle name="Normal 2 2 9 19 2 4" xfId="8478" xr:uid="{00000000-0005-0000-0000-0000E94E0000}"/>
    <cellStyle name="Normal 2 2 9 19 2 4 2" xfId="8479" xr:uid="{00000000-0005-0000-0000-0000EA4E0000}"/>
    <cellStyle name="Normal 2 2 9 19 2 4 2 2" xfId="37650" xr:uid="{00000000-0005-0000-0000-0000EB4E0000}"/>
    <cellStyle name="Normal 2 2 9 19 2 4 3" xfId="37651" xr:uid="{00000000-0005-0000-0000-0000EC4E0000}"/>
    <cellStyle name="Normal 2 2 9 19 2 5" xfId="8480" xr:uid="{00000000-0005-0000-0000-0000ED4E0000}"/>
    <cellStyle name="Normal 2 2 9 19 2 5 2" xfId="37652" xr:uid="{00000000-0005-0000-0000-0000EE4E0000}"/>
    <cellStyle name="Normal 2 2 9 19 2 6" xfId="8481" xr:uid="{00000000-0005-0000-0000-0000EF4E0000}"/>
    <cellStyle name="Normal 2 2 9 19 2 6 2" xfId="37653" xr:uid="{00000000-0005-0000-0000-0000F04E0000}"/>
    <cellStyle name="Normal 2 2 9 19 2 7" xfId="37654" xr:uid="{00000000-0005-0000-0000-0000F14E0000}"/>
    <cellStyle name="Normal 2 2 9 19 2 7 2" xfId="37655" xr:uid="{00000000-0005-0000-0000-0000F24E0000}"/>
    <cellStyle name="Normal 2 2 9 19 2 8" xfId="37656" xr:uid="{00000000-0005-0000-0000-0000F34E0000}"/>
    <cellStyle name="Normal 2 2 9 19 2 9" xfId="37657" xr:uid="{00000000-0005-0000-0000-0000F44E0000}"/>
    <cellStyle name="Normal 2 2 9 19 3" xfId="8482" xr:uid="{00000000-0005-0000-0000-0000F54E0000}"/>
    <cellStyle name="Normal 2 2 9 19 3 2" xfId="8483" xr:uid="{00000000-0005-0000-0000-0000F64E0000}"/>
    <cellStyle name="Normal 2 2 9 19 3 2 2" xfId="8484" xr:uid="{00000000-0005-0000-0000-0000F74E0000}"/>
    <cellStyle name="Normal 2 2 9 19 3 2 2 2" xfId="37658" xr:uid="{00000000-0005-0000-0000-0000F84E0000}"/>
    <cellStyle name="Normal 2 2 9 19 3 2 3" xfId="8485" xr:uid="{00000000-0005-0000-0000-0000F94E0000}"/>
    <cellStyle name="Normal 2 2 9 19 3 2 3 2" xfId="37659" xr:uid="{00000000-0005-0000-0000-0000FA4E0000}"/>
    <cellStyle name="Normal 2 2 9 19 3 2 4" xfId="37660" xr:uid="{00000000-0005-0000-0000-0000FB4E0000}"/>
    <cellStyle name="Normal 2 2 9 19 3 3" xfId="8486" xr:uid="{00000000-0005-0000-0000-0000FC4E0000}"/>
    <cellStyle name="Normal 2 2 9 19 3 3 2" xfId="37661" xr:uid="{00000000-0005-0000-0000-0000FD4E0000}"/>
    <cellStyle name="Normal 2 2 9 19 3 4" xfId="8487" xr:uid="{00000000-0005-0000-0000-0000FE4E0000}"/>
    <cellStyle name="Normal 2 2 9 19 3 4 2" xfId="37662" xr:uid="{00000000-0005-0000-0000-0000FF4E0000}"/>
    <cellStyle name="Normal 2 2 9 19 3 5" xfId="8488" xr:uid="{00000000-0005-0000-0000-0000004F0000}"/>
    <cellStyle name="Normal 2 2 9 19 3 5 2" xfId="37663" xr:uid="{00000000-0005-0000-0000-0000014F0000}"/>
    <cellStyle name="Normal 2 2 9 19 3 6" xfId="37664" xr:uid="{00000000-0005-0000-0000-0000024F0000}"/>
    <cellStyle name="Normal 2 2 9 19 3 6 2" xfId="37665" xr:uid="{00000000-0005-0000-0000-0000034F0000}"/>
    <cellStyle name="Normal 2 2 9 19 3 7" xfId="37666" xr:uid="{00000000-0005-0000-0000-0000044F0000}"/>
    <cellStyle name="Normal 2 2 9 19 4" xfId="8489" xr:uid="{00000000-0005-0000-0000-0000054F0000}"/>
    <cellStyle name="Normal 2 2 9 19 4 2" xfId="8490" xr:uid="{00000000-0005-0000-0000-0000064F0000}"/>
    <cellStyle name="Normal 2 2 9 19 4 2 2" xfId="37667" xr:uid="{00000000-0005-0000-0000-0000074F0000}"/>
    <cellStyle name="Normal 2 2 9 19 4 3" xfId="8491" xr:uid="{00000000-0005-0000-0000-0000084F0000}"/>
    <cellStyle name="Normal 2 2 9 19 4 3 2" xfId="37668" xr:uid="{00000000-0005-0000-0000-0000094F0000}"/>
    <cellStyle name="Normal 2 2 9 19 4 4" xfId="37669" xr:uid="{00000000-0005-0000-0000-00000A4F0000}"/>
    <cellStyle name="Normal 2 2 9 19 5" xfId="8492" xr:uid="{00000000-0005-0000-0000-00000B4F0000}"/>
    <cellStyle name="Normal 2 2 9 19 5 2" xfId="8493" xr:uid="{00000000-0005-0000-0000-00000C4F0000}"/>
    <cellStyle name="Normal 2 2 9 19 5 2 2" xfId="37670" xr:uid="{00000000-0005-0000-0000-00000D4F0000}"/>
    <cellStyle name="Normal 2 2 9 19 5 3" xfId="37671" xr:uid="{00000000-0005-0000-0000-00000E4F0000}"/>
    <cellStyle name="Normal 2 2 9 19 6" xfId="8494" xr:uid="{00000000-0005-0000-0000-00000F4F0000}"/>
    <cellStyle name="Normal 2 2 9 19 6 2" xfId="37672" xr:uid="{00000000-0005-0000-0000-0000104F0000}"/>
    <cellStyle name="Normal 2 2 9 19 7" xfId="8495" xr:uid="{00000000-0005-0000-0000-0000114F0000}"/>
    <cellStyle name="Normal 2 2 9 19 7 2" xfId="37673" xr:uid="{00000000-0005-0000-0000-0000124F0000}"/>
    <cellStyle name="Normal 2 2 9 19 8" xfId="37674" xr:uid="{00000000-0005-0000-0000-0000134F0000}"/>
    <cellStyle name="Normal 2 2 9 19 8 2" xfId="37675" xr:uid="{00000000-0005-0000-0000-0000144F0000}"/>
    <cellStyle name="Normal 2 2 9 19 9" xfId="37676" xr:uid="{00000000-0005-0000-0000-0000154F0000}"/>
    <cellStyle name="Normal 2 2 9 2" xfId="8496" xr:uid="{00000000-0005-0000-0000-0000164F0000}"/>
    <cellStyle name="Normal 2 2 9 2 10" xfId="37677" xr:uid="{00000000-0005-0000-0000-0000174F0000}"/>
    <cellStyle name="Normal 2 2 9 2 11" xfId="37678" xr:uid="{00000000-0005-0000-0000-0000184F0000}"/>
    <cellStyle name="Normal 2 2 9 2 2" xfId="8497" xr:uid="{00000000-0005-0000-0000-0000194F0000}"/>
    <cellStyle name="Normal 2 2 9 2 2 10" xfId="37679" xr:uid="{00000000-0005-0000-0000-00001A4F0000}"/>
    <cellStyle name="Normal 2 2 9 2 2 2" xfId="8498" xr:uid="{00000000-0005-0000-0000-00001B4F0000}"/>
    <cellStyle name="Normal 2 2 9 2 2 2 2" xfId="8499" xr:uid="{00000000-0005-0000-0000-00001C4F0000}"/>
    <cellStyle name="Normal 2 2 9 2 2 2 2 2" xfId="8500" xr:uid="{00000000-0005-0000-0000-00001D4F0000}"/>
    <cellStyle name="Normal 2 2 9 2 2 2 2 2 2" xfId="37680" xr:uid="{00000000-0005-0000-0000-00001E4F0000}"/>
    <cellStyle name="Normal 2 2 9 2 2 2 2 3" xfId="8501" xr:uid="{00000000-0005-0000-0000-00001F4F0000}"/>
    <cellStyle name="Normal 2 2 9 2 2 2 2 3 2" xfId="37681" xr:uid="{00000000-0005-0000-0000-0000204F0000}"/>
    <cellStyle name="Normal 2 2 9 2 2 2 2 4" xfId="37682" xr:uid="{00000000-0005-0000-0000-0000214F0000}"/>
    <cellStyle name="Normal 2 2 9 2 2 2 3" xfId="8502" xr:uid="{00000000-0005-0000-0000-0000224F0000}"/>
    <cellStyle name="Normal 2 2 9 2 2 2 3 2" xfId="37683" xr:uid="{00000000-0005-0000-0000-0000234F0000}"/>
    <cellStyle name="Normal 2 2 9 2 2 2 4" xfId="8503" xr:uid="{00000000-0005-0000-0000-0000244F0000}"/>
    <cellStyle name="Normal 2 2 9 2 2 2 4 2" xfId="37684" xr:uid="{00000000-0005-0000-0000-0000254F0000}"/>
    <cellStyle name="Normal 2 2 9 2 2 2 5" xfId="8504" xr:uid="{00000000-0005-0000-0000-0000264F0000}"/>
    <cellStyle name="Normal 2 2 9 2 2 2 5 2" xfId="37685" xr:uid="{00000000-0005-0000-0000-0000274F0000}"/>
    <cellStyle name="Normal 2 2 9 2 2 2 6" xfId="37686" xr:uid="{00000000-0005-0000-0000-0000284F0000}"/>
    <cellStyle name="Normal 2 2 9 2 2 2 6 2" xfId="37687" xr:uid="{00000000-0005-0000-0000-0000294F0000}"/>
    <cellStyle name="Normal 2 2 9 2 2 2 7" xfId="37688" xr:uid="{00000000-0005-0000-0000-00002A4F0000}"/>
    <cellStyle name="Normal 2 2 9 2 2 3" xfId="8505" xr:uid="{00000000-0005-0000-0000-00002B4F0000}"/>
    <cellStyle name="Normal 2 2 9 2 2 3 2" xfId="8506" xr:uid="{00000000-0005-0000-0000-00002C4F0000}"/>
    <cellStyle name="Normal 2 2 9 2 2 3 2 2" xfId="37689" xr:uid="{00000000-0005-0000-0000-00002D4F0000}"/>
    <cellStyle name="Normal 2 2 9 2 2 3 3" xfId="8507" xr:uid="{00000000-0005-0000-0000-00002E4F0000}"/>
    <cellStyle name="Normal 2 2 9 2 2 3 3 2" xfId="37690" xr:uid="{00000000-0005-0000-0000-00002F4F0000}"/>
    <cellStyle name="Normal 2 2 9 2 2 3 4" xfId="37691" xr:uid="{00000000-0005-0000-0000-0000304F0000}"/>
    <cellStyle name="Normal 2 2 9 2 2 4" xfId="8508" xr:uid="{00000000-0005-0000-0000-0000314F0000}"/>
    <cellStyle name="Normal 2 2 9 2 2 4 2" xfId="8509" xr:uid="{00000000-0005-0000-0000-0000324F0000}"/>
    <cellStyle name="Normal 2 2 9 2 2 4 2 2" xfId="37692" xr:uid="{00000000-0005-0000-0000-0000334F0000}"/>
    <cellStyle name="Normal 2 2 9 2 2 4 3" xfId="37693" xr:uid="{00000000-0005-0000-0000-0000344F0000}"/>
    <cellStyle name="Normal 2 2 9 2 2 5" xfId="8510" xr:uid="{00000000-0005-0000-0000-0000354F0000}"/>
    <cellStyle name="Normal 2 2 9 2 2 5 2" xfId="37694" xr:uid="{00000000-0005-0000-0000-0000364F0000}"/>
    <cellStyle name="Normal 2 2 9 2 2 6" xfId="8511" xr:uid="{00000000-0005-0000-0000-0000374F0000}"/>
    <cellStyle name="Normal 2 2 9 2 2 6 2" xfId="37695" xr:uid="{00000000-0005-0000-0000-0000384F0000}"/>
    <cellStyle name="Normal 2 2 9 2 2 7" xfId="37696" xr:uid="{00000000-0005-0000-0000-0000394F0000}"/>
    <cellStyle name="Normal 2 2 9 2 2 7 2" xfId="37697" xr:uid="{00000000-0005-0000-0000-00003A4F0000}"/>
    <cellStyle name="Normal 2 2 9 2 2 8" xfId="37698" xr:uid="{00000000-0005-0000-0000-00003B4F0000}"/>
    <cellStyle name="Normal 2 2 9 2 2 9" xfId="37699" xr:uid="{00000000-0005-0000-0000-00003C4F0000}"/>
    <cellStyle name="Normal 2 2 9 2 3" xfId="8512" xr:uid="{00000000-0005-0000-0000-00003D4F0000}"/>
    <cellStyle name="Normal 2 2 9 2 3 2" xfId="8513" xr:uid="{00000000-0005-0000-0000-00003E4F0000}"/>
    <cellStyle name="Normal 2 2 9 2 3 2 2" xfId="8514" xr:uid="{00000000-0005-0000-0000-00003F4F0000}"/>
    <cellStyle name="Normal 2 2 9 2 3 2 2 2" xfId="37700" xr:uid="{00000000-0005-0000-0000-0000404F0000}"/>
    <cellStyle name="Normal 2 2 9 2 3 2 3" xfId="8515" xr:uid="{00000000-0005-0000-0000-0000414F0000}"/>
    <cellStyle name="Normal 2 2 9 2 3 2 3 2" xfId="37701" xr:uid="{00000000-0005-0000-0000-0000424F0000}"/>
    <cellStyle name="Normal 2 2 9 2 3 2 4" xfId="37702" xr:uid="{00000000-0005-0000-0000-0000434F0000}"/>
    <cellStyle name="Normal 2 2 9 2 3 3" xfId="8516" xr:uid="{00000000-0005-0000-0000-0000444F0000}"/>
    <cellStyle name="Normal 2 2 9 2 3 3 2" xfId="37703" xr:uid="{00000000-0005-0000-0000-0000454F0000}"/>
    <cellStyle name="Normal 2 2 9 2 3 4" xfId="8517" xr:uid="{00000000-0005-0000-0000-0000464F0000}"/>
    <cellStyle name="Normal 2 2 9 2 3 4 2" xfId="37704" xr:uid="{00000000-0005-0000-0000-0000474F0000}"/>
    <cellStyle name="Normal 2 2 9 2 3 5" xfId="8518" xr:uid="{00000000-0005-0000-0000-0000484F0000}"/>
    <cellStyle name="Normal 2 2 9 2 3 5 2" xfId="37705" xr:uid="{00000000-0005-0000-0000-0000494F0000}"/>
    <cellStyle name="Normal 2 2 9 2 3 6" xfId="37706" xr:uid="{00000000-0005-0000-0000-00004A4F0000}"/>
    <cellStyle name="Normal 2 2 9 2 3 6 2" xfId="37707" xr:uid="{00000000-0005-0000-0000-00004B4F0000}"/>
    <cellStyle name="Normal 2 2 9 2 3 7" xfId="37708" xr:uid="{00000000-0005-0000-0000-00004C4F0000}"/>
    <cellStyle name="Normal 2 2 9 2 4" xfId="8519" xr:uid="{00000000-0005-0000-0000-00004D4F0000}"/>
    <cellStyle name="Normal 2 2 9 2 4 2" xfId="8520" xr:uid="{00000000-0005-0000-0000-00004E4F0000}"/>
    <cellStyle name="Normal 2 2 9 2 4 2 2" xfId="37709" xr:uid="{00000000-0005-0000-0000-00004F4F0000}"/>
    <cellStyle name="Normal 2 2 9 2 4 3" xfId="8521" xr:uid="{00000000-0005-0000-0000-0000504F0000}"/>
    <cellStyle name="Normal 2 2 9 2 4 3 2" xfId="37710" xr:uid="{00000000-0005-0000-0000-0000514F0000}"/>
    <cellStyle name="Normal 2 2 9 2 4 4" xfId="37711" xr:uid="{00000000-0005-0000-0000-0000524F0000}"/>
    <cellStyle name="Normal 2 2 9 2 5" xfId="8522" xr:uid="{00000000-0005-0000-0000-0000534F0000}"/>
    <cellStyle name="Normal 2 2 9 2 5 2" xfId="8523" xr:uid="{00000000-0005-0000-0000-0000544F0000}"/>
    <cellStyle name="Normal 2 2 9 2 5 2 2" xfId="37712" xr:uid="{00000000-0005-0000-0000-0000554F0000}"/>
    <cellStyle name="Normal 2 2 9 2 5 3" xfId="37713" xr:uid="{00000000-0005-0000-0000-0000564F0000}"/>
    <cellStyle name="Normal 2 2 9 2 6" xfId="8524" xr:uid="{00000000-0005-0000-0000-0000574F0000}"/>
    <cellStyle name="Normal 2 2 9 2 6 2" xfId="37714" xr:uid="{00000000-0005-0000-0000-0000584F0000}"/>
    <cellStyle name="Normal 2 2 9 2 7" xfId="8525" xr:uid="{00000000-0005-0000-0000-0000594F0000}"/>
    <cellStyle name="Normal 2 2 9 2 7 2" xfId="37715" xr:uid="{00000000-0005-0000-0000-00005A4F0000}"/>
    <cellStyle name="Normal 2 2 9 2 8" xfId="37716" xr:uid="{00000000-0005-0000-0000-00005B4F0000}"/>
    <cellStyle name="Normal 2 2 9 2 8 2" xfId="37717" xr:uid="{00000000-0005-0000-0000-00005C4F0000}"/>
    <cellStyle name="Normal 2 2 9 2 9" xfId="37718" xr:uid="{00000000-0005-0000-0000-00005D4F0000}"/>
    <cellStyle name="Normal 2 2 9 20" xfId="8526" xr:uid="{00000000-0005-0000-0000-00005E4F0000}"/>
    <cellStyle name="Normal 2 2 9 20 10" xfId="37719" xr:uid="{00000000-0005-0000-0000-00005F4F0000}"/>
    <cellStyle name="Normal 2 2 9 20 11" xfId="37720" xr:uid="{00000000-0005-0000-0000-0000604F0000}"/>
    <cellStyle name="Normal 2 2 9 20 2" xfId="8527" xr:uid="{00000000-0005-0000-0000-0000614F0000}"/>
    <cellStyle name="Normal 2 2 9 20 2 10" xfId="37721" xr:uid="{00000000-0005-0000-0000-0000624F0000}"/>
    <cellStyle name="Normal 2 2 9 20 2 2" xfId="8528" xr:uid="{00000000-0005-0000-0000-0000634F0000}"/>
    <cellStyle name="Normal 2 2 9 20 2 2 2" xfId="8529" xr:uid="{00000000-0005-0000-0000-0000644F0000}"/>
    <cellStyle name="Normal 2 2 9 20 2 2 2 2" xfId="8530" xr:uid="{00000000-0005-0000-0000-0000654F0000}"/>
    <cellStyle name="Normal 2 2 9 20 2 2 2 2 2" xfId="37722" xr:uid="{00000000-0005-0000-0000-0000664F0000}"/>
    <cellStyle name="Normal 2 2 9 20 2 2 2 3" xfId="8531" xr:uid="{00000000-0005-0000-0000-0000674F0000}"/>
    <cellStyle name="Normal 2 2 9 20 2 2 2 3 2" xfId="37723" xr:uid="{00000000-0005-0000-0000-0000684F0000}"/>
    <cellStyle name="Normal 2 2 9 20 2 2 2 4" xfId="37724" xr:uid="{00000000-0005-0000-0000-0000694F0000}"/>
    <cellStyle name="Normal 2 2 9 20 2 2 3" xfId="8532" xr:uid="{00000000-0005-0000-0000-00006A4F0000}"/>
    <cellStyle name="Normal 2 2 9 20 2 2 3 2" xfId="37725" xr:uid="{00000000-0005-0000-0000-00006B4F0000}"/>
    <cellStyle name="Normal 2 2 9 20 2 2 4" xfId="8533" xr:uid="{00000000-0005-0000-0000-00006C4F0000}"/>
    <cellStyle name="Normal 2 2 9 20 2 2 4 2" xfId="37726" xr:uid="{00000000-0005-0000-0000-00006D4F0000}"/>
    <cellStyle name="Normal 2 2 9 20 2 2 5" xfId="8534" xr:uid="{00000000-0005-0000-0000-00006E4F0000}"/>
    <cellStyle name="Normal 2 2 9 20 2 2 5 2" xfId="37727" xr:uid="{00000000-0005-0000-0000-00006F4F0000}"/>
    <cellStyle name="Normal 2 2 9 20 2 2 6" xfId="37728" xr:uid="{00000000-0005-0000-0000-0000704F0000}"/>
    <cellStyle name="Normal 2 2 9 20 2 2 6 2" xfId="37729" xr:uid="{00000000-0005-0000-0000-0000714F0000}"/>
    <cellStyle name="Normal 2 2 9 20 2 2 7" xfId="37730" xr:uid="{00000000-0005-0000-0000-0000724F0000}"/>
    <cellStyle name="Normal 2 2 9 20 2 3" xfId="8535" xr:uid="{00000000-0005-0000-0000-0000734F0000}"/>
    <cellStyle name="Normal 2 2 9 20 2 3 2" xfId="8536" xr:uid="{00000000-0005-0000-0000-0000744F0000}"/>
    <cellStyle name="Normal 2 2 9 20 2 3 2 2" xfId="37731" xr:uid="{00000000-0005-0000-0000-0000754F0000}"/>
    <cellStyle name="Normal 2 2 9 20 2 3 3" xfId="8537" xr:uid="{00000000-0005-0000-0000-0000764F0000}"/>
    <cellStyle name="Normal 2 2 9 20 2 3 3 2" xfId="37732" xr:uid="{00000000-0005-0000-0000-0000774F0000}"/>
    <cellStyle name="Normal 2 2 9 20 2 3 4" xfId="37733" xr:uid="{00000000-0005-0000-0000-0000784F0000}"/>
    <cellStyle name="Normal 2 2 9 20 2 4" xfId="8538" xr:uid="{00000000-0005-0000-0000-0000794F0000}"/>
    <cellStyle name="Normal 2 2 9 20 2 4 2" xfId="8539" xr:uid="{00000000-0005-0000-0000-00007A4F0000}"/>
    <cellStyle name="Normal 2 2 9 20 2 4 2 2" xfId="37734" xr:uid="{00000000-0005-0000-0000-00007B4F0000}"/>
    <cellStyle name="Normal 2 2 9 20 2 4 3" xfId="37735" xr:uid="{00000000-0005-0000-0000-00007C4F0000}"/>
    <cellStyle name="Normal 2 2 9 20 2 5" xfId="8540" xr:uid="{00000000-0005-0000-0000-00007D4F0000}"/>
    <cellStyle name="Normal 2 2 9 20 2 5 2" xfId="37736" xr:uid="{00000000-0005-0000-0000-00007E4F0000}"/>
    <cellStyle name="Normal 2 2 9 20 2 6" xfId="8541" xr:uid="{00000000-0005-0000-0000-00007F4F0000}"/>
    <cellStyle name="Normal 2 2 9 20 2 6 2" xfId="37737" xr:uid="{00000000-0005-0000-0000-0000804F0000}"/>
    <cellStyle name="Normal 2 2 9 20 2 7" xfId="37738" xr:uid="{00000000-0005-0000-0000-0000814F0000}"/>
    <cellStyle name="Normal 2 2 9 20 2 7 2" xfId="37739" xr:uid="{00000000-0005-0000-0000-0000824F0000}"/>
    <cellStyle name="Normal 2 2 9 20 2 8" xfId="37740" xr:uid="{00000000-0005-0000-0000-0000834F0000}"/>
    <cellStyle name="Normal 2 2 9 20 2 9" xfId="37741" xr:uid="{00000000-0005-0000-0000-0000844F0000}"/>
    <cellStyle name="Normal 2 2 9 20 3" xfId="8542" xr:uid="{00000000-0005-0000-0000-0000854F0000}"/>
    <cellStyle name="Normal 2 2 9 20 3 2" xfId="8543" xr:uid="{00000000-0005-0000-0000-0000864F0000}"/>
    <cellStyle name="Normal 2 2 9 20 3 2 2" xfId="8544" xr:uid="{00000000-0005-0000-0000-0000874F0000}"/>
    <cellStyle name="Normal 2 2 9 20 3 2 2 2" xfId="37742" xr:uid="{00000000-0005-0000-0000-0000884F0000}"/>
    <cellStyle name="Normal 2 2 9 20 3 2 3" xfId="8545" xr:uid="{00000000-0005-0000-0000-0000894F0000}"/>
    <cellStyle name="Normal 2 2 9 20 3 2 3 2" xfId="37743" xr:uid="{00000000-0005-0000-0000-00008A4F0000}"/>
    <cellStyle name="Normal 2 2 9 20 3 2 4" xfId="37744" xr:uid="{00000000-0005-0000-0000-00008B4F0000}"/>
    <cellStyle name="Normal 2 2 9 20 3 3" xfId="8546" xr:uid="{00000000-0005-0000-0000-00008C4F0000}"/>
    <cellStyle name="Normal 2 2 9 20 3 3 2" xfId="37745" xr:uid="{00000000-0005-0000-0000-00008D4F0000}"/>
    <cellStyle name="Normal 2 2 9 20 3 4" xfId="8547" xr:uid="{00000000-0005-0000-0000-00008E4F0000}"/>
    <cellStyle name="Normal 2 2 9 20 3 4 2" xfId="37746" xr:uid="{00000000-0005-0000-0000-00008F4F0000}"/>
    <cellStyle name="Normal 2 2 9 20 3 5" xfId="8548" xr:uid="{00000000-0005-0000-0000-0000904F0000}"/>
    <cellStyle name="Normal 2 2 9 20 3 5 2" xfId="37747" xr:uid="{00000000-0005-0000-0000-0000914F0000}"/>
    <cellStyle name="Normal 2 2 9 20 3 6" xfId="37748" xr:uid="{00000000-0005-0000-0000-0000924F0000}"/>
    <cellStyle name="Normal 2 2 9 20 3 6 2" xfId="37749" xr:uid="{00000000-0005-0000-0000-0000934F0000}"/>
    <cellStyle name="Normal 2 2 9 20 3 7" xfId="37750" xr:uid="{00000000-0005-0000-0000-0000944F0000}"/>
    <cellStyle name="Normal 2 2 9 20 4" xfId="8549" xr:uid="{00000000-0005-0000-0000-0000954F0000}"/>
    <cellStyle name="Normal 2 2 9 20 4 2" xfId="8550" xr:uid="{00000000-0005-0000-0000-0000964F0000}"/>
    <cellStyle name="Normal 2 2 9 20 4 2 2" xfId="37751" xr:uid="{00000000-0005-0000-0000-0000974F0000}"/>
    <cellStyle name="Normal 2 2 9 20 4 3" xfId="8551" xr:uid="{00000000-0005-0000-0000-0000984F0000}"/>
    <cellStyle name="Normal 2 2 9 20 4 3 2" xfId="37752" xr:uid="{00000000-0005-0000-0000-0000994F0000}"/>
    <cellStyle name="Normal 2 2 9 20 4 4" xfId="37753" xr:uid="{00000000-0005-0000-0000-00009A4F0000}"/>
    <cellStyle name="Normal 2 2 9 20 5" xfId="8552" xr:uid="{00000000-0005-0000-0000-00009B4F0000}"/>
    <cellStyle name="Normal 2 2 9 20 5 2" xfId="8553" xr:uid="{00000000-0005-0000-0000-00009C4F0000}"/>
    <cellStyle name="Normal 2 2 9 20 5 2 2" xfId="37754" xr:uid="{00000000-0005-0000-0000-00009D4F0000}"/>
    <cellStyle name="Normal 2 2 9 20 5 3" xfId="37755" xr:uid="{00000000-0005-0000-0000-00009E4F0000}"/>
    <cellStyle name="Normal 2 2 9 20 6" xfId="8554" xr:uid="{00000000-0005-0000-0000-00009F4F0000}"/>
    <cellStyle name="Normal 2 2 9 20 6 2" xfId="37756" xr:uid="{00000000-0005-0000-0000-0000A04F0000}"/>
    <cellStyle name="Normal 2 2 9 20 7" xfId="8555" xr:uid="{00000000-0005-0000-0000-0000A14F0000}"/>
    <cellStyle name="Normal 2 2 9 20 7 2" xfId="37757" xr:uid="{00000000-0005-0000-0000-0000A24F0000}"/>
    <cellStyle name="Normal 2 2 9 20 8" xfId="37758" xr:uid="{00000000-0005-0000-0000-0000A34F0000}"/>
    <cellStyle name="Normal 2 2 9 20 8 2" xfId="37759" xr:uid="{00000000-0005-0000-0000-0000A44F0000}"/>
    <cellStyle name="Normal 2 2 9 20 9" xfId="37760" xr:uid="{00000000-0005-0000-0000-0000A54F0000}"/>
    <cellStyle name="Normal 2 2 9 21" xfId="8556" xr:uid="{00000000-0005-0000-0000-0000A64F0000}"/>
    <cellStyle name="Normal 2 2 9 21 10" xfId="37761" xr:uid="{00000000-0005-0000-0000-0000A74F0000}"/>
    <cellStyle name="Normal 2 2 9 21 11" xfId="37762" xr:uid="{00000000-0005-0000-0000-0000A84F0000}"/>
    <cellStyle name="Normal 2 2 9 21 2" xfId="8557" xr:uid="{00000000-0005-0000-0000-0000A94F0000}"/>
    <cellStyle name="Normal 2 2 9 21 2 10" xfId="37763" xr:uid="{00000000-0005-0000-0000-0000AA4F0000}"/>
    <cellStyle name="Normal 2 2 9 21 2 2" xfId="8558" xr:uid="{00000000-0005-0000-0000-0000AB4F0000}"/>
    <cellStyle name="Normal 2 2 9 21 2 2 2" xfId="8559" xr:uid="{00000000-0005-0000-0000-0000AC4F0000}"/>
    <cellStyle name="Normal 2 2 9 21 2 2 2 2" xfId="8560" xr:uid="{00000000-0005-0000-0000-0000AD4F0000}"/>
    <cellStyle name="Normal 2 2 9 21 2 2 2 2 2" xfId="37764" xr:uid="{00000000-0005-0000-0000-0000AE4F0000}"/>
    <cellStyle name="Normal 2 2 9 21 2 2 2 3" xfId="8561" xr:uid="{00000000-0005-0000-0000-0000AF4F0000}"/>
    <cellStyle name="Normal 2 2 9 21 2 2 2 3 2" xfId="37765" xr:uid="{00000000-0005-0000-0000-0000B04F0000}"/>
    <cellStyle name="Normal 2 2 9 21 2 2 2 4" xfId="37766" xr:uid="{00000000-0005-0000-0000-0000B14F0000}"/>
    <cellStyle name="Normal 2 2 9 21 2 2 3" xfId="8562" xr:uid="{00000000-0005-0000-0000-0000B24F0000}"/>
    <cellStyle name="Normal 2 2 9 21 2 2 3 2" xfId="37767" xr:uid="{00000000-0005-0000-0000-0000B34F0000}"/>
    <cellStyle name="Normal 2 2 9 21 2 2 4" xfId="8563" xr:uid="{00000000-0005-0000-0000-0000B44F0000}"/>
    <cellStyle name="Normal 2 2 9 21 2 2 4 2" xfId="37768" xr:uid="{00000000-0005-0000-0000-0000B54F0000}"/>
    <cellStyle name="Normal 2 2 9 21 2 2 5" xfId="8564" xr:uid="{00000000-0005-0000-0000-0000B64F0000}"/>
    <cellStyle name="Normal 2 2 9 21 2 2 5 2" xfId="37769" xr:uid="{00000000-0005-0000-0000-0000B74F0000}"/>
    <cellStyle name="Normal 2 2 9 21 2 2 6" xfId="37770" xr:uid="{00000000-0005-0000-0000-0000B84F0000}"/>
    <cellStyle name="Normal 2 2 9 21 2 2 6 2" xfId="37771" xr:uid="{00000000-0005-0000-0000-0000B94F0000}"/>
    <cellStyle name="Normal 2 2 9 21 2 2 7" xfId="37772" xr:uid="{00000000-0005-0000-0000-0000BA4F0000}"/>
    <cellStyle name="Normal 2 2 9 21 2 3" xfId="8565" xr:uid="{00000000-0005-0000-0000-0000BB4F0000}"/>
    <cellStyle name="Normal 2 2 9 21 2 3 2" xfId="8566" xr:uid="{00000000-0005-0000-0000-0000BC4F0000}"/>
    <cellStyle name="Normal 2 2 9 21 2 3 2 2" xfId="37773" xr:uid="{00000000-0005-0000-0000-0000BD4F0000}"/>
    <cellStyle name="Normal 2 2 9 21 2 3 3" xfId="8567" xr:uid="{00000000-0005-0000-0000-0000BE4F0000}"/>
    <cellStyle name="Normal 2 2 9 21 2 3 3 2" xfId="37774" xr:uid="{00000000-0005-0000-0000-0000BF4F0000}"/>
    <cellStyle name="Normal 2 2 9 21 2 3 4" xfId="37775" xr:uid="{00000000-0005-0000-0000-0000C04F0000}"/>
    <cellStyle name="Normal 2 2 9 21 2 4" xfId="8568" xr:uid="{00000000-0005-0000-0000-0000C14F0000}"/>
    <cellStyle name="Normal 2 2 9 21 2 4 2" xfId="8569" xr:uid="{00000000-0005-0000-0000-0000C24F0000}"/>
    <cellStyle name="Normal 2 2 9 21 2 4 2 2" xfId="37776" xr:uid="{00000000-0005-0000-0000-0000C34F0000}"/>
    <cellStyle name="Normal 2 2 9 21 2 4 3" xfId="37777" xr:uid="{00000000-0005-0000-0000-0000C44F0000}"/>
    <cellStyle name="Normal 2 2 9 21 2 5" xfId="8570" xr:uid="{00000000-0005-0000-0000-0000C54F0000}"/>
    <cellStyle name="Normal 2 2 9 21 2 5 2" xfId="37778" xr:uid="{00000000-0005-0000-0000-0000C64F0000}"/>
    <cellStyle name="Normal 2 2 9 21 2 6" xfId="8571" xr:uid="{00000000-0005-0000-0000-0000C74F0000}"/>
    <cellStyle name="Normal 2 2 9 21 2 6 2" xfId="37779" xr:uid="{00000000-0005-0000-0000-0000C84F0000}"/>
    <cellStyle name="Normal 2 2 9 21 2 7" xfId="37780" xr:uid="{00000000-0005-0000-0000-0000C94F0000}"/>
    <cellStyle name="Normal 2 2 9 21 2 7 2" xfId="37781" xr:uid="{00000000-0005-0000-0000-0000CA4F0000}"/>
    <cellStyle name="Normal 2 2 9 21 2 8" xfId="37782" xr:uid="{00000000-0005-0000-0000-0000CB4F0000}"/>
    <cellStyle name="Normal 2 2 9 21 2 9" xfId="37783" xr:uid="{00000000-0005-0000-0000-0000CC4F0000}"/>
    <cellStyle name="Normal 2 2 9 21 3" xfId="8572" xr:uid="{00000000-0005-0000-0000-0000CD4F0000}"/>
    <cellStyle name="Normal 2 2 9 21 3 2" xfId="8573" xr:uid="{00000000-0005-0000-0000-0000CE4F0000}"/>
    <cellStyle name="Normal 2 2 9 21 3 2 2" xfId="8574" xr:uid="{00000000-0005-0000-0000-0000CF4F0000}"/>
    <cellStyle name="Normal 2 2 9 21 3 2 2 2" xfId="37784" xr:uid="{00000000-0005-0000-0000-0000D04F0000}"/>
    <cellStyle name="Normal 2 2 9 21 3 2 3" xfId="8575" xr:uid="{00000000-0005-0000-0000-0000D14F0000}"/>
    <cellStyle name="Normal 2 2 9 21 3 2 3 2" xfId="37785" xr:uid="{00000000-0005-0000-0000-0000D24F0000}"/>
    <cellStyle name="Normal 2 2 9 21 3 2 4" xfId="37786" xr:uid="{00000000-0005-0000-0000-0000D34F0000}"/>
    <cellStyle name="Normal 2 2 9 21 3 3" xfId="8576" xr:uid="{00000000-0005-0000-0000-0000D44F0000}"/>
    <cellStyle name="Normal 2 2 9 21 3 3 2" xfId="37787" xr:uid="{00000000-0005-0000-0000-0000D54F0000}"/>
    <cellStyle name="Normal 2 2 9 21 3 4" xfId="8577" xr:uid="{00000000-0005-0000-0000-0000D64F0000}"/>
    <cellStyle name="Normal 2 2 9 21 3 4 2" xfId="37788" xr:uid="{00000000-0005-0000-0000-0000D74F0000}"/>
    <cellStyle name="Normal 2 2 9 21 3 5" xfId="8578" xr:uid="{00000000-0005-0000-0000-0000D84F0000}"/>
    <cellStyle name="Normal 2 2 9 21 3 5 2" xfId="37789" xr:uid="{00000000-0005-0000-0000-0000D94F0000}"/>
    <cellStyle name="Normal 2 2 9 21 3 6" xfId="37790" xr:uid="{00000000-0005-0000-0000-0000DA4F0000}"/>
    <cellStyle name="Normal 2 2 9 21 3 6 2" xfId="37791" xr:uid="{00000000-0005-0000-0000-0000DB4F0000}"/>
    <cellStyle name="Normal 2 2 9 21 3 7" xfId="37792" xr:uid="{00000000-0005-0000-0000-0000DC4F0000}"/>
    <cellStyle name="Normal 2 2 9 21 4" xfId="8579" xr:uid="{00000000-0005-0000-0000-0000DD4F0000}"/>
    <cellStyle name="Normal 2 2 9 21 4 2" xfId="8580" xr:uid="{00000000-0005-0000-0000-0000DE4F0000}"/>
    <cellStyle name="Normal 2 2 9 21 4 2 2" xfId="37793" xr:uid="{00000000-0005-0000-0000-0000DF4F0000}"/>
    <cellStyle name="Normal 2 2 9 21 4 3" xfId="8581" xr:uid="{00000000-0005-0000-0000-0000E04F0000}"/>
    <cellStyle name="Normal 2 2 9 21 4 3 2" xfId="37794" xr:uid="{00000000-0005-0000-0000-0000E14F0000}"/>
    <cellStyle name="Normal 2 2 9 21 4 4" xfId="37795" xr:uid="{00000000-0005-0000-0000-0000E24F0000}"/>
    <cellStyle name="Normal 2 2 9 21 5" xfId="8582" xr:uid="{00000000-0005-0000-0000-0000E34F0000}"/>
    <cellStyle name="Normal 2 2 9 21 5 2" xfId="8583" xr:uid="{00000000-0005-0000-0000-0000E44F0000}"/>
    <cellStyle name="Normal 2 2 9 21 5 2 2" xfId="37796" xr:uid="{00000000-0005-0000-0000-0000E54F0000}"/>
    <cellStyle name="Normal 2 2 9 21 5 3" xfId="37797" xr:uid="{00000000-0005-0000-0000-0000E64F0000}"/>
    <cellStyle name="Normal 2 2 9 21 6" xfId="8584" xr:uid="{00000000-0005-0000-0000-0000E74F0000}"/>
    <cellStyle name="Normal 2 2 9 21 6 2" xfId="37798" xr:uid="{00000000-0005-0000-0000-0000E84F0000}"/>
    <cellStyle name="Normal 2 2 9 21 7" xfId="8585" xr:uid="{00000000-0005-0000-0000-0000E94F0000}"/>
    <cellStyle name="Normal 2 2 9 21 7 2" xfId="37799" xr:uid="{00000000-0005-0000-0000-0000EA4F0000}"/>
    <cellStyle name="Normal 2 2 9 21 8" xfId="37800" xr:uid="{00000000-0005-0000-0000-0000EB4F0000}"/>
    <cellStyle name="Normal 2 2 9 21 8 2" xfId="37801" xr:uid="{00000000-0005-0000-0000-0000EC4F0000}"/>
    <cellStyle name="Normal 2 2 9 21 9" xfId="37802" xr:uid="{00000000-0005-0000-0000-0000ED4F0000}"/>
    <cellStyle name="Normal 2 2 9 22" xfId="8586" xr:uid="{00000000-0005-0000-0000-0000EE4F0000}"/>
    <cellStyle name="Normal 2 2 9 22 10" xfId="37803" xr:uid="{00000000-0005-0000-0000-0000EF4F0000}"/>
    <cellStyle name="Normal 2 2 9 22 11" xfId="37804" xr:uid="{00000000-0005-0000-0000-0000F04F0000}"/>
    <cellStyle name="Normal 2 2 9 22 2" xfId="8587" xr:uid="{00000000-0005-0000-0000-0000F14F0000}"/>
    <cellStyle name="Normal 2 2 9 22 2 10" xfId="37805" xr:uid="{00000000-0005-0000-0000-0000F24F0000}"/>
    <cellStyle name="Normal 2 2 9 22 2 2" xfId="8588" xr:uid="{00000000-0005-0000-0000-0000F34F0000}"/>
    <cellStyle name="Normal 2 2 9 22 2 2 2" xfId="8589" xr:uid="{00000000-0005-0000-0000-0000F44F0000}"/>
    <cellStyle name="Normal 2 2 9 22 2 2 2 2" xfId="8590" xr:uid="{00000000-0005-0000-0000-0000F54F0000}"/>
    <cellStyle name="Normal 2 2 9 22 2 2 2 2 2" xfId="37806" xr:uid="{00000000-0005-0000-0000-0000F64F0000}"/>
    <cellStyle name="Normal 2 2 9 22 2 2 2 3" xfId="8591" xr:uid="{00000000-0005-0000-0000-0000F74F0000}"/>
    <cellStyle name="Normal 2 2 9 22 2 2 2 3 2" xfId="37807" xr:uid="{00000000-0005-0000-0000-0000F84F0000}"/>
    <cellStyle name="Normal 2 2 9 22 2 2 2 4" xfId="37808" xr:uid="{00000000-0005-0000-0000-0000F94F0000}"/>
    <cellStyle name="Normal 2 2 9 22 2 2 3" xfId="8592" xr:uid="{00000000-0005-0000-0000-0000FA4F0000}"/>
    <cellStyle name="Normal 2 2 9 22 2 2 3 2" xfId="37809" xr:uid="{00000000-0005-0000-0000-0000FB4F0000}"/>
    <cellStyle name="Normal 2 2 9 22 2 2 4" xfId="8593" xr:uid="{00000000-0005-0000-0000-0000FC4F0000}"/>
    <cellStyle name="Normal 2 2 9 22 2 2 4 2" xfId="37810" xr:uid="{00000000-0005-0000-0000-0000FD4F0000}"/>
    <cellStyle name="Normal 2 2 9 22 2 2 5" xfId="8594" xr:uid="{00000000-0005-0000-0000-0000FE4F0000}"/>
    <cellStyle name="Normal 2 2 9 22 2 2 5 2" xfId="37811" xr:uid="{00000000-0005-0000-0000-0000FF4F0000}"/>
    <cellStyle name="Normal 2 2 9 22 2 2 6" xfId="37812" xr:uid="{00000000-0005-0000-0000-000000500000}"/>
    <cellStyle name="Normal 2 2 9 22 2 2 6 2" xfId="37813" xr:uid="{00000000-0005-0000-0000-000001500000}"/>
    <cellStyle name="Normal 2 2 9 22 2 2 7" xfId="37814" xr:uid="{00000000-0005-0000-0000-000002500000}"/>
    <cellStyle name="Normal 2 2 9 22 2 3" xfId="8595" xr:uid="{00000000-0005-0000-0000-000003500000}"/>
    <cellStyle name="Normal 2 2 9 22 2 3 2" xfId="8596" xr:uid="{00000000-0005-0000-0000-000004500000}"/>
    <cellStyle name="Normal 2 2 9 22 2 3 2 2" xfId="37815" xr:uid="{00000000-0005-0000-0000-000005500000}"/>
    <cellStyle name="Normal 2 2 9 22 2 3 3" xfId="8597" xr:uid="{00000000-0005-0000-0000-000006500000}"/>
    <cellStyle name="Normal 2 2 9 22 2 3 3 2" xfId="37816" xr:uid="{00000000-0005-0000-0000-000007500000}"/>
    <cellStyle name="Normal 2 2 9 22 2 3 4" xfId="37817" xr:uid="{00000000-0005-0000-0000-000008500000}"/>
    <cellStyle name="Normal 2 2 9 22 2 4" xfId="8598" xr:uid="{00000000-0005-0000-0000-000009500000}"/>
    <cellStyle name="Normal 2 2 9 22 2 4 2" xfId="8599" xr:uid="{00000000-0005-0000-0000-00000A500000}"/>
    <cellStyle name="Normal 2 2 9 22 2 4 2 2" xfId="37818" xr:uid="{00000000-0005-0000-0000-00000B500000}"/>
    <cellStyle name="Normal 2 2 9 22 2 4 3" xfId="37819" xr:uid="{00000000-0005-0000-0000-00000C500000}"/>
    <cellStyle name="Normal 2 2 9 22 2 5" xfId="8600" xr:uid="{00000000-0005-0000-0000-00000D500000}"/>
    <cellStyle name="Normal 2 2 9 22 2 5 2" xfId="37820" xr:uid="{00000000-0005-0000-0000-00000E500000}"/>
    <cellStyle name="Normal 2 2 9 22 2 6" xfId="8601" xr:uid="{00000000-0005-0000-0000-00000F500000}"/>
    <cellStyle name="Normal 2 2 9 22 2 6 2" xfId="37821" xr:uid="{00000000-0005-0000-0000-000010500000}"/>
    <cellStyle name="Normal 2 2 9 22 2 7" xfId="37822" xr:uid="{00000000-0005-0000-0000-000011500000}"/>
    <cellStyle name="Normal 2 2 9 22 2 7 2" xfId="37823" xr:uid="{00000000-0005-0000-0000-000012500000}"/>
    <cellStyle name="Normal 2 2 9 22 2 8" xfId="37824" xr:uid="{00000000-0005-0000-0000-000013500000}"/>
    <cellStyle name="Normal 2 2 9 22 2 9" xfId="37825" xr:uid="{00000000-0005-0000-0000-000014500000}"/>
    <cellStyle name="Normal 2 2 9 22 3" xfId="8602" xr:uid="{00000000-0005-0000-0000-000015500000}"/>
    <cellStyle name="Normal 2 2 9 22 3 2" xfId="8603" xr:uid="{00000000-0005-0000-0000-000016500000}"/>
    <cellStyle name="Normal 2 2 9 22 3 2 2" xfId="8604" xr:uid="{00000000-0005-0000-0000-000017500000}"/>
    <cellStyle name="Normal 2 2 9 22 3 2 2 2" xfId="37826" xr:uid="{00000000-0005-0000-0000-000018500000}"/>
    <cellStyle name="Normal 2 2 9 22 3 2 3" xfId="8605" xr:uid="{00000000-0005-0000-0000-000019500000}"/>
    <cellStyle name="Normal 2 2 9 22 3 2 3 2" xfId="37827" xr:uid="{00000000-0005-0000-0000-00001A500000}"/>
    <cellStyle name="Normal 2 2 9 22 3 2 4" xfId="37828" xr:uid="{00000000-0005-0000-0000-00001B500000}"/>
    <cellStyle name="Normal 2 2 9 22 3 3" xfId="8606" xr:uid="{00000000-0005-0000-0000-00001C500000}"/>
    <cellStyle name="Normal 2 2 9 22 3 3 2" xfId="37829" xr:uid="{00000000-0005-0000-0000-00001D500000}"/>
    <cellStyle name="Normal 2 2 9 22 3 4" xfId="8607" xr:uid="{00000000-0005-0000-0000-00001E500000}"/>
    <cellStyle name="Normal 2 2 9 22 3 4 2" xfId="37830" xr:uid="{00000000-0005-0000-0000-00001F500000}"/>
    <cellStyle name="Normal 2 2 9 22 3 5" xfId="8608" xr:uid="{00000000-0005-0000-0000-000020500000}"/>
    <cellStyle name="Normal 2 2 9 22 3 5 2" xfId="37831" xr:uid="{00000000-0005-0000-0000-000021500000}"/>
    <cellStyle name="Normal 2 2 9 22 3 6" xfId="37832" xr:uid="{00000000-0005-0000-0000-000022500000}"/>
    <cellStyle name="Normal 2 2 9 22 3 6 2" xfId="37833" xr:uid="{00000000-0005-0000-0000-000023500000}"/>
    <cellStyle name="Normal 2 2 9 22 3 7" xfId="37834" xr:uid="{00000000-0005-0000-0000-000024500000}"/>
    <cellStyle name="Normal 2 2 9 22 4" xfId="8609" xr:uid="{00000000-0005-0000-0000-000025500000}"/>
    <cellStyle name="Normal 2 2 9 22 4 2" xfId="8610" xr:uid="{00000000-0005-0000-0000-000026500000}"/>
    <cellStyle name="Normal 2 2 9 22 4 2 2" xfId="37835" xr:uid="{00000000-0005-0000-0000-000027500000}"/>
    <cellStyle name="Normal 2 2 9 22 4 3" xfId="8611" xr:uid="{00000000-0005-0000-0000-000028500000}"/>
    <cellStyle name="Normal 2 2 9 22 4 3 2" xfId="37836" xr:uid="{00000000-0005-0000-0000-000029500000}"/>
    <cellStyle name="Normal 2 2 9 22 4 4" xfId="37837" xr:uid="{00000000-0005-0000-0000-00002A500000}"/>
    <cellStyle name="Normal 2 2 9 22 5" xfId="8612" xr:uid="{00000000-0005-0000-0000-00002B500000}"/>
    <cellStyle name="Normal 2 2 9 22 5 2" xfId="8613" xr:uid="{00000000-0005-0000-0000-00002C500000}"/>
    <cellStyle name="Normal 2 2 9 22 5 2 2" xfId="37838" xr:uid="{00000000-0005-0000-0000-00002D500000}"/>
    <cellStyle name="Normal 2 2 9 22 5 3" xfId="37839" xr:uid="{00000000-0005-0000-0000-00002E500000}"/>
    <cellStyle name="Normal 2 2 9 22 6" xfId="8614" xr:uid="{00000000-0005-0000-0000-00002F500000}"/>
    <cellStyle name="Normal 2 2 9 22 6 2" xfId="37840" xr:uid="{00000000-0005-0000-0000-000030500000}"/>
    <cellStyle name="Normal 2 2 9 22 7" xfId="8615" xr:uid="{00000000-0005-0000-0000-000031500000}"/>
    <cellStyle name="Normal 2 2 9 22 7 2" xfId="37841" xr:uid="{00000000-0005-0000-0000-000032500000}"/>
    <cellStyle name="Normal 2 2 9 22 8" xfId="37842" xr:uid="{00000000-0005-0000-0000-000033500000}"/>
    <cellStyle name="Normal 2 2 9 22 8 2" xfId="37843" xr:uid="{00000000-0005-0000-0000-000034500000}"/>
    <cellStyle name="Normal 2 2 9 22 9" xfId="37844" xr:uid="{00000000-0005-0000-0000-000035500000}"/>
    <cellStyle name="Normal 2 2 9 23" xfId="8616" xr:uid="{00000000-0005-0000-0000-000036500000}"/>
    <cellStyle name="Normal 2 2 9 23 10" xfId="37845" xr:uid="{00000000-0005-0000-0000-000037500000}"/>
    <cellStyle name="Normal 2 2 9 23 11" xfId="37846" xr:uid="{00000000-0005-0000-0000-000038500000}"/>
    <cellStyle name="Normal 2 2 9 23 2" xfId="8617" xr:uid="{00000000-0005-0000-0000-000039500000}"/>
    <cellStyle name="Normal 2 2 9 23 2 10" xfId="37847" xr:uid="{00000000-0005-0000-0000-00003A500000}"/>
    <cellStyle name="Normal 2 2 9 23 2 2" xfId="8618" xr:uid="{00000000-0005-0000-0000-00003B500000}"/>
    <cellStyle name="Normal 2 2 9 23 2 2 2" xfId="8619" xr:uid="{00000000-0005-0000-0000-00003C500000}"/>
    <cellStyle name="Normal 2 2 9 23 2 2 2 2" xfId="8620" xr:uid="{00000000-0005-0000-0000-00003D500000}"/>
    <cellStyle name="Normal 2 2 9 23 2 2 2 2 2" xfId="37848" xr:uid="{00000000-0005-0000-0000-00003E500000}"/>
    <cellStyle name="Normal 2 2 9 23 2 2 2 3" xfId="8621" xr:uid="{00000000-0005-0000-0000-00003F500000}"/>
    <cellStyle name="Normal 2 2 9 23 2 2 2 3 2" xfId="37849" xr:uid="{00000000-0005-0000-0000-000040500000}"/>
    <cellStyle name="Normal 2 2 9 23 2 2 2 4" xfId="37850" xr:uid="{00000000-0005-0000-0000-000041500000}"/>
    <cellStyle name="Normal 2 2 9 23 2 2 3" xfId="8622" xr:uid="{00000000-0005-0000-0000-000042500000}"/>
    <cellStyle name="Normal 2 2 9 23 2 2 3 2" xfId="37851" xr:uid="{00000000-0005-0000-0000-000043500000}"/>
    <cellStyle name="Normal 2 2 9 23 2 2 4" xfId="8623" xr:uid="{00000000-0005-0000-0000-000044500000}"/>
    <cellStyle name="Normal 2 2 9 23 2 2 4 2" xfId="37852" xr:uid="{00000000-0005-0000-0000-000045500000}"/>
    <cellStyle name="Normal 2 2 9 23 2 2 5" xfId="8624" xr:uid="{00000000-0005-0000-0000-000046500000}"/>
    <cellStyle name="Normal 2 2 9 23 2 2 5 2" xfId="37853" xr:uid="{00000000-0005-0000-0000-000047500000}"/>
    <cellStyle name="Normal 2 2 9 23 2 2 6" xfId="37854" xr:uid="{00000000-0005-0000-0000-000048500000}"/>
    <cellStyle name="Normal 2 2 9 23 2 2 6 2" xfId="37855" xr:uid="{00000000-0005-0000-0000-000049500000}"/>
    <cellStyle name="Normal 2 2 9 23 2 2 7" xfId="37856" xr:uid="{00000000-0005-0000-0000-00004A500000}"/>
    <cellStyle name="Normal 2 2 9 23 2 3" xfId="8625" xr:uid="{00000000-0005-0000-0000-00004B500000}"/>
    <cellStyle name="Normal 2 2 9 23 2 3 2" xfId="8626" xr:uid="{00000000-0005-0000-0000-00004C500000}"/>
    <cellStyle name="Normal 2 2 9 23 2 3 2 2" xfId="37857" xr:uid="{00000000-0005-0000-0000-00004D500000}"/>
    <cellStyle name="Normal 2 2 9 23 2 3 3" xfId="8627" xr:uid="{00000000-0005-0000-0000-00004E500000}"/>
    <cellStyle name="Normal 2 2 9 23 2 3 3 2" xfId="37858" xr:uid="{00000000-0005-0000-0000-00004F500000}"/>
    <cellStyle name="Normal 2 2 9 23 2 3 4" xfId="37859" xr:uid="{00000000-0005-0000-0000-000050500000}"/>
    <cellStyle name="Normal 2 2 9 23 2 4" xfId="8628" xr:uid="{00000000-0005-0000-0000-000051500000}"/>
    <cellStyle name="Normal 2 2 9 23 2 4 2" xfId="8629" xr:uid="{00000000-0005-0000-0000-000052500000}"/>
    <cellStyle name="Normal 2 2 9 23 2 4 2 2" xfId="37860" xr:uid="{00000000-0005-0000-0000-000053500000}"/>
    <cellStyle name="Normal 2 2 9 23 2 4 3" xfId="37861" xr:uid="{00000000-0005-0000-0000-000054500000}"/>
    <cellStyle name="Normal 2 2 9 23 2 5" xfId="8630" xr:uid="{00000000-0005-0000-0000-000055500000}"/>
    <cellStyle name="Normal 2 2 9 23 2 5 2" xfId="37862" xr:uid="{00000000-0005-0000-0000-000056500000}"/>
    <cellStyle name="Normal 2 2 9 23 2 6" xfId="8631" xr:uid="{00000000-0005-0000-0000-000057500000}"/>
    <cellStyle name="Normal 2 2 9 23 2 6 2" xfId="37863" xr:uid="{00000000-0005-0000-0000-000058500000}"/>
    <cellStyle name="Normal 2 2 9 23 2 7" xfId="37864" xr:uid="{00000000-0005-0000-0000-000059500000}"/>
    <cellStyle name="Normal 2 2 9 23 2 7 2" xfId="37865" xr:uid="{00000000-0005-0000-0000-00005A500000}"/>
    <cellStyle name="Normal 2 2 9 23 2 8" xfId="37866" xr:uid="{00000000-0005-0000-0000-00005B500000}"/>
    <cellStyle name="Normal 2 2 9 23 2 9" xfId="37867" xr:uid="{00000000-0005-0000-0000-00005C500000}"/>
    <cellStyle name="Normal 2 2 9 23 3" xfId="8632" xr:uid="{00000000-0005-0000-0000-00005D500000}"/>
    <cellStyle name="Normal 2 2 9 23 3 2" xfId="8633" xr:uid="{00000000-0005-0000-0000-00005E500000}"/>
    <cellStyle name="Normal 2 2 9 23 3 2 2" xfId="8634" xr:uid="{00000000-0005-0000-0000-00005F500000}"/>
    <cellStyle name="Normal 2 2 9 23 3 2 2 2" xfId="37868" xr:uid="{00000000-0005-0000-0000-000060500000}"/>
    <cellStyle name="Normal 2 2 9 23 3 2 3" xfId="8635" xr:uid="{00000000-0005-0000-0000-000061500000}"/>
    <cellStyle name="Normal 2 2 9 23 3 2 3 2" xfId="37869" xr:uid="{00000000-0005-0000-0000-000062500000}"/>
    <cellStyle name="Normal 2 2 9 23 3 2 4" xfId="37870" xr:uid="{00000000-0005-0000-0000-000063500000}"/>
    <cellStyle name="Normal 2 2 9 23 3 3" xfId="8636" xr:uid="{00000000-0005-0000-0000-000064500000}"/>
    <cellStyle name="Normal 2 2 9 23 3 3 2" xfId="37871" xr:uid="{00000000-0005-0000-0000-000065500000}"/>
    <cellStyle name="Normal 2 2 9 23 3 4" xfId="8637" xr:uid="{00000000-0005-0000-0000-000066500000}"/>
    <cellStyle name="Normal 2 2 9 23 3 4 2" xfId="37872" xr:uid="{00000000-0005-0000-0000-000067500000}"/>
    <cellStyle name="Normal 2 2 9 23 3 5" xfId="8638" xr:uid="{00000000-0005-0000-0000-000068500000}"/>
    <cellStyle name="Normal 2 2 9 23 3 5 2" xfId="37873" xr:uid="{00000000-0005-0000-0000-000069500000}"/>
    <cellStyle name="Normal 2 2 9 23 3 6" xfId="37874" xr:uid="{00000000-0005-0000-0000-00006A500000}"/>
    <cellStyle name="Normal 2 2 9 23 3 6 2" xfId="37875" xr:uid="{00000000-0005-0000-0000-00006B500000}"/>
    <cellStyle name="Normal 2 2 9 23 3 7" xfId="37876" xr:uid="{00000000-0005-0000-0000-00006C500000}"/>
    <cellStyle name="Normal 2 2 9 23 4" xfId="8639" xr:uid="{00000000-0005-0000-0000-00006D500000}"/>
    <cellStyle name="Normal 2 2 9 23 4 2" xfId="8640" xr:uid="{00000000-0005-0000-0000-00006E500000}"/>
    <cellStyle name="Normal 2 2 9 23 4 2 2" xfId="37877" xr:uid="{00000000-0005-0000-0000-00006F500000}"/>
    <cellStyle name="Normal 2 2 9 23 4 3" xfId="8641" xr:uid="{00000000-0005-0000-0000-000070500000}"/>
    <cellStyle name="Normal 2 2 9 23 4 3 2" xfId="37878" xr:uid="{00000000-0005-0000-0000-000071500000}"/>
    <cellStyle name="Normal 2 2 9 23 4 4" xfId="37879" xr:uid="{00000000-0005-0000-0000-000072500000}"/>
    <cellStyle name="Normal 2 2 9 23 5" xfId="8642" xr:uid="{00000000-0005-0000-0000-000073500000}"/>
    <cellStyle name="Normal 2 2 9 23 5 2" xfId="8643" xr:uid="{00000000-0005-0000-0000-000074500000}"/>
    <cellStyle name="Normal 2 2 9 23 5 2 2" xfId="37880" xr:uid="{00000000-0005-0000-0000-000075500000}"/>
    <cellStyle name="Normal 2 2 9 23 5 3" xfId="37881" xr:uid="{00000000-0005-0000-0000-000076500000}"/>
    <cellStyle name="Normal 2 2 9 23 6" xfId="8644" xr:uid="{00000000-0005-0000-0000-000077500000}"/>
    <cellStyle name="Normal 2 2 9 23 6 2" xfId="37882" xr:uid="{00000000-0005-0000-0000-000078500000}"/>
    <cellStyle name="Normal 2 2 9 23 7" xfId="8645" xr:uid="{00000000-0005-0000-0000-000079500000}"/>
    <cellStyle name="Normal 2 2 9 23 7 2" xfId="37883" xr:uid="{00000000-0005-0000-0000-00007A500000}"/>
    <cellStyle name="Normal 2 2 9 23 8" xfId="37884" xr:uid="{00000000-0005-0000-0000-00007B500000}"/>
    <cellStyle name="Normal 2 2 9 23 8 2" xfId="37885" xr:uid="{00000000-0005-0000-0000-00007C500000}"/>
    <cellStyle name="Normal 2 2 9 23 9" xfId="37886" xr:uid="{00000000-0005-0000-0000-00007D500000}"/>
    <cellStyle name="Normal 2 2 9 24" xfId="8646" xr:uid="{00000000-0005-0000-0000-00007E500000}"/>
    <cellStyle name="Normal 2 2 9 24 10" xfId="37887" xr:uid="{00000000-0005-0000-0000-00007F500000}"/>
    <cellStyle name="Normal 2 2 9 24 11" xfId="37888" xr:uid="{00000000-0005-0000-0000-000080500000}"/>
    <cellStyle name="Normal 2 2 9 24 2" xfId="8647" xr:uid="{00000000-0005-0000-0000-000081500000}"/>
    <cellStyle name="Normal 2 2 9 24 2 10" xfId="37889" xr:uid="{00000000-0005-0000-0000-000082500000}"/>
    <cellStyle name="Normal 2 2 9 24 2 2" xfId="8648" xr:uid="{00000000-0005-0000-0000-000083500000}"/>
    <cellStyle name="Normal 2 2 9 24 2 2 2" xfId="8649" xr:uid="{00000000-0005-0000-0000-000084500000}"/>
    <cellStyle name="Normal 2 2 9 24 2 2 2 2" xfId="8650" xr:uid="{00000000-0005-0000-0000-000085500000}"/>
    <cellStyle name="Normal 2 2 9 24 2 2 2 2 2" xfId="37890" xr:uid="{00000000-0005-0000-0000-000086500000}"/>
    <cellStyle name="Normal 2 2 9 24 2 2 2 3" xfId="8651" xr:uid="{00000000-0005-0000-0000-000087500000}"/>
    <cellStyle name="Normal 2 2 9 24 2 2 2 3 2" xfId="37891" xr:uid="{00000000-0005-0000-0000-000088500000}"/>
    <cellStyle name="Normal 2 2 9 24 2 2 2 4" xfId="37892" xr:uid="{00000000-0005-0000-0000-000089500000}"/>
    <cellStyle name="Normal 2 2 9 24 2 2 3" xfId="8652" xr:uid="{00000000-0005-0000-0000-00008A500000}"/>
    <cellStyle name="Normal 2 2 9 24 2 2 3 2" xfId="37893" xr:uid="{00000000-0005-0000-0000-00008B500000}"/>
    <cellStyle name="Normal 2 2 9 24 2 2 4" xfId="8653" xr:uid="{00000000-0005-0000-0000-00008C500000}"/>
    <cellStyle name="Normal 2 2 9 24 2 2 4 2" xfId="37894" xr:uid="{00000000-0005-0000-0000-00008D500000}"/>
    <cellStyle name="Normal 2 2 9 24 2 2 5" xfId="8654" xr:uid="{00000000-0005-0000-0000-00008E500000}"/>
    <cellStyle name="Normal 2 2 9 24 2 2 5 2" xfId="37895" xr:uid="{00000000-0005-0000-0000-00008F500000}"/>
    <cellStyle name="Normal 2 2 9 24 2 2 6" xfId="37896" xr:uid="{00000000-0005-0000-0000-000090500000}"/>
    <cellStyle name="Normal 2 2 9 24 2 2 6 2" xfId="37897" xr:uid="{00000000-0005-0000-0000-000091500000}"/>
    <cellStyle name="Normal 2 2 9 24 2 2 7" xfId="37898" xr:uid="{00000000-0005-0000-0000-000092500000}"/>
    <cellStyle name="Normal 2 2 9 24 2 3" xfId="8655" xr:uid="{00000000-0005-0000-0000-000093500000}"/>
    <cellStyle name="Normal 2 2 9 24 2 3 2" xfId="8656" xr:uid="{00000000-0005-0000-0000-000094500000}"/>
    <cellStyle name="Normal 2 2 9 24 2 3 2 2" xfId="37899" xr:uid="{00000000-0005-0000-0000-000095500000}"/>
    <cellStyle name="Normal 2 2 9 24 2 3 3" xfId="8657" xr:uid="{00000000-0005-0000-0000-000096500000}"/>
    <cellStyle name="Normal 2 2 9 24 2 3 3 2" xfId="37900" xr:uid="{00000000-0005-0000-0000-000097500000}"/>
    <cellStyle name="Normal 2 2 9 24 2 3 4" xfId="37901" xr:uid="{00000000-0005-0000-0000-000098500000}"/>
    <cellStyle name="Normal 2 2 9 24 2 4" xfId="8658" xr:uid="{00000000-0005-0000-0000-000099500000}"/>
    <cellStyle name="Normal 2 2 9 24 2 4 2" xfId="8659" xr:uid="{00000000-0005-0000-0000-00009A500000}"/>
    <cellStyle name="Normal 2 2 9 24 2 4 2 2" xfId="37902" xr:uid="{00000000-0005-0000-0000-00009B500000}"/>
    <cellStyle name="Normal 2 2 9 24 2 4 3" xfId="37903" xr:uid="{00000000-0005-0000-0000-00009C500000}"/>
    <cellStyle name="Normal 2 2 9 24 2 5" xfId="8660" xr:uid="{00000000-0005-0000-0000-00009D500000}"/>
    <cellStyle name="Normal 2 2 9 24 2 5 2" xfId="37904" xr:uid="{00000000-0005-0000-0000-00009E500000}"/>
    <cellStyle name="Normal 2 2 9 24 2 6" xfId="8661" xr:uid="{00000000-0005-0000-0000-00009F500000}"/>
    <cellStyle name="Normal 2 2 9 24 2 6 2" xfId="37905" xr:uid="{00000000-0005-0000-0000-0000A0500000}"/>
    <cellStyle name="Normal 2 2 9 24 2 7" xfId="37906" xr:uid="{00000000-0005-0000-0000-0000A1500000}"/>
    <cellStyle name="Normal 2 2 9 24 2 7 2" xfId="37907" xr:uid="{00000000-0005-0000-0000-0000A2500000}"/>
    <cellStyle name="Normal 2 2 9 24 2 8" xfId="37908" xr:uid="{00000000-0005-0000-0000-0000A3500000}"/>
    <cellStyle name="Normal 2 2 9 24 2 9" xfId="37909" xr:uid="{00000000-0005-0000-0000-0000A4500000}"/>
    <cellStyle name="Normal 2 2 9 24 3" xfId="8662" xr:uid="{00000000-0005-0000-0000-0000A5500000}"/>
    <cellStyle name="Normal 2 2 9 24 3 2" xfId="8663" xr:uid="{00000000-0005-0000-0000-0000A6500000}"/>
    <cellStyle name="Normal 2 2 9 24 3 2 2" xfId="8664" xr:uid="{00000000-0005-0000-0000-0000A7500000}"/>
    <cellStyle name="Normal 2 2 9 24 3 2 2 2" xfId="37910" xr:uid="{00000000-0005-0000-0000-0000A8500000}"/>
    <cellStyle name="Normal 2 2 9 24 3 2 3" xfId="8665" xr:uid="{00000000-0005-0000-0000-0000A9500000}"/>
    <cellStyle name="Normal 2 2 9 24 3 2 3 2" xfId="37911" xr:uid="{00000000-0005-0000-0000-0000AA500000}"/>
    <cellStyle name="Normal 2 2 9 24 3 2 4" xfId="37912" xr:uid="{00000000-0005-0000-0000-0000AB500000}"/>
    <cellStyle name="Normal 2 2 9 24 3 3" xfId="8666" xr:uid="{00000000-0005-0000-0000-0000AC500000}"/>
    <cellStyle name="Normal 2 2 9 24 3 3 2" xfId="37913" xr:uid="{00000000-0005-0000-0000-0000AD500000}"/>
    <cellStyle name="Normal 2 2 9 24 3 4" xfId="8667" xr:uid="{00000000-0005-0000-0000-0000AE500000}"/>
    <cellStyle name="Normal 2 2 9 24 3 4 2" xfId="37914" xr:uid="{00000000-0005-0000-0000-0000AF500000}"/>
    <cellStyle name="Normal 2 2 9 24 3 5" xfId="8668" xr:uid="{00000000-0005-0000-0000-0000B0500000}"/>
    <cellStyle name="Normal 2 2 9 24 3 5 2" xfId="37915" xr:uid="{00000000-0005-0000-0000-0000B1500000}"/>
    <cellStyle name="Normal 2 2 9 24 3 6" xfId="37916" xr:uid="{00000000-0005-0000-0000-0000B2500000}"/>
    <cellStyle name="Normal 2 2 9 24 3 6 2" xfId="37917" xr:uid="{00000000-0005-0000-0000-0000B3500000}"/>
    <cellStyle name="Normal 2 2 9 24 3 7" xfId="37918" xr:uid="{00000000-0005-0000-0000-0000B4500000}"/>
    <cellStyle name="Normal 2 2 9 24 4" xfId="8669" xr:uid="{00000000-0005-0000-0000-0000B5500000}"/>
    <cellStyle name="Normal 2 2 9 24 4 2" xfId="8670" xr:uid="{00000000-0005-0000-0000-0000B6500000}"/>
    <cellStyle name="Normal 2 2 9 24 4 2 2" xfId="37919" xr:uid="{00000000-0005-0000-0000-0000B7500000}"/>
    <cellStyle name="Normal 2 2 9 24 4 3" xfId="8671" xr:uid="{00000000-0005-0000-0000-0000B8500000}"/>
    <cellStyle name="Normal 2 2 9 24 4 3 2" xfId="37920" xr:uid="{00000000-0005-0000-0000-0000B9500000}"/>
    <cellStyle name="Normal 2 2 9 24 4 4" xfId="37921" xr:uid="{00000000-0005-0000-0000-0000BA500000}"/>
    <cellStyle name="Normal 2 2 9 24 5" xfId="8672" xr:uid="{00000000-0005-0000-0000-0000BB500000}"/>
    <cellStyle name="Normal 2 2 9 24 5 2" xfId="8673" xr:uid="{00000000-0005-0000-0000-0000BC500000}"/>
    <cellStyle name="Normal 2 2 9 24 5 2 2" xfId="37922" xr:uid="{00000000-0005-0000-0000-0000BD500000}"/>
    <cellStyle name="Normal 2 2 9 24 5 3" xfId="37923" xr:uid="{00000000-0005-0000-0000-0000BE500000}"/>
    <cellStyle name="Normal 2 2 9 24 6" xfId="8674" xr:uid="{00000000-0005-0000-0000-0000BF500000}"/>
    <cellStyle name="Normal 2 2 9 24 6 2" xfId="37924" xr:uid="{00000000-0005-0000-0000-0000C0500000}"/>
    <cellStyle name="Normal 2 2 9 24 7" xfId="8675" xr:uid="{00000000-0005-0000-0000-0000C1500000}"/>
    <cellStyle name="Normal 2 2 9 24 7 2" xfId="37925" xr:uid="{00000000-0005-0000-0000-0000C2500000}"/>
    <cellStyle name="Normal 2 2 9 24 8" xfId="37926" xr:uid="{00000000-0005-0000-0000-0000C3500000}"/>
    <cellStyle name="Normal 2 2 9 24 8 2" xfId="37927" xr:uid="{00000000-0005-0000-0000-0000C4500000}"/>
    <cellStyle name="Normal 2 2 9 24 9" xfId="37928" xr:uid="{00000000-0005-0000-0000-0000C5500000}"/>
    <cellStyle name="Normal 2 2 9 25" xfId="8676" xr:uid="{00000000-0005-0000-0000-0000C6500000}"/>
    <cellStyle name="Normal 2 2 9 25 10" xfId="37929" xr:uid="{00000000-0005-0000-0000-0000C7500000}"/>
    <cellStyle name="Normal 2 2 9 25 11" xfId="37930" xr:uid="{00000000-0005-0000-0000-0000C8500000}"/>
    <cellStyle name="Normal 2 2 9 25 2" xfId="8677" xr:uid="{00000000-0005-0000-0000-0000C9500000}"/>
    <cellStyle name="Normal 2 2 9 25 2 10" xfId="37931" xr:uid="{00000000-0005-0000-0000-0000CA500000}"/>
    <cellStyle name="Normal 2 2 9 25 2 2" xfId="8678" xr:uid="{00000000-0005-0000-0000-0000CB500000}"/>
    <cellStyle name="Normal 2 2 9 25 2 2 2" xfId="8679" xr:uid="{00000000-0005-0000-0000-0000CC500000}"/>
    <cellStyle name="Normal 2 2 9 25 2 2 2 2" xfId="8680" xr:uid="{00000000-0005-0000-0000-0000CD500000}"/>
    <cellStyle name="Normal 2 2 9 25 2 2 2 2 2" xfId="37932" xr:uid="{00000000-0005-0000-0000-0000CE500000}"/>
    <cellStyle name="Normal 2 2 9 25 2 2 2 3" xfId="8681" xr:uid="{00000000-0005-0000-0000-0000CF500000}"/>
    <cellStyle name="Normal 2 2 9 25 2 2 2 3 2" xfId="37933" xr:uid="{00000000-0005-0000-0000-0000D0500000}"/>
    <cellStyle name="Normal 2 2 9 25 2 2 2 4" xfId="37934" xr:uid="{00000000-0005-0000-0000-0000D1500000}"/>
    <cellStyle name="Normal 2 2 9 25 2 2 3" xfId="8682" xr:uid="{00000000-0005-0000-0000-0000D2500000}"/>
    <cellStyle name="Normal 2 2 9 25 2 2 3 2" xfId="37935" xr:uid="{00000000-0005-0000-0000-0000D3500000}"/>
    <cellStyle name="Normal 2 2 9 25 2 2 4" xfId="8683" xr:uid="{00000000-0005-0000-0000-0000D4500000}"/>
    <cellStyle name="Normal 2 2 9 25 2 2 4 2" xfId="37936" xr:uid="{00000000-0005-0000-0000-0000D5500000}"/>
    <cellStyle name="Normal 2 2 9 25 2 2 5" xfId="8684" xr:uid="{00000000-0005-0000-0000-0000D6500000}"/>
    <cellStyle name="Normal 2 2 9 25 2 2 5 2" xfId="37937" xr:uid="{00000000-0005-0000-0000-0000D7500000}"/>
    <cellStyle name="Normal 2 2 9 25 2 2 6" xfId="37938" xr:uid="{00000000-0005-0000-0000-0000D8500000}"/>
    <cellStyle name="Normal 2 2 9 25 2 2 6 2" xfId="37939" xr:uid="{00000000-0005-0000-0000-0000D9500000}"/>
    <cellStyle name="Normal 2 2 9 25 2 2 7" xfId="37940" xr:uid="{00000000-0005-0000-0000-0000DA500000}"/>
    <cellStyle name="Normal 2 2 9 25 2 3" xfId="8685" xr:uid="{00000000-0005-0000-0000-0000DB500000}"/>
    <cellStyle name="Normal 2 2 9 25 2 3 2" xfId="8686" xr:uid="{00000000-0005-0000-0000-0000DC500000}"/>
    <cellStyle name="Normal 2 2 9 25 2 3 2 2" xfId="37941" xr:uid="{00000000-0005-0000-0000-0000DD500000}"/>
    <cellStyle name="Normal 2 2 9 25 2 3 3" xfId="8687" xr:uid="{00000000-0005-0000-0000-0000DE500000}"/>
    <cellStyle name="Normal 2 2 9 25 2 3 3 2" xfId="37942" xr:uid="{00000000-0005-0000-0000-0000DF500000}"/>
    <cellStyle name="Normal 2 2 9 25 2 3 4" xfId="37943" xr:uid="{00000000-0005-0000-0000-0000E0500000}"/>
    <cellStyle name="Normal 2 2 9 25 2 4" xfId="8688" xr:uid="{00000000-0005-0000-0000-0000E1500000}"/>
    <cellStyle name="Normal 2 2 9 25 2 4 2" xfId="8689" xr:uid="{00000000-0005-0000-0000-0000E2500000}"/>
    <cellStyle name="Normal 2 2 9 25 2 4 2 2" xfId="37944" xr:uid="{00000000-0005-0000-0000-0000E3500000}"/>
    <cellStyle name="Normal 2 2 9 25 2 4 3" xfId="37945" xr:uid="{00000000-0005-0000-0000-0000E4500000}"/>
    <cellStyle name="Normal 2 2 9 25 2 5" xfId="8690" xr:uid="{00000000-0005-0000-0000-0000E5500000}"/>
    <cellStyle name="Normal 2 2 9 25 2 5 2" xfId="37946" xr:uid="{00000000-0005-0000-0000-0000E6500000}"/>
    <cellStyle name="Normal 2 2 9 25 2 6" xfId="8691" xr:uid="{00000000-0005-0000-0000-0000E7500000}"/>
    <cellStyle name="Normal 2 2 9 25 2 6 2" xfId="37947" xr:uid="{00000000-0005-0000-0000-0000E8500000}"/>
    <cellStyle name="Normal 2 2 9 25 2 7" xfId="37948" xr:uid="{00000000-0005-0000-0000-0000E9500000}"/>
    <cellStyle name="Normal 2 2 9 25 2 7 2" xfId="37949" xr:uid="{00000000-0005-0000-0000-0000EA500000}"/>
    <cellStyle name="Normal 2 2 9 25 2 8" xfId="37950" xr:uid="{00000000-0005-0000-0000-0000EB500000}"/>
    <cellStyle name="Normal 2 2 9 25 2 9" xfId="37951" xr:uid="{00000000-0005-0000-0000-0000EC500000}"/>
    <cellStyle name="Normal 2 2 9 25 3" xfId="8692" xr:uid="{00000000-0005-0000-0000-0000ED500000}"/>
    <cellStyle name="Normal 2 2 9 25 3 2" xfId="8693" xr:uid="{00000000-0005-0000-0000-0000EE500000}"/>
    <cellStyle name="Normal 2 2 9 25 3 2 2" xfId="8694" xr:uid="{00000000-0005-0000-0000-0000EF500000}"/>
    <cellStyle name="Normal 2 2 9 25 3 2 2 2" xfId="37952" xr:uid="{00000000-0005-0000-0000-0000F0500000}"/>
    <cellStyle name="Normal 2 2 9 25 3 2 3" xfId="8695" xr:uid="{00000000-0005-0000-0000-0000F1500000}"/>
    <cellStyle name="Normal 2 2 9 25 3 2 3 2" xfId="37953" xr:uid="{00000000-0005-0000-0000-0000F2500000}"/>
    <cellStyle name="Normal 2 2 9 25 3 2 4" xfId="37954" xr:uid="{00000000-0005-0000-0000-0000F3500000}"/>
    <cellStyle name="Normal 2 2 9 25 3 3" xfId="8696" xr:uid="{00000000-0005-0000-0000-0000F4500000}"/>
    <cellStyle name="Normal 2 2 9 25 3 3 2" xfId="37955" xr:uid="{00000000-0005-0000-0000-0000F5500000}"/>
    <cellStyle name="Normal 2 2 9 25 3 4" xfId="8697" xr:uid="{00000000-0005-0000-0000-0000F6500000}"/>
    <cellStyle name="Normal 2 2 9 25 3 4 2" xfId="37956" xr:uid="{00000000-0005-0000-0000-0000F7500000}"/>
    <cellStyle name="Normal 2 2 9 25 3 5" xfId="8698" xr:uid="{00000000-0005-0000-0000-0000F8500000}"/>
    <cellStyle name="Normal 2 2 9 25 3 5 2" xfId="37957" xr:uid="{00000000-0005-0000-0000-0000F9500000}"/>
    <cellStyle name="Normal 2 2 9 25 3 6" xfId="37958" xr:uid="{00000000-0005-0000-0000-0000FA500000}"/>
    <cellStyle name="Normal 2 2 9 25 3 6 2" xfId="37959" xr:uid="{00000000-0005-0000-0000-0000FB500000}"/>
    <cellStyle name="Normal 2 2 9 25 3 7" xfId="37960" xr:uid="{00000000-0005-0000-0000-0000FC500000}"/>
    <cellStyle name="Normal 2 2 9 25 4" xfId="8699" xr:uid="{00000000-0005-0000-0000-0000FD500000}"/>
    <cellStyle name="Normal 2 2 9 25 4 2" xfId="8700" xr:uid="{00000000-0005-0000-0000-0000FE500000}"/>
    <cellStyle name="Normal 2 2 9 25 4 2 2" xfId="37961" xr:uid="{00000000-0005-0000-0000-0000FF500000}"/>
    <cellStyle name="Normal 2 2 9 25 4 3" xfId="8701" xr:uid="{00000000-0005-0000-0000-000000510000}"/>
    <cellStyle name="Normal 2 2 9 25 4 3 2" xfId="37962" xr:uid="{00000000-0005-0000-0000-000001510000}"/>
    <cellStyle name="Normal 2 2 9 25 4 4" xfId="37963" xr:uid="{00000000-0005-0000-0000-000002510000}"/>
    <cellStyle name="Normal 2 2 9 25 5" xfId="8702" xr:uid="{00000000-0005-0000-0000-000003510000}"/>
    <cellStyle name="Normal 2 2 9 25 5 2" xfId="8703" xr:uid="{00000000-0005-0000-0000-000004510000}"/>
    <cellStyle name="Normal 2 2 9 25 5 2 2" xfId="37964" xr:uid="{00000000-0005-0000-0000-000005510000}"/>
    <cellStyle name="Normal 2 2 9 25 5 3" xfId="37965" xr:uid="{00000000-0005-0000-0000-000006510000}"/>
    <cellStyle name="Normal 2 2 9 25 6" xfId="8704" xr:uid="{00000000-0005-0000-0000-000007510000}"/>
    <cellStyle name="Normal 2 2 9 25 6 2" xfId="37966" xr:uid="{00000000-0005-0000-0000-000008510000}"/>
    <cellStyle name="Normal 2 2 9 25 7" xfId="8705" xr:uid="{00000000-0005-0000-0000-000009510000}"/>
    <cellStyle name="Normal 2 2 9 25 7 2" xfId="37967" xr:uid="{00000000-0005-0000-0000-00000A510000}"/>
    <cellStyle name="Normal 2 2 9 25 8" xfId="37968" xr:uid="{00000000-0005-0000-0000-00000B510000}"/>
    <cellStyle name="Normal 2 2 9 25 8 2" xfId="37969" xr:uid="{00000000-0005-0000-0000-00000C510000}"/>
    <cellStyle name="Normal 2 2 9 25 9" xfId="37970" xr:uid="{00000000-0005-0000-0000-00000D510000}"/>
    <cellStyle name="Normal 2 2 9 26" xfId="8706" xr:uid="{00000000-0005-0000-0000-00000E510000}"/>
    <cellStyle name="Normal 2 2 9 26 10" xfId="37971" xr:uid="{00000000-0005-0000-0000-00000F510000}"/>
    <cellStyle name="Normal 2 2 9 26 11" xfId="37972" xr:uid="{00000000-0005-0000-0000-000010510000}"/>
    <cellStyle name="Normal 2 2 9 26 2" xfId="8707" xr:uid="{00000000-0005-0000-0000-000011510000}"/>
    <cellStyle name="Normal 2 2 9 26 2 10" xfId="37973" xr:uid="{00000000-0005-0000-0000-000012510000}"/>
    <cellStyle name="Normal 2 2 9 26 2 2" xfId="8708" xr:uid="{00000000-0005-0000-0000-000013510000}"/>
    <cellStyle name="Normal 2 2 9 26 2 2 2" xfId="8709" xr:uid="{00000000-0005-0000-0000-000014510000}"/>
    <cellStyle name="Normal 2 2 9 26 2 2 2 2" xfId="8710" xr:uid="{00000000-0005-0000-0000-000015510000}"/>
    <cellStyle name="Normal 2 2 9 26 2 2 2 2 2" xfId="37974" xr:uid="{00000000-0005-0000-0000-000016510000}"/>
    <cellStyle name="Normal 2 2 9 26 2 2 2 3" xfId="8711" xr:uid="{00000000-0005-0000-0000-000017510000}"/>
    <cellStyle name="Normal 2 2 9 26 2 2 2 3 2" xfId="37975" xr:uid="{00000000-0005-0000-0000-000018510000}"/>
    <cellStyle name="Normal 2 2 9 26 2 2 2 4" xfId="37976" xr:uid="{00000000-0005-0000-0000-000019510000}"/>
    <cellStyle name="Normal 2 2 9 26 2 2 3" xfId="8712" xr:uid="{00000000-0005-0000-0000-00001A510000}"/>
    <cellStyle name="Normal 2 2 9 26 2 2 3 2" xfId="37977" xr:uid="{00000000-0005-0000-0000-00001B510000}"/>
    <cellStyle name="Normal 2 2 9 26 2 2 4" xfId="8713" xr:uid="{00000000-0005-0000-0000-00001C510000}"/>
    <cellStyle name="Normal 2 2 9 26 2 2 4 2" xfId="37978" xr:uid="{00000000-0005-0000-0000-00001D510000}"/>
    <cellStyle name="Normal 2 2 9 26 2 2 5" xfId="8714" xr:uid="{00000000-0005-0000-0000-00001E510000}"/>
    <cellStyle name="Normal 2 2 9 26 2 2 5 2" xfId="37979" xr:uid="{00000000-0005-0000-0000-00001F510000}"/>
    <cellStyle name="Normal 2 2 9 26 2 2 6" xfId="37980" xr:uid="{00000000-0005-0000-0000-000020510000}"/>
    <cellStyle name="Normal 2 2 9 26 2 2 6 2" xfId="37981" xr:uid="{00000000-0005-0000-0000-000021510000}"/>
    <cellStyle name="Normal 2 2 9 26 2 2 7" xfId="37982" xr:uid="{00000000-0005-0000-0000-000022510000}"/>
    <cellStyle name="Normal 2 2 9 26 2 3" xfId="8715" xr:uid="{00000000-0005-0000-0000-000023510000}"/>
    <cellStyle name="Normal 2 2 9 26 2 3 2" xfId="8716" xr:uid="{00000000-0005-0000-0000-000024510000}"/>
    <cellStyle name="Normal 2 2 9 26 2 3 2 2" xfId="37983" xr:uid="{00000000-0005-0000-0000-000025510000}"/>
    <cellStyle name="Normal 2 2 9 26 2 3 3" xfId="8717" xr:uid="{00000000-0005-0000-0000-000026510000}"/>
    <cellStyle name="Normal 2 2 9 26 2 3 3 2" xfId="37984" xr:uid="{00000000-0005-0000-0000-000027510000}"/>
    <cellStyle name="Normal 2 2 9 26 2 3 4" xfId="37985" xr:uid="{00000000-0005-0000-0000-000028510000}"/>
    <cellStyle name="Normal 2 2 9 26 2 4" xfId="8718" xr:uid="{00000000-0005-0000-0000-000029510000}"/>
    <cellStyle name="Normal 2 2 9 26 2 4 2" xfId="8719" xr:uid="{00000000-0005-0000-0000-00002A510000}"/>
    <cellStyle name="Normal 2 2 9 26 2 4 2 2" xfId="37986" xr:uid="{00000000-0005-0000-0000-00002B510000}"/>
    <cellStyle name="Normal 2 2 9 26 2 4 3" xfId="37987" xr:uid="{00000000-0005-0000-0000-00002C510000}"/>
    <cellStyle name="Normal 2 2 9 26 2 5" xfId="8720" xr:uid="{00000000-0005-0000-0000-00002D510000}"/>
    <cellStyle name="Normal 2 2 9 26 2 5 2" xfId="37988" xr:uid="{00000000-0005-0000-0000-00002E510000}"/>
    <cellStyle name="Normal 2 2 9 26 2 6" xfId="8721" xr:uid="{00000000-0005-0000-0000-00002F510000}"/>
    <cellStyle name="Normal 2 2 9 26 2 6 2" xfId="37989" xr:uid="{00000000-0005-0000-0000-000030510000}"/>
    <cellStyle name="Normal 2 2 9 26 2 7" xfId="37990" xr:uid="{00000000-0005-0000-0000-000031510000}"/>
    <cellStyle name="Normal 2 2 9 26 2 7 2" xfId="37991" xr:uid="{00000000-0005-0000-0000-000032510000}"/>
    <cellStyle name="Normal 2 2 9 26 2 8" xfId="37992" xr:uid="{00000000-0005-0000-0000-000033510000}"/>
    <cellStyle name="Normal 2 2 9 26 2 9" xfId="37993" xr:uid="{00000000-0005-0000-0000-000034510000}"/>
    <cellStyle name="Normal 2 2 9 26 3" xfId="8722" xr:uid="{00000000-0005-0000-0000-000035510000}"/>
    <cellStyle name="Normal 2 2 9 26 3 2" xfId="8723" xr:uid="{00000000-0005-0000-0000-000036510000}"/>
    <cellStyle name="Normal 2 2 9 26 3 2 2" xfId="8724" xr:uid="{00000000-0005-0000-0000-000037510000}"/>
    <cellStyle name="Normal 2 2 9 26 3 2 2 2" xfId="37994" xr:uid="{00000000-0005-0000-0000-000038510000}"/>
    <cellStyle name="Normal 2 2 9 26 3 2 3" xfId="8725" xr:uid="{00000000-0005-0000-0000-000039510000}"/>
    <cellStyle name="Normal 2 2 9 26 3 2 3 2" xfId="37995" xr:uid="{00000000-0005-0000-0000-00003A510000}"/>
    <cellStyle name="Normal 2 2 9 26 3 2 4" xfId="37996" xr:uid="{00000000-0005-0000-0000-00003B510000}"/>
    <cellStyle name="Normal 2 2 9 26 3 3" xfId="8726" xr:uid="{00000000-0005-0000-0000-00003C510000}"/>
    <cellStyle name="Normal 2 2 9 26 3 3 2" xfId="37997" xr:uid="{00000000-0005-0000-0000-00003D510000}"/>
    <cellStyle name="Normal 2 2 9 26 3 4" xfId="8727" xr:uid="{00000000-0005-0000-0000-00003E510000}"/>
    <cellStyle name="Normal 2 2 9 26 3 4 2" xfId="37998" xr:uid="{00000000-0005-0000-0000-00003F510000}"/>
    <cellStyle name="Normal 2 2 9 26 3 5" xfId="8728" xr:uid="{00000000-0005-0000-0000-000040510000}"/>
    <cellStyle name="Normal 2 2 9 26 3 5 2" xfId="37999" xr:uid="{00000000-0005-0000-0000-000041510000}"/>
    <cellStyle name="Normal 2 2 9 26 3 6" xfId="38000" xr:uid="{00000000-0005-0000-0000-000042510000}"/>
    <cellStyle name="Normal 2 2 9 26 3 6 2" xfId="38001" xr:uid="{00000000-0005-0000-0000-000043510000}"/>
    <cellStyle name="Normal 2 2 9 26 3 7" xfId="38002" xr:uid="{00000000-0005-0000-0000-000044510000}"/>
    <cellStyle name="Normal 2 2 9 26 4" xfId="8729" xr:uid="{00000000-0005-0000-0000-000045510000}"/>
    <cellStyle name="Normal 2 2 9 26 4 2" xfId="8730" xr:uid="{00000000-0005-0000-0000-000046510000}"/>
    <cellStyle name="Normal 2 2 9 26 4 2 2" xfId="38003" xr:uid="{00000000-0005-0000-0000-000047510000}"/>
    <cellStyle name="Normal 2 2 9 26 4 3" xfId="8731" xr:uid="{00000000-0005-0000-0000-000048510000}"/>
    <cellStyle name="Normal 2 2 9 26 4 3 2" xfId="38004" xr:uid="{00000000-0005-0000-0000-000049510000}"/>
    <cellStyle name="Normal 2 2 9 26 4 4" xfId="38005" xr:uid="{00000000-0005-0000-0000-00004A510000}"/>
    <cellStyle name="Normal 2 2 9 26 5" xfId="8732" xr:uid="{00000000-0005-0000-0000-00004B510000}"/>
    <cellStyle name="Normal 2 2 9 26 5 2" xfId="8733" xr:uid="{00000000-0005-0000-0000-00004C510000}"/>
    <cellStyle name="Normal 2 2 9 26 5 2 2" xfId="38006" xr:uid="{00000000-0005-0000-0000-00004D510000}"/>
    <cellStyle name="Normal 2 2 9 26 5 3" xfId="38007" xr:uid="{00000000-0005-0000-0000-00004E510000}"/>
    <cellStyle name="Normal 2 2 9 26 6" xfId="8734" xr:uid="{00000000-0005-0000-0000-00004F510000}"/>
    <cellStyle name="Normal 2 2 9 26 6 2" xfId="38008" xr:uid="{00000000-0005-0000-0000-000050510000}"/>
    <cellStyle name="Normal 2 2 9 26 7" xfId="8735" xr:uid="{00000000-0005-0000-0000-000051510000}"/>
    <cellStyle name="Normal 2 2 9 26 7 2" xfId="38009" xr:uid="{00000000-0005-0000-0000-000052510000}"/>
    <cellStyle name="Normal 2 2 9 26 8" xfId="38010" xr:uid="{00000000-0005-0000-0000-000053510000}"/>
    <cellStyle name="Normal 2 2 9 26 8 2" xfId="38011" xr:uid="{00000000-0005-0000-0000-000054510000}"/>
    <cellStyle name="Normal 2 2 9 26 9" xfId="38012" xr:uid="{00000000-0005-0000-0000-000055510000}"/>
    <cellStyle name="Normal 2 2 9 27" xfId="8736" xr:uid="{00000000-0005-0000-0000-000056510000}"/>
    <cellStyle name="Normal 2 2 9 27 10" xfId="38013" xr:uid="{00000000-0005-0000-0000-000057510000}"/>
    <cellStyle name="Normal 2 2 9 27 11" xfId="38014" xr:uid="{00000000-0005-0000-0000-000058510000}"/>
    <cellStyle name="Normal 2 2 9 27 2" xfId="8737" xr:uid="{00000000-0005-0000-0000-000059510000}"/>
    <cellStyle name="Normal 2 2 9 27 2 10" xfId="38015" xr:uid="{00000000-0005-0000-0000-00005A510000}"/>
    <cellStyle name="Normal 2 2 9 27 2 2" xfId="8738" xr:uid="{00000000-0005-0000-0000-00005B510000}"/>
    <cellStyle name="Normal 2 2 9 27 2 2 2" xfId="8739" xr:uid="{00000000-0005-0000-0000-00005C510000}"/>
    <cellStyle name="Normal 2 2 9 27 2 2 2 2" xfId="8740" xr:uid="{00000000-0005-0000-0000-00005D510000}"/>
    <cellStyle name="Normal 2 2 9 27 2 2 2 2 2" xfId="38016" xr:uid="{00000000-0005-0000-0000-00005E510000}"/>
    <cellStyle name="Normal 2 2 9 27 2 2 2 3" xfId="8741" xr:uid="{00000000-0005-0000-0000-00005F510000}"/>
    <cellStyle name="Normal 2 2 9 27 2 2 2 3 2" xfId="38017" xr:uid="{00000000-0005-0000-0000-000060510000}"/>
    <cellStyle name="Normal 2 2 9 27 2 2 2 4" xfId="38018" xr:uid="{00000000-0005-0000-0000-000061510000}"/>
    <cellStyle name="Normal 2 2 9 27 2 2 3" xfId="8742" xr:uid="{00000000-0005-0000-0000-000062510000}"/>
    <cellStyle name="Normal 2 2 9 27 2 2 3 2" xfId="38019" xr:uid="{00000000-0005-0000-0000-000063510000}"/>
    <cellStyle name="Normal 2 2 9 27 2 2 4" xfId="8743" xr:uid="{00000000-0005-0000-0000-000064510000}"/>
    <cellStyle name="Normal 2 2 9 27 2 2 4 2" xfId="38020" xr:uid="{00000000-0005-0000-0000-000065510000}"/>
    <cellStyle name="Normal 2 2 9 27 2 2 5" xfId="8744" xr:uid="{00000000-0005-0000-0000-000066510000}"/>
    <cellStyle name="Normal 2 2 9 27 2 2 5 2" xfId="38021" xr:uid="{00000000-0005-0000-0000-000067510000}"/>
    <cellStyle name="Normal 2 2 9 27 2 2 6" xfId="38022" xr:uid="{00000000-0005-0000-0000-000068510000}"/>
    <cellStyle name="Normal 2 2 9 27 2 2 6 2" xfId="38023" xr:uid="{00000000-0005-0000-0000-000069510000}"/>
    <cellStyle name="Normal 2 2 9 27 2 2 7" xfId="38024" xr:uid="{00000000-0005-0000-0000-00006A510000}"/>
    <cellStyle name="Normal 2 2 9 27 2 3" xfId="8745" xr:uid="{00000000-0005-0000-0000-00006B510000}"/>
    <cellStyle name="Normal 2 2 9 27 2 3 2" xfId="8746" xr:uid="{00000000-0005-0000-0000-00006C510000}"/>
    <cellStyle name="Normal 2 2 9 27 2 3 2 2" xfId="38025" xr:uid="{00000000-0005-0000-0000-00006D510000}"/>
    <cellStyle name="Normal 2 2 9 27 2 3 3" xfId="8747" xr:uid="{00000000-0005-0000-0000-00006E510000}"/>
    <cellStyle name="Normal 2 2 9 27 2 3 3 2" xfId="38026" xr:uid="{00000000-0005-0000-0000-00006F510000}"/>
    <cellStyle name="Normal 2 2 9 27 2 3 4" xfId="38027" xr:uid="{00000000-0005-0000-0000-000070510000}"/>
    <cellStyle name="Normal 2 2 9 27 2 4" xfId="8748" xr:uid="{00000000-0005-0000-0000-000071510000}"/>
    <cellStyle name="Normal 2 2 9 27 2 4 2" xfId="8749" xr:uid="{00000000-0005-0000-0000-000072510000}"/>
    <cellStyle name="Normal 2 2 9 27 2 4 2 2" xfId="38028" xr:uid="{00000000-0005-0000-0000-000073510000}"/>
    <cellStyle name="Normal 2 2 9 27 2 4 3" xfId="38029" xr:uid="{00000000-0005-0000-0000-000074510000}"/>
    <cellStyle name="Normal 2 2 9 27 2 5" xfId="8750" xr:uid="{00000000-0005-0000-0000-000075510000}"/>
    <cellStyle name="Normal 2 2 9 27 2 5 2" xfId="38030" xr:uid="{00000000-0005-0000-0000-000076510000}"/>
    <cellStyle name="Normal 2 2 9 27 2 6" xfId="8751" xr:uid="{00000000-0005-0000-0000-000077510000}"/>
    <cellStyle name="Normal 2 2 9 27 2 6 2" xfId="38031" xr:uid="{00000000-0005-0000-0000-000078510000}"/>
    <cellStyle name="Normal 2 2 9 27 2 7" xfId="38032" xr:uid="{00000000-0005-0000-0000-000079510000}"/>
    <cellStyle name="Normal 2 2 9 27 2 7 2" xfId="38033" xr:uid="{00000000-0005-0000-0000-00007A510000}"/>
    <cellStyle name="Normal 2 2 9 27 2 8" xfId="38034" xr:uid="{00000000-0005-0000-0000-00007B510000}"/>
    <cellStyle name="Normal 2 2 9 27 2 9" xfId="38035" xr:uid="{00000000-0005-0000-0000-00007C510000}"/>
    <cellStyle name="Normal 2 2 9 27 3" xfId="8752" xr:uid="{00000000-0005-0000-0000-00007D510000}"/>
    <cellStyle name="Normal 2 2 9 27 3 2" xfId="8753" xr:uid="{00000000-0005-0000-0000-00007E510000}"/>
    <cellStyle name="Normal 2 2 9 27 3 2 2" xfId="8754" xr:uid="{00000000-0005-0000-0000-00007F510000}"/>
    <cellStyle name="Normal 2 2 9 27 3 2 2 2" xfId="38036" xr:uid="{00000000-0005-0000-0000-000080510000}"/>
    <cellStyle name="Normal 2 2 9 27 3 2 3" xfId="8755" xr:uid="{00000000-0005-0000-0000-000081510000}"/>
    <cellStyle name="Normal 2 2 9 27 3 2 3 2" xfId="38037" xr:uid="{00000000-0005-0000-0000-000082510000}"/>
    <cellStyle name="Normal 2 2 9 27 3 2 4" xfId="38038" xr:uid="{00000000-0005-0000-0000-000083510000}"/>
    <cellStyle name="Normal 2 2 9 27 3 3" xfId="8756" xr:uid="{00000000-0005-0000-0000-000084510000}"/>
    <cellStyle name="Normal 2 2 9 27 3 3 2" xfId="38039" xr:uid="{00000000-0005-0000-0000-000085510000}"/>
    <cellStyle name="Normal 2 2 9 27 3 4" xfId="8757" xr:uid="{00000000-0005-0000-0000-000086510000}"/>
    <cellStyle name="Normal 2 2 9 27 3 4 2" xfId="38040" xr:uid="{00000000-0005-0000-0000-000087510000}"/>
    <cellStyle name="Normal 2 2 9 27 3 5" xfId="8758" xr:uid="{00000000-0005-0000-0000-000088510000}"/>
    <cellStyle name="Normal 2 2 9 27 3 5 2" xfId="38041" xr:uid="{00000000-0005-0000-0000-000089510000}"/>
    <cellStyle name="Normal 2 2 9 27 3 6" xfId="38042" xr:uid="{00000000-0005-0000-0000-00008A510000}"/>
    <cellStyle name="Normal 2 2 9 27 3 6 2" xfId="38043" xr:uid="{00000000-0005-0000-0000-00008B510000}"/>
    <cellStyle name="Normal 2 2 9 27 3 7" xfId="38044" xr:uid="{00000000-0005-0000-0000-00008C510000}"/>
    <cellStyle name="Normal 2 2 9 27 4" xfId="8759" xr:uid="{00000000-0005-0000-0000-00008D510000}"/>
    <cellStyle name="Normal 2 2 9 27 4 2" xfId="8760" xr:uid="{00000000-0005-0000-0000-00008E510000}"/>
    <cellStyle name="Normal 2 2 9 27 4 2 2" xfId="38045" xr:uid="{00000000-0005-0000-0000-00008F510000}"/>
    <cellStyle name="Normal 2 2 9 27 4 3" xfId="8761" xr:uid="{00000000-0005-0000-0000-000090510000}"/>
    <cellStyle name="Normal 2 2 9 27 4 3 2" xfId="38046" xr:uid="{00000000-0005-0000-0000-000091510000}"/>
    <cellStyle name="Normal 2 2 9 27 4 4" xfId="38047" xr:uid="{00000000-0005-0000-0000-000092510000}"/>
    <cellStyle name="Normal 2 2 9 27 5" xfId="8762" xr:uid="{00000000-0005-0000-0000-000093510000}"/>
    <cellStyle name="Normal 2 2 9 27 5 2" xfId="8763" xr:uid="{00000000-0005-0000-0000-000094510000}"/>
    <cellStyle name="Normal 2 2 9 27 5 2 2" xfId="38048" xr:uid="{00000000-0005-0000-0000-000095510000}"/>
    <cellStyle name="Normal 2 2 9 27 5 3" xfId="38049" xr:uid="{00000000-0005-0000-0000-000096510000}"/>
    <cellStyle name="Normal 2 2 9 27 6" xfId="8764" xr:uid="{00000000-0005-0000-0000-000097510000}"/>
    <cellStyle name="Normal 2 2 9 27 6 2" xfId="38050" xr:uid="{00000000-0005-0000-0000-000098510000}"/>
    <cellStyle name="Normal 2 2 9 27 7" xfId="8765" xr:uid="{00000000-0005-0000-0000-000099510000}"/>
    <cellStyle name="Normal 2 2 9 27 7 2" xfId="38051" xr:uid="{00000000-0005-0000-0000-00009A510000}"/>
    <cellStyle name="Normal 2 2 9 27 8" xfId="38052" xr:uid="{00000000-0005-0000-0000-00009B510000}"/>
    <cellStyle name="Normal 2 2 9 27 8 2" xfId="38053" xr:uid="{00000000-0005-0000-0000-00009C510000}"/>
    <cellStyle name="Normal 2 2 9 27 9" xfId="38054" xr:uid="{00000000-0005-0000-0000-00009D510000}"/>
    <cellStyle name="Normal 2 2 9 28" xfId="8766" xr:uid="{00000000-0005-0000-0000-00009E510000}"/>
    <cellStyle name="Normal 2 2 9 28 10" xfId="38055" xr:uid="{00000000-0005-0000-0000-00009F510000}"/>
    <cellStyle name="Normal 2 2 9 28 11" xfId="38056" xr:uid="{00000000-0005-0000-0000-0000A0510000}"/>
    <cellStyle name="Normal 2 2 9 28 2" xfId="8767" xr:uid="{00000000-0005-0000-0000-0000A1510000}"/>
    <cellStyle name="Normal 2 2 9 28 2 10" xfId="38057" xr:uid="{00000000-0005-0000-0000-0000A2510000}"/>
    <cellStyle name="Normal 2 2 9 28 2 2" xfId="8768" xr:uid="{00000000-0005-0000-0000-0000A3510000}"/>
    <cellStyle name="Normal 2 2 9 28 2 2 2" xfId="8769" xr:uid="{00000000-0005-0000-0000-0000A4510000}"/>
    <cellStyle name="Normal 2 2 9 28 2 2 2 2" xfId="8770" xr:uid="{00000000-0005-0000-0000-0000A5510000}"/>
    <cellStyle name="Normal 2 2 9 28 2 2 2 2 2" xfId="38058" xr:uid="{00000000-0005-0000-0000-0000A6510000}"/>
    <cellStyle name="Normal 2 2 9 28 2 2 2 3" xfId="8771" xr:uid="{00000000-0005-0000-0000-0000A7510000}"/>
    <cellStyle name="Normal 2 2 9 28 2 2 2 3 2" xfId="38059" xr:uid="{00000000-0005-0000-0000-0000A8510000}"/>
    <cellStyle name="Normal 2 2 9 28 2 2 2 4" xfId="38060" xr:uid="{00000000-0005-0000-0000-0000A9510000}"/>
    <cellStyle name="Normal 2 2 9 28 2 2 3" xfId="8772" xr:uid="{00000000-0005-0000-0000-0000AA510000}"/>
    <cellStyle name="Normal 2 2 9 28 2 2 3 2" xfId="38061" xr:uid="{00000000-0005-0000-0000-0000AB510000}"/>
    <cellStyle name="Normal 2 2 9 28 2 2 4" xfId="8773" xr:uid="{00000000-0005-0000-0000-0000AC510000}"/>
    <cellStyle name="Normal 2 2 9 28 2 2 4 2" xfId="38062" xr:uid="{00000000-0005-0000-0000-0000AD510000}"/>
    <cellStyle name="Normal 2 2 9 28 2 2 5" xfId="8774" xr:uid="{00000000-0005-0000-0000-0000AE510000}"/>
    <cellStyle name="Normal 2 2 9 28 2 2 5 2" xfId="38063" xr:uid="{00000000-0005-0000-0000-0000AF510000}"/>
    <cellStyle name="Normal 2 2 9 28 2 2 6" xfId="38064" xr:uid="{00000000-0005-0000-0000-0000B0510000}"/>
    <cellStyle name="Normal 2 2 9 28 2 2 6 2" xfId="38065" xr:uid="{00000000-0005-0000-0000-0000B1510000}"/>
    <cellStyle name="Normal 2 2 9 28 2 2 7" xfId="38066" xr:uid="{00000000-0005-0000-0000-0000B2510000}"/>
    <cellStyle name="Normal 2 2 9 28 2 3" xfId="8775" xr:uid="{00000000-0005-0000-0000-0000B3510000}"/>
    <cellStyle name="Normal 2 2 9 28 2 3 2" xfId="8776" xr:uid="{00000000-0005-0000-0000-0000B4510000}"/>
    <cellStyle name="Normal 2 2 9 28 2 3 2 2" xfId="38067" xr:uid="{00000000-0005-0000-0000-0000B5510000}"/>
    <cellStyle name="Normal 2 2 9 28 2 3 3" xfId="8777" xr:uid="{00000000-0005-0000-0000-0000B6510000}"/>
    <cellStyle name="Normal 2 2 9 28 2 3 3 2" xfId="38068" xr:uid="{00000000-0005-0000-0000-0000B7510000}"/>
    <cellStyle name="Normal 2 2 9 28 2 3 4" xfId="38069" xr:uid="{00000000-0005-0000-0000-0000B8510000}"/>
    <cellStyle name="Normal 2 2 9 28 2 4" xfId="8778" xr:uid="{00000000-0005-0000-0000-0000B9510000}"/>
    <cellStyle name="Normal 2 2 9 28 2 4 2" xfId="8779" xr:uid="{00000000-0005-0000-0000-0000BA510000}"/>
    <cellStyle name="Normal 2 2 9 28 2 4 2 2" xfId="38070" xr:uid="{00000000-0005-0000-0000-0000BB510000}"/>
    <cellStyle name="Normal 2 2 9 28 2 4 3" xfId="38071" xr:uid="{00000000-0005-0000-0000-0000BC510000}"/>
    <cellStyle name="Normal 2 2 9 28 2 5" xfId="8780" xr:uid="{00000000-0005-0000-0000-0000BD510000}"/>
    <cellStyle name="Normal 2 2 9 28 2 5 2" xfId="38072" xr:uid="{00000000-0005-0000-0000-0000BE510000}"/>
    <cellStyle name="Normal 2 2 9 28 2 6" xfId="8781" xr:uid="{00000000-0005-0000-0000-0000BF510000}"/>
    <cellStyle name="Normal 2 2 9 28 2 6 2" xfId="38073" xr:uid="{00000000-0005-0000-0000-0000C0510000}"/>
    <cellStyle name="Normal 2 2 9 28 2 7" xfId="38074" xr:uid="{00000000-0005-0000-0000-0000C1510000}"/>
    <cellStyle name="Normal 2 2 9 28 2 7 2" xfId="38075" xr:uid="{00000000-0005-0000-0000-0000C2510000}"/>
    <cellStyle name="Normal 2 2 9 28 2 8" xfId="38076" xr:uid="{00000000-0005-0000-0000-0000C3510000}"/>
    <cellStyle name="Normal 2 2 9 28 2 9" xfId="38077" xr:uid="{00000000-0005-0000-0000-0000C4510000}"/>
    <cellStyle name="Normal 2 2 9 28 3" xfId="8782" xr:uid="{00000000-0005-0000-0000-0000C5510000}"/>
    <cellStyle name="Normal 2 2 9 28 3 2" xfId="8783" xr:uid="{00000000-0005-0000-0000-0000C6510000}"/>
    <cellStyle name="Normal 2 2 9 28 3 2 2" xfId="8784" xr:uid="{00000000-0005-0000-0000-0000C7510000}"/>
    <cellStyle name="Normal 2 2 9 28 3 2 2 2" xfId="38078" xr:uid="{00000000-0005-0000-0000-0000C8510000}"/>
    <cellStyle name="Normal 2 2 9 28 3 2 3" xfId="8785" xr:uid="{00000000-0005-0000-0000-0000C9510000}"/>
    <cellStyle name="Normal 2 2 9 28 3 2 3 2" xfId="38079" xr:uid="{00000000-0005-0000-0000-0000CA510000}"/>
    <cellStyle name="Normal 2 2 9 28 3 2 4" xfId="38080" xr:uid="{00000000-0005-0000-0000-0000CB510000}"/>
    <cellStyle name="Normal 2 2 9 28 3 3" xfId="8786" xr:uid="{00000000-0005-0000-0000-0000CC510000}"/>
    <cellStyle name="Normal 2 2 9 28 3 3 2" xfId="38081" xr:uid="{00000000-0005-0000-0000-0000CD510000}"/>
    <cellStyle name="Normal 2 2 9 28 3 4" xfId="8787" xr:uid="{00000000-0005-0000-0000-0000CE510000}"/>
    <cellStyle name="Normal 2 2 9 28 3 4 2" xfId="38082" xr:uid="{00000000-0005-0000-0000-0000CF510000}"/>
    <cellStyle name="Normal 2 2 9 28 3 5" xfId="8788" xr:uid="{00000000-0005-0000-0000-0000D0510000}"/>
    <cellStyle name="Normal 2 2 9 28 3 5 2" xfId="38083" xr:uid="{00000000-0005-0000-0000-0000D1510000}"/>
    <cellStyle name="Normal 2 2 9 28 3 6" xfId="38084" xr:uid="{00000000-0005-0000-0000-0000D2510000}"/>
    <cellStyle name="Normal 2 2 9 28 3 6 2" xfId="38085" xr:uid="{00000000-0005-0000-0000-0000D3510000}"/>
    <cellStyle name="Normal 2 2 9 28 3 7" xfId="38086" xr:uid="{00000000-0005-0000-0000-0000D4510000}"/>
    <cellStyle name="Normal 2 2 9 28 4" xfId="8789" xr:uid="{00000000-0005-0000-0000-0000D5510000}"/>
    <cellStyle name="Normal 2 2 9 28 4 2" xfId="8790" xr:uid="{00000000-0005-0000-0000-0000D6510000}"/>
    <cellStyle name="Normal 2 2 9 28 4 2 2" xfId="38087" xr:uid="{00000000-0005-0000-0000-0000D7510000}"/>
    <cellStyle name="Normal 2 2 9 28 4 3" xfId="8791" xr:uid="{00000000-0005-0000-0000-0000D8510000}"/>
    <cellStyle name="Normal 2 2 9 28 4 3 2" xfId="38088" xr:uid="{00000000-0005-0000-0000-0000D9510000}"/>
    <cellStyle name="Normal 2 2 9 28 4 4" xfId="38089" xr:uid="{00000000-0005-0000-0000-0000DA510000}"/>
    <cellStyle name="Normal 2 2 9 28 5" xfId="8792" xr:uid="{00000000-0005-0000-0000-0000DB510000}"/>
    <cellStyle name="Normal 2 2 9 28 5 2" xfId="8793" xr:uid="{00000000-0005-0000-0000-0000DC510000}"/>
    <cellStyle name="Normal 2 2 9 28 5 2 2" xfId="38090" xr:uid="{00000000-0005-0000-0000-0000DD510000}"/>
    <cellStyle name="Normal 2 2 9 28 5 3" xfId="38091" xr:uid="{00000000-0005-0000-0000-0000DE510000}"/>
    <cellStyle name="Normal 2 2 9 28 6" xfId="8794" xr:uid="{00000000-0005-0000-0000-0000DF510000}"/>
    <cellStyle name="Normal 2 2 9 28 6 2" xfId="38092" xr:uid="{00000000-0005-0000-0000-0000E0510000}"/>
    <cellStyle name="Normal 2 2 9 28 7" xfId="8795" xr:uid="{00000000-0005-0000-0000-0000E1510000}"/>
    <cellStyle name="Normal 2 2 9 28 7 2" xfId="38093" xr:uid="{00000000-0005-0000-0000-0000E2510000}"/>
    <cellStyle name="Normal 2 2 9 28 8" xfId="38094" xr:uid="{00000000-0005-0000-0000-0000E3510000}"/>
    <cellStyle name="Normal 2 2 9 28 8 2" xfId="38095" xr:uid="{00000000-0005-0000-0000-0000E4510000}"/>
    <cellStyle name="Normal 2 2 9 28 9" xfId="38096" xr:uid="{00000000-0005-0000-0000-0000E5510000}"/>
    <cellStyle name="Normal 2 2 9 29" xfId="8796" xr:uid="{00000000-0005-0000-0000-0000E6510000}"/>
    <cellStyle name="Normal 2 2 9 29 10" xfId="38097" xr:uid="{00000000-0005-0000-0000-0000E7510000}"/>
    <cellStyle name="Normal 2 2 9 29 11" xfId="38098" xr:uid="{00000000-0005-0000-0000-0000E8510000}"/>
    <cellStyle name="Normal 2 2 9 29 2" xfId="8797" xr:uid="{00000000-0005-0000-0000-0000E9510000}"/>
    <cellStyle name="Normal 2 2 9 29 2 10" xfId="38099" xr:uid="{00000000-0005-0000-0000-0000EA510000}"/>
    <cellStyle name="Normal 2 2 9 29 2 2" xfId="8798" xr:uid="{00000000-0005-0000-0000-0000EB510000}"/>
    <cellStyle name="Normal 2 2 9 29 2 2 2" xfId="8799" xr:uid="{00000000-0005-0000-0000-0000EC510000}"/>
    <cellStyle name="Normal 2 2 9 29 2 2 2 2" xfId="8800" xr:uid="{00000000-0005-0000-0000-0000ED510000}"/>
    <cellStyle name="Normal 2 2 9 29 2 2 2 2 2" xfId="38100" xr:uid="{00000000-0005-0000-0000-0000EE510000}"/>
    <cellStyle name="Normal 2 2 9 29 2 2 2 3" xfId="8801" xr:uid="{00000000-0005-0000-0000-0000EF510000}"/>
    <cellStyle name="Normal 2 2 9 29 2 2 2 3 2" xfId="38101" xr:uid="{00000000-0005-0000-0000-0000F0510000}"/>
    <cellStyle name="Normal 2 2 9 29 2 2 2 4" xfId="38102" xr:uid="{00000000-0005-0000-0000-0000F1510000}"/>
    <cellStyle name="Normal 2 2 9 29 2 2 3" xfId="8802" xr:uid="{00000000-0005-0000-0000-0000F2510000}"/>
    <cellStyle name="Normal 2 2 9 29 2 2 3 2" xfId="38103" xr:uid="{00000000-0005-0000-0000-0000F3510000}"/>
    <cellStyle name="Normal 2 2 9 29 2 2 4" xfId="8803" xr:uid="{00000000-0005-0000-0000-0000F4510000}"/>
    <cellStyle name="Normal 2 2 9 29 2 2 4 2" xfId="38104" xr:uid="{00000000-0005-0000-0000-0000F5510000}"/>
    <cellStyle name="Normal 2 2 9 29 2 2 5" xfId="8804" xr:uid="{00000000-0005-0000-0000-0000F6510000}"/>
    <cellStyle name="Normal 2 2 9 29 2 2 5 2" xfId="38105" xr:uid="{00000000-0005-0000-0000-0000F7510000}"/>
    <cellStyle name="Normal 2 2 9 29 2 2 6" xfId="38106" xr:uid="{00000000-0005-0000-0000-0000F8510000}"/>
    <cellStyle name="Normal 2 2 9 29 2 2 6 2" xfId="38107" xr:uid="{00000000-0005-0000-0000-0000F9510000}"/>
    <cellStyle name="Normal 2 2 9 29 2 2 7" xfId="38108" xr:uid="{00000000-0005-0000-0000-0000FA510000}"/>
    <cellStyle name="Normal 2 2 9 29 2 3" xfId="8805" xr:uid="{00000000-0005-0000-0000-0000FB510000}"/>
    <cellStyle name="Normal 2 2 9 29 2 3 2" xfId="8806" xr:uid="{00000000-0005-0000-0000-0000FC510000}"/>
    <cellStyle name="Normal 2 2 9 29 2 3 2 2" xfId="38109" xr:uid="{00000000-0005-0000-0000-0000FD510000}"/>
    <cellStyle name="Normal 2 2 9 29 2 3 3" xfId="8807" xr:uid="{00000000-0005-0000-0000-0000FE510000}"/>
    <cellStyle name="Normal 2 2 9 29 2 3 3 2" xfId="38110" xr:uid="{00000000-0005-0000-0000-0000FF510000}"/>
    <cellStyle name="Normal 2 2 9 29 2 3 4" xfId="38111" xr:uid="{00000000-0005-0000-0000-000000520000}"/>
    <cellStyle name="Normal 2 2 9 29 2 4" xfId="8808" xr:uid="{00000000-0005-0000-0000-000001520000}"/>
    <cellStyle name="Normal 2 2 9 29 2 4 2" xfId="8809" xr:uid="{00000000-0005-0000-0000-000002520000}"/>
    <cellStyle name="Normal 2 2 9 29 2 4 2 2" xfId="38112" xr:uid="{00000000-0005-0000-0000-000003520000}"/>
    <cellStyle name="Normal 2 2 9 29 2 4 3" xfId="38113" xr:uid="{00000000-0005-0000-0000-000004520000}"/>
    <cellStyle name="Normal 2 2 9 29 2 5" xfId="8810" xr:uid="{00000000-0005-0000-0000-000005520000}"/>
    <cellStyle name="Normal 2 2 9 29 2 5 2" xfId="38114" xr:uid="{00000000-0005-0000-0000-000006520000}"/>
    <cellStyle name="Normal 2 2 9 29 2 6" xfId="8811" xr:uid="{00000000-0005-0000-0000-000007520000}"/>
    <cellStyle name="Normal 2 2 9 29 2 6 2" xfId="38115" xr:uid="{00000000-0005-0000-0000-000008520000}"/>
    <cellStyle name="Normal 2 2 9 29 2 7" xfId="38116" xr:uid="{00000000-0005-0000-0000-000009520000}"/>
    <cellStyle name="Normal 2 2 9 29 2 7 2" xfId="38117" xr:uid="{00000000-0005-0000-0000-00000A520000}"/>
    <cellStyle name="Normal 2 2 9 29 2 8" xfId="38118" xr:uid="{00000000-0005-0000-0000-00000B520000}"/>
    <cellStyle name="Normal 2 2 9 29 2 9" xfId="38119" xr:uid="{00000000-0005-0000-0000-00000C520000}"/>
    <cellStyle name="Normal 2 2 9 29 3" xfId="8812" xr:uid="{00000000-0005-0000-0000-00000D520000}"/>
    <cellStyle name="Normal 2 2 9 29 3 2" xfId="8813" xr:uid="{00000000-0005-0000-0000-00000E520000}"/>
    <cellStyle name="Normal 2 2 9 29 3 2 2" xfId="8814" xr:uid="{00000000-0005-0000-0000-00000F520000}"/>
    <cellStyle name="Normal 2 2 9 29 3 2 2 2" xfId="38120" xr:uid="{00000000-0005-0000-0000-000010520000}"/>
    <cellStyle name="Normal 2 2 9 29 3 2 3" xfId="8815" xr:uid="{00000000-0005-0000-0000-000011520000}"/>
    <cellStyle name="Normal 2 2 9 29 3 2 3 2" xfId="38121" xr:uid="{00000000-0005-0000-0000-000012520000}"/>
    <cellStyle name="Normal 2 2 9 29 3 2 4" xfId="38122" xr:uid="{00000000-0005-0000-0000-000013520000}"/>
    <cellStyle name="Normal 2 2 9 29 3 3" xfId="8816" xr:uid="{00000000-0005-0000-0000-000014520000}"/>
    <cellStyle name="Normal 2 2 9 29 3 3 2" xfId="38123" xr:uid="{00000000-0005-0000-0000-000015520000}"/>
    <cellStyle name="Normal 2 2 9 29 3 4" xfId="8817" xr:uid="{00000000-0005-0000-0000-000016520000}"/>
    <cellStyle name="Normal 2 2 9 29 3 4 2" xfId="38124" xr:uid="{00000000-0005-0000-0000-000017520000}"/>
    <cellStyle name="Normal 2 2 9 29 3 5" xfId="8818" xr:uid="{00000000-0005-0000-0000-000018520000}"/>
    <cellStyle name="Normal 2 2 9 29 3 5 2" xfId="38125" xr:uid="{00000000-0005-0000-0000-000019520000}"/>
    <cellStyle name="Normal 2 2 9 29 3 6" xfId="38126" xr:uid="{00000000-0005-0000-0000-00001A520000}"/>
    <cellStyle name="Normal 2 2 9 29 3 6 2" xfId="38127" xr:uid="{00000000-0005-0000-0000-00001B520000}"/>
    <cellStyle name="Normal 2 2 9 29 3 7" xfId="38128" xr:uid="{00000000-0005-0000-0000-00001C520000}"/>
    <cellStyle name="Normal 2 2 9 29 4" xfId="8819" xr:uid="{00000000-0005-0000-0000-00001D520000}"/>
    <cellStyle name="Normal 2 2 9 29 4 2" xfId="8820" xr:uid="{00000000-0005-0000-0000-00001E520000}"/>
    <cellStyle name="Normal 2 2 9 29 4 2 2" xfId="38129" xr:uid="{00000000-0005-0000-0000-00001F520000}"/>
    <cellStyle name="Normal 2 2 9 29 4 3" xfId="8821" xr:uid="{00000000-0005-0000-0000-000020520000}"/>
    <cellStyle name="Normal 2 2 9 29 4 3 2" xfId="38130" xr:uid="{00000000-0005-0000-0000-000021520000}"/>
    <cellStyle name="Normal 2 2 9 29 4 4" xfId="38131" xr:uid="{00000000-0005-0000-0000-000022520000}"/>
    <cellStyle name="Normal 2 2 9 29 5" xfId="8822" xr:uid="{00000000-0005-0000-0000-000023520000}"/>
    <cellStyle name="Normal 2 2 9 29 5 2" xfId="8823" xr:uid="{00000000-0005-0000-0000-000024520000}"/>
    <cellStyle name="Normal 2 2 9 29 5 2 2" xfId="38132" xr:uid="{00000000-0005-0000-0000-000025520000}"/>
    <cellStyle name="Normal 2 2 9 29 5 3" xfId="38133" xr:uid="{00000000-0005-0000-0000-000026520000}"/>
    <cellStyle name="Normal 2 2 9 29 6" xfId="8824" xr:uid="{00000000-0005-0000-0000-000027520000}"/>
    <cellStyle name="Normal 2 2 9 29 6 2" xfId="38134" xr:uid="{00000000-0005-0000-0000-000028520000}"/>
    <cellStyle name="Normal 2 2 9 29 7" xfId="8825" xr:uid="{00000000-0005-0000-0000-000029520000}"/>
    <cellStyle name="Normal 2 2 9 29 7 2" xfId="38135" xr:uid="{00000000-0005-0000-0000-00002A520000}"/>
    <cellStyle name="Normal 2 2 9 29 8" xfId="38136" xr:uid="{00000000-0005-0000-0000-00002B520000}"/>
    <cellStyle name="Normal 2 2 9 29 8 2" xfId="38137" xr:uid="{00000000-0005-0000-0000-00002C520000}"/>
    <cellStyle name="Normal 2 2 9 29 9" xfId="38138" xr:uid="{00000000-0005-0000-0000-00002D520000}"/>
    <cellStyle name="Normal 2 2 9 3" xfId="8826" xr:uid="{00000000-0005-0000-0000-00002E520000}"/>
    <cellStyle name="Normal 2 2 9 3 10" xfId="38139" xr:uid="{00000000-0005-0000-0000-00002F520000}"/>
    <cellStyle name="Normal 2 2 9 3 11" xfId="38140" xr:uid="{00000000-0005-0000-0000-000030520000}"/>
    <cellStyle name="Normal 2 2 9 3 2" xfId="8827" xr:uid="{00000000-0005-0000-0000-000031520000}"/>
    <cellStyle name="Normal 2 2 9 3 2 10" xfId="38141" xr:uid="{00000000-0005-0000-0000-000032520000}"/>
    <cellStyle name="Normal 2 2 9 3 2 2" xfId="8828" xr:uid="{00000000-0005-0000-0000-000033520000}"/>
    <cellStyle name="Normal 2 2 9 3 2 2 2" xfId="8829" xr:uid="{00000000-0005-0000-0000-000034520000}"/>
    <cellStyle name="Normal 2 2 9 3 2 2 2 2" xfId="8830" xr:uid="{00000000-0005-0000-0000-000035520000}"/>
    <cellStyle name="Normal 2 2 9 3 2 2 2 2 2" xfId="38142" xr:uid="{00000000-0005-0000-0000-000036520000}"/>
    <cellStyle name="Normal 2 2 9 3 2 2 2 3" xfId="8831" xr:uid="{00000000-0005-0000-0000-000037520000}"/>
    <cellStyle name="Normal 2 2 9 3 2 2 2 3 2" xfId="38143" xr:uid="{00000000-0005-0000-0000-000038520000}"/>
    <cellStyle name="Normal 2 2 9 3 2 2 2 4" xfId="38144" xr:uid="{00000000-0005-0000-0000-000039520000}"/>
    <cellStyle name="Normal 2 2 9 3 2 2 3" xfId="8832" xr:uid="{00000000-0005-0000-0000-00003A520000}"/>
    <cellStyle name="Normal 2 2 9 3 2 2 3 2" xfId="38145" xr:uid="{00000000-0005-0000-0000-00003B520000}"/>
    <cellStyle name="Normal 2 2 9 3 2 2 4" xfId="8833" xr:uid="{00000000-0005-0000-0000-00003C520000}"/>
    <cellStyle name="Normal 2 2 9 3 2 2 4 2" xfId="38146" xr:uid="{00000000-0005-0000-0000-00003D520000}"/>
    <cellStyle name="Normal 2 2 9 3 2 2 5" xfId="8834" xr:uid="{00000000-0005-0000-0000-00003E520000}"/>
    <cellStyle name="Normal 2 2 9 3 2 2 5 2" xfId="38147" xr:uid="{00000000-0005-0000-0000-00003F520000}"/>
    <cellStyle name="Normal 2 2 9 3 2 2 6" xfId="38148" xr:uid="{00000000-0005-0000-0000-000040520000}"/>
    <cellStyle name="Normal 2 2 9 3 2 2 6 2" xfId="38149" xr:uid="{00000000-0005-0000-0000-000041520000}"/>
    <cellStyle name="Normal 2 2 9 3 2 2 7" xfId="38150" xr:uid="{00000000-0005-0000-0000-000042520000}"/>
    <cellStyle name="Normal 2 2 9 3 2 3" xfId="8835" xr:uid="{00000000-0005-0000-0000-000043520000}"/>
    <cellStyle name="Normal 2 2 9 3 2 3 2" xfId="8836" xr:uid="{00000000-0005-0000-0000-000044520000}"/>
    <cellStyle name="Normal 2 2 9 3 2 3 2 2" xfId="38151" xr:uid="{00000000-0005-0000-0000-000045520000}"/>
    <cellStyle name="Normal 2 2 9 3 2 3 3" xfId="8837" xr:uid="{00000000-0005-0000-0000-000046520000}"/>
    <cellStyle name="Normal 2 2 9 3 2 3 3 2" xfId="38152" xr:uid="{00000000-0005-0000-0000-000047520000}"/>
    <cellStyle name="Normal 2 2 9 3 2 3 4" xfId="38153" xr:uid="{00000000-0005-0000-0000-000048520000}"/>
    <cellStyle name="Normal 2 2 9 3 2 4" xfId="8838" xr:uid="{00000000-0005-0000-0000-000049520000}"/>
    <cellStyle name="Normal 2 2 9 3 2 4 2" xfId="8839" xr:uid="{00000000-0005-0000-0000-00004A520000}"/>
    <cellStyle name="Normal 2 2 9 3 2 4 2 2" xfId="38154" xr:uid="{00000000-0005-0000-0000-00004B520000}"/>
    <cellStyle name="Normal 2 2 9 3 2 4 3" xfId="38155" xr:uid="{00000000-0005-0000-0000-00004C520000}"/>
    <cellStyle name="Normal 2 2 9 3 2 5" xfId="8840" xr:uid="{00000000-0005-0000-0000-00004D520000}"/>
    <cellStyle name="Normal 2 2 9 3 2 5 2" xfId="38156" xr:uid="{00000000-0005-0000-0000-00004E520000}"/>
    <cellStyle name="Normal 2 2 9 3 2 6" xfId="8841" xr:uid="{00000000-0005-0000-0000-00004F520000}"/>
    <cellStyle name="Normal 2 2 9 3 2 6 2" xfId="38157" xr:uid="{00000000-0005-0000-0000-000050520000}"/>
    <cellStyle name="Normal 2 2 9 3 2 7" xfId="38158" xr:uid="{00000000-0005-0000-0000-000051520000}"/>
    <cellStyle name="Normal 2 2 9 3 2 7 2" xfId="38159" xr:uid="{00000000-0005-0000-0000-000052520000}"/>
    <cellStyle name="Normal 2 2 9 3 2 8" xfId="38160" xr:uid="{00000000-0005-0000-0000-000053520000}"/>
    <cellStyle name="Normal 2 2 9 3 2 9" xfId="38161" xr:uid="{00000000-0005-0000-0000-000054520000}"/>
    <cellStyle name="Normal 2 2 9 3 3" xfId="8842" xr:uid="{00000000-0005-0000-0000-000055520000}"/>
    <cellStyle name="Normal 2 2 9 3 3 2" xfId="8843" xr:uid="{00000000-0005-0000-0000-000056520000}"/>
    <cellStyle name="Normal 2 2 9 3 3 2 2" xfId="8844" xr:uid="{00000000-0005-0000-0000-000057520000}"/>
    <cellStyle name="Normal 2 2 9 3 3 2 2 2" xfId="38162" xr:uid="{00000000-0005-0000-0000-000058520000}"/>
    <cellStyle name="Normal 2 2 9 3 3 2 3" xfId="8845" xr:uid="{00000000-0005-0000-0000-000059520000}"/>
    <cellStyle name="Normal 2 2 9 3 3 2 3 2" xfId="38163" xr:uid="{00000000-0005-0000-0000-00005A520000}"/>
    <cellStyle name="Normal 2 2 9 3 3 2 4" xfId="38164" xr:uid="{00000000-0005-0000-0000-00005B520000}"/>
    <cellStyle name="Normal 2 2 9 3 3 3" xfId="8846" xr:uid="{00000000-0005-0000-0000-00005C520000}"/>
    <cellStyle name="Normal 2 2 9 3 3 3 2" xfId="38165" xr:uid="{00000000-0005-0000-0000-00005D520000}"/>
    <cellStyle name="Normal 2 2 9 3 3 4" xfId="8847" xr:uid="{00000000-0005-0000-0000-00005E520000}"/>
    <cellStyle name="Normal 2 2 9 3 3 4 2" xfId="38166" xr:uid="{00000000-0005-0000-0000-00005F520000}"/>
    <cellStyle name="Normal 2 2 9 3 3 5" xfId="8848" xr:uid="{00000000-0005-0000-0000-000060520000}"/>
    <cellStyle name="Normal 2 2 9 3 3 5 2" xfId="38167" xr:uid="{00000000-0005-0000-0000-000061520000}"/>
    <cellStyle name="Normal 2 2 9 3 3 6" xfId="38168" xr:uid="{00000000-0005-0000-0000-000062520000}"/>
    <cellStyle name="Normal 2 2 9 3 3 6 2" xfId="38169" xr:uid="{00000000-0005-0000-0000-000063520000}"/>
    <cellStyle name="Normal 2 2 9 3 3 7" xfId="38170" xr:uid="{00000000-0005-0000-0000-000064520000}"/>
    <cellStyle name="Normal 2 2 9 3 4" xfId="8849" xr:uid="{00000000-0005-0000-0000-000065520000}"/>
    <cellStyle name="Normal 2 2 9 3 4 2" xfId="8850" xr:uid="{00000000-0005-0000-0000-000066520000}"/>
    <cellStyle name="Normal 2 2 9 3 4 2 2" xfId="38171" xr:uid="{00000000-0005-0000-0000-000067520000}"/>
    <cellStyle name="Normal 2 2 9 3 4 3" xfId="8851" xr:uid="{00000000-0005-0000-0000-000068520000}"/>
    <cellStyle name="Normal 2 2 9 3 4 3 2" xfId="38172" xr:uid="{00000000-0005-0000-0000-000069520000}"/>
    <cellStyle name="Normal 2 2 9 3 4 4" xfId="38173" xr:uid="{00000000-0005-0000-0000-00006A520000}"/>
    <cellStyle name="Normal 2 2 9 3 5" xfId="8852" xr:uid="{00000000-0005-0000-0000-00006B520000}"/>
    <cellStyle name="Normal 2 2 9 3 5 2" xfId="8853" xr:uid="{00000000-0005-0000-0000-00006C520000}"/>
    <cellStyle name="Normal 2 2 9 3 5 2 2" xfId="38174" xr:uid="{00000000-0005-0000-0000-00006D520000}"/>
    <cellStyle name="Normal 2 2 9 3 5 3" xfId="38175" xr:uid="{00000000-0005-0000-0000-00006E520000}"/>
    <cellStyle name="Normal 2 2 9 3 6" xfId="8854" xr:uid="{00000000-0005-0000-0000-00006F520000}"/>
    <cellStyle name="Normal 2 2 9 3 6 2" xfId="38176" xr:uid="{00000000-0005-0000-0000-000070520000}"/>
    <cellStyle name="Normal 2 2 9 3 7" xfId="8855" xr:uid="{00000000-0005-0000-0000-000071520000}"/>
    <cellStyle name="Normal 2 2 9 3 7 2" xfId="38177" xr:uid="{00000000-0005-0000-0000-000072520000}"/>
    <cellStyle name="Normal 2 2 9 3 8" xfId="38178" xr:uid="{00000000-0005-0000-0000-000073520000}"/>
    <cellStyle name="Normal 2 2 9 3 8 2" xfId="38179" xr:uid="{00000000-0005-0000-0000-000074520000}"/>
    <cellStyle name="Normal 2 2 9 3 9" xfId="38180" xr:uid="{00000000-0005-0000-0000-000075520000}"/>
    <cellStyle name="Normal 2 2 9 30" xfId="8856" xr:uid="{00000000-0005-0000-0000-000076520000}"/>
    <cellStyle name="Normal 2 2 9 30 10" xfId="38181" xr:uid="{00000000-0005-0000-0000-000077520000}"/>
    <cellStyle name="Normal 2 2 9 30 11" xfId="38182" xr:uid="{00000000-0005-0000-0000-000078520000}"/>
    <cellStyle name="Normal 2 2 9 30 2" xfId="8857" xr:uid="{00000000-0005-0000-0000-000079520000}"/>
    <cellStyle name="Normal 2 2 9 30 2 10" xfId="38183" xr:uid="{00000000-0005-0000-0000-00007A520000}"/>
    <cellStyle name="Normal 2 2 9 30 2 2" xfId="8858" xr:uid="{00000000-0005-0000-0000-00007B520000}"/>
    <cellStyle name="Normal 2 2 9 30 2 2 2" xfId="8859" xr:uid="{00000000-0005-0000-0000-00007C520000}"/>
    <cellStyle name="Normal 2 2 9 30 2 2 2 2" xfId="8860" xr:uid="{00000000-0005-0000-0000-00007D520000}"/>
    <cellStyle name="Normal 2 2 9 30 2 2 2 2 2" xfId="38184" xr:uid="{00000000-0005-0000-0000-00007E520000}"/>
    <cellStyle name="Normal 2 2 9 30 2 2 2 3" xfId="8861" xr:uid="{00000000-0005-0000-0000-00007F520000}"/>
    <cellStyle name="Normal 2 2 9 30 2 2 2 3 2" xfId="38185" xr:uid="{00000000-0005-0000-0000-000080520000}"/>
    <cellStyle name="Normal 2 2 9 30 2 2 2 4" xfId="38186" xr:uid="{00000000-0005-0000-0000-000081520000}"/>
    <cellStyle name="Normal 2 2 9 30 2 2 3" xfId="8862" xr:uid="{00000000-0005-0000-0000-000082520000}"/>
    <cellStyle name="Normal 2 2 9 30 2 2 3 2" xfId="38187" xr:uid="{00000000-0005-0000-0000-000083520000}"/>
    <cellStyle name="Normal 2 2 9 30 2 2 4" xfId="8863" xr:uid="{00000000-0005-0000-0000-000084520000}"/>
    <cellStyle name="Normal 2 2 9 30 2 2 4 2" xfId="38188" xr:uid="{00000000-0005-0000-0000-000085520000}"/>
    <cellStyle name="Normal 2 2 9 30 2 2 5" xfId="8864" xr:uid="{00000000-0005-0000-0000-000086520000}"/>
    <cellStyle name="Normal 2 2 9 30 2 2 5 2" xfId="38189" xr:uid="{00000000-0005-0000-0000-000087520000}"/>
    <cellStyle name="Normal 2 2 9 30 2 2 6" xfId="38190" xr:uid="{00000000-0005-0000-0000-000088520000}"/>
    <cellStyle name="Normal 2 2 9 30 2 2 6 2" xfId="38191" xr:uid="{00000000-0005-0000-0000-000089520000}"/>
    <cellStyle name="Normal 2 2 9 30 2 2 7" xfId="38192" xr:uid="{00000000-0005-0000-0000-00008A520000}"/>
    <cellStyle name="Normal 2 2 9 30 2 3" xfId="8865" xr:uid="{00000000-0005-0000-0000-00008B520000}"/>
    <cellStyle name="Normal 2 2 9 30 2 3 2" xfId="8866" xr:uid="{00000000-0005-0000-0000-00008C520000}"/>
    <cellStyle name="Normal 2 2 9 30 2 3 2 2" xfId="38193" xr:uid="{00000000-0005-0000-0000-00008D520000}"/>
    <cellStyle name="Normal 2 2 9 30 2 3 3" xfId="8867" xr:uid="{00000000-0005-0000-0000-00008E520000}"/>
    <cellStyle name="Normal 2 2 9 30 2 3 3 2" xfId="38194" xr:uid="{00000000-0005-0000-0000-00008F520000}"/>
    <cellStyle name="Normal 2 2 9 30 2 3 4" xfId="38195" xr:uid="{00000000-0005-0000-0000-000090520000}"/>
    <cellStyle name="Normal 2 2 9 30 2 4" xfId="8868" xr:uid="{00000000-0005-0000-0000-000091520000}"/>
    <cellStyle name="Normal 2 2 9 30 2 4 2" xfId="8869" xr:uid="{00000000-0005-0000-0000-000092520000}"/>
    <cellStyle name="Normal 2 2 9 30 2 4 2 2" xfId="38196" xr:uid="{00000000-0005-0000-0000-000093520000}"/>
    <cellStyle name="Normal 2 2 9 30 2 4 3" xfId="38197" xr:uid="{00000000-0005-0000-0000-000094520000}"/>
    <cellStyle name="Normal 2 2 9 30 2 5" xfId="8870" xr:uid="{00000000-0005-0000-0000-000095520000}"/>
    <cellStyle name="Normal 2 2 9 30 2 5 2" xfId="38198" xr:uid="{00000000-0005-0000-0000-000096520000}"/>
    <cellStyle name="Normal 2 2 9 30 2 6" xfId="8871" xr:uid="{00000000-0005-0000-0000-000097520000}"/>
    <cellStyle name="Normal 2 2 9 30 2 6 2" xfId="38199" xr:uid="{00000000-0005-0000-0000-000098520000}"/>
    <cellStyle name="Normal 2 2 9 30 2 7" xfId="38200" xr:uid="{00000000-0005-0000-0000-000099520000}"/>
    <cellStyle name="Normal 2 2 9 30 2 7 2" xfId="38201" xr:uid="{00000000-0005-0000-0000-00009A520000}"/>
    <cellStyle name="Normal 2 2 9 30 2 8" xfId="38202" xr:uid="{00000000-0005-0000-0000-00009B520000}"/>
    <cellStyle name="Normal 2 2 9 30 2 9" xfId="38203" xr:uid="{00000000-0005-0000-0000-00009C520000}"/>
    <cellStyle name="Normal 2 2 9 30 3" xfId="8872" xr:uid="{00000000-0005-0000-0000-00009D520000}"/>
    <cellStyle name="Normal 2 2 9 30 3 2" xfId="8873" xr:uid="{00000000-0005-0000-0000-00009E520000}"/>
    <cellStyle name="Normal 2 2 9 30 3 2 2" xfId="8874" xr:uid="{00000000-0005-0000-0000-00009F520000}"/>
    <cellStyle name="Normal 2 2 9 30 3 2 2 2" xfId="38204" xr:uid="{00000000-0005-0000-0000-0000A0520000}"/>
    <cellStyle name="Normal 2 2 9 30 3 2 3" xfId="8875" xr:uid="{00000000-0005-0000-0000-0000A1520000}"/>
    <cellStyle name="Normal 2 2 9 30 3 2 3 2" xfId="38205" xr:uid="{00000000-0005-0000-0000-0000A2520000}"/>
    <cellStyle name="Normal 2 2 9 30 3 2 4" xfId="38206" xr:uid="{00000000-0005-0000-0000-0000A3520000}"/>
    <cellStyle name="Normal 2 2 9 30 3 3" xfId="8876" xr:uid="{00000000-0005-0000-0000-0000A4520000}"/>
    <cellStyle name="Normal 2 2 9 30 3 3 2" xfId="38207" xr:uid="{00000000-0005-0000-0000-0000A5520000}"/>
    <cellStyle name="Normal 2 2 9 30 3 4" xfId="8877" xr:uid="{00000000-0005-0000-0000-0000A6520000}"/>
    <cellStyle name="Normal 2 2 9 30 3 4 2" xfId="38208" xr:uid="{00000000-0005-0000-0000-0000A7520000}"/>
    <cellStyle name="Normal 2 2 9 30 3 5" xfId="8878" xr:uid="{00000000-0005-0000-0000-0000A8520000}"/>
    <cellStyle name="Normal 2 2 9 30 3 5 2" xfId="38209" xr:uid="{00000000-0005-0000-0000-0000A9520000}"/>
    <cellStyle name="Normal 2 2 9 30 3 6" xfId="38210" xr:uid="{00000000-0005-0000-0000-0000AA520000}"/>
    <cellStyle name="Normal 2 2 9 30 3 6 2" xfId="38211" xr:uid="{00000000-0005-0000-0000-0000AB520000}"/>
    <cellStyle name="Normal 2 2 9 30 3 7" xfId="38212" xr:uid="{00000000-0005-0000-0000-0000AC520000}"/>
    <cellStyle name="Normal 2 2 9 30 4" xfId="8879" xr:uid="{00000000-0005-0000-0000-0000AD520000}"/>
    <cellStyle name="Normal 2 2 9 30 4 2" xfId="8880" xr:uid="{00000000-0005-0000-0000-0000AE520000}"/>
    <cellStyle name="Normal 2 2 9 30 4 2 2" xfId="38213" xr:uid="{00000000-0005-0000-0000-0000AF520000}"/>
    <cellStyle name="Normal 2 2 9 30 4 3" xfId="8881" xr:uid="{00000000-0005-0000-0000-0000B0520000}"/>
    <cellStyle name="Normal 2 2 9 30 4 3 2" xfId="38214" xr:uid="{00000000-0005-0000-0000-0000B1520000}"/>
    <cellStyle name="Normal 2 2 9 30 4 4" xfId="38215" xr:uid="{00000000-0005-0000-0000-0000B2520000}"/>
    <cellStyle name="Normal 2 2 9 30 5" xfId="8882" xr:uid="{00000000-0005-0000-0000-0000B3520000}"/>
    <cellStyle name="Normal 2 2 9 30 5 2" xfId="8883" xr:uid="{00000000-0005-0000-0000-0000B4520000}"/>
    <cellStyle name="Normal 2 2 9 30 5 2 2" xfId="38216" xr:uid="{00000000-0005-0000-0000-0000B5520000}"/>
    <cellStyle name="Normal 2 2 9 30 5 3" xfId="38217" xr:uid="{00000000-0005-0000-0000-0000B6520000}"/>
    <cellStyle name="Normal 2 2 9 30 6" xfId="8884" xr:uid="{00000000-0005-0000-0000-0000B7520000}"/>
    <cellStyle name="Normal 2 2 9 30 6 2" xfId="38218" xr:uid="{00000000-0005-0000-0000-0000B8520000}"/>
    <cellStyle name="Normal 2 2 9 30 7" xfId="8885" xr:uid="{00000000-0005-0000-0000-0000B9520000}"/>
    <cellStyle name="Normal 2 2 9 30 7 2" xfId="38219" xr:uid="{00000000-0005-0000-0000-0000BA520000}"/>
    <cellStyle name="Normal 2 2 9 30 8" xfId="38220" xr:uid="{00000000-0005-0000-0000-0000BB520000}"/>
    <cellStyle name="Normal 2 2 9 30 8 2" xfId="38221" xr:uid="{00000000-0005-0000-0000-0000BC520000}"/>
    <cellStyle name="Normal 2 2 9 30 9" xfId="38222" xr:uid="{00000000-0005-0000-0000-0000BD520000}"/>
    <cellStyle name="Normal 2 2 9 31" xfId="8886" xr:uid="{00000000-0005-0000-0000-0000BE520000}"/>
    <cellStyle name="Normal 2 2 9 31 10" xfId="38223" xr:uid="{00000000-0005-0000-0000-0000BF520000}"/>
    <cellStyle name="Normal 2 2 9 31 2" xfId="8887" xr:uid="{00000000-0005-0000-0000-0000C0520000}"/>
    <cellStyle name="Normal 2 2 9 31 2 2" xfId="8888" xr:uid="{00000000-0005-0000-0000-0000C1520000}"/>
    <cellStyle name="Normal 2 2 9 31 2 2 2" xfId="8889" xr:uid="{00000000-0005-0000-0000-0000C2520000}"/>
    <cellStyle name="Normal 2 2 9 31 2 2 2 2" xfId="38224" xr:uid="{00000000-0005-0000-0000-0000C3520000}"/>
    <cellStyle name="Normal 2 2 9 31 2 2 3" xfId="8890" xr:uid="{00000000-0005-0000-0000-0000C4520000}"/>
    <cellStyle name="Normal 2 2 9 31 2 2 3 2" xfId="38225" xr:uid="{00000000-0005-0000-0000-0000C5520000}"/>
    <cellStyle name="Normal 2 2 9 31 2 2 4" xfId="38226" xr:uid="{00000000-0005-0000-0000-0000C6520000}"/>
    <cellStyle name="Normal 2 2 9 31 2 3" xfId="8891" xr:uid="{00000000-0005-0000-0000-0000C7520000}"/>
    <cellStyle name="Normal 2 2 9 31 2 3 2" xfId="38227" xr:uid="{00000000-0005-0000-0000-0000C8520000}"/>
    <cellStyle name="Normal 2 2 9 31 2 4" xfId="8892" xr:uid="{00000000-0005-0000-0000-0000C9520000}"/>
    <cellStyle name="Normal 2 2 9 31 2 4 2" xfId="38228" xr:uid="{00000000-0005-0000-0000-0000CA520000}"/>
    <cellStyle name="Normal 2 2 9 31 2 5" xfId="8893" xr:uid="{00000000-0005-0000-0000-0000CB520000}"/>
    <cellStyle name="Normal 2 2 9 31 2 5 2" xfId="38229" xr:uid="{00000000-0005-0000-0000-0000CC520000}"/>
    <cellStyle name="Normal 2 2 9 31 2 6" xfId="38230" xr:uid="{00000000-0005-0000-0000-0000CD520000}"/>
    <cellStyle name="Normal 2 2 9 31 2 6 2" xfId="38231" xr:uid="{00000000-0005-0000-0000-0000CE520000}"/>
    <cellStyle name="Normal 2 2 9 31 2 7" xfId="38232" xr:uid="{00000000-0005-0000-0000-0000CF520000}"/>
    <cellStyle name="Normal 2 2 9 31 3" xfId="8894" xr:uid="{00000000-0005-0000-0000-0000D0520000}"/>
    <cellStyle name="Normal 2 2 9 31 3 2" xfId="8895" xr:uid="{00000000-0005-0000-0000-0000D1520000}"/>
    <cellStyle name="Normal 2 2 9 31 3 2 2" xfId="38233" xr:uid="{00000000-0005-0000-0000-0000D2520000}"/>
    <cellStyle name="Normal 2 2 9 31 3 3" xfId="8896" xr:uid="{00000000-0005-0000-0000-0000D3520000}"/>
    <cellStyle name="Normal 2 2 9 31 3 3 2" xfId="38234" xr:uid="{00000000-0005-0000-0000-0000D4520000}"/>
    <cellStyle name="Normal 2 2 9 31 3 4" xfId="38235" xr:uid="{00000000-0005-0000-0000-0000D5520000}"/>
    <cellStyle name="Normal 2 2 9 31 4" xfId="8897" xr:uid="{00000000-0005-0000-0000-0000D6520000}"/>
    <cellStyle name="Normal 2 2 9 31 4 2" xfId="8898" xr:uid="{00000000-0005-0000-0000-0000D7520000}"/>
    <cellStyle name="Normal 2 2 9 31 4 2 2" xfId="38236" xr:uid="{00000000-0005-0000-0000-0000D8520000}"/>
    <cellStyle name="Normal 2 2 9 31 4 3" xfId="38237" xr:uid="{00000000-0005-0000-0000-0000D9520000}"/>
    <cellStyle name="Normal 2 2 9 31 5" xfId="8899" xr:uid="{00000000-0005-0000-0000-0000DA520000}"/>
    <cellStyle name="Normal 2 2 9 31 5 2" xfId="38238" xr:uid="{00000000-0005-0000-0000-0000DB520000}"/>
    <cellStyle name="Normal 2 2 9 31 6" xfId="8900" xr:uid="{00000000-0005-0000-0000-0000DC520000}"/>
    <cellStyle name="Normal 2 2 9 31 6 2" xfId="38239" xr:uid="{00000000-0005-0000-0000-0000DD520000}"/>
    <cellStyle name="Normal 2 2 9 31 7" xfId="38240" xr:uid="{00000000-0005-0000-0000-0000DE520000}"/>
    <cellStyle name="Normal 2 2 9 31 7 2" xfId="38241" xr:uid="{00000000-0005-0000-0000-0000DF520000}"/>
    <cellStyle name="Normal 2 2 9 31 8" xfId="38242" xr:uid="{00000000-0005-0000-0000-0000E0520000}"/>
    <cellStyle name="Normal 2 2 9 31 9" xfId="38243" xr:uid="{00000000-0005-0000-0000-0000E1520000}"/>
    <cellStyle name="Normal 2 2 9 32" xfId="8901" xr:uid="{00000000-0005-0000-0000-0000E2520000}"/>
    <cellStyle name="Normal 2 2 9 32 2" xfId="8902" xr:uid="{00000000-0005-0000-0000-0000E3520000}"/>
    <cellStyle name="Normal 2 2 9 32 2 2" xfId="8903" xr:uid="{00000000-0005-0000-0000-0000E4520000}"/>
    <cellStyle name="Normal 2 2 9 32 2 2 2" xfId="38244" xr:uid="{00000000-0005-0000-0000-0000E5520000}"/>
    <cellStyle name="Normal 2 2 9 32 2 3" xfId="8904" xr:uid="{00000000-0005-0000-0000-0000E6520000}"/>
    <cellStyle name="Normal 2 2 9 32 2 3 2" xfId="38245" xr:uid="{00000000-0005-0000-0000-0000E7520000}"/>
    <cellStyle name="Normal 2 2 9 32 2 4" xfId="38246" xr:uid="{00000000-0005-0000-0000-0000E8520000}"/>
    <cellStyle name="Normal 2 2 9 32 3" xfId="8905" xr:uid="{00000000-0005-0000-0000-0000E9520000}"/>
    <cellStyle name="Normal 2 2 9 32 3 2" xfId="38247" xr:uid="{00000000-0005-0000-0000-0000EA520000}"/>
    <cellStyle name="Normal 2 2 9 32 4" xfId="8906" xr:uid="{00000000-0005-0000-0000-0000EB520000}"/>
    <cellStyle name="Normal 2 2 9 32 4 2" xfId="38248" xr:uid="{00000000-0005-0000-0000-0000EC520000}"/>
    <cellStyle name="Normal 2 2 9 32 5" xfId="8907" xr:uid="{00000000-0005-0000-0000-0000ED520000}"/>
    <cellStyle name="Normal 2 2 9 32 5 2" xfId="38249" xr:uid="{00000000-0005-0000-0000-0000EE520000}"/>
    <cellStyle name="Normal 2 2 9 32 6" xfId="38250" xr:uid="{00000000-0005-0000-0000-0000EF520000}"/>
    <cellStyle name="Normal 2 2 9 32 6 2" xfId="38251" xr:uid="{00000000-0005-0000-0000-0000F0520000}"/>
    <cellStyle name="Normal 2 2 9 32 7" xfId="38252" xr:uid="{00000000-0005-0000-0000-0000F1520000}"/>
    <cellStyle name="Normal 2 2 9 33" xfId="8908" xr:uid="{00000000-0005-0000-0000-0000F2520000}"/>
    <cellStyle name="Normal 2 2 9 33 2" xfId="8909" xr:uid="{00000000-0005-0000-0000-0000F3520000}"/>
    <cellStyle name="Normal 2 2 9 33 2 2" xfId="38253" xr:uid="{00000000-0005-0000-0000-0000F4520000}"/>
    <cellStyle name="Normal 2 2 9 33 3" xfId="8910" xr:uid="{00000000-0005-0000-0000-0000F5520000}"/>
    <cellStyle name="Normal 2 2 9 33 3 2" xfId="38254" xr:uid="{00000000-0005-0000-0000-0000F6520000}"/>
    <cellStyle name="Normal 2 2 9 33 4" xfId="38255" xr:uid="{00000000-0005-0000-0000-0000F7520000}"/>
    <cellStyle name="Normal 2 2 9 34" xfId="8911" xr:uid="{00000000-0005-0000-0000-0000F8520000}"/>
    <cellStyle name="Normal 2 2 9 34 2" xfId="8912" xr:uid="{00000000-0005-0000-0000-0000F9520000}"/>
    <cellStyle name="Normal 2 2 9 34 2 2" xfId="38256" xr:uid="{00000000-0005-0000-0000-0000FA520000}"/>
    <cellStyle name="Normal 2 2 9 34 3" xfId="38257" xr:uid="{00000000-0005-0000-0000-0000FB520000}"/>
    <cellStyle name="Normal 2 2 9 35" xfId="8913" xr:uid="{00000000-0005-0000-0000-0000FC520000}"/>
    <cellStyle name="Normal 2 2 9 35 2" xfId="38258" xr:uid="{00000000-0005-0000-0000-0000FD520000}"/>
    <cellStyle name="Normal 2 2 9 36" xfId="8914" xr:uid="{00000000-0005-0000-0000-0000FE520000}"/>
    <cellStyle name="Normal 2 2 9 36 2" xfId="38259" xr:uid="{00000000-0005-0000-0000-0000FF520000}"/>
    <cellStyle name="Normal 2 2 9 37" xfId="38260" xr:uid="{00000000-0005-0000-0000-000000530000}"/>
    <cellStyle name="Normal 2 2 9 37 2" xfId="38261" xr:uid="{00000000-0005-0000-0000-000001530000}"/>
    <cellStyle name="Normal 2 2 9 38" xfId="38262" xr:uid="{00000000-0005-0000-0000-000002530000}"/>
    <cellStyle name="Normal 2 2 9 39" xfId="38263" xr:uid="{00000000-0005-0000-0000-000003530000}"/>
    <cellStyle name="Normal 2 2 9 4" xfId="8915" xr:uid="{00000000-0005-0000-0000-000004530000}"/>
    <cellStyle name="Normal 2 2 9 4 10" xfId="38264" xr:uid="{00000000-0005-0000-0000-000005530000}"/>
    <cellStyle name="Normal 2 2 9 4 11" xfId="38265" xr:uid="{00000000-0005-0000-0000-000006530000}"/>
    <cellStyle name="Normal 2 2 9 4 2" xfId="8916" xr:uid="{00000000-0005-0000-0000-000007530000}"/>
    <cellStyle name="Normal 2 2 9 4 2 10" xfId="38266" xr:uid="{00000000-0005-0000-0000-000008530000}"/>
    <cellStyle name="Normal 2 2 9 4 2 2" xfId="8917" xr:uid="{00000000-0005-0000-0000-000009530000}"/>
    <cellStyle name="Normal 2 2 9 4 2 2 2" xfId="8918" xr:uid="{00000000-0005-0000-0000-00000A530000}"/>
    <cellStyle name="Normal 2 2 9 4 2 2 2 2" xfId="8919" xr:uid="{00000000-0005-0000-0000-00000B530000}"/>
    <cellStyle name="Normal 2 2 9 4 2 2 2 2 2" xfId="38267" xr:uid="{00000000-0005-0000-0000-00000C530000}"/>
    <cellStyle name="Normal 2 2 9 4 2 2 2 3" xfId="8920" xr:uid="{00000000-0005-0000-0000-00000D530000}"/>
    <cellStyle name="Normal 2 2 9 4 2 2 2 3 2" xfId="38268" xr:uid="{00000000-0005-0000-0000-00000E530000}"/>
    <cellStyle name="Normal 2 2 9 4 2 2 2 4" xfId="38269" xr:uid="{00000000-0005-0000-0000-00000F530000}"/>
    <cellStyle name="Normal 2 2 9 4 2 2 3" xfId="8921" xr:uid="{00000000-0005-0000-0000-000010530000}"/>
    <cellStyle name="Normal 2 2 9 4 2 2 3 2" xfId="38270" xr:uid="{00000000-0005-0000-0000-000011530000}"/>
    <cellStyle name="Normal 2 2 9 4 2 2 4" xfId="8922" xr:uid="{00000000-0005-0000-0000-000012530000}"/>
    <cellStyle name="Normal 2 2 9 4 2 2 4 2" xfId="38271" xr:uid="{00000000-0005-0000-0000-000013530000}"/>
    <cellStyle name="Normal 2 2 9 4 2 2 5" xfId="8923" xr:uid="{00000000-0005-0000-0000-000014530000}"/>
    <cellStyle name="Normal 2 2 9 4 2 2 5 2" xfId="38272" xr:uid="{00000000-0005-0000-0000-000015530000}"/>
    <cellStyle name="Normal 2 2 9 4 2 2 6" xfId="38273" xr:uid="{00000000-0005-0000-0000-000016530000}"/>
    <cellStyle name="Normal 2 2 9 4 2 2 6 2" xfId="38274" xr:uid="{00000000-0005-0000-0000-000017530000}"/>
    <cellStyle name="Normal 2 2 9 4 2 2 7" xfId="38275" xr:uid="{00000000-0005-0000-0000-000018530000}"/>
    <cellStyle name="Normal 2 2 9 4 2 3" xfId="8924" xr:uid="{00000000-0005-0000-0000-000019530000}"/>
    <cellStyle name="Normal 2 2 9 4 2 3 2" xfId="8925" xr:uid="{00000000-0005-0000-0000-00001A530000}"/>
    <cellStyle name="Normal 2 2 9 4 2 3 2 2" xfId="38276" xr:uid="{00000000-0005-0000-0000-00001B530000}"/>
    <cellStyle name="Normal 2 2 9 4 2 3 3" xfId="8926" xr:uid="{00000000-0005-0000-0000-00001C530000}"/>
    <cellStyle name="Normal 2 2 9 4 2 3 3 2" xfId="38277" xr:uid="{00000000-0005-0000-0000-00001D530000}"/>
    <cellStyle name="Normal 2 2 9 4 2 3 4" xfId="38278" xr:uid="{00000000-0005-0000-0000-00001E530000}"/>
    <cellStyle name="Normal 2 2 9 4 2 4" xfId="8927" xr:uid="{00000000-0005-0000-0000-00001F530000}"/>
    <cellStyle name="Normal 2 2 9 4 2 4 2" xfId="8928" xr:uid="{00000000-0005-0000-0000-000020530000}"/>
    <cellStyle name="Normal 2 2 9 4 2 4 2 2" xfId="38279" xr:uid="{00000000-0005-0000-0000-000021530000}"/>
    <cellStyle name="Normal 2 2 9 4 2 4 3" xfId="38280" xr:uid="{00000000-0005-0000-0000-000022530000}"/>
    <cellStyle name="Normal 2 2 9 4 2 5" xfId="8929" xr:uid="{00000000-0005-0000-0000-000023530000}"/>
    <cellStyle name="Normal 2 2 9 4 2 5 2" xfId="38281" xr:uid="{00000000-0005-0000-0000-000024530000}"/>
    <cellStyle name="Normal 2 2 9 4 2 6" xfId="8930" xr:uid="{00000000-0005-0000-0000-000025530000}"/>
    <cellStyle name="Normal 2 2 9 4 2 6 2" xfId="38282" xr:uid="{00000000-0005-0000-0000-000026530000}"/>
    <cellStyle name="Normal 2 2 9 4 2 7" xfId="38283" xr:uid="{00000000-0005-0000-0000-000027530000}"/>
    <cellStyle name="Normal 2 2 9 4 2 7 2" xfId="38284" xr:uid="{00000000-0005-0000-0000-000028530000}"/>
    <cellStyle name="Normal 2 2 9 4 2 8" xfId="38285" xr:uid="{00000000-0005-0000-0000-000029530000}"/>
    <cellStyle name="Normal 2 2 9 4 2 9" xfId="38286" xr:uid="{00000000-0005-0000-0000-00002A530000}"/>
    <cellStyle name="Normal 2 2 9 4 3" xfId="8931" xr:uid="{00000000-0005-0000-0000-00002B530000}"/>
    <cellStyle name="Normal 2 2 9 4 3 2" xfId="8932" xr:uid="{00000000-0005-0000-0000-00002C530000}"/>
    <cellStyle name="Normal 2 2 9 4 3 2 2" xfId="8933" xr:uid="{00000000-0005-0000-0000-00002D530000}"/>
    <cellStyle name="Normal 2 2 9 4 3 2 2 2" xfId="38287" xr:uid="{00000000-0005-0000-0000-00002E530000}"/>
    <cellStyle name="Normal 2 2 9 4 3 2 3" xfId="8934" xr:uid="{00000000-0005-0000-0000-00002F530000}"/>
    <cellStyle name="Normal 2 2 9 4 3 2 3 2" xfId="38288" xr:uid="{00000000-0005-0000-0000-000030530000}"/>
    <cellStyle name="Normal 2 2 9 4 3 2 4" xfId="38289" xr:uid="{00000000-0005-0000-0000-000031530000}"/>
    <cellStyle name="Normal 2 2 9 4 3 3" xfId="8935" xr:uid="{00000000-0005-0000-0000-000032530000}"/>
    <cellStyle name="Normal 2 2 9 4 3 3 2" xfId="38290" xr:uid="{00000000-0005-0000-0000-000033530000}"/>
    <cellStyle name="Normal 2 2 9 4 3 4" xfId="8936" xr:uid="{00000000-0005-0000-0000-000034530000}"/>
    <cellStyle name="Normal 2 2 9 4 3 4 2" xfId="38291" xr:uid="{00000000-0005-0000-0000-000035530000}"/>
    <cellStyle name="Normal 2 2 9 4 3 5" xfId="8937" xr:uid="{00000000-0005-0000-0000-000036530000}"/>
    <cellStyle name="Normal 2 2 9 4 3 5 2" xfId="38292" xr:uid="{00000000-0005-0000-0000-000037530000}"/>
    <cellStyle name="Normal 2 2 9 4 3 6" xfId="38293" xr:uid="{00000000-0005-0000-0000-000038530000}"/>
    <cellStyle name="Normal 2 2 9 4 3 6 2" xfId="38294" xr:uid="{00000000-0005-0000-0000-000039530000}"/>
    <cellStyle name="Normal 2 2 9 4 3 7" xfId="38295" xr:uid="{00000000-0005-0000-0000-00003A530000}"/>
    <cellStyle name="Normal 2 2 9 4 4" xfId="8938" xr:uid="{00000000-0005-0000-0000-00003B530000}"/>
    <cellStyle name="Normal 2 2 9 4 4 2" xfId="8939" xr:uid="{00000000-0005-0000-0000-00003C530000}"/>
    <cellStyle name="Normal 2 2 9 4 4 2 2" xfId="38296" xr:uid="{00000000-0005-0000-0000-00003D530000}"/>
    <cellStyle name="Normal 2 2 9 4 4 3" xfId="8940" xr:uid="{00000000-0005-0000-0000-00003E530000}"/>
    <cellStyle name="Normal 2 2 9 4 4 3 2" xfId="38297" xr:uid="{00000000-0005-0000-0000-00003F530000}"/>
    <cellStyle name="Normal 2 2 9 4 4 4" xfId="38298" xr:uid="{00000000-0005-0000-0000-000040530000}"/>
    <cellStyle name="Normal 2 2 9 4 5" xfId="8941" xr:uid="{00000000-0005-0000-0000-000041530000}"/>
    <cellStyle name="Normal 2 2 9 4 5 2" xfId="8942" xr:uid="{00000000-0005-0000-0000-000042530000}"/>
    <cellStyle name="Normal 2 2 9 4 5 2 2" xfId="38299" xr:uid="{00000000-0005-0000-0000-000043530000}"/>
    <cellStyle name="Normal 2 2 9 4 5 3" xfId="38300" xr:uid="{00000000-0005-0000-0000-000044530000}"/>
    <cellStyle name="Normal 2 2 9 4 6" xfId="8943" xr:uid="{00000000-0005-0000-0000-000045530000}"/>
    <cellStyle name="Normal 2 2 9 4 6 2" xfId="38301" xr:uid="{00000000-0005-0000-0000-000046530000}"/>
    <cellStyle name="Normal 2 2 9 4 7" xfId="8944" xr:uid="{00000000-0005-0000-0000-000047530000}"/>
    <cellStyle name="Normal 2 2 9 4 7 2" xfId="38302" xr:uid="{00000000-0005-0000-0000-000048530000}"/>
    <cellStyle name="Normal 2 2 9 4 8" xfId="38303" xr:uid="{00000000-0005-0000-0000-000049530000}"/>
    <cellStyle name="Normal 2 2 9 4 8 2" xfId="38304" xr:uid="{00000000-0005-0000-0000-00004A530000}"/>
    <cellStyle name="Normal 2 2 9 4 9" xfId="38305" xr:uid="{00000000-0005-0000-0000-00004B530000}"/>
    <cellStyle name="Normal 2 2 9 40" xfId="38306" xr:uid="{00000000-0005-0000-0000-00004C530000}"/>
    <cellStyle name="Normal 2 2 9 5" xfId="8945" xr:uid="{00000000-0005-0000-0000-00004D530000}"/>
    <cellStyle name="Normal 2 2 9 5 10" xfId="38307" xr:uid="{00000000-0005-0000-0000-00004E530000}"/>
    <cellStyle name="Normal 2 2 9 5 11" xfId="38308" xr:uid="{00000000-0005-0000-0000-00004F530000}"/>
    <cellStyle name="Normal 2 2 9 5 2" xfId="8946" xr:uid="{00000000-0005-0000-0000-000050530000}"/>
    <cellStyle name="Normal 2 2 9 5 2 10" xfId="38309" xr:uid="{00000000-0005-0000-0000-000051530000}"/>
    <cellStyle name="Normal 2 2 9 5 2 2" xfId="8947" xr:uid="{00000000-0005-0000-0000-000052530000}"/>
    <cellStyle name="Normal 2 2 9 5 2 2 2" xfId="8948" xr:uid="{00000000-0005-0000-0000-000053530000}"/>
    <cellStyle name="Normal 2 2 9 5 2 2 2 2" xfId="8949" xr:uid="{00000000-0005-0000-0000-000054530000}"/>
    <cellStyle name="Normal 2 2 9 5 2 2 2 2 2" xfId="38310" xr:uid="{00000000-0005-0000-0000-000055530000}"/>
    <cellStyle name="Normal 2 2 9 5 2 2 2 3" xfId="8950" xr:uid="{00000000-0005-0000-0000-000056530000}"/>
    <cellStyle name="Normal 2 2 9 5 2 2 2 3 2" xfId="38311" xr:uid="{00000000-0005-0000-0000-000057530000}"/>
    <cellStyle name="Normal 2 2 9 5 2 2 2 4" xfId="38312" xr:uid="{00000000-0005-0000-0000-000058530000}"/>
    <cellStyle name="Normal 2 2 9 5 2 2 3" xfId="8951" xr:uid="{00000000-0005-0000-0000-000059530000}"/>
    <cellStyle name="Normal 2 2 9 5 2 2 3 2" xfId="38313" xr:uid="{00000000-0005-0000-0000-00005A530000}"/>
    <cellStyle name="Normal 2 2 9 5 2 2 4" xfId="8952" xr:uid="{00000000-0005-0000-0000-00005B530000}"/>
    <cellStyle name="Normal 2 2 9 5 2 2 4 2" xfId="38314" xr:uid="{00000000-0005-0000-0000-00005C530000}"/>
    <cellStyle name="Normal 2 2 9 5 2 2 5" xfId="8953" xr:uid="{00000000-0005-0000-0000-00005D530000}"/>
    <cellStyle name="Normal 2 2 9 5 2 2 5 2" xfId="38315" xr:uid="{00000000-0005-0000-0000-00005E530000}"/>
    <cellStyle name="Normal 2 2 9 5 2 2 6" xfId="38316" xr:uid="{00000000-0005-0000-0000-00005F530000}"/>
    <cellStyle name="Normal 2 2 9 5 2 2 6 2" xfId="38317" xr:uid="{00000000-0005-0000-0000-000060530000}"/>
    <cellStyle name="Normal 2 2 9 5 2 2 7" xfId="38318" xr:uid="{00000000-0005-0000-0000-000061530000}"/>
    <cellStyle name="Normal 2 2 9 5 2 3" xfId="8954" xr:uid="{00000000-0005-0000-0000-000062530000}"/>
    <cellStyle name="Normal 2 2 9 5 2 3 2" xfId="8955" xr:uid="{00000000-0005-0000-0000-000063530000}"/>
    <cellStyle name="Normal 2 2 9 5 2 3 2 2" xfId="38319" xr:uid="{00000000-0005-0000-0000-000064530000}"/>
    <cellStyle name="Normal 2 2 9 5 2 3 3" xfId="8956" xr:uid="{00000000-0005-0000-0000-000065530000}"/>
    <cellStyle name="Normal 2 2 9 5 2 3 3 2" xfId="38320" xr:uid="{00000000-0005-0000-0000-000066530000}"/>
    <cellStyle name="Normal 2 2 9 5 2 3 4" xfId="38321" xr:uid="{00000000-0005-0000-0000-000067530000}"/>
    <cellStyle name="Normal 2 2 9 5 2 4" xfId="8957" xr:uid="{00000000-0005-0000-0000-000068530000}"/>
    <cellStyle name="Normal 2 2 9 5 2 4 2" xfId="8958" xr:uid="{00000000-0005-0000-0000-000069530000}"/>
    <cellStyle name="Normal 2 2 9 5 2 4 2 2" xfId="38322" xr:uid="{00000000-0005-0000-0000-00006A530000}"/>
    <cellStyle name="Normal 2 2 9 5 2 4 3" xfId="38323" xr:uid="{00000000-0005-0000-0000-00006B530000}"/>
    <cellStyle name="Normal 2 2 9 5 2 5" xfId="8959" xr:uid="{00000000-0005-0000-0000-00006C530000}"/>
    <cellStyle name="Normal 2 2 9 5 2 5 2" xfId="38324" xr:uid="{00000000-0005-0000-0000-00006D530000}"/>
    <cellStyle name="Normal 2 2 9 5 2 6" xfId="8960" xr:uid="{00000000-0005-0000-0000-00006E530000}"/>
    <cellStyle name="Normal 2 2 9 5 2 6 2" xfId="38325" xr:uid="{00000000-0005-0000-0000-00006F530000}"/>
    <cellStyle name="Normal 2 2 9 5 2 7" xfId="38326" xr:uid="{00000000-0005-0000-0000-000070530000}"/>
    <cellStyle name="Normal 2 2 9 5 2 7 2" xfId="38327" xr:uid="{00000000-0005-0000-0000-000071530000}"/>
    <cellStyle name="Normal 2 2 9 5 2 8" xfId="38328" xr:uid="{00000000-0005-0000-0000-000072530000}"/>
    <cellStyle name="Normal 2 2 9 5 2 9" xfId="38329" xr:uid="{00000000-0005-0000-0000-000073530000}"/>
    <cellStyle name="Normal 2 2 9 5 3" xfId="8961" xr:uid="{00000000-0005-0000-0000-000074530000}"/>
    <cellStyle name="Normal 2 2 9 5 3 2" xfId="8962" xr:uid="{00000000-0005-0000-0000-000075530000}"/>
    <cellStyle name="Normal 2 2 9 5 3 2 2" xfId="8963" xr:uid="{00000000-0005-0000-0000-000076530000}"/>
    <cellStyle name="Normal 2 2 9 5 3 2 2 2" xfId="38330" xr:uid="{00000000-0005-0000-0000-000077530000}"/>
    <cellStyle name="Normal 2 2 9 5 3 2 3" xfId="8964" xr:uid="{00000000-0005-0000-0000-000078530000}"/>
    <cellStyle name="Normal 2 2 9 5 3 2 3 2" xfId="38331" xr:uid="{00000000-0005-0000-0000-000079530000}"/>
    <cellStyle name="Normal 2 2 9 5 3 2 4" xfId="38332" xr:uid="{00000000-0005-0000-0000-00007A530000}"/>
    <cellStyle name="Normal 2 2 9 5 3 3" xfId="8965" xr:uid="{00000000-0005-0000-0000-00007B530000}"/>
    <cellStyle name="Normal 2 2 9 5 3 3 2" xfId="38333" xr:uid="{00000000-0005-0000-0000-00007C530000}"/>
    <cellStyle name="Normal 2 2 9 5 3 4" xfId="8966" xr:uid="{00000000-0005-0000-0000-00007D530000}"/>
    <cellStyle name="Normal 2 2 9 5 3 4 2" xfId="38334" xr:uid="{00000000-0005-0000-0000-00007E530000}"/>
    <cellStyle name="Normal 2 2 9 5 3 5" xfId="8967" xr:uid="{00000000-0005-0000-0000-00007F530000}"/>
    <cellStyle name="Normal 2 2 9 5 3 5 2" xfId="38335" xr:uid="{00000000-0005-0000-0000-000080530000}"/>
    <cellStyle name="Normal 2 2 9 5 3 6" xfId="38336" xr:uid="{00000000-0005-0000-0000-000081530000}"/>
    <cellStyle name="Normal 2 2 9 5 3 6 2" xfId="38337" xr:uid="{00000000-0005-0000-0000-000082530000}"/>
    <cellStyle name="Normal 2 2 9 5 3 7" xfId="38338" xr:uid="{00000000-0005-0000-0000-000083530000}"/>
    <cellStyle name="Normal 2 2 9 5 4" xfId="8968" xr:uid="{00000000-0005-0000-0000-000084530000}"/>
    <cellStyle name="Normal 2 2 9 5 4 2" xfId="8969" xr:uid="{00000000-0005-0000-0000-000085530000}"/>
    <cellStyle name="Normal 2 2 9 5 4 2 2" xfId="38339" xr:uid="{00000000-0005-0000-0000-000086530000}"/>
    <cellStyle name="Normal 2 2 9 5 4 3" xfId="8970" xr:uid="{00000000-0005-0000-0000-000087530000}"/>
    <cellStyle name="Normal 2 2 9 5 4 3 2" xfId="38340" xr:uid="{00000000-0005-0000-0000-000088530000}"/>
    <cellStyle name="Normal 2 2 9 5 4 4" xfId="38341" xr:uid="{00000000-0005-0000-0000-000089530000}"/>
    <cellStyle name="Normal 2 2 9 5 5" xfId="8971" xr:uid="{00000000-0005-0000-0000-00008A530000}"/>
    <cellStyle name="Normal 2 2 9 5 5 2" xfId="8972" xr:uid="{00000000-0005-0000-0000-00008B530000}"/>
    <cellStyle name="Normal 2 2 9 5 5 2 2" xfId="38342" xr:uid="{00000000-0005-0000-0000-00008C530000}"/>
    <cellStyle name="Normal 2 2 9 5 5 3" xfId="38343" xr:uid="{00000000-0005-0000-0000-00008D530000}"/>
    <cellStyle name="Normal 2 2 9 5 6" xfId="8973" xr:uid="{00000000-0005-0000-0000-00008E530000}"/>
    <cellStyle name="Normal 2 2 9 5 6 2" xfId="38344" xr:uid="{00000000-0005-0000-0000-00008F530000}"/>
    <cellStyle name="Normal 2 2 9 5 7" xfId="8974" xr:uid="{00000000-0005-0000-0000-000090530000}"/>
    <cellStyle name="Normal 2 2 9 5 7 2" xfId="38345" xr:uid="{00000000-0005-0000-0000-000091530000}"/>
    <cellStyle name="Normal 2 2 9 5 8" xfId="38346" xr:uid="{00000000-0005-0000-0000-000092530000}"/>
    <cellStyle name="Normal 2 2 9 5 8 2" xfId="38347" xr:uid="{00000000-0005-0000-0000-000093530000}"/>
    <cellStyle name="Normal 2 2 9 5 9" xfId="38348" xr:uid="{00000000-0005-0000-0000-000094530000}"/>
    <cellStyle name="Normal 2 2 9 6" xfId="8975" xr:uid="{00000000-0005-0000-0000-000095530000}"/>
    <cellStyle name="Normal 2 2 9 6 10" xfId="38349" xr:uid="{00000000-0005-0000-0000-000096530000}"/>
    <cellStyle name="Normal 2 2 9 6 11" xfId="38350" xr:uid="{00000000-0005-0000-0000-000097530000}"/>
    <cellStyle name="Normal 2 2 9 6 2" xfId="8976" xr:uid="{00000000-0005-0000-0000-000098530000}"/>
    <cellStyle name="Normal 2 2 9 6 2 10" xfId="38351" xr:uid="{00000000-0005-0000-0000-000099530000}"/>
    <cellStyle name="Normal 2 2 9 6 2 2" xfId="8977" xr:uid="{00000000-0005-0000-0000-00009A530000}"/>
    <cellStyle name="Normal 2 2 9 6 2 2 2" xfId="8978" xr:uid="{00000000-0005-0000-0000-00009B530000}"/>
    <cellStyle name="Normal 2 2 9 6 2 2 2 2" xfId="8979" xr:uid="{00000000-0005-0000-0000-00009C530000}"/>
    <cellStyle name="Normal 2 2 9 6 2 2 2 2 2" xfId="38352" xr:uid="{00000000-0005-0000-0000-00009D530000}"/>
    <cellStyle name="Normal 2 2 9 6 2 2 2 3" xfId="8980" xr:uid="{00000000-0005-0000-0000-00009E530000}"/>
    <cellStyle name="Normal 2 2 9 6 2 2 2 3 2" xfId="38353" xr:uid="{00000000-0005-0000-0000-00009F530000}"/>
    <cellStyle name="Normal 2 2 9 6 2 2 2 4" xfId="38354" xr:uid="{00000000-0005-0000-0000-0000A0530000}"/>
    <cellStyle name="Normal 2 2 9 6 2 2 3" xfId="8981" xr:uid="{00000000-0005-0000-0000-0000A1530000}"/>
    <cellStyle name="Normal 2 2 9 6 2 2 3 2" xfId="38355" xr:uid="{00000000-0005-0000-0000-0000A2530000}"/>
    <cellStyle name="Normal 2 2 9 6 2 2 4" xfId="8982" xr:uid="{00000000-0005-0000-0000-0000A3530000}"/>
    <cellStyle name="Normal 2 2 9 6 2 2 4 2" xfId="38356" xr:uid="{00000000-0005-0000-0000-0000A4530000}"/>
    <cellStyle name="Normal 2 2 9 6 2 2 5" xfId="8983" xr:uid="{00000000-0005-0000-0000-0000A5530000}"/>
    <cellStyle name="Normal 2 2 9 6 2 2 5 2" xfId="38357" xr:uid="{00000000-0005-0000-0000-0000A6530000}"/>
    <cellStyle name="Normal 2 2 9 6 2 2 6" xfId="38358" xr:uid="{00000000-0005-0000-0000-0000A7530000}"/>
    <cellStyle name="Normal 2 2 9 6 2 2 6 2" xfId="38359" xr:uid="{00000000-0005-0000-0000-0000A8530000}"/>
    <cellStyle name="Normal 2 2 9 6 2 2 7" xfId="38360" xr:uid="{00000000-0005-0000-0000-0000A9530000}"/>
    <cellStyle name="Normal 2 2 9 6 2 3" xfId="8984" xr:uid="{00000000-0005-0000-0000-0000AA530000}"/>
    <cellStyle name="Normal 2 2 9 6 2 3 2" xfId="8985" xr:uid="{00000000-0005-0000-0000-0000AB530000}"/>
    <cellStyle name="Normal 2 2 9 6 2 3 2 2" xfId="38361" xr:uid="{00000000-0005-0000-0000-0000AC530000}"/>
    <cellStyle name="Normal 2 2 9 6 2 3 3" xfId="8986" xr:uid="{00000000-0005-0000-0000-0000AD530000}"/>
    <cellStyle name="Normal 2 2 9 6 2 3 3 2" xfId="38362" xr:uid="{00000000-0005-0000-0000-0000AE530000}"/>
    <cellStyle name="Normal 2 2 9 6 2 3 4" xfId="38363" xr:uid="{00000000-0005-0000-0000-0000AF530000}"/>
    <cellStyle name="Normal 2 2 9 6 2 4" xfId="8987" xr:uid="{00000000-0005-0000-0000-0000B0530000}"/>
    <cellStyle name="Normal 2 2 9 6 2 4 2" xfId="8988" xr:uid="{00000000-0005-0000-0000-0000B1530000}"/>
    <cellStyle name="Normal 2 2 9 6 2 4 2 2" xfId="38364" xr:uid="{00000000-0005-0000-0000-0000B2530000}"/>
    <cellStyle name="Normal 2 2 9 6 2 4 3" xfId="38365" xr:uid="{00000000-0005-0000-0000-0000B3530000}"/>
    <cellStyle name="Normal 2 2 9 6 2 5" xfId="8989" xr:uid="{00000000-0005-0000-0000-0000B4530000}"/>
    <cellStyle name="Normal 2 2 9 6 2 5 2" xfId="38366" xr:uid="{00000000-0005-0000-0000-0000B5530000}"/>
    <cellStyle name="Normal 2 2 9 6 2 6" xfId="8990" xr:uid="{00000000-0005-0000-0000-0000B6530000}"/>
    <cellStyle name="Normal 2 2 9 6 2 6 2" xfId="38367" xr:uid="{00000000-0005-0000-0000-0000B7530000}"/>
    <cellStyle name="Normal 2 2 9 6 2 7" xfId="38368" xr:uid="{00000000-0005-0000-0000-0000B8530000}"/>
    <cellStyle name="Normal 2 2 9 6 2 7 2" xfId="38369" xr:uid="{00000000-0005-0000-0000-0000B9530000}"/>
    <cellStyle name="Normal 2 2 9 6 2 8" xfId="38370" xr:uid="{00000000-0005-0000-0000-0000BA530000}"/>
    <cellStyle name="Normal 2 2 9 6 2 9" xfId="38371" xr:uid="{00000000-0005-0000-0000-0000BB530000}"/>
    <cellStyle name="Normal 2 2 9 6 3" xfId="8991" xr:uid="{00000000-0005-0000-0000-0000BC530000}"/>
    <cellStyle name="Normal 2 2 9 6 3 2" xfId="8992" xr:uid="{00000000-0005-0000-0000-0000BD530000}"/>
    <cellStyle name="Normal 2 2 9 6 3 2 2" xfId="8993" xr:uid="{00000000-0005-0000-0000-0000BE530000}"/>
    <cellStyle name="Normal 2 2 9 6 3 2 2 2" xfId="38372" xr:uid="{00000000-0005-0000-0000-0000BF530000}"/>
    <cellStyle name="Normal 2 2 9 6 3 2 3" xfId="8994" xr:uid="{00000000-0005-0000-0000-0000C0530000}"/>
    <cellStyle name="Normal 2 2 9 6 3 2 3 2" xfId="38373" xr:uid="{00000000-0005-0000-0000-0000C1530000}"/>
    <cellStyle name="Normal 2 2 9 6 3 2 4" xfId="38374" xr:uid="{00000000-0005-0000-0000-0000C2530000}"/>
    <cellStyle name="Normal 2 2 9 6 3 3" xfId="8995" xr:uid="{00000000-0005-0000-0000-0000C3530000}"/>
    <cellStyle name="Normal 2 2 9 6 3 3 2" xfId="38375" xr:uid="{00000000-0005-0000-0000-0000C4530000}"/>
    <cellStyle name="Normal 2 2 9 6 3 4" xfId="8996" xr:uid="{00000000-0005-0000-0000-0000C5530000}"/>
    <cellStyle name="Normal 2 2 9 6 3 4 2" xfId="38376" xr:uid="{00000000-0005-0000-0000-0000C6530000}"/>
    <cellStyle name="Normal 2 2 9 6 3 5" xfId="8997" xr:uid="{00000000-0005-0000-0000-0000C7530000}"/>
    <cellStyle name="Normal 2 2 9 6 3 5 2" xfId="38377" xr:uid="{00000000-0005-0000-0000-0000C8530000}"/>
    <cellStyle name="Normal 2 2 9 6 3 6" xfId="38378" xr:uid="{00000000-0005-0000-0000-0000C9530000}"/>
    <cellStyle name="Normal 2 2 9 6 3 6 2" xfId="38379" xr:uid="{00000000-0005-0000-0000-0000CA530000}"/>
    <cellStyle name="Normal 2 2 9 6 3 7" xfId="38380" xr:uid="{00000000-0005-0000-0000-0000CB530000}"/>
    <cellStyle name="Normal 2 2 9 6 4" xfId="8998" xr:uid="{00000000-0005-0000-0000-0000CC530000}"/>
    <cellStyle name="Normal 2 2 9 6 4 2" xfId="8999" xr:uid="{00000000-0005-0000-0000-0000CD530000}"/>
    <cellStyle name="Normal 2 2 9 6 4 2 2" xfId="38381" xr:uid="{00000000-0005-0000-0000-0000CE530000}"/>
    <cellStyle name="Normal 2 2 9 6 4 3" xfId="9000" xr:uid="{00000000-0005-0000-0000-0000CF530000}"/>
    <cellStyle name="Normal 2 2 9 6 4 3 2" xfId="38382" xr:uid="{00000000-0005-0000-0000-0000D0530000}"/>
    <cellStyle name="Normal 2 2 9 6 4 4" xfId="38383" xr:uid="{00000000-0005-0000-0000-0000D1530000}"/>
    <cellStyle name="Normal 2 2 9 6 5" xfId="9001" xr:uid="{00000000-0005-0000-0000-0000D2530000}"/>
    <cellStyle name="Normal 2 2 9 6 5 2" xfId="9002" xr:uid="{00000000-0005-0000-0000-0000D3530000}"/>
    <cellStyle name="Normal 2 2 9 6 5 2 2" xfId="38384" xr:uid="{00000000-0005-0000-0000-0000D4530000}"/>
    <cellStyle name="Normal 2 2 9 6 5 3" xfId="38385" xr:uid="{00000000-0005-0000-0000-0000D5530000}"/>
    <cellStyle name="Normal 2 2 9 6 6" xfId="9003" xr:uid="{00000000-0005-0000-0000-0000D6530000}"/>
    <cellStyle name="Normal 2 2 9 6 6 2" xfId="38386" xr:uid="{00000000-0005-0000-0000-0000D7530000}"/>
    <cellStyle name="Normal 2 2 9 6 7" xfId="9004" xr:uid="{00000000-0005-0000-0000-0000D8530000}"/>
    <cellStyle name="Normal 2 2 9 6 7 2" xfId="38387" xr:uid="{00000000-0005-0000-0000-0000D9530000}"/>
    <cellStyle name="Normal 2 2 9 6 8" xfId="38388" xr:uid="{00000000-0005-0000-0000-0000DA530000}"/>
    <cellStyle name="Normal 2 2 9 6 8 2" xfId="38389" xr:uid="{00000000-0005-0000-0000-0000DB530000}"/>
    <cellStyle name="Normal 2 2 9 6 9" xfId="38390" xr:uid="{00000000-0005-0000-0000-0000DC530000}"/>
    <cellStyle name="Normal 2 2 9 7" xfId="9005" xr:uid="{00000000-0005-0000-0000-0000DD530000}"/>
    <cellStyle name="Normal 2 2 9 7 10" xfId="38391" xr:uid="{00000000-0005-0000-0000-0000DE530000}"/>
    <cellStyle name="Normal 2 2 9 7 11" xfId="38392" xr:uid="{00000000-0005-0000-0000-0000DF530000}"/>
    <cellStyle name="Normal 2 2 9 7 2" xfId="9006" xr:uid="{00000000-0005-0000-0000-0000E0530000}"/>
    <cellStyle name="Normal 2 2 9 7 2 10" xfId="38393" xr:uid="{00000000-0005-0000-0000-0000E1530000}"/>
    <cellStyle name="Normal 2 2 9 7 2 2" xfId="9007" xr:uid="{00000000-0005-0000-0000-0000E2530000}"/>
    <cellStyle name="Normal 2 2 9 7 2 2 2" xfId="9008" xr:uid="{00000000-0005-0000-0000-0000E3530000}"/>
    <cellStyle name="Normal 2 2 9 7 2 2 2 2" xfId="9009" xr:uid="{00000000-0005-0000-0000-0000E4530000}"/>
    <cellStyle name="Normal 2 2 9 7 2 2 2 2 2" xfId="38394" xr:uid="{00000000-0005-0000-0000-0000E5530000}"/>
    <cellStyle name="Normal 2 2 9 7 2 2 2 3" xfId="9010" xr:uid="{00000000-0005-0000-0000-0000E6530000}"/>
    <cellStyle name="Normal 2 2 9 7 2 2 2 3 2" xfId="38395" xr:uid="{00000000-0005-0000-0000-0000E7530000}"/>
    <cellStyle name="Normal 2 2 9 7 2 2 2 4" xfId="38396" xr:uid="{00000000-0005-0000-0000-0000E8530000}"/>
    <cellStyle name="Normal 2 2 9 7 2 2 3" xfId="9011" xr:uid="{00000000-0005-0000-0000-0000E9530000}"/>
    <cellStyle name="Normal 2 2 9 7 2 2 3 2" xfId="38397" xr:uid="{00000000-0005-0000-0000-0000EA530000}"/>
    <cellStyle name="Normal 2 2 9 7 2 2 4" xfId="9012" xr:uid="{00000000-0005-0000-0000-0000EB530000}"/>
    <cellStyle name="Normal 2 2 9 7 2 2 4 2" xfId="38398" xr:uid="{00000000-0005-0000-0000-0000EC530000}"/>
    <cellStyle name="Normal 2 2 9 7 2 2 5" xfId="9013" xr:uid="{00000000-0005-0000-0000-0000ED530000}"/>
    <cellStyle name="Normal 2 2 9 7 2 2 5 2" xfId="38399" xr:uid="{00000000-0005-0000-0000-0000EE530000}"/>
    <cellStyle name="Normal 2 2 9 7 2 2 6" xfId="38400" xr:uid="{00000000-0005-0000-0000-0000EF530000}"/>
    <cellStyle name="Normal 2 2 9 7 2 2 6 2" xfId="38401" xr:uid="{00000000-0005-0000-0000-0000F0530000}"/>
    <cellStyle name="Normal 2 2 9 7 2 2 7" xfId="38402" xr:uid="{00000000-0005-0000-0000-0000F1530000}"/>
    <cellStyle name="Normal 2 2 9 7 2 3" xfId="9014" xr:uid="{00000000-0005-0000-0000-0000F2530000}"/>
    <cellStyle name="Normal 2 2 9 7 2 3 2" xfId="9015" xr:uid="{00000000-0005-0000-0000-0000F3530000}"/>
    <cellStyle name="Normal 2 2 9 7 2 3 2 2" xfId="38403" xr:uid="{00000000-0005-0000-0000-0000F4530000}"/>
    <cellStyle name="Normal 2 2 9 7 2 3 3" xfId="9016" xr:uid="{00000000-0005-0000-0000-0000F5530000}"/>
    <cellStyle name="Normal 2 2 9 7 2 3 3 2" xfId="38404" xr:uid="{00000000-0005-0000-0000-0000F6530000}"/>
    <cellStyle name="Normal 2 2 9 7 2 3 4" xfId="38405" xr:uid="{00000000-0005-0000-0000-0000F7530000}"/>
    <cellStyle name="Normal 2 2 9 7 2 4" xfId="9017" xr:uid="{00000000-0005-0000-0000-0000F8530000}"/>
    <cellStyle name="Normal 2 2 9 7 2 4 2" xfId="9018" xr:uid="{00000000-0005-0000-0000-0000F9530000}"/>
    <cellStyle name="Normal 2 2 9 7 2 4 2 2" xfId="38406" xr:uid="{00000000-0005-0000-0000-0000FA530000}"/>
    <cellStyle name="Normal 2 2 9 7 2 4 3" xfId="38407" xr:uid="{00000000-0005-0000-0000-0000FB530000}"/>
    <cellStyle name="Normal 2 2 9 7 2 5" xfId="9019" xr:uid="{00000000-0005-0000-0000-0000FC530000}"/>
    <cellStyle name="Normal 2 2 9 7 2 5 2" xfId="38408" xr:uid="{00000000-0005-0000-0000-0000FD530000}"/>
    <cellStyle name="Normal 2 2 9 7 2 6" xfId="9020" xr:uid="{00000000-0005-0000-0000-0000FE530000}"/>
    <cellStyle name="Normal 2 2 9 7 2 6 2" xfId="38409" xr:uid="{00000000-0005-0000-0000-0000FF530000}"/>
    <cellStyle name="Normal 2 2 9 7 2 7" xfId="38410" xr:uid="{00000000-0005-0000-0000-000000540000}"/>
    <cellStyle name="Normal 2 2 9 7 2 7 2" xfId="38411" xr:uid="{00000000-0005-0000-0000-000001540000}"/>
    <cellStyle name="Normal 2 2 9 7 2 8" xfId="38412" xr:uid="{00000000-0005-0000-0000-000002540000}"/>
    <cellStyle name="Normal 2 2 9 7 2 9" xfId="38413" xr:uid="{00000000-0005-0000-0000-000003540000}"/>
    <cellStyle name="Normal 2 2 9 7 3" xfId="9021" xr:uid="{00000000-0005-0000-0000-000004540000}"/>
    <cellStyle name="Normal 2 2 9 7 3 2" xfId="9022" xr:uid="{00000000-0005-0000-0000-000005540000}"/>
    <cellStyle name="Normal 2 2 9 7 3 2 2" xfId="9023" xr:uid="{00000000-0005-0000-0000-000006540000}"/>
    <cellStyle name="Normal 2 2 9 7 3 2 2 2" xfId="38414" xr:uid="{00000000-0005-0000-0000-000007540000}"/>
    <cellStyle name="Normal 2 2 9 7 3 2 3" xfId="9024" xr:uid="{00000000-0005-0000-0000-000008540000}"/>
    <cellStyle name="Normal 2 2 9 7 3 2 3 2" xfId="38415" xr:uid="{00000000-0005-0000-0000-000009540000}"/>
    <cellStyle name="Normal 2 2 9 7 3 2 4" xfId="38416" xr:uid="{00000000-0005-0000-0000-00000A540000}"/>
    <cellStyle name="Normal 2 2 9 7 3 3" xfId="9025" xr:uid="{00000000-0005-0000-0000-00000B540000}"/>
    <cellStyle name="Normal 2 2 9 7 3 3 2" xfId="38417" xr:uid="{00000000-0005-0000-0000-00000C540000}"/>
    <cellStyle name="Normal 2 2 9 7 3 4" xfId="9026" xr:uid="{00000000-0005-0000-0000-00000D540000}"/>
    <cellStyle name="Normal 2 2 9 7 3 4 2" xfId="38418" xr:uid="{00000000-0005-0000-0000-00000E540000}"/>
    <cellStyle name="Normal 2 2 9 7 3 5" xfId="9027" xr:uid="{00000000-0005-0000-0000-00000F540000}"/>
    <cellStyle name="Normal 2 2 9 7 3 5 2" xfId="38419" xr:uid="{00000000-0005-0000-0000-000010540000}"/>
    <cellStyle name="Normal 2 2 9 7 3 6" xfId="38420" xr:uid="{00000000-0005-0000-0000-000011540000}"/>
    <cellStyle name="Normal 2 2 9 7 3 6 2" xfId="38421" xr:uid="{00000000-0005-0000-0000-000012540000}"/>
    <cellStyle name="Normal 2 2 9 7 3 7" xfId="38422" xr:uid="{00000000-0005-0000-0000-000013540000}"/>
    <cellStyle name="Normal 2 2 9 7 4" xfId="9028" xr:uid="{00000000-0005-0000-0000-000014540000}"/>
    <cellStyle name="Normal 2 2 9 7 4 2" xfId="9029" xr:uid="{00000000-0005-0000-0000-000015540000}"/>
    <cellStyle name="Normal 2 2 9 7 4 2 2" xfId="38423" xr:uid="{00000000-0005-0000-0000-000016540000}"/>
    <cellStyle name="Normal 2 2 9 7 4 3" xfId="9030" xr:uid="{00000000-0005-0000-0000-000017540000}"/>
    <cellStyle name="Normal 2 2 9 7 4 3 2" xfId="38424" xr:uid="{00000000-0005-0000-0000-000018540000}"/>
    <cellStyle name="Normal 2 2 9 7 4 4" xfId="38425" xr:uid="{00000000-0005-0000-0000-000019540000}"/>
    <cellStyle name="Normal 2 2 9 7 5" xfId="9031" xr:uid="{00000000-0005-0000-0000-00001A540000}"/>
    <cellStyle name="Normal 2 2 9 7 5 2" xfId="9032" xr:uid="{00000000-0005-0000-0000-00001B540000}"/>
    <cellStyle name="Normal 2 2 9 7 5 2 2" xfId="38426" xr:uid="{00000000-0005-0000-0000-00001C540000}"/>
    <cellStyle name="Normal 2 2 9 7 5 3" xfId="38427" xr:uid="{00000000-0005-0000-0000-00001D540000}"/>
    <cellStyle name="Normal 2 2 9 7 6" xfId="9033" xr:uid="{00000000-0005-0000-0000-00001E540000}"/>
    <cellStyle name="Normal 2 2 9 7 6 2" xfId="38428" xr:uid="{00000000-0005-0000-0000-00001F540000}"/>
    <cellStyle name="Normal 2 2 9 7 7" xfId="9034" xr:uid="{00000000-0005-0000-0000-000020540000}"/>
    <cellStyle name="Normal 2 2 9 7 7 2" xfId="38429" xr:uid="{00000000-0005-0000-0000-000021540000}"/>
    <cellStyle name="Normal 2 2 9 7 8" xfId="38430" xr:uid="{00000000-0005-0000-0000-000022540000}"/>
    <cellStyle name="Normal 2 2 9 7 8 2" xfId="38431" xr:uid="{00000000-0005-0000-0000-000023540000}"/>
    <cellStyle name="Normal 2 2 9 7 9" xfId="38432" xr:uid="{00000000-0005-0000-0000-000024540000}"/>
    <cellStyle name="Normal 2 2 9 8" xfId="9035" xr:uid="{00000000-0005-0000-0000-000025540000}"/>
    <cellStyle name="Normal 2 2 9 8 10" xfId="38433" xr:uid="{00000000-0005-0000-0000-000026540000}"/>
    <cellStyle name="Normal 2 2 9 8 11" xfId="38434" xr:uid="{00000000-0005-0000-0000-000027540000}"/>
    <cellStyle name="Normal 2 2 9 8 2" xfId="9036" xr:uid="{00000000-0005-0000-0000-000028540000}"/>
    <cellStyle name="Normal 2 2 9 8 2 10" xfId="38435" xr:uid="{00000000-0005-0000-0000-000029540000}"/>
    <cellStyle name="Normal 2 2 9 8 2 2" xfId="9037" xr:uid="{00000000-0005-0000-0000-00002A540000}"/>
    <cellStyle name="Normal 2 2 9 8 2 2 2" xfId="9038" xr:uid="{00000000-0005-0000-0000-00002B540000}"/>
    <cellStyle name="Normal 2 2 9 8 2 2 2 2" xfId="9039" xr:uid="{00000000-0005-0000-0000-00002C540000}"/>
    <cellStyle name="Normal 2 2 9 8 2 2 2 2 2" xfId="38436" xr:uid="{00000000-0005-0000-0000-00002D540000}"/>
    <cellStyle name="Normal 2 2 9 8 2 2 2 3" xfId="9040" xr:uid="{00000000-0005-0000-0000-00002E540000}"/>
    <cellStyle name="Normal 2 2 9 8 2 2 2 3 2" xfId="38437" xr:uid="{00000000-0005-0000-0000-00002F540000}"/>
    <cellStyle name="Normal 2 2 9 8 2 2 2 4" xfId="38438" xr:uid="{00000000-0005-0000-0000-000030540000}"/>
    <cellStyle name="Normal 2 2 9 8 2 2 3" xfId="9041" xr:uid="{00000000-0005-0000-0000-000031540000}"/>
    <cellStyle name="Normal 2 2 9 8 2 2 3 2" xfId="38439" xr:uid="{00000000-0005-0000-0000-000032540000}"/>
    <cellStyle name="Normal 2 2 9 8 2 2 4" xfId="9042" xr:uid="{00000000-0005-0000-0000-000033540000}"/>
    <cellStyle name="Normal 2 2 9 8 2 2 4 2" xfId="38440" xr:uid="{00000000-0005-0000-0000-000034540000}"/>
    <cellStyle name="Normal 2 2 9 8 2 2 5" xfId="9043" xr:uid="{00000000-0005-0000-0000-000035540000}"/>
    <cellStyle name="Normal 2 2 9 8 2 2 5 2" xfId="38441" xr:uid="{00000000-0005-0000-0000-000036540000}"/>
    <cellStyle name="Normal 2 2 9 8 2 2 6" xfId="38442" xr:uid="{00000000-0005-0000-0000-000037540000}"/>
    <cellStyle name="Normal 2 2 9 8 2 2 6 2" xfId="38443" xr:uid="{00000000-0005-0000-0000-000038540000}"/>
    <cellStyle name="Normal 2 2 9 8 2 2 7" xfId="38444" xr:uid="{00000000-0005-0000-0000-000039540000}"/>
    <cellStyle name="Normal 2 2 9 8 2 3" xfId="9044" xr:uid="{00000000-0005-0000-0000-00003A540000}"/>
    <cellStyle name="Normal 2 2 9 8 2 3 2" xfId="9045" xr:uid="{00000000-0005-0000-0000-00003B540000}"/>
    <cellStyle name="Normal 2 2 9 8 2 3 2 2" xfId="38445" xr:uid="{00000000-0005-0000-0000-00003C540000}"/>
    <cellStyle name="Normal 2 2 9 8 2 3 3" xfId="9046" xr:uid="{00000000-0005-0000-0000-00003D540000}"/>
    <cellStyle name="Normal 2 2 9 8 2 3 3 2" xfId="38446" xr:uid="{00000000-0005-0000-0000-00003E540000}"/>
    <cellStyle name="Normal 2 2 9 8 2 3 4" xfId="38447" xr:uid="{00000000-0005-0000-0000-00003F540000}"/>
    <cellStyle name="Normal 2 2 9 8 2 4" xfId="9047" xr:uid="{00000000-0005-0000-0000-000040540000}"/>
    <cellStyle name="Normal 2 2 9 8 2 4 2" xfId="9048" xr:uid="{00000000-0005-0000-0000-000041540000}"/>
    <cellStyle name="Normal 2 2 9 8 2 4 2 2" xfId="38448" xr:uid="{00000000-0005-0000-0000-000042540000}"/>
    <cellStyle name="Normal 2 2 9 8 2 4 3" xfId="38449" xr:uid="{00000000-0005-0000-0000-000043540000}"/>
    <cellStyle name="Normal 2 2 9 8 2 5" xfId="9049" xr:uid="{00000000-0005-0000-0000-000044540000}"/>
    <cellStyle name="Normal 2 2 9 8 2 5 2" xfId="38450" xr:uid="{00000000-0005-0000-0000-000045540000}"/>
    <cellStyle name="Normal 2 2 9 8 2 6" xfId="9050" xr:uid="{00000000-0005-0000-0000-000046540000}"/>
    <cellStyle name="Normal 2 2 9 8 2 6 2" xfId="38451" xr:uid="{00000000-0005-0000-0000-000047540000}"/>
    <cellStyle name="Normal 2 2 9 8 2 7" xfId="38452" xr:uid="{00000000-0005-0000-0000-000048540000}"/>
    <cellStyle name="Normal 2 2 9 8 2 7 2" xfId="38453" xr:uid="{00000000-0005-0000-0000-000049540000}"/>
    <cellStyle name="Normal 2 2 9 8 2 8" xfId="38454" xr:uid="{00000000-0005-0000-0000-00004A540000}"/>
    <cellStyle name="Normal 2 2 9 8 2 9" xfId="38455" xr:uid="{00000000-0005-0000-0000-00004B540000}"/>
    <cellStyle name="Normal 2 2 9 8 3" xfId="9051" xr:uid="{00000000-0005-0000-0000-00004C540000}"/>
    <cellStyle name="Normal 2 2 9 8 3 2" xfId="9052" xr:uid="{00000000-0005-0000-0000-00004D540000}"/>
    <cellStyle name="Normal 2 2 9 8 3 2 2" xfId="9053" xr:uid="{00000000-0005-0000-0000-00004E540000}"/>
    <cellStyle name="Normal 2 2 9 8 3 2 2 2" xfId="38456" xr:uid="{00000000-0005-0000-0000-00004F540000}"/>
    <cellStyle name="Normal 2 2 9 8 3 2 3" xfId="9054" xr:uid="{00000000-0005-0000-0000-000050540000}"/>
    <cellStyle name="Normal 2 2 9 8 3 2 3 2" xfId="38457" xr:uid="{00000000-0005-0000-0000-000051540000}"/>
    <cellStyle name="Normal 2 2 9 8 3 2 4" xfId="38458" xr:uid="{00000000-0005-0000-0000-000052540000}"/>
    <cellStyle name="Normal 2 2 9 8 3 3" xfId="9055" xr:uid="{00000000-0005-0000-0000-000053540000}"/>
    <cellStyle name="Normal 2 2 9 8 3 3 2" xfId="38459" xr:uid="{00000000-0005-0000-0000-000054540000}"/>
    <cellStyle name="Normal 2 2 9 8 3 4" xfId="9056" xr:uid="{00000000-0005-0000-0000-000055540000}"/>
    <cellStyle name="Normal 2 2 9 8 3 4 2" xfId="38460" xr:uid="{00000000-0005-0000-0000-000056540000}"/>
    <cellStyle name="Normal 2 2 9 8 3 5" xfId="9057" xr:uid="{00000000-0005-0000-0000-000057540000}"/>
    <cellStyle name="Normal 2 2 9 8 3 5 2" xfId="38461" xr:uid="{00000000-0005-0000-0000-000058540000}"/>
    <cellStyle name="Normal 2 2 9 8 3 6" xfId="38462" xr:uid="{00000000-0005-0000-0000-000059540000}"/>
    <cellStyle name="Normal 2 2 9 8 3 6 2" xfId="38463" xr:uid="{00000000-0005-0000-0000-00005A540000}"/>
    <cellStyle name="Normal 2 2 9 8 3 7" xfId="38464" xr:uid="{00000000-0005-0000-0000-00005B540000}"/>
    <cellStyle name="Normal 2 2 9 8 4" xfId="9058" xr:uid="{00000000-0005-0000-0000-00005C540000}"/>
    <cellStyle name="Normal 2 2 9 8 4 2" xfId="9059" xr:uid="{00000000-0005-0000-0000-00005D540000}"/>
    <cellStyle name="Normal 2 2 9 8 4 2 2" xfId="38465" xr:uid="{00000000-0005-0000-0000-00005E540000}"/>
    <cellStyle name="Normal 2 2 9 8 4 3" xfId="9060" xr:uid="{00000000-0005-0000-0000-00005F540000}"/>
    <cellStyle name="Normal 2 2 9 8 4 3 2" xfId="38466" xr:uid="{00000000-0005-0000-0000-000060540000}"/>
    <cellStyle name="Normal 2 2 9 8 4 4" xfId="38467" xr:uid="{00000000-0005-0000-0000-000061540000}"/>
    <cellStyle name="Normal 2 2 9 8 5" xfId="9061" xr:uid="{00000000-0005-0000-0000-000062540000}"/>
    <cellStyle name="Normal 2 2 9 8 5 2" xfId="9062" xr:uid="{00000000-0005-0000-0000-000063540000}"/>
    <cellStyle name="Normal 2 2 9 8 5 2 2" xfId="38468" xr:uid="{00000000-0005-0000-0000-000064540000}"/>
    <cellStyle name="Normal 2 2 9 8 5 3" xfId="38469" xr:uid="{00000000-0005-0000-0000-000065540000}"/>
    <cellStyle name="Normal 2 2 9 8 6" xfId="9063" xr:uid="{00000000-0005-0000-0000-000066540000}"/>
    <cellStyle name="Normal 2 2 9 8 6 2" xfId="38470" xr:uid="{00000000-0005-0000-0000-000067540000}"/>
    <cellStyle name="Normal 2 2 9 8 7" xfId="9064" xr:uid="{00000000-0005-0000-0000-000068540000}"/>
    <cellStyle name="Normal 2 2 9 8 7 2" xfId="38471" xr:uid="{00000000-0005-0000-0000-000069540000}"/>
    <cellStyle name="Normal 2 2 9 8 8" xfId="38472" xr:uid="{00000000-0005-0000-0000-00006A540000}"/>
    <cellStyle name="Normal 2 2 9 8 8 2" xfId="38473" xr:uid="{00000000-0005-0000-0000-00006B540000}"/>
    <cellStyle name="Normal 2 2 9 8 9" xfId="38474" xr:uid="{00000000-0005-0000-0000-00006C540000}"/>
    <cellStyle name="Normal 2 2 9 9" xfId="9065" xr:uid="{00000000-0005-0000-0000-00006D540000}"/>
    <cellStyle name="Normal 2 2 9 9 10" xfId="38475" xr:uid="{00000000-0005-0000-0000-00006E540000}"/>
    <cellStyle name="Normal 2 2 9 9 11" xfId="38476" xr:uid="{00000000-0005-0000-0000-00006F540000}"/>
    <cellStyle name="Normal 2 2 9 9 2" xfId="9066" xr:uid="{00000000-0005-0000-0000-000070540000}"/>
    <cellStyle name="Normal 2 2 9 9 2 10" xfId="38477" xr:uid="{00000000-0005-0000-0000-000071540000}"/>
    <cellStyle name="Normal 2 2 9 9 2 2" xfId="9067" xr:uid="{00000000-0005-0000-0000-000072540000}"/>
    <cellStyle name="Normal 2 2 9 9 2 2 2" xfId="9068" xr:uid="{00000000-0005-0000-0000-000073540000}"/>
    <cellStyle name="Normal 2 2 9 9 2 2 2 2" xfId="9069" xr:uid="{00000000-0005-0000-0000-000074540000}"/>
    <cellStyle name="Normal 2 2 9 9 2 2 2 2 2" xfId="38478" xr:uid="{00000000-0005-0000-0000-000075540000}"/>
    <cellStyle name="Normal 2 2 9 9 2 2 2 3" xfId="9070" xr:uid="{00000000-0005-0000-0000-000076540000}"/>
    <cellStyle name="Normal 2 2 9 9 2 2 2 3 2" xfId="38479" xr:uid="{00000000-0005-0000-0000-000077540000}"/>
    <cellStyle name="Normal 2 2 9 9 2 2 2 4" xfId="38480" xr:uid="{00000000-0005-0000-0000-000078540000}"/>
    <cellStyle name="Normal 2 2 9 9 2 2 3" xfId="9071" xr:uid="{00000000-0005-0000-0000-000079540000}"/>
    <cellStyle name="Normal 2 2 9 9 2 2 3 2" xfId="38481" xr:uid="{00000000-0005-0000-0000-00007A540000}"/>
    <cellStyle name="Normal 2 2 9 9 2 2 4" xfId="9072" xr:uid="{00000000-0005-0000-0000-00007B540000}"/>
    <cellStyle name="Normal 2 2 9 9 2 2 4 2" xfId="38482" xr:uid="{00000000-0005-0000-0000-00007C540000}"/>
    <cellStyle name="Normal 2 2 9 9 2 2 5" xfId="9073" xr:uid="{00000000-0005-0000-0000-00007D540000}"/>
    <cellStyle name="Normal 2 2 9 9 2 2 5 2" xfId="38483" xr:uid="{00000000-0005-0000-0000-00007E540000}"/>
    <cellStyle name="Normal 2 2 9 9 2 2 6" xfId="38484" xr:uid="{00000000-0005-0000-0000-00007F540000}"/>
    <cellStyle name="Normal 2 2 9 9 2 2 6 2" xfId="38485" xr:uid="{00000000-0005-0000-0000-000080540000}"/>
    <cellStyle name="Normal 2 2 9 9 2 2 7" xfId="38486" xr:uid="{00000000-0005-0000-0000-000081540000}"/>
    <cellStyle name="Normal 2 2 9 9 2 3" xfId="9074" xr:uid="{00000000-0005-0000-0000-000082540000}"/>
    <cellStyle name="Normal 2 2 9 9 2 3 2" xfId="9075" xr:uid="{00000000-0005-0000-0000-000083540000}"/>
    <cellStyle name="Normal 2 2 9 9 2 3 2 2" xfId="38487" xr:uid="{00000000-0005-0000-0000-000084540000}"/>
    <cellStyle name="Normal 2 2 9 9 2 3 3" xfId="9076" xr:uid="{00000000-0005-0000-0000-000085540000}"/>
    <cellStyle name="Normal 2 2 9 9 2 3 3 2" xfId="38488" xr:uid="{00000000-0005-0000-0000-000086540000}"/>
    <cellStyle name="Normal 2 2 9 9 2 3 4" xfId="38489" xr:uid="{00000000-0005-0000-0000-000087540000}"/>
    <cellStyle name="Normal 2 2 9 9 2 4" xfId="9077" xr:uid="{00000000-0005-0000-0000-000088540000}"/>
    <cellStyle name="Normal 2 2 9 9 2 4 2" xfId="9078" xr:uid="{00000000-0005-0000-0000-000089540000}"/>
    <cellStyle name="Normal 2 2 9 9 2 4 2 2" xfId="38490" xr:uid="{00000000-0005-0000-0000-00008A540000}"/>
    <cellStyle name="Normal 2 2 9 9 2 4 3" xfId="38491" xr:uid="{00000000-0005-0000-0000-00008B540000}"/>
    <cellStyle name="Normal 2 2 9 9 2 5" xfId="9079" xr:uid="{00000000-0005-0000-0000-00008C540000}"/>
    <cellStyle name="Normal 2 2 9 9 2 5 2" xfId="38492" xr:uid="{00000000-0005-0000-0000-00008D540000}"/>
    <cellStyle name="Normal 2 2 9 9 2 6" xfId="9080" xr:uid="{00000000-0005-0000-0000-00008E540000}"/>
    <cellStyle name="Normal 2 2 9 9 2 6 2" xfId="38493" xr:uid="{00000000-0005-0000-0000-00008F540000}"/>
    <cellStyle name="Normal 2 2 9 9 2 7" xfId="38494" xr:uid="{00000000-0005-0000-0000-000090540000}"/>
    <cellStyle name="Normal 2 2 9 9 2 7 2" xfId="38495" xr:uid="{00000000-0005-0000-0000-000091540000}"/>
    <cellStyle name="Normal 2 2 9 9 2 8" xfId="38496" xr:uid="{00000000-0005-0000-0000-000092540000}"/>
    <cellStyle name="Normal 2 2 9 9 2 9" xfId="38497" xr:uid="{00000000-0005-0000-0000-000093540000}"/>
    <cellStyle name="Normal 2 2 9 9 3" xfId="9081" xr:uid="{00000000-0005-0000-0000-000094540000}"/>
    <cellStyle name="Normal 2 2 9 9 3 2" xfId="9082" xr:uid="{00000000-0005-0000-0000-000095540000}"/>
    <cellStyle name="Normal 2 2 9 9 3 2 2" xfId="9083" xr:uid="{00000000-0005-0000-0000-000096540000}"/>
    <cellStyle name="Normal 2 2 9 9 3 2 2 2" xfId="38498" xr:uid="{00000000-0005-0000-0000-000097540000}"/>
    <cellStyle name="Normal 2 2 9 9 3 2 3" xfId="9084" xr:uid="{00000000-0005-0000-0000-000098540000}"/>
    <cellStyle name="Normal 2 2 9 9 3 2 3 2" xfId="38499" xr:uid="{00000000-0005-0000-0000-000099540000}"/>
    <cellStyle name="Normal 2 2 9 9 3 2 4" xfId="38500" xr:uid="{00000000-0005-0000-0000-00009A540000}"/>
    <cellStyle name="Normal 2 2 9 9 3 3" xfId="9085" xr:uid="{00000000-0005-0000-0000-00009B540000}"/>
    <cellStyle name="Normal 2 2 9 9 3 3 2" xfId="38501" xr:uid="{00000000-0005-0000-0000-00009C540000}"/>
    <cellStyle name="Normal 2 2 9 9 3 4" xfId="9086" xr:uid="{00000000-0005-0000-0000-00009D540000}"/>
    <cellStyle name="Normal 2 2 9 9 3 4 2" xfId="38502" xr:uid="{00000000-0005-0000-0000-00009E540000}"/>
    <cellStyle name="Normal 2 2 9 9 3 5" xfId="9087" xr:uid="{00000000-0005-0000-0000-00009F540000}"/>
    <cellStyle name="Normal 2 2 9 9 3 5 2" xfId="38503" xr:uid="{00000000-0005-0000-0000-0000A0540000}"/>
    <cellStyle name="Normal 2 2 9 9 3 6" xfId="38504" xr:uid="{00000000-0005-0000-0000-0000A1540000}"/>
    <cellStyle name="Normal 2 2 9 9 3 6 2" xfId="38505" xr:uid="{00000000-0005-0000-0000-0000A2540000}"/>
    <cellStyle name="Normal 2 2 9 9 3 7" xfId="38506" xr:uid="{00000000-0005-0000-0000-0000A3540000}"/>
    <cellStyle name="Normal 2 2 9 9 4" xfId="9088" xr:uid="{00000000-0005-0000-0000-0000A4540000}"/>
    <cellStyle name="Normal 2 2 9 9 4 2" xfId="9089" xr:uid="{00000000-0005-0000-0000-0000A5540000}"/>
    <cellStyle name="Normal 2 2 9 9 4 2 2" xfId="38507" xr:uid="{00000000-0005-0000-0000-0000A6540000}"/>
    <cellStyle name="Normal 2 2 9 9 4 3" xfId="9090" xr:uid="{00000000-0005-0000-0000-0000A7540000}"/>
    <cellStyle name="Normal 2 2 9 9 4 3 2" xfId="38508" xr:uid="{00000000-0005-0000-0000-0000A8540000}"/>
    <cellStyle name="Normal 2 2 9 9 4 4" xfId="38509" xr:uid="{00000000-0005-0000-0000-0000A9540000}"/>
    <cellStyle name="Normal 2 2 9 9 5" xfId="9091" xr:uid="{00000000-0005-0000-0000-0000AA540000}"/>
    <cellStyle name="Normal 2 2 9 9 5 2" xfId="9092" xr:uid="{00000000-0005-0000-0000-0000AB540000}"/>
    <cellStyle name="Normal 2 2 9 9 5 2 2" xfId="38510" xr:uid="{00000000-0005-0000-0000-0000AC540000}"/>
    <cellStyle name="Normal 2 2 9 9 5 3" xfId="38511" xr:uid="{00000000-0005-0000-0000-0000AD540000}"/>
    <cellStyle name="Normal 2 2 9 9 6" xfId="9093" xr:uid="{00000000-0005-0000-0000-0000AE540000}"/>
    <cellStyle name="Normal 2 2 9 9 6 2" xfId="38512" xr:uid="{00000000-0005-0000-0000-0000AF540000}"/>
    <cellStyle name="Normal 2 2 9 9 7" xfId="9094" xr:uid="{00000000-0005-0000-0000-0000B0540000}"/>
    <cellStyle name="Normal 2 2 9 9 7 2" xfId="38513" xr:uid="{00000000-0005-0000-0000-0000B1540000}"/>
    <cellStyle name="Normal 2 2 9 9 8" xfId="38514" xr:uid="{00000000-0005-0000-0000-0000B2540000}"/>
    <cellStyle name="Normal 2 2 9 9 8 2" xfId="38515" xr:uid="{00000000-0005-0000-0000-0000B3540000}"/>
    <cellStyle name="Normal 2 2 9 9 9" xfId="38516" xr:uid="{00000000-0005-0000-0000-0000B4540000}"/>
    <cellStyle name="Normal 2 3" xfId="9095" xr:uid="{00000000-0005-0000-0000-0000B5540000}"/>
    <cellStyle name="Normal 2 3 10" xfId="9096" xr:uid="{00000000-0005-0000-0000-0000B6540000}"/>
    <cellStyle name="Normal 2 3 10 10" xfId="38517" xr:uid="{00000000-0005-0000-0000-0000B7540000}"/>
    <cellStyle name="Normal 2 3 10 11" xfId="38518" xr:uid="{00000000-0005-0000-0000-0000B8540000}"/>
    <cellStyle name="Normal 2 3 10 2" xfId="9097" xr:uid="{00000000-0005-0000-0000-0000B9540000}"/>
    <cellStyle name="Normal 2 3 10 2 10" xfId="38519" xr:uid="{00000000-0005-0000-0000-0000BA540000}"/>
    <cellStyle name="Normal 2 3 10 2 2" xfId="9098" xr:uid="{00000000-0005-0000-0000-0000BB540000}"/>
    <cellStyle name="Normal 2 3 10 2 2 2" xfId="9099" xr:uid="{00000000-0005-0000-0000-0000BC540000}"/>
    <cellStyle name="Normal 2 3 10 2 2 2 2" xfId="9100" xr:uid="{00000000-0005-0000-0000-0000BD540000}"/>
    <cellStyle name="Normal 2 3 10 2 2 2 2 2" xfId="38520" xr:uid="{00000000-0005-0000-0000-0000BE540000}"/>
    <cellStyle name="Normal 2 3 10 2 2 2 3" xfId="9101" xr:uid="{00000000-0005-0000-0000-0000BF540000}"/>
    <cellStyle name="Normal 2 3 10 2 2 2 3 2" xfId="38521" xr:uid="{00000000-0005-0000-0000-0000C0540000}"/>
    <cellStyle name="Normal 2 3 10 2 2 2 4" xfId="38522" xr:uid="{00000000-0005-0000-0000-0000C1540000}"/>
    <cellStyle name="Normal 2 3 10 2 2 3" xfId="9102" xr:uid="{00000000-0005-0000-0000-0000C2540000}"/>
    <cellStyle name="Normal 2 3 10 2 2 3 2" xfId="38523" xr:uid="{00000000-0005-0000-0000-0000C3540000}"/>
    <cellStyle name="Normal 2 3 10 2 2 4" xfId="9103" xr:uid="{00000000-0005-0000-0000-0000C4540000}"/>
    <cellStyle name="Normal 2 3 10 2 2 4 2" xfId="38524" xr:uid="{00000000-0005-0000-0000-0000C5540000}"/>
    <cellStyle name="Normal 2 3 10 2 2 5" xfId="9104" xr:uid="{00000000-0005-0000-0000-0000C6540000}"/>
    <cellStyle name="Normal 2 3 10 2 2 5 2" xfId="38525" xr:uid="{00000000-0005-0000-0000-0000C7540000}"/>
    <cellStyle name="Normal 2 3 10 2 2 6" xfId="38526" xr:uid="{00000000-0005-0000-0000-0000C8540000}"/>
    <cellStyle name="Normal 2 3 10 2 2 6 2" xfId="38527" xr:uid="{00000000-0005-0000-0000-0000C9540000}"/>
    <cellStyle name="Normal 2 3 10 2 2 7" xfId="38528" xr:uid="{00000000-0005-0000-0000-0000CA540000}"/>
    <cellStyle name="Normal 2 3 10 2 3" xfId="9105" xr:uid="{00000000-0005-0000-0000-0000CB540000}"/>
    <cellStyle name="Normal 2 3 10 2 3 2" xfId="9106" xr:uid="{00000000-0005-0000-0000-0000CC540000}"/>
    <cellStyle name="Normal 2 3 10 2 3 2 2" xfId="38529" xr:uid="{00000000-0005-0000-0000-0000CD540000}"/>
    <cellStyle name="Normal 2 3 10 2 3 3" xfId="9107" xr:uid="{00000000-0005-0000-0000-0000CE540000}"/>
    <cellStyle name="Normal 2 3 10 2 3 3 2" xfId="38530" xr:uid="{00000000-0005-0000-0000-0000CF540000}"/>
    <cellStyle name="Normal 2 3 10 2 3 4" xfId="38531" xr:uid="{00000000-0005-0000-0000-0000D0540000}"/>
    <cellStyle name="Normal 2 3 10 2 4" xfId="9108" xr:uid="{00000000-0005-0000-0000-0000D1540000}"/>
    <cellStyle name="Normal 2 3 10 2 4 2" xfId="9109" xr:uid="{00000000-0005-0000-0000-0000D2540000}"/>
    <cellStyle name="Normal 2 3 10 2 4 2 2" xfId="38532" xr:uid="{00000000-0005-0000-0000-0000D3540000}"/>
    <cellStyle name="Normal 2 3 10 2 4 3" xfId="38533" xr:uid="{00000000-0005-0000-0000-0000D4540000}"/>
    <cellStyle name="Normal 2 3 10 2 5" xfId="9110" xr:uid="{00000000-0005-0000-0000-0000D5540000}"/>
    <cellStyle name="Normal 2 3 10 2 5 2" xfId="38534" xr:uid="{00000000-0005-0000-0000-0000D6540000}"/>
    <cellStyle name="Normal 2 3 10 2 6" xfId="9111" xr:uid="{00000000-0005-0000-0000-0000D7540000}"/>
    <cellStyle name="Normal 2 3 10 2 6 2" xfId="38535" xr:uid="{00000000-0005-0000-0000-0000D8540000}"/>
    <cellStyle name="Normal 2 3 10 2 7" xfId="38536" xr:uid="{00000000-0005-0000-0000-0000D9540000}"/>
    <cellStyle name="Normal 2 3 10 2 7 2" xfId="38537" xr:uid="{00000000-0005-0000-0000-0000DA540000}"/>
    <cellStyle name="Normal 2 3 10 2 8" xfId="38538" xr:uid="{00000000-0005-0000-0000-0000DB540000}"/>
    <cellStyle name="Normal 2 3 10 2 9" xfId="38539" xr:uid="{00000000-0005-0000-0000-0000DC540000}"/>
    <cellStyle name="Normal 2 3 10 3" xfId="9112" xr:uid="{00000000-0005-0000-0000-0000DD540000}"/>
    <cellStyle name="Normal 2 3 10 3 2" xfId="9113" xr:uid="{00000000-0005-0000-0000-0000DE540000}"/>
    <cellStyle name="Normal 2 3 10 3 2 2" xfId="9114" xr:uid="{00000000-0005-0000-0000-0000DF540000}"/>
    <cellStyle name="Normal 2 3 10 3 2 2 2" xfId="38540" xr:uid="{00000000-0005-0000-0000-0000E0540000}"/>
    <cellStyle name="Normal 2 3 10 3 2 3" xfId="9115" xr:uid="{00000000-0005-0000-0000-0000E1540000}"/>
    <cellStyle name="Normal 2 3 10 3 2 3 2" xfId="38541" xr:uid="{00000000-0005-0000-0000-0000E2540000}"/>
    <cellStyle name="Normal 2 3 10 3 2 4" xfId="38542" xr:uid="{00000000-0005-0000-0000-0000E3540000}"/>
    <cellStyle name="Normal 2 3 10 3 3" xfId="9116" xr:uid="{00000000-0005-0000-0000-0000E4540000}"/>
    <cellStyle name="Normal 2 3 10 3 3 2" xfId="38543" xr:uid="{00000000-0005-0000-0000-0000E5540000}"/>
    <cellStyle name="Normal 2 3 10 3 4" xfId="9117" xr:uid="{00000000-0005-0000-0000-0000E6540000}"/>
    <cellStyle name="Normal 2 3 10 3 4 2" xfId="38544" xr:uid="{00000000-0005-0000-0000-0000E7540000}"/>
    <cellStyle name="Normal 2 3 10 3 5" xfId="9118" xr:uid="{00000000-0005-0000-0000-0000E8540000}"/>
    <cellStyle name="Normal 2 3 10 3 5 2" xfId="38545" xr:uid="{00000000-0005-0000-0000-0000E9540000}"/>
    <cellStyle name="Normal 2 3 10 3 6" xfId="38546" xr:uid="{00000000-0005-0000-0000-0000EA540000}"/>
    <cellStyle name="Normal 2 3 10 3 6 2" xfId="38547" xr:uid="{00000000-0005-0000-0000-0000EB540000}"/>
    <cellStyle name="Normal 2 3 10 3 7" xfId="38548" xr:uid="{00000000-0005-0000-0000-0000EC540000}"/>
    <cellStyle name="Normal 2 3 10 4" xfId="9119" xr:uid="{00000000-0005-0000-0000-0000ED540000}"/>
    <cellStyle name="Normal 2 3 10 4 2" xfId="9120" xr:uid="{00000000-0005-0000-0000-0000EE540000}"/>
    <cellStyle name="Normal 2 3 10 4 2 2" xfId="38549" xr:uid="{00000000-0005-0000-0000-0000EF540000}"/>
    <cellStyle name="Normal 2 3 10 4 3" xfId="9121" xr:uid="{00000000-0005-0000-0000-0000F0540000}"/>
    <cellStyle name="Normal 2 3 10 4 3 2" xfId="38550" xr:uid="{00000000-0005-0000-0000-0000F1540000}"/>
    <cellStyle name="Normal 2 3 10 4 4" xfId="38551" xr:uid="{00000000-0005-0000-0000-0000F2540000}"/>
    <cellStyle name="Normal 2 3 10 5" xfId="9122" xr:uid="{00000000-0005-0000-0000-0000F3540000}"/>
    <cellStyle name="Normal 2 3 10 5 2" xfId="9123" xr:uid="{00000000-0005-0000-0000-0000F4540000}"/>
    <cellStyle name="Normal 2 3 10 5 2 2" xfId="38552" xr:uid="{00000000-0005-0000-0000-0000F5540000}"/>
    <cellStyle name="Normal 2 3 10 5 3" xfId="38553" xr:uid="{00000000-0005-0000-0000-0000F6540000}"/>
    <cellStyle name="Normal 2 3 10 6" xfId="9124" xr:uid="{00000000-0005-0000-0000-0000F7540000}"/>
    <cellStyle name="Normal 2 3 10 6 2" xfId="38554" xr:uid="{00000000-0005-0000-0000-0000F8540000}"/>
    <cellStyle name="Normal 2 3 10 7" xfId="9125" xr:uid="{00000000-0005-0000-0000-0000F9540000}"/>
    <cellStyle name="Normal 2 3 10 7 2" xfId="38555" xr:uid="{00000000-0005-0000-0000-0000FA540000}"/>
    <cellStyle name="Normal 2 3 10 8" xfId="38556" xr:uid="{00000000-0005-0000-0000-0000FB540000}"/>
    <cellStyle name="Normal 2 3 10 8 2" xfId="38557" xr:uid="{00000000-0005-0000-0000-0000FC540000}"/>
    <cellStyle name="Normal 2 3 10 9" xfId="38558" xr:uid="{00000000-0005-0000-0000-0000FD540000}"/>
    <cellStyle name="Normal 2 3 11" xfId="9126" xr:uid="{00000000-0005-0000-0000-0000FE540000}"/>
    <cellStyle name="Normal 2 3 11 10" xfId="38559" xr:uid="{00000000-0005-0000-0000-0000FF540000}"/>
    <cellStyle name="Normal 2 3 11 11" xfId="38560" xr:uid="{00000000-0005-0000-0000-000000550000}"/>
    <cellStyle name="Normal 2 3 11 2" xfId="9127" xr:uid="{00000000-0005-0000-0000-000001550000}"/>
    <cellStyle name="Normal 2 3 11 2 10" xfId="38561" xr:uid="{00000000-0005-0000-0000-000002550000}"/>
    <cellStyle name="Normal 2 3 11 2 2" xfId="9128" xr:uid="{00000000-0005-0000-0000-000003550000}"/>
    <cellStyle name="Normal 2 3 11 2 2 2" xfId="9129" xr:uid="{00000000-0005-0000-0000-000004550000}"/>
    <cellStyle name="Normal 2 3 11 2 2 2 2" xfId="9130" xr:uid="{00000000-0005-0000-0000-000005550000}"/>
    <cellStyle name="Normal 2 3 11 2 2 2 2 2" xfId="38562" xr:uid="{00000000-0005-0000-0000-000006550000}"/>
    <cellStyle name="Normal 2 3 11 2 2 2 3" xfId="9131" xr:uid="{00000000-0005-0000-0000-000007550000}"/>
    <cellStyle name="Normal 2 3 11 2 2 2 3 2" xfId="38563" xr:uid="{00000000-0005-0000-0000-000008550000}"/>
    <cellStyle name="Normal 2 3 11 2 2 2 4" xfId="38564" xr:uid="{00000000-0005-0000-0000-000009550000}"/>
    <cellStyle name="Normal 2 3 11 2 2 3" xfId="9132" xr:uid="{00000000-0005-0000-0000-00000A550000}"/>
    <cellStyle name="Normal 2 3 11 2 2 3 2" xfId="38565" xr:uid="{00000000-0005-0000-0000-00000B550000}"/>
    <cellStyle name="Normal 2 3 11 2 2 4" xfId="9133" xr:uid="{00000000-0005-0000-0000-00000C550000}"/>
    <cellStyle name="Normal 2 3 11 2 2 4 2" xfId="38566" xr:uid="{00000000-0005-0000-0000-00000D550000}"/>
    <cellStyle name="Normal 2 3 11 2 2 5" xfId="9134" xr:uid="{00000000-0005-0000-0000-00000E550000}"/>
    <cellStyle name="Normal 2 3 11 2 2 5 2" xfId="38567" xr:uid="{00000000-0005-0000-0000-00000F550000}"/>
    <cellStyle name="Normal 2 3 11 2 2 6" xfId="38568" xr:uid="{00000000-0005-0000-0000-000010550000}"/>
    <cellStyle name="Normal 2 3 11 2 2 6 2" xfId="38569" xr:uid="{00000000-0005-0000-0000-000011550000}"/>
    <cellStyle name="Normal 2 3 11 2 2 7" xfId="38570" xr:uid="{00000000-0005-0000-0000-000012550000}"/>
    <cellStyle name="Normal 2 3 11 2 3" xfId="9135" xr:uid="{00000000-0005-0000-0000-000013550000}"/>
    <cellStyle name="Normal 2 3 11 2 3 2" xfId="9136" xr:uid="{00000000-0005-0000-0000-000014550000}"/>
    <cellStyle name="Normal 2 3 11 2 3 2 2" xfId="38571" xr:uid="{00000000-0005-0000-0000-000015550000}"/>
    <cellStyle name="Normal 2 3 11 2 3 3" xfId="9137" xr:uid="{00000000-0005-0000-0000-000016550000}"/>
    <cellStyle name="Normal 2 3 11 2 3 3 2" xfId="38572" xr:uid="{00000000-0005-0000-0000-000017550000}"/>
    <cellStyle name="Normal 2 3 11 2 3 4" xfId="38573" xr:uid="{00000000-0005-0000-0000-000018550000}"/>
    <cellStyle name="Normal 2 3 11 2 4" xfId="9138" xr:uid="{00000000-0005-0000-0000-000019550000}"/>
    <cellStyle name="Normal 2 3 11 2 4 2" xfId="9139" xr:uid="{00000000-0005-0000-0000-00001A550000}"/>
    <cellStyle name="Normal 2 3 11 2 4 2 2" xfId="38574" xr:uid="{00000000-0005-0000-0000-00001B550000}"/>
    <cellStyle name="Normal 2 3 11 2 4 3" xfId="38575" xr:uid="{00000000-0005-0000-0000-00001C550000}"/>
    <cellStyle name="Normal 2 3 11 2 5" xfId="9140" xr:uid="{00000000-0005-0000-0000-00001D550000}"/>
    <cellStyle name="Normal 2 3 11 2 5 2" xfId="38576" xr:uid="{00000000-0005-0000-0000-00001E550000}"/>
    <cellStyle name="Normal 2 3 11 2 6" xfId="9141" xr:uid="{00000000-0005-0000-0000-00001F550000}"/>
    <cellStyle name="Normal 2 3 11 2 6 2" xfId="38577" xr:uid="{00000000-0005-0000-0000-000020550000}"/>
    <cellStyle name="Normal 2 3 11 2 7" xfId="38578" xr:uid="{00000000-0005-0000-0000-000021550000}"/>
    <cellStyle name="Normal 2 3 11 2 7 2" xfId="38579" xr:uid="{00000000-0005-0000-0000-000022550000}"/>
    <cellStyle name="Normal 2 3 11 2 8" xfId="38580" xr:uid="{00000000-0005-0000-0000-000023550000}"/>
    <cellStyle name="Normal 2 3 11 2 9" xfId="38581" xr:uid="{00000000-0005-0000-0000-000024550000}"/>
    <cellStyle name="Normal 2 3 11 3" xfId="9142" xr:uid="{00000000-0005-0000-0000-000025550000}"/>
    <cellStyle name="Normal 2 3 11 3 2" xfId="9143" xr:uid="{00000000-0005-0000-0000-000026550000}"/>
    <cellStyle name="Normal 2 3 11 3 2 2" xfId="9144" xr:uid="{00000000-0005-0000-0000-000027550000}"/>
    <cellStyle name="Normal 2 3 11 3 2 2 2" xfId="38582" xr:uid="{00000000-0005-0000-0000-000028550000}"/>
    <cellStyle name="Normal 2 3 11 3 2 3" xfId="9145" xr:uid="{00000000-0005-0000-0000-000029550000}"/>
    <cellStyle name="Normal 2 3 11 3 2 3 2" xfId="38583" xr:uid="{00000000-0005-0000-0000-00002A550000}"/>
    <cellStyle name="Normal 2 3 11 3 2 4" xfId="38584" xr:uid="{00000000-0005-0000-0000-00002B550000}"/>
    <cellStyle name="Normal 2 3 11 3 3" xfId="9146" xr:uid="{00000000-0005-0000-0000-00002C550000}"/>
    <cellStyle name="Normal 2 3 11 3 3 2" xfId="38585" xr:uid="{00000000-0005-0000-0000-00002D550000}"/>
    <cellStyle name="Normal 2 3 11 3 4" xfId="9147" xr:uid="{00000000-0005-0000-0000-00002E550000}"/>
    <cellStyle name="Normal 2 3 11 3 4 2" xfId="38586" xr:uid="{00000000-0005-0000-0000-00002F550000}"/>
    <cellStyle name="Normal 2 3 11 3 5" xfId="9148" xr:uid="{00000000-0005-0000-0000-000030550000}"/>
    <cellStyle name="Normal 2 3 11 3 5 2" xfId="38587" xr:uid="{00000000-0005-0000-0000-000031550000}"/>
    <cellStyle name="Normal 2 3 11 3 6" xfId="38588" xr:uid="{00000000-0005-0000-0000-000032550000}"/>
    <cellStyle name="Normal 2 3 11 3 6 2" xfId="38589" xr:uid="{00000000-0005-0000-0000-000033550000}"/>
    <cellStyle name="Normal 2 3 11 3 7" xfId="38590" xr:uid="{00000000-0005-0000-0000-000034550000}"/>
    <cellStyle name="Normal 2 3 11 4" xfId="9149" xr:uid="{00000000-0005-0000-0000-000035550000}"/>
    <cellStyle name="Normal 2 3 11 4 2" xfId="9150" xr:uid="{00000000-0005-0000-0000-000036550000}"/>
    <cellStyle name="Normal 2 3 11 4 2 2" xfId="38591" xr:uid="{00000000-0005-0000-0000-000037550000}"/>
    <cellStyle name="Normal 2 3 11 4 3" xfId="9151" xr:uid="{00000000-0005-0000-0000-000038550000}"/>
    <cellStyle name="Normal 2 3 11 4 3 2" xfId="38592" xr:uid="{00000000-0005-0000-0000-000039550000}"/>
    <cellStyle name="Normal 2 3 11 4 4" xfId="38593" xr:uid="{00000000-0005-0000-0000-00003A550000}"/>
    <cellStyle name="Normal 2 3 11 5" xfId="9152" xr:uid="{00000000-0005-0000-0000-00003B550000}"/>
    <cellStyle name="Normal 2 3 11 5 2" xfId="9153" xr:uid="{00000000-0005-0000-0000-00003C550000}"/>
    <cellStyle name="Normal 2 3 11 5 2 2" xfId="38594" xr:uid="{00000000-0005-0000-0000-00003D550000}"/>
    <cellStyle name="Normal 2 3 11 5 3" xfId="38595" xr:uid="{00000000-0005-0000-0000-00003E550000}"/>
    <cellStyle name="Normal 2 3 11 6" xfId="9154" xr:uid="{00000000-0005-0000-0000-00003F550000}"/>
    <cellStyle name="Normal 2 3 11 6 2" xfId="38596" xr:uid="{00000000-0005-0000-0000-000040550000}"/>
    <cellStyle name="Normal 2 3 11 7" xfId="9155" xr:uid="{00000000-0005-0000-0000-000041550000}"/>
    <cellStyle name="Normal 2 3 11 7 2" xfId="38597" xr:uid="{00000000-0005-0000-0000-000042550000}"/>
    <cellStyle name="Normal 2 3 11 8" xfId="38598" xr:uid="{00000000-0005-0000-0000-000043550000}"/>
    <cellStyle name="Normal 2 3 11 8 2" xfId="38599" xr:uid="{00000000-0005-0000-0000-000044550000}"/>
    <cellStyle name="Normal 2 3 11 9" xfId="38600" xr:uid="{00000000-0005-0000-0000-000045550000}"/>
    <cellStyle name="Normal 2 3 12" xfId="9156" xr:uid="{00000000-0005-0000-0000-000046550000}"/>
    <cellStyle name="Normal 2 3 12 10" xfId="38601" xr:uid="{00000000-0005-0000-0000-000047550000}"/>
    <cellStyle name="Normal 2 3 12 11" xfId="38602" xr:uid="{00000000-0005-0000-0000-000048550000}"/>
    <cellStyle name="Normal 2 3 12 2" xfId="9157" xr:uid="{00000000-0005-0000-0000-000049550000}"/>
    <cellStyle name="Normal 2 3 12 2 10" xfId="38603" xr:uid="{00000000-0005-0000-0000-00004A550000}"/>
    <cellStyle name="Normal 2 3 12 2 2" xfId="9158" xr:uid="{00000000-0005-0000-0000-00004B550000}"/>
    <cellStyle name="Normal 2 3 12 2 2 2" xfId="9159" xr:uid="{00000000-0005-0000-0000-00004C550000}"/>
    <cellStyle name="Normal 2 3 12 2 2 2 2" xfId="9160" xr:uid="{00000000-0005-0000-0000-00004D550000}"/>
    <cellStyle name="Normal 2 3 12 2 2 2 2 2" xfId="38604" xr:uid="{00000000-0005-0000-0000-00004E550000}"/>
    <cellStyle name="Normal 2 3 12 2 2 2 3" xfId="9161" xr:uid="{00000000-0005-0000-0000-00004F550000}"/>
    <cellStyle name="Normal 2 3 12 2 2 2 3 2" xfId="38605" xr:uid="{00000000-0005-0000-0000-000050550000}"/>
    <cellStyle name="Normal 2 3 12 2 2 2 4" xfId="38606" xr:uid="{00000000-0005-0000-0000-000051550000}"/>
    <cellStyle name="Normal 2 3 12 2 2 3" xfId="9162" xr:uid="{00000000-0005-0000-0000-000052550000}"/>
    <cellStyle name="Normal 2 3 12 2 2 3 2" xfId="38607" xr:uid="{00000000-0005-0000-0000-000053550000}"/>
    <cellStyle name="Normal 2 3 12 2 2 4" xfId="9163" xr:uid="{00000000-0005-0000-0000-000054550000}"/>
    <cellStyle name="Normal 2 3 12 2 2 4 2" xfId="38608" xr:uid="{00000000-0005-0000-0000-000055550000}"/>
    <cellStyle name="Normal 2 3 12 2 2 5" xfId="9164" xr:uid="{00000000-0005-0000-0000-000056550000}"/>
    <cellStyle name="Normal 2 3 12 2 2 5 2" xfId="38609" xr:uid="{00000000-0005-0000-0000-000057550000}"/>
    <cellStyle name="Normal 2 3 12 2 2 6" xfId="38610" xr:uid="{00000000-0005-0000-0000-000058550000}"/>
    <cellStyle name="Normal 2 3 12 2 2 6 2" xfId="38611" xr:uid="{00000000-0005-0000-0000-000059550000}"/>
    <cellStyle name="Normal 2 3 12 2 2 7" xfId="38612" xr:uid="{00000000-0005-0000-0000-00005A550000}"/>
    <cellStyle name="Normal 2 3 12 2 3" xfId="9165" xr:uid="{00000000-0005-0000-0000-00005B550000}"/>
    <cellStyle name="Normal 2 3 12 2 3 2" xfId="9166" xr:uid="{00000000-0005-0000-0000-00005C550000}"/>
    <cellStyle name="Normal 2 3 12 2 3 2 2" xfId="38613" xr:uid="{00000000-0005-0000-0000-00005D550000}"/>
    <cellStyle name="Normal 2 3 12 2 3 3" xfId="9167" xr:uid="{00000000-0005-0000-0000-00005E550000}"/>
    <cellStyle name="Normal 2 3 12 2 3 3 2" xfId="38614" xr:uid="{00000000-0005-0000-0000-00005F550000}"/>
    <cellStyle name="Normal 2 3 12 2 3 4" xfId="38615" xr:uid="{00000000-0005-0000-0000-000060550000}"/>
    <cellStyle name="Normal 2 3 12 2 4" xfId="9168" xr:uid="{00000000-0005-0000-0000-000061550000}"/>
    <cellStyle name="Normal 2 3 12 2 4 2" xfId="9169" xr:uid="{00000000-0005-0000-0000-000062550000}"/>
    <cellStyle name="Normal 2 3 12 2 4 2 2" xfId="38616" xr:uid="{00000000-0005-0000-0000-000063550000}"/>
    <cellStyle name="Normal 2 3 12 2 4 3" xfId="38617" xr:uid="{00000000-0005-0000-0000-000064550000}"/>
    <cellStyle name="Normal 2 3 12 2 5" xfId="9170" xr:uid="{00000000-0005-0000-0000-000065550000}"/>
    <cellStyle name="Normal 2 3 12 2 5 2" xfId="38618" xr:uid="{00000000-0005-0000-0000-000066550000}"/>
    <cellStyle name="Normal 2 3 12 2 6" xfId="9171" xr:uid="{00000000-0005-0000-0000-000067550000}"/>
    <cellStyle name="Normal 2 3 12 2 6 2" xfId="38619" xr:uid="{00000000-0005-0000-0000-000068550000}"/>
    <cellStyle name="Normal 2 3 12 2 7" xfId="38620" xr:uid="{00000000-0005-0000-0000-000069550000}"/>
    <cellStyle name="Normal 2 3 12 2 7 2" xfId="38621" xr:uid="{00000000-0005-0000-0000-00006A550000}"/>
    <cellStyle name="Normal 2 3 12 2 8" xfId="38622" xr:uid="{00000000-0005-0000-0000-00006B550000}"/>
    <cellStyle name="Normal 2 3 12 2 9" xfId="38623" xr:uid="{00000000-0005-0000-0000-00006C550000}"/>
    <cellStyle name="Normal 2 3 12 3" xfId="9172" xr:uid="{00000000-0005-0000-0000-00006D550000}"/>
    <cellStyle name="Normal 2 3 12 3 2" xfId="9173" xr:uid="{00000000-0005-0000-0000-00006E550000}"/>
    <cellStyle name="Normal 2 3 12 3 2 2" xfId="9174" xr:uid="{00000000-0005-0000-0000-00006F550000}"/>
    <cellStyle name="Normal 2 3 12 3 2 2 2" xfId="38624" xr:uid="{00000000-0005-0000-0000-000070550000}"/>
    <cellStyle name="Normal 2 3 12 3 2 3" xfId="9175" xr:uid="{00000000-0005-0000-0000-000071550000}"/>
    <cellStyle name="Normal 2 3 12 3 2 3 2" xfId="38625" xr:uid="{00000000-0005-0000-0000-000072550000}"/>
    <cellStyle name="Normal 2 3 12 3 2 4" xfId="38626" xr:uid="{00000000-0005-0000-0000-000073550000}"/>
    <cellStyle name="Normal 2 3 12 3 3" xfId="9176" xr:uid="{00000000-0005-0000-0000-000074550000}"/>
    <cellStyle name="Normal 2 3 12 3 3 2" xfId="38627" xr:uid="{00000000-0005-0000-0000-000075550000}"/>
    <cellStyle name="Normal 2 3 12 3 4" xfId="9177" xr:uid="{00000000-0005-0000-0000-000076550000}"/>
    <cellStyle name="Normal 2 3 12 3 4 2" xfId="38628" xr:uid="{00000000-0005-0000-0000-000077550000}"/>
    <cellStyle name="Normal 2 3 12 3 5" xfId="9178" xr:uid="{00000000-0005-0000-0000-000078550000}"/>
    <cellStyle name="Normal 2 3 12 3 5 2" xfId="38629" xr:uid="{00000000-0005-0000-0000-000079550000}"/>
    <cellStyle name="Normal 2 3 12 3 6" xfId="38630" xr:uid="{00000000-0005-0000-0000-00007A550000}"/>
    <cellStyle name="Normal 2 3 12 3 6 2" xfId="38631" xr:uid="{00000000-0005-0000-0000-00007B550000}"/>
    <cellStyle name="Normal 2 3 12 3 7" xfId="38632" xr:uid="{00000000-0005-0000-0000-00007C550000}"/>
    <cellStyle name="Normal 2 3 12 4" xfId="9179" xr:uid="{00000000-0005-0000-0000-00007D550000}"/>
    <cellStyle name="Normal 2 3 12 4 2" xfId="9180" xr:uid="{00000000-0005-0000-0000-00007E550000}"/>
    <cellStyle name="Normal 2 3 12 4 2 2" xfId="38633" xr:uid="{00000000-0005-0000-0000-00007F550000}"/>
    <cellStyle name="Normal 2 3 12 4 3" xfId="9181" xr:uid="{00000000-0005-0000-0000-000080550000}"/>
    <cellStyle name="Normal 2 3 12 4 3 2" xfId="38634" xr:uid="{00000000-0005-0000-0000-000081550000}"/>
    <cellStyle name="Normal 2 3 12 4 4" xfId="38635" xr:uid="{00000000-0005-0000-0000-000082550000}"/>
    <cellStyle name="Normal 2 3 12 5" xfId="9182" xr:uid="{00000000-0005-0000-0000-000083550000}"/>
    <cellStyle name="Normal 2 3 12 5 2" xfId="9183" xr:uid="{00000000-0005-0000-0000-000084550000}"/>
    <cellStyle name="Normal 2 3 12 5 2 2" xfId="38636" xr:uid="{00000000-0005-0000-0000-000085550000}"/>
    <cellStyle name="Normal 2 3 12 5 3" xfId="38637" xr:uid="{00000000-0005-0000-0000-000086550000}"/>
    <cellStyle name="Normal 2 3 12 6" xfId="9184" xr:uid="{00000000-0005-0000-0000-000087550000}"/>
    <cellStyle name="Normal 2 3 12 6 2" xfId="38638" xr:uid="{00000000-0005-0000-0000-000088550000}"/>
    <cellStyle name="Normal 2 3 12 7" xfId="9185" xr:uid="{00000000-0005-0000-0000-000089550000}"/>
    <cellStyle name="Normal 2 3 12 7 2" xfId="38639" xr:uid="{00000000-0005-0000-0000-00008A550000}"/>
    <cellStyle name="Normal 2 3 12 8" xfId="38640" xr:uid="{00000000-0005-0000-0000-00008B550000}"/>
    <cellStyle name="Normal 2 3 12 8 2" xfId="38641" xr:uid="{00000000-0005-0000-0000-00008C550000}"/>
    <cellStyle name="Normal 2 3 12 9" xfId="38642" xr:uid="{00000000-0005-0000-0000-00008D550000}"/>
    <cellStyle name="Normal 2 3 13" xfId="9186" xr:uid="{00000000-0005-0000-0000-00008E550000}"/>
    <cellStyle name="Normal 2 3 13 10" xfId="38643" xr:uid="{00000000-0005-0000-0000-00008F550000}"/>
    <cellStyle name="Normal 2 3 13 11" xfId="38644" xr:uid="{00000000-0005-0000-0000-000090550000}"/>
    <cellStyle name="Normal 2 3 13 2" xfId="9187" xr:uid="{00000000-0005-0000-0000-000091550000}"/>
    <cellStyle name="Normal 2 3 13 2 10" xfId="38645" xr:uid="{00000000-0005-0000-0000-000092550000}"/>
    <cellStyle name="Normal 2 3 13 2 2" xfId="9188" xr:uid="{00000000-0005-0000-0000-000093550000}"/>
    <cellStyle name="Normal 2 3 13 2 2 2" xfId="9189" xr:uid="{00000000-0005-0000-0000-000094550000}"/>
    <cellStyle name="Normal 2 3 13 2 2 2 2" xfId="9190" xr:uid="{00000000-0005-0000-0000-000095550000}"/>
    <cellStyle name="Normal 2 3 13 2 2 2 2 2" xfId="38646" xr:uid="{00000000-0005-0000-0000-000096550000}"/>
    <cellStyle name="Normal 2 3 13 2 2 2 3" xfId="9191" xr:uid="{00000000-0005-0000-0000-000097550000}"/>
    <cellStyle name="Normal 2 3 13 2 2 2 3 2" xfId="38647" xr:uid="{00000000-0005-0000-0000-000098550000}"/>
    <cellStyle name="Normal 2 3 13 2 2 2 4" xfId="38648" xr:uid="{00000000-0005-0000-0000-000099550000}"/>
    <cellStyle name="Normal 2 3 13 2 2 3" xfId="9192" xr:uid="{00000000-0005-0000-0000-00009A550000}"/>
    <cellStyle name="Normal 2 3 13 2 2 3 2" xfId="38649" xr:uid="{00000000-0005-0000-0000-00009B550000}"/>
    <cellStyle name="Normal 2 3 13 2 2 4" xfId="9193" xr:uid="{00000000-0005-0000-0000-00009C550000}"/>
    <cellStyle name="Normal 2 3 13 2 2 4 2" xfId="38650" xr:uid="{00000000-0005-0000-0000-00009D550000}"/>
    <cellStyle name="Normal 2 3 13 2 2 5" xfId="9194" xr:uid="{00000000-0005-0000-0000-00009E550000}"/>
    <cellStyle name="Normal 2 3 13 2 2 5 2" xfId="38651" xr:uid="{00000000-0005-0000-0000-00009F550000}"/>
    <cellStyle name="Normal 2 3 13 2 2 6" xfId="38652" xr:uid="{00000000-0005-0000-0000-0000A0550000}"/>
    <cellStyle name="Normal 2 3 13 2 2 6 2" xfId="38653" xr:uid="{00000000-0005-0000-0000-0000A1550000}"/>
    <cellStyle name="Normal 2 3 13 2 2 7" xfId="38654" xr:uid="{00000000-0005-0000-0000-0000A2550000}"/>
    <cellStyle name="Normal 2 3 13 2 3" xfId="9195" xr:uid="{00000000-0005-0000-0000-0000A3550000}"/>
    <cellStyle name="Normal 2 3 13 2 3 2" xfId="9196" xr:uid="{00000000-0005-0000-0000-0000A4550000}"/>
    <cellStyle name="Normal 2 3 13 2 3 2 2" xfId="38655" xr:uid="{00000000-0005-0000-0000-0000A5550000}"/>
    <cellStyle name="Normal 2 3 13 2 3 3" xfId="9197" xr:uid="{00000000-0005-0000-0000-0000A6550000}"/>
    <cellStyle name="Normal 2 3 13 2 3 3 2" xfId="38656" xr:uid="{00000000-0005-0000-0000-0000A7550000}"/>
    <cellStyle name="Normal 2 3 13 2 3 4" xfId="38657" xr:uid="{00000000-0005-0000-0000-0000A8550000}"/>
    <cellStyle name="Normal 2 3 13 2 4" xfId="9198" xr:uid="{00000000-0005-0000-0000-0000A9550000}"/>
    <cellStyle name="Normal 2 3 13 2 4 2" xfId="9199" xr:uid="{00000000-0005-0000-0000-0000AA550000}"/>
    <cellStyle name="Normal 2 3 13 2 4 2 2" xfId="38658" xr:uid="{00000000-0005-0000-0000-0000AB550000}"/>
    <cellStyle name="Normal 2 3 13 2 4 3" xfId="38659" xr:uid="{00000000-0005-0000-0000-0000AC550000}"/>
    <cellStyle name="Normal 2 3 13 2 5" xfId="9200" xr:uid="{00000000-0005-0000-0000-0000AD550000}"/>
    <cellStyle name="Normal 2 3 13 2 5 2" xfId="38660" xr:uid="{00000000-0005-0000-0000-0000AE550000}"/>
    <cellStyle name="Normal 2 3 13 2 6" xfId="9201" xr:uid="{00000000-0005-0000-0000-0000AF550000}"/>
    <cellStyle name="Normal 2 3 13 2 6 2" xfId="38661" xr:uid="{00000000-0005-0000-0000-0000B0550000}"/>
    <cellStyle name="Normal 2 3 13 2 7" xfId="38662" xr:uid="{00000000-0005-0000-0000-0000B1550000}"/>
    <cellStyle name="Normal 2 3 13 2 7 2" xfId="38663" xr:uid="{00000000-0005-0000-0000-0000B2550000}"/>
    <cellStyle name="Normal 2 3 13 2 8" xfId="38664" xr:uid="{00000000-0005-0000-0000-0000B3550000}"/>
    <cellStyle name="Normal 2 3 13 2 9" xfId="38665" xr:uid="{00000000-0005-0000-0000-0000B4550000}"/>
    <cellStyle name="Normal 2 3 13 3" xfId="9202" xr:uid="{00000000-0005-0000-0000-0000B5550000}"/>
    <cellStyle name="Normal 2 3 13 3 2" xfId="9203" xr:uid="{00000000-0005-0000-0000-0000B6550000}"/>
    <cellStyle name="Normal 2 3 13 3 2 2" xfId="9204" xr:uid="{00000000-0005-0000-0000-0000B7550000}"/>
    <cellStyle name="Normal 2 3 13 3 2 2 2" xfId="38666" xr:uid="{00000000-0005-0000-0000-0000B8550000}"/>
    <cellStyle name="Normal 2 3 13 3 2 3" xfId="9205" xr:uid="{00000000-0005-0000-0000-0000B9550000}"/>
    <cellStyle name="Normal 2 3 13 3 2 3 2" xfId="38667" xr:uid="{00000000-0005-0000-0000-0000BA550000}"/>
    <cellStyle name="Normal 2 3 13 3 2 4" xfId="38668" xr:uid="{00000000-0005-0000-0000-0000BB550000}"/>
    <cellStyle name="Normal 2 3 13 3 3" xfId="9206" xr:uid="{00000000-0005-0000-0000-0000BC550000}"/>
    <cellStyle name="Normal 2 3 13 3 3 2" xfId="38669" xr:uid="{00000000-0005-0000-0000-0000BD550000}"/>
    <cellStyle name="Normal 2 3 13 3 4" xfId="9207" xr:uid="{00000000-0005-0000-0000-0000BE550000}"/>
    <cellStyle name="Normal 2 3 13 3 4 2" xfId="38670" xr:uid="{00000000-0005-0000-0000-0000BF550000}"/>
    <cellStyle name="Normal 2 3 13 3 5" xfId="9208" xr:uid="{00000000-0005-0000-0000-0000C0550000}"/>
    <cellStyle name="Normal 2 3 13 3 5 2" xfId="38671" xr:uid="{00000000-0005-0000-0000-0000C1550000}"/>
    <cellStyle name="Normal 2 3 13 3 6" xfId="38672" xr:uid="{00000000-0005-0000-0000-0000C2550000}"/>
    <cellStyle name="Normal 2 3 13 3 6 2" xfId="38673" xr:uid="{00000000-0005-0000-0000-0000C3550000}"/>
    <cellStyle name="Normal 2 3 13 3 7" xfId="38674" xr:uid="{00000000-0005-0000-0000-0000C4550000}"/>
    <cellStyle name="Normal 2 3 13 4" xfId="9209" xr:uid="{00000000-0005-0000-0000-0000C5550000}"/>
    <cellStyle name="Normal 2 3 13 4 2" xfId="9210" xr:uid="{00000000-0005-0000-0000-0000C6550000}"/>
    <cellStyle name="Normal 2 3 13 4 2 2" xfId="38675" xr:uid="{00000000-0005-0000-0000-0000C7550000}"/>
    <cellStyle name="Normal 2 3 13 4 3" xfId="9211" xr:uid="{00000000-0005-0000-0000-0000C8550000}"/>
    <cellStyle name="Normal 2 3 13 4 3 2" xfId="38676" xr:uid="{00000000-0005-0000-0000-0000C9550000}"/>
    <cellStyle name="Normal 2 3 13 4 4" xfId="38677" xr:uid="{00000000-0005-0000-0000-0000CA550000}"/>
    <cellStyle name="Normal 2 3 13 5" xfId="9212" xr:uid="{00000000-0005-0000-0000-0000CB550000}"/>
    <cellStyle name="Normal 2 3 13 5 2" xfId="9213" xr:uid="{00000000-0005-0000-0000-0000CC550000}"/>
    <cellStyle name="Normal 2 3 13 5 2 2" xfId="38678" xr:uid="{00000000-0005-0000-0000-0000CD550000}"/>
    <cellStyle name="Normal 2 3 13 5 3" xfId="38679" xr:uid="{00000000-0005-0000-0000-0000CE550000}"/>
    <cellStyle name="Normal 2 3 13 6" xfId="9214" xr:uid="{00000000-0005-0000-0000-0000CF550000}"/>
    <cellStyle name="Normal 2 3 13 6 2" xfId="38680" xr:uid="{00000000-0005-0000-0000-0000D0550000}"/>
    <cellStyle name="Normal 2 3 13 7" xfId="9215" xr:uid="{00000000-0005-0000-0000-0000D1550000}"/>
    <cellStyle name="Normal 2 3 13 7 2" xfId="38681" xr:uid="{00000000-0005-0000-0000-0000D2550000}"/>
    <cellStyle name="Normal 2 3 13 8" xfId="38682" xr:uid="{00000000-0005-0000-0000-0000D3550000}"/>
    <cellStyle name="Normal 2 3 13 8 2" xfId="38683" xr:uid="{00000000-0005-0000-0000-0000D4550000}"/>
    <cellStyle name="Normal 2 3 13 9" xfId="38684" xr:uid="{00000000-0005-0000-0000-0000D5550000}"/>
    <cellStyle name="Normal 2 3 14" xfId="9216" xr:uid="{00000000-0005-0000-0000-0000D6550000}"/>
    <cellStyle name="Normal 2 3 14 10" xfId="38685" xr:uid="{00000000-0005-0000-0000-0000D7550000}"/>
    <cellStyle name="Normal 2 3 14 11" xfId="38686" xr:uid="{00000000-0005-0000-0000-0000D8550000}"/>
    <cellStyle name="Normal 2 3 14 2" xfId="9217" xr:uid="{00000000-0005-0000-0000-0000D9550000}"/>
    <cellStyle name="Normal 2 3 14 2 10" xfId="38687" xr:uid="{00000000-0005-0000-0000-0000DA550000}"/>
    <cellStyle name="Normal 2 3 14 2 2" xfId="9218" xr:uid="{00000000-0005-0000-0000-0000DB550000}"/>
    <cellStyle name="Normal 2 3 14 2 2 2" xfId="9219" xr:uid="{00000000-0005-0000-0000-0000DC550000}"/>
    <cellStyle name="Normal 2 3 14 2 2 2 2" xfId="9220" xr:uid="{00000000-0005-0000-0000-0000DD550000}"/>
    <cellStyle name="Normal 2 3 14 2 2 2 2 2" xfId="38688" xr:uid="{00000000-0005-0000-0000-0000DE550000}"/>
    <cellStyle name="Normal 2 3 14 2 2 2 3" xfId="9221" xr:uid="{00000000-0005-0000-0000-0000DF550000}"/>
    <cellStyle name="Normal 2 3 14 2 2 2 3 2" xfId="38689" xr:uid="{00000000-0005-0000-0000-0000E0550000}"/>
    <cellStyle name="Normal 2 3 14 2 2 2 4" xfId="38690" xr:uid="{00000000-0005-0000-0000-0000E1550000}"/>
    <cellStyle name="Normal 2 3 14 2 2 3" xfId="9222" xr:uid="{00000000-0005-0000-0000-0000E2550000}"/>
    <cellStyle name="Normal 2 3 14 2 2 3 2" xfId="38691" xr:uid="{00000000-0005-0000-0000-0000E3550000}"/>
    <cellStyle name="Normal 2 3 14 2 2 4" xfId="9223" xr:uid="{00000000-0005-0000-0000-0000E4550000}"/>
    <cellStyle name="Normal 2 3 14 2 2 4 2" xfId="38692" xr:uid="{00000000-0005-0000-0000-0000E5550000}"/>
    <cellStyle name="Normal 2 3 14 2 2 5" xfId="9224" xr:uid="{00000000-0005-0000-0000-0000E6550000}"/>
    <cellStyle name="Normal 2 3 14 2 2 5 2" xfId="38693" xr:uid="{00000000-0005-0000-0000-0000E7550000}"/>
    <cellStyle name="Normal 2 3 14 2 2 6" xfId="38694" xr:uid="{00000000-0005-0000-0000-0000E8550000}"/>
    <cellStyle name="Normal 2 3 14 2 2 6 2" xfId="38695" xr:uid="{00000000-0005-0000-0000-0000E9550000}"/>
    <cellStyle name="Normal 2 3 14 2 2 7" xfId="38696" xr:uid="{00000000-0005-0000-0000-0000EA550000}"/>
    <cellStyle name="Normal 2 3 14 2 3" xfId="9225" xr:uid="{00000000-0005-0000-0000-0000EB550000}"/>
    <cellStyle name="Normal 2 3 14 2 3 2" xfId="9226" xr:uid="{00000000-0005-0000-0000-0000EC550000}"/>
    <cellStyle name="Normal 2 3 14 2 3 2 2" xfId="38697" xr:uid="{00000000-0005-0000-0000-0000ED550000}"/>
    <cellStyle name="Normal 2 3 14 2 3 3" xfId="9227" xr:uid="{00000000-0005-0000-0000-0000EE550000}"/>
    <cellStyle name="Normal 2 3 14 2 3 3 2" xfId="38698" xr:uid="{00000000-0005-0000-0000-0000EF550000}"/>
    <cellStyle name="Normal 2 3 14 2 3 4" xfId="38699" xr:uid="{00000000-0005-0000-0000-0000F0550000}"/>
    <cellStyle name="Normal 2 3 14 2 4" xfId="9228" xr:uid="{00000000-0005-0000-0000-0000F1550000}"/>
    <cellStyle name="Normal 2 3 14 2 4 2" xfId="9229" xr:uid="{00000000-0005-0000-0000-0000F2550000}"/>
    <cellStyle name="Normal 2 3 14 2 4 2 2" xfId="38700" xr:uid="{00000000-0005-0000-0000-0000F3550000}"/>
    <cellStyle name="Normal 2 3 14 2 4 3" xfId="38701" xr:uid="{00000000-0005-0000-0000-0000F4550000}"/>
    <cellStyle name="Normal 2 3 14 2 5" xfId="9230" xr:uid="{00000000-0005-0000-0000-0000F5550000}"/>
    <cellStyle name="Normal 2 3 14 2 5 2" xfId="38702" xr:uid="{00000000-0005-0000-0000-0000F6550000}"/>
    <cellStyle name="Normal 2 3 14 2 6" xfId="9231" xr:uid="{00000000-0005-0000-0000-0000F7550000}"/>
    <cellStyle name="Normal 2 3 14 2 6 2" xfId="38703" xr:uid="{00000000-0005-0000-0000-0000F8550000}"/>
    <cellStyle name="Normal 2 3 14 2 7" xfId="38704" xr:uid="{00000000-0005-0000-0000-0000F9550000}"/>
    <cellStyle name="Normal 2 3 14 2 7 2" xfId="38705" xr:uid="{00000000-0005-0000-0000-0000FA550000}"/>
    <cellStyle name="Normal 2 3 14 2 8" xfId="38706" xr:uid="{00000000-0005-0000-0000-0000FB550000}"/>
    <cellStyle name="Normal 2 3 14 2 9" xfId="38707" xr:uid="{00000000-0005-0000-0000-0000FC550000}"/>
    <cellStyle name="Normal 2 3 14 3" xfId="9232" xr:uid="{00000000-0005-0000-0000-0000FD550000}"/>
    <cellStyle name="Normal 2 3 14 3 2" xfId="9233" xr:uid="{00000000-0005-0000-0000-0000FE550000}"/>
    <cellStyle name="Normal 2 3 14 3 2 2" xfId="9234" xr:uid="{00000000-0005-0000-0000-0000FF550000}"/>
    <cellStyle name="Normal 2 3 14 3 2 2 2" xfId="38708" xr:uid="{00000000-0005-0000-0000-000000560000}"/>
    <cellStyle name="Normal 2 3 14 3 2 3" xfId="9235" xr:uid="{00000000-0005-0000-0000-000001560000}"/>
    <cellStyle name="Normal 2 3 14 3 2 3 2" xfId="38709" xr:uid="{00000000-0005-0000-0000-000002560000}"/>
    <cellStyle name="Normal 2 3 14 3 2 4" xfId="38710" xr:uid="{00000000-0005-0000-0000-000003560000}"/>
    <cellStyle name="Normal 2 3 14 3 3" xfId="9236" xr:uid="{00000000-0005-0000-0000-000004560000}"/>
    <cellStyle name="Normal 2 3 14 3 3 2" xfId="38711" xr:uid="{00000000-0005-0000-0000-000005560000}"/>
    <cellStyle name="Normal 2 3 14 3 4" xfId="9237" xr:uid="{00000000-0005-0000-0000-000006560000}"/>
    <cellStyle name="Normal 2 3 14 3 4 2" xfId="38712" xr:uid="{00000000-0005-0000-0000-000007560000}"/>
    <cellStyle name="Normal 2 3 14 3 5" xfId="9238" xr:uid="{00000000-0005-0000-0000-000008560000}"/>
    <cellStyle name="Normal 2 3 14 3 5 2" xfId="38713" xr:uid="{00000000-0005-0000-0000-000009560000}"/>
    <cellStyle name="Normal 2 3 14 3 6" xfId="38714" xr:uid="{00000000-0005-0000-0000-00000A560000}"/>
    <cellStyle name="Normal 2 3 14 3 6 2" xfId="38715" xr:uid="{00000000-0005-0000-0000-00000B560000}"/>
    <cellStyle name="Normal 2 3 14 3 7" xfId="38716" xr:uid="{00000000-0005-0000-0000-00000C560000}"/>
    <cellStyle name="Normal 2 3 14 4" xfId="9239" xr:uid="{00000000-0005-0000-0000-00000D560000}"/>
    <cellStyle name="Normal 2 3 14 4 2" xfId="9240" xr:uid="{00000000-0005-0000-0000-00000E560000}"/>
    <cellStyle name="Normal 2 3 14 4 2 2" xfId="38717" xr:uid="{00000000-0005-0000-0000-00000F560000}"/>
    <cellStyle name="Normal 2 3 14 4 3" xfId="9241" xr:uid="{00000000-0005-0000-0000-000010560000}"/>
    <cellStyle name="Normal 2 3 14 4 3 2" xfId="38718" xr:uid="{00000000-0005-0000-0000-000011560000}"/>
    <cellStyle name="Normal 2 3 14 4 4" xfId="38719" xr:uid="{00000000-0005-0000-0000-000012560000}"/>
    <cellStyle name="Normal 2 3 14 5" xfId="9242" xr:uid="{00000000-0005-0000-0000-000013560000}"/>
    <cellStyle name="Normal 2 3 14 5 2" xfId="9243" xr:uid="{00000000-0005-0000-0000-000014560000}"/>
    <cellStyle name="Normal 2 3 14 5 2 2" xfId="38720" xr:uid="{00000000-0005-0000-0000-000015560000}"/>
    <cellStyle name="Normal 2 3 14 5 3" xfId="38721" xr:uid="{00000000-0005-0000-0000-000016560000}"/>
    <cellStyle name="Normal 2 3 14 6" xfId="9244" xr:uid="{00000000-0005-0000-0000-000017560000}"/>
    <cellStyle name="Normal 2 3 14 6 2" xfId="38722" xr:uid="{00000000-0005-0000-0000-000018560000}"/>
    <cellStyle name="Normal 2 3 14 7" xfId="9245" xr:uid="{00000000-0005-0000-0000-000019560000}"/>
    <cellStyle name="Normal 2 3 14 7 2" xfId="38723" xr:uid="{00000000-0005-0000-0000-00001A560000}"/>
    <cellStyle name="Normal 2 3 14 8" xfId="38724" xr:uid="{00000000-0005-0000-0000-00001B560000}"/>
    <cellStyle name="Normal 2 3 14 8 2" xfId="38725" xr:uid="{00000000-0005-0000-0000-00001C560000}"/>
    <cellStyle name="Normal 2 3 14 9" xfId="38726" xr:uid="{00000000-0005-0000-0000-00001D560000}"/>
    <cellStyle name="Normal 2 3 15" xfId="9246" xr:uid="{00000000-0005-0000-0000-00001E560000}"/>
    <cellStyle name="Normal 2 3 15 10" xfId="38727" xr:uid="{00000000-0005-0000-0000-00001F560000}"/>
    <cellStyle name="Normal 2 3 15 11" xfId="38728" xr:uid="{00000000-0005-0000-0000-000020560000}"/>
    <cellStyle name="Normal 2 3 15 2" xfId="9247" xr:uid="{00000000-0005-0000-0000-000021560000}"/>
    <cellStyle name="Normal 2 3 15 2 10" xfId="38729" xr:uid="{00000000-0005-0000-0000-000022560000}"/>
    <cellStyle name="Normal 2 3 15 2 2" xfId="9248" xr:uid="{00000000-0005-0000-0000-000023560000}"/>
    <cellStyle name="Normal 2 3 15 2 2 2" xfId="9249" xr:uid="{00000000-0005-0000-0000-000024560000}"/>
    <cellStyle name="Normal 2 3 15 2 2 2 2" xfId="9250" xr:uid="{00000000-0005-0000-0000-000025560000}"/>
    <cellStyle name="Normal 2 3 15 2 2 2 2 2" xfId="38730" xr:uid="{00000000-0005-0000-0000-000026560000}"/>
    <cellStyle name="Normal 2 3 15 2 2 2 3" xfId="9251" xr:uid="{00000000-0005-0000-0000-000027560000}"/>
    <cellStyle name="Normal 2 3 15 2 2 2 3 2" xfId="38731" xr:uid="{00000000-0005-0000-0000-000028560000}"/>
    <cellStyle name="Normal 2 3 15 2 2 2 4" xfId="38732" xr:uid="{00000000-0005-0000-0000-000029560000}"/>
    <cellStyle name="Normal 2 3 15 2 2 3" xfId="9252" xr:uid="{00000000-0005-0000-0000-00002A560000}"/>
    <cellStyle name="Normal 2 3 15 2 2 3 2" xfId="38733" xr:uid="{00000000-0005-0000-0000-00002B560000}"/>
    <cellStyle name="Normal 2 3 15 2 2 4" xfId="9253" xr:uid="{00000000-0005-0000-0000-00002C560000}"/>
    <cellStyle name="Normal 2 3 15 2 2 4 2" xfId="38734" xr:uid="{00000000-0005-0000-0000-00002D560000}"/>
    <cellStyle name="Normal 2 3 15 2 2 5" xfId="9254" xr:uid="{00000000-0005-0000-0000-00002E560000}"/>
    <cellStyle name="Normal 2 3 15 2 2 5 2" xfId="38735" xr:uid="{00000000-0005-0000-0000-00002F560000}"/>
    <cellStyle name="Normal 2 3 15 2 2 6" xfId="38736" xr:uid="{00000000-0005-0000-0000-000030560000}"/>
    <cellStyle name="Normal 2 3 15 2 2 6 2" xfId="38737" xr:uid="{00000000-0005-0000-0000-000031560000}"/>
    <cellStyle name="Normal 2 3 15 2 2 7" xfId="38738" xr:uid="{00000000-0005-0000-0000-000032560000}"/>
    <cellStyle name="Normal 2 3 15 2 3" xfId="9255" xr:uid="{00000000-0005-0000-0000-000033560000}"/>
    <cellStyle name="Normal 2 3 15 2 3 2" xfId="9256" xr:uid="{00000000-0005-0000-0000-000034560000}"/>
    <cellStyle name="Normal 2 3 15 2 3 2 2" xfId="38739" xr:uid="{00000000-0005-0000-0000-000035560000}"/>
    <cellStyle name="Normal 2 3 15 2 3 3" xfId="9257" xr:uid="{00000000-0005-0000-0000-000036560000}"/>
    <cellStyle name="Normal 2 3 15 2 3 3 2" xfId="38740" xr:uid="{00000000-0005-0000-0000-000037560000}"/>
    <cellStyle name="Normal 2 3 15 2 3 4" xfId="38741" xr:uid="{00000000-0005-0000-0000-000038560000}"/>
    <cellStyle name="Normal 2 3 15 2 4" xfId="9258" xr:uid="{00000000-0005-0000-0000-000039560000}"/>
    <cellStyle name="Normal 2 3 15 2 4 2" xfId="9259" xr:uid="{00000000-0005-0000-0000-00003A560000}"/>
    <cellStyle name="Normal 2 3 15 2 4 2 2" xfId="38742" xr:uid="{00000000-0005-0000-0000-00003B560000}"/>
    <cellStyle name="Normal 2 3 15 2 4 3" xfId="38743" xr:uid="{00000000-0005-0000-0000-00003C560000}"/>
    <cellStyle name="Normal 2 3 15 2 5" xfId="9260" xr:uid="{00000000-0005-0000-0000-00003D560000}"/>
    <cellStyle name="Normal 2 3 15 2 5 2" xfId="38744" xr:uid="{00000000-0005-0000-0000-00003E560000}"/>
    <cellStyle name="Normal 2 3 15 2 6" xfId="9261" xr:uid="{00000000-0005-0000-0000-00003F560000}"/>
    <cellStyle name="Normal 2 3 15 2 6 2" xfId="38745" xr:uid="{00000000-0005-0000-0000-000040560000}"/>
    <cellStyle name="Normal 2 3 15 2 7" xfId="38746" xr:uid="{00000000-0005-0000-0000-000041560000}"/>
    <cellStyle name="Normal 2 3 15 2 7 2" xfId="38747" xr:uid="{00000000-0005-0000-0000-000042560000}"/>
    <cellStyle name="Normal 2 3 15 2 8" xfId="38748" xr:uid="{00000000-0005-0000-0000-000043560000}"/>
    <cellStyle name="Normal 2 3 15 2 9" xfId="38749" xr:uid="{00000000-0005-0000-0000-000044560000}"/>
    <cellStyle name="Normal 2 3 15 3" xfId="9262" xr:uid="{00000000-0005-0000-0000-000045560000}"/>
    <cellStyle name="Normal 2 3 15 3 2" xfId="9263" xr:uid="{00000000-0005-0000-0000-000046560000}"/>
    <cellStyle name="Normal 2 3 15 3 2 2" xfId="9264" xr:uid="{00000000-0005-0000-0000-000047560000}"/>
    <cellStyle name="Normal 2 3 15 3 2 2 2" xfId="38750" xr:uid="{00000000-0005-0000-0000-000048560000}"/>
    <cellStyle name="Normal 2 3 15 3 2 3" xfId="9265" xr:uid="{00000000-0005-0000-0000-000049560000}"/>
    <cellStyle name="Normal 2 3 15 3 2 3 2" xfId="38751" xr:uid="{00000000-0005-0000-0000-00004A560000}"/>
    <cellStyle name="Normal 2 3 15 3 2 4" xfId="38752" xr:uid="{00000000-0005-0000-0000-00004B560000}"/>
    <cellStyle name="Normal 2 3 15 3 3" xfId="9266" xr:uid="{00000000-0005-0000-0000-00004C560000}"/>
    <cellStyle name="Normal 2 3 15 3 3 2" xfId="38753" xr:uid="{00000000-0005-0000-0000-00004D560000}"/>
    <cellStyle name="Normal 2 3 15 3 4" xfId="9267" xr:uid="{00000000-0005-0000-0000-00004E560000}"/>
    <cellStyle name="Normal 2 3 15 3 4 2" xfId="38754" xr:uid="{00000000-0005-0000-0000-00004F560000}"/>
    <cellStyle name="Normal 2 3 15 3 5" xfId="9268" xr:uid="{00000000-0005-0000-0000-000050560000}"/>
    <cellStyle name="Normal 2 3 15 3 5 2" xfId="38755" xr:uid="{00000000-0005-0000-0000-000051560000}"/>
    <cellStyle name="Normal 2 3 15 3 6" xfId="38756" xr:uid="{00000000-0005-0000-0000-000052560000}"/>
    <cellStyle name="Normal 2 3 15 3 6 2" xfId="38757" xr:uid="{00000000-0005-0000-0000-000053560000}"/>
    <cellStyle name="Normal 2 3 15 3 7" xfId="38758" xr:uid="{00000000-0005-0000-0000-000054560000}"/>
    <cellStyle name="Normal 2 3 15 4" xfId="9269" xr:uid="{00000000-0005-0000-0000-000055560000}"/>
    <cellStyle name="Normal 2 3 15 4 2" xfId="9270" xr:uid="{00000000-0005-0000-0000-000056560000}"/>
    <cellStyle name="Normal 2 3 15 4 2 2" xfId="38759" xr:uid="{00000000-0005-0000-0000-000057560000}"/>
    <cellStyle name="Normal 2 3 15 4 3" xfId="9271" xr:uid="{00000000-0005-0000-0000-000058560000}"/>
    <cellStyle name="Normal 2 3 15 4 3 2" xfId="38760" xr:uid="{00000000-0005-0000-0000-000059560000}"/>
    <cellStyle name="Normal 2 3 15 4 4" xfId="38761" xr:uid="{00000000-0005-0000-0000-00005A560000}"/>
    <cellStyle name="Normal 2 3 15 5" xfId="9272" xr:uid="{00000000-0005-0000-0000-00005B560000}"/>
    <cellStyle name="Normal 2 3 15 5 2" xfId="9273" xr:uid="{00000000-0005-0000-0000-00005C560000}"/>
    <cellStyle name="Normal 2 3 15 5 2 2" xfId="38762" xr:uid="{00000000-0005-0000-0000-00005D560000}"/>
    <cellStyle name="Normal 2 3 15 5 3" xfId="38763" xr:uid="{00000000-0005-0000-0000-00005E560000}"/>
    <cellStyle name="Normal 2 3 15 6" xfId="9274" xr:uid="{00000000-0005-0000-0000-00005F560000}"/>
    <cellStyle name="Normal 2 3 15 6 2" xfId="38764" xr:uid="{00000000-0005-0000-0000-000060560000}"/>
    <cellStyle name="Normal 2 3 15 7" xfId="9275" xr:uid="{00000000-0005-0000-0000-000061560000}"/>
    <cellStyle name="Normal 2 3 15 7 2" xfId="38765" xr:uid="{00000000-0005-0000-0000-000062560000}"/>
    <cellStyle name="Normal 2 3 15 8" xfId="38766" xr:uid="{00000000-0005-0000-0000-000063560000}"/>
    <cellStyle name="Normal 2 3 15 8 2" xfId="38767" xr:uid="{00000000-0005-0000-0000-000064560000}"/>
    <cellStyle name="Normal 2 3 15 9" xfId="38768" xr:uid="{00000000-0005-0000-0000-000065560000}"/>
    <cellStyle name="Normal 2 3 16" xfId="9276" xr:uid="{00000000-0005-0000-0000-000066560000}"/>
    <cellStyle name="Normal 2 3 16 10" xfId="38769" xr:uid="{00000000-0005-0000-0000-000067560000}"/>
    <cellStyle name="Normal 2 3 16 11" xfId="38770" xr:uid="{00000000-0005-0000-0000-000068560000}"/>
    <cellStyle name="Normal 2 3 16 2" xfId="9277" xr:uid="{00000000-0005-0000-0000-000069560000}"/>
    <cellStyle name="Normal 2 3 16 2 10" xfId="38771" xr:uid="{00000000-0005-0000-0000-00006A560000}"/>
    <cellStyle name="Normal 2 3 16 2 2" xfId="9278" xr:uid="{00000000-0005-0000-0000-00006B560000}"/>
    <cellStyle name="Normal 2 3 16 2 2 2" xfId="9279" xr:uid="{00000000-0005-0000-0000-00006C560000}"/>
    <cellStyle name="Normal 2 3 16 2 2 2 2" xfId="9280" xr:uid="{00000000-0005-0000-0000-00006D560000}"/>
    <cellStyle name="Normal 2 3 16 2 2 2 2 2" xfId="38772" xr:uid="{00000000-0005-0000-0000-00006E560000}"/>
    <cellStyle name="Normal 2 3 16 2 2 2 3" xfId="9281" xr:uid="{00000000-0005-0000-0000-00006F560000}"/>
    <cellStyle name="Normal 2 3 16 2 2 2 3 2" xfId="38773" xr:uid="{00000000-0005-0000-0000-000070560000}"/>
    <cellStyle name="Normal 2 3 16 2 2 2 4" xfId="38774" xr:uid="{00000000-0005-0000-0000-000071560000}"/>
    <cellStyle name="Normal 2 3 16 2 2 3" xfId="9282" xr:uid="{00000000-0005-0000-0000-000072560000}"/>
    <cellStyle name="Normal 2 3 16 2 2 3 2" xfId="38775" xr:uid="{00000000-0005-0000-0000-000073560000}"/>
    <cellStyle name="Normal 2 3 16 2 2 4" xfId="9283" xr:uid="{00000000-0005-0000-0000-000074560000}"/>
    <cellStyle name="Normal 2 3 16 2 2 4 2" xfId="38776" xr:uid="{00000000-0005-0000-0000-000075560000}"/>
    <cellStyle name="Normal 2 3 16 2 2 5" xfId="9284" xr:uid="{00000000-0005-0000-0000-000076560000}"/>
    <cellStyle name="Normal 2 3 16 2 2 5 2" xfId="38777" xr:uid="{00000000-0005-0000-0000-000077560000}"/>
    <cellStyle name="Normal 2 3 16 2 2 6" xfId="38778" xr:uid="{00000000-0005-0000-0000-000078560000}"/>
    <cellStyle name="Normal 2 3 16 2 2 6 2" xfId="38779" xr:uid="{00000000-0005-0000-0000-000079560000}"/>
    <cellStyle name="Normal 2 3 16 2 2 7" xfId="38780" xr:uid="{00000000-0005-0000-0000-00007A560000}"/>
    <cellStyle name="Normal 2 3 16 2 3" xfId="9285" xr:uid="{00000000-0005-0000-0000-00007B560000}"/>
    <cellStyle name="Normal 2 3 16 2 3 2" xfId="9286" xr:uid="{00000000-0005-0000-0000-00007C560000}"/>
    <cellStyle name="Normal 2 3 16 2 3 2 2" xfId="38781" xr:uid="{00000000-0005-0000-0000-00007D560000}"/>
    <cellStyle name="Normal 2 3 16 2 3 3" xfId="9287" xr:uid="{00000000-0005-0000-0000-00007E560000}"/>
    <cellStyle name="Normal 2 3 16 2 3 3 2" xfId="38782" xr:uid="{00000000-0005-0000-0000-00007F560000}"/>
    <cellStyle name="Normal 2 3 16 2 3 4" xfId="38783" xr:uid="{00000000-0005-0000-0000-000080560000}"/>
    <cellStyle name="Normal 2 3 16 2 4" xfId="9288" xr:uid="{00000000-0005-0000-0000-000081560000}"/>
    <cellStyle name="Normal 2 3 16 2 4 2" xfId="9289" xr:uid="{00000000-0005-0000-0000-000082560000}"/>
    <cellStyle name="Normal 2 3 16 2 4 2 2" xfId="38784" xr:uid="{00000000-0005-0000-0000-000083560000}"/>
    <cellStyle name="Normal 2 3 16 2 4 3" xfId="38785" xr:uid="{00000000-0005-0000-0000-000084560000}"/>
    <cellStyle name="Normal 2 3 16 2 5" xfId="9290" xr:uid="{00000000-0005-0000-0000-000085560000}"/>
    <cellStyle name="Normal 2 3 16 2 5 2" xfId="38786" xr:uid="{00000000-0005-0000-0000-000086560000}"/>
    <cellStyle name="Normal 2 3 16 2 6" xfId="9291" xr:uid="{00000000-0005-0000-0000-000087560000}"/>
    <cellStyle name="Normal 2 3 16 2 6 2" xfId="38787" xr:uid="{00000000-0005-0000-0000-000088560000}"/>
    <cellStyle name="Normal 2 3 16 2 7" xfId="38788" xr:uid="{00000000-0005-0000-0000-000089560000}"/>
    <cellStyle name="Normal 2 3 16 2 7 2" xfId="38789" xr:uid="{00000000-0005-0000-0000-00008A560000}"/>
    <cellStyle name="Normal 2 3 16 2 8" xfId="38790" xr:uid="{00000000-0005-0000-0000-00008B560000}"/>
    <cellStyle name="Normal 2 3 16 2 9" xfId="38791" xr:uid="{00000000-0005-0000-0000-00008C560000}"/>
    <cellStyle name="Normal 2 3 16 3" xfId="9292" xr:uid="{00000000-0005-0000-0000-00008D560000}"/>
    <cellStyle name="Normal 2 3 16 3 2" xfId="9293" xr:uid="{00000000-0005-0000-0000-00008E560000}"/>
    <cellStyle name="Normal 2 3 16 3 2 2" xfId="9294" xr:uid="{00000000-0005-0000-0000-00008F560000}"/>
    <cellStyle name="Normal 2 3 16 3 2 2 2" xfId="38792" xr:uid="{00000000-0005-0000-0000-000090560000}"/>
    <cellStyle name="Normal 2 3 16 3 2 3" xfId="9295" xr:uid="{00000000-0005-0000-0000-000091560000}"/>
    <cellStyle name="Normal 2 3 16 3 2 3 2" xfId="38793" xr:uid="{00000000-0005-0000-0000-000092560000}"/>
    <cellStyle name="Normal 2 3 16 3 2 4" xfId="38794" xr:uid="{00000000-0005-0000-0000-000093560000}"/>
    <cellStyle name="Normal 2 3 16 3 3" xfId="9296" xr:uid="{00000000-0005-0000-0000-000094560000}"/>
    <cellStyle name="Normal 2 3 16 3 3 2" xfId="38795" xr:uid="{00000000-0005-0000-0000-000095560000}"/>
    <cellStyle name="Normal 2 3 16 3 4" xfId="9297" xr:uid="{00000000-0005-0000-0000-000096560000}"/>
    <cellStyle name="Normal 2 3 16 3 4 2" xfId="38796" xr:uid="{00000000-0005-0000-0000-000097560000}"/>
    <cellStyle name="Normal 2 3 16 3 5" xfId="9298" xr:uid="{00000000-0005-0000-0000-000098560000}"/>
    <cellStyle name="Normal 2 3 16 3 5 2" xfId="38797" xr:uid="{00000000-0005-0000-0000-000099560000}"/>
    <cellStyle name="Normal 2 3 16 3 6" xfId="38798" xr:uid="{00000000-0005-0000-0000-00009A560000}"/>
    <cellStyle name="Normal 2 3 16 3 6 2" xfId="38799" xr:uid="{00000000-0005-0000-0000-00009B560000}"/>
    <cellStyle name="Normal 2 3 16 3 7" xfId="38800" xr:uid="{00000000-0005-0000-0000-00009C560000}"/>
    <cellStyle name="Normal 2 3 16 4" xfId="9299" xr:uid="{00000000-0005-0000-0000-00009D560000}"/>
    <cellStyle name="Normal 2 3 16 4 2" xfId="9300" xr:uid="{00000000-0005-0000-0000-00009E560000}"/>
    <cellStyle name="Normal 2 3 16 4 2 2" xfId="38801" xr:uid="{00000000-0005-0000-0000-00009F560000}"/>
    <cellStyle name="Normal 2 3 16 4 3" xfId="9301" xr:uid="{00000000-0005-0000-0000-0000A0560000}"/>
    <cellStyle name="Normal 2 3 16 4 3 2" xfId="38802" xr:uid="{00000000-0005-0000-0000-0000A1560000}"/>
    <cellStyle name="Normal 2 3 16 4 4" xfId="38803" xr:uid="{00000000-0005-0000-0000-0000A2560000}"/>
    <cellStyle name="Normal 2 3 16 5" xfId="9302" xr:uid="{00000000-0005-0000-0000-0000A3560000}"/>
    <cellStyle name="Normal 2 3 16 5 2" xfId="9303" xr:uid="{00000000-0005-0000-0000-0000A4560000}"/>
    <cellStyle name="Normal 2 3 16 5 2 2" xfId="38804" xr:uid="{00000000-0005-0000-0000-0000A5560000}"/>
    <cellStyle name="Normal 2 3 16 5 3" xfId="38805" xr:uid="{00000000-0005-0000-0000-0000A6560000}"/>
    <cellStyle name="Normal 2 3 16 6" xfId="9304" xr:uid="{00000000-0005-0000-0000-0000A7560000}"/>
    <cellStyle name="Normal 2 3 16 6 2" xfId="38806" xr:uid="{00000000-0005-0000-0000-0000A8560000}"/>
    <cellStyle name="Normal 2 3 16 7" xfId="9305" xr:uid="{00000000-0005-0000-0000-0000A9560000}"/>
    <cellStyle name="Normal 2 3 16 7 2" xfId="38807" xr:uid="{00000000-0005-0000-0000-0000AA560000}"/>
    <cellStyle name="Normal 2 3 16 8" xfId="38808" xr:uid="{00000000-0005-0000-0000-0000AB560000}"/>
    <cellStyle name="Normal 2 3 16 8 2" xfId="38809" xr:uid="{00000000-0005-0000-0000-0000AC560000}"/>
    <cellStyle name="Normal 2 3 16 9" xfId="38810" xr:uid="{00000000-0005-0000-0000-0000AD560000}"/>
    <cellStyle name="Normal 2 3 17" xfId="9306" xr:uid="{00000000-0005-0000-0000-0000AE560000}"/>
    <cellStyle name="Normal 2 3 17 10" xfId="38811" xr:uid="{00000000-0005-0000-0000-0000AF560000}"/>
    <cellStyle name="Normal 2 3 17 11" xfId="38812" xr:uid="{00000000-0005-0000-0000-0000B0560000}"/>
    <cellStyle name="Normal 2 3 17 2" xfId="9307" xr:uid="{00000000-0005-0000-0000-0000B1560000}"/>
    <cellStyle name="Normal 2 3 17 2 10" xfId="38813" xr:uid="{00000000-0005-0000-0000-0000B2560000}"/>
    <cellStyle name="Normal 2 3 17 2 2" xfId="9308" xr:uid="{00000000-0005-0000-0000-0000B3560000}"/>
    <cellStyle name="Normal 2 3 17 2 2 2" xfId="9309" xr:uid="{00000000-0005-0000-0000-0000B4560000}"/>
    <cellStyle name="Normal 2 3 17 2 2 2 2" xfId="9310" xr:uid="{00000000-0005-0000-0000-0000B5560000}"/>
    <cellStyle name="Normal 2 3 17 2 2 2 2 2" xfId="38814" xr:uid="{00000000-0005-0000-0000-0000B6560000}"/>
    <cellStyle name="Normal 2 3 17 2 2 2 3" xfId="9311" xr:uid="{00000000-0005-0000-0000-0000B7560000}"/>
    <cellStyle name="Normal 2 3 17 2 2 2 3 2" xfId="38815" xr:uid="{00000000-0005-0000-0000-0000B8560000}"/>
    <cellStyle name="Normal 2 3 17 2 2 2 4" xfId="38816" xr:uid="{00000000-0005-0000-0000-0000B9560000}"/>
    <cellStyle name="Normal 2 3 17 2 2 3" xfId="9312" xr:uid="{00000000-0005-0000-0000-0000BA560000}"/>
    <cellStyle name="Normal 2 3 17 2 2 3 2" xfId="38817" xr:uid="{00000000-0005-0000-0000-0000BB560000}"/>
    <cellStyle name="Normal 2 3 17 2 2 4" xfId="9313" xr:uid="{00000000-0005-0000-0000-0000BC560000}"/>
    <cellStyle name="Normal 2 3 17 2 2 4 2" xfId="38818" xr:uid="{00000000-0005-0000-0000-0000BD560000}"/>
    <cellStyle name="Normal 2 3 17 2 2 5" xfId="9314" xr:uid="{00000000-0005-0000-0000-0000BE560000}"/>
    <cellStyle name="Normal 2 3 17 2 2 5 2" xfId="38819" xr:uid="{00000000-0005-0000-0000-0000BF560000}"/>
    <cellStyle name="Normal 2 3 17 2 2 6" xfId="38820" xr:uid="{00000000-0005-0000-0000-0000C0560000}"/>
    <cellStyle name="Normal 2 3 17 2 2 6 2" xfId="38821" xr:uid="{00000000-0005-0000-0000-0000C1560000}"/>
    <cellStyle name="Normal 2 3 17 2 2 7" xfId="38822" xr:uid="{00000000-0005-0000-0000-0000C2560000}"/>
    <cellStyle name="Normal 2 3 17 2 3" xfId="9315" xr:uid="{00000000-0005-0000-0000-0000C3560000}"/>
    <cellStyle name="Normal 2 3 17 2 3 2" xfId="9316" xr:uid="{00000000-0005-0000-0000-0000C4560000}"/>
    <cellStyle name="Normal 2 3 17 2 3 2 2" xfId="38823" xr:uid="{00000000-0005-0000-0000-0000C5560000}"/>
    <cellStyle name="Normal 2 3 17 2 3 3" xfId="9317" xr:uid="{00000000-0005-0000-0000-0000C6560000}"/>
    <cellStyle name="Normal 2 3 17 2 3 3 2" xfId="38824" xr:uid="{00000000-0005-0000-0000-0000C7560000}"/>
    <cellStyle name="Normal 2 3 17 2 3 4" xfId="38825" xr:uid="{00000000-0005-0000-0000-0000C8560000}"/>
    <cellStyle name="Normal 2 3 17 2 4" xfId="9318" xr:uid="{00000000-0005-0000-0000-0000C9560000}"/>
    <cellStyle name="Normal 2 3 17 2 4 2" xfId="9319" xr:uid="{00000000-0005-0000-0000-0000CA560000}"/>
    <cellStyle name="Normal 2 3 17 2 4 2 2" xfId="38826" xr:uid="{00000000-0005-0000-0000-0000CB560000}"/>
    <cellStyle name="Normal 2 3 17 2 4 3" xfId="38827" xr:uid="{00000000-0005-0000-0000-0000CC560000}"/>
    <cellStyle name="Normal 2 3 17 2 5" xfId="9320" xr:uid="{00000000-0005-0000-0000-0000CD560000}"/>
    <cellStyle name="Normal 2 3 17 2 5 2" xfId="38828" xr:uid="{00000000-0005-0000-0000-0000CE560000}"/>
    <cellStyle name="Normal 2 3 17 2 6" xfId="9321" xr:uid="{00000000-0005-0000-0000-0000CF560000}"/>
    <cellStyle name="Normal 2 3 17 2 6 2" xfId="38829" xr:uid="{00000000-0005-0000-0000-0000D0560000}"/>
    <cellStyle name="Normal 2 3 17 2 7" xfId="38830" xr:uid="{00000000-0005-0000-0000-0000D1560000}"/>
    <cellStyle name="Normal 2 3 17 2 7 2" xfId="38831" xr:uid="{00000000-0005-0000-0000-0000D2560000}"/>
    <cellStyle name="Normal 2 3 17 2 8" xfId="38832" xr:uid="{00000000-0005-0000-0000-0000D3560000}"/>
    <cellStyle name="Normal 2 3 17 2 9" xfId="38833" xr:uid="{00000000-0005-0000-0000-0000D4560000}"/>
    <cellStyle name="Normal 2 3 17 3" xfId="9322" xr:uid="{00000000-0005-0000-0000-0000D5560000}"/>
    <cellStyle name="Normal 2 3 17 3 2" xfId="9323" xr:uid="{00000000-0005-0000-0000-0000D6560000}"/>
    <cellStyle name="Normal 2 3 17 3 2 2" xfId="9324" xr:uid="{00000000-0005-0000-0000-0000D7560000}"/>
    <cellStyle name="Normal 2 3 17 3 2 2 2" xfId="38834" xr:uid="{00000000-0005-0000-0000-0000D8560000}"/>
    <cellStyle name="Normal 2 3 17 3 2 3" xfId="9325" xr:uid="{00000000-0005-0000-0000-0000D9560000}"/>
    <cellStyle name="Normal 2 3 17 3 2 3 2" xfId="38835" xr:uid="{00000000-0005-0000-0000-0000DA560000}"/>
    <cellStyle name="Normal 2 3 17 3 2 4" xfId="38836" xr:uid="{00000000-0005-0000-0000-0000DB560000}"/>
    <cellStyle name="Normal 2 3 17 3 3" xfId="9326" xr:uid="{00000000-0005-0000-0000-0000DC560000}"/>
    <cellStyle name="Normal 2 3 17 3 3 2" xfId="38837" xr:uid="{00000000-0005-0000-0000-0000DD560000}"/>
    <cellStyle name="Normal 2 3 17 3 4" xfId="9327" xr:uid="{00000000-0005-0000-0000-0000DE560000}"/>
    <cellStyle name="Normal 2 3 17 3 4 2" xfId="38838" xr:uid="{00000000-0005-0000-0000-0000DF560000}"/>
    <cellStyle name="Normal 2 3 17 3 5" xfId="9328" xr:uid="{00000000-0005-0000-0000-0000E0560000}"/>
    <cellStyle name="Normal 2 3 17 3 5 2" xfId="38839" xr:uid="{00000000-0005-0000-0000-0000E1560000}"/>
    <cellStyle name="Normal 2 3 17 3 6" xfId="38840" xr:uid="{00000000-0005-0000-0000-0000E2560000}"/>
    <cellStyle name="Normal 2 3 17 3 6 2" xfId="38841" xr:uid="{00000000-0005-0000-0000-0000E3560000}"/>
    <cellStyle name="Normal 2 3 17 3 7" xfId="38842" xr:uid="{00000000-0005-0000-0000-0000E4560000}"/>
    <cellStyle name="Normal 2 3 17 4" xfId="9329" xr:uid="{00000000-0005-0000-0000-0000E5560000}"/>
    <cellStyle name="Normal 2 3 17 4 2" xfId="9330" xr:uid="{00000000-0005-0000-0000-0000E6560000}"/>
    <cellStyle name="Normal 2 3 17 4 2 2" xfId="38843" xr:uid="{00000000-0005-0000-0000-0000E7560000}"/>
    <cellStyle name="Normal 2 3 17 4 3" xfId="9331" xr:uid="{00000000-0005-0000-0000-0000E8560000}"/>
    <cellStyle name="Normal 2 3 17 4 3 2" xfId="38844" xr:uid="{00000000-0005-0000-0000-0000E9560000}"/>
    <cellStyle name="Normal 2 3 17 4 4" xfId="38845" xr:uid="{00000000-0005-0000-0000-0000EA560000}"/>
    <cellStyle name="Normal 2 3 17 5" xfId="9332" xr:uid="{00000000-0005-0000-0000-0000EB560000}"/>
    <cellStyle name="Normal 2 3 17 5 2" xfId="9333" xr:uid="{00000000-0005-0000-0000-0000EC560000}"/>
    <cellStyle name="Normal 2 3 17 5 2 2" xfId="38846" xr:uid="{00000000-0005-0000-0000-0000ED560000}"/>
    <cellStyle name="Normal 2 3 17 5 3" xfId="38847" xr:uid="{00000000-0005-0000-0000-0000EE560000}"/>
    <cellStyle name="Normal 2 3 17 6" xfId="9334" xr:uid="{00000000-0005-0000-0000-0000EF560000}"/>
    <cellStyle name="Normal 2 3 17 6 2" xfId="38848" xr:uid="{00000000-0005-0000-0000-0000F0560000}"/>
    <cellStyle name="Normal 2 3 17 7" xfId="9335" xr:uid="{00000000-0005-0000-0000-0000F1560000}"/>
    <cellStyle name="Normal 2 3 17 7 2" xfId="38849" xr:uid="{00000000-0005-0000-0000-0000F2560000}"/>
    <cellStyle name="Normal 2 3 17 8" xfId="38850" xr:uid="{00000000-0005-0000-0000-0000F3560000}"/>
    <cellStyle name="Normal 2 3 17 8 2" xfId="38851" xr:uid="{00000000-0005-0000-0000-0000F4560000}"/>
    <cellStyle name="Normal 2 3 17 9" xfId="38852" xr:uid="{00000000-0005-0000-0000-0000F5560000}"/>
    <cellStyle name="Normal 2 3 18" xfId="9336" xr:uid="{00000000-0005-0000-0000-0000F6560000}"/>
    <cellStyle name="Normal 2 3 18 10" xfId="38853" xr:uid="{00000000-0005-0000-0000-0000F7560000}"/>
    <cellStyle name="Normal 2 3 18 11" xfId="38854" xr:uid="{00000000-0005-0000-0000-0000F8560000}"/>
    <cellStyle name="Normal 2 3 18 2" xfId="9337" xr:uid="{00000000-0005-0000-0000-0000F9560000}"/>
    <cellStyle name="Normal 2 3 18 2 10" xfId="38855" xr:uid="{00000000-0005-0000-0000-0000FA560000}"/>
    <cellStyle name="Normal 2 3 18 2 2" xfId="9338" xr:uid="{00000000-0005-0000-0000-0000FB560000}"/>
    <cellStyle name="Normal 2 3 18 2 2 2" xfId="9339" xr:uid="{00000000-0005-0000-0000-0000FC560000}"/>
    <cellStyle name="Normal 2 3 18 2 2 2 2" xfId="9340" xr:uid="{00000000-0005-0000-0000-0000FD560000}"/>
    <cellStyle name="Normal 2 3 18 2 2 2 2 2" xfId="38856" xr:uid="{00000000-0005-0000-0000-0000FE560000}"/>
    <cellStyle name="Normal 2 3 18 2 2 2 3" xfId="9341" xr:uid="{00000000-0005-0000-0000-0000FF560000}"/>
    <cellStyle name="Normal 2 3 18 2 2 2 3 2" xfId="38857" xr:uid="{00000000-0005-0000-0000-000000570000}"/>
    <cellStyle name="Normal 2 3 18 2 2 2 4" xfId="38858" xr:uid="{00000000-0005-0000-0000-000001570000}"/>
    <cellStyle name="Normal 2 3 18 2 2 3" xfId="9342" xr:uid="{00000000-0005-0000-0000-000002570000}"/>
    <cellStyle name="Normal 2 3 18 2 2 3 2" xfId="38859" xr:uid="{00000000-0005-0000-0000-000003570000}"/>
    <cellStyle name="Normal 2 3 18 2 2 4" xfId="9343" xr:uid="{00000000-0005-0000-0000-000004570000}"/>
    <cellStyle name="Normal 2 3 18 2 2 4 2" xfId="38860" xr:uid="{00000000-0005-0000-0000-000005570000}"/>
    <cellStyle name="Normal 2 3 18 2 2 5" xfId="9344" xr:uid="{00000000-0005-0000-0000-000006570000}"/>
    <cellStyle name="Normal 2 3 18 2 2 5 2" xfId="38861" xr:uid="{00000000-0005-0000-0000-000007570000}"/>
    <cellStyle name="Normal 2 3 18 2 2 6" xfId="38862" xr:uid="{00000000-0005-0000-0000-000008570000}"/>
    <cellStyle name="Normal 2 3 18 2 2 6 2" xfId="38863" xr:uid="{00000000-0005-0000-0000-000009570000}"/>
    <cellStyle name="Normal 2 3 18 2 2 7" xfId="38864" xr:uid="{00000000-0005-0000-0000-00000A570000}"/>
    <cellStyle name="Normal 2 3 18 2 3" xfId="9345" xr:uid="{00000000-0005-0000-0000-00000B570000}"/>
    <cellStyle name="Normal 2 3 18 2 3 2" xfId="9346" xr:uid="{00000000-0005-0000-0000-00000C570000}"/>
    <cellStyle name="Normal 2 3 18 2 3 2 2" xfId="38865" xr:uid="{00000000-0005-0000-0000-00000D570000}"/>
    <cellStyle name="Normal 2 3 18 2 3 3" xfId="9347" xr:uid="{00000000-0005-0000-0000-00000E570000}"/>
    <cellStyle name="Normal 2 3 18 2 3 3 2" xfId="38866" xr:uid="{00000000-0005-0000-0000-00000F570000}"/>
    <cellStyle name="Normal 2 3 18 2 3 4" xfId="38867" xr:uid="{00000000-0005-0000-0000-000010570000}"/>
    <cellStyle name="Normal 2 3 18 2 4" xfId="9348" xr:uid="{00000000-0005-0000-0000-000011570000}"/>
    <cellStyle name="Normal 2 3 18 2 4 2" xfId="9349" xr:uid="{00000000-0005-0000-0000-000012570000}"/>
    <cellStyle name="Normal 2 3 18 2 4 2 2" xfId="38868" xr:uid="{00000000-0005-0000-0000-000013570000}"/>
    <cellStyle name="Normal 2 3 18 2 4 3" xfId="38869" xr:uid="{00000000-0005-0000-0000-000014570000}"/>
    <cellStyle name="Normal 2 3 18 2 5" xfId="9350" xr:uid="{00000000-0005-0000-0000-000015570000}"/>
    <cellStyle name="Normal 2 3 18 2 5 2" xfId="38870" xr:uid="{00000000-0005-0000-0000-000016570000}"/>
    <cellStyle name="Normal 2 3 18 2 6" xfId="9351" xr:uid="{00000000-0005-0000-0000-000017570000}"/>
    <cellStyle name="Normal 2 3 18 2 6 2" xfId="38871" xr:uid="{00000000-0005-0000-0000-000018570000}"/>
    <cellStyle name="Normal 2 3 18 2 7" xfId="38872" xr:uid="{00000000-0005-0000-0000-000019570000}"/>
    <cellStyle name="Normal 2 3 18 2 7 2" xfId="38873" xr:uid="{00000000-0005-0000-0000-00001A570000}"/>
    <cellStyle name="Normal 2 3 18 2 8" xfId="38874" xr:uid="{00000000-0005-0000-0000-00001B570000}"/>
    <cellStyle name="Normal 2 3 18 2 9" xfId="38875" xr:uid="{00000000-0005-0000-0000-00001C570000}"/>
    <cellStyle name="Normal 2 3 18 3" xfId="9352" xr:uid="{00000000-0005-0000-0000-00001D570000}"/>
    <cellStyle name="Normal 2 3 18 3 2" xfId="9353" xr:uid="{00000000-0005-0000-0000-00001E570000}"/>
    <cellStyle name="Normal 2 3 18 3 2 2" xfId="9354" xr:uid="{00000000-0005-0000-0000-00001F570000}"/>
    <cellStyle name="Normal 2 3 18 3 2 2 2" xfId="38876" xr:uid="{00000000-0005-0000-0000-000020570000}"/>
    <cellStyle name="Normal 2 3 18 3 2 3" xfId="9355" xr:uid="{00000000-0005-0000-0000-000021570000}"/>
    <cellStyle name="Normal 2 3 18 3 2 3 2" xfId="38877" xr:uid="{00000000-0005-0000-0000-000022570000}"/>
    <cellStyle name="Normal 2 3 18 3 2 4" xfId="38878" xr:uid="{00000000-0005-0000-0000-000023570000}"/>
    <cellStyle name="Normal 2 3 18 3 3" xfId="9356" xr:uid="{00000000-0005-0000-0000-000024570000}"/>
    <cellStyle name="Normal 2 3 18 3 3 2" xfId="38879" xr:uid="{00000000-0005-0000-0000-000025570000}"/>
    <cellStyle name="Normal 2 3 18 3 4" xfId="9357" xr:uid="{00000000-0005-0000-0000-000026570000}"/>
    <cellStyle name="Normal 2 3 18 3 4 2" xfId="38880" xr:uid="{00000000-0005-0000-0000-000027570000}"/>
    <cellStyle name="Normal 2 3 18 3 5" xfId="9358" xr:uid="{00000000-0005-0000-0000-000028570000}"/>
    <cellStyle name="Normal 2 3 18 3 5 2" xfId="38881" xr:uid="{00000000-0005-0000-0000-000029570000}"/>
    <cellStyle name="Normal 2 3 18 3 6" xfId="38882" xr:uid="{00000000-0005-0000-0000-00002A570000}"/>
    <cellStyle name="Normal 2 3 18 3 6 2" xfId="38883" xr:uid="{00000000-0005-0000-0000-00002B570000}"/>
    <cellStyle name="Normal 2 3 18 3 7" xfId="38884" xr:uid="{00000000-0005-0000-0000-00002C570000}"/>
    <cellStyle name="Normal 2 3 18 4" xfId="9359" xr:uid="{00000000-0005-0000-0000-00002D570000}"/>
    <cellStyle name="Normal 2 3 18 4 2" xfId="9360" xr:uid="{00000000-0005-0000-0000-00002E570000}"/>
    <cellStyle name="Normal 2 3 18 4 2 2" xfId="38885" xr:uid="{00000000-0005-0000-0000-00002F570000}"/>
    <cellStyle name="Normal 2 3 18 4 3" xfId="9361" xr:uid="{00000000-0005-0000-0000-000030570000}"/>
    <cellStyle name="Normal 2 3 18 4 3 2" xfId="38886" xr:uid="{00000000-0005-0000-0000-000031570000}"/>
    <cellStyle name="Normal 2 3 18 4 4" xfId="38887" xr:uid="{00000000-0005-0000-0000-000032570000}"/>
    <cellStyle name="Normal 2 3 18 5" xfId="9362" xr:uid="{00000000-0005-0000-0000-000033570000}"/>
    <cellStyle name="Normal 2 3 18 5 2" xfId="9363" xr:uid="{00000000-0005-0000-0000-000034570000}"/>
    <cellStyle name="Normal 2 3 18 5 2 2" xfId="38888" xr:uid="{00000000-0005-0000-0000-000035570000}"/>
    <cellStyle name="Normal 2 3 18 5 3" xfId="38889" xr:uid="{00000000-0005-0000-0000-000036570000}"/>
    <cellStyle name="Normal 2 3 18 6" xfId="9364" xr:uid="{00000000-0005-0000-0000-000037570000}"/>
    <cellStyle name="Normal 2 3 18 6 2" xfId="38890" xr:uid="{00000000-0005-0000-0000-000038570000}"/>
    <cellStyle name="Normal 2 3 18 7" xfId="9365" xr:uid="{00000000-0005-0000-0000-000039570000}"/>
    <cellStyle name="Normal 2 3 18 7 2" xfId="38891" xr:uid="{00000000-0005-0000-0000-00003A570000}"/>
    <cellStyle name="Normal 2 3 18 8" xfId="38892" xr:uid="{00000000-0005-0000-0000-00003B570000}"/>
    <cellStyle name="Normal 2 3 18 8 2" xfId="38893" xr:uid="{00000000-0005-0000-0000-00003C570000}"/>
    <cellStyle name="Normal 2 3 18 9" xfId="38894" xr:uid="{00000000-0005-0000-0000-00003D570000}"/>
    <cellStyle name="Normal 2 3 19" xfId="9366" xr:uid="{00000000-0005-0000-0000-00003E570000}"/>
    <cellStyle name="Normal 2 3 19 10" xfId="38895" xr:uid="{00000000-0005-0000-0000-00003F570000}"/>
    <cellStyle name="Normal 2 3 19 11" xfId="38896" xr:uid="{00000000-0005-0000-0000-000040570000}"/>
    <cellStyle name="Normal 2 3 19 2" xfId="9367" xr:uid="{00000000-0005-0000-0000-000041570000}"/>
    <cellStyle name="Normal 2 3 19 2 10" xfId="38897" xr:uid="{00000000-0005-0000-0000-000042570000}"/>
    <cellStyle name="Normal 2 3 19 2 2" xfId="9368" xr:uid="{00000000-0005-0000-0000-000043570000}"/>
    <cellStyle name="Normal 2 3 19 2 2 2" xfId="9369" xr:uid="{00000000-0005-0000-0000-000044570000}"/>
    <cellStyle name="Normal 2 3 19 2 2 2 2" xfId="9370" xr:uid="{00000000-0005-0000-0000-000045570000}"/>
    <cellStyle name="Normal 2 3 19 2 2 2 2 2" xfId="38898" xr:uid="{00000000-0005-0000-0000-000046570000}"/>
    <cellStyle name="Normal 2 3 19 2 2 2 3" xfId="9371" xr:uid="{00000000-0005-0000-0000-000047570000}"/>
    <cellStyle name="Normal 2 3 19 2 2 2 3 2" xfId="38899" xr:uid="{00000000-0005-0000-0000-000048570000}"/>
    <cellStyle name="Normal 2 3 19 2 2 2 4" xfId="38900" xr:uid="{00000000-0005-0000-0000-000049570000}"/>
    <cellStyle name="Normal 2 3 19 2 2 3" xfId="9372" xr:uid="{00000000-0005-0000-0000-00004A570000}"/>
    <cellStyle name="Normal 2 3 19 2 2 3 2" xfId="38901" xr:uid="{00000000-0005-0000-0000-00004B570000}"/>
    <cellStyle name="Normal 2 3 19 2 2 4" xfId="9373" xr:uid="{00000000-0005-0000-0000-00004C570000}"/>
    <cellStyle name="Normal 2 3 19 2 2 4 2" xfId="38902" xr:uid="{00000000-0005-0000-0000-00004D570000}"/>
    <cellStyle name="Normal 2 3 19 2 2 5" xfId="9374" xr:uid="{00000000-0005-0000-0000-00004E570000}"/>
    <cellStyle name="Normal 2 3 19 2 2 5 2" xfId="38903" xr:uid="{00000000-0005-0000-0000-00004F570000}"/>
    <cellStyle name="Normal 2 3 19 2 2 6" xfId="38904" xr:uid="{00000000-0005-0000-0000-000050570000}"/>
    <cellStyle name="Normal 2 3 19 2 2 6 2" xfId="38905" xr:uid="{00000000-0005-0000-0000-000051570000}"/>
    <cellStyle name="Normal 2 3 19 2 2 7" xfId="38906" xr:uid="{00000000-0005-0000-0000-000052570000}"/>
    <cellStyle name="Normal 2 3 19 2 3" xfId="9375" xr:uid="{00000000-0005-0000-0000-000053570000}"/>
    <cellStyle name="Normal 2 3 19 2 3 2" xfId="9376" xr:uid="{00000000-0005-0000-0000-000054570000}"/>
    <cellStyle name="Normal 2 3 19 2 3 2 2" xfId="38907" xr:uid="{00000000-0005-0000-0000-000055570000}"/>
    <cellStyle name="Normal 2 3 19 2 3 3" xfId="9377" xr:uid="{00000000-0005-0000-0000-000056570000}"/>
    <cellStyle name="Normal 2 3 19 2 3 3 2" xfId="38908" xr:uid="{00000000-0005-0000-0000-000057570000}"/>
    <cellStyle name="Normal 2 3 19 2 3 4" xfId="38909" xr:uid="{00000000-0005-0000-0000-000058570000}"/>
    <cellStyle name="Normal 2 3 19 2 4" xfId="9378" xr:uid="{00000000-0005-0000-0000-000059570000}"/>
    <cellStyle name="Normal 2 3 19 2 4 2" xfId="9379" xr:uid="{00000000-0005-0000-0000-00005A570000}"/>
    <cellStyle name="Normal 2 3 19 2 4 2 2" xfId="38910" xr:uid="{00000000-0005-0000-0000-00005B570000}"/>
    <cellStyle name="Normal 2 3 19 2 4 3" xfId="38911" xr:uid="{00000000-0005-0000-0000-00005C570000}"/>
    <cellStyle name="Normal 2 3 19 2 5" xfId="9380" xr:uid="{00000000-0005-0000-0000-00005D570000}"/>
    <cellStyle name="Normal 2 3 19 2 5 2" xfId="38912" xr:uid="{00000000-0005-0000-0000-00005E570000}"/>
    <cellStyle name="Normal 2 3 19 2 6" xfId="9381" xr:uid="{00000000-0005-0000-0000-00005F570000}"/>
    <cellStyle name="Normal 2 3 19 2 6 2" xfId="38913" xr:uid="{00000000-0005-0000-0000-000060570000}"/>
    <cellStyle name="Normal 2 3 19 2 7" xfId="38914" xr:uid="{00000000-0005-0000-0000-000061570000}"/>
    <cellStyle name="Normal 2 3 19 2 7 2" xfId="38915" xr:uid="{00000000-0005-0000-0000-000062570000}"/>
    <cellStyle name="Normal 2 3 19 2 8" xfId="38916" xr:uid="{00000000-0005-0000-0000-000063570000}"/>
    <cellStyle name="Normal 2 3 19 2 9" xfId="38917" xr:uid="{00000000-0005-0000-0000-000064570000}"/>
    <cellStyle name="Normal 2 3 19 3" xfId="9382" xr:uid="{00000000-0005-0000-0000-000065570000}"/>
    <cellStyle name="Normal 2 3 19 3 2" xfId="9383" xr:uid="{00000000-0005-0000-0000-000066570000}"/>
    <cellStyle name="Normal 2 3 19 3 2 2" xfId="9384" xr:uid="{00000000-0005-0000-0000-000067570000}"/>
    <cellStyle name="Normal 2 3 19 3 2 2 2" xfId="38918" xr:uid="{00000000-0005-0000-0000-000068570000}"/>
    <cellStyle name="Normal 2 3 19 3 2 3" xfId="9385" xr:uid="{00000000-0005-0000-0000-000069570000}"/>
    <cellStyle name="Normal 2 3 19 3 2 3 2" xfId="38919" xr:uid="{00000000-0005-0000-0000-00006A570000}"/>
    <cellStyle name="Normal 2 3 19 3 2 4" xfId="38920" xr:uid="{00000000-0005-0000-0000-00006B570000}"/>
    <cellStyle name="Normal 2 3 19 3 3" xfId="9386" xr:uid="{00000000-0005-0000-0000-00006C570000}"/>
    <cellStyle name="Normal 2 3 19 3 3 2" xfId="38921" xr:uid="{00000000-0005-0000-0000-00006D570000}"/>
    <cellStyle name="Normal 2 3 19 3 4" xfId="9387" xr:uid="{00000000-0005-0000-0000-00006E570000}"/>
    <cellStyle name="Normal 2 3 19 3 4 2" xfId="38922" xr:uid="{00000000-0005-0000-0000-00006F570000}"/>
    <cellStyle name="Normal 2 3 19 3 5" xfId="9388" xr:uid="{00000000-0005-0000-0000-000070570000}"/>
    <cellStyle name="Normal 2 3 19 3 5 2" xfId="38923" xr:uid="{00000000-0005-0000-0000-000071570000}"/>
    <cellStyle name="Normal 2 3 19 3 6" xfId="38924" xr:uid="{00000000-0005-0000-0000-000072570000}"/>
    <cellStyle name="Normal 2 3 19 3 6 2" xfId="38925" xr:uid="{00000000-0005-0000-0000-000073570000}"/>
    <cellStyle name="Normal 2 3 19 3 7" xfId="38926" xr:uid="{00000000-0005-0000-0000-000074570000}"/>
    <cellStyle name="Normal 2 3 19 4" xfId="9389" xr:uid="{00000000-0005-0000-0000-000075570000}"/>
    <cellStyle name="Normal 2 3 19 4 2" xfId="9390" xr:uid="{00000000-0005-0000-0000-000076570000}"/>
    <cellStyle name="Normal 2 3 19 4 2 2" xfId="38927" xr:uid="{00000000-0005-0000-0000-000077570000}"/>
    <cellStyle name="Normal 2 3 19 4 3" xfId="9391" xr:uid="{00000000-0005-0000-0000-000078570000}"/>
    <cellStyle name="Normal 2 3 19 4 3 2" xfId="38928" xr:uid="{00000000-0005-0000-0000-000079570000}"/>
    <cellStyle name="Normal 2 3 19 4 4" xfId="38929" xr:uid="{00000000-0005-0000-0000-00007A570000}"/>
    <cellStyle name="Normal 2 3 19 5" xfId="9392" xr:uid="{00000000-0005-0000-0000-00007B570000}"/>
    <cellStyle name="Normal 2 3 19 5 2" xfId="9393" xr:uid="{00000000-0005-0000-0000-00007C570000}"/>
    <cellStyle name="Normal 2 3 19 5 2 2" xfId="38930" xr:uid="{00000000-0005-0000-0000-00007D570000}"/>
    <cellStyle name="Normal 2 3 19 5 3" xfId="38931" xr:uid="{00000000-0005-0000-0000-00007E570000}"/>
    <cellStyle name="Normal 2 3 19 6" xfId="9394" xr:uid="{00000000-0005-0000-0000-00007F570000}"/>
    <cellStyle name="Normal 2 3 19 6 2" xfId="38932" xr:uid="{00000000-0005-0000-0000-000080570000}"/>
    <cellStyle name="Normal 2 3 19 7" xfId="9395" xr:uid="{00000000-0005-0000-0000-000081570000}"/>
    <cellStyle name="Normal 2 3 19 7 2" xfId="38933" xr:uid="{00000000-0005-0000-0000-000082570000}"/>
    <cellStyle name="Normal 2 3 19 8" xfId="38934" xr:uid="{00000000-0005-0000-0000-000083570000}"/>
    <cellStyle name="Normal 2 3 19 8 2" xfId="38935" xr:uid="{00000000-0005-0000-0000-000084570000}"/>
    <cellStyle name="Normal 2 3 19 9" xfId="38936" xr:uid="{00000000-0005-0000-0000-000085570000}"/>
    <cellStyle name="Normal 2 3 2" xfId="9396" xr:uid="{00000000-0005-0000-0000-000086570000}"/>
    <cellStyle name="Normal 2 3 2 10" xfId="9397" xr:uid="{00000000-0005-0000-0000-000087570000}"/>
    <cellStyle name="Normal 2 3 2 10 10" xfId="38937" xr:uid="{00000000-0005-0000-0000-000088570000}"/>
    <cellStyle name="Normal 2 3 2 10 11" xfId="38938" xr:uid="{00000000-0005-0000-0000-000089570000}"/>
    <cellStyle name="Normal 2 3 2 10 2" xfId="9398" xr:uid="{00000000-0005-0000-0000-00008A570000}"/>
    <cellStyle name="Normal 2 3 2 10 2 10" xfId="38939" xr:uid="{00000000-0005-0000-0000-00008B570000}"/>
    <cellStyle name="Normal 2 3 2 10 2 2" xfId="9399" xr:uid="{00000000-0005-0000-0000-00008C570000}"/>
    <cellStyle name="Normal 2 3 2 10 2 2 2" xfId="9400" xr:uid="{00000000-0005-0000-0000-00008D570000}"/>
    <cellStyle name="Normal 2 3 2 10 2 2 2 2" xfId="9401" xr:uid="{00000000-0005-0000-0000-00008E570000}"/>
    <cellStyle name="Normal 2 3 2 10 2 2 2 2 2" xfId="38940" xr:uid="{00000000-0005-0000-0000-00008F570000}"/>
    <cellStyle name="Normal 2 3 2 10 2 2 2 3" xfId="9402" xr:uid="{00000000-0005-0000-0000-000090570000}"/>
    <cellStyle name="Normal 2 3 2 10 2 2 2 3 2" xfId="38941" xr:uid="{00000000-0005-0000-0000-000091570000}"/>
    <cellStyle name="Normal 2 3 2 10 2 2 2 4" xfId="38942" xr:uid="{00000000-0005-0000-0000-000092570000}"/>
    <cellStyle name="Normal 2 3 2 10 2 2 3" xfId="9403" xr:uid="{00000000-0005-0000-0000-000093570000}"/>
    <cellStyle name="Normal 2 3 2 10 2 2 3 2" xfId="38943" xr:uid="{00000000-0005-0000-0000-000094570000}"/>
    <cellStyle name="Normal 2 3 2 10 2 2 4" xfId="9404" xr:uid="{00000000-0005-0000-0000-000095570000}"/>
    <cellStyle name="Normal 2 3 2 10 2 2 4 2" xfId="38944" xr:uid="{00000000-0005-0000-0000-000096570000}"/>
    <cellStyle name="Normal 2 3 2 10 2 2 5" xfId="9405" xr:uid="{00000000-0005-0000-0000-000097570000}"/>
    <cellStyle name="Normal 2 3 2 10 2 2 5 2" xfId="38945" xr:uid="{00000000-0005-0000-0000-000098570000}"/>
    <cellStyle name="Normal 2 3 2 10 2 2 6" xfId="38946" xr:uid="{00000000-0005-0000-0000-000099570000}"/>
    <cellStyle name="Normal 2 3 2 10 2 2 6 2" xfId="38947" xr:uid="{00000000-0005-0000-0000-00009A570000}"/>
    <cellStyle name="Normal 2 3 2 10 2 2 7" xfId="38948" xr:uid="{00000000-0005-0000-0000-00009B570000}"/>
    <cellStyle name="Normal 2 3 2 10 2 3" xfId="9406" xr:uid="{00000000-0005-0000-0000-00009C570000}"/>
    <cellStyle name="Normal 2 3 2 10 2 3 2" xfId="9407" xr:uid="{00000000-0005-0000-0000-00009D570000}"/>
    <cellStyle name="Normal 2 3 2 10 2 3 2 2" xfId="38949" xr:uid="{00000000-0005-0000-0000-00009E570000}"/>
    <cellStyle name="Normal 2 3 2 10 2 3 3" xfId="9408" xr:uid="{00000000-0005-0000-0000-00009F570000}"/>
    <cellStyle name="Normal 2 3 2 10 2 3 3 2" xfId="38950" xr:uid="{00000000-0005-0000-0000-0000A0570000}"/>
    <cellStyle name="Normal 2 3 2 10 2 3 4" xfId="38951" xr:uid="{00000000-0005-0000-0000-0000A1570000}"/>
    <cellStyle name="Normal 2 3 2 10 2 4" xfId="9409" xr:uid="{00000000-0005-0000-0000-0000A2570000}"/>
    <cellStyle name="Normal 2 3 2 10 2 4 2" xfId="9410" xr:uid="{00000000-0005-0000-0000-0000A3570000}"/>
    <cellStyle name="Normal 2 3 2 10 2 4 2 2" xfId="38952" xr:uid="{00000000-0005-0000-0000-0000A4570000}"/>
    <cellStyle name="Normal 2 3 2 10 2 4 3" xfId="38953" xr:uid="{00000000-0005-0000-0000-0000A5570000}"/>
    <cellStyle name="Normal 2 3 2 10 2 5" xfId="9411" xr:uid="{00000000-0005-0000-0000-0000A6570000}"/>
    <cellStyle name="Normal 2 3 2 10 2 5 2" xfId="38954" xr:uid="{00000000-0005-0000-0000-0000A7570000}"/>
    <cellStyle name="Normal 2 3 2 10 2 6" xfId="9412" xr:uid="{00000000-0005-0000-0000-0000A8570000}"/>
    <cellStyle name="Normal 2 3 2 10 2 6 2" xfId="38955" xr:uid="{00000000-0005-0000-0000-0000A9570000}"/>
    <cellStyle name="Normal 2 3 2 10 2 7" xfId="38956" xr:uid="{00000000-0005-0000-0000-0000AA570000}"/>
    <cellStyle name="Normal 2 3 2 10 2 7 2" xfId="38957" xr:uid="{00000000-0005-0000-0000-0000AB570000}"/>
    <cellStyle name="Normal 2 3 2 10 2 8" xfId="38958" xr:uid="{00000000-0005-0000-0000-0000AC570000}"/>
    <cellStyle name="Normal 2 3 2 10 2 9" xfId="38959" xr:uid="{00000000-0005-0000-0000-0000AD570000}"/>
    <cellStyle name="Normal 2 3 2 10 3" xfId="9413" xr:uid="{00000000-0005-0000-0000-0000AE570000}"/>
    <cellStyle name="Normal 2 3 2 10 3 2" xfId="9414" xr:uid="{00000000-0005-0000-0000-0000AF570000}"/>
    <cellStyle name="Normal 2 3 2 10 3 2 2" xfId="9415" xr:uid="{00000000-0005-0000-0000-0000B0570000}"/>
    <cellStyle name="Normal 2 3 2 10 3 2 2 2" xfId="38960" xr:uid="{00000000-0005-0000-0000-0000B1570000}"/>
    <cellStyle name="Normal 2 3 2 10 3 2 3" xfId="9416" xr:uid="{00000000-0005-0000-0000-0000B2570000}"/>
    <cellStyle name="Normal 2 3 2 10 3 2 3 2" xfId="38961" xr:uid="{00000000-0005-0000-0000-0000B3570000}"/>
    <cellStyle name="Normal 2 3 2 10 3 2 4" xfId="38962" xr:uid="{00000000-0005-0000-0000-0000B4570000}"/>
    <cellStyle name="Normal 2 3 2 10 3 3" xfId="9417" xr:uid="{00000000-0005-0000-0000-0000B5570000}"/>
    <cellStyle name="Normal 2 3 2 10 3 3 2" xfId="38963" xr:uid="{00000000-0005-0000-0000-0000B6570000}"/>
    <cellStyle name="Normal 2 3 2 10 3 4" xfId="9418" xr:uid="{00000000-0005-0000-0000-0000B7570000}"/>
    <cellStyle name="Normal 2 3 2 10 3 4 2" xfId="38964" xr:uid="{00000000-0005-0000-0000-0000B8570000}"/>
    <cellStyle name="Normal 2 3 2 10 3 5" xfId="9419" xr:uid="{00000000-0005-0000-0000-0000B9570000}"/>
    <cellStyle name="Normal 2 3 2 10 3 5 2" xfId="38965" xr:uid="{00000000-0005-0000-0000-0000BA570000}"/>
    <cellStyle name="Normal 2 3 2 10 3 6" xfId="38966" xr:uid="{00000000-0005-0000-0000-0000BB570000}"/>
    <cellStyle name="Normal 2 3 2 10 3 6 2" xfId="38967" xr:uid="{00000000-0005-0000-0000-0000BC570000}"/>
    <cellStyle name="Normal 2 3 2 10 3 7" xfId="38968" xr:uid="{00000000-0005-0000-0000-0000BD570000}"/>
    <cellStyle name="Normal 2 3 2 10 4" xfId="9420" xr:uid="{00000000-0005-0000-0000-0000BE570000}"/>
    <cellStyle name="Normal 2 3 2 10 4 2" xfId="9421" xr:uid="{00000000-0005-0000-0000-0000BF570000}"/>
    <cellStyle name="Normal 2 3 2 10 4 2 2" xfId="38969" xr:uid="{00000000-0005-0000-0000-0000C0570000}"/>
    <cellStyle name="Normal 2 3 2 10 4 3" xfId="9422" xr:uid="{00000000-0005-0000-0000-0000C1570000}"/>
    <cellStyle name="Normal 2 3 2 10 4 3 2" xfId="38970" xr:uid="{00000000-0005-0000-0000-0000C2570000}"/>
    <cellStyle name="Normal 2 3 2 10 4 4" xfId="38971" xr:uid="{00000000-0005-0000-0000-0000C3570000}"/>
    <cellStyle name="Normal 2 3 2 10 5" xfId="9423" xr:uid="{00000000-0005-0000-0000-0000C4570000}"/>
    <cellStyle name="Normal 2 3 2 10 5 2" xfId="9424" xr:uid="{00000000-0005-0000-0000-0000C5570000}"/>
    <cellStyle name="Normal 2 3 2 10 5 2 2" xfId="38972" xr:uid="{00000000-0005-0000-0000-0000C6570000}"/>
    <cellStyle name="Normal 2 3 2 10 5 3" xfId="38973" xr:uid="{00000000-0005-0000-0000-0000C7570000}"/>
    <cellStyle name="Normal 2 3 2 10 6" xfId="9425" xr:uid="{00000000-0005-0000-0000-0000C8570000}"/>
    <cellStyle name="Normal 2 3 2 10 6 2" xfId="38974" xr:uid="{00000000-0005-0000-0000-0000C9570000}"/>
    <cellStyle name="Normal 2 3 2 10 7" xfId="9426" xr:uid="{00000000-0005-0000-0000-0000CA570000}"/>
    <cellStyle name="Normal 2 3 2 10 7 2" xfId="38975" xr:uid="{00000000-0005-0000-0000-0000CB570000}"/>
    <cellStyle name="Normal 2 3 2 10 8" xfId="38976" xr:uid="{00000000-0005-0000-0000-0000CC570000}"/>
    <cellStyle name="Normal 2 3 2 10 8 2" xfId="38977" xr:uid="{00000000-0005-0000-0000-0000CD570000}"/>
    <cellStyle name="Normal 2 3 2 10 9" xfId="38978" xr:uid="{00000000-0005-0000-0000-0000CE570000}"/>
    <cellStyle name="Normal 2 3 2 11" xfId="9427" xr:uid="{00000000-0005-0000-0000-0000CF570000}"/>
    <cellStyle name="Normal 2 3 2 11 10" xfId="38979" xr:uid="{00000000-0005-0000-0000-0000D0570000}"/>
    <cellStyle name="Normal 2 3 2 11 11" xfId="38980" xr:uid="{00000000-0005-0000-0000-0000D1570000}"/>
    <cellStyle name="Normal 2 3 2 11 2" xfId="9428" xr:uid="{00000000-0005-0000-0000-0000D2570000}"/>
    <cellStyle name="Normal 2 3 2 11 2 10" xfId="38981" xr:uid="{00000000-0005-0000-0000-0000D3570000}"/>
    <cellStyle name="Normal 2 3 2 11 2 2" xfId="9429" xr:uid="{00000000-0005-0000-0000-0000D4570000}"/>
    <cellStyle name="Normal 2 3 2 11 2 2 2" xfId="9430" xr:uid="{00000000-0005-0000-0000-0000D5570000}"/>
    <cellStyle name="Normal 2 3 2 11 2 2 2 2" xfId="9431" xr:uid="{00000000-0005-0000-0000-0000D6570000}"/>
    <cellStyle name="Normal 2 3 2 11 2 2 2 2 2" xfId="38982" xr:uid="{00000000-0005-0000-0000-0000D7570000}"/>
    <cellStyle name="Normal 2 3 2 11 2 2 2 3" xfId="9432" xr:uid="{00000000-0005-0000-0000-0000D8570000}"/>
    <cellStyle name="Normal 2 3 2 11 2 2 2 3 2" xfId="38983" xr:uid="{00000000-0005-0000-0000-0000D9570000}"/>
    <cellStyle name="Normal 2 3 2 11 2 2 2 4" xfId="38984" xr:uid="{00000000-0005-0000-0000-0000DA570000}"/>
    <cellStyle name="Normal 2 3 2 11 2 2 3" xfId="9433" xr:uid="{00000000-0005-0000-0000-0000DB570000}"/>
    <cellStyle name="Normal 2 3 2 11 2 2 3 2" xfId="38985" xr:uid="{00000000-0005-0000-0000-0000DC570000}"/>
    <cellStyle name="Normal 2 3 2 11 2 2 4" xfId="9434" xr:uid="{00000000-0005-0000-0000-0000DD570000}"/>
    <cellStyle name="Normal 2 3 2 11 2 2 4 2" xfId="38986" xr:uid="{00000000-0005-0000-0000-0000DE570000}"/>
    <cellStyle name="Normal 2 3 2 11 2 2 5" xfId="9435" xr:uid="{00000000-0005-0000-0000-0000DF570000}"/>
    <cellStyle name="Normal 2 3 2 11 2 2 5 2" xfId="38987" xr:uid="{00000000-0005-0000-0000-0000E0570000}"/>
    <cellStyle name="Normal 2 3 2 11 2 2 6" xfId="38988" xr:uid="{00000000-0005-0000-0000-0000E1570000}"/>
    <cellStyle name="Normal 2 3 2 11 2 2 6 2" xfId="38989" xr:uid="{00000000-0005-0000-0000-0000E2570000}"/>
    <cellStyle name="Normal 2 3 2 11 2 2 7" xfId="38990" xr:uid="{00000000-0005-0000-0000-0000E3570000}"/>
    <cellStyle name="Normal 2 3 2 11 2 3" xfId="9436" xr:uid="{00000000-0005-0000-0000-0000E4570000}"/>
    <cellStyle name="Normal 2 3 2 11 2 3 2" xfId="9437" xr:uid="{00000000-0005-0000-0000-0000E5570000}"/>
    <cellStyle name="Normal 2 3 2 11 2 3 2 2" xfId="38991" xr:uid="{00000000-0005-0000-0000-0000E6570000}"/>
    <cellStyle name="Normal 2 3 2 11 2 3 3" xfId="9438" xr:uid="{00000000-0005-0000-0000-0000E7570000}"/>
    <cellStyle name="Normal 2 3 2 11 2 3 3 2" xfId="38992" xr:uid="{00000000-0005-0000-0000-0000E8570000}"/>
    <cellStyle name="Normal 2 3 2 11 2 3 4" xfId="38993" xr:uid="{00000000-0005-0000-0000-0000E9570000}"/>
    <cellStyle name="Normal 2 3 2 11 2 4" xfId="9439" xr:uid="{00000000-0005-0000-0000-0000EA570000}"/>
    <cellStyle name="Normal 2 3 2 11 2 4 2" xfId="9440" xr:uid="{00000000-0005-0000-0000-0000EB570000}"/>
    <cellStyle name="Normal 2 3 2 11 2 4 2 2" xfId="38994" xr:uid="{00000000-0005-0000-0000-0000EC570000}"/>
    <cellStyle name="Normal 2 3 2 11 2 4 3" xfId="38995" xr:uid="{00000000-0005-0000-0000-0000ED570000}"/>
    <cellStyle name="Normal 2 3 2 11 2 5" xfId="9441" xr:uid="{00000000-0005-0000-0000-0000EE570000}"/>
    <cellStyle name="Normal 2 3 2 11 2 5 2" xfId="38996" xr:uid="{00000000-0005-0000-0000-0000EF570000}"/>
    <cellStyle name="Normal 2 3 2 11 2 6" xfId="9442" xr:uid="{00000000-0005-0000-0000-0000F0570000}"/>
    <cellStyle name="Normal 2 3 2 11 2 6 2" xfId="38997" xr:uid="{00000000-0005-0000-0000-0000F1570000}"/>
    <cellStyle name="Normal 2 3 2 11 2 7" xfId="38998" xr:uid="{00000000-0005-0000-0000-0000F2570000}"/>
    <cellStyle name="Normal 2 3 2 11 2 7 2" xfId="38999" xr:uid="{00000000-0005-0000-0000-0000F3570000}"/>
    <cellStyle name="Normal 2 3 2 11 2 8" xfId="39000" xr:uid="{00000000-0005-0000-0000-0000F4570000}"/>
    <cellStyle name="Normal 2 3 2 11 2 9" xfId="39001" xr:uid="{00000000-0005-0000-0000-0000F5570000}"/>
    <cellStyle name="Normal 2 3 2 11 3" xfId="9443" xr:uid="{00000000-0005-0000-0000-0000F6570000}"/>
    <cellStyle name="Normal 2 3 2 11 3 2" xfId="9444" xr:uid="{00000000-0005-0000-0000-0000F7570000}"/>
    <cellStyle name="Normal 2 3 2 11 3 2 2" xfId="9445" xr:uid="{00000000-0005-0000-0000-0000F8570000}"/>
    <cellStyle name="Normal 2 3 2 11 3 2 2 2" xfId="39002" xr:uid="{00000000-0005-0000-0000-0000F9570000}"/>
    <cellStyle name="Normal 2 3 2 11 3 2 3" xfId="9446" xr:uid="{00000000-0005-0000-0000-0000FA570000}"/>
    <cellStyle name="Normal 2 3 2 11 3 2 3 2" xfId="39003" xr:uid="{00000000-0005-0000-0000-0000FB570000}"/>
    <cellStyle name="Normal 2 3 2 11 3 2 4" xfId="39004" xr:uid="{00000000-0005-0000-0000-0000FC570000}"/>
    <cellStyle name="Normal 2 3 2 11 3 3" xfId="9447" xr:uid="{00000000-0005-0000-0000-0000FD570000}"/>
    <cellStyle name="Normal 2 3 2 11 3 3 2" xfId="39005" xr:uid="{00000000-0005-0000-0000-0000FE570000}"/>
    <cellStyle name="Normal 2 3 2 11 3 4" xfId="9448" xr:uid="{00000000-0005-0000-0000-0000FF570000}"/>
    <cellStyle name="Normal 2 3 2 11 3 4 2" xfId="39006" xr:uid="{00000000-0005-0000-0000-000000580000}"/>
    <cellStyle name="Normal 2 3 2 11 3 5" xfId="9449" xr:uid="{00000000-0005-0000-0000-000001580000}"/>
    <cellStyle name="Normal 2 3 2 11 3 5 2" xfId="39007" xr:uid="{00000000-0005-0000-0000-000002580000}"/>
    <cellStyle name="Normal 2 3 2 11 3 6" xfId="39008" xr:uid="{00000000-0005-0000-0000-000003580000}"/>
    <cellStyle name="Normal 2 3 2 11 3 6 2" xfId="39009" xr:uid="{00000000-0005-0000-0000-000004580000}"/>
    <cellStyle name="Normal 2 3 2 11 3 7" xfId="39010" xr:uid="{00000000-0005-0000-0000-000005580000}"/>
    <cellStyle name="Normal 2 3 2 11 4" xfId="9450" xr:uid="{00000000-0005-0000-0000-000006580000}"/>
    <cellStyle name="Normal 2 3 2 11 4 2" xfId="9451" xr:uid="{00000000-0005-0000-0000-000007580000}"/>
    <cellStyle name="Normal 2 3 2 11 4 2 2" xfId="39011" xr:uid="{00000000-0005-0000-0000-000008580000}"/>
    <cellStyle name="Normal 2 3 2 11 4 3" xfId="9452" xr:uid="{00000000-0005-0000-0000-000009580000}"/>
    <cellStyle name="Normal 2 3 2 11 4 3 2" xfId="39012" xr:uid="{00000000-0005-0000-0000-00000A580000}"/>
    <cellStyle name="Normal 2 3 2 11 4 4" xfId="39013" xr:uid="{00000000-0005-0000-0000-00000B580000}"/>
    <cellStyle name="Normal 2 3 2 11 5" xfId="9453" xr:uid="{00000000-0005-0000-0000-00000C580000}"/>
    <cellStyle name="Normal 2 3 2 11 5 2" xfId="9454" xr:uid="{00000000-0005-0000-0000-00000D580000}"/>
    <cellStyle name="Normal 2 3 2 11 5 2 2" xfId="39014" xr:uid="{00000000-0005-0000-0000-00000E580000}"/>
    <cellStyle name="Normal 2 3 2 11 5 3" xfId="39015" xr:uid="{00000000-0005-0000-0000-00000F580000}"/>
    <cellStyle name="Normal 2 3 2 11 6" xfId="9455" xr:uid="{00000000-0005-0000-0000-000010580000}"/>
    <cellStyle name="Normal 2 3 2 11 6 2" xfId="39016" xr:uid="{00000000-0005-0000-0000-000011580000}"/>
    <cellStyle name="Normal 2 3 2 11 7" xfId="9456" xr:uid="{00000000-0005-0000-0000-000012580000}"/>
    <cellStyle name="Normal 2 3 2 11 7 2" xfId="39017" xr:uid="{00000000-0005-0000-0000-000013580000}"/>
    <cellStyle name="Normal 2 3 2 11 8" xfId="39018" xr:uid="{00000000-0005-0000-0000-000014580000}"/>
    <cellStyle name="Normal 2 3 2 11 8 2" xfId="39019" xr:uid="{00000000-0005-0000-0000-000015580000}"/>
    <cellStyle name="Normal 2 3 2 11 9" xfId="39020" xr:uid="{00000000-0005-0000-0000-000016580000}"/>
    <cellStyle name="Normal 2 3 2 12" xfId="9457" xr:uid="{00000000-0005-0000-0000-000017580000}"/>
    <cellStyle name="Normal 2 3 2 12 10" xfId="39021" xr:uid="{00000000-0005-0000-0000-000018580000}"/>
    <cellStyle name="Normal 2 3 2 12 11" xfId="39022" xr:uid="{00000000-0005-0000-0000-000019580000}"/>
    <cellStyle name="Normal 2 3 2 12 2" xfId="9458" xr:uid="{00000000-0005-0000-0000-00001A580000}"/>
    <cellStyle name="Normal 2 3 2 12 2 10" xfId="39023" xr:uid="{00000000-0005-0000-0000-00001B580000}"/>
    <cellStyle name="Normal 2 3 2 12 2 2" xfId="9459" xr:uid="{00000000-0005-0000-0000-00001C580000}"/>
    <cellStyle name="Normal 2 3 2 12 2 2 2" xfId="9460" xr:uid="{00000000-0005-0000-0000-00001D580000}"/>
    <cellStyle name="Normal 2 3 2 12 2 2 2 2" xfId="9461" xr:uid="{00000000-0005-0000-0000-00001E580000}"/>
    <cellStyle name="Normal 2 3 2 12 2 2 2 2 2" xfId="39024" xr:uid="{00000000-0005-0000-0000-00001F580000}"/>
    <cellStyle name="Normal 2 3 2 12 2 2 2 3" xfId="9462" xr:uid="{00000000-0005-0000-0000-000020580000}"/>
    <cellStyle name="Normal 2 3 2 12 2 2 2 3 2" xfId="39025" xr:uid="{00000000-0005-0000-0000-000021580000}"/>
    <cellStyle name="Normal 2 3 2 12 2 2 2 4" xfId="39026" xr:uid="{00000000-0005-0000-0000-000022580000}"/>
    <cellStyle name="Normal 2 3 2 12 2 2 3" xfId="9463" xr:uid="{00000000-0005-0000-0000-000023580000}"/>
    <cellStyle name="Normal 2 3 2 12 2 2 3 2" xfId="39027" xr:uid="{00000000-0005-0000-0000-000024580000}"/>
    <cellStyle name="Normal 2 3 2 12 2 2 4" xfId="9464" xr:uid="{00000000-0005-0000-0000-000025580000}"/>
    <cellStyle name="Normal 2 3 2 12 2 2 4 2" xfId="39028" xr:uid="{00000000-0005-0000-0000-000026580000}"/>
    <cellStyle name="Normal 2 3 2 12 2 2 5" xfId="9465" xr:uid="{00000000-0005-0000-0000-000027580000}"/>
    <cellStyle name="Normal 2 3 2 12 2 2 5 2" xfId="39029" xr:uid="{00000000-0005-0000-0000-000028580000}"/>
    <cellStyle name="Normal 2 3 2 12 2 2 6" xfId="39030" xr:uid="{00000000-0005-0000-0000-000029580000}"/>
    <cellStyle name="Normal 2 3 2 12 2 2 6 2" xfId="39031" xr:uid="{00000000-0005-0000-0000-00002A580000}"/>
    <cellStyle name="Normal 2 3 2 12 2 2 7" xfId="39032" xr:uid="{00000000-0005-0000-0000-00002B580000}"/>
    <cellStyle name="Normal 2 3 2 12 2 3" xfId="9466" xr:uid="{00000000-0005-0000-0000-00002C580000}"/>
    <cellStyle name="Normal 2 3 2 12 2 3 2" xfId="9467" xr:uid="{00000000-0005-0000-0000-00002D580000}"/>
    <cellStyle name="Normal 2 3 2 12 2 3 2 2" xfId="39033" xr:uid="{00000000-0005-0000-0000-00002E580000}"/>
    <cellStyle name="Normal 2 3 2 12 2 3 3" xfId="9468" xr:uid="{00000000-0005-0000-0000-00002F580000}"/>
    <cellStyle name="Normal 2 3 2 12 2 3 3 2" xfId="39034" xr:uid="{00000000-0005-0000-0000-000030580000}"/>
    <cellStyle name="Normal 2 3 2 12 2 3 4" xfId="39035" xr:uid="{00000000-0005-0000-0000-000031580000}"/>
    <cellStyle name="Normal 2 3 2 12 2 4" xfId="9469" xr:uid="{00000000-0005-0000-0000-000032580000}"/>
    <cellStyle name="Normal 2 3 2 12 2 4 2" xfId="9470" xr:uid="{00000000-0005-0000-0000-000033580000}"/>
    <cellStyle name="Normal 2 3 2 12 2 4 2 2" xfId="39036" xr:uid="{00000000-0005-0000-0000-000034580000}"/>
    <cellStyle name="Normal 2 3 2 12 2 4 3" xfId="39037" xr:uid="{00000000-0005-0000-0000-000035580000}"/>
    <cellStyle name="Normal 2 3 2 12 2 5" xfId="9471" xr:uid="{00000000-0005-0000-0000-000036580000}"/>
    <cellStyle name="Normal 2 3 2 12 2 5 2" xfId="39038" xr:uid="{00000000-0005-0000-0000-000037580000}"/>
    <cellStyle name="Normal 2 3 2 12 2 6" xfId="9472" xr:uid="{00000000-0005-0000-0000-000038580000}"/>
    <cellStyle name="Normal 2 3 2 12 2 6 2" xfId="39039" xr:uid="{00000000-0005-0000-0000-000039580000}"/>
    <cellStyle name="Normal 2 3 2 12 2 7" xfId="39040" xr:uid="{00000000-0005-0000-0000-00003A580000}"/>
    <cellStyle name="Normal 2 3 2 12 2 7 2" xfId="39041" xr:uid="{00000000-0005-0000-0000-00003B580000}"/>
    <cellStyle name="Normal 2 3 2 12 2 8" xfId="39042" xr:uid="{00000000-0005-0000-0000-00003C580000}"/>
    <cellStyle name="Normal 2 3 2 12 2 9" xfId="39043" xr:uid="{00000000-0005-0000-0000-00003D580000}"/>
    <cellStyle name="Normal 2 3 2 12 3" xfId="9473" xr:uid="{00000000-0005-0000-0000-00003E580000}"/>
    <cellStyle name="Normal 2 3 2 12 3 2" xfId="9474" xr:uid="{00000000-0005-0000-0000-00003F580000}"/>
    <cellStyle name="Normal 2 3 2 12 3 2 2" xfId="9475" xr:uid="{00000000-0005-0000-0000-000040580000}"/>
    <cellStyle name="Normal 2 3 2 12 3 2 2 2" xfId="39044" xr:uid="{00000000-0005-0000-0000-000041580000}"/>
    <cellStyle name="Normal 2 3 2 12 3 2 3" xfId="9476" xr:uid="{00000000-0005-0000-0000-000042580000}"/>
    <cellStyle name="Normal 2 3 2 12 3 2 3 2" xfId="39045" xr:uid="{00000000-0005-0000-0000-000043580000}"/>
    <cellStyle name="Normal 2 3 2 12 3 2 4" xfId="39046" xr:uid="{00000000-0005-0000-0000-000044580000}"/>
    <cellStyle name="Normal 2 3 2 12 3 3" xfId="9477" xr:uid="{00000000-0005-0000-0000-000045580000}"/>
    <cellStyle name="Normal 2 3 2 12 3 3 2" xfId="39047" xr:uid="{00000000-0005-0000-0000-000046580000}"/>
    <cellStyle name="Normal 2 3 2 12 3 4" xfId="9478" xr:uid="{00000000-0005-0000-0000-000047580000}"/>
    <cellStyle name="Normal 2 3 2 12 3 4 2" xfId="39048" xr:uid="{00000000-0005-0000-0000-000048580000}"/>
    <cellStyle name="Normal 2 3 2 12 3 5" xfId="9479" xr:uid="{00000000-0005-0000-0000-000049580000}"/>
    <cellStyle name="Normal 2 3 2 12 3 5 2" xfId="39049" xr:uid="{00000000-0005-0000-0000-00004A580000}"/>
    <cellStyle name="Normal 2 3 2 12 3 6" xfId="39050" xr:uid="{00000000-0005-0000-0000-00004B580000}"/>
    <cellStyle name="Normal 2 3 2 12 3 6 2" xfId="39051" xr:uid="{00000000-0005-0000-0000-00004C580000}"/>
    <cellStyle name="Normal 2 3 2 12 3 7" xfId="39052" xr:uid="{00000000-0005-0000-0000-00004D580000}"/>
    <cellStyle name="Normal 2 3 2 12 4" xfId="9480" xr:uid="{00000000-0005-0000-0000-00004E580000}"/>
    <cellStyle name="Normal 2 3 2 12 4 2" xfId="9481" xr:uid="{00000000-0005-0000-0000-00004F580000}"/>
    <cellStyle name="Normal 2 3 2 12 4 2 2" xfId="39053" xr:uid="{00000000-0005-0000-0000-000050580000}"/>
    <cellStyle name="Normal 2 3 2 12 4 3" xfId="9482" xr:uid="{00000000-0005-0000-0000-000051580000}"/>
    <cellStyle name="Normal 2 3 2 12 4 3 2" xfId="39054" xr:uid="{00000000-0005-0000-0000-000052580000}"/>
    <cellStyle name="Normal 2 3 2 12 4 4" xfId="39055" xr:uid="{00000000-0005-0000-0000-000053580000}"/>
    <cellStyle name="Normal 2 3 2 12 5" xfId="9483" xr:uid="{00000000-0005-0000-0000-000054580000}"/>
    <cellStyle name="Normal 2 3 2 12 5 2" xfId="9484" xr:uid="{00000000-0005-0000-0000-000055580000}"/>
    <cellStyle name="Normal 2 3 2 12 5 2 2" xfId="39056" xr:uid="{00000000-0005-0000-0000-000056580000}"/>
    <cellStyle name="Normal 2 3 2 12 5 3" xfId="39057" xr:uid="{00000000-0005-0000-0000-000057580000}"/>
    <cellStyle name="Normal 2 3 2 12 6" xfId="9485" xr:uid="{00000000-0005-0000-0000-000058580000}"/>
    <cellStyle name="Normal 2 3 2 12 6 2" xfId="39058" xr:uid="{00000000-0005-0000-0000-000059580000}"/>
    <cellStyle name="Normal 2 3 2 12 7" xfId="9486" xr:uid="{00000000-0005-0000-0000-00005A580000}"/>
    <cellStyle name="Normal 2 3 2 12 7 2" xfId="39059" xr:uid="{00000000-0005-0000-0000-00005B580000}"/>
    <cellStyle name="Normal 2 3 2 12 8" xfId="39060" xr:uid="{00000000-0005-0000-0000-00005C580000}"/>
    <cellStyle name="Normal 2 3 2 12 8 2" xfId="39061" xr:uid="{00000000-0005-0000-0000-00005D580000}"/>
    <cellStyle name="Normal 2 3 2 12 9" xfId="39062" xr:uid="{00000000-0005-0000-0000-00005E580000}"/>
    <cellStyle name="Normal 2 3 2 13" xfId="9487" xr:uid="{00000000-0005-0000-0000-00005F580000}"/>
    <cellStyle name="Normal 2 3 2 13 10" xfId="39063" xr:uid="{00000000-0005-0000-0000-000060580000}"/>
    <cellStyle name="Normal 2 3 2 13 11" xfId="39064" xr:uid="{00000000-0005-0000-0000-000061580000}"/>
    <cellStyle name="Normal 2 3 2 13 2" xfId="9488" xr:uid="{00000000-0005-0000-0000-000062580000}"/>
    <cellStyle name="Normal 2 3 2 13 2 10" xfId="39065" xr:uid="{00000000-0005-0000-0000-000063580000}"/>
    <cellStyle name="Normal 2 3 2 13 2 2" xfId="9489" xr:uid="{00000000-0005-0000-0000-000064580000}"/>
    <cellStyle name="Normal 2 3 2 13 2 2 2" xfId="9490" xr:uid="{00000000-0005-0000-0000-000065580000}"/>
    <cellStyle name="Normal 2 3 2 13 2 2 2 2" xfId="9491" xr:uid="{00000000-0005-0000-0000-000066580000}"/>
    <cellStyle name="Normal 2 3 2 13 2 2 2 2 2" xfId="39066" xr:uid="{00000000-0005-0000-0000-000067580000}"/>
    <cellStyle name="Normal 2 3 2 13 2 2 2 3" xfId="9492" xr:uid="{00000000-0005-0000-0000-000068580000}"/>
    <cellStyle name="Normal 2 3 2 13 2 2 2 3 2" xfId="39067" xr:uid="{00000000-0005-0000-0000-000069580000}"/>
    <cellStyle name="Normal 2 3 2 13 2 2 2 4" xfId="39068" xr:uid="{00000000-0005-0000-0000-00006A580000}"/>
    <cellStyle name="Normal 2 3 2 13 2 2 3" xfId="9493" xr:uid="{00000000-0005-0000-0000-00006B580000}"/>
    <cellStyle name="Normal 2 3 2 13 2 2 3 2" xfId="39069" xr:uid="{00000000-0005-0000-0000-00006C580000}"/>
    <cellStyle name="Normal 2 3 2 13 2 2 4" xfId="9494" xr:uid="{00000000-0005-0000-0000-00006D580000}"/>
    <cellStyle name="Normal 2 3 2 13 2 2 4 2" xfId="39070" xr:uid="{00000000-0005-0000-0000-00006E580000}"/>
    <cellStyle name="Normal 2 3 2 13 2 2 5" xfId="9495" xr:uid="{00000000-0005-0000-0000-00006F580000}"/>
    <cellStyle name="Normal 2 3 2 13 2 2 5 2" xfId="39071" xr:uid="{00000000-0005-0000-0000-000070580000}"/>
    <cellStyle name="Normal 2 3 2 13 2 2 6" xfId="39072" xr:uid="{00000000-0005-0000-0000-000071580000}"/>
    <cellStyle name="Normal 2 3 2 13 2 2 6 2" xfId="39073" xr:uid="{00000000-0005-0000-0000-000072580000}"/>
    <cellStyle name="Normal 2 3 2 13 2 2 7" xfId="39074" xr:uid="{00000000-0005-0000-0000-000073580000}"/>
    <cellStyle name="Normal 2 3 2 13 2 3" xfId="9496" xr:uid="{00000000-0005-0000-0000-000074580000}"/>
    <cellStyle name="Normal 2 3 2 13 2 3 2" xfId="9497" xr:uid="{00000000-0005-0000-0000-000075580000}"/>
    <cellStyle name="Normal 2 3 2 13 2 3 2 2" xfId="39075" xr:uid="{00000000-0005-0000-0000-000076580000}"/>
    <cellStyle name="Normal 2 3 2 13 2 3 3" xfId="9498" xr:uid="{00000000-0005-0000-0000-000077580000}"/>
    <cellStyle name="Normal 2 3 2 13 2 3 3 2" xfId="39076" xr:uid="{00000000-0005-0000-0000-000078580000}"/>
    <cellStyle name="Normal 2 3 2 13 2 3 4" xfId="39077" xr:uid="{00000000-0005-0000-0000-000079580000}"/>
    <cellStyle name="Normal 2 3 2 13 2 4" xfId="9499" xr:uid="{00000000-0005-0000-0000-00007A580000}"/>
    <cellStyle name="Normal 2 3 2 13 2 4 2" xfId="9500" xr:uid="{00000000-0005-0000-0000-00007B580000}"/>
    <cellStyle name="Normal 2 3 2 13 2 4 2 2" xfId="39078" xr:uid="{00000000-0005-0000-0000-00007C580000}"/>
    <cellStyle name="Normal 2 3 2 13 2 4 3" xfId="39079" xr:uid="{00000000-0005-0000-0000-00007D580000}"/>
    <cellStyle name="Normal 2 3 2 13 2 5" xfId="9501" xr:uid="{00000000-0005-0000-0000-00007E580000}"/>
    <cellStyle name="Normal 2 3 2 13 2 5 2" xfId="39080" xr:uid="{00000000-0005-0000-0000-00007F580000}"/>
    <cellStyle name="Normal 2 3 2 13 2 6" xfId="9502" xr:uid="{00000000-0005-0000-0000-000080580000}"/>
    <cellStyle name="Normal 2 3 2 13 2 6 2" xfId="39081" xr:uid="{00000000-0005-0000-0000-000081580000}"/>
    <cellStyle name="Normal 2 3 2 13 2 7" xfId="39082" xr:uid="{00000000-0005-0000-0000-000082580000}"/>
    <cellStyle name="Normal 2 3 2 13 2 7 2" xfId="39083" xr:uid="{00000000-0005-0000-0000-000083580000}"/>
    <cellStyle name="Normal 2 3 2 13 2 8" xfId="39084" xr:uid="{00000000-0005-0000-0000-000084580000}"/>
    <cellStyle name="Normal 2 3 2 13 2 9" xfId="39085" xr:uid="{00000000-0005-0000-0000-000085580000}"/>
    <cellStyle name="Normal 2 3 2 13 3" xfId="9503" xr:uid="{00000000-0005-0000-0000-000086580000}"/>
    <cellStyle name="Normal 2 3 2 13 3 2" xfId="9504" xr:uid="{00000000-0005-0000-0000-000087580000}"/>
    <cellStyle name="Normal 2 3 2 13 3 2 2" xfId="9505" xr:uid="{00000000-0005-0000-0000-000088580000}"/>
    <cellStyle name="Normal 2 3 2 13 3 2 2 2" xfId="39086" xr:uid="{00000000-0005-0000-0000-000089580000}"/>
    <cellStyle name="Normal 2 3 2 13 3 2 3" xfId="9506" xr:uid="{00000000-0005-0000-0000-00008A580000}"/>
    <cellStyle name="Normal 2 3 2 13 3 2 3 2" xfId="39087" xr:uid="{00000000-0005-0000-0000-00008B580000}"/>
    <cellStyle name="Normal 2 3 2 13 3 2 4" xfId="39088" xr:uid="{00000000-0005-0000-0000-00008C580000}"/>
    <cellStyle name="Normal 2 3 2 13 3 3" xfId="9507" xr:uid="{00000000-0005-0000-0000-00008D580000}"/>
    <cellStyle name="Normal 2 3 2 13 3 3 2" xfId="39089" xr:uid="{00000000-0005-0000-0000-00008E580000}"/>
    <cellStyle name="Normal 2 3 2 13 3 4" xfId="9508" xr:uid="{00000000-0005-0000-0000-00008F580000}"/>
    <cellStyle name="Normal 2 3 2 13 3 4 2" xfId="39090" xr:uid="{00000000-0005-0000-0000-000090580000}"/>
    <cellStyle name="Normal 2 3 2 13 3 5" xfId="9509" xr:uid="{00000000-0005-0000-0000-000091580000}"/>
    <cellStyle name="Normal 2 3 2 13 3 5 2" xfId="39091" xr:uid="{00000000-0005-0000-0000-000092580000}"/>
    <cellStyle name="Normal 2 3 2 13 3 6" xfId="39092" xr:uid="{00000000-0005-0000-0000-000093580000}"/>
    <cellStyle name="Normal 2 3 2 13 3 6 2" xfId="39093" xr:uid="{00000000-0005-0000-0000-000094580000}"/>
    <cellStyle name="Normal 2 3 2 13 3 7" xfId="39094" xr:uid="{00000000-0005-0000-0000-000095580000}"/>
    <cellStyle name="Normal 2 3 2 13 4" xfId="9510" xr:uid="{00000000-0005-0000-0000-000096580000}"/>
    <cellStyle name="Normal 2 3 2 13 4 2" xfId="9511" xr:uid="{00000000-0005-0000-0000-000097580000}"/>
    <cellStyle name="Normal 2 3 2 13 4 2 2" xfId="39095" xr:uid="{00000000-0005-0000-0000-000098580000}"/>
    <cellStyle name="Normal 2 3 2 13 4 3" xfId="9512" xr:uid="{00000000-0005-0000-0000-000099580000}"/>
    <cellStyle name="Normal 2 3 2 13 4 3 2" xfId="39096" xr:uid="{00000000-0005-0000-0000-00009A580000}"/>
    <cellStyle name="Normal 2 3 2 13 4 4" xfId="39097" xr:uid="{00000000-0005-0000-0000-00009B580000}"/>
    <cellStyle name="Normal 2 3 2 13 5" xfId="9513" xr:uid="{00000000-0005-0000-0000-00009C580000}"/>
    <cellStyle name="Normal 2 3 2 13 5 2" xfId="9514" xr:uid="{00000000-0005-0000-0000-00009D580000}"/>
    <cellStyle name="Normal 2 3 2 13 5 2 2" xfId="39098" xr:uid="{00000000-0005-0000-0000-00009E580000}"/>
    <cellStyle name="Normal 2 3 2 13 5 3" xfId="39099" xr:uid="{00000000-0005-0000-0000-00009F580000}"/>
    <cellStyle name="Normal 2 3 2 13 6" xfId="9515" xr:uid="{00000000-0005-0000-0000-0000A0580000}"/>
    <cellStyle name="Normal 2 3 2 13 6 2" xfId="39100" xr:uid="{00000000-0005-0000-0000-0000A1580000}"/>
    <cellStyle name="Normal 2 3 2 13 7" xfId="9516" xr:uid="{00000000-0005-0000-0000-0000A2580000}"/>
    <cellStyle name="Normal 2 3 2 13 7 2" xfId="39101" xr:uid="{00000000-0005-0000-0000-0000A3580000}"/>
    <cellStyle name="Normal 2 3 2 13 8" xfId="39102" xr:uid="{00000000-0005-0000-0000-0000A4580000}"/>
    <cellStyle name="Normal 2 3 2 13 8 2" xfId="39103" xr:uid="{00000000-0005-0000-0000-0000A5580000}"/>
    <cellStyle name="Normal 2 3 2 13 9" xfId="39104" xr:uid="{00000000-0005-0000-0000-0000A6580000}"/>
    <cellStyle name="Normal 2 3 2 14" xfId="9517" xr:uid="{00000000-0005-0000-0000-0000A7580000}"/>
    <cellStyle name="Normal 2 3 2 14 10" xfId="39105" xr:uid="{00000000-0005-0000-0000-0000A8580000}"/>
    <cellStyle name="Normal 2 3 2 14 11" xfId="39106" xr:uid="{00000000-0005-0000-0000-0000A9580000}"/>
    <cellStyle name="Normal 2 3 2 14 2" xfId="9518" xr:uid="{00000000-0005-0000-0000-0000AA580000}"/>
    <cellStyle name="Normal 2 3 2 14 2 10" xfId="39107" xr:uid="{00000000-0005-0000-0000-0000AB580000}"/>
    <cellStyle name="Normal 2 3 2 14 2 2" xfId="9519" xr:uid="{00000000-0005-0000-0000-0000AC580000}"/>
    <cellStyle name="Normal 2 3 2 14 2 2 2" xfId="9520" xr:uid="{00000000-0005-0000-0000-0000AD580000}"/>
    <cellStyle name="Normal 2 3 2 14 2 2 2 2" xfId="9521" xr:uid="{00000000-0005-0000-0000-0000AE580000}"/>
    <cellStyle name="Normal 2 3 2 14 2 2 2 2 2" xfId="39108" xr:uid="{00000000-0005-0000-0000-0000AF580000}"/>
    <cellStyle name="Normal 2 3 2 14 2 2 2 3" xfId="9522" xr:uid="{00000000-0005-0000-0000-0000B0580000}"/>
    <cellStyle name="Normal 2 3 2 14 2 2 2 3 2" xfId="39109" xr:uid="{00000000-0005-0000-0000-0000B1580000}"/>
    <cellStyle name="Normal 2 3 2 14 2 2 2 4" xfId="39110" xr:uid="{00000000-0005-0000-0000-0000B2580000}"/>
    <cellStyle name="Normal 2 3 2 14 2 2 3" xfId="9523" xr:uid="{00000000-0005-0000-0000-0000B3580000}"/>
    <cellStyle name="Normal 2 3 2 14 2 2 3 2" xfId="39111" xr:uid="{00000000-0005-0000-0000-0000B4580000}"/>
    <cellStyle name="Normal 2 3 2 14 2 2 4" xfId="9524" xr:uid="{00000000-0005-0000-0000-0000B5580000}"/>
    <cellStyle name="Normal 2 3 2 14 2 2 4 2" xfId="39112" xr:uid="{00000000-0005-0000-0000-0000B6580000}"/>
    <cellStyle name="Normal 2 3 2 14 2 2 5" xfId="9525" xr:uid="{00000000-0005-0000-0000-0000B7580000}"/>
    <cellStyle name="Normal 2 3 2 14 2 2 5 2" xfId="39113" xr:uid="{00000000-0005-0000-0000-0000B8580000}"/>
    <cellStyle name="Normal 2 3 2 14 2 2 6" xfId="39114" xr:uid="{00000000-0005-0000-0000-0000B9580000}"/>
    <cellStyle name="Normal 2 3 2 14 2 2 6 2" xfId="39115" xr:uid="{00000000-0005-0000-0000-0000BA580000}"/>
    <cellStyle name="Normal 2 3 2 14 2 2 7" xfId="39116" xr:uid="{00000000-0005-0000-0000-0000BB580000}"/>
    <cellStyle name="Normal 2 3 2 14 2 3" xfId="9526" xr:uid="{00000000-0005-0000-0000-0000BC580000}"/>
    <cellStyle name="Normal 2 3 2 14 2 3 2" xfId="9527" xr:uid="{00000000-0005-0000-0000-0000BD580000}"/>
    <cellStyle name="Normal 2 3 2 14 2 3 2 2" xfId="39117" xr:uid="{00000000-0005-0000-0000-0000BE580000}"/>
    <cellStyle name="Normal 2 3 2 14 2 3 3" xfId="9528" xr:uid="{00000000-0005-0000-0000-0000BF580000}"/>
    <cellStyle name="Normal 2 3 2 14 2 3 3 2" xfId="39118" xr:uid="{00000000-0005-0000-0000-0000C0580000}"/>
    <cellStyle name="Normal 2 3 2 14 2 3 4" xfId="39119" xr:uid="{00000000-0005-0000-0000-0000C1580000}"/>
    <cellStyle name="Normal 2 3 2 14 2 4" xfId="9529" xr:uid="{00000000-0005-0000-0000-0000C2580000}"/>
    <cellStyle name="Normal 2 3 2 14 2 4 2" xfId="9530" xr:uid="{00000000-0005-0000-0000-0000C3580000}"/>
    <cellStyle name="Normal 2 3 2 14 2 4 2 2" xfId="39120" xr:uid="{00000000-0005-0000-0000-0000C4580000}"/>
    <cellStyle name="Normal 2 3 2 14 2 4 3" xfId="39121" xr:uid="{00000000-0005-0000-0000-0000C5580000}"/>
    <cellStyle name="Normal 2 3 2 14 2 5" xfId="9531" xr:uid="{00000000-0005-0000-0000-0000C6580000}"/>
    <cellStyle name="Normal 2 3 2 14 2 5 2" xfId="39122" xr:uid="{00000000-0005-0000-0000-0000C7580000}"/>
    <cellStyle name="Normal 2 3 2 14 2 6" xfId="9532" xr:uid="{00000000-0005-0000-0000-0000C8580000}"/>
    <cellStyle name="Normal 2 3 2 14 2 6 2" xfId="39123" xr:uid="{00000000-0005-0000-0000-0000C9580000}"/>
    <cellStyle name="Normal 2 3 2 14 2 7" xfId="39124" xr:uid="{00000000-0005-0000-0000-0000CA580000}"/>
    <cellStyle name="Normal 2 3 2 14 2 7 2" xfId="39125" xr:uid="{00000000-0005-0000-0000-0000CB580000}"/>
    <cellStyle name="Normal 2 3 2 14 2 8" xfId="39126" xr:uid="{00000000-0005-0000-0000-0000CC580000}"/>
    <cellStyle name="Normal 2 3 2 14 2 9" xfId="39127" xr:uid="{00000000-0005-0000-0000-0000CD580000}"/>
    <cellStyle name="Normal 2 3 2 14 3" xfId="9533" xr:uid="{00000000-0005-0000-0000-0000CE580000}"/>
    <cellStyle name="Normal 2 3 2 14 3 2" xfId="9534" xr:uid="{00000000-0005-0000-0000-0000CF580000}"/>
    <cellStyle name="Normal 2 3 2 14 3 2 2" xfId="9535" xr:uid="{00000000-0005-0000-0000-0000D0580000}"/>
    <cellStyle name="Normal 2 3 2 14 3 2 2 2" xfId="39128" xr:uid="{00000000-0005-0000-0000-0000D1580000}"/>
    <cellStyle name="Normal 2 3 2 14 3 2 3" xfId="9536" xr:uid="{00000000-0005-0000-0000-0000D2580000}"/>
    <cellStyle name="Normal 2 3 2 14 3 2 3 2" xfId="39129" xr:uid="{00000000-0005-0000-0000-0000D3580000}"/>
    <cellStyle name="Normal 2 3 2 14 3 2 4" xfId="39130" xr:uid="{00000000-0005-0000-0000-0000D4580000}"/>
    <cellStyle name="Normal 2 3 2 14 3 3" xfId="9537" xr:uid="{00000000-0005-0000-0000-0000D5580000}"/>
    <cellStyle name="Normal 2 3 2 14 3 3 2" xfId="39131" xr:uid="{00000000-0005-0000-0000-0000D6580000}"/>
    <cellStyle name="Normal 2 3 2 14 3 4" xfId="9538" xr:uid="{00000000-0005-0000-0000-0000D7580000}"/>
    <cellStyle name="Normal 2 3 2 14 3 4 2" xfId="39132" xr:uid="{00000000-0005-0000-0000-0000D8580000}"/>
    <cellStyle name="Normal 2 3 2 14 3 5" xfId="9539" xr:uid="{00000000-0005-0000-0000-0000D9580000}"/>
    <cellStyle name="Normal 2 3 2 14 3 5 2" xfId="39133" xr:uid="{00000000-0005-0000-0000-0000DA580000}"/>
    <cellStyle name="Normal 2 3 2 14 3 6" xfId="39134" xr:uid="{00000000-0005-0000-0000-0000DB580000}"/>
    <cellStyle name="Normal 2 3 2 14 3 6 2" xfId="39135" xr:uid="{00000000-0005-0000-0000-0000DC580000}"/>
    <cellStyle name="Normal 2 3 2 14 3 7" xfId="39136" xr:uid="{00000000-0005-0000-0000-0000DD580000}"/>
    <cellStyle name="Normal 2 3 2 14 4" xfId="9540" xr:uid="{00000000-0005-0000-0000-0000DE580000}"/>
    <cellStyle name="Normal 2 3 2 14 4 2" xfId="9541" xr:uid="{00000000-0005-0000-0000-0000DF580000}"/>
    <cellStyle name="Normal 2 3 2 14 4 2 2" xfId="39137" xr:uid="{00000000-0005-0000-0000-0000E0580000}"/>
    <cellStyle name="Normal 2 3 2 14 4 3" xfId="9542" xr:uid="{00000000-0005-0000-0000-0000E1580000}"/>
    <cellStyle name="Normal 2 3 2 14 4 3 2" xfId="39138" xr:uid="{00000000-0005-0000-0000-0000E2580000}"/>
    <cellStyle name="Normal 2 3 2 14 4 4" xfId="39139" xr:uid="{00000000-0005-0000-0000-0000E3580000}"/>
    <cellStyle name="Normal 2 3 2 14 5" xfId="9543" xr:uid="{00000000-0005-0000-0000-0000E4580000}"/>
    <cellStyle name="Normal 2 3 2 14 5 2" xfId="9544" xr:uid="{00000000-0005-0000-0000-0000E5580000}"/>
    <cellStyle name="Normal 2 3 2 14 5 2 2" xfId="39140" xr:uid="{00000000-0005-0000-0000-0000E6580000}"/>
    <cellStyle name="Normal 2 3 2 14 5 3" xfId="39141" xr:uid="{00000000-0005-0000-0000-0000E7580000}"/>
    <cellStyle name="Normal 2 3 2 14 6" xfId="9545" xr:uid="{00000000-0005-0000-0000-0000E8580000}"/>
    <cellStyle name="Normal 2 3 2 14 6 2" xfId="39142" xr:uid="{00000000-0005-0000-0000-0000E9580000}"/>
    <cellStyle name="Normal 2 3 2 14 7" xfId="9546" xr:uid="{00000000-0005-0000-0000-0000EA580000}"/>
    <cellStyle name="Normal 2 3 2 14 7 2" xfId="39143" xr:uid="{00000000-0005-0000-0000-0000EB580000}"/>
    <cellStyle name="Normal 2 3 2 14 8" xfId="39144" xr:uid="{00000000-0005-0000-0000-0000EC580000}"/>
    <cellStyle name="Normal 2 3 2 14 8 2" xfId="39145" xr:uid="{00000000-0005-0000-0000-0000ED580000}"/>
    <cellStyle name="Normal 2 3 2 14 9" xfId="39146" xr:uid="{00000000-0005-0000-0000-0000EE580000}"/>
    <cellStyle name="Normal 2 3 2 15" xfId="9547" xr:uid="{00000000-0005-0000-0000-0000EF580000}"/>
    <cellStyle name="Normal 2 3 2 15 10" xfId="39147" xr:uid="{00000000-0005-0000-0000-0000F0580000}"/>
    <cellStyle name="Normal 2 3 2 15 11" xfId="39148" xr:uid="{00000000-0005-0000-0000-0000F1580000}"/>
    <cellStyle name="Normal 2 3 2 15 2" xfId="9548" xr:uid="{00000000-0005-0000-0000-0000F2580000}"/>
    <cellStyle name="Normal 2 3 2 15 2 10" xfId="39149" xr:uid="{00000000-0005-0000-0000-0000F3580000}"/>
    <cellStyle name="Normal 2 3 2 15 2 2" xfId="9549" xr:uid="{00000000-0005-0000-0000-0000F4580000}"/>
    <cellStyle name="Normal 2 3 2 15 2 2 2" xfId="9550" xr:uid="{00000000-0005-0000-0000-0000F5580000}"/>
    <cellStyle name="Normal 2 3 2 15 2 2 2 2" xfId="9551" xr:uid="{00000000-0005-0000-0000-0000F6580000}"/>
    <cellStyle name="Normal 2 3 2 15 2 2 2 2 2" xfId="39150" xr:uid="{00000000-0005-0000-0000-0000F7580000}"/>
    <cellStyle name="Normal 2 3 2 15 2 2 2 3" xfId="9552" xr:uid="{00000000-0005-0000-0000-0000F8580000}"/>
    <cellStyle name="Normal 2 3 2 15 2 2 2 3 2" xfId="39151" xr:uid="{00000000-0005-0000-0000-0000F9580000}"/>
    <cellStyle name="Normal 2 3 2 15 2 2 2 4" xfId="39152" xr:uid="{00000000-0005-0000-0000-0000FA580000}"/>
    <cellStyle name="Normal 2 3 2 15 2 2 3" xfId="9553" xr:uid="{00000000-0005-0000-0000-0000FB580000}"/>
    <cellStyle name="Normal 2 3 2 15 2 2 3 2" xfId="39153" xr:uid="{00000000-0005-0000-0000-0000FC580000}"/>
    <cellStyle name="Normal 2 3 2 15 2 2 4" xfId="9554" xr:uid="{00000000-0005-0000-0000-0000FD580000}"/>
    <cellStyle name="Normal 2 3 2 15 2 2 4 2" xfId="39154" xr:uid="{00000000-0005-0000-0000-0000FE580000}"/>
    <cellStyle name="Normal 2 3 2 15 2 2 5" xfId="9555" xr:uid="{00000000-0005-0000-0000-0000FF580000}"/>
    <cellStyle name="Normal 2 3 2 15 2 2 5 2" xfId="39155" xr:uid="{00000000-0005-0000-0000-000000590000}"/>
    <cellStyle name="Normal 2 3 2 15 2 2 6" xfId="39156" xr:uid="{00000000-0005-0000-0000-000001590000}"/>
    <cellStyle name="Normal 2 3 2 15 2 2 6 2" xfId="39157" xr:uid="{00000000-0005-0000-0000-000002590000}"/>
    <cellStyle name="Normal 2 3 2 15 2 2 7" xfId="39158" xr:uid="{00000000-0005-0000-0000-000003590000}"/>
    <cellStyle name="Normal 2 3 2 15 2 3" xfId="9556" xr:uid="{00000000-0005-0000-0000-000004590000}"/>
    <cellStyle name="Normal 2 3 2 15 2 3 2" xfId="9557" xr:uid="{00000000-0005-0000-0000-000005590000}"/>
    <cellStyle name="Normal 2 3 2 15 2 3 2 2" xfId="39159" xr:uid="{00000000-0005-0000-0000-000006590000}"/>
    <cellStyle name="Normal 2 3 2 15 2 3 3" xfId="9558" xr:uid="{00000000-0005-0000-0000-000007590000}"/>
    <cellStyle name="Normal 2 3 2 15 2 3 3 2" xfId="39160" xr:uid="{00000000-0005-0000-0000-000008590000}"/>
    <cellStyle name="Normal 2 3 2 15 2 3 4" xfId="39161" xr:uid="{00000000-0005-0000-0000-000009590000}"/>
    <cellStyle name="Normal 2 3 2 15 2 4" xfId="9559" xr:uid="{00000000-0005-0000-0000-00000A590000}"/>
    <cellStyle name="Normal 2 3 2 15 2 4 2" xfId="9560" xr:uid="{00000000-0005-0000-0000-00000B590000}"/>
    <cellStyle name="Normal 2 3 2 15 2 4 2 2" xfId="39162" xr:uid="{00000000-0005-0000-0000-00000C590000}"/>
    <cellStyle name="Normal 2 3 2 15 2 4 3" xfId="39163" xr:uid="{00000000-0005-0000-0000-00000D590000}"/>
    <cellStyle name="Normal 2 3 2 15 2 5" xfId="9561" xr:uid="{00000000-0005-0000-0000-00000E590000}"/>
    <cellStyle name="Normal 2 3 2 15 2 5 2" xfId="39164" xr:uid="{00000000-0005-0000-0000-00000F590000}"/>
    <cellStyle name="Normal 2 3 2 15 2 6" xfId="9562" xr:uid="{00000000-0005-0000-0000-000010590000}"/>
    <cellStyle name="Normal 2 3 2 15 2 6 2" xfId="39165" xr:uid="{00000000-0005-0000-0000-000011590000}"/>
    <cellStyle name="Normal 2 3 2 15 2 7" xfId="39166" xr:uid="{00000000-0005-0000-0000-000012590000}"/>
    <cellStyle name="Normal 2 3 2 15 2 7 2" xfId="39167" xr:uid="{00000000-0005-0000-0000-000013590000}"/>
    <cellStyle name="Normal 2 3 2 15 2 8" xfId="39168" xr:uid="{00000000-0005-0000-0000-000014590000}"/>
    <cellStyle name="Normal 2 3 2 15 2 9" xfId="39169" xr:uid="{00000000-0005-0000-0000-000015590000}"/>
    <cellStyle name="Normal 2 3 2 15 3" xfId="9563" xr:uid="{00000000-0005-0000-0000-000016590000}"/>
    <cellStyle name="Normal 2 3 2 15 3 2" xfId="9564" xr:uid="{00000000-0005-0000-0000-000017590000}"/>
    <cellStyle name="Normal 2 3 2 15 3 2 2" xfId="9565" xr:uid="{00000000-0005-0000-0000-000018590000}"/>
    <cellStyle name="Normal 2 3 2 15 3 2 2 2" xfId="39170" xr:uid="{00000000-0005-0000-0000-000019590000}"/>
    <cellStyle name="Normal 2 3 2 15 3 2 3" xfId="9566" xr:uid="{00000000-0005-0000-0000-00001A590000}"/>
    <cellStyle name="Normal 2 3 2 15 3 2 3 2" xfId="39171" xr:uid="{00000000-0005-0000-0000-00001B590000}"/>
    <cellStyle name="Normal 2 3 2 15 3 2 4" xfId="39172" xr:uid="{00000000-0005-0000-0000-00001C590000}"/>
    <cellStyle name="Normal 2 3 2 15 3 3" xfId="9567" xr:uid="{00000000-0005-0000-0000-00001D590000}"/>
    <cellStyle name="Normal 2 3 2 15 3 3 2" xfId="39173" xr:uid="{00000000-0005-0000-0000-00001E590000}"/>
    <cellStyle name="Normal 2 3 2 15 3 4" xfId="9568" xr:uid="{00000000-0005-0000-0000-00001F590000}"/>
    <cellStyle name="Normal 2 3 2 15 3 4 2" xfId="39174" xr:uid="{00000000-0005-0000-0000-000020590000}"/>
    <cellStyle name="Normal 2 3 2 15 3 5" xfId="9569" xr:uid="{00000000-0005-0000-0000-000021590000}"/>
    <cellStyle name="Normal 2 3 2 15 3 5 2" xfId="39175" xr:uid="{00000000-0005-0000-0000-000022590000}"/>
    <cellStyle name="Normal 2 3 2 15 3 6" xfId="39176" xr:uid="{00000000-0005-0000-0000-000023590000}"/>
    <cellStyle name="Normal 2 3 2 15 3 6 2" xfId="39177" xr:uid="{00000000-0005-0000-0000-000024590000}"/>
    <cellStyle name="Normal 2 3 2 15 3 7" xfId="39178" xr:uid="{00000000-0005-0000-0000-000025590000}"/>
    <cellStyle name="Normal 2 3 2 15 4" xfId="9570" xr:uid="{00000000-0005-0000-0000-000026590000}"/>
    <cellStyle name="Normal 2 3 2 15 4 2" xfId="9571" xr:uid="{00000000-0005-0000-0000-000027590000}"/>
    <cellStyle name="Normal 2 3 2 15 4 2 2" xfId="39179" xr:uid="{00000000-0005-0000-0000-000028590000}"/>
    <cellStyle name="Normal 2 3 2 15 4 3" xfId="9572" xr:uid="{00000000-0005-0000-0000-000029590000}"/>
    <cellStyle name="Normal 2 3 2 15 4 3 2" xfId="39180" xr:uid="{00000000-0005-0000-0000-00002A590000}"/>
    <cellStyle name="Normal 2 3 2 15 4 4" xfId="39181" xr:uid="{00000000-0005-0000-0000-00002B590000}"/>
    <cellStyle name="Normal 2 3 2 15 5" xfId="9573" xr:uid="{00000000-0005-0000-0000-00002C590000}"/>
    <cellStyle name="Normal 2 3 2 15 5 2" xfId="9574" xr:uid="{00000000-0005-0000-0000-00002D590000}"/>
    <cellStyle name="Normal 2 3 2 15 5 2 2" xfId="39182" xr:uid="{00000000-0005-0000-0000-00002E590000}"/>
    <cellStyle name="Normal 2 3 2 15 5 3" xfId="39183" xr:uid="{00000000-0005-0000-0000-00002F590000}"/>
    <cellStyle name="Normal 2 3 2 15 6" xfId="9575" xr:uid="{00000000-0005-0000-0000-000030590000}"/>
    <cellStyle name="Normal 2 3 2 15 6 2" xfId="39184" xr:uid="{00000000-0005-0000-0000-000031590000}"/>
    <cellStyle name="Normal 2 3 2 15 7" xfId="9576" xr:uid="{00000000-0005-0000-0000-000032590000}"/>
    <cellStyle name="Normal 2 3 2 15 7 2" xfId="39185" xr:uid="{00000000-0005-0000-0000-000033590000}"/>
    <cellStyle name="Normal 2 3 2 15 8" xfId="39186" xr:uid="{00000000-0005-0000-0000-000034590000}"/>
    <cellStyle name="Normal 2 3 2 15 8 2" xfId="39187" xr:uid="{00000000-0005-0000-0000-000035590000}"/>
    <cellStyle name="Normal 2 3 2 15 9" xfId="39188" xr:uid="{00000000-0005-0000-0000-000036590000}"/>
    <cellStyle name="Normal 2 3 2 16" xfId="9577" xr:uid="{00000000-0005-0000-0000-000037590000}"/>
    <cellStyle name="Normal 2 3 2 16 10" xfId="39189" xr:uid="{00000000-0005-0000-0000-000038590000}"/>
    <cellStyle name="Normal 2 3 2 16 11" xfId="39190" xr:uid="{00000000-0005-0000-0000-000039590000}"/>
    <cellStyle name="Normal 2 3 2 16 2" xfId="9578" xr:uid="{00000000-0005-0000-0000-00003A590000}"/>
    <cellStyle name="Normal 2 3 2 16 2 10" xfId="39191" xr:uid="{00000000-0005-0000-0000-00003B590000}"/>
    <cellStyle name="Normal 2 3 2 16 2 2" xfId="9579" xr:uid="{00000000-0005-0000-0000-00003C590000}"/>
    <cellStyle name="Normal 2 3 2 16 2 2 2" xfId="9580" xr:uid="{00000000-0005-0000-0000-00003D590000}"/>
    <cellStyle name="Normal 2 3 2 16 2 2 2 2" xfId="9581" xr:uid="{00000000-0005-0000-0000-00003E590000}"/>
    <cellStyle name="Normal 2 3 2 16 2 2 2 2 2" xfId="39192" xr:uid="{00000000-0005-0000-0000-00003F590000}"/>
    <cellStyle name="Normal 2 3 2 16 2 2 2 3" xfId="9582" xr:uid="{00000000-0005-0000-0000-000040590000}"/>
    <cellStyle name="Normal 2 3 2 16 2 2 2 3 2" xfId="39193" xr:uid="{00000000-0005-0000-0000-000041590000}"/>
    <cellStyle name="Normal 2 3 2 16 2 2 2 4" xfId="39194" xr:uid="{00000000-0005-0000-0000-000042590000}"/>
    <cellStyle name="Normal 2 3 2 16 2 2 3" xfId="9583" xr:uid="{00000000-0005-0000-0000-000043590000}"/>
    <cellStyle name="Normal 2 3 2 16 2 2 3 2" xfId="39195" xr:uid="{00000000-0005-0000-0000-000044590000}"/>
    <cellStyle name="Normal 2 3 2 16 2 2 4" xfId="9584" xr:uid="{00000000-0005-0000-0000-000045590000}"/>
    <cellStyle name="Normal 2 3 2 16 2 2 4 2" xfId="39196" xr:uid="{00000000-0005-0000-0000-000046590000}"/>
    <cellStyle name="Normal 2 3 2 16 2 2 5" xfId="9585" xr:uid="{00000000-0005-0000-0000-000047590000}"/>
    <cellStyle name="Normal 2 3 2 16 2 2 5 2" xfId="39197" xr:uid="{00000000-0005-0000-0000-000048590000}"/>
    <cellStyle name="Normal 2 3 2 16 2 2 6" xfId="39198" xr:uid="{00000000-0005-0000-0000-000049590000}"/>
    <cellStyle name="Normal 2 3 2 16 2 2 6 2" xfId="39199" xr:uid="{00000000-0005-0000-0000-00004A590000}"/>
    <cellStyle name="Normal 2 3 2 16 2 2 7" xfId="39200" xr:uid="{00000000-0005-0000-0000-00004B590000}"/>
    <cellStyle name="Normal 2 3 2 16 2 3" xfId="9586" xr:uid="{00000000-0005-0000-0000-00004C590000}"/>
    <cellStyle name="Normal 2 3 2 16 2 3 2" xfId="9587" xr:uid="{00000000-0005-0000-0000-00004D590000}"/>
    <cellStyle name="Normal 2 3 2 16 2 3 2 2" xfId="39201" xr:uid="{00000000-0005-0000-0000-00004E590000}"/>
    <cellStyle name="Normal 2 3 2 16 2 3 3" xfId="9588" xr:uid="{00000000-0005-0000-0000-00004F590000}"/>
    <cellStyle name="Normal 2 3 2 16 2 3 3 2" xfId="39202" xr:uid="{00000000-0005-0000-0000-000050590000}"/>
    <cellStyle name="Normal 2 3 2 16 2 3 4" xfId="39203" xr:uid="{00000000-0005-0000-0000-000051590000}"/>
    <cellStyle name="Normal 2 3 2 16 2 4" xfId="9589" xr:uid="{00000000-0005-0000-0000-000052590000}"/>
    <cellStyle name="Normal 2 3 2 16 2 4 2" xfId="9590" xr:uid="{00000000-0005-0000-0000-000053590000}"/>
    <cellStyle name="Normal 2 3 2 16 2 4 2 2" xfId="39204" xr:uid="{00000000-0005-0000-0000-000054590000}"/>
    <cellStyle name="Normal 2 3 2 16 2 4 3" xfId="39205" xr:uid="{00000000-0005-0000-0000-000055590000}"/>
    <cellStyle name="Normal 2 3 2 16 2 5" xfId="9591" xr:uid="{00000000-0005-0000-0000-000056590000}"/>
    <cellStyle name="Normal 2 3 2 16 2 5 2" xfId="39206" xr:uid="{00000000-0005-0000-0000-000057590000}"/>
    <cellStyle name="Normal 2 3 2 16 2 6" xfId="9592" xr:uid="{00000000-0005-0000-0000-000058590000}"/>
    <cellStyle name="Normal 2 3 2 16 2 6 2" xfId="39207" xr:uid="{00000000-0005-0000-0000-000059590000}"/>
    <cellStyle name="Normal 2 3 2 16 2 7" xfId="39208" xr:uid="{00000000-0005-0000-0000-00005A590000}"/>
    <cellStyle name="Normal 2 3 2 16 2 7 2" xfId="39209" xr:uid="{00000000-0005-0000-0000-00005B590000}"/>
    <cellStyle name="Normal 2 3 2 16 2 8" xfId="39210" xr:uid="{00000000-0005-0000-0000-00005C590000}"/>
    <cellStyle name="Normal 2 3 2 16 2 9" xfId="39211" xr:uid="{00000000-0005-0000-0000-00005D590000}"/>
    <cellStyle name="Normal 2 3 2 16 3" xfId="9593" xr:uid="{00000000-0005-0000-0000-00005E590000}"/>
    <cellStyle name="Normal 2 3 2 16 3 2" xfId="9594" xr:uid="{00000000-0005-0000-0000-00005F590000}"/>
    <cellStyle name="Normal 2 3 2 16 3 2 2" xfId="9595" xr:uid="{00000000-0005-0000-0000-000060590000}"/>
    <cellStyle name="Normal 2 3 2 16 3 2 2 2" xfId="39212" xr:uid="{00000000-0005-0000-0000-000061590000}"/>
    <cellStyle name="Normal 2 3 2 16 3 2 3" xfId="9596" xr:uid="{00000000-0005-0000-0000-000062590000}"/>
    <cellStyle name="Normal 2 3 2 16 3 2 3 2" xfId="39213" xr:uid="{00000000-0005-0000-0000-000063590000}"/>
    <cellStyle name="Normal 2 3 2 16 3 2 4" xfId="39214" xr:uid="{00000000-0005-0000-0000-000064590000}"/>
    <cellStyle name="Normal 2 3 2 16 3 3" xfId="9597" xr:uid="{00000000-0005-0000-0000-000065590000}"/>
    <cellStyle name="Normal 2 3 2 16 3 3 2" xfId="39215" xr:uid="{00000000-0005-0000-0000-000066590000}"/>
    <cellStyle name="Normal 2 3 2 16 3 4" xfId="9598" xr:uid="{00000000-0005-0000-0000-000067590000}"/>
    <cellStyle name="Normal 2 3 2 16 3 4 2" xfId="39216" xr:uid="{00000000-0005-0000-0000-000068590000}"/>
    <cellStyle name="Normal 2 3 2 16 3 5" xfId="9599" xr:uid="{00000000-0005-0000-0000-000069590000}"/>
    <cellStyle name="Normal 2 3 2 16 3 5 2" xfId="39217" xr:uid="{00000000-0005-0000-0000-00006A590000}"/>
    <cellStyle name="Normal 2 3 2 16 3 6" xfId="39218" xr:uid="{00000000-0005-0000-0000-00006B590000}"/>
    <cellStyle name="Normal 2 3 2 16 3 6 2" xfId="39219" xr:uid="{00000000-0005-0000-0000-00006C590000}"/>
    <cellStyle name="Normal 2 3 2 16 3 7" xfId="39220" xr:uid="{00000000-0005-0000-0000-00006D590000}"/>
    <cellStyle name="Normal 2 3 2 16 4" xfId="9600" xr:uid="{00000000-0005-0000-0000-00006E590000}"/>
    <cellStyle name="Normal 2 3 2 16 4 2" xfId="9601" xr:uid="{00000000-0005-0000-0000-00006F590000}"/>
    <cellStyle name="Normal 2 3 2 16 4 2 2" xfId="39221" xr:uid="{00000000-0005-0000-0000-000070590000}"/>
    <cellStyle name="Normal 2 3 2 16 4 3" xfId="9602" xr:uid="{00000000-0005-0000-0000-000071590000}"/>
    <cellStyle name="Normal 2 3 2 16 4 3 2" xfId="39222" xr:uid="{00000000-0005-0000-0000-000072590000}"/>
    <cellStyle name="Normal 2 3 2 16 4 4" xfId="39223" xr:uid="{00000000-0005-0000-0000-000073590000}"/>
    <cellStyle name="Normal 2 3 2 16 5" xfId="9603" xr:uid="{00000000-0005-0000-0000-000074590000}"/>
    <cellStyle name="Normal 2 3 2 16 5 2" xfId="9604" xr:uid="{00000000-0005-0000-0000-000075590000}"/>
    <cellStyle name="Normal 2 3 2 16 5 2 2" xfId="39224" xr:uid="{00000000-0005-0000-0000-000076590000}"/>
    <cellStyle name="Normal 2 3 2 16 5 3" xfId="39225" xr:uid="{00000000-0005-0000-0000-000077590000}"/>
    <cellStyle name="Normal 2 3 2 16 6" xfId="9605" xr:uid="{00000000-0005-0000-0000-000078590000}"/>
    <cellStyle name="Normal 2 3 2 16 6 2" xfId="39226" xr:uid="{00000000-0005-0000-0000-000079590000}"/>
    <cellStyle name="Normal 2 3 2 16 7" xfId="9606" xr:uid="{00000000-0005-0000-0000-00007A590000}"/>
    <cellStyle name="Normal 2 3 2 16 7 2" xfId="39227" xr:uid="{00000000-0005-0000-0000-00007B590000}"/>
    <cellStyle name="Normal 2 3 2 16 8" xfId="39228" xr:uid="{00000000-0005-0000-0000-00007C590000}"/>
    <cellStyle name="Normal 2 3 2 16 8 2" xfId="39229" xr:uid="{00000000-0005-0000-0000-00007D590000}"/>
    <cellStyle name="Normal 2 3 2 16 9" xfId="39230" xr:uid="{00000000-0005-0000-0000-00007E590000}"/>
    <cellStyle name="Normal 2 3 2 17" xfId="9607" xr:uid="{00000000-0005-0000-0000-00007F590000}"/>
    <cellStyle name="Normal 2 3 2 17 10" xfId="39231" xr:uid="{00000000-0005-0000-0000-000080590000}"/>
    <cellStyle name="Normal 2 3 2 17 11" xfId="39232" xr:uid="{00000000-0005-0000-0000-000081590000}"/>
    <cellStyle name="Normal 2 3 2 17 2" xfId="9608" xr:uid="{00000000-0005-0000-0000-000082590000}"/>
    <cellStyle name="Normal 2 3 2 17 2 10" xfId="39233" xr:uid="{00000000-0005-0000-0000-000083590000}"/>
    <cellStyle name="Normal 2 3 2 17 2 2" xfId="9609" xr:uid="{00000000-0005-0000-0000-000084590000}"/>
    <cellStyle name="Normal 2 3 2 17 2 2 2" xfId="9610" xr:uid="{00000000-0005-0000-0000-000085590000}"/>
    <cellStyle name="Normal 2 3 2 17 2 2 2 2" xfId="9611" xr:uid="{00000000-0005-0000-0000-000086590000}"/>
    <cellStyle name="Normal 2 3 2 17 2 2 2 2 2" xfId="39234" xr:uid="{00000000-0005-0000-0000-000087590000}"/>
    <cellStyle name="Normal 2 3 2 17 2 2 2 3" xfId="9612" xr:uid="{00000000-0005-0000-0000-000088590000}"/>
    <cellStyle name="Normal 2 3 2 17 2 2 2 3 2" xfId="39235" xr:uid="{00000000-0005-0000-0000-000089590000}"/>
    <cellStyle name="Normal 2 3 2 17 2 2 2 4" xfId="39236" xr:uid="{00000000-0005-0000-0000-00008A590000}"/>
    <cellStyle name="Normal 2 3 2 17 2 2 3" xfId="9613" xr:uid="{00000000-0005-0000-0000-00008B590000}"/>
    <cellStyle name="Normal 2 3 2 17 2 2 3 2" xfId="39237" xr:uid="{00000000-0005-0000-0000-00008C590000}"/>
    <cellStyle name="Normal 2 3 2 17 2 2 4" xfId="9614" xr:uid="{00000000-0005-0000-0000-00008D590000}"/>
    <cellStyle name="Normal 2 3 2 17 2 2 4 2" xfId="39238" xr:uid="{00000000-0005-0000-0000-00008E590000}"/>
    <cellStyle name="Normal 2 3 2 17 2 2 5" xfId="9615" xr:uid="{00000000-0005-0000-0000-00008F590000}"/>
    <cellStyle name="Normal 2 3 2 17 2 2 5 2" xfId="39239" xr:uid="{00000000-0005-0000-0000-000090590000}"/>
    <cellStyle name="Normal 2 3 2 17 2 2 6" xfId="39240" xr:uid="{00000000-0005-0000-0000-000091590000}"/>
    <cellStyle name="Normal 2 3 2 17 2 2 6 2" xfId="39241" xr:uid="{00000000-0005-0000-0000-000092590000}"/>
    <cellStyle name="Normal 2 3 2 17 2 2 7" xfId="39242" xr:uid="{00000000-0005-0000-0000-000093590000}"/>
    <cellStyle name="Normal 2 3 2 17 2 3" xfId="9616" xr:uid="{00000000-0005-0000-0000-000094590000}"/>
    <cellStyle name="Normal 2 3 2 17 2 3 2" xfId="9617" xr:uid="{00000000-0005-0000-0000-000095590000}"/>
    <cellStyle name="Normal 2 3 2 17 2 3 2 2" xfId="39243" xr:uid="{00000000-0005-0000-0000-000096590000}"/>
    <cellStyle name="Normal 2 3 2 17 2 3 3" xfId="9618" xr:uid="{00000000-0005-0000-0000-000097590000}"/>
    <cellStyle name="Normal 2 3 2 17 2 3 3 2" xfId="39244" xr:uid="{00000000-0005-0000-0000-000098590000}"/>
    <cellStyle name="Normal 2 3 2 17 2 3 4" xfId="39245" xr:uid="{00000000-0005-0000-0000-000099590000}"/>
    <cellStyle name="Normal 2 3 2 17 2 4" xfId="9619" xr:uid="{00000000-0005-0000-0000-00009A590000}"/>
    <cellStyle name="Normal 2 3 2 17 2 4 2" xfId="9620" xr:uid="{00000000-0005-0000-0000-00009B590000}"/>
    <cellStyle name="Normal 2 3 2 17 2 4 2 2" xfId="39246" xr:uid="{00000000-0005-0000-0000-00009C590000}"/>
    <cellStyle name="Normal 2 3 2 17 2 4 3" xfId="39247" xr:uid="{00000000-0005-0000-0000-00009D590000}"/>
    <cellStyle name="Normal 2 3 2 17 2 5" xfId="9621" xr:uid="{00000000-0005-0000-0000-00009E590000}"/>
    <cellStyle name="Normal 2 3 2 17 2 5 2" xfId="39248" xr:uid="{00000000-0005-0000-0000-00009F590000}"/>
    <cellStyle name="Normal 2 3 2 17 2 6" xfId="9622" xr:uid="{00000000-0005-0000-0000-0000A0590000}"/>
    <cellStyle name="Normal 2 3 2 17 2 6 2" xfId="39249" xr:uid="{00000000-0005-0000-0000-0000A1590000}"/>
    <cellStyle name="Normal 2 3 2 17 2 7" xfId="39250" xr:uid="{00000000-0005-0000-0000-0000A2590000}"/>
    <cellStyle name="Normal 2 3 2 17 2 7 2" xfId="39251" xr:uid="{00000000-0005-0000-0000-0000A3590000}"/>
    <cellStyle name="Normal 2 3 2 17 2 8" xfId="39252" xr:uid="{00000000-0005-0000-0000-0000A4590000}"/>
    <cellStyle name="Normal 2 3 2 17 2 9" xfId="39253" xr:uid="{00000000-0005-0000-0000-0000A5590000}"/>
    <cellStyle name="Normal 2 3 2 17 3" xfId="9623" xr:uid="{00000000-0005-0000-0000-0000A6590000}"/>
    <cellStyle name="Normal 2 3 2 17 3 2" xfId="9624" xr:uid="{00000000-0005-0000-0000-0000A7590000}"/>
    <cellStyle name="Normal 2 3 2 17 3 2 2" xfId="9625" xr:uid="{00000000-0005-0000-0000-0000A8590000}"/>
    <cellStyle name="Normal 2 3 2 17 3 2 2 2" xfId="39254" xr:uid="{00000000-0005-0000-0000-0000A9590000}"/>
    <cellStyle name="Normal 2 3 2 17 3 2 3" xfId="9626" xr:uid="{00000000-0005-0000-0000-0000AA590000}"/>
    <cellStyle name="Normal 2 3 2 17 3 2 3 2" xfId="39255" xr:uid="{00000000-0005-0000-0000-0000AB590000}"/>
    <cellStyle name="Normal 2 3 2 17 3 2 4" xfId="39256" xr:uid="{00000000-0005-0000-0000-0000AC590000}"/>
    <cellStyle name="Normal 2 3 2 17 3 3" xfId="9627" xr:uid="{00000000-0005-0000-0000-0000AD590000}"/>
    <cellStyle name="Normal 2 3 2 17 3 3 2" xfId="39257" xr:uid="{00000000-0005-0000-0000-0000AE590000}"/>
    <cellStyle name="Normal 2 3 2 17 3 4" xfId="9628" xr:uid="{00000000-0005-0000-0000-0000AF590000}"/>
    <cellStyle name="Normal 2 3 2 17 3 4 2" xfId="39258" xr:uid="{00000000-0005-0000-0000-0000B0590000}"/>
    <cellStyle name="Normal 2 3 2 17 3 5" xfId="9629" xr:uid="{00000000-0005-0000-0000-0000B1590000}"/>
    <cellStyle name="Normal 2 3 2 17 3 5 2" xfId="39259" xr:uid="{00000000-0005-0000-0000-0000B2590000}"/>
    <cellStyle name="Normal 2 3 2 17 3 6" xfId="39260" xr:uid="{00000000-0005-0000-0000-0000B3590000}"/>
    <cellStyle name="Normal 2 3 2 17 3 6 2" xfId="39261" xr:uid="{00000000-0005-0000-0000-0000B4590000}"/>
    <cellStyle name="Normal 2 3 2 17 3 7" xfId="39262" xr:uid="{00000000-0005-0000-0000-0000B5590000}"/>
    <cellStyle name="Normal 2 3 2 17 4" xfId="9630" xr:uid="{00000000-0005-0000-0000-0000B6590000}"/>
    <cellStyle name="Normal 2 3 2 17 4 2" xfId="9631" xr:uid="{00000000-0005-0000-0000-0000B7590000}"/>
    <cellStyle name="Normal 2 3 2 17 4 2 2" xfId="39263" xr:uid="{00000000-0005-0000-0000-0000B8590000}"/>
    <cellStyle name="Normal 2 3 2 17 4 3" xfId="9632" xr:uid="{00000000-0005-0000-0000-0000B9590000}"/>
    <cellStyle name="Normal 2 3 2 17 4 3 2" xfId="39264" xr:uid="{00000000-0005-0000-0000-0000BA590000}"/>
    <cellStyle name="Normal 2 3 2 17 4 4" xfId="39265" xr:uid="{00000000-0005-0000-0000-0000BB590000}"/>
    <cellStyle name="Normal 2 3 2 17 5" xfId="9633" xr:uid="{00000000-0005-0000-0000-0000BC590000}"/>
    <cellStyle name="Normal 2 3 2 17 5 2" xfId="9634" xr:uid="{00000000-0005-0000-0000-0000BD590000}"/>
    <cellStyle name="Normal 2 3 2 17 5 2 2" xfId="39266" xr:uid="{00000000-0005-0000-0000-0000BE590000}"/>
    <cellStyle name="Normal 2 3 2 17 5 3" xfId="39267" xr:uid="{00000000-0005-0000-0000-0000BF590000}"/>
    <cellStyle name="Normal 2 3 2 17 6" xfId="9635" xr:uid="{00000000-0005-0000-0000-0000C0590000}"/>
    <cellStyle name="Normal 2 3 2 17 6 2" xfId="39268" xr:uid="{00000000-0005-0000-0000-0000C1590000}"/>
    <cellStyle name="Normal 2 3 2 17 7" xfId="9636" xr:uid="{00000000-0005-0000-0000-0000C2590000}"/>
    <cellStyle name="Normal 2 3 2 17 7 2" xfId="39269" xr:uid="{00000000-0005-0000-0000-0000C3590000}"/>
    <cellStyle name="Normal 2 3 2 17 8" xfId="39270" xr:uid="{00000000-0005-0000-0000-0000C4590000}"/>
    <cellStyle name="Normal 2 3 2 17 8 2" xfId="39271" xr:uid="{00000000-0005-0000-0000-0000C5590000}"/>
    <cellStyle name="Normal 2 3 2 17 9" xfId="39272" xr:uid="{00000000-0005-0000-0000-0000C6590000}"/>
    <cellStyle name="Normal 2 3 2 18" xfId="9637" xr:uid="{00000000-0005-0000-0000-0000C7590000}"/>
    <cellStyle name="Normal 2 3 2 18 10" xfId="39273" xr:uid="{00000000-0005-0000-0000-0000C8590000}"/>
    <cellStyle name="Normal 2 3 2 18 11" xfId="39274" xr:uid="{00000000-0005-0000-0000-0000C9590000}"/>
    <cellStyle name="Normal 2 3 2 18 2" xfId="9638" xr:uid="{00000000-0005-0000-0000-0000CA590000}"/>
    <cellStyle name="Normal 2 3 2 18 2 10" xfId="39275" xr:uid="{00000000-0005-0000-0000-0000CB590000}"/>
    <cellStyle name="Normal 2 3 2 18 2 2" xfId="9639" xr:uid="{00000000-0005-0000-0000-0000CC590000}"/>
    <cellStyle name="Normal 2 3 2 18 2 2 2" xfId="9640" xr:uid="{00000000-0005-0000-0000-0000CD590000}"/>
    <cellStyle name="Normal 2 3 2 18 2 2 2 2" xfId="9641" xr:uid="{00000000-0005-0000-0000-0000CE590000}"/>
    <cellStyle name="Normal 2 3 2 18 2 2 2 2 2" xfId="39276" xr:uid="{00000000-0005-0000-0000-0000CF590000}"/>
    <cellStyle name="Normal 2 3 2 18 2 2 2 3" xfId="9642" xr:uid="{00000000-0005-0000-0000-0000D0590000}"/>
    <cellStyle name="Normal 2 3 2 18 2 2 2 3 2" xfId="39277" xr:uid="{00000000-0005-0000-0000-0000D1590000}"/>
    <cellStyle name="Normal 2 3 2 18 2 2 2 4" xfId="39278" xr:uid="{00000000-0005-0000-0000-0000D2590000}"/>
    <cellStyle name="Normal 2 3 2 18 2 2 3" xfId="9643" xr:uid="{00000000-0005-0000-0000-0000D3590000}"/>
    <cellStyle name="Normal 2 3 2 18 2 2 3 2" xfId="39279" xr:uid="{00000000-0005-0000-0000-0000D4590000}"/>
    <cellStyle name="Normal 2 3 2 18 2 2 4" xfId="9644" xr:uid="{00000000-0005-0000-0000-0000D5590000}"/>
    <cellStyle name="Normal 2 3 2 18 2 2 4 2" xfId="39280" xr:uid="{00000000-0005-0000-0000-0000D6590000}"/>
    <cellStyle name="Normal 2 3 2 18 2 2 5" xfId="9645" xr:uid="{00000000-0005-0000-0000-0000D7590000}"/>
    <cellStyle name="Normal 2 3 2 18 2 2 5 2" xfId="39281" xr:uid="{00000000-0005-0000-0000-0000D8590000}"/>
    <cellStyle name="Normal 2 3 2 18 2 2 6" xfId="39282" xr:uid="{00000000-0005-0000-0000-0000D9590000}"/>
    <cellStyle name="Normal 2 3 2 18 2 2 6 2" xfId="39283" xr:uid="{00000000-0005-0000-0000-0000DA590000}"/>
    <cellStyle name="Normal 2 3 2 18 2 2 7" xfId="39284" xr:uid="{00000000-0005-0000-0000-0000DB590000}"/>
    <cellStyle name="Normal 2 3 2 18 2 3" xfId="9646" xr:uid="{00000000-0005-0000-0000-0000DC590000}"/>
    <cellStyle name="Normal 2 3 2 18 2 3 2" xfId="9647" xr:uid="{00000000-0005-0000-0000-0000DD590000}"/>
    <cellStyle name="Normal 2 3 2 18 2 3 2 2" xfId="39285" xr:uid="{00000000-0005-0000-0000-0000DE590000}"/>
    <cellStyle name="Normal 2 3 2 18 2 3 3" xfId="9648" xr:uid="{00000000-0005-0000-0000-0000DF590000}"/>
    <cellStyle name="Normal 2 3 2 18 2 3 3 2" xfId="39286" xr:uid="{00000000-0005-0000-0000-0000E0590000}"/>
    <cellStyle name="Normal 2 3 2 18 2 3 4" xfId="39287" xr:uid="{00000000-0005-0000-0000-0000E1590000}"/>
    <cellStyle name="Normal 2 3 2 18 2 4" xfId="9649" xr:uid="{00000000-0005-0000-0000-0000E2590000}"/>
    <cellStyle name="Normal 2 3 2 18 2 4 2" xfId="9650" xr:uid="{00000000-0005-0000-0000-0000E3590000}"/>
    <cellStyle name="Normal 2 3 2 18 2 4 2 2" xfId="39288" xr:uid="{00000000-0005-0000-0000-0000E4590000}"/>
    <cellStyle name="Normal 2 3 2 18 2 4 3" xfId="39289" xr:uid="{00000000-0005-0000-0000-0000E5590000}"/>
    <cellStyle name="Normal 2 3 2 18 2 5" xfId="9651" xr:uid="{00000000-0005-0000-0000-0000E6590000}"/>
    <cellStyle name="Normal 2 3 2 18 2 5 2" xfId="39290" xr:uid="{00000000-0005-0000-0000-0000E7590000}"/>
    <cellStyle name="Normal 2 3 2 18 2 6" xfId="9652" xr:uid="{00000000-0005-0000-0000-0000E8590000}"/>
    <cellStyle name="Normal 2 3 2 18 2 6 2" xfId="39291" xr:uid="{00000000-0005-0000-0000-0000E9590000}"/>
    <cellStyle name="Normal 2 3 2 18 2 7" xfId="39292" xr:uid="{00000000-0005-0000-0000-0000EA590000}"/>
    <cellStyle name="Normal 2 3 2 18 2 7 2" xfId="39293" xr:uid="{00000000-0005-0000-0000-0000EB590000}"/>
    <cellStyle name="Normal 2 3 2 18 2 8" xfId="39294" xr:uid="{00000000-0005-0000-0000-0000EC590000}"/>
    <cellStyle name="Normal 2 3 2 18 2 9" xfId="39295" xr:uid="{00000000-0005-0000-0000-0000ED590000}"/>
    <cellStyle name="Normal 2 3 2 18 3" xfId="9653" xr:uid="{00000000-0005-0000-0000-0000EE590000}"/>
    <cellStyle name="Normal 2 3 2 18 3 2" xfId="9654" xr:uid="{00000000-0005-0000-0000-0000EF590000}"/>
    <cellStyle name="Normal 2 3 2 18 3 2 2" xfId="9655" xr:uid="{00000000-0005-0000-0000-0000F0590000}"/>
    <cellStyle name="Normal 2 3 2 18 3 2 2 2" xfId="39296" xr:uid="{00000000-0005-0000-0000-0000F1590000}"/>
    <cellStyle name="Normal 2 3 2 18 3 2 3" xfId="9656" xr:uid="{00000000-0005-0000-0000-0000F2590000}"/>
    <cellStyle name="Normal 2 3 2 18 3 2 3 2" xfId="39297" xr:uid="{00000000-0005-0000-0000-0000F3590000}"/>
    <cellStyle name="Normal 2 3 2 18 3 2 4" xfId="39298" xr:uid="{00000000-0005-0000-0000-0000F4590000}"/>
    <cellStyle name="Normal 2 3 2 18 3 3" xfId="9657" xr:uid="{00000000-0005-0000-0000-0000F5590000}"/>
    <cellStyle name="Normal 2 3 2 18 3 3 2" xfId="39299" xr:uid="{00000000-0005-0000-0000-0000F6590000}"/>
    <cellStyle name="Normal 2 3 2 18 3 4" xfId="9658" xr:uid="{00000000-0005-0000-0000-0000F7590000}"/>
    <cellStyle name="Normal 2 3 2 18 3 4 2" xfId="39300" xr:uid="{00000000-0005-0000-0000-0000F8590000}"/>
    <cellStyle name="Normal 2 3 2 18 3 5" xfId="9659" xr:uid="{00000000-0005-0000-0000-0000F9590000}"/>
    <cellStyle name="Normal 2 3 2 18 3 5 2" xfId="39301" xr:uid="{00000000-0005-0000-0000-0000FA590000}"/>
    <cellStyle name="Normal 2 3 2 18 3 6" xfId="39302" xr:uid="{00000000-0005-0000-0000-0000FB590000}"/>
    <cellStyle name="Normal 2 3 2 18 3 6 2" xfId="39303" xr:uid="{00000000-0005-0000-0000-0000FC590000}"/>
    <cellStyle name="Normal 2 3 2 18 3 7" xfId="39304" xr:uid="{00000000-0005-0000-0000-0000FD590000}"/>
    <cellStyle name="Normal 2 3 2 18 4" xfId="9660" xr:uid="{00000000-0005-0000-0000-0000FE590000}"/>
    <cellStyle name="Normal 2 3 2 18 4 2" xfId="9661" xr:uid="{00000000-0005-0000-0000-0000FF590000}"/>
    <cellStyle name="Normal 2 3 2 18 4 2 2" xfId="39305" xr:uid="{00000000-0005-0000-0000-0000005A0000}"/>
    <cellStyle name="Normal 2 3 2 18 4 3" xfId="9662" xr:uid="{00000000-0005-0000-0000-0000015A0000}"/>
    <cellStyle name="Normal 2 3 2 18 4 3 2" xfId="39306" xr:uid="{00000000-0005-0000-0000-0000025A0000}"/>
    <cellStyle name="Normal 2 3 2 18 4 4" xfId="39307" xr:uid="{00000000-0005-0000-0000-0000035A0000}"/>
    <cellStyle name="Normal 2 3 2 18 5" xfId="9663" xr:uid="{00000000-0005-0000-0000-0000045A0000}"/>
    <cellStyle name="Normal 2 3 2 18 5 2" xfId="9664" xr:uid="{00000000-0005-0000-0000-0000055A0000}"/>
    <cellStyle name="Normal 2 3 2 18 5 2 2" xfId="39308" xr:uid="{00000000-0005-0000-0000-0000065A0000}"/>
    <cellStyle name="Normal 2 3 2 18 5 3" xfId="39309" xr:uid="{00000000-0005-0000-0000-0000075A0000}"/>
    <cellStyle name="Normal 2 3 2 18 6" xfId="9665" xr:uid="{00000000-0005-0000-0000-0000085A0000}"/>
    <cellStyle name="Normal 2 3 2 18 6 2" xfId="39310" xr:uid="{00000000-0005-0000-0000-0000095A0000}"/>
    <cellStyle name="Normal 2 3 2 18 7" xfId="9666" xr:uid="{00000000-0005-0000-0000-00000A5A0000}"/>
    <cellStyle name="Normal 2 3 2 18 7 2" xfId="39311" xr:uid="{00000000-0005-0000-0000-00000B5A0000}"/>
    <cellStyle name="Normal 2 3 2 18 8" xfId="39312" xr:uid="{00000000-0005-0000-0000-00000C5A0000}"/>
    <cellStyle name="Normal 2 3 2 18 8 2" xfId="39313" xr:uid="{00000000-0005-0000-0000-00000D5A0000}"/>
    <cellStyle name="Normal 2 3 2 18 9" xfId="39314" xr:uid="{00000000-0005-0000-0000-00000E5A0000}"/>
    <cellStyle name="Normal 2 3 2 19" xfId="9667" xr:uid="{00000000-0005-0000-0000-00000F5A0000}"/>
    <cellStyle name="Normal 2 3 2 19 10" xfId="39315" xr:uid="{00000000-0005-0000-0000-0000105A0000}"/>
    <cellStyle name="Normal 2 3 2 19 11" xfId="39316" xr:uid="{00000000-0005-0000-0000-0000115A0000}"/>
    <cellStyle name="Normal 2 3 2 19 2" xfId="9668" xr:uid="{00000000-0005-0000-0000-0000125A0000}"/>
    <cellStyle name="Normal 2 3 2 19 2 10" xfId="39317" xr:uid="{00000000-0005-0000-0000-0000135A0000}"/>
    <cellStyle name="Normal 2 3 2 19 2 2" xfId="9669" xr:uid="{00000000-0005-0000-0000-0000145A0000}"/>
    <cellStyle name="Normal 2 3 2 19 2 2 2" xfId="9670" xr:uid="{00000000-0005-0000-0000-0000155A0000}"/>
    <cellStyle name="Normal 2 3 2 19 2 2 2 2" xfId="9671" xr:uid="{00000000-0005-0000-0000-0000165A0000}"/>
    <cellStyle name="Normal 2 3 2 19 2 2 2 2 2" xfId="39318" xr:uid="{00000000-0005-0000-0000-0000175A0000}"/>
    <cellStyle name="Normal 2 3 2 19 2 2 2 3" xfId="9672" xr:uid="{00000000-0005-0000-0000-0000185A0000}"/>
    <cellStyle name="Normal 2 3 2 19 2 2 2 3 2" xfId="39319" xr:uid="{00000000-0005-0000-0000-0000195A0000}"/>
    <cellStyle name="Normal 2 3 2 19 2 2 2 4" xfId="39320" xr:uid="{00000000-0005-0000-0000-00001A5A0000}"/>
    <cellStyle name="Normal 2 3 2 19 2 2 3" xfId="9673" xr:uid="{00000000-0005-0000-0000-00001B5A0000}"/>
    <cellStyle name="Normal 2 3 2 19 2 2 3 2" xfId="39321" xr:uid="{00000000-0005-0000-0000-00001C5A0000}"/>
    <cellStyle name="Normal 2 3 2 19 2 2 4" xfId="9674" xr:uid="{00000000-0005-0000-0000-00001D5A0000}"/>
    <cellStyle name="Normal 2 3 2 19 2 2 4 2" xfId="39322" xr:uid="{00000000-0005-0000-0000-00001E5A0000}"/>
    <cellStyle name="Normal 2 3 2 19 2 2 5" xfId="9675" xr:uid="{00000000-0005-0000-0000-00001F5A0000}"/>
    <cellStyle name="Normal 2 3 2 19 2 2 5 2" xfId="39323" xr:uid="{00000000-0005-0000-0000-0000205A0000}"/>
    <cellStyle name="Normal 2 3 2 19 2 2 6" xfId="39324" xr:uid="{00000000-0005-0000-0000-0000215A0000}"/>
    <cellStyle name="Normal 2 3 2 19 2 2 6 2" xfId="39325" xr:uid="{00000000-0005-0000-0000-0000225A0000}"/>
    <cellStyle name="Normal 2 3 2 19 2 2 7" xfId="39326" xr:uid="{00000000-0005-0000-0000-0000235A0000}"/>
    <cellStyle name="Normal 2 3 2 19 2 3" xfId="9676" xr:uid="{00000000-0005-0000-0000-0000245A0000}"/>
    <cellStyle name="Normal 2 3 2 19 2 3 2" xfId="9677" xr:uid="{00000000-0005-0000-0000-0000255A0000}"/>
    <cellStyle name="Normal 2 3 2 19 2 3 2 2" xfId="39327" xr:uid="{00000000-0005-0000-0000-0000265A0000}"/>
    <cellStyle name="Normal 2 3 2 19 2 3 3" xfId="9678" xr:uid="{00000000-0005-0000-0000-0000275A0000}"/>
    <cellStyle name="Normal 2 3 2 19 2 3 3 2" xfId="39328" xr:uid="{00000000-0005-0000-0000-0000285A0000}"/>
    <cellStyle name="Normal 2 3 2 19 2 3 4" xfId="39329" xr:uid="{00000000-0005-0000-0000-0000295A0000}"/>
    <cellStyle name="Normal 2 3 2 19 2 4" xfId="9679" xr:uid="{00000000-0005-0000-0000-00002A5A0000}"/>
    <cellStyle name="Normal 2 3 2 19 2 4 2" xfId="9680" xr:uid="{00000000-0005-0000-0000-00002B5A0000}"/>
    <cellStyle name="Normal 2 3 2 19 2 4 2 2" xfId="39330" xr:uid="{00000000-0005-0000-0000-00002C5A0000}"/>
    <cellStyle name="Normal 2 3 2 19 2 4 3" xfId="39331" xr:uid="{00000000-0005-0000-0000-00002D5A0000}"/>
    <cellStyle name="Normal 2 3 2 19 2 5" xfId="9681" xr:uid="{00000000-0005-0000-0000-00002E5A0000}"/>
    <cellStyle name="Normal 2 3 2 19 2 5 2" xfId="39332" xr:uid="{00000000-0005-0000-0000-00002F5A0000}"/>
    <cellStyle name="Normal 2 3 2 19 2 6" xfId="9682" xr:uid="{00000000-0005-0000-0000-0000305A0000}"/>
    <cellStyle name="Normal 2 3 2 19 2 6 2" xfId="39333" xr:uid="{00000000-0005-0000-0000-0000315A0000}"/>
    <cellStyle name="Normal 2 3 2 19 2 7" xfId="39334" xr:uid="{00000000-0005-0000-0000-0000325A0000}"/>
    <cellStyle name="Normal 2 3 2 19 2 7 2" xfId="39335" xr:uid="{00000000-0005-0000-0000-0000335A0000}"/>
    <cellStyle name="Normal 2 3 2 19 2 8" xfId="39336" xr:uid="{00000000-0005-0000-0000-0000345A0000}"/>
    <cellStyle name="Normal 2 3 2 19 2 9" xfId="39337" xr:uid="{00000000-0005-0000-0000-0000355A0000}"/>
    <cellStyle name="Normal 2 3 2 19 3" xfId="9683" xr:uid="{00000000-0005-0000-0000-0000365A0000}"/>
    <cellStyle name="Normal 2 3 2 19 3 2" xfId="9684" xr:uid="{00000000-0005-0000-0000-0000375A0000}"/>
    <cellStyle name="Normal 2 3 2 19 3 2 2" xfId="9685" xr:uid="{00000000-0005-0000-0000-0000385A0000}"/>
    <cellStyle name="Normal 2 3 2 19 3 2 2 2" xfId="39338" xr:uid="{00000000-0005-0000-0000-0000395A0000}"/>
    <cellStyle name="Normal 2 3 2 19 3 2 3" xfId="9686" xr:uid="{00000000-0005-0000-0000-00003A5A0000}"/>
    <cellStyle name="Normal 2 3 2 19 3 2 3 2" xfId="39339" xr:uid="{00000000-0005-0000-0000-00003B5A0000}"/>
    <cellStyle name="Normal 2 3 2 19 3 2 4" xfId="39340" xr:uid="{00000000-0005-0000-0000-00003C5A0000}"/>
    <cellStyle name="Normal 2 3 2 19 3 3" xfId="9687" xr:uid="{00000000-0005-0000-0000-00003D5A0000}"/>
    <cellStyle name="Normal 2 3 2 19 3 3 2" xfId="39341" xr:uid="{00000000-0005-0000-0000-00003E5A0000}"/>
    <cellStyle name="Normal 2 3 2 19 3 4" xfId="9688" xr:uid="{00000000-0005-0000-0000-00003F5A0000}"/>
    <cellStyle name="Normal 2 3 2 19 3 4 2" xfId="39342" xr:uid="{00000000-0005-0000-0000-0000405A0000}"/>
    <cellStyle name="Normal 2 3 2 19 3 5" xfId="9689" xr:uid="{00000000-0005-0000-0000-0000415A0000}"/>
    <cellStyle name="Normal 2 3 2 19 3 5 2" xfId="39343" xr:uid="{00000000-0005-0000-0000-0000425A0000}"/>
    <cellStyle name="Normal 2 3 2 19 3 6" xfId="39344" xr:uid="{00000000-0005-0000-0000-0000435A0000}"/>
    <cellStyle name="Normal 2 3 2 19 3 6 2" xfId="39345" xr:uid="{00000000-0005-0000-0000-0000445A0000}"/>
    <cellStyle name="Normal 2 3 2 19 3 7" xfId="39346" xr:uid="{00000000-0005-0000-0000-0000455A0000}"/>
    <cellStyle name="Normal 2 3 2 19 4" xfId="9690" xr:uid="{00000000-0005-0000-0000-0000465A0000}"/>
    <cellStyle name="Normal 2 3 2 19 4 2" xfId="9691" xr:uid="{00000000-0005-0000-0000-0000475A0000}"/>
    <cellStyle name="Normal 2 3 2 19 4 2 2" xfId="39347" xr:uid="{00000000-0005-0000-0000-0000485A0000}"/>
    <cellStyle name="Normal 2 3 2 19 4 3" xfId="9692" xr:uid="{00000000-0005-0000-0000-0000495A0000}"/>
    <cellStyle name="Normal 2 3 2 19 4 3 2" xfId="39348" xr:uid="{00000000-0005-0000-0000-00004A5A0000}"/>
    <cellStyle name="Normal 2 3 2 19 4 4" xfId="39349" xr:uid="{00000000-0005-0000-0000-00004B5A0000}"/>
    <cellStyle name="Normal 2 3 2 19 5" xfId="9693" xr:uid="{00000000-0005-0000-0000-00004C5A0000}"/>
    <cellStyle name="Normal 2 3 2 19 5 2" xfId="9694" xr:uid="{00000000-0005-0000-0000-00004D5A0000}"/>
    <cellStyle name="Normal 2 3 2 19 5 2 2" xfId="39350" xr:uid="{00000000-0005-0000-0000-00004E5A0000}"/>
    <cellStyle name="Normal 2 3 2 19 5 3" xfId="39351" xr:uid="{00000000-0005-0000-0000-00004F5A0000}"/>
    <cellStyle name="Normal 2 3 2 19 6" xfId="9695" xr:uid="{00000000-0005-0000-0000-0000505A0000}"/>
    <cellStyle name="Normal 2 3 2 19 6 2" xfId="39352" xr:uid="{00000000-0005-0000-0000-0000515A0000}"/>
    <cellStyle name="Normal 2 3 2 19 7" xfId="9696" xr:uid="{00000000-0005-0000-0000-0000525A0000}"/>
    <cellStyle name="Normal 2 3 2 19 7 2" xfId="39353" xr:uid="{00000000-0005-0000-0000-0000535A0000}"/>
    <cellStyle name="Normal 2 3 2 19 8" xfId="39354" xr:uid="{00000000-0005-0000-0000-0000545A0000}"/>
    <cellStyle name="Normal 2 3 2 19 8 2" xfId="39355" xr:uid="{00000000-0005-0000-0000-0000555A0000}"/>
    <cellStyle name="Normal 2 3 2 19 9" xfId="39356" xr:uid="{00000000-0005-0000-0000-0000565A0000}"/>
    <cellStyle name="Normal 2 3 2 2" xfId="9697" xr:uid="{00000000-0005-0000-0000-0000575A0000}"/>
    <cellStyle name="Normal 2 3 2 2 10" xfId="39357" xr:uid="{00000000-0005-0000-0000-0000585A0000}"/>
    <cellStyle name="Normal 2 3 2 2 11" xfId="39358" xr:uid="{00000000-0005-0000-0000-0000595A0000}"/>
    <cellStyle name="Normal 2 3 2 2 2" xfId="9698" xr:uid="{00000000-0005-0000-0000-00005A5A0000}"/>
    <cellStyle name="Normal 2 3 2 2 2 10" xfId="39359" xr:uid="{00000000-0005-0000-0000-00005B5A0000}"/>
    <cellStyle name="Normal 2 3 2 2 2 2" xfId="9699" xr:uid="{00000000-0005-0000-0000-00005C5A0000}"/>
    <cellStyle name="Normal 2 3 2 2 2 2 2" xfId="9700" xr:uid="{00000000-0005-0000-0000-00005D5A0000}"/>
    <cellStyle name="Normal 2 3 2 2 2 2 2 2" xfId="9701" xr:uid="{00000000-0005-0000-0000-00005E5A0000}"/>
    <cellStyle name="Normal 2 3 2 2 2 2 2 2 2" xfId="39360" xr:uid="{00000000-0005-0000-0000-00005F5A0000}"/>
    <cellStyle name="Normal 2 3 2 2 2 2 2 3" xfId="9702" xr:uid="{00000000-0005-0000-0000-0000605A0000}"/>
    <cellStyle name="Normal 2 3 2 2 2 2 2 3 2" xfId="39361" xr:uid="{00000000-0005-0000-0000-0000615A0000}"/>
    <cellStyle name="Normal 2 3 2 2 2 2 2 4" xfId="39362" xr:uid="{00000000-0005-0000-0000-0000625A0000}"/>
    <cellStyle name="Normal 2 3 2 2 2 2 3" xfId="9703" xr:uid="{00000000-0005-0000-0000-0000635A0000}"/>
    <cellStyle name="Normal 2 3 2 2 2 2 3 2" xfId="39363" xr:uid="{00000000-0005-0000-0000-0000645A0000}"/>
    <cellStyle name="Normal 2 3 2 2 2 2 4" xfId="9704" xr:uid="{00000000-0005-0000-0000-0000655A0000}"/>
    <cellStyle name="Normal 2 3 2 2 2 2 4 2" xfId="39364" xr:uid="{00000000-0005-0000-0000-0000665A0000}"/>
    <cellStyle name="Normal 2 3 2 2 2 2 5" xfId="9705" xr:uid="{00000000-0005-0000-0000-0000675A0000}"/>
    <cellStyle name="Normal 2 3 2 2 2 2 5 2" xfId="39365" xr:uid="{00000000-0005-0000-0000-0000685A0000}"/>
    <cellStyle name="Normal 2 3 2 2 2 2 6" xfId="39366" xr:uid="{00000000-0005-0000-0000-0000695A0000}"/>
    <cellStyle name="Normal 2 3 2 2 2 2 6 2" xfId="39367" xr:uid="{00000000-0005-0000-0000-00006A5A0000}"/>
    <cellStyle name="Normal 2 3 2 2 2 2 7" xfId="39368" xr:uid="{00000000-0005-0000-0000-00006B5A0000}"/>
    <cellStyle name="Normal 2 3 2 2 2 3" xfId="9706" xr:uid="{00000000-0005-0000-0000-00006C5A0000}"/>
    <cellStyle name="Normal 2 3 2 2 2 3 2" xfId="9707" xr:uid="{00000000-0005-0000-0000-00006D5A0000}"/>
    <cellStyle name="Normal 2 3 2 2 2 3 2 2" xfId="39369" xr:uid="{00000000-0005-0000-0000-00006E5A0000}"/>
    <cellStyle name="Normal 2 3 2 2 2 3 3" xfId="9708" xr:uid="{00000000-0005-0000-0000-00006F5A0000}"/>
    <cellStyle name="Normal 2 3 2 2 2 3 3 2" xfId="39370" xr:uid="{00000000-0005-0000-0000-0000705A0000}"/>
    <cellStyle name="Normal 2 3 2 2 2 3 4" xfId="39371" xr:uid="{00000000-0005-0000-0000-0000715A0000}"/>
    <cellStyle name="Normal 2 3 2 2 2 4" xfId="9709" xr:uid="{00000000-0005-0000-0000-0000725A0000}"/>
    <cellStyle name="Normal 2 3 2 2 2 4 2" xfId="9710" xr:uid="{00000000-0005-0000-0000-0000735A0000}"/>
    <cellStyle name="Normal 2 3 2 2 2 4 2 2" xfId="39372" xr:uid="{00000000-0005-0000-0000-0000745A0000}"/>
    <cellStyle name="Normal 2 3 2 2 2 4 3" xfId="39373" xr:uid="{00000000-0005-0000-0000-0000755A0000}"/>
    <cellStyle name="Normal 2 3 2 2 2 5" xfId="9711" xr:uid="{00000000-0005-0000-0000-0000765A0000}"/>
    <cellStyle name="Normal 2 3 2 2 2 5 2" xfId="39374" xr:uid="{00000000-0005-0000-0000-0000775A0000}"/>
    <cellStyle name="Normal 2 3 2 2 2 6" xfId="9712" xr:uid="{00000000-0005-0000-0000-0000785A0000}"/>
    <cellStyle name="Normal 2 3 2 2 2 6 2" xfId="39375" xr:uid="{00000000-0005-0000-0000-0000795A0000}"/>
    <cellStyle name="Normal 2 3 2 2 2 7" xfId="39376" xr:uid="{00000000-0005-0000-0000-00007A5A0000}"/>
    <cellStyle name="Normal 2 3 2 2 2 7 2" xfId="39377" xr:uid="{00000000-0005-0000-0000-00007B5A0000}"/>
    <cellStyle name="Normal 2 3 2 2 2 8" xfId="39378" xr:uid="{00000000-0005-0000-0000-00007C5A0000}"/>
    <cellStyle name="Normal 2 3 2 2 2 9" xfId="39379" xr:uid="{00000000-0005-0000-0000-00007D5A0000}"/>
    <cellStyle name="Normal 2 3 2 2 3" xfId="9713" xr:uid="{00000000-0005-0000-0000-00007E5A0000}"/>
    <cellStyle name="Normal 2 3 2 2 3 2" xfId="9714" xr:uid="{00000000-0005-0000-0000-00007F5A0000}"/>
    <cellStyle name="Normal 2 3 2 2 3 2 2" xfId="9715" xr:uid="{00000000-0005-0000-0000-0000805A0000}"/>
    <cellStyle name="Normal 2 3 2 2 3 2 2 2" xfId="39380" xr:uid="{00000000-0005-0000-0000-0000815A0000}"/>
    <cellStyle name="Normal 2 3 2 2 3 2 3" xfId="9716" xr:uid="{00000000-0005-0000-0000-0000825A0000}"/>
    <cellStyle name="Normal 2 3 2 2 3 2 3 2" xfId="39381" xr:uid="{00000000-0005-0000-0000-0000835A0000}"/>
    <cellStyle name="Normal 2 3 2 2 3 2 4" xfId="39382" xr:uid="{00000000-0005-0000-0000-0000845A0000}"/>
    <cellStyle name="Normal 2 3 2 2 3 3" xfId="9717" xr:uid="{00000000-0005-0000-0000-0000855A0000}"/>
    <cellStyle name="Normal 2 3 2 2 3 3 2" xfId="39383" xr:uid="{00000000-0005-0000-0000-0000865A0000}"/>
    <cellStyle name="Normal 2 3 2 2 3 4" xfId="9718" xr:uid="{00000000-0005-0000-0000-0000875A0000}"/>
    <cellStyle name="Normal 2 3 2 2 3 4 2" xfId="39384" xr:uid="{00000000-0005-0000-0000-0000885A0000}"/>
    <cellStyle name="Normal 2 3 2 2 3 5" xfId="9719" xr:uid="{00000000-0005-0000-0000-0000895A0000}"/>
    <cellStyle name="Normal 2 3 2 2 3 5 2" xfId="39385" xr:uid="{00000000-0005-0000-0000-00008A5A0000}"/>
    <cellStyle name="Normal 2 3 2 2 3 6" xfId="39386" xr:uid="{00000000-0005-0000-0000-00008B5A0000}"/>
    <cellStyle name="Normal 2 3 2 2 3 6 2" xfId="39387" xr:uid="{00000000-0005-0000-0000-00008C5A0000}"/>
    <cellStyle name="Normal 2 3 2 2 3 7" xfId="39388" xr:uid="{00000000-0005-0000-0000-00008D5A0000}"/>
    <cellStyle name="Normal 2 3 2 2 4" xfId="9720" xr:uid="{00000000-0005-0000-0000-00008E5A0000}"/>
    <cellStyle name="Normal 2 3 2 2 4 2" xfId="9721" xr:uid="{00000000-0005-0000-0000-00008F5A0000}"/>
    <cellStyle name="Normal 2 3 2 2 4 2 2" xfId="39389" xr:uid="{00000000-0005-0000-0000-0000905A0000}"/>
    <cellStyle name="Normal 2 3 2 2 4 3" xfId="9722" xr:uid="{00000000-0005-0000-0000-0000915A0000}"/>
    <cellStyle name="Normal 2 3 2 2 4 3 2" xfId="39390" xr:uid="{00000000-0005-0000-0000-0000925A0000}"/>
    <cellStyle name="Normal 2 3 2 2 4 4" xfId="39391" xr:uid="{00000000-0005-0000-0000-0000935A0000}"/>
    <cellStyle name="Normal 2 3 2 2 5" xfId="9723" xr:uid="{00000000-0005-0000-0000-0000945A0000}"/>
    <cellStyle name="Normal 2 3 2 2 5 2" xfId="9724" xr:uid="{00000000-0005-0000-0000-0000955A0000}"/>
    <cellStyle name="Normal 2 3 2 2 5 2 2" xfId="39392" xr:uid="{00000000-0005-0000-0000-0000965A0000}"/>
    <cellStyle name="Normal 2 3 2 2 5 3" xfId="39393" xr:uid="{00000000-0005-0000-0000-0000975A0000}"/>
    <cellStyle name="Normal 2 3 2 2 6" xfId="9725" xr:uid="{00000000-0005-0000-0000-0000985A0000}"/>
    <cellStyle name="Normal 2 3 2 2 6 2" xfId="39394" xr:uid="{00000000-0005-0000-0000-0000995A0000}"/>
    <cellStyle name="Normal 2 3 2 2 7" xfId="9726" xr:uid="{00000000-0005-0000-0000-00009A5A0000}"/>
    <cellStyle name="Normal 2 3 2 2 7 2" xfId="39395" xr:uid="{00000000-0005-0000-0000-00009B5A0000}"/>
    <cellStyle name="Normal 2 3 2 2 8" xfId="39396" xr:uid="{00000000-0005-0000-0000-00009C5A0000}"/>
    <cellStyle name="Normal 2 3 2 2 8 2" xfId="39397" xr:uid="{00000000-0005-0000-0000-00009D5A0000}"/>
    <cellStyle name="Normal 2 3 2 2 9" xfId="39398" xr:uid="{00000000-0005-0000-0000-00009E5A0000}"/>
    <cellStyle name="Normal 2 3 2 20" xfId="9727" xr:uid="{00000000-0005-0000-0000-00009F5A0000}"/>
    <cellStyle name="Normal 2 3 2 20 10" xfId="39399" xr:uid="{00000000-0005-0000-0000-0000A05A0000}"/>
    <cellStyle name="Normal 2 3 2 20 11" xfId="39400" xr:uid="{00000000-0005-0000-0000-0000A15A0000}"/>
    <cellStyle name="Normal 2 3 2 20 2" xfId="9728" xr:uid="{00000000-0005-0000-0000-0000A25A0000}"/>
    <cellStyle name="Normal 2 3 2 20 2 10" xfId="39401" xr:uid="{00000000-0005-0000-0000-0000A35A0000}"/>
    <cellStyle name="Normal 2 3 2 20 2 2" xfId="9729" xr:uid="{00000000-0005-0000-0000-0000A45A0000}"/>
    <cellStyle name="Normal 2 3 2 20 2 2 2" xfId="9730" xr:uid="{00000000-0005-0000-0000-0000A55A0000}"/>
    <cellStyle name="Normal 2 3 2 20 2 2 2 2" xfId="9731" xr:uid="{00000000-0005-0000-0000-0000A65A0000}"/>
    <cellStyle name="Normal 2 3 2 20 2 2 2 2 2" xfId="39402" xr:uid="{00000000-0005-0000-0000-0000A75A0000}"/>
    <cellStyle name="Normal 2 3 2 20 2 2 2 3" xfId="9732" xr:uid="{00000000-0005-0000-0000-0000A85A0000}"/>
    <cellStyle name="Normal 2 3 2 20 2 2 2 3 2" xfId="39403" xr:uid="{00000000-0005-0000-0000-0000A95A0000}"/>
    <cellStyle name="Normal 2 3 2 20 2 2 2 4" xfId="39404" xr:uid="{00000000-0005-0000-0000-0000AA5A0000}"/>
    <cellStyle name="Normal 2 3 2 20 2 2 3" xfId="9733" xr:uid="{00000000-0005-0000-0000-0000AB5A0000}"/>
    <cellStyle name="Normal 2 3 2 20 2 2 3 2" xfId="39405" xr:uid="{00000000-0005-0000-0000-0000AC5A0000}"/>
    <cellStyle name="Normal 2 3 2 20 2 2 4" xfId="9734" xr:uid="{00000000-0005-0000-0000-0000AD5A0000}"/>
    <cellStyle name="Normal 2 3 2 20 2 2 4 2" xfId="39406" xr:uid="{00000000-0005-0000-0000-0000AE5A0000}"/>
    <cellStyle name="Normal 2 3 2 20 2 2 5" xfId="9735" xr:uid="{00000000-0005-0000-0000-0000AF5A0000}"/>
    <cellStyle name="Normal 2 3 2 20 2 2 5 2" xfId="39407" xr:uid="{00000000-0005-0000-0000-0000B05A0000}"/>
    <cellStyle name="Normal 2 3 2 20 2 2 6" xfId="39408" xr:uid="{00000000-0005-0000-0000-0000B15A0000}"/>
    <cellStyle name="Normal 2 3 2 20 2 2 6 2" xfId="39409" xr:uid="{00000000-0005-0000-0000-0000B25A0000}"/>
    <cellStyle name="Normal 2 3 2 20 2 2 7" xfId="39410" xr:uid="{00000000-0005-0000-0000-0000B35A0000}"/>
    <cellStyle name="Normal 2 3 2 20 2 3" xfId="9736" xr:uid="{00000000-0005-0000-0000-0000B45A0000}"/>
    <cellStyle name="Normal 2 3 2 20 2 3 2" xfId="9737" xr:uid="{00000000-0005-0000-0000-0000B55A0000}"/>
    <cellStyle name="Normal 2 3 2 20 2 3 2 2" xfId="39411" xr:uid="{00000000-0005-0000-0000-0000B65A0000}"/>
    <cellStyle name="Normal 2 3 2 20 2 3 3" xfId="9738" xr:uid="{00000000-0005-0000-0000-0000B75A0000}"/>
    <cellStyle name="Normal 2 3 2 20 2 3 3 2" xfId="39412" xr:uid="{00000000-0005-0000-0000-0000B85A0000}"/>
    <cellStyle name="Normal 2 3 2 20 2 3 4" xfId="39413" xr:uid="{00000000-0005-0000-0000-0000B95A0000}"/>
    <cellStyle name="Normal 2 3 2 20 2 4" xfId="9739" xr:uid="{00000000-0005-0000-0000-0000BA5A0000}"/>
    <cellStyle name="Normal 2 3 2 20 2 4 2" xfId="9740" xr:uid="{00000000-0005-0000-0000-0000BB5A0000}"/>
    <cellStyle name="Normal 2 3 2 20 2 4 2 2" xfId="39414" xr:uid="{00000000-0005-0000-0000-0000BC5A0000}"/>
    <cellStyle name="Normal 2 3 2 20 2 4 3" xfId="39415" xr:uid="{00000000-0005-0000-0000-0000BD5A0000}"/>
    <cellStyle name="Normal 2 3 2 20 2 5" xfId="9741" xr:uid="{00000000-0005-0000-0000-0000BE5A0000}"/>
    <cellStyle name="Normal 2 3 2 20 2 5 2" xfId="39416" xr:uid="{00000000-0005-0000-0000-0000BF5A0000}"/>
    <cellStyle name="Normal 2 3 2 20 2 6" xfId="9742" xr:uid="{00000000-0005-0000-0000-0000C05A0000}"/>
    <cellStyle name="Normal 2 3 2 20 2 6 2" xfId="39417" xr:uid="{00000000-0005-0000-0000-0000C15A0000}"/>
    <cellStyle name="Normal 2 3 2 20 2 7" xfId="39418" xr:uid="{00000000-0005-0000-0000-0000C25A0000}"/>
    <cellStyle name="Normal 2 3 2 20 2 7 2" xfId="39419" xr:uid="{00000000-0005-0000-0000-0000C35A0000}"/>
    <cellStyle name="Normal 2 3 2 20 2 8" xfId="39420" xr:uid="{00000000-0005-0000-0000-0000C45A0000}"/>
    <cellStyle name="Normal 2 3 2 20 2 9" xfId="39421" xr:uid="{00000000-0005-0000-0000-0000C55A0000}"/>
    <cellStyle name="Normal 2 3 2 20 3" xfId="9743" xr:uid="{00000000-0005-0000-0000-0000C65A0000}"/>
    <cellStyle name="Normal 2 3 2 20 3 2" xfId="9744" xr:uid="{00000000-0005-0000-0000-0000C75A0000}"/>
    <cellStyle name="Normal 2 3 2 20 3 2 2" xfId="9745" xr:uid="{00000000-0005-0000-0000-0000C85A0000}"/>
    <cellStyle name="Normal 2 3 2 20 3 2 2 2" xfId="39422" xr:uid="{00000000-0005-0000-0000-0000C95A0000}"/>
    <cellStyle name="Normal 2 3 2 20 3 2 3" xfId="9746" xr:uid="{00000000-0005-0000-0000-0000CA5A0000}"/>
    <cellStyle name="Normal 2 3 2 20 3 2 3 2" xfId="39423" xr:uid="{00000000-0005-0000-0000-0000CB5A0000}"/>
    <cellStyle name="Normal 2 3 2 20 3 2 4" xfId="39424" xr:uid="{00000000-0005-0000-0000-0000CC5A0000}"/>
    <cellStyle name="Normal 2 3 2 20 3 3" xfId="9747" xr:uid="{00000000-0005-0000-0000-0000CD5A0000}"/>
    <cellStyle name="Normal 2 3 2 20 3 3 2" xfId="39425" xr:uid="{00000000-0005-0000-0000-0000CE5A0000}"/>
    <cellStyle name="Normal 2 3 2 20 3 4" xfId="9748" xr:uid="{00000000-0005-0000-0000-0000CF5A0000}"/>
    <cellStyle name="Normal 2 3 2 20 3 4 2" xfId="39426" xr:uid="{00000000-0005-0000-0000-0000D05A0000}"/>
    <cellStyle name="Normal 2 3 2 20 3 5" xfId="9749" xr:uid="{00000000-0005-0000-0000-0000D15A0000}"/>
    <cellStyle name="Normal 2 3 2 20 3 5 2" xfId="39427" xr:uid="{00000000-0005-0000-0000-0000D25A0000}"/>
    <cellStyle name="Normal 2 3 2 20 3 6" xfId="39428" xr:uid="{00000000-0005-0000-0000-0000D35A0000}"/>
    <cellStyle name="Normal 2 3 2 20 3 6 2" xfId="39429" xr:uid="{00000000-0005-0000-0000-0000D45A0000}"/>
    <cellStyle name="Normal 2 3 2 20 3 7" xfId="39430" xr:uid="{00000000-0005-0000-0000-0000D55A0000}"/>
    <cellStyle name="Normal 2 3 2 20 4" xfId="9750" xr:uid="{00000000-0005-0000-0000-0000D65A0000}"/>
    <cellStyle name="Normal 2 3 2 20 4 2" xfId="9751" xr:uid="{00000000-0005-0000-0000-0000D75A0000}"/>
    <cellStyle name="Normal 2 3 2 20 4 2 2" xfId="39431" xr:uid="{00000000-0005-0000-0000-0000D85A0000}"/>
    <cellStyle name="Normal 2 3 2 20 4 3" xfId="9752" xr:uid="{00000000-0005-0000-0000-0000D95A0000}"/>
    <cellStyle name="Normal 2 3 2 20 4 3 2" xfId="39432" xr:uid="{00000000-0005-0000-0000-0000DA5A0000}"/>
    <cellStyle name="Normal 2 3 2 20 4 4" xfId="39433" xr:uid="{00000000-0005-0000-0000-0000DB5A0000}"/>
    <cellStyle name="Normal 2 3 2 20 5" xfId="9753" xr:uid="{00000000-0005-0000-0000-0000DC5A0000}"/>
    <cellStyle name="Normal 2 3 2 20 5 2" xfId="9754" xr:uid="{00000000-0005-0000-0000-0000DD5A0000}"/>
    <cellStyle name="Normal 2 3 2 20 5 2 2" xfId="39434" xr:uid="{00000000-0005-0000-0000-0000DE5A0000}"/>
    <cellStyle name="Normal 2 3 2 20 5 3" xfId="39435" xr:uid="{00000000-0005-0000-0000-0000DF5A0000}"/>
    <cellStyle name="Normal 2 3 2 20 6" xfId="9755" xr:uid="{00000000-0005-0000-0000-0000E05A0000}"/>
    <cellStyle name="Normal 2 3 2 20 6 2" xfId="39436" xr:uid="{00000000-0005-0000-0000-0000E15A0000}"/>
    <cellStyle name="Normal 2 3 2 20 7" xfId="9756" xr:uid="{00000000-0005-0000-0000-0000E25A0000}"/>
    <cellStyle name="Normal 2 3 2 20 7 2" xfId="39437" xr:uid="{00000000-0005-0000-0000-0000E35A0000}"/>
    <cellStyle name="Normal 2 3 2 20 8" xfId="39438" xr:uid="{00000000-0005-0000-0000-0000E45A0000}"/>
    <cellStyle name="Normal 2 3 2 20 8 2" xfId="39439" xr:uid="{00000000-0005-0000-0000-0000E55A0000}"/>
    <cellStyle name="Normal 2 3 2 20 9" xfId="39440" xr:uid="{00000000-0005-0000-0000-0000E65A0000}"/>
    <cellStyle name="Normal 2 3 2 21" xfId="9757" xr:uid="{00000000-0005-0000-0000-0000E75A0000}"/>
    <cellStyle name="Normal 2 3 2 21 10" xfId="39441" xr:uid="{00000000-0005-0000-0000-0000E85A0000}"/>
    <cellStyle name="Normal 2 3 2 21 11" xfId="39442" xr:uid="{00000000-0005-0000-0000-0000E95A0000}"/>
    <cellStyle name="Normal 2 3 2 21 2" xfId="9758" xr:uid="{00000000-0005-0000-0000-0000EA5A0000}"/>
    <cellStyle name="Normal 2 3 2 21 2 10" xfId="39443" xr:uid="{00000000-0005-0000-0000-0000EB5A0000}"/>
    <cellStyle name="Normal 2 3 2 21 2 2" xfId="9759" xr:uid="{00000000-0005-0000-0000-0000EC5A0000}"/>
    <cellStyle name="Normal 2 3 2 21 2 2 2" xfId="9760" xr:uid="{00000000-0005-0000-0000-0000ED5A0000}"/>
    <cellStyle name="Normal 2 3 2 21 2 2 2 2" xfId="9761" xr:uid="{00000000-0005-0000-0000-0000EE5A0000}"/>
    <cellStyle name="Normal 2 3 2 21 2 2 2 2 2" xfId="39444" xr:uid="{00000000-0005-0000-0000-0000EF5A0000}"/>
    <cellStyle name="Normal 2 3 2 21 2 2 2 3" xfId="9762" xr:uid="{00000000-0005-0000-0000-0000F05A0000}"/>
    <cellStyle name="Normal 2 3 2 21 2 2 2 3 2" xfId="39445" xr:uid="{00000000-0005-0000-0000-0000F15A0000}"/>
    <cellStyle name="Normal 2 3 2 21 2 2 2 4" xfId="39446" xr:uid="{00000000-0005-0000-0000-0000F25A0000}"/>
    <cellStyle name="Normal 2 3 2 21 2 2 3" xfId="9763" xr:uid="{00000000-0005-0000-0000-0000F35A0000}"/>
    <cellStyle name="Normal 2 3 2 21 2 2 3 2" xfId="39447" xr:uid="{00000000-0005-0000-0000-0000F45A0000}"/>
    <cellStyle name="Normal 2 3 2 21 2 2 4" xfId="9764" xr:uid="{00000000-0005-0000-0000-0000F55A0000}"/>
    <cellStyle name="Normal 2 3 2 21 2 2 4 2" xfId="39448" xr:uid="{00000000-0005-0000-0000-0000F65A0000}"/>
    <cellStyle name="Normal 2 3 2 21 2 2 5" xfId="9765" xr:uid="{00000000-0005-0000-0000-0000F75A0000}"/>
    <cellStyle name="Normal 2 3 2 21 2 2 5 2" xfId="39449" xr:uid="{00000000-0005-0000-0000-0000F85A0000}"/>
    <cellStyle name="Normal 2 3 2 21 2 2 6" xfId="39450" xr:uid="{00000000-0005-0000-0000-0000F95A0000}"/>
    <cellStyle name="Normal 2 3 2 21 2 2 6 2" xfId="39451" xr:uid="{00000000-0005-0000-0000-0000FA5A0000}"/>
    <cellStyle name="Normal 2 3 2 21 2 2 7" xfId="39452" xr:uid="{00000000-0005-0000-0000-0000FB5A0000}"/>
    <cellStyle name="Normal 2 3 2 21 2 3" xfId="9766" xr:uid="{00000000-0005-0000-0000-0000FC5A0000}"/>
    <cellStyle name="Normal 2 3 2 21 2 3 2" xfId="9767" xr:uid="{00000000-0005-0000-0000-0000FD5A0000}"/>
    <cellStyle name="Normal 2 3 2 21 2 3 2 2" xfId="39453" xr:uid="{00000000-0005-0000-0000-0000FE5A0000}"/>
    <cellStyle name="Normal 2 3 2 21 2 3 3" xfId="9768" xr:uid="{00000000-0005-0000-0000-0000FF5A0000}"/>
    <cellStyle name="Normal 2 3 2 21 2 3 3 2" xfId="39454" xr:uid="{00000000-0005-0000-0000-0000005B0000}"/>
    <cellStyle name="Normal 2 3 2 21 2 3 4" xfId="39455" xr:uid="{00000000-0005-0000-0000-0000015B0000}"/>
    <cellStyle name="Normal 2 3 2 21 2 4" xfId="9769" xr:uid="{00000000-0005-0000-0000-0000025B0000}"/>
    <cellStyle name="Normal 2 3 2 21 2 4 2" xfId="9770" xr:uid="{00000000-0005-0000-0000-0000035B0000}"/>
    <cellStyle name="Normal 2 3 2 21 2 4 2 2" xfId="39456" xr:uid="{00000000-0005-0000-0000-0000045B0000}"/>
    <cellStyle name="Normal 2 3 2 21 2 4 3" xfId="39457" xr:uid="{00000000-0005-0000-0000-0000055B0000}"/>
    <cellStyle name="Normal 2 3 2 21 2 5" xfId="9771" xr:uid="{00000000-0005-0000-0000-0000065B0000}"/>
    <cellStyle name="Normal 2 3 2 21 2 5 2" xfId="39458" xr:uid="{00000000-0005-0000-0000-0000075B0000}"/>
    <cellStyle name="Normal 2 3 2 21 2 6" xfId="9772" xr:uid="{00000000-0005-0000-0000-0000085B0000}"/>
    <cellStyle name="Normal 2 3 2 21 2 6 2" xfId="39459" xr:uid="{00000000-0005-0000-0000-0000095B0000}"/>
    <cellStyle name="Normal 2 3 2 21 2 7" xfId="39460" xr:uid="{00000000-0005-0000-0000-00000A5B0000}"/>
    <cellStyle name="Normal 2 3 2 21 2 7 2" xfId="39461" xr:uid="{00000000-0005-0000-0000-00000B5B0000}"/>
    <cellStyle name="Normal 2 3 2 21 2 8" xfId="39462" xr:uid="{00000000-0005-0000-0000-00000C5B0000}"/>
    <cellStyle name="Normal 2 3 2 21 2 9" xfId="39463" xr:uid="{00000000-0005-0000-0000-00000D5B0000}"/>
    <cellStyle name="Normal 2 3 2 21 3" xfId="9773" xr:uid="{00000000-0005-0000-0000-00000E5B0000}"/>
    <cellStyle name="Normal 2 3 2 21 3 2" xfId="9774" xr:uid="{00000000-0005-0000-0000-00000F5B0000}"/>
    <cellStyle name="Normal 2 3 2 21 3 2 2" xfId="9775" xr:uid="{00000000-0005-0000-0000-0000105B0000}"/>
    <cellStyle name="Normal 2 3 2 21 3 2 2 2" xfId="39464" xr:uid="{00000000-0005-0000-0000-0000115B0000}"/>
    <cellStyle name="Normal 2 3 2 21 3 2 3" xfId="9776" xr:uid="{00000000-0005-0000-0000-0000125B0000}"/>
    <cellStyle name="Normal 2 3 2 21 3 2 3 2" xfId="39465" xr:uid="{00000000-0005-0000-0000-0000135B0000}"/>
    <cellStyle name="Normal 2 3 2 21 3 2 4" xfId="39466" xr:uid="{00000000-0005-0000-0000-0000145B0000}"/>
    <cellStyle name="Normal 2 3 2 21 3 3" xfId="9777" xr:uid="{00000000-0005-0000-0000-0000155B0000}"/>
    <cellStyle name="Normal 2 3 2 21 3 3 2" xfId="39467" xr:uid="{00000000-0005-0000-0000-0000165B0000}"/>
    <cellStyle name="Normal 2 3 2 21 3 4" xfId="9778" xr:uid="{00000000-0005-0000-0000-0000175B0000}"/>
    <cellStyle name="Normal 2 3 2 21 3 4 2" xfId="39468" xr:uid="{00000000-0005-0000-0000-0000185B0000}"/>
    <cellStyle name="Normal 2 3 2 21 3 5" xfId="9779" xr:uid="{00000000-0005-0000-0000-0000195B0000}"/>
    <cellStyle name="Normal 2 3 2 21 3 5 2" xfId="39469" xr:uid="{00000000-0005-0000-0000-00001A5B0000}"/>
    <cellStyle name="Normal 2 3 2 21 3 6" xfId="39470" xr:uid="{00000000-0005-0000-0000-00001B5B0000}"/>
    <cellStyle name="Normal 2 3 2 21 3 6 2" xfId="39471" xr:uid="{00000000-0005-0000-0000-00001C5B0000}"/>
    <cellStyle name="Normal 2 3 2 21 3 7" xfId="39472" xr:uid="{00000000-0005-0000-0000-00001D5B0000}"/>
    <cellStyle name="Normal 2 3 2 21 4" xfId="9780" xr:uid="{00000000-0005-0000-0000-00001E5B0000}"/>
    <cellStyle name="Normal 2 3 2 21 4 2" xfId="9781" xr:uid="{00000000-0005-0000-0000-00001F5B0000}"/>
    <cellStyle name="Normal 2 3 2 21 4 2 2" xfId="39473" xr:uid="{00000000-0005-0000-0000-0000205B0000}"/>
    <cellStyle name="Normal 2 3 2 21 4 3" xfId="9782" xr:uid="{00000000-0005-0000-0000-0000215B0000}"/>
    <cellStyle name="Normal 2 3 2 21 4 3 2" xfId="39474" xr:uid="{00000000-0005-0000-0000-0000225B0000}"/>
    <cellStyle name="Normal 2 3 2 21 4 4" xfId="39475" xr:uid="{00000000-0005-0000-0000-0000235B0000}"/>
    <cellStyle name="Normal 2 3 2 21 5" xfId="9783" xr:uid="{00000000-0005-0000-0000-0000245B0000}"/>
    <cellStyle name="Normal 2 3 2 21 5 2" xfId="9784" xr:uid="{00000000-0005-0000-0000-0000255B0000}"/>
    <cellStyle name="Normal 2 3 2 21 5 2 2" xfId="39476" xr:uid="{00000000-0005-0000-0000-0000265B0000}"/>
    <cellStyle name="Normal 2 3 2 21 5 3" xfId="39477" xr:uid="{00000000-0005-0000-0000-0000275B0000}"/>
    <cellStyle name="Normal 2 3 2 21 6" xfId="9785" xr:uid="{00000000-0005-0000-0000-0000285B0000}"/>
    <cellStyle name="Normal 2 3 2 21 6 2" xfId="39478" xr:uid="{00000000-0005-0000-0000-0000295B0000}"/>
    <cellStyle name="Normal 2 3 2 21 7" xfId="9786" xr:uid="{00000000-0005-0000-0000-00002A5B0000}"/>
    <cellStyle name="Normal 2 3 2 21 7 2" xfId="39479" xr:uid="{00000000-0005-0000-0000-00002B5B0000}"/>
    <cellStyle name="Normal 2 3 2 21 8" xfId="39480" xr:uid="{00000000-0005-0000-0000-00002C5B0000}"/>
    <cellStyle name="Normal 2 3 2 21 8 2" xfId="39481" xr:uid="{00000000-0005-0000-0000-00002D5B0000}"/>
    <cellStyle name="Normal 2 3 2 21 9" xfId="39482" xr:uid="{00000000-0005-0000-0000-00002E5B0000}"/>
    <cellStyle name="Normal 2 3 2 22" xfId="9787" xr:uid="{00000000-0005-0000-0000-00002F5B0000}"/>
    <cellStyle name="Normal 2 3 2 22 10" xfId="39483" xr:uid="{00000000-0005-0000-0000-0000305B0000}"/>
    <cellStyle name="Normal 2 3 2 22 11" xfId="39484" xr:uid="{00000000-0005-0000-0000-0000315B0000}"/>
    <cellStyle name="Normal 2 3 2 22 2" xfId="9788" xr:uid="{00000000-0005-0000-0000-0000325B0000}"/>
    <cellStyle name="Normal 2 3 2 22 2 10" xfId="39485" xr:uid="{00000000-0005-0000-0000-0000335B0000}"/>
    <cellStyle name="Normal 2 3 2 22 2 2" xfId="9789" xr:uid="{00000000-0005-0000-0000-0000345B0000}"/>
    <cellStyle name="Normal 2 3 2 22 2 2 2" xfId="9790" xr:uid="{00000000-0005-0000-0000-0000355B0000}"/>
    <cellStyle name="Normal 2 3 2 22 2 2 2 2" xfId="9791" xr:uid="{00000000-0005-0000-0000-0000365B0000}"/>
    <cellStyle name="Normal 2 3 2 22 2 2 2 2 2" xfId="39486" xr:uid="{00000000-0005-0000-0000-0000375B0000}"/>
    <cellStyle name="Normal 2 3 2 22 2 2 2 3" xfId="9792" xr:uid="{00000000-0005-0000-0000-0000385B0000}"/>
    <cellStyle name="Normal 2 3 2 22 2 2 2 3 2" xfId="39487" xr:uid="{00000000-0005-0000-0000-0000395B0000}"/>
    <cellStyle name="Normal 2 3 2 22 2 2 2 4" xfId="39488" xr:uid="{00000000-0005-0000-0000-00003A5B0000}"/>
    <cellStyle name="Normal 2 3 2 22 2 2 3" xfId="9793" xr:uid="{00000000-0005-0000-0000-00003B5B0000}"/>
    <cellStyle name="Normal 2 3 2 22 2 2 3 2" xfId="39489" xr:uid="{00000000-0005-0000-0000-00003C5B0000}"/>
    <cellStyle name="Normal 2 3 2 22 2 2 4" xfId="9794" xr:uid="{00000000-0005-0000-0000-00003D5B0000}"/>
    <cellStyle name="Normal 2 3 2 22 2 2 4 2" xfId="39490" xr:uid="{00000000-0005-0000-0000-00003E5B0000}"/>
    <cellStyle name="Normal 2 3 2 22 2 2 5" xfId="9795" xr:uid="{00000000-0005-0000-0000-00003F5B0000}"/>
    <cellStyle name="Normal 2 3 2 22 2 2 5 2" xfId="39491" xr:uid="{00000000-0005-0000-0000-0000405B0000}"/>
    <cellStyle name="Normal 2 3 2 22 2 2 6" xfId="39492" xr:uid="{00000000-0005-0000-0000-0000415B0000}"/>
    <cellStyle name="Normal 2 3 2 22 2 2 6 2" xfId="39493" xr:uid="{00000000-0005-0000-0000-0000425B0000}"/>
    <cellStyle name="Normal 2 3 2 22 2 2 7" xfId="39494" xr:uid="{00000000-0005-0000-0000-0000435B0000}"/>
    <cellStyle name="Normal 2 3 2 22 2 3" xfId="9796" xr:uid="{00000000-0005-0000-0000-0000445B0000}"/>
    <cellStyle name="Normal 2 3 2 22 2 3 2" xfId="9797" xr:uid="{00000000-0005-0000-0000-0000455B0000}"/>
    <cellStyle name="Normal 2 3 2 22 2 3 2 2" xfId="39495" xr:uid="{00000000-0005-0000-0000-0000465B0000}"/>
    <cellStyle name="Normal 2 3 2 22 2 3 3" xfId="9798" xr:uid="{00000000-0005-0000-0000-0000475B0000}"/>
    <cellStyle name="Normal 2 3 2 22 2 3 3 2" xfId="39496" xr:uid="{00000000-0005-0000-0000-0000485B0000}"/>
    <cellStyle name="Normal 2 3 2 22 2 3 4" xfId="39497" xr:uid="{00000000-0005-0000-0000-0000495B0000}"/>
    <cellStyle name="Normal 2 3 2 22 2 4" xfId="9799" xr:uid="{00000000-0005-0000-0000-00004A5B0000}"/>
    <cellStyle name="Normal 2 3 2 22 2 4 2" xfId="9800" xr:uid="{00000000-0005-0000-0000-00004B5B0000}"/>
    <cellStyle name="Normal 2 3 2 22 2 4 2 2" xfId="39498" xr:uid="{00000000-0005-0000-0000-00004C5B0000}"/>
    <cellStyle name="Normal 2 3 2 22 2 4 3" xfId="39499" xr:uid="{00000000-0005-0000-0000-00004D5B0000}"/>
    <cellStyle name="Normal 2 3 2 22 2 5" xfId="9801" xr:uid="{00000000-0005-0000-0000-00004E5B0000}"/>
    <cellStyle name="Normal 2 3 2 22 2 5 2" xfId="39500" xr:uid="{00000000-0005-0000-0000-00004F5B0000}"/>
    <cellStyle name="Normal 2 3 2 22 2 6" xfId="9802" xr:uid="{00000000-0005-0000-0000-0000505B0000}"/>
    <cellStyle name="Normal 2 3 2 22 2 6 2" xfId="39501" xr:uid="{00000000-0005-0000-0000-0000515B0000}"/>
    <cellStyle name="Normal 2 3 2 22 2 7" xfId="39502" xr:uid="{00000000-0005-0000-0000-0000525B0000}"/>
    <cellStyle name="Normal 2 3 2 22 2 7 2" xfId="39503" xr:uid="{00000000-0005-0000-0000-0000535B0000}"/>
    <cellStyle name="Normal 2 3 2 22 2 8" xfId="39504" xr:uid="{00000000-0005-0000-0000-0000545B0000}"/>
    <cellStyle name="Normal 2 3 2 22 2 9" xfId="39505" xr:uid="{00000000-0005-0000-0000-0000555B0000}"/>
    <cellStyle name="Normal 2 3 2 22 3" xfId="9803" xr:uid="{00000000-0005-0000-0000-0000565B0000}"/>
    <cellStyle name="Normal 2 3 2 22 3 2" xfId="9804" xr:uid="{00000000-0005-0000-0000-0000575B0000}"/>
    <cellStyle name="Normal 2 3 2 22 3 2 2" xfId="9805" xr:uid="{00000000-0005-0000-0000-0000585B0000}"/>
    <cellStyle name="Normal 2 3 2 22 3 2 2 2" xfId="39506" xr:uid="{00000000-0005-0000-0000-0000595B0000}"/>
    <cellStyle name="Normal 2 3 2 22 3 2 3" xfId="9806" xr:uid="{00000000-0005-0000-0000-00005A5B0000}"/>
    <cellStyle name="Normal 2 3 2 22 3 2 3 2" xfId="39507" xr:uid="{00000000-0005-0000-0000-00005B5B0000}"/>
    <cellStyle name="Normal 2 3 2 22 3 2 4" xfId="39508" xr:uid="{00000000-0005-0000-0000-00005C5B0000}"/>
    <cellStyle name="Normal 2 3 2 22 3 3" xfId="9807" xr:uid="{00000000-0005-0000-0000-00005D5B0000}"/>
    <cellStyle name="Normal 2 3 2 22 3 3 2" xfId="39509" xr:uid="{00000000-0005-0000-0000-00005E5B0000}"/>
    <cellStyle name="Normal 2 3 2 22 3 4" xfId="9808" xr:uid="{00000000-0005-0000-0000-00005F5B0000}"/>
    <cellStyle name="Normal 2 3 2 22 3 4 2" xfId="39510" xr:uid="{00000000-0005-0000-0000-0000605B0000}"/>
    <cellStyle name="Normal 2 3 2 22 3 5" xfId="9809" xr:uid="{00000000-0005-0000-0000-0000615B0000}"/>
    <cellStyle name="Normal 2 3 2 22 3 5 2" xfId="39511" xr:uid="{00000000-0005-0000-0000-0000625B0000}"/>
    <cellStyle name="Normal 2 3 2 22 3 6" xfId="39512" xr:uid="{00000000-0005-0000-0000-0000635B0000}"/>
    <cellStyle name="Normal 2 3 2 22 3 6 2" xfId="39513" xr:uid="{00000000-0005-0000-0000-0000645B0000}"/>
    <cellStyle name="Normal 2 3 2 22 3 7" xfId="39514" xr:uid="{00000000-0005-0000-0000-0000655B0000}"/>
    <cellStyle name="Normal 2 3 2 22 4" xfId="9810" xr:uid="{00000000-0005-0000-0000-0000665B0000}"/>
    <cellStyle name="Normal 2 3 2 22 4 2" xfId="9811" xr:uid="{00000000-0005-0000-0000-0000675B0000}"/>
    <cellStyle name="Normal 2 3 2 22 4 2 2" xfId="39515" xr:uid="{00000000-0005-0000-0000-0000685B0000}"/>
    <cellStyle name="Normal 2 3 2 22 4 3" xfId="9812" xr:uid="{00000000-0005-0000-0000-0000695B0000}"/>
    <cellStyle name="Normal 2 3 2 22 4 3 2" xfId="39516" xr:uid="{00000000-0005-0000-0000-00006A5B0000}"/>
    <cellStyle name="Normal 2 3 2 22 4 4" xfId="39517" xr:uid="{00000000-0005-0000-0000-00006B5B0000}"/>
    <cellStyle name="Normal 2 3 2 22 5" xfId="9813" xr:uid="{00000000-0005-0000-0000-00006C5B0000}"/>
    <cellStyle name="Normal 2 3 2 22 5 2" xfId="9814" xr:uid="{00000000-0005-0000-0000-00006D5B0000}"/>
    <cellStyle name="Normal 2 3 2 22 5 2 2" xfId="39518" xr:uid="{00000000-0005-0000-0000-00006E5B0000}"/>
    <cellStyle name="Normal 2 3 2 22 5 3" xfId="39519" xr:uid="{00000000-0005-0000-0000-00006F5B0000}"/>
    <cellStyle name="Normal 2 3 2 22 6" xfId="9815" xr:uid="{00000000-0005-0000-0000-0000705B0000}"/>
    <cellStyle name="Normal 2 3 2 22 6 2" xfId="39520" xr:uid="{00000000-0005-0000-0000-0000715B0000}"/>
    <cellStyle name="Normal 2 3 2 22 7" xfId="9816" xr:uid="{00000000-0005-0000-0000-0000725B0000}"/>
    <cellStyle name="Normal 2 3 2 22 7 2" xfId="39521" xr:uid="{00000000-0005-0000-0000-0000735B0000}"/>
    <cellStyle name="Normal 2 3 2 22 8" xfId="39522" xr:uid="{00000000-0005-0000-0000-0000745B0000}"/>
    <cellStyle name="Normal 2 3 2 22 8 2" xfId="39523" xr:uid="{00000000-0005-0000-0000-0000755B0000}"/>
    <cellStyle name="Normal 2 3 2 22 9" xfId="39524" xr:uid="{00000000-0005-0000-0000-0000765B0000}"/>
    <cellStyle name="Normal 2 3 2 23" xfId="9817" xr:uid="{00000000-0005-0000-0000-0000775B0000}"/>
    <cellStyle name="Normal 2 3 2 23 10" xfId="39525" xr:uid="{00000000-0005-0000-0000-0000785B0000}"/>
    <cellStyle name="Normal 2 3 2 23 11" xfId="39526" xr:uid="{00000000-0005-0000-0000-0000795B0000}"/>
    <cellStyle name="Normal 2 3 2 23 2" xfId="9818" xr:uid="{00000000-0005-0000-0000-00007A5B0000}"/>
    <cellStyle name="Normal 2 3 2 23 2 10" xfId="39527" xr:uid="{00000000-0005-0000-0000-00007B5B0000}"/>
    <cellStyle name="Normal 2 3 2 23 2 2" xfId="9819" xr:uid="{00000000-0005-0000-0000-00007C5B0000}"/>
    <cellStyle name="Normal 2 3 2 23 2 2 2" xfId="9820" xr:uid="{00000000-0005-0000-0000-00007D5B0000}"/>
    <cellStyle name="Normal 2 3 2 23 2 2 2 2" xfId="9821" xr:uid="{00000000-0005-0000-0000-00007E5B0000}"/>
    <cellStyle name="Normal 2 3 2 23 2 2 2 2 2" xfId="39528" xr:uid="{00000000-0005-0000-0000-00007F5B0000}"/>
    <cellStyle name="Normal 2 3 2 23 2 2 2 3" xfId="9822" xr:uid="{00000000-0005-0000-0000-0000805B0000}"/>
    <cellStyle name="Normal 2 3 2 23 2 2 2 3 2" xfId="39529" xr:uid="{00000000-0005-0000-0000-0000815B0000}"/>
    <cellStyle name="Normal 2 3 2 23 2 2 2 4" xfId="39530" xr:uid="{00000000-0005-0000-0000-0000825B0000}"/>
    <cellStyle name="Normal 2 3 2 23 2 2 3" xfId="9823" xr:uid="{00000000-0005-0000-0000-0000835B0000}"/>
    <cellStyle name="Normal 2 3 2 23 2 2 3 2" xfId="39531" xr:uid="{00000000-0005-0000-0000-0000845B0000}"/>
    <cellStyle name="Normal 2 3 2 23 2 2 4" xfId="9824" xr:uid="{00000000-0005-0000-0000-0000855B0000}"/>
    <cellStyle name="Normal 2 3 2 23 2 2 4 2" xfId="39532" xr:uid="{00000000-0005-0000-0000-0000865B0000}"/>
    <cellStyle name="Normal 2 3 2 23 2 2 5" xfId="9825" xr:uid="{00000000-0005-0000-0000-0000875B0000}"/>
    <cellStyle name="Normal 2 3 2 23 2 2 5 2" xfId="39533" xr:uid="{00000000-0005-0000-0000-0000885B0000}"/>
    <cellStyle name="Normal 2 3 2 23 2 2 6" xfId="39534" xr:uid="{00000000-0005-0000-0000-0000895B0000}"/>
    <cellStyle name="Normal 2 3 2 23 2 2 6 2" xfId="39535" xr:uid="{00000000-0005-0000-0000-00008A5B0000}"/>
    <cellStyle name="Normal 2 3 2 23 2 2 7" xfId="39536" xr:uid="{00000000-0005-0000-0000-00008B5B0000}"/>
    <cellStyle name="Normal 2 3 2 23 2 3" xfId="9826" xr:uid="{00000000-0005-0000-0000-00008C5B0000}"/>
    <cellStyle name="Normal 2 3 2 23 2 3 2" xfId="9827" xr:uid="{00000000-0005-0000-0000-00008D5B0000}"/>
    <cellStyle name="Normal 2 3 2 23 2 3 2 2" xfId="39537" xr:uid="{00000000-0005-0000-0000-00008E5B0000}"/>
    <cellStyle name="Normal 2 3 2 23 2 3 3" xfId="9828" xr:uid="{00000000-0005-0000-0000-00008F5B0000}"/>
    <cellStyle name="Normal 2 3 2 23 2 3 3 2" xfId="39538" xr:uid="{00000000-0005-0000-0000-0000905B0000}"/>
    <cellStyle name="Normal 2 3 2 23 2 3 4" xfId="39539" xr:uid="{00000000-0005-0000-0000-0000915B0000}"/>
    <cellStyle name="Normal 2 3 2 23 2 4" xfId="9829" xr:uid="{00000000-0005-0000-0000-0000925B0000}"/>
    <cellStyle name="Normal 2 3 2 23 2 4 2" xfId="9830" xr:uid="{00000000-0005-0000-0000-0000935B0000}"/>
    <cellStyle name="Normal 2 3 2 23 2 4 2 2" xfId="39540" xr:uid="{00000000-0005-0000-0000-0000945B0000}"/>
    <cellStyle name="Normal 2 3 2 23 2 4 3" xfId="39541" xr:uid="{00000000-0005-0000-0000-0000955B0000}"/>
    <cellStyle name="Normal 2 3 2 23 2 5" xfId="9831" xr:uid="{00000000-0005-0000-0000-0000965B0000}"/>
    <cellStyle name="Normal 2 3 2 23 2 5 2" xfId="39542" xr:uid="{00000000-0005-0000-0000-0000975B0000}"/>
    <cellStyle name="Normal 2 3 2 23 2 6" xfId="9832" xr:uid="{00000000-0005-0000-0000-0000985B0000}"/>
    <cellStyle name="Normal 2 3 2 23 2 6 2" xfId="39543" xr:uid="{00000000-0005-0000-0000-0000995B0000}"/>
    <cellStyle name="Normal 2 3 2 23 2 7" xfId="39544" xr:uid="{00000000-0005-0000-0000-00009A5B0000}"/>
    <cellStyle name="Normal 2 3 2 23 2 7 2" xfId="39545" xr:uid="{00000000-0005-0000-0000-00009B5B0000}"/>
    <cellStyle name="Normal 2 3 2 23 2 8" xfId="39546" xr:uid="{00000000-0005-0000-0000-00009C5B0000}"/>
    <cellStyle name="Normal 2 3 2 23 2 9" xfId="39547" xr:uid="{00000000-0005-0000-0000-00009D5B0000}"/>
    <cellStyle name="Normal 2 3 2 23 3" xfId="9833" xr:uid="{00000000-0005-0000-0000-00009E5B0000}"/>
    <cellStyle name="Normal 2 3 2 23 3 2" xfId="9834" xr:uid="{00000000-0005-0000-0000-00009F5B0000}"/>
    <cellStyle name="Normal 2 3 2 23 3 2 2" xfId="9835" xr:uid="{00000000-0005-0000-0000-0000A05B0000}"/>
    <cellStyle name="Normal 2 3 2 23 3 2 2 2" xfId="39548" xr:uid="{00000000-0005-0000-0000-0000A15B0000}"/>
    <cellStyle name="Normal 2 3 2 23 3 2 3" xfId="9836" xr:uid="{00000000-0005-0000-0000-0000A25B0000}"/>
    <cellStyle name="Normal 2 3 2 23 3 2 3 2" xfId="39549" xr:uid="{00000000-0005-0000-0000-0000A35B0000}"/>
    <cellStyle name="Normal 2 3 2 23 3 2 4" xfId="39550" xr:uid="{00000000-0005-0000-0000-0000A45B0000}"/>
    <cellStyle name="Normal 2 3 2 23 3 3" xfId="9837" xr:uid="{00000000-0005-0000-0000-0000A55B0000}"/>
    <cellStyle name="Normal 2 3 2 23 3 3 2" xfId="39551" xr:uid="{00000000-0005-0000-0000-0000A65B0000}"/>
    <cellStyle name="Normal 2 3 2 23 3 4" xfId="9838" xr:uid="{00000000-0005-0000-0000-0000A75B0000}"/>
    <cellStyle name="Normal 2 3 2 23 3 4 2" xfId="39552" xr:uid="{00000000-0005-0000-0000-0000A85B0000}"/>
    <cellStyle name="Normal 2 3 2 23 3 5" xfId="9839" xr:uid="{00000000-0005-0000-0000-0000A95B0000}"/>
    <cellStyle name="Normal 2 3 2 23 3 5 2" xfId="39553" xr:uid="{00000000-0005-0000-0000-0000AA5B0000}"/>
    <cellStyle name="Normal 2 3 2 23 3 6" xfId="39554" xr:uid="{00000000-0005-0000-0000-0000AB5B0000}"/>
    <cellStyle name="Normal 2 3 2 23 3 6 2" xfId="39555" xr:uid="{00000000-0005-0000-0000-0000AC5B0000}"/>
    <cellStyle name="Normal 2 3 2 23 3 7" xfId="39556" xr:uid="{00000000-0005-0000-0000-0000AD5B0000}"/>
    <cellStyle name="Normal 2 3 2 23 4" xfId="9840" xr:uid="{00000000-0005-0000-0000-0000AE5B0000}"/>
    <cellStyle name="Normal 2 3 2 23 4 2" xfId="9841" xr:uid="{00000000-0005-0000-0000-0000AF5B0000}"/>
    <cellStyle name="Normal 2 3 2 23 4 2 2" xfId="39557" xr:uid="{00000000-0005-0000-0000-0000B05B0000}"/>
    <cellStyle name="Normal 2 3 2 23 4 3" xfId="9842" xr:uid="{00000000-0005-0000-0000-0000B15B0000}"/>
    <cellStyle name="Normal 2 3 2 23 4 3 2" xfId="39558" xr:uid="{00000000-0005-0000-0000-0000B25B0000}"/>
    <cellStyle name="Normal 2 3 2 23 4 4" xfId="39559" xr:uid="{00000000-0005-0000-0000-0000B35B0000}"/>
    <cellStyle name="Normal 2 3 2 23 5" xfId="9843" xr:uid="{00000000-0005-0000-0000-0000B45B0000}"/>
    <cellStyle name="Normal 2 3 2 23 5 2" xfId="9844" xr:uid="{00000000-0005-0000-0000-0000B55B0000}"/>
    <cellStyle name="Normal 2 3 2 23 5 2 2" xfId="39560" xr:uid="{00000000-0005-0000-0000-0000B65B0000}"/>
    <cellStyle name="Normal 2 3 2 23 5 3" xfId="39561" xr:uid="{00000000-0005-0000-0000-0000B75B0000}"/>
    <cellStyle name="Normal 2 3 2 23 6" xfId="9845" xr:uid="{00000000-0005-0000-0000-0000B85B0000}"/>
    <cellStyle name="Normal 2 3 2 23 6 2" xfId="39562" xr:uid="{00000000-0005-0000-0000-0000B95B0000}"/>
    <cellStyle name="Normal 2 3 2 23 7" xfId="9846" xr:uid="{00000000-0005-0000-0000-0000BA5B0000}"/>
    <cellStyle name="Normal 2 3 2 23 7 2" xfId="39563" xr:uid="{00000000-0005-0000-0000-0000BB5B0000}"/>
    <cellStyle name="Normal 2 3 2 23 8" xfId="39564" xr:uid="{00000000-0005-0000-0000-0000BC5B0000}"/>
    <cellStyle name="Normal 2 3 2 23 8 2" xfId="39565" xr:uid="{00000000-0005-0000-0000-0000BD5B0000}"/>
    <cellStyle name="Normal 2 3 2 23 9" xfId="39566" xr:uid="{00000000-0005-0000-0000-0000BE5B0000}"/>
    <cellStyle name="Normal 2 3 2 24" xfId="9847" xr:uid="{00000000-0005-0000-0000-0000BF5B0000}"/>
    <cellStyle name="Normal 2 3 2 24 10" xfId="39567" xr:uid="{00000000-0005-0000-0000-0000C05B0000}"/>
    <cellStyle name="Normal 2 3 2 24 11" xfId="39568" xr:uid="{00000000-0005-0000-0000-0000C15B0000}"/>
    <cellStyle name="Normal 2 3 2 24 2" xfId="9848" xr:uid="{00000000-0005-0000-0000-0000C25B0000}"/>
    <cellStyle name="Normal 2 3 2 24 2 10" xfId="39569" xr:uid="{00000000-0005-0000-0000-0000C35B0000}"/>
    <cellStyle name="Normal 2 3 2 24 2 2" xfId="9849" xr:uid="{00000000-0005-0000-0000-0000C45B0000}"/>
    <cellStyle name="Normal 2 3 2 24 2 2 2" xfId="9850" xr:uid="{00000000-0005-0000-0000-0000C55B0000}"/>
    <cellStyle name="Normal 2 3 2 24 2 2 2 2" xfId="9851" xr:uid="{00000000-0005-0000-0000-0000C65B0000}"/>
    <cellStyle name="Normal 2 3 2 24 2 2 2 2 2" xfId="39570" xr:uid="{00000000-0005-0000-0000-0000C75B0000}"/>
    <cellStyle name="Normal 2 3 2 24 2 2 2 3" xfId="9852" xr:uid="{00000000-0005-0000-0000-0000C85B0000}"/>
    <cellStyle name="Normal 2 3 2 24 2 2 2 3 2" xfId="39571" xr:uid="{00000000-0005-0000-0000-0000C95B0000}"/>
    <cellStyle name="Normal 2 3 2 24 2 2 2 4" xfId="39572" xr:uid="{00000000-0005-0000-0000-0000CA5B0000}"/>
    <cellStyle name="Normal 2 3 2 24 2 2 3" xfId="9853" xr:uid="{00000000-0005-0000-0000-0000CB5B0000}"/>
    <cellStyle name="Normal 2 3 2 24 2 2 3 2" xfId="39573" xr:uid="{00000000-0005-0000-0000-0000CC5B0000}"/>
    <cellStyle name="Normal 2 3 2 24 2 2 4" xfId="9854" xr:uid="{00000000-0005-0000-0000-0000CD5B0000}"/>
    <cellStyle name="Normal 2 3 2 24 2 2 4 2" xfId="39574" xr:uid="{00000000-0005-0000-0000-0000CE5B0000}"/>
    <cellStyle name="Normal 2 3 2 24 2 2 5" xfId="9855" xr:uid="{00000000-0005-0000-0000-0000CF5B0000}"/>
    <cellStyle name="Normal 2 3 2 24 2 2 5 2" xfId="39575" xr:uid="{00000000-0005-0000-0000-0000D05B0000}"/>
    <cellStyle name="Normal 2 3 2 24 2 2 6" xfId="39576" xr:uid="{00000000-0005-0000-0000-0000D15B0000}"/>
    <cellStyle name="Normal 2 3 2 24 2 2 6 2" xfId="39577" xr:uid="{00000000-0005-0000-0000-0000D25B0000}"/>
    <cellStyle name="Normal 2 3 2 24 2 2 7" xfId="39578" xr:uid="{00000000-0005-0000-0000-0000D35B0000}"/>
    <cellStyle name="Normal 2 3 2 24 2 3" xfId="9856" xr:uid="{00000000-0005-0000-0000-0000D45B0000}"/>
    <cellStyle name="Normal 2 3 2 24 2 3 2" xfId="9857" xr:uid="{00000000-0005-0000-0000-0000D55B0000}"/>
    <cellStyle name="Normal 2 3 2 24 2 3 2 2" xfId="39579" xr:uid="{00000000-0005-0000-0000-0000D65B0000}"/>
    <cellStyle name="Normal 2 3 2 24 2 3 3" xfId="9858" xr:uid="{00000000-0005-0000-0000-0000D75B0000}"/>
    <cellStyle name="Normal 2 3 2 24 2 3 3 2" xfId="39580" xr:uid="{00000000-0005-0000-0000-0000D85B0000}"/>
    <cellStyle name="Normal 2 3 2 24 2 3 4" xfId="39581" xr:uid="{00000000-0005-0000-0000-0000D95B0000}"/>
    <cellStyle name="Normal 2 3 2 24 2 4" xfId="9859" xr:uid="{00000000-0005-0000-0000-0000DA5B0000}"/>
    <cellStyle name="Normal 2 3 2 24 2 4 2" xfId="9860" xr:uid="{00000000-0005-0000-0000-0000DB5B0000}"/>
    <cellStyle name="Normal 2 3 2 24 2 4 2 2" xfId="39582" xr:uid="{00000000-0005-0000-0000-0000DC5B0000}"/>
    <cellStyle name="Normal 2 3 2 24 2 4 3" xfId="39583" xr:uid="{00000000-0005-0000-0000-0000DD5B0000}"/>
    <cellStyle name="Normal 2 3 2 24 2 5" xfId="9861" xr:uid="{00000000-0005-0000-0000-0000DE5B0000}"/>
    <cellStyle name="Normal 2 3 2 24 2 5 2" xfId="39584" xr:uid="{00000000-0005-0000-0000-0000DF5B0000}"/>
    <cellStyle name="Normal 2 3 2 24 2 6" xfId="9862" xr:uid="{00000000-0005-0000-0000-0000E05B0000}"/>
    <cellStyle name="Normal 2 3 2 24 2 6 2" xfId="39585" xr:uid="{00000000-0005-0000-0000-0000E15B0000}"/>
    <cellStyle name="Normal 2 3 2 24 2 7" xfId="39586" xr:uid="{00000000-0005-0000-0000-0000E25B0000}"/>
    <cellStyle name="Normal 2 3 2 24 2 7 2" xfId="39587" xr:uid="{00000000-0005-0000-0000-0000E35B0000}"/>
    <cellStyle name="Normal 2 3 2 24 2 8" xfId="39588" xr:uid="{00000000-0005-0000-0000-0000E45B0000}"/>
    <cellStyle name="Normal 2 3 2 24 2 9" xfId="39589" xr:uid="{00000000-0005-0000-0000-0000E55B0000}"/>
    <cellStyle name="Normal 2 3 2 24 3" xfId="9863" xr:uid="{00000000-0005-0000-0000-0000E65B0000}"/>
    <cellStyle name="Normal 2 3 2 24 3 2" xfId="9864" xr:uid="{00000000-0005-0000-0000-0000E75B0000}"/>
    <cellStyle name="Normal 2 3 2 24 3 2 2" xfId="9865" xr:uid="{00000000-0005-0000-0000-0000E85B0000}"/>
    <cellStyle name="Normal 2 3 2 24 3 2 2 2" xfId="39590" xr:uid="{00000000-0005-0000-0000-0000E95B0000}"/>
    <cellStyle name="Normal 2 3 2 24 3 2 3" xfId="9866" xr:uid="{00000000-0005-0000-0000-0000EA5B0000}"/>
    <cellStyle name="Normal 2 3 2 24 3 2 3 2" xfId="39591" xr:uid="{00000000-0005-0000-0000-0000EB5B0000}"/>
    <cellStyle name="Normal 2 3 2 24 3 2 4" xfId="39592" xr:uid="{00000000-0005-0000-0000-0000EC5B0000}"/>
    <cellStyle name="Normal 2 3 2 24 3 3" xfId="9867" xr:uid="{00000000-0005-0000-0000-0000ED5B0000}"/>
    <cellStyle name="Normal 2 3 2 24 3 3 2" xfId="39593" xr:uid="{00000000-0005-0000-0000-0000EE5B0000}"/>
    <cellStyle name="Normal 2 3 2 24 3 4" xfId="9868" xr:uid="{00000000-0005-0000-0000-0000EF5B0000}"/>
    <cellStyle name="Normal 2 3 2 24 3 4 2" xfId="39594" xr:uid="{00000000-0005-0000-0000-0000F05B0000}"/>
    <cellStyle name="Normal 2 3 2 24 3 5" xfId="9869" xr:uid="{00000000-0005-0000-0000-0000F15B0000}"/>
    <cellStyle name="Normal 2 3 2 24 3 5 2" xfId="39595" xr:uid="{00000000-0005-0000-0000-0000F25B0000}"/>
    <cellStyle name="Normal 2 3 2 24 3 6" xfId="39596" xr:uid="{00000000-0005-0000-0000-0000F35B0000}"/>
    <cellStyle name="Normal 2 3 2 24 3 6 2" xfId="39597" xr:uid="{00000000-0005-0000-0000-0000F45B0000}"/>
    <cellStyle name="Normal 2 3 2 24 3 7" xfId="39598" xr:uid="{00000000-0005-0000-0000-0000F55B0000}"/>
    <cellStyle name="Normal 2 3 2 24 4" xfId="9870" xr:uid="{00000000-0005-0000-0000-0000F65B0000}"/>
    <cellStyle name="Normal 2 3 2 24 4 2" xfId="9871" xr:uid="{00000000-0005-0000-0000-0000F75B0000}"/>
    <cellStyle name="Normal 2 3 2 24 4 2 2" xfId="39599" xr:uid="{00000000-0005-0000-0000-0000F85B0000}"/>
    <cellStyle name="Normal 2 3 2 24 4 3" xfId="9872" xr:uid="{00000000-0005-0000-0000-0000F95B0000}"/>
    <cellStyle name="Normal 2 3 2 24 4 3 2" xfId="39600" xr:uid="{00000000-0005-0000-0000-0000FA5B0000}"/>
    <cellStyle name="Normal 2 3 2 24 4 4" xfId="39601" xr:uid="{00000000-0005-0000-0000-0000FB5B0000}"/>
    <cellStyle name="Normal 2 3 2 24 5" xfId="9873" xr:uid="{00000000-0005-0000-0000-0000FC5B0000}"/>
    <cellStyle name="Normal 2 3 2 24 5 2" xfId="9874" xr:uid="{00000000-0005-0000-0000-0000FD5B0000}"/>
    <cellStyle name="Normal 2 3 2 24 5 2 2" xfId="39602" xr:uid="{00000000-0005-0000-0000-0000FE5B0000}"/>
    <cellStyle name="Normal 2 3 2 24 5 3" xfId="39603" xr:uid="{00000000-0005-0000-0000-0000FF5B0000}"/>
    <cellStyle name="Normal 2 3 2 24 6" xfId="9875" xr:uid="{00000000-0005-0000-0000-0000005C0000}"/>
    <cellStyle name="Normal 2 3 2 24 6 2" xfId="39604" xr:uid="{00000000-0005-0000-0000-0000015C0000}"/>
    <cellStyle name="Normal 2 3 2 24 7" xfId="9876" xr:uid="{00000000-0005-0000-0000-0000025C0000}"/>
    <cellStyle name="Normal 2 3 2 24 7 2" xfId="39605" xr:uid="{00000000-0005-0000-0000-0000035C0000}"/>
    <cellStyle name="Normal 2 3 2 24 8" xfId="39606" xr:uid="{00000000-0005-0000-0000-0000045C0000}"/>
    <cellStyle name="Normal 2 3 2 24 8 2" xfId="39607" xr:uid="{00000000-0005-0000-0000-0000055C0000}"/>
    <cellStyle name="Normal 2 3 2 24 9" xfId="39608" xr:uid="{00000000-0005-0000-0000-0000065C0000}"/>
    <cellStyle name="Normal 2 3 2 25" xfId="9877" xr:uid="{00000000-0005-0000-0000-0000075C0000}"/>
    <cellStyle name="Normal 2 3 2 25 10" xfId="39609" xr:uid="{00000000-0005-0000-0000-0000085C0000}"/>
    <cellStyle name="Normal 2 3 2 25 11" xfId="39610" xr:uid="{00000000-0005-0000-0000-0000095C0000}"/>
    <cellStyle name="Normal 2 3 2 25 2" xfId="9878" xr:uid="{00000000-0005-0000-0000-00000A5C0000}"/>
    <cellStyle name="Normal 2 3 2 25 2 10" xfId="39611" xr:uid="{00000000-0005-0000-0000-00000B5C0000}"/>
    <cellStyle name="Normal 2 3 2 25 2 2" xfId="9879" xr:uid="{00000000-0005-0000-0000-00000C5C0000}"/>
    <cellStyle name="Normal 2 3 2 25 2 2 2" xfId="9880" xr:uid="{00000000-0005-0000-0000-00000D5C0000}"/>
    <cellStyle name="Normal 2 3 2 25 2 2 2 2" xfId="9881" xr:uid="{00000000-0005-0000-0000-00000E5C0000}"/>
    <cellStyle name="Normal 2 3 2 25 2 2 2 2 2" xfId="39612" xr:uid="{00000000-0005-0000-0000-00000F5C0000}"/>
    <cellStyle name="Normal 2 3 2 25 2 2 2 3" xfId="9882" xr:uid="{00000000-0005-0000-0000-0000105C0000}"/>
    <cellStyle name="Normal 2 3 2 25 2 2 2 3 2" xfId="39613" xr:uid="{00000000-0005-0000-0000-0000115C0000}"/>
    <cellStyle name="Normal 2 3 2 25 2 2 2 4" xfId="39614" xr:uid="{00000000-0005-0000-0000-0000125C0000}"/>
    <cellStyle name="Normal 2 3 2 25 2 2 3" xfId="9883" xr:uid="{00000000-0005-0000-0000-0000135C0000}"/>
    <cellStyle name="Normal 2 3 2 25 2 2 3 2" xfId="39615" xr:uid="{00000000-0005-0000-0000-0000145C0000}"/>
    <cellStyle name="Normal 2 3 2 25 2 2 4" xfId="9884" xr:uid="{00000000-0005-0000-0000-0000155C0000}"/>
    <cellStyle name="Normal 2 3 2 25 2 2 4 2" xfId="39616" xr:uid="{00000000-0005-0000-0000-0000165C0000}"/>
    <cellStyle name="Normal 2 3 2 25 2 2 5" xfId="9885" xr:uid="{00000000-0005-0000-0000-0000175C0000}"/>
    <cellStyle name="Normal 2 3 2 25 2 2 5 2" xfId="39617" xr:uid="{00000000-0005-0000-0000-0000185C0000}"/>
    <cellStyle name="Normal 2 3 2 25 2 2 6" xfId="39618" xr:uid="{00000000-0005-0000-0000-0000195C0000}"/>
    <cellStyle name="Normal 2 3 2 25 2 2 6 2" xfId="39619" xr:uid="{00000000-0005-0000-0000-00001A5C0000}"/>
    <cellStyle name="Normal 2 3 2 25 2 2 7" xfId="39620" xr:uid="{00000000-0005-0000-0000-00001B5C0000}"/>
    <cellStyle name="Normal 2 3 2 25 2 3" xfId="9886" xr:uid="{00000000-0005-0000-0000-00001C5C0000}"/>
    <cellStyle name="Normal 2 3 2 25 2 3 2" xfId="9887" xr:uid="{00000000-0005-0000-0000-00001D5C0000}"/>
    <cellStyle name="Normal 2 3 2 25 2 3 2 2" xfId="39621" xr:uid="{00000000-0005-0000-0000-00001E5C0000}"/>
    <cellStyle name="Normal 2 3 2 25 2 3 3" xfId="9888" xr:uid="{00000000-0005-0000-0000-00001F5C0000}"/>
    <cellStyle name="Normal 2 3 2 25 2 3 3 2" xfId="39622" xr:uid="{00000000-0005-0000-0000-0000205C0000}"/>
    <cellStyle name="Normal 2 3 2 25 2 3 4" xfId="39623" xr:uid="{00000000-0005-0000-0000-0000215C0000}"/>
    <cellStyle name="Normal 2 3 2 25 2 4" xfId="9889" xr:uid="{00000000-0005-0000-0000-0000225C0000}"/>
    <cellStyle name="Normal 2 3 2 25 2 4 2" xfId="9890" xr:uid="{00000000-0005-0000-0000-0000235C0000}"/>
    <cellStyle name="Normal 2 3 2 25 2 4 2 2" xfId="39624" xr:uid="{00000000-0005-0000-0000-0000245C0000}"/>
    <cellStyle name="Normal 2 3 2 25 2 4 3" xfId="39625" xr:uid="{00000000-0005-0000-0000-0000255C0000}"/>
    <cellStyle name="Normal 2 3 2 25 2 5" xfId="9891" xr:uid="{00000000-0005-0000-0000-0000265C0000}"/>
    <cellStyle name="Normal 2 3 2 25 2 5 2" xfId="39626" xr:uid="{00000000-0005-0000-0000-0000275C0000}"/>
    <cellStyle name="Normal 2 3 2 25 2 6" xfId="9892" xr:uid="{00000000-0005-0000-0000-0000285C0000}"/>
    <cellStyle name="Normal 2 3 2 25 2 6 2" xfId="39627" xr:uid="{00000000-0005-0000-0000-0000295C0000}"/>
    <cellStyle name="Normal 2 3 2 25 2 7" xfId="39628" xr:uid="{00000000-0005-0000-0000-00002A5C0000}"/>
    <cellStyle name="Normal 2 3 2 25 2 7 2" xfId="39629" xr:uid="{00000000-0005-0000-0000-00002B5C0000}"/>
    <cellStyle name="Normal 2 3 2 25 2 8" xfId="39630" xr:uid="{00000000-0005-0000-0000-00002C5C0000}"/>
    <cellStyle name="Normal 2 3 2 25 2 9" xfId="39631" xr:uid="{00000000-0005-0000-0000-00002D5C0000}"/>
    <cellStyle name="Normal 2 3 2 25 3" xfId="9893" xr:uid="{00000000-0005-0000-0000-00002E5C0000}"/>
    <cellStyle name="Normal 2 3 2 25 3 2" xfId="9894" xr:uid="{00000000-0005-0000-0000-00002F5C0000}"/>
    <cellStyle name="Normal 2 3 2 25 3 2 2" xfId="9895" xr:uid="{00000000-0005-0000-0000-0000305C0000}"/>
    <cellStyle name="Normal 2 3 2 25 3 2 2 2" xfId="39632" xr:uid="{00000000-0005-0000-0000-0000315C0000}"/>
    <cellStyle name="Normal 2 3 2 25 3 2 3" xfId="9896" xr:uid="{00000000-0005-0000-0000-0000325C0000}"/>
    <cellStyle name="Normal 2 3 2 25 3 2 3 2" xfId="39633" xr:uid="{00000000-0005-0000-0000-0000335C0000}"/>
    <cellStyle name="Normal 2 3 2 25 3 2 4" xfId="39634" xr:uid="{00000000-0005-0000-0000-0000345C0000}"/>
    <cellStyle name="Normal 2 3 2 25 3 3" xfId="9897" xr:uid="{00000000-0005-0000-0000-0000355C0000}"/>
    <cellStyle name="Normal 2 3 2 25 3 3 2" xfId="39635" xr:uid="{00000000-0005-0000-0000-0000365C0000}"/>
    <cellStyle name="Normal 2 3 2 25 3 4" xfId="9898" xr:uid="{00000000-0005-0000-0000-0000375C0000}"/>
    <cellStyle name="Normal 2 3 2 25 3 4 2" xfId="39636" xr:uid="{00000000-0005-0000-0000-0000385C0000}"/>
    <cellStyle name="Normal 2 3 2 25 3 5" xfId="9899" xr:uid="{00000000-0005-0000-0000-0000395C0000}"/>
    <cellStyle name="Normal 2 3 2 25 3 5 2" xfId="39637" xr:uid="{00000000-0005-0000-0000-00003A5C0000}"/>
    <cellStyle name="Normal 2 3 2 25 3 6" xfId="39638" xr:uid="{00000000-0005-0000-0000-00003B5C0000}"/>
    <cellStyle name="Normal 2 3 2 25 3 6 2" xfId="39639" xr:uid="{00000000-0005-0000-0000-00003C5C0000}"/>
    <cellStyle name="Normal 2 3 2 25 3 7" xfId="39640" xr:uid="{00000000-0005-0000-0000-00003D5C0000}"/>
    <cellStyle name="Normal 2 3 2 25 4" xfId="9900" xr:uid="{00000000-0005-0000-0000-00003E5C0000}"/>
    <cellStyle name="Normal 2 3 2 25 4 2" xfId="9901" xr:uid="{00000000-0005-0000-0000-00003F5C0000}"/>
    <cellStyle name="Normal 2 3 2 25 4 2 2" xfId="39641" xr:uid="{00000000-0005-0000-0000-0000405C0000}"/>
    <cellStyle name="Normal 2 3 2 25 4 3" xfId="9902" xr:uid="{00000000-0005-0000-0000-0000415C0000}"/>
    <cellStyle name="Normal 2 3 2 25 4 3 2" xfId="39642" xr:uid="{00000000-0005-0000-0000-0000425C0000}"/>
    <cellStyle name="Normal 2 3 2 25 4 4" xfId="39643" xr:uid="{00000000-0005-0000-0000-0000435C0000}"/>
    <cellStyle name="Normal 2 3 2 25 5" xfId="9903" xr:uid="{00000000-0005-0000-0000-0000445C0000}"/>
    <cellStyle name="Normal 2 3 2 25 5 2" xfId="9904" xr:uid="{00000000-0005-0000-0000-0000455C0000}"/>
    <cellStyle name="Normal 2 3 2 25 5 2 2" xfId="39644" xr:uid="{00000000-0005-0000-0000-0000465C0000}"/>
    <cellStyle name="Normal 2 3 2 25 5 3" xfId="39645" xr:uid="{00000000-0005-0000-0000-0000475C0000}"/>
    <cellStyle name="Normal 2 3 2 25 6" xfId="9905" xr:uid="{00000000-0005-0000-0000-0000485C0000}"/>
    <cellStyle name="Normal 2 3 2 25 6 2" xfId="39646" xr:uid="{00000000-0005-0000-0000-0000495C0000}"/>
    <cellStyle name="Normal 2 3 2 25 7" xfId="9906" xr:uid="{00000000-0005-0000-0000-00004A5C0000}"/>
    <cellStyle name="Normal 2 3 2 25 7 2" xfId="39647" xr:uid="{00000000-0005-0000-0000-00004B5C0000}"/>
    <cellStyle name="Normal 2 3 2 25 8" xfId="39648" xr:uid="{00000000-0005-0000-0000-00004C5C0000}"/>
    <cellStyle name="Normal 2 3 2 25 8 2" xfId="39649" xr:uid="{00000000-0005-0000-0000-00004D5C0000}"/>
    <cellStyle name="Normal 2 3 2 25 9" xfId="39650" xr:uid="{00000000-0005-0000-0000-00004E5C0000}"/>
    <cellStyle name="Normal 2 3 2 26" xfId="9907" xr:uid="{00000000-0005-0000-0000-00004F5C0000}"/>
    <cellStyle name="Normal 2 3 2 26 10" xfId="39651" xr:uid="{00000000-0005-0000-0000-0000505C0000}"/>
    <cellStyle name="Normal 2 3 2 26 11" xfId="39652" xr:uid="{00000000-0005-0000-0000-0000515C0000}"/>
    <cellStyle name="Normal 2 3 2 26 2" xfId="9908" xr:uid="{00000000-0005-0000-0000-0000525C0000}"/>
    <cellStyle name="Normal 2 3 2 26 2 10" xfId="39653" xr:uid="{00000000-0005-0000-0000-0000535C0000}"/>
    <cellStyle name="Normal 2 3 2 26 2 2" xfId="9909" xr:uid="{00000000-0005-0000-0000-0000545C0000}"/>
    <cellStyle name="Normal 2 3 2 26 2 2 2" xfId="9910" xr:uid="{00000000-0005-0000-0000-0000555C0000}"/>
    <cellStyle name="Normal 2 3 2 26 2 2 2 2" xfId="9911" xr:uid="{00000000-0005-0000-0000-0000565C0000}"/>
    <cellStyle name="Normal 2 3 2 26 2 2 2 2 2" xfId="39654" xr:uid="{00000000-0005-0000-0000-0000575C0000}"/>
    <cellStyle name="Normal 2 3 2 26 2 2 2 3" xfId="9912" xr:uid="{00000000-0005-0000-0000-0000585C0000}"/>
    <cellStyle name="Normal 2 3 2 26 2 2 2 3 2" xfId="39655" xr:uid="{00000000-0005-0000-0000-0000595C0000}"/>
    <cellStyle name="Normal 2 3 2 26 2 2 2 4" xfId="39656" xr:uid="{00000000-0005-0000-0000-00005A5C0000}"/>
    <cellStyle name="Normal 2 3 2 26 2 2 3" xfId="9913" xr:uid="{00000000-0005-0000-0000-00005B5C0000}"/>
    <cellStyle name="Normal 2 3 2 26 2 2 3 2" xfId="39657" xr:uid="{00000000-0005-0000-0000-00005C5C0000}"/>
    <cellStyle name="Normal 2 3 2 26 2 2 4" xfId="9914" xr:uid="{00000000-0005-0000-0000-00005D5C0000}"/>
    <cellStyle name="Normal 2 3 2 26 2 2 4 2" xfId="39658" xr:uid="{00000000-0005-0000-0000-00005E5C0000}"/>
    <cellStyle name="Normal 2 3 2 26 2 2 5" xfId="9915" xr:uid="{00000000-0005-0000-0000-00005F5C0000}"/>
    <cellStyle name="Normal 2 3 2 26 2 2 5 2" xfId="39659" xr:uid="{00000000-0005-0000-0000-0000605C0000}"/>
    <cellStyle name="Normal 2 3 2 26 2 2 6" xfId="39660" xr:uid="{00000000-0005-0000-0000-0000615C0000}"/>
    <cellStyle name="Normal 2 3 2 26 2 2 6 2" xfId="39661" xr:uid="{00000000-0005-0000-0000-0000625C0000}"/>
    <cellStyle name="Normal 2 3 2 26 2 2 7" xfId="39662" xr:uid="{00000000-0005-0000-0000-0000635C0000}"/>
    <cellStyle name="Normal 2 3 2 26 2 3" xfId="9916" xr:uid="{00000000-0005-0000-0000-0000645C0000}"/>
    <cellStyle name="Normal 2 3 2 26 2 3 2" xfId="9917" xr:uid="{00000000-0005-0000-0000-0000655C0000}"/>
    <cellStyle name="Normal 2 3 2 26 2 3 2 2" xfId="39663" xr:uid="{00000000-0005-0000-0000-0000665C0000}"/>
    <cellStyle name="Normal 2 3 2 26 2 3 3" xfId="9918" xr:uid="{00000000-0005-0000-0000-0000675C0000}"/>
    <cellStyle name="Normal 2 3 2 26 2 3 3 2" xfId="39664" xr:uid="{00000000-0005-0000-0000-0000685C0000}"/>
    <cellStyle name="Normal 2 3 2 26 2 3 4" xfId="39665" xr:uid="{00000000-0005-0000-0000-0000695C0000}"/>
    <cellStyle name="Normal 2 3 2 26 2 4" xfId="9919" xr:uid="{00000000-0005-0000-0000-00006A5C0000}"/>
    <cellStyle name="Normal 2 3 2 26 2 4 2" xfId="9920" xr:uid="{00000000-0005-0000-0000-00006B5C0000}"/>
    <cellStyle name="Normal 2 3 2 26 2 4 2 2" xfId="39666" xr:uid="{00000000-0005-0000-0000-00006C5C0000}"/>
    <cellStyle name="Normal 2 3 2 26 2 4 3" xfId="39667" xr:uid="{00000000-0005-0000-0000-00006D5C0000}"/>
    <cellStyle name="Normal 2 3 2 26 2 5" xfId="9921" xr:uid="{00000000-0005-0000-0000-00006E5C0000}"/>
    <cellStyle name="Normal 2 3 2 26 2 5 2" xfId="39668" xr:uid="{00000000-0005-0000-0000-00006F5C0000}"/>
    <cellStyle name="Normal 2 3 2 26 2 6" xfId="9922" xr:uid="{00000000-0005-0000-0000-0000705C0000}"/>
    <cellStyle name="Normal 2 3 2 26 2 6 2" xfId="39669" xr:uid="{00000000-0005-0000-0000-0000715C0000}"/>
    <cellStyle name="Normal 2 3 2 26 2 7" xfId="39670" xr:uid="{00000000-0005-0000-0000-0000725C0000}"/>
    <cellStyle name="Normal 2 3 2 26 2 7 2" xfId="39671" xr:uid="{00000000-0005-0000-0000-0000735C0000}"/>
    <cellStyle name="Normal 2 3 2 26 2 8" xfId="39672" xr:uid="{00000000-0005-0000-0000-0000745C0000}"/>
    <cellStyle name="Normal 2 3 2 26 2 9" xfId="39673" xr:uid="{00000000-0005-0000-0000-0000755C0000}"/>
    <cellStyle name="Normal 2 3 2 26 3" xfId="9923" xr:uid="{00000000-0005-0000-0000-0000765C0000}"/>
    <cellStyle name="Normal 2 3 2 26 3 2" xfId="9924" xr:uid="{00000000-0005-0000-0000-0000775C0000}"/>
    <cellStyle name="Normal 2 3 2 26 3 2 2" xfId="9925" xr:uid="{00000000-0005-0000-0000-0000785C0000}"/>
    <cellStyle name="Normal 2 3 2 26 3 2 2 2" xfId="39674" xr:uid="{00000000-0005-0000-0000-0000795C0000}"/>
    <cellStyle name="Normal 2 3 2 26 3 2 3" xfId="9926" xr:uid="{00000000-0005-0000-0000-00007A5C0000}"/>
    <cellStyle name="Normal 2 3 2 26 3 2 3 2" xfId="39675" xr:uid="{00000000-0005-0000-0000-00007B5C0000}"/>
    <cellStyle name="Normal 2 3 2 26 3 2 4" xfId="39676" xr:uid="{00000000-0005-0000-0000-00007C5C0000}"/>
    <cellStyle name="Normal 2 3 2 26 3 3" xfId="9927" xr:uid="{00000000-0005-0000-0000-00007D5C0000}"/>
    <cellStyle name="Normal 2 3 2 26 3 3 2" xfId="39677" xr:uid="{00000000-0005-0000-0000-00007E5C0000}"/>
    <cellStyle name="Normal 2 3 2 26 3 4" xfId="9928" xr:uid="{00000000-0005-0000-0000-00007F5C0000}"/>
    <cellStyle name="Normal 2 3 2 26 3 4 2" xfId="39678" xr:uid="{00000000-0005-0000-0000-0000805C0000}"/>
    <cellStyle name="Normal 2 3 2 26 3 5" xfId="9929" xr:uid="{00000000-0005-0000-0000-0000815C0000}"/>
    <cellStyle name="Normal 2 3 2 26 3 5 2" xfId="39679" xr:uid="{00000000-0005-0000-0000-0000825C0000}"/>
    <cellStyle name="Normal 2 3 2 26 3 6" xfId="39680" xr:uid="{00000000-0005-0000-0000-0000835C0000}"/>
    <cellStyle name="Normal 2 3 2 26 3 6 2" xfId="39681" xr:uid="{00000000-0005-0000-0000-0000845C0000}"/>
    <cellStyle name="Normal 2 3 2 26 3 7" xfId="39682" xr:uid="{00000000-0005-0000-0000-0000855C0000}"/>
    <cellStyle name="Normal 2 3 2 26 4" xfId="9930" xr:uid="{00000000-0005-0000-0000-0000865C0000}"/>
    <cellStyle name="Normal 2 3 2 26 4 2" xfId="9931" xr:uid="{00000000-0005-0000-0000-0000875C0000}"/>
    <cellStyle name="Normal 2 3 2 26 4 2 2" xfId="39683" xr:uid="{00000000-0005-0000-0000-0000885C0000}"/>
    <cellStyle name="Normal 2 3 2 26 4 3" xfId="9932" xr:uid="{00000000-0005-0000-0000-0000895C0000}"/>
    <cellStyle name="Normal 2 3 2 26 4 3 2" xfId="39684" xr:uid="{00000000-0005-0000-0000-00008A5C0000}"/>
    <cellStyle name="Normal 2 3 2 26 4 4" xfId="39685" xr:uid="{00000000-0005-0000-0000-00008B5C0000}"/>
    <cellStyle name="Normal 2 3 2 26 5" xfId="9933" xr:uid="{00000000-0005-0000-0000-00008C5C0000}"/>
    <cellStyle name="Normal 2 3 2 26 5 2" xfId="9934" xr:uid="{00000000-0005-0000-0000-00008D5C0000}"/>
    <cellStyle name="Normal 2 3 2 26 5 2 2" xfId="39686" xr:uid="{00000000-0005-0000-0000-00008E5C0000}"/>
    <cellStyle name="Normal 2 3 2 26 5 3" xfId="39687" xr:uid="{00000000-0005-0000-0000-00008F5C0000}"/>
    <cellStyle name="Normal 2 3 2 26 6" xfId="9935" xr:uid="{00000000-0005-0000-0000-0000905C0000}"/>
    <cellStyle name="Normal 2 3 2 26 6 2" xfId="39688" xr:uid="{00000000-0005-0000-0000-0000915C0000}"/>
    <cellStyle name="Normal 2 3 2 26 7" xfId="9936" xr:uid="{00000000-0005-0000-0000-0000925C0000}"/>
    <cellStyle name="Normal 2 3 2 26 7 2" xfId="39689" xr:uid="{00000000-0005-0000-0000-0000935C0000}"/>
    <cellStyle name="Normal 2 3 2 26 8" xfId="39690" xr:uid="{00000000-0005-0000-0000-0000945C0000}"/>
    <cellStyle name="Normal 2 3 2 26 8 2" xfId="39691" xr:uid="{00000000-0005-0000-0000-0000955C0000}"/>
    <cellStyle name="Normal 2 3 2 26 9" xfId="39692" xr:uid="{00000000-0005-0000-0000-0000965C0000}"/>
    <cellStyle name="Normal 2 3 2 27" xfId="9937" xr:uid="{00000000-0005-0000-0000-0000975C0000}"/>
    <cellStyle name="Normal 2 3 2 27 10" xfId="39693" xr:uid="{00000000-0005-0000-0000-0000985C0000}"/>
    <cellStyle name="Normal 2 3 2 27 11" xfId="39694" xr:uid="{00000000-0005-0000-0000-0000995C0000}"/>
    <cellStyle name="Normal 2 3 2 27 2" xfId="9938" xr:uid="{00000000-0005-0000-0000-00009A5C0000}"/>
    <cellStyle name="Normal 2 3 2 27 2 10" xfId="39695" xr:uid="{00000000-0005-0000-0000-00009B5C0000}"/>
    <cellStyle name="Normal 2 3 2 27 2 2" xfId="9939" xr:uid="{00000000-0005-0000-0000-00009C5C0000}"/>
    <cellStyle name="Normal 2 3 2 27 2 2 2" xfId="9940" xr:uid="{00000000-0005-0000-0000-00009D5C0000}"/>
    <cellStyle name="Normal 2 3 2 27 2 2 2 2" xfId="9941" xr:uid="{00000000-0005-0000-0000-00009E5C0000}"/>
    <cellStyle name="Normal 2 3 2 27 2 2 2 2 2" xfId="39696" xr:uid="{00000000-0005-0000-0000-00009F5C0000}"/>
    <cellStyle name="Normal 2 3 2 27 2 2 2 3" xfId="9942" xr:uid="{00000000-0005-0000-0000-0000A05C0000}"/>
    <cellStyle name="Normal 2 3 2 27 2 2 2 3 2" xfId="39697" xr:uid="{00000000-0005-0000-0000-0000A15C0000}"/>
    <cellStyle name="Normal 2 3 2 27 2 2 2 4" xfId="39698" xr:uid="{00000000-0005-0000-0000-0000A25C0000}"/>
    <cellStyle name="Normal 2 3 2 27 2 2 3" xfId="9943" xr:uid="{00000000-0005-0000-0000-0000A35C0000}"/>
    <cellStyle name="Normal 2 3 2 27 2 2 3 2" xfId="39699" xr:uid="{00000000-0005-0000-0000-0000A45C0000}"/>
    <cellStyle name="Normal 2 3 2 27 2 2 4" xfId="9944" xr:uid="{00000000-0005-0000-0000-0000A55C0000}"/>
    <cellStyle name="Normal 2 3 2 27 2 2 4 2" xfId="39700" xr:uid="{00000000-0005-0000-0000-0000A65C0000}"/>
    <cellStyle name="Normal 2 3 2 27 2 2 5" xfId="9945" xr:uid="{00000000-0005-0000-0000-0000A75C0000}"/>
    <cellStyle name="Normal 2 3 2 27 2 2 5 2" xfId="39701" xr:uid="{00000000-0005-0000-0000-0000A85C0000}"/>
    <cellStyle name="Normal 2 3 2 27 2 2 6" xfId="39702" xr:uid="{00000000-0005-0000-0000-0000A95C0000}"/>
    <cellStyle name="Normal 2 3 2 27 2 2 6 2" xfId="39703" xr:uid="{00000000-0005-0000-0000-0000AA5C0000}"/>
    <cellStyle name="Normal 2 3 2 27 2 2 7" xfId="39704" xr:uid="{00000000-0005-0000-0000-0000AB5C0000}"/>
    <cellStyle name="Normal 2 3 2 27 2 3" xfId="9946" xr:uid="{00000000-0005-0000-0000-0000AC5C0000}"/>
    <cellStyle name="Normal 2 3 2 27 2 3 2" xfId="9947" xr:uid="{00000000-0005-0000-0000-0000AD5C0000}"/>
    <cellStyle name="Normal 2 3 2 27 2 3 2 2" xfId="39705" xr:uid="{00000000-0005-0000-0000-0000AE5C0000}"/>
    <cellStyle name="Normal 2 3 2 27 2 3 3" xfId="9948" xr:uid="{00000000-0005-0000-0000-0000AF5C0000}"/>
    <cellStyle name="Normal 2 3 2 27 2 3 3 2" xfId="39706" xr:uid="{00000000-0005-0000-0000-0000B05C0000}"/>
    <cellStyle name="Normal 2 3 2 27 2 3 4" xfId="39707" xr:uid="{00000000-0005-0000-0000-0000B15C0000}"/>
    <cellStyle name="Normal 2 3 2 27 2 4" xfId="9949" xr:uid="{00000000-0005-0000-0000-0000B25C0000}"/>
    <cellStyle name="Normal 2 3 2 27 2 4 2" xfId="9950" xr:uid="{00000000-0005-0000-0000-0000B35C0000}"/>
    <cellStyle name="Normal 2 3 2 27 2 4 2 2" xfId="39708" xr:uid="{00000000-0005-0000-0000-0000B45C0000}"/>
    <cellStyle name="Normal 2 3 2 27 2 4 3" xfId="39709" xr:uid="{00000000-0005-0000-0000-0000B55C0000}"/>
    <cellStyle name="Normal 2 3 2 27 2 5" xfId="9951" xr:uid="{00000000-0005-0000-0000-0000B65C0000}"/>
    <cellStyle name="Normal 2 3 2 27 2 5 2" xfId="39710" xr:uid="{00000000-0005-0000-0000-0000B75C0000}"/>
    <cellStyle name="Normal 2 3 2 27 2 6" xfId="9952" xr:uid="{00000000-0005-0000-0000-0000B85C0000}"/>
    <cellStyle name="Normal 2 3 2 27 2 6 2" xfId="39711" xr:uid="{00000000-0005-0000-0000-0000B95C0000}"/>
    <cellStyle name="Normal 2 3 2 27 2 7" xfId="39712" xr:uid="{00000000-0005-0000-0000-0000BA5C0000}"/>
    <cellStyle name="Normal 2 3 2 27 2 7 2" xfId="39713" xr:uid="{00000000-0005-0000-0000-0000BB5C0000}"/>
    <cellStyle name="Normal 2 3 2 27 2 8" xfId="39714" xr:uid="{00000000-0005-0000-0000-0000BC5C0000}"/>
    <cellStyle name="Normal 2 3 2 27 2 9" xfId="39715" xr:uid="{00000000-0005-0000-0000-0000BD5C0000}"/>
    <cellStyle name="Normal 2 3 2 27 3" xfId="9953" xr:uid="{00000000-0005-0000-0000-0000BE5C0000}"/>
    <cellStyle name="Normal 2 3 2 27 3 2" xfId="9954" xr:uid="{00000000-0005-0000-0000-0000BF5C0000}"/>
    <cellStyle name="Normal 2 3 2 27 3 2 2" xfId="9955" xr:uid="{00000000-0005-0000-0000-0000C05C0000}"/>
    <cellStyle name="Normal 2 3 2 27 3 2 2 2" xfId="39716" xr:uid="{00000000-0005-0000-0000-0000C15C0000}"/>
    <cellStyle name="Normal 2 3 2 27 3 2 3" xfId="9956" xr:uid="{00000000-0005-0000-0000-0000C25C0000}"/>
    <cellStyle name="Normal 2 3 2 27 3 2 3 2" xfId="39717" xr:uid="{00000000-0005-0000-0000-0000C35C0000}"/>
    <cellStyle name="Normal 2 3 2 27 3 2 4" xfId="39718" xr:uid="{00000000-0005-0000-0000-0000C45C0000}"/>
    <cellStyle name="Normal 2 3 2 27 3 3" xfId="9957" xr:uid="{00000000-0005-0000-0000-0000C55C0000}"/>
    <cellStyle name="Normal 2 3 2 27 3 3 2" xfId="39719" xr:uid="{00000000-0005-0000-0000-0000C65C0000}"/>
    <cellStyle name="Normal 2 3 2 27 3 4" xfId="9958" xr:uid="{00000000-0005-0000-0000-0000C75C0000}"/>
    <cellStyle name="Normal 2 3 2 27 3 4 2" xfId="39720" xr:uid="{00000000-0005-0000-0000-0000C85C0000}"/>
    <cellStyle name="Normal 2 3 2 27 3 5" xfId="9959" xr:uid="{00000000-0005-0000-0000-0000C95C0000}"/>
    <cellStyle name="Normal 2 3 2 27 3 5 2" xfId="39721" xr:uid="{00000000-0005-0000-0000-0000CA5C0000}"/>
    <cellStyle name="Normal 2 3 2 27 3 6" xfId="39722" xr:uid="{00000000-0005-0000-0000-0000CB5C0000}"/>
    <cellStyle name="Normal 2 3 2 27 3 6 2" xfId="39723" xr:uid="{00000000-0005-0000-0000-0000CC5C0000}"/>
    <cellStyle name="Normal 2 3 2 27 3 7" xfId="39724" xr:uid="{00000000-0005-0000-0000-0000CD5C0000}"/>
    <cellStyle name="Normal 2 3 2 27 4" xfId="9960" xr:uid="{00000000-0005-0000-0000-0000CE5C0000}"/>
    <cellStyle name="Normal 2 3 2 27 4 2" xfId="9961" xr:uid="{00000000-0005-0000-0000-0000CF5C0000}"/>
    <cellStyle name="Normal 2 3 2 27 4 2 2" xfId="39725" xr:uid="{00000000-0005-0000-0000-0000D05C0000}"/>
    <cellStyle name="Normal 2 3 2 27 4 3" xfId="9962" xr:uid="{00000000-0005-0000-0000-0000D15C0000}"/>
    <cellStyle name="Normal 2 3 2 27 4 3 2" xfId="39726" xr:uid="{00000000-0005-0000-0000-0000D25C0000}"/>
    <cellStyle name="Normal 2 3 2 27 4 4" xfId="39727" xr:uid="{00000000-0005-0000-0000-0000D35C0000}"/>
    <cellStyle name="Normal 2 3 2 27 5" xfId="9963" xr:uid="{00000000-0005-0000-0000-0000D45C0000}"/>
    <cellStyle name="Normal 2 3 2 27 5 2" xfId="9964" xr:uid="{00000000-0005-0000-0000-0000D55C0000}"/>
    <cellStyle name="Normal 2 3 2 27 5 2 2" xfId="39728" xr:uid="{00000000-0005-0000-0000-0000D65C0000}"/>
    <cellStyle name="Normal 2 3 2 27 5 3" xfId="39729" xr:uid="{00000000-0005-0000-0000-0000D75C0000}"/>
    <cellStyle name="Normal 2 3 2 27 6" xfId="9965" xr:uid="{00000000-0005-0000-0000-0000D85C0000}"/>
    <cellStyle name="Normal 2 3 2 27 6 2" xfId="39730" xr:uid="{00000000-0005-0000-0000-0000D95C0000}"/>
    <cellStyle name="Normal 2 3 2 27 7" xfId="9966" xr:uid="{00000000-0005-0000-0000-0000DA5C0000}"/>
    <cellStyle name="Normal 2 3 2 27 7 2" xfId="39731" xr:uid="{00000000-0005-0000-0000-0000DB5C0000}"/>
    <cellStyle name="Normal 2 3 2 27 8" xfId="39732" xr:uid="{00000000-0005-0000-0000-0000DC5C0000}"/>
    <cellStyle name="Normal 2 3 2 27 8 2" xfId="39733" xr:uid="{00000000-0005-0000-0000-0000DD5C0000}"/>
    <cellStyle name="Normal 2 3 2 27 9" xfId="39734" xr:uid="{00000000-0005-0000-0000-0000DE5C0000}"/>
    <cellStyle name="Normal 2 3 2 28" xfId="9967" xr:uid="{00000000-0005-0000-0000-0000DF5C0000}"/>
    <cellStyle name="Normal 2 3 2 28 10" xfId="39735" xr:uid="{00000000-0005-0000-0000-0000E05C0000}"/>
    <cellStyle name="Normal 2 3 2 28 11" xfId="39736" xr:uid="{00000000-0005-0000-0000-0000E15C0000}"/>
    <cellStyle name="Normal 2 3 2 28 2" xfId="9968" xr:uid="{00000000-0005-0000-0000-0000E25C0000}"/>
    <cellStyle name="Normal 2 3 2 28 2 10" xfId="39737" xr:uid="{00000000-0005-0000-0000-0000E35C0000}"/>
    <cellStyle name="Normal 2 3 2 28 2 2" xfId="9969" xr:uid="{00000000-0005-0000-0000-0000E45C0000}"/>
    <cellStyle name="Normal 2 3 2 28 2 2 2" xfId="9970" xr:uid="{00000000-0005-0000-0000-0000E55C0000}"/>
    <cellStyle name="Normal 2 3 2 28 2 2 2 2" xfId="9971" xr:uid="{00000000-0005-0000-0000-0000E65C0000}"/>
    <cellStyle name="Normal 2 3 2 28 2 2 2 2 2" xfId="39738" xr:uid="{00000000-0005-0000-0000-0000E75C0000}"/>
    <cellStyle name="Normal 2 3 2 28 2 2 2 3" xfId="9972" xr:uid="{00000000-0005-0000-0000-0000E85C0000}"/>
    <cellStyle name="Normal 2 3 2 28 2 2 2 3 2" xfId="39739" xr:uid="{00000000-0005-0000-0000-0000E95C0000}"/>
    <cellStyle name="Normal 2 3 2 28 2 2 2 4" xfId="39740" xr:uid="{00000000-0005-0000-0000-0000EA5C0000}"/>
    <cellStyle name="Normal 2 3 2 28 2 2 3" xfId="9973" xr:uid="{00000000-0005-0000-0000-0000EB5C0000}"/>
    <cellStyle name="Normal 2 3 2 28 2 2 3 2" xfId="39741" xr:uid="{00000000-0005-0000-0000-0000EC5C0000}"/>
    <cellStyle name="Normal 2 3 2 28 2 2 4" xfId="9974" xr:uid="{00000000-0005-0000-0000-0000ED5C0000}"/>
    <cellStyle name="Normal 2 3 2 28 2 2 4 2" xfId="39742" xr:uid="{00000000-0005-0000-0000-0000EE5C0000}"/>
    <cellStyle name="Normal 2 3 2 28 2 2 5" xfId="9975" xr:uid="{00000000-0005-0000-0000-0000EF5C0000}"/>
    <cellStyle name="Normal 2 3 2 28 2 2 5 2" xfId="39743" xr:uid="{00000000-0005-0000-0000-0000F05C0000}"/>
    <cellStyle name="Normal 2 3 2 28 2 2 6" xfId="39744" xr:uid="{00000000-0005-0000-0000-0000F15C0000}"/>
    <cellStyle name="Normal 2 3 2 28 2 2 6 2" xfId="39745" xr:uid="{00000000-0005-0000-0000-0000F25C0000}"/>
    <cellStyle name="Normal 2 3 2 28 2 2 7" xfId="39746" xr:uid="{00000000-0005-0000-0000-0000F35C0000}"/>
    <cellStyle name="Normal 2 3 2 28 2 3" xfId="9976" xr:uid="{00000000-0005-0000-0000-0000F45C0000}"/>
    <cellStyle name="Normal 2 3 2 28 2 3 2" xfId="9977" xr:uid="{00000000-0005-0000-0000-0000F55C0000}"/>
    <cellStyle name="Normal 2 3 2 28 2 3 2 2" xfId="39747" xr:uid="{00000000-0005-0000-0000-0000F65C0000}"/>
    <cellStyle name="Normal 2 3 2 28 2 3 3" xfId="9978" xr:uid="{00000000-0005-0000-0000-0000F75C0000}"/>
    <cellStyle name="Normal 2 3 2 28 2 3 3 2" xfId="39748" xr:uid="{00000000-0005-0000-0000-0000F85C0000}"/>
    <cellStyle name="Normal 2 3 2 28 2 3 4" xfId="39749" xr:uid="{00000000-0005-0000-0000-0000F95C0000}"/>
    <cellStyle name="Normal 2 3 2 28 2 4" xfId="9979" xr:uid="{00000000-0005-0000-0000-0000FA5C0000}"/>
    <cellStyle name="Normal 2 3 2 28 2 4 2" xfId="9980" xr:uid="{00000000-0005-0000-0000-0000FB5C0000}"/>
    <cellStyle name="Normal 2 3 2 28 2 4 2 2" xfId="39750" xr:uid="{00000000-0005-0000-0000-0000FC5C0000}"/>
    <cellStyle name="Normal 2 3 2 28 2 4 3" xfId="39751" xr:uid="{00000000-0005-0000-0000-0000FD5C0000}"/>
    <cellStyle name="Normal 2 3 2 28 2 5" xfId="9981" xr:uid="{00000000-0005-0000-0000-0000FE5C0000}"/>
    <cellStyle name="Normal 2 3 2 28 2 5 2" xfId="39752" xr:uid="{00000000-0005-0000-0000-0000FF5C0000}"/>
    <cellStyle name="Normal 2 3 2 28 2 6" xfId="9982" xr:uid="{00000000-0005-0000-0000-0000005D0000}"/>
    <cellStyle name="Normal 2 3 2 28 2 6 2" xfId="39753" xr:uid="{00000000-0005-0000-0000-0000015D0000}"/>
    <cellStyle name="Normal 2 3 2 28 2 7" xfId="39754" xr:uid="{00000000-0005-0000-0000-0000025D0000}"/>
    <cellStyle name="Normal 2 3 2 28 2 7 2" xfId="39755" xr:uid="{00000000-0005-0000-0000-0000035D0000}"/>
    <cellStyle name="Normal 2 3 2 28 2 8" xfId="39756" xr:uid="{00000000-0005-0000-0000-0000045D0000}"/>
    <cellStyle name="Normal 2 3 2 28 2 9" xfId="39757" xr:uid="{00000000-0005-0000-0000-0000055D0000}"/>
    <cellStyle name="Normal 2 3 2 28 3" xfId="9983" xr:uid="{00000000-0005-0000-0000-0000065D0000}"/>
    <cellStyle name="Normal 2 3 2 28 3 2" xfId="9984" xr:uid="{00000000-0005-0000-0000-0000075D0000}"/>
    <cellStyle name="Normal 2 3 2 28 3 2 2" xfId="9985" xr:uid="{00000000-0005-0000-0000-0000085D0000}"/>
    <cellStyle name="Normal 2 3 2 28 3 2 2 2" xfId="39758" xr:uid="{00000000-0005-0000-0000-0000095D0000}"/>
    <cellStyle name="Normal 2 3 2 28 3 2 3" xfId="9986" xr:uid="{00000000-0005-0000-0000-00000A5D0000}"/>
    <cellStyle name="Normal 2 3 2 28 3 2 3 2" xfId="39759" xr:uid="{00000000-0005-0000-0000-00000B5D0000}"/>
    <cellStyle name="Normal 2 3 2 28 3 2 4" xfId="39760" xr:uid="{00000000-0005-0000-0000-00000C5D0000}"/>
    <cellStyle name="Normal 2 3 2 28 3 3" xfId="9987" xr:uid="{00000000-0005-0000-0000-00000D5D0000}"/>
    <cellStyle name="Normal 2 3 2 28 3 3 2" xfId="39761" xr:uid="{00000000-0005-0000-0000-00000E5D0000}"/>
    <cellStyle name="Normal 2 3 2 28 3 4" xfId="9988" xr:uid="{00000000-0005-0000-0000-00000F5D0000}"/>
    <cellStyle name="Normal 2 3 2 28 3 4 2" xfId="39762" xr:uid="{00000000-0005-0000-0000-0000105D0000}"/>
    <cellStyle name="Normal 2 3 2 28 3 5" xfId="9989" xr:uid="{00000000-0005-0000-0000-0000115D0000}"/>
    <cellStyle name="Normal 2 3 2 28 3 5 2" xfId="39763" xr:uid="{00000000-0005-0000-0000-0000125D0000}"/>
    <cellStyle name="Normal 2 3 2 28 3 6" xfId="39764" xr:uid="{00000000-0005-0000-0000-0000135D0000}"/>
    <cellStyle name="Normal 2 3 2 28 3 6 2" xfId="39765" xr:uid="{00000000-0005-0000-0000-0000145D0000}"/>
    <cellStyle name="Normal 2 3 2 28 3 7" xfId="39766" xr:uid="{00000000-0005-0000-0000-0000155D0000}"/>
    <cellStyle name="Normal 2 3 2 28 4" xfId="9990" xr:uid="{00000000-0005-0000-0000-0000165D0000}"/>
    <cellStyle name="Normal 2 3 2 28 4 2" xfId="9991" xr:uid="{00000000-0005-0000-0000-0000175D0000}"/>
    <cellStyle name="Normal 2 3 2 28 4 2 2" xfId="39767" xr:uid="{00000000-0005-0000-0000-0000185D0000}"/>
    <cellStyle name="Normal 2 3 2 28 4 3" xfId="9992" xr:uid="{00000000-0005-0000-0000-0000195D0000}"/>
    <cellStyle name="Normal 2 3 2 28 4 3 2" xfId="39768" xr:uid="{00000000-0005-0000-0000-00001A5D0000}"/>
    <cellStyle name="Normal 2 3 2 28 4 4" xfId="39769" xr:uid="{00000000-0005-0000-0000-00001B5D0000}"/>
    <cellStyle name="Normal 2 3 2 28 5" xfId="9993" xr:uid="{00000000-0005-0000-0000-00001C5D0000}"/>
    <cellStyle name="Normal 2 3 2 28 5 2" xfId="9994" xr:uid="{00000000-0005-0000-0000-00001D5D0000}"/>
    <cellStyle name="Normal 2 3 2 28 5 2 2" xfId="39770" xr:uid="{00000000-0005-0000-0000-00001E5D0000}"/>
    <cellStyle name="Normal 2 3 2 28 5 3" xfId="39771" xr:uid="{00000000-0005-0000-0000-00001F5D0000}"/>
    <cellStyle name="Normal 2 3 2 28 6" xfId="9995" xr:uid="{00000000-0005-0000-0000-0000205D0000}"/>
    <cellStyle name="Normal 2 3 2 28 6 2" xfId="39772" xr:uid="{00000000-0005-0000-0000-0000215D0000}"/>
    <cellStyle name="Normal 2 3 2 28 7" xfId="9996" xr:uid="{00000000-0005-0000-0000-0000225D0000}"/>
    <cellStyle name="Normal 2 3 2 28 7 2" xfId="39773" xr:uid="{00000000-0005-0000-0000-0000235D0000}"/>
    <cellStyle name="Normal 2 3 2 28 8" xfId="39774" xr:uid="{00000000-0005-0000-0000-0000245D0000}"/>
    <cellStyle name="Normal 2 3 2 28 8 2" xfId="39775" xr:uid="{00000000-0005-0000-0000-0000255D0000}"/>
    <cellStyle name="Normal 2 3 2 28 9" xfId="39776" xr:uid="{00000000-0005-0000-0000-0000265D0000}"/>
    <cellStyle name="Normal 2 3 2 29" xfId="9997" xr:uid="{00000000-0005-0000-0000-0000275D0000}"/>
    <cellStyle name="Normal 2 3 2 29 10" xfId="39777" xr:uid="{00000000-0005-0000-0000-0000285D0000}"/>
    <cellStyle name="Normal 2 3 2 29 11" xfId="39778" xr:uid="{00000000-0005-0000-0000-0000295D0000}"/>
    <cellStyle name="Normal 2 3 2 29 2" xfId="9998" xr:uid="{00000000-0005-0000-0000-00002A5D0000}"/>
    <cellStyle name="Normal 2 3 2 29 2 10" xfId="39779" xr:uid="{00000000-0005-0000-0000-00002B5D0000}"/>
    <cellStyle name="Normal 2 3 2 29 2 2" xfId="9999" xr:uid="{00000000-0005-0000-0000-00002C5D0000}"/>
    <cellStyle name="Normal 2 3 2 29 2 2 2" xfId="10000" xr:uid="{00000000-0005-0000-0000-00002D5D0000}"/>
    <cellStyle name="Normal 2 3 2 29 2 2 2 2" xfId="10001" xr:uid="{00000000-0005-0000-0000-00002E5D0000}"/>
    <cellStyle name="Normal 2 3 2 29 2 2 2 2 2" xfId="39780" xr:uid="{00000000-0005-0000-0000-00002F5D0000}"/>
    <cellStyle name="Normal 2 3 2 29 2 2 2 3" xfId="10002" xr:uid="{00000000-0005-0000-0000-0000305D0000}"/>
    <cellStyle name="Normal 2 3 2 29 2 2 2 3 2" xfId="39781" xr:uid="{00000000-0005-0000-0000-0000315D0000}"/>
    <cellStyle name="Normal 2 3 2 29 2 2 2 4" xfId="39782" xr:uid="{00000000-0005-0000-0000-0000325D0000}"/>
    <cellStyle name="Normal 2 3 2 29 2 2 3" xfId="10003" xr:uid="{00000000-0005-0000-0000-0000335D0000}"/>
    <cellStyle name="Normal 2 3 2 29 2 2 3 2" xfId="39783" xr:uid="{00000000-0005-0000-0000-0000345D0000}"/>
    <cellStyle name="Normal 2 3 2 29 2 2 4" xfId="10004" xr:uid="{00000000-0005-0000-0000-0000355D0000}"/>
    <cellStyle name="Normal 2 3 2 29 2 2 4 2" xfId="39784" xr:uid="{00000000-0005-0000-0000-0000365D0000}"/>
    <cellStyle name="Normal 2 3 2 29 2 2 5" xfId="10005" xr:uid="{00000000-0005-0000-0000-0000375D0000}"/>
    <cellStyle name="Normal 2 3 2 29 2 2 5 2" xfId="39785" xr:uid="{00000000-0005-0000-0000-0000385D0000}"/>
    <cellStyle name="Normal 2 3 2 29 2 2 6" xfId="39786" xr:uid="{00000000-0005-0000-0000-0000395D0000}"/>
    <cellStyle name="Normal 2 3 2 29 2 2 6 2" xfId="39787" xr:uid="{00000000-0005-0000-0000-00003A5D0000}"/>
    <cellStyle name="Normal 2 3 2 29 2 2 7" xfId="39788" xr:uid="{00000000-0005-0000-0000-00003B5D0000}"/>
    <cellStyle name="Normal 2 3 2 29 2 3" xfId="10006" xr:uid="{00000000-0005-0000-0000-00003C5D0000}"/>
    <cellStyle name="Normal 2 3 2 29 2 3 2" xfId="10007" xr:uid="{00000000-0005-0000-0000-00003D5D0000}"/>
    <cellStyle name="Normal 2 3 2 29 2 3 2 2" xfId="39789" xr:uid="{00000000-0005-0000-0000-00003E5D0000}"/>
    <cellStyle name="Normal 2 3 2 29 2 3 3" xfId="10008" xr:uid="{00000000-0005-0000-0000-00003F5D0000}"/>
    <cellStyle name="Normal 2 3 2 29 2 3 3 2" xfId="39790" xr:uid="{00000000-0005-0000-0000-0000405D0000}"/>
    <cellStyle name="Normal 2 3 2 29 2 3 4" xfId="39791" xr:uid="{00000000-0005-0000-0000-0000415D0000}"/>
    <cellStyle name="Normal 2 3 2 29 2 4" xfId="10009" xr:uid="{00000000-0005-0000-0000-0000425D0000}"/>
    <cellStyle name="Normal 2 3 2 29 2 4 2" xfId="10010" xr:uid="{00000000-0005-0000-0000-0000435D0000}"/>
    <cellStyle name="Normal 2 3 2 29 2 4 2 2" xfId="39792" xr:uid="{00000000-0005-0000-0000-0000445D0000}"/>
    <cellStyle name="Normal 2 3 2 29 2 4 3" xfId="39793" xr:uid="{00000000-0005-0000-0000-0000455D0000}"/>
    <cellStyle name="Normal 2 3 2 29 2 5" xfId="10011" xr:uid="{00000000-0005-0000-0000-0000465D0000}"/>
    <cellStyle name="Normal 2 3 2 29 2 5 2" xfId="39794" xr:uid="{00000000-0005-0000-0000-0000475D0000}"/>
    <cellStyle name="Normal 2 3 2 29 2 6" xfId="10012" xr:uid="{00000000-0005-0000-0000-0000485D0000}"/>
    <cellStyle name="Normal 2 3 2 29 2 6 2" xfId="39795" xr:uid="{00000000-0005-0000-0000-0000495D0000}"/>
    <cellStyle name="Normal 2 3 2 29 2 7" xfId="39796" xr:uid="{00000000-0005-0000-0000-00004A5D0000}"/>
    <cellStyle name="Normal 2 3 2 29 2 7 2" xfId="39797" xr:uid="{00000000-0005-0000-0000-00004B5D0000}"/>
    <cellStyle name="Normal 2 3 2 29 2 8" xfId="39798" xr:uid="{00000000-0005-0000-0000-00004C5D0000}"/>
    <cellStyle name="Normal 2 3 2 29 2 9" xfId="39799" xr:uid="{00000000-0005-0000-0000-00004D5D0000}"/>
    <cellStyle name="Normal 2 3 2 29 3" xfId="10013" xr:uid="{00000000-0005-0000-0000-00004E5D0000}"/>
    <cellStyle name="Normal 2 3 2 29 3 2" xfId="10014" xr:uid="{00000000-0005-0000-0000-00004F5D0000}"/>
    <cellStyle name="Normal 2 3 2 29 3 2 2" xfId="10015" xr:uid="{00000000-0005-0000-0000-0000505D0000}"/>
    <cellStyle name="Normal 2 3 2 29 3 2 2 2" xfId="39800" xr:uid="{00000000-0005-0000-0000-0000515D0000}"/>
    <cellStyle name="Normal 2 3 2 29 3 2 3" xfId="10016" xr:uid="{00000000-0005-0000-0000-0000525D0000}"/>
    <cellStyle name="Normal 2 3 2 29 3 2 3 2" xfId="39801" xr:uid="{00000000-0005-0000-0000-0000535D0000}"/>
    <cellStyle name="Normal 2 3 2 29 3 2 4" xfId="39802" xr:uid="{00000000-0005-0000-0000-0000545D0000}"/>
    <cellStyle name="Normal 2 3 2 29 3 3" xfId="10017" xr:uid="{00000000-0005-0000-0000-0000555D0000}"/>
    <cellStyle name="Normal 2 3 2 29 3 3 2" xfId="39803" xr:uid="{00000000-0005-0000-0000-0000565D0000}"/>
    <cellStyle name="Normal 2 3 2 29 3 4" xfId="10018" xr:uid="{00000000-0005-0000-0000-0000575D0000}"/>
    <cellStyle name="Normal 2 3 2 29 3 4 2" xfId="39804" xr:uid="{00000000-0005-0000-0000-0000585D0000}"/>
    <cellStyle name="Normal 2 3 2 29 3 5" xfId="10019" xr:uid="{00000000-0005-0000-0000-0000595D0000}"/>
    <cellStyle name="Normal 2 3 2 29 3 5 2" xfId="39805" xr:uid="{00000000-0005-0000-0000-00005A5D0000}"/>
    <cellStyle name="Normal 2 3 2 29 3 6" xfId="39806" xr:uid="{00000000-0005-0000-0000-00005B5D0000}"/>
    <cellStyle name="Normal 2 3 2 29 3 6 2" xfId="39807" xr:uid="{00000000-0005-0000-0000-00005C5D0000}"/>
    <cellStyle name="Normal 2 3 2 29 3 7" xfId="39808" xr:uid="{00000000-0005-0000-0000-00005D5D0000}"/>
    <cellStyle name="Normal 2 3 2 29 4" xfId="10020" xr:uid="{00000000-0005-0000-0000-00005E5D0000}"/>
    <cellStyle name="Normal 2 3 2 29 4 2" xfId="10021" xr:uid="{00000000-0005-0000-0000-00005F5D0000}"/>
    <cellStyle name="Normal 2 3 2 29 4 2 2" xfId="39809" xr:uid="{00000000-0005-0000-0000-0000605D0000}"/>
    <cellStyle name="Normal 2 3 2 29 4 3" xfId="10022" xr:uid="{00000000-0005-0000-0000-0000615D0000}"/>
    <cellStyle name="Normal 2 3 2 29 4 3 2" xfId="39810" xr:uid="{00000000-0005-0000-0000-0000625D0000}"/>
    <cellStyle name="Normal 2 3 2 29 4 4" xfId="39811" xr:uid="{00000000-0005-0000-0000-0000635D0000}"/>
    <cellStyle name="Normal 2 3 2 29 5" xfId="10023" xr:uid="{00000000-0005-0000-0000-0000645D0000}"/>
    <cellStyle name="Normal 2 3 2 29 5 2" xfId="10024" xr:uid="{00000000-0005-0000-0000-0000655D0000}"/>
    <cellStyle name="Normal 2 3 2 29 5 2 2" xfId="39812" xr:uid="{00000000-0005-0000-0000-0000665D0000}"/>
    <cellStyle name="Normal 2 3 2 29 5 3" xfId="39813" xr:uid="{00000000-0005-0000-0000-0000675D0000}"/>
    <cellStyle name="Normal 2 3 2 29 6" xfId="10025" xr:uid="{00000000-0005-0000-0000-0000685D0000}"/>
    <cellStyle name="Normal 2 3 2 29 6 2" xfId="39814" xr:uid="{00000000-0005-0000-0000-0000695D0000}"/>
    <cellStyle name="Normal 2 3 2 29 7" xfId="10026" xr:uid="{00000000-0005-0000-0000-00006A5D0000}"/>
    <cellStyle name="Normal 2 3 2 29 7 2" xfId="39815" xr:uid="{00000000-0005-0000-0000-00006B5D0000}"/>
    <cellStyle name="Normal 2 3 2 29 8" xfId="39816" xr:uid="{00000000-0005-0000-0000-00006C5D0000}"/>
    <cellStyle name="Normal 2 3 2 29 8 2" xfId="39817" xr:uid="{00000000-0005-0000-0000-00006D5D0000}"/>
    <cellStyle name="Normal 2 3 2 29 9" xfId="39818" xr:uid="{00000000-0005-0000-0000-00006E5D0000}"/>
    <cellStyle name="Normal 2 3 2 3" xfId="10027" xr:uid="{00000000-0005-0000-0000-00006F5D0000}"/>
    <cellStyle name="Normal 2 3 2 3 10" xfId="39819" xr:uid="{00000000-0005-0000-0000-0000705D0000}"/>
    <cellStyle name="Normal 2 3 2 3 11" xfId="39820" xr:uid="{00000000-0005-0000-0000-0000715D0000}"/>
    <cellStyle name="Normal 2 3 2 3 2" xfId="10028" xr:uid="{00000000-0005-0000-0000-0000725D0000}"/>
    <cellStyle name="Normal 2 3 2 3 2 10" xfId="39821" xr:uid="{00000000-0005-0000-0000-0000735D0000}"/>
    <cellStyle name="Normal 2 3 2 3 2 2" xfId="10029" xr:uid="{00000000-0005-0000-0000-0000745D0000}"/>
    <cellStyle name="Normal 2 3 2 3 2 2 2" xfId="10030" xr:uid="{00000000-0005-0000-0000-0000755D0000}"/>
    <cellStyle name="Normal 2 3 2 3 2 2 2 2" xfId="10031" xr:uid="{00000000-0005-0000-0000-0000765D0000}"/>
    <cellStyle name="Normal 2 3 2 3 2 2 2 2 2" xfId="39822" xr:uid="{00000000-0005-0000-0000-0000775D0000}"/>
    <cellStyle name="Normal 2 3 2 3 2 2 2 3" xfId="10032" xr:uid="{00000000-0005-0000-0000-0000785D0000}"/>
    <cellStyle name="Normal 2 3 2 3 2 2 2 3 2" xfId="39823" xr:uid="{00000000-0005-0000-0000-0000795D0000}"/>
    <cellStyle name="Normal 2 3 2 3 2 2 2 4" xfId="39824" xr:uid="{00000000-0005-0000-0000-00007A5D0000}"/>
    <cellStyle name="Normal 2 3 2 3 2 2 3" xfId="10033" xr:uid="{00000000-0005-0000-0000-00007B5D0000}"/>
    <cellStyle name="Normal 2 3 2 3 2 2 3 2" xfId="39825" xr:uid="{00000000-0005-0000-0000-00007C5D0000}"/>
    <cellStyle name="Normal 2 3 2 3 2 2 4" xfId="10034" xr:uid="{00000000-0005-0000-0000-00007D5D0000}"/>
    <cellStyle name="Normal 2 3 2 3 2 2 4 2" xfId="39826" xr:uid="{00000000-0005-0000-0000-00007E5D0000}"/>
    <cellStyle name="Normal 2 3 2 3 2 2 5" xfId="10035" xr:uid="{00000000-0005-0000-0000-00007F5D0000}"/>
    <cellStyle name="Normal 2 3 2 3 2 2 5 2" xfId="39827" xr:uid="{00000000-0005-0000-0000-0000805D0000}"/>
    <cellStyle name="Normal 2 3 2 3 2 2 6" xfId="39828" xr:uid="{00000000-0005-0000-0000-0000815D0000}"/>
    <cellStyle name="Normal 2 3 2 3 2 2 6 2" xfId="39829" xr:uid="{00000000-0005-0000-0000-0000825D0000}"/>
    <cellStyle name="Normal 2 3 2 3 2 2 7" xfId="39830" xr:uid="{00000000-0005-0000-0000-0000835D0000}"/>
    <cellStyle name="Normal 2 3 2 3 2 3" xfId="10036" xr:uid="{00000000-0005-0000-0000-0000845D0000}"/>
    <cellStyle name="Normal 2 3 2 3 2 3 2" xfId="10037" xr:uid="{00000000-0005-0000-0000-0000855D0000}"/>
    <cellStyle name="Normal 2 3 2 3 2 3 2 2" xfId="39831" xr:uid="{00000000-0005-0000-0000-0000865D0000}"/>
    <cellStyle name="Normal 2 3 2 3 2 3 3" xfId="10038" xr:uid="{00000000-0005-0000-0000-0000875D0000}"/>
    <cellStyle name="Normal 2 3 2 3 2 3 3 2" xfId="39832" xr:uid="{00000000-0005-0000-0000-0000885D0000}"/>
    <cellStyle name="Normal 2 3 2 3 2 3 4" xfId="39833" xr:uid="{00000000-0005-0000-0000-0000895D0000}"/>
    <cellStyle name="Normal 2 3 2 3 2 4" xfId="10039" xr:uid="{00000000-0005-0000-0000-00008A5D0000}"/>
    <cellStyle name="Normal 2 3 2 3 2 4 2" xfId="10040" xr:uid="{00000000-0005-0000-0000-00008B5D0000}"/>
    <cellStyle name="Normal 2 3 2 3 2 4 2 2" xfId="39834" xr:uid="{00000000-0005-0000-0000-00008C5D0000}"/>
    <cellStyle name="Normal 2 3 2 3 2 4 3" xfId="39835" xr:uid="{00000000-0005-0000-0000-00008D5D0000}"/>
    <cellStyle name="Normal 2 3 2 3 2 5" xfId="10041" xr:uid="{00000000-0005-0000-0000-00008E5D0000}"/>
    <cellStyle name="Normal 2 3 2 3 2 5 2" xfId="39836" xr:uid="{00000000-0005-0000-0000-00008F5D0000}"/>
    <cellStyle name="Normal 2 3 2 3 2 6" xfId="10042" xr:uid="{00000000-0005-0000-0000-0000905D0000}"/>
    <cellStyle name="Normal 2 3 2 3 2 6 2" xfId="39837" xr:uid="{00000000-0005-0000-0000-0000915D0000}"/>
    <cellStyle name="Normal 2 3 2 3 2 7" xfId="39838" xr:uid="{00000000-0005-0000-0000-0000925D0000}"/>
    <cellStyle name="Normal 2 3 2 3 2 7 2" xfId="39839" xr:uid="{00000000-0005-0000-0000-0000935D0000}"/>
    <cellStyle name="Normal 2 3 2 3 2 8" xfId="39840" xr:uid="{00000000-0005-0000-0000-0000945D0000}"/>
    <cellStyle name="Normal 2 3 2 3 2 9" xfId="39841" xr:uid="{00000000-0005-0000-0000-0000955D0000}"/>
    <cellStyle name="Normal 2 3 2 3 3" xfId="10043" xr:uid="{00000000-0005-0000-0000-0000965D0000}"/>
    <cellStyle name="Normal 2 3 2 3 3 2" xfId="10044" xr:uid="{00000000-0005-0000-0000-0000975D0000}"/>
    <cellStyle name="Normal 2 3 2 3 3 2 2" xfId="10045" xr:uid="{00000000-0005-0000-0000-0000985D0000}"/>
    <cellStyle name="Normal 2 3 2 3 3 2 2 2" xfId="39842" xr:uid="{00000000-0005-0000-0000-0000995D0000}"/>
    <cellStyle name="Normal 2 3 2 3 3 2 3" xfId="10046" xr:uid="{00000000-0005-0000-0000-00009A5D0000}"/>
    <cellStyle name="Normal 2 3 2 3 3 2 3 2" xfId="39843" xr:uid="{00000000-0005-0000-0000-00009B5D0000}"/>
    <cellStyle name="Normal 2 3 2 3 3 2 4" xfId="39844" xr:uid="{00000000-0005-0000-0000-00009C5D0000}"/>
    <cellStyle name="Normal 2 3 2 3 3 3" xfId="10047" xr:uid="{00000000-0005-0000-0000-00009D5D0000}"/>
    <cellStyle name="Normal 2 3 2 3 3 3 2" xfId="39845" xr:uid="{00000000-0005-0000-0000-00009E5D0000}"/>
    <cellStyle name="Normal 2 3 2 3 3 4" xfId="10048" xr:uid="{00000000-0005-0000-0000-00009F5D0000}"/>
    <cellStyle name="Normal 2 3 2 3 3 4 2" xfId="39846" xr:uid="{00000000-0005-0000-0000-0000A05D0000}"/>
    <cellStyle name="Normal 2 3 2 3 3 5" xfId="10049" xr:uid="{00000000-0005-0000-0000-0000A15D0000}"/>
    <cellStyle name="Normal 2 3 2 3 3 5 2" xfId="39847" xr:uid="{00000000-0005-0000-0000-0000A25D0000}"/>
    <cellStyle name="Normal 2 3 2 3 3 6" xfId="39848" xr:uid="{00000000-0005-0000-0000-0000A35D0000}"/>
    <cellStyle name="Normal 2 3 2 3 3 6 2" xfId="39849" xr:uid="{00000000-0005-0000-0000-0000A45D0000}"/>
    <cellStyle name="Normal 2 3 2 3 3 7" xfId="39850" xr:uid="{00000000-0005-0000-0000-0000A55D0000}"/>
    <cellStyle name="Normal 2 3 2 3 4" xfId="10050" xr:uid="{00000000-0005-0000-0000-0000A65D0000}"/>
    <cellStyle name="Normal 2 3 2 3 4 2" xfId="10051" xr:uid="{00000000-0005-0000-0000-0000A75D0000}"/>
    <cellStyle name="Normal 2 3 2 3 4 2 2" xfId="39851" xr:uid="{00000000-0005-0000-0000-0000A85D0000}"/>
    <cellStyle name="Normal 2 3 2 3 4 3" xfId="10052" xr:uid="{00000000-0005-0000-0000-0000A95D0000}"/>
    <cellStyle name="Normal 2 3 2 3 4 3 2" xfId="39852" xr:uid="{00000000-0005-0000-0000-0000AA5D0000}"/>
    <cellStyle name="Normal 2 3 2 3 4 4" xfId="39853" xr:uid="{00000000-0005-0000-0000-0000AB5D0000}"/>
    <cellStyle name="Normal 2 3 2 3 5" xfId="10053" xr:uid="{00000000-0005-0000-0000-0000AC5D0000}"/>
    <cellStyle name="Normal 2 3 2 3 5 2" xfId="10054" xr:uid="{00000000-0005-0000-0000-0000AD5D0000}"/>
    <cellStyle name="Normal 2 3 2 3 5 2 2" xfId="39854" xr:uid="{00000000-0005-0000-0000-0000AE5D0000}"/>
    <cellStyle name="Normal 2 3 2 3 5 3" xfId="39855" xr:uid="{00000000-0005-0000-0000-0000AF5D0000}"/>
    <cellStyle name="Normal 2 3 2 3 6" xfId="10055" xr:uid="{00000000-0005-0000-0000-0000B05D0000}"/>
    <cellStyle name="Normal 2 3 2 3 6 2" xfId="39856" xr:uid="{00000000-0005-0000-0000-0000B15D0000}"/>
    <cellStyle name="Normal 2 3 2 3 7" xfId="10056" xr:uid="{00000000-0005-0000-0000-0000B25D0000}"/>
    <cellStyle name="Normal 2 3 2 3 7 2" xfId="39857" xr:uid="{00000000-0005-0000-0000-0000B35D0000}"/>
    <cellStyle name="Normal 2 3 2 3 8" xfId="39858" xr:uid="{00000000-0005-0000-0000-0000B45D0000}"/>
    <cellStyle name="Normal 2 3 2 3 8 2" xfId="39859" xr:uid="{00000000-0005-0000-0000-0000B55D0000}"/>
    <cellStyle name="Normal 2 3 2 3 9" xfId="39860" xr:uid="{00000000-0005-0000-0000-0000B65D0000}"/>
    <cellStyle name="Normal 2 3 2 30" xfId="10057" xr:uid="{00000000-0005-0000-0000-0000B75D0000}"/>
    <cellStyle name="Normal 2 3 2 30 10" xfId="39861" xr:uid="{00000000-0005-0000-0000-0000B85D0000}"/>
    <cellStyle name="Normal 2 3 2 30 11" xfId="39862" xr:uid="{00000000-0005-0000-0000-0000B95D0000}"/>
    <cellStyle name="Normal 2 3 2 30 2" xfId="10058" xr:uid="{00000000-0005-0000-0000-0000BA5D0000}"/>
    <cellStyle name="Normal 2 3 2 30 2 10" xfId="39863" xr:uid="{00000000-0005-0000-0000-0000BB5D0000}"/>
    <cellStyle name="Normal 2 3 2 30 2 2" xfId="10059" xr:uid="{00000000-0005-0000-0000-0000BC5D0000}"/>
    <cellStyle name="Normal 2 3 2 30 2 2 2" xfId="10060" xr:uid="{00000000-0005-0000-0000-0000BD5D0000}"/>
    <cellStyle name="Normal 2 3 2 30 2 2 2 2" xfId="10061" xr:uid="{00000000-0005-0000-0000-0000BE5D0000}"/>
    <cellStyle name="Normal 2 3 2 30 2 2 2 2 2" xfId="39864" xr:uid="{00000000-0005-0000-0000-0000BF5D0000}"/>
    <cellStyle name="Normal 2 3 2 30 2 2 2 3" xfId="10062" xr:uid="{00000000-0005-0000-0000-0000C05D0000}"/>
    <cellStyle name="Normal 2 3 2 30 2 2 2 3 2" xfId="39865" xr:uid="{00000000-0005-0000-0000-0000C15D0000}"/>
    <cellStyle name="Normal 2 3 2 30 2 2 2 4" xfId="39866" xr:uid="{00000000-0005-0000-0000-0000C25D0000}"/>
    <cellStyle name="Normal 2 3 2 30 2 2 3" xfId="10063" xr:uid="{00000000-0005-0000-0000-0000C35D0000}"/>
    <cellStyle name="Normal 2 3 2 30 2 2 3 2" xfId="39867" xr:uid="{00000000-0005-0000-0000-0000C45D0000}"/>
    <cellStyle name="Normal 2 3 2 30 2 2 4" xfId="10064" xr:uid="{00000000-0005-0000-0000-0000C55D0000}"/>
    <cellStyle name="Normal 2 3 2 30 2 2 4 2" xfId="39868" xr:uid="{00000000-0005-0000-0000-0000C65D0000}"/>
    <cellStyle name="Normal 2 3 2 30 2 2 5" xfId="10065" xr:uid="{00000000-0005-0000-0000-0000C75D0000}"/>
    <cellStyle name="Normal 2 3 2 30 2 2 5 2" xfId="39869" xr:uid="{00000000-0005-0000-0000-0000C85D0000}"/>
    <cellStyle name="Normal 2 3 2 30 2 2 6" xfId="39870" xr:uid="{00000000-0005-0000-0000-0000C95D0000}"/>
    <cellStyle name="Normal 2 3 2 30 2 2 6 2" xfId="39871" xr:uid="{00000000-0005-0000-0000-0000CA5D0000}"/>
    <cellStyle name="Normal 2 3 2 30 2 2 7" xfId="39872" xr:uid="{00000000-0005-0000-0000-0000CB5D0000}"/>
    <cellStyle name="Normal 2 3 2 30 2 3" xfId="10066" xr:uid="{00000000-0005-0000-0000-0000CC5D0000}"/>
    <cellStyle name="Normal 2 3 2 30 2 3 2" xfId="10067" xr:uid="{00000000-0005-0000-0000-0000CD5D0000}"/>
    <cellStyle name="Normal 2 3 2 30 2 3 2 2" xfId="39873" xr:uid="{00000000-0005-0000-0000-0000CE5D0000}"/>
    <cellStyle name="Normal 2 3 2 30 2 3 3" xfId="10068" xr:uid="{00000000-0005-0000-0000-0000CF5D0000}"/>
    <cellStyle name="Normal 2 3 2 30 2 3 3 2" xfId="39874" xr:uid="{00000000-0005-0000-0000-0000D05D0000}"/>
    <cellStyle name="Normal 2 3 2 30 2 3 4" xfId="39875" xr:uid="{00000000-0005-0000-0000-0000D15D0000}"/>
    <cellStyle name="Normal 2 3 2 30 2 4" xfId="10069" xr:uid="{00000000-0005-0000-0000-0000D25D0000}"/>
    <cellStyle name="Normal 2 3 2 30 2 4 2" xfId="10070" xr:uid="{00000000-0005-0000-0000-0000D35D0000}"/>
    <cellStyle name="Normal 2 3 2 30 2 4 2 2" xfId="39876" xr:uid="{00000000-0005-0000-0000-0000D45D0000}"/>
    <cellStyle name="Normal 2 3 2 30 2 4 3" xfId="39877" xr:uid="{00000000-0005-0000-0000-0000D55D0000}"/>
    <cellStyle name="Normal 2 3 2 30 2 5" xfId="10071" xr:uid="{00000000-0005-0000-0000-0000D65D0000}"/>
    <cellStyle name="Normal 2 3 2 30 2 5 2" xfId="39878" xr:uid="{00000000-0005-0000-0000-0000D75D0000}"/>
    <cellStyle name="Normal 2 3 2 30 2 6" xfId="10072" xr:uid="{00000000-0005-0000-0000-0000D85D0000}"/>
    <cellStyle name="Normal 2 3 2 30 2 6 2" xfId="39879" xr:uid="{00000000-0005-0000-0000-0000D95D0000}"/>
    <cellStyle name="Normal 2 3 2 30 2 7" xfId="39880" xr:uid="{00000000-0005-0000-0000-0000DA5D0000}"/>
    <cellStyle name="Normal 2 3 2 30 2 7 2" xfId="39881" xr:uid="{00000000-0005-0000-0000-0000DB5D0000}"/>
    <cellStyle name="Normal 2 3 2 30 2 8" xfId="39882" xr:uid="{00000000-0005-0000-0000-0000DC5D0000}"/>
    <cellStyle name="Normal 2 3 2 30 2 9" xfId="39883" xr:uid="{00000000-0005-0000-0000-0000DD5D0000}"/>
    <cellStyle name="Normal 2 3 2 30 3" xfId="10073" xr:uid="{00000000-0005-0000-0000-0000DE5D0000}"/>
    <cellStyle name="Normal 2 3 2 30 3 2" xfId="10074" xr:uid="{00000000-0005-0000-0000-0000DF5D0000}"/>
    <cellStyle name="Normal 2 3 2 30 3 2 2" xfId="10075" xr:uid="{00000000-0005-0000-0000-0000E05D0000}"/>
    <cellStyle name="Normal 2 3 2 30 3 2 2 2" xfId="39884" xr:uid="{00000000-0005-0000-0000-0000E15D0000}"/>
    <cellStyle name="Normal 2 3 2 30 3 2 3" xfId="10076" xr:uid="{00000000-0005-0000-0000-0000E25D0000}"/>
    <cellStyle name="Normal 2 3 2 30 3 2 3 2" xfId="39885" xr:uid="{00000000-0005-0000-0000-0000E35D0000}"/>
    <cellStyle name="Normal 2 3 2 30 3 2 4" xfId="39886" xr:uid="{00000000-0005-0000-0000-0000E45D0000}"/>
    <cellStyle name="Normal 2 3 2 30 3 3" xfId="10077" xr:uid="{00000000-0005-0000-0000-0000E55D0000}"/>
    <cellStyle name="Normal 2 3 2 30 3 3 2" xfId="39887" xr:uid="{00000000-0005-0000-0000-0000E65D0000}"/>
    <cellStyle name="Normal 2 3 2 30 3 4" xfId="10078" xr:uid="{00000000-0005-0000-0000-0000E75D0000}"/>
    <cellStyle name="Normal 2 3 2 30 3 4 2" xfId="39888" xr:uid="{00000000-0005-0000-0000-0000E85D0000}"/>
    <cellStyle name="Normal 2 3 2 30 3 5" xfId="10079" xr:uid="{00000000-0005-0000-0000-0000E95D0000}"/>
    <cellStyle name="Normal 2 3 2 30 3 5 2" xfId="39889" xr:uid="{00000000-0005-0000-0000-0000EA5D0000}"/>
    <cellStyle name="Normal 2 3 2 30 3 6" xfId="39890" xr:uid="{00000000-0005-0000-0000-0000EB5D0000}"/>
    <cellStyle name="Normal 2 3 2 30 3 6 2" xfId="39891" xr:uid="{00000000-0005-0000-0000-0000EC5D0000}"/>
    <cellStyle name="Normal 2 3 2 30 3 7" xfId="39892" xr:uid="{00000000-0005-0000-0000-0000ED5D0000}"/>
    <cellStyle name="Normal 2 3 2 30 4" xfId="10080" xr:uid="{00000000-0005-0000-0000-0000EE5D0000}"/>
    <cellStyle name="Normal 2 3 2 30 4 2" xfId="10081" xr:uid="{00000000-0005-0000-0000-0000EF5D0000}"/>
    <cellStyle name="Normal 2 3 2 30 4 2 2" xfId="39893" xr:uid="{00000000-0005-0000-0000-0000F05D0000}"/>
    <cellStyle name="Normal 2 3 2 30 4 3" xfId="10082" xr:uid="{00000000-0005-0000-0000-0000F15D0000}"/>
    <cellStyle name="Normal 2 3 2 30 4 3 2" xfId="39894" xr:uid="{00000000-0005-0000-0000-0000F25D0000}"/>
    <cellStyle name="Normal 2 3 2 30 4 4" xfId="39895" xr:uid="{00000000-0005-0000-0000-0000F35D0000}"/>
    <cellStyle name="Normal 2 3 2 30 5" xfId="10083" xr:uid="{00000000-0005-0000-0000-0000F45D0000}"/>
    <cellStyle name="Normal 2 3 2 30 5 2" xfId="10084" xr:uid="{00000000-0005-0000-0000-0000F55D0000}"/>
    <cellStyle name="Normal 2 3 2 30 5 2 2" xfId="39896" xr:uid="{00000000-0005-0000-0000-0000F65D0000}"/>
    <cellStyle name="Normal 2 3 2 30 5 3" xfId="39897" xr:uid="{00000000-0005-0000-0000-0000F75D0000}"/>
    <cellStyle name="Normal 2 3 2 30 6" xfId="10085" xr:uid="{00000000-0005-0000-0000-0000F85D0000}"/>
    <cellStyle name="Normal 2 3 2 30 6 2" xfId="39898" xr:uid="{00000000-0005-0000-0000-0000F95D0000}"/>
    <cellStyle name="Normal 2 3 2 30 7" xfId="10086" xr:uid="{00000000-0005-0000-0000-0000FA5D0000}"/>
    <cellStyle name="Normal 2 3 2 30 7 2" xfId="39899" xr:uid="{00000000-0005-0000-0000-0000FB5D0000}"/>
    <cellStyle name="Normal 2 3 2 30 8" xfId="39900" xr:uid="{00000000-0005-0000-0000-0000FC5D0000}"/>
    <cellStyle name="Normal 2 3 2 30 8 2" xfId="39901" xr:uid="{00000000-0005-0000-0000-0000FD5D0000}"/>
    <cellStyle name="Normal 2 3 2 30 9" xfId="39902" xr:uid="{00000000-0005-0000-0000-0000FE5D0000}"/>
    <cellStyle name="Normal 2 3 2 31" xfId="10087" xr:uid="{00000000-0005-0000-0000-0000FF5D0000}"/>
    <cellStyle name="Normal 2 3 2 31 10" xfId="39903" xr:uid="{00000000-0005-0000-0000-0000005E0000}"/>
    <cellStyle name="Normal 2 3 2 31 2" xfId="10088" xr:uid="{00000000-0005-0000-0000-0000015E0000}"/>
    <cellStyle name="Normal 2 3 2 31 2 2" xfId="10089" xr:uid="{00000000-0005-0000-0000-0000025E0000}"/>
    <cellStyle name="Normal 2 3 2 31 2 2 2" xfId="10090" xr:uid="{00000000-0005-0000-0000-0000035E0000}"/>
    <cellStyle name="Normal 2 3 2 31 2 2 2 2" xfId="39904" xr:uid="{00000000-0005-0000-0000-0000045E0000}"/>
    <cellStyle name="Normal 2 3 2 31 2 2 3" xfId="10091" xr:uid="{00000000-0005-0000-0000-0000055E0000}"/>
    <cellStyle name="Normal 2 3 2 31 2 2 3 2" xfId="39905" xr:uid="{00000000-0005-0000-0000-0000065E0000}"/>
    <cellStyle name="Normal 2 3 2 31 2 2 4" xfId="39906" xr:uid="{00000000-0005-0000-0000-0000075E0000}"/>
    <cellStyle name="Normal 2 3 2 31 2 3" xfId="10092" xr:uid="{00000000-0005-0000-0000-0000085E0000}"/>
    <cellStyle name="Normal 2 3 2 31 2 3 2" xfId="39907" xr:uid="{00000000-0005-0000-0000-0000095E0000}"/>
    <cellStyle name="Normal 2 3 2 31 2 4" xfId="10093" xr:uid="{00000000-0005-0000-0000-00000A5E0000}"/>
    <cellStyle name="Normal 2 3 2 31 2 4 2" xfId="39908" xr:uid="{00000000-0005-0000-0000-00000B5E0000}"/>
    <cellStyle name="Normal 2 3 2 31 2 5" xfId="10094" xr:uid="{00000000-0005-0000-0000-00000C5E0000}"/>
    <cellStyle name="Normal 2 3 2 31 2 5 2" xfId="39909" xr:uid="{00000000-0005-0000-0000-00000D5E0000}"/>
    <cellStyle name="Normal 2 3 2 31 2 6" xfId="39910" xr:uid="{00000000-0005-0000-0000-00000E5E0000}"/>
    <cellStyle name="Normal 2 3 2 31 2 6 2" xfId="39911" xr:uid="{00000000-0005-0000-0000-00000F5E0000}"/>
    <cellStyle name="Normal 2 3 2 31 2 7" xfId="39912" xr:uid="{00000000-0005-0000-0000-0000105E0000}"/>
    <cellStyle name="Normal 2 3 2 31 3" xfId="10095" xr:uid="{00000000-0005-0000-0000-0000115E0000}"/>
    <cellStyle name="Normal 2 3 2 31 3 2" xfId="10096" xr:uid="{00000000-0005-0000-0000-0000125E0000}"/>
    <cellStyle name="Normal 2 3 2 31 3 2 2" xfId="39913" xr:uid="{00000000-0005-0000-0000-0000135E0000}"/>
    <cellStyle name="Normal 2 3 2 31 3 3" xfId="10097" xr:uid="{00000000-0005-0000-0000-0000145E0000}"/>
    <cellStyle name="Normal 2 3 2 31 3 3 2" xfId="39914" xr:uid="{00000000-0005-0000-0000-0000155E0000}"/>
    <cellStyle name="Normal 2 3 2 31 3 4" xfId="39915" xr:uid="{00000000-0005-0000-0000-0000165E0000}"/>
    <cellStyle name="Normal 2 3 2 31 4" xfId="10098" xr:uid="{00000000-0005-0000-0000-0000175E0000}"/>
    <cellStyle name="Normal 2 3 2 31 4 2" xfId="10099" xr:uid="{00000000-0005-0000-0000-0000185E0000}"/>
    <cellStyle name="Normal 2 3 2 31 4 2 2" xfId="39916" xr:uid="{00000000-0005-0000-0000-0000195E0000}"/>
    <cellStyle name="Normal 2 3 2 31 4 3" xfId="39917" xr:uid="{00000000-0005-0000-0000-00001A5E0000}"/>
    <cellStyle name="Normal 2 3 2 31 5" xfId="10100" xr:uid="{00000000-0005-0000-0000-00001B5E0000}"/>
    <cellStyle name="Normal 2 3 2 31 5 2" xfId="39918" xr:uid="{00000000-0005-0000-0000-00001C5E0000}"/>
    <cellStyle name="Normal 2 3 2 31 6" xfId="10101" xr:uid="{00000000-0005-0000-0000-00001D5E0000}"/>
    <cellStyle name="Normal 2 3 2 31 6 2" xfId="39919" xr:uid="{00000000-0005-0000-0000-00001E5E0000}"/>
    <cellStyle name="Normal 2 3 2 31 7" xfId="39920" xr:uid="{00000000-0005-0000-0000-00001F5E0000}"/>
    <cellStyle name="Normal 2 3 2 31 7 2" xfId="39921" xr:uid="{00000000-0005-0000-0000-0000205E0000}"/>
    <cellStyle name="Normal 2 3 2 31 8" xfId="39922" xr:uid="{00000000-0005-0000-0000-0000215E0000}"/>
    <cellStyle name="Normal 2 3 2 31 9" xfId="39923" xr:uid="{00000000-0005-0000-0000-0000225E0000}"/>
    <cellStyle name="Normal 2 3 2 32" xfId="10102" xr:uid="{00000000-0005-0000-0000-0000235E0000}"/>
    <cellStyle name="Normal 2 3 2 32 2" xfId="10103" xr:uid="{00000000-0005-0000-0000-0000245E0000}"/>
    <cellStyle name="Normal 2 3 2 32 2 2" xfId="10104" xr:uid="{00000000-0005-0000-0000-0000255E0000}"/>
    <cellStyle name="Normal 2 3 2 32 2 2 2" xfId="39924" xr:uid="{00000000-0005-0000-0000-0000265E0000}"/>
    <cellStyle name="Normal 2 3 2 32 2 3" xfId="10105" xr:uid="{00000000-0005-0000-0000-0000275E0000}"/>
    <cellStyle name="Normal 2 3 2 32 2 3 2" xfId="39925" xr:uid="{00000000-0005-0000-0000-0000285E0000}"/>
    <cellStyle name="Normal 2 3 2 32 2 4" xfId="39926" xr:uid="{00000000-0005-0000-0000-0000295E0000}"/>
    <cellStyle name="Normal 2 3 2 32 3" xfId="10106" xr:uid="{00000000-0005-0000-0000-00002A5E0000}"/>
    <cellStyle name="Normal 2 3 2 32 3 2" xfId="39927" xr:uid="{00000000-0005-0000-0000-00002B5E0000}"/>
    <cellStyle name="Normal 2 3 2 32 4" xfId="10107" xr:uid="{00000000-0005-0000-0000-00002C5E0000}"/>
    <cellStyle name="Normal 2 3 2 32 4 2" xfId="39928" xr:uid="{00000000-0005-0000-0000-00002D5E0000}"/>
    <cellStyle name="Normal 2 3 2 32 5" xfId="10108" xr:uid="{00000000-0005-0000-0000-00002E5E0000}"/>
    <cellStyle name="Normal 2 3 2 32 5 2" xfId="39929" xr:uid="{00000000-0005-0000-0000-00002F5E0000}"/>
    <cellStyle name="Normal 2 3 2 32 6" xfId="39930" xr:uid="{00000000-0005-0000-0000-0000305E0000}"/>
    <cellStyle name="Normal 2 3 2 32 6 2" xfId="39931" xr:uid="{00000000-0005-0000-0000-0000315E0000}"/>
    <cellStyle name="Normal 2 3 2 32 7" xfId="39932" xr:uid="{00000000-0005-0000-0000-0000325E0000}"/>
    <cellStyle name="Normal 2 3 2 33" xfId="10109" xr:uid="{00000000-0005-0000-0000-0000335E0000}"/>
    <cellStyle name="Normal 2 3 2 33 2" xfId="10110" xr:uid="{00000000-0005-0000-0000-0000345E0000}"/>
    <cellStyle name="Normal 2 3 2 33 2 2" xfId="39933" xr:uid="{00000000-0005-0000-0000-0000355E0000}"/>
    <cellStyle name="Normal 2 3 2 33 3" xfId="10111" xr:uid="{00000000-0005-0000-0000-0000365E0000}"/>
    <cellStyle name="Normal 2 3 2 33 3 2" xfId="39934" xr:uid="{00000000-0005-0000-0000-0000375E0000}"/>
    <cellStyle name="Normal 2 3 2 33 4" xfId="39935" xr:uid="{00000000-0005-0000-0000-0000385E0000}"/>
    <cellStyle name="Normal 2 3 2 34" xfId="10112" xr:uid="{00000000-0005-0000-0000-0000395E0000}"/>
    <cellStyle name="Normal 2 3 2 34 2" xfId="10113" xr:uid="{00000000-0005-0000-0000-00003A5E0000}"/>
    <cellStyle name="Normal 2 3 2 34 2 2" xfId="39936" xr:uid="{00000000-0005-0000-0000-00003B5E0000}"/>
    <cellStyle name="Normal 2 3 2 34 3" xfId="39937" xr:uid="{00000000-0005-0000-0000-00003C5E0000}"/>
    <cellStyle name="Normal 2 3 2 35" xfId="10114" xr:uid="{00000000-0005-0000-0000-00003D5E0000}"/>
    <cellStyle name="Normal 2 3 2 35 2" xfId="39938" xr:uid="{00000000-0005-0000-0000-00003E5E0000}"/>
    <cellStyle name="Normal 2 3 2 36" xfId="10115" xr:uid="{00000000-0005-0000-0000-00003F5E0000}"/>
    <cellStyle name="Normal 2 3 2 36 2" xfId="39939" xr:uid="{00000000-0005-0000-0000-0000405E0000}"/>
    <cellStyle name="Normal 2 3 2 37" xfId="39940" xr:uid="{00000000-0005-0000-0000-0000415E0000}"/>
    <cellStyle name="Normal 2 3 2 37 2" xfId="39941" xr:uid="{00000000-0005-0000-0000-0000425E0000}"/>
    <cellStyle name="Normal 2 3 2 38" xfId="39942" xr:uid="{00000000-0005-0000-0000-0000435E0000}"/>
    <cellStyle name="Normal 2 3 2 39" xfId="39943" xr:uid="{00000000-0005-0000-0000-0000445E0000}"/>
    <cellStyle name="Normal 2 3 2 4" xfId="10116" xr:uid="{00000000-0005-0000-0000-0000455E0000}"/>
    <cellStyle name="Normal 2 3 2 4 10" xfId="39944" xr:uid="{00000000-0005-0000-0000-0000465E0000}"/>
    <cellStyle name="Normal 2 3 2 4 11" xfId="39945" xr:uid="{00000000-0005-0000-0000-0000475E0000}"/>
    <cellStyle name="Normal 2 3 2 4 2" xfId="10117" xr:uid="{00000000-0005-0000-0000-0000485E0000}"/>
    <cellStyle name="Normal 2 3 2 4 2 10" xfId="39946" xr:uid="{00000000-0005-0000-0000-0000495E0000}"/>
    <cellStyle name="Normal 2 3 2 4 2 2" xfId="10118" xr:uid="{00000000-0005-0000-0000-00004A5E0000}"/>
    <cellStyle name="Normal 2 3 2 4 2 2 2" xfId="10119" xr:uid="{00000000-0005-0000-0000-00004B5E0000}"/>
    <cellStyle name="Normal 2 3 2 4 2 2 2 2" xfId="10120" xr:uid="{00000000-0005-0000-0000-00004C5E0000}"/>
    <cellStyle name="Normal 2 3 2 4 2 2 2 2 2" xfId="39947" xr:uid="{00000000-0005-0000-0000-00004D5E0000}"/>
    <cellStyle name="Normal 2 3 2 4 2 2 2 3" xfId="10121" xr:uid="{00000000-0005-0000-0000-00004E5E0000}"/>
    <cellStyle name="Normal 2 3 2 4 2 2 2 3 2" xfId="39948" xr:uid="{00000000-0005-0000-0000-00004F5E0000}"/>
    <cellStyle name="Normal 2 3 2 4 2 2 2 4" xfId="39949" xr:uid="{00000000-0005-0000-0000-0000505E0000}"/>
    <cellStyle name="Normal 2 3 2 4 2 2 3" xfId="10122" xr:uid="{00000000-0005-0000-0000-0000515E0000}"/>
    <cellStyle name="Normal 2 3 2 4 2 2 3 2" xfId="39950" xr:uid="{00000000-0005-0000-0000-0000525E0000}"/>
    <cellStyle name="Normal 2 3 2 4 2 2 4" xfId="10123" xr:uid="{00000000-0005-0000-0000-0000535E0000}"/>
    <cellStyle name="Normal 2 3 2 4 2 2 4 2" xfId="39951" xr:uid="{00000000-0005-0000-0000-0000545E0000}"/>
    <cellStyle name="Normal 2 3 2 4 2 2 5" xfId="10124" xr:uid="{00000000-0005-0000-0000-0000555E0000}"/>
    <cellStyle name="Normal 2 3 2 4 2 2 5 2" xfId="39952" xr:uid="{00000000-0005-0000-0000-0000565E0000}"/>
    <cellStyle name="Normal 2 3 2 4 2 2 6" xfId="39953" xr:uid="{00000000-0005-0000-0000-0000575E0000}"/>
    <cellStyle name="Normal 2 3 2 4 2 2 6 2" xfId="39954" xr:uid="{00000000-0005-0000-0000-0000585E0000}"/>
    <cellStyle name="Normal 2 3 2 4 2 2 7" xfId="39955" xr:uid="{00000000-0005-0000-0000-0000595E0000}"/>
    <cellStyle name="Normal 2 3 2 4 2 3" xfId="10125" xr:uid="{00000000-0005-0000-0000-00005A5E0000}"/>
    <cellStyle name="Normal 2 3 2 4 2 3 2" xfId="10126" xr:uid="{00000000-0005-0000-0000-00005B5E0000}"/>
    <cellStyle name="Normal 2 3 2 4 2 3 2 2" xfId="39956" xr:uid="{00000000-0005-0000-0000-00005C5E0000}"/>
    <cellStyle name="Normal 2 3 2 4 2 3 3" xfId="10127" xr:uid="{00000000-0005-0000-0000-00005D5E0000}"/>
    <cellStyle name="Normal 2 3 2 4 2 3 3 2" xfId="39957" xr:uid="{00000000-0005-0000-0000-00005E5E0000}"/>
    <cellStyle name="Normal 2 3 2 4 2 3 4" xfId="39958" xr:uid="{00000000-0005-0000-0000-00005F5E0000}"/>
    <cellStyle name="Normal 2 3 2 4 2 4" xfId="10128" xr:uid="{00000000-0005-0000-0000-0000605E0000}"/>
    <cellStyle name="Normal 2 3 2 4 2 4 2" xfId="10129" xr:uid="{00000000-0005-0000-0000-0000615E0000}"/>
    <cellStyle name="Normal 2 3 2 4 2 4 2 2" xfId="39959" xr:uid="{00000000-0005-0000-0000-0000625E0000}"/>
    <cellStyle name="Normal 2 3 2 4 2 4 3" xfId="39960" xr:uid="{00000000-0005-0000-0000-0000635E0000}"/>
    <cellStyle name="Normal 2 3 2 4 2 5" xfId="10130" xr:uid="{00000000-0005-0000-0000-0000645E0000}"/>
    <cellStyle name="Normal 2 3 2 4 2 5 2" xfId="39961" xr:uid="{00000000-0005-0000-0000-0000655E0000}"/>
    <cellStyle name="Normal 2 3 2 4 2 6" xfId="10131" xr:uid="{00000000-0005-0000-0000-0000665E0000}"/>
    <cellStyle name="Normal 2 3 2 4 2 6 2" xfId="39962" xr:uid="{00000000-0005-0000-0000-0000675E0000}"/>
    <cellStyle name="Normal 2 3 2 4 2 7" xfId="39963" xr:uid="{00000000-0005-0000-0000-0000685E0000}"/>
    <cellStyle name="Normal 2 3 2 4 2 7 2" xfId="39964" xr:uid="{00000000-0005-0000-0000-0000695E0000}"/>
    <cellStyle name="Normal 2 3 2 4 2 8" xfId="39965" xr:uid="{00000000-0005-0000-0000-00006A5E0000}"/>
    <cellStyle name="Normal 2 3 2 4 2 9" xfId="39966" xr:uid="{00000000-0005-0000-0000-00006B5E0000}"/>
    <cellStyle name="Normal 2 3 2 4 3" xfId="10132" xr:uid="{00000000-0005-0000-0000-00006C5E0000}"/>
    <cellStyle name="Normal 2 3 2 4 3 2" xfId="10133" xr:uid="{00000000-0005-0000-0000-00006D5E0000}"/>
    <cellStyle name="Normal 2 3 2 4 3 2 2" xfId="10134" xr:uid="{00000000-0005-0000-0000-00006E5E0000}"/>
    <cellStyle name="Normal 2 3 2 4 3 2 2 2" xfId="39967" xr:uid="{00000000-0005-0000-0000-00006F5E0000}"/>
    <cellStyle name="Normal 2 3 2 4 3 2 3" xfId="10135" xr:uid="{00000000-0005-0000-0000-0000705E0000}"/>
    <cellStyle name="Normal 2 3 2 4 3 2 3 2" xfId="39968" xr:uid="{00000000-0005-0000-0000-0000715E0000}"/>
    <cellStyle name="Normal 2 3 2 4 3 2 4" xfId="39969" xr:uid="{00000000-0005-0000-0000-0000725E0000}"/>
    <cellStyle name="Normal 2 3 2 4 3 3" xfId="10136" xr:uid="{00000000-0005-0000-0000-0000735E0000}"/>
    <cellStyle name="Normal 2 3 2 4 3 3 2" xfId="39970" xr:uid="{00000000-0005-0000-0000-0000745E0000}"/>
    <cellStyle name="Normal 2 3 2 4 3 4" xfId="10137" xr:uid="{00000000-0005-0000-0000-0000755E0000}"/>
    <cellStyle name="Normal 2 3 2 4 3 4 2" xfId="39971" xr:uid="{00000000-0005-0000-0000-0000765E0000}"/>
    <cellStyle name="Normal 2 3 2 4 3 5" xfId="10138" xr:uid="{00000000-0005-0000-0000-0000775E0000}"/>
    <cellStyle name="Normal 2 3 2 4 3 5 2" xfId="39972" xr:uid="{00000000-0005-0000-0000-0000785E0000}"/>
    <cellStyle name="Normal 2 3 2 4 3 6" xfId="39973" xr:uid="{00000000-0005-0000-0000-0000795E0000}"/>
    <cellStyle name="Normal 2 3 2 4 3 6 2" xfId="39974" xr:uid="{00000000-0005-0000-0000-00007A5E0000}"/>
    <cellStyle name="Normal 2 3 2 4 3 7" xfId="39975" xr:uid="{00000000-0005-0000-0000-00007B5E0000}"/>
    <cellStyle name="Normal 2 3 2 4 4" xfId="10139" xr:uid="{00000000-0005-0000-0000-00007C5E0000}"/>
    <cellStyle name="Normal 2 3 2 4 4 2" xfId="10140" xr:uid="{00000000-0005-0000-0000-00007D5E0000}"/>
    <cellStyle name="Normal 2 3 2 4 4 2 2" xfId="39976" xr:uid="{00000000-0005-0000-0000-00007E5E0000}"/>
    <cellStyle name="Normal 2 3 2 4 4 3" xfId="10141" xr:uid="{00000000-0005-0000-0000-00007F5E0000}"/>
    <cellStyle name="Normal 2 3 2 4 4 3 2" xfId="39977" xr:uid="{00000000-0005-0000-0000-0000805E0000}"/>
    <cellStyle name="Normal 2 3 2 4 4 4" xfId="39978" xr:uid="{00000000-0005-0000-0000-0000815E0000}"/>
    <cellStyle name="Normal 2 3 2 4 5" xfId="10142" xr:uid="{00000000-0005-0000-0000-0000825E0000}"/>
    <cellStyle name="Normal 2 3 2 4 5 2" xfId="10143" xr:uid="{00000000-0005-0000-0000-0000835E0000}"/>
    <cellStyle name="Normal 2 3 2 4 5 2 2" xfId="39979" xr:uid="{00000000-0005-0000-0000-0000845E0000}"/>
    <cellStyle name="Normal 2 3 2 4 5 3" xfId="39980" xr:uid="{00000000-0005-0000-0000-0000855E0000}"/>
    <cellStyle name="Normal 2 3 2 4 6" xfId="10144" xr:uid="{00000000-0005-0000-0000-0000865E0000}"/>
    <cellStyle name="Normal 2 3 2 4 6 2" xfId="39981" xr:uid="{00000000-0005-0000-0000-0000875E0000}"/>
    <cellStyle name="Normal 2 3 2 4 7" xfId="10145" xr:uid="{00000000-0005-0000-0000-0000885E0000}"/>
    <cellStyle name="Normal 2 3 2 4 7 2" xfId="39982" xr:uid="{00000000-0005-0000-0000-0000895E0000}"/>
    <cellStyle name="Normal 2 3 2 4 8" xfId="39983" xr:uid="{00000000-0005-0000-0000-00008A5E0000}"/>
    <cellStyle name="Normal 2 3 2 4 8 2" xfId="39984" xr:uid="{00000000-0005-0000-0000-00008B5E0000}"/>
    <cellStyle name="Normal 2 3 2 4 9" xfId="39985" xr:uid="{00000000-0005-0000-0000-00008C5E0000}"/>
    <cellStyle name="Normal 2 3 2 40" xfId="39986" xr:uid="{00000000-0005-0000-0000-00008D5E0000}"/>
    <cellStyle name="Normal 2 3 2 5" xfId="10146" xr:uid="{00000000-0005-0000-0000-00008E5E0000}"/>
    <cellStyle name="Normal 2 3 2 5 10" xfId="39987" xr:uid="{00000000-0005-0000-0000-00008F5E0000}"/>
    <cellStyle name="Normal 2 3 2 5 11" xfId="39988" xr:uid="{00000000-0005-0000-0000-0000905E0000}"/>
    <cellStyle name="Normal 2 3 2 5 2" xfId="10147" xr:uid="{00000000-0005-0000-0000-0000915E0000}"/>
    <cellStyle name="Normal 2 3 2 5 2 10" xfId="39989" xr:uid="{00000000-0005-0000-0000-0000925E0000}"/>
    <cellStyle name="Normal 2 3 2 5 2 2" xfId="10148" xr:uid="{00000000-0005-0000-0000-0000935E0000}"/>
    <cellStyle name="Normal 2 3 2 5 2 2 2" xfId="10149" xr:uid="{00000000-0005-0000-0000-0000945E0000}"/>
    <cellStyle name="Normal 2 3 2 5 2 2 2 2" xfId="10150" xr:uid="{00000000-0005-0000-0000-0000955E0000}"/>
    <cellStyle name="Normal 2 3 2 5 2 2 2 2 2" xfId="39990" xr:uid="{00000000-0005-0000-0000-0000965E0000}"/>
    <cellStyle name="Normal 2 3 2 5 2 2 2 3" xfId="10151" xr:uid="{00000000-0005-0000-0000-0000975E0000}"/>
    <cellStyle name="Normal 2 3 2 5 2 2 2 3 2" xfId="39991" xr:uid="{00000000-0005-0000-0000-0000985E0000}"/>
    <cellStyle name="Normal 2 3 2 5 2 2 2 4" xfId="39992" xr:uid="{00000000-0005-0000-0000-0000995E0000}"/>
    <cellStyle name="Normal 2 3 2 5 2 2 3" xfId="10152" xr:uid="{00000000-0005-0000-0000-00009A5E0000}"/>
    <cellStyle name="Normal 2 3 2 5 2 2 3 2" xfId="39993" xr:uid="{00000000-0005-0000-0000-00009B5E0000}"/>
    <cellStyle name="Normal 2 3 2 5 2 2 4" xfId="10153" xr:uid="{00000000-0005-0000-0000-00009C5E0000}"/>
    <cellStyle name="Normal 2 3 2 5 2 2 4 2" xfId="39994" xr:uid="{00000000-0005-0000-0000-00009D5E0000}"/>
    <cellStyle name="Normal 2 3 2 5 2 2 5" xfId="10154" xr:uid="{00000000-0005-0000-0000-00009E5E0000}"/>
    <cellStyle name="Normal 2 3 2 5 2 2 5 2" xfId="39995" xr:uid="{00000000-0005-0000-0000-00009F5E0000}"/>
    <cellStyle name="Normal 2 3 2 5 2 2 6" xfId="39996" xr:uid="{00000000-0005-0000-0000-0000A05E0000}"/>
    <cellStyle name="Normal 2 3 2 5 2 2 6 2" xfId="39997" xr:uid="{00000000-0005-0000-0000-0000A15E0000}"/>
    <cellStyle name="Normal 2 3 2 5 2 2 7" xfId="39998" xr:uid="{00000000-0005-0000-0000-0000A25E0000}"/>
    <cellStyle name="Normal 2 3 2 5 2 3" xfId="10155" xr:uid="{00000000-0005-0000-0000-0000A35E0000}"/>
    <cellStyle name="Normal 2 3 2 5 2 3 2" xfId="10156" xr:uid="{00000000-0005-0000-0000-0000A45E0000}"/>
    <cellStyle name="Normal 2 3 2 5 2 3 2 2" xfId="39999" xr:uid="{00000000-0005-0000-0000-0000A55E0000}"/>
    <cellStyle name="Normal 2 3 2 5 2 3 3" xfId="10157" xr:uid="{00000000-0005-0000-0000-0000A65E0000}"/>
    <cellStyle name="Normal 2 3 2 5 2 3 3 2" xfId="40000" xr:uid="{00000000-0005-0000-0000-0000A75E0000}"/>
    <cellStyle name="Normal 2 3 2 5 2 3 4" xfId="40001" xr:uid="{00000000-0005-0000-0000-0000A85E0000}"/>
    <cellStyle name="Normal 2 3 2 5 2 4" xfId="10158" xr:uid="{00000000-0005-0000-0000-0000A95E0000}"/>
    <cellStyle name="Normal 2 3 2 5 2 4 2" xfId="10159" xr:uid="{00000000-0005-0000-0000-0000AA5E0000}"/>
    <cellStyle name="Normal 2 3 2 5 2 4 2 2" xfId="40002" xr:uid="{00000000-0005-0000-0000-0000AB5E0000}"/>
    <cellStyle name="Normal 2 3 2 5 2 4 3" xfId="40003" xr:uid="{00000000-0005-0000-0000-0000AC5E0000}"/>
    <cellStyle name="Normal 2 3 2 5 2 5" xfId="10160" xr:uid="{00000000-0005-0000-0000-0000AD5E0000}"/>
    <cellStyle name="Normal 2 3 2 5 2 5 2" xfId="40004" xr:uid="{00000000-0005-0000-0000-0000AE5E0000}"/>
    <cellStyle name="Normal 2 3 2 5 2 6" xfId="10161" xr:uid="{00000000-0005-0000-0000-0000AF5E0000}"/>
    <cellStyle name="Normal 2 3 2 5 2 6 2" xfId="40005" xr:uid="{00000000-0005-0000-0000-0000B05E0000}"/>
    <cellStyle name="Normal 2 3 2 5 2 7" xfId="40006" xr:uid="{00000000-0005-0000-0000-0000B15E0000}"/>
    <cellStyle name="Normal 2 3 2 5 2 7 2" xfId="40007" xr:uid="{00000000-0005-0000-0000-0000B25E0000}"/>
    <cellStyle name="Normal 2 3 2 5 2 8" xfId="40008" xr:uid="{00000000-0005-0000-0000-0000B35E0000}"/>
    <cellStyle name="Normal 2 3 2 5 2 9" xfId="40009" xr:uid="{00000000-0005-0000-0000-0000B45E0000}"/>
    <cellStyle name="Normal 2 3 2 5 3" xfId="10162" xr:uid="{00000000-0005-0000-0000-0000B55E0000}"/>
    <cellStyle name="Normal 2 3 2 5 3 2" xfId="10163" xr:uid="{00000000-0005-0000-0000-0000B65E0000}"/>
    <cellStyle name="Normal 2 3 2 5 3 2 2" xfId="10164" xr:uid="{00000000-0005-0000-0000-0000B75E0000}"/>
    <cellStyle name="Normal 2 3 2 5 3 2 2 2" xfId="40010" xr:uid="{00000000-0005-0000-0000-0000B85E0000}"/>
    <cellStyle name="Normal 2 3 2 5 3 2 3" xfId="10165" xr:uid="{00000000-0005-0000-0000-0000B95E0000}"/>
    <cellStyle name="Normal 2 3 2 5 3 2 3 2" xfId="40011" xr:uid="{00000000-0005-0000-0000-0000BA5E0000}"/>
    <cellStyle name="Normal 2 3 2 5 3 2 4" xfId="40012" xr:uid="{00000000-0005-0000-0000-0000BB5E0000}"/>
    <cellStyle name="Normal 2 3 2 5 3 3" xfId="10166" xr:uid="{00000000-0005-0000-0000-0000BC5E0000}"/>
    <cellStyle name="Normal 2 3 2 5 3 3 2" xfId="40013" xr:uid="{00000000-0005-0000-0000-0000BD5E0000}"/>
    <cellStyle name="Normal 2 3 2 5 3 4" xfId="10167" xr:uid="{00000000-0005-0000-0000-0000BE5E0000}"/>
    <cellStyle name="Normal 2 3 2 5 3 4 2" xfId="40014" xr:uid="{00000000-0005-0000-0000-0000BF5E0000}"/>
    <cellStyle name="Normal 2 3 2 5 3 5" xfId="10168" xr:uid="{00000000-0005-0000-0000-0000C05E0000}"/>
    <cellStyle name="Normal 2 3 2 5 3 5 2" xfId="40015" xr:uid="{00000000-0005-0000-0000-0000C15E0000}"/>
    <cellStyle name="Normal 2 3 2 5 3 6" xfId="40016" xr:uid="{00000000-0005-0000-0000-0000C25E0000}"/>
    <cellStyle name="Normal 2 3 2 5 3 6 2" xfId="40017" xr:uid="{00000000-0005-0000-0000-0000C35E0000}"/>
    <cellStyle name="Normal 2 3 2 5 3 7" xfId="40018" xr:uid="{00000000-0005-0000-0000-0000C45E0000}"/>
    <cellStyle name="Normal 2 3 2 5 4" xfId="10169" xr:uid="{00000000-0005-0000-0000-0000C55E0000}"/>
    <cellStyle name="Normal 2 3 2 5 4 2" xfId="10170" xr:uid="{00000000-0005-0000-0000-0000C65E0000}"/>
    <cellStyle name="Normal 2 3 2 5 4 2 2" xfId="40019" xr:uid="{00000000-0005-0000-0000-0000C75E0000}"/>
    <cellStyle name="Normal 2 3 2 5 4 3" xfId="10171" xr:uid="{00000000-0005-0000-0000-0000C85E0000}"/>
    <cellStyle name="Normal 2 3 2 5 4 3 2" xfId="40020" xr:uid="{00000000-0005-0000-0000-0000C95E0000}"/>
    <cellStyle name="Normal 2 3 2 5 4 4" xfId="40021" xr:uid="{00000000-0005-0000-0000-0000CA5E0000}"/>
    <cellStyle name="Normal 2 3 2 5 5" xfId="10172" xr:uid="{00000000-0005-0000-0000-0000CB5E0000}"/>
    <cellStyle name="Normal 2 3 2 5 5 2" xfId="10173" xr:uid="{00000000-0005-0000-0000-0000CC5E0000}"/>
    <cellStyle name="Normal 2 3 2 5 5 2 2" xfId="40022" xr:uid="{00000000-0005-0000-0000-0000CD5E0000}"/>
    <cellStyle name="Normal 2 3 2 5 5 3" xfId="40023" xr:uid="{00000000-0005-0000-0000-0000CE5E0000}"/>
    <cellStyle name="Normal 2 3 2 5 6" xfId="10174" xr:uid="{00000000-0005-0000-0000-0000CF5E0000}"/>
    <cellStyle name="Normal 2 3 2 5 6 2" xfId="40024" xr:uid="{00000000-0005-0000-0000-0000D05E0000}"/>
    <cellStyle name="Normal 2 3 2 5 7" xfId="10175" xr:uid="{00000000-0005-0000-0000-0000D15E0000}"/>
    <cellStyle name="Normal 2 3 2 5 7 2" xfId="40025" xr:uid="{00000000-0005-0000-0000-0000D25E0000}"/>
    <cellStyle name="Normal 2 3 2 5 8" xfId="40026" xr:uid="{00000000-0005-0000-0000-0000D35E0000}"/>
    <cellStyle name="Normal 2 3 2 5 8 2" xfId="40027" xr:uid="{00000000-0005-0000-0000-0000D45E0000}"/>
    <cellStyle name="Normal 2 3 2 5 9" xfId="40028" xr:uid="{00000000-0005-0000-0000-0000D55E0000}"/>
    <cellStyle name="Normal 2 3 2 6" xfId="10176" xr:uid="{00000000-0005-0000-0000-0000D65E0000}"/>
    <cellStyle name="Normal 2 3 2 6 10" xfId="40029" xr:uid="{00000000-0005-0000-0000-0000D75E0000}"/>
    <cellStyle name="Normal 2 3 2 6 11" xfId="40030" xr:uid="{00000000-0005-0000-0000-0000D85E0000}"/>
    <cellStyle name="Normal 2 3 2 6 2" xfId="10177" xr:uid="{00000000-0005-0000-0000-0000D95E0000}"/>
    <cellStyle name="Normal 2 3 2 6 2 10" xfId="40031" xr:uid="{00000000-0005-0000-0000-0000DA5E0000}"/>
    <cellStyle name="Normal 2 3 2 6 2 2" xfId="10178" xr:uid="{00000000-0005-0000-0000-0000DB5E0000}"/>
    <cellStyle name="Normal 2 3 2 6 2 2 2" xfId="10179" xr:uid="{00000000-0005-0000-0000-0000DC5E0000}"/>
    <cellStyle name="Normal 2 3 2 6 2 2 2 2" xfId="10180" xr:uid="{00000000-0005-0000-0000-0000DD5E0000}"/>
    <cellStyle name="Normal 2 3 2 6 2 2 2 2 2" xfId="40032" xr:uid="{00000000-0005-0000-0000-0000DE5E0000}"/>
    <cellStyle name="Normal 2 3 2 6 2 2 2 3" xfId="10181" xr:uid="{00000000-0005-0000-0000-0000DF5E0000}"/>
    <cellStyle name="Normal 2 3 2 6 2 2 2 3 2" xfId="40033" xr:uid="{00000000-0005-0000-0000-0000E05E0000}"/>
    <cellStyle name="Normal 2 3 2 6 2 2 2 4" xfId="40034" xr:uid="{00000000-0005-0000-0000-0000E15E0000}"/>
    <cellStyle name="Normal 2 3 2 6 2 2 3" xfId="10182" xr:uid="{00000000-0005-0000-0000-0000E25E0000}"/>
    <cellStyle name="Normal 2 3 2 6 2 2 3 2" xfId="40035" xr:uid="{00000000-0005-0000-0000-0000E35E0000}"/>
    <cellStyle name="Normal 2 3 2 6 2 2 4" xfId="10183" xr:uid="{00000000-0005-0000-0000-0000E45E0000}"/>
    <cellStyle name="Normal 2 3 2 6 2 2 4 2" xfId="40036" xr:uid="{00000000-0005-0000-0000-0000E55E0000}"/>
    <cellStyle name="Normal 2 3 2 6 2 2 5" xfId="10184" xr:uid="{00000000-0005-0000-0000-0000E65E0000}"/>
    <cellStyle name="Normal 2 3 2 6 2 2 5 2" xfId="40037" xr:uid="{00000000-0005-0000-0000-0000E75E0000}"/>
    <cellStyle name="Normal 2 3 2 6 2 2 6" xfId="40038" xr:uid="{00000000-0005-0000-0000-0000E85E0000}"/>
    <cellStyle name="Normal 2 3 2 6 2 2 6 2" xfId="40039" xr:uid="{00000000-0005-0000-0000-0000E95E0000}"/>
    <cellStyle name="Normal 2 3 2 6 2 2 7" xfId="40040" xr:uid="{00000000-0005-0000-0000-0000EA5E0000}"/>
    <cellStyle name="Normal 2 3 2 6 2 3" xfId="10185" xr:uid="{00000000-0005-0000-0000-0000EB5E0000}"/>
    <cellStyle name="Normal 2 3 2 6 2 3 2" xfId="10186" xr:uid="{00000000-0005-0000-0000-0000EC5E0000}"/>
    <cellStyle name="Normal 2 3 2 6 2 3 2 2" xfId="40041" xr:uid="{00000000-0005-0000-0000-0000ED5E0000}"/>
    <cellStyle name="Normal 2 3 2 6 2 3 3" xfId="10187" xr:uid="{00000000-0005-0000-0000-0000EE5E0000}"/>
    <cellStyle name="Normal 2 3 2 6 2 3 3 2" xfId="40042" xr:uid="{00000000-0005-0000-0000-0000EF5E0000}"/>
    <cellStyle name="Normal 2 3 2 6 2 3 4" xfId="40043" xr:uid="{00000000-0005-0000-0000-0000F05E0000}"/>
    <cellStyle name="Normal 2 3 2 6 2 4" xfId="10188" xr:uid="{00000000-0005-0000-0000-0000F15E0000}"/>
    <cellStyle name="Normal 2 3 2 6 2 4 2" xfId="10189" xr:uid="{00000000-0005-0000-0000-0000F25E0000}"/>
    <cellStyle name="Normal 2 3 2 6 2 4 2 2" xfId="40044" xr:uid="{00000000-0005-0000-0000-0000F35E0000}"/>
    <cellStyle name="Normal 2 3 2 6 2 4 3" xfId="40045" xr:uid="{00000000-0005-0000-0000-0000F45E0000}"/>
    <cellStyle name="Normal 2 3 2 6 2 5" xfId="10190" xr:uid="{00000000-0005-0000-0000-0000F55E0000}"/>
    <cellStyle name="Normal 2 3 2 6 2 5 2" xfId="40046" xr:uid="{00000000-0005-0000-0000-0000F65E0000}"/>
    <cellStyle name="Normal 2 3 2 6 2 6" xfId="10191" xr:uid="{00000000-0005-0000-0000-0000F75E0000}"/>
    <cellStyle name="Normal 2 3 2 6 2 6 2" xfId="40047" xr:uid="{00000000-0005-0000-0000-0000F85E0000}"/>
    <cellStyle name="Normal 2 3 2 6 2 7" xfId="40048" xr:uid="{00000000-0005-0000-0000-0000F95E0000}"/>
    <cellStyle name="Normal 2 3 2 6 2 7 2" xfId="40049" xr:uid="{00000000-0005-0000-0000-0000FA5E0000}"/>
    <cellStyle name="Normal 2 3 2 6 2 8" xfId="40050" xr:uid="{00000000-0005-0000-0000-0000FB5E0000}"/>
    <cellStyle name="Normal 2 3 2 6 2 9" xfId="40051" xr:uid="{00000000-0005-0000-0000-0000FC5E0000}"/>
    <cellStyle name="Normal 2 3 2 6 3" xfId="10192" xr:uid="{00000000-0005-0000-0000-0000FD5E0000}"/>
    <cellStyle name="Normal 2 3 2 6 3 2" xfId="10193" xr:uid="{00000000-0005-0000-0000-0000FE5E0000}"/>
    <cellStyle name="Normal 2 3 2 6 3 2 2" xfId="10194" xr:uid="{00000000-0005-0000-0000-0000FF5E0000}"/>
    <cellStyle name="Normal 2 3 2 6 3 2 2 2" xfId="40052" xr:uid="{00000000-0005-0000-0000-0000005F0000}"/>
    <cellStyle name="Normal 2 3 2 6 3 2 3" xfId="10195" xr:uid="{00000000-0005-0000-0000-0000015F0000}"/>
    <cellStyle name="Normal 2 3 2 6 3 2 3 2" xfId="40053" xr:uid="{00000000-0005-0000-0000-0000025F0000}"/>
    <cellStyle name="Normal 2 3 2 6 3 2 4" xfId="40054" xr:uid="{00000000-0005-0000-0000-0000035F0000}"/>
    <cellStyle name="Normal 2 3 2 6 3 3" xfId="10196" xr:uid="{00000000-0005-0000-0000-0000045F0000}"/>
    <cellStyle name="Normal 2 3 2 6 3 3 2" xfId="40055" xr:uid="{00000000-0005-0000-0000-0000055F0000}"/>
    <cellStyle name="Normal 2 3 2 6 3 4" xfId="10197" xr:uid="{00000000-0005-0000-0000-0000065F0000}"/>
    <cellStyle name="Normal 2 3 2 6 3 4 2" xfId="40056" xr:uid="{00000000-0005-0000-0000-0000075F0000}"/>
    <cellStyle name="Normal 2 3 2 6 3 5" xfId="10198" xr:uid="{00000000-0005-0000-0000-0000085F0000}"/>
    <cellStyle name="Normal 2 3 2 6 3 5 2" xfId="40057" xr:uid="{00000000-0005-0000-0000-0000095F0000}"/>
    <cellStyle name="Normal 2 3 2 6 3 6" xfId="40058" xr:uid="{00000000-0005-0000-0000-00000A5F0000}"/>
    <cellStyle name="Normal 2 3 2 6 3 6 2" xfId="40059" xr:uid="{00000000-0005-0000-0000-00000B5F0000}"/>
    <cellStyle name="Normal 2 3 2 6 3 7" xfId="40060" xr:uid="{00000000-0005-0000-0000-00000C5F0000}"/>
    <cellStyle name="Normal 2 3 2 6 4" xfId="10199" xr:uid="{00000000-0005-0000-0000-00000D5F0000}"/>
    <cellStyle name="Normal 2 3 2 6 4 2" xfId="10200" xr:uid="{00000000-0005-0000-0000-00000E5F0000}"/>
    <cellStyle name="Normal 2 3 2 6 4 2 2" xfId="40061" xr:uid="{00000000-0005-0000-0000-00000F5F0000}"/>
    <cellStyle name="Normal 2 3 2 6 4 3" xfId="10201" xr:uid="{00000000-0005-0000-0000-0000105F0000}"/>
    <cellStyle name="Normal 2 3 2 6 4 3 2" xfId="40062" xr:uid="{00000000-0005-0000-0000-0000115F0000}"/>
    <cellStyle name="Normal 2 3 2 6 4 4" xfId="40063" xr:uid="{00000000-0005-0000-0000-0000125F0000}"/>
    <cellStyle name="Normal 2 3 2 6 5" xfId="10202" xr:uid="{00000000-0005-0000-0000-0000135F0000}"/>
    <cellStyle name="Normal 2 3 2 6 5 2" xfId="10203" xr:uid="{00000000-0005-0000-0000-0000145F0000}"/>
    <cellStyle name="Normal 2 3 2 6 5 2 2" xfId="40064" xr:uid="{00000000-0005-0000-0000-0000155F0000}"/>
    <cellStyle name="Normal 2 3 2 6 5 3" xfId="40065" xr:uid="{00000000-0005-0000-0000-0000165F0000}"/>
    <cellStyle name="Normal 2 3 2 6 6" xfId="10204" xr:uid="{00000000-0005-0000-0000-0000175F0000}"/>
    <cellStyle name="Normal 2 3 2 6 6 2" xfId="40066" xr:uid="{00000000-0005-0000-0000-0000185F0000}"/>
    <cellStyle name="Normal 2 3 2 6 7" xfId="10205" xr:uid="{00000000-0005-0000-0000-0000195F0000}"/>
    <cellStyle name="Normal 2 3 2 6 7 2" xfId="40067" xr:uid="{00000000-0005-0000-0000-00001A5F0000}"/>
    <cellStyle name="Normal 2 3 2 6 8" xfId="40068" xr:uid="{00000000-0005-0000-0000-00001B5F0000}"/>
    <cellStyle name="Normal 2 3 2 6 8 2" xfId="40069" xr:uid="{00000000-0005-0000-0000-00001C5F0000}"/>
    <cellStyle name="Normal 2 3 2 6 9" xfId="40070" xr:uid="{00000000-0005-0000-0000-00001D5F0000}"/>
    <cellStyle name="Normal 2 3 2 7" xfId="10206" xr:uid="{00000000-0005-0000-0000-00001E5F0000}"/>
    <cellStyle name="Normal 2 3 2 7 10" xfId="40071" xr:uid="{00000000-0005-0000-0000-00001F5F0000}"/>
    <cellStyle name="Normal 2 3 2 7 11" xfId="40072" xr:uid="{00000000-0005-0000-0000-0000205F0000}"/>
    <cellStyle name="Normal 2 3 2 7 2" xfId="10207" xr:uid="{00000000-0005-0000-0000-0000215F0000}"/>
    <cellStyle name="Normal 2 3 2 7 2 10" xfId="40073" xr:uid="{00000000-0005-0000-0000-0000225F0000}"/>
    <cellStyle name="Normal 2 3 2 7 2 2" xfId="10208" xr:uid="{00000000-0005-0000-0000-0000235F0000}"/>
    <cellStyle name="Normal 2 3 2 7 2 2 2" xfId="10209" xr:uid="{00000000-0005-0000-0000-0000245F0000}"/>
    <cellStyle name="Normal 2 3 2 7 2 2 2 2" xfId="10210" xr:uid="{00000000-0005-0000-0000-0000255F0000}"/>
    <cellStyle name="Normal 2 3 2 7 2 2 2 2 2" xfId="40074" xr:uid="{00000000-0005-0000-0000-0000265F0000}"/>
    <cellStyle name="Normal 2 3 2 7 2 2 2 3" xfId="10211" xr:uid="{00000000-0005-0000-0000-0000275F0000}"/>
    <cellStyle name="Normal 2 3 2 7 2 2 2 3 2" xfId="40075" xr:uid="{00000000-0005-0000-0000-0000285F0000}"/>
    <cellStyle name="Normal 2 3 2 7 2 2 2 4" xfId="40076" xr:uid="{00000000-0005-0000-0000-0000295F0000}"/>
    <cellStyle name="Normal 2 3 2 7 2 2 3" xfId="10212" xr:uid="{00000000-0005-0000-0000-00002A5F0000}"/>
    <cellStyle name="Normal 2 3 2 7 2 2 3 2" xfId="40077" xr:uid="{00000000-0005-0000-0000-00002B5F0000}"/>
    <cellStyle name="Normal 2 3 2 7 2 2 4" xfId="10213" xr:uid="{00000000-0005-0000-0000-00002C5F0000}"/>
    <cellStyle name="Normal 2 3 2 7 2 2 4 2" xfId="40078" xr:uid="{00000000-0005-0000-0000-00002D5F0000}"/>
    <cellStyle name="Normal 2 3 2 7 2 2 5" xfId="10214" xr:uid="{00000000-0005-0000-0000-00002E5F0000}"/>
    <cellStyle name="Normal 2 3 2 7 2 2 5 2" xfId="40079" xr:uid="{00000000-0005-0000-0000-00002F5F0000}"/>
    <cellStyle name="Normal 2 3 2 7 2 2 6" xfId="40080" xr:uid="{00000000-0005-0000-0000-0000305F0000}"/>
    <cellStyle name="Normal 2 3 2 7 2 2 6 2" xfId="40081" xr:uid="{00000000-0005-0000-0000-0000315F0000}"/>
    <cellStyle name="Normal 2 3 2 7 2 2 7" xfId="40082" xr:uid="{00000000-0005-0000-0000-0000325F0000}"/>
    <cellStyle name="Normal 2 3 2 7 2 3" xfId="10215" xr:uid="{00000000-0005-0000-0000-0000335F0000}"/>
    <cellStyle name="Normal 2 3 2 7 2 3 2" xfId="10216" xr:uid="{00000000-0005-0000-0000-0000345F0000}"/>
    <cellStyle name="Normal 2 3 2 7 2 3 2 2" xfId="40083" xr:uid="{00000000-0005-0000-0000-0000355F0000}"/>
    <cellStyle name="Normal 2 3 2 7 2 3 3" xfId="10217" xr:uid="{00000000-0005-0000-0000-0000365F0000}"/>
    <cellStyle name="Normal 2 3 2 7 2 3 3 2" xfId="40084" xr:uid="{00000000-0005-0000-0000-0000375F0000}"/>
    <cellStyle name="Normal 2 3 2 7 2 3 4" xfId="40085" xr:uid="{00000000-0005-0000-0000-0000385F0000}"/>
    <cellStyle name="Normal 2 3 2 7 2 4" xfId="10218" xr:uid="{00000000-0005-0000-0000-0000395F0000}"/>
    <cellStyle name="Normal 2 3 2 7 2 4 2" xfId="10219" xr:uid="{00000000-0005-0000-0000-00003A5F0000}"/>
    <cellStyle name="Normal 2 3 2 7 2 4 2 2" xfId="40086" xr:uid="{00000000-0005-0000-0000-00003B5F0000}"/>
    <cellStyle name="Normal 2 3 2 7 2 4 3" xfId="40087" xr:uid="{00000000-0005-0000-0000-00003C5F0000}"/>
    <cellStyle name="Normal 2 3 2 7 2 5" xfId="10220" xr:uid="{00000000-0005-0000-0000-00003D5F0000}"/>
    <cellStyle name="Normal 2 3 2 7 2 5 2" xfId="40088" xr:uid="{00000000-0005-0000-0000-00003E5F0000}"/>
    <cellStyle name="Normal 2 3 2 7 2 6" xfId="10221" xr:uid="{00000000-0005-0000-0000-00003F5F0000}"/>
    <cellStyle name="Normal 2 3 2 7 2 6 2" xfId="40089" xr:uid="{00000000-0005-0000-0000-0000405F0000}"/>
    <cellStyle name="Normal 2 3 2 7 2 7" xfId="40090" xr:uid="{00000000-0005-0000-0000-0000415F0000}"/>
    <cellStyle name="Normal 2 3 2 7 2 7 2" xfId="40091" xr:uid="{00000000-0005-0000-0000-0000425F0000}"/>
    <cellStyle name="Normal 2 3 2 7 2 8" xfId="40092" xr:uid="{00000000-0005-0000-0000-0000435F0000}"/>
    <cellStyle name="Normal 2 3 2 7 2 9" xfId="40093" xr:uid="{00000000-0005-0000-0000-0000445F0000}"/>
    <cellStyle name="Normal 2 3 2 7 3" xfId="10222" xr:uid="{00000000-0005-0000-0000-0000455F0000}"/>
    <cellStyle name="Normal 2 3 2 7 3 2" xfId="10223" xr:uid="{00000000-0005-0000-0000-0000465F0000}"/>
    <cellStyle name="Normal 2 3 2 7 3 2 2" xfId="10224" xr:uid="{00000000-0005-0000-0000-0000475F0000}"/>
    <cellStyle name="Normal 2 3 2 7 3 2 2 2" xfId="40094" xr:uid="{00000000-0005-0000-0000-0000485F0000}"/>
    <cellStyle name="Normal 2 3 2 7 3 2 3" xfId="10225" xr:uid="{00000000-0005-0000-0000-0000495F0000}"/>
    <cellStyle name="Normal 2 3 2 7 3 2 3 2" xfId="40095" xr:uid="{00000000-0005-0000-0000-00004A5F0000}"/>
    <cellStyle name="Normal 2 3 2 7 3 2 4" xfId="40096" xr:uid="{00000000-0005-0000-0000-00004B5F0000}"/>
    <cellStyle name="Normal 2 3 2 7 3 3" xfId="10226" xr:uid="{00000000-0005-0000-0000-00004C5F0000}"/>
    <cellStyle name="Normal 2 3 2 7 3 3 2" xfId="40097" xr:uid="{00000000-0005-0000-0000-00004D5F0000}"/>
    <cellStyle name="Normal 2 3 2 7 3 4" xfId="10227" xr:uid="{00000000-0005-0000-0000-00004E5F0000}"/>
    <cellStyle name="Normal 2 3 2 7 3 4 2" xfId="40098" xr:uid="{00000000-0005-0000-0000-00004F5F0000}"/>
    <cellStyle name="Normal 2 3 2 7 3 5" xfId="10228" xr:uid="{00000000-0005-0000-0000-0000505F0000}"/>
    <cellStyle name="Normal 2 3 2 7 3 5 2" xfId="40099" xr:uid="{00000000-0005-0000-0000-0000515F0000}"/>
    <cellStyle name="Normal 2 3 2 7 3 6" xfId="40100" xr:uid="{00000000-0005-0000-0000-0000525F0000}"/>
    <cellStyle name="Normal 2 3 2 7 3 6 2" xfId="40101" xr:uid="{00000000-0005-0000-0000-0000535F0000}"/>
    <cellStyle name="Normal 2 3 2 7 3 7" xfId="40102" xr:uid="{00000000-0005-0000-0000-0000545F0000}"/>
    <cellStyle name="Normal 2 3 2 7 4" xfId="10229" xr:uid="{00000000-0005-0000-0000-0000555F0000}"/>
    <cellStyle name="Normal 2 3 2 7 4 2" xfId="10230" xr:uid="{00000000-0005-0000-0000-0000565F0000}"/>
    <cellStyle name="Normal 2 3 2 7 4 2 2" xfId="40103" xr:uid="{00000000-0005-0000-0000-0000575F0000}"/>
    <cellStyle name="Normal 2 3 2 7 4 3" xfId="10231" xr:uid="{00000000-0005-0000-0000-0000585F0000}"/>
    <cellStyle name="Normal 2 3 2 7 4 3 2" xfId="40104" xr:uid="{00000000-0005-0000-0000-0000595F0000}"/>
    <cellStyle name="Normal 2 3 2 7 4 4" xfId="40105" xr:uid="{00000000-0005-0000-0000-00005A5F0000}"/>
    <cellStyle name="Normal 2 3 2 7 5" xfId="10232" xr:uid="{00000000-0005-0000-0000-00005B5F0000}"/>
    <cellStyle name="Normal 2 3 2 7 5 2" xfId="10233" xr:uid="{00000000-0005-0000-0000-00005C5F0000}"/>
    <cellStyle name="Normal 2 3 2 7 5 2 2" xfId="40106" xr:uid="{00000000-0005-0000-0000-00005D5F0000}"/>
    <cellStyle name="Normal 2 3 2 7 5 3" xfId="40107" xr:uid="{00000000-0005-0000-0000-00005E5F0000}"/>
    <cellStyle name="Normal 2 3 2 7 6" xfId="10234" xr:uid="{00000000-0005-0000-0000-00005F5F0000}"/>
    <cellStyle name="Normal 2 3 2 7 6 2" xfId="40108" xr:uid="{00000000-0005-0000-0000-0000605F0000}"/>
    <cellStyle name="Normal 2 3 2 7 7" xfId="10235" xr:uid="{00000000-0005-0000-0000-0000615F0000}"/>
    <cellStyle name="Normal 2 3 2 7 7 2" xfId="40109" xr:uid="{00000000-0005-0000-0000-0000625F0000}"/>
    <cellStyle name="Normal 2 3 2 7 8" xfId="40110" xr:uid="{00000000-0005-0000-0000-0000635F0000}"/>
    <cellStyle name="Normal 2 3 2 7 8 2" xfId="40111" xr:uid="{00000000-0005-0000-0000-0000645F0000}"/>
    <cellStyle name="Normal 2 3 2 7 9" xfId="40112" xr:uid="{00000000-0005-0000-0000-0000655F0000}"/>
    <cellStyle name="Normal 2 3 2 8" xfId="10236" xr:uid="{00000000-0005-0000-0000-0000665F0000}"/>
    <cellStyle name="Normal 2 3 2 8 10" xfId="40113" xr:uid="{00000000-0005-0000-0000-0000675F0000}"/>
    <cellStyle name="Normal 2 3 2 8 11" xfId="40114" xr:uid="{00000000-0005-0000-0000-0000685F0000}"/>
    <cellStyle name="Normal 2 3 2 8 2" xfId="10237" xr:uid="{00000000-0005-0000-0000-0000695F0000}"/>
    <cellStyle name="Normal 2 3 2 8 2 10" xfId="40115" xr:uid="{00000000-0005-0000-0000-00006A5F0000}"/>
    <cellStyle name="Normal 2 3 2 8 2 2" xfId="10238" xr:uid="{00000000-0005-0000-0000-00006B5F0000}"/>
    <cellStyle name="Normal 2 3 2 8 2 2 2" xfId="10239" xr:uid="{00000000-0005-0000-0000-00006C5F0000}"/>
    <cellStyle name="Normal 2 3 2 8 2 2 2 2" xfId="10240" xr:uid="{00000000-0005-0000-0000-00006D5F0000}"/>
    <cellStyle name="Normal 2 3 2 8 2 2 2 2 2" xfId="40116" xr:uid="{00000000-0005-0000-0000-00006E5F0000}"/>
    <cellStyle name="Normal 2 3 2 8 2 2 2 3" xfId="10241" xr:uid="{00000000-0005-0000-0000-00006F5F0000}"/>
    <cellStyle name="Normal 2 3 2 8 2 2 2 3 2" xfId="40117" xr:uid="{00000000-0005-0000-0000-0000705F0000}"/>
    <cellStyle name="Normal 2 3 2 8 2 2 2 4" xfId="40118" xr:uid="{00000000-0005-0000-0000-0000715F0000}"/>
    <cellStyle name="Normal 2 3 2 8 2 2 3" xfId="10242" xr:uid="{00000000-0005-0000-0000-0000725F0000}"/>
    <cellStyle name="Normal 2 3 2 8 2 2 3 2" xfId="40119" xr:uid="{00000000-0005-0000-0000-0000735F0000}"/>
    <cellStyle name="Normal 2 3 2 8 2 2 4" xfId="10243" xr:uid="{00000000-0005-0000-0000-0000745F0000}"/>
    <cellStyle name="Normal 2 3 2 8 2 2 4 2" xfId="40120" xr:uid="{00000000-0005-0000-0000-0000755F0000}"/>
    <cellStyle name="Normal 2 3 2 8 2 2 5" xfId="10244" xr:uid="{00000000-0005-0000-0000-0000765F0000}"/>
    <cellStyle name="Normal 2 3 2 8 2 2 5 2" xfId="40121" xr:uid="{00000000-0005-0000-0000-0000775F0000}"/>
    <cellStyle name="Normal 2 3 2 8 2 2 6" xfId="40122" xr:uid="{00000000-0005-0000-0000-0000785F0000}"/>
    <cellStyle name="Normal 2 3 2 8 2 2 6 2" xfId="40123" xr:uid="{00000000-0005-0000-0000-0000795F0000}"/>
    <cellStyle name="Normal 2 3 2 8 2 2 7" xfId="40124" xr:uid="{00000000-0005-0000-0000-00007A5F0000}"/>
    <cellStyle name="Normal 2 3 2 8 2 3" xfId="10245" xr:uid="{00000000-0005-0000-0000-00007B5F0000}"/>
    <cellStyle name="Normal 2 3 2 8 2 3 2" xfId="10246" xr:uid="{00000000-0005-0000-0000-00007C5F0000}"/>
    <cellStyle name="Normal 2 3 2 8 2 3 2 2" xfId="40125" xr:uid="{00000000-0005-0000-0000-00007D5F0000}"/>
    <cellStyle name="Normal 2 3 2 8 2 3 3" xfId="10247" xr:uid="{00000000-0005-0000-0000-00007E5F0000}"/>
    <cellStyle name="Normal 2 3 2 8 2 3 3 2" xfId="40126" xr:uid="{00000000-0005-0000-0000-00007F5F0000}"/>
    <cellStyle name="Normal 2 3 2 8 2 3 4" xfId="40127" xr:uid="{00000000-0005-0000-0000-0000805F0000}"/>
    <cellStyle name="Normal 2 3 2 8 2 4" xfId="10248" xr:uid="{00000000-0005-0000-0000-0000815F0000}"/>
    <cellStyle name="Normal 2 3 2 8 2 4 2" xfId="10249" xr:uid="{00000000-0005-0000-0000-0000825F0000}"/>
    <cellStyle name="Normal 2 3 2 8 2 4 2 2" xfId="40128" xr:uid="{00000000-0005-0000-0000-0000835F0000}"/>
    <cellStyle name="Normal 2 3 2 8 2 4 3" xfId="40129" xr:uid="{00000000-0005-0000-0000-0000845F0000}"/>
    <cellStyle name="Normal 2 3 2 8 2 5" xfId="10250" xr:uid="{00000000-0005-0000-0000-0000855F0000}"/>
    <cellStyle name="Normal 2 3 2 8 2 5 2" xfId="40130" xr:uid="{00000000-0005-0000-0000-0000865F0000}"/>
    <cellStyle name="Normal 2 3 2 8 2 6" xfId="10251" xr:uid="{00000000-0005-0000-0000-0000875F0000}"/>
    <cellStyle name="Normal 2 3 2 8 2 6 2" xfId="40131" xr:uid="{00000000-0005-0000-0000-0000885F0000}"/>
    <cellStyle name="Normal 2 3 2 8 2 7" xfId="40132" xr:uid="{00000000-0005-0000-0000-0000895F0000}"/>
    <cellStyle name="Normal 2 3 2 8 2 7 2" xfId="40133" xr:uid="{00000000-0005-0000-0000-00008A5F0000}"/>
    <cellStyle name="Normal 2 3 2 8 2 8" xfId="40134" xr:uid="{00000000-0005-0000-0000-00008B5F0000}"/>
    <cellStyle name="Normal 2 3 2 8 2 9" xfId="40135" xr:uid="{00000000-0005-0000-0000-00008C5F0000}"/>
    <cellStyle name="Normal 2 3 2 8 3" xfId="10252" xr:uid="{00000000-0005-0000-0000-00008D5F0000}"/>
    <cellStyle name="Normal 2 3 2 8 3 2" xfId="10253" xr:uid="{00000000-0005-0000-0000-00008E5F0000}"/>
    <cellStyle name="Normal 2 3 2 8 3 2 2" xfId="10254" xr:uid="{00000000-0005-0000-0000-00008F5F0000}"/>
    <cellStyle name="Normal 2 3 2 8 3 2 2 2" xfId="40136" xr:uid="{00000000-0005-0000-0000-0000905F0000}"/>
    <cellStyle name="Normal 2 3 2 8 3 2 3" xfId="10255" xr:uid="{00000000-0005-0000-0000-0000915F0000}"/>
    <cellStyle name="Normal 2 3 2 8 3 2 3 2" xfId="40137" xr:uid="{00000000-0005-0000-0000-0000925F0000}"/>
    <cellStyle name="Normal 2 3 2 8 3 2 4" xfId="40138" xr:uid="{00000000-0005-0000-0000-0000935F0000}"/>
    <cellStyle name="Normal 2 3 2 8 3 3" xfId="10256" xr:uid="{00000000-0005-0000-0000-0000945F0000}"/>
    <cellStyle name="Normal 2 3 2 8 3 3 2" xfId="40139" xr:uid="{00000000-0005-0000-0000-0000955F0000}"/>
    <cellStyle name="Normal 2 3 2 8 3 4" xfId="10257" xr:uid="{00000000-0005-0000-0000-0000965F0000}"/>
    <cellStyle name="Normal 2 3 2 8 3 4 2" xfId="40140" xr:uid="{00000000-0005-0000-0000-0000975F0000}"/>
    <cellStyle name="Normal 2 3 2 8 3 5" xfId="10258" xr:uid="{00000000-0005-0000-0000-0000985F0000}"/>
    <cellStyle name="Normal 2 3 2 8 3 5 2" xfId="40141" xr:uid="{00000000-0005-0000-0000-0000995F0000}"/>
    <cellStyle name="Normal 2 3 2 8 3 6" xfId="40142" xr:uid="{00000000-0005-0000-0000-00009A5F0000}"/>
    <cellStyle name="Normal 2 3 2 8 3 6 2" xfId="40143" xr:uid="{00000000-0005-0000-0000-00009B5F0000}"/>
    <cellStyle name="Normal 2 3 2 8 3 7" xfId="40144" xr:uid="{00000000-0005-0000-0000-00009C5F0000}"/>
    <cellStyle name="Normal 2 3 2 8 4" xfId="10259" xr:uid="{00000000-0005-0000-0000-00009D5F0000}"/>
    <cellStyle name="Normal 2 3 2 8 4 2" xfId="10260" xr:uid="{00000000-0005-0000-0000-00009E5F0000}"/>
    <cellStyle name="Normal 2 3 2 8 4 2 2" xfId="40145" xr:uid="{00000000-0005-0000-0000-00009F5F0000}"/>
    <cellStyle name="Normal 2 3 2 8 4 3" xfId="10261" xr:uid="{00000000-0005-0000-0000-0000A05F0000}"/>
    <cellStyle name="Normal 2 3 2 8 4 3 2" xfId="40146" xr:uid="{00000000-0005-0000-0000-0000A15F0000}"/>
    <cellStyle name="Normal 2 3 2 8 4 4" xfId="40147" xr:uid="{00000000-0005-0000-0000-0000A25F0000}"/>
    <cellStyle name="Normal 2 3 2 8 5" xfId="10262" xr:uid="{00000000-0005-0000-0000-0000A35F0000}"/>
    <cellStyle name="Normal 2 3 2 8 5 2" xfId="10263" xr:uid="{00000000-0005-0000-0000-0000A45F0000}"/>
    <cellStyle name="Normal 2 3 2 8 5 2 2" xfId="40148" xr:uid="{00000000-0005-0000-0000-0000A55F0000}"/>
    <cellStyle name="Normal 2 3 2 8 5 3" xfId="40149" xr:uid="{00000000-0005-0000-0000-0000A65F0000}"/>
    <cellStyle name="Normal 2 3 2 8 6" xfId="10264" xr:uid="{00000000-0005-0000-0000-0000A75F0000}"/>
    <cellStyle name="Normal 2 3 2 8 6 2" xfId="40150" xr:uid="{00000000-0005-0000-0000-0000A85F0000}"/>
    <cellStyle name="Normal 2 3 2 8 7" xfId="10265" xr:uid="{00000000-0005-0000-0000-0000A95F0000}"/>
    <cellStyle name="Normal 2 3 2 8 7 2" xfId="40151" xr:uid="{00000000-0005-0000-0000-0000AA5F0000}"/>
    <cellStyle name="Normal 2 3 2 8 8" xfId="40152" xr:uid="{00000000-0005-0000-0000-0000AB5F0000}"/>
    <cellStyle name="Normal 2 3 2 8 8 2" xfId="40153" xr:uid="{00000000-0005-0000-0000-0000AC5F0000}"/>
    <cellStyle name="Normal 2 3 2 8 9" xfId="40154" xr:uid="{00000000-0005-0000-0000-0000AD5F0000}"/>
    <cellStyle name="Normal 2 3 2 9" xfId="10266" xr:uid="{00000000-0005-0000-0000-0000AE5F0000}"/>
    <cellStyle name="Normal 2 3 2 9 10" xfId="40155" xr:uid="{00000000-0005-0000-0000-0000AF5F0000}"/>
    <cellStyle name="Normal 2 3 2 9 11" xfId="40156" xr:uid="{00000000-0005-0000-0000-0000B05F0000}"/>
    <cellStyle name="Normal 2 3 2 9 2" xfId="10267" xr:uid="{00000000-0005-0000-0000-0000B15F0000}"/>
    <cellStyle name="Normal 2 3 2 9 2 10" xfId="40157" xr:uid="{00000000-0005-0000-0000-0000B25F0000}"/>
    <cellStyle name="Normal 2 3 2 9 2 2" xfId="10268" xr:uid="{00000000-0005-0000-0000-0000B35F0000}"/>
    <cellStyle name="Normal 2 3 2 9 2 2 2" xfId="10269" xr:uid="{00000000-0005-0000-0000-0000B45F0000}"/>
    <cellStyle name="Normal 2 3 2 9 2 2 2 2" xfId="10270" xr:uid="{00000000-0005-0000-0000-0000B55F0000}"/>
    <cellStyle name="Normal 2 3 2 9 2 2 2 2 2" xfId="40158" xr:uid="{00000000-0005-0000-0000-0000B65F0000}"/>
    <cellStyle name="Normal 2 3 2 9 2 2 2 3" xfId="10271" xr:uid="{00000000-0005-0000-0000-0000B75F0000}"/>
    <cellStyle name="Normal 2 3 2 9 2 2 2 3 2" xfId="40159" xr:uid="{00000000-0005-0000-0000-0000B85F0000}"/>
    <cellStyle name="Normal 2 3 2 9 2 2 2 4" xfId="40160" xr:uid="{00000000-0005-0000-0000-0000B95F0000}"/>
    <cellStyle name="Normal 2 3 2 9 2 2 3" xfId="10272" xr:uid="{00000000-0005-0000-0000-0000BA5F0000}"/>
    <cellStyle name="Normal 2 3 2 9 2 2 3 2" xfId="40161" xr:uid="{00000000-0005-0000-0000-0000BB5F0000}"/>
    <cellStyle name="Normal 2 3 2 9 2 2 4" xfId="10273" xr:uid="{00000000-0005-0000-0000-0000BC5F0000}"/>
    <cellStyle name="Normal 2 3 2 9 2 2 4 2" xfId="40162" xr:uid="{00000000-0005-0000-0000-0000BD5F0000}"/>
    <cellStyle name="Normal 2 3 2 9 2 2 5" xfId="10274" xr:uid="{00000000-0005-0000-0000-0000BE5F0000}"/>
    <cellStyle name="Normal 2 3 2 9 2 2 5 2" xfId="40163" xr:uid="{00000000-0005-0000-0000-0000BF5F0000}"/>
    <cellStyle name="Normal 2 3 2 9 2 2 6" xfId="40164" xr:uid="{00000000-0005-0000-0000-0000C05F0000}"/>
    <cellStyle name="Normal 2 3 2 9 2 2 6 2" xfId="40165" xr:uid="{00000000-0005-0000-0000-0000C15F0000}"/>
    <cellStyle name="Normal 2 3 2 9 2 2 7" xfId="40166" xr:uid="{00000000-0005-0000-0000-0000C25F0000}"/>
    <cellStyle name="Normal 2 3 2 9 2 3" xfId="10275" xr:uid="{00000000-0005-0000-0000-0000C35F0000}"/>
    <cellStyle name="Normal 2 3 2 9 2 3 2" xfId="10276" xr:uid="{00000000-0005-0000-0000-0000C45F0000}"/>
    <cellStyle name="Normal 2 3 2 9 2 3 2 2" xfId="40167" xr:uid="{00000000-0005-0000-0000-0000C55F0000}"/>
    <cellStyle name="Normal 2 3 2 9 2 3 3" xfId="10277" xr:uid="{00000000-0005-0000-0000-0000C65F0000}"/>
    <cellStyle name="Normal 2 3 2 9 2 3 3 2" xfId="40168" xr:uid="{00000000-0005-0000-0000-0000C75F0000}"/>
    <cellStyle name="Normal 2 3 2 9 2 3 4" xfId="40169" xr:uid="{00000000-0005-0000-0000-0000C85F0000}"/>
    <cellStyle name="Normal 2 3 2 9 2 4" xfId="10278" xr:uid="{00000000-0005-0000-0000-0000C95F0000}"/>
    <cellStyle name="Normal 2 3 2 9 2 4 2" xfId="10279" xr:uid="{00000000-0005-0000-0000-0000CA5F0000}"/>
    <cellStyle name="Normal 2 3 2 9 2 4 2 2" xfId="40170" xr:uid="{00000000-0005-0000-0000-0000CB5F0000}"/>
    <cellStyle name="Normal 2 3 2 9 2 4 3" xfId="40171" xr:uid="{00000000-0005-0000-0000-0000CC5F0000}"/>
    <cellStyle name="Normal 2 3 2 9 2 5" xfId="10280" xr:uid="{00000000-0005-0000-0000-0000CD5F0000}"/>
    <cellStyle name="Normal 2 3 2 9 2 5 2" xfId="40172" xr:uid="{00000000-0005-0000-0000-0000CE5F0000}"/>
    <cellStyle name="Normal 2 3 2 9 2 6" xfId="10281" xr:uid="{00000000-0005-0000-0000-0000CF5F0000}"/>
    <cellStyle name="Normal 2 3 2 9 2 6 2" xfId="40173" xr:uid="{00000000-0005-0000-0000-0000D05F0000}"/>
    <cellStyle name="Normal 2 3 2 9 2 7" xfId="40174" xr:uid="{00000000-0005-0000-0000-0000D15F0000}"/>
    <cellStyle name="Normal 2 3 2 9 2 7 2" xfId="40175" xr:uid="{00000000-0005-0000-0000-0000D25F0000}"/>
    <cellStyle name="Normal 2 3 2 9 2 8" xfId="40176" xr:uid="{00000000-0005-0000-0000-0000D35F0000}"/>
    <cellStyle name="Normal 2 3 2 9 2 9" xfId="40177" xr:uid="{00000000-0005-0000-0000-0000D45F0000}"/>
    <cellStyle name="Normal 2 3 2 9 3" xfId="10282" xr:uid="{00000000-0005-0000-0000-0000D55F0000}"/>
    <cellStyle name="Normal 2 3 2 9 3 2" xfId="10283" xr:uid="{00000000-0005-0000-0000-0000D65F0000}"/>
    <cellStyle name="Normal 2 3 2 9 3 2 2" xfId="10284" xr:uid="{00000000-0005-0000-0000-0000D75F0000}"/>
    <cellStyle name="Normal 2 3 2 9 3 2 2 2" xfId="40178" xr:uid="{00000000-0005-0000-0000-0000D85F0000}"/>
    <cellStyle name="Normal 2 3 2 9 3 2 3" xfId="10285" xr:uid="{00000000-0005-0000-0000-0000D95F0000}"/>
    <cellStyle name="Normal 2 3 2 9 3 2 3 2" xfId="40179" xr:uid="{00000000-0005-0000-0000-0000DA5F0000}"/>
    <cellStyle name="Normal 2 3 2 9 3 2 4" xfId="40180" xr:uid="{00000000-0005-0000-0000-0000DB5F0000}"/>
    <cellStyle name="Normal 2 3 2 9 3 3" xfId="10286" xr:uid="{00000000-0005-0000-0000-0000DC5F0000}"/>
    <cellStyle name="Normal 2 3 2 9 3 3 2" xfId="40181" xr:uid="{00000000-0005-0000-0000-0000DD5F0000}"/>
    <cellStyle name="Normal 2 3 2 9 3 4" xfId="10287" xr:uid="{00000000-0005-0000-0000-0000DE5F0000}"/>
    <cellStyle name="Normal 2 3 2 9 3 4 2" xfId="40182" xr:uid="{00000000-0005-0000-0000-0000DF5F0000}"/>
    <cellStyle name="Normal 2 3 2 9 3 5" xfId="10288" xr:uid="{00000000-0005-0000-0000-0000E05F0000}"/>
    <cellStyle name="Normal 2 3 2 9 3 5 2" xfId="40183" xr:uid="{00000000-0005-0000-0000-0000E15F0000}"/>
    <cellStyle name="Normal 2 3 2 9 3 6" xfId="40184" xr:uid="{00000000-0005-0000-0000-0000E25F0000}"/>
    <cellStyle name="Normal 2 3 2 9 3 6 2" xfId="40185" xr:uid="{00000000-0005-0000-0000-0000E35F0000}"/>
    <cellStyle name="Normal 2 3 2 9 3 7" xfId="40186" xr:uid="{00000000-0005-0000-0000-0000E45F0000}"/>
    <cellStyle name="Normal 2 3 2 9 4" xfId="10289" xr:uid="{00000000-0005-0000-0000-0000E55F0000}"/>
    <cellStyle name="Normal 2 3 2 9 4 2" xfId="10290" xr:uid="{00000000-0005-0000-0000-0000E65F0000}"/>
    <cellStyle name="Normal 2 3 2 9 4 2 2" xfId="40187" xr:uid="{00000000-0005-0000-0000-0000E75F0000}"/>
    <cellStyle name="Normal 2 3 2 9 4 3" xfId="10291" xr:uid="{00000000-0005-0000-0000-0000E85F0000}"/>
    <cellStyle name="Normal 2 3 2 9 4 3 2" xfId="40188" xr:uid="{00000000-0005-0000-0000-0000E95F0000}"/>
    <cellStyle name="Normal 2 3 2 9 4 4" xfId="40189" xr:uid="{00000000-0005-0000-0000-0000EA5F0000}"/>
    <cellStyle name="Normal 2 3 2 9 5" xfId="10292" xr:uid="{00000000-0005-0000-0000-0000EB5F0000}"/>
    <cellStyle name="Normal 2 3 2 9 5 2" xfId="10293" xr:uid="{00000000-0005-0000-0000-0000EC5F0000}"/>
    <cellStyle name="Normal 2 3 2 9 5 2 2" xfId="40190" xr:uid="{00000000-0005-0000-0000-0000ED5F0000}"/>
    <cellStyle name="Normal 2 3 2 9 5 3" xfId="40191" xr:uid="{00000000-0005-0000-0000-0000EE5F0000}"/>
    <cellStyle name="Normal 2 3 2 9 6" xfId="10294" xr:uid="{00000000-0005-0000-0000-0000EF5F0000}"/>
    <cellStyle name="Normal 2 3 2 9 6 2" xfId="40192" xr:uid="{00000000-0005-0000-0000-0000F05F0000}"/>
    <cellStyle name="Normal 2 3 2 9 7" xfId="10295" xr:uid="{00000000-0005-0000-0000-0000F15F0000}"/>
    <cellStyle name="Normal 2 3 2 9 7 2" xfId="40193" xr:uid="{00000000-0005-0000-0000-0000F25F0000}"/>
    <cellStyle name="Normal 2 3 2 9 8" xfId="40194" xr:uid="{00000000-0005-0000-0000-0000F35F0000}"/>
    <cellStyle name="Normal 2 3 2 9 8 2" xfId="40195" xr:uid="{00000000-0005-0000-0000-0000F45F0000}"/>
    <cellStyle name="Normal 2 3 2 9 9" xfId="40196" xr:uid="{00000000-0005-0000-0000-0000F55F0000}"/>
    <cellStyle name="Normal 2 3 20" xfId="10296" xr:uid="{00000000-0005-0000-0000-0000F65F0000}"/>
    <cellStyle name="Normal 2 3 20 10" xfId="40197" xr:uid="{00000000-0005-0000-0000-0000F75F0000}"/>
    <cellStyle name="Normal 2 3 20 11" xfId="40198" xr:uid="{00000000-0005-0000-0000-0000F85F0000}"/>
    <cellStyle name="Normal 2 3 20 2" xfId="10297" xr:uid="{00000000-0005-0000-0000-0000F95F0000}"/>
    <cellStyle name="Normal 2 3 20 2 10" xfId="40199" xr:uid="{00000000-0005-0000-0000-0000FA5F0000}"/>
    <cellStyle name="Normal 2 3 20 2 2" xfId="10298" xr:uid="{00000000-0005-0000-0000-0000FB5F0000}"/>
    <cellStyle name="Normal 2 3 20 2 2 2" xfId="10299" xr:uid="{00000000-0005-0000-0000-0000FC5F0000}"/>
    <cellStyle name="Normal 2 3 20 2 2 2 2" xfId="10300" xr:uid="{00000000-0005-0000-0000-0000FD5F0000}"/>
    <cellStyle name="Normal 2 3 20 2 2 2 2 2" xfId="40200" xr:uid="{00000000-0005-0000-0000-0000FE5F0000}"/>
    <cellStyle name="Normal 2 3 20 2 2 2 3" xfId="10301" xr:uid="{00000000-0005-0000-0000-0000FF5F0000}"/>
    <cellStyle name="Normal 2 3 20 2 2 2 3 2" xfId="40201" xr:uid="{00000000-0005-0000-0000-000000600000}"/>
    <cellStyle name="Normal 2 3 20 2 2 2 4" xfId="40202" xr:uid="{00000000-0005-0000-0000-000001600000}"/>
    <cellStyle name="Normal 2 3 20 2 2 3" xfId="10302" xr:uid="{00000000-0005-0000-0000-000002600000}"/>
    <cellStyle name="Normal 2 3 20 2 2 3 2" xfId="40203" xr:uid="{00000000-0005-0000-0000-000003600000}"/>
    <cellStyle name="Normal 2 3 20 2 2 4" xfId="10303" xr:uid="{00000000-0005-0000-0000-000004600000}"/>
    <cellStyle name="Normal 2 3 20 2 2 4 2" xfId="40204" xr:uid="{00000000-0005-0000-0000-000005600000}"/>
    <cellStyle name="Normal 2 3 20 2 2 5" xfId="10304" xr:uid="{00000000-0005-0000-0000-000006600000}"/>
    <cellStyle name="Normal 2 3 20 2 2 5 2" xfId="40205" xr:uid="{00000000-0005-0000-0000-000007600000}"/>
    <cellStyle name="Normal 2 3 20 2 2 6" xfId="40206" xr:uid="{00000000-0005-0000-0000-000008600000}"/>
    <cellStyle name="Normal 2 3 20 2 2 6 2" xfId="40207" xr:uid="{00000000-0005-0000-0000-000009600000}"/>
    <cellStyle name="Normal 2 3 20 2 2 7" xfId="40208" xr:uid="{00000000-0005-0000-0000-00000A600000}"/>
    <cellStyle name="Normal 2 3 20 2 3" xfId="10305" xr:uid="{00000000-0005-0000-0000-00000B600000}"/>
    <cellStyle name="Normal 2 3 20 2 3 2" xfId="10306" xr:uid="{00000000-0005-0000-0000-00000C600000}"/>
    <cellStyle name="Normal 2 3 20 2 3 2 2" xfId="40209" xr:uid="{00000000-0005-0000-0000-00000D600000}"/>
    <cellStyle name="Normal 2 3 20 2 3 3" xfId="10307" xr:uid="{00000000-0005-0000-0000-00000E600000}"/>
    <cellStyle name="Normal 2 3 20 2 3 3 2" xfId="40210" xr:uid="{00000000-0005-0000-0000-00000F600000}"/>
    <cellStyle name="Normal 2 3 20 2 3 4" xfId="40211" xr:uid="{00000000-0005-0000-0000-000010600000}"/>
    <cellStyle name="Normal 2 3 20 2 4" xfId="10308" xr:uid="{00000000-0005-0000-0000-000011600000}"/>
    <cellStyle name="Normal 2 3 20 2 4 2" xfId="10309" xr:uid="{00000000-0005-0000-0000-000012600000}"/>
    <cellStyle name="Normal 2 3 20 2 4 2 2" xfId="40212" xr:uid="{00000000-0005-0000-0000-000013600000}"/>
    <cellStyle name="Normal 2 3 20 2 4 3" xfId="40213" xr:uid="{00000000-0005-0000-0000-000014600000}"/>
    <cellStyle name="Normal 2 3 20 2 5" xfId="10310" xr:uid="{00000000-0005-0000-0000-000015600000}"/>
    <cellStyle name="Normal 2 3 20 2 5 2" xfId="40214" xr:uid="{00000000-0005-0000-0000-000016600000}"/>
    <cellStyle name="Normal 2 3 20 2 6" xfId="10311" xr:uid="{00000000-0005-0000-0000-000017600000}"/>
    <cellStyle name="Normal 2 3 20 2 6 2" xfId="40215" xr:uid="{00000000-0005-0000-0000-000018600000}"/>
    <cellStyle name="Normal 2 3 20 2 7" xfId="40216" xr:uid="{00000000-0005-0000-0000-000019600000}"/>
    <cellStyle name="Normal 2 3 20 2 7 2" xfId="40217" xr:uid="{00000000-0005-0000-0000-00001A600000}"/>
    <cellStyle name="Normal 2 3 20 2 8" xfId="40218" xr:uid="{00000000-0005-0000-0000-00001B600000}"/>
    <cellStyle name="Normal 2 3 20 2 9" xfId="40219" xr:uid="{00000000-0005-0000-0000-00001C600000}"/>
    <cellStyle name="Normal 2 3 20 3" xfId="10312" xr:uid="{00000000-0005-0000-0000-00001D600000}"/>
    <cellStyle name="Normal 2 3 20 3 2" xfId="10313" xr:uid="{00000000-0005-0000-0000-00001E600000}"/>
    <cellStyle name="Normal 2 3 20 3 2 2" xfId="10314" xr:uid="{00000000-0005-0000-0000-00001F600000}"/>
    <cellStyle name="Normal 2 3 20 3 2 2 2" xfId="40220" xr:uid="{00000000-0005-0000-0000-000020600000}"/>
    <cellStyle name="Normal 2 3 20 3 2 3" xfId="10315" xr:uid="{00000000-0005-0000-0000-000021600000}"/>
    <cellStyle name="Normal 2 3 20 3 2 3 2" xfId="40221" xr:uid="{00000000-0005-0000-0000-000022600000}"/>
    <cellStyle name="Normal 2 3 20 3 2 4" xfId="40222" xr:uid="{00000000-0005-0000-0000-000023600000}"/>
    <cellStyle name="Normal 2 3 20 3 3" xfId="10316" xr:uid="{00000000-0005-0000-0000-000024600000}"/>
    <cellStyle name="Normal 2 3 20 3 3 2" xfId="40223" xr:uid="{00000000-0005-0000-0000-000025600000}"/>
    <cellStyle name="Normal 2 3 20 3 4" xfId="10317" xr:uid="{00000000-0005-0000-0000-000026600000}"/>
    <cellStyle name="Normal 2 3 20 3 4 2" xfId="40224" xr:uid="{00000000-0005-0000-0000-000027600000}"/>
    <cellStyle name="Normal 2 3 20 3 5" xfId="10318" xr:uid="{00000000-0005-0000-0000-000028600000}"/>
    <cellStyle name="Normal 2 3 20 3 5 2" xfId="40225" xr:uid="{00000000-0005-0000-0000-000029600000}"/>
    <cellStyle name="Normal 2 3 20 3 6" xfId="40226" xr:uid="{00000000-0005-0000-0000-00002A600000}"/>
    <cellStyle name="Normal 2 3 20 3 6 2" xfId="40227" xr:uid="{00000000-0005-0000-0000-00002B600000}"/>
    <cellStyle name="Normal 2 3 20 3 7" xfId="40228" xr:uid="{00000000-0005-0000-0000-00002C600000}"/>
    <cellStyle name="Normal 2 3 20 4" xfId="10319" xr:uid="{00000000-0005-0000-0000-00002D600000}"/>
    <cellStyle name="Normal 2 3 20 4 2" xfId="10320" xr:uid="{00000000-0005-0000-0000-00002E600000}"/>
    <cellStyle name="Normal 2 3 20 4 2 2" xfId="40229" xr:uid="{00000000-0005-0000-0000-00002F600000}"/>
    <cellStyle name="Normal 2 3 20 4 3" xfId="10321" xr:uid="{00000000-0005-0000-0000-000030600000}"/>
    <cellStyle name="Normal 2 3 20 4 3 2" xfId="40230" xr:uid="{00000000-0005-0000-0000-000031600000}"/>
    <cellStyle name="Normal 2 3 20 4 4" xfId="40231" xr:uid="{00000000-0005-0000-0000-000032600000}"/>
    <cellStyle name="Normal 2 3 20 5" xfId="10322" xr:uid="{00000000-0005-0000-0000-000033600000}"/>
    <cellStyle name="Normal 2 3 20 5 2" xfId="10323" xr:uid="{00000000-0005-0000-0000-000034600000}"/>
    <cellStyle name="Normal 2 3 20 5 2 2" xfId="40232" xr:uid="{00000000-0005-0000-0000-000035600000}"/>
    <cellStyle name="Normal 2 3 20 5 3" xfId="40233" xr:uid="{00000000-0005-0000-0000-000036600000}"/>
    <cellStyle name="Normal 2 3 20 6" xfId="10324" xr:uid="{00000000-0005-0000-0000-000037600000}"/>
    <cellStyle name="Normal 2 3 20 6 2" xfId="40234" xr:uid="{00000000-0005-0000-0000-000038600000}"/>
    <cellStyle name="Normal 2 3 20 7" xfId="10325" xr:uid="{00000000-0005-0000-0000-000039600000}"/>
    <cellStyle name="Normal 2 3 20 7 2" xfId="40235" xr:uid="{00000000-0005-0000-0000-00003A600000}"/>
    <cellStyle name="Normal 2 3 20 8" xfId="40236" xr:uid="{00000000-0005-0000-0000-00003B600000}"/>
    <cellStyle name="Normal 2 3 20 8 2" xfId="40237" xr:uid="{00000000-0005-0000-0000-00003C600000}"/>
    <cellStyle name="Normal 2 3 20 9" xfId="40238" xr:uid="{00000000-0005-0000-0000-00003D600000}"/>
    <cellStyle name="Normal 2 3 21" xfId="10326" xr:uid="{00000000-0005-0000-0000-00003E600000}"/>
    <cellStyle name="Normal 2 3 21 10" xfId="40239" xr:uid="{00000000-0005-0000-0000-00003F600000}"/>
    <cellStyle name="Normal 2 3 21 11" xfId="40240" xr:uid="{00000000-0005-0000-0000-000040600000}"/>
    <cellStyle name="Normal 2 3 21 2" xfId="10327" xr:uid="{00000000-0005-0000-0000-000041600000}"/>
    <cellStyle name="Normal 2 3 21 2 10" xfId="40241" xr:uid="{00000000-0005-0000-0000-000042600000}"/>
    <cellStyle name="Normal 2 3 21 2 2" xfId="10328" xr:uid="{00000000-0005-0000-0000-000043600000}"/>
    <cellStyle name="Normal 2 3 21 2 2 2" xfId="10329" xr:uid="{00000000-0005-0000-0000-000044600000}"/>
    <cellStyle name="Normal 2 3 21 2 2 2 2" xfId="10330" xr:uid="{00000000-0005-0000-0000-000045600000}"/>
    <cellStyle name="Normal 2 3 21 2 2 2 2 2" xfId="40242" xr:uid="{00000000-0005-0000-0000-000046600000}"/>
    <cellStyle name="Normal 2 3 21 2 2 2 3" xfId="10331" xr:uid="{00000000-0005-0000-0000-000047600000}"/>
    <cellStyle name="Normal 2 3 21 2 2 2 3 2" xfId="40243" xr:uid="{00000000-0005-0000-0000-000048600000}"/>
    <cellStyle name="Normal 2 3 21 2 2 2 4" xfId="40244" xr:uid="{00000000-0005-0000-0000-000049600000}"/>
    <cellStyle name="Normal 2 3 21 2 2 3" xfId="10332" xr:uid="{00000000-0005-0000-0000-00004A600000}"/>
    <cellStyle name="Normal 2 3 21 2 2 3 2" xfId="40245" xr:uid="{00000000-0005-0000-0000-00004B600000}"/>
    <cellStyle name="Normal 2 3 21 2 2 4" xfId="10333" xr:uid="{00000000-0005-0000-0000-00004C600000}"/>
    <cellStyle name="Normal 2 3 21 2 2 4 2" xfId="40246" xr:uid="{00000000-0005-0000-0000-00004D600000}"/>
    <cellStyle name="Normal 2 3 21 2 2 5" xfId="10334" xr:uid="{00000000-0005-0000-0000-00004E600000}"/>
    <cellStyle name="Normal 2 3 21 2 2 5 2" xfId="40247" xr:uid="{00000000-0005-0000-0000-00004F600000}"/>
    <cellStyle name="Normal 2 3 21 2 2 6" xfId="40248" xr:uid="{00000000-0005-0000-0000-000050600000}"/>
    <cellStyle name="Normal 2 3 21 2 2 6 2" xfId="40249" xr:uid="{00000000-0005-0000-0000-000051600000}"/>
    <cellStyle name="Normal 2 3 21 2 2 7" xfId="40250" xr:uid="{00000000-0005-0000-0000-000052600000}"/>
    <cellStyle name="Normal 2 3 21 2 3" xfId="10335" xr:uid="{00000000-0005-0000-0000-000053600000}"/>
    <cellStyle name="Normal 2 3 21 2 3 2" xfId="10336" xr:uid="{00000000-0005-0000-0000-000054600000}"/>
    <cellStyle name="Normal 2 3 21 2 3 2 2" xfId="40251" xr:uid="{00000000-0005-0000-0000-000055600000}"/>
    <cellStyle name="Normal 2 3 21 2 3 3" xfId="10337" xr:uid="{00000000-0005-0000-0000-000056600000}"/>
    <cellStyle name="Normal 2 3 21 2 3 3 2" xfId="40252" xr:uid="{00000000-0005-0000-0000-000057600000}"/>
    <cellStyle name="Normal 2 3 21 2 3 4" xfId="40253" xr:uid="{00000000-0005-0000-0000-000058600000}"/>
    <cellStyle name="Normal 2 3 21 2 4" xfId="10338" xr:uid="{00000000-0005-0000-0000-000059600000}"/>
    <cellStyle name="Normal 2 3 21 2 4 2" xfId="10339" xr:uid="{00000000-0005-0000-0000-00005A600000}"/>
    <cellStyle name="Normal 2 3 21 2 4 2 2" xfId="40254" xr:uid="{00000000-0005-0000-0000-00005B600000}"/>
    <cellStyle name="Normal 2 3 21 2 4 3" xfId="40255" xr:uid="{00000000-0005-0000-0000-00005C600000}"/>
    <cellStyle name="Normal 2 3 21 2 5" xfId="10340" xr:uid="{00000000-0005-0000-0000-00005D600000}"/>
    <cellStyle name="Normal 2 3 21 2 5 2" xfId="40256" xr:uid="{00000000-0005-0000-0000-00005E600000}"/>
    <cellStyle name="Normal 2 3 21 2 6" xfId="10341" xr:uid="{00000000-0005-0000-0000-00005F600000}"/>
    <cellStyle name="Normal 2 3 21 2 6 2" xfId="40257" xr:uid="{00000000-0005-0000-0000-000060600000}"/>
    <cellStyle name="Normal 2 3 21 2 7" xfId="40258" xr:uid="{00000000-0005-0000-0000-000061600000}"/>
    <cellStyle name="Normal 2 3 21 2 7 2" xfId="40259" xr:uid="{00000000-0005-0000-0000-000062600000}"/>
    <cellStyle name="Normal 2 3 21 2 8" xfId="40260" xr:uid="{00000000-0005-0000-0000-000063600000}"/>
    <cellStyle name="Normal 2 3 21 2 9" xfId="40261" xr:uid="{00000000-0005-0000-0000-000064600000}"/>
    <cellStyle name="Normal 2 3 21 3" xfId="10342" xr:uid="{00000000-0005-0000-0000-000065600000}"/>
    <cellStyle name="Normal 2 3 21 3 2" xfId="10343" xr:uid="{00000000-0005-0000-0000-000066600000}"/>
    <cellStyle name="Normal 2 3 21 3 2 2" xfId="10344" xr:uid="{00000000-0005-0000-0000-000067600000}"/>
    <cellStyle name="Normal 2 3 21 3 2 2 2" xfId="40262" xr:uid="{00000000-0005-0000-0000-000068600000}"/>
    <cellStyle name="Normal 2 3 21 3 2 3" xfId="10345" xr:uid="{00000000-0005-0000-0000-000069600000}"/>
    <cellStyle name="Normal 2 3 21 3 2 3 2" xfId="40263" xr:uid="{00000000-0005-0000-0000-00006A600000}"/>
    <cellStyle name="Normal 2 3 21 3 2 4" xfId="40264" xr:uid="{00000000-0005-0000-0000-00006B600000}"/>
    <cellStyle name="Normal 2 3 21 3 3" xfId="10346" xr:uid="{00000000-0005-0000-0000-00006C600000}"/>
    <cellStyle name="Normal 2 3 21 3 3 2" xfId="40265" xr:uid="{00000000-0005-0000-0000-00006D600000}"/>
    <cellStyle name="Normal 2 3 21 3 4" xfId="10347" xr:uid="{00000000-0005-0000-0000-00006E600000}"/>
    <cellStyle name="Normal 2 3 21 3 4 2" xfId="40266" xr:uid="{00000000-0005-0000-0000-00006F600000}"/>
    <cellStyle name="Normal 2 3 21 3 5" xfId="10348" xr:uid="{00000000-0005-0000-0000-000070600000}"/>
    <cellStyle name="Normal 2 3 21 3 5 2" xfId="40267" xr:uid="{00000000-0005-0000-0000-000071600000}"/>
    <cellStyle name="Normal 2 3 21 3 6" xfId="40268" xr:uid="{00000000-0005-0000-0000-000072600000}"/>
    <cellStyle name="Normal 2 3 21 3 6 2" xfId="40269" xr:uid="{00000000-0005-0000-0000-000073600000}"/>
    <cellStyle name="Normal 2 3 21 3 7" xfId="40270" xr:uid="{00000000-0005-0000-0000-000074600000}"/>
    <cellStyle name="Normal 2 3 21 4" xfId="10349" xr:uid="{00000000-0005-0000-0000-000075600000}"/>
    <cellStyle name="Normal 2 3 21 4 2" xfId="10350" xr:uid="{00000000-0005-0000-0000-000076600000}"/>
    <cellStyle name="Normal 2 3 21 4 2 2" xfId="40271" xr:uid="{00000000-0005-0000-0000-000077600000}"/>
    <cellStyle name="Normal 2 3 21 4 3" xfId="10351" xr:uid="{00000000-0005-0000-0000-000078600000}"/>
    <cellStyle name="Normal 2 3 21 4 3 2" xfId="40272" xr:uid="{00000000-0005-0000-0000-000079600000}"/>
    <cellStyle name="Normal 2 3 21 4 4" xfId="40273" xr:uid="{00000000-0005-0000-0000-00007A600000}"/>
    <cellStyle name="Normal 2 3 21 5" xfId="10352" xr:uid="{00000000-0005-0000-0000-00007B600000}"/>
    <cellStyle name="Normal 2 3 21 5 2" xfId="10353" xr:uid="{00000000-0005-0000-0000-00007C600000}"/>
    <cellStyle name="Normal 2 3 21 5 2 2" xfId="40274" xr:uid="{00000000-0005-0000-0000-00007D600000}"/>
    <cellStyle name="Normal 2 3 21 5 3" xfId="40275" xr:uid="{00000000-0005-0000-0000-00007E600000}"/>
    <cellStyle name="Normal 2 3 21 6" xfId="10354" xr:uid="{00000000-0005-0000-0000-00007F600000}"/>
    <cellStyle name="Normal 2 3 21 6 2" xfId="40276" xr:uid="{00000000-0005-0000-0000-000080600000}"/>
    <cellStyle name="Normal 2 3 21 7" xfId="10355" xr:uid="{00000000-0005-0000-0000-000081600000}"/>
    <cellStyle name="Normal 2 3 21 7 2" xfId="40277" xr:uid="{00000000-0005-0000-0000-000082600000}"/>
    <cellStyle name="Normal 2 3 21 8" xfId="40278" xr:uid="{00000000-0005-0000-0000-000083600000}"/>
    <cellStyle name="Normal 2 3 21 8 2" xfId="40279" xr:uid="{00000000-0005-0000-0000-000084600000}"/>
    <cellStyle name="Normal 2 3 21 9" xfId="40280" xr:uid="{00000000-0005-0000-0000-000085600000}"/>
    <cellStyle name="Normal 2 3 22" xfId="10356" xr:uid="{00000000-0005-0000-0000-000086600000}"/>
    <cellStyle name="Normal 2 3 22 10" xfId="40281" xr:uid="{00000000-0005-0000-0000-000087600000}"/>
    <cellStyle name="Normal 2 3 22 11" xfId="40282" xr:uid="{00000000-0005-0000-0000-000088600000}"/>
    <cellStyle name="Normal 2 3 22 2" xfId="10357" xr:uid="{00000000-0005-0000-0000-000089600000}"/>
    <cellStyle name="Normal 2 3 22 2 10" xfId="40283" xr:uid="{00000000-0005-0000-0000-00008A600000}"/>
    <cellStyle name="Normal 2 3 22 2 2" xfId="10358" xr:uid="{00000000-0005-0000-0000-00008B600000}"/>
    <cellStyle name="Normal 2 3 22 2 2 2" xfId="10359" xr:uid="{00000000-0005-0000-0000-00008C600000}"/>
    <cellStyle name="Normal 2 3 22 2 2 2 2" xfId="10360" xr:uid="{00000000-0005-0000-0000-00008D600000}"/>
    <cellStyle name="Normal 2 3 22 2 2 2 2 2" xfId="40284" xr:uid="{00000000-0005-0000-0000-00008E600000}"/>
    <cellStyle name="Normal 2 3 22 2 2 2 3" xfId="10361" xr:uid="{00000000-0005-0000-0000-00008F600000}"/>
    <cellStyle name="Normal 2 3 22 2 2 2 3 2" xfId="40285" xr:uid="{00000000-0005-0000-0000-000090600000}"/>
    <cellStyle name="Normal 2 3 22 2 2 2 4" xfId="40286" xr:uid="{00000000-0005-0000-0000-000091600000}"/>
    <cellStyle name="Normal 2 3 22 2 2 3" xfId="10362" xr:uid="{00000000-0005-0000-0000-000092600000}"/>
    <cellStyle name="Normal 2 3 22 2 2 3 2" xfId="40287" xr:uid="{00000000-0005-0000-0000-000093600000}"/>
    <cellStyle name="Normal 2 3 22 2 2 4" xfId="10363" xr:uid="{00000000-0005-0000-0000-000094600000}"/>
    <cellStyle name="Normal 2 3 22 2 2 4 2" xfId="40288" xr:uid="{00000000-0005-0000-0000-000095600000}"/>
    <cellStyle name="Normal 2 3 22 2 2 5" xfId="10364" xr:uid="{00000000-0005-0000-0000-000096600000}"/>
    <cellStyle name="Normal 2 3 22 2 2 5 2" xfId="40289" xr:uid="{00000000-0005-0000-0000-000097600000}"/>
    <cellStyle name="Normal 2 3 22 2 2 6" xfId="40290" xr:uid="{00000000-0005-0000-0000-000098600000}"/>
    <cellStyle name="Normal 2 3 22 2 2 6 2" xfId="40291" xr:uid="{00000000-0005-0000-0000-000099600000}"/>
    <cellStyle name="Normal 2 3 22 2 2 7" xfId="40292" xr:uid="{00000000-0005-0000-0000-00009A600000}"/>
    <cellStyle name="Normal 2 3 22 2 3" xfId="10365" xr:uid="{00000000-0005-0000-0000-00009B600000}"/>
    <cellStyle name="Normal 2 3 22 2 3 2" xfId="10366" xr:uid="{00000000-0005-0000-0000-00009C600000}"/>
    <cellStyle name="Normal 2 3 22 2 3 2 2" xfId="40293" xr:uid="{00000000-0005-0000-0000-00009D600000}"/>
    <cellStyle name="Normal 2 3 22 2 3 3" xfId="10367" xr:uid="{00000000-0005-0000-0000-00009E600000}"/>
    <cellStyle name="Normal 2 3 22 2 3 3 2" xfId="40294" xr:uid="{00000000-0005-0000-0000-00009F600000}"/>
    <cellStyle name="Normal 2 3 22 2 3 4" xfId="40295" xr:uid="{00000000-0005-0000-0000-0000A0600000}"/>
    <cellStyle name="Normal 2 3 22 2 4" xfId="10368" xr:uid="{00000000-0005-0000-0000-0000A1600000}"/>
    <cellStyle name="Normal 2 3 22 2 4 2" xfId="10369" xr:uid="{00000000-0005-0000-0000-0000A2600000}"/>
    <cellStyle name="Normal 2 3 22 2 4 2 2" xfId="40296" xr:uid="{00000000-0005-0000-0000-0000A3600000}"/>
    <cellStyle name="Normal 2 3 22 2 4 3" xfId="40297" xr:uid="{00000000-0005-0000-0000-0000A4600000}"/>
    <cellStyle name="Normal 2 3 22 2 5" xfId="10370" xr:uid="{00000000-0005-0000-0000-0000A5600000}"/>
    <cellStyle name="Normal 2 3 22 2 5 2" xfId="40298" xr:uid="{00000000-0005-0000-0000-0000A6600000}"/>
    <cellStyle name="Normal 2 3 22 2 6" xfId="10371" xr:uid="{00000000-0005-0000-0000-0000A7600000}"/>
    <cellStyle name="Normal 2 3 22 2 6 2" xfId="40299" xr:uid="{00000000-0005-0000-0000-0000A8600000}"/>
    <cellStyle name="Normal 2 3 22 2 7" xfId="40300" xr:uid="{00000000-0005-0000-0000-0000A9600000}"/>
    <cellStyle name="Normal 2 3 22 2 7 2" xfId="40301" xr:uid="{00000000-0005-0000-0000-0000AA600000}"/>
    <cellStyle name="Normal 2 3 22 2 8" xfId="40302" xr:uid="{00000000-0005-0000-0000-0000AB600000}"/>
    <cellStyle name="Normal 2 3 22 2 9" xfId="40303" xr:uid="{00000000-0005-0000-0000-0000AC600000}"/>
    <cellStyle name="Normal 2 3 22 3" xfId="10372" xr:uid="{00000000-0005-0000-0000-0000AD600000}"/>
    <cellStyle name="Normal 2 3 22 3 2" xfId="10373" xr:uid="{00000000-0005-0000-0000-0000AE600000}"/>
    <cellStyle name="Normal 2 3 22 3 2 2" xfId="10374" xr:uid="{00000000-0005-0000-0000-0000AF600000}"/>
    <cellStyle name="Normal 2 3 22 3 2 2 2" xfId="40304" xr:uid="{00000000-0005-0000-0000-0000B0600000}"/>
    <cellStyle name="Normal 2 3 22 3 2 3" xfId="10375" xr:uid="{00000000-0005-0000-0000-0000B1600000}"/>
    <cellStyle name="Normal 2 3 22 3 2 3 2" xfId="40305" xr:uid="{00000000-0005-0000-0000-0000B2600000}"/>
    <cellStyle name="Normal 2 3 22 3 2 4" xfId="40306" xr:uid="{00000000-0005-0000-0000-0000B3600000}"/>
    <cellStyle name="Normal 2 3 22 3 3" xfId="10376" xr:uid="{00000000-0005-0000-0000-0000B4600000}"/>
    <cellStyle name="Normal 2 3 22 3 3 2" xfId="40307" xr:uid="{00000000-0005-0000-0000-0000B5600000}"/>
    <cellStyle name="Normal 2 3 22 3 4" xfId="10377" xr:uid="{00000000-0005-0000-0000-0000B6600000}"/>
    <cellStyle name="Normal 2 3 22 3 4 2" xfId="40308" xr:uid="{00000000-0005-0000-0000-0000B7600000}"/>
    <cellStyle name="Normal 2 3 22 3 5" xfId="10378" xr:uid="{00000000-0005-0000-0000-0000B8600000}"/>
    <cellStyle name="Normal 2 3 22 3 5 2" xfId="40309" xr:uid="{00000000-0005-0000-0000-0000B9600000}"/>
    <cellStyle name="Normal 2 3 22 3 6" xfId="40310" xr:uid="{00000000-0005-0000-0000-0000BA600000}"/>
    <cellStyle name="Normal 2 3 22 3 6 2" xfId="40311" xr:uid="{00000000-0005-0000-0000-0000BB600000}"/>
    <cellStyle name="Normal 2 3 22 3 7" xfId="40312" xr:uid="{00000000-0005-0000-0000-0000BC600000}"/>
    <cellStyle name="Normal 2 3 22 4" xfId="10379" xr:uid="{00000000-0005-0000-0000-0000BD600000}"/>
    <cellStyle name="Normal 2 3 22 4 2" xfId="10380" xr:uid="{00000000-0005-0000-0000-0000BE600000}"/>
    <cellStyle name="Normal 2 3 22 4 2 2" xfId="40313" xr:uid="{00000000-0005-0000-0000-0000BF600000}"/>
    <cellStyle name="Normal 2 3 22 4 3" xfId="10381" xr:uid="{00000000-0005-0000-0000-0000C0600000}"/>
    <cellStyle name="Normal 2 3 22 4 3 2" xfId="40314" xr:uid="{00000000-0005-0000-0000-0000C1600000}"/>
    <cellStyle name="Normal 2 3 22 4 4" xfId="40315" xr:uid="{00000000-0005-0000-0000-0000C2600000}"/>
    <cellStyle name="Normal 2 3 22 5" xfId="10382" xr:uid="{00000000-0005-0000-0000-0000C3600000}"/>
    <cellStyle name="Normal 2 3 22 5 2" xfId="10383" xr:uid="{00000000-0005-0000-0000-0000C4600000}"/>
    <cellStyle name="Normal 2 3 22 5 2 2" xfId="40316" xr:uid="{00000000-0005-0000-0000-0000C5600000}"/>
    <cellStyle name="Normal 2 3 22 5 3" xfId="40317" xr:uid="{00000000-0005-0000-0000-0000C6600000}"/>
    <cellStyle name="Normal 2 3 22 6" xfId="10384" xr:uid="{00000000-0005-0000-0000-0000C7600000}"/>
    <cellStyle name="Normal 2 3 22 6 2" xfId="40318" xr:uid="{00000000-0005-0000-0000-0000C8600000}"/>
    <cellStyle name="Normal 2 3 22 7" xfId="10385" xr:uid="{00000000-0005-0000-0000-0000C9600000}"/>
    <cellStyle name="Normal 2 3 22 7 2" xfId="40319" xr:uid="{00000000-0005-0000-0000-0000CA600000}"/>
    <cellStyle name="Normal 2 3 22 8" xfId="40320" xr:uid="{00000000-0005-0000-0000-0000CB600000}"/>
    <cellStyle name="Normal 2 3 22 8 2" xfId="40321" xr:uid="{00000000-0005-0000-0000-0000CC600000}"/>
    <cellStyle name="Normal 2 3 22 9" xfId="40322" xr:uid="{00000000-0005-0000-0000-0000CD600000}"/>
    <cellStyle name="Normal 2 3 23" xfId="10386" xr:uid="{00000000-0005-0000-0000-0000CE600000}"/>
    <cellStyle name="Normal 2 3 23 10" xfId="40323" xr:uid="{00000000-0005-0000-0000-0000CF600000}"/>
    <cellStyle name="Normal 2 3 23 11" xfId="40324" xr:uid="{00000000-0005-0000-0000-0000D0600000}"/>
    <cellStyle name="Normal 2 3 23 2" xfId="10387" xr:uid="{00000000-0005-0000-0000-0000D1600000}"/>
    <cellStyle name="Normal 2 3 23 2 10" xfId="40325" xr:uid="{00000000-0005-0000-0000-0000D2600000}"/>
    <cellStyle name="Normal 2 3 23 2 2" xfId="10388" xr:uid="{00000000-0005-0000-0000-0000D3600000}"/>
    <cellStyle name="Normal 2 3 23 2 2 2" xfId="10389" xr:uid="{00000000-0005-0000-0000-0000D4600000}"/>
    <cellStyle name="Normal 2 3 23 2 2 2 2" xfId="10390" xr:uid="{00000000-0005-0000-0000-0000D5600000}"/>
    <cellStyle name="Normal 2 3 23 2 2 2 2 2" xfId="40326" xr:uid="{00000000-0005-0000-0000-0000D6600000}"/>
    <cellStyle name="Normal 2 3 23 2 2 2 3" xfId="10391" xr:uid="{00000000-0005-0000-0000-0000D7600000}"/>
    <cellStyle name="Normal 2 3 23 2 2 2 3 2" xfId="40327" xr:uid="{00000000-0005-0000-0000-0000D8600000}"/>
    <cellStyle name="Normal 2 3 23 2 2 2 4" xfId="40328" xr:uid="{00000000-0005-0000-0000-0000D9600000}"/>
    <cellStyle name="Normal 2 3 23 2 2 3" xfId="10392" xr:uid="{00000000-0005-0000-0000-0000DA600000}"/>
    <cellStyle name="Normal 2 3 23 2 2 3 2" xfId="40329" xr:uid="{00000000-0005-0000-0000-0000DB600000}"/>
    <cellStyle name="Normal 2 3 23 2 2 4" xfId="10393" xr:uid="{00000000-0005-0000-0000-0000DC600000}"/>
    <cellStyle name="Normal 2 3 23 2 2 4 2" xfId="40330" xr:uid="{00000000-0005-0000-0000-0000DD600000}"/>
    <cellStyle name="Normal 2 3 23 2 2 5" xfId="10394" xr:uid="{00000000-0005-0000-0000-0000DE600000}"/>
    <cellStyle name="Normal 2 3 23 2 2 5 2" xfId="40331" xr:uid="{00000000-0005-0000-0000-0000DF600000}"/>
    <cellStyle name="Normal 2 3 23 2 2 6" xfId="40332" xr:uid="{00000000-0005-0000-0000-0000E0600000}"/>
    <cellStyle name="Normal 2 3 23 2 2 6 2" xfId="40333" xr:uid="{00000000-0005-0000-0000-0000E1600000}"/>
    <cellStyle name="Normal 2 3 23 2 2 7" xfId="40334" xr:uid="{00000000-0005-0000-0000-0000E2600000}"/>
    <cellStyle name="Normal 2 3 23 2 3" xfId="10395" xr:uid="{00000000-0005-0000-0000-0000E3600000}"/>
    <cellStyle name="Normal 2 3 23 2 3 2" xfId="10396" xr:uid="{00000000-0005-0000-0000-0000E4600000}"/>
    <cellStyle name="Normal 2 3 23 2 3 2 2" xfId="40335" xr:uid="{00000000-0005-0000-0000-0000E5600000}"/>
    <cellStyle name="Normal 2 3 23 2 3 3" xfId="10397" xr:uid="{00000000-0005-0000-0000-0000E6600000}"/>
    <cellStyle name="Normal 2 3 23 2 3 3 2" xfId="40336" xr:uid="{00000000-0005-0000-0000-0000E7600000}"/>
    <cellStyle name="Normal 2 3 23 2 3 4" xfId="40337" xr:uid="{00000000-0005-0000-0000-0000E8600000}"/>
    <cellStyle name="Normal 2 3 23 2 4" xfId="10398" xr:uid="{00000000-0005-0000-0000-0000E9600000}"/>
    <cellStyle name="Normal 2 3 23 2 4 2" xfId="10399" xr:uid="{00000000-0005-0000-0000-0000EA600000}"/>
    <cellStyle name="Normal 2 3 23 2 4 2 2" xfId="40338" xr:uid="{00000000-0005-0000-0000-0000EB600000}"/>
    <cellStyle name="Normal 2 3 23 2 4 3" xfId="40339" xr:uid="{00000000-0005-0000-0000-0000EC600000}"/>
    <cellStyle name="Normal 2 3 23 2 5" xfId="10400" xr:uid="{00000000-0005-0000-0000-0000ED600000}"/>
    <cellStyle name="Normal 2 3 23 2 5 2" xfId="40340" xr:uid="{00000000-0005-0000-0000-0000EE600000}"/>
    <cellStyle name="Normal 2 3 23 2 6" xfId="10401" xr:uid="{00000000-0005-0000-0000-0000EF600000}"/>
    <cellStyle name="Normal 2 3 23 2 6 2" xfId="40341" xr:uid="{00000000-0005-0000-0000-0000F0600000}"/>
    <cellStyle name="Normal 2 3 23 2 7" xfId="40342" xr:uid="{00000000-0005-0000-0000-0000F1600000}"/>
    <cellStyle name="Normal 2 3 23 2 7 2" xfId="40343" xr:uid="{00000000-0005-0000-0000-0000F2600000}"/>
    <cellStyle name="Normal 2 3 23 2 8" xfId="40344" xr:uid="{00000000-0005-0000-0000-0000F3600000}"/>
    <cellStyle name="Normal 2 3 23 2 9" xfId="40345" xr:uid="{00000000-0005-0000-0000-0000F4600000}"/>
    <cellStyle name="Normal 2 3 23 3" xfId="10402" xr:uid="{00000000-0005-0000-0000-0000F5600000}"/>
    <cellStyle name="Normal 2 3 23 3 2" xfId="10403" xr:uid="{00000000-0005-0000-0000-0000F6600000}"/>
    <cellStyle name="Normal 2 3 23 3 2 2" xfId="10404" xr:uid="{00000000-0005-0000-0000-0000F7600000}"/>
    <cellStyle name="Normal 2 3 23 3 2 2 2" xfId="40346" xr:uid="{00000000-0005-0000-0000-0000F8600000}"/>
    <cellStyle name="Normal 2 3 23 3 2 3" xfId="10405" xr:uid="{00000000-0005-0000-0000-0000F9600000}"/>
    <cellStyle name="Normal 2 3 23 3 2 3 2" xfId="40347" xr:uid="{00000000-0005-0000-0000-0000FA600000}"/>
    <cellStyle name="Normal 2 3 23 3 2 4" xfId="40348" xr:uid="{00000000-0005-0000-0000-0000FB600000}"/>
    <cellStyle name="Normal 2 3 23 3 3" xfId="10406" xr:uid="{00000000-0005-0000-0000-0000FC600000}"/>
    <cellStyle name="Normal 2 3 23 3 3 2" xfId="40349" xr:uid="{00000000-0005-0000-0000-0000FD600000}"/>
    <cellStyle name="Normal 2 3 23 3 4" xfId="10407" xr:uid="{00000000-0005-0000-0000-0000FE600000}"/>
    <cellStyle name="Normal 2 3 23 3 4 2" xfId="40350" xr:uid="{00000000-0005-0000-0000-0000FF600000}"/>
    <cellStyle name="Normal 2 3 23 3 5" xfId="10408" xr:uid="{00000000-0005-0000-0000-000000610000}"/>
    <cellStyle name="Normal 2 3 23 3 5 2" xfId="40351" xr:uid="{00000000-0005-0000-0000-000001610000}"/>
    <cellStyle name="Normal 2 3 23 3 6" xfId="40352" xr:uid="{00000000-0005-0000-0000-000002610000}"/>
    <cellStyle name="Normal 2 3 23 3 6 2" xfId="40353" xr:uid="{00000000-0005-0000-0000-000003610000}"/>
    <cellStyle name="Normal 2 3 23 3 7" xfId="40354" xr:uid="{00000000-0005-0000-0000-000004610000}"/>
    <cellStyle name="Normal 2 3 23 4" xfId="10409" xr:uid="{00000000-0005-0000-0000-000005610000}"/>
    <cellStyle name="Normal 2 3 23 4 2" xfId="10410" xr:uid="{00000000-0005-0000-0000-000006610000}"/>
    <cellStyle name="Normal 2 3 23 4 2 2" xfId="40355" xr:uid="{00000000-0005-0000-0000-000007610000}"/>
    <cellStyle name="Normal 2 3 23 4 3" xfId="10411" xr:uid="{00000000-0005-0000-0000-000008610000}"/>
    <cellStyle name="Normal 2 3 23 4 3 2" xfId="40356" xr:uid="{00000000-0005-0000-0000-000009610000}"/>
    <cellStyle name="Normal 2 3 23 4 4" xfId="40357" xr:uid="{00000000-0005-0000-0000-00000A610000}"/>
    <cellStyle name="Normal 2 3 23 5" xfId="10412" xr:uid="{00000000-0005-0000-0000-00000B610000}"/>
    <cellStyle name="Normal 2 3 23 5 2" xfId="10413" xr:uid="{00000000-0005-0000-0000-00000C610000}"/>
    <cellStyle name="Normal 2 3 23 5 2 2" xfId="40358" xr:uid="{00000000-0005-0000-0000-00000D610000}"/>
    <cellStyle name="Normal 2 3 23 5 3" xfId="40359" xr:uid="{00000000-0005-0000-0000-00000E610000}"/>
    <cellStyle name="Normal 2 3 23 6" xfId="10414" xr:uid="{00000000-0005-0000-0000-00000F610000}"/>
    <cellStyle name="Normal 2 3 23 6 2" xfId="40360" xr:uid="{00000000-0005-0000-0000-000010610000}"/>
    <cellStyle name="Normal 2 3 23 7" xfId="10415" xr:uid="{00000000-0005-0000-0000-000011610000}"/>
    <cellStyle name="Normal 2 3 23 7 2" xfId="40361" xr:uid="{00000000-0005-0000-0000-000012610000}"/>
    <cellStyle name="Normal 2 3 23 8" xfId="40362" xr:uid="{00000000-0005-0000-0000-000013610000}"/>
    <cellStyle name="Normal 2 3 23 8 2" xfId="40363" xr:uid="{00000000-0005-0000-0000-000014610000}"/>
    <cellStyle name="Normal 2 3 23 9" xfId="40364" xr:uid="{00000000-0005-0000-0000-000015610000}"/>
    <cellStyle name="Normal 2 3 24" xfId="10416" xr:uid="{00000000-0005-0000-0000-000016610000}"/>
    <cellStyle name="Normal 2 3 24 10" xfId="40365" xr:uid="{00000000-0005-0000-0000-000017610000}"/>
    <cellStyle name="Normal 2 3 24 11" xfId="40366" xr:uid="{00000000-0005-0000-0000-000018610000}"/>
    <cellStyle name="Normal 2 3 24 2" xfId="10417" xr:uid="{00000000-0005-0000-0000-000019610000}"/>
    <cellStyle name="Normal 2 3 24 2 10" xfId="40367" xr:uid="{00000000-0005-0000-0000-00001A610000}"/>
    <cellStyle name="Normal 2 3 24 2 2" xfId="10418" xr:uid="{00000000-0005-0000-0000-00001B610000}"/>
    <cellStyle name="Normal 2 3 24 2 2 2" xfId="10419" xr:uid="{00000000-0005-0000-0000-00001C610000}"/>
    <cellStyle name="Normal 2 3 24 2 2 2 2" xfId="10420" xr:uid="{00000000-0005-0000-0000-00001D610000}"/>
    <cellStyle name="Normal 2 3 24 2 2 2 2 2" xfId="40368" xr:uid="{00000000-0005-0000-0000-00001E610000}"/>
    <cellStyle name="Normal 2 3 24 2 2 2 3" xfId="10421" xr:uid="{00000000-0005-0000-0000-00001F610000}"/>
    <cellStyle name="Normal 2 3 24 2 2 2 3 2" xfId="40369" xr:uid="{00000000-0005-0000-0000-000020610000}"/>
    <cellStyle name="Normal 2 3 24 2 2 2 4" xfId="40370" xr:uid="{00000000-0005-0000-0000-000021610000}"/>
    <cellStyle name="Normal 2 3 24 2 2 3" xfId="10422" xr:uid="{00000000-0005-0000-0000-000022610000}"/>
    <cellStyle name="Normal 2 3 24 2 2 3 2" xfId="40371" xr:uid="{00000000-0005-0000-0000-000023610000}"/>
    <cellStyle name="Normal 2 3 24 2 2 4" xfId="10423" xr:uid="{00000000-0005-0000-0000-000024610000}"/>
    <cellStyle name="Normal 2 3 24 2 2 4 2" xfId="40372" xr:uid="{00000000-0005-0000-0000-000025610000}"/>
    <cellStyle name="Normal 2 3 24 2 2 5" xfId="10424" xr:uid="{00000000-0005-0000-0000-000026610000}"/>
    <cellStyle name="Normal 2 3 24 2 2 5 2" xfId="40373" xr:uid="{00000000-0005-0000-0000-000027610000}"/>
    <cellStyle name="Normal 2 3 24 2 2 6" xfId="40374" xr:uid="{00000000-0005-0000-0000-000028610000}"/>
    <cellStyle name="Normal 2 3 24 2 2 6 2" xfId="40375" xr:uid="{00000000-0005-0000-0000-000029610000}"/>
    <cellStyle name="Normal 2 3 24 2 2 7" xfId="40376" xr:uid="{00000000-0005-0000-0000-00002A610000}"/>
    <cellStyle name="Normal 2 3 24 2 3" xfId="10425" xr:uid="{00000000-0005-0000-0000-00002B610000}"/>
    <cellStyle name="Normal 2 3 24 2 3 2" xfId="10426" xr:uid="{00000000-0005-0000-0000-00002C610000}"/>
    <cellStyle name="Normal 2 3 24 2 3 2 2" xfId="40377" xr:uid="{00000000-0005-0000-0000-00002D610000}"/>
    <cellStyle name="Normal 2 3 24 2 3 3" xfId="10427" xr:uid="{00000000-0005-0000-0000-00002E610000}"/>
    <cellStyle name="Normal 2 3 24 2 3 3 2" xfId="40378" xr:uid="{00000000-0005-0000-0000-00002F610000}"/>
    <cellStyle name="Normal 2 3 24 2 3 4" xfId="40379" xr:uid="{00000000-0005-0000-0000-000030610000}"/>
    <cellStyle name="Normal 2 3 24 2 4" xfId="10428" xr:uid="{00000000-0005-0000-0000-000031610000}"/>
    <cellStyle name="Normal 2 3 24 2 4 2" xfId="10429" xr:uid="{00000000-0005-0000-0000-000032610000}"/>
    <cellStyle name="Normal 2 3 24 2 4 2 2" xfId="40380" xr:uid="{00000000-0005-0000-0000-000033610000}"/>
    <cellStyle name="Normal 2 3 24 2 4 3" xfId="40381" xr:uid="{00000000-0005-0000-0000-000034610000}"/>
    <cellStyle name="Normal 2 3 24 2 5" xfId="10430" xr:uid="{00000000-0005-0000-0000-000035610000}"/>
    <cellStyle name="Normal 2 3 24 2 5 2" xfId="40382" xr:uid="{00000000-0005-0000-0000-000036610000}"/>
    <cellStyle name="Normal 2 3 24 2 6" xfId="10431" xr:uid="{00000000-0005-0000-0000-000037610000}"/>
    <cellStyle name="Normal 2 3 24 2 6 2" xfId="40383" xr:uid="{00000000-0005-0000-0000-000038610000}"/>
    <cellStyle name="Normal 2 3 24 2 7" xfId="40384" xr:uid="{00000000-0005-0000-0000-000039610000}"/>
    <cellStyle name="Normal 2 3 24 2 7 2" xfId="40385" xr:uid="{00000000-0005-0000-0000-00003A610000}"/>
    <cellStyle name="Normal 2 3 24 2 8" xfId="40386" xr:uid="{00000000-0005-0000-0000-00003B610000}"/>
    <cellStyle name="Normal 2 3 24 2 9" xfId="40387" xr:uid="{00000000-0005-0000-0000-00003C610000}"/>
    <cellStyle name="Normal 2 3 24 3" xfId="10432" xr:uid="{00000000-0005-0000-0000-00003D610000}"/>
    <cellStyle name="Normal 2 3 24 3 2" xfId="10433" xr:uid="{00000000-0005-0000-0000-00003E610000}"/>
    <cellStyle name="Normal 2 3 24 3 2 2" xfId="10434" xr:uid="{00000000-0005-0000-0000-00003F610000}"/>
    <cellStyle name="Normal 2 3 24 3 2 2 2" xfId="40388" xr:uid="{00000000-0005-0000-0000-000040610000}"/>
    <cellStyle name="Normal 2 3 24 3 2 3" xfId="10435" xr:uid="{00000000-0005-0000-0000-000041610000}"/>
    <cellStyle name="Normal 2 3 24 3 2 3 2" xfId="40389" xr:uid="{00000000-0005-0000-0000-000042610000}"/>
    <cellStyle name="Normal 2 3 24 3 2 4" xfId="40390" xr:uid="{00000000-0005-0000-0000-000043610000}"/>
    <cellStyle name="Normal 2 3 24 3 3" xfId="10436" xr:uid="{00000000-0005-0000-0000-000044610000}"/>
    <cellStyle name="Normal 2 3 24 3 3 2" xfId="40391" xr:uid="{00000000-0005-0000-0000-000045610000}"/>
    <cellStyle name="Normal 2 3 24 3 4" xfId="10437" xr:uid="{00000000-0005-0000-0000-000046610000}"/>
    <cellStyle name="Normal 2 3 24 3 4 2" xfId="40392" xr:uid="{00000000-0005-0000-0000-000047610000}"/>
    <cellStyle name="Normal 2 3 24 3 5" xfId="10438" xr:uid="{00000000-0005-0000-0000-000048610000}"/>
    <cellStyle name="Normal 2 3 24 3 5 2" xfId="40393" xr:uid="{00000000-0005-0000-0000-000049610000}"/>
    <cellStyle name="Normal 2 3 24 3 6" xfId="40394" xr:uid="{00000000-0005-0000-0000-00004A610000}"/>
    <cellStyle name="Normal 2 3 24 3 6 2" xfId="40395" xr:uid="{00000000-0005-0000-0000-00004B610000}"/>
    <cellStyle name="Normal 2 3 24 3 7" xfId="40396" xr:uid="{00000000-0005-0000-0000-00004C610000}"/>
    <cellStyle name="Normal 2 3 24 4" xfId="10439" xr:uid="{00000000-0005-0000-0000-00004D610000}"/>
    <cellStyle name="Normal 2 3 24 4 2" xfId="10440" xr:uid="{00000000-0005-0000-0000-00004E610000}"/>
    <cellStyle name="Normal 2 3 24 4 2 2" xfId="40397" xr:uid="{00000000-0005-0000-0000-00004F610000}"/>
    <cellStyle name="Normal 2 3 24 4 3" xfId="10441" xr:uid="{00000000-0005-0000-0000-000050610000}"/>
    <cellStyle name="Normal 2 3 24 4 3 2" xfId="40398" xr:uid="{00000000-0005-0000-0000-000051610000}"/>
    <cellStyle name="Normal 2 3 24 4 4" xfId="40399" xr:uid="{00000000-0005-0000-0000-000052610000}"/>
    <cellStyle name="Normal 2 3 24 5" xfId="10442" xr:uid="{00000000-0005-0000-0000-000053610000}"/>
    <cellStyle name="Normal 2 3 24 5 2" xfId="10443" xr:uid="{00000000-0005-0000-0000-000054610000}"/>
    <cellStyle name="Normal 2 3 24 5 2 2" xfId="40400" xr:uid="{00000000-0005-0000-0000-000055610000}"/>
    <cellStyle name="Normal 2 3 24 5 3" xfId="40401" xr:uid="{00000000-0005-0000-0000-000056610000}"/>
    <cellStyle name="Normal 2 3 24 6" xfId="10444" xr:uid="{00000000-0005-0000-0000-000057610000}"/>
    <cellStyle name="Normal 2 3 24 6 2" xfId="40402" xr:uid="{00000000-0005-0000-0000-000058610000}"/>
    <cellStyle name="Normal 2 3 24 7" xfId="10445" xr:uid="{00000000-0005-0000-0000-000059610000}"/>
    <cellStyle name="Normal 2 3 24 7 2" xfId="40403" xr:uid="{00000000-0005-0000-0000-00005A610000}"/>
    <cellStyle name="Normal 2 3 24 8" xfId="40404" xr:uid="{00000000-0005-0000-0000-00005B610000}"/>
    <cellStyle name="Normal 2 3 24 8 2" xfId="40405" xr:uid="{00000000-0005-0000-0000-00005C610000}"/>
    <cellStyle name="Normal 2 3 24 9" xfId="40406" xr:uid="{00000000-0005-0000-0000-00005D610000}"/>
    <cellStyle name="Normal 2 3 25" xfId="10446" xr:uid="{00000000-0005-0000-0000-00005E610000}"/>
    <cellStyle name="Normal 2 3 25 10" xfId="40407" xr:uid="{00000000-0005-0000-0000-00005F610000}"/>
    <cellStyle name="Normal 2 3 25 11" xfId="40408" xr:uid="{00000000-0005-0000-0000-000060610000}"/>
    <cellStyle name="Normal 2 3 25 2" xfId="10447" xr:uid="{00000000-0005-0000-0000-000061610000}"/>
    <cellStyle name="Normal 2 3 25 2 10" xfId="40409" xr:uid="{00000000-0005-0000-0000-000062610000}"/>
    <cellStyle name="Normal 2 3 25 2 2" xfId="10448" xr:uid="{00000000-0005-0000-0000-000063610000}"/>
    <cellStyle name="Normal 2 3 25 2 2 2" xfId="10449" xr:uid="{00000000-0005-0000-0000-000064610000}"/>
    <cellStyle name="Normal 2 3 25 2 2 2 2" xfId="10450" xr:uid="{00000000-0005-0000-0000-000065610000}"/>
    <cellStyle name="Normal 2 3 25 2 2 2 2 2" xfId="40410" xr:uid="{00000000-0005-0000-0000-000066610000}"/>
    <cellStyle name="Normal 2 3 25 2 2 2 3" xfId="10451" xr:uid="{00000000-0005-0000-0000-000067610000}"/>
    <cellStyle name="Normal 2 3 25 2 2 2 3 2" xfId="40411" xr:uid="{00000000-0005-0000-0000-000068610000}"/>
    <cellStyle name="Normal 2 3 25 2 2 2 4" xfId="40412" xr:uid="{00000000-0005-0000-0000-000069610000}"/>
    <cellStyle name="Normal 2 3 25 2 2 3" xfId="10452" xr:uid="{00000000-0005-0000-0000-00006A610000}"/>
    <cellStyle name="Normal 2 3 25 2 2 3 2" xfId="40413" xr:uid="{00000000-0005-0000-0000-00006B610000}"/>
    <cellStyle name="Normal 2 3 25 2 2 4" xfId="10453" xr:uid="{00000000-0005-0000-0000-00006C610000}"/>
    <cellStyle name="Normal 2 3 25 2 2 4 2" xfId="40414" xr:uid="{00000000-0005-0000-0000-00006D610000}"/>
    <cellStyle name="Normal 2 3 25 2 2 5" xfId="10454" xr:uid="{00000000-0005-0000-0000-00006E610000}"/>
    <cellStyle name="Normal 2 3 25 2 2 5 2" xfId="40415" xr:uid="{00000000-0005-0000-0000-00006F610000}"/>
    <cellStyle name="Normal 2 3 25 2 2 6" xfId="40416" xr:uid="{00000000-0005-0000-0000-000070610000}"/>
    <cellStyle name="Normal 2 3 25 2 2 6 2" xfId="40417" xr:uid="{00000000-0005-0000-0000-000071610000}"/>
    <cellStyle name="Normal 2 3 25 2 2 7" xfId="40418" xr:uid="{00000000-0005-0000-0000-000072610000}"/>
    <cellStyle name="Normal 2 3 25 2 3" xfId="10455" xr:uid="{00000000-0005-0000-0000-000073610000}"/>
    <cellStyle name="Normal 2 3 25 2 3 2" xfId="10456" xr:uid="{00000000-0005-0000-0000-000074610000}"/>
    <cellStyle name="Normal 2 3 25 2 3 2 2" xfId="40419" xr:uid="{00000000-0005-0000-0000-000075610000}"/>
    <cellStyle name="Normal 2 3 25 2 3 3" xfId="10457" xr:uid="{00000000-0005-0000-0000-000076610000}"/>
    <cellStyle name="Normal 2 3 25 2 3 3 2" xfId="40420" xr:uid="{00000000-0005-0000-0000-000077610000}"/>
    <cellStyle name="Normal 2 3 25 2 3 4" xfId="40421" xr:uid="{00000000-0005-0000-0000-000078610000}"/>
    <cellStyle name="Normal 2 3 25 2 4" xfId="10458" xr:uid="{00000000-0005-0000-0000-000079610000}"/>
    <cellStyle name="Normal 2 3 25 2 4 2" xfId="10459" xr:uid="{00000000-0005-0000-0000-00007A610000}"/>
    <cellStyle name="Normal 2 3 25 2 4 2 2" xfId="40422" xr:uid="{00000000-0005-0000-0000-00007B610000}"/>
    <cellStyle name="Normal 2 3 25 2 4 3" xfId="40423" xr:uid="{00000000-0005-0000-0000-00007C610000}"/>
    <cellStyle name="Normal 2 3 25 2 5" xfId="10460" xr:uid="{00000000-0005-0000-0000-00007D610000}"/>
    <cellStyle name="Normal 2 3 25 2 5 2" xfId="40424" xr:uid="{00000000-0005-0000-0000-00007E610000}"/>
    <cellStyle name="Normal 2 3 25 2 6" xfId="10461" xr:uid="{00000000-0005-0000-0000-00007F610000}"/>
    <cellStyle name="Normal 2 3 25 2 6 2" xfId="40425" xr:uid="{00000000-0005-0000-0000-000080610000}"/>
    <cellStyle name="Normal 2 3 25 2 7" xfId="40426" xr:uid="{00000000-0005-0000-0000-000081610000}"/>
    <cellStyle name="Normal 2 3 25 2 7 2" xfId="40427" xr:uid="{00000000-0005-0000-0000-000082610000}"/>
    <cellStyle name="Normal 2 3 25 2 8" xfId="40428" xr:uid="{00000000-0005-0000-0000-000083610000}"/>
    <cellStyle name="Normal 2 3 25 2 9" xfId="40429" xr:uid="{00000000-0005-0000-0000-000084610000}"/>
    <cellStyle name="Normal 2 3 25 3" xfId="10462" xr:uid="{00000000-0005-0000-0000-000085610000}"/>
    <cellStyle name="Normal 2 3 25 3 2" xfId="10463" xr:uid="{00000000-0005-0000-0000-000086610000}"/>
    <cellStyle name="Normal 2 3 25 3 2 2" xfId="10464" xr:uid="{00000000-0005-0000-0000-000087610000}"/>
    <cellStyle name="Normal 2 3 25 3 2 2 2" xfId="40430" xr:uid="{00000000-0005-0000-0000-000088610000}"/>
    <cellStyle name="Normal 2 3 25 3 2 3" xfId="10465" xr:uid="{00000000-0005-0000-0000-000089610000}"/>
    <cellStyle name="Normal 2 3 25 3 2 3 2" xfId="40431" xr:uid="{00000000-0005-0000-0000-00008A610000}"/>
    <cellStyle name="Normal 2 3 25 3 2 4" xfId="40432" xr:uid="{00000000-0005-0000-0000-00008B610000}"/>
    <cellStyle name="Normal 2 3 25 3 3" xfId="10466" xr:uid="{00000000-0005-0000-0000-00008C610000}"/>
    <cellStyle name="Normal 2 3 25 3 3 2" xfId="40433" xr:uid="{00000000-0005-0000-0000-00008D610000}"/>
    <cellStyle name="Normal 2 3 25 3 4" xfId="10467" xr:uid="{00000000-0005-0000-0000-00008E610000}"/>
    <cellStyle name="Normal 2 3 25 3 4 2" xfId="40434" xr:uid="{00000000-0005-0000-0000-00008F610000}"/>
    <cellStyle name="Normal 2 3 25 3 5" xfId="10468" xr:uid="{00000000-0005-0000-0000-000090610000}"/>
    <cellStyle name="Normal 2 3 25 3 5 2" xfId="40435" xr:uid="{00000000-0005-0000-0000-000091610000}"/>
    <cellStyle name="Normal 2 3 25 3 6" xfId="40436" xr:uid="{00000000-0005-0000-0000-000092610000}"/>
    <cellStyle name="Normal 2 3 25 3 6 2" xfId="40437" xr:uid="{00000000-0005-0000-0000-000093610000}"/>
    <cellStyle name="Normal 2 3 25 3 7" xfId="40438" xr:uid="{00000000-0005-0000-0000-000094610000}"/>
    <cellStyle name="Normal 2 3 25 4" xfId="10469" xr:uid="{00000000-0005-0000-0000-000095610000}"/>
    <cellStyle name="Normal 2 3 25 4 2" xfId="10470" xr:uid="{00000000-0005-0000-0000-000096610000}"/>
    <cellStyle name="Normal 2 3 25 4 2 2" xfId="40439" xr:uid="{00000000-0005-0000-0000-000097610000}"/>
    <cellStyle name="Normal 2 3 25 4 3" xfId="10471" xr:uid="{00000000-0005-0000-0000-000098610000}"/>
    <cellStyle name="Normal 2 3 25 4 3 2" xfId="40440" xr:uid="{00000000-0005-0000-0000-000099610000}"/>
    <cellStyle name="Normal 2 3 25 4 4" xfId="40441" xr:uid="{00000000-0005-0000-0000-00009A610000}"/>
    <cellStyle name="Normal 2 3 25 5" xfId="10472" xr:uid="{00000000-0005-0000-0000-00009B610000}"/>
    <cellStyle name="Normal 2 3 25 5 2" xfId="10473" xr:uid="{00000000-0005-0000-0000-00009C610000}"/>
    <cellStyle name="Normal 2 3 25 5 2 2" xfId="40442" xr:uid="{00000000-0005-0000-0000-00009D610000}"/>
    <cellStyle name="Normal 2 3 25 5 3" xfId="40443" xr:uid="{00000000-0005-0000-0000-00009E610000}"/>
    <cellStyle name="Normal 2 3 25 6" xfId="10474" xr:uid="{00000000-0005-0000-0000-00009F610000}"/>
    <cellStyle name="Normal 2 3 25 6 2" xfId="40444" xr:uid="{00000000-0005-0000-0000-0000A0610000}"/>
    <cellStyle name="Normal 2 3 25 7" xfId="10475" xr:uid="{00000000-0005-0000-0000-0000A1610000}"/>
    <cellStyle name="Normal 2 3 25 7 2" xfId="40445" xr:uid="{00000000-0005-0000-0000-0000A2610000}"/>
    <cellStyle name="Normal 2 3 25 8" xfId="40446" xr:uid="{00000000-0005-0000-0000-0000A3610000}"/>
    <cellStyle name="Normal 2 3 25 8 2" xfId="40447" xr:uid="{00000000-0005-0000-0000-0000A4610000}"/>
    <cellStyle name="Normal 2 3 25 9" xfId="40448" xr:uid="{00000000-0005-0000-0000-0000A5610000}"/>
    <cellStyle name="Normal 2 3 26" xfId="10476" xr:uid="{00000000-0005-0000-0000-0000A6610000}"/>
    <cellStyle name="Normal 2 3 26 10" xfId="40449" xr:uid="{00000000-0005-0000-0000-0000A7610000}"/>
    <cellStyle name="Normal 2 3 26 11" xfId="40450" xr:uid="{00000000-0005-0000-0000-0000A8610000}"/>
    <cellStyle name="Normal 2 3 26 2" xfId="10477" xr:uid="{00000000-0005-0000-0000-0000A9610000}"/>
    <cellStyle name="Normal 2 3 26 2 10" xfId="40451" xr:uid="{00000000-0005-0000-0000-0000AA610000}"/>
    <cellStyle name="Normal 2 3 26 2 2" xfId="10478" xr:uid="{00000000-0005-0000-0000-0000AB610000}"/>
    <cellStyle name="Normal 2 3 26 2 2 2" xfId="10479" xr:uid="{00000000-0005-0000-0000-0000AC610000}"/>
    <cellStyle name="Normal 2 3 26 2 2 2 2" xfId="10480" xr:uid="{00000000-0005-0000-0000-0000AD610000}"/>
    <cellStyle name="Normal 2 3 26 2 2 2 2 2" xfId="40452" xr:uid="{00000000-0005-0000-0000-0000AE610000}"/>
    <cellStyle name="Normal 2 3 26 2 2 2 3" xfId="10481" xr:uid="{00000000-0005-0000-0000-0000AF610000}"/>
    <cellStyle name="Normal 2 3 26 2 2 2 3 2" xfId="40453" xr:uid="{00000000-0005-0000-0000-0000B0610000}"/>
    <cellStyle name="Normal 2 3 26 2 2 2 4" xfId="40454" xr:uid="{00000000-0005-0000-0000-0000B1610000}"/>
    <cellStyle name="Normal 2 3 26 2 2 3" xfId="10482" xr:uid="{00000000-0005-0000-0000-0000B2610000}"/>
    <cellStyle name="Normal 2 3 26 2 2 3 2" xfId="40455" xr:uid="{00000000-0005-0000-0000-0000B3610000}"/>
    <cellStyle name="Normal 2 3 26 2 2 4" xfId="10483" xr:uid="{00000000-0005-0000-0000-0000B4610000}"/>
    <cellStyle name="Normal 2 3 26 2 2 4 2" xfId="40456" xr:uid="{00000000-0005-0000-0000-0000B5610000}"/>
    <cellStyle name="Normal 2 3 26 2 2 5" xfId="10484" xr:uid="{00000000-0005-0000-0000-0000B6610000}"/>
    <cellStyle name="Normal 2 3 26 2 2 5 2" xfId="40457" xr:uid="{00000000-0005-0000-0000-0000B7610000}"/>
    <cellStyle name="Normal 2 3 26 2 2 6" xfId="40458" xr:uid="{00000000-0005-0000-0000-0000B8610000}"/>
    <cellStyle name="Normal 2 3 26 2 2 6 2" xfId="40459" xr:uid="{00000000-0005-0000-0000-0000B9610000}"/>
    <cellStyle name="Normal 2 3 26 2 2 7" xfId="40460" xr:uid="{00000000-0005-0000-0000-0000BA610000}"/>
    <cellStyle name="Normal 2 3 26 2 3" xfId="10485" xr:uid="{00000000-0005-0000-0000-0000BB610000}"/>
    <cellStyle name="Normal 2 3 26 2 3 2" xfId="10486" xr:uid="{00000000-0005-0000-0000-0000BC610000}"/>
    <cellStyle name="Normal 2 3 26 2 3 2 2" xfId="40461" xr:uid="{00000000-0005-0000-0000-0000BD610000}"/>
    <cellStyle name="Normal 2 3 26 2 3 3" xfId="10487" xr:uid="{00000000-0005-0000-0000-0000BE610000}"/>
    <cellStyle name="Normal 2 3 26 2 3 3 2" xfId="40462" xr:uid="{00000000-0005-0000-0000-0000BF610000}"/>
    <cellStyle name="Normal 2 3 26 2 3 4" xfId="40463" xr:uid="{00000000-0005-0000-0000-0000C0610000}"/>
    <cellStyle name="Normal 2 3 26 2 4" xfId="10488" xr:uid="{00000000-0005-0000-0000-0000C1610000}"/>
    <cellStyle name="Normal 2 3 26 2 4 2" xfId="10489" xr:uid="{00000000-0005-0000-0000-0000C2610000}"/>
    <cellStyle name="Normal 2 3 26 2 4 2 2" xfId="40464" xr:uid="{00000000-0005-0000-0000-0000C3610000}"/>
    <cellStyle name="Normal 2 3 26 2 4 3" xfId="40465" xr:uid="{00000000-0005-0000-0000-0000C4610000}"/>
    <cellStyle name="Normal 2 3 26 2 5" xfId="10490" xr:uid="{00000000-0005-0000-0000-0000C5610000}"/>
    <cellStyle name="Normal 2 3 26 2 5 2" xfId="40466" xr:uid="{00000000-0005-0000-0000-0000C6610000}"/>
    <cellStyle name="Normal 2 3 26 2 6" xfId="10491" xr:uid="{00000000-0005-0000-0000-0000C7610000}"/>
    <cellStyle name="Normal 2 3 26 2 6 2" xfId="40467" xr:uid="{00000000-0005-0000-0000-0000C8610000}"/>
    <cellStyle name="Normal 2 3 26 2 7" xfId="40468" xr:uid="{00000000-0005-0000-0000-0000C9610000}"/>
    <cellStyle name="Normal 2 3 26 2 7 2" xfId="40469" xr:uid="{00000000-0005-0000-0000-0000CA610000}"/>
    <cellStyle name="Normal 2 3 26 2 8" xfId="40470" xr:uid="{00000000-0005-0000-0000-0000CB610000}"/>
    <cellStyle name="Normal 2 3 26 2 9" xfId="40471" xr:uid="{00000000-0005-0000-0000-0000CC610000}"/>
    <cellStyle name="Normal 2 3 26 3" xfId="10492" xr:uid="{00000000-0005-0000-0000-0000CD610000}"/>
    <cellStyle name="Normal 2 3 26 3 2" xfId="10493" xr:uid="{00000000-0005-0000-0000-0000CE610000}"/>
    <cellStyle name="Normal 2 3 26 3 2 2" xfId="10494" xr:uid="{00000000-0005-0000-0000-0000CF610000}"/>
    <cellStyle name="Normal 2 3 26 3 2 2 2" xfId="40472" xr:uid="{00000000-0005-0000-0000-0000D0610000}"/>
    <cellStyle name="Normal 2 3 26 3 2 3" xfId="10495" xr:uid="{00000000-0005-0000-0000-0000D1610000}"/>
    <cellStyle name="Normal 2 3 26 3 2 3 2" xfId="40473" xr:uid="{00000000-0005-0000-0000-0000D2610000}"/>
    <cellStyle name="Normal 2 3 26 3 2 4" xfId="40474" xr:uid="{00000000-0005-0000-0000-0000D3610000}"/>
    <cellStyle name="Normal 2 3 26 3 3" xfId="10496" xr:uid="{00000000-0005-0000-0000-0000D4610000}"/>
    <cellStyle name="Normal 2 3 26 3 3 2" xfId="40475" xr:uid="{00000000-0005-0000-0000-0000D5610000}"/>
    <cellStyle name="Normal 2 3 26 3 4" xfId="10497" xr:uid="{00000000-0005-0000-0000-0000D6610000}"/>
    <cellStyle name="Normal 2 3 26 3 4 2" xfId="40476" xr:uid="{00000000-0005-0000-0000-0000D7610000}"/>
    <cellStyle name="Normal 2 3 26 3 5" xfId="10498" xr:uid="{00000000-0005-0000-0000-0000D8610000}"/>
    <cellStyle name="Normal 2 3 26 3 5 2" xfId="40477" xr:uid="{00000000-0005-0000-0000-0000D9610000}"/>
    <cellStyle name="Normal 2 3 26 3 6" xfId="40478" xr:uid="{00000000-0005-0000-0000-0000DA610000}"/>
    <cellStyle name="Normal 2 3 26 3 6 2" xfId="40479" xr:uid="{00000000-0005-0000-0000-0000DB610000}"/>
    <cellStyle name="Normal 2 3 26 3 7" xfId="40480" xr:uid="{00000000-0005-0000-0000-0000DC610000}"/>
    <cellStyle name="Normal 2 3 26 4" xfId="10499" xr:uid="{00000000-0005-0000-0000-0000DD610000}"/>
    <cellStyle name="Normal 2 3 26 4 2" xfId="10500" xr:uid="{00000000-0005-0000-0000-0000DE610000}"/>
    <cellStyle name="Normal 2 3 26 4 2 2" xfId="40481" xr:uid="{00000000-0005-0000-0000-0000DF610000}"/>
    <cellStyle name="Normal 2 3 26 4 3" xfId="10501" xr:uid="{00000000-0005-0000-0000-0000E0610000}"/>
    <cellStyle name="Normal 2 3 26 4 3 2" xfId="40482" xr:uid="{00000000-0005-0000-0000-0000E1610000}"/>
    <cellStyle name="Normal 2 3 26 4 4" xfId="40483" xr:uid="{00000000-0005-0000-0000-0000E2610000}"/>
    <cellStyle name="Normal 2 3 26 5" xfId="10502" xr:uid="{00000000-0005-0000-0000-0000E3610000}"/>
    <cellStyle name="Normal 2 3 26 5 2" xfId="10503" xr:uid="{00000000-0005-0000-0000-0000E4610000}"/>
    <cellStyle name="Normal 2 3 26 5 2 2" xfId="40484" xr:uid="{00000000-0005-0000-0000-0000E5610000}"/>
    <cellStyle name="Normal 2 3 26 5 3" xfId="40485" xr:uid="{00000000-0005-0000-0000-0000E6610000}"/>
    <cellStyle name="Normal 2 3 26 6" xfId="10504" xr:uid="{00000000-0005-0000-0000-0000E7610000}"/>
    <cellStyle name="Normal 2 3 26 6 2" xfId="40486" xr:uid="{00000000-0005-0000-0000-0000E8610000}"/>
    <cellStyle name="Normal 2 3 26 7" xfId="10505" xr:uid="{00000000-0005-0000-0000-0000E9610000}"/>
    <cellStyle name="Normal 2 3 26 7 2" xfId="40487" xr:uid="{00000000-0005-0000-0000-0000EA610000}"/>
    <cellStyle name="Normal 2 3 26 8" xfId="40488" xr:uid="{00000000-0005-0000-0000-0000EB610000}"/>
    <cellStyle name="Normal 2 3 26 8 2" xfId="40489" xr:uid="{00000000-0005-0000-0000-0000EC610000}"/>
    <cellStyle name="Normal 2 3 26 9" xfId="40490" xr:uid="{00000000-0005-0000-0000-0000ED610000}"/>
    <cellStyle name="Normal 2 3 27" xfId="10506" xr:uid="{00000000-0005-0000-0000-0000EE610000}"/>
    <cellStyle name="Normal 2 3 27 10" xfId="40491" xr:uid="{00000000-0005-0000-0000-0000EF610000}"/>
    <cellStyle name="Normal 2 3 27 11" xfId="40492" xr:uid="{00000000-0005-0000-0000-0000F0610000}"/>
    <cellStyle name="Normal 2 3 27 2" xfId="10507" xr:uid="{00000000-0005-0000-0000-0000F1610000}"/>
    <cellStyle name="Normal 2 3 27 2 10" xfId="40493" xr:uid="{00000000-0005-0000-0000-0000F2610000}"/>
    <cellStyle name="Normal 2 3 27 2 2" xfId="10508" xr:uid="{00000000-0005-0000-0000-0000F3610000}"/>
    <cellStyle name="Normal 2 3 27 2 2 2" xfId="10509" xr:uid="{00000000-0005-0000-0000-0000F4610000}"/>
    <cellStyle name="Normal 2 3 27 2 2 2 2" xfId="10510" xr:uid="{00000000-0005-0000-0000-0000F5610000}"/>
    <cellStyle name="Normal 2 3 27 2 2 2 2 2" xfId="40494" xr:uid="{00000000-0005-0000-0000-0000F6610000}"/>
    <cellStyle name="Normal 2 3 27 2 2 2 3" xfId="10511" xr:uid="{00000000-0005-0000-0000-0000F7610000}"/>
    <cellStyle name="Normal 2 3 27 2 2 2 3 2" xfId="40495" xr:uid="{00000000-0005-0000-0000-0000F8610000}"/>
    <cellStyle name="Normal 2 3 27 2 2 2 4" xfId="40496" xr:uid="{00000000-0005-0000-0000-0000F9610000}"/>
    <cellStyle name="Normal 2 3 27 2 2 3" xfId="10512" xr:uid="{00000000-0005-0000-0000-0000FA610000}"/>
    <cellStyle name="Normal 2 3 27 2 2 3 2" xfId="40497" xr:uid="{00000000-0005-0000-0000-0000FB610000}"/>
    <cellStyle name="Normal 2 3 27 2 2 4" xfId="10513" xr:uid="{00000000-0005-0000-0000-0000FC610000}"/>
    <cellStyle name="Normal 2 3 27 2 2 4 2" xfId="40498" xr:uid="{00000000-0005-0000-0000-0000FD610000}"/>
    <cellStyle name="Normal 2 3 27 2 2 5" xfId="10514" xr:uid="{00000000-0005-0000-0000-0000FE610000}"/>
    <cellStyle name="Normal 2 3 27 2 2 5 2" xfId="40499" xr:uid="{00000000-0005-0000-0000-0000FF610000}"/>
    <cellStyle name="Normal 2 3 27 2 2 6" xfId="40500" xr:uid="{00000000-0005-0000-0000-000000620000}"/>
    <cellStyle name="Normal 2 3 27 2 2 6 2" xfId="40501" xr:uid="{00000000-0005-0000-0000-000001620000}"/>
    <cellStyle name="Normal 2 3 27 2 2 7" xfId="40502" xr:uid="{00000000-0005-0000-0000-000002620000}"/>
    <cellStyle name="Normal 2 3 27 2 3" xfId="10515" xr:uid="{00000000-0005-0000-0000-000003620000}"/>
    <cellStyle name="Normal 2 3 27 2 3 2" xfId="10516" xr:uid="{00000000-0005-0000-0000-000004620000}"/>
    <cellStyle name="Normal 2 3 27 2 3 2 2" xfId="40503" xr:uid="{00000000-0005-0000-0000-000005620000}"/>
    <cellStyle name="Normal 2 3 27 2 3 3" xfId="10517" xr:uid="{00000000-0005-0000-0000-000006620000}"/>
    <cellStyle name="Normal 2 3 27 2 3 3 2" xfId="40504" xr:uid="{00000000-0005-0000-0000-000007620000}"/>
    <cellStyle name="Normal 2 3 27 2 3 4" xfId="40505" xr:uid="{00000000-0005-0000-0000-000008620000}"/>
    <cellStyle name="Normal 2 3 27 2 4" xfId="10518" xr:uid="{00000000-0005-0000-0000-000009620000}"/>
    <cellStyle name="Normal 2 3 27 2 4 2" xfId="10519" xr:uid="{00000000-0005-0000-0000-00000A620000}"/>
    <cellStyle name="Normal 2 3 27 2 4 2 2" xfId="40506" xr:uid="{00000000-0005-0000-0000-00000B620000}"/>
    <cellStyle name="Normal 2 3 27 2 4 3" xfId="40507" xr:uid="{00000000-0005-0000-0000-00000C620000}"/>
    <cellStyle name="Normal 2 3 27 2 5" xfId="10520" xr:uid="{00000000-0005-0000-0000-00000D620000}"/>
    <cellStyle name="Normal 2 3 27 2 5 2" xfId="40508" xr:uid="{00000000-0005-0000-0000-00000E620000}"/>
    <cellStyle name="Normal 2 3 27 2 6" xfId="10521" xr:uid="{00000000-0005-0000-0000-00000F620000}"/>
    <cellStyle name="Normal 2 3 27 2 6 2" xfId="40509" xr:uid="{00000000-0005-0000-0000-000010620000}"/>
    <cellStyle name="Normal 2 3 27 2 7" xfId="40510" xr:uid="{00000000-0005-0000-0000-000011620000}"/>
    <cellStyle name="Normal 2 3 27 2 7 2" xfId="40511" xr:uid="{00000000-0005-0000-0000-000012620000}"/>
    <cellStyle name="Normal 2 3 27 2 8" xfId="40512" xr:uid="{00000000-0005-0000-0000-000013620000}"/>
    <cellStyle name="Normal 2 3 27 2 9" xfId="40513" xr:uid="{00000000-0005-0000-0000-000014620000}"/>
    <cellStyle name="Normal 2 3 27 3" xfId="10522" xr:uid="{00000000-0005-0000-0000-000015620000}"/>
    <cellStyle name="Normal 2 3 27 3 2" xfId="10523" xr:uid="{00000000-0005-0000-0000-000016620000}"/>
    <cellStyle name="Normal 2 3 27 3 2 2" xfId="10524" xr:uid="{00000000-0005-0000-0000-000017620000}"/>
    <cellStyle name="Normal 2 3 27 3 2 2 2" xfId="40514" xr:uid="{00000000-0005-0000-0000-000018620000}"/>
    <cellStyle name="Normal 2 3 27 3 2 3" xfId="10525" xr:uid="{00000000-0005-0000-0000-000019620000}"/>
    <cellStyle name="Normal 2 3 27 3 2 3 2" xfId="40515" xr:uid="{00000000-0005-0000-0000-00001A620000}"/>
    <cellStyle name="Normal 2 3 27 3 2 4" xfId="40516" xr:uid="{00000000-0005-0000-0000-00001B620000}"/>
    <cellStyle name="Normal 2 3 27 3 3" xfId="10526" xr:uid="{00000000-0005-0000-0000-00001C620000}"/>
    <cellStyle name="Normal 2 3 27 3 3 2" xfId="40517" xr:uid="{00000000-0005-0000-0000-00001D620000}"/>
    <cellStyle name="Normal 2 3 27 3 4" xfId="10527" xr:uid="{00000000-0005-0000-0000-00001E620000}"/>
    <cellStyle name="Normal 2 3 27 3 4 2" xfId="40518" xr:uid="{00000000-0005-0000-0000-00001F620000}"/>
    <cellStyle name="Normal 2 3 27 3 5" xfId="10528" xr:uid="{00000000-0005-0000-0000-000020620000}"/>
    <cellStyle name="Normal 2 3 27 3 5 2" xfId="40519" xr:uid="{00000000-0005-0000-0000-000021620000}"/>
    <cellStyle name="Normal 2 3 27 3 6" xfId="40520" xr:uid="{00000000-0005-0000-0000-000022620000}"/>
    <cellStyle name="Normal 2 3 27 3 6 2" xfId="40521" xr:uid="{00000000-0005-0000-0000-000023620000}"/>
    <cellStyle name="Normal 2 3 27 3 7" xfId="40522" xr:uid="{00000000-0005-0000-0000-000024620000}"/>
    <cellStyle name="Normal 2 3 27 4" xfId="10529" xr:uid="{00000000-0005-0000-0000-000025620000}"/>
    <cellStyle name="Normal 2 3 27 4 2" xfId="10530" xr:uid="{00000000-0005-0000-0000-000026620000}"/>
    <cellStyle name="Normal 2 3 27 4 2 2" xfId="40523" xr:uid="{00000000-0005-0000-0000-000027620000}"/>
    <cellStyle name="Normal 2 3 27 4 3" xfId="10531" xr:uid="{00000000-0005-0000-0000-000028620000}"/>
    <cellStyle name="Normal 2 3 27 4 3 2" xfId="40524" xr:uid="{00000000-0005-0000-0000-000029620000}"/>
    <cellStyle name="Normal 2 3 27 4 4" xfId="40525" xr:uid="{00000000-0005-0000-0000-00002A620000}"/>
    <cellStyle name="Normal 2 3 27 5" xfId="10532" xr:uid="{00000000-0005-0000-0000-00002B620000}"/>
    <cellStyle name="Normal 2 3 27 5 2" xfId="10533" xr:uid="{00000000-0005-0000-0000-00002C620000}"/>
    <cellStyle name="Normal 2 3 27 5 2 2" xfId="40526" xr:uid="{00000000-0005-0000-0000-00002D620000}"/>
    <cellStyle name="Normal 2 3 27 5 3" xfId="40527" xr:uid="{00000000-0005-0000-0000-00002E620000}"/>
    <cellStyle name="Normal 2 3 27 6" xfId="10534" xr:uid="{00000000-0005-0000-0000-00002F620000}"/>
    <cellStyle name="Normal 2 3 27 6 2" xfId="40528" xr:uid="{00000000-0005-0000-0000-000030620000}"/>
    <cellStyle name="Normal 2 3 27 7" xfId="10535" xr:uid="{00000000-0005-0000-0000-000031620000}"/>
    <cellStyle name="Normal 2 3 27 7 2" xfId="40529" xr:uid="{00000000-0005-0000-0000-000032620000}"/>
    <cellStyle name="Normal 2 3 27 8" xfId="40530" xr:uid="{00000000-0005-0000-0000-000033620000}"/>
    <cellStyle name="Normal 2 3 27 8 2" xfId="40531" xr:uid="{00000000-0005-0000-0000-000034620000}"/>
    <cellStyle name="Normal 2 3 27 9" xfId="40532" xr:uid="{00000000-0005-0000-0000-000035620000}"/>
    <cellStyle name="Normal 2 3 28" xfId="10536" xr:uid="{00000000-0005-0000-0000-000036620000}"/>
    <cellStyle name="Normal 2 3 28 10" xfId="40533" xr:uid="{00000000-0005-0000-0000-000037620000}"/>
    <cellStyle name="Normal 2 3 28 11" xfId="40534" xr:uid="{00000000-0005-0000-0000-000038620000}"/>
    <cellStyle name="Normal 2 3 28 2" xfId="10537" xr:uid="{00000000-0005-0000-0000-000039620000}"/>
    <cellStyle name="Normal 2 3 28 2 10" xfId="40535" xr:uid="{00000000-0005-0000-0000-00003A620000}"/>
    <cellStyle name="Normal 2 3 28 2 2" xfId="10538" xr:uid="{00000000-0005-0000-0000-00003B620000}"/>
    <cellStyle name="Normal 2 3 28 2 2 2" xfId="10539" xr:uid="{00000000-0005-0000-0000-00003C620000}"/>
    <cellStyle name="Normal 2 3 28 2 2 2 2" xfId="10540" xr:uid="{00000000-0005-0000-0000-00003D620000}"/>
    <cellStyle name="Normal 2 3 28 2 2 2 2 2" xfId="40536" xr:uid="{00000000-0005-0000-0000-00003E620000}"/>
    <cellStyle name="Normal 2 3 28 2 2 2 3" xfId="10541" xr:uid="{00000000-0005-0000-0000-00003F620000}"/>
    <cellStyle name="Normal 2 3 28 2 2 2 3 2" xfId="40537" xr:uid="{00000000-0005-0000-0000-000040620000}"/>
    <cellStyle name="Normal 2 3 28 2 2 2 4" xfId="40538" xr:uid="{00000000-0005-0000-0000-000041620000}"/>
    <cellStyle name="Normal 2 3 28 2 2 3" xfId="10542" xr:uid="{00000000-0005-0000-0000-000042620000}"/>
    <cellStyle name="Normal 2 3 28 2 2 3 2" xfId="40539" xr:uid="{00000000-0005-0000-0000-000043620000}"/>
    <cellStyle name="Normal 2 3 28 2 2 4" xfId="10543" xr:uid="{00000000-0005-0000-0000-000044620000}"/>
    <cellStyle name="Normal 2 3 28 2 2 4 2" xfId="40540" xr:uid="{00000000-0005-0000-0000-000045620000}"/>
    <cellStyle name="Normal 2 3 28 2 2 5" xfId="10544" xr:uid="{00000000-0005-0000-0000-000046620000}"/>
    <cellStyle name="Normal 2 3 28 2 2 5 2" xfId="40541" xr:uid="{00000000-0005-0000-0000-000047620000}"/>
    <cellStyle name="Normal 2 3 28 2 2 6" xfId="40542" xr:uid="{00000000-0005-0000-0000-000048620000}"/>
    <cellStyle name="Normal 2 3 28 2 2 6 2" xfId="40543" xr:uid="{00000000-0005-0000-0000-000049620000}"/>
    <cellStyle name="Normal 2 3 28 2 2 7" xfId="40544" xr:uid="{00000000-0005-0000-0000-00004A620000}"/>
    <cellStyle name="Normal 2 3 28 2 3" xfId="10545" xr:uid="{00000000-0005-0000-0000-00004B620000}"/>
    <cellStyle name="Normal 2 3 28 2 3 2" xfId="10546" xr:uid="{00000000-0005-0000-0000-00004C620000}"/>
    <cellStyle name="Normal 2 3 28 2 3 2 2" xfId="40545" xr:uid="{00000000-0005-0000-0000-00004D620000}"/>
    <cellStyle name="Normal 2 3 28 2 3 3" xfId="10547" xr:uid="{00000000-0005-0000-0000-00004E620000}"/>
    <cellStyle name="Normal 2 3 28 2 3 3 2" xfId="40546" xr:uid="{00000000-0005-0000-0000-00004F620000}"/>
    <cellStyle name="Normal 2 3 28 2 3 4" xfId="40547" xr:uid="{00000000-0005-0000-0000-000050620000}"/>
    <cellStyle name="Normal 2 3 28 2 4" xfId="10548" xr:uid="{00000000-0005-0000-0000-000051620000}"/>
    <cellStyle name="Normal 2 3 28 2 4 2" xfId="10549" xr:uid="{00000000-0005-0000-0000-000052620000}"/>
    <cellStyle name="Normal 2 3 28 2 4 2 2" xfId="40548" xr:uid="{00000000-0005-0000-0000-000053620000}"/>
    <cellStyle name="Normal 2 3 28 2 4 3" xfId="40549" xr:uid="{00000000-0005-0000-0000-000054620000}"/>
    <cellStyle name="Normal 2 3 28 2 5" xfId="10550" xr:uid="{00000000-0005-0000-0000-000055620000}"/>
    <cellStyle name="Normal 2 3 28 2 5 2" xfId="40550" xr:uid="{00000000-0005-0000-0000-000056620000}"/>
    <cellStyle name="Normal 2 3 28 2 6" xfId="10551" xr:uid="{00000000-0005-0000-0000-000057620000}"/>
    <cellStyle name="Normal 2 3 28 2 6 2" xfId="40551" xr:uid="{00000000-0005-0000-0000-000058620000}"/>
    <cellStyle name="Normal 2 3 28 2 7" xfId="40552" xr:uid="{00000000-0005-0000-0000-000059620000}"/>
    <cellStyle name="Normal 2 3 28 2 7 2" xfId="40553" xr:uid="{00000000-0005-0000-0000-00005A620000}"/>
    <cellStyle name="Normal 2 3 28 2 8" xfId="40554" xr:uid="{00000000-0005-0000-0000-00005B620000}"/>
    <cellStyle name="Normal 2 3 28 2 9" xfId="40555" xr:uid="{00000000-0005-0000-0000-00005C620000}"/>
    <cellStyle name="Normal 2 3 28 3" xfId="10552" xr:uid="{00000000-0005-0000-0000-00005D620000}"/>
    <cellStyle name="Normal 2 3 28 3 2" xfId="10553" xr:uid="{00000000-0005-0000-0000-00005E620000}"/>
    <cellStyle name="Normal 2 3 28 3 2 2" xfId="10554" xr:uid="{00000000-0005-0000-0000-00005F620000}"/>
    <cellStyle name="Normal 2 3 28 3 2 2 2" xfId="40556" xr:uid="{00000000-0005-0000-0000-000060620000}"/>
    <cellStyle name="Normal 2 3 28 3 2 3" xfId="10555" xr:uid="{00000000-0005-0000-0000-000061620000}"/>
    <cellStyle name="Normal 2 3 28 3 2 3 2" xfId="40557" xr:uid="{00000000-0005-0000-0000-000062620000}"/>
    <cellStyle name="Normal 2 3 28 3 2 4" xfId="40558" xr:uid="{00000000-0005-0000-0000-000063620000}"/>
    <cellStyle name="Normal 2 3 28 3 3" xfId="10556" xr:uid="{00000000-0005-0000-0000-000064620000}"/>
    <cellStyle name="Normal 2 3 28 3 3 2" xfId="40559" xr:uid="{00000000-0005-0000-0000-000065620000}"/>
    <cellStyle name="Normal 2 3 28 3 4" xfId="10557" xr:uid="{00000000-0005-0000-0000-000066620000}"/>
    <cellStyle name="Normal 2 3 28 3 4 2" xfId="40560" xr:uid="{00000000-0005-0000-0000-000067620000}"/>
    <cellStyle name="Normal 2 3 28 3 5" xfId="10558" xr:uid="{00000000-0005-0000-0000-000068620000}"/>
    <cellStyle name="Normal 2 3 28 3 5 2" xfId="40561" xr:uid="{00000000-0005-0000-0000-000069620000}"/>
    <cellStyle name="Normal 2 3 28 3 6" xfId="40562" xr:uid="{00000000-0005-0000-0000-00006A620000}"/>
    <cellStyle name="Normal 2 3 28 3 6 2" xfId="40563" xr:uid="{00000000-0005-0000-0000-00006B620000}"/>
    <cellStyle name="Normal 2 3 28 3 7" xfId="40564" xr:uid="{00000000-0005-0000-0000-00006C620000}"/>
    <cellStyle name="Normal 2 3 28 4" xfId="10559" xr:uid="{00000000-0005-0000-0000-00006D620000}"/>
    <cellStyle name="Normal 2 3 28 4 2" xfId="10560" xr:uid="{00000000-0005-0000-0000-00006E620000}"/>
    <cellStyle name="Normal 2 3 28 4 2 2" xfId="40565" xr:uid="{00000000-0005-0000-0000-00006F620000}"/>
    <cellStyle name="Normal 2 3 28 4 3" xfId="10561" xr:uid="{00000000-0005-0000-0000-000070620000}"/>
    <cellStyle name="Normal 2 3 28 4 3 2" xfId="40566" xr:uid="{00000000-0005-0000-0000-000071620000}"/>
    <cellStyle name="Normal 2 3 28 4 4" xfId="40567" xr:uid="{00000000-0005-0000-0000-000072620000}"/>
    <cellStyle name="Normal 2 3 28 5" xfId="10562" xr:uid="{00000000-0005-0000-0000-000073620000}"/>
    <cellStyle name="Normal 2 3 28 5 2" xfId="10563" xr:uid="{00000000-0005-0000-0000-000074620000}"/>
    <cellStyle name="Normal 2 3 28 5 2 2" xfId="40568" xr:uid="{00000000-0005-0000-0000-000075620000}"/>
    <cellStyle name="Normal 2 3 28 5 3" xfId="40569" xr:uid="{00000000-0005-0000-0000-000076620000}"/>
    <cellStyle name="Normal 2 3 28 6" xfId="10564" xr:uid="{00000000-0005-0000-0000-000077620000}"/>
    <cellStyle name="Normal 2 3 28 6 2" xfId="40570" xr:uid="{00000000-0005-0000-0000-000078620000}"/>
    <cellStyle name="Normal 2 3 28 7" xfId="10565" xr:uid="{00000000-0005-0000-0000-000079620000}"/>
    <cellStyle name="Normal 2 3 28 7 2" xfId="40571" xr:uid="{00000000-0005-0000-0000-00007A620000}"/>
    <cellStyle name="Normal 2 3 28 8" xfId="40572" xr:uid="{00000000-0005-0000-0000-00007B620000}"/>
    <cellStyle name="Normal 2 3 28 8 2" xfId="40573" xr:uid="{00000000-0005-0000-0000-00007C620000}"/>
    <cellStyle name="Normal 2 3 28 9" xfId="40574" xr:uid="{00000000-0005-0000-0000-00007D620000}"/>
    <cellStyle name="Normal 2 3 29" xfId="10566" xr:uid="{00000000-0005-0000-0000-00007E620000}"/>
    <cellStyle name="Normal 2 3 29 10" xfId="40575" xr:uid="{00000000-0005-0000-0000-00007F620000}"/>
    <cellStyle name="Normal 2 3 29 11" xfId="40576" xr:uid="{00000000-0005-0000-0000-000080620000}"/>
    <cellStyle name="Normal 2 3 29 2" xfId="10567" xr:uid="{00000000-0005-0000-0000-000081620000}"/>
    <cellStyle name="Normal 2 3 29 2 10" xfId="40577" xr:uid="{00000000-0005-0000-0000-000082620000}"/>
    <cellStyle name="Normal 2 3 29 2 2" xfId="10568" xr:uid="{00000000-0005-0000-0000-000083620000}"/>
    <cellStyle name="Normal 2 3 29 2 2 2" xfId="10569" xr:uid="{00000000-0005-0000-0000-000084620000}"/>
    <cellStyle name="Normal 2 3 29 2 2 2 2" xfId="10570" xr:uid="{00000000-0005-0000-0000-000085620000}"/>
    <cellStyle name="Normal 2 3 29 2 2 2 2 2" xfId="40578" xr:uid="{00000000-0005-0000-0000-000086620000}"/>
    <cellStyle name="Normal 2 3 29 2 2 2 3" xfId="10571" xr:uid="{00000000-0005-0000-0000-000087620000}"/>
    <cellStyle name="Normal 2 3 29 2 2 2 3 2" xfId="40579" xr:uid="{00000000-0005-0000-0000-000088620000}"/>
    <cellStyle name="Normal 2 3 29 2 2 2 4" xfId="40580" xr:uid="{00000000-0005-0000-0000-000089620000}"/>
    <cellStyle name="Normal 2 3 29 2 2 3" xfId="10572" xr:uid="{00000000-0005-0000-0000-00008A620000}"/>
    <cellStyle name="Normal 2 3 29 2 2 3 2" xfId="40581" xr:uid="{00000000-0005-0000-0000-00008B620000}"/>
    <cellStyle name="Normal 2 3 29 2 2 4" xfId="10573" xr:uid="{00000000-0005-0000-0000-00008C620000}"/>
    <cellStyle name="Normal 2 3 29 2 2 4 2" xfId="40582" xr:uid="{00000000-0005-0000-0000-00008D620000}"/>
    <cellStyle name="Normal 2 3 29 2 2 5" xfId="10574" xr:uid="{00000000-0005-0000-0000-00008E620000}"/>
    <cellStyle name="Normal 2 3 29 2 2 5 2" xfId="40583" xr:uid="{00000000-0005-0000-0000-00008F620000}"/>
    <cellStyle name="Normal 2 3 29 2 2 6" xfId="40584" xr:uid="{00000000-0005-0000-0000-000090620000}"/>
    <cellStyle name="Normal 2 3 29 2 2 6 2" xfId="40585" xr:uid="{00000000-0005-0000-0000-000091620000}"/>
    <cellStyle name="Normal 2 3 29 2 2 7" xfId="40586" xr:uid="{00000000-0005-0000-0000-000092620000}"/>
    <cellStyle name="Normal 2 3 29 2 3" xfId="10575" xr:uid="{00000000-0005-0000-0000-000093620000}"/>
    <cellStyle name="Normal 2 3 29 2 3 2" xfId="10576" xr:uid="{00000000-0005-0000-0000-000094620000}"/>
    <cellStyle name="Normal 2 3 29 2 3 2 2" xfId="40587" xr:uid="{00000000-0005-0000-0000-000095620000}"/>
    <cellStyle name="Normal 2 3 29 2 3 3" xfId="10577" xr:uid="{00000000-0005-0000-0000-000096620000}"/>
    <cellStyle name="Normal 2 3 29 2 3 3 2" xfId="40588" xr:uid="{00000000-0005-0000-0000-000097620000}"/>
    <cellStyle name="Normal 2 3 29 2 3 4" xfId="40589" xr:uid="{00000000-0005-0000-0000-000098620000}"/>
    <cellStyle name="Normal 2 3 29 2 4" xfId="10578" xr:uid="{00000000-0005-0000-0000-000099620000}"/>
    <cellStyle name="Normal 2 3 29 2 4 2" xfId="10579" xr:uid="{00000000-0005-0000-0000-00009A620000}"/>
    <cellStyle name="Normal 2 3 29 2 4 2 2" xfId="40590" xr:uid="{00000000-0005-0000-0000-00009B620000}"/>
    <cellStyle name="Normal 2 3 29 2 4 3" xfId="40591" xr:uid="{00000000-0005-0000-0000-00009C620000}"/>
    <cellStyle name="Normal 2 3 29 2 5" xfId="10580" xr:uid="{00000000-0005-0000-0000-00009D620000}"/>
    <cellStyle name="Normal 2 3 29 2 5 2" xfId="40592" xr:uid="{00000000-0005-0000-0000-00009E620000}"/>
    <cellStyle name="Normal 2 3 29 2 6" xfId="10581" xr:uid="{00000000-0005-0000-0000-00009F620000}"/>
    <cellStyle name="Normal 2 3 29 2 6 2" xfId="40593" xr:uid="{00000000-0005-0000-0000-0000A0620000}"/>
    <cellStyle name="Normal 2 3 29 2 7" xfId="40594" xr:uid="{00000000-0005-0000-0000-0000A1620000}"/>
    <cellStyle name="Normal 2 3 29 2 7 2" xfId="40595" xr:uid="{00000000-0005-0000-0000-0000A2620000}"/>
    <cellStyle name="Normal 2 3 29 2 8" xfId="40596" xr:uid="{00000000-0005-0000-0000-0000A3620000}"/>
    <cellStyle name="Normal 2 3 29 2 9" xfId="40597" xr:uid="{00000000-0005-0000-0000-0000A4620000}"/>
    <cellStyle name="Normal 2 3 29 3" xfId="10582" xr:uid="{00000000-0005-0000-0000-0000A5620000}"/>
    <cellStyle name="Normal 2 3 29 3 2" xfId="10583" xr:uid="{00000000-0005-0000-0000-0000A6620000}"/>
    <cellStyle name="Normal 2 3 29 3 2 2" xfId="10584" xr:uid="{00000000-0005-0000-0000-0000A7620000}"/>
    <cellStyle name="Normal 2 3 29 3 2 2 2" xfId="40598" xr:uid="{00000000-0005-0000-0000-0000A8620000}"/>
    <cellStyle name="Normal 2 3 29 3 2 3" xfId="10585" xr:uid="{00000000-0005-0000-0000-0000A9620000}"/>
    <cellStyle name="Normal 2 3 29 3 2 3 2" xfId="40599" xr:uid="{00000000-0005-0000-0000-0000AA620000}"/>
    <cellStyle name="Normal 2 3 29 3 2 4" xfId="40600" xr:uid="{00000000-0005-0000-0000-0000AB620000}"/>
    <cellStyle name="Normal 2 3 29 3 3" xfId="10586" xr:uid="{00000000-0005-0000-0000-0000AC620000}"/>
    <cellStyle name="Normal 2 3 29 3 3 2" xfId="40601" xr:uid="{00000000-0005-0000-0000-0000AD620000}"/>
    <cellStyle name="Normal 2 3 29 3 4" xfId="10587" xr:uid="{00000000-0005-0000-0000-0000AE620000}"/>
    <cellStyle name="Normal 2 3 29 3 4 2" xfId="40602" xr:uid="{00000000-0005-0000-0000-0000AF620000}"/>
    <cellStyle name="Normal 2 3 29 3 5" xfId="10588" xr:uid="{00000000-0005-0000-0000-0000B0620000}"/>
    <cellStyle name="Normal 2 3 29 3 5 2" xfId="40603" xr:uid="{00000000-0005-0000-0000-0000B1620000}"/>
    <cellStyle name="Normal 2 3 29 3 6" xfId="40604" xr:uid="{00000000-0005-0000-0000-0000B2620000}"/>
    <cellStyle name="Normal 2 3 29 3 6 2" xfId="40605" xr:uid="{00000000-0005-0000-0000-0000B3620000}"/>
    <cellStyle name="Normal 2 3 29 3 7" xfId="40606" xr:uid="{00000000-0005-0000-0000-0000B4620000}"/>
    <cellStyle name="Normal 2 3 29 4" xfId="10589" xr:uid="{00000000-0005-0000-0000-0000B5620000}"/>
    <cellStyle name="Normal 2 3 29 4 2" xfId="10590" xr:uid="{00000000-0005-0000-0000-0000B6620000}"/>
    <cellStyle name="Normal 2 3 29 4 2 2" xfId="40607" xr:uid="{00000000-0005-0000-0000-0000B7620000}"/>
    <cellStyle name="Normal 2 3 29 4 3" xfId="10591" xr:uid="{00000000-0005-0000-0000-0000B8620000}"/>
    <cellStyle name="Normal 2 3 29 4 3 2" xfId="40608" xr:uid="{00000000-0005-0000-0000-0000B9620000}"/>
    <cellStyle name="Normal 2 3 29 4 4" xfId="40609" xr:uid="{00000000-0005-0000-0000-0000BA620000}"/>
    <cellStyle name="Normal 2 3 29 5" xfId="10592" xr:uid="{00000000-0005-0000-0000-0000BB620000}"/>
    <cellStyle name="Normal 2 3 29 5 2" xfId="10593" xr:uid="{00000000-0005-0000-0000-0000BC620000}"/>
    <cellStyle name="Normal 2 3 29 5 2 2" xfId="40610" xr:uid="{00000000-0005-0000-0000-0000BD620000}"/>
    <cellStyle name="Normal 2 3 29 5 3" xfId="40611" xr:uid="{00000000-0005-0000-0000-0000BE620000}"/>
    <cellStyle name="Normal 2 3 29 6" xfId="10594" xr:uid="{00000000-0005-0000-0000-0000BF620000}"/>
    <cellStyle name="Normal 2 3 29 6 2" xfId="40612" xr:uid="{00000000-0005-0000-0000-0000C0620000}"/>
    <cellStyle name="Normal 2 3 29 7" xfId="10595" xr:uid="{00000000-0005-0000-0000-0000C1620000}"/>
    <cellStyle name="Normal 2 3 29 7 2" xfId="40613" xr:uid="{00000000-0005-0000-0000-0000C2620000}"/>
    <cellStyle name="Normal 2 3 29 8" xfId="40614" xr:uid="{00000000-0005-0000-0000-0000C3620000}"/>
    <cellStyle name="Normal 2 3 29 8 2" xfId="40615" xr:uid="{00000000-0005-0000-0000-0000C4620000}"/>
    <cellStyle name="Normal 2 3 29 9" xfId="40616" xr:uid="{00000000-0005-0000-0000-0000C5620000}"/>
    <cellStyle name="Normal 2 3 3" xfId="10596" xr:uid="{00000000-0005-0000-0000-0000C6620000}"/>
    <cellStyle name="Normal 2 3 3 10" xfId="10597" xr:uid="{00000000-0005-0000-0000-0000C7620000}"/>
    <cellStyle name="Normal 2 3 3 10 10" xfId="40617" xr:uid="{00000000-0005-0000-0000-0000C8620000}"/>
    <cellStyle name="Normal 2 3 3 10 11" xfId="40618" xr:uid="{00000000-0005-0000-0000-0000C9620000}"/>
    <cellStyle name="Normal 2 3 3 10 2" xfId="10598" xr:uid="{00000000-0005-0000-0000-0000CA620000}"/>
    <cellStyle name="Normal 2 3 3 10 2 10" xfId="40619" xr:uid="{00000000-0005-0000-0000-0000CB620000}"/>
    <cellStyle name="Normal 2 3 3 10 2 2" xfId="10599" xr:uid="{00000000-0005-0000-0000-0000CC620000}"/>
    <cellStyle name="Normal 2 3 3 10 2 2 2" xfId="10600" xr:uid="{00000000-0005-0000-0000-0000CD620000}"/>
    <cellStyle name="Normal 2 3 3 10 2 2 2 2" xfId="10601" xr:uid="{00000000-0005-0000-0000-0000CE620000}"/>
    <cellStyle name="Normal 2 3 3 10 2 2 2 2 2" xfId="40620" xr:uid="{00000000-0005-0000-0000-0000CF620000}"/>
    <cellStyle name="Normal 2 3 3 10 2 2 2 3" xfId="10602" xr:uid="{00000000-0005-0000-0000-0000D0620000}"/>
    <cellStyle name="Normal 2 3 3 10 2 2 2 3 2" xfId="40621" xr:uid="{00000000-0005-0000-0000-0000D1620000}"/>
    <cellStyle name="Normal 2 3 3 10 2 2 2 4" xfId="40622" xr:uid="{00000000-0005-0000-0000-0000D2620000}"/>
    <cellStyle name="Normal 2 3 3 10 2 2 3" xfId="10603" xr:uid="{00000000-0005-0000-0000-0000D3620000}"/>
    <cellStyle name="Normal 2 3 3 10 2 2 3 2" xfId="40623" xr:uid="{00000000-0005-0000-0000-0000D4620000}"/>
    <cellStyle name="Normal 2 3 3 10 2 2 4" xfId="10604" xr:uid="{00000000-0005-0000-0000-0000D5620000}"/>
    <cellStyle name="Normal 2 3 3 10 2 2 4 2" xfId="40624" xr:uid="{00000000-0005-0000-0000-0000D6620000}"/>
    <cellStyle name="Normal 2 3 3 10 2 2 5" xfId="10605" xr:uid="{00000000-0005-0000-0000-0000D7620000}"/>
    <cellStyle name="Normal 2 3 3 10 2 2 5 2" xfId="40625" xr:uid="{00000000-0005-0000-0000-0000D8620000}"/>
    <cellStyle name="Normal 2 3 3 10 2 2 6" xfId="40626" xr:uid="{00000000-0005-0000-0000-0000D9620000}"/>
    <cellStyle name="Normal 2 3 3 10 2 2 6 2" xfId="40627" xr:uid="{00000000-0005-0000-0000-0000DA620000}"/>
    <cellStyle name="Normal 2 3 3 10 2 2 7" xfId="40628" xr:uid="{00000000-0005-0000-0000-0000DB620000}"/>
    <cellStyle name="Normal 2 3 3 10 2 3" xfId="10606" xr:uid="{00000000-0005-0000-0000-0000DC620000}"/>
    <cellStyle name="Normal 2 3 3 10 2 3 2" xfId="10607" xr:uid="{00000000-0005-0000-0000-0000DD620000}"/>
    <cellStyle name="Normal 2 3 3 10 2 3 2 2" xfId="40629" xr:uid="{00000000-0005-0000-0000-0000DE620000}"/>
    <cellStyle name="Normal 2 3 3 10 2 3 3" xfId="10608" xr:uid="{00000000-0005-0000-0000-0000DF620000}"/>
    <cellStyle name="Normal 2 3 3 10 2 3 3 2" xfId="40630" xr:uid="{00000000-0005-0000-0000-0000E0620000}"/>
    <cellStyle name="Normal 2 3 3 10 2 3 4" xfId="40631" xr:uid="{00000000-0005-0000-0000-0000E1620000}"/>
    <cellStyle name="Normal 2 3 3 10 2 4" xfId="10609" xr:uid="{00000000-0005-0000-0000-0000E2620000}"/>
    <cellStyle name="Normal 2 3 3 10 2 4 2" xfId="10610" xr:uid="{00000000-0005-0000-0000-0000E3620000}"/>
    <cellStyle name="Normal 2 3 3 10 2 4 2 2" xfId="40632" xr:uid="{00000000-0005-0000-0000-0000E4620000}"/>
    <cellStyle name="Normal 2 3 3 10 2 4 3" xfId="40633" xr:uid="{00000000-0005-0000-0000-0000E5620000}"/>
    <cellStyle name="Normal 2 3 3 10 2 5" xfId="10611" xr:uid="{00000000-0005-0000-0000-0000E6620000}"/>
    <cellStyle name="Normal 2 3 3 10 2 5 2" xfId="40634" xr:uid="{00000000-0005-0000-0000-0000E7620000}"/>
    <cellStyle name="Normal 2 3 3 10 2 6" xfId="10612" xr:uid="{00000000-0005-0000-0000-0000E8620000}"/>
    <cellStyle name="Normal 2 3 3 10 2 6 2" xfId="40635" xr:uid="{00000000-0005-0000-0000-0000E9620000}"/>
    <cellStyle name="Normal 2 3 3 10 2 7" xfId="40636" xr:uid="{00000000-0005-0000-0000-0000EA620000}"/>
    <cellStyle name="Normal 2 3 3 10 2 7 2" xfId="40637" xr:uid="{00000000-0005-0000-0000-0000EB620000}"/>
    <cellStyle name="Normal 2 3 3 10 2 8" xfId="40638" xr:uid="{00000000-0005-0000-0000-0000EC620000}"/>
    <cellStyle name="Normal 2 3 3 10 2 9" xfId="40639" xr:uid="{00000000-0005-0000-0000-0000ED620000}"/>
    <cellStyle name="Normal 2 3 3 10 3" xfId="10613" xr:uid="{00000000-0005-0000-0000-0000EE620000}"/>
    <cellStyle name="Normal 2 3 3 10 3 2" xfId="10614" xr:uid="{00000000-0005-0000-0000-0000EF620000}"/>
    <cellStyle name="Normal 2 3 3 10 3 2 2" xfId="10615" xr:uid="{00000000-0005-0000-0000-0000F0620000}"/>
    <cellStyle name="Normal 2 3 3 10 3 2 2 2" xfId="40640" xr:uid="{00000000-0005-0000-0000-0000F1620000}"/>
    <cellStyle name="Normal 2 3 3 10 3 2 3" xfId="10616" xr:uid="{00000000-0005-0000-0000-0000F2620000}"/>
    <cellStyle name="Normal 2 3 3 10 3 2 3 2" xfId="40641" xr:uid="{00000000-0005-0000-0000-0000F3620000}"/>
    <cellStyle name="Normal 2 3 3 10 3 2 4" xfId="40642" xr:uid="{00000000-0005-0000-0000-0000F4620000}"/>
    <cellStyle name="Normal 2 3 3 10 3 3" xfId="10617" xr:uid="{00000000-0005-0000-0000-0000F5620000}"/>
    <cellStyle name="Normal 2 3 3 10 3 3 2" xfId="40643" xr:uid="{00000000-0005-0000-0000-0000F6620000}"/>
    <cellStyle name="Normal 2 3 3 10 3 4" xfId="10618" xr:uid="{00000000-0005-0000-0000-0000F7620000}"/>
    <cellStyle name="Normal 2 3 3 10 3 4 2" xfId="40644" xr:uid="{00000000-0005-0000-0000-0000F8620000}"/>
    <cellStyle name="Normal 2 3 3 10 3 5" xfId="10619" xr:uid="{00000000-0005-0000-0000-0000F9620000}"/>
    <cellStyle name="Normal 2 3 3 10 3 5 2" xfId="40645" xr:uid="{00000000-0005-0000-0000-0000FA620000}"/>
    <cellStyle name="Normal 2 3 3 10 3 6" xfId="40646" xr:uid="{00000000-0005-0000-0000-0000FB620000}"/>
    <cellStyle name="Normal 2 3 3 10 3 6 2" xfId="40647" xr:uid="{00000000-0005-0000-0000-0000FC620000}"/>
    <cellStyle name="Normal 2 3 3 10 3 7" xfId="40648" xr:uid="{00000000-0005-0000-0000-0000FD620000}"/>
    <cellStyle name="Normal 2 3 3 10 4" xfId="10620" xr:uid="{00000000-0005-0000-0000-0000FE620000}"/>
    <cellStyle name="Normal 2 3 3 10 4 2" xfId="10621" xr:uid="{00000000-0005-0000-0000-0000FF620000}"/>
    <cellStyle name="Normal 2 3 3 10 4 2 2" xfId="40649" xr:uid="{00000000-0005-0000-0000-000000630000}"/>
    <cellStyle name="Normal 2 3 3 10 4 3" xfId="10622" xr:uid="{00000000-0005-0000-0000-000001630000}"/>
    <cellStyle name="Normal 2 3 3 10 4 3 2" xfId="40650" xr:uid="{00000000-0005-0000-0000-000002630000}"/>
    <cellStyle name="Normal 2 3 3 10 4 4" xfId="40651" xr:uid="{00000000-0005-0000-0000-000003630000}"/>
    <cellStyle name="Normal 2 3 3 10 5" xfId="10623" xr:uid="{00000000-0005-0000-0000-000004630000}"/>
    <cellStyle name="Normal 2 3 3 10 5 2" xfId="10624" xr:uid="{00000000-0005-0000-0000-000005630000}"/>
    <cellStyle name="Normal 2 3 3 10 5 2 2" xfId="40652" xr:uid="{00000000-0005-0000-0000-000006630000}"/>
    <cellStyle name="Normal 2 3 3 10 5 3" xfId="40653" xr:uid="{00000000-0005-0000-0000-000007630000}"/>
    <cellStyle name="Normal 2 3 3 10 6" xfId="10625" xr:uid="{00000000-0005-0000-0000-000008630000}"/>
    <cellStyle name="Normal 2 3 3 10 6 2" xfId="40654" xr:uid="{00000000-0005-0000-0000-000009630000}"/>
    <cellStyle name="Normal 2 3 3 10 7" xfId="10626" xr:uid="{00000000-0005-0000-0000-00000A630000}"/>
    <cellStyle name="Normal 2 3 3 10 7 2" xfId="40655" xr:uid="{00000000-0005-0000-0000-00000B630000}"/>
    <cellStyle name="Normal 2 3 3 10 8" xfId="40656" xr:uid="{00000000-0005-0000-0000-00000C630000}"/>
    <cellStyle name="Normal 2 3 3 10 8 2" xfId="40657" xr:uid="{00000000-0005-0000-0000-00000D630000}"/>
    <cellStyle name="Normal 2 3 3 10 9" xfId="40658" xr:uid="{00000000-0005-0000-0000-00000E630000}"/>
    <cellStyle name="Normal 2 3 3 11" xfId="10627" xr:uid="{00000000-0005-0000-0000-00000F630000}"/>
    <cellStyle name="Normal 2 3 3 11 10" xfId="40659" xr:uid="{00000000-0005-0000-0000-000010630000}"/>
    <cellStyle name="Normal 2 3 3 11 11" xfId="40660" xr:uid="{00000000-0005-0000-0000-000011630000}"/>
    <cellStyle name="Normal 2 3 3 11 2" xfId="10628" xr:uid="{00000000-0005-0000-0000-000012630000}"/>
    <cellStyle name="Normal 2 3 3 11 2 10" xfId="40661" xr:uid="{00000000-0005-0000-0000-000013630000}"/>
    <cellStyle name="Normal 2 3 3 11 2 2" xfId="10629" xr:uid="{00000000-0005-0000-0000-000014630000}"/>
    <cellStyle name="Normal 2 3 3 11 2 2 2" xfId="10630" xr:uid="{00000000-0005-0000-0000-000015630000}"/>
    <cellStyle name="Normal 2 3 3 11 2 2 2 2" xfId="10631" xr:uid="{00000000-0005-0000-0000-000016630000}"/>
    <cellStyle name="Normal 2 3 3 11 2 2 2 2 2" xfId="40662" xr:uid="{00000000-0005-0000-0000-000017630000}"/>
    <cellStyle name="Normal 2 3 3 11 2 2 2 3" xfId="10632" xr:uid="{00000000-0005-0000-0000-000018630000}"/>
    <cellStyle name="Normal 2 3 3 11 2 2 2 3 2" xfId="40663" xr:uid="{00000000-0005-0000-0000-000019630000}"/>
    <cellStyle name="Normal 2 3 3 11 2 2 2 4" xfId="40664" xr:uid="{00000000-0005-0000-0000-00001A630000}"/>
    <cellStyle name="Normal 2 3 3 11 2 2 3" xfId="10633" xr:uid="{00000000-0005-0000-0000-00001B630000}"/>
    <cellStyle name="Normal 2 3 3 11 2 2 3 2" xfId="40665" xr:uid="{00000000-0005-0000-0000-00001C630000}"/>
    <cellStyle name="Normal 2 3 3 11 2 2 4" xfId="10634" xr:uid="{00000000-0005-0000-0000-00001D630000}"/>
    <cellStyle name="Normal 2 3 3 11 2 2 4 2" xfId="40666" xr:uid="{00000000-0005-0000-0000-00001E630000}"/>
    <cellStyle name="Normal 2 3 3 11 2 2 5" xfId="10635" xr:uid="{00000000-0005-0000-0000-00001F630000}"/>
    <cellStyle name="Normal 2 3 3 11 2 2 5 2" xfId="40667" xr:uid="{00000000-0005-0000-0000-000020630000}"/>
    <cellStyle name="Normal 2 3 3 11 2 2 6" xfId="40668" xr:uid="{00000000-0005-0000-0000-000021630000}"/>
    <cellStyle name="Normal 2 3 3 11 2 2 6 2" xfId="40669" xr:uid="{00000000-0005-0000-0000-000022630000}"/>
    <cellStyle name="Normal 2 3 3 11 2 2 7" xfId="40670" xr:uid="{00000000-0005-0000-0000-000023630000}"/>
    <cellStyle name="Normal 2 3 3 11 2 3" xfId="10636" xr:uid="{00000000-0005-0000-0000-000024630000}"/>
    <cellStyle name="Normal 2 3 3 11 2 3 2" xfId="10637" xr:uid="{00000000-0005-0000-0000-000025630000}"/>
    <cellStyle name="Normal 2 3 3 11 2 3 2 2" xfId="40671" xr:uid="{00000000-0005-0000-0000-000026630000}"/>
    <cellStyle name="Normal 2 3 3 11 2 3 3" xfId="10638" xr:uid="{00000000-0005-0000-0000-000027630000}"/>
    <cellStyle name="Normal 2 3 3 11 2 3 3 2" xfId="40672" xr:uid="{00000000-0005-0000-0000-000028630000}"/>
    <cellStyle name="Normal 2 3 3 11 2 3 4" xfId="40673" xr:uid="{00000000-0005-0000-0000-000029630000}"/>
    <cellStyle name="Normal 2 3 3 11 2 4" xfId="10639" xr:uid="{00000000-0005-0000-0000-00002A630000}"/>
    <cellStyle name="Normal 2 3 3 11 2 4 2" xfId="10640" xr:uid="{00000000-0005-0000-0000-00002B630000}"/>
    <cellStyle name="Normal 2 3 3 11 2 4 2 2" xfId="40674" xr:uid="{00000000-0005-0000-0000-00002C630000}"/>
    <cellStyle name="Normal 2 3 3 11 2 4 3" xfId="40675" xr:uid="{00000000-0005-0000-0000-00002D630000}"/>
    <cellStyle name="Normal 2 3 3 11 2 5" xfId="10641" xr:uid="{00000000-0005-0000-0000-00002E630000}"/>
    <cellStyle name="Normal 2 3 3 11 2 5 2" xfId="40676" xr:uid="{00000000-0005-0000-0000-00002F630000}"/>
    <cellStyle name="Normal 2 3 3 11 2 6" xfId="10642" xr:uid="{00000000-0005-0000-0000-000030630000}"/>
    <cellStyle name="Normal 2 3 3 11 2 6 2" xfId="40677" xr:uid="{00000000-0005-0000-0000-000031630000}"/>
    <cellStyle name="Normal 2 3 3 11 2 7" xfId="40678" xr:uid="{00000000-0005-0000-0000-000032630000}"/>
    <cellStyle name="Normal 2 3 3 11 2 7 2" xfId="40679" xr:uid="{00000000-0005-0000-0000-000033630000}"/>
    <cellStyle name="Normal 2 3 3 11 2 8" xfId="40680" xr:uid="{00000000-0005-0000-0000-000034630000}"/>
    <cellStyle name="Normal 2 3 3 11 2 9" xfId="40681" xr:uid="{00000000-0005-0000-0000-000035630000}"/>
    <cellStyle name="Normal 2 3 3 11 3" xfId="10643" xr:uid="{00000000-0005-0000-0000-000036630000}"/>
    <cellStyle name="Normal 2 3 3 11 3 2" xfId="10644" xr:uid="{00000000-0005-0000-0000-000037630000}"/>
    <cellStyle name="Normal 2 3 3 11 3 2 2" xfId="10645" xr:uid="{00000000-0005-0000-0000-000038630000}"/>
    <cellStyle name="Normal 2 3 3 11 3 2 2 2" xfId="40682" xr:uid="{00000000-0005-0000-0000-000039630000}"/>
    <cellStyle name="Normal 2 3 3 11 3 2 3" xfId="10646" xr:uid="{00000000-0005-0000-0000-00003A630000}"/>
    <cellStyle name="Normal 2 3 3 11 3 2 3 2" xfId="40683" xr:uid="{00000000-0005-0000-0000-00003B630000}"/>
    <cellStyle name="Normal 2 3 3 11 3 2 4" xfId="40684" xr:uid="{00000000-0005-0000-0000-00003C630000}"/>
    <cellStyle name="Normal 2 3 3 11 3 3" xfId="10647" xr:uid="{00000000-0005-0000-0000-00003D630000}"/>
    <cellStyle name="Normal 2 3 3 11 3 3 2" xfId="40685" xr:uid="{00000000-0005-0000-0000-00003E630000}"/>
    <cellStyle name="Normal 2 3 3 11 3 4" xfId="10648" xr:uid="{00000000-0005-0000-0000-00003F630000}"/>
    <cellStyle name="Normal 2 3 3 11 3 4 2" xfId="40686" xr:uid="{00000000-0005-0000-0000-000040630000}"/>
    <cellStyle name="Normal 2 3 3 11 3 5" xfId="10649" xr:uid="{00000000-0005-0000-0000-000041630000}"/>
    <cellStyle name="Normal 2 3 3 11 3 5 2" xfId="40687" xr:uid="{00000000-0005-0000-0000-000042630000}"/>
    <cellStyle name="Normal 2 3 3 11 3 6" xfId="40688" xr:uid="{00000000-0005-0000-0000-000043630000}"/>
    <cellStyle name="Normal 2 3 3 11 3 6 2" xfId="40689" xr:uid="{00000000-0005-0000-0000-000044630000}"/>
    <cellStyle name="Normal 2 3 3 11 3 7" xfId="40690" xr:uid="{00000000-0005-0000-0000-000045630000}"/>
    <cellStyle name="Normal 2 3 3 11 4" xfId="10650" xr:uid="{00000000-0005-0000-0000-000046630000}"/>
    <cellStyle name="Normal 2 3 3 11 4 2" xfId="10651" xr:uid="{00000000-0005-0000-0000-000047630000}"/>
    <cellStyle name="Normal 2 3 3 11 4 2 2" xfId="40691" xr:uid="{00000000-0005-0000-0000-000048630000}"/>
    <cellStyle name="Normal 2 3 3 11 4 3" xfId="10652" xr:uid="{00000000-0005-0000-0000-000049630000}"/>
    <cellStyle name="Normal 2 3 3 11 4 3 2" xfId="40692" xr:uid="{00000000-0005-0000-0000-00004A630000}"/>
    <cellStyle name="Normal 2 3 3 11 4 4" xfId="40693" xr:uid="{00000000-0005-0000-0000-00004B630000}"/>
    <cellStyle name="Normal 2 3 3 11 5" xfId="10653" xr:uid="{00000000-0005-0000-0000-00004C630000}"/>
    <cellStyle name="Normal 2 3 3 11 5 2" xfId="10654" xr:uid="{00000000-0005-0000-0000-00004D630000}"/>
    <cellStyle name="Normal 2 3 3 11 5 2 2" xfId="40694" xr:uid="{00000000-0005-0000-0000-00004E630000}"/>
    <cellStyle name="Normal 2 3 3 11 5 3" xfId="40695" xr:uid="{00000000-0005-0000-0000-00004F630000}"/>
    <cellStyle name="Normal 2 3 3 11 6" xfId="10655" xr:uid="{00000000-0005-0000-0000-000050630000}"/>
    <cellStyle name="Normal 2 3 3 11 6 2" xfId="40696" xr:uid="{00000000-0005-0000-0000-000051630000}"/>
    <cellStyle name="Normal 2 3 3 11 7" xfId="10656" xr:uid="{00000000-0005-0000-0000-000052630000}"/>
    <cellStyle name="Normal 2 3 3 11 7 2" xfId="40697" xr:uid="{00000000-0005-0000-0000-000053630000}"/>
    <cellStyle name="Normal 2 3 3 11 8" xfId="40698" xr:uid="{00000000-0005-0000-0000-000054630000}"/>
    <cellStyle name="Normal 2 3 3 11 8 2" xfId="40699" xr:uid="{00000000-0005-0000-0000-000055630000}"/>
    <cellStyle name="Normal 2 3 3 11 9" xfId="40700" xr:uid="{00000000-0005-0000-0000-000056630000}"/>
    <cellStyle name="Normal 2 3 3 12" xfId="10657" xr:uid="{00000000-0005-0000-0000-000057630000}"/>
    <cellStyle name="Normal 2 3 3 12 10" xfId="40701" xr:uid="{00000000-0005-0000-0000-000058630000}"/>
    <cellStyle name="Normal 2 3 3 12 11" xfId="40702" xr:uid="{00000000-0005-0000-0000-000059630000}"/>
    <cellStyle name="Normal 2 3 3 12 2" xfId="10658" xr:uid="{00000000-0005-0000-0000-00005A630000}"/>
    <cellStyle name="Normal 2 3 3 12 2 10" xfId="40703" xr:uid="{00000000-0005-0000-0000-00005B630000}"/>
    <cellStyle name="Normal 2 3 3 12 2 2" xfId="10659" xr:uid="{00000000-0005-0000-0000-00005C630000}"/>
    <cellStyle name="Normal 2 3 3 12 2 2 2" xfId="10660" xr:uid="{00000000-0005-0000-0000-00005D630000}"/>
    <cellStyle name="Normal 2 3 3 12 2 2 2 2" xfId="10661" xr:uid="{00000000-0005-0000-0000-00005E630000}"/>
    <cellStyle name="Normal 2 3 3 12 2 2 2 2 2" xfId="40704" xr:uid="{00000000-0005-0000-0000-00005F630000}"/>
    <cellStyle name="Normal 2 3 3 12 2 2 2 3" xfId="10662" xr:uid="{00000000-0005-0000-0000-000060630000}"/>
    <cellStyle name="Normal 2 3 3 12 2 2 2 3 2" xfId="40705" xr:uid="{00000000-0005-0000-0000-000061630000}"/>
    <cellStyle name="Normal 2 3 3 12 2 2 2 4" xfId="40706" xr:uid="{00000000-0005-0000-0000-000062630000}"/>
    <cellStyle name="Normal 2 3 3 12 2 2 3" xfId="10663" xr:uid="{00000000-0005-0000-0000-000063630000}"/>
    <cellStyle name="Normal 2 3 3 12 2 2 3 2" xfId="40707" xr:uid="{00000000-0005-0000-0000-000064630000}"/>
    <cellStyle name="Normal 2 3 3 12 2 2 4" xfId="10664" xr:uid="{00000000-0005-0000-0000-000065630000}"/>
    <cellStyle name="Normal 2 3 3 12 2 2 4 2" xfId="40708" xr:uid="{00000000-0005-0000-0000-000066630000}"/>
    <cellStyle name="Normal 2 3 3 12 2 2 5" xfId="10665" xr:uid="{00000000-0005-0000-0000-000067630000}"/>
    <cellStyle name="Normal 2 3 3 12 2 2 5 2" xfId="40709" xr:uid="{00000000-0005-0000-0000-000068630000}"/>
    <cellStyle name="Normal 2 3 3 12 2 2 6" xfId="40710" xr:uid="{00000000-0005-0000-0000-000069630000}"/>
    <cellStyle name="Normal 2 3 3 12 2 2 6 2" xfId="40711" xr:uid="{00000000-0005-0000-0000-00006A630000}"/>
    <cellStyle name="Normal 2 3 3 12 2 2 7" xfId="40712" xr:uid="{00000000-0005-0000-0000-00006B630000}"/>
    <cellStyle name="Normal 2 3 3 12 2 3" xfId="10666" xr:uid="{00000000-0005-0000-0000-00006C630000}"/>
    <cellStyle name="Normal 2 3 3 12 2 3 2" xfId="10667" xr:uid="{00000000-0005-0000-0000-00006D630000}"/>
    <cellStyle name="Normal 2 3 3 12 2 3 2 2" xfId="40713" xr:uid="{00000000-0005-0000-0000-00006E630000}"/>
    <cellStyle name="Normal 2 3 3 12 2 3 3" xfId="10668" xr:uid="{00000000-0005-0000-0000-00006F630000}"/>
    <cellStyle name="Normal 2 3 3 12 2 3 3 2" xfId="40714" xr:uid="{00000000-0005-0000-0000-000070630000}"/>
    <cellStyle name="Normal 2 3 3 12 2 3 4" xfId="40715" xr:uid="{00000000-0005-0000-0000-000071630000}"/>
    <cellStyle name="Normal 2 3 3 12 2 4" xfId="10669" xr:uid="{00000000-0005-0000-0000-000072630000}"/>
    <cellStyle name="Normal 2 3 3 12 2 4 2" xfId="10670" xr:uid="{00000000-0005-0000-0000-000073630000}"/>
    <cellStyle name="Normal 2 3 3 12 2 4 2 2" xfId="40716" xr:uid="{00000000-0005-0000-0000-000074630000}"/>
    <cellStyle name="Normal 2 3 3 12 2 4 3" xfId="40717" xr:uid="{00000000-0005-0000-0000-000075630000}"/>
    <cellStyle name="Normal 2 3 3 12 2 5" xfId="10671" xr:uid="{00000000-0005-0000-0000-000076630000}"/>
    <cellStyle name="Normal 2 3 3 12 2 5 2" xfId="40718" xr:uid="{00000000-0005-0000-0000-000077630000}"/>
    <cellStyle name="Normal 2 3 3 12 2 6" xfId="10672" xr:uid="{00000000-0005-0000-0000-000078630000}"/>
    <cellStyle name="Normal 2 3 3 12 2 6 2" xfId="40719" xr:uid="{00000000-0005-0000-0000-000079630000}"/>
    <cellStyle name="Normal 2 3 3 12 2 7" xfId="40720" xr:uid="{00000000-0005-0000-0000-00007A630000}"/>
    <cellStyle name="Normal 2 3 3 12 2 7 2" xfId="40721" xr:uid="{00000000-0005-0000-0000-00007B630000}"/>
    <cellStyle name="Normal 2 3 3 12 2 8" xfId="40722" xr:uid="{00000000-0005-0000-0000-00007C630000}"/>
    <cellStyle name="Normal 2 3 3 12 2 9" xfId="40723" xr:uid="{00000000-0005-0000-0000-00007D630000}"/>
    <cellStyle name="Normal 2 3 3 12 3" xfId="10673" xr:uid="{00000000-0005-0000-0000-00007E630000}"/>
    <cellStyle name="Normal 2 3 3 12 3 2" xfId="10674" xr:uid="{00000000-0005-0000-0000-00007F630000}"/>
    <cellStyle name="Normal 2 3 3 12 3 2 2" xfId="10675" xr:uid="{00000000-0005-0000-0000-000080630000}"/>
    <cellStyle name="Normal 2 3 3 12 3 2 2 2" xfId="40724" xr:uid="{00000000-0005-0000-0000-000081630000}"/>
    <cellStyle name="Normal 2 3 3 12 3 2 3" xfId="10676" xr:uid="{00000000-0005-0000-0000-000082630000}"/>
    <cellStyle name="Normal 2 3 3 12 3 2 3 2" xfId="40725" xr:uid="{00000000-0005-0000-0000-000083630000}"/>
    <cellStyle name="Normal 2 3 3 12 3 2 4" xfId="40726" xr:uid="{00000000-0005-0000-0000-000084630000}"/>
    <cellStyle name="Normal 2 3 3 12 3 3" xfId="10677" xr:uid="{00000000-0005-0000-0000-000085630000}"/>
    <cellStyle name="Normal 2 3 3 12 3 3 2" xfId="40727" xr:uid="{00000000-0005-0000-0000-000086630000}"/>
    <cellStyle name="Normal 2 3 3 12 3 4" xfId="10678" xr:uid="{00000000-0005-0000-0000-000087630000}"/>
    <cellStyle name="Normal 2 3 3 12 3 4 2" xfId="40728" xr:uid="{00000000-0005-0000-0000-000088630000}"/>
    <cellStyle name="Normal 2 3 3 12 3 5" xfId="10679" xr:uid="{00000000-0005-0000-0000-000089630000}"/>
    <cellStyle name="Normal 2 3 3 12 3 5 2" xfId="40729" xr:uid="{00000000-0005-0000-0000-00008A630000}"/>
    <cellStyle name="Normal 2 3 3 12 3 6" xfId="40730" xr:uid="{00000000-0005-0000-0000-00008B630000}"/>
    <cellStyle name="Normal 2 3 3 12 3 6 2" xfId="40731" xr:uid="{00000000-0005-0000-0000-00008C630000}"/>
    <cellStyle name="Normal 2 3 3 12 3 7" xfId="40732" xr:uid="{00000000-0005-0000-0000-00008D630000}"/>
    <cellStyle name="Normal 2 3 3 12 4" xfId="10680" xr:uid="{00000000-0005-0000-0000-00008E630000}"/>
    <cellStyle name="Normal 2 3 3 12 4 2" xfId="10681" xr:uid="{00000000-0005-0000-0000-00008F630000}"/>
    <cellStyle name="Normal 2 3 3 12 4 2 2" xfId="40733" xr:uid="{00000000-0005-0000-0000-000090630000}"/>
    <cellStyle name="Normal 2 3 3 12 4 3" xfId="10682" xr:uid="{00000000-0005-0000-0000-000091630000}"/>
    <cellStyle name="Normal 2 3 3 12 4 3 2" xfId="40734" xr:uid="{00000000-0005-0000-0000-000092630000}"/>
    <cellStyle name="Normal 2 3 3 12 4 4" xfId="40735" xr:uid="{00000000-0005-0000-0000-000093630000}"/>
    <cellStyle name="Normal 2 3 3 12 5" xfId="10683" xr:uid="{00000000-0005-0000-0000-000094630000}"/>
    <cellStyle name="Normal 2 3 3 12 5 2" xfId="10684" xr:uid="{00000000-0005-0000-0000-000095630000}"/>
    <cellStyle name="Normal 2 3 3 12 5 2 2" xfId="40736" xr:uid="{00000000-0005-0000-0000-000096630000}"/>
    <cellStyle name="Normal 2 3 3 12 5 3" xfId="40737" xr:uid="{00000000-0005-0000-0000-000097630000}"/>
    <cellStyle name="Normal 2 3 3 12 6" xfId="10685" xr:uid="{00000000-0005-0000-0000-000098630000}"/>
    <cellStyle name="Normal 2 3 3 12 6 2" xfId="40738" xr:uid="{00000000-0005-0000-0000-000099630000}"/>
    <cellStyle name="Normal 2 3 3 12 7" xfId="10686" xr:uid="{00000000-0005-0000-0000-00009A630000}"/>
    <cellStyle name="Normal 2 3 3 12 7 2" xfId="40739" xr:uid="{00000000-0005-0000-0000-00009B630000}"/>
    <cellStyle name="Normal 2 3 3 12 8" xfId="40740" xr:uid="{00000000-0005-0000-0000-00009C630000}"/>
    <cellStyle name="Normal 2 3 3 12 8 2" xfId="40741" xr:uid="{00000000-0005-0000-0000-00009D630000}"/>
    <cellStyle name="Normal 2 3 3 12 9" xfId="40742" xr:uid="{00000000-0005-0000-0000-00009E630000}"/>
    <cellStyle name="Normal 2 3 3 13" xfId="10687" xr:uid="{00000000-0005-0000-0000-00009F630000}"/>
    <cellStyle name="Normal 2 3 3 13 10" xfId="40743" xr:uid="{00000000-0005-0000-0000-0000A0630000}"/>
    <cellStyle name="Normal 2 3 3 13 11" xfId="40744" xr:uid="{00000000-0005-0000-0000-0000A1630000}"/>
    <cellStyle name="Normal 2 3 3 13 2" xfId="10688" xr:uid="{00000000-0005-0000-0000-0000A2630000}"/>
    <cellStyle name="Normal 2 3 3 13 2 10" xfId="40745" xr:uid="{00000000-0005-0000-0000-0000A3630000}"/>
    <cellStyle name="Normal 2 3 3 13 2 2" xfId="10689" xr:uid="{00000000-0005-0000-0000-0000A4630000}"/>
    <cellStyle name="Normal 2 3 3 13 2 2 2" xfId="10690" xr:uid="{00000000-0005-0000-0000-0000A5630000}"/>
    <cellStyle name="Normal 2 3 3 13 2 2 2 2" xfId="10691" xr:uid="{00000000-0005-0000-0000-0000A6630000}"/>
    <cellStyle name="Normal 2 3 3 13 2 2 2 2 2" xfId="40746" xr:uid="{00000000-0005-0000-0000-0000A7630000}"/>
    <cellStyle name="Normal 2 3 3 13 2 2 2 3" xfId="10692" xr:uid="{00000000-0005-0000-0000-0000A8630000}"/>
    <cellStyle name="Normal 2 3 3 13 2 2 2 3 2" xfId="40747" xr:uid="{00000000-0005-0000-0000-0000A9630000}"/>
    <cellStyle name="Normal 2 3 3 13 2 2 2 4" xfId="40748" xr:uid="{00000000-0005-0000-0000-0000AA630000}"/>
    <cellStyle name="Normal 2 3 3 13 2 2 3" xfId="10693" xr:uid="{00000000-0005-0000-0000-0000AB630000}"/>
    <cellStyle name="Normal 2 3 3 13 2 2 3 2" xfId="40749" xr:uid="{00000000-0005-0000-0000-0000AC630000}"/>
    <cellStyle name="Normal 2 3 3 13 2 2 4" xfId="10694" xr:uid="{00000000-0005-0000-0000-0000AD630000}"/>
    <cellStyle name="Normal 2 3 3 13 2 2 4 2" xfId="40750" xr:uid="{00000000-0005-0000-0000-0000AE630000}"/>
    <cellStyle name="Normal 2 3 3 13 2 2 5" xfId="10695" xr:uid="{00000000-0005-0000-0000-0000AF630000}"/>
    <cellStyle name="Normal 2 3 3 13 2 2 5 2" xfId="40751" xr:uid="{00000000-0005-0000-0000-0000B0630000}"/>
    <cellStyle name="Normal 2 3 3 13 2 2 6" xfId="40752" xr:uid="{00000000-0005-0000-0000-0000B1630000}"/>
    <cellStyle name="Normal 2 3 3 13 2 2 6 2" xfId="40753" xr:uid="{00000000-0005-0000-0000-0000B2630000}"/>
    <cellStyle name="Normal 2 3 3 13 2 2 7" xfId="40754" xr:uid="{00000000-0005-0000-0000-0000B3630000}"/>
    <cellStyle name="Normal 2 3 3 13 2 3" xfId="10696" xr:uid="{00000000-0005-0000-0000-0000B4630000}"/>
    <cellStyle name="Normal 2 3 3 13 2 3 2" xfId="10697" xr:uid="{00000000-0005-0000-0000-0000B5630000}"/>
    <cellStyle name="Normal 2 3 3 13 2 3 2 2" xfId="40755" xr:uid="{00000000-0005-0000-0000-0000B6630000}"/>
    <cellStyle name="Normal 2 3 3 13 2 3 3" xfId="10698" xr:uid="{00000000-0005-0000-0000-0000B7630000}"/>
    <cellStyle name="Normal 2 3 3 13 2 3 3 2" xfId="40756" xr:uid="{00000000-0005-0000-0000-0000B8630000}"/>
    <cellStyle name="Normal 2 3 3 13 2 3 4" xfId="40757" xr:uid="{00000000-0005-0000-0000-0000B9630000}"/>
    <cellStyle name="Normal 2 3 3 13 2 4" xfId="10699" xr:uid="{00000000-0005-0000-0000-0000BA630000}"/>
    <cellStyle name="Normal 2 3 3 13 2 4 2" xfId="10700" xr:uid="{00000000-0005-0000-0000-0000BB630000}"/>
    <cellStyle name="Normal 2 3 3 13 2 4 2 2" xfId="40758" xr:uid="{00000000-0005-0000-0000-0000BC630000}"/>
    <cellStyle name="Normal 2 3 3 13 2 4 3" xfId="40759" xr:uid="{00000000-0005-0000-0000-0000BD630000}"/>
    <cellStyle name="Normal 2 3 3 13 2 5" xfId="10701" xr:uid="{00000000-0005-0000-0000-0000BE630000}"/>
    <cellStyle name="Normal 2 3 3 13 2 5 2" xfId="40760" xr:uid="{00000000-0005-0000-0000-0000BF630000}"/>
    <cellStyle name="Normal 2 3 3 13 2 6" xfId="10702" xr:uid="{00000000-0005-0000-0000-0000C0630000}"/>
    <cellStyle name="Normal 2 3 3 13 2 6 2" xfId="40761" xr:uid="{00000000-0005-0000-0000-0000C1630000}"/>
    <cellStyle name="Normal 2 3 3 13 2 7" xfId="40762" xr:uid="{00000000-0005-0000-0000-0000C2630000}"/>
    <cellStyle name="Normal 2 3 3 13 2 7 2" xfId="40763" xr:uid="{00000000-0005-0000-0000-0000C3630000}"/>
    <cellStyle name="Normal 2 3 3 13 2 8" xfId="40764" xr:uid="{00000000-0005-0000-0000-0000C4630000}"/>
    <cellStyle name="Normal 2 3 3 13 2 9" xfId="40765" xr:uid="{00000000-0005-0000-0000-0000C5630000}"/>
    <cellStyle name="Normal 2 3 3 13 3" xfId="10703" xr:uid="{00000000-0005-0000-0000-0000C6630000}"/>
    <cellStyle name="Normal 2 3 3 13 3 2" xfId="10704" xr:uid="{00000000-0005-0000-0000-0000C7630000}"/>
    <cellStyle name="Normal 2 3 3 13 3 2 2" xfId="10705" xr:uid="{00000000-0005-0000-0000-0000C8630000}"/>
    <cellStyle name="Normal 2 3 3 13 3 2 2 2" xfId="40766" xr:uid="{00000000-0005-0000-0000-0000C9630000}"/>
    <cellStyle name="Normal 2 3 3 13 3 2 3" xfId="10706" xr:uid="{00000000-0005-0000-0000-0000CA630000}"/>
    <cellStyle name="Normal 2 3 3 13 3 2 3 2" xfId="40767" xr:uid="{00000000-0005-0000-0000-0000CB630000}"/>
    <cellStyle name="Normal 2 3 3 13 3 2 4" xfId="40768" xr:uid="{00000000-0005-0000-0000-0000CC630000}"/>
    <cellStyle name="Normal 2 3 3 13 3 3" xfId="10707" xr:uid="{00000000-0005-0000-0000-0000CD630000}"/>
    <cellStyle name="Normal 2 3 3 13 3 3 2" xfId="40769" xr:uid="{00000000-0005-0000-0000-0000CE630000}"/>
    <cellStyle name="Normal 2 3 3 13 3 4" xfId="10708" xr:uid="{00000000-0005-0000-0000-0000CF630000}"/>
    <cellStyle name="Normal 2 3 3 13 3 4 2" xfId="40770" xr:uid="{00000000-0005-0000-0000-0000D0630000}"/>
    <cellStyle name="Normal 2 3 3 13 3 5" xfId="10709" xr:uid="{00000000-0005-0000-0000-0000D1630000}"/>
    <cellStyle name="Normal 2 3 3 13 3 5 2" xfId="40771" xr:uid="{00000000-0005-0000-0000-0000D2630000}"/>
    <cellStyle name="Normal 2 3 3 13 3 6" xfId="40772" xr:uid="{00000000-0005-0000-0000-0000D3630000}"/>
    <cellStyle name="Normal 2 3 3 13 3 6 2" xfId="40773" xr:uid="{00000000-0005-0000-0000-0000D4630000}"/>
    <cellStyle name="Normal 2 3 3 13 3 7" xfId="40774" xr:uid="{00000000-0005-0000-0000-0000D5630000}"/>
    <cellStyle name="Normal 2 3 3 13 4" xfId="10710" xr:uid="{00000000-0005-0000-0000-0000D6630000}"/>
    <cellStyle name="Normal 2 3 3 13 4 2" xfId="10711" xr:uid="{00000000-0005-0000-0000-0000D7630000}"/>
    <cellStyle name="Normal 2 3 3 13 4 2 2" xfId="40775" xr:uid="{00000000-0005-0000-0000-0000D8630000}"/>
    <cellStyle name="Normal 2 3 3 13 4 3" xfId="10712" xr:uid="{00000000-0005-0000-0000-0000D9630000}"/>
    <cellStyle name="Normal 2 3 3 13 4 3 2" xfId="40776" xr:uid="{00000000-0005-0000-0000-0000DA630000}"/>
    <cellStyle name="Normal 2 3 3 13 4 4" xfId="40777" xr:uid="{00000000-0005-0000-0000-0000DB630000}"/>
    <cellStyle name="Normal 2 3 3 13 5" xfId="10713" xr:uid="{00000000-0005-0000-0000-0000DC630000}"/>
    <cellStyle name="Normal 2 3 3 13 5 2" xfId="10714" xr:uid="{00000000-0005-0000-0000-0000DD630000}"/>
    <cellStyle name="Normal 2 3 3 13 5 2 2" xfId="40778" xr:uid="{00000000-0005-0000-0000-0000DE630000}"/>
    <cellStyle name="Normal 2 3 3 13 5 3" xfId="40779" xr:uid="{00000000-0005-0000-0000-0000DF630000}"/>
    <cellStyle name="Normal 2 3 3 13 6" xfId="10715" xr:uid="{00000000-0005-0000-0000-0000E0630000}"/>
    <cellStyle name="Normal 2 3 3 13 6 2" xfId="40780" xr:uid="{00000000-0005-0000-0000-0000E1630000}"/>
    <cellStyle name="Normal 2 3 3 13 7" xfId="10716" xr:uid="{00000000-0005-0000-0000-0000E2630000}"/>
    <cellStyle name="Normal 2 3 3 13 7 2" xfId="40781" xr:uid="{00000000-0005-0000-0000-0000E3630000}"/>
    <cellStyle name="Normal 2 3 3 13 8" xfId="40782" xr:uid="{00000000-0005-0000-0000-0000E4630000}"/>
    <cellStyle name="Normal 2 3 3 13 8 2" xfId="40783" xr:uid="{00000000-0005-0000-0000-0000E5630000}"/>
    <cellStyle name="Normal 2 3 3 13 9" xfId="40784" xr:uid="{00000000-0005-0000-0000-0000E6630000}"/>
    <cellStyle name="Normal 2 3 3 14" xfId="10717" xr:uid="{00000000-0005-0000-0000-0000E7630000}"/>
    <cellStyle name="Normal 2 3 3 14 10" xfId="40785" xr:uid="{00000000-0005-0000-0000-0000E8630000}"/>
    <cellStyle name="Normal 2 3 3 14 11" xfId="40786" xr:uid="{00000000-0005-0000-0000-0000E9630000}"/>
    <cellStyle name="Normal 2 3 3 14 2" xfId="10718" xr:uid="{00000000-0005-0000-0000-0000EA630000}"/>
    <cellStyle name="Normal 2 3 3 14 2 10" xfId="40787" xr:uid="{00000000-0005-0000-0000-0000EB630000}"/>
    <cellStyle name="Normal 2 3 3 14 2 2" xfId="10719" xr:uid="{00000000-0005-0000-0000-0000EC630000}"/>
    <cellStyle name="Normal 2 3 3 14 2 2 2" xfId="10720" xr:uid="{00000000-0005-0000-0000-0000ED630000}"/>
    <cellStyle name="Normal 2 3 3 14 2 2 2 2" xfId="10721" xr:uid="{00000000-0005-0000-0000-0000EE630000}"/>
    <cellStyle name="Normal 2 3 3 14 2 2 2 2 2" xfId="40788" xr:uid="{00000000-0005-0000-0000-0000EF630000}"/>
    <cellStyle name="Normal 2 3 3 14 2 2 2 3" xfId="10722" xr:uid="{00000000-0005-0000-0000-0000F0630000}"/>
    <cellStyle name="Normal 2 3 3 14 2 2 2 3 2" xfId="40789" xr:uid="{00000000-0005-0000-0000-0000F1630000}"/>
    <cellStyle name="Normal 2 3 3 14 2 2 2 4" xfId="40790" xr:uid="{00000000-0005-0000-0000-0000F2630000}"/>
    <cellStyle name="Normal 2 3 3 14 2 2 3" xfId="10723" xr:uid="{00000000-0005-0000-0000-0000F3630000}"/>
    <cellStyle name="Normal 2 3 3 14 2 2 3 2" xfId="40791" xr:uid="{00000000-0005-0000-0000-0000F4630000}"/>
    <cellStyle name="Normal 2 3 3 14 2 2 4" xfId="10724" xr:uid="{00000000-0005-0000-0000-0000F5630000}"/>
    <cellStyle name="Normal 2 3 3 14 2 2 4 2" xfId="40792" xr:uid="{00000000-0005-0000-0000-0000F6630000}"/>
    <cellStyle name="Normal 2 3 3 14 2 2 5" xfId="10725" xr:uid="{00000000-0005-0000-0000-0000F7630000}"/>
    <cellStyle name="Normal 2 3 3 14 2 2 5 2" xfId="40793" xr:uid="{00000000-0005-0000-0000-0000F8630000}"/>
    <cellStyle name="Normal 2 3 3 14 2 2 6" xfId="40794" xr:uid="{00000000-0005-0000-0000-0000F9630000}"/>
    <cellStyle name="Normal 2 3 3 14 2 2 6 2" xfId="40795" xr:uid="{00000000-0005-0000-0000-0000FA630000}"/>
    <cellStyle name="Normal 2 3 3 14 2 2 7" xfId="40796" xr:uid="{00000000-0005-0000-0000-0000FB630000}"/>
    <cellStyle name="Normal 2 3 3 14 2 3" xfId="10726" xr:uid="{00000000-0005-0000-0000-0000FC630000}"/>
    <cellStyle name="Normal 2 3 3 14 2 3 2" xfId="10727" xr:uid="{00000000-0005-0000-0000-0000FD630000}"/>
    <cellStyle name="Normal 2 3 3 14 2 3 2 2" xfId="40797" xr:uid="{00000000-0005-0000-0000-0000FE630000}"/>
    <cellStyle name="Normal 2 3 3 14 2 3 3" xfId="10728" xr:uid="{00000000-0005-0000-0000-0000FF630000}"/>
    <cellStyle name="Normal 2 3 3 14 2 3 3 2" xfId="40798" xr:uid="{00000000-0005-0000-0000-000000640000}"/>
    <cellStyle name="Normal 2 3 3 14 2 3 4" xfId="40799" xr:uid="{00000000-0005-0000-0000-000001640000}"/>
    <cellStyle name="Normal 2 3 3 14 2 4" xfId="10729" xr:uid="{00000000-0005-0000-0000-000002640000}"/>
    <cellStyle name="Normal 2 3 3 14 2 4 2" xfId="10730" xr:uid="{00000000-0005-0000-0000-000003640000}"/>
    <cellStyle name="Normal 2 3 3 14 2 4 2 2" xfId="40800" xr:uid="{00000000-0005-0000-0000-000004640000}"/>
    <cellStyle name="Normal 2 3 3 14 2 4 3" xfId="40801" xr:uid="{00000000-0005-0000-0000-000005640000}"/>
    <cellStyle name="Normal 2 3 3 14 2 5" xfId="10731" xr:uid="{00000000-0005-0000-0000-000006640000}"/>
    <cellStyle name="Normal 2 3 3 14 2 5 2" xfId="40802" xr:uid="{00000000-0005-0000-0000-000007640000}"/>
    <cellStyle name="Normal 2 3 3 14 2 6" xfId="10732" xr:uid="{00000000-0005-0000-0000-000008640000}"/>
    <cellStyle name="Normal 2 3 3 14 2 6 2" xfId="40803" xr:uid="{00000000-0005-0000-0000-000009640000}"/>
    <cellStyle name="Normal 2 3 3 14 2 7" xfId="40804" xr:uid="{00000000-0005-0000-0000-00000A640000}"/>
    <cellStyle name="Normal 2 3 3 14 2 7 2" xfId="40805" xr:uid="{00000000-0005-0000-0000-00000B640000}"/>
    <cellStyle name="Normal 2 3 3 14 2 8" xfId="40806" xr:uid="{00000000-0005-0000-0000-00000C640000}"/>
    <cellStyle name="Normal 2 3 3 14 2 9" xfId="40807" xr:uid="{00000000-0005-0000-0000-00000D640000}"/>
    <cellStyle name="Normal 2 3 3 14 3" xfId="10733" xr:uid="{00000000-0005-0000-0000-00000E640000}"/>
    <cellStyle name="Normal 2 3 3 14 3 2" xfId="10734" xr:uid="{00000000-0005-0000-0000-00000F640000}"/>
    <cellStyle name="Normal 2 3 3 14 3 2 2" xfId="10735" xr:uid="{00000000-0005-0000-0000-000010640000}"/>
    <cellStyle name="Normal 2 3 3 14 3 2 2 2" xfId="40808" xr:uid="{00000000-0005-0000-0000-000011640000}"/>
    <cellStyle name="Normal 2 3 3 14 3 2 3" xfId="10736" xr:uid="{00000000-0005-0000-0000-000012640000}"/>
    <cellStyle name="Normal 2 3 3 14 3 2 3 2" xfId="40809" xr:uid="{00000000-0005-0000-0000-000013640000}"/>
    <cellStyle name="Normal 2 3 3 14 3 2 4" xfId="40810" xr:uid="{00000000-0005-0000-0000-000014640000}"/>
    <cellStyle name="Normal 2 3 3 14 3 3" xfId="10737" xr:uid="{00000000-0005-0000-0000-000015640000}"/>
    <cellStyle name="Normal 2 3 3 14 3 3 2" xfId="40811" xr:uid="{00000000-0005-0000-0000-000016640000}"/>
    <cellStyle name="Normal 2 3 3 14 3 4" xfId="10738" xr:uid="{00000000-0005-0000-0000-000017640000}"/>
    <cellStyle name="Normal 2 3 3 14 3 4 2" xfId="40812" xr:uid="{00000000-0005-0000-0000-000018640000}"/>
    <cellStyle name="Normal 2 3 3 14 3 5" xfId="10739" xr:uid="{00000000-0005-0000-0000-000019640000}"/>
    <cellStyle name="Normal 2 3 3 14 3 5 2" xfId="40813" xr:uid="{00000000-0005-0000-0000-00001A640000}"/>
    <cellStyle name="Normal 2 3 3 14 3 6" xfId="40814" xr:uid="{00000000-0005-0000-0000-00001B640000}"/>
    <cellStyle name="Normal 2 3 3 14 3 6 2" xfId="40815" xr:uid="{00000000-0005-0000-0000-00001C640000}"/>
    <cellStyle name="Normal 2 3 3 14 3 7" xfId="40816" xr:uid="{00000000-0005-0000-0000-00001D640000}"/>
    <cellStyle name="Normal 2 3 3 14 4" xfId="10740" xr:uid="{00000000-0005-0000-0000-00001E640000}"/>
    <cellStyle name="Normal 2 3 3 14 4 2" xfId="10741" xr:uid="{00000000-0005-0000-0000-00001F640000}"/>
    <cellStyle name="Normal 2 3 3 14 4 2 2" xfId="40817" xr:uid="{00000000-0005-0000-0000-000020640000}"/>
    <cellStyle name="Normal 2 3 3 14 4 3" xfId="10742" xr:uid="{00000000-0005-0000-0000-000021640000}"/>
    <cellStyle name="Normal 2 3 3 14 4 3 2" xfId="40818" xr:uid="{00000000-0005-0000-0000-000022640000}"/>
    <cellStyle name="Normal 2 3 3 14 4 4" xfId="40819" xr:uid="{00000000-0005-0000-0000-000023640000}"/>
    <cellStyle name="Normal 2 3 3 14 5" xfId="10743" xr:uid="{00000000-0005-0000-0000-000024640000}"/>
    <cellStyle name="Normal 2 3 3 14 5 2" xfId="10744" xr:uid="{00000000-0005-0000-0000-000025640000}"/>
    <cellStyle name="Normal 2 3 3 14 5 2 2" xfId="40820" xr:uid="{00000000-0005-0000-0000-000026640000}"/>
    <cellStyle name="Normal 2 3 3 14 5 3" xfId="40821" xr:uid="{00000000-0005-0000-0000-000027640000}"/>
    <cellStyle name="Normal 2 3 3 14 6" xfId="10745" xr:uid="{00000000-0005-0000-0000-000028640000}"/>
    <cellStyle name="Normal 2 3 3 14 6 2" xfId="40822" xr:uid="{00000000-0005-0000-0000-000029640000}"/>
    <cellStyle name="Normal 2 3 3 14 7" xfId="10746" xr:uid="{00000000-0005-0000-0000-00002A640000}"/>
    <cellStyle name="Normal 2 3 3 14 7 2" xfId="40823" xr:uid="{00000000-0005-0000-0000-00002B640000}"/>
    <cellStyle name="Normal 2 3 3 14 8" xfId="40824" xr:uid="{00000000-0005-0000-0000-00002C640000}"/>
    <cellStyle name="Normal 2 3 3 14 8 2" xfId="40825" xr:uid="{00000000-0005-0000-0000-00002D640000}"/>
    <cellStyle name="Normal 2 3 3 14 9" xfId="40826" xr:uid="{00000000-0005-0000-0000-00002E640000}"/>
    <cellStyle name="Normal 2 3 3 15" xfId="10747" xr:uid="{00000000-0005-0000-0000-00002F640000}"/>
    <cellStyle name="Normal 2 3 3 15 10" xfId="40827" xr:uid="{00000000-0005-0000-0000-000030640000}"/>
    <cellStyle name="Normal 2 3 3 15 11" xfId="40828" xr:uid="{00000000-0005-0000-0000-000031640000}"/>
    <cellStyle name="Normal 2 3 3 15 2" xfId="10748" xr:uid="{00000000-0005-0000-0000-000032640000}"/>
    <cellStyle name="Normal 2 3 3 15 2 10" xfId="40829" xr:uid="{00000000-0005-0000-0000-000033640000}"/>
    <cellStyle name="Normal 2 3 3 15 2 2" xfId="10749" xr:uid="{00000000-0005-0000-0000-000034640000}"/>
    <cellStyle name="Normal 2 3 3 15 2 2 2" xfId="10750" xr:uid="{00000000-0005-0000-0000-000035640000}"/>
    <cellStyle name="Normal 2 3 3 15 2 2 2 2" xfId="10751" xr:uid="{00000000-0005-0000-0000-000036640000}"/>
    <cellStyle name="Normal 2 3 3 15 2 2 2 2 2" xfId="40830" xr:uid="{00000000-0005-0000-0000-000037640000}"/>
    <cellStyle name="Normal 2 3 3 15 2 2 2 3" xfId="10752" xr:uid="{00000000-0005-0000-0000-000038640000}"/>
    <cellStyle name="Normal 2 3 3 15 2 2 2 3 2" xfId="40831" xr:uid="{00000000-0005-0000-0000-000039640000}"/>
    <cellStyle name="Normal 2 3 3 15 2 2 2 4" xfId="40832" xr:uid="{00000000-0005-0000-0000-00003A640000}"/>
    <cellStyle name="Normal 2 3 3 15 2 2 3" xfId="10753" xr:uid="{00000000-0005-0000-0000-00003B640000}"/>
    <cellStyle name="Normal 2 3 3 15 2 2 3 2" xfId="40833" xr:uid="{00000000-0005-0000-0000-00003C640000}"/>
    <cellStyle name="Normal 2 3 3 15 2 2 4" xfId="10754" xr:uid="{00000000-0005-0000-0000-00003D640000}"/>
    <cellStyle name="Normal 2 3 3 15 2 2 4 2" xfId="40834" xr:uid="{00000000-0005-0000-0000-00003E640000}"/>
    <cellStyle name="Normal 2 3 3 15 2 2 5" xfId="10755" xr:uid="{00000000-0005-0000-0000-00003F640000}"/>
    <cellStyle name="Normal 2 3 3 15 2 2 5 2" xfId="40835" xr:uid="{00000000-0005-0000-0000-000040640000}"/>
    <cellStyle name="Normal 2 3 3 15 2 2 6" xfId="40836" xr:uid="{00000000-0005-0000-0000-000041640000}"/>
    <cellStyle name="Normal 2 3 3 15 2 2 6 2" xfId="40837" xr:uid="{00000000-0005-0000-0000-000042640000}"/>
    <cellStyle name="Normal 2 3 3 15 2 2 7" xfId="40838" xr:uid="{00000000-0005-0000-0000-000043640000}"/>
    <cellStyle name="Normal 2 3 3 15 2 3" xfId="10756" xr:uid="{00000000-0005-0000-0000-000044640000}"/>
    <cellStyle name="Normal 2 3 3 15 2 3 2" xfId="10757" xr:uid="{00000000-0005-0000-0000-000045640000}"/>
    <cellStyle name="Normal 2 3 3 15 2 3 2 2" xfId="40839" xr:uid="{00000000-0005-0000-0000-000046640000}"/>
    <cellStyle name="Normal 2 3 3 15 2 3 3" xfId="10758" xr:uid="{00000000-0005-0000-0000-000047640000}"/>
    <cellStyle name="Normal 2 3 3 15 2 3 3 2" xfId="40840" xr:uid="{00000000-0005-0000-0000-000048640000}"/>
    <cellStyle name="Normal 2 3 3 15 2 3 4" xfId="40841" xr:uid="{00000000-0005-0000-0000-000049640000}"/>
    <cellStyle name="Normal 2 3 3 15 2 4" xfId="10759" xr:uid="{00000000-0005-0000-0000-00004A640000}"/>
    <cellStyle name="Normal 2 3 3 15 2 4 2" xfId="10760" xr:uid="{00000000-0005-0000-0000-00004B640000}"/>
    <cellStyle name="Normal 2 3 3 15 2 4 2 2" xfId="40842" xr:uid="{00000000-0005-0000-0000-00004C640000}"/>
    <cellStyle name="Normal 2 3 3 15 2 4 3" xfId="40843" xr:uid="{00000000-0005-0000-0000-00004D640000}"/>
    <cellStyle name="Normal 2 3 3 15 2 5" xfId="10761" xr:uid="{00000000-0005-0000-0000-00004E640000}"/>
    <cellStyle name="Normal 2 3 3 15 2 5 2" xfId="40844" xr:uid="{00000000-0005-0000-0000-00004F640000}"/>
    <cellStyle name="Normal 2 3 3 15 2 6" xfId="10762" xr:uid="{00000000-0005-0000-0000-000050640000}"/>
    <cellStyle name="Normal 2 3 3 15 2 6 2" xfId="40845" xr:uid="{00000000-0005-0000-0000-000051640000}"/>
    <cellStyle name="Normal 2 3 3 15 2 7" xfId="40846" xr:uid="{00000000-0005-0000-0000-000052640000}"/>
    <cellStyle name="Normal 2 3 3 15 2 7 2" xfId="40847" xr:uid="{00000000-0005-0000-0000-000053640000}"/>
    <cellStyle name="Normal 2 3 3 15 2 8" xfId="40848" xr:uid="{00000000-0005-0000-0000-000054640000}"/>
    <cellStyle name="Normal 2 3 3 15 2 9" xfId="40849" xr:uid="{00000000-0005-0000-0000-000055640000}"/>
    <cellStyle name="Normal 2 3 3 15 3" xfId="10763" xr:uid="{00000000-0005-0000-0000-000056640000}"/>
    <cellStyle name="Normal 2 3 3 15 3 2" xfId="10764" xr:uid="{00000000-0005-0000-0000-000057640000}"/>
    <cellStyle name="Normal 2 3 3 15 3 2 2" xfId="10765" xr:uid="{00000000-0005-0000-0000-000058640000}"/>
    <cellStyle name="Normal 2 3 3 15 3 2 2 2" xfId="40850" xr:uid="{00000000-0005-0000-0000-000059640000}"/>
    <cellStyle name="Normal 2 3 3 15 3 2 3" xfId="10766" xr:uid="{00000000-0005-0000-0000-00005A640000}"/>
    <cellStyle name="Normal 2 3 3 15 3 2 3 2" xfId="40851" xr:uid="{00000000-0005-0000-0000-00005B640000}"/>
    <cellStyle name="Normal 2 3 3 15 3 2 4" xfId="40852" xr:uid="{00000000-0005-0000-0000-00005C640000}"/>
    <cellStyle name="Normal 2 3 3 15 3 3" xfId="10767" xr:uid="{00000000-0005-0000-0000-00005D640000}"/>
    <cellStyle name="Normal 2 3 3 15 3 3 2" xfId="40853" xr:uid="{00000000-0005-0000-0000-00005E640000}"/>
    <cellStyle name="Normal 2 3 3 15 3 4" xfId="10768" xr:uid="{00000000-0005-0000-0000-00005F640000}"/>
    <cellStyle name="Normal 2 3 3 15 3 4 2" xfId="40854" xr:uid="{00000000-0005-0000-0000-000060640000}"/>
    <cellStyle name="Normal 2 3 3 15 3 5" xfId="10769" xr:uid="{00000000-0005-0000-0000-000061640000}"/>
    <cellStyle name="Normal 2 3 3 15 3 5 2" xfId="40855" xr:uid="{00000000-0005-0000-0000-000062640000}"/>
    <cellStyle name="Normal 2 3 3 15 3 6" xfId="40856" xr:uid="{00000000-0005-0000-0000-000063640000}"/>
    <cellStyle name="Normal 2 3 3 15 3 6 2" xfId="40857" xr:uid="{00000000-0005-0000-0000-000064640000}"/>
    <cellStyle name="Normal 2 3 3 15 3 7" xfId="40858" xr:uid="{00000000-0005-0000-0000-000065640000}"/>
    <cellStyle name="Normal 2 3 3 15 4" xfId="10770" xr:uid="{00000000-0005-0000-0000-000066640000}"/>
    <cellStyle name="Normal 2 3 3 15 4 2" xfId="10771" xr:uid="{00000000-0005-0000-0000-000067640000}"/>
    <cellStyle name="Normal 2 3 3 15 4 2 2" xfId="40859" xr:uid="{00000000-0005-0000-0000-000068640000}"/>
    <cellStyle name="Normal 2 3 3 15 4 3" xfId="10772" xr:uid="{00000000-0005-0000-0000-000069640000}"/>
    <cellStyle name="Normal 2 3 3 15 4 3 2" xfId="40860" xr:uid="{00000000-0005-0000-0000-00006A640000}"/>
    <cellStyle name="Normal 2 3 3 15 4 4" xfId="40861" xr:uid="{00000000-0005-0000-0000-00006B640000}"/>
    <cellStyle name="Normal 2 3 3 15 5" xfId="10773" xr:uid="{00000000-0005-0000-0000-00006C640000}"/>
    <cellStyle name="Normal 2 3 3 15 5 2" xfId="10774" xr:uid="{00000000-0005-0000-0000-00006D640000}"/>
    <cellStyle name="Normal 2 3 3 15 5 2 2" xfId="40862" xr:uid="{00000000-0005-0000-0000-00006E640000}"/>
    <cellStyle name="Normal 2 3 3 15 5 3" xfId="40863" xr:uid="{00000000-0005-0000-0000-00006F640000}"/>
    <cellStyle name="Normal 2 3 3 15 6" xfId="10775" xr:uid="{00000000-0005-0000-0000-000070640000}"/>
    <cellStyle name="Normal 2 3 3 15 6 2" xfId="40864" xr:uid="{00000000-0005-0000-0000-000071640000}"/>
    <cellStyle name="Normal 2 3 3 15 7" xfId="10776" xr:uid="{00000000-0005-0000-0000-000072640000}"/>
    <cellStyle name="Normal 2 3 3 15 7 2" xfId="40865" xr:uid="{00000000-0005-0000-0000-000073640000}"/>
    <cellStyle name="Normal 2 3 3 15 8" xfId="40866" xr:uid="{00000000-0005-0000-0000-000074640000}"/>
    <cellStyle name="Normal 2 3 3 15 8 2" xfId="40867" xr:uid="{00000000-0005-0000-0000-000075640000}"/>
    <cellStyle name="Normal 2 3 3 15 9" xfId="40868" xr:uid="{00000000-0005-0000-0000-000076640000}"/>
    <cellStyle name="Normal 2 3 3 16" xfId="10777" xr:uid="{00000000-0005-0000-0000-000077640000}"/>
    <cellStyle name="Normal 2 3 3 16 10" xfId="40869" xr:uid="{00000000-0005-0000-0000-000078640000}"/>
    <cellStyle name="Normal 2 3 3 16 11" xfId="40870" xr:uid="{00000000-0005-0000-0000-000079640000}"/>
    <cellStyle name="Normal 2 3 3 16 2" xfId="10778" xr:uid="{00000000-0005-0000-0000-00007A640000}"/>
    <cellStyle name="Normal 2 3 3 16 2 10" xfId="40871" xr:uid="{00000000-0005-0000-0000-00007B640000}"/>
    <cellStyle name="Normal 2 3 3 16 2 2" xfId="10779" xr:uid="{00000000-0005-0000-0000-00007C640000}"/>
    <cellStyle name="Normal 2 3 3 16 2 2 2" xfId="10780" xr:uid="{00000000-0005-0000-0000-00007D640000}"/>
    <cellStyle name="Normal 2 3 3 16 2 2 2 2" xfId="10781" xr:uid="{00000000-0005-0000-0000-00007E640000}"/>
    <cellStyle name="Normal 2 3 3 16 2 2 2 2 2" xfId="40872" xr:uid="{00000000-0005-0000-0000-00007F640000}"/>
    <cellStyle name="Normal 2 3 3 16 2 2 2 3" xfId="10782" xr:uid="{00000000-0005-0000-0000-000080640000}"/>
    <cellStyle name="Normal 2 3 3 16 2 2 2 3 2" xfId="40873" xr:uid="{00000000-0005-0000-0000-000081640000}"/>
    <cellStyle name="Normal 2 3 3 16 2 2 2 4" xfId="40874" xr:uid="{00000000-0005-0000-0000-000082640000}"/>
    <cellStyle name="Normal 2 3 3 16 2 2 3" xfId="10783" xr:uid="{00000000-0005-0000-0000-000083640000}"/>
    <cellStyle name="Normal 2 3 3 16 2 2 3 2" xfId="40875" xr:uid="{00000000-0005-0000-0000-000084640000}"/>
    <cellStyle name="Normal 2 3 3 16 2 2 4" xfId="10784" xr:uid="{00000000-0005-0000-0000-000085640000}"/>
    <cellStyle name="Normal 2 3 3 16 2 2 4 2" xfId="40876" xr:uid="{00000000-0005-0000-0000-000086640000}"/>
    <cellStyle name="Normal 2 3 3 16 2 2 5" xfId="10785" xr:uid="{00000000-0005-0000-0000-000087640000}"/>
    <cellStyle name="Normal 2 3 3 16 2 2 5 2" xfId="40877" xr:uid="{00000000-0005-0000-0000-000088640000}"/>
    <cellStyle name="Normal 2 3 3 16 2 2 6" xfId="40878" xr:uid="{00000000-0005-0000-0000-000089640000}"/>
    <cellStyle name="Normal 2 3 3 16 2 2 6 2" xfId="40879" xr:uid="{00000000-0005-0000-0000-00008A640000}"/>
    <cellStyle name="Normal 2 3 3 16 2 2 7" xfId="40880" xr:uid="{00000000-0005-0000-0000-00008B640000}"/>
    <cellStyle name="Normal 2 3 3 16 2 3" xfId="10786" xr:uid="{00000000-0005-0000-0000-00008C640000}"/>
    <cellStyle name="Normal 2 3 3 16 2 3 2" xfId="10787" xr:uid="{00000000-0005-0000-0000-00008D640000}"/>
    <cellStyle name="Normal 2 3 3 16 2 3 2 2" xfId="40881" xr:uid="{00000000-0005-0000-0000-00008E640000}"/>
    <cellStyle name="Normal 2 3 3 16 2 3 3" xfId="10788" xr:uid="{00000000-0005-0000-0000-00008F640000}"/>
    <cellStyle name="Normal 2 3 3 16 2 3 3 2" xfId="40882" xr:uid="{00000000-0005-0000-0000-000090640000}"/>
    <cellStyle name="Normal 2 3 3 16 2 3 4" xfId="40883" xr:uid="{00000000-0005-0000-0000-000091640000}"/>
    <cellStyle name="Normal 2 3 3 16 2 4" xfId="10789" xr:uid="{00000000-0005-0000-0000-000092640000}"/>
    <cellStyle name="Normal 2 3 3 16 2 4 2" xfId="10790" xr:uid="{00000000-0005-0000-0000-000093640000}"/>
    <cellStyle name="Normal 2 3 3 16 2 4 2 2" xfId="40884" xr:uid="{00000000-0005-0000-0000-000094640000}"/>
    <cellStyle name="Normal 2 3 3 16 2 4 3" xfId="40885" xr:uid="{00000000-0005-0000-0000-000095640000}"/>
    <cellStyle name="Normal 2 3 3 16 2 5" xfId="10791" xr:uid="{00000000-0005-0000-0000-000096640000}"/>
    <cellStyle name="Normal 2 3 3 16 2 5 2" xfId="40886" xr:uid="{00000000-0005-0000-0000-000097640000}"/>
    <cellStyle name="Normal 2 3 3 16 2 6" xfId="10792" xr:uid="{00000000-0005-0000-0000-000098640000}"/>
    <cellStyle name="Normal 2 3 3 16 2 6 2" xfId="40887" xr:uid="{00000000-0005-0000-0000-000099640000}"/>
    <cellStyle name="Normal 2 3 3 16 2 7" xfId="40888" xr:uid="{00000000-0005-0000-0000-00009A640000}"/>
    <cellStyle name="Normal 2 3 3 16 2 7 2" xfId="40889" xr:uid="{00000000-0005-0000-0000-00009B640000}"/>
    <cellStyle name="Normal 2 3 3 16 2 8" xfId="40890" xr:uid="{00000000-0005-0000-0000-00009C640000}"/>
    <cellStyle name="Normal 2 3 3 16 2 9" xfId="40891" xr:uid="{00000000-0005-0000-0000-00009D640000}"/>
    <cellStyle name="Normal 2 3 3 16 3" xfId="10793" xr:uid="{00000000-0005-0000-0000-00009E640000}"/>
    <cellStyle name="Normal 2 3 3 16 3 2" xfId="10794" xr:uid="{00000000-0005-0000-0000-00009F640000}"/>
    <cellStyle name="Normal 2 3 3 16 3 2 2" xfId="10795" xr:uid="{00000000-0005-0000-0000-0000A0640000}"/>
    <cellStyle name="Normal 2 3 3 16 3 2 2 2" xfId="40892" xr:uid="{00000000-0005-0000-0000-0000A1640000}"/>
    <cellStyle name="Normal 2 3 3 16 3 2 3" xfId="10796" xr:uid="{00000000-0005-0000-0000-0000A2640000}"/>
    <cellStyle name="Normal 2 3 3 16 3 2 3 2" xfId="40893" xr:uid="{00000000-0005-0000-0000-0000A3640000}"/>
    <cellStyle name="Normal 2 3 3 16 3 2 4" xfId="40894" xr:uid="{00000000-0005-0000-0000-0000A4640000}"/>
    <cellStyle name="Normal 2 3 3 16 3 3" xfId="10797" xr:uid="{00000000-0005-0000-0000-0000A5640000}"/>
    <cellStyle name="Normal 2 3 3 16 3 3 2" xfId="40895" xr:uid="{00000000-0005-0000-0000-0000A6640000}"/>
    <cellStyle name="Normal 2 3 3 16 3 4" xfId="10798" xr:uid="{00000000-0005-0000-0000-0000A7640000}"/>
    <cellStyle name="Normal 2 3 3 16 3 4 2" xfId="40896" xr:uid="{00000000-0005-0000-0000-0000A8640000}"/>
    <cellStyle name="Normal 2 3 3 16 3 5" xfId="10799" xr:uid="{00000000-0005-0000-0000-0000A9640000}"/>
    <cellStyle name="Normal 2 3 3 16 3 5 2" xfId="40897" xr:uid="{00000000-0005-0000-0000-0000AA640000}"/>
    <cellStyle name="Normal 2 3 3 16 3 6" xfId="40898" xr:uid="{00000000-0005-0000-0000-0000AB640000}"/>
    <cellStyle name="Normal 2 3 3 16 3 6 2" xfId="40899" xr:uid="{00000000-0005-0000-0000-0000AC640000}"/>
    <cellStyle name="Normal 2 3 3 16 3 7" xfId="40900" xr:uid="{00000000-0005-0000-0000-0000AD640000}"/>
    <cellStyle name="Normal 2 3 3 16 4" xfId="10800" xr:uid="{00000000-0005-0000-0000-0000AE640000}"/>
    <cellStyle name="Normal 2 3 3 16 4 2" xfId="10801" xr:uid="{00000000-0005-0000-0000-0000AF640000}"/>
    <cellStyle name="Normal 2 3 3 16 4 2 2" xfId="40901" xr:uid="{00000000-0005-0000-0000-0000B0640000}"/>
    <cellStyle name="Normal 2 3 3 16 4 3" xfId="10802" xr:uid="{00000000-0005-0000-0000-0000B1640000}"/>
    <cellStyle name="Normal 2 3 3 16 4 3 2" xfId="40902" xr:uid="{00000000-0005-0000-0000-0000B2640000}"/>
    <cellStyle name="Normal 2 3 3 16 4 4" xfId="40903" xr:uid="{00000000-0005-0000-0000-0000B3640000}"/>
    <cellStyle name="Normal 2 3 3 16 5" xfId="10803" xr:uid="{00000000-0005-0000-0000-0000B4640000}"/>
    <cellStyle name="Normal 2 3 3 16 5 2" xfId="10804" xr:uid="{00000000-0005-0000-0000-0000B5640000}"/>
    <cellStyle name="Normal 2 3 3 16 5 2 2" xfId="40904" xr:uid="{00000000-0005-0000-0000-0000B6640000}"/>
    <cellStyle name="Normal 2 3 3 16 5 3" xfId="40905" xr:uid="{00000000-0005-0000-0000-0000B7640000}"/>
    <cellStyle name="Normal 2 3 3 16 6" xfId="10805" xr:uid="{00000000-0005-0000-0000-0000B8640000}"/>
    <cellStyle name="Normal 2 3 3 16 6 2" xfId="40906" xr:uid="{00000000-0005-0000-0000-0000B9640000}"/>
    <cellStyle name="Normal 2 3 3 16 7" xfId="10806" xr:uid="{00000000-0005-0000-0000-0000BA640000}"/>
    <cellStyle name="Normal 2 3 3 16 7 2" xfId="40907" xr:uid="{00000000-0005-0000-0000-0000BB640000}"/>
    <cellStyle name="Normal 2 3 3 16 8" xfId="40908" xr:uid="{00000000-0005-0000-0000-0000BC640000}"/>
    <cellStyle name="Normal 2 3 3 16 8 2" xfId="40909" xr:uid="{00000000-0005-0000-0000-0000BD640000}"/>
    <cellStyle name="Normal 2 3 3 16 9" xfId="40910" xr:uid="{00000000-0005-0000-0000-0000BE640000}"/>
    <cellStyle name="Normal 2 3 3 17" xfId="10807" xr:uid="{00000000-0005-0000-0000-0000BF640000}"/>
    <cellStyle name="Normal 2 3 3 17 10" xfId="40911" xr:uid="{00000000-0005-0000-0000-0000C0640000}"/>
    <cellStyle name="Normal 2 3 3 17 11" xfId="40912" xr:uid="{00000000-0005-0000-0000-0000C1640000}"/>
    <cellStyle name="Normal 2 3 3 17 2" xfId="10808" xr:uid="{00000000-0005-0000-0000-0000C2640000}"/>
    <cellStyle name="Normal 2 3 3 17 2 10" xfId="40913" xr:uid="{00000000-0005-0000-0000-0000C3640000}"/>
    <cellStyle name="Normal 2 3 3 17 2 2" xfId="10809" xr:uid="{00000000-0005-0000-0000-0000C4640000}"/>
    <cellStyle name="Normal 2 3 3 17 2 2 2" xfId="10810" xr:uid="{00000000-0005-0000-0000-0000C5640000}"/>
    <cellStyle name="Normal 2 3 3 17 2 2 2 2" xfId="10811" xr:uid="{00000000-0005-0000-0000-0000C6640000}"/>
    <cellStyle name="Normal 2 3 3 17 2 2 2 2 2" xfId="40914" xr:uid="{00000000-0005-0000-0000-0000C7640000}"/>
    <cellStyle name="Normal 2 3 3 17 2 2 2 3" xfId="10812" xr:uid="{00000000-0005-0000-0000-0000C8640000}"/>
    <cellStyle name="Normal 2 3 3 17 2 2 2 3 2" xfId="40915" xr:uid="{00000000-0005-0000-0000-0000C9640000}"/>
    <cellStyle name="Normal 2 3 3 17 2 2 2 4" xfId="40916" xr:uid="{00000000-0005-0000-0000-0000CA640000}"/>
    <cellStyle name="Normal 2 3 3 17 2 2 3" xfId="10813" xr:uid="{00000000-0005-0000-0000-0000CB640000}"/>
    <cellStyle name="Normal 2 3 3 17 2 2 3 2" xfId="40917" xr:uid="{00000000-0005-0000-0000-0000CC640000}"/>
    <cellStyle name="Normal 2 3 3 17 2 2 4" xfId="10814" xr:uid="{00000000-0005-0000-0000-0000CD640000}"/>
    <cellStyle name="Normal 2 3 3 17 2 2 4 2" xfId="40918" xr:uid="{00000000-0005-0000-0000-0000CE640000}"/>
    <cellStyle name="Normal 2 3 3 17 2 2 5" xfId="10815" xr:uid="{00000000-0005-0000-0000-0000CF640000}"/>
    <cellStyle name="Normal 2 3 3 17 2 2 5 2" xfId="40919" xr:uid="{00000000-0005-0000-0000-0000D0640000}"/>
    <cellStyle name="Normal 2 3 3 17 2 2 6" xfId="40920" xr:uid="{00000000-0005-0000-0000-0000D1640000}"/>
    <cellStyle name="Normal 2 3 3 17 2 2 6 2" xfId="40921" xr:uid="{00000000-0005-0000-0000-0000D2640000}"/>
    <cellStyle name="Normal 2 3 3 17 2 2 7" xfId="40922" xr:uid="{00000000-0005-0000-0000-0000D3640000}"/>
    <cellStyle name="Normal 2 3 3 17 2 3" xfId="10816" xr:uid="{00000000-0005-0000-0000-0000D4640000}"/>
    <cellStyle name="Normal 2 3 3 17 2 3 2" xfId="10817" xr:uid="{00000000-0005-0000-0000-0000D5640000}"/>
    <cellStyle name="Normal 2 3 3 17 2 3 2 2" xfId="40923" xr:uid="{00000000-0005-0000-0000-0000D6640000}"/>
    <cellStyle name="Normal 2 3 3 17 2 3 3" xfId="10818" xr:uid="{00000000-0005-0000-0000-0000D7640000}"/>
    <cellStyle name="Normal 2 3 3 17 2 3 3 2" xfId="40924" xr:uid="{00000000-0005-0000-0000-0000D8640000}"/>
    <cellStyle name="Normal 2 3 3 17 2 3 4" xfId="40925" xr:uid="{00000000-0005-0000-0000-0000D9640000}"/>
    <cellStyle name="Normal 2 3 3 17 2 4" xfId="10819" xr:uid="{00000000-0005-0000-0000-0000DA640000}"/>
    <cellStyle name="Normal 2 3 3 17 2 4 2" xfId="10820" xr:uid="{00000000-0005-0000-0000-0000DB640000}"/>
    <cellStyle name="Normal 2 3 3 17 2 4 2 2" xfId="40926" xr:uid="{00000000-0005-0000-0000-0000DC640000}"/>
    <cellStyle name="Normal 2 3 3 17 2 4 3" xfId="40927" xr:uid="{00000000-0005-0000-0000-0000DD640000}"/>
    <cellStyle name="Normal 2 3 3 17 2 5" xfId="10821" xr:uid="{00000000-0005-0000-0000-0000DE640000}"/>
    <cellStyle name="Normal 2 3 3 17 2 5 2" xfId="40928" xr:uid="{00000000-0005-0000-0000-0000DF640000}"/>
    <cellStyle name="Normal 2 3 3 17 2 6" xfId="10822" xr:uid="{00000000-0005-0000-0000-0000E0640000}"/>
    <cellStyle name="Normal 2 3 3 17 2 6 2" xfId="40929" xr:uid="{00000000-0005-0000-0000-0000E1640000}"/>
    <cellStyle name="Normal 2 3 3 17 2 7" xfId="40930" xr:uid="{00000000-0005-0000-0000-0000E2640000}"/>
    <cellStyle name="Normal 2 3 3 17 2 7 2" xfId="40931" xr:uid="{00000000-0005-0000-0000-0000E3640000}"/>
    <cellStyle name="Normal 2 3 3 17 2 8" xfId="40932" xr:uid="{00000000-0005-0000-0000-0000E4640000}"/>
    <cellStyle name="Normal 2 3 3 17 2 9" xfId="40933" xr:uid="{00000000-0005-0000-0000-0000E5640000}"/>
    <cellStyle name="Normal 2 3 3 17 3" xfId="10823" xr:uid="{00000000-0005-0000-0000-0000E6640000}"/>
    <cellStyle name="Normal 2 3 3 17 3 2" xfId="10824" xr:uid="{00000000-0005-0000-0000-0000E7640000}"/>
    <cellStyle name="Normal 2 3 3 17 3 2 2" xfId="10825" xr:uid="{00000000-0005-0000-0000-0000E8640000}"/>
    <cellStyle name="Normal 2 3 3 17 3 2 2 2" xfId="40934" xr:uid="{00000000-0005-0000-0000-0000E9640000}"/>
    <cellStyle name="Normal 2 3 3 17 3 2 3" xfId="10826" xr:uid="{00000000-0005-0000-0000-0000EA640000}"/>
    <cellStyle name="Normal 2 3 3 17 3 2 3 2" xfId="40935" xr:uid="{00000000-0005-0000-0000-0000EB640000}"/>
    <cellStyle name="Normal 2 3 3 17 3 2 4" xfId="40936" xr:uid="{00000000-0005-0000-0000-0000EC640000}"/>
    <cellStyle name="Normal 2 3 3 17 3 3" xfId="10827" xr:uid="{00000000-0005-0000-0000-0000ED640000}"/>
    <cellStyle name="Normal 2 3 3 17 3 3 2" xfId="40937" xr:uid="{00000000-0005-0000-0000-0000EE640000}"/>
    <cellStyle name="Normal 2 3 3 17 3 4" xfId="10828" xr:uid="{00000000-0005-0000-0000-0000EF640000}"/>
    <cellStyle name="Normal 2 3 3 17 3 4 2" xfId="40938" xr:uid="{00000000-0005-0000-0000-0000F0640000}"/>
    <cellStyle name="Normal 2 3 3 17 3 5" xfId="10829" xr:uid="{00000000-0005-0000-0000-0000F1640000}"/>
    <cellStyle name="Normal 2 3 3 17 3 5 2" xfId="40939" xr:uid="{00000000-0005-0000-0000-0000F2640000}"/>
    <cellStyle name="Normal 2 3 3 17 3 6" xfId="40940" xr:uid="{00000000-0005-0000-0000-0000F3640000}"/>
    <cellStyle name="Normal 2 3 3 17 3 6 2" xfId="40941" xr:uid="{00000000-0005-0000-0000-0000F4640000}"/>
    <cellStyle name="Normal 2 3 3 17 3 7" xfId="40942" xr:uid="{00000000-0005-0000-0000-0000F5640000}"/>
    <cellStyle name="Normal 2 3 3 17 4" xfId="10830" xr:uid="{00000000-0005-0000-0000-0000F6640000}"/>
    <cellStyle name="Normal 2 3 3 17 4 2" xfId="10831" xr:uid="{00000000-0005-0000-0000-0000F7640000}"/>
    <cellStyle name="Normal 2 3 3 17 4 2 2" xfId="40943" xr:uid="{00000000-0005-0000-0000-0000F8640000}"/>
    <cellStyle name="Normal 2 3 3 17 4 3" xfId="10832" xr:uid="{00000000-0005-0000-0000-0000F9640000}"/>
    <cellStyle name="Normal 2 3 3 17 4 3 2" xfId="40944" xr:uid="{00000000-0005-0000-0000-0000FA640000}"/>
    <cellStyle name="Normal 2 3 3 17 4 4" xfId="40945" xr:uid="{00000000-0005-0000-0000-0000FB640000}"/>
    <cellStyle name="Normal 2 3 3 17 5" xfId="10833" xr:uid="{00000000-0005-0000-0000-0000FC640000}"/>
    <cellStyle name="Normal 2 3 3 17 5 2" xfId="10834" xr:uid="{00000000-0005-0000-0000-0000FD640000}"/>
    <cellStyle name="Normal 2 3 3 17 5 2 2" xfId="40946" xr:uid="{00000000-0005-0000-0000-0000FE640000}"/>
    <cellStyle name="Normal 2 3 3 17 5 3" xfId="40947" xr:uid="{00000000-0005-0000-0000-0000FF640000}"/>
    <cellStyle name="Normal 2 3 3 17 6" xfId="10835" xr:uid="{00000000-0005-0000-0000-000000650000}"/>
    <cellStyle name="Normal 2 3 3 17 6 2" xfId="40948" xr:uid="{00000000-0005-0000-0000-000001650000}"/>
    <cellStyle name="Normal 2 3 3 17 7" xfId="10836" xr:uid="{00000000-0005-0000-0000-000002650000}"/>
    <cellStyle name="Normal 2 3 3 17 7 2" xfId="40949" xr:uid="{00000000-0005-0000-0000-000003650000}"/>
    <cellStyle name="Normal 2 3 3 17 8" xfId="40950" xr:uid="{00000000-0005-0000-0000-000004650000}"/>
    <cellStyle name="Normal 2 3 3 17 8 2" xfId="40951" xr:uid="{00000000-0005-0000-0000-000005650000}"/>
    <cellStyle name="Normal 2 3 3 17 9" xfId="40952" xr:uid="{00000000-0005-0000-0000-000006650000}"/>
    <cellStyle name="Normal 2 3 3 18" xfId="10837" xr:uid="{00000000-0005-0000-0000-000007650000}"/>
    <cellStyle name="Normal 2 3 3 18 10" xfId="40953" xr:uid="{00000000-0005-0000-0000-000008650000}"/>
    <cellStyle name="Normal 2 3 3 18 11" xfId="40954" xr:uid="{00000000-0005-0000-0000-000009650000}"/>
    <cellStyle name="Normal 2 3 3 18 2" xfId="10838" xr:uid="{00000000-0005-0000-0000-00000A650000}"/>
    <cellStyle name="Normal 2 3 3 18 2 10" xfId="40955" xr:uid="{00000000-0005-0000-0000-00000B650000}"/>
    <cellStyle name="Normal 2 3 3 18 2 2" xfId="10839" xr:uid="{00000000-0005-0000-0000-00000C650000}"/>
    <cellStyle name="Normal 2 3 3 18 2 2 2" xfId="10840" xr:uid="{00000000-0005-0000-0000-00000D650000}"/>
    <cellStyle name="Normal 2 3 3 18 2 2 2 2" xfId="10841" xr:uid="{00000000-0005-0000-0000-00000E650000}"/>
    <cellStyle name="Normal 2 3 3 18 2 2 2 2 2" xfId="40956" xr:uid="{00000000-0005-0000-0000-00000F650000}"/>
    <cellStyle name="Normal 2 3 3 18 2 2 2 3" xfId="10842" xr:uid="{00000000-0005-0000-0000-000010650000}"/>
    <cellStyle name="Normal 2 3 3 18 2 2 2 3 2" xfId="40957" xr:uid="{00000000-0005-0000-0000-000011650000}"/>
    <cellStyle name="Normal 2 3 3 18 2 2 2 4" xfId="40958" xr:uid="{00000000-0005-0000-0000-000012650000}"/>
    <cellStyle name="Normal 2 3 3 18 2 2 3" xfId="10843" xr:uid="{00000000-0005-0000-0000-000013650000}"/>
    <cellStyle name="Normal 2 3 3 18 2 2 3 2" xfId="40959" xr:uid="{00000000-0005-0000-0000-000014650000}"/>
    <cellStyle name="Normal 2 3 3 18 2 2 4" xfId="10844" xr:uid="{00000000-0005-0000-0000-000015650000}"/>
    <cellStyle name="Normal 2 3 3 18 2 2 4 2" xfId="40960" xr:uid="{00000000-0005-0000-0000-000016650000}"/>
    <cellStyle name="Normal 2 3 3 18 2 2 5" xfId="10845" xr:uid="{00000000-0005-0000-0000-000017650000}"/>
    <cellStyle name="Normal 2 3 3 18 2 2 5 2" xfId="40961" xr:uid="{00000000-0005-0000-0000-000018650000}"/>
    <cellStyle name="Normal 2 3 3 18 2 2 6" xfId="40962" xr:uid="{00000000-0005-0000-0000-000019650000}"/>
    <cellStyle name="Normal 2 3 3 18 2 2 6 2" xfId="40963" xr:uid="{00000000-0005-0000-0000-00001A650000}"/>
    <cellStyle name="Normal 2 3 3 18 2 2 7" xfId="40964" xr:uid="{00000000-0005-0000-0000-00001B650000}"/>
    <cellStyle name="Normal 2 3 3 18 2 3" xfId="10846" xr:uid="{00000000-0005-0000-0000-00001C650000}"/>
    <cellStyle name="Normal 2 3 3 18 2 3 2" xfId="10847" xr:uid="{00000000-0005-0000-0000-00001D650000}"/>
    <cellStyle name="Normal 2 3 3 18 2 3 2 2" xfId="40965" xr:uid="{00000000-0005-0000-0000-00001E650000}"/>
    <cellStyle name="Normal 2 3 3 18 2 3 3" xfId="10848" xr:uid="{00000000-0005-0000-0000-00001F650000}"/>
    <cellStyle name="Normal 2 3 3 18 2 3 3 2" xfId="40966" xr:uid="{00000000-0005-0000-0000-000020650000}"/>
    <cellStyle name="Normal 2 3 3 18 2 3 4" xfId="40967" xr:uid="{00000000-0005-0000-0000-000021650000}"/>
    <cellStyle name="Normal 2 3 3 18 2 4" xfId="10849" xr:uid="{00000000-0005-0000-0000-000022650000}"/>
    <cellStyle name="Normal 2 3 3 18 2 4 2" xfId="10850" xr:uid="{00000000-0005-0000-0000-000023650000}"/>
    <cellStyle name="Normal 2 3 3 18 2 4 2 2" xfId="40968" xr:uid="{00000000-0005-0000-0000-000024650000}"/>
    <cellStyle name="Normal 2 3 3 18 2 4 3" xfId="40969" xr:uid="{00000000-0005-0000-0000-000025650000}"/>
    <cellStyle name="Normal 2 3 3 18 2 5" xfId="10851" xr:uid="{00000000-0005-0000-0000-000026650000}"/>
    <cellStyle name="Normal 2 3 3 18 2 5 2" xfId="40970" xr:uid="{00000000-0005-0000-0000-000027650000}"/>
    <cellStyle name="Normal 2 3 3 18 2 6" xfId="10852" xr:uid="{00000000-0005-0000-0000-000028650000}"/>
    <cellStyle name="Normal 2 3 3 18 2 6 2" xfId="40971" xr:uid="{00000000-0005-0000-0000-000029650000}"/>
    <cellStyle name="Normal 2 3 3 18 2 7" xfId="40972" xr:uid="{00000000-0005-0000-0000-00002A650000}"/>
    <cellStyle name="Normal 2 3 3 18 2 7 2" xfId="40973" xr:uid="{00000000-0005-0000-0000-00002B650000}"/>
    <cellStyle name="Normal 2 3 3 18 2 8" xfId="40974" xr:uid="{00000000-0005-0000-0000-00002C650000}"/>
    <cellStyle name="Normal 2 3 3 18 2 9" xfId="40975" xr:uid="{00000000-0005-0000-0000-00002D650000}"/>
    <cellStyle name="Normal 2 3 3 18 3" xfId="10853" xr:uid="{00000000-0005-0000-0000-00002E650000}"/>
    <cellStyle name="Normal 2 3 3 18 3 2" xfId="10854" xr:uid="{00000000-0005-0000-0000-00002F650000}"/>
    <cellStyle name="Normal 2 3 3 18 3 2 2" xfId="10855" xr:uid="{00000000-0005-0000-0000-000030650000}"/>
    <cellStyle name="Normal 2 3 3 18 3 2 2 2" xfId="40976" xr:uid="{00000000-0005-0000-0000-000031650000}"/>
    <cellStyle name="Normal 2 3 3 18 3 2 3" xfId="10856" xr:uid="{00000000-0005-0000-0000-000032650000}"/>
    <cellStyle name="Normal 2 3 3 18 3 2 3 2" xfId="40977" xr:uid="{00000000-0005-0000-0000-000033650000}"/>
    <cellStyle name="Normal 2 3 3 18 3 2 4" xfId="40978" xr:uid="{00000000-0005-0000-0000-000034650000}"/>
    <cellStyle name="Normal 2 3 3 18 3 3" xfId="10857" xr:uid="{00000000-0005-0000-0000-000035650000}"/>
    <cellStyle name="Normal 2 3 3 18 3 3 2" xfId="40979" xr:uid="{00000000-0005-0000-0000-000036650000}"/>
    <cellStyle name="Normal 2 3 3 18 3 4" xfId="10858" xr:uid="{00000000-0005-0000-0000-000037650000}"/>
    <cellStyle name="Normal 2 3 3 18 3 4 2" xfId="40980" xr:uid="{00000000-0005-0000-0000-000038650000}"/>
    <cellStyle name="Normal 2 3 3 18 3 5" xfId="10859" xr:uid="{00000000-0005-0000-0000-000039650000}"/>
    <cellStyle name="Normal 2 3 3 18 3 5 2" xfId="40981" xr:uid="{00000000-0005-0000-0000-00003A650000}"/>
    <cellStyle name="Normal 2 3 3 18 3 6" xfId="40982" xr:uid="{00000000-0005-0000-0000-00003B650000}"/>
    <cellStyle name="Normal 2 3 3 18 3 6 2" xfId="40983" xr:uid="{00000000-0005-0000-0000-00003C650000}"/>
    <cellStyle name="Normal 2 3 3 18 3 7" xfId="40984" xr:uid="{00000000-0005-0000-0000-00003D650000}"/>
    <cellStyle name="Normal 2 3 3 18 4" xfId="10860" xr:uid="{00000000-0005-0000-0000-00003E650000}"/>
    <cellStyle name="Normal 2 3 3 18 4 2" xfId="10861" xr:uid="{00000000-0005-0000-0000-00003F650000}"/>
    <cellStyle name="Normal 2 3 3 18 4 2 2" xfId="40985" xr:uid="{00000000-0005-0000-0000-000040650000}"/>
    <cellStyle name="Normal 2 3 3 18 4 3" xfId="10862" xr:uid="{00000000-0005-0000-0000-000041650000}"/>
    <cellStyle name="Normal 2 3 3 18 4 3 2" xfId="40986" xr:uid="{00000000-0005-0000-0000-000042650000}"/>
    <cellStyle name="Normal 2 3 3 18 4 4" xfId="40987" xr:uid="{00000000-0005-0000-0000-000043650000}"/>
    <cellStyle name="Normal 2 3 3 18 5" xfId="10863" xr:uid="{00000000-0005-0000-0000-000044650000}"/>
    <cellStyle name="Normal 2 3 3 18 5 2" xfId="10864" xr:uid="{00000000-0005-0000-0000-000045650000}"/>
    <cellStyle name="Normal 2 3 3 18 5 2 2" xfId="40988" xr:uid="{00000000-0005-0000-0000-000046650000}"/>
    <cellStyle name="Normal 2 3 3 18 5 3" xfId="40989" xr:uid="{00000000-0005-0000-0000-000047650000}"/>
    <cellStyle name="Normal 2 3 3 18 6" xfId="10865" xr:uid="{00000000-0005-0000-0000-000048650000}"/>
    <cellStyle name="Normal 2 3 3 18 6 2" xfId="40990" xr:uid="{00000000-0005-0000-0000-000049650000}"/>
    <cellStyle name="Normal 2 3 3 18 7" xfId="10866" xr:uid="{00000000-0005-0000-0000-00004A650000}"/>
    <cellStyle name="Normal 2 3 3 18 7 2" xfId="40991" xr:uid="{00000000-0005-0000-0000-00004B650000}"/>
    <cellStyle name="Normal 2 3 3 18 8" xfId="40992" xr:uid="{00000000-0005-0000-0000-00004C650000}"/>
    <cellStyle name="Normal 2 3 3 18 8 2" xfId="40993" xr:uid="{00000000-0005-0000-0000-00004D650000}"/>
    <cellStyle name="Normal 2 3 3 18 9" xfId="40994" xr:uid="{00000000-0005-0000-0000-00004E650000}"/>
    <cellStyle name="Normal 2 3 3 19" xfId="10867" xr:uid="{00000000-0005-0000-0000-00004F650000}"/>
    <cellStyle name="Normal 2 3 3 19 10" xfId="40995" xr:uid="{00000000-0005-0000-0000-000050650000}"/>
    <cellStyle name="Normal 2 3 3 19 11" xfId="40996" xr:uid="{00000000-0005-0000-0000-000051650000}"/>
    <cellStyle name="Normal 2 3 3 19 2" xfId="10868" xr:uid="{00000000-0005-0000-0000-000052650000}"/>
    <cellStyle name="Normal 2 3 3 19 2 10" xfId="40997" xr:uid="{00000000-0005-0000-0000-000053650000}"/>
    <cellStyle name="Normal 2 3 3 19 2 2" xfId="10869" xr:uid="{00000000-0005-0000-0000-000054650000}"/>
    <cellStyle name="Normal 2 3 3 19 2 2 2" xfId="10870" xr:uid="{00000000-0005-0000-0000-000055650000}"/>
    <cellStyle name="Normal 2 3 3 19 2 2 2 2" xfId="10871" xr:uid="{00000000-0005-0000-0000-000056650000}"/>
    <cellStyle name="Normal 2 3 3 19 2 2 2 2 2" xfId="40998" xr:uid="{00000000-0005-0000-0000-000057650000}"/>
    <cellStyle name="Normal 2 3 3 19 2 2 2 3" xfId="10872" xr:uid="{00000000-0005-0000-0000-000058650000}"/>
    <cellStyle name="Normal 2 3 3 19 2 2 2 3 2" xfId="40999" xr:uid="{00000000-0005-0000-0000-000059650000}"/>
    <cellStyle name="Normal 2 3 3 19 2 2 2 4" xfId="41000" xr:uid="{00000000-0005-0000-0000-00005A650000}"/>
    <cellStyle name="Normal 2 3 3 19 2 2 3" xfId="10873" xr:uid="{00000000-0005-0000-0000-00005B650000}"/>
    <cellStyle name="Normal 2 3 3 19 2 2 3 2" xfId="41001" xr:uid="{00000000-0005-0000-0000-00005C650000}"/>
    <cellStyle name="Normal 2 3 3 19 2 2 4" xfId="10874" xr:uid="{00000000-0005-0000-0000-00005D650000}"/>
    <cellStyle name="Normal 2 3 3 19 2 2 4 2" xfId="41002" xr:uid="{00000000-0005-0000-0000-00005E650000}"/>
    <cellStyle name="Normal 2 3 3 19 2 2 5" xfId="10875" xr:uid="{00000000-0005-0000-0000-00005F650000}"/>
    <cellStyle name="Normal 2 3 3 19 2 2 5 2" xfId="41003" xr:uid="{00000000-0005-0000-0000-000060650000}"/>
    <cellStyle name="Normal 2 3 3 19 2 2 6" xfId="41004" xr:uid="{00000000-0005-0000-0000-000061650000}"/>
    <cellStyle name="Normal 2 3 3 19 2 2 6 2" xfId="41005" xr:uid="{00000000-0005-0000-0000-000062650000}"/>
    <cellStyle name="Normal 2 3 3 19 2 2 7" xfId="41006" xr:uid="{00000000-0005-0000-0000-000063650000}"/>
    <cellStyle name="Normal 2 3 3 19 2 3" xfId="10876" xr:uid="{00000000-0005-0000-0000-000064650000}"/>
    <cellStyle name="Normal 2 3 3 19 2 3 2" xfId="10877" xr:uid="{00000000-0005-0000-0000-000065650000}"/>
    <cellStyle name="Normal 2 3 3 19 2 3 2 2" xfId="41007" xr:uid="{00000000-0005-0000-0000-000066650000}"/>
    <cellStyle name="Normal 2 3 3 19 2 3 3" xfId="10878" xr:uid="{00000000-0005-0000-0000-000067650000}"/>
    <cellStyle name="Normal 2 3 3 19 2 3 3 2" xfId="41008" xr:uid="{00000000-0005-0000-0000-000068650000}"/>
    <cellStyle name="Normal 2 3 3 19 2 3 4" xfId="41009" xr:uid="{00000000-0005-0000-0000-000069650000}"/>
    <cellStyle name="Normal 2 3 3 19 2 4" xfId="10879" xr:uid="{00000000-0005-0000-0000-00006A650000}"/>
    <cellStyle name="Normal 2 3 3 19 2 4 2" xfId="10880" xr:uid="{00000000-0005-0000-0000-00006B650000}"/>
    <cellStyle name="Normal 2 3 3 19 2 4 2 2" xfId="41010" xr:uid="{00000000-0005-0000-0000-00006C650000}"/>
    <cellStyle name="Normal 2 3 3 19 2 4 3" xfId="41011" xr:uid="{00000000-0005-0000-0000-00006D650000}"/>
    <cellStyle name="Normal 2 3 3 19 2 5" xfId="10881" xr:uid="{00000000-0005-0000-0000-00006E650000}"/>
    <cellStyle name="Normal 2 3 3 19 2 5 2" xfId="41012" xr:uid="{00000000-0005-0000-0000-00006F650000}"/>
    <cellStyle name="Normal 2 3 3 19 2 6" xfId="10882" xr:uid="{00000000-0005-0000-0000-000070650000}"/>
    <cellStyle name="Normal 2 3 3 19 2 6 2" xfId="41013" xr:uid="{00000000-0005-0000-0000-000071650000}"/>
    <cellStyle name="Normal 2 3 3 19 2 7" xfId="41014" xr:uid="{00000000-0005-0000-0000-000072650000}"/>
    <cellStyle name="Normal 2 3 3 19 2 7 2" xfId="41015" xr:uid="{00000000-0005-0000-0000-000073650000}"/>
    <cellStyle name="Normal 2 3 3 19 2 8" xfId="41016" xr:uid="{00000000-0005-0000-0000-000074650000}"/>
    <cellStyle name="Normal 2 3 3 19 2 9" xfId="41017" xr:uid="{00000000-0005-0000-0000-000075650000}"/>
    <cellStyle name="Normal 2 3 3 19 3" xfId="10883" xr:uid="{00000000-0005-0000-0000-000076650000}"/>
    <cellStyle name="Normal 2 3 3 19 3 2" xfId="10884" xr:uid="{00000000-0005-0000-0000-000077650000}"/>
    <cellStyle name="Normal 2 3 3 19 3 2 2" xfId="10885" xr:uid="{00000000-0005-0000-0000-000078650000}"/>
    <cellStyle name="Normal 2 3 3 19 3 2 2 2" xfId="41018" xr:uid="{00000000-0005-0000-0000-000079650000}"/>
    <cellStyle name="Normal 2 3 3 19 3 2 3" xfId="10886" xr:uid="{00000000-0005-0000-0000-00007A650000}"/>
    <cellStyle name="Normal 2 3 3 19 3 2 3 2" xfId="41019" xr:uid="{00000000-0005-0000-0000-00007B650000}"/>
    <cellStyle name="Normal 2 3 3 19 3 2 4" xfId="41020" xr:uid="{00000000-0005-0000-0000-00007C650000}"/>
    <cellStyle name="Normal 2 3 3 19 3 3" xfId="10887" xr:uid="{00000000-0005-0000-0000-00007D650000}"/>
    <cellStyle name="Normal 2 3 3 19 3 3 2" xfId="41021" xr:uid="{00000000-0005-0000-0000-00007E650000}"/>
    <cellStyle name="Normal 2 3 3 19 3 4" xfId="10888" xr:uid="{00000000-0005-0000-0000-00007F650000}"/>
    <cellStyle name="Normal 2 3 3 19 3 4 2" xfId="41022" xr:uid="{00000000-0005-0000-0000-000080650000}"/>
    <cellStyle name="Normal 2 3 3 19 3 5" xfId="10889" xr:uid="{00000000-0005-0000-0000-000081650000}"/>
    <cellStyle name="Normal 2 3 3 19 3 5 2" xfId="41023" xr:uid="{00000000-0005-0000-0000-000082650000}"/>
    <cellStyle name="Normal 2 3 3 19 3 6" xfId="41024" xr:uid="{00000000-0005-0000-0000-000083650000}"/>
    <cellStyle name="Normal 2 3 3 19 3 6 2" xfId="41025" xr:uid="{00000000-0005-0000-0000-000084650000}"/>
    <cellStyle name="Normal 2 3 3 19 3 7" xfId="41026" xr:uid="{00000000-0005-0000-0000-000085650000}"/>
    <cellStyle name="Normal 2 3 3 19 4" xfId="10890" xr:uid="{00000000-0005-0000-0000-000086650000}"/>
    <cellStyle name="Normal 2 3 3 19 4 2" xfId="10891" xr:uid="{00000000-0005-0000-0000-000087650000}"/>
    <cellStyle name="Normal 2 3 3 19 4 2 2" xfId="41027" xr:uid="{00000000-0005-0000-0000-000088650000}"/>
    <cellStyle name="Normal 2 3 3 19 4 3" xfId="10892" xr:uid="{00000000-0005-0000-0000-000089650000}"/>
    <cellStyle name="Normal 2 3 3 19 4 3 2" xfId="41028" xr:uid="{00000000-0005-0000-0000-00008A650000}"/>
    <cellStyle name="Normal 2 3 3 19 4 4" xfId="41029" xr:uid="{00000000-0005-0000-0000-00008B650000}"/>
    <cellStyle name="Normal 2 3 3 19 5" xfId="10893" xr:uid="{00000000-0005-0000-0000-00008C650000}"/>
    <cellStyle name="Normal 2 3 3 19 5 2" xfId="10894" xr:uid="{00000000-0005-0000-0000-00008D650000}"/>
    <cellStyle name="Normal 2 3 3 19 5 2 2" xfId="41030" xr:uid="{00000000-0005-0000-0000-00008E650000}"/>
    <cellStyle name="Normal 2 3 3 19 5 3" xfId="41031" xr:uid="{00000000-0005-0000-0000-00008F650000}"/>
    <cellStyle name="Normal 2 3 3 19 6" xfId="10895" xr:uid="{00000000-0005-0000-0000-000090650000}"/>
    <cellStyle name="Normal 2 3 3 19 6 2" xfId="41032" xr:uid="{00000000-0005-0000-0000-000091650000}"/>
    <cellStyle name="Normal 2 3 3 19 7" xfId="10896" xr:uid="{00000000-0005-0000-0000-000092650000}"/>
    <cellStyle name="Normal 2 3 3 19 7 2" xfId="41033" xr:uid="{00000000-0005-0000-0000-000093650000}"/>
    <cellStyle name="Normal 2 3 3 19 8" xfId="41034" xr:uid="{00000000-0005-0000-0000-000094650000}"/>
    <cellStyle name="Normal 2 3 3 19 8 2" xfId="41035" xr:uid="{00000000-0005-0000-0000-000095650000}"/>
    <cellStyle name="Normal 2 3 3 19 9" xfId="41036" xr:uid="{00000000-0005-0000-0000-000096650000}"/>
    <cellStyle name="Normal 2 3 3 2" xfId="10897" xr:uid="{00000000-0005-0000-0000-000097650000}"/>
    <cellStyle name="Normal 2 3 3 2 10" xfId="41037" xr:uid="{00000000-0005-0000-0000-000098650000}"/>
    <cellStyle name="Normal 2 3 3 2 11" xfId="41038" xr:uid="{00000000-0005-0000-0000-000099650000}"/>
    <cellStyle name="Normal 2 3 3 2 2" xfId="10898" xr:uid="{00000000-0005-0000-0000-00009A650000}"/>
    <cellStyle name="Normal 2 3 3 2 2 10" xfId="41039" xr:uid="{00000000-0005-0000-0000-00009B650000}"/>
    <cellStyle name="Normal 2 3 3 2 2 2" xfId="10899" xr:uid="{00000000-0005-0000-0000-00009C650000}"/>
    <cellStyle name="Normal 2 3 3 2 2 2 2" xfId="10900" xr:uid="{00000000-0005-0000-0000-00009D650000}"/>
    <cellStyle name="Normal 2 3 3 2 2 2 2 2" xfId="10901" xr:uid="{00000000-0005-0000-0000-00009E650000}"/>
    <cellStyle name="Normal 2 3 3 2 2 2 2 2 2" xfId="41040" xr:uid="{00000000-0005-0000-0000-00009F650000}"/>
    <cellStyle name="Normal 2 3 3 2 2 2 2 3" xfId="10902" xr:uid="{00000000-0005-0000-0000-0000A0650000}"/>
    <cellStyle name="Normal 2 3 3 2 2 2 2 3 2" xfId="41041" xr:uid="{00000000-0005-0000-0000-0000A1650000}"/>
    <cellStyle name="Normal 2 3 3 2 2 2 2 4" xfId="41042" xr:uid="{00000000-0005-0000-0000-0000A2650000}"/>
    <cellStyle name="Normal 2 3 3 2 2 2 3" xfId="10903" xr:uid="{00000000-0005-0000-0000-0000A3650000}"/>
    <cellStyle name="Normal 2 3 3 2 2 2 3 2" xfId="41043" xr:uid="{00000000-0005-0000-0000-0000A4650000}"/>
    <cellStyle name="Normal 2 3 3 2 2 2 4" xfId="10904" xr:uid="{00000000-0005-0000-0000-0000A5650000}"/>
    <cellStyle name="Normal 2 3 3 2 2 2 4 2" xfId="41044" xr:uid="{00000000-0005-0000-0000-0000A6650000}"/>
    <cellStyle name="Normal 2 3 3 2 2 2 5" xfId="10905" xr:uid="{00000000-0005-0000-0000-0000A7650000}"/>
    <cellStyle name="Normal 2 3 3 2 2 2 5 2" xfId="41045" xr:uid="{00000000-0005-0000-0000-0000A8650000}"/>
    <cellStyle name="Normal 2 3 3 2 2 2 6" xfId="41046" xr:uid="{00000000-0005-0000-0000-0000A9650000}"/>
    <cellStyle name="Normal 2 3 3 2 2 2 6 2" xfId="41047" xr:uid="{00000000-0005-0000-0000-0000AA650000}"/>
    <cellStyle name="Normal 2 3 3 2 2 2 7" xfId="41048" xr:uid="{00000000-0005-0000-0000-0000AB650000}"/>
    <cellStyle name="Normal 2 3 3 2 2 3" xfId="10906" xr:uid="{00000000-0005-0000-0000-0000AC650000}"/>
    <cellStyle name="Normal 2 3 3 2 2 3 2" xfId="10907" xr:uid="{00000000-0005-0000-0000-0000AD650000}"/>
    <cellStyle name="Normal 2 3 3 2 2 3 2 2" xfId="41049" xr:uid="{00000000-0005-0000-0000-0000AE650000}"/>
    <cellStyle name="Normal 2 3 3 2 2 3 3" xfId="10908" xr:uid="{00000000-0005-0000-0000-0000AF650000}"/>
    <cellStyle name="Normal 2 3 3 2 2 3 3 2" xfId="41050" xr:uid="{00000000-0005-0000-0000-0000B0650000}"/>
    <cellStyle name="Normal 2 3 3 2 2 3 4" xfId="41051" xr:uid="{00000000-0005-0000-0000-0000B1650000}"/>
    <cellStyle name="Normal 2 3 3 2 2 4" xfId="10909" xr:uid="{00000000-0005-0000-0000-0000B2650000}"/>
    <cellStyle name="Normal 2 3 3 2 2 4 2" xfId="10910" xr:uid="{00000000-0005-0000-0000-0000B3650000}"/>
    <cellStyle name="Normal 2 3 3 2 2 4 2 2" xfId="41052" xr:uid="{00000000-0005-0000-0000-0000B4650000}"/>
    <cellStyle name="Normal 2 3 3 2 2 4 3" xfId="41053" xr:uid="{00000000-0005-0000-0000-0000B5650000}"/>
    <cellStyle name="Normal 2 3 3 2 2 5" xfId="10911" xr:uid="{00000000-0005-0000-0000-0000B6650000}"/>
    <cellStyle name="Normal 2 3 3 2 2 5 2" xfId="41054" xr:uid="{00000000-0005-0000-0000-0000B7650000}"/>
    <cellStyle name="Normal 2 3 3 2 2 6" xfId="10912" xr:uid="{00000000-0005-0000-0000-0000B8650000}"/>
    <cellStyle name="Normal 2 3 3 2 2 6 2" xfId="41055" xr:uid="{00000000-0005-0000-0000-0000B9650000}"/>
    <cellStyle name="Normal 2 3 3 2 2 7" xfId="41056" xr:uid="{00000000-0005-0000-0000-0000BA650000}"/>
    <cellStyle name="Normal 2 3 3 2 2 7 2" xfId="41057" xr:uid="{00000000-0005-0000-0000-0000BB650000}"/>
    <cellStyle name="Normal 2 3 3 2 2 8" xfId="41058" xr:uid="{00000000-0005-0000-0000-0000BC650000}"/>
    <cellStyle name="Normal 2 3 3 2 2 9" xfId="41059" xr:uid="{00000000-0005-0000-0000-0000BD650000}"/>
    <cellStyle name="Normal 2 3 3 2 3" xfId="10913" xr:uid="{00000000-0005-0000-0000-0000BE650000}"/>
    <cellStyle name="Normal 2 3 3 2 3 2" xfId="10914" xr:uid="{00000000-0005-0000-0000-0000BF650000}"/>
    <cellStyle name="Normal 2 3 3 2 3 2 2" xfId="10915" xr:uid="{00000000-0005-0000-0000-0000C0650000}"/>
    <cellStyle name="Normal 2 3 3 2 3 2 2 2" xfId="41060" xr:uid="{00000000-0005-0000-0000-0000C1650000}"/>
    <cellStyle name="Normal 2 3 3 2 3 2 3" xfId="10916" xr:uid="{00000000-0005-0000-0000-0000C2650000}"/>
    <cellStyle name="Normal 2 3 3 2 3 2 3 2" xfId="41061" xr:uid="{00000000-0005-0000-0000-0000C3650000}"/>
    <cellStyle name="Normal 2 3 3 2 3 2 4" xfId="41062" xr:uid="{00000000-0005-0000-0000-0000C4650000}"/>
    <cellStyle name="Normal 2 3 3 2 3 3" xfId="10917" xr:uid="{00000000-0005-0000-0000-0000C5650000}"/>
    <cellStyle name="Normal 2 3 3 2 3 3 2" xfId="41063" xr:uid="{00000000-0005-0000-0000-0000C6650000}"/>
    <cellStyle name="Normal 2 3 3 2 3 4" xfId="10918" xr:uid="{00000000-0005-0000-0000-0000C7650000}"/>
    <cellStyle name="Normal 2 3 3 2 3 4 2" xfId="41064" xr:uid="{00000000-0005-0000-0000-0000C8650000}"/>
    <cellStyle name="Normal 2 3 3 2 3 5" xfId="10919" xr:uid="{00000000-0005-0000-0000-0000C9650000}"/>
    <cellStyle name="Normal 2 3 3 2 3 5 2" xfId="41065" xr:uid="{00000000-0005-0000-0000-0000CA650000}"/>
    <cellStyle name="Normal 2 3 3 2 3 6" xfId="41066" xr:uid="{00000000-0005-0000-0000-0000CB650000}"/>
    <cellStyle name="Normal 2 3 3 2 3 6 2" xfId="41067" xr:uid="{00000000-0005-0000-0000-0000CC650000}"/>
    <cellStyle name="Normal 2 3 3 2 3 7" xfId="41068" xr:uid="{00000000-0005-0000-0000-0000CD650000}"/>
    <cellStyle name="Normal 2 3 3 2 4" xfId="10920" xr:uid="{00000000-0005-0000-0000-0000CE650000}"/>
    <cellStyle name="Normal 2 3 3 2 4 2" xfId="10921" xr:uid="{00000000-0005-0000-0000-0000CF650000}"/>
    <cellStyle name="Normal 2 3 3 2 4 2 2" xfId="41069" xr:uid="{00000000-0005-0000-0000-0000D0650000}"/>
    <cellStyle name="Normal 2 3 3 2 4 3" xfId="10922" xr:uid="{00000000-0005-0000-0000-0000D1650000}"/>
    <cellStyle name="Normal 2 3 3 2 4 3 2" xfId="41070" xr:uid="{00000000-0005-0000-0000-0000D2650000}"/>
    <cellStyle name="Normal 2 3 3 2 4 4" xfId="41071" xr:uid="{00000000-0005-0000-0000-0000D3650000}"/>
    <cellStyle name="Normal 2 3 3 2 5" xfId="10923" xr:uid="{00000000-0005-0000-0000-0000D4650000}"/>
    <cellStyle name="Normal 2 3 3 2 5 2" xfId="10924" xr:uid="{00000000-0005-0000-0000-0000D5650000}"/>
    <cellStyle name="Normal 2 3 3 2 5 2 2" xfId="41072" xr:uid="{00000000-0005-0000-0000-0000D6650000}"/>
    <cellStyle name="Normal 2 3 3 2 5 3" xfId="41073" xr:uid="{00000000-0005-0000-0000-0000D7650000}"/>
    <cellStyle name="Normal 2 3 3 2 6" xfId="10925" xr:uid="{00000000-0005-0000-0000-0000D8650000}"/>
    <cellStyle name="Normal 2 3 3 2 6 2" xfId="41074" xr:uid="{00000000-0005-0000-0000-0000D9650000}"/>
    <cellStyle name="Normal 2 3 3 2 7" xfId="10926" xr:uid="{00000000-0005-0000-0000-0000DA650000}"/>
    <cellStyle name="Normal 2 3 3 2 7 2" xfId="41075" xr:uid="{00000000-0005-0000-0000-0000DB650000}"/>
    <cellStyle name="Normal 2 3 3 2 8" xfId="41076" xr:uid="{00000000-0005-0000-0000-0000DC650000}"/>
    <cellStyle name="Normal 2 3 3 2 8 2" xfId="41077" xr:uid="{00000000-0005-0000-0000-0000DD650000}"/>
    <cellStyle name="Normal 2 3 3 2 9" xfId="41078" xr:uid="{00000000-0005-0000-0000-0000DE650000}"/>
    <cellStyle name="Normal 2 3 3 20" xfId="10927" xr:uid="{00000000-0005-0000-0000-0000DF650000}"/>
    <cellStyle name="Normal 2 3 3 20 10" xfId="41079" xr:uid="{00000000-0005-0000-0000-0000E0650000}"/>
    <cellStyle name="Normal 2 3 3 20 11" xfId="41080" xr:uid="{00000000-0005-0000-0000-0000E1650000}"/>
    <cellStyle name="Normal 2 3 3 20 2" xfId="10928" xr:uid="{00000000-0005-0000-0000-0000E2650000}"/>
    <cellStyle name="Normal 2 3 3 20 2 10" xfId="41081" xr:uid="{00000000-0005-0000-0000-0000E3650000}"/>
    <cellStyle name="Normal 2 3 3 20 2 2" xfId="10929" xr:uid="{00000000-0005-0000-0000-0000E4650000}"/>
    <cellStyle name="Normal 2 3 3 20 2 2 2" xfId="10930" xr:uid="{00000000-0005-0000-0000-0000E5650000}"/>
    <cellStyle name="Normal 2 3 3 20 2 2 2 2" xfId="10931" xr:uid="{00000000-0005-0000-0000-0000E6650000}"/>
    <cellStyle name="Normal 2 3 3 20 2 2 2 2 2" xfId="41082" xr:uid="{00000000-0005-0000-0000-0000E7650000}"/>
    <cellStyle name="Normal 2 3 3 20 2 2 2 3" xfId="10932" xr:uid="{00000000-0005-0000-0000-0000E8650000}"/>
    <cellStyle name="Normal 2 3 3 20 2 2 2 3 2" xfId="41083" xr:uid="{00000000-0005-0000-0000-0000E9650000}"/>
    <cellStyle name="Normal 2 3 3 20 2 2 2 4" xfId="41084" xr:uid="{00000000-0005-0000-0000-0000EA650000}"/>
    <cellStyle name="Normal 2 3 3 20 2 2 3" xfId="10933" xr:uid="{00000000-0005-0000-0000-0000EB650000}"/>
    <cellStyle name="Normal 2 3 3 20 2 2 3 2" xfId="41085" xr:uid="{00000000-0005-0000-0000-0000EC650000}"/>
    <cellStyle name="Normal 2 3 3 20 2 2 4" xfId="10934" xr:uid="{00000000-0005-0000-0000-0000ED650000}"/>
    <cellStyle name="Normal 2 3 3 20 2 2 4 2" xfId="41086" xr:uid="{00000000-0005-0000-0000-0000EE650000}"/>
    <cellStyle name="Normal 2 3 3 20 2 2 5" xfId="10935" xr:uid="{00000000-0005-0000-0000-0000EF650000}"/>
    <cellStyle name="Normal 2 3 3 20 2 2 5 2" xfId="41087" xr:uid="{00000000-0005-0000-0000-0000F0650000}"/>
    <cellStyle name="Normal 2 3 3 20 2 2 6" xfId="41088" xr:uid="{00000000-0005-0000-0000-0000F1650000}"/>
    <cellStyle name="Normal 2 3 3 20 2 2 6 2" xfId="41089" xr:uid="{00000000-0005-0000-0000-0000F2650000}"/>
    <cellStyle name="Normal 2 3 3 20 2 2 7" xfId="41090" xr:uid="{00000000-0005-0000-0000-0000F3650000}"/>
    <cellStyle name="Normal 2 3 3 20 2 3" xfId="10936" xr:uid="{00000000-0005-0000-0000-0000F4650000}"/>
    <cellStyle name="Normal 2 3 3 20 2 3 2" xfId="10937" xr:uid="{00000000-0005-0000-0000-0000F5650000}"/>
    <cellStyle name="Normal 2 3 3 20 2 3 2 2" xfId="41091" xr:uid="{00000000-0005-0000-0000-0000F6650000}"/>
    <cellStyle name="Normal 2 3 3 20 2 3 3" xfId="10938" xr:uid="{00000000-0005-0000-0000-0000F7650000}"/>
    <cellStyle name="Normal 2 3 3 20 2 3 3 2" xfId="41092" xr:uid="{00000000-0005-0000-0000-0000F8650000}"/>
    <cellStyle name="Normal 2 3 3 20 2 3 4" xfId="41093" xr:uid="{00000000-0005-0000-0000-0000F9650000}"/>
    <cellStyle name="Normal 2 3 3 20 2 4" xfId="10939" xr:uid="{00000000-0005-0000-0000-0000FA650000}"/>
    <cellStyle name="Normal 2 3 3 20 2 4 2" xfId="10940" xr:uid="{00000000-0005-0000-0000-0000FB650000}"/>
    <cellStyle name="Normal 2 3 3 20 2 4 2 2" xfId="41094" xr:uid="{00000000-0005-0000-0000-0000FC650000}"/>
    <cellStyle name="Normal 2 3 3 20 2 4 3" xfId="41095" xr:uid="{00000000-0005-0000-0000-0000FD650000}"/>
    <cellStyle name="Normal 2 3 3 20 2 5" xfId="10941" xr:uid="{00000000-0005-0000-0000-0000FE650000}"/>
    <cellStyle name="Normal 2 3 3 20 2 5 2" xfId="41096" xr:uid="{00000000-0005-0000-0000-0000FF650000}"/>
    <cellStyle name="Normal 2 3 3 20 2 6" xfId="10942" xr:uid="{00000000-0005-0000-0000-000000660000}"/>
    <cellStyle name="Normal 2 3 3 20 2 6 2" xfId="41097" xr:uid="{00000000-0005-0000-0000-000001660000}"/>
    <cellStyle name="Normal 2 3 3 20 2 7" xfId="41098" xr:uid="{00000000-0005-0000-0000-000002660000}"/>
    <cellStyle name="Normal 2 3 3 20 2 7 2" xfId="41099" xr:uid="{00000000-0005-0000-0000-000003660000}"/>
    <cellStyle name="Normal 2 3 3 20 2 8" xfId="41100" xr:uid="{00000000-0005-0000-0000-000004660000}"/>
    <cellStyle name="Normal 2 3 3 20 2 9" xfId="41101" xr:uid="{00000000-0005-0000-0000-000005660000}"/>
    <cellStyle name="Normal 2 3 3 20 3" xfId="10943" xr:uid="{00000000-0005-0000-0000-000006660000}"/>
    <cellStyle name="Normal 2 3 3 20 3 2" xfId="10944" xr:uid="{00000000-0005-0000-0000-000007660000}"/>
    <cellStyle name="Normal 2 3 3 20 3 2 2" xfId="10945" xr:uid="{00000000-0005-0000-0000-000008660000}"/>
    <cellStyle name="Normal 2 3 3 20 3 2 2 2" xfId="41102" xr:uid="{00000000-0005-0000-0000-000009660000}"/>
    <cellStyle name="Normal 2 3 3 20 3 2 3" xfId="10946" xr:uid="{00000000-0005-0000-0000-00000A660000}"/>
    <cellStyle name="Normal 2 3 3 20 3 2 3 2" xfId="41103" xr:uid="{00000000-0005-0000-0000-00000B660000}"/>
    <cellStyle name="Normal 2 3 3 20 3 2 4" xfId="41104" xr:uid="{00000000-0005-0000-0000-00000C660000}"/>
    <cellStyle name="Normal 2 3 3 20 3 3" xfId="10947" xr:uid="{00000000-0005-0000-0000-00000D660000}"/>
    <cellStyle name="Normal 2 3 3 20 3 3 2" xfId="41105" xr:uid="{00000000-0005-0000-0000-00000E660000}"/>
    <cellStyle name="Normal 2 3 3 20 3 4" xfId="10948" xr:uid="{00000000-0005-0000-0000-00000F660000}"/>
    <cellStyle name="Normal 2 3 3 20 3 4 2" xfId="41106" xr:uid="{00000000-0005-0000-0000-000010660000}"/>
    <cellStyle name="Normal 2 3 3 20 3 5" xfId="10949" xr:uid="{00000000-0005-0000-0000-000011660000}"/>
    <cellStyle name="Normal 2 3 3 20 3 5 2" xfId="41107" xr:uid="{00000000-0005-0000-0000-000012660000}"/>
    <cellStyle name="Normal 2 3 3 20 3 6" xfId="41108" xr:uid="{00000000-0005-0000-0000-000013660000}"/>
    <cellStyle name="Normal 2 3 3 20 3 6 2" xfId="41109" xr:uid="{00000000-0005-0000-0000-000014660000}"/>
    <cellStyle name="Normal 2 3 3 20 3 7" xfId="41110" xr:uid="{00000000-0005-0000-0000-000015660000}"/>
    <cellStyle name="Normal 2 3 3 20 4" xfId="10950" xr:uid="{00000000-0005-0000-0000-000016660000}"/>
    <cellStyle name="Normal 2 3 3 20 4 2" xfId="10951" xr:uid="{00000000-0005-0000-0000-000017660000}"/>
    <cellStyle name="Normal 2 3 3 20 4 2 2" xfId="41111" xr:uid="{00000000-0005-0000-0000-000018660000}"/>
    <cellStyle name="Normal 2 3 3 20 4 3" xfId="10952" xr:uid="{00000000-0005-0000-0000-000019660000}"/>
    <cellStyle name="Normal 2 3 3 20 4 3 2" xfId="41112" xr:uid="{00000000-0005-0000-0000-00001A660000}"/>
    <cellStyle name="Normal 2 3 3 20 4 4" xfId="41113" xr:uid="{00000000-0005-0000-0000-00001B660000}"/>
    <cellStyle name="Normal 2 3 3 20 5" xfId="10953" xr:uid="{00000000-0005-0000-0000-00001C660000}"/>
    <cellStyle name="Normal 2 3 3 20 5 2" xfId="10954" xr:uid="{00000000-0005-0000-0000-00001D660000}"/>
    <cellStyle name="Normal 2 3 3 20 5 2 2" xfId="41114" xr:uid="{00000000-0005-0000-0000-00001E660000}"/>
    <cellStyle name="Normal 2 3 3 20 5 3" xfId="41115" xr:uid="{00000000-0005-0000-0000-00001F660000}"/>
    <cellStyle name="Normal 2 3 3 20 6" xfId="10955" xr:uid="{00000000-0005-0000-0000-000020660000}"/>
    <cellStyle name="Normal 2 3 3 20 6 2" xfId="41116" xr:uid="{00000000-0005-0000-0000-000021660000}"/>
    <cellStyle name="Normal 2 3 3 20 7" xfId="10956" xr:uid="{00000000-0005-0000-0000-000022660000}"/>
    <cellStyle name="Normal 2 3 3 20 7 2" xfId="41117" xr:uid="{00000000-0005-0000-0000-000023660000}"/>
    <cellStyle name="Normal 2 3 3 20 8" xfId="41118" xr:uid="{00000000-0005-0000-0000-000024660000}"/>
    <cellStyle name="Normal 2 3 3 20 8 2" xfId="41119" xr:uid="{00000000-0005-0000-0000-000025660000}"/>
    <cellStyle name="Normal 2 3 3 20 9" xfId="41120" xr:uid="{00000000-0005-0000-0000-000026660000}"/>
    <cellStyle name="Normal 2 3 3 21" xfId="10957" xr:uid="{00000000-0005-0000-0000-000027660000}"/>
    <cellStyle name="Normal 2 3 3 21 10" xfId="41121" xr:uid="{00000000-0005-0000-0000-000028660000}"/>
    <cellStyle name="Normal 2 3 3 21 11" xfId="41122" xr:uid="{00000000-0005-0000-0000-000029660000}"/>
    <cellStyle name="Normal 2 3 3 21 2" xfId="10958" xr:uid="{00000000-0005-0000-0000-00002A660000}"/>
    <cellStyle name="Normal 2 3 3 21 2 10" xfId="41123" xr:uid="{00000000-0005-0000-0000-00002B660000}"/>
    <cellStyle name="Normal 2 3 3 21 2 2" xfId="10959" xr:uid="{00000000-0005-0000-0000-00002C660000}"/>
    <cellStyle name="Normal 2 3 3 21 2 2 2" xfId="10960" xr:uid="{00000000-0005-0000-0000-00002D660000}"/>
    <cellStyle name="Normal 2 3 3 21 2 2 2 2" xfId="10961" xr:uid="{00000000-0005-0000-0000-00002E660000}"/>
    <cellStyle name="Normal 2 3 3 21 2 2 2 2 2" xfId="41124" xr:uid="{00000000-0005-0000-0000-00002F660000}"/>
    <cellStyle name="Normal 2 3 3 21 2 2 2 3" xfId="10962" xr:uid="{00000000-0005-0000-0000-000030660000}"/>
    <cellStyle name="Normal 2 3 3 21 2 2 2 3 2" xfId="41125" xr:uid="{00000000-0005-0000-0000-000031660000}"/>
    <cellStyle name="Normal 2 3 3 21 2 2 2 4" xfId="41126" xr:uid="{00000000-0005-0000-0000-000032660000}"/>
    <cellStyle name="Normal 2 3 3 21 2 2 3" xfId="10963" xr:uid="{00000000-0005-0000-0000-000033660000}"/>
    <cellStyle name="Normal 2 3 3 21 2 2 3 2" xfId="41127" xr:uid="{00000000-0005-0000-0000-000034660000}"/>
    <cellStyle name="Normal 2 3 3 21 2 2 4" xfId="10964" xr:uid="{00000000-0005-0000-0000-000035660000}"/>
    <cellStyle name="Normal 2 3 3 21 2 2 4 2" xfId="41128" xr:uid="{00000000-0005-0000-0000-000036660000}"/>
    <cellStyle name="Normal 2 3 3 21 2 2 5" xfId="10965" xr:uid="{00000000-0005-0000-0000-000037660000}"/>
    <cellStyle name="Normal 2 3 3 21 2 2 5 2" xfId="41129" xr:uid="{00000000-0005-0000-0000-000038660000}"/>
    <cellStyle name="Normal 2 3 3 21 2 2 6" xfId="41130" xr:uid="{00000000-0005-0000-0000-000039660000}"/>
    <cellStyle name="Normal 2 3 3 21 2 2 6 2" xfId="41131" xr:uid="{00000000-0005-0000-0000-00003A660000}"/>
    <cellStyle name="Normal 2 3 3 21 2 2 7" xfId="41132" xr:uid="{00000000-0005-0000-0000-00003B660000}"/>
    <cellStyle name="Normal 2 3 3 21 2 3" xfId="10966" xr:uid="{00000000-0005-0000-0000-00003C660000}"/>
    <cellStyle name="Normal 2 3 3 21 2 3 2" xfId="10967" xr:uid="{00000000-0005-0000-0000-00003D660000}"/>
    <cellStyle name="Normal 2 3 3 21 2 3 2 2" xfId="41133" xr:uid="{00000000-0005-0000-0000-00003E660000}"/>
    <cellStyle name="Normal 2 3 3 21 2 3 3" xfId="10968" xr:uid="{00000000-0005-0000-0000-00003F660000}"/>
    <cellStyle name="Normal 2 3 3 21 2 3 3 2" xfId="41134" xr:uid="{00000000-0005-0000-0000-000040660000}"/>
    <cellStyle name="Normal 2 3 3 21 2 3 4" xfId="41135" xr:uid="{00000000-0005-0000-0000-000041660000}"/>
    <cellStyle name="Normal 2 3 3 21 2 4" xfId="10969" xr:uid="{00000000-0005-0000-0000-000042660000}"/>
    <cellStyle name="Normal 2 3 3 21 2 4 2" xfId="10970" xr:uid="{00000000-0005-0000-0000-000043660000}"/>
    <cellStyle name="Normal 2 3 3 21 2 4 2 2" xfId="41136" xr:uid="{00000000-0005-0000-0000-000044660000}"/>
    <cellStyle name="Normal 2 3 3 21 2 4 3" xfId="41137" xr:uid="{00000000-0005-0000-0000-000045660000}"/>
    <cellStyle name="Normal 2 3 3 21 2 5" xfId="10971" xr:uid="{00000000-0005-0000-0000-000046660000}"/>
    <cellStyle name="Normal 2 3 3 21 2 5 2" xfId="41138" xr:uid="{00000000-0005-0000-0000-000047660000}"/>
    <cellStyle name="Normal 2 3 3 21 2 6" xfId="10972" xr:uid="{00000000-0005-0000-0000-000048660000}"/>
    <cellStyle name="Normal 2 3 3 21 2 6 2" xfId="41139" xr:uid="{00000000-0005-0000-0000-000049660000}"/>
    <cellStyle name="Normal 2 3 3 21 2 7" xfId="41140" xr:uid="{00000000-0005-0000-0000-00004A660000}"/>
    <cellStyle name="Normal 2 3 3 21 2 7 2" xfId="41141" xr:uid="{00000000-0005-0000-0000-00004B660000}"/>
    <cellStyle name="Normal 2 3 3 21 2 8" xfId="41142" xr:uid="{00000000-0005-0000-0000-00004C660000}"/>
    <cellStyle name="Normal 2 3 3 21 2 9" xfId="41143" xr:uid="{00000000-0005-0000-0000-00004D660000}"/>
    <cellStyle name="Normal 2 3 3 21 3" xfId="10973" xr:uid="{00000000-0005-0000-0000-00004E660000}"/>
    <cellStyle name="Normal 2 3 3 21 3 2" xfId="10974" xr:uid="{00000000-0005-0000-0000-00004F660000}"/>
    <cellStyle name="Normal 2 3 3 21 3 2 2" xfId="10975" xr:uid="{00000000-0005-0000-0000-000050660000}"/>
    <cellStyle name="Normal 2 3 3 21 3 2 2 2" xfId="41144" xr:uid="{00000000-0005-0000-0000-000051660000}"/>
    <cellStyle name="Normal 2 3 3 21 3 2 3" xfId="10976" xr:uid="{00000000-0005-0000-0000-000052660000}"/>
    <cellStyle name="Normal 2 3 3 21 3 2 3 2" xfId="41145" xr:uid="{00000000-0005-0000-0000-000053660000}"/>
    <cellStyle name="Normal 2 3 3 21 3 2 4" xfId="41146" xr:uid="{00000000-0005-0000-0000-000054660000}"/>
    <cellStyle name="Normal 2 3 3 21 3 3" xfId="10977" xr:uid="{00000000-0005-0000-0000-000055660000}"/>
    <cellStyle name="Normal 2 3 3 21 3 3 2" xfId="41147" xr:uid="{00000000-0005-0000-0000-000056660000}"/>
    <cellStyle name="Normal 2 3 3 21 3 4" xfId="10978" xr:uid="{00000000-0005-0000-0000-000057660000}"/>
    <cellStyle name="Normal 2 3 3 21 3 4 2" xfId="41148" xr:uid="{00000000-0005-0000-0000-000058660000}"/>
    <cellStyle name="Normal 2 3 3 21 3 5" xfId="10979" xr:uid="{00000000-0005-0000-0000-000059660000}"/>
    <cellStyle name="Normal 2 3 3 21 3 5 2" xfId="41149" xr:uid="{00000000-0005-0000-0000-00005A660000}"/>
    <cellStyle name="Normal 2 3 3 21 3 6" xfId="41150" xr:uid="{00000000-0005-0000-0000-00005B660000}"/>
    <cellStyle name="Normal 2 3 3 21 3 6 2" xfId="41151" xr:uid="{00000000-0005-0000-0000-00005C660000}"/>
    <cellStyle name="Normal 2 3 3 21 3 7" xfId="41152" xr:uid="{00000000-0005-0000-0000-00005D660000}"/>
    <cellStyle name="Normal 2 3 3 21 4" xfId="10980" xr:uid="{00000000-0005-0000-0000-00005E660000}"/>
    <cellStyle name="Normal 2 3 3 21 4 2" xfId="10981" xr:uid="{00000000-0005-0000-0000-00005F660000}"/>
    <cellStyle name="Normal 2 3 3 21 4 2 2" xfId="41153" xr:uid="{00000000-0005-0000-0000-000060660000}"/>
    <cellStyle name="Normal 2 3 3 21 4 3" xfId="10982" xr:uid="{00000000-0005-0000-0000-000061660000}"/>
    <cellStyle name="Normal 2 3 3 21 4 3 2" xfId="41154" xr:uid="{00000000-0005-0000-0000-000062660000}"/>
    <cellStyle name="Normal 2 3 3 21 4 4" xfId="41155" xr:uid="{00000000-0005-0000-0000-000063660000}"/>
    <cellStyle name="Normal 2 3 3 21 5" xfId="10983" xr:uid="{00000000-0005-0000-0000-000064660000}"/>
    <cellStyle name="Normal 2 3 3 21 5 2" xfId="10984" xr:uid="{00000000-0005-0000-0000-000065660000}"/>
    <cellStyle name="Normal 2 3 3 21 5 2 2" xfId="41156" xr:uid="{00000000-0005-0000-0000-000066660000}"/>
    <cellStyle name="Normal 2 3 3 21 5 3" xfId="41157" xr:uid="{00000000-0005-0000-0000-000067660000}"/>
    <cellStyle name="Normal 2 3 3 21 6" xfId="10985" xr:uid="{00000000-0005-0000-0000-000068660000}"/>
    <cellStyle name="Normal 2 3 3 21 6 2" xfId="41158" xr:uid="{00000000-0005-0000-0000-000069660000}"/>
    <cellStyle name="Normal 2 3 3 21 7" xfId="10986" xr:uid="{00000000-0005-0000-0000-00006A660000}"/>
    <cellStyle name="Normal 2 3 3 21 7 2" xfId="41159" xr:uid="{00000000-0005-0000-0000-00006B660000}"/>
    <cellStyle name="Normal 2 3 3 21 8" xfId="41160" xr:uid="{00000000-0005-0000-0000-00006C660000}"/>
    <cellStyle name="Normal 2 3 3 21 8 2" xfId="41161" xr:uid="{00000000-0005-0000-0000-00006D660000}"/>
    <cellStyle name="Normal 2 3 3 21 9" xfId="41162" xr:uid="{00000000-0005-0000-0000-00006E660000}"/>
    <cellStyle name="Normal 2 3 3 22" xfId="10987" xr:uid="{00000000-0005-0000-0000-00006F660000}"/>
    <cellStyle name="Normal 2 3 3 22 10" xfId="41163" xr:uid="{00000000-0005-0000-0000-000070660000}"/>
    <cellStyle name="Normal 2 3 3 22 11" xfId="41164" xr:uid="{00000000-0005-0000-0000-000071660000}"/>
    <cellStyle name="Normal 2 3 3 22 2" xfId="10988" xr:uid="{00000000-0005-0000-0000-000072660000}"/>
    <cellStyle name="Normal 2 3 3 22 2 10" xfId="41165" xr:uid="{00000000-0005-0000-0000-000073660000}"/>
    <cellStyle name="Normal 2 3 3 22 2 2" xfId="10989" xr:uid="{00000000-0005-0000-0000-000074660000}"/>
    <cellStyle name="Normal 2 3 3 22 2 2 2" xfId="10990" xr:uid="{00000000-0005-0000-0000-000075660000}"/>
    <cellStyle name="Normal 2 3 3 22 2 2 2 2" xfId="10991" xr:uid="{00000000-0005-0000-0000-000076660000}"/>
    <cellStyle name="Normal 2 3 3 22 2 2 2 2 2" xfId="41166" xr:uid="{00000000-0005-0000-0000-000077660000}"/>
    <cellStyle name="Normal 2 3 3 22 2 2 2 3" xfId="10992" xr:uid="{00000000-0005-0000-0000-000078660000}"/>
    <cellStyle name="Normal 2 3 3 22 2 2 2 3 2" xfId="41167" xr:uid="{00000000-0005-0000-0000-000079660000}"/>
    <cellStyle name="Normal 2 3 3 22 2 2 2 4" xfId="41168" xr:uid="{00000000-0005-0000-0000-00007A660000}"/>
    <cellStyle name="Normal 2 3 3 22 2 2 3" xfId="10993" xr:uid="{00000000-0005-0000-0000-00007B660000}"/>
    <cellStyle name="Normal 2 3 3 22 2 2 3 2" xfId="41169" xr:uid="{00000000-0005-0000-0000-00007C660000}"/>
    <cellStyle name="Normal 2 3 3 22 2 2 4" xfId="10994" xr:uid="{00000000-0005-0000-0000-00007D660000}"/>
    <cellStyle name="Normal 2 3 3 22 2 2 4 2" xfId="41170" xr:uid="{00000000-0005-0000-0000-00007E660000}"/>
    <cellStyle name="Normal 2 3 3 22 2 2 5" xfId="10995" xr:uid="{00000000-0005-0000-0000-00007F660000}"/>
    <cellStyle name="Normal 2 3 3 22 2 2 5 2" xfId="41171" xr:uid="{00000000-0005-0000-0000-000080660000}"/>
    <cellStyle name="Normal 2 3 3 22 2 2 6" xfId="41172" xr:uid="{00000000-0005-0000-0000-000081660000}"/>
    <cellStyle name="Normal 2 3 3 22 2 2 6 2" xfId="41173" xr:uid="{00000000-0005-0000-0000-000082660000}"/>
    <cellStyle name="Normal 2 3 3 22 2 2 7" xfId="41174" xr:uid="{00000000-0005-0000-0000-000083660000}"/>
    <cellStyle name="Normal 2 3 3 22 2 3" xfId="10996" xr:uid="{00000000-0005-0000-0000-000084660000}"/>
    <cellStyle name="Normal 2 3 3 22 2 3 2" xfId="10997" xr:uid="{00000000-0005-0000-0000-000085660000}"/>
    <cellStyle name="Normal 2 3 3 22 2 3 2 2" xfId="41175" xr:uid="{00000000-0005-0000-0000-000086660000}"/>
    <cellStyle name="Normal 2 3 3 22 2 3 3" xfId="10998" xr:uid="{00000000-0005-0000-0000-000087660000}"/>
    <cellStyle name="Normal 2 3 3 22 2 3 3 2" xfId="41176" xr:uid="{00000000-0005-0000-0000-000088660000}"/>
    <cellStyle name="Normal 2 3 3 22 2 3 4" xfId="41177" xr:uid="{00000000-0005-0000-0000-000089660000}"/>
    <cellStyle name="Normal 2 3 3 22 2 4" xfId="10999" xr:uid="{00000000-0005-0000-0000-00008A660000}"/>
    <cellStyle name="Normal 2 3 3 22 2 4 2" xfId="11000" xr:uid="{00000000-0005-0000-0000-00008B660000}"/>
    <cellStyle name="Normal 2 3 3 22 2 4 2 2" xfId="41178" xr:uid="{00000000-0005-0000-0000-00008C660000}"/>
    <cellStyle name="Normal 2 3 3 22 2 4 3" xfId="41179" xr:uid="{00000000-0005-0000-0000-00008D660000}"/>
    <cellStyle name="Normal 2 3 3 22 2 5" xfId="11001" xr:uid="{00000000-0005-0000-0000-00008E660000}"/>
    <cellStyle name="Normal 2 3 3 22 2 5 2" xfId="41180" xr:uid="{00000000-0005-0000-0000-00008F660000}"/>
    <cellStyle name="Normal 2 3 3 22 2 6" xfId="11002" xr:uid="{00000000-0005-0000-0000-000090660000}"/>
    <cellStyle name="Normal 2 3 3 22 2 6 2" xfId="41181" xr:uid="{00000000-0005-0000-0000-000091660000}"/>
    <cellStyle name="Normal 2 3 3 22 2 7" xfId="41182" xr:uid="{00000000-0005-0000-0000-000092660000}"/>
    <cellStyle name="Normal 2 3 3 22 2 7 2" xfId="41183" xr:uid="{00000000-0005-0000-0000-000093660000}"/>
    <cellStyle name="Normal 2 3 3 22 2 8" xfId="41184" xr:uid="{00000000-0005-0000-0000-000094660000}"/>
    <cellStyle name="Normal 2 3 3 22 2 9" xfId="41185" xr:uid="{00000000-0005-0000-0000-000095660000}"/>
    <cellStyle name="Normal 2 3 3 22 3" xfId="11003" xr:uid="{00000000-0005-0000-0000-000096660000}"/>
    <cellStyle name="Normal 2 3 3 22 3 2" xfId="11004" xr:uid="{00000000-0005-0000-0000-000097660000}"/>
    <cellStyle name="Normal 2 3 3 22 3 2 2" xfId="11005" xr:uid="{00000000-0005-0000-0000-000098660000}"/>
    <cellStyle name="Normal 2 3 3 22 3 2 2 2" xfId="41186" xr:uid="{00000000-0005-0000-0000-000099660000}"/>
    <cellStyle name="Normal 2 3 3 22 3 2 3" xfId="11006" xr:uid="{00000000-0005-0000-0000-00009A660000}"/>
    <cellStyle name="Normal 2 3 3 22 3 2 3 2" xfId="41187" xr:uid="{00000000-0005-0000-0000-00009B660000}"/>
    <cellStyle name="Normal 2 3 3 22 3 2 4" xfId="41188" xr:uid="{00000000-0005-0000-0000-00009C660000}"/>
    <cellStyle name="Normal 2 3 3 22 3 3" xfId="11007" xr:uid="{00000000-0005-0000-0000-00009D660000}"/>
    <cellStyle name="Normal 2 3 3 22 3 3 2" xfId="41189" xr:uid="{00000000-0005-0000-0000-00009E660000}"/>
    <cellStyle name="Normal 2 3 3 22 3 4" xfId="11008" xr:uid="{00000000-0005-0000-0000-00009F660000}"/>
    <cellStyle name="Normal 2 3 3 22 3 4 2" xfId="41190" xr:uid="{00000000-0005-0000-0000-0000A0660000}"/>
    <cellStyle name="Normal 2 3 3 22 3 5" xfId="11009" xr:uid="{00000000-0005-0000-0000-0000A1660000}"/>
    <cellStyle name="Normal 2 3 3 22 3 5 2" xfId="41191" xr:uid="{00000000-0005-0000-0000-0000A2660000}"/>
    <cellStyle name="Normal 2 3 3 22 3 6" xfId="41192" xr:uid="{00000000-0005-0000-0000-0000A3660000}"/>
    <cellStyle name="Normal 2 3 3 22 3 6 2" xfId="41193" xr:uid="{00000000-0005-0000-0000-0000A4660000}"/>
    <cellStyle name="Normal 2 3 3 22 3 7" xfId="41194" xr:uid="{00000000-0005-0000-0000-0000A5660000}"/>
    <cellStyle name="Normal 2 3 3 22 4" xfId="11010" xr:uid="{00000000-0005-0000-0000-0000A6660000}"/>
    <cellStyle name="Normal 2 3 3 22 4 2" xfId="11011" xr:uid="{00000000-0005-0000-0000-0000A7660000}"/>
    <cellStyle name="Normal 2 3 3 22 4 2 2" xfId="41195" xr:uid="{00000000-0005-0000-0000-0000A8660000}"/>
    <cellStyle name="Normal 2 3 3 22 4 3" xfId="11012" xr:uid="{00000000-0005-0000-0000-0000A9660000}"/>
    <cellStyle name="Normal 2 3 3 22 4 3 2" xfId="41196" xr:uid="{00000000-0005-0000-0000-0000AA660000}"/>
    <cellStyle name="Normal 2 3 3 22 4 4" xfId="41197" xr:uid="{00000000-0005-0000-0000-0000AB660000}"/>
    <cellStyle name="Normal 2 3 3 22 5" xfId="11013" xr:uid="{00000000-0005-0000-0000-0000AC660000}"/>
    <cellStyle name="Normal 2 3 3 22 5 2" xfId="11014" xr:uid="{00000000-0005-0000-0000-0000AD660000}"/>
    <cellStyle name="Normal 2 3 3 22 5 2 2" xfId="41198" xr:uid="{00000000-0005-0000-0000-0000AE660000}"/>
    <cellStyle name="Normal 2 3 3 22 5 3" xfId="41199" xr:uid="{00000000-0005-0000-0000-0000AF660000}"/>
    <cellStyle name="Normal 2 3 3 22 6" xfId="11015" xr:uid="{00000000-0005-0000-0000-0000B0660000}"/>
    <cellStyle name="Normal 2 3 3 22 6 2" xfId="41200" xr:uid="{00000000-0005-0000-0000-0000B1660000}"/>
    <cellStyle name="Normal 2 3 3 22 7" xfId="11016" xr:uid="{00000000-0005-0000-0000-0000B2660000}"/>
    <cellStyle name="Normal 2 3 3 22 7 2" xfId="41201" xr:uid="{00000000-0005-0000-0000-0000B3660000}"/>
    <cellStyle name="Normal 2 3 3 22 8" xfId="41202" xr:uid="{00000000-0005-0000-0000-0000B4660000}"/>
    <cellStyle name="Normal 2 3 3 22 8 2" xfId="41203" xr:uid="{00000000-0005-0000-0000-0000B5660000}"/>
    <cellStyle name="Normal 2 3 3 22 9" xfId="41204" xr:uid="{00000000-0005-0000-0000-0000B6660000}"/>
    <cellStyle name="Normal 2 3 3 23" xfId="11017" xr:uid="{00000000-0005-0000-0000-0000B7660000}"/>
    <cellStyle name="Normal 2 3 3 23 10" xfId="41205" xr:uid="{00000000-0005-0000-0000-0000B8660000}"/>
    <cellStyle name="Normal 2 3 3 23 11" xfId="41206" xr:uid="{00000000-0005-0000-0000-0000B9660000}"/>
    <cellStyle name="Normal 2 3 3 23 2" xfId="11018" xr:uid="{00000000-0005-0000-0000-0000BA660000}"/>
    <cellStyle name="Normal 2 3 3 23 2 10" xfId="41207" xr:uid="{00000000-0005-0000-0000-0000BB660000}"/>
    <cellStyle name="Normal 2 3 3 23 2 2" xfId="11019" xr:uid="{00000000-0005-0000-0000-0000BC660000}"/>
    <cellStyle name="Normal 2 3 3 23 2 2 2" xfId="11020" xr:uid="{00000000-0005-0000-0000-0000BD660000}"/>
    <cellStyle name="Normal 2 3 3 23 2 2 2 2" xfId="11021" xr:uid="{00000000-0005-0000-0000-0000BE660000}"/>
    <cellStyle name="Normal 2 3 3 23 2 2 2 2 2" xfId="41208" xr:uid="{00000000-0005-0000-0000-0000BF660000}"/>
    <cellStyle name="Normal 2 3 3 23 2 2 2 3" xfId="11022" xr:uid="{00000000-0005-0000-0000-0000C0660000}"/>
    <cellStyle name="Normal 2 3 3 23 2 2 2 3 2" xfId="41209" xr:uid="{00000000-0005-0000-0000-0000C1660000}"/>
    <cellStyle name="Normal 2 3 3 23 2 2 2 4" xfId="41210" xr:uid="{00000000-0005-0000-0000-0000C2660000}"/>
    <cellStyle name="Normal 2 3 3 23 2 2 3" xfId="11023" xr:uid="{00000000-0005-0000-0000-0000C3660000}"/>
    <cellStyle name="Normal 2 3 3 23 2 2 3 2" xfId="41211" xr:uid="{00000000-0005-0000-0000-0000C4660000}"/>
    <cellStyle name="Normal 2 3 3 23 2 2 4" xfId="11024" xr:uid="{00000000-0005-0000-0000-0000C5660000}"/>
    <cellStyle name="Normal 2 3 3 23 2 2 4 2" xfId="41212" xr:uid="{00000000-0005-0000-0000-0000C6660000}"/>
    <cellStyle name="Normal 2 3 3 23 2 2 5" xfId="11025" xr:uid="{00000000-0005-0000-0000-0000C7660000}"/>
    <cellStyle name="Normal 2 3 3 23 2 2 5 2" xfId="41213" xr:uid="{00000000-0005-0000-0000-0000C8660000}"/>
    <cellStyle name="Normal 2 3 3 23 2 2 6" xfId="41214" xr:uid="{00000000-0005-0000-0000-0000C9660000}"/>
    <cellStyle name="Normal 2 3 3 23 2 2 6 2" xfId="41215" xr:uid="{00000000-0005-0000-0000-0000CA660000}"/>
    <cellStyle name="Normal 2 3 3 23 2 2 7" xfId="41216" xr:uid="{00000000-0005-0000-0000-0000CB660000}"/>
    <cellStyle name="Normal 2 3 3 23 2 3" xfId="11026" xr:uid="{00000000-0005-0000-0000-0000CC660000}"/>
    <cellStyle name="Normal 2 3 3 23 2 3 2" xfId="11027" xr:uid="{00000000-0005-0000-0000-0000CD660000}"/>
    <cellStyle name="Normal 2 3 3 23 2 3 2 2" xfId="41217" xr:uid="{00000000-0005-0000-0000-0000CE660000}"/>
    <cellStyle name="Normal 2 3 3 23 2 3 3" xfId="11028" xr:uid="{00000000-0005-0000-0000-0000CF660000}"/>
    <cellStyle name="Normal 2 3 3 23 2 3 3 2" xfId="41218" xr:uid="{00000000-0005-0000-0000-0000D0660000}"/>
    <cellStyle name="Normal 2 3 3 23 2 3 4" xfId="41219" xr:uid="{00000000-0005-0000-0000-0000D1660000}"/>
    <cellStyle name="Normal 2 3 3 23 2 4" xfId="11029" xr:uid="{00000000-0005-0000-0000-0000D2660000}"/>
    <cellStyle name="Normal 2 3 3 23 2 4 2" xfId="11030" xr:uid="{00000000-0005-0000-0000-0000D3660000}"/>
    <cellStyle name="Normal 2 3 3 23 2 4 2 2" xfId="41220" xr:uid="{00000000-0005-0000-0000-0000D4660000}"/>
    <cellStyle name="Normal 2 3 3 23 2 4 3" xfId="41221" xr:uid="{00000000-0005-0000-0000-0000D5660000}"/>
    <cellStyle name="Normal 2 3 3 23 2 5" xfId="11031" xr:uid="{00000000-0005-0000-0000-0000D6660000}"/>
    <cellStyle name="Normal 2 3 3 23 2 5 2" xfId="41222" xr:uid="{00000000-0005-0000-0000-0000D7660000}"/>
    <cellStyle name="Normal 2 3 3 23 2 6" xfId="11032" xr:uid="{00000000-0005-0000-0000-0000D8660000}"/>
    <cellStyle name="Normal 2 3 3 23 2 6 2" xfId="41223" xr:uid="{00000000-0005-0000-0000-0000D9660000}"/>
    <cellStyle name="Normal 2 3 3 23 2 7" xfId="41224" xr:uid="{00000000-0005-0000-0000-0000DA660000}"/>
    <cellStyle name="Normal 2 3 3 23 2 7 2" xfId="41225" xr:uid="{00000000-0005-0000-0000-0000DB660000}"/>
    <cellStyle name="Normal 2 3 3 23 2 8" xfId="41226" xr:uid="{00000000-0005-0000-0000-0000DC660000}"/>
    <cellStyle name="Normal 2 3 3 23 2 9" xfId="41227" xr:uid="{00000000-0005-0000-0000-0000DD660000}"/>
    <cellStyle name="Normal 2 3 3 23 3" xfId="11033" xr:uid="{00000000-0005-0000-0000-0000DE660000}"/>
    <cellStyle name="Normal 2 3 3 23 3 2" xfId="11034" xr:uid="{00000000-0005-0000-0000-0000DF660000}"/>
    <cellStyle name="Normal 2 3 3 23 3 2 2" xfId="11035" xr:uid="{00000000-0005-0000-0000-0000E0660000}"/>
    <cellStyle name="Normal 2 3 3 23 3 2 2 2" xfId="41228" xr:uid="{00000000-0005-0000-0000-0000E1660000}"/>
    <cellStyle name="Normal 2 3 3 23 3 2 3" xfId="11036" xr:uid="{00000000-0005-0000-0000-0000E2660000}"/>
    <cellStyle name="Normal 2 3 3 23 3 2 3 2" xfId="41229" xr:uid="{00000000-0005-0000-0000-0000E3660000}"/>
    <cellStyle name="Normal 2 3 3 23 3 2 4" xfId="41230" xr:uid="{00000000-0005-0000-0000-0000E4660000}"/>
    <cellStyle name="Normal 2 3 3 23 3 3" xfId="11037" xr:uid="{00000000-0005-0000-0000-0000E5660000}"/>
    <cellStyle name="Normal 2 3 3 23 3 3 2" xfId="41231" xr:uid="{00000000-0005-0000-0000-0000E6660000}"/>
    <cellStyle name="Normal 2 3 3 23 3 4" xfId="11038" xr:uid="{00000000-0005-0000-0000-0000E7660000}"/>
    <cellStyle name="Normal 2 3 3 23 3 4 2" xfId="41232" xr:uid="{00000000-0005-0000-0000-0000E8660000}"/>
    <cellStyle name="Normal 2 3 3 23 3 5" xfId="11039" xr:uid="{00000000-0005-0000-0000-0000E9660000}"/>
    <cellStyle name="Normal 2 3 3 23 3 5 2" xfId="41233" xr:uid="{00000000-0005-0000-0000-0000EA660000}"/>
    <cellStyle name="Normal 2 3 3 23 3 6" xfId="41234" xr:uid="{00000000-0005-0000-0000-0000EB660000}"/>
    <cellStyle name="Normal 2 3 3 23 3 6 2" xfId="41235" xr:uid="{00000000-0005-0000-0000-0000EC660000}"/>
    <cellStyle name="Normal 2 3 3 23 3 7" xfId="41236" xr:uid="{00000000-0005-0000-0000-0000ED660000}"/>
    <cellStyle name="Normal 2 3 3 23 4" xfId="11040" xr:uid="{00000000-0005-0000-0000-0000EE660000}"/>
    <cellStyle name="Normal 2 3 3 23 4 2" xfId="11041" xr:uid="{00000000-0005-0000-0000-0000EF660000}"/>
    <cellStyle name="Normal 2 3 3 23 4 2 2" xfId="41237" xr:uid="{00000000-0005-0000-0000-0000F0660000}"/>
    <cellStyle name="Normal 2 3 3 23 4 3" xfId="11042" xr:uid="{00000000-0005-0000-0000-0000F1660000}"/>
    <cellStyle name="Normal 2 3 3 23 4 3 2" xfId="41238" xr:uid="{00000000-0005-0000-0000-0000F2660000}"/>
    <cellStyle name="Normal 2 3 3 23 4 4" xfId="41239" xr:uid="{00000000-0005-0000-0000-0000F3660000}"/>
    <cellStyle name="Normal 2 3 3 23 5" xfId="11043" xr:uid="{00000000-0005-0000-0000-0000F4660000}"/>
    <cellStyle name="Normal 2 3 3 23 5 2" xfId="11044" xr:uid="{00000000-0005-0000-0000-0000F5660000}"/>
    <cellStyle name="Normal 2 3 3 23 5 2 2" xfId="41240" xr:uid="{00000000-0005-0000-0000-0000F6660000}"/>
    <cellStyle name="Normal 2 3 3 23 5 3" xfId="41241" xr:uid="{00000000-0005-0000-0000-0000F7660000}"/>
    <cellStyle name="Normal 2 3 3 23 6" xfId="11045" xr:uid="{00000000-0005-0000-0000-0000F8660000}"/>
    <cellStyle name="Normal 2 3 3 23 6 2" xfId="41242" xr:uid="{00000000-0005-0000-0000-0000F9660000}"/>
    <cellStyle name="Normal 2 3 3 23 7" xfId="11046" xr:uid="{00000000-0005-0000-0000-0000FA660000}"/>
    <cellStyle name="Normal 2 3 3 23 7 2" xfId="41243" xr:uid="{00000000-0005-0000-0000-0000FB660000}"/>
    <cellStyle name="Normal 2 3 3 23 8" xfId="41244" xr:uid="{00000000-0005-0000-0000-0000FC660000}"/>
    <cellStyle name="Normal 2 3 3 23 8 2" xfId="41245" xr:uid="{00000000-0005-0000-0000-0000FD660000}"/>
    <cellStyle name="Normal 2 3 3 23 9" xfId="41246" xr:uid="{00000000-0005-0000-0000-0000FE660000}"/>
    <cellStyle name="Normal 2 3 3 24" xfId="11047" xr:uid="{00000000-0005-0000-0000-0000FF660000}"/>
    <cellStyle name="Normal 2 3 3 24 10" xfId="41247" xr:uid="{00000000-0005-0000-0000-000000670000}"/>
    <cellStyle name="Normal 2 3 3 24 11" xfId="41248" xr:uid="{00000000-0005-0000-0000-000001670000}"/>
    <cellStyle name="Normal 2 3 3 24 2" xfId="11048" xr:uid="{00000000-0005-0000-0000-000002670000}"/>
    <cellStyle name="Normal 2 3 3 24 2 10" xfId="41249" xr:uid="{00000000-0005-0000-0000-000003670000}"/>
    <cellStyle name="Normal 2 3 3 24 2 2" xfId="11049" xr:uid="{00000000-0005-0000-0000-000004670000}"/>
    <cellStyle name="Normal 2 3 3 24 2 2 2" xfId="11050" xr:uid="{00000000-0005-0000-0000-000005670000}"/>
    <cellStyle name="Normal 2 3 3 24 2 2 2 2" xfId="11051" xr:uid="{00000000-0005-0000-0000-000006670000}"/>
    <cellStyle name="Normal 2 3 3 24 2 2 2 2 2" xfId="41250" xr:uid="{00000000-0005-0000-0000-000007670000}"/>
    <cellStyle name="Normal 2 3 3 24 2 2 2 3" xfId="11052" xr:uid="{00000000-0005-0000-0000-000008670000}"/>
    <cellStyle name="Normal 2 3 3 24 2 2 2 3 2" xfId="41251" xr:uid="{00000000-0005-0000-0000-000009670000}"/>
    <cellStyle name="Normal 2 3 3 24 2 2 2 4" xfId="41252" xr:uid="{00000000-0005-0000-0000-00000A670000}"/>
    <cellStyle name="Normal 2 3 3 24 2 2 3" xfId="11053" xr:uid="{00000000-0005-0000-0000-00000B670000}"/>
    <cellStyle name="Normal 2 3 3 24 2 2 3 2" xfId="41253" xr:uid="{00000000-0005-0000-0000-00000C670000}"/>
    <cellStyle name="Normal 2 3 3 24 2 2 4" xfId="11054" xr:uid="{00000000-0005-0000-0000-00000D670000}"/>
    <cellStyle name="Normal 2 3 3 24 2 2 4 2" xfId="41254" xr:uid="{00000000-0005-0000-0000-00000E670000}"/>
    <cellStyle name="Normal 2 3 3 24 2 2 5" xfId="11055" xr:uid="{00000000-0005-0000-0000-00000F670000}"/>
    <cellStyle name="Normal 2 3 3 24 2 2 5 2" xfId="41255" xr:uid="{00000000-0005-0000-0000-000010670000}"/>
    <cellStyle name="Normal 2 3 3 24 2 2 6" xfId="41256" xr:uid="{00000000-0005-0000-0000-000011670000}"/>
    <cellStyle name="Normal 2 3 3 24 2 2 6 2" xfId="41257" xr:uid="{00000000-0005-0000-0000-000012670000}"/>
    <cellStyle name="Normal 2 3 3 24 2 2 7" xfId="41258" xr:uid="{00000000-0005-0000-0000-000013670000}"/>
    <cellStyle name="Normal 2 3 3 24 2 3" xfId="11056" xr:uid="{00000000-0005-0000-0000-000014670000}"/>
    <cellStyle name="Normal 2 3 3 24 2 3 2" xfId="11057" xr:uid="{00000000-0005-0000-0000-000015670000}"/>
    <cellStyle name="Normal 2 3 3 24 2 3 2 2" xfId="41259" xr:uid="{00000000-0005-0000-0000-000016670000}"/>
    <cellStyle name="Normal 2 3 3 24 2 3 3" xfId="11058" xr:uid="{00000000-0005-0000-0000-000017670000}"/>
    <cellStyle name="Normal 2 3 3 24 2 3 3 2" xfId="41260" xr:uid="{00000000-0005-0000-0000-000018670000}"/>
    <cellStyle name="Normal 2 3 3 24 2 3 4" xfId="41261" xr:uid="{00000000-0005-0000-0000-000019670000}"/>
    <cellStyle name="Normal 2 3 3 24 2 4" xfId="11059" xr:uid="{00000000-0005-0000-0000-00001A670000}"/>
    <cellStyle name="Normal 2 3 3 24 2 4 2" xfId="11060" xr:uid="{00000000-0005-0000-0000-00001B670000}"/>
    <cellStyle name="Normal 2 3 3 24 2 4 2 2" xfId="41262" xr:uid="{00000000-0005-0000-0000-00001C670000}"/>
    <cellStyle name="Normal 2 3 3 24 2 4 3" xfId="41263" xr:uid="{00000000-0005-0000-0000-00001D670000}"/>
    <cellStyle name="Normal 2 3 3 24 2 5" xfId="11061" xr:uid="{00000000-0005-0000-0000-00001E670000}"/>
    <cellStyle name="Normal 2 3 3 24 2 5 2" xfId="41264" xr:uid="{00000000-0005-0000-0000-00001F670000}"/>
    <cellStyle name="Normal 2 3 3 24 2 6" xfId="11062" xr:uid="{00000000-0005-0000-0000-000020670000}"/>
    <cellStyle name="Normal 2 3 3 24 2 6 2" xfId="41265" xr:uid="{00000000-0005-0000-0000-000021670000}"/>
    <cellStyle name="Normal 2 3 3 24 2 7" xfId="41266" xr:uid="{00000000-0005-0000-0000-000022670000}"/>
    <cellStyle name="Normal 2 3 3 24 2 7 2" xfId="41267" xr:uid="{00000000-0005-0000-0000-000023670000}"/>
    <cellStyle name="Normal 2 3 3 24 2 8" xfId="41268" xr:uid="{00000000-0005-0000-0000-000024670000}"/>
    <cellStyle name="Normal 2 3 3 24 2 9" xfId="41269" xr:uid="{00000000-0005-0000-0000-000025670000}"/>
    <cellStyle name="Normal 2 3 3 24 3" xfId="11063" xr:uid="{00000000-0005-0000-0000-000026670000}"/>
    <cellStyle name="Normal 2 3 3 24 3 2" xfId="11064" xr:uid="{00000000-0005-0000-0000-000027670000}"/>
    <cellStyle name="Normal 2 3 3 24 3 2 2" xfId="11065" xr:uid="{00000000-0005-0000-0000-000028670000}"/>
    <cellStyle name="Normal 2 3 3 24 3 2 2 2" xfId="41270" xr:uid="{00000000-0005-0000-0000-000029670000}"/>
    <cellStyle name="Normal 2 3 3 24 3 2 3" xfId="11066" xr:uid="{00000000-0005-0000-0000-00002A670000}"/>
    <cellStyle name="Normal 2 3 3 24 3 2 3 2" xfId="41271" xr:uid="{00000000-0005-0000-0000-00002B670000}"/>
    <cellStyle name="Normal 2 3 3 24 3 2 4" xfId="41272" xr:uid="{00000000-0005-0000-0000-00002C670000}"/>
    <cellStyle name="Normal 2 3 3 24 3 3" xfId="11067" xr:uid="{00000000-0005-0000-0000-00002D670000}"/>
    <cellStyle name="Normal 2 3 3 24 3 3 2" xfId="41273" xr:uid="{00000000-0005-0000-0000-00002E670000}"/>
    <cellStyle name="Normal 2 3 3 24 3 4" xfId="11068" xr:uid="{00000000-0005-0000-0000-00002F670000}"/>
    <cellStyle name="Normal 2 3 3 24 3 4 2" xfId="41274" xr:uid="{00000000-0005-0000-0000-000030670000}"/>
    <cellStyle name="Normal 2 3 3 24 3 5" xfId="11069" xr:uid="{00000000-0005-0000-0000-000031670000}"/>
    <cellStyle name="Normal 2 3 3 24 3 5 2" xfId="41275" xr:uid="{00000000-0005-0000-0000-000032670000}"/>
    <cellStyle name="Normal 2 3 3 24 3 6" xfId="41276" xr:uid="{00000000-0005-0000-0000-000033670000}"/>
    <cellStyle name="Normal 2 3 3 24 3 6 2" xfId="41277" xr:uid="{00000000-0005-0000-0000-000034670000}"/>
    <cellStyle name="Normal 2 3 3 24 3 7" xfId="41278" xr:uid="{00000000-0005-0000-0000-000035670000}"/>
    <cellStyle name="Normal 2 3 3 24 4" xfId="11070" xr:uid="{00000000-0005-0000-0000-000036670000}"/>
    <cellStyle name="Normal 2 3 3 24 4 2" xfId="11071" xr:uid="{00000000-0005-0000-0000-000037670000}"/>
    <cellStyle name="Normal 2 3 3 24 4 2 2" xfId="41279" xr:uid="{00000000-0005-0000-0000-000038670000}"/>
    <cellStyle name="Normal 2 3 3 24 4 3" xfId="11072" xr:uid="{00000000-0005-0000-0000-000039670000}"/>
    <cellStyle name="Normal 2 3 3 24 4 3 2" xfId="41280" xr:uid="{00000000-0005-0000-0000-00003A670000}"/>
    <cellStyle name="Normal 2 3 3 24 4 4" xfId="41281" xr:uid="{00000000-0005-0000-0000-00003B670000}"/>
    <cellStyle name="Normal 2 3 3 24 5" xfId="11073" xr:uid="{00000000-0005-0000-0000-00003C670000}"/>
    <cellStyle name="Normal 2 3 3 24 5 2" xfId="11074" xr:uid="{00000000-0005-0000-0000-00003D670000}"/>
    <cellStyle name="Normal 2 3 3 24 5 2 2" xfId="41282" xr:uid="{00000000-0005-0000-0000-00003E670000}"/>
    <cellStyle name="Normal 2 3 3 24 5 3" xfId="41283" xr:uid="{00000000-0005-0000-0000-00003F670000}"/>
    <cellStyle name="Normal 2 3 3 24 6" xfId="11075" xr:uid="{00000000-0005-0000-0000-000040670000}"/>
    <cellStyle name="Normal 2 3 3 24 6 2" xfId="41284" xr:uid="{00000000-0005-0000-0000-000041670000}"/>
    <cellStyle name="Normal 2 3 3 24 7" xfId="11076" xr:uid="{00000000-0005-0000-0000-000042670000}"/>
    <cellStyle name="Normal 2 3 3 24 7 2" xfId="41285" xr:uid="{00000000-0005-0000-0000-000043670000}"/>
    <cellStyle name="Normal 2 3 3 24 8" xfId="41286" xr:uid="{00000000-0005-0000-0000-000044670000}"/>
    <cellStyle name="Normal 2 3 3 24 8 2" xfId="41287" xr:uid="{00000000-0005-0000-0000-000045670000}"/>
    <cellStyle name="Normal 2 3 3 24 9" xfId="41288" xr:uid="{00000000-0005-0000-0000-000046670000}"/>
    <cellStyle name="Normal 2 3 3 25" xfId="11077" xr:uid="{00000000-0005-0000-0000-000047670000}"/>
    <cellStyle name="Normal 2 3 3 25 10" xfId="41289" xr:uid="{00000000-0005-0000-0000-000048670000}"/>
    <cellStyle name="Normal 2 3 3 25 11" xfId="41290" xr:uid="{00000000-0005-0000-0000-000049670000}"/>
    <cellStyle name="Normal 2 3 3 25 2" xfId="11078" xr:uid="{00000000-0005-0000-0000-00004A670000}"/>
    <cellStyle name="Normal 2 3 3 25 2 10" xfId="41291" xr:uid="{00000000-0005-0000-0000-00004B670000}"/>
    <cellStyle name="Normal 2 3 3 25 2 2" xfId="11079" xr:uid="{00000000-0005-0000-0000-00004C670000}"/>
    <cellStyle name="Normal 2 3 3 25 2 2 2" xfId="11080" xr:uid="{00000000-0005-0000-0000-00004D670000}"/>
    <cellStyle name="Normal 2 3 3 25 2 2 2 2" xfId="11081" xr:uid="{00000000-0005-0000-0000-00004E670000}"/>
    <cellStyle name="Normal 2 3 3 25 2 2 2 2 2" xfId="41292" xr:uid="{00000000-0005-0000-0000-00004F670000}"/>
    <cellStyle name="Normal 2 3 3 25 2 2 2 3" xfId="11082" xr:uid="{00000000-0005-0000-0000-000050670000}"/>
    <cellStyle name="Normal 2 3 3 25 2 2 2 3 2" xfId="41293" xr:uid="{00000000-0005-0000-0000-000051670000}"/>
    <cellStyle name="Normal 2 3 3 25 2 2 2 4" xfId="41294" xr:uid="{00000000-0005-0000-0000-000052670000}"/>
    <cellStyle name="Normal 2 3 3 25 2 2 3" xfId="11083" xr:uid="{00000000-0005-0000-0000-000053670000}"/>
    <cellStyle name="Normal 2 3 3 25 2 2 3 2" xfId="41295" xr:uid="{00000000-0005-0000-0000-000054670000}"/>
    <cellStyle name="Normal 2 3 3 25 2 2 4" xfId="11084" xr:uid="{00000000-0005-0000-0000-000055670000}"/>
    <cellStyle name="Normal 2 3 3 25 2 2 4 2" xfId="41296" xr:uid="{00000000-0005-0000-0000-000056670000}"/>
    <cellStyle name="Normal 2 3 3 25 2 2 5" xfId="11085" xr:uid="{00000000-0005-0000-0000-000057670000}"/>
    <cellStyle name="Normal 2 3 3 25 2 2 5 2" xfId="41297" xr:uid="{00000000-0005-0000-0000-000058670000}"/>
    <cellStyle name="Normal 2 3 3 25 2 2 6" xfId="41298" xr:uid="{00000000-0005-0000-0000-000059670000}"/>
    <cellStyle name="Normal 2 3 3 25 2 2 6 2" xfId="41299" xr:uid="{00000000-0005-0000-0000-00005A670000}"/>
    <cellStyle name="Normal 2 3 3 25 2 2 7" xfId="41300" xr:uid="{00000000-0005-0000-0000-00005B670000}"/>
    <cellStyle name="Normal 2 3 3 25 2 3" xfId="11086" xr:uid="{00000000-0005-0000-0000-00005C670000}"/>
    <cellStyle name="Normal 2 3 3 25 2 3 2" xfId="11087" xr:uid="{00000000-0005-0000-0000-00005D670000}"/>
    <cellStyle name="Normal 2 3 3 25 2 3 2 2" xfId="41301" xr:uid="{00000000-0005-0000-0000-00005E670000}"/>
    <cellStyle name="Normal 2 3 3 25 2 3 3" xfId="11088" xr:uid="{00000000-0005-0000-0000-00005F670000}"/>
    <cellStyle name="Normal 2 3 3 25 2 3 3 2" xfId="41302" xr:uid="{00000000-0005-0000-0000-000060670000}"/>
    <cellStyle name="Normal 2 3 3 25 2 3 4" xfId="41303" xr:uid="{00000000-0005-0000-0000-000061670000}"/>
    <cellStyle name="Normal 2 3 3 25 2 4" xfId="11089" xr:uid="{00000000-0005-0000-0000-000062670000}"/>
    <cellStyle name="Normal 2 3 3 25 2 4 2" xfId="11090" xr:uid="{00000000-0005-0000-0000-000063670000}"/>
    <cellStyle name="Normal 2 3 3 25 2 4 2 2" xfId="41304" xr:uid="{00000000-0005-0000-0000-000064670000}"/>
    <cellStyle name="Normal 2 3 3 25 2 4 3" xfId="41305" xr:uid="{00000000-0005-0000-0000-000065670000}"/>
    <cellStyle name="Normal 2 3 3 25 2 5" xfId="11091" xr:uid="{00000000-0005-0000-0000-000066670000}"/>
    <cellStyle name="Normal 2 3 3 25 2 5 2" xfId="41306" xr:uid="{00000000-0005-0000-0000-000067670000}"/>
    <cellStyle name="Normal 2 3 3 25 2 6" xfId="11092" xr:uid="{00000000-0005-0000-0000-000068670000}"/>
    <cellStyle name="Normal 2 3 3 25 2 6 2" xfId="41307" xr:uid="{00000000-0005-0000-0000-000069670000}"/>
    <cellStyle name="Normal 2 3 3 25 2 7" xfId="41308" xr:uid="{00000000-0005-0000-0000-00006A670000}"/>
    <cellStyle name="Normal 2 3 3 25 2 7 2" xfId="41309" xr:uid="{00000000-0005-0000-0000-00006B670000}"/>
    <cellStyle name="Normal 2 3 3 25 2 8" xfId="41310" xr:uid="{00000000-0005-0000-0000-00006C670000}"/>
    <cellStyle name="Normal 2 3 3 25 2 9" xfId="41311" xr:uid="{00000000-0005-0000-0000-00006D670000}"/>
    <cellStyle name="Normal 2 3 3 25 3" xfId="11093" xr:uid="{00000000-0005-0000-0000-00006E670000}"/>
    <cellStyle name="Normal 2 3 3 25 3 2" xfId="11094" xr:uid="{00000000-0005-0000-0000-00006F670000}"/>
    <cellStyle name="Normal 2 3 3 25 3 2 2" xfId="11095" xr:uid="{00000000-0005-0000-0000-000070670000}"/>
    <cellStyle name="Normal 2 3 3 25 3 2 2 2" xfId="41312" xr:uid="{00000000-0005-0000-0000-000071670000}"/>
    <cellStyle name="Normal 2 3 3 25 3 2 3" xfId="11096" xr:uid="{00000000-0005-0000-0000-000072670000}"/>
    <cellStyle name="Normal 2 3 3 25 3 2 3 2" xfId="41313" xr:uid="{00000000-0005-0000-0000-000073670000}"/>
    <cellStyle name="Normal 2 3 3 25 3 2 4" xfId="41314" xr:uid="{00000000-0005-0000-0000-000074670000}"/>
    <cellStyle name="Normal 2 3 3 25 3 3" xfId="11097" xr:uid="{00000000-0005-0000-0000-000075670000}"/>
    <cellStyle name="Normal 2 3 3 25 3 3 2" xfId="41315" xr:uid="{00000000-0005-0000-0000-000076670000}"/>
    <cellStyle name="Normal 2 3 3 25 3 4" xfId="11098" xr:uid="{00000000-0005-0000-0000-000077670000}"/>
    <cellStyle name="Normal 2 3 3 25 3 4 2" xfId="41316" xr:uid="{00000000-0005-0000-0000-000078670000}"/>
    <cellStyle name="Normal 2 3 3 25 3 5" xfId="11099" xr:uid="{00000000-0005-0000-0000-000079670000}"/>
    <cellStyle name="Normal 2 3 3 25 3 5 2" xfId="41317" xr:uid="{00000000-0005-0000-0000-00007A670000}"/>
    <cellStyle name="Normal 2 3 3 25 3 6" xfId="41318" xr:uid="{00000000-0005-0000-0000-00007B670000}"/>
    <cellStyle name="Normal 2 3 3 25 3 6 2" xfId="41319" xr:uid="{00000000-0005-0000-0000-00007C670000}"/>
    <cellStyle name="Normal 2 3 3 25 3 7" xfId="41320" xr:uid="{00000000-0005-0000-0000-00007D670000}"/>
    <cellStyle name="Normal 2 3 3 25 4" xfId="11100" xr:uid="{00000000-0005-0000-0000-00007E670000}"/>
    <cellStyle name="Normal 2 3 3 25 4 2" xfId="11101" xr:uid="{00000000-0005-0000-0000-00007F670000}"/>
    <cellStyle name="Normal 2 3 3 25 4 2 2" xfId="41321" xr:uid="{00000000-0005-0000-0000-000080670000}"/>
    <cellStyle name="Normal 2 3 3 25 4 3" xfId="11102" xr:uid="{00000000-0005-0000-0000-000081670000}"/>
    <cellStyle name="Normal 2 3 3 25 4 3 2" xfId="41322" xr:uid="{00000000-0005-0000-0000-000082670000}"/>
    <cellStyle name="Normal 2 3 3 25 4 4" xfId="41323" xr:uid="{00000000-0005-0000-0000-000083670000}"/>
    <cellStyle name="Normal 2 3 3 25 5" xfId="11103" xr:uid="{00000000-0005-0000-0000-000084670000}"/>
    <cellStyle name="Normal 2 3 3 25 5 2" xfId="11104" xr:uid="{00000000-0005-0000-0000-000085670000}"/>
    <cellStyle name="Normal 2 3 3 25 5 2 2" xfId="41324" xr:uid="{00000000-0005-0000-0000-000086670000}"/>
    <cellStyle name="Normal 2 3 3 25 5 3" xfId="41325" xr:uid="{00000000-0005-0000-0000-000087670000}"/>
    <cellStyle name="Normal 2 3 3 25 6" xfId="11105" xr:uid="{00000000-0005-0000-0000-000088670000}"/>
    <cellStyle name="Normal 2 3 3 25 6 2" xfId="41326" xr:uid="{00000000-0005-0000-0000-000089670000}"/>
    <cellStyle name="Normal 2 3 3 25 7" xfId="11106" xr:uid="{00000000-0005-0000-0000-00008A670000}"/>
    <cellStyle name="Normal 2 3 3 25 7 2" xfId="41327" xr:uid="{00000000-0005-0000-0000-00008B670000}"/>
    <cellStyle name="Normal 2 3 3 25 8" xfId="41328" xr:uid="{00000000-0005-0000-0000-00008C670000}"/>
    <cellStyle name="Normal 2 3 3 25 8 2" xfId="41329" xr:uid="{00000000-0005-0000-0000-00008D670000}"/>
    <cellStyle name="Normal 2 3 3 25 9" xfId="41330" xr:uid="{00000000-0005-0000-0000-00008E670000}"/>
    <cellStyle name="Normal 2 3 3 26" xfId="11107" xr:uid="{00000000-0005-0000-0000-00008F670000}"/>
    <cellStyle name="Normal 2 3 3 26 10" xfId="41331" xr:uid="{00000000-0005-0000-0000-000090670000}"/>
    <cellStyle name="Normal 2 3 3 26 11" xfId="41332" xr:uid="{00000000-0005-0000-0000-000091670000}"/>
    <cellStyle name="Normal 2 3 3 26 2" xfId="11108" xr:uid="{00000000-0005-0000-0000-000092670000}"/>
    <cellStyle name="Normal 2 3 3 26 2 10" xfId="41333" xr:uid="{00000000-0005-0000-0000-000093670000}"/>
    <cellStyle name="Normal 2 3 3 26 2 2" xfId="11109" xr:uid="{00000000-0005-0000-0000-000094670000}"/>
    <cellStyle name="Normal 2 3 3 26 2 2 2" xfId="11110" xr:uid="{00000000-0005-0000-0000-000095670000}"/>
    <cellStyle name="Normal 2 3 3 26 2 2 2 2" xfId="11111" xr:uid="{00000000-0005-0000-0000-000096670000}"/>
    <cellStyle name="Normal 2 3 3 26 2 2 2 2 2" xfId="41334" xr:uid="{00000000-0005-0000-0000-000097670000}"/>
    <cellStyle name="Normal 2 3 3 26 2 2 2 3" xfId="11112" xr:uid="{00000000-0005-0000-0000-000098670000}"/>
    <cellStyle name="Normal 2 3 3 26 2 2 2 3 2" xfId="41335" xr:uid="{00000000-0005-0000-0000-000099670000}"/>
    <cellStyle name="Normal 2 3 3 26 2 2 2 4" xfId="41336" xr:uid="{00000000-0005-0000-0000-00009A670000}"/>
    <cellStyle name="Normal 2 3 3 26 2 2 3" xfId="11113" xr:uid="{00000000-0005-0000-0000-00009B670000}"/>
    <cellStyle name="Normal 2 3 3 26 2 2 3 2" xfId="41337" xr:uid="{00000000-0005-0000-0000-00009C670000}"/>
    <cellStyle name="Normal 2 3 3 26 2 2 4" xfId="11114" xr:uid="{00000000-0005-0000-0000-00009D670000}"/>
    <cellStyle name="Normal 2 3 3 26 2 2 4 2" xfId="41338" xr:uid="{00000000-0005-0000-0000-00009E670000}"/>
    <cellStyle name="Normal 2 3 3 26 2 2 5" xfId="11115" xr:uid="{00000000-0005-0000-0000-00009F670000}"/>
    <cellStyle name="Normal 2 3 3 26 2 2 5 2" xfId="41339" xr:uid="{00000000-0005-0000-0000-0000A0670000}"/>
    <cellStyle name="Normal 2 3 3 26 2 2 6" xfId="41340" xr:uid="{00000000-0005-0000-0000-0000A1670000}"/>
    <cellStyle name="Normal 2 3 3 26 2 2 6 2" xfId="41341" xr:uid="{00000000-0005-0000-0000-0000A2670000}"/>
    <cellStyle name="Normal 2 3 3 26 2 2 7" xfId="41342" xr:uid="{00000000-0005-0000-0000-0000A3670000}"/>
    <cellStyle name="Normal 2 3 3 26 2 3" xfId="11116" xr:uid="{00000000-0005-0000-0000-0000A4670000}"/>
    <cellStyle name="Normal 2 3 3 26 2 3 2" xfId="11117" xr:uid="{00000000-0005-0000-0000-0000A5670000}"/>
    <cellStyle name="Normal 2 3 3 26 2 3 2 2" xfId="41343" xr:uid="{00000000-0005-0000-0000-0000A6670000}"/>
    <cellStyle name="Normal 2 3 3 26 2 3 3" xfId="11118" xr:uid="{00000000-0005-0000-0000-0000A7670000}"/>
    <cellStyle name="Normal 2 3 3 26 2 3 3 2" xfId="41344" xr:uid="{00000000-0005-0000-0000-0000A8670000}"/>
    <cellStyle name="Normal 2 3 3 26 2 3 4" xfId="41345" xr:uid="{00000000-0005-0000-0000-0000A9670000}"/>
    <cellStyle name="Normal 2 3 3 26 2 4" xfId="11119" xr:uid="{00000000-0005-0000-0000-0000AA670000}"/>
    <cellStyle name="Normal 2 3 3 26 2 4 2" xfId="11120" xr:uid="{00000000-0005-0000-0000-0000AB670000}"/>
    <cellStyle name="Normal 2 3 3 26 2 4 2 2" xfId="41346" xr:uid="{00000000-0005-0000-0000-0000AC670000}"/>
    <cellStyle name="Normal 2 3 3 26 2 4 3" xfId="41347" xr:uid="{00000000-0005-0000-0000-0000AD670000}"/>
    <cellStyle name="Normal 2 3 3 26 2 5" xfId="11121" xr:uid="{00000000-0005-0000-0000-0000AE670000}"/>
    <cellStyle name="Normal 2 3 3 26 2 5 2" xfId="41348" xr:uid="{00000000-0005-0000-0000-0000AF670000}"/>
    <cellStyle name="Normal 2 3 3 26 2 6" xfId="11122" xr:uid="{00000000-0005-0000-0000-0000B0670000}"/>
    <cellStyle name="Normal 2 3 3 26 2 6 2" xfId="41349" xr:uid="{00000000-0005-0000-0000-0000B1670000}"/>
    <cellStyle name="Normal 2 3 3 26 2 7" xfId="41350" xr:uid="{00000000-0005-0000-0000-0000B2670000}"/>
    <cellStyle name="Normal 2 3 3 26 2 7 2" xfId="41351" xr:uid="{00000000-0005-0000-0000-0000B3670000}"/>
    <cellStyle name="Normal 2 3 3 26 2 8" xfId="41352" xr:uid="{00000000-0005-0000-0000-0000B4670000}"/>
    <cellStyle name="Normal 2 3 3 26 2 9" xfId="41353" xr:uid="{00000000-0005-0000-0000-0000B5670000}"/>
    <cellStyle name="Normal 2 3 3 26 3" xfId="11123" xr:uid="{00000000-0005-0000-0000-0000B6670000}"/>
    <cellStyle name="Normal 2 3 3 26 3 2" xfId="11124" xr:uid="{00000000-0005-0000-0000-0000B7670000}"/>
    <cellStyle name="Normal 2 3 3 26 3 2 2" xfId="11125" xr:uid="{00000000-0005-0000-0000-0000B8670000}"/>
    <cellStyle name="Normal 2 3 3 26 3 2 2 2" xfId="41354" xr:uid="{00000000-0005-0000-0000-0000B9670000}"/>
    <cellStyle name="Normal 2 3 3 26 3 2 3" xfId="11126" xr:uid="{00000000-0005-0000-0000-0000BA670000}"/>
    <cellStyle name="Normal 2 3 3 26 3 2 3 2" xfId="41355" xr:uid="{00000000-0005-0000-0000-0000BB670000}"/>
    <cellStyle name="Normal 2 3 3 26 3 2 4" xfId="41356" xr:uid="{00000000-0005-0000-0000-0000BC670000}"/>
    <cellStyle name="Normal 2 3 3 26 3 3" xfId="11127" xr:uid="{00000000-0005-0000-0000-0000BD670000}"/>
    <cellStyle name="Normal 2 3 3 26 3 3 2" xfId="41357" xr:uid="{00000000-0005-0000-0000-0000BE670000}"/>
    <cellStyle name="Normal 2 3 3 26 3 4" xfId="11128" xr:uid="{00000000-0005-0000-0000-0000BF670000}"/>
    <cellStyle name="Normal 2 3 3 26 3 4 2" xfId="41358" xr:uid="{00000000-0005-0000-0000-0000C0670000}"/>
    <cellStyle name="Normal 2 3 3 26 3 5" xfId="11129" xr:uid="{00000000-0005-0000-0000-0000C1670000}"/>
    <cellStyle name="Normal 2 3 3 26 3 5 2" xfId="41359" xr:uid="{00000000-0005-0000-0000-0000C2670000}"/>
    <cellStyle name="Normal 2 3 3 26 3 6" xfId="41360" xr:uid="{00000000-0005-0000-0000-0000C3670000}"/>
    <cellStyle name="Normal 2 3 3 26 3 6 2" xfId="41361" xr:uid="{00000000-0005-0000-0000-0000C4670000}"/>
    <cellStyle name="Normal 2 3 3 26 3 7" xfId="41362" xr:uid="{00000000-0005-0000-0000-0000C5670000}"/>
    <cellStyle name="Normal 2 3 3 26 4" xfId="11130" xr:uid="{00000000-0005-0000-0000-0000C6670000}"/>
    <cellStyle name="Normal 2 3 3 26 4 2" xfId="11131" xr:uid="{00000000-0005-0000-0000-0000C7670000}"/>
    <cellStyle name="Normal 2 3 3 26 4 2 2" xfId="41363" xr:uid="{00000000-0005-0000-0000-0000C8670000}"/>
    <cellStyle name="Normal 2 3 3 26 4 3" xfId="11132" xr:uid="{00000000-0005-0000-0000-0000C9670000}"/>
    <cellStyle name="Normal 2 3 3 26 4 3 2" xfId="41364" xr:uid="{00000000-0005-0000-0000-0000CA670000}"/>
    <cellStyle name="Normal 2 3 3 26 4 4" xfId="41365" xr:uid="{00000000-0005-0000-0000-0000CB670000}"/>
    <cellStyle name="Normal 2 3 3 26 5" xfId="11133" xr:uid="{00000000-0005-0000-0000-0000CC670000}"/>
    <cellStyle name="Normal 2 3 3 26 5 2" xfId="11134" xr:uid="{00000000-0005-0000-0000-0000CD670000}"/>
    <cellStyle name="Normal 2 3 3 26 5 2 2" xfId="41366" xr:uid="{00000000-0005-0000-0000-0000CE670000}"/>
    <cellStyle name="Normal 2 3 3 26 5 3" xfId="41367" xr:uid="{00000000-0005-0000-0000-0000CF670000}"/>
    <cellStyle name="Normal 2 3 3 26 6" xfId="11135" xr:uid="{00000000-0005-0000-0000-0000D0670000}"/>
    <cellStyle name="Normal 2 3 3 26 6 2" xfId="41368" xr:uid="{00000000-0005-0000-0000-0000D1670000}"/>
    <cellStyle name="Normal 2 3 3 26 7" xfId="11136" xr:uid="{00000000-0005-0000-0000-0000D2670000}"/>
    <cellStyle name="Normal 2 3 3 26 7 2" xfId="41369" xr:uid="{00000000-0005-0000-0000-0000D3670000}"/>
    <cellStyle name="Normal 2 3 3 26 8" xfId="41370" xr:uid="{00000000-0005-0000-0000-0000D4670000}"/>
    <cellStyle name="Normal 2 3 3 26 8 2" xfId="41371" xr:uid="{00000000-0005-0000-0000-0000D5670000}"/>
    <cellStyle name="Normal 2 3 3 26 9" xfId="41372" xr:uid="{00000000-0005-0000-0000-0000D6670000}"/>
    <cellStyle name="Normal 2 3 3 27" xfId="11137" xr:uid="{00000000-0005-0000-0000-0000D7670000}"/>
    <cellStyle name="Normal 2 3 3 27 10" xfId="41373" xr:uid="{00000000-0005-0000-0000-0000D8670000}"/>
    <cellStyle name="Normal 2 3 3 27 11" xfId="41374" xr:uid="{00000000-0005-0000-0000-0000D9670000}"/>
    <cellStyle name="Normal 2 3 3 27 2" xfId="11138" xr:uid="{00000000-0005-0000-0000-0000DA670000}"/>
    <cellStyle name="Normal 2 3 3 27 2 10" xfId="41375" xr:uid="{00000000-0005-0000-0000-0000DB670000}"/>
    <cellStyle name="Normal 2 3 3 27 2 2" xfId="11139" xr:uid="{00000000-0005-0000-0000-0000DC670000}"/>
    <cellStyle name="Normal 2 3 3 27 2 2 2" xfId="11140" xr:uid="{00000000-0005-0000-0000-0000DD670000}"/>
    <cellStyle name="Normal 2 3 3 27 2 2 2 2" xfId="11141" xr:uid="{00000000-0005-0000-0000-0000DE670000}"/>
    <cellStyle name="Normal 2 3 3 27 2 2 2 2 2" xfId="41376" xr:uid="{00000000-0005-0000-0000-0000DF670000}"/>
    <cellStyle name="Normal 2 3 3 27 2 2 2 3" xfId="11142" xr:uid="{00000000-0005-0000-0000-0000E0670000}"/>
    <cellStyle name="Normal 2 3 3 27 2 2 2 3 2" xfId="41377" xr:uid="{00000000-0005-0000-0000-0000E1670000}"/>
    <cellStyle name="Normal 2 3 3 27 2 2 2 4" xfId="41378" xr:uid="{00000000-0005-0000-0000-0000E2670000}"/>
    <cellStyle name="Normal 2 3 3 27 2 2 3" xfId="11143" xr:uid="{00000000-0005-0000-0000-0000E3670000}"/>
    <cellStyle name="Normal 2 3 3 27 2 2 3 2" xfId="41379" xr:uid="{00000000-0005-0000-0000-0000E4670000}"/>
    <cellStyle name="Normal 2 3 3 27 2 2 4" xfId="11144" xr:uid="{00000000-0005-0000-0000-0000E5670000}"/>
    <cellStyle name="Normal 2 3 3 27 2 2 4 2" xfId="41380" xr:uid="{00000000-0005-0000-0000-0000E6670000}"/>
    <cellStyle name="Normal 2 3 3 27 2 2 5" xfId="11145" xr:uid="{00000000-0005-0000-0000-0000E7670000}"/>
    <cellStyle name="Normal 2 3 3 27 2 2 5 2" xfId="41381" xr:uid="{00000000-0005-0000-0000-0000E8670000}"/>
    <cellStyle name="Normal 2 3 3 27 2 2 6" xfId="41382" xr:uid="{00000000-0005-0000-0000-0000E9670000}"/>
    <cellStyle name="Normal 2 3 3 27 2 2 6 2" xfId="41383" xr:uid="{00000000-0005-0000-0000-0000EA670000}"/>
    <cellStyle name="Normal 2 3 3 27 2 2 7" xfId="41384" xr:uid="{00000000-0005-0000-0000-0000EB670000}"/>
    <cellStyle name="Normal 2 3 3 27 2 3" xfId="11146" xr:uid="{00000000-0005-0000-0000-0000EC670000}"/>
    <cellStyle name="Normal 2 3 3 27 2 3 2" xfId="11147" xr:uid="{00000000-0005-0000-0000-0000ED670000}"/>
    <cellStyle name="Normal 2 3 3 27 2 3 2 2" xfId="41385" xr:uid="{00000000-0005-0000-0000-0000EE670000}"/>
    <cellStyle name="Normal 2 3 3 27 2 3 3" xfId="11148" xr:uid="{00000000-0005-0000-0000-0000EF670000}"/>
    <cellStyle name="Normal 2 3 3 27 2 3 3 2" xfId="41386" xr:uid="{00000000-0005-0000-0000-0000F0670000}"/>
    <cellStyle name="Normal 2 3 3 27 2 3 4" xfId="41387" xr:uid="{00000000-0005-0000-0000-0000F1670000}"/>
    <cellStyle name="Normal 2 3 3 27 2 4" xfId="11149" xr:uid="{00000000-0005-0000-0000-0000F2670000}"/>
    <cellStyle name="Normal 2 3 3 27 2 4 2" xfId="11150" xr:uid="{00000000-0005-0000-0000-0000F3670000}"/>
    <cellStyle name="Normal 2 3 3 27 2 4 2 2" xfId="41388" xr:uid="{00000000-0005-0000-0000-0000F4670000}"/>
    <cellStyle name="Normal 2 3 3 27 2 4 3" xfId="41389" xr:uid="{00000000-0005-0000-0000-0000F5670000}"/>
    <cellStyle name="Normal 2 3 3 27 2 5" xfId="11151" xr:uid="{00000000-0005-0000-0000-0000F6670000}"/>
    <cellStyle name="Normal 2 3 3 27 2 5 2" xfId="41390" xr:uid="{00000000-0005-0000-0000-0000F7670000}"/>
    <cellStyle name="Normal 2 3 3 27 2 6" xfId="11152" xr:uid="{00000000-0005-0000-0000-0000F8670000}"/>
    <cellStyle name="Normal 2 3 3 27 2 6 2" xfId="41391" xr:uid="{00000000-0005-0000-0000-0000F9670000}"/>
    <cellStyle name="Normal 2 3 3 27 2 7" xfId="41392" xr:uid="{00000000-0005-0000-0000-0000FA670000}"/>
    <cellStyle name="Normal 2 3 3 27 2 7 2" xfId="41393" xr:uid="{00000000-0005-0000-0000-0000FB670000}"/>
    <cellStyle name="Normal 2 3 3 27 2 8" xfId="41394" xr:uid="{00000000-0005-0000-0000-0000FC670000}"/>
    <cellStyle name="Normal 2 3 3 27 2 9" xfId="41395" xr:uid="{00000000-0005-0000-0000-0000FD670000}"/>
    <cellStyle name="Normal 2 3 3 27 3" xfId="11153" xr:uid="{00000000-0005-0000-0000-0000FE670000}"/>
    <cellStyle name="Normal 2 3 3 27 3 2" xfId="11154" xr:uid="{00000000-0005-0000-0000-0000FF670000}"/>
    <cellStyle name="Normal 2 3 3 27 3 2 2" xfId="11155" xr:uid="{00000000-0005-0000-0000-000000680000}"/>
    <cellStyle name="Normal 2 3 3 27 3 2 2 2" xfId="41396" xr:uid="{00000000-0005-0000-0000-000001680000}"/>
    <cellStyle name="Normal 2 3 3 27 3 2 3" xfId="11156" xr:uid="{00000000-0005-0000-0000-000002680000}"/>
    <cellStyle name="Normal 2 3 3 27 3 2 3 2" xfId="41397" xr:uid="{00000000-0005-0000-0000-000003680000}"/>
    <cellStyle name="Normal 2 3 3 27 3 2 4" xfId="41398" xr:uid="{00000000-0005-0000-0000-000004680000}"/>
    <cellStyle name="Normal 2 3 3 27 3 3" xfId="11157" xr:uid="{00000000-0005-0000-0000-000005680000}"/>
    <cellStyle name="Normal 2 3 3 27 3 3 2" xfId="41399" xr:uid="{00000000-0005-0000-0000-000006680000}"/>
    <cellStyle name="Normal 2 3 3 27 3 4" xfId="11158" xr:uid="{00000000-0005-0000-0000-000007680000}"/>
    <cellStyle name="Normal 2 3 3 27 3 4 2" xfId="41400" xr:uid="{00000000-0005-0000-0000-000008680000}"/>
    <cellStyle name="Normal 2 3 3 27 3 5" xfId="11159" xr:uid="{00000000-0005-0000-0000-000009680000}"/>
    <cellStyle name="Normal 2 3 3 27 3 5 2" xfId="41401" xr:uid="{00000000-0005-0000-0000-00000A680000}"/>
    <cellStyle name="Normal 2 3 3 27 3 6" xfId="41402" xr:uid="{00000000-0005-0000-0000-00000B680000}"/>
    <cellStyle name="Normal 2 3 3 27 3 6 2" xfId="41403" xr:uid="{00000000-0005-0000-0000-00000C680000}"/>
    <cellStyle name="Normal 2 3 3 27 3 7" xfId="41404" xr:uid="{00000000-0005-0000-0000-00000D680000}"/>
    <cellStyle name="Normal 2 3 3 27 4" xfId="11160" xr:uid="{00000000-0005-0000-0000-00000E680000}"/>
    <cellStyle name="Normal 2 3 3 27 4 2" xfId="11161" xr:uid="{00000000-0005-0000-0000-00000F680000}"/>
    <cellStyle name="Normal 2 3 3 27 4 2 2" xfId="41405" xr:uid="{00000000-0005-0000-0000-000010680000}"/>
    <cellStyle name="Normal 2 3 3 27 4 3" xfId="11162" xr:uid="{00000000-0005-0000-0000-000011680000}"/>
    <cellStyle name="Normal 2 3 3 27 4 3 2" xfId="41406" xr:uid="{00000000-0005-0000-0000-000012680000}"/>
    <cellStyle name="Normal 2 3 3 27 4 4" xfId="41407" xr:uid="{00000000-0005-0000-0000-000013680000}"/>
    <cellStyle name="Normal 2 3 3 27 5" xfId="11163" xr:uid="{00000000-0005-0000-0000-000014680000}"/>
    <cellStyle name="Normal 2 3 3 27 5 2" xfId="11164" xr:uid="{00000000-0005-0000-0000-000015680000}"/>
    <cellStyle name="Normal 2 3 3 27 5 2 2" xfId="41408" xr:uid="{00000000-0005-0000-0000-000016680000}"/>
    <cellStyle name="Normal 2 3 3 27 5 3" xfId="41409" xr:uid="{00000000-0005-0000-0000-000017680000}"/>
    <cellStyle name="Normal 2 3 3 27 6" xfId="11165" xr:uid="{00000000-0005-0000-0000-000018680000}"/>
    <cellStyle name="Normal 2 3 3 27 6 2" xfId="41410" xr:uid="{00000000-0005-0000-0000-000019680000}"/>
    <cellStyle name="Normal 2 3 3 27 7" xfId="11166" xr:uid="{00000000-0005-0000-0000-00001A680000}"/>
    <cellStyle name="Normal 2 3 3 27 7 2" xfId="41411" xr:uid="{00000000-0005-0000-0000-00001B680000}"/>
    <cellStyle name="Normal 2 3 3 27 8" xfId="41412" xr:uid="{00000000-0005-0000-0000-00001C680000}"/>
    <cellStyle name="Normal 2 3 3 27 8 2" xfId="41413" xr:uid="{00000000-0005-0000-0000-00001D680000}"/>
    <cellStyle name="Normal 2 3 3 27 9" xfId="41414" xr:uid="{00000000-0005-0000-0000-00001E680000}"/>
    <cellStyle name="Normal 2 3 3 28" xfId="11167" xr:uid="{00000000-0005-0000-0000-00001F680000}"/>
    <cellStyle name="Normal 2 3 3 28 10" xfId="41415" xr:uid="{00000000-0005-0000-0000-000020680000}"/>
    <cellStyle name="Normal 2 3 3 28 11" xfId="41416" xr:uid="{00000000-0005-0000-0000-000021680000}"/>
    <cellStyle name="Normal 2 3 3 28 2" xfId="11168" xr:uid="{00000000-0005-0000-0000-000022680000}"/>
    <cellStyle name="Normal 2 3 3 28 2 10" xfId="41417" xr:uid="{00000000-0005-0000-0000-000023680000}"/>
    <cellStyle name="Normal 2 3 3 28 2 2" xfId="11169" xr:uid="{00000000-0005-0000-0000-000024680000}"/>
    <cellStyle name="Normal 2 3 3 28 2 2 2" xfId="11170" xr:uid="{00000000-0005-0000-0000-000025680000}"/>
    <cellStyle name="Normal 2 3 3 28 2 2 2 2" xfId="11171" xr:uid="{00000000-0005-0000-0000-000026680000}"/>
    <cellStyle name="Normal 2 3 3 28 2 2 2 2 2" xfId="41418" xr:uid="{00000000-0005-0000-0000-000027680000}"/>
    <cellStyle name="Normal 2 3 3 28 2 2 2 3" xfId="11172" xr:uid="{00000000-0005-0000-0000-000028680000}"/>
    <cellStyle name="Normal 2 3 3 28 2 2 2 3 2" xfId="41419" xr:uid="{00000000-0005-0000-0000-000029680000}"/>
    <cellStyle name="Normal 2 3 3 28 2 2 2 4" xfId="41420" xr:uid="{00000000-0005-0000-0000-00002A680000}"/>
    <cellStyle name="Normal 2 3 3 28 2 2 3" xfId="11173" xr:uid="{00000000-0005-0000-0000-00002B680000}"/>
    <cellStyle name="Normal 2 3 3 28 2 2 3 2" xfId="41421" xr:uid="{00000000-0005-0000-0000-00002C680000}"/>
    <cellStyle name="Normal 2 3 3 28 2 2 4" xfId="11174" xr:uid="{00000000-0005-0000-0000-00002D680000}"/>
    <cellStyle name="Normal 2 3 3 28 2 2 4 2" xfId="41422" xr:uid="{00000000-0005-0000-0000-00002E680000}"/>
    <cellStyle name="Normal 2 3 3 28 2 2 5" xfId="11175" xr:uid="{00000000-0005-0000-0000-00002F680000}"/>
    <cellStyle name="Normal 2 3 3 28 2 2 5 2" xfId="41423" xr:uid="{00000000-0005-0000-0000-000030680000}"/>
    <cellStyle name="Normal 2 3 3 28 2 2 6" xfId="41424" xr:uid="{00000000-0005-0000-0000-000031680000}"/>
    <cellStyle name="Normal 2 3 3 28 2 2 6 2" xfId="41425" xr:uid="{00000000-0005-0000-0000-000032680000}"/>
    <cellStyle name="Normal 2 3 3 28 2 2 7" xfId="41426" xr:uid="{00000000-0005-0000-0000-000033680000}"/>
    <cellStyle name="Normal 2 3 3 28 2 3" xfId="11176" xr:uid="{00000000-0005-0000-0000-000034680000}"/>
    <cellStyle name="Normal 2 3 3 28 2 3 2" xfId="11177" xr:uid="{00000000-0005-0000-0000-000035680000}"/>
    <cellStyle name="Normal 2 3 3 28 2 3 2 2" xfId="41427" xr:uid="{00000000-0005-0000-0000-000036680000}"/>
    <cellStyle name="Normal 2 3 3 28 2 3 3" xfId="11178" xr:uid="{00000000-0005-0000-0000-000037680000}"/>
    <cellStyle name="Normal 2 3 3 28 2 3 3 2" xfId="41428" xr:uid="{00000000-0005-0000-0000-000038680000}"/>
    <cellStyle name="Normal 2 3 3 28 2 3 4" xfId="41429" xr:uid="{00000000-0005-0000-0000-000039680000}"/>
    <cellStyle name="Normal 2 3 3 28 2 4" xfId="11179" xr:uid="{00000000-0005-0000-0000-00003A680000}"/>
    <cellStyle name="Normal 2 3 3 28 2 4 2" xfId="11180" xr:uid="{00000000-0005-0000-0000-00003B680000}"/>
    <cellStyle name="Normal 2 3 3 28 2 4 2 2" xfId="41430" xr:uid="{00000000-0005-0000-0000-00003C680000}"/>
    <cellStyle name="Normal 2 3 3 28 2 4 3" xfId="41431" xr:uid="{00000000-0005-0000-0000-00003D680000}"/>
    <cellStyle name="Normal 2 3 3 28 2 5" xfId="11181" xr:uid="{00000000-0005-0000-0000-00003E680000}"/>
    <cellStyle name="Normal 2 3 3 28 2 5 2" xfId="41432" xr:uid="{00000000-0005-0000-0000-00003F680000}"/>
    <cellStyle name="Normal 2 3 3 28 2 6" xfId="11182" xr:uid="{00000000-0005-0000-0000-000040680000}"/>
    <cellStyle name="Normal 2 3 3 28 2 6 2" xfId="41433" xr:uid="{00000000-0005-0000-0000-000041680000}"/>
    <cellStyle name="Normal 2 3 3 28 2 7" xfId="41434" xr:uid="{00000000-0005-0000-0000-000042680000}"/>
    <cellStyle name="Normal 2 3 3 28 2 7 2" xfId="41435" xr:uid="{00000000-0005-0000-0000-000043680000}"/>
    <cellStyle name="Normal 2 3 3 28 2 8" xfId="41436" xr:uid="{00000000-0005-0000-0000-000044680000}"/>
    <cellStyle name="Normal 2 3 3 28 2 9" xfId="41437" xr:uid="{00000000-0005-0000-0000-000045680000}"/>
    <cellStyle name="Normal 2 3 3 28 3" xfId="11183" xr:uid="{00000000-0005-0000-0000-000046680000}"/>
    <cellStyle name="Normal 2 3 3 28 3 2" xfId="11184" xr:uid="{00000000-0005-0000-0000-000047680000}"/>
    <cellStyle name="Normal 2 3 3 28 3 2 2" xfId="11185" xr:uid="{00000000-0005-0000-0000-000048680000}"/>
    <cellStyle name="Normal 2 3 3 28 3 2 2 2" xfId="41438" xr:uid="{00000000-0005-0000-0000-000049680000}"/>
    <cellStyle name="Normal 2 3 3 28 3 2 3" xfId="11186" xr:uid="{00000000-0005-0000-0000-00004A680000}"/>
    <cellStyle name="Normal 2 3 3 28 3 2 3 2" xfId="41439" xr:uid="{00000000-0005-0000-0000-00004B680000}"/>
    <cellStyle name="Normal 2 3 3 28 3 2 4" xfId="41440" xr:uid="{00000000-0005-0000-0000-00004C680000}"/>
    <cellStyle name="Normal 2 3 3 28 3 3" xfId="11187" xr:uid="{00000000-0005-0000-0000-00004D680000}"/>
    <cellStyle name="Normal 2 3 3 28 3 3 2" xfId="41441" xr:uid="{00000000-0005-0000-0000-00004E680000}"/>
    <cellStyle name="Normal 2 3 3 28 3 4" xfId="11188" xr:uid="{00000000-0005-0000-0000-00004F680000}"/>
    <cellStyle name="Normal 2 3 3 28 3 4 2" xfId="41442" xr:uid="{00000000-0005-0000-0000-000050680000}"/>
    <cellStyle name="Normal 2 3 3 28 3 5" xfId="11189" xr:uid="{00000000-0005-0000-0000-000051680000}"/>
    <cellStyle name="Normal 2 3 3 28 3 5 2" xfId="41443" xr:uid="{00000000-0005-0000-0000-000052680000}"/>
    <cellStyle name="Normal 2 3 3 28 3 6" xfId="41444" xr:uid="{00000000-0005-0000-0000-000053680000}"/>
    <cellStyle name="Normal 2 3 3 28 3 6 2" xfId="41445" xr:uid="{00000000-0005-0000-0000-000054680000}"/>
    <cellStyle name="Normal 2 3 3 28 3 7" xfId="41446" xr:uid="{00000000-0005-0000-0000-000055680000}"/>
    <cellStyle name="Normal 2 3 3 28 4" xfId="11190" xr:uid="{00000000-0005-0000-0000-000056680000}"/>
    <cellStyle name="Normal 2 3 3 28 4 2" xfId="11191" xr:uid="{00000000-0005-0000-0000-000057680000}"/>
    <cellStyle name="Normal 2 3 3 28 4 2 2" xfId="41447" xr:uid="{00000000-0005-0000-0000-000058680000}"/>
    <cellStyle name="Normal 2 3 3 28 4 3" xfId="11192" xr:uid="{00000000-0005-0000-0000-000059680000}"/>
    <cellStyle name="Normal 2 3 3 28 4 3 2" xfId="41448" xr:uid="{00000000-0005-0000-0000-00005A680000}"/>
    <cellStyle name="Normal 2 3 3 28 4 4" xfId="41449" xr:uid="{00000000-0005-0000-0000-00005B680000}"/>
    <cellStyle name="Normal 2 3 3 28 5" xfId="11193" xr:uid="{00000000-0005-0000-0000-00005C680000}"/>
    <cellStyle name="Normal 2 3 3 28 5 2" xfId="11194" xr:uid="{00000000-0005-0000-0000-00005D680000}"/>
    <cellStyle name="Normal 2 3 3 28 5 2 2" xfId="41450" xr:uid="{00000000-0005-0000-0000-00005E680000}"/>
    <cellStyle name="Normal 2 3 3 28 5 3" xfId="41451" xr:uid="{00000000-0005-0000-0000-00005F680000}"/>
    <cellStyle name="Normal 2 3 3 28 6" xfId="11195" xr:uid="{00000000-0005-0000-0000-000060680000}"/>
    <cellStyle name="Normal 2 3 3 28 6 2" xfId="41452" xr:uid="{00000000-0005-0000-0000-000061680000}"/>
    <cellStyle name="Normal 2 3 3 28 7" xfId="11196" xr:uid="{00000000-0005-0000-0000-000062680000}"/>
    <cellStyle name="Normal 2 3 3 28 7 2" xfId="41453" xr:uid="{00000000-0005-0000-0000-000063680000}"/>
    <cellStyle name="Normal 2 3 3 28 8" xfId="41454" xr:uid="{00000000-0005-0000-0000-000064680000}"/>
    <cellStyle name="Normal 2 3 3 28 8 2" xfId="41455" xr:uid="{00000000-0005-0000-0000-000065680000}"/>
    <cellStyle name="Normal 2 3 3 28 9" xfId="41456" xr:uid="{00000000-0005-0000-0000-000066680000}"/>
    <cellStyle name="Normal 2 3 3 29" xfId="11197" xr:uid="{00000000-0005-0000-0000-000067680000}"/>
    <cellStyle name="Normal 2 3 3 29 10" xfId="41457" xr:uid="{00000000-0005-0000-0000-000068680000}"/>
    <cellStyle name="Normal 2 3 3 29 11" xfId="41458" xr:uid="{00000000-0005-0000-0000-000069680000}"/>
    <cellStyle name="Normal 2 3 3 29 2" xfId="11198" xr:uid="{00000000-0005-0000-0000-00006A680000}"/>
    <cellStyle name="Normal 2 3 3 29 2 10" xfId="41459" xr:uid="{00000000-0005-0000-0000-00006B680000}"/>
    <cellStyle name="Normal 2 3 3 29 2 2" xfId="11199" xr:uid="{00000000-0005-0000-0000-00006C680000}"/>
    <cellStyle name="Normal 2 3 3 29 2 2 2" xfId="11200" xr:uid="{00000000-0005-0000-0000-00006D680000}"/>
    <cellStyle name="Normal 2 3 3 29 2 2 2 2" xfId="11201" xr:uid="{00000000-0005-0000-0000-00006E680000}"/>
    <cellStyle name="Normal 2 3 3 29 2 2 2 2 2" xfId="41460" xr:uid="{00000000-0005-0000-0000-00006F680000}"/>
    <cellStyle name="Normal 2 3 3 29 2 2 2 3" xfId="11202" xr:uid="{00000000-0005-0000-0000-000070680000}"/>
    <cellStyle name="Normal 2 3 3 29 2 2 2 3 2" xfId="41461" xr:uid="{00000000-0005-0000-0000-000071680000}"/>
    <cellStyle name="Normal 2 3 3 29 2 2 2 4" xfId="41462" xr:uid="{00000000-0005-0000-0000-000072680000}"/>
    <cellStyle name="Normal 2 3 3 29 2 2 3" xfId="11203" xr:uid="{00000000-0005-0000-0000-000073680000}"/>
    <cellStyle name="Normal 2 3 3 29 2 2 3 2" xfId="41463" xr:uid="{00000000-0005-0000-0000-000074680000}"/>
    <cellStyle name="Normal 2 3 3 29 2 2 4" xfId="11204" xr:uid="{00000000-0005-0000-0000-000075680000}"/>
    <cellStyle name="Normal 2 3 3 29 2 2 4 2" xfId="41464" xr:uid="{00000000-0005-0000-0000-000076680000}"/>
    <cellStyle name="Normal 2 3 3 29 2 2 5" xfId="11205" xr:uid="{00000000-0005-0000-0000-000077680000}"/>
    <cellStyle name="Normal 2 3 3 29 2 2 5 2" xfId="41465" xr:uid="{00000000-0005-0000-0000-000078680000}"/>
    <cellStyle name="Normal 2 3 3 29 2 2 6" xfId="41466" xr:uid="{00000000-0005-0000-0000-000079680000}"/>
    <cellStyle name="Normal 2 3 3 29 2 2 6 2" xfId="41467" xr:uid="{00000000-0005-0000-0000-00007A680000}"/>
    <cellStyle name="Normal 2 3 3 29 2 2 7" xfId="41468" xr:uid="{00000000-0005-0000-0000-00007B680000}"/>
    <cellStyle name="Normal 2 3 3 29 2 3" xfId="11206" xr:uid="{00000000-0005-0000-0000-00007C680000}"/>
    <cellStyle name="Normal 2 3 3 29 2 3 2" xfId="11207" xr:uid="{00000000-0005-0000-0000-00007D680000}"/>
    <cellStyle name="Normal 2 3 3 29 2 3 2 2" xfId="41469" xr:uid="{00000000-0005-0000-0000-00007E680000}"/>
    <cellStyle name="Normal 2 3 3 29 2 3 3" xfId="11208" xr:uid="{00000000-0005-0000-0000-00007F680000}"/>
    <cellStyle name="Normal 2 3 3 29 2 3 3 2" xfId="41470" xr:uid="{00000000-0005-0000-0000-000080680000}"/>
    <cellStyle name="Normal 2 3 3 29 2 3 4" xfId="41471" xr:uid="{00000000-0005-0000-0000-000081680000}"/>
    <cellStyle name="Normal 2 3 3 29 2 4" xfId="11209" xr:uid="{00000000-0005-0000-0000-000082680000}"/>
    <cellStyle name="Normal 2 3 3 29 2 4 2" xfId="11210" xr:uid="{00000000-0005-0000-0000-000083680000}"/>
    <cellStyle name="Normal 2 3 3 29 2 4 2 2" xfId="41472" xr:uid="{00000000-0005-0000-0000-000084680000}"/>
    <cellStyle name="Normal 2 3 3 29 2 4 3" xfId="41473" xr:uid="{00000000-0005-0000-0000-000085680000}"/>
    <cellStyle name="Normal 2 3 3 29 2 5" xfId="11211" xr:uid="{00000000-0005-0000-0000-000086680000}"/>
    <cellStyle name="Normal 2 3 3 29 2 5 2" xfId="41474" xr:uid="{00000000-0005-0000-0000-000087680000}"/>
    <cellStyle name="Normal 2 3 3 29 2 6" xfId="11212" xr:uid="{00000000-0005-0000-0000-000088680000}"/>
    <cellStyle name="Normal 2 3 3 29 2 6 2" xfId="41475" xr:uid="{00000000-0005-0000-0000-000089680000}"/>
    <cellStyle name="Normal 2 3 3 29 2 7" xfId="41476" xr:uid="{00000000-0005-0000-0000-00008A680000}"/>
    <cellStyle name="Normal 2 3 3 29 2 7 2" xfId="41477" xr:uid="{00000000-0005-0000-0000-00008B680000}"/>
    <cellStyle name="Normal 2 3 3 29 2 8" xfId="41478" xr:uid="{00000000-0005-0000-0000-00008C680000}"/>
    <cellStyle name="Normal 2 3 3 29 2 9" xfId="41479" xr:uid="{00000000-0005-0000-0000-00008D680000}"/>
    <cellStyle name="Normal 2 3 3 29 3" xfId="11213" xr:uid="{00000000-0005-0000-0000-00008E680000}"/>
    <cellStyle name="Normal 2 3 3 29 3 2" xfId="11214" xr:uid="{00000000-0005-0000-0000-00008F680000}"/>
    <cellStyle name="Normal 2 3 3 29 3 2 2" xfId="11215" xr:uid="{00000000-0005-0000-0000-000090680000}"/>
    <cellStyle name="Normal 2 3 3 29 3 2 2 2" xfId="41480" xr:uid="{00000000-0005-0000-0000-000091680000}"/>
    <cellStyle name="Normal 2 3 3 29 3 2 3" xfId="11216" xr:uid="{00000000-0005-0000-0000-000092680000}"/>
    <cellStyle name="Normal 2 3 3 29 3 2 3 2" xfId="41481" xr:uid="{00000000-0005-0000-0000-000093680000}"/>
    <cellStyle name="Normal 2 3 3 29 3 2 4" xfId="41482" xr:uid="{00000000-0005-0000-0000-000094680000}"/>
    <cellStyle name="Normal 2 3 3 29 3 3" xfId="11217" xr:uid="{00000000-0005-0000-0000-000095680000}"/>
    <cellStyle name="Normal 2 3 3 29 3 3 2" xfId="41483" xr:uid="{00000000-0005-0000-0000-000096680000}"/>
    <cellStyle name="Normal 2 3 3 29 3 4" xfId="11218" xr:uid="{00000000-0005-0000-0000-000097680000}"/>
    <cellStyle name="Normal 2 3 3 29 3 4 2" xfId="41484" xr:uid="{00000000-0005-0000-0000-000098680000}"/>
    <cellStyle name="Normal 2 3 3 29 3 5" xfId="11219" xr:uid="{00000000-0005-0000-0000-000099680000}"/>
    <cellStyle name="Normal 2 3 3 29 3 5 2" xfId="41485" xr:uid="{00000000-0005-0000-0000-00009A680000}"/>
    <cellStyle name="Normal 2 3 3 29 3 6" xfId="41486" xr:uid="{00000000-0005-0000-0000-00009B680000}"/>
    <cellStyle name="Normal 2 3 3 29 3 6 2" xfId="41487" xr:uid="{00000000-0005-0000-0000-00009C680000}"/>
    <cellStyle name="Normal 2 3 3 29 3 7" xfId="41488" xr:uid="{00000000-0005-0000-0000-00009D680000}"/>
    <cellStyle name="Normal 2 3 3 29 4" xfId="11220" xr:uid="{00000000-0005-0000-0000-00009E680000}"/>
    <cellStyle name="Normal 2 3 3 29 4 2" xfId="11221" xr:uid="{00000000-0005-0000-0000-00009F680000}"/>
    <cellStyle name="Normal 2 3 3 29 4 2 2" xfId="41489" xr:uid="{00000000-0005-0000-0000-0000A0680000}"/>
    <cellStyle name="Normal 2 3 3 29 4 3" xfId="11222" xr:uid="{00000000-0005-0000-0000-0000A1680000}"/>
    <cellStyle name="Normal 2 3 3 29 4 3 2" xfId="41490" xr:uid="{00000000-0005-0000-0000-0000A2680000}"/>
    <cellStyle name="Normal 2 3 3 29 4 4" xfId="41491" xr:uid="{00000000-0005-0000-0000-0000A3680000}"/>
    <cellStyle name="Normal 2 3 3 29 5" xfId="11223" xr:uid="{00000000-0005-0000-0000-0000A4680000}"/>
    <cellStyle name="Normal 2 3 3 29 5 2" xfId="11224" xr:uid="{00000000-0005-0000-0000-0000A5680000}"/>
    <cellStyle name="Normal 2 3 3 29 5 2 2" xfId="41492" xr:uid="{00000000-0005-0000-0000-0000A6680000}"/>
    <cellStyle name="Normal 2 3 3 29 5 3" xfId="41493" xr:uid="{00000000-0005-0000-0000-0000A7680000}"/>
    <cellStyle name="Normal 2 3 3 29 6" xfId="11225" xr:uid="{00000000-0005-0000-0000-0000A8680000}"/>
    <cellStyle name="Normal 2 3 3 29 6 2" xfId="41494" xr:uid="{00000000-0005-0000-0000-0000A9680000}"/>
    <cellStyle name="Normal 2 3 3 29 7" xfId="11226" xr:uid="{00000000-0005-0000-0000-0000AA680000}"/>
    <cellStyle name="Normal 2 3 3 29 7 2" xfId="41495" xr:uid="{00000000-0005-0000-0000-0000AB680000}"/>
    <cellStyle name="Normal 2 3 3 29 8" xfId="41496" xr:uid="{00000000-0005-0000-0000-0000AC680000}"/>
    <cellStyle name="Normal 2 3 3 29 8 2" xfId="41497" xr:uid="{00000000-0005-0000-0000-0000AD680000}"/>
    <cellStyle name="Normal 2 3 3 29 9" xfId="41498" xr:uid="{00000000-0005-0000-0000-0000AE680000}"/>
    <cellStyle name="Normal 2 3 3 3" xfId="11227" xr:uid="{00000000-0005-0000-0000-0000AF680000}"/>
    <cellStyle name="Normal 2 3 3 3 10" xfId="41499" xr:uid="{00000000-0005-0000-0000-0000B0680000}"/>
    <cellStyle name="Normal 2 3 3 3 11" xfId="41500" xr:uid="{00000000-0005-0000-0000-0000B1680000}"/>
    <cellStyle name="Normal 2 3 3 3 2" xfId="11228" xr:uid="{00000000-0005-0000-0000-0000B2680000}"/>
    <cellStyle name="Normal 2 3 3 3 2 10" xfId="41501" xr:uid="{00000000-0005-0000-0000-0000B3680000}"/>
    <cellStyle name="Normal 2 3 3 3 2 2" xfId="11229" xr:uid="{00000000-0005-0000-0000-0000B4680000}"/>
    <cellStyle name="Normal 2 3 3 3 2 2 2" xfId="11230" xr:uid="{00000000-0005-0000-0000-0000B5680000}"/>
    <cellStyle name="Normal 2 3 3 3 2 2 2 2" xfId="11231" xr:uid="{00000000-0005-0000-0000-0000B6680000}"/>
    <cellStyle name="Normal 2 3 3 3 2 2 2 2 2" xfId="41502" xr:uid="{00000000-0005-0000-0000-0000B7680000}"/>
    <cellStyle name="Normal 2 3 3 3 2 2 2 3" xfId="11232" xr:uid="{00000000-0005-0000-0000-0000B8680000}"/>
    <cellStyle name="Normal 2 3 3 3 2 2 2 3 2" xfId="41503" xr:uid="{00000000-0005-0000-0000-0000B9680000}"/>
    <cellStyle name="Normal 2 3 3 3 2 2 2 4" xfId="41504" xr:uid="{00000000-0005-0000-0000-0000BA680000}"/>
    <cellStyle name="Normal 2 3 3 3 2 2 3" xfId="11233" xr:uid="{00000000-0005-0000-0000-0000BB680000}"/>
    <cellStyle name="Normal 2 3 3 3 2 2 3 2" xfId="41505" xr:uid="{00000000-0005-0000-0000-0000BC680000}"/>
    <cellStyle name="Normal 2 3 3 3 2 2 4" xfId="11234" xr:uid="{00000000-0005-0000-0000-0000BD680000}"/>
    <cellStyle name="Normal 2 3 3 3 2 2 4 2" xfId="41506" xr:uid="{00000000-0005-0000-0000-0000BE680000}"/>
    <cellStyle name="Normal 2 3 3 3 2 2 5" xfId="11235" xr:uid="{00000000-0005-0000-0000-0000BF680000}"/>
    <cellStyle name="Normal 2 3 3 3 2 2 5 2" xfId="41507" xr:uid="{00000000-0005-0000-0000-0000C0680000}"/>
    <cellStyle name="Normal 2 3 3 3 2 2 6" xfId="41508" xr:uid="{00000000-0005-0000-0000-0000C1680000}"/>
    <cellStyle name="Normal 2 3 3 3 2 2 6 2" xfId="41509" xr:uid="{00000000-0005-0000-0000-0000C2680000}"/>
    <cellStyle name="Normal 2 3 3 3 2 2 7" xfId="41510" xr:uid="{00000000-0005-0000-0000-0000C3680000}"/>
    <cellStyle name="Normal 2 3 3 3 2 3" xfId="11236" xr:uid="{00000000-0005-0000-0000-0000C4680000}"/>
    <cellStyle name="Normal 2 3 3 3 2 3 2" xfId="11237" xr:uid="{00000000-0005-0000-0000-0000C5680000}"/>
    <cellStyle name="Normal 2 3 3 3 2 3 2 2" xfId="41511" xr:uid="{00000000-0005-0000-0000-0000C6680000}"/>
    <cellStyle name="Normal 2 3 3 3 2 3 3" xfId="11238" xr:uid="{00000000-0005-0000-0000-0000C7680000}"/>
    <cellStyle name="Normal 2 3 3 3 2 3 3 2" xfId="41512" xr:uid="{00000000-0005-0000-0000-0000C8680000}"/>
    <cellStyle name="Normal 2 3 3 3 2 3 4" xfId="41513" xr:uid="{00000000-0005-0000-0000-0000C9680000}"/>
    <cellStyle name="Normal 2 3 3 3 2 4" xfId="11239" xr:uid="{00000000-0005-0000-0000-0000CA680000}"/>
    <cellStyle name="Normal 2 3 3 3 2 4 2" xfId="11240" xr:uid="{00000000-0005-0000-0000-0000CB680000}"/>
    <cellStyle name="Normal 2 3 3 3 2 4 2 2" xfId="41514" xr:uid="{00000000-0005-0000-0000-0000CC680000}"/>
    <cellStyle name="Normal 2 3 3 3 2 4 3" xfId="41515" xr:uid="{00000000-0005-0000-0000-0000CD680000}"/>
    <cellStyle name="Normal 2 3 3 3 2 5" xfId="11241" xr:uid="{00000000-0005-0000-0000-0000CE680000}"/>
    <cellStyle name="Normal 2 3 3 3 2 5 2" xfId="41516" xr:uid="{00000000-0005-0000-0000-0000CF680000}"/>
    <cellStyle name="Normal 2 3 3 3 2 6" xfId="11242" xr:uid="{00000000-0005-0000-0000-0000D0680000}"/>
    <cellStyle name="Normal 2 3 3 3 2 6 2" xfId="41517" xr:uid="{00000000-0005-0000-0000-0000D1680000}"/>
    <cellStyle name="Normal 2 3 3 3 2 7" xfId="41518" xr:uid="{00000000-0005-0000-0000-0000D2680000}"/>
    <cellStyle name="Normal 2 3 3 3 2 7 2" xfId="41519" xr:uid="{00000000-0005-0000-0000-0000D3680000}"/>
    <cellStyle name="Normal 2 3 3 3 2 8" xfId="41520" xr:uid="{00000000-0005-0000-0000-0000D4680000}"/>
    <cellStyle name="Normal 2 3 3 3 2 9" xfId="41521" xr:uid="{00000000-0005-0000-0000-0000D5680000}"/>
    <cellStyle name="Normal 2 3 3 3 3" xfId="11243" xr:uid="{00000000-0005-0000-0000-0000D6680000}"/>
    <cellStyle name="Normal 2 3 3 3 3 2" xfId="11244" xr:uid="{00000000-0005-0000-0000-0000D7680000}"/>
    <cellStyle name="Normal 2 3 3 3 3 2 2" xfId="11245" xr:uid="{00000000-0005-0000-0000-0000D8680000}"/>
    <cellStyle name="Normal 2 3 3 3 3 2 2 2" xfId="41522" xr:uid="{00000000-0005-0000-0000-0000D9680000}"/>
    <cellStyle name="Normal 2 3 3 3 3 2 3" xfId="11246" xr:uid="{00000000-0005-0000-0000-0000DA680000}"/>
    <cellStyle name="Normal 2 3 3 3 3 2 3 2" xfId="41523" xr:uid="{00000000-0005-0000-0000-0000DB680000}"/>
    <cellStyle name="Normal 2 3 3 3 3 2 4" xfId="41524" xr:uid="{00000000-0005-0000-0000-0000DC680000}"/>
    <cellStyle name="Normal 2 3 3 3 3 3" xfId="11247" xr:uid="{00000000-0005-0000-0000-0000DD680000}"/>
    <cellStyle name="Normal 2 3 3 3 3 3 2" xfId="41525" xr:uid="{00000000-0005-0000-0000-0000DE680000}"/>
    <cellStyle name="Normal 2 3 3 3 3 4" xfId="11248" xr:uid="{00000000-0005-0000-0000-0000DF680000}"/>
    <cellStyle name="Normal 2 3 3 3 3 4 2" xfId="41526" xr:uid="{00000000-0005-0000-0000-0000E0680000}"/>
    <cellStyle name="Normal 2 3 3 3 3 5" xfId="11249" xr:uid="{00000000-0005-0000-0000-0000E1680000}"/>
    <cellStyle name="Normal 2 3 3 3 3 5 2" xfId="41527" xr:uid="{00000000-0005-0000-0000-0000E2680000}"/>
    <cellStyle name="Normal 2 3 3 3 3 6" xfId="41528" xr:uid="{00000000-0005-0000-0000-0000E3680000}"/>
    <cellStyle name="Normal 2 3 3 3 3 6 2" xfId="41529" xr:uid="{00000000-0005-0000-0000-0000E4680000}"/>
    <cellStyle name="Normal 2 3 3 3 3 7" xfId="41530" xr:uid="{00000000-0005-0000-0000-0000E5680000}"/>
    <cellStyle name="Normal 2 3 3 3 4" xfId="11250" xr:uid="{00000000-0005-0000-0000-0000E6680000}"/>
    <cellStyle name="Normal 2 3 3 3 4 2" xfId="11251" xr:uid="{00000000-0005-0000-0000-0000E7680000}"/>
    <cellStyle name="Normal 2 3 3 3 4 2 2" xfId="41531" xr:uid="{00000000-0005-0000-0000-0000E8680000}"/>
    <cellStyle name="Normal 2 3 3 3 4 3" xfId="11252" xr:uid="{00000000-0005-0000-0000-0000E9680000}"/>
    <cellStyle name="Normal 2 3 3 3 4 3 2" xfId="41532" xr:uid="{00000000-0005-0000-0000-0000EA680000}"/>
    <cellStyle name="Normal 2 3 3 3 4 4" xfId="41533" xr:uid="{00000000-0005-0000-0000-0000EB680000}"/>
    <cellStyle name="Normal 2 3 3 3 5" xfId="11253" xr:uid="{00000000-0005-0000-0000-0000EC680000}"/>
    <cellStyle name="Normal 2 3 3 3 5 2" xfId="11254" xr:uid="{00000000-0005-0000-0000-0000ED680000}"/>
    <cellStyle name="Normal 2 3 3 3 5 2 2" xfId="41534" xr:uid="{00000000-0005-0000-0000-0000EE680000}"/>
    <cellStyle name="Normal 2 3 3 3 5 3" xfId="41535" xr:uid="{00000000-0005-0000-0000-0000EF680000}"/>
    <cellStyle name="Normal 2 3 3 3 6" xfId="11255" xr:uid="{00000000-0005-0000-0000-0000F0680000}"/>
    <cellStyle name="Normal 2 3 3 3 6 2" xfId="41536" xr:uid="{00000000-0005-0000-0000-0000F1680000}"/>
    <cellStyle name="Normal 2 3 3 3 7" xfId="11256" xr:uid="{00000000-0005-0000-0000-0000F2680000}"/>
    <cellStyle name="Normal 2 3 3 3 7 2" xfId="41537" xr:uid="{00000000-0005-0000-0000-0000F3680000}"/>
    <cellStyle name="Normal 2 3 3 3 8" xfId="41538" xr:uid="{00000000-0005-0000-0000-0000F4680000}"/>
    <cellStyle name="Normal 2 3 3 3 8 2" xfId="41539" xr:uid="{00000000-0005-0000-0000-0000F5680000}"/>
    <cellStyle name="Normal 2 3 3 3 9" xfId="41540" xr:uid="{00000000-0005-0000-0000-0000F6680000}"/>
    <cellStyle name="Normal 2 3 3 30" xfId="11257" xr:uid="{00000000-0005-0000-0000-0000F7680000}"/>
    <cellStyle name="Normal 2 3 3 30 10" xfId="41541" xr:uid="{00000000-0005-0000-0000-0000F8680000}"/>
    <cellStyle name="Normal 2 3 3 30 11" xfId="41542" xr:uid="{00000000-0005-0000-0000-0000F9680000}"/>
    <cellStyle name="Normal 2 3 3 30 2" xfId="11258" xr:uid="{00000000-0005-0000-0000-0000FA680000}"/>
    <cellStyle name="Normal 2 3 3 30 2 10" xfId="41543" xr:uid="{00000000-0005-0000-0000-0000FB680000}"/>
    <cellStyle name="Normal 2 3 3 30 2 2" xfId="11259" xr:uid="{00000000-0005-0000-0000-0000FC680000}"/>
    <cellStyle name="Normal 2 3 3 30 2 2 2" xfId="11260" xr:uid="{00000000-0005-0000-0000-0000FD680000}"/>
    <cellStyle name="Normal 2 3 3 30 2 2 2 2" xfId="11261" xr:uid="{00000000-0005-0000-0000-0000FE680000}"/>
    <cellStyle name="Normal 2 3 3 30 2 2 2 2 2" xfId="41544" xr:uid="{00000000-0005-0000-0000-0000FF680000}"/>
    <cellStyle name="Normal 2 3 3 30 2 2 2 3" xfId="11262" xr:uid="{00000000-0005-0000-0000-000000690000}"/>
    <cellStyle name="Normal 2 3 3 30 2 2 2 3 2" xfId="41545" xr:uid="{00000000-0005-0000-0000-000001690000}"/>
    <cellStyle name="Normal 2 3 3 30 2 2 2 4" xfId="41546" xr:uid="{00000000-0005-0000-0000-000002690000}"/>
    <cellStyle name="Normal 2 3 3 30 2 2 3" xfId="11263" xr:uid="{00000000-0005-0000-0000-000003690000}"/>
    <cellStyle name="Normal 2 3 3 30 2 2 3 2" xfId="41547" xr:uid="{00000000-0005-0000-0000-000004690000}"/>
    <cellStyle name="Normal 2 3 3 30 2 2 4" xfId="11264" xr:uid="{00000000-0005-0000-0000-000005690000}"/>
    <cellStyle name="Normal 2 3 3 30 2 2 4 2" xfId="41548" xr:uid="{00000000-0005-0000-0000-000006690000}"/>
    <cellStyle name="Normal 2 3 3 30 2 2 5" xfId="11265" xr:uid="{00000000-0005-0000-0000-000007690000}"/>
    <cellStyle name="Normal 2 3 3 30 2 2 5 2" xfId="41549" xr:uid="{00000000-0005-0000-0000-000008690000}"/>
    <cellStyle name="Normal 2 3 3 30 2 2 6" xfId="41550" xr:uid="{00000000-0005-0000-0000-000009690000}"/>
    <cellStyle name="Normal 2 3 3 30 2 2 6 2" xfId="41551" xr:uid="{00000000-0005-0000-0000-00000A690000}"/>
    <cellStyle name="Normal 2 3 3 30 2 2 7" xfId="41552" xr:uid="{00000000-0005-0000-0000-00000B690000}"/>
    <cellStyle name="Normal 2 3 3 30 2 3" xfId="11266" xr:uid="{00000000-0005-0000-0000-00000C690000}"/>
    <cellStyle name="Normal 2 3 3 30 2 3 2" xfId="11267" xr:uid="{00000000-0005-0000-0000-00000D690000}"/>
    <cellStyle name="Normal 2 3 3 30 2 3 2 2" xfId="41553" xr:uid="{00000000-0005-0000-0000-00000E690000}"/>
    <cellStyle name="Normal 2 3 3 30 2 3 3" xfId="11268" xr:uid="{00000000-0005-0000-0000-00000F690000}"/>
    <cellStyle name="Normal 2 3 3 30 2 3 3 2" xfId="41554" xr:uid="{00000000-0005-0000-0000-000010690000}"/>
    <cellStyle name="Normal 2 3 3 30 2 3 4" xfId="41555" xr:uid="{00000000-0005-0000-0000-000011690000}"/>
    <cellStyle name="Normal 2 3 3 30 2 4" xfId="11269" xr:uid="{00000000-0005-0000-0000-000012690000}"/>
    <cellStyle name="Normal 2 3 3 30 2 4 2" xfId="11270" xr:uid="{00000000-0005-0000-0000-000013690000}"/>
    <cellStyle name="Normal 2 3 3 30 2 4 2 2" xfId="41556" xr:uid="{00000000-0005-0000-0000-000014690000}"/>
    <cellStyle name="Normal 2 3 3 30 2 4 3" xfId="41557" xr:uid="{00000000-0005-0000-0000-000015690000}"/>
    <cellStyle name="Normal 2 3 3 30 2 5" xfId="11271" xr:uid="{00000000-0005-0000-0000-000016690000}"/>
    <cellStyle name="Normal 2 3 3 30 2 5 2" xfId="41558" xr:uid="{00000000-0005-0000-0000-000017690000}"/>
    <cellStyle name="Normal 2 3 3 30 2 6" xfId="11272" xr:uid="{00000000-0005-0000-0000-000018690000}"/>
    <cellStyle name="Normal 2 3 3 30 2 6 2" xfId="41559" xr:uid="{00000000-0005-0000-0000-000019690000}"/>
    <cellStyle name="Normal 2 3 3 30 2 7" xfId="41560" xr:uid="{00000000-0005-0000-0000-00001A690000}"/>
    <cellStyle name="Normal 2 3 3 30 2 7 2" xfId="41561" xr:uid="{00000000-0005-0000-0000-00001B690000}"/>
    <cellStyle name="Normal 2 3 3 30 2 8" xfId="41562" xr:uid="{00000000-0005-0000-0000-00001C690000}"/>
    <cellStyle name="Normal 2 3 3 30 2 9" xfId="41563" xr:uid="{00000000-0005-0000-0000-00001D690000}"/>
    <cellStyle name="Normal 2 3 3 30 3" xfId="11273" xr:uid="{00000000-0005-0000-0000-00001E690000}"/>
    <cellStyle name="Normal 2 3 3 30 3 2" xfId="11274" xr:uid="{00000000-0005-0000-0000-00001F690000}"/>
    <cellStyle name="Normal 2 3 3 30 3 2 2" xfId="11275" xr:uid="{00000000-0005-0000-0000-000020690000}"/>
    <cellStyle name="Normal 2 3 3 30 3 2 2 2" xfId="41564" xr:uid="{00000000-0005-0000-0000-000021690000}"/>
    <cellStyle name="Normal 2 3 3 30 3 2 3" xfId="11276" xr:uid="{00000000-0005-0000-0000-000022690000}"/>
    <cellStyle name="Normal 2 3 3 30 3 2 3 2" xfId="41565" xr:uid="{00000000-0005-0000-0000-000023690000}"/>
    <cellStyle name="Normal 2 3 3 30 3 2 4" xfId="41566" xr:uid="{00000000-0005-0000-0000-000024690000}"/>
    <cellStyle name="Normal 2 3 3 30 3 3" xfId="11277" xr:uid="{00000000-0005-0000-0000-000025690000}"/>
    <cellStyle name="Normal 2 3 3 30 3 3 2" xfId="41567" xr:uid="{00000000-0005-0000-0000-000026690000}"/>
    <cellStyle name="Normal 2 3 3 30 3 4" xfId="11278" xr:uid="{00000000-0005-0000-0000-000027690000}"/>
    <cellStyle name="Normal 2 3 3 30 3 4 2" xfId="41568" xr:uid="{00000000-0005-0000-0000-000028690000}"/>
    <cellStyle name="Normal 2 3 3 30 3 5" xfId="11279" xr:uid="{00000000-0005-0000-0000-000029690000}"/>
    <cellStyle name="Normal 2 3 3 30 3 5 2" xfId="41569" xr:uid="{00000000-0005-0000-0000-00002A690000}"/>
    <cellStyle name="Normal 2 3 3 30 3 6" xfId="41570" xr:uid="{00000000-0005-0000-0000-00002B690000}"/>
    <cellStyle name="Normal 2 3 3 30 3 6 2" xfId="41571" xr:uid="{00000000-0005-0000-0000-00002C690000}"/>
    <cellStyle name="Normal 2 3 3 30 3 7" xfId="41572" xr:uid="{00000000-0005-0000-0000-00002D690000}"/>
    <cellStyle name="Normal 2 3 3 30 4" xfId="11280" xr:uid="{00000000-0005-0000-0000-00002E690000}"/>
    <cellStyle name="Normal 2 3 3 30 4 2" xfId="11281" xr:uid="{00000000-0005-0000-0000-00002F690000}"/>
    <cellStyle name="Normal 2 3 3 30 4 2 2" xfId="41573" xr:uid="{00000000-0005-0000-0000-000030690000}"/>
    <cellStyle name="Normal 2 3 3 30 4 3" xfId="11282" xr:uid="{00000000-0005-0000-0000-000031690000}"/>
    <cellStyle name="Normal 2 3 3 30 4 3 2" xfId="41574" xr:uid="{00000000-0005-0000-0000-000032690000}"/>
    <cellStyle name="Normal 2 3 3 30 4 4" xfId="41575" xr:uid="{00000000-0005-0000-0000-000033690000}"/>
    <cellStyle name="Normal 2 3 3 30 5" xfId="11283" xr:uid="{00000000-0005-0000-0000-000034690000}"/>
    <cellStyle name="Normal 2 3 3 30 5 2" xfId="11284" xr:uid="{00000000-0005-0000-0000-000035690000}"/>
    <cellStyle name="Normal 2 3 3 30 5 2 2" xfId="41576" xr:uid="{00000000-0005-0000-0000-000036690000}"/>
    <cellStyle name="Normal 2 3 3 30 5 3" xfId="41577" xr:uid="{00000000-0005-0000-0000-000037690000}"/>
    <cellStyle name="Normal 2 3 3 30 6" xfId="11285" xr:uid="{00000000-0005-0000-0000-000038690000}"/>
    <cellStyle name="Normal 2 3 3 30 6 2" xfId="41578" xr:uid="{00000000-0005-0000-0000-000039690000}"/>
    <cellStyle name="Normal 2 3 3 30 7" xfId="11286" xr:uid="{00000000-0005-0000-0000-00003A690000}"/>
    <cellStyle name="Normal 2 3 3 30 7 2" xfId="41579" xr:uid="{00000000-0005-0000-0000-00003B690000}"/>
    <cellStyle name="Normal 2 3 3 30 8" xfId="41580" xr:uid="{00000000-0005-0000-0000-00003C690000}"/>
    <cellStyle name="Normal 2 3 3 30 8 2" xfId="41581" xr:uid="{00000000-0005-0000-0000-00003D690000}"/>
    <cellStyle name="Normal 2 3 3 30 9" xfId="41582" xr:uid="{00000000-0005-0000-0000-00003E690000}"/>
    <cellStyle name="Normal 2 3 3 31" xfId="11287" xr:uid="{00000000-0005-0000-0000-00003F690000}"/>
    <cellStyle name="Normal 2 3 3 31 10" xfId="41583" xr:uid="{00000000-0005-0000-0000-000040690000}"/>
    <cellStyle name="Normal 2 3 3 31 2" xfId="11288" xr:uid="{00000000-0005-0000-0000-000041690000}"/>
    <cellStyle name="Normal 2 3 3 31 2 2" xfId="11289" xr:uid="{00000000-0005-0000-0000-000042690000}"/>
    <cellStyle name="Normal 2 3 3 31 2 2 2" xfId="11290" xr:uid="{00000000-0005-0000-0000-000043690000}"/>
    <cellStyle name="Normal 2 3 3 31 2 2 2 2" xfId="41584" xr:uid="{00000000-0005-0000-0000-000044690000}"/>
    <cellStyle name="Normal 2 3 3 31 2 2 3" xfId="11291" xr:uid="{00000000-0005-0000-0000-000045690000}"/>
    <cellStyle name="Normal 2 3 3 31 2 2 3 2" xfId="41585" xr:uid="{00000000-0005-0000-0000-000046690000}"/>
    <cellStyle name="Normal 2 3 3 31 2 2 4" xfId="41586" xr:uid="{00000000-0005-0000-0000-000047690000}"/>
    <cellStyle name="Normal 2 3 3 31 2 3" xfId="11292" xr:uid="{00000000-0005-0000-0000-000048690000}"/>
    <cellStyle name="Normal 2 3 3 31 2 3 2" xfId="41587" xr:uid="{00000000-0005-0000-0000-000049690000}"/>
    <cellStyle name="Normal 2 3 3 31 2 4" xfId="11293" xr:uid="{00000000-0005-0000-0000-00004A690000}"/>
    <cellStyle name="Normal 2 3 3 31 2 4 2" xfId="41588" xr:uid="{00000000-0005-0000-0000-00004B690000}"/>
    <cellStyle name="Normal 2 3 3 31 2 5" xfId="11294" xr:uid="{00000000-0005-0000-0000-00004C690000}"/>
    <cellStyle name="Normal 2 3 3 31 2 5 2" xfId="41589" xr:uid="{00000000-0005-0000-0000-00004D690000}"/>
    <cellStyle name="Normal 2 3 3 31 2 6" xfId="41590" xr:uid="{00000000-0005-0000-0000-00004E690000}"/>
    <cellStyle name="Normal 2 3 3 31 2 6 2" xfId="41591" xr:uid="{00000000-0005-0000-0000-00004F690000}"/>
    <cellStyle name="Normal 2 3 3 31 2 7" xfId="41592" xr:uid="{00000000-0005-0000-0000-000050690000}"/>
    <cellStyle name="Normal 2 3 3 31 3" xfId="11295" xr:uid="{00000000-0005-0000-0000-000051690000}"/>
    <cellStyle name="Normal 2 3 3 31 3 2" xfId="11296" xr:uid="{00000000-0005-0000-0000-000052690000}"/>
    <cellStyle name="Normal 2 3 3 31 3 2 2" xfId="41593" xr:uid="{00000000-0005-0000-0000-000053690000}"/>
    <cellStyle name="Normal 2 3 3 31 3 3" xfId="11297" xr:uid="{00000000-0005-0000-0000-000054690000}"/>
    <cellStyle name="Normal 2 3 3 31 3 3 2" xfId="41594" xr:uid="{00000000-0005-0000-0000-000055690000}"/>
    <cellStyle name="Normal 2 3 3 31 3 4" xfId="41595" xr:uid="{00000000-0005-0000-0000-000056690000}"/>
    <cellStyle name="Normal 2 3 3 31 4" xfId="11298" xr:uid="{00000000-0005-0000-0000-000057690000}"/>
    <cellStyle name="Normal 2 3 3 31 4 2" xfId="11299" xr:uid="{00000000-0005-0000-0000-000058690000}"/>
    <cellStyle name="Normal 2 3 3 31 4 2 2" xfId="41596" xr:uid="{00000000-0005-0000-0000-000059690000}"/>
    <cellStyle name="Normal 2 3 3 31 4 3" xfId="41597" xr:uid="{00000000-0005-0000-0000-00005A690000}"/>
    <cellStyle name="Normal 2 3 3 31 5" xfId="11300" xr:uid="{00000000-0005-0000-0000-00005B690000}"/>
    <cellStyle name="Normal 2 3 3 31 5 2" xfId="41598" xr:uid="{00000000-0005-0000-0000-00005C690000}"/>
    <cellStyle name="Normal 2 3 3 31 6" xfId="11301" xr:uid="{00000000-0005-0000-0000-00005D690000}"/>
    <cellStyle name="Normal 2 3 3 31 6 2" xfId="41599" xr:uid="{00000000-0005-0000-0000-00005E690000}"/>
    <cellStyle name="Normal 2 3 3 31 7" xfId="41600" xr:uid="{00000000-0005-0000-0000-00005F690000}"/>
    <cellStyle name="Normal 2 3 3 31 7 2" xfId="41601" xr:uid="{00000000-0005-0000-0000-000060690000}"/>
    <cellStyle name="Normal 2 3 3 31 8" xfId="41602" xr:uid="{00000000-0005-0000-0000-000061690000}"/>
    <cellStyle name="Normal 2 3 3 31 9" xfId="41603" xr:uid="{00000000-0005-0000-0000-000062690000}"/>
    <cellStyle name="Normal 2 3 3 32" xfId="11302" xr:uid="{00000000-0005-0000-0000-000063690000}"/>
    <cellStyle name="Normal 2 3 3 32 2" xfId="11303" xr:uid="{00000000-0005-0000-0000-000064690000}"/>
    <cellStyle name="Normal 2 3 3 32 2 2" xfId="11304" xr:uid="{00000000-0005-0000-0000-000065690000}"/>
    <cellStyle name="Normal 2 3 3 32 2 2 2" xfId="41604" xr:uid="{00000000-0005-0000-0000-000066690000}"/>
    <cellStyle name="Normal 2 3 3 32 2 3" xfId="11305" xr:uid="{00000000-0005-0000-0000-000067690000}"/>
    <cellStyle name="Normal 2 3 3 32 2 3 2" xfId="41605" xr:uid="{00000000-0005-0000-0000-000068690000}"/>
    <cellStyle name="Normal 2 3 3 32 2 4" xfId="41606" xr:uid="{00000000-0005-0000-0000-000069690000}"/>
    <cellStyle name="Normal 2 3 3 32 3" xfId="11306" xr:uid="{00000000-0005-0000-0000-00006A690000}"/>
    <cellStyle name="Normal 2 3 3 32 3 2" xfId="41607" xr:uid="{00000000-0005-0000-0000-00006B690000}"/>
    <cellStyle name="Normal 2 3 3 32 4" xfId="11307" xr:uid="{00000000-0005-0000-0000-00006C690000}"/>
    <cellStyle name="Normal 2 3 3 32 4 2" xfId="41608" xr:uid="{00000000-0005-0000-0000-00006D690000}"/>
    <cellStyle name="Normal 2 3 3 32 5" xfId="11308" xr:uid="{00000000-0005-0000-0000-00006E690000}"/>
    <cellStyle name="Normal 2 3 3 32 5 2" xfId="41609" xr:uid="{00000000-0005-0000-0000-00006F690000}"/>
    <cellStyle name="Normal 2 3 3 32 6" xfId="41610" xr:uid="{00000000-0005-0000-0000-000070690000}"/>
    <cellStyle name="Normal 2 3 3 32 6 2" xfId="41611" xr:uid="{00000000-0005-0000-0000-000071690000}"/>
    <cellStyle name="Normal 2 3 3 32 7" xfId="41612" xr:uid="{00000000-0005-0000-0000-000072690000}"/>
    <cellStyle name="Normal 2 3 3 33" xfId="11309" xr:uid="{00000000-0005-0000-0000-000073690000}"/>
    <cellStyle name="Normal 2 3 3 33 2" xfId="11310" xr:uid="{00000000-0005-0000-0000-000074690000}"/>
    <cellStyle name="Normal 2 3 3 33 2 2" xfId="41613" xr:uid="{00000000-0005-0000-0000-000075690000}"/>
    <cellStyle name="Normal 2 3 3 33 3" xfId="11311" xr:uid="{00000000-0005-0000-0000-000076690000}"/>
    <cellStyle name="Normal 2 3 3 33 3 2" xfId="41614" xr:uid="{00000000-0005-0000-0000-000077690000}"/>
    <cellStyle name="Normal 2 3 3 33 4" xfId="41615" xr:uid="{00000000-0005-0000-0000-000078690000}"/>
    <cellStyle name="Normal 2 3 3 34" xfId="11312" xr:uid="{00000000-0005-0000-0000-000079690000}"/>
    <cellStyle name="Normal 2 3 3 34 2" xfId="11313" xr:uid="{00000000-0005-0000-0000-00007A690000}"/>
    <cellStyle name="Normal 2 3 3 34 2 2" xfId="41616" xr:uid="{00000000-0005-0000-0000-00007B690000}"/>
    <cellStyle name="Normal 2 3 3 34 3" xfId="41617" xr:uid="{00000000-0005-0000-0000-00007C690000}"/>
    <cellStyle name="Normal 2 3 3 35" xfId="11314" xr:uid="{00000000-0005-0000-0000-00007D690000}"/>
    <cellStyle name="Normal 2 3 3 35 2" xfId="41618" xr:uid="{00000000-0005-0000-0000-00007E690000}"/>
    <cellStyle name="Normal 2 3 3 36" xfId="11315" xr:uid="{00000000-0005-0000-0000-00007F690000}"/>
    <cellStyle name="Normal 2 3 3 36 2" xfId="41619" xr:uid="{00000000-0005-0000-0000-000080690000}"/>
    <cellStyle name="Normal 2 3 3 37" xfId="41620" xr:uid="{00000000-0005-0000-0000-000081690000}"/>
    <cellStyle name="Normal 2 3 3 37 2" xfId="41621" xr:uid="{00000000-0005-0000-0000-000082690000}"/>
    <cellStyle name="Normal 2 3 3 38" xfId="41622" xr:uid="{00000000-0005-0000-0000-000083690000}"/>
    <cellStyle name="Normal 2 3 3 39" xfId="41623" xr:uid="{00000000-0005-0000-0000-000084690000}"/>
    <cellStyle name="Normal 2 3 3 4" xfId="11316" xr:uid="{00000000-0005-0000-0000-000085690000}"/>
    <cellStyle name="Normal 2 3 3 4 10" xfId="41624" xr:uid="{00000000-0005-0000-0000-000086690000}"/>
    <cellStyle name="Normal 2 3 3 4 11" xfId="41625" xr:uid="{00000000-0005-0000-0000-000087690000}"/>
    <cellStyle name="Normal 2 3 3 4 2" xfId="11317" xr:uid="{00000000-0005-0000-0000-000088690000}"/>
    <cellStyle name="Normal 2 3 3 4 2 10" xfId="41626" xr:uid="{00000000-0005-0000-0000-000089690000}"/>
    <cellStyle name="Normal 2 3 3 4 2 2" xfId="11318" xr:uid="{00000000-0005-0000-0000-00008A690000}"/>
    <cellStyle name="Normal 2 3 3 4 2 2 2" xfId="11319" xr:uid="{00000000-0005-0000-0000-00008B690000}"/>
    <cellStyle name="Normal 2 3 3 4 2 2 2 2" xfId="11320" xr:uid="{00000000-0005-0000-0000-00008C690000}"/>
    <cellStyle name="Normal 2 3 3 4 2 2 2 2 2" xfId="41627" xr:uid="{00000000-0005-0000-0000-00008D690000}"/>
    <cellStyle name="Normal 2 3 3 4 2 2 2 3" xfId="11321" xr:uid="{00000000-0005-0000-0000-00008E690000}"/>
    <cellStyle name="Normal 2 3 3 4 2 2 2 3 2" xfId="41628" xr:uid="{00000000-0005-0000-0000-00008F690000}"/>
    <cellStyle name="Normal 2 3 3 4 2 2 2 4" xfId="41629" xr:uid="{00000000-0005-0000-0000-000090690000}"/>
    <cellStyle name="Normal 2 3 3 4 2 2 3" xfId="11322" xr:uid="{00000000-0005-0000-0000-000091690000}"/>
    <cellStyle name="Normal 2 3 3 4 2 2 3 2" xfId="41630" xr:uid="{00000000-0005-0000-0000-000092690000}"/>
    <cellStyle name="Normal 2 3 3 4 2 2 4" xfId="11323" xr:uid="{00000000-0005-0000-0000-000093690000}"/>
    <cellStyle name="Normal 2 3 3 4 2 2 4 2" xfId="41631" xr:uid="{00000000-0005-0000-0000-000094690000}"/>
    <cellStyle name="Normal 2 3 3 4 2 2 5" xfId="11324" xr:uid="{00000000-0005-0000-0000-000095690000}"/>
    <cellStyle name="Normal 2 3 3 4 2 2 5 2" xfId="41632" xr:uid="{00000000-0005-0000-0000-000096690000}"/>
    <cellStyle name="Normal 2 3 3 4 2 2 6" xfId="41633" xr:uid="{00000000-0005-0000-0000-000097690000}"/>
    <cellStyle name="Normal 2 3 3 4 2 2 6 2" xfId="41634" xr:uid="{00000000-0005-0000-0000-000098690000}"/>
    <cellStyle name="Normal 2 3 3 4 2 2 7" xfId="41635" xr:uid="{00000000-0005-0000-0000-000099690000}"/>
    <cellStyle name="Normal 2 3 3 4 2 3" xfId="11325" xr:uid="{00000000-0005-0000-0000-00009A690000}"/>
    <cellStyle name="Normal 2 3 3 4 2 3 2" xfId="11326" xr:uid="{00000000-0005-0000-0000-00009B690000}"/>
    <cellStyle name="Normal 2 3 3 4 2 3 2 2" xfId="41636" xr:uid="{00000000-0005-0000-0000-00009C690000}"/>
    <cellStyle name="Normal 2 3 3 4 2 3 3" xfId="11327" xr:uid="{00000000-0005-0000-0000-00009D690000}"/>
    <cellStyle name="Normal 2 3 3 4 2 3 3 2" xfId="41637" xr:uid="{00000000-0005-0000-0000-00009E690000}"/>
    <cellStyle name="Normal 2 3 3 4 2 3 4" xfId="41638" xr:uid="{00000000-0005-0000-0000-00009F690000}"/>
    <cellStyle name="Normal 2 3 3 4 2 4" xfId="11328" xr:uid="{00000000-0005-0000-0000-0000A0690000}"/>
    <cellStyle name="Normal 2 3 3 4 2 4 2" xfId="11329" xr:uid="{00000000-0005-0000-0000-0000A1690000}"/>
    <cellStyle name="Normal 2 3 3 4 2 4 2 2" xfId="41639" xr:uid="{00000000-0005-0000-0000-0000A2690000}"/>
    <cellStyle name="Normal 2 3 3 4 2 4 3" xfId="41640" xr:uid="{00000000-0005-0000-0000-0000A3690000}"/>
    <cellStyle name="Normal 2 3 3 4 2 5" xfId="11330" xr:uid="{00000000-0005-0000-0000-0000A4690000}"/>
    <cellStyle name="Normal 2 3 3 4 2 5 2" xfId="41641" xr:uid="{00000000-0005-0000-0000-0000A5690000}"/>
    <cellStyle name="Normal 2 3 3 4 2 6" xfId="11331" xr:uid="{00000000-0005-0000-0000-0000A6690000}"/>
    <cellStyle name="Normal 2 3 3 4 2 6 2" xfId="41642" xr:uid="{00000000-0005-0000-0000-0000A7690000}"/>
    <cellStyle name="Normal 2 3 3 4 2 7" xfId="41643" xr:uid="{00000000-0005-0000-0000-0000A8690000}"/>
    <cellStyle name="Normal 2 3 3 4 2 7 2" xfId="41644" xr:uid="{00000000-0005-0000-0000-0000A9690000}"/>
    <cellStyle name="Normal 2 3 3 4 2 8" xfId="41645" xr:uid="{00000000-0005-0000-0000-0000AA690000}"/>
    <cellStyle name="Normal 2 3 3 4 2 9" xfId="41646" xr:uid="{00000000-0005-0000-0000-0000AB690000}"/>
    <cellStyle name="Normal 2 3 3 4 3" xfId="11332" xr:uid="{00000000-0005-0000-0000-0000AC690000}"/>
    <cellStyle name="Normal 2 3 3 4 3 2" xfId="11333" xr:uid="{00000000-0005-0000-0000-0000AD690000}"/>
    <cellStyle name="Normal 2 3 3 4 3 2 2" xfId="11334" xr:uid="{00000000-0005-0000-0000-0000AE690000}"/>
    <cellStyle name="Normal 2 3 3 4 3 2 2 2" xfId="41647" xr:uid="{00000000-0005-0000-0000-0000AF690000}"/>
    <cellStyle name="Normal 2 3 3 4 3 2 3" xfId="11335" xr:uid="{00000000-0005-0000-0000-0000B0690000}"/>
    <cellStyle name="Normal 2 3 3 4 3 2 3 2" xfId="41648" xr:uid="{00000000-0005-0000-0000-0000B1690000}"/>
    <cellStyle name="Normal 2 3 3 4 3 2 4" xfId="41649" xr:uid="{00000000-0005-0000-0000-0000B2690000}"/>
    <cellStyle name="Normal 2 3 3 4 3 3" xfId="11336" xr:uid="{00000000-0005-0000-0000-0000B3690000}"/>
    <cellStyle name="Normal 2 3 3 4 3 3 2" xfId="41650" xr:uid="{00000000-0005-0000-0000-0000B4690000}"/>
    <cellStyle name="Normal 2 3 3 4 3 4" xfId="11337" xr:uid="{00000000-0005-0000-0000-0000B5690000}"/>
    <cellStyle name="Normal 2 3 3 4 3 4 2" xfId="41651" xr:uid="{00000000-0005-0000-0000-0000B6690000}"/>
    <cellStyle name="Normal 2 3 3 4 3 5" xfId="11338" xr:uid="{00000000-0005-0000-0000-0000B7690000}"/>
    <cellStyle name="Normal 2 3 3 4 3 5 2" xfId="41652" xr:uid="{00000000-0005-0000-0000-0000B8690000}"/>
    <cellStyle name="Normal 2 3 3 4 3 6" xfId="41653" xr:uid="{00000000-0005-0000-0000-0000B9690000}"/>
    <cellStyle name="Normal 2 3 3 4 3 6 2" xfId="41654" xr:uid="{00000000-0005-0000-0000-0000BA690000}"/>
    <cellStyle name="Normal 2 3 3 4 3 7" xfId="41655" xr:uid="{00000000-0005-0000-0000-0000BB690000}"/>
    <cellStyle name="Normal 2 3 3 4 4" xfId="11339" xr:uid="{00000000-0005-0000-0000-0000BC690000}"/>
    <cellStyle name="Normal 2 3 3 4 4 2" xfId="11340" xr:uid="{00000000-0005-0000-0000-0000BD690000}"/>
    <cellStyle name="Normal 2 3 3 4 4 2 2" xfId="41656" xr:uid="{00000000-0005-0000-0000-0000BE690000}"/>
    <cellStyle name="Normal 2 3 3 4 4 3" xfId="11341" xr:uid="{00000000-0005-0000-0000-0000BF690000}"/>
    <cellStyle name="Normal 2 3 3 4 4 3 2" xfId="41657" xr:uid="{00000000-0005-0000-0000-0000C0690000}"/>
    <cellStyle name="Normal 2 3 3 4 4 4" xfId="41658" xr:uid="{00000000-0005-0000-0000-0000C1690000}"/>
    <cellStyle name="Normal 2 3 3 4 5" xfId="11342" xr:uid="{00000000-0005-0000-0000-0000C2690000}"/>
    <cellStyle name="Normal 2 3 3 4 5 2" xfId="11343" xr:uid="{00000000-0005-0000-0000-0000C3690000}"/>
    <cellStyle name="Normal 2 3 3 4 5 2 2" xfId="41659" xr:uid="{00000000-0005-0000-0000-0000C4690000}"/>
    <cellStyle name="Normal 2 3 3 4 5 3" xfId="41660" xr:uid="{00000000-0005-0000-0000-0000C5690000}"/>
    <cellStyle name="Normal 2 3 3 4 6" xfId="11344" xr:uid="{00000000-0005-0000-0000-0000C6690000}"/>
    <cellStyle name="Normal 2 3 3 4 6 2" xfId="41661" xr:uid="{00000000-0005-0000-0000-0000C7690000}"/>
    <cellStyle name="Normal 2 3 3 4 7" xfId="11345" xr:uid="{00000000-0005-0000-0000-0000C8690000}"/>
    <cellStyle name="Normal 2 3 3 4 7 2" xfId="41662" xr:uid="{00000000-0005-0000-0000-0000C9690000}"/>
    <cellStyle name="Normal 2 3 3 4 8" xfId="41663" xr:uid="{00000000-0005-0000-0000-0000CA690000}"/>
    <cellStyle name="Normal 2 3 3 4 8 2" xfId="41664" xr:uid="{00000000-0005-0000-0000-0000CB690000}"/>
    <cellStyle name="Normal 2 3 3 4 9" xfId="41665" xr:uid="{00000000-0005-0000-0000-0000CC690000}"/>
    <cellStyle name="Normal 2 3 3 40" xfId="41666" xr:uid="{00000000-0005-0000-0000-0000CD690000}"/>
    <cellStyle name="Normal 2 3 3 5" xfId="11346" xr:uid="{00000000-0005-0000-0000-0000CE690000}"/>
    <cellStyle name="Normal 2 3 3 5 10" xfId="41667" xr:uid="{00000000-0005-0000-0000-0000CF690000}"/>
    <cellStyle name="Normal 2 3 3 5 11" xfId="41668" xr:uid="{00000000-0005-0000-0000-0000D0690000}"/>
    <cellStyle name="Normal 2 3 3 5 2" xfId="11347" xr:uid="{00000000-0005-0000-0000-0000D1690000}"/>
    <cellStyle name="Normal 2 3 3 5 2 10" xfId="41669" xr:uid="{00000000-0005-0000-0000-0000D2690000}"/>
    <cellStyle name="Normal 2 3 3 5 2 2" xfId="11348" xr:uid="{00000000-0005-0000-0000-0000D3690000}"/>
    <cellStyle name="Normal 2 3 3 5 2 2 2" xfId="11349" xr:uid="{00000000-0005-0000-0000-0000D4690000}"/>
    <cellStyle name="Normal 2 3 3 5 2 2 2 2" xfId="11350" xr:uid="{00000000-0005-0000-0000-0000D5690000}"/>
    <cellStyle name="Normal 2 3 3 5 2 2 2 2 2" xfId="41670" xr:uid="{00000000-0005-0000-0000-0000D6690000}"/>
    <cellStyle name="Normal 2 3 3 5 2 2 2 3" xfId="11351" xr:uid="{00000000-0005-0000-0000-0000D7690000}"/>
    <cellStyle name="Normal 2 3 3 5 2 2 2 3 2" xfId="41671" xr:uid="{00000000-0005-0000-0000-0000D8690000}"/>
    <cellStyle name="Normal 2 3 3 5 2 2 2 4" xfId="41672" xr:uid="{00000000-0005-0000-0000-0000D9690000}"/>
    <cellStyle name="Normal 2 3 3 5 2 2 3" xfId="11352" xr:uid="{00000000-0005-0000-0000-0000DA690000}"/>
    <cellStyle name="Normal 2 3 3 5 2 2 3 2" xfId="41673" xr:uid="{00000000-0005-0000-0000-0000DB690000}"/>
    <cellStyle name="Normal 2 3 3 5 2 2 4" xfId="11353" xr:uid="{00000000-0005-0000-0000-0000DC690000}"/>
    <cellStyle name="Normal 2 3 3 5 2 2 4 2" xfId="41674" xr:uid="{00000000-0005-0000-0000-0000DD690000}"/>
    <cellStyle name="Normal 2 3 3 5 2 2 5" xfId="11354" xr:uid="{00000000-0005-0000-0000-0000DE690000}"/>
    <cellStyle name="Normal 2 3 3 5 2 2 5 2" xfId="41675" xr:uid="{00000000-0005-0000-0000-0000DF690000}"/>
    <cellStyle name="Normal 2 3 3 5 2 2 6" xfId="41676" xr:uid="{00000000-0005-0000-0000-0000E0690000}"/>
    <cellStyle name="Normal 2 3 3 5 2 2 6 2" xfId="41677" xr:uid="{00000000-0005-0000-0000-0000E1690000}"/>
    <cellStyle name="Normal 2 3 3 5 2 2 7" xfId="41678" xr:uid="{00000000-0005-0000-0000-0000E2690000}"/>
    <cellStyle name="Normal 2 3 3 5 2 3" xfId="11355" xr:uid="{00000000-0005-0000-0000-0000E3690000}"/>
    <cellStyle name="Normal 2 3 3 5 2 3 2" xfId="11356" xr:uid="{00000000-0005-0000-0000-0000E4690000}"/>
    <cellStyle name="Normal 2 3 3 5 2 3 2 2" xfId="41679" xr:uid="{00000000-0005-0000-0000-0000E5690000}"/>
    <cellStyle name="Normal 2 3 3 5 2 3 3" xfId="11357" xr:uid="{00000000-0005-0000-0000-0000E6690000}"/>
    <cellStyle name="Normal 2 3 3 5 2 3 3 2" xfId="41680" xr:uid="{00000000-0005-0000-0000-0000E7690000}"/>
    <cellStyle name="Normal 2 3 3 5 2 3 4" xfId="41681" xr:uid="{00000000-0005-0000-0000-0000E8690000}"/>
    <cellStyle name="Normal 2 3 3 5 2 4" xfId="11358" xr:uid="{00000000-0005-0000-0000-0000E9690000}"/>
    <cellStyle name="Normal 2 3 3 5 2 4 2" xfId="11359" xr:uid="{00000000-0005-0000-0000-0000EA690000}"/>
    <cellStyle name="Normal 2 3 3 5 2 4 2 2" xfId="41682" xr:uid="{00000000-0005-0000-0000-0000EB690000}"/>
    <cellStyle name="Normal 2 3 3 5 2 4 3" xfId="41683" xr:uid="{00000000-0005-0000-0000-0000EC690000}"/>
    <cellStyle name="Normal 2 3 3 5 2 5" xfId="11360" xr:uid="{00000000-0005-0000-0000-0000ED690000}"/>
    <cellStyle name="Normal 2 3 3 5 2 5 2" xfId="41684" xr:uid="{00000000-0005-0000-0000-0000EE690000}"/>
    <cellStyle name="Normal 2 3 3 5 2 6" xfId="11361" xr:uid="{00000000-0005-0000-0000-0000EF690000}"/>
    <cellStyle name="Normal 2 3 3 5 2 6 2" xfId="41685" xr:uid="{00000000-0005-0000-0000-0000F0690000}"/>
    <cellStyle name="Normal 2 3 3 5 2 7" xfId="41686" xr:uid="{00000000-0005-0000-0000-0000F1690000}"/>
    <cellStyle name="Normal 2 3 3 5 2 7 2" xfId="41687" xr:uid="{00000000-0005-0000-0000-0000F2690000}"/>
    <cellStyle name="Normal 2 3 3 5 2 8" xfId="41688" xr:uid="{00000000-0005-0000-0000-0000F3690000}"/>
    <cellStyle name="Normal 2 3 3 5 2 9" xfId="41689" xr:uid="{00000000-0005-0000-0000-0000F4690000}"/>
    <cellStyle name="Normal 2 3 3 5 3" xfId="11362" xr:uid="{00000000-0005-0000-0000-0000F5690000}"/>
    <cellStyle name="Normal 2 3 3 5 3 2" xfId="11363" xr:uid="{00000000-0005-0000-0000-0000F6690000}"/>
    <cellStyle name="Normal 2 3 3 5 3 2 2" xfId="11364" xr:uid="{00000000-0005-0000-0000-0000F7690000}"/>
    <cellStyle name="Normal 2 3 3 5 3 2 2 2" xfId="41690" xr:uid="{00000000-0005-0000-0000-0000F8690000}"/>
    <cellStyle name="Normal 2 3 3 5 3 2 3" xfId="11365" xr:uid="{00000000-0005-0000-0000-0000F9690000}"/>
    <cellStyle name="Normal 2 3 3 5 3 2 3 2" xfId="41691" xr:uid="{00000000-0005-0000-0000-0000FA690000}"/>
    <cellStyle name="Normal 2 3 3 5 3 2 4" xfId="41692" xr:uid="{00000000-0005-0000-0000-0000FB690000}"/>
    <cellStyle name="Normal 2 3 3 5 3 3" xfId="11366" xr:uid="{00000000-0005-0000-0000-0000FC690000}"/>
    <cellStyle name="Normal 2 3 3 5 3 3 2" xfId="41693" xr:uid="{00000000-0005-0000-0000-0000FD690000}"/>
    <cellStyle name="Normal 2 3 3 5 3 4" xfId="11367" xr:uid="{00000000-0005-0000-0000-0000FE690000}"/>
    <cellStyle name="Normal 2 3 3 5 3 4 2" xfId="41694" xr:uid="{00000000-0005-0000-0000-0000FF690000}"/>
    <cellStyle name="Normal 2 3 3 5 3 5" xfId="11368" xr:uid="{00000000-0005-0000-0000-0000006A0000}"/>
    <cellStyle name="Normal 2 3 3 5 3 5 2" xfId="41695" xr:uid="{00000000-0005-0000-0000-0000016A0000}"/>
    <cellStyle name="Normal 2 3 3 5 3 6" xfId="41696" xr:uid="{00000000-0005-0000-0000-0000026A0000}"/>
    <cellStyle name="Normal 2 3 3 5 3 6 2" xfId="41697" xr:uid="{00000000-0005-0000-0000-0000036A0000}"/>
    <cellStyle name="Normal 2 3 3 5 3 7" xfId="41698" xr:uid="{00000000-0005-0000-0000-0000046A0000}"/>
    <cellStyle name="Normal 2 3 3 5 4" xfId="11369" xr:uid="{00000000-0005-0000-0000-0000056A0000}"/>
    <cellStyle name="Normal 2 3 3 5 4 2" xfId="11370" xr:uid="{00000000-0005-0000-0000-0000066A0000}"/>
    <cellStyle name="Normal 2 3 3 5 4 2 2" xfId="41699" xr:uid="{00000000-0005-0000-0000-0000076A0000}"/>
    <cellStyle name="Normal 2 3 3 5 4 3" xfId="11371" xr:uid="{00000000-0005-0000-0000-0000086A0000}"/>
    <cellStyle name="Normal 2 3 3 5 4 3 2" xfId="41700" xr:uid="{00000000-0005-0000-0000-0000096A0000}"/>
    <cellStyle name="Normal 2 3 3 5 4 4" xfId="41701" xr:uid="{00000000-0005-0000-0000-00000A6A0000}"/>
    <cellStyle name="Normal 2 3 3 5 5" xfId="11372" xr:uid="{00000000-0005-0000-0000-00000B6A0000}"/>
    <cellStyle name="Normal 2 3 3 5 5 2" xfId="11373" xr:uid="{00000000-0005-0000-0000-00000C6A0000}"/>
    <cellStyle name="Normal 2 3 3 5 5 2 2" xfId="41702" xr:uid="{00000000-0005-0000-0000-00000D6A0000}"/>
    <cellStyle name="Normal 2 3 3 5 5 3" xfId="41703" xr:uid="{00000000-0005-0000-0000-00000E6A0000}"/>
    <cellStyle name="Normal 2 3 3 5 6" xfId="11374" xr:uid="{00000000-0005-0000-0000-00000F6A0000}"/>
    <cellStyle name="Normal 2 3 3 5 6 2" xfId="41704" xr:uid="{00000000-0005-0000-0000-0000106A0000}"/>
    <cellStyle name="Normal 2 3 3 5 7" xfId="11375" xr:uid="{00000000-0005-0000-0000-0000116A0000}"/>
    <cellStyle name="Normal 2 3 3 5 7 2" xfId="41705" xr:uid="{00000000-0005-0000-0000-0000126A0000}"/>
    <cellStyle name="Normal 2 3 3 5 8" xfId="41706" xr:uid="{00000000-0005-0000-0000-0000136A0000}"/>
    <cellStyle name="Normal 2 3 3 5 8 2" xfId="41707" xr:uid="{00000000-0005-0000-0000-0000146A0000}"/>
    <cellStyle name="Normal 2 3 3 5 9" xfId="41708" xr:uid="{00000000-0005-0000-0000-0000156A0000}"/>
    <cellStyle name="Normal 2 3 3 6" xfId="11376" xr:uid="{00000000-0005-0000-0000-0000166A0000}"/>
    <cellStyle name="Normal 2 3 3 6 10" xfId="41709" xr:uid="{00000000-0005-0000-0000-0000176A0000}"/>
    <cellStyle name="Normal 2 3 3 6 11" xfId="41710" xr:uid="{00000000-0005-0000-0000-0000186A0000}"/>
    <cellStyle name="Normal 2 3 3 6 2" xfId="11377" xr:uid="{00000000-0005-0000-0000-0000196A0000}"/>
    <cellStyle name="Normal 2 3 3 6 2 10" xfId="41711" xr:uid="{00000000-0005-0000-0000-00001A6A0000}"/>
    <cellStyle name="Normal 2 3 3 6 2 2" xfId="11378" xr:uid="{00000000-0005-0000-0000-00001B6A0000}"/>
    <cellStyle name="Normal 2 3 3 6 2 2 2" xfId="11379" xr:uid="{00000000-0005-0000-0000-00001C6A0000}"/>
    <cellStyle name="Normal 2 3 3 6 2 2 2 2" xfId="11380" xr:uid="{00000000-0005-0000-0000-00001D6A0000}"/>
    <cellStyle name="Normal 2 3 3 6 2 2 2 2 2" xfId="41712" xr:uid="{00000000-0005-0000-0000-00001E6A0000}"/>
    <cellStyle name="Normal 2 3 3 6 2 2 2 3" xfId="11381" xr:uid="{00000000-0005-0000-0000-00001F6A0000}"/>
    <cellStyle name="Normal 2 3 3 6 2 2 2 3 2" xfId="41713" xr:uid="{00000000-0005-0000-0000-0000206A0000}"/>
    <cellStyle name="Normal 2 3 3 6 2 2 2 4" xfId="41714" xr:uid="{00000000-0005-0000-0000-0000216A0000}"/>
    <cellStyle name="Normal 2 3 3 6 2 2 3" xfId="11382" xr:uid="{00000000-0005-0000-0000-0000226A0000}"/>
    <cellStyle name="Normal 2 3 3 6 2 2 3 2" xfId="41715" xr:uid="{00000000-0005-0000-0000-0000236A0000}"/>
    <cellStyle name="Normal 2 3 3 6 2 2 4" xfId="11383" xr:uid="{00000000-0005-0000-0000-0000246A0000}"/>
    <cellStyle name="Normal 2 3 3 6 2 2 4 2" xfId="41716" xr:uid="{00000000-0005-0000-0000-0000256A0000}"/>
    <cellStyle name="Normal 2 3 3 6 2 2 5" xfId="11384" xr:uid="{00000000-0005-0000-0000-0000266A0000}"/>
    <cellStyle name="Normal 2 3 3 6 2 2 5 2" xfId="41717" xr:uid="{00000000-0005-0000-0000-0000276A0000}"/>
    <cellStyle name="Normal 2 3 3 6 2 2 6" xfId="41718" xr:uid="{00000000-0005-0000-0000-0000286A0000}"/>
    <cellStyle name="Normal 2 3 3 6 2 2 6 2" xfId="41719" xr:uid="{00000000-0005-0000-0000-0000296A0000}"/>
    <cellStyle name="Normal 2 3 3 6 2 2 7" xfId="41720" xr:uid="{00000000-0005-0000-0000-00002A6A0000}"/>
    <cellStyle name="Normal 2 3 3 6 2 3" xfId="11385" xr:uid="{00000000-0005-0000-0000-00002B6A0000}"/>
    <cellStyle name="Normal 2 3 3 6 2 3 2" xfId="11386" xr:uid="{00000000-0005-0000-0000-00002C6A0000}"/>
    <cellStyle name="Normal 2 3 3 6 2 3 2 2" xfId="41721" xr:uid="{00000000-0005-0000-0000-00002D6A0000}"/>
    <cellStyle name="Normal 2 3 3 6 2 3 3" xfId="11387" xr:uid="{00000000-0005-0000-0000-00002E6A0000}"/>
    <cellStyle name="Normal 2 3 3 6 2 3 3 2" xfId="41722" xr:uid="{00000000-0005-0000-0000-00002F6A0000}"/>
    <cellStyle name="Normal 2 3 3 6 2 3 4" xfId="41723" xr:uid="{00000000-0005-0000-0000-0000306A0000}"/>
    <cellStyle name="Normal 2 3 3 6 2 4" xfId="11388" xr:uid="{00000000-0005-0000-0000-0000316A0000}"/>
    <cellStyle name="Normal 2 3 3 6 2 4 2" xfId="11389" xr:uid="{00000000-0005-0000-0000-0000326A0000}"/>
    <cellStyle name="Normal 2 3 3 6 2 4 2 2" xfId="41724" xr:uid="{00000000-0005-0000-0000-0000336A0000}"/>
    <cellStyle name="Normal 2 3 3 6 2 4 3" xfId="41725" xr:uid="{00000000-0005-0000-0000-0000346A0000}"/>
    <cellStyle name="Normal 2 3 3 6 2 5" xfId="11390" xr:uid="{00000000-0005-0000-0000-0000356A0000}"/>
    <cellStyle name="Normal 2 3 3 6 2 5 2" xfId="41726" xr:uid="{00000000-0005-0000-0000-0000366A0000}"/>
    <cellStyle name="Normal 2 3 3 6 2 6" xfId="11391" xr:uid="{00000000-0005-0000-0000-0000376A0000}"/>
    <cellStyle name="Normal 2 3 3 6 2 6 2" xfId="41727" xr:uid="{00000000-0005-0000-0000-0000386A0000}"/>
    <cellStyle name="Normal 2 3 3 6 2 7" xfId="41728" xr:uid="{00000000-0005-0000-0000-0000396A0000}"/>
    <cellStyle name="Normal 2 3 3 6 2 7 2" xfId="41729" xr:uid="{00000000-0005-0000-0000-00003A6A0000}"/>
    <cellStyle name="Normal 2 3 3 6 2 8" xfId="41730" xr:uid="{00000000-0005-0000-0000-00003B6A0000}"/>
    <cellStyle name="Normal 2 3 3 6 2 9" xfId="41731" xr:uid="{00000000-0005-0000-0000-00003C6A0000}"/>
    <cellStyle name="Normal 2 3 3 6 3" xfId="11392" xr:uid="{00000000-0005-0000-0000-00003D6A0000}"/>
    <cellStyle name="Normal 2 3 3 6 3 2" xfId="11393" xr:uid="{00000000-0005-0000-0000-00003E6A0000}"/>
    <cellStyle name="Normal 2 3 3 6 3 2 2" xfId="11394" xr:uid="{00000000-0005-0000-0000-00003F6A0000}"/>
    <cellStyle name="Normal 2 3 3 6 3 2 2 2" xfId="41732" xr:uid="{00000000-0005-0000-0000-0000406A0000}"/>
    <cellStyle name="Normal 2 3 3 6 3 2 3" xfId="11395" xr:uid="{00000000-0005-0000-0000-0000416A0000}"/>
    <cellStyle name="Normal 2 3 3 6 3 2 3 2" xfId="41733" xr:uid="{00000000-0005-0000-0000-0000426A0000}"/>
    <cellStyle name="Normal 2 3 3 6 3 2 4" xfId="41734" xr:uid="{00000000-0005-0000-0000-0000436A0000}"/>
    <cellStyle name="Normal 2 3 3 6 3 3" xfId="11396" xr:uid="{00000000-0005-0000-0000-0000446A0000}"/>
    <cellStyle name="Normal 2 3 3 6 3 3 2" xfId="41735" xr:uid="{00000000-0005-0000-0000-0000456A0000}"/>
    <cellStyle name="Normal 2 3 3 6 3 4" xfId="11397" xr:uid="{00000000-0005-0000-0000-0000466A0000}"/>
    <cellStyle name="Normal 2 3 3 6 3 4 2" xfId="41736" xr:uid="{00000000-0005-0000-0000-0000476A0000}"/>
    <cellStyle name="Normal 2 3 3 6 3 5" xfId="11398" xr:uid="{00000000-0005-0000-0000-0000486A0000}"/>
    <cellStyle name="Normal 2 3 3 6 3 5 2" xfId="41737" xr:uid="{00000000-0005-0000-0000-0000496A0000}"/>
    <cellStyle name="Normal 2 3 3 6 3 6" xfId="41738" xr:uid="{00000000-0005-0000-0000-00004A6A0000}"/>
    <cellStyle name="Normal 2 3 3 6 3 6 2" xfId="41739" xr:uid="{00000000-0005-0000-0000-00004B6A0000}"/>
    <cellStyle name="Normal 2 3 3 6 3 7" xfId="41740" xr:uid="{00000000-0005-0000-0000-00004C6A0000}"/>
    <cellStyle name="Normal 2 3 3 6 4" xfId="11399" xr:uid="{00000000-0005-0000-0000-00004D6A0000}"/>
    <cellStyle name="Normal 2 3 3 6 4 2" xfId="11400" xr:uid="{00000000-0005-0000-0000-00004E6A0000}"/>
    <cellStyle name="Normal 2 3 3 6 4 2 2" xfId="41741" xr:uid="{00000000-0005-0000-0000-00004F6A0000}"/>
    <cellStyle name="Normal 2 3 3 6 4 3" xfId="11401" xr:uid="{00000000-0005-0000-0000-0000506A0000}"/>
    <cellStyle name="Normal 2 3 3 6 4 3 2" xfId="41742" xr:uid="{00000000-0005-0000-0000-0000516A0000}"/>
    <cellStyle name="Normal 2 3 3 6 4 4" xfId="41743" xr:uid="{00000000-0005-0000-0000-0000526A0000}"/>
    <cellStyle name="Normal 2 3 3 6 5" xfId="11402" xr:uid="{00000000-0005-0000-0000-0000536A0000}"/>
    <cellStyle name="Normal 2 3 3 6 5 2" xfId="11403" xr:uid="{00000000-0005-0000-0000-0000546A0000}"/>
    <cellStyle name="Normal 2 3 3 6 5 2 2" xfId="41744" xr:uid="{00000000-0005-0000-0000-0000556A0000}"/>
    <cellStyle name="Normal 2 3 3 6 5 3" xfId="41745" xr:uid="{00000000-0005-0000-0000-0000566A0000}"/>
    <cellStyle name="Normal 2 3 3 6 6" xfId="11404" xr:uid="{00000000-0005-0000-0000-0000576A0000}"/>
    <cellStyle name="Normal 2 3 3 6 6 2" xfId="41746" xr:uid="{00000000-0005-0000-0000-0000586A0000}"/>
    <cellStyle name="Normal 2 3 3 6 7" xfId="11405" xr:uid="{00000000-0005-0000-0000-0000596A0000}"/>
    <cellStyle name="Normal 2 3 3 6 7 2" xfId="41747" xr:uid="{00000000-0005-0000-0000-00005A6A0000}"/>
    <cellStyle name="Normal 2 3 3 6 8" xfId="41748" xr:uid="{00000000-0005-0000-0000-00005B6A0000}"/>
    <cellStyle name="Normal 2 3 3 6 8 2" xfId="41749" xr:uid="{00000000-0005-0000-0000-00005C6A0000}"/>
    <cellStyle name="Normal 2 3 3 6 9" xfId="41750" xr:uid="{00000000-0005-0000-0000-00005D6A0000}"/>
    <cellStyle name="Normal 2 3 3 7" xfId="11406" xr:uid="{00000000-0005-0000-0000-00005E6A0000}"/>
    <cellStyle name="Normal 2 3 3 7 10" xfId="41751" xr:uid="{00000000-0005-0000-0000-00005F6A0000}"/>
    <cellStyle name="Normal 2 3 3 7 11" xfId="41752" xr:uid="{00000000-0005-0000-0000-0000606A0000}"/>
    <cellStyle name="Normal 2 3 3 7 2" xfId="11407" xr:uid="{00000000-0005-0000-0000-0000616A0000}"/>
    <cellStyle name="Normal 2 3 3 7 2 10" xfId="41753" xr:uid="{00000000-0005-0000-0000-0000626A0000}"/>
    <cellStyle name="Normal 2 3 3 7 2 2" xfId="11408" xr:uid="{00000000-0005-0000-0000-0000636A0000}"/>
    <cellStyle name="Normal 2 3 3 7 2 2 2" xfId="11409" xr:uid="{00000000-0005-0000-0000-0000646A0000}"/>
    <cellStyle name="Normal 2 3 3 7 2 2 2 2" xfId="11410" xr:uid="{00000000-0005-0000-0000-0000656A0000}"/>
    <cellStyle name="Normal 2 3 3 7 2 2 2 2 2" xfId="41754" xr:uid="{00000000-0005-0000-0000-0000666A0000}"/>
    <cellStyle name="Normal 2 3 3 7 2 2 2 3" xfId="11411" xr:uid="{00000000-0005-0000-0000-0000676A0000}"/>
    <cellStyle name="Normal 2 3 3 7 2 2 2 3 2" xfId="41755" xr:uid="{00000000-0005-0000-0000-0000686A0000}"/>
    <cellStyle name="Normal 2 3 3 7 2 2 2 4" xfId="41756" xr:uid="{00000000-0005-0000-0000-0000696A0000}"/>
    <cellStyle name="Normal 2 3 3 7 2 2 3" xfId="11412" xr:uid="{00000000-0005-0000-0000-00006A6A0000}"/>
    <cellStyle name="Normal 2 3 3 7 2 2 3 2" xfId="41757" xr:uid="{00000000-0005-0000-0000-00006B6A0000}"/>
    <cellStyle name="Normal 2 3 3 7 2 2 4" xfId="11413" xr:uid="{00000000-0005-0000-0000-00006C6A0000}"/>
    <cellStyle name="Normal 2 3 3 7 2 2 4 2" xfId="41758" xr:uid="{00000000-0005-0000-0000-00006D6A0000}"/>
    <cellStyle name="Normal 2 3 3 7 2 2 5" xfId="11414" xr:uid="{00000000-0005-0000-0000-00006E6A0000}"/>
    <cellStyle name="Normal 2 3 3 7 2 2 5 2" xfId="41759" xr:uid="{00000000-0005-0000-0000-00006F6A0000}"/>
    <cellStyle name="Normal 2 3 3 7 2 2 6" xfId="41760" xr:uid="{00000000-0005-0000-0000-0000706A0000}"/>
    <cellStyle name="Normal 2 3 3 7 2 2 6 2" xfId="41761" xr:uid="{00000000-0005-0000-0000-0000716A0000}"/>
    <cellStyle name="Normal 2 3 3 7 2 2 7" xfId="41762" xr:uid="{00000000-0005-0000-0000-0000726A0000}"/>
    <cellStyle name="Normal 2 3 3 7 2 3" xfId="11415" xr:uid="{00000000-0005-0000-0000-0000736A0000}"/>
    <cellStyle name="Normal 2 3 3 7 2 3 2" xfId="11416" xr:uid="{00000000-0005-0000-0000-0000746A0000}"/>
    <cellStyle name="Normal 2 3 3 7 2 3 2 2" xfId="41763" xr:uid="{00000000-0005-0000-0000-0000756A0000}"/>
    <cellStyle name="Normal 2 3 3 7 2 3 3" xfId="11417" xr:uid="{00000000-0005-0000-0000-0000766A0000}"/>
    <cellStyle name="Normal 2 3 3 7 2 3 3 2" xfId="41764" xr:uid="{00000000-0005-0000-0000-0000776A0000}"/>
    <cellStyle name="Normal 2 3 3 7 2 3 4" xfId="41765" xr:uid="{00000000-0005-0000-0000-0000786A0000}"/>
    <cellStyle name="Normal 2 3 3 7 2 4" xfId="11418" xr:uid="{00000000-0005-0000-0000-0000796A0000}"/>
    <cellStyle name="Normal 2 3 3 7 2 4 2" xfId="11419" xr:uid="{00000000-0005-0000-0000-00007A6A0000}"/>
    <cellStyle name="Normal 2 3 3 7 2 4 2 2" xfId="41766" xr:uid="{00000000-0005-0000-0000-00007B6A0000}"/>
    <cellStyle name="Normal 2 3 3 7 2 4 3" xfId="41767" xr:uid="{00000000-0005-0000-0000-00007C6A0000}"/>
    <cellStyle name="Normal 2 3 3 7 2 5" xfId="11420" xr:uid="{00000000-0005-0000-0000-00007D6A0000}"/>
    <cellStyle name="Normal 2 3 3 7 2 5 2" xfId="41768" xr:uid="{00000000-0005-0000-0000-00007E6A0000}"/>
    <cellStyle name="Normal 2 3 3 7 2 6" xfId="11421" xr:uid="{00000000-0005-0000-0000-00007F6A0000}"/>
    <cellStyle name="Normal 2 3 3 7 2 6 2" xfId="41769" xr:uid="{00000000-0005-0000-0000-0000806A0000}"/>
    <cellStyle name="Normal 2 3 3 7 2 7" xfId="41770" xr:uid="{00000000-0005-0000-0000-0000816A0000}"/>
    <cellStyle name="Normal 2 3 3 7 2 7 2" xfId="41771" xr:uid="{00000000-0005-0000-0000-0000826A0000}"/>
    <cellStyle name="Normal 2 3 3 7 2 8" xfId="41772" xr:uid="{00000000-0005-0000-0000-0000836A0000}"/>
    <cellStyle name="Normal 2 3 3 7 2 9" xfId="41773" xr:uid="{00000000-0005-0000-0000-0000846A0000}"/>
    <cellStyle name="Normal 2 3 3 7 3" xfId="11422" xr:uid="{00000000-0005-0000-0000-0000856A0000}"/>
    <cellStyle name="Normal 2 3 3 7 3 2" xfId="11423" xr:uid="{00000000-0005-0000-0000-0000866A0000}"/>
    <cellStyle name="Normal 2 3 3 7 3 2 2" xfId="11424" xr:uid="{00000000-0005-0000-0000-0000876A0000}"/>
    <cellStyle name="Normal 2 3 3 7 3 2 2 2" xfId="41774" xr:uid="{00000000-0005-0000-0000-0000886A0000}"/>
    <cellStyle name="Normal 2 3 3 7 3 2 3" xfId="11425" xr:uid="{00000000-0005-0000-0000-0000896A0000}"/>
    <cellStyle name="Normal 2 3 3 7 3 2 3 2" xfId="41775" xr:uid="{00000000-0005-0000-0000-00008A6A0000}"/>
    <cellStyle name="Normal 2 3 3 7 3 2 4" xfId="41776" xr:uid="{00000000-0005-0000-0000-00008B6A0000}"/>
    <cellStyle name="Normal 2 3 3 7 3 3" xfId="11426" xr:uid="{00000000-0005-0000-0000-00008C6A0000}"/>
    <cellStyle name="Normal 2 3 3 7 3 3 2" xfId="41777" xr:uid="{00000000-0005-0000-0000-00008D6A0000}"/>
    <cellStyle name="Normal 2 3 3 7 3 4" xfId="11427" xr:uid="{00000000-0005-0000-0000-00008E6A0000}"/>
    <cellStyle name="Normal 2 3 3 7 3 4 2" xfId="41778" xr:uid="{00000000-0005-0000-0000-00008F6A0000}"/>
    <cellStyle name="Normal 2 3 3 7 3 5" xfId="11428" xr:uid="{00000000-0005-0000-0000-0000906A0000}"/>
    <cellStyle name="Normal 2 3 3 7 3 5 2" xfId="41779" xr:uid="{00000000-0005-0000-0000-0000916A0000}"/>
    <cellStyle name="Normal 2 3 3 7 3 6" xfId="41780" xr:uid="{00000000-0005-0000-0000-0000926A0000}"/>
    <cellStyle name="Normal 2 3 3 7 3 6 2" xfId="41781" xr:uid="{00000000-0005-0000-0000-0000936A0000}"/>
    <cellStyle name="Normal 2 3 3 7 3 7" xfId="41782" xr:uid="{00000000-0005-0000-0000-0000946A0000}"/>
    <cellStyle name="Normal 2 3 3 7 4" xfId="11429" xr:uid="{00000000-0005-0000-0000-0000956A0000}"/>
    <cellStyle name="Normal 2 3 3 7 4 2" xfId="11430" xr:uid="{00000000-0005-0000-0000-0000966A0000}"/>
    <cellStyle name="Normal 2 3 3 7 4 2 2" xfId="41783" xr:uid="{00000000-0005-0000-0000-0000976A0000}"/>
    <cellStyle name="Normal 2 3 3 7 4 3" xfId="11431" xr:uid="{00000000-0005-0000-0000-0000986A0000}"/>
    <cellStyle name="Normal 2 3 3 7 4 3 2" xfId="41784" xr:uid="{00000000-0005-0000-0000-0000996A0000}"/>
    <cellStyle name="Normal 2 3 3 7 4 4" xfId="41785" xr:uid="{00000000-0005-0000-0000-00009A6A0000}"/>
    <cellStyle name="Normal 2 3 3 7 5" xfId="11432" xr:uid="{00000000-0005-0000-0000-00009B6A0000}"/>
    <cellStyle name="Normal 2 3 3 7 5 2" xfId="11433" xr:uid="{00000000-0005-0000-0000-00009C6A0000}"/>
    <cellStyle name="Normal 2 3 3 7 5 2 2" xfId="41786" xr:uid="{00000000-0005-0000-0000-00009D6A0000}"/>
    <cellStyle name="Normal 2 3 3 7 5 3" xfId="41787" xr:uid="{00000000-0005-0000-0000-00009E6A0000}"/>
    <cellStyle name="Normal 2 3 3 7 6" xfId="11434" xr:uid="{00000000-0005-0000-0000-00009F6A0000}"/>
    <cellStyle name="Normal 2 3 3 7 6 2" xfId="41788" xr:uid="{00000000-0005-0000-0000-0000A06A0000}"/>
    <cellStyle name="Normal 2 3 3 7 7" xfId="11435" xr:uid="{00000000-0005-0000-0000-0000A16A0000}"/>
    <cellStyle name="Normal 2 3 3 7 7 2" xfId="41789" xr:uid="{00000000-0005-0000-0000-0000A26A0000}"/>
    <cellStyle name="Normal 2 3 3 7 8" xfId="41790" xr:uid="{00000000-0005-0000-0000-0000A36A0000}"/>
    <cellStyle name="Normal 2 3 3 7 8 2" xfId="41791" xr:uid="{00000000-0005-0000-0000-0000A46A0000}"/>
    <cellStyle name="Normal 2 3 3 7 9" xfId="41792" xr:uid="{00000000-0005-0000-0000-0000A56A0000}"/>
    <cellStyle name="Normal 2 3 3 8" xfId="11436" xr:uid="{00000000-0005-0000-0000-0000A66A0000}"/>
    <cellStyle name="Normal 2 3 3 8 10" xfId="41793" xr:uid="{00000000-0005-0000-0000-0000A76A0000}"/>
    <cellStyle name="Normal 2 3 3 8 11" xfId="41794" xr:uid="{00000000-0005-0000-0000-0000A86A0000}"/>
    <cellStyle name="Normal 2 3 3 8 2" xfId="11437" xr:uid="{00000000-0005-0000-0000-0000A96A0000}"/>
    <cellStyle name="Normal 2 3 3 8 2 10" xfId="41795" xr:uid="{00000000-0005-0000-0000-0000AA6A0000}"/>
    <cellStyle name="Normal 2 3 3 8 2 2" xfId="11438" xr:uid="{00000000-0005-0000-0000-0000AB6A0000}"/>
    <cellStyle name="Normal 2 3 3 8 2 2 2" xfId="11439" xr:uid="{00000000-0005-0000-0000-0000AC6A0000}"/>
    <cellStyle name="Normal 2 3 3 8 2 2 2 2" xfId="11440" xr:uid="{00000000-0005-0000-0000-0000AD6A0000}"/>
    <cellStyle name="Normal 2 3 3 8 2 2 2 2 2" xfId="41796" xr:uid="{00000000-0005-0000-0000-0000AE6A0000}"/>
    <cellStyle name="Normal 2 3 3 8 2 2 2 3" xfId="11441" xr:uid="{00000000-0005-0000-0000-0000AF6A0000}"/>
    <cellStyle name="Normal 2 3 3 8 2 2 2 3 2" xfId="41797" xr:uid="{00000000-0005-0000-0000-0000B06A0000}"/>
    <cellStyle name="Normal 2 3 3 8 2 2 2 4" xfId="41798" xr:uid="{00000000-0005-0000-0000-0000B16A0000}"/>
    <cellStyle name="Normal 2 3 3 8 2 2 3" xfId="11442" xr:uid="{00000000-0005-0000-0000-0000B26A0000}"/>
    <cellStyle name="Normal 2 3 3 8 2 2 3 2" xfId="41799" xr:uid="{00000000-0005-0000-0000-0000B36A0000}"/>
    <cellStyle name="Normal 2 3 3 8 2 2 4" xfId="11443" xr:uid="{00000000-0005-0000-0000-0000B46A0000}"/>
    <cellStyle name="Normal 2 3 3 8 2 2 4 2" xfId="41800" xr:uid="{00000000-0005-0000-0000-0000B56A0000}"/>
    <cellStyle name="Normal 2 3 3 8 2 2 5" xfId="11444" xr:uid="{00000000-0005-0000-0000-0000B66A0000}"/>
    <cellStyle name="Normal 2 3 3 8 2 2 5 2" xfId="41801" xr:uid="{00000000-0005-0000-0000-0000B76A0000}"/>
    <cellStyle name="Normal 2 3 3 8 2 2 6" xfId="41802" xr:uid="{00000000-0005-0000-0000-0000B86A0000}"/>
    <cellStyle name="Normal 2 3 3 8 2 2 6 2" xfId="41803" xr:uid="{00000000-0005-0000-0000-0000B96A0000}"/>
    <cellStyle name="Normal 2 3 3 8 2 2 7" xfId="41804" xr:uid="{00000000-0005-0000-0000-0000BA6A0000}"/>
    <cellStyle name="Normal 2 3 3 8 2 3" xfId="11445" xr:uid="{00000000-0005-0000-0000-0000BB6A0000}"/>
    <cellStyle name="Normal 2 3 3 8 2 3 2" xfId="11446" xr:uid="{00000000-0005-0000-0000-0000BC6A0000}"/>
    <cellStyle name="Normal 2 3 3 8 2 3 2 2" xfId="41805" xr:uid="{00000000-0005-0000-0000-0000BD6A0000}"/>
    <cellStyle name="Normal 2 3 3 8 2 3 3" xfId="11447" xr:uid="{00000000-0005-0000-0000-0000BE6A0000}"/>
    <cellStyle name="Normal 2 3 3 8 2 3 3 2" xfId="41806" xr:uid="{00000000-0005-0000-0000-0000BF6A0000}"/>
    <cellStyle name="Normal 2 3 3 8 2 3 4" xfId="41807" xr:uid="{00000000-0005-0000-0000-0000C06A0000}"/>
    <cellStyle name="Normal 2 3 3 8 2 4" xfId="11448" xr:uid="{00000000-0005-0000-0000-0000C16A0000}"/>
    <cellStyle name="Normal 2 3 3 8 2 4 2" xfId="11449" xr:uid="{00000000-0005-0000-0000-0000C26A0000}"/>
    <cellStyle name="Normal 2 3 3 8 2 4 2 2" xfId="41808" xr:uid="{00000000-0005-0000-0000-0000C36A0000}"/>
    <cellStyle name="Normal 2 3 3 8 2 4 3" xfId="41809" xr:uid="{00000000-0005-0000-0000-0000C46A0000}"/>
    <cellStyle name="Normal 2 3 3 8 2 5" xfId="11450" xr:uid="{00000000-0005-0000-0000-0000C56A0000}"/>
    <cellStyle name="Normal 2 3 3 8 2 5 2" xfId="41810" xr:uid="{00000000-0005-0000-0000-0000C66A0000}"/>
    <cellStyle name="Normal 2 3 3 8 2 6" xfId="11451" xr:uid="{00000000-0005-0000-0000-0000C76A0000}"/>
    <cellStyle name="Normal 2 3 3 8 2 6 2" xfId="41811" xr:uid="{00000000-0005-0000-0000-0000C86A0000}"/>
    <cellStyle name="Normal 2 3 3 8 2 7" xfId="41812" xr:uid="{00000000-0005-0000-0000-0000C96A0000}"/>
    <cellStyle name="Normal 2 3 3 8 2 7 2" xfId="41813" xr:uid="{00000000-0005-0000-0000-0000CA6A0000}"/>
    <cellStyle name="Normal 2 3 3 8 2 8" xfId="41814" xr:uid="{00000000-0005-0000-0000-0000CB6A0000}"/>
    <cellStyle name="Normal 2 3 3 8 2 9" xfId="41815" xr:uid="{00000000-0005-0000-0000-0000CC6A0000}"/>
    <cellStyle name="Normal 2 3 3 8 3" xfId="11452" xr:uid="{00000000-0005-0000-0000-0000CD6A0000}"/>
    <cellStyle name="Normal 2 3 3 8 3 2" xfId="11453" xr:uid="{00000000-0005-0000-0000-0000CE6A0000}"/>
    <cellStyle name="Normal 2 3 3 8 3 2 2" xfId="11454" xr:uid="{00000000-0005-0000-0000-0000CF6A0000}"/>
    <cellStyle name="Normal 2 3 3 8 3 2 2 2" xfId="41816" xr:uid="{00000000-0005-0000-0000-0000D06A0000}"/>
    <cellStyle name="Normal 2 3 3 8 3 2 3" xfId="11455" xr:uid="{00000000-0005-0000-0000-0000D16A0000}"/>
    <cellStyle name="Normal 2 3 3 8 3 2 3 2" xfId="41817" xr:uid="{00000000-0005-0000-0000-0000D26A0000}"/>
    <cellStyle name="Normal 2 3 3 8 3 2 4" xfId="41818" xr:uid="{00000000-0005-0000-0000-0000D36A0000}"/>
    <cellStyle name="Normal 2 3 3 8 3 3" xfId="11456" xr:uid="{00000000-0005-0000-0000-0000D46A0000}"/>
    <cellStyle name="Normal 2 3 3 8 3 3 2" xfId="41819" xr:uid="{00000000-0005-0000-0000-0000D56A0000}"/>
    <cellStyle name="Normal 2 3 3 8 3 4" xfId="11457" xr:uid="{00000000-0005-0000-0000-0000D66A0000}"/>
    <cellStyle name="Normal 2 3 3 8 3 4 2" xfId="41820" xr:uid="{00000000-0005-0000-0000-0000D76A0000}"/>
    <cellStyle name="Normal 2 3 3 8 3 5" xfId="11458" xr:uid="{00000000-0005-0000-0000-0000D86A0000}"/>
    <cellStyle name="Normal 2 3 3 8 3 5 2" xfId="41821" xr:uid="{00000000-0005-0000-0000-0000D96A0000}"/>
    <cellStyle name="Normal 2 3 3 8 3 6" xfId="41822" xr:uid="{00000000-0005-0000-0000-0000DA6A0000}"/>
    <cellStyle name="Normal 2 3 3 8 3 6 2" xfId="41823" xr:uid="{00000000-0005-0000-0000-0000DB6A0000}"/>
    <cellStyle name="Normal 2 3 3 8 3 7" xfId="41824" xr:uid="{00000000-0005-0000-0000-0000DC6A0000}"/>
    <cellStyle name="Normal 2 3 3 8 4" xfId="11459" xr:uid="{00000000-0005-0000-0000-0000DD6A0000}"/>
    <cellStyle name="Normal 2 3 3 8 4 2" xfId="11460" xr:uid="{00000000-0005-0000-0000-0000DE6A0000}"/>
    <cellStyle name="Normal 2 3 3 8 4 2 2" xfId="41825" xr:uid="{00000000-0005-0000-0000-0000DF6A0000}"/>
    <cellStyle name="Normal 2 3 3 8 4 3" xfId="11461" xr:uid="{00000000-0005-0000-0000-0000E06A0000}"/>
    <cellStyle name="Normal 2 3 3 8 4 3 2" xfId="41826" xr:uid="{00000000-0005-0000-0000-0000E16A0000}"/>
    <cellStyle name="Normal 2 3 3 8 4 4" xfId="41827" xr:uid="{00000000-0005-0000-0000-0000E26A0000}"/>
    <cellStyle name="Normal 2 3 3 8 5" xfId="11462" xr:uid="{00000000-0005-0000-0000-0000E36A0000}"/>
    <cellStyle name="Normal 2 3 3 8 5 2" xfId="11463" xr:uid="{00000000-0005-0000-0000-0000E46A0000}"/>
    <cellStyle name="Normal 2 3 3 8 5 2 2" xfId="41828" xr:uid="{00000000-0005-0000-0000-0000E56A0000}"/>
    <cellStyle name="Normal 2 3 3 8 5 3" xfId="41829" xr:uid="{00000000-0005-0000-0000-0000E66A0000}"/>
    <cellStyle name="Normal 2 3 3 8 6" xfId="11464" xr:uid="{00000000-0005-0000-0000-0000E76A0000}"/>
    <cellStyle name="Normal 2 3 3 8 6 2" xfId="41830" xr:uid="{00000000-0005-0000-0000-0000E86A0000}"/>
    <cellStyle name="Normal 2 3 3 8 7" xfId="11465" xr:uid="{00000000-0005-0000-0000-0000E96A0000}"/>
    <cellStyle name="Normal 2 3 3 8 7 2" xfId="41831" xr:uid="{00000000-0005-0000-0000-0000EA6A0000}"/>
    <cellStyle name="Normal 2 3 3 8 8" xfId="41832" xr:uid="{00000000-0005-0000-0000-0000EB6A0000}"/>
    <cellStyle name="Normal 2 3 3 8 8 2" xfId="41833" xr:uid="{00000000-0005-0000-0000-0000EC6A0000}"/>
    <cellStyle name="Normal 2 3 3 8 9" xfId="41834" xr:uid="{00000000-0005-0000-0000-0000ED6A0000}"/>
    <cellStyle name="Normal 2 3 3 9" xfId="11466" xr:uid="{00000000-0005-0000-0000-0000EE6A0000}"/>
    <cellStyle name="Normal 2 3 3 9 10" xfId="41835" xr:uid="{00000000-0005-0000-0000-0000EF6A0000}"/>
    <cellStyle name="Normal 2 3 3 9 11" xfId="41836" xr:uid="{00000000-0005-0000-0000-0000F06A0000}"/>
    <cellStyle name="Normal 2 3 3 9 2" xfId="11467" xr:uid="{00000000-0005-0000-0000-0000F16A0000}"/>
    <cellStyle name="Normal 2 3 3 9 2 10" xfId="41837" xr:uid="{00000000-0005-0000-0000-0000F26A0000}"/>
    <cellStyle name="Normal 2 3 3 9 2 2" xfId="11468" xr:uid="{00000000-0005-0000-0000-0000F36A0000}"/>
    <cellStyle name="Normal 2 3 3 9 2 2 2" xfId="11469" xr:uid="{00000000-0005-0000-0000-0000F46A0000}"/>
    <cellStyle name="Normal 2 3 3 9 2 2 2 2" xfId="11470" xr:uid="{00000000-0005-0000-0000-0000F56A0000}"/>
    <cellStyle name="Normal 2 3 3 9 2 2 2 2 2" xfId="41838" xr:uid="{00000000-0005-0000-0000-0000F66A0000}"/>
    <cellStyle name="Normal 2 3 3 9 2 2 2 3" xfId="11471" xr:uid="{00000000-0005-0000-0000-0000F76A0000}"/>
    <cellStyle name="Normal 2 3 3 9 2 2 2 3 2" xfId="41839" xr:uid="{00000000-0005-0000-0000-0000F86A0000}"/>
    <cellStyle name="Normal 2 3 3 9 2 2 2 4" xfId="41840" xr:uid="{00000000-0005-0000-0000-0000F96A0000}"/>
    <cellStyle name="Normal 2 3 3 9 2 2 3" xfId="11472" xr:uid="{00000000-0005-0000-0000-0000FA6A0000}"/>
    <cellStyle name="Normal 2 3 3 9 2 2 3 2" xfId="41841" xr:uid="{00000000-0005-0000-0000-0000FB6A0000}"/>
    <cellStyle name="Normal 2 3 3 9 2 2 4" xfId="11473" xr:uid="{00000000-0005-0000-0000-0000FC6A0000}"/>
    <cellStyle name="Normal 2 3 3 9 2 2 4 2" xfId="41842" xr:uid="{00000000-0005-0000-0000-0000FD6A0000}"/>
    <cellStyle name="Normal 2 3 3 9 2 2 5" xfId="11474" xr:uid="{00000000-0005-0000-0000-0000FE6A0000}"/>
    <cellStyle name="Normal 2 3 3 9 2 2 5 2" xfId="41843" xr:uid="{00000000-0005-0000-0000-0000FF6A0000}"/>
    <cellStyle name="Normal 2 3 3 9 2 2 6" xfId="41844" xr:uid="{00000000-0005-0000-0000-0000006B0000}"/>
    <cellStyle name="Normal 2 3 3 9 2 2 6 2" xfId="41845" xr:uid="{00000000-0005-0000-0000-0000016B0000}"/>
    <cellStyle name="Normal 2 3 3 9 2 2 7" xfId="41846" xr:uid="{00000000-0005-0000-0000-0000026B0000}"/>
    <cellStyle name="Normal 2 3 3 9 2 3" xfId="11475" xr:uid="{00000000-0005-0000-0000-0000036B0000}"/>
    <cellStyle name="Normal 2 3 3 9 2 3 2" xfId="11476" xr:uid="{00000000-0005-0000-0000-0000046B0000}"/>
    <cellStyle name="Normal 2 3 3 9 2 3 2 2" xfId="41847" xr:uid="{00000000-0005-0000-0000-0000056B0000}"/>
    <cellStyle name="Normal 2 3 3 9 2 3 3" xfId="11477" xr:uid="{00000000-0005-0000-0000-0000066B0000}"/>
    <cellStyle name="Normal 2 3 3 9 2 3 3 2" xfId="41848" xr:uid="{00000000-0005-0000-0000-0000076B0000}"/>
    <cellStyle name="Normal 2 3 3 9 2 3 4" xfId="41849" xr:uid="{00000000-0005-0000-0000-0000086B0000}"/>
    <cellStyle name="Normal 2 3 3 9 2 4" xfId="11478" xr:uid="{00000000-0005-0000-0000-0000096B0000}"/>
    <cellStyle name="Normal 2 3 3 9 2 4 2" xfId="11479" xr:uid="{00000000-0005-0000-0000-00000A6B0000}"/>
    <cellStyle name="Normal 2 3 3 9 2 4 2 2" xfId="41850" xr:uid="{00000000-0005-0000-0000-00000B6B0000}"/>
    <cellStyle name="Normal 2 3 3 9 2 4 3" xfId="41851" xr:uid="{00000000-0005-0000-0000-00000C6B0000}"/>
    <cellStyle name="Normal 2 3 3 9 2 5" xfId="11480" xr:uid="{00000000-0005-0000-0000-00000D6B0000}"/>
    <cellStyle name="Normal 2 3 3 9 2 5 2" xfId="41852" xr:uid="{00000000-0005-0000-0000-00000E6B0000}"/>
    <cellStyle name="Normal 2 3 3 9 2 6" xfId="11481" xr:uid="{00000000-0005-0000-0000-00000F6B0000}"/>
    <cellStyle name="Normal 2 3 3 9 2 6 2" xfId="41853" xr:uid="{00000000-0005-0000-0000-0000106B0000}"/>
    <cellStyle name="Normal 2 3 3 9 2 7" xfId="41854" xr:uid="{00000000-0005-0000-0000-0000116B0000}"/>
    <cellStyle name="Normal 2 3 3 9 2 7 2" xfId="41855" xr:uid="{00000000-0005-0000-0000-0000126B0000}"/>
    <cellStyle name="Normal 2 3 3 9 2 8" xfId="41856" xr:uid="{00000000-0005-0000-0000-0000136B0000}"/>
    <cellStyle name="Normal 2 3 3 9 2 9" xfId="41857" xr:uid="{00000000-0005-0000-0000-0000146B0000}"/>
    <cellStyle name="Normal 2 3 3 9 3" xfId="11482" xr:uid="{00000000-0005-0000-0000-0000156B0000}"/>
    <cellStyle name="Normal 2 3 3 9 3 2" xfId="11483" xr:uid="{00000000-0005-0000-0000-0000166B0000}"/>
    <cellStyle name="Normal 2 3 3 9 3 2 2" xfId="11484" xr:uid="{00000000-0005-0000-0000-0000176B0000}"/>
    <cellStyle name="Normal 2 3 3 9 3 2 2 2" xfId="41858" xr:uid="{00000000-0005-0000-0000-0000186B0000}"/>
    <cellStyle name="Normal 2 3 3 9 3 2 3" xfId="11485" xr:uid="{00000000-0005-0000-0000-0000196B0000}"/>
    <cellStyle name="Normal 2 3 3 9 3 2 3 2" xfId="41859" xr:uid="{00000000-0005-0000-0000-00001A6B0000}"/>
    <cellStyle name="Normal 2 3 3 9 3 2 4" xfId="41860" xr:uid="{00000000-0005-0000-0000-00001B6B0000}"/>
    <cellStyle name="Normal 2 3 3 9 3 3" xfId="11486" xr:uid="{00000000-0005-0000-0000-00001C6B0000}"/>
    <cellStyle name="Normal 2 3 3 9 3 3 2" xfId="41861" xr:uid="{00000000-0005-0000-0000-00001D6B0000}"/>
    <cellStyle name="Normal 2 3 3 9 3 4" xfId="11487" xr:uid="{00000000-0005-0000-0000-00001E6B0000}"/>
    <cellStyle name="Normal 2 3 3 9 3 4 2" xfId="41862" xr:uid="{00000000-0005-0000-0000-00001F6B0000}"/>
    <cellStyle name="Normal 2 3 3 9 3 5" xfId="11488" xr:uid="{00000000-0005-0000-0000-0000206B0000}"/>
    <cellStyle name="Normal 2 3 3 9 3 5 2" xfId="41863" xr:uid="{00000000-0005-0000-0000-0000216B0000}"/>
    <cellStyle name="Normal 2 3 3 9 3 6" xfId="41864" xr:uid="{00000000-0005-0000-0000-0000226B0000}"/>
    <cellStyle name="Normal 2 3 3 9 3 6 2" xfId="41865" xr:uid="{00000000-0005-0000-0000-0000236B0000}"/>
    <cellStyle name="Normal 2 3 3 9 3 7" xfId="41866" xr:uid="{00000000-0005-0000-0000-0000246B0000}"/>
    <cellStyle name="Normal 2 3 3 9 4" xfId="11489" xr:uid="{00000000-0005-0000-0000-0000256B0000}"/>
    <cellStyle name="Normal 2 3 3 9 4 2" xfId="11490" xr:uid="{00000000-0005-0000-0000-0000266B0000}"/>
    <cellStyle name="Normal 2 3 3 9 4 2 2" xfId="41867" xr:uid="{00000000-0005-0000-0000-0000276B0000}"/>
    <cellStyle name="Normal 2 3 3 9 4 3" xfId="11491" xr:uid="{00000000-0005-0000-0000-0000286B0000}"/>
    <cellStyle name="Normal 2 3 3 9 4 3 2" xfId="41868" xr:uid="{00000000-0005-0000-0000-0000296B0000}"/>
    <cellStyle name="Normal 2 3 3 9 4 4" xfId="41869" xr:uid="{00000000-0005-0000-0000-00002A6B0000}"/>
    <cellStyle name="Normal 2 3 3 9 5" xfId="11492" xr:uid="{00000000-0005-0000-0000-00002B6B0000}"/>
    <cellStyle name="Normal 2 3 3 9 5 2" xfId="11493" xr:uid="{00000000-0005-0000-0000-00002C6B0000}"/>
    <cellStyle name="Normal 2 3 3 9 5 2 2" xfId="41870" xr:uid="{00000000-0005-0000-0000-00002D6B0000}"/>
    <cellStyle name="Normal 2 3 3 9 5 3" xfId="41871" xr:uid="{00000000-0005-0000-0000-00002E6B0000}"/>
    <cellStyle name="Normal 2 3 3 9 6" xfId="11494" xr:uid="{00000000-0005-0000-0000-00002F6B0000}"/>
    <cellStyle name="Normal 2 3 3 9 6 2" xfId="41872" xr:uid="{00000000-0005-0000-0000-0000306B0000}"/>
    <cellStyle name="Normal 2 3 3 9 7" xfId="11495" xr:uid="{00000000-0005-0000-0000-0000316B0000}"/>
    <cellStyle name="Normal 2 3 3 9 7 2" xfId="41873" xr:uid="{00000000-0005-0000-0000-0000326B0000}"/>
    <cellStyle name="Normal 2 3 3 9 8" xfId="41874" xr:uid="{00000000-0005-0000-0000-0000336B0000}"/>
    <cellStyle name="Normal 2 3 3 9 8 2" xfId="41875" xr:uid="{00000000-0005-0000-0000-0000346B0000}"/>
    <cellStyle name="Normal 2 3 3 9 9" xfId="41876" xr:uid="{00000000-0005-0000-0000-0000356B0000}"/>
    <cellStyle name="Normal 2 3 30" xfId="11496" xr:uid="{00000000-0005-0000-0000-0000366B0000}"/>
    <cellStyle name="Normal 2 3 30 10" xfId="41877" xr:uid="{00000000-0005-0000-0000-0000376B0000}"/>
    <cellStyle name="Normal 2 3 30 11" xfId="41878" xr:uid="{00000000-0005-0000-0000-0000386B0000}"/>
    <cellStyle name="Normal 2 3 30 2" xfId="11497" xr:uid="{00000000-0005-0000-0000-0000396B0000}"/>
    <cellStyle name="Normal 2 3 30 2 10" xfId="41879" xr:uid="{00000000-0005-0000-0000-00003A6B0000}"/>
    <cellStyle name="Normal 2 3 30 2 2" xfId="11498" xr:uid="{00000000-0005-0000-0000-00003B6B0000}"/>
    <cellStyle name="Normal 2 3 30 2 2 2" xfId="11499" xr:uid="{00000000-0005-0000-0000-00003C6B0000}"/>
    <cellStyle name="Normal 2 3 30 2 2 2 2" xfId="11500" xr:uid="{00000000-0005-0000-0000-00003D6B0000}"/>
    <cellStyle name="Normal 2 3 30 2 2 2 2 2" xfId="41880" xr:uid="{00000000-0005-0000-0000-00003E6B0000}"/>
    <cellStyle name="Normal 2 3 30 2 2 2 3" xfId="11501" xr:uid="{00000000-0005-0000-0000-00003F6B0000}"/>
    <cellStyle name="Normal 2 3 30 2 2 2 3 2" xfId="41881" xr:uid="{00000000-0005-0000-0000-0000406B0000}"/>
    <cellStyle name="Normal 2 3 30 2 2 2 4" xfId="41882" xr:uid="{00000000-0005-0000-0000-0000416B0000}"/>
    <cellStyle name="Normal 2 3 30 2 2 3" xfId="11502" xr:uid="{00000000-0005-0000-0000-0000426B0000}"/>
    <cellStyle name="Normal 2 3 30 2 2 3 2" xfId="41883" xr:uid="{00000000-0005-0000-0000-0000436B0000}"/>
    <cellStyle name="Normal 2 3 30 2 2 4" xfId="11503" xr:uid="{00000000-0005-0000-0000-0000446B0000}"/>
    <cellStyle name="Normal 2 3 30 2 2 4 2" xfId="41884" xr:uid="{00000000-0005-0000-0000-0000456B0000}"/>
    <cellStyle name="Normal 2 3 30 2 2 5" xfId="11504" xr:uid="{00000000-0005-0000-0000-0000466B0000}"/>
    <cellStyle name="Normal 2 3 30 2 2 5 2" xfId="41885" xr:uid="{00000000-0005-0000-0000-0000476B0000}"/>
    <cellStyle name="Normal 2 3 30 2 2 6" xfId="41886" xr:uid="{00000000-0005-0000-0000-0000486B0000}"/>
    <cellStyle name="Normal 2 3 30 2 2 6 2" xfId="41887" xr:uid="{00000000-0005-0000-0000-0000496B0000}"/>
    <cellStyle name="Normal 2 3 30 2 2 7" xfId="41888" xr:uid="{00000000-0005-0000-0000-00004A6B0000}"/>
    <cellStyle name="Normal 2 3 30 2 3" xfId="11505" xr:uid="{00000000-0005-0000-0000-00004B6B0000}"/>
    <cellStyle name="Normal 2 3 30 2 3 2" xfId="11506" xr:uid="{00000000-0005-0000-0000-00004C6B0000}"/>
    <cellStyle name="Normal 2 3 30 2 3 2 2" xfId="41889" xr:uid="{00000000-0005-0000-0000-00004D6B0000}"/>
    <cellStyle name="Normal 2 3 30 2 3 3" xfId="11507" xr:uid="{00000000-0005-0000-0000-00004E6B0000}"/>
    <cellStyle name="Normal 2 3 30 2 3 3 2" xfId="41890" xr:uid="{00000000-0005-0000-0000-00004F6B0000}"/>
    <cellStyle name="Normal 2 3 30 2 3 4" xfId="41891" xr:uid="{00000000-0005-0000-0000-0000506B0000}"/>
    <cellStyle name="Normal 2 3 30 2 4" xfId="11508" xr:uid="{00000000-0005-0000-0000-0000516B0000}"/>
    <cellStyle name="Normal 2 3 30 2 4 2" xfId="11509" xr:uid="{00000000-0005-0000-0000-0000526B0000}"/>
    <cellStyle name="Normal 2 3 30 2 4 2 2" xfId="41892" xr:uid="{00000000-0005-0000-0000-0000536B0000}"/>
    <cellStyle name="Normal 2 3 30 2 4 3" xfId="41893" xr:uid="{00000000-0005-0000-0000-0000546B0000}"/>
    <cellStyle name="Normal 2 3 30 2 5" xfId="11510" xr:uid="{00000000-0005-0000-0000-0000556B0000}"/>
    <cellStyle name="Normal 2 3 30 2 5 2" xfId="41894" xr:uid="{00000000-0005-0000-0000-0000566B0000}"/>
    <cellStyle name="Normal 2 3 30 2 6" xfId="11511" xr:uid="{00000000-0005-0000-0000-0000576B0000}"/>
    <cellStyle name="Normal 2 3 30 2 6 2" xfId="41895" xr:uid="{00000000-0005-0000-0000-0000586B0000}"/>
    <cellStyle name="Normal 2 3 30 2 7" xfId="41896" xr:uid="{00000000-0005-0000-0000-0000596B0000}"/>
    <cellStyle name="Normal 2 3 30 2 7 2" xfId="41897" xr:uid="{00000000-0005-0000-0000-00005A6B0000}"/>
    <cellStyle name="Normal 2 3 30 2 8" xfId="41898" xr:uid="{00000000-0005-0000-0000-00005B6B0000}"/>
    <cellStyle name="Normal 2 3 30 2 9" xfId="41899" xr:uid="{00000000-0005-0000-0000-00005C6B0000}"/>
    <cellStyle name="Normal 2 3 30 3" xfId="11512" xr:uid="{00000000-0005-0000-0000-00005D6B0000}"/>
    <cellStyle name="Normal 2 3 30 3 2" xfId="11513" xr:uid="{00000000-0005-0000-0000-00005E6B0000}"/>
    <cellStyle name="Normal 2 3 30 3 2 2" xfId="11514" xr:uid="{00000000-0005-0000-0000-00005F6B0000}"/>
    <cellStyle name="Normal 2 3 30 3 2 2 2" xfId="41900" xr:uid="{00000000-0005-0000-0000-0000606B0000}"/>
    <cellStyle name="Normal 2 3 30 3 2 3" xfId="11515" xr:uid="{00000000-0005-0000-0000-0000616B0000}"/>
    <cellStyle name="Normal 2 3 30 3 2 3 2" xfId="41901" xr:uid="{00000000-0005-0000-0000-0000626B0000}"/>
    <cellStyle name="Normal 2 3 30 3 2 4" xfId="41902" xr:uid="{00000000-0005-0000-0000-0000636B0000}"/>
    <cellStyle name="Normal 2 3 30 3 3" xfId="11516" xr:uid="{00000000-0005-0000-0000-0000646B0000}"/>
    <cellStyle name="Normal 2 3 30 3 3 2" xfId="41903" xr:uid="{00000000-0005-0000-0000-0000656B0000}"/>
    <cellStyle name="Normal 2 3 30 3 4" xfId="11517" xr:uid="{00000000-0005-0000-0000-0000666B0000}"/>
    <cellStyle name="Normal 2 3 30 3 4 2" xfId="41904" xr:uid="{00000000-0005-0000-0000-0000676B0000}"/>
    <cellStyle name="Normal 2 3 30 3 5" xfId="11518" xr:uid="{00000000-0005-0000-0000-0000686B0000}"/>
    <cellStyle name="Normal 2 3 30 3 5 2" xfId="41905" xr:uid="{00000000-0005-0000-0000-0000696B0000}"/>
    <cellStyle name="Normal 2 3 30 3 6" xfId="41906" xr:uid="{00000000-0005-0000-0000-00006A6B0000}"/>
    <cellStyle name="Normal 2 3 30 3 6 2" xfId="41907" xr:uid="{00000000-0005-0000-0000-00006B6B0000}"/>
    <cellStyle name="Normal 2 3 30 3 7" xfId="41908" xr:uid="{00000000-0005-0000-0000-00006C6B0000}"/>
    <cellStyle name="Normal 2 3 30 4" xfId="11519" xr:uid="{00000000-0005-0000-0000-00006D6B0000}"/>
    <cellStyle name="Normal 2 3 30 4 2" xfId="11520" xr:uid="{00000000-0005-0000-0000-00006E6B0000}"/>
    <cellStyle name="Normal 2 3 30 4 2 2" xfId="41909" xr:uid="{00000000-0005-0000-0000-00006F6B0000}"/>
    <cellStyle name="Normal 2 3 30 4 3" xfId="11521" xr:uid="{00000000-0005-0000-0000-0000706B0000}"/>
    <cellStyle name="Normal 2 3 30 4 3 2" xfId="41910" xr:uid="{00000000-0005-0000-0000-0000716B0000}"/>
    <cellStyle name="Normal 2 3 30 4 4" xfId="41911" xr:uid="{00000000-0005-0000-0000-0000726B0000}"/>
    <cellStyle name="Normal 2 3 30 5" xfId="11522" xr:uid="{00000000-0005-0000-0000-0000736B0000}"/>
    <cellStyle name="Normal 2 3 30 5 2" xfId="11523" xr:uid="{00000000-0005-0000-0000-0000746B0000}"/>
    <cellStyle name="Normal 2 3 30 5 2 2" xfId="41912" xr:uid="{00000000-0005-0000-0000-0000756B0000}"/>
    <cellStyle name="Normal 2 3 30 5 3" xfId="41913" xr:uid="{00000000-0005-0000-0000-0000766B0000}"/>
    <cellStyle name="Normal 2 3 30 6" xfId="11524" xr:uid="{00000000-0005-0000-0000-0000776B0000}"/>
    <cellStyle name="Normal 2 3 30 6 2" xfId="41914" xr:uid="{00000000-0005-0000-0000-0000786B0000}"/>
    <cellStyle name="Normal 2 3 30 7" xfId="11525" xr:uid="{00000000-0005-0000-0000-0000796B0000}"/>
    <cellStyle name="Normal 2 3 30 7 2" xfId="41915" xr:uid="{00000000-0005-0000-0000-00007A6B0000}"/>
    <cellStyle name="Normal 2 3 30 8" xfId="41916" xr:uid="{00000000-0005-0000-0000-00007B6B0000}"/>
    <cellStyle name="Normal 2 3 30 8 2" xfId="41917" xr:uid="{00000000-0005-0000-0000-00007C6B0000}"/>
    <cellStyle name="Normal 2 3 30 9" xfId="41918" xr:uid="{00000000-0005-0000-0000-00007D6B0000}"/>
    <cellStyle name="Normal 2 3 31" xfId="11526" xr:uid="{00000000-0005-0000-0000-00007E6B0000}"/>
    <cellStyle name="Normal 2 3 31 10" xfId="41919" xr:uid="{00000000-0005-0000-0000-00007F6B0000}"/>
    <cellStyle name="Normal 2 3 31 11" xfId="41920" xr:uid="{00000000-0005-0000-0000-0000806B0000}"/>
    <cellStyle name="Normal 2 3 31 2" xfId="11527" xr:uid="{00000000-0005-0000-0000-0000816B0000}"/>
    <cellStyle name="Normal 2 3 31 2 10" xfId="41921" xr:uid="{00000000-0005-0000-0000-0000826B0000}"/>
    <cellStyle name="Normal 2 3 31 2 2" xfId="11528" xr:uid="{00000000-0005-0000-0000-0000836B0000}"/>
    <cellStyle name="Normal 2 3 31 2 2 2" xfId="11529" xr:uid="{00000000-0005-0000-0000-0000846B0000}"/>
    <cellStyle name="Normal 2 3 31 2 2 2 2" xfId="11530" xr:uid="{00000000-0005-0000-0000-0000856B0000}"/>
    <cellStyle name="Normal 2 3 31 2 2 2 2 2" xfId="41922" xr:uid="{00000000-0005-0000-0000-0000866B0000}"/>
    <cellStyle name="Normal 2 3 31 2 2 2 3" xfId="11531" xr:uid="{00000000-0005-0000-0000-0000876B0000}"/>
    <cellStyle name="Normal 2 3 31 2 2 2 3 2" xfId="41923" xr:uid="{00000000-0005-0000-0000-0000886B0000}"/>
    <cellStyle name="Normal 2 3 31 2 2 2 4" xfId="41924" xr:uid="{00000000-0005-0000-0000-0000896B0000}"/>
    <cellStyle name="Normal 2 3 31 2 2 3" xfId="11532" xr:uid="{00000000-0005-0000-0000-00008A6B0000}"/>
    <cellStyle name="Normal 2 3 31 2 2 3 2" xfId="41925" xr:uid="{00000000-0005-0000-0000-00008B6B0000}"/>
    <cellStyle name="Normal 2 3 31 2 2 4" xfId="11533" xr:uid="{00000000-0005-0000-0000-00008C6B0000}"/>
    <cellStyle name="Normal 2 3 31 2 2 4 2" xfId="41926" xr:uid="{00000000-0005-0000-0000-00008D6B0000}"/>
    <cellStyle name="Normal 2 3 31 2 2 5" xfId="11534" xr:uid="{00000000-0005-0000-0000-00008E6B0000}"/>
    <cellStyle name="Normal 2 3 31 2 2 5 2" xfId="41927" xr:uid="{00000000-0005-0000-0000-00008F6B0000}"/>
    <cellStyle name="Normal 2 3 31 2 2 6" xfId="41928" xr:uid="{00000000-0005-0000-0000-0000906B0000}"/>
    <cellStyle name="Normal 2 3 31 2 2 6 2" xfId="41929" xr:uid="{00000000-0005-0000-0000-0000916B0000}"/>
    <cellStyle name="Normal 2 3 31 2 2 7" xfId="41930" xr:uid="{00000000-0005-0000-0000-0000926B0000}"/>
    <cellStyle name="Normal 2 3 31 2 3" xfId="11535" xr:uid="{00000000-0005-0000-0000-0000936B0000}"/>
    <cellStyle name="Normal 2 3 31 2 3 2" xfId="11536" xr:uid="{00000000-0005-0000-0000-0000946B0000}"/>
    <cellStyle name="Normal 2 3 31 2 3 2 2" xfId="41931" xr:uid="{00000000-0005-0000-0000-0000956B0000}"/>
    <cellStyle name="Normal 2 3 31 2 3 3" xfId="11537" xr:uid="{00000000-0005-0000-0000-0000966B0000}"/>
    <cellStyle name="Normal 2 3 31 2 3 3 2" xfId="41932" xr:uid="{00000000-0005-0000-0000-0000976B0000}"/>
    <cellStyle name="Normal 2 3 31 2 3 4" xfId="41933" xr:uid="{00000000-0005-0000-0000-0000986B0000}"/>
    <cellStyle name="Normal 2 3 31 2 4" xfId="11538" xr:uid="{00000000-0005-0000-0000-0000996B0000}"/>
    <cellStyle name="Normal 2 3 31 2 4 2" xfId="11539" xr:uid="{00000000-0005-0000-0000-00009A6B0000}"/>
    <cellStyle name="Normal 2 3 31 2 4 2 2" xfId="41934" xr:uid="{00000000-0005-0000-0000-00009B6B0000}"/>
    <cellStyle name="Normal 2 3 31 2 4 3" xfId="41935" xr:uid="{00000000-0005-0000-0000-00009C6B0000}"/>
    <cellStyle name="Normal 2 3 31 2 5" xfId="11540" xr:uid="{00000000-0005-0000-0000-00009D6B0000}"/>
    <cellStyle name="Normal 2 3 31 2 5 2" xfId="41936" xr:uid="{00000000-0005-0000-0000-00009E6B0000}"/>
    <cellStyle name="Normal 2 3 31 2 6" xfId="11541" xr:uid="{00000000-0005-0000-0000-00009F6B0000}"/>
    <cellStyle name="Normal 2 3 31 2 6 2" xfId="41937" xr:uid="{00000000-0005-0000-0000-0000A06B0000}"/>
    <cellStyle name="Normal 2 3 31 2 7" xfId="41938" xr:uid="{00000000-0005-0000-0000-0000A16B0000}"/>
    <cellStyle name="Normal 2 3 31 2 7 2" xfId="41939" xr:uid="{00000000-0005-0000-0000-0000A26B0000}"/>
    <cellStyle name="Normal 2 3 31 2 8" xfId="41940" xr:uid="{00000000-0005-0000-0000-0000A36B0000}"/>
    <cellStyle name="Normal 2 3 31 2 9" xfId="41941" xr:uid="{00000000-0005-0000-0000-0000A46B0000}"/>
    <cellStyle name="Normal 2 3 31 3" xfId="11542" xr:uid="{00000000-0005-0000-0000-0000A56B0000}"/>
    <cellStyle name="Normal 2 3 31 3 2" xfId="11543" xr:uid="{00000000-0005-0000-0000-0000A66B0000}"/>
    <cellStyle name="Normal 2 3 31 3 2 2" xfId="11544" xr:uid="{00000000-0005-0000-0000-0000A76B0000}"/>
    <cellStyle name="Normal 2 3 31 3 2 2 2" xfId="41942" xr:uid="{00000000-0005-0000-0000-0000A86B0000}"/>
    <cellStyle name="Normal 2 3 31 3 2 3" xfId="11545" xr:uid="{00000000-0005-0000-0000-0000A96B0000}"/>
    <cellStyle name="Normal 2 3 31 3 2 3 2" xfId="41943" xr:uid="{00000000-0005-0000-0000-0000AA6B0000}"/>
    <cellStyle name="Normal 2 3 31 3 2 4" xfId="41944" xr:uid="{00000000-0005-0000-0000-0000AB6B0000}"/>
    <cellStyle name="Normal 2 3 31 3 3" xfId="11546" xr:uid="{00000000-0005-0000-0000-0000AC6B0000}"/>
    <cellStyle name="Normal 2 3 31 3 3 2" xfId="41945" xr:uid="{00000000-0005-0000-0000-0000AD6B0000}"/>
    <cellStyle name="Normal 2 3 31 3 4" xfId="11547" xr:uid="{00000000-0005-0000-0000-0000AE6B0000}"/>
    <cellStyle name="Normal 2 3 31 3 4 2" xfId="41946" xr:uid="{00000000-0005-0000-0000-0000AF6B0000}"/>
    <cellStyle name="Normal 2 3 31 3 5" xfId="11548" xr:uid="{00000000-0005-0000-0000-0000B06B0000}"/>
    <cellStyle name="Normal 2 3 31 3 5 2" xfId="41947" xr:uid="{00000000-0005-0000-0000-0000B16B0000}"/>
    <cellStyle name="Normal 2 3 31 3 6" xfId="41948" xr:uid="{00000000-0005-0000-0000-0000B26B0000}"/>
    <cellStyle name="Normal 2 3 31 3 6 2" xfId="41949" xr:uid="{00000000-0005-0000-0000-0000B36B0000}"/>
    <cellStyle name="Normal 2 3 31 3 7" xfId="41950" xr:uid="{00000000-0005-0000-0000-0000B46B0000}"/>
    <cellStyle name="Normal 2 3 31 4" xfId="11549" xr:uid="{00000000-0005-0000-0000-0000B56B0000}"/>
    <cellStyle name="Normal 2 3 31 4 2" xfId="11550" xr:uid="{00000000-0005-0000-0000-0000B66B0000}"/>
    <cellStyle name="Normal 2 3 31 4 2 2" xfId="41951" xr:uid="{00000000-0005-0000-0000-0000B76B0000}"/>
    <cellStyle name="Normal 2 3 31 4 3" xfId="11551" xr:uid="{00000000-0005-0000-0000-0000B86B0000}"/>
    <cellStyle name="Normal 2 3 31 4 3 2" xfId="41952" xr:uid="{00000000-0005-0000-0000-0000B96B0000}"/>
    <cellStyle name="Normal 2 3 31 4 4" xfId="41953" xr:uid="{00000000-0005-0000-0000-0000BA6B0000}"/>
    <cellStyle name="Normal 2 3 31 5" xfId="11552" xr:uid="{00000000-0005-0000-0000-0000BB6B0000}"/>
    <cellStyle name="Normal 2 3 31 5 2" xfId="11553" xr:uid="{00000000-0005-0000-0000-0000BC6B0000}"/>
    <cellStyle name="Normal 2 3 31 5 2 2" xfId="41954" xr:uid="{00000000-0005-0000-0000-0000BD6B0000}"/>
    <cellStyle name="Normal 2 3 31 5 3" xfId="41955" xr:uid="{00000000-0005-0000-0000-0000BE6B0000}"/>
    <cellStyle name="Normal 2 3 31 6" xfId="11554" xr:uid="{00000000-0005-0000-0000-0000BF6B0000}"/>
    <cellStyle name="Normal 2 3 31 6 2" xfId="41956" xr:uid="{00000000-0005-0000-0000-0000C06B0000}"/>
    <cellStyle name="Normal 2 3 31 7" xfId="11555" xr:uid="{00000000-0005-0000-0000-0000C16B0000}"/>
    <cellStyle name="Normal 2 3 31 7 2" xfId="41957" xr:uid="{00000000-0005-0000-0000-0000C26B0000}"/>
    <cellStyle name="Normal 2 3 31 8" xfId="41958" xr:uid="{00000000-0005-0000-0000-0000C36B0000}"/>
    <cellStyle name="Normal 2 3 31 8 2" xfId="41959" xr:uid="{00000000-0005-0000-0000-0000C46B0000}"/>
    <cellStyle name="Normal 2 3 31 9" xfId="41960" xr:uid="{00000000-0005-0000-0000-0000C56B0000}"/>
    <cellStyle name="Normal 2 3 32" xfId="11556" xr:uid="{00000000-0005-0000-0000-0000C66B0000}"/>
    <cellStyle name="Normal 2 3 32 10" xfId="41961" xr:uid="{00000000-0005-0000-0000-0000C76B0000}"/>
    <cellStyle name="Normal 2 3 32 11" xfId="41962" xr:uid="{00000000-0005-0000-0000-0000C86B0000}"/>
    <cellStyle name="Normal 2 3 32 2" xfId="11557" xr:uid="{00000000-0005-0000-0000-0000C96B0000}"/>
    <cellStyle name="Normal 2 3 32 2 10" xfId="41963" xr:uid="{00000000-0005-0000-0000-0000CA6B0000}"/>
    <cellStyle name="Normal 2 3 32 2 2" xfId="11558" xr:uid="{00000000-0005-0000-0000-0000CB6B0000}"/>
    <cellStyle name="Normal 2 3 32 2 2 2" xfId="11559" xr:uid="{00000000-0005-0000-0000-0000CC6B0000}"/>
    <cellStyle name="Normal 2 3 32 2 2 2 2" xfId="11560" xr:uid="{00000000-0005-0000-0000-0000CD6B0000}"/>
    <cellStyle name="Normal 2 3 32 2 2 2 2 2" xfId="41964" xr:uid="{00000000-0005-0000-0000-0000CE6B0000}"/>
    <cellStyle name="Normal 2 3 32 2 2 2 3" xfId="11561" xr:uid="{00000000-0005-0000-0000-0000CF6B0000}"/>
    <cellStyle name="Normal 2 3 32 2 2 2 3 2" xfId="41965" xr:uid="{00000000-0005-0000-0000-0000D06B0000}"/>
    <cellStyle name="Normal 2 3 32 2 2 2 4" xfId="41966" xr:uid="{00000000-0005-0000-0000-0000D16B0000}"/>
    <cellStyle name="Normal 2 3 32 2 2 3" xfId="11562" xr:uid="{00000000-0005-0000-0000-0000D26B0000}"/>
    <cellStyle name="Normal 2 3 32 2 2 3 2" xfId="41967" xr:uid="{00000000-0005-0000-0000-0000D36B0000}"/>
    <cellStyle name="Normal 2 3 32 2 2 4" xfId="11563" xr:uid="{00000000-0005-0000-0000-0000D46B0000}"/>
    <cellStyle name="Normal 2 3 32 2 2 4 2" xfId="41968" xr:uid="{00000000-0005-0000-0000-0000D56B0000}"/>
    <cellStyle name="Normal 2 3 32 2 2 5" xfId="11564" xr:uid="{00000000-0005-0000-0000-0000D66B0000}"/>
    <cellStyle name="Normal 2 3 32 2 2 5 2" xfId="41969" xr:uid="{00000000-0005-0000-0000-0000D76B0000}"/>
    <cellStyle name="Normal 2 3 32 2 2 6" xfId="41970" xr:uid="{00000000-0005-0000-0000-0000D86B0000}"/>
    <cellStyle name="Normal 2 3 32 2 2 6 2" xfId="41971" xr:uid="{00000000-0005-0000-0000-0000D96B0000}"/>
    <cellStyle name="Normal 2 3 32 2 2 7" xfId="41972" xr:uid="{00000000-0005-0000-0000-0000DA6B0000}"/>
    <cellStyle name="Normal 2 3 32 2 3" xfId="11565" xr:uid="{00000000-0005-0000-0000-0000DB6B0000}"/>
    <cellStyle name="Normal 2 3 32 2 3 2" xfId="11566" xr:uid="{00000000-0005-0000-0000-0000DC6B0000}"/>
    <cellStyle name="Normal 2 3 32 2 3 2 2" xfId="41973" xr:uid="{00000000-0005-0000-0000-0000DD6B0000}"/>
    <cellStyle name="Normal 2 3 32 2 3 3" xfId="11567" xr:uid="{00000000-0005-0000-0000-0000DE6B0000}"/>
    <cellStyle name="Normal 2 3 32 2 3 3 2" xfId="41974" xr:uid="{00000000-0005-0000-0000-0000DF6B0000}"/>
    <cellStyle name="Normal 2 3 32 2 3 4" xfId="41975" xr:uid="{00000000-0005-0000-0000-0000E06B0000}"/>
    <cellStyle name="Normal 2 3 32 2 4" xfId="11568" xr:uid="{00000000-0005-0000-0000-0000E16B0000}"/>
    <cellStyle name="Normal 2 3 32 2 4 2" xfId="11569" xr:uid="{00000000-0005-0000-0000-0000E26B0000}"/>
    <cellStyle name="Normal 2 3 32 2 4 2 2" xfId="41976" xr:uid="{00000000-0005-0000-0000-0000E36B0000}"/>
    <cellStyle name="Normal 2 3 32 2 4 3" xfId="41977" xr:uid="{00000000-0005-0000-0000-0000E46B0000}"/>
    <cellStyle name="Normal 2 3 32 2 5" xfId="11570" xr:uid="{00000000-0005-0000-0000-0000E56B0000}"/>
    <cellStyle name="Normal 2 3 32 2 5 2" xfId="41978" xr:uid="{00000000-0005-0000-0000-0000E66B0000}"/>
    <cellStyle name="Normal 2 3 32 2 6" xfId="11571" xr:uid="{00000000-0005-0000-0000-0000E76B0000}"/>
    <cellStyle name="Normal 2 3 32 2 6 2" xfId="41979" xr:uid="{00000000-0005-0000-0000-0000E86B0000}"/>
    <cellStyle name="Normal 2 3 32 2 7" xfId="41980" xr:uid="{00000000-0005-0000-0000-0000E96B0000}"/>
    <cellStyle name="Normal 2 3 32 2 7 2" xfId="41981" xr:uid="{00000000-0005-0000-0000-0000EA6B0000}"/>
    <cellStyle name="Normal 2 3 32 2 8" xfId="41982" xr:uid="{00000000-0005-0000-0000-0000EB6B0000}"/>
    <cellStyle name="Normal 2 3 32 2 9" xfId="41983" xr:uid="{00000000-0005-0000-0000-0000EC6B0000}"/>
    <cellStyle name="Normal 2 3 32 3" xfId="11572" xr:uid="{00000000-0005-0000-0000-0000ED6B0000}"/>
    <cellStyle name="Normal 2 3 32 3 2" xfId="11573" xr:uid="{00000000-0005-0000-0000-0000EE6B0000}"/>
    <cellStyle name="Normal 2 3 32 3 2 2" xfId="11574" xr:uid="{00000000-0005-0000-0000-0000EF6B0000}"/>
    <cellStyle name="Normal 2 3 32 3 2 2 2" xfId="41984" xr:uid="{00000000-0005-0000-0000-0000F06B0000}"/>
    <cellStyle name="Normal 2 3 32 3 2 3" xfId="11575" xr:uid="{00000000-0005-0000-0000-0000F16B0000}"/>
    <cellStyle name="Normal 2 3 32 3 2 3 2" xfId="41985" xr:uid="{00000000-0005-0000-0000-0000F26B0000}"/>
    <cellStyle name="Normal 2 3 32 3 2 4" xfId="41986" xr:uid="{00000000-0005-0000-0000-0000F36B0000}"/>
    <cellStyle name="Normal 2 3 32 3 3" xfId="11576" xr:uid="{00000000-0005-0000-0000-0000F46B0000}"/>
    <cellStyle name="Normal 2 3 32 3 3 2" xfId="41987" xr:uid="{00000000-0005-0000-0000-0000F56B0000}"/>
    <cellStyle name="Normal 2 3 32 3 4" xfId="11577" xr:uid="{00000000-0005-0000-0000-0000F66B0000}"/>
    <cellStyle name="Normal 2 3 32 3 4 2" xfId="41988" xr:uid="{00000000-0005-0000-0000-0000F76B0000}"/>
    <cellStyle name="Normal 2 3 32 3 5" xfId="11578" xr:uid="{00000000-0005-0000-0000-0000F86B0000}"/>
    <cellStyle name="Normal 2 3 32 3 5 2" xfId="41989" xr:uid="{00000000-0005-0000-0000-0000F96B0000}"/>
    <cellStyle name="Normal 2 3 32 3 6" xfId="41990" xr:uid="{00000000-0005-0000-0000-0000FA6B0000}"/>
    <cellStyle name="Normal 2 3 32 3 6 2" xfId="41991" xr:uid="{00000000-0005-0000-0000-0000FB6B0000}"/>
    <cellStyle name="Normal 2 3 32 3 7" xfId="41992" xr:uid="{00000000-0005-0000-0000-0000FC6B0000}"/>
    <cellStyle name="Normal 2 3 32 4" xfId="11579" xr:uid="{00000000-0005-0000-0000-0000FD6B0000}"/>
    <cellStyle name="Normal 2 3 32 4 2" xfId="11580" xr:uid="{00000000-0005-0000-0000-0000FE6B0000}"/>
    <cellStyle name="Normal 2 3 32 4 2 2" xfId="41993" xr:uid="{00000000-0005-0000-0000-0000FF6B0000}"/>
    <cellStyle name="Normal 2 3 32 4 3" xfId="11581" xr:uid="{00000000-0005-0000-0000-0000006C0000}"/>
    <cellStyle name="Normal 2 3 32 4 3 2" xfId="41994" xr:uid="{00000000-0005-0000-0000-0000016C0000}"/>
    <cellStyle name="Normal 2 3 32 4 4" xfId="41995" xr:uid="{00000000-0005-0000-0000-0000026C0000}"/>
    <cellStyle name="Normal 2 3 32 5" xfId="11582" xr:uid="{00000000-0005-0000-0000-0000036C0000}"/>
    <cellStyle name="Normal 2 3 32 5 2" xfId="11583" xr:uid="{00000000-0005-0000-0000-0000046C0000}"/>
    <cellStyle name="Normal 2 3 32 5 2 2" xfId="41996" xr:uid="{00000000-0005-0000-0000-0000056C0000}"/>
    <cellStyle name="Normal 2 3 32 5 3" xfId="41997" xr:uid="{00000000-0005-0000-0000-0000066C0000}"/>
    <cellStyle name="Normal 2 3 32 6" xfId="11584" xr:uid="{00000000-0005-0000-0000-0000076C0000}"/>
    <cellStyle name="Normal 2 3 32 6 2" xfId="41998" xr:uid="{00000000-0005-0000-0000-0000086C0000}"/>
    <cellStyle name="Normal 2 3 32 7" xfId="11585" xr:uid="{00000000-0005-0000-0000-0000096C0000}"/>
    <cellStyle name="Normal 2 3 32 7 2" xfId="41999" xr:uid="{00000000-0005-0000-0000-00000A6C0000}"/>
    <cellStyle name="Normal 2 3 32 8" xfId="42000" xr:uid="{00000000-0005-0000-0000-00000B6C0000}"/>
    <cellStyle name="Normal 2 3 32 8 2" xfId="42001" xr:uid="{00000000-0005-0000-0000-00000C6C0000}"/>
    <cellStyle name="Normal 2 3 32 9" xfId="42002" xr:uid="{00000000-0005-0000-0000-00000D6C0000}"/>
    <cellStyle name="Normal 2 3 33" xfId="11586" xr:uid="{00000000-0005-0000-0000-00000E6C0000}"/>
    <cellStyle name="Normal 2 3 33 10" xfId="42003" xr:uid="{00000000-0005-0000-0000-00000F6C0000}"/>
    <cellStyle name="Normal 2 3 33 11" xfId="42004" xr:uid="{00000000-0005-0000-0000-0000106C0000}"/>
    <cellStyle name="Normal 2 3 33 2" xfId="11587" xr:uid="{00000000-0005-0000-0000-0000116C0000}"/>
    <cellStyle name="Normal 2 3 33 2 10" xfId="42005" xr:uid="{00000000-0005-0000-0000-0000126C0000}"/>
    <cellStyle name="Normal 2 3 33 2 2" xfId="11588" xr:uid="{00000000-0005-0000-0000-0000136C0000}"/>
    <cellStyle name="Normal 2 3 33 2 2 2" xfId="11589" xr:uid="{00000000-0005-0000-0000-0000146C0000}"/>
    <cellStyle name="Normal 2 3 33 2 2 2 2" xfId="11590" xr:uid="{00000000-0005-0000-0000-0000156C0000}"/>
    <cellStyle name="Normal 2 3 33 2 2 2 2 2" xfId="42006" xr:uid="{00000000-0005-0000-0000-0000166C0000}"/>
    <cellStyle name="Normal 2 3 33 2 2 2 3" xfId="11591" xr:uid="{00000000-0005-0000-0000-0000176C0000}"/>
    <cellStyle name="Normal 2 3 33 2 2 2 3 2" xfId="42007" xr:uid="{00000000-0005-0000-0000-0000186C0000}"/>
    <cellStyle name="Normal 2 3 33 2 2 2 4" xfId="42008" xr:uid="{00000000-0005-0000-0000-0000196C0000}"/>
    <cellStyle name="Normal 2 3 33 2 2 3" xfId="11592" xr:uid="{00000000-0005-0000-0000-00001A6C0000}"/>
    <cellStyle name="Normal 2 3 33 2 2 3 2" xfId="42009" xr:uid="{00000000-0005-0000-0000-00001B6C0000}"/>
    <cellStyle name="Normal 2 3 33 2 2 4" xfId="11593" xr:uid="{00000000-0005-0000-0000-00001C6C0000}"/>
    <cellStyle name="Normal 2 3 33 2 2 4 2" xfId="42010" xr:uid="{00000000-0005-0000-0000-00001D6C0000}"/>
    <cellStyle name="Normal 2 3 33 2 2 5" xfId="11594" xr:uid="{00000000-0005-0000-0000-00001E6C0000}"/>
    <cellStyle name="Normal 2 3 33 2 2 5 2" xfId="42011" xr:uid="{00000000-0005-0000-0000-00001F6C0000}"/>
    <cellStyle name="Normal 2 3 33 2 2 6" xfId="42012" xr:uid="{00000000-0005-0000-0000-0000206C0000}"/>
    <cellStyle name="Normal 2 3 33 2 2 6 2" xfId="42013" xr:uid="{00000000-0005-0000-0000-0000216C0000}"/>
    <cellStyle name="Normal 2 3 33 2 2 7" xfId="42014" xr:uid="{00000000-0005-0000-0000-0000226C0000}"/>
    <cellStyle name="Normal 2 3 33 2 3" xfId="11595" xr:uid="{00000000-0005-0000-0000-0000236C0000}"/>
    <cellStyle name="Normal 2 3 33 2 3 2" xfId="11596" xr:uid="{00000000-0005-0000-0000-0000246C0000}"/>
    <cellStyle name="Normal 2 3 33 2 3 2 2" xfId="42015" xr:uid="{00000000-0005-0000-0000-0000256C0000}"/>
    <cellStyle name="Normal 2 3 33 2 3 3" xfId="11597" xr:uid="{00000000-0005-0000-0000-0000266C0000}"/>
    <cellStyle name="Normal 2 3 33 2 3 3 2" xfId="42016" xr:uid="{00000000-0005-0000-0000-0000276C0000}"/>
    <cellStyle name="Normal 2 3 33 2 3 4" xfId="42017" xr:uid="{00000000-0005-0000-0000-0000286C0000}"/>
    <cellStyle name="Normal 2 3 33 2 4" xfId="11598" xr:uid="{00000000-0005-0000-0000-0000296C0000}"/>
    <cellStyle name="Normal 2 3 33 2 4 2" xfId="11599" xr:uid="{00000000-0005-0000-0000-00002A6C0000}"/>
    <cellStyle name="Normal 2 3 33 2 4 2 2" xfId="42018" xr:uid="{00000000-0005-0000-0000-00002B6C0000}"/>
    <cellStyle name="Normal 2 3 33 2 4 3" xfId="42019" xr:uid="{00000000-0005-0000-0000-00002C6C0000}"/>
    <cellStyle name="Normal 2 3 33 2 5" xfId="11600" xr:uid="{00000000-0005-0000-0000-00002D6C0000}"/>
    <cellStyle name="Normal 2 3 33 2 5 2" xfId="42020" xr:uid="{00000000-0005-0000-0000-00002E6C0000}"/>
    <cellStyle name="Normal 2 3 33 2 6" xfId="11601" xr:uid="{00000000-0005-0000-0000-00002F6C0000}"/>
    <cellStyle name="Normal 2 3 33 2 6 2" xfId="42021" xr:uid="{00000000-0005-0000-0000-0000306C0000}"/>
    <cellStyle name="Normal 2 3 33 2 7" xfId="42022" xr:uid="{00000000-0005-0000-0000-0000316C0000}"/>
    <cellStyle name="Normal 2 3 33 2 7 2" xfId="42023" xr:uid="{00000000-0005-0000-0000-0000326C0000}"/>
    <cellStyle name="Normal 2 3 33 2 8" xfId="42024" xr:uid="{00000000-0005-0000-0000-0000336C0000}"/>
    <cellStyle name="Normal 2 3 33 2 9" xfId="42025" xr:uid="{00000000-0005-0000-0000-0000346C0000}"/>
    <cellStyle name="Normal 2 3 33 3" xfId="11602" xr:uid="{00000000-0005-0000-0000-0000356C0000}"/>
    <cellStyle name="Normal 2 3 33 3 2" xfId="11603" xr:uid="{00000000-0005-0000-0000-0000366C0000}"/>
    <cellStyle name="Normal 2 3 33 3 2 2" xfId="11604" xr:uid="{00000000-0005-0000-0000-0000376C0000}"/>
    <cellStyle name="Normal 2 3 33 3 2 2 2" xfId="42026" xr:uid="{00000000-0005-0000-0000-0000386C0000}"/>
    <cellStyle name="Normal 2 3 33 3 2 3" xfId="11605" xr:uid="{00000000-0005-0000-0000-0000396C0000}"/>
    <cellStyle name="Normal 2 3 33 3 2 3 2" xfId="42027" xr:uid="{00000000-0005-0000-0000-00003A6C0000}"/>
    <cellStyle name="Normal 2 3 33 3 2 4" xfId="42028" xr:uid="{00000000-0005-0000-0000-00003B6C0000}"/>
    <cellStyle name="Normal 2 3 33 3 3" xfId="11606" xr:uid="{00000000-0005-0000-0000-00003C6C0000}"/>
    <cellStyle name="Normal 2 3 33 3 3 2" xfId="42029" xr:uid="{00000000-0005-0000-0000-00003D6C0000}"/>
    <cellStyle name="Normal 2 3 33 3 4" xfId="11607" xr:uid="{00000000-0005-0000-0000-00003E6C0000}"/>
    <cellStyle name="Normal 2 3 33 3 4 2" xfId="42030" xr:uid="{00000000-0005-0000-0000-00003F6C0000}"/>
    <cellStyle name="Normal 2 3 33 3 5" xfId="11608" xr:uid="{00000000-0005-0000-0000-0000406C0000}"/>
    <cellStyle name="Normal 2 3 33 3 5 2" xfId="42031" xr:uid="{00000000-0005-0000-0000-0000416C0000}"/>
    <cellStyle name="Normal 2 3 33 3 6" xfId="42032" xr:uid="{00000000-0005-0000-0000-0000426C0000}"/>
    <cellStyle name="Normal 2 3 33 3 6 2" xfId="42033" xr:uid="{00000000-0005-0000-0000-0000436C0000}"/>
    <cellStyle name="Normal 2 3 33 3 7" xfId="42034" xr:uid="{00000000-0005-0000-0000-0000446C0000}"/>
    <cellStyle name="Normal 2 3 33 4" xfId="11609" xr:uid="{00000000-0005-0000-0000-0000456C0000}"/>
    <cellStyle name="Normal 2 3 33 4 2" xfId="11610" xr:uid="{00000000-0005-0000-0000-0000466C0000}"/>
    <cellStyle name="Normal 2 3 33 4 2 2" xfId="42035" xr:uid="{00000000-0005-0000-0000-0000476C0000}"/>
    <cellStyle name="Normal 2 3 33 4 3" xfId="11611" xr:uid="{00000000-0005-0000-0000-0000486C0000}"/>
    <cellStyle name="Normal 2 3 33 4 3 2" xfId="42036" xr:uid="{00000000-0005-0000-0000-0000496C0000}"/>
    <cellStyle name="Normal 2 3 33 4 4" xfId="42037" xr:uid="{00000000-0005-0000-0000-00004A6C0000}"/>
    <cellStyle name="Normal 2 3 33 5" xfId="11612" xr:uid="{00000000-0005-0000-0000-00004B6C0000}"/>
    <cellStyle name="Normal 2 3 33 5 2" xfId="11613" xr:uid="{00000000-0005-0000-0000-00004C6C0000}"/>
    <cellStyle name="Normal 2 3 33 5 2 2" xfId="42038" xr:uid="{00000000-0005-0000-0000-00004D6C0000}"/>
    <cellStyle name="Normal 2 3 33 5 3" xfId="42039" xr:uid="{00000000-0005-0000-0000-00004E6C0000}"/>
    <cellStyle name="Normal 2 3 33 6" xfId="11614" xr:uid="{00000000-0005-0000-0000-00004F6C0000}"/>
    <cellStyle name="Normal 2 3 33 6 2" xfId="42040" xr:uid="{00000000-0005-0000-0000-0000506C0000}"/>
    <cellStyle name="Normal 2 3 33 7" xfId="11615" xr:uid="{00000000-0005-0000-0000-0000516C0000}"/>
    <cellStyle name="Normal 2 3 33 7 2" xfId="42041" xr:uid="{00000000-0005-0000-0000-0000526C0000}"/>
    <cellStyle name="Normal 2 3 33 8" xfId="42042" xr:uid="{00000000-0005-0000-0000-0000536C0000}"/>
    <cellStyle name="Normal 2 3 33 8 2" xfId="42043" xr:uid="{00000000-0005-0000-0000-0000546C0000}"/>
    <cellStyle name="Normal 2 3 33 9" xfId="42044" xr:uid="{00000000-0005-0000-0000-0000556C0000}"/>
    <cellStyle name="Normal 2 3 34" xfId="11616" xr:uid="{00000000-0005-0000-0000-0000566C0000}"/>
    <cellStyle name="Normal 2 3 34 10" xfId="42045" xr:uid="{00000000-0005-0000-0000-0000576C0000}"/>
    <cellStyle name="Normal 2 3 34 11" xfId="42046" xr:uid="{00000000-0005-0000-0000-0000586C0000}"/>
    <cellStyle name="Normal 2 3 34 2" xfId="11617" xr:uid="{00000000-0005-0000-0000-0000596C0000}"/>
    <cellStyle name="Normal 2 3 34 2 10" xfId="42047" xr:uid="{00000000-0005-0000-0000-00005A6C0000}"/>
    <cellStyle name="Normal 2 3 34 2 2" xfId="11618" xr:uid="{00000000-0005-0000-0000-00005B6C0000}"/>
    <cellStyle name="Normal 2 3 34 2 2 2" xfId="11619" xr:uid="{00000000-0005-0000-0000-00005C6C0000}"/>
    <cellStyle name="Normal 2 3 34 2 2 2 2" xfId="11620" xr:uid="{00000000-0005-0000-0000-00005D6C0000}"/>
    <cellStyle name="Normal 2 3 34 2 2 2 2 2" xfId="42048" xr:uid="{00000000-0005-0000-0000-00005E6C0000}"/>
    <cellStyle name="Normal 2 3 34 2 2 2 3" xfId="11621" xr:uid="{00000000-0005-0000-0000-00005F6C0000}"/>
    <cellStyle name="Normal 2 3 34 2 2 2 3 2" xfId="42049" xr:uid="{00000000-0005-0000-0000-0000606C0000}"/>
    <cellStyle name="Normal 2 3 34 2 2 2 4" xfId="42050" xr:uid="{00000000-0005-0000-0000-0000616C0000}"/>
    <cellStyle name="Normal 2 3 34 2 2 3" xfId="11622" xr:uid="{00000000-0005-0000-0000-0000626C0000}"/>
    <cellStyle name="Normal 2 3 34 2 2 3 2" xfId="42051" xr:uid="{00000000-0005-0000-0000-0000636C0000}"/>
    <cellStyle name="Normal 2 3 34 2 2 4" xfId="11623" xr:uid="{00000000-0005-0000-0000-0000646C0000}"/>
    <cellStyle name="Normal 2 3 34 2 2 4 2" xfId="42052" xr:uid="{00000000-0005-0000-0000-0000656C0000}"/>
    <cellStyle name="Normal 2 3 34 2 2 5" xfId="11624" xr:uid="{00000000-0005-0000-0000-0000666C0000}"/>
    <cellStyle name="Normal 2 3 34 2 2 5 2" xfId="42053" xr:uid="{00000000-0005-0000-0000-0000676C0000}"/>
    <cellStyle name="Normal 2 3 34 2 2 6" xfId="42054" xr:uid="{00000000-0005-0000-0000-0000686C0000}"/>
    <cellStyle name="Normal 2 3 34 2 2 6 2" xfId="42055" xr:uid="{00000000-0005-0000-0000-0000696C0000}"/>
    <cellStyle name="Normal 2 3 34 2 2 7" xfId="42056" xr:uid="{00000000-0005-0000-0000-00006A6C0000}"/>
    <cellStyle name="Normal 2 3 34 2 3" xfId="11625" xr:uid="{00000000-0005-0000-0000-00006B6C0000}"/>
    <cellStyle name="Normal 2 3 34 2 3 2" xfId="11626" xr:uid="{00000000-0005-0000-0000-00006C6C0000}"/>
    <cellStyle name="Normal 2 3 34 2 3 2 2" xfId="42057" xr:uid="{00000000-0005-0000-0000-00006D6C0000}"/>
    <cellStyle name="Normal 2 3 34 2 3 3" xfId="11627" xr:uid="{00000000-0005-0000-0000-00006E6C0000}"/>
    <cellStyle name="Normal 2 3 34 2 3 3 2" xfId="42058" xr:uid="{00000000-0005-0000-0000-00006F6C0000}"/>
    <cellStyle name="Normal 2 3 34 2 3 4" xfId="42059" xr:uid="{00000000-0005-0000-0000-0000706C0000}"/>
    <cellStyle name="Normal 2 3 34 2 4" xfId="11628" xr:uid="{00000000-0005-0000-0000-0000716C0000}"/>
    <cellStyle name="Normal 2 3 34 2 4 2" xfId="11629" xr:uid="{00000000-0005-0000-0000-0000726C0000}"/>
    <cellStyle name="Normal 2 3 34 2 4 2 2" xfId="42060" xr:uid="{00000000-0005-0000-0000-0000736C0000}"/>
    <cellStyle name="Normal 2 3 34 2 4 3" xfId="42061" xr:uid="{00000000-0005-0000-0000-0000746C0000}"/>
    <cellStyle name="Normal 2 3 34 2 5" xfId="11630" xr:uid="{00000000-0005-0000-0000-0000756C0000}"/>
    <cellStyle name="Normal 2 3 34 2 5 2" xfId="42062" xr:uid="{00000000-0005-0000-0000-0000766C0000}"/>
    <cellStyle name="Normal 2 3 34 2 6" xfId="11631" xr:uid="{00000000-0005-0000-0000-0000776C0000}"/>
    <cellStyle name="Normal 2 3 34 2 6 2" xfId="42063" xr:uid="{00000000-0005-0000-0000-0000786C0000}"/>
    <cellStyle name="Normal 2 3 34 2 7" xfId="42064" xr:uid="{00000000-0005-0000-0000-0000796C0000}"/>
    <cellStyle name="Normal 2 3 34 2 7 2" xfId="42065" xr:uid="{00000000-0005-0000-0000-00007A6C0000}"/>
    <cellStyle name="Normal 2 3 34 2 8" xfId="42066" xr:uid="{00000000-0005-0000-0000-00007B6C0000}"/>
    <cellStyle name="Normal 2 3 34 2 9" xfId="42067" xr:uid="{00000000-0005-0000-0000-00007C6C0000}"/>
    <cellStyle name="Normal 2 3 34 3" xfId="11632" xr:uid="{00000000-0005-0000-0000-00007D6C0000}"/>
    <cellStyle name="Normal 2 3 34 3 2" xfId="11633" xr:uid="{00000000-0005-0000-0000-00007E6C0000}"/>
    <cellStyle name="Normal 2 3 34 3 2 2" xfId="11634" xr:uid="{00000000-0005-0000-0000-00007F6C0000}"/>
    <cellStyle name="Normal 2 3 34 3 2 2 2" xfId="42068" xr:uid="{00000000-0005-0000-0000-0000806C0000}"/>
    <cellStyle name="Normal 2 3 34 3 2 3" xfId="11635" xr:uid="{00000000-0005-0000-0000-0000816C0000}"/>
    <cellStyle name="Normal 2 3 34 3 2 3 2" xfId="42069" xr:uid="{00000000-0005-0000-0000-0000826C0000}"/>
    <cellStyle name="Normal 2 3 34 3 2 4" xfId="42070" xr:uid="{00000000-0005-0000-0000-0000836C0000}"/>
    <cellStyle name="Normal 2 3 34 3 3" xfId="11636" xr:uid="{00000000-0005-0000-0000-0000846C0000}"/>
    <cellStyle name="Normal 2 3 34 3 3 2" xfId="42071" xr:uid="{00000000-0005-0000-0000-0000856C0000}"/>
    <cellStyle name="Normal 2 3 34 3 4" xfId="11637" xr:uid="{00000000-0005-0000-0000-0000866C0000}"/>
    <cellStyle name="Normal 2 3 34 3 4 2" xfId="42072" xr:uid="{00000000-0005-0000-0000-0000876C0000}"/>
    <cellStyle name="Normal 2 3 34 3 5" xfId="11638" xr:uid="{00000000-0005-0000-0000-0000886C0000}"/>
    <cellStyle name="Normal 2 3 34 3 5 2" xfId="42073" xr:uid="{00000000-0005-0000-0000-0000896C0000}"/>
    <cellStyle name="Normal 2 3 34 3 6" xfId="42074" xr:uid="{00000000-0005-0000-0000-00008A6C0000}"/>
    <cellStyle name="Normal 2 3 34 3 6 2" xfId="42075" xr:uid="{00000000-0005-0000-0000-00008B6C0000}"/>
    <cellStyle name="Normal 2 3 34 3 7" xfId="42076" xr:uid="{00000000-0005-0000-0000-00008C6C0000}"/>
    <cellStyle name="Normal 2 3 34 4" xfId="11639" xr:uid="{00000000-0005-0000-0000-00008D6C0000}"/>
    <cellStyle name="Normal 2 3 34 4 2" xfId="11640" xr:uid="{00000000-0005-0000-0000-00008E6C0000}"/>
    <cellStyle name="Normal 2 3 34 4 2 2" xfId="42077" xr:uid="{00000000-0005-0000-0000-00008F6C0000}"/>
    <cellStyle name="Normal 2 3 34 4 3" xfId="11641" xr:uid="{00000000-0005-0000-0000-0000906C0000}"/>
    <cellStyle name="Normal 2 3 34 4 3 2" xfId="42078" xr:uid="{00000000-0005-0000-0000-0000916C0000}"/>
    <cellStyle name="Normal 2 3 34 4 4" xfId="42079" xr:uid="{00000000-0005-0000-0000-0000926C0000}"/>
    <cellStyle name="Normal 2 3 34 5" xfId="11642" xr:uid="{00000000-0005-0000-0000-0000936C0000}"/>
    <cellStyle name="Normal 2 3 34 5 2" xfId="11643" xr:uid="{00000000-0005-0000-0000-0000946C0000}"/>
    <cellStyle name="Normal 2 3 34 5 2 2" xfId="42080" xr:uid="{00000000-0005-0000-0000-0000956C0000}"/>
    <cellStyle name="Normal 2 3 34 5 3" xfId="42081" xr:uid="{00000000-0005-0000-0000-0000966C0000}"/>
    <cellStyle name="Normal 2 3 34 6" xfId="11644" xr:uid="{00000000-0005-0000-0000-0000976C0000}"/>
    <cellStyle name="Normal 2 3 34 6 2" xfId="42082" xr:uid="{00000000-0005-0000-0000-0000986C0000}"/>
    <cellStyle name="Normal 2 3 34 7" xfId="11645" xr:uid="{00000000-0005-0000-0000-0000996C0000}"/>
    <cellStyle name="Normal 2 3 34 7 2" xfId="42083" xr:uid="{00000000-0005-0000-0000-00009A6C0000}"/>
    <cellStyle name="Normal 2 3 34 8" xfId="42084" xr:uid="{00000000-0005-0000-0000-00009B6C0000}"/>
    <cellStyle name="Normal 2 3 34 8 2" xfId="42085" xr:uid="{00000000-0005-0000-0000-00009C6C0000}"/>
    <cellStyle name="Normal 2 3 34 9" xfId="42086" xr:uid="{00000000-0005-0000-0000-00009D6C0000}"/>
    <cellStyle name="Normal 2 3 35" xfId="11646" xr:uid="{00000000-0005-0000-0000-00009E6C0000}"/>
    <cellStyle name="Normal 2 3 35 10" xfId="42087" xr:uid="{00000000-0005-0000-0000-00009F6C0000}"/>
    <cellStyle name="Normal 2 3 35 11" xfId="42088" xr:uid="{00000000-0005-0000-0000-0000A06C0000}"/>
    <cellStyle name="Normal 2 3 35 2" xfId="11647" xr:uid="{00000000-0005-0000-0000-0000A16C0000}"/>
    <cellStyle name="Normal 2 3 35 2 10" xfId="42089" xr:uid="{00000000-0005-0000-0000-0000A26C0000}"/>
    <cellStyle name="Normal 2 3 35 2 2" xfId="11648" xr:uid="{00000000-0005-0000-0000-0000A36C0000}"/>
    <cellStyle name="Normal 2 3 35 2 2 2" xfId="11649" xr:uid="{00000000-0005-0000-0000-0000A46C0000}"/>
    <cellStyle name="Normal 2 3 35 2 2 2 2" xfId="11650" xr:uid="{00000000-0005-0000-0000-0000A56C0000}"/>
    <cellStyle name="Normal 2 3 35 2 2 2 2 2" xfId="42090" xr:uid="{00000000-0005-0000-0000-0000A66C0000}"/>
    <cellStyle name="Normal 2 3 35 2 2 2 3" xfId="11651" xr:uid="{00000000-0005-0000-0000-0000A76C0000}"/>
    <cellStyle name="Normal 2 3 35 2 2 2 3 2" xfId="42091" xr:uid="{00000000-0005-0000-0000-0000A86C0000}"/>
    <cellStyle name="Normal 2 3 35 2 2 2 4" xfId="42092" xr:uid="{00000000-0005-0000-0000-0000A96C0000}"/>
    <cellStyle name="Normal 2 3 35 2 2 3" xfId="11652" xr:uid="{00000000-0005-0000-0000-0000AA6C0000}"/>
    <cellStyle name="Normal 2 3 35 2 2 3 2" xfId="42093" xr:uid="{00000000-0005-0000-0000-0000AB6C0000}"/>
    <cellStyle name="Normal 2 3 35 2 2 4" xfId="11653" xr:uid="{00000000-0005-0000-0000-0000AC6C0000}"/>
    <cellStyle name="Normal 2 3 35 2 2 4 2" xfId="42094" xr:uid="{00000000-0005-0000-0000-0000AD6C0000}"/>
    <cellStyle name="Normal 2 3 35 2 2 5" xfId="11654" xr:uid="{00000000-0005-0000-0000-0000AE6C0000}"/>
    <cellStyle name="Normal 2 3 35 2 2 5 2" xfId="42095" xr:uid="{00000000-0005-0000-0000-0000AF6C0000}"/>
    <cellStyle name="Normal 2 3 35 2 2 6" xfId="42096" xr:uid="{00000000-0005-0000-0000-0000B06C0000}"/>
    <cellStyle name="Normal 2 3 35 2 2 6 2" xfId="42097" xr:uid="{00000000-0005-0000-0000-0000B16C0000}"/>
    <cellStyle name="Normal 2 3 35 2 2 7" xfId="42098" xr:uid="{00000000-0005-0000-0000-0000B26C0000}"/>
    <cellStyle name="Normal 2 3 35 2 3" xfId="11655" xr:uid="{00000000-0005-0000-0000-0000B36C0000}"/>
    <cellStyle name="Normal 2 3 35 2 3 2" xfId="11656" xr:uid="{00000000-0005-0000-0000-0000B46C0000}"/>
    <cellStyle name="Normal 2 3 35 2 3 2 2" xfId="42099" xr:uid="{00000000-0005-0000-0000-0000B56C0000}"/>
    <cellStyle name="Normal 2 3 35 2 3 3" xfId="11657" xr:uid="{00000000-0005-0000-0000-0000B66C0000}"/>
    <cellStyle name="Normal 2 3 35 2 3 3 2" xfId="42100" xr:uid="{00000000-0005-0000-0000-0000B76C0000}"/>
    <cellStyle name="Normal 2 3 35 2 3 4" xfId="42101" xr:uid="{00000000-0005-0000-0000-0000B86C0000}"/>
    <cellStyle name="Normal 2 3 35 2 4" xfId="11658" xr:uid="{00000000-0005-0000-0000-0000B96C0000}"/>
    <cellStyle name="Normal 2 3 35 2 4 2" xfId="11659" xr:uid="{00000000-0005-0000-0000-0000BA6C0000}"/>
    <cellStyle name="Normal 2 3 35 2 4 2 2" xfId="42102" xr:uid="{00000000-0005-0000-0000-0000BB6C0000}"/>
    <cellStyle name="Normal 2 3 35 2 4 3" xfId="42103" xr:uid="{00000000-0005-0000-0000-0000BC6C0000}"/>
    <cellStyle name="Normal 2 3 35 2 5" xfId="11660" xr:uid="{00000000-0005-0000-0000-0000BD6C0000}"/>
    <cellStyle name="Normal 2 3 35 2 5 2" xfId="42104" xr:uid="{00000000-0005-0000-0000-0000BE6C0000}"/>
    <cellStyle name="Normal 2 3 35 2 6" xfId="11661" xr:uid="{00000000-0005-0000-0000-0000BF6C0000}"/>
    <cellStyle name="Normal 2 3 35 2 6 2" xfId="42105" xr:uid="{00000000-0005-0000-0000-0000C06C0000}"/>
    <cellStyle name="Normal 2 3 35 2 7" xfId="42106" xr:uid="{00000000-0005-0000-0000-0000C16C0000}"/>
    <cellStyle name="Normal 2 3 35 2 7 2" xfId="42107" xr:uid="{00000000-0005-0000-0000-0000C26C0000}"/>
    <cellStyle name="Normal 2 3 35 2 8" xfId="42108" xr:uid="{00000000-0005-0000-0000-0000C36C0000}"/>
    <cellStyle name="Normal 2 3 35 2 9" xfId="42109" xr:uid="{00000000-0005-0000-0000-0000C46C0000}"/>
    <cellStyle name="Normal 2 3 35 3" xfId="11662" xr:uid="{00000000-0005-0000-0000-0000C56C0000}"/>
    <cellStyle name="Normal 2 3 35 3 2" xfId="11663" xr:uid="{00000000-0005-0000-0000-0000C66C0000}"/>
    <cellStyle name="Normal 2 3 35 3 2 2" xfId="11664" xr:uid="{00000000-0005-0000-0000-0000C76C0000}"/>
    <cellStyle name="Normal 2 3 35 3 2 2 2" xfId="42110" xr:uid="{00000000-0005-0000-0000-0000C86C0000}"/>
    <cellStyle name="Normal 2 3 35 3 2 3" xfId="11665" xr:uid="{00000000-0005-0000-0000-0000C96C0000}"/>
    <cellStyle name="Normal 2 3 35 3 2 3 2" xfId="42111" xr:uid="{00000000-0005-0000-0000-0000CA6C0000}"/>
    <cellStyle name="Normal 2 3 35 3 2 4" xfId="42112" xr:uid="{00000000-0005-0000-0000-0000CB6C0000}"/>
    <cellStyle name="Normal 2 3 35 3 3" xfId="11666" xr:uid="{00000000-0005-0000-0000-0000CC6C0000}"/>
    <cellStyle name="Normal 2 3 35 3 3 2" xfId="42113" xr:uid="{00000000-0005-0000-0000-0000CD6C0000}"/>
    <cellStyle name="Normal 2 3 35 3 4" xfId="11667" xr:uid="{00000000-0005-0000-0000-0000CE6C0000}"/>
    <cellStyle name="Normal 2 3 35 3 4 2" xfId="42114" xr:uid="{00000000-0005-0000-0000-0000CF6C0000}"/>
    <cellStyle name="Normal 2 3 35 3 5" xfId="11668" xr:uid="{00000000-0005-0000-0000-0000D06C0000}"/>
    <cellStyle name="Normal 2 3 35 3 5 2" xfId="42115" xr:uid="{00000000-0005-0000-0000-0000D16C0000}"/>
    <cellStyle name="Normal 2 3 35 3 6" xfId="42116" xr:uid="{00000000-0005-0000-0000-0000D26C0000}"/>
    <cellStyle name="Normal 2 3 35 3 6 2" xfId="42117" xr:uid="{00000000-0005-0000-0000-0000D36C0000}"/>
    <cellStyle name="Normal 2 3 35 3 7" xfId="42118" xr:uid="{00000000-0005-0000-0000-0000D46C0000}"/>
    <cellStyle name="Normal 2 3 35 4" xfId="11669" xr:uid="{00000000-0005-0000-0000-0000D56C0000}"/>
    <cellStyle name="Normal 2 3 35 4 2" xfId="11670" xr:uid="{00000000-0005-0000-0000-0000D66C0000}"/>
    <cellStyle name="Normal 2 3 35 4 2 2" xfId="42119" xr:uid="{00000000-0005-0000-0000-0000D76C0000}"/>
    <cellStyle name="Normal 2 3 35 4 3" xfId="11671" xr:uid="{00000000-0005-0000-0000-0000D86C0000}"/>
    <cellStyle name="Normal 2 3 35 4 3 2" xfId="42120" xr:uid="{00000000-0005-0000-0000-0000D96C0000}"/>
    <cellStyle name="Normal 2 3 35 4 4" xfId="42121" xr:uid="{00000000-0005-0000-0000-0000DA6C0000}"/>
    <cellStyle name="Normal 2 3 35 5" xfId="11672" xr:uid="{00000000-0005-0000-0000-0000DB6C0000}"/>
    <cellStyle name="Normal 2 3 35 5 2" xfId="11673" xr:uid="{00000000-0005-0000-0000-0000DC6C0000}"/>
    <cellStyle name="Normal 2 3 35 5 2 2" xfId="42122" xr:uid="{00000000-0005-0000-0000-0000DD6C0000}"/>
    <cellStyle name="Normal 2 3 35 5 3" xfId="42123" xr:uid="{00000000-0005-0000-0000-0000DE6C0000}"/>
    <cellStyle name="Normal 2 3 35 6" xfId="11674" xr:uid="{00000000-0005-0000-0000-0000DF6C0000}"/>
    <cellStyle name="Normal 2 3 35 6 2" xfId="42124" xr:uid="{00000000-0005-0000-0000-0000E06C0000}"/>
    <cellStyle name="Normal 2 3 35 7" xfId="11675" xr:uid="{00000000-0005-0000-0000-0000E16C0000}"/>
    <cellStyle name="Normal 2 3 35 7 2" xfId="42125" xr:uid="{00000000-0005-0000-0000-0000E26C0000}"/>
    <cellStyle name="Normal 2 3 35 8" xfId="42126" xr:uid="{00000000-0005-0000-0000-0000E36C0000}"/>
    <cellStyle name="Normal 2 3 35 8 2" xfId="42127" xr:uid="{00000000-0005-0000-0000-0000E46C0000}"/>
    <cellStyle name="Normal 2 3 35 9" xfId="42128" xr:uid="{00000000-0005-0000-0000-0000E56C0000}"/>
    <cellStyle name="Normal 2 3 36" xfId="11676" xr:uid="{00000000-0005-0000-0000-0000E66C0000}"/>
    <cellStyle name="Normal 2 3 36 10" xfId="42129" xr:uid="{00000000-0005-0000-0000-0000E76C0000}"/>
    <cellStyle name="Normal 2 3 36 11" xfId="42130" xr:uid="{00000000-0005-0000-0000-0000E86C0000}"/>
    <cellStyle name="Normal 2 3 36 2" xfId="11677" xr:uid="{00000000-0005-0000-0000-0000E96C0000}"/>
    <cellStyle name="Normal 2 3 36 2 10" xfId="42131" xr:uid="{00000000-0005-0000-0000-0000EA6C0000}"/>
    <cellStyle name="Normal 2 3 36 2 2" xfId="11678" xr:uid="{00000000-0005-0000-0000-0000EB6C0000}"/>
    <cellStyle name="Normal 2 3 36 2 2 2" xfId="11679" xr:uid="{00000000-0005-0000-0000-0000EC6C0000}"/>
    <cellStyle name="Normal 2 3 36 2 2 2 2" xfId="11680" xr:uid="{00000000-0005-0000-0000-0000ED6C0000}"/>
    <cellStyle name="Normal 2 3 36 2 2 2 2 2" xfId="42132" xr:uid="{00000000-0005-0000-0000-0000EE6C0000}"/>
    <cellStyle name="Normal 2 3 36 2 2 2 3" xfId="11681" xr:uid="{00000000-0005-0000-0000-0000EF6C0000}"/>
    <cellStyle name="Normal 2 3 36 2 2 2 3 2" xfId="42133" xr:uid="{00000000-0005-0000-0000-0000F06C0000}"/>
    <cellStyle name="Normal 2 3 36 2 2 2 4" xfId="42134" xr:uid="{00000000-0005-0000-0000-0000F16C0000}"/>
    <cellStyle name="Normal 2 3 36 2 2 3" xfId="11682" xr:uid="{00000000-0005-0000-0000-0000F26C0000}"/>
    <cellStyle name="Normal 2 3 36 2 2 3 2" xfId="42135" xr:uid="{00000000-0005-0000-0000-0000F36C0000}"/>
    <cellStyle name="Normal 2 3 36 2 2 4" xfId="11683" xr:uid="{00000000-0005-0000-0000-0000F46C0000}"/>
    <cellStyle name="Normal 2 3 36 2 2 4 2" xfId="42136" xr:uid="{00000000-0005-0000-0000-0000F56C0000}"/>
    <cellStyle name="Normal 2 3 36 2 2 5" xfId="11684" xr:uid="{00000000-0005-0000-0000-0000F66C0000}"/>
    <cellStyle name="Normal 2 3 36 2 2 5 2" xfId="42137" xr:uid="{00000000-0005-0000-0000-0000F76C0000}"/>
    <cellStyle name="Normal 2 3 36 2 2 6" xfId="42138" xr:uid="{00000000-0005-0000-0000-0000F86C0000}"/>
    <cellStyle name="Normal 2 3 36 2 2 6 2" xfId="42139" xr:uid="{00000000-0005-0000-0000-0000F96C0000}"/>
    <cellStyle name="Normal 2 3 36 2 2 7" xfId="42140" xr:uid="{00000000-0005-0000-0000-0000FA6C0000}"/>
    <cellStyle name="Normal 2 3 36 2 3" xfId="11685" xr:uid="{00000000-0005-0000-0000-0000FB6C0000}"/>
    <cellStyle name="Normal 2 3 36 2 3 2" xfId="11686" xr:uid="{00000000-0005-0000-0000-0000FC6C0000}"/>
    <cellStyle name="Normal 2 3 36 2 3 2 2" xfId="42141" xr:uid="{00000000-0005-0000-0000-0000FD6C0000}"/>
    <cellStyle name="Normal 2 3 36 2 3 3" xfId="11687" xr:uid="{00000000-0005-0000-0000-0000FE6C0000}"/>
    <cellStyle name="Normal 2 3 36 2 3 3 2" xfId="42142" xr:uid="{00000000-0005-0000-0000-0000FF6C0000}"/>
    <cellStyle name="Normal 2 3 36 2 3 4" xfId="42143" xr:uid="{00000000-0005-0000-0000-0000006D0000}"/>
    <cellStyle name="Normal 2 3 36 2 4" xfId="11688" xr:uid="{00000000-0005-0000-0000-0000016D0000}"/>
    <cellStyle name="Normal 2 3 36 2 4 2" xfId="11689" xr:uid="{00000000-0005-0000-0000-0000026D0000}"/>
    <cellStyle name="Normal 2 3 36 2 4 2 2" xfId="42144" xr:uid="{00000000-0005-0000-0000-0000036D0000}"/>
    <cellStyle name="Normal 2 3 36 2 4 3" xfId="42145" xr:uid="{00000000-0005-0000-0000-0000046D0000}"/>
    <cellStyle name="Normal 2 3 36 2 5" xfId="11690" xr:uid="{00000000-0005-0000-0000-0000056D0000}"/>
    <cellStyle name="Normal 2 3 36 2 5 2" xfId="42146" xr:uid="{00000000-0005-0000-0000-0000066D0000}"/>
    <cellStyle name="Normal 2 3 36 2 6" xfId="11691" xr:uid="{00000000-0005-0000-0000-0000076D0000}"/>
    <cellStyle name="Normal 2 3 36 2 6 2" xfId="42147" xr:uid="{00000000-0005-0000-0000-0000086D0000}"/>
    <cellStyle name="Normal 2 3 36 2 7" xfId="42148" xr:uid="{00000000-0005-0000-0000-0000096D0000}"/>
    <cellStyle name="Normal 2 3 36 2 7 2" xfId="42149" xr:uid="{00000000-0005-0000-0000-00000A6D0000}"/>
    <cellStyle name="Normal 2 3 36 2 8" xfId="42150" xr:uid="{00000000-0005-0000-0000-00000B6D0000}"/>
    <cellStyle name="Normal 2 3 36 2 9" xfId="42151" xr:uid="{00000000-0005-0000-0000-00000C6D0000}"/>
    <cellStyle name="Normal 2 3 36 3" xfId="11692" xr:uid="{00000000-0005-0000-0000-00000D6D0000}"/>
    <cellStyle name="Normal 2 3 36 3 2" xfId="11693" xr:uid="{00000000-0005-0000-0000-00000E6D0000}"/>
    <cellStyle name="Normal 2 3 36 3 2 2" xfId="11694" xr:uid="{00000000-0005-0000-0000-00000F6D0000}"/>
    <cellStyle name="Normal 2 3 36 3 2 2 2" xfId="42152" xr:uid="{00000000-0005-0000-0000-0000106D0000}"/>
    <cellStyle name="Normal 2 3 36 3 2 3" xfId="11695" xr:uid="{00000000-0005-0000-0000-0000116D0000}"/>
    <cellStyle name="Normal 2 3 36 3 2 3 2" xfId="42153" xr:uid="{00000000-0005-0000-0000-0000126D0000}"/>
    <cellStyle name="Normal 2 3 36 3 2 4" xfId="42154" xr:uid="{00000000-0005-0000-0000-0000136D0000}"/>
    <cellStyle name="Normal 2 3 36 3 3" xfId="11696" xr:uid="{00000000-0005-0000-0000-0000146D0000}"/>
    <cellStyle name="Normal 2 3 36 3 3 2" xfId="42155" xr:uid="{00000000-0005-0000-0000-0000156D0000}"/>
    <cellStyle name="Normal 2 3 36 3 4" xfId="11697" xr:uid="{00000000-0005-0000-0000-0000166D0000}"/>
    <cellStyle name="Normal 2 3 36 3 4 2" xfId="42156" xr:uid="{00000000-0005-0000-0000-0000176D0000}"/>
    <cellStyle name="Normal 2 3 36 3 5" xfId="11698" xr:uid="{00000000-0005-0000-0000-0000186D0000}"/>
    <cellStyle name="Normal 2 3 36 3 5 2" xfId="42157" xr:uid="{00000000-0005-0000-0000-0000196D0000}"/>
    <cellStyle name="Normal 2 3 36 3 6" xfId="42158" xr:uid="{00000000-0005-0000-0000-00001A6D0000}"/>
    <cellStyle name="Normal 2 3 36 3 6 2" xfId="42159" xr:uid="{00000000-0005-0000-0000-00001B6D0000}"/>
    <cellStyle name="Normal 2 3 36 3 7" xfId="42160" xr:uid="{00000000-0005-0000-0000-00001C6D0000}"/>
    <cellStyle name="Normal 2 3 36 4" xfId="11699" xr:uid="{00000000-0005-0000-0000-00001D6D0000}"/>
    <cellStyle name="Normal 2 3 36 4 2" xfId="11700" xr:uid="{00000000-0005-0000-0000-00001E6D0000}"/>
    <cellStyle name="Normal 2 3 36 4 2 2" xfId="42161" xr:uid="{00000000-0005-0000-0000-00001F6D0000}"/>
    <cellStyle name="Normal 2 3 36 4 3" xfId="11701" xr:uid="{00000000-0005-0000-0000-0000206D0000}"/>
    <cellStyle name="Normal 2 3 36 4 3 2" xfId="42162" xr:uid="{00000000-0005-0000-0000-0000216D0000}"/>
    <cellStyle name="Normal 2 3 36 4 4" xfId="42163" xr:uid="{00000000-0005-0000-0000-0000226D0000}"/>
    <cellStyle name="Normal 2 3 36 5" xfId="11702" xr:uid="{00000000-0005-0000-0000-0000236D0000}"/>
    <cellStyle name="Normal 2 3 36 5 2" xfId="11703" xr:uid="{00000000-0005-0000-0000-0000246D0000}"/>
    <cellStyle name="Normal 2 3 36 5 2 2" xfId="42164" xr:uid="{00000000-0005-0000-0000-0000256D0000}"/>
    <cellStyle name="Normal 2 3 36 5 3" xfId="42165" xr:uid="{00000000-0005-0000-0000-0000266D0000}"/>
    <cellStyle name="Normal 2 3 36 6" xfId="11704" xr:uid="{00000000-0005-0000-0000-0000276D0000}"/>
    <cellStyle name="Normal 2 3 36 6 2" xfId="42166" xr:uid="{00000000-0005-0000-0000-0000286D0000}"/>
    <cellStyle name="Normal 2 3 36 7" xfId="11705" xr:uid="{00000000-0005-0000-0000-0000296D0000}"/>
    <cellStyle name="Normal 2 3 36 7 2" xfId="42167" xr:uid="{00000000-0005-0000-0000-00002A6D0000}"/>
    <cellStyle name="Normal 2 3 36 8" xfId="42168" xr:uid="{00000000-0005-0000-0000-00002B6D0000}"/>
    <cellStyle name="Normal 2 3 36 8 2" xfId="42169" xr:uid="{00000000-0005-0000-0000-00002C6D0000}"/>
    <cellStyle name="Normal 2 3 36 9" xfId="42170" xr:uid="{00000000-0005-0000-0000-00002D6D0000}"/>
    <cellStyle name="Normal 2 3 37" xfId="11706" xr:uid="{00000000-0005-0000-0000-00002E6D0000}"/>
    <cellStyle name="Normal 2 3 37 10" xfId="42171" xr:uid="{00000000-0005-0000-0000-00002F6D0000}"/>
    <cellStyle name="Normal 2 3 37 11" xfId="42172" xr:uid="{00000000-0005-0000-0000-0000306D0000}"/>
    <cellStyle name="Normal 2 3 37 2" xfId="11707" xr:uid="{00000000-0005-0000-0000-0000316D0000}"/>
    <cellStyle name="Normal 2 3 37 2 10" xfId="42173" xr:uid="{00000000-0005-0000-0000-0000326D0000}"/>
    <cellStyle name="Normal 2 3 37 2 2" xfId="11708" xr:uid="{00000000-0005-0000-0000-0000336D0000}"/>
    <cellStyle name="Normal 2 3 37 2 2 2" xfId="11709" xr:uid="{00000000-0005-0000-0000-0000346D0000}"/>
    <cellStyle name="Normal 2 3 37 2 2 2 2" xfId="11710" xr:uid="{00000000-0005-0000-0000-0000356D0000}"/>
    <cellStyle name="Normal 2 3 37 2 2 2 2 2" xfId="42174" xr:uid="{00000000-0005-0000-0000-0000366D0000}"/>
    <cellStyle name="Normal 2 3 37 2 2 2 3" xfId="11711" xr:uid="{00000000-0005-0000-0000-0000376D0000}"/>
    <cellStyle name="Normal 2 3 37 2 2 2 3 2" xfId="42175" xr:uid="{00000000-0005-0000-0000-0000386D0000}"/>
    <cellStyle name="Normal 2 3 37 2 2 2 4" xfId="42176" xr:uid="{00000000-0005-0000-0000-0000396D0000}"/>
    <cellStyle name="Normal 2 3 37 2 2 3" xfId="11712" xr:uid="{00000000-0005-0000-0000-00003A6D0000}"/>
    <cellStyle name="Normal 2 3 37 2 2 3 2" xfId="42177" xr:uid="{00000000-0005-0000-0000-00003B6D0000}"/>
    <cellStyle name="Normal 2 3 37 2 2 4" xfId="11713" xr:uid="{00000000-0005-0000-0000-00003C6D0000}"/>
    <cellStyle name="Normal 2 3 37 2 2 4 2" xfId="42178" xr:uid="{00000000-0005-0000-0000-00003D6D0000}"/>
    <cellStyle name="Normal 2 3 37 2 2 5" xfId="11714" xr:uid="{00000000-0005-0000-0000-00003E6D0000}"/>
    <cellStyle name="Normal 2 3 37 2 2 5 2" xfId="42179" xr:uid="{00000000-0005-0000-0000-00003F6D0000}"/>
    <cellStyle name="Normal 2 3 37 2 2 6" xfId="42180" xr:uid="{00000000-0005-0000-0000-0000406D0000}"/>
    <cellStyle name="Normal 2 3 37 2 2 6 2" xfId="42181" xr:uid="{00000000-0005-0000-0000-0000416D0000}"/>
    <cellStyle name="Normal 2 3 37 2 2 7" xfId="42182" xr:uid="{00000000-0005-0000-0000-0000426D0000}"/>
    <cellStyle name="Normal 2 3 37 2 3" xfId="11715" xr:uid="{00000000-0005-0000-0000-0000436D0000}"/>
    <cellStyle name="Normal 2 3 37 2 3 2" xfId="11716" xr:uid="{00000000-0005-0000-0000-0000446D0000}"/>
    <cellStyle name="Normal 2 3 37 2 3 2 2" xfId="42183" xr:uid="{00000000-0005-0000-0000-0000456D0000}"/>
    <cellStyle name="Normal 2 3 37 2 3 3" xfId="11717" xr:uid="{00000000-0005-0000-0000-0000466D0000}"/>
    <cellStyle name="Normal 2 3 37 2 3 3 2" xfId="42184" xr:uid="{00000000-0005-0000-0000-0000476D0000}"/>
    <cellStyle name="Normal 2 3 37 2 3 4" xfId="42185" xr:uid="{00000000-0005-0000-0000-0000486D0000}"/>
    <cellStyle name="Normal 2 3 37 2 4" xfId="11718" xr:uid="{00000000-0005-0000-0000-0000496D0000}"/>
    <cellStyle name="Normal 2 3 37 2 4 2" xfId="11719" xr:uid="{00000000-0005-0000-0000-00004A6D0000}"/>
    <cellStyle name="Normal 2 3 37 2 4 2 2" xfId="42186" xr:uid="{00000000-0005-0000-0000-00004B6D0000}"/>
    <cellStyle name="Normal 2 3 37 2 4 3" xfId="42187" xr:uid="{00000000-0005-0000-0000-00004C6D0000}"/>
    <cellStyle name="Normal 2 3 37 2 5" xfId="11720" xr:uid="{00000000-0005-0000-0000-00004D6D0000}"/>
    <cellStyle name="Normal 2 3 37 2 5 2" xfId="42188" xr:uid="{00000000-0005-0000-0000-00004E6D0000}"/>
    <cellStyle name="Normal 2 3 37 2 6" xfId="11721" xr:uid="{00000000-0005-0000-0000-00004F6D0000}"/>
    <cellStyle name="Normal 2 3 37 2 6 2" xfId="42189" xr:uid="{00000000-0005-0000-0000-0000506D0000}"/>
    <cellStyle name="Normal 2 3 37 2 7" xfId="42190" xr:uid="{00000000-0005-0000-0000-0000516D0000}"/>
    <cellStyle name="Normal 2 3 37 2 7 2" xfId="42191" xr:uid="{00000000-0005-0000-0000-0000526D0000}"/>
    <cellStyle name="Normal 2 3 37 2 8" xfId="42192" xr:uid="{00000000-0005-0000-0000-0000536D0000}"/>
    <cellStyle name="Normal 2 3 37 2 9" xfId="42193" xr:uid="{00000000-0005-0000-0000-0000546D0000}"/>
    <cellStyle name="Normal 2 3 37 3" xfId="11722" xr:uid="{00000000-0005-0000-0000-0000556D0000}"/>
    <cellStyle name="Normal 2 3 37 3 2" xfId="11723" xr:uid="{00000000-0005-0000-0000-0000566D0000}"/>
    <cellStyle name="Normal 2 3 37 3 2 2" xfId="11724" xr:uid="{00000000-0005-0000-0000-0000576D0000}"/>
    <cellStyle name="Normal 2 3 37 3 2 2 2" xfId="42194" xr:uid="{00000000-0005-0000-0000-0000586D0000}"/>
    <cellStyle name="Normal 2 3 37 3 2 3" xfId="11725" xr:uid="{00000000-0005-0000-0000-0000596D0000}"/>
    <cellStyle name="Normal 2 3 37 3 2 3 2" xfId="42195" xr:uid="{00000000-0005-0000-0000-00005A6D0000}"/>
    <cellStyle name="Normal 2 3 37 3 2 4" xfId="42196" xr:uid="{00000000-0005-0000-0000-00005B6D0000}"/>
    <cellStyle name="Normal 2 3 37 3 3" xfId="11726" xr:uid="{00000000-0005-0000-0000-00005C6D0000}"/>
    <cellStyle name="Normal 2 3 37 3 3 2" xfId="42197" xr:uid="{00000000-0005-0000-0000-00005D6D0000}"/>
    <cellStyle name="Normal 2 3 37 3 4" xfId="11727" xr:uid="{00000000-0005-0000-0000-00005E6D0000}"/>
    <cellStyle name="Normal 2 3 37 3 4 2" xfId="42198" xr:uid="{00000000-0005-0000-0000-00005F6D0000}"/>
    <cellStyle name="Normal 2 3 37 3 5" xfId="11728" xr:uid="{00000000-0005-0000-0000-0000606D0000}"/>
    <cellStyle name="Normal 2 3 37 3 5 2" xfId="42199" xr:uid="{00000000-0005-0000-0000-0000616D0000}"/>
    <cellStyle name="Normal 2 3 37 3 6" xfId="42200" xr:uid="{00000000-0005-0000-0000-0000626D0000}"/>
    <cellStyle name="Normal 2 3 37 3 6 2" xfId="42201" xr:uid="{00000000-0005-0000-0000-0000636D0000}"/>
    <cellStyle name="Normal 2 3 37 3 7" xfId="42202" xr:uid="{00000000-0005-0000-0000-0000646D0000}"/>
    <cellStyle name="Normal 2 3 37 4" xfId="11729" xr:uid="{00000000-0005-0000-0000-0000656D0000}"/>
    <cellStyle name="Normal 2 3 37 4 2" xfId="11730" xr:uid="{00000000-0005-0000-0000-0000666D0000}"/>
    <cellStyle name="Normal 2 3 37 4 2 2" xfId="42203" xr:uid="{00000000-0005-0000-0000-0000676D0000}"/>
    <cellStyle name="Normal 2 3 37 4 3" xfId="11731" xr:uid="{00000000-0005-0000-0000-0000686D0000}"/>
    <cellStyle name="Normal 2 3 37 4 3 2" xfId="42204" xr:uid="{00000000-0005-0000-0000-0000696D0000}"/>
    <cellStyle name="Normal 2 3 37 4 4" xfId="42205" xr:uid="{00000000-0005-0000-0000-00006A6D0000}"/>
    <cellStyle name="Normal 2 3 37 5" xfId="11732" xr:uid="{00000000-0005-0000-0000-00006B6D0000}"/>
    <cellStyle name="Normal 2 3 37 5 2" xfId="11733" xr:uid="{00000000-0005-0000-0000-00006C6D0000}"/>
    <cellStyle name="Normal 2 3 37 5 2 2" xfId="42206" xr:uid="{00000000-0005-0000-0000-00006D6D0000}"/>
    <cellStyle name="Normal 2 3 37 5 3" xfId="42207" xr:uid="{00000000-0005-0000-0000-00006E6D0000}"/>
    <cellStyle name="Normal 2 3 37 6" xfId="11734" xr:uid="{00000000-0005-0000-0000-00006F6D0000}"/>
    <cellStyle name="Normal 2 3 37 6 2" xfId="42208" xr:uid="{00000000-0005-0000-0000-0000706D0000}"/>
    <cellStyle name="Normal 2 3 37 7" xfId="11735" xr:uid="{00000000-0005-0000-0000-0000716D0000}"/>
    <cellStyle name="Normal 2 3 37 7 2" xfId="42209" xr:uid="{00000000-0005-0000-0000-0000726D0000}"/>
    <cellStyle name="Normal 2 3 37 8" xfId="42210" xr:uid="{00000000-0005-0000-0000-0000736D0000}"/>
    <cellStyle name="Normal 2 3 37 8 2" xfId="42211" xr:uid="{00000000-0005-0000-0000-0000746D0000}"/>
    <cellStyle name="Normal 2 3 37 9" xfId="42212" xr:uid="{00000000-0005-0000-0000-0000756D0000}"/>
    <cellStyle name="Normal 2 3 38" xfId="11736" xr:uid="{00000000-0005-0000-0000-0000766D0000}"/>
    <cellStyle name="Normal 2 3 38 10" xfId="42213" xr:uid="{00000000-0005-0000-0000-0000776D0000}"/>
    <cellStyle name="Normal 2 3 38 11" xfId="42214" xr:uid="{00000000-0005-0000-0000-0000786D0000}"/>
    <cellStyle name="Normal 2 3 38 2" xfId="11737" xr:uid="{00000000-0005-0000-0000-0000796D0000}"/>
    <cellStyle name="Normal 2 3 38 2 10" xfId="42215" xr:uid="{00000000-0005-0000-0000-00007A6D0000}"/>
    <cellStyle name="Normal 2 3 38 2 2" xfId="11738" xr:uid="{00000000-0005-0000-0000-00007B6D0000}"/>
    <cellStyle name="Normal 2 3 38 2 2 2" xfId="11739" xr:uid="{00000000-0005-0000-0000-00007C6D0000}"/>
    <cellStyle name="Normal 2 3 38 2 2 2 2" xfId="11740" xr:uid="{00000000-0005-0000-0000-00007D6D0000}"/>
    <cellStyle name="Normal 2 3 38 2 2 2 2 2" xfId="42216" xr:uid="{00000000-0005-0000-0000-00007E6D0000}"/>
    <cellStyle name="Normal 2 3 38 2 2 2 3" xfId="11741" xr:uid="{00000000-0005-0000-0000-00007F6D0000}"/>
    <cellStyle name="Normal 2 3 38 2 2 2 3 2" xfId="42217" xr:uid="{00000000-0005-0000-0000-0000806D0000}"/>
    <cellStyle name="Normal 2 3 38 2 2 2 4" xfId="42218" xr:uid="{00000000-0005-0000-0000-0000816D0000}"/>
    <cellStyle name="Normal 2 3 38 2 2 3" xfId="11742" xr:uid="{00000000-0005-0000-0000-0000826D0000}"/>
    <cellStyle name="Normal 2 3 38 2 2 3 2" xfId="42219" xr:uid="{00000000-0005-0000-0000-0000836D0000}"/>
    <cellStyle name="Normal 2 3 38 2 2 4" xfId="11743" xr:uid="{00000000-0005-0000-0000-0000846D0000}"/>
    <cellStyle name="Normal 2 3 38 2 2 4 2" xfId="42220" xr:uid="{00000000-0005-0000-0000-0000856D0000}"/>
    <cellStyle name="Normal 2 3 38 2 2 5" xfId="11744" xr:uid="{00000000-0005-0000-0000-0000866D0000}"/>
    <cellStyle name="Normal 2 3 38 2 2 5 2" xfId="42221" xr:uid="{00000000-0005-0000-0000-0000876D0000}"/>
    <cellStyle name="Normal 2 3 38 2 2 6" xfId="42222" xr:uid="{00000000-0005-0000-0000-0000886D0000}"/>
    <cellStyle name="Normal 2 3 38 2 2 6 2" xfId="42223" xr:uid="{00000000-0005-0000-0000-0000896D0000}"/>
    <cellStyle name="Normal 2 3 38 2 2 7" xfId="42224" xr:uid="{00000000-0005-0000-0000-00008A6D0000}"/>
    <cellStyle name="Normal 2 3 38 2 3" xfId="11745" xr:uid="{00000000-0005-0000-0000-00008B6D0000}"/>
    <cellStyle name="Normal 2 3 38 2 3 2" xfId="11746" xr:uid="{00000000-0005-0000-0000-00008C6D0000}"/>
    <cellStyle name="Normal 2 3 38 2 3 2 2" xfId="42225" xr:uid="{00000000-0005-0000-0000-00008D6D0000}"/>
    <cellStyle name="Normal 2 3 38 2 3 3" xfId="11747" xr:uid="{00000000-0005-0000-0000-00008E6D0000}"/>
    <cellStyle name="Normal 2 3 38 2 3 3 2" xfId="42226" xr:uid="{00000000-0005-0000-0000-00008F6D0000}"/>
    <cellStyle name="Normal 2 3 38 2 3 4" xfId="42227" xr:uid="{00000000-0005-0000-0000-0000906D0000}"/>
    <cellStyle name="Normal 2 3 38 2 4" xfId="11748" xr:uid="{00000000-0005-0000-0000-0000916D0000}"/>
    <cellStyle name="Normal 2 3 38 2 4 2" xfId="11749" xr:uid="{00000000-0005-0000-0000-0000926D0000}"/>
    <cellStyle name="Normal 2 3 38 2 4 2 2" xfId="42228" xr:uid="{00000000-0005-0000-0000-0000936D0000}"/>
    <cellStyle name="Normal 2 3 38 2 4 3" xfId="42229" xr:uid="{00000000-0005-0000-0000-0000946D0000}"/>
    <cellStyle name="Normal 2 3 38 2 5" xfId="11750" xr:uid="{00000000-0005-0000-0000-0000956D0000}"/>
    <cellStyle name="Normal 2 3 38 2 5 2" xfId="42230" xr:uid="{00000000-0005-0000-0000-0000966D0000}"/>
    <cellStyle name="Normal 2 3 38 2 6" xfId="11751" xr:uid="{00000000-0005-0000-0000-0000976D0000}"/>
    <cellStyle name="Normal 2 3 38 2 6 2" xfId="42231" xr:uid="{00000000-0005-0000-0000-0000986D0000}"/>
    <cellStyle name="Normal 2 3 38 2 7" xfId="42232" xr:uid="{00000000-0005-0000-0000-0000996D0000}"/>
    <cellStyle name="Normal 2 3 38 2 7 2" xfId="42233" xr:uid="{00000000-0005-0000-0000-00009A6D0000}"/>
    <cellStyle name="Normal 2 3 38 2 8" xfId="42234" xr:uid="{00000000-0005-0000-0000-00009B6D0000}"/>
    <cellStyle name="Normal 2 3 38 2 9" xfId="42235" xr:uid="{00000000-0005-0000-0000-00009C6D0000}"/>
    <cellStyle name="Normal 2 3 38 3" xfId="11752" xr:uid="{00000000-0005-0000-0000-00009D6D0000}"/>
    <cellStyle name="Normal 2 3 38 3 2" xfId="11753" xr:uid="{00000000-0005-0000-0000-00009E6D0000}"/>
    <cellStyle name="Normal 2 3 38 3 2 2" xfId="11754" xr:uid="{00000000-0005-0000-0000-00009F6D0000}"/>
    <cellStyle name="Normal 2 3 38 3 2 2 2" xfId="42236" xr:uid="{00000000-0005-0000-0000-0000A06D0000}"/>
    <cellStyle name="Normal 2 3 38 3 2 3" xfId="11755" xr:uid="{00000000-0005-0000-0000-0000A16D0000}"/>
    <cellStyle name="Normal 2 3 38 3 2 3 2" xfId="42237" xr:uid="{00000000-0005-0000-0000-0000A26D0000}"/>
    <cellStyle name="Normal 2 3 38 3 2 4" xfId="42238" xr:uid="{00000000-0005-0000-0000-0000A36D0000}"/>
    <cellStyle name="Normal 2 3 38 3 3" xfId="11756" xr:uid="{00000000-0005-0000-0000-0000A46D0000}"/>
    <cellStyle name="Normal 2 3 38 3 3 2" xfId="42239" xr:uid="{00000000-0005-0000-0000-0000A56D0000}"/>
    <cellStyle name="Normal 2 3 38 3 4" xfId="11757" xr:uid="{00000000-0005-0000-0000-0000A66D0000}"/>
    <cellStyle name="Normal 2 3 38 3 4 2" xfId="42240" xr:uid="{00000000-0005-0000-0000-0000A76D0000}"/>
    <cellStyle name="Normal 2 3 38 3 5" xfId="11758" xr:uid="{00000000-0005-0000-0000-0000A86D0000}"/>
    <cellStyle name="Normal 2 3 38 3 5 2" xfId="42241" xr:uid="{00000000-0005-0000-0000-0000A96D0000}"/>
    <cellStyle name="Normal 2 3 38 3 6" xfId="42242" xr:uid="{00000000-0005-0000-0000-0000AA6D0000}"/>
    <cellStyle name="Normal 2 3 38 3 6 2" xfId="42243" xr:uid="{00000000-0005-0000-0000-0000AB6D0000}"/>
    <cellStyle name="Normal 2 3 38 3 7" xfId="42244" xr:uid="{00000000-0005-0000-0000-0000AC6D0000}"/>
    <cellStyle name="Normal 2 3 38 4" xfId="11759" xr:uid="{00000000-0005-0000-0000-0000AD6D0000}"/>
    <cellStyle name="Normal 2 3 38 4 2" xfId="11760" xr:uid="{00000000-0005-0000-0000-0000AE6D0000}"/>
    <cellStyle name="Normal 2 3 38 4 2 2" xfId="42245" xr:uid="{00000000-0005-0000-0000-0000AF6D0000}"/>
    <cellStyle name="Normal 2 3 38 4 3" xfId="11761" xr:uid="{00000000-0005-0000-0000-0000B06D0000}"/>
    <cellStyle name="Normal 2 3 38 4 3 2" xfId="42246" xr:uid="{00000000-0005-0000-0000-0000B16D0000}"/>
    <cellStyle name="Normal 2 3 38 4 4" xfId="42247" xr:uid="{00000000-0005-0000-0000-0000B26D0000}"/>
    <cellStyle name="Normal 2 3 38 5" xfId="11762" xr:uid="{00000000-0005-0000-0000-0000B36D0000}"/>
    <cellStyle name="Normal 2 3 38 5 2" xfId="11763" xr:uid="{00000000-0005-0000-0000-0000B46D0000}"/>
    <cellStyle name="Normal 2 3 38 5 2 2" xfId="42248" xr:uid="{00000000-0005-0000-0000-0000B56D0000}"/>
    <cellStyle name="Normal 2 3 38 5 3" xfId="42249" xr:uid="{00000000-0005-0000-0000-0000B66D0000}"/>
    <cellStyle name="Normal 2 3 38 6" xfId="11764" xr:uid="{00000000-0005-0000-0000-0000B76D0000}"/>
    <cellStyle name="Normal 2 3 38 6 2" xfId="42250" xr:uid="{00000000-0005-0000-0000-0000B86D0000}"/>
    <cellStyle name="Normal 2 3 38 7" xfId="11765" xr:uid="{00000000-0005-0000-0000-0000B96D0000}"/>
    <cellStyle name="Normal 2 3 38 7 2" xfId="42251" xr:uid="{00000000-0005-0000-0000-0000BA6D0000}"/>
    <cellStyle name="Normal 2 3 38 8" xfId="42252" xr:uid="{00000000-0005-0000-0000-0000BB6D0000}"/>
    <cellStyle name="Normal 2 3 38 8 2" xfId="42253" xr:uid="{00000000-0005-0000-0000-0000BC6D0000}"/>
    <cellStyle name="Normal 2 3 38 9" xfId="42254" xr:uid="{00000000-0005-0000-0000-0000BD6D0000}"/>
    <cellStyle name="Normal 2 3 39" xfId="11766" xr:uid="{00000000-0005-0000-0000-0000BE6D0000}"/>
    <cellStyle name="Normal 2 3 39 10" xfId="42255" xr:uid="{00000000-0005-0000-0000-0000BF6D0000}"/>
    <cellStyle name="Normal 2 3 39 2" xfId="11767" xr:uid="{00000000-0005-0000-0000-0000C06D0000}"/>
    <cellStyle name="Normal 2 3 39 2 2" xfId="11768" xr:uid="{00000000-0005-0000-0000-0000C16D0000}"/>
    <cellStyle name="Normal 2 3 39 2 2 2" xfId="11769" xr:uid="{00000000-0005-0000-0000-0000C26D0000}"/>
    <cellStyle name="Normal 2 3 39 2 2 2 2" xfId="42256" xr:uid="{00000000-0005-0000-0000-0000C36D0000}"/>
    <cellStyle name="Normal 2 3 39 2 2 3" xfId="11770" xr:uid="{00000000-0005-0000-0000-0000C46D0000}"/>
    <cellStyle name="Normal 2 3 39 2 2 3 2" xfId="42257" xr:uid="{00000000-0005-0000-0000-0000C56D0000}"/>
    <cellStyle name="Normal 2 3 39 2 2 4" xfId="42258" xr:uid="{00000000-0005-0000-0000-0000C66D0000}"/>
    <cellStyle name="Normal 2 3 39 2 3" xfId="11771" xr:uid="{00000000-0005-0000-0000-0000C76D0000}"/>
    <cellStyle name="Normal 2 3 39 2 3 2" xfId="42259" xr:uid="{00000000-0005-0000-0000-0000C86D0000}"/>
    <cellStyle name="Normal 2 3 39 2 4" xfId="11772" xr:uid="{00000000-0005-0000-0000-0000C96D0000}"/>
    <cellStyle name="Normal 2 3 39 2 4 2" xfId="42260" xr:uid="{00000000-0005-0000-0000-0000CA6D0000}"/>
    <cellStyle name="Normal 2 3 39 2 5" xfId="11773" xr:uid="{00000000-0005-0000-0000-0000CB6D0000}"/>
    <cellStyle name="Normal 2 3 39 2 5 2" xfId="42261" xr:uid="{00000000-0005-0000-0000-0000CC6D0000}"/>
    <cellStyle name="Normal 2 3 39 2 6" xfId="42262" xr:uid="{00000000-0005-0000-0000-0000CD6D0000}"/>
    <cellStyle name="Normal 2 3 39 2 6 2" xfId="42263" xr:uid="{00000000-0005-0000-0000-0000CE6D0000}"/>
    <cellStyle name="Normal 2 3 39 2 7" xfId="42264" xr:uid="{00000000-0005-0000-0000-0000CF6D0000}"/>
    <cellStyle name="Normal 2 3 39 3" xfId="11774" xr:uid="{00000000-0005-0000-0000-0000D06D0000}"/>
    <cellStyle name="Normal 2 3 39 3 2" xfId="11775" xr:uid="{00000000-0005-0000-0000-0000D16D0000}"/>
    <cellStyle name="Normal 2 3 39 3 2 2" xfId="42265" xr:uid="{00000000-0005-0000-0000-0000D26D0000}"/>
    <cellStyle name="Normal 2 3 39 3 3" xfId="11776" xr:uid="{00000000-0005-0000-0000-0000D36D0000}"/>
    <cellStyle name="Normal 2 3 39 3 3 2" xfId="42266" xr:uid="{00000000-0005-0000-0000-0000D46D0000}"/>
    <cellStyle name="Normal 2 3 39 3 4" xfId="42267" xr:uid="{00000000-0005-0000-0000-0000D56D0000}"/>
    <cellStyle name="Normal 2 3 39 4" xfId="11777" xr:uid="{00000000-0005-0000-0000-0000D66D0000}"/>
    <cellStyle name="Normal 2 3 39 4 2" xfId="11778" xr:uid="{00000000-0005-0000-0000-0000D76D0000}"/>
    <cellStyle name="Normal 2 3 39 4 2 2" xfId="42268" xr:uid="{00000000-0005-0000-0000-0000D86D0000}"/>
    <cellStyle name="Normal 2 3 39 4 3" xfId="42269" xr:uid="{00000000-0005-0000-0000-0000D96D0000}"/>
    <cellStyle name="Normal 2 3 39 5" xfId="11779" xr:uid="{00000000-0005-0000-0000-0000DA6D0000}"/>
    <cellStyle name="Normal 2 3 39 5 2" xfId="42270" xr:uid="{00000000-0005-0000-0000-0000DB6D0000}"/>
    <cellStyle name="Normal 2 3 39 6" xfId="11780" xr:uid="{00000000-0005-0000-0000-0000DC6D0000}"/>
    <cellStyle name="Normal 2 3 39 6 2" xfId="42271" xr:uid="{00000000-0005-0000-0000-0000DD6D0000}"/>
    <cellStyle name="Normal 2 3 39 7" xfId="42272" xr:uid="{00000000-0005-0000-0000-0000DE6D0000}"/>
    <cellStyle name="Normal 2 3 39 7 2" xfId="42273" xr:uid="{00000000-0005-0000-0000-0000DF6D0000}"/>
    <cellStyle name="Normal 2 3 39 8" xfId="42274" xr:uid="{00000000-0005-0000-0000-0000E06D0000}"/>
    <cellStyle name="Normal 2 3 39 9" xfId="42275" xr:uid="{00000000-0005-0000-0000-0000E16D0000}"/>
    <cellStyle name="Normal 2 3 4" xfId="11781" xr:uid="{00000000-0005-0000-0000-0000E26D0000}"/>
    <cellStyle name="Normal 2 3 4 10" xfId="11782" xr:uid="{00000000-0005-0000-0000-0000E36D0000}"/>
    <cellStyle name="Normal 2 3 4 10 10" xfId="42276" xr:uid="{00000000-0005-0000-0000-0000E46D0000}"/>
    <cellStyle name="Normal 2 3 4 10 11" xfId="42277" xr:uid="{00000000-0005-0000-0000-0000E56D0000}"/>
    <cellStyle name="Normal 2 3 4 10 2" xfId="11783" xr:uid="{00000000-0005-0000-0000-0000E66D0000}"/>
    <cellStyle name="Normal 2 3 4 10 2 10" xfId="42278" xr:uid="{00000000-0005-0000-0000-0000E76D0000}"/>
    <cellStyle name="Normal 2 3 4 10 2 2" xfId="11784" xr:uid="{00000000-0005-0000-0000-0000E86D0000}"/>
    <cellStyle name="Normal 2 3 4 10 2 2 2" xfId="11785" xr:uid="{00000000-0005-0000-0000-0000E96D0000}"/>
    <cellStyle name="Normal 2 3 4 10 2 2 2 2" xfId="11786" xr:uid="{00000000-0005-0000-0000-0000EA6D0000}"/>
    <cellStyle name="Normal 2 3 4 10 2 2 2 2 2" xfId="42279" xr:uid="{00000000-0005-0000-0000-0000EB6D0000}"/>
    <cellStyle name="Normal 2 3 4 10 2 2 2 3" xfId="11787" xr:uid="{00000000-0005-0000-0000-0000EC6D0000}"/>
    <cellStyle name="Normal 2 3 4 10 2 2 2 3 2" xfId="42280" xr:uid="{00000000-0005-0000-0000-0000ED6D0000}"/>
    <cellStyle name="Normal 2 3 4 10 2 2 2 4" xfId="42281" xr:uid="{00000000-0005-0000-0000-0000EE6D0000}"/>
    <cellStyle name="Normal 2 3 4 10 2 2 3" xfId="11788" xr:uid="{00000000-0005-0000-0000-0000EF6D0000}"/>
    <cellStyle name="Normal 2 3 4 10 2 2 3 2" xfId="42282" xr:uid="{00000000-0005-0000-0000-0000F06D0000}"/>
    <cellStyle name="Normal 2 3 4 10 2 2 4" xfId="11789" xr:uid="{00000000-0005-0000-0000-0000F16D0000}"/>
    <cellStyle name="Normal 2 3 4 10 2 2 4 2" xfId="42283" xr:uid="{00000000-0005-0000-0000-0000F26D0000}"/>
    <cellStyle name="Normal 2 3 4 10 2 2 5" xfId="11790" xr:uid="{00000000-0005-0000-0000-0000F36D0000}"/>
    <cellStyle name="Normal 2 3 4 10 2 2 5 2" xfId="42284" xr:uid="{00000000-0005-0000-0000-0000F46D0000}"/>
    <cellStyle name="Normal 2 3 4 10 2 2 6" xfId="42285" xr:uid="{00000000-0005-0000-0000-0000F56D0000}"/>
    <cellStyle name="Normal 2 3 4 10 2 2 6 2" xfId="42286" xr:uid="{00000000-0005-0000-0000-0000F66D0000}"/>
    <cellStyle name="Normal 2 3 4 10 2 2 7" xfId="42287" xr:uid="{00000000-0005-0000-0000-0000F76D0000}"/>
    <cellStyle name="Normal 2 3 4 10 2 3" xfId="11791" xr:uid="{00000000-0005-0000-0000-0000F86D0000}"/>
    <cellStyle name="Normal 2 3 4 10 2 3 2" xfId="11792" xr:uid="{00000000-0005-0000-0000-0000F96D0000}"/>
    <cellStyle name="Normal 2 3 4 10 2 3 2 2" xfId="42288" xr:uid="{00000000-0005-0000-0000-0000FA6D0000}"/>
    <cellStyle name="Normal 2 3 4 10 2 3 3" xfId="11793" xr:uid="{00000000-0005-0000-0000-0000FB6D0000}"/>
    <cellStyle name="Normal 2 3 4 10 2 3 3 2" xfId="42289" xr:uid="{00000000-0005-0000-0000-0000FC6D0000}"/>
    <cellStyle name="Normal 2 3 4 10 2 3 4" xfId="42290" xr:uid="{00000000-0005-0000-0000-0000FD6D0000}"/>
    <cellStyle name="Normal 2 3 4 10 2 4" xfId="11794" xr:uid="{00000000-0005-0000-0000-0000FE6D0000}"/>
    <cellStyle name="Normal 2 3 4 10 2 4 2" xfId="11795" xr:uid="{00000000-0005-0000-0000-0000FF6D0000}"/>
    <cellStyle name="Normal 2 3 4 10 2 4 2 2" xfId="42291" xr:uid="{00000000-0005-0000-0000-0000006E0000}"/>
    <cellStyle name="Normal 2 3 4 10 2 4 3" xfId="42292" xr:uid="{00000000-0005-0000-0000-0000016E0000}"/>
    <cellStyle name="Normal 2 3 4 10 2 5" xfId="11796" xr:uid="{00000000-0005-0000-0000-0000026E0000}"/>
    <cellStyle name="Normal 2 3 4 10 2 5 2" xfId="42293" xr:uid="{00000000-0005-0000-0000-0000036E0000}"/>
    <cellStyle name="Normal 2 3 4 10 2 6" xfId="11797" xr:uid="{00000000-0005-0000-0000-0000046E0000}"/>
    <cellStyle name="Normal 2 3 4 10 2 6 2" xfId="42294" xr:uid="{00000000-0005-0000-0000-0000056E0000}"/>
    <cellStyle name="Normal 2 3 4 10 2 7" xfId="42295" xr:uid="{00000000-0005-0000-0000-0000066E0000}"/>
    <cellStyle name="Normal 2 3 4 10 2 7 2" xfId="42296" xr:uid="{00000000-0005-0000-0000-0000076E0000}"/>
    <cellStyle name="Normal 2 3 4 10 2 8" xfId="42297" xr:uid="{00000000-0005-0000-0000-0000086E0000}"/>
    <cellStyle name="Normal 2 3 4 10 2 9" xfId="42298" xr:uid="{00000000-0005-0000-0000-0000096E0000}"/>
    <cellStyle name="Normal 2 3 4 10 3" xfId="11798" xr:uid="{00000000-0005-0000-0000-00000A6E0000}"/>
    <cellStyle name="Normal 2 3 4 10 3 2" xfId="11799" xr:uid="{00000000-0005-0000-0000-00000B6E0000}"/>
    <cellStyle name="Normal 2 3 4 10 3 2 2" xfId="11800" xr:uid="{00000000-0005-0000-0000-00000C6E0000}"/>
    <cellStyle name="Normal 2 3 4 10 3 2 2 2" xfId="42299" xr:uid="{00000000-0005-0000-0000-00000D6E0000}"/>
    <cellStyle name="Normal 2 3 4 10 3 2 3" xfId="11801" xr:uid="{00000000-0005-0000-0000-00000E6E0000}"/>
    <cellStyle name="Normal 2 3 4 10 3 2 3 2" xfId="42300" xr:uid="{00000000-0005-0000-0000-00000F6E0000}"/>
    <cellStyle name="Normal 2 3 4 10 3 2 4" xfId="42301" xr:uid="{00000000-0005-0000-0000-0000106E0000}"/>
    <cellStyle name="Normal 2 3 4 10 3 3" xfId="11802" xr:uid="{00000000-0005-0000-0000-0000116E0000}"/>
    <cellStyle name="Normal 2 3 4 10 3 3 2" xfId="42302" xr:uid="{00000000-0005-0000-0000-0000126E0000}"/>
    <cellStyle name="Normal 2 3 4 10 3 4" xfId="11803" xr:uid="{00000000-0005-0000-0000-0000136E0000}"/>
    <cellStyle name="Normal 2 3 4 10 3 4 2" xfId="42303" xr:uid="{00000000-0005-0000-0000-0000146E0000}"/>
    <cellStyle name="Normal 2 3 4 10 3 5" xfId="11804" xr:uid="{00000000-0005-0000-0000-0000156E0000}"/>
    <cellStyle name="Normal 2 3 4 10 3 5 2" xfId="42304" xr:uid="{00000000-0005-0000-0000-0000166E0000}"/>
    <cellStyle name="Normal 2 3 4 10 3 6" xfId="42305" xr:uid="{00000000-0005-0000-0000-0000176E0000}"/>
    <cellStyle name="Normal 2 3 4 10 3 6 2" xfId="42306" xr:uid="{00000000-0005-0000-0000-0000186E0000}"/>
    <cellStyle name="Normal 2 3 4 10 3 7" xfId="42307" xr:uid="{00000000-0005-0000-0000-0000196E0000}"/>
    <cellStyle name="Normal 2 3 4 10 4" xfId="11805" xr:uid="{00000000-0005-0000-0000-00001A6E0000}"/>
    <cellStyle name="Normal 2 3 4 10 4 2" xfId="11806" xr:uid="{00000000-0005-0000-0000-00001B6E0000}"/>
    <cellStyle name="Normal 2 3 4 10 4 2 2" xfId="42308" xr:uid="{00000000-0005-0000-0000-00001C6E0000}"/>
    <cellStyle name="Normal 2 3 4 10 4 3" xfId="11807" xr:uid="{00000000-0005-0000-0000-00001D6E0000}"/>
    <cellStyle name="Normal 2 3 4 10 4 3 2" xfId="42309" xr:uid="{00000000-0005-0000-0000-00001E6E0000}"/>
    <cellStyle name="Normal 2 3 4 10 4 4" xfId="42310" xr:uid="{00000000-0005-0000-0000-00001F6E0000}"/>
    <cellStyle name="Normal 2 3 4 10 5" xfId="11808" xr:uid="{00000000-0005-0000-0000-0000206E0000}"/>
    <cellStyle name="Normal 2 3 4 10 5 2" xfId="11809" xr:uid="{00000000-0005-0000-0000-0000216E0000}"/>
    <cellStyle name="Normal 2 3 4 10 5 2 2" xfId="42311" xr:uid="{00000000-0005-0000-0000-0000226E0000}"/>
    <cellStyle name="Normal 2 3 4 10 5 3" xfId="42312" xr:uid="{00000000-0005-0000-0000-0000236E0000}"/>
    <cellStyle name="Normal 2 3 4 10 6" xfId="11810" xr:uid="{00000000-0005-0000-0000-0000246E0000}"/>
    <cellStyle name="Normal 2 3 4 10 6 2" xfId="42313" xr:uid="{00000000-0005-0000-0000-0000256E0000}"/>
    <cellStyle name="Normal 2 3 4 10 7" xfId="11811" xr:uid="{00000000-0005-0000-0000-0000266E0000}"/>
    <cellStyle name="Normal 2 3 4 10 7 2" xfId="42314" xr:uid="{00000000-0005-0000-0000-0000276E0000}"/>
    <cellStyle name="Normal 2 3 4 10 8" xfId="42315" xr:uid="{00000000-0005-0000-0000-0000286E0000}"/>
    <cellStyle name="Normal 2 3 4 10 8 2" xfId="42316" xr:uid="{00000000-0005-0000-0000-0000296E0000}"/>
    <cellStyle name="Normal 2 3 4 10 9" xfId="42317" xr:uid="{00000000-0005-0000-0000-00002A6E0000}"/>
    <cellStyle name="Normal 2 3 4 11" xfId="11812" xr:uid="{00000000-0005-0000-0000-00002B6E0000}"/>
    <cellStyle name="Normal 2 3 4 11 10" xfId="42318" xr:uid="{00000000-0005-0000-0000-00002C6E0000}"/>
    <cellStyle name="Normal 2 3 4 11 11" xfId="42319" xr:uid="{00000000-0005-0000-0000-00002D6E0000}"/>
    <cellStyle name="Normal 2 3 4 11 2" xfId="11813" xr:uid="{00000000-0005-0000-0000-00002E6E0000}"/>
    <cellStyle name="Normal 2 3 4 11 2 10" xfId="42320" xr:uid="{00000000-0005-0000-0000-00002F6E0000}"/>
    <cellStyle name="Normal 2 3 4 11 2 2" xfId="11814" xr:uid="{00000000-0005-0000-0000-0000306E0000}"/>
    <cellStyle name="Normal 2 3 4 11 2 2 2" xfId="11815" xr:uid="{00000000-0005-0000-0000-0000316E0000}"/>
    <cellStyle name="Normal 2 3 4 11 2 2 2 2" xfId="11816" xr:uid="{00000000-0005-0000-0000-0000326E0000}"/>
    <cellStyle name="Normal 2 3 4 11 2 2 2 2 2" xfId="42321" xr:uid="{00000000-0005-0000-0000-0000336E0000}"/>
    <cellStyle name="Normal 2 3 4 11 2 2 2 3" xfId="11817" xr:uid="{00000000-0005-0000-0000-0000346E0000}"/>
    <cellStyle name="Normal 2 3 4 11 2 2 2 3 2" xfId="42322" xr:uid="{00000000-0005-0000-0000-0000356E0000}"/>
    <cellStyle name="Normal 2 3 4 11 2 2 2 4" xfId="42323" xr:uid="{00000000-0005-0000-0000-0000366E0000}"/>
    <cellStyle name="Normal 2 3 4 11 2 2 3" xfId="11818" xr:uid="{00000000-0005-0000-0000-0000376E0000}"/>
    <cellStyle name="Normal 2 3 4 11 2 2 3 2" xfId="42324" xr:uid="{00000000-0005-0000-0000-0000386E0000}"/>
    <cellStyle name="Normal 2 3 4 11 2 2 4" xfId="11819" xr:uid="{00000000-0005-0000-0000-0000396E0000}"/>
    <cellStyle name="Normal 2 3 4 11 2 2 4 2" xfId="42325" xr:uid="{00000000-0005-0000-0000-00003A6E0000}"/>
    <cellStyle name="Normal 2 3 4 11 2 2 5" xfId="11820" xr:uid="{00000000-0005-0000-0000-00003B6E0000}"/>
    <cellStyle name="Normal 2 3 4 11 2 2 5 2" xfId="42326" xr:uid="{00000000-0005-0000-0000-00003C6E0000}"/>
    <cellStyle name="Normal 2 3 4 11 2 2 6" xfId="42327" xr:uid="{00000000-0005-0000-0000-00003D6E0000}"/>
    <cellStyle name="Normal 2 3 4 11 2 2 6 2" xfId="42328" xr:uid="{00000000-0005-0000-0000-00003E6E0000}"/>
    <cellStyle name="Normal 2 3 4 11 2 2 7" xfId="42329" xr:uid="{00000000-0005-0000-0000-00003F6E0000}"/>
    <cellStyle name="Normal 2 3 4 11 2 3" xfId="11821" xr:uid="{00000000-0005-0000-0000-0000406E0000}"/>
    <cellStyle name="Normal 2 3 4 11 2 3 2" xfId="11822" xr:uid="{00000000-0005-0000-0000-0000416E0000}"/>
    <cellStyle name="Normal 2 3 4 11 2 3 2 2" xfId="42330" xr:uid="{00000000-0005-0000-0000-0000426E0000}"/>
    <cellStyle name="Normal 2 3 4 11 2 3 3" xfId="11823" xr:uid="{00000000-0005-0000-0000-0000436E0000}"/>
    <cellStyle name="Normal 2 3 4 11 2 3 3 2" xfId="42331" xr:uid="{00000000-0005-0000-0000-0000446E0000}"/>
    <cellStyle name="Normal 2 3 4 11 2 3 4" xfId="42332" xr:uid="{00000000-0005-0000-0000-0000456E0000}"/>
    <cellStyle name="Normal 2 3 4 11 2 4" xfId="11824" xr:uid="{00000000-0005-0000-0000-0000466E0000}"/>
    <cellStyle name="Normal 2 3 4 11 2 4 2" xfId="11825" xr:uid="{00000000-0005-0000-0000-0000476E0000}"/>
    <cellStyle name="Normal 2 3 4 11 2 4 2 2" xfId="42333" xr:uid="{00000000-0005-0000-0000-0000486E0000}"/>
    <cellStyle name="Normal 2 3 4 11 2 4 3" xfId="42334" xr:uid="{00000000-0005-0000-0000-0000496E0000}"/>
    <cellStyle name="Normal 2 3 4 11 2 5" xfId="11826" xr:uid="{00000000-0005-0000-0000-00004A6E0000}"/>
    <cellStyle name="Normal 2 3 4 11 2 5 2" xfId="42335" xr:uid="{00000000-0005-0000-0000-00004B6E0000}"/>
    <cellStyle name="Normal 2 3 4 11 2 6" xfId="11827" xr:uid="{00000000-0005-0000-0000-00004C6E0000}"/>
    <cellStyle name="Normal 2 3 4 11 2 6 2" xfId="42336" xr:uid="{00000000-0005-0000-0000-00004D6E0000}"/>
    <cellStyle name="Normal 2 3 4 11 2 7" xfId="42337" xr:uid="{00000000-0005-0000-0000-00004E6E0000}"/>
    <cellStyle name="Normal 2 3 4 11 2 7 2" xfId="42338" xr:uid="{00000000-0005-0000-0000-00004F6E0000}"/>
    <cellStyle name="Normal 2 3 4 11 2 8" xfId="42339" xr:uid="{00000000-0005-0000-0000-0000506E0000}"/>
    <cellStyle name="Normal 2 3 4 11 2 9" xfId="42340" xr:uid="{00000000-0005-0000-0000-0000516E0000}"/>
    <cellStyle name="Normal 2 3 4 11 3" xfId="11828" xr:uid="{00000000-0005-0000-0000-0000526E0000}"/>
    <cellStyle name="Normal 2 3 4 11 3 2" xfId="11829" xr:uid="{00000000-0005-0000-0000-0000536E0000}"/>
    <cellStyle name="Normal 2 3 4 11 3 2 2" xfId="11830" xr:uid="{00000000-0005-0000-0000-0000546E0000}"/>
    <cellStyle name="Normal 2 3 4 11 3 2 2 2" xfId="42341" xr:uid="{00000000-0005-0000-0000-0000556E0000}"/>
    <cellStyle name="Normal 2 3 4 11 3 2 3" xfId="11831" xr:uid="{00000000-0005-0000-0000-0000566E0000}"/>
    <cellStyle name="Normal 2 3 4 11 3 2 3 2" xfId="42342" xr:uid="{00000000-0005-0000-0000-0000576E0000}"/>
    <cellStyle name="Normal 2 3 4 11 3 2 4" xfId="42343" xr:uid="{00000000-0005-0000-0000-0000586E0000}"/>
    <cellStyle name="Normal 2 3 4 11 3 3" xfId="11832" xr:uid="{00000000-0005-0000-0000-0000596E0000}"/>
    <cellStyle name="Normal 2 3 4 11 3 3 2" xfId="42344" xr:uid="{00000000-0005-0000-0000-00005A6E0000}"/>
    <cellStyle name="Normal 2 3 4 11 3 4" xfId="11833" xr:uid="{00000000-0005-0000-0000-00005B6E0000}"/>
    <cellStyle name="Normal 2 3 4 11 3 4 2" xfId="42345" xr:uid="{00000000-0005-0000-0000-00005C6E0000}"/>
    <cellStyle name="Normal 2 3 4 11 3 5" xfId="11834" xr:uid="{00000000-0005-0000-0000-00005D6E0000}"/>
    <cellStyle name="Normal 2 3 4 11 3 5 2" xfId="42346" xr:uid="{00000000-0005-0000-0000-00005E6E0000}"/>
    <cellStyle name="Normal 2 3 4 11 3 6" xfId="42347" xr:uid="{00000000-0005-0000-0000-00005F6E0000}"/>
    <cellStyle name="Normal 2 3 4 11 3 6 2" xfId="42348" xr:uid="{00000000-0005-0000-0000-0000606E0000}"/>
    <cellStyle name="Normal 2 3 4 11 3 7" xfId="42349" xr:uid="{00000000-0005-0000-0000-0000616E0000}"/>
    <cellStyle name="Normal 2 3 4 11 4" xfId="11835" xr:uid="{00000000-0005-0000-0000-0000626E0000}"/>
    <cellStyle name="Normal 2 3 4 11 4 2" xfId="11836" xr:uid="{00000000-0005-0000-0000-0000636E0000}"/>
    <cellStyle name="Normal 2 3 4 11 4 2 2" xfId="42350" xr:uid="{00000000-0005-0000-0000-0000646E0000}"/>
    <cellStyle name="Normal 2 3 4 11 4 3" xfId="11837" xr:uid="{00000000-0005-0000-0000-0000656E0000}"/>
    <cellStyle name="Normal 2 3 4 11 4 3 2" xfId="42351" xr:uid="{00000000-0005-0000-0000-0000666E0000}"/>
    <cellStyle name="Normal 2 3 4 11 4 4" xfId="42352" xr:uid="{00000000-0005-0000-0000-0000676E0000}"/>
    <cellStyle name="Normal 2 3 4 11 5" xfId="11838" xr:uid="{00000000-0005-0000-0000-0000686E0000}"/>
    <cellStyle name="Normal 2 3 4 11 5 2" xfId="11839" xr:uid="{00000000-0005-0000-0000-0000696E0000}"/>
    <cellStyle name="Normal 2 3 4 11 5 2 2" xfId="42353" xr:uid="{00000000-0005-0000-0000-00006A6E0000}"/>
    <cellStyle name="Normal 2 3 4 11 5 3" xfId="42354" xr:uid="{00000000-0005-0000-0000-00006B6E0000}"/>
    <cellStyle name="Normal 2 3 4 11 6" xfId="11840" xr:uid="{00000000-0005-0000-0000-00006C6E0000}"/>
    <cellStyle name="Normal 2 3 4 11 6 2" xfId="42355" xr:uid="{00000000-0005-0000-0000-00006D6E0000}"/>
    <cellStyle name="Normal 2 3 4 11 7" xfId="11841" xr:uid="{00000000-0005-0000-0000-00006E6E0000}"/>
    <cellStyle name="Normal 2 3 4 11 7 2" xfId="42356" xr:uid="{00000000-0005-0000-0000-00006F6E0000}"/>
    <cellStyle name="Normal 2 3 4 11 8" xfId="42357" xr:uid="{00000000-0005-0000-0000-0000706E0000}"/>
    <cellStyle name="Normal 2 3 4 11 8 2" xfId="42358" xr:uid="{00000000-0005-0000-0000-0000716E0000}"/>
    <cellStyle name="Normal 2 3 4 11 9" xfId="42359" xr:uid="{00000000-0005-0000-0000-0000726E0000}"/>
    <cellStyle name="Normal 2 3 4 12" xfId="11842" xr:uid="{00000000-0005-0000-0000-0000736E0000}"/>
    <cellStyle name="Normal 2 3 4 12 10" xfId="42360" xr:uid="{00000000-0005-0000-0000-0000746E0000}"/>
    <cellStyle name="Normal 2 3 4 12 11" xfId="42361" xr:uid="{00000000-0005-0000-0000-0000756E0000}"/>
    <cellStyle name="Normal 2 3 4 12 2" xfId="11843" xr:uid="{00000000-0005-0000-0000-0000766E0000}"/>
    <cellStyle name="Normal 2 3 4 12 2 10" xfId="42362" xr:uid="{00000000-0005-0000-0000-0000776E0000}"/>
    <cellStyle name="Normal 2 3 4 12 2 2" xfId="11844" xr:uid="{00000000-0005-0000-0000-0000786E0000}"/>
    <cellStyle name="Normal 2 3 4 12 2 2 2" xfId="11845" xr:uid="{00000000-0005-0000-0000-0000796E0000}"/>
    <cellStyle name="Normal 2 3 4 12 2 2 2 2" xfId="11846" xr:uid="{00000000-0005-0000-0000-00007A6E0000}"/>
    <cellStyle name="Normal 2 3 4 12 2 2 2 2 2" xfId="42363" xr:uid="{00000000-0005-0000-0000-00007B6E0000}"/>
    <cellStyle name="Normal 2 3 4 12 2 2 2 3" xfId="11847" xr:uid="{00000000-0005-0000-0000-00007C6E0000}"/>
    <cellStyle name="Normal 2 3 4 12 2 2 2 3 2" xfId="42364" xr:uid="{00000000-0005-0000-0000-00007D6E0000}"/>
    <cellStyle name="Normal 2 3 4 12 2 2 2 4" xfId="42365" xr:uid="{00000000-0005-0000-0000-00007E6E0000}"/>
    <cellStyle name="Normal 2 3 4 12 2 2 3" xfId="11848" xr:uid="{00000000-0005-0000-0000-00007F6E0000}"/>
    <cellStyle name="Normal 2 3 4 12 2 2 3 2" xfId="42366" xr:uid="{00000000-0005-0000-0000-0000806E0000}"/>
    <cellStyle name="Normal 2 3 4 12 2 2 4" xfId="11849" xr:uid="{00000000-0005-0000-0000-0000816E0000}"/>
    <cellStyle name="Normal 2 3 4 12 2 2 4 2" xfId="42367" xr:uid="{00000000-0005-0000-0000-0000826E0000}"/>
    <cellStyle name="Normal 2 3 4 12 2 2 5" xfId="11850" xr:uid="{00000000-0005-0000-0000-0000836E0000}"/>
    <cellStyle name="Normal 2 3 4 12 2 2 5 2" xfId="42368" xr:uid="{00000000-0005-0000-0000-0000846E0000}"/>
    <cellStyle name="Normal 2 3 4 12 2 2 6" xfId="42369" xr:uid="{00000000-0005-0000-0000-0000856E0000}"/>
    <cellStyle name="Normal 2 3 4 12 2 2 6 2" xfId="42370" xr:uid="{00000000-0005-0000-0000-0000866E0000}"/>
    <cellStyle name="Normal 2 3 4 12 2 2 7" xfId="42371" xr:uid="{00000000-0005-0000-0000-0000876E0000}"/>
    <cellStyle name="Normal 2 3 4 12 2 3" xfId="11851" xr:uid="{00000000-0005-0000-0000-0000886E0000}"/>
    <cellStyle name="Normal 2 3 4 12 2 3 2" xfId="11852" xr:uid="{00000000-0005-0000-0000-0000896E0000}"/>
    <cellStyle name="Normal 2 3 4 12 2 3 2 2" xfId="42372" xr:uid="{00000000-0005-0000-0000-00008A6E0000}"/>
    <cellStyle name="Normal 2 3 4 12 2 3 3" xfId="11853" xr:uid="{00000000-0005-0000-0000-00008B6E0000}"/>
    <cellStyle name="Normal 2 3 4 12 2 3 3 2" xfId="42373" xr:uid="{00000000-0005-0000-0000-00008C6E0000}"/>
    <cellStyle name="Normal 2 3 4 12 2 3 4" xfId="42374" xr:uid="{00000000-0005-0000-0000-00008D6E0000}"/>
    <cellStyle name="Normal 2 3 4 12 2 4" xfId="11854" xr:uid="{00000000-0005-0000-0000-00008E6E0000}"/>
    <cellStyle name="Normal 2 3 4 12 2 4 2" xfId="11855" xr:uid="{00000000-0005-0000-0000-00008F6E0000}"/>
    <cellStyle name="Normal 2 3 4 12 2 4 2 2" xfId="42375" xr:uid="{00000000-0005-0000-0000-0000906E0000}"/>
    <cellStyle name="Normal 2 3 4 12 2 4 3" xfId="42376" xr:uid="{00000000-0005-0000-0000-0000916E0000}"/>
    <cellStyle name="Normal 2 3 4 12 2 5" xfId="11856" xr:uid="{00000000-0005-0000-0000-0000926E0000}"/>
    <cellStyle name="Normal 2 3 4 12 2 5 2" xfId="42377" xr:uid="{00000000-0005-0000-0000-0000936E0000}"/>
    <cellStyle name="Normal 2 3 4 12 2 6" xfId="11857" xr:uid="{00000000-0005-0000-0000-0000946E0000}"/>
    <cellStyle name="Normal 2 3 4 12 2 6 2" xfId="42378" xr:uid="{00000000-0005-0000-0000-0000956E0000}"/>
    <cellStyle name="Normal 2 3 4 12 2 7" xfId="42379" xr:uid="{00000000-0005-0000-0000-0000966E0000}"/>
    <cellStyle name="Normal 2 3 4 12 2 7 2" xfId="42380" xr:uid="{00000000-0005-0000-0000-0000976E0000}"/>
    <cellStyle name="Normal 2 3 4 12 2 8" xfId="42381" xr:uid="{00000000-0005-0000-0000-0000986E0000}"/>
    <cellStyle name="Normal 2 3 4 12 2 9" xfId="42382" xr:uid="{00000000-0005-0000-0000-0000996E0000}"/>
    <cellStyle name="Normal 2 3 4 12 3" xfId="11858" xr:uid="{00000000-0005-0000-0000-00009A6E0000}"/>
    <cellStyle name="Normal 2 3 4 12 3 2" xfId="11859" xr:uid="{00000000-0005-0000-0000-00009B6E0000}"/>
    <cellStyle name="Normal 2 3 4 12 3 2 2" xfId="11860" xr:uid="{00000000-0005-0000-0000-00009C6E0000}"/>
    <cellStyle name="Normal 2 3 4 12 3 2 2 2" xfId="42383" xr:uid="{00000000-0005-0000-0000-00009D6E0000}"/>
    <cellStyle name="Normal 2 3 4 12 3 2 3" xfId="11861" xr:uid="{00000000-0005-0000-0000-00009E6E0000}"/>
    <cellStyle name="Normal 2 3 4 12 3 2 3 2" xfId="42384" xr:uid="{00000000-0005-0000-0000-00009F6E0000}"/>
    <cellStyle name="Normal 2 3 4 12 3 2 4" xfId="42385" xr:uid="{00000000-0005-0000-0000-0000A06E0000}"/>
    <cellStyle name="Normal 2 3 4 12 3 3" xfId="11862" xr:uid="{00000000-0005-0000-0000-0000A16E0000}"/>
    <cellStyle name="Normal 2 3 4 12 3 3 2" xfId="42386" xr:uid="{00000000-0005-0000-0000-0000A26E0000}"/>
    <cellStyle name="Normal 2 3 4 12 3 4" xfId="11863" xr:uid="{00000000-0005-0000-0000-0000A36E0000}"/>
    <cellStyle name="Normal 2 3 4 12 3 4 2" xfId="42387" xr:uid="{00000000-0005-0000-0000-0000A46E0000}"/>
    <cellStyle name="Normal 2 3 4 12 3 5" xfId="11864" xr:uid="{00000000-0005-0000-0000-0000A56E0000}"/>
    <cellStyle name="Normal 2 3 4 12 3 5 2" xfId="42388" xr:uid="{00000000-0005-0000-0000-0000A66E0000}"/>
    <cellStyle name="Normal 2 3 4 12 3 6" xfId="42389" xr:uid="{00000000-0005-0000-0000-0000A76E0000}"/>
    <cellStyle name="Normal 2 3 4 12 3 6 2" xfId="42390" xr:uid="{00000000-0005-0000-0000-0000A86E0000}"/>
    <cellStyle name="Normal 2 3 4 12 3 7" xfId="42391" xr:uid="{00000000-0005-0000-0000-0000A96E0000}"/>
    <cellStyle name="Normal 2 3 4 12 4" xfId="11865" xr:uid="{00000000-0005-0000-0000-0000AA6E0000}"/>
    <cellStyle name="Normal 2 3 4 12 4 2" xfId="11866" xr:uid="{00000000-0005-0000-0000-0000AB6E0000}"/>
    <cellStyle name="Normal 2 3 4 12 4 2 2" xfId="42392" xr:uid="{00000000-0005-0000-0000-0000AC6E0000}"/>
    <cellStyle name="Normal 2 3 4 12 4 3" xfId="11867" xr:uid="{00000000-0005-0000-0000-0000AD6E0000}"/>
    <cellStyle name="Normal 2 3 4 12 4 3 2" xfId="42393" xr:uid="{00000000-0005-0000-0000-0000AE6E0000}"/>
    <cellStyle name="Normal 2 3 4 12 4 4" xfId="42394" xr:uid="{00000000-0005-0000-0000-0000AF6E0000}"/>
    <cellStyle name="Normal 2 3 4 12 5" xfId="11868" xr:uid="{00000000-0005-0000-0000-0000B06E0000}"/>
    <cellStyle name="Normal 2 3 4 12 5 2" xfId="11869" xr:uid="{00000000-0005-0000-0000-0000B16E0000}"/>
    <cellStyle name="Normal 2 3 4 12 5 2 2" xfId="42395" xr:uid="{00000000-0005-0000-0000-0000B26E0000}"/>
    <cellStyle name="Normal 2 3 4 12 5 3" xfId="42396" xr:uid="{00000000-0005-0000-0000-0000B36E0000}"/>
    <cellStyle name="Normal 2 3 4 12 6" xfId="11870" xr:uid="{00000000-0005-0000-0000-0000B46E0000}"/>
    <cellStyle name="Normal 2 3 4 12 6 2" xfId="42397" xr:uid="{00000000-0005-0000-0000-0000B56E0000}"/>
    <cellStyle name="Normal 2 3 4 12 7" xfId="11871" xr:uid="{00000000-0005-0000-0000-0000B66E0000}"/>
    <cellStyle name="Normal 2 3 4 12 7 2" xfId="42398" xr:uid="{00000000-0005-0000-0000-0000B76E0000}"/>
    <cellStyle name="Normal 2 3 4 12 8" xfId="42399" xr:uid="{00000000-0005-0000-0000-0000B86E0000}"/>
    <cellStyle name="Normal 2 3 4 12 8 2" xfId="42400" xr:uid="{00000000-0005-0000-0000-0000B96E0000}"/>
    <cellStyle name="Normal 2 3 4 12 9" xfId="42401" xr:uid="{00000000-0005-0000-0000-0000BA6E0000}"/>
    <cellStyle name="Normal 2 3 4 13" xfId="11872" xr:uid="{00000000-0005-0000-0000-0000BB6E0000}"/>
    <cellStyle name="Normal 2 3 4 13 10" xfId="42402" xr:uid="{00000000-0005-0000-0000-0000BC6E0000}"/>
    <cellStyle name="Normal 2 3 4 13 11" xfId="42403" xr:uid="{00000000-0005-0000-0000-0000BD6E0000}"/>
    <cellStyle name="Normal 2 3 4 13 2" xfId="11873" xr:uid="{00000000-0005-0000-0000-0000BE6E0000}"/>
    <cellStyle name="Normal 2 3 4 13 2 10" xfId="42404" xr:uid="{00000000-0005-0000-0000-0000BF6E0000}"/>
    <cellStyle name="Normal 2 3 4 13 2 2" xfId="11874" xr:uid="{00000000-0005-0000-0000-0000C06E0000}"/>
    <cellStyle name="Normal 2 3 4 13 2 2 2" xfId="11875" xr:uid="{00000000-0005-0000-0000-0000C16E0000}"/>
    <cellStyle name="Normal 2 3 4 13 2 2 2 2" xfId="11876" xr:uid="{00000000-0005-0000-0000-0000C26E0000}"/>
    <cellStyle name="Normal 2 3 4 13 2 2 2 2 2" xfId="42405" xr:uid="{00000000-0005-0000-0000-0000C36E0000}"/>
    <cellStyle name="Normal 2 3 4 13 2 2 2 3" xfId="11877" xr:uid="{00000000-0005-0000-0000-0000C46E0000}"/>
    <cellStyle name="Normal 2 3 4 13 2 2 2 3 2" xfId="42406" xr:uid="{00000000-0005-0000-0000-0000C56E0000}"/>
    <cellStyle name="Normal 2 3 4 13 2 2 2 4" xfId="42407" xr:uid="{00000000-0005-0000-0000-0000C66E0000}"/>
    <cellStyle name="Normal 2 3 4 13 2 2 3" xfId="11878" xr:uid="{00000000-0005-0000-0000-0000C76E0000}"/>
    <cellStyle name="Normal 2 3 4 13 2 2 3 2" xfId="42408" xr:uid="{00000000-0005-0000-0000-0000C86E0000}"/>
    <cellStyle name="Normal 2 3 4 13 2 2 4" xfId="11879" xr:uid="{00000000-0005-0000-0000-0000C96E0000}"/>
    <cellStyle name="Normal 2 3 4 13 2 2 4 2" xfId="42409" xr:uid="{00000000-0005-0000-0000-0000CA6E0000}"/>
    <cellStyle name="Normal 2 3 4 13 2 2 5" xfId="11880" xr:uid="{00000000-0005-0000-0000-0000CB6E0000}"/>
    <cellStyle name="Normal 2 3 4 13 2 2 5 2" xfId="42410" xr:uid="{00000000-0005-0000-0000-0000CC6E0000}"/>
    <cellStyle name="Normal 2 3 4 13 2 2 6" xfId="42411" xr:uid="{00000000-0005-0000-0000-0000CD6E0000}"/>
    <cellStyle name="Normal 2 3 4 13 2 2 6 2" xfId="42412" xr:uid="{00000000-0005-0000-0000-0000CE6E0000}"/>
    <cellStyle name="Normal 2 3 4 13 2 2 7" xfId="42413" xr:uid="{00000000-0005-0000-0000-0000CF6E0000}"/>
    <cellStyle name="Normal 2 3 4 13 2 3" xfId="11881" xr:uid="{00000000-0005-0000-0000-0000D06E0000}"/>
    <cellStyle name="Normal 2 3 4 13 2 3 2" xfId="11882" xr:uid="{00000000-0005-0000-0000-0000D16E0000}"/>
    <cellStyle name="Normal 2 3 4 13 2 3 2 2" xfId="42414" xr:uid="{00000000-0005-0000-0000-0000D26E0000}"/>
    <cellStyle name="Normal 2 3 4 13 2 3 3" xfId="11883" xr:uid="{00000000-0005-0000-0000-0000D36E0000}"/>
    <cellStyle name="Normal 2 3 4 13 2 3 3 2" xfId="42415" xr:uid="{00000000-0005-0000-0000-0000D46E0000}"/>
    <cellStyle name="Normal 2 3 4 13 2 3 4" xfId="42416" xr:uid="{00000000-0005-0000-0000-0000D56E0000}"/>
    <cellStyle name="Normal 2 3 4 13 2 4" xfId="11884" xr:uid="{00000000-0005-0000-0000-0000D66E0000}"/>
    <cellStyle name="Normal 2 3 4 13 2 4 2" xfId="11885" xr:uid="{00000000-0005-0000-0000-0000D76E0000}"/>
    <cellStyle name="Normal 2 3 4 13 2 4 2 2" xfId="42417" xr:uid="{00000000-0005-0000-0000-0000D86E0000}"/>
    <cellStyle name="Normal 2 3 4 13 2 4 3" xfId="42418" xr:uid="{00000000-0005-0000-0000-0000D96E0000}"/>
    <cellStyle name="Normal 2 3 4 13 2 5" xfId="11886" xr:uid="{00000000-0005-0000-0000-0000DA6E0000}"/>
    <cellStyle name="Normal 2 3 4 13 2 5 2" xfId="42419" xr:uid="{00000000-0005-0000-0000-0000DB6E0000}"/>
    <cellStyle name="Normal 2 3 4 13 2 6" xfId="11887" xr:uid="{00000000-0005-0000-0000-0000DC6E0000}"/>
    <cellStyle name="Normal 2 3 4 13 2 6 2" xfId="42420" xr:uid="{00000000-0005-0000-0000-0000DD6E0000}"/>
    <cellStyle name="Normal 2 3 4 13 2 7" xfId="42421" xr:uid="{00000000-0005-0000-0000-0000DE6E0000}"/>
    <cellStyle name="Normal 2 3 4 13 2 7 2" xfId="42422" xr:uid="{00000000-0005-0000-0000-0000DF6E0000}"/>
    <cellStyle name="Normal 2 3 4 13 2 8" xfId="42423" xr:uid="{00000000-0005-0000-0000-0000E06E0000}"/>
    <cellStyle name="Normal 2 3 4 13 2 9" xfId="42424" xr:uid="{00000000-0005-0000-0000-0000E16E0000}"/>
    <cellStyle name="Normal 2 3 4 13 3" xfId="11888" xr:uid="{00000000-0005-0000-0000-0000E26E0000}"/>
    <cellStyle name="Normal 2 3 4 13 3 2" xfId="11889" xr:uid="{00000000-0005-0000-0000-0000E36E0000}"/>
    <cellStyle name="Normal 2 3 4 13 3 2 2" xfId="11890" xr:uid="{00000000-0005-0000-0000-0000E46E0000}"/>
    <cellStyle name="Normal 2 3 4 13 3 2 2 2" xfId="42425" xr:uid="{00000000-0005-0000-0000-0000E56E0000}"/>
    <cellStyle name="Normal 2 3 4 13 3 2 3" xfId="11891" xr:uid="{00000000-0005-0000-0000-0000E66E0000}"/>
    <cellStyle name="Normal 2 3 4 13 3 2 3 2" xfId="42426" xr:uid="{00000000-0005-0000-0000-0000E76E0000}"/>
    <cellStyle name="Normal 2 3 4 13 3 2 4" xfId="42427" xr:uid="{00000000-0005-0000-0000-0000E86E0000}"/>
    <cellStyle name="Normal 2 3 4 13 3 3" xfId="11892" xr:uid="{00000000-0005-0000-0000-0000E96E0000}"/>
    <cellStyle name="Normal 2 3 4 13 3 3 2" xfId="42428" xr:uid="{00000000-0005-0000-0000-0000EA6E0000}"/>
    <cellStyle name="Normal 2 3 4 13 3 4" xfId="11893" xr:uid="{00000000-0005-0000-0000-0000EB6E0000}"/>
    <cellStyle name="Normal 2 3 4 13 3 4 2" xfId="42429" xr:uid="{00000000-0005-0000-0000-0000EC6E0000}"/>
    <cellStyle name="Normal 2 3 4 13 3 5" xfId="11894" xr:uid="{00000000-0005-0000-0000-0000ED6E0000}"/>
    <cellStyle name="Normal 2 3 4 13 3 5 2" xfId="42430" xr:uid="{00000000-0005-0000-0000-0000EE6E0000}"/>
    <cellStyle name="Normal 2 3 4 13 3 6" xfId="42431" xr:uid="{00000000-0005-0000-0000-0000EF6E0000}"/>
    <cellStyle name="Normal 2 3 4 13 3 6 2" xfId="42432" xr:uid="{00000000-0005-0000-0000-0000F06E0000}"/>
    <cellStyle name="Normal 2 3 4 13 3 7" xfId="42433" xr:uid="{00000000-0005-0000-0000-0000F16E0000}"/>
    <cellStyle name="Normal 2 3 4 13 4" xfId="11895" xr:uid="{00000000-0005-0000-0000-0000F26E0000}"/>
    <cellStyle name="Normal 2 3 4 13 4 2" xfId="11896" xr:uid="{00000000-0005-0000-0000-0000F36E0000}"/>
    <cellStyle name="Normal 2 3 4 13 4 2 2" xfId="42434" xr:uid="{00000000-0005-0000-0000-0000F46E0000}"/>
    <cellStyle name="Normal 2 3 4 13 4 3" xfId="11897" xr:uid="{00000000-0005-0000-0000-0000F56E0000}"/>
    <cellStyle name="Normal 2 3 4 13 4 3 2" xfId="42435" xr:uid="{00000000-0005-0000-0000-0000F66E0000}"/>
    <cellStyle name="Normal 2 3 4 13 4 4" xfId="42436" xr:uid="{00000000-0005-0000-0000-0000F76E0000}"/>
    <cellStyle name="Normal 2 3 4 13 5" xfId="11898" xr:uid="{00000000-0005-0000-0000-0000F86E0000}"/>
    <cellStyle name="Normal 2 3 4 13 5 2" xfId="11899" xr:uid="{00000000-0005-0000-0000-0000F96E0000}"/>
    <cellStyle name="Normal 2 3 4 13 5 2 2" xfId="42437" xr:uid="{00000000-0005-0000-0000-0000FA6E0000}"/>
    <cellStyle name="Normal 2 3 4 13 5 3" xfId="42438" xr:uid="{00000000-0005-0000-0000-0000FB6E0000}"/>
    <cellStyle name="Normal 2 3 4 13 6" xfId="11900" xr:uid="{00000000-0005-0000-0000-0000FC6E0000}"/>
    <cellStyle name="Normal 2 3 4 13 6 2" xfId="42439" xr:uid="{00000000-0005-0000-0000-0000FD6E0000}"/>
    <cellStyle name="Normal 2 3 4 13 7" xfId="11901" xr:uid="{00000000-0005-0000-0000-0000FE6E0000}"/>
    <cellStyle name="Normal 2 3 4 13 7 2" xfId="42440" xr:uid="{00000000-0005-0000-0000-0000FF6E0000}"/>
    <cellStyle name="Normal 2 3 4 13 8" xfId="42441" xr:uid="{00000000-0005-0000-0000-0000006F0000}"/>
    <cellStyle name="Normal 2 3 4 13 8 2" xfId="42442" xr:uid="{00000000-0005-0000-0000-0000016F0000}"/>
    <cellStyle name="Normal 2 3 4 13 9" xfId="42443" xr:uid="{00000000-0005-0000-0000-0000026F0000}"/>
    <cellStyle name="Normal 2 3 4 14" xfId="11902" xr:uid="{00000000-0005-0000-0000-0000036F0000}"/>
    <cellStyle name="Normal 2 3 4 14 10" xfId="42444" xr:uid="{00000000-0005-0000-0000-0000046F0000}"/>
    <cellStyle name="Normal 2 3 4 14 11" xfId="42445" xr:uid="{00000000-0005-0000-0000-0000056F0000}"/>
    <cellStyle name="Normal 2 3 4 14 2" xfId="11903" xr:uid="{00000000-0005-0000-0000-0000066F0000}"/>
    <cellStyle name="Normal 2 3 4 14 2 10" xfId="42446" xr:uid="{00000000-0005-0000-0000-0000076F0000}"/>
    <cellStyle name="Normal 2 3 4 14 2 2" xfId="11904" xr:uid="{00000000-0005-0000-0000-0000086F0000}"/>
    <cellStyle name="Normal 2 3 4 14 2 2 2" xfId="11905" xr:uid="{00000000-0005-0000-0000-0000096F0000}"/>
    <cellStyle name="Normal 2 3 4 14 2 2 2 2" xfId="11906" xr:uid="{00000000-0005-0000-0000-00000A6F0000}"/>
    <cellStyle name="Normal 2 3 4 14 2 2 2 2 2" xfId="42447" xr:uid="{00000000-0005-0000-0000-00000B6F0000}"/>
    <cellStyle name="Normal 2 3 4 14 2 2 2 3" xfId="11907" xr:uid="{00000000-0005-0000-0000-00000C6F0000}"/>
    <cellStyle name="Normal 2 3 4 14 2 2 2 3 2" xfId="42448" xr:uid="{00000000-0005-0000-0000-00000D6F0000}"/>
    <cellStyle name="Normal 2 3 4 14 2 2 2 4" xfId="42449" xr:uid="{00000000-0005-0000-0000-00000E6F0000}"/>
    <cellStyle name="Normal 2 3 4 14 2 2 3" xfId="11908" xr:uid="{00000000-0005-0000-0000-00000F6F0000}"/>
    <cellStyle name="Normal 2 3 4 14 2 2 3 2" xfId="42450" xr:uid="{00000000-0005-0000-0000-0000106F0000}"/>
    <cellStyle name="Normal 2 3 4 14 2 2 4" xfId="11909" xr:uid="{00000000-0005-0000-0000-0000116F0000}"/>
    <cellStyle name="Normal 2 3 4 14 2 2 4 2" xfId="42451" xr:uid="{00000000-0005-0000-0000-0000126F0000}"/>
    <cellStyle name="Normal 2 3 4 14 2 2 5" xfId="11910" xr:uid="{00000000-0005-0000-0000-0000136F0000}"/>
    <cellStyle name="Normal 2 3 4 14 2 2 5 2" xfId="42452" xr:uid="{00000000-0005-0000-0000-0000146F0000}"/>
    <cellStyle name="Normal 2 3 4 14 2 2 6" xfId="42453" xr:uid="{00000000-0005-0000-0000-0000156F0000}"/>
    <cellStyle name="Normal 2 3 4 14 2 2 6 2" xfId="42454" xr:uid="{00000000-0005-0000-0000-0000166F0000}"/>
    <cellStyle name="Normal 2 3 4 14 2 2 7" xfId="42455" xr:uid="{00000000-0005-0000-0000-0000176F0000}"/>
    <cellStyle name="Normal 2 3 4 14 2 3" xfId="11911" xr:uid="{00000000-0005-0000-0000-0000186F0000}"/>
    <cellStyle name="Normal 2 3 4 14 2 3 2" xfId="11912" xr:uid="{00000000-0005-0000-0000-0000196F0000}"/>
    <cellStyle name="Normal 2 3 4 14 2 3 2 2" xfId="42456" xr:uid="{00000000-0005-0000-0000-00001A6F0000}"/>
    <cellStyle name="Normal 2 3 4 14 2 3 3" xfId="11913" xr:uid="{00000000-0005-0000-0000-00001B6F0000}"/>
    <cellStyle name="Normal 2 3 4 14 2 3 3 2" xfId="42457" xr:uid="{00000000-0005-0000-0000-00001C6F0000}"/>
    <cellStyle name="Normal 2 3 4 14 2 3 4" xfId="42458" xr:uid="{00000000-0005-0000-0000-00001D6F0000}"/>
    <cellStyle name="Normal 2 3 4 14 2 4" xfId="11914" xr:uid="{00000000-0005-0000-0000-00001E6F0000}"/>
    <cellStyle name="Normal 2 3 4 14 2 4 2" xfId="11915" xr:uid="{00000000-0005-0000-0000-00001F6F0000}"/>
    <cellStyle name="Normal 2 3 4 14 2 4 2 2" xfId="42459" xr:uid="{00000000-0005-0000-0000-0000206F0000}"/>
    <cellStyle name="Normal 2 3 4 14 2 4 3" xfId="42460" xr:uid="{00000000-0005-0000-0000-0000216F0000}"/>
    <cellStyle name="Normal 2 3 4 14 2 5" xfId="11916" xr:uid="{00000000-0005-0000-0000-0000226F0000}"/>
    <cellStyle name="Normal 2 3 4 14 2 5 2" xfId="42461" xr:uid="{00000000-0005-0000-0000-0000236F0000}"/>
    <cellStyle name="Normal 2 3 4 14 2 6" xfId="11917" xr:uid="{00000000-0005-0000-0000-0000246F0000}"/>
    <cellStyle name="Normal 2 3 4 14 2 6 2" xfId="42462" xr:uid="{00000000-0005-0000-0000-0000256F0000}"/>
    <cellStyle name="Normal 2 3 4 14 2 7" xfId="42463" xr:uid="{00000000-0005-0000-0000-0000266F0000}"/>
    <cellStyle name="Normal 2 3 4 14 2 7 2" xfId="42464" xr:uid="{00000000-0005-0000-0000-0000276F0000}"/>
    <cellStyle name="Normal 2 3 4 14 2 8" xfId="42465" xr:uid="{00000000-0005-0000-0000-0000286F0000}"/>
    <cellStyle name="Normal 2 3 4 14 2 9" xfId="42466" xr:uid="{00000000-0005-0000-0000-0000296F0000}"/>
    <cellStyle name="Normal 2 3 4 14 3" xfId="11918" xr:uid="{00000000-0005-0000-0000-00002A6F0000}"/>
    <cellStyle name="Normal 2 3 4 14 3 2" xfId="11919" xr:uid="{00000000-0005-0000-0000-00002B6F0000}"/>
    <cellStyle name="Normal 2 3 4 14 3 2 2" xfId="11920" xr:uid="{00000000-0005-0000-0000-00002C6F0000}"/>
    <cellStyle name="Normal 2 3 4 14 3 2 2 2" xfId="42467" xr:uid="{00000000-0005-0000-0000-00002D6F0000}"/>
    <cellStyle name="Normal 2 3 4 14 3 2 3" xfId="11921" xr:uid="{00000000-0005-0000-0000-00002E6F0000}"/>
    <cellStyle name="Normal 2 3 4 14 3 2 3 2" xfId="42468" xr:uid="{00000000-0005-0000-0000-00002F6F0000}"/>
    <cellStyle name="Normal 2 3 4 14 3 2 4" xfId="42469" xr:uid="{00000000-0005-0000-0000-0000306F0000}"/>
    <cellStyle name="Normal 2 3 4 14 3 3" xfId="11922" xr:uid="{00000000-0005-0000-0000-0000316F0000}"/>
    <cellStyle name="Normal 2 3 4 14 3 3 2" xfId="42470" xr:uid="{00000000-0005-0000-0000-0000326F0000}"/>
    <cellStyle name="Normal 2 3 4 14 3 4" xfId="11923" xr:uid="{00000000-0005-0000-0000-0000336F0000}"/>
    <cellStyle name="Normal 2 3 4 14 3 4 2" xfId="42471" xr:uid="{00000000-0005-0000-0000-0000346F0000}"/>
    <cellStyle name="Normal 2 3 4 14 3 5" xfId="11924" xr:uid="{00000000-0005-0000-0000-0000356F0000}"/>
    <cellStyle name="Normal 2 3 4 14 3 5 2" xfId="42472" xr:uid="{00000000-0005-0000-0000-0000366F0000}"/>
    <cellStyle name="Normal 2 3 4 14 3 6" xfId="42473" xr:uid="{00000000-0005-0000-0000-0000376F0000}"/>
    <cellStyle name="Normal 2 3 4 14 3 6 2" xfId="42474" xr:uid="{00000000-0005-0000-0000-0000386F0000}"/>
    <cellStyle name="Normal 2 3 4 14 3 7" xfId="42475" xr:uid="{00000000-0005-0000-0000-0000396F0000}"/>
    <cellStyle name="Normal 2 3 4 14 4" xfId="11925" xr:uid="{00000000-0005-0000-0000-00003A6F0000}"/>
    <cellStyle name="Normal 2 3 4 14 4 2" xfId="11926" xr:uid="{00000000-0005-0000-0000-00003B6F0000}"/>
    <cellStyle name="Normal 2 3 4 14 4 2 2" xfId="42476" xr:uid="{00000000-0005-0000-0000-00003C6F0000}"/>
    <cellStyle name="Normal 2 3 4 14 4 3" xfId="11927" xr:uid="{00000000-0005-0000-0000-00003D6F0000}"/>
    <cellStyle name="Normal 2 3 4 14 4 3 2" xfId="42477" xr:uid="{00000000-0005-0000-0000-00003E6F0000}"/>
    <cellStyle name="Normal 2 3 4 14 4 4" xfId="42478" xr:uid="{00000000-0005-0000-0000-00003F6F0000}"/>
    <cellStyle name="Normal 2 3 4 14 5" xfId="11928" xr:uid="{00000000-0005-0000-0000-0000406F0000}"/>
    <cellStyle name="Normal 2 3 4 14 5 2" xfId="11929" xr:uid="{00000000-0005-0000-0000-0000416F0000}"/>
    <cellStyle name="Normal 2 3 4 14 5 2 2" xfId="42479" xr:uid="{00000000-0005-0000-0000-0000426F0000}"/>
    <cellStyle name="Normal 2 3 4 14 5 3" xfId="42480" xr:uid="{00000000-0005-0000-0000-0000436F0000}"/>
    <cellStyle name="Normal 2 3 4 14 6" xfId="11930" xr:uid="{00000000-0005-0000-0000-0000446F0000}"/>
    <cellStyle name="Normal 2 3 4 14 6 2" xfId="42481" xr:uid="{00000000-0005-0000-0000-0000456F0000}"/>
    <cellStyle name="Normal 2 3 4 14 7" xfId="11931" xr:uid="{00000000-0005-0000-0000-0000466F0000}"/>
    <cellStyle name="Normal 2 3 4 14 7 2" xfId="42482" xr:uid="{00000000-0005-0000-0000-0000476F0000}"/>
    <cellStyle name="Normal 2 3 4 14 8" xfId="42483" xr:uid="{00000000-0005-0000-0000-0000486F0000}"/>
    <cellStyle name="Normal 2 3 4 14 8 2" xfId="42484" xr:uid="{00000000-0005-0000-0000-0000496F0000}"/>
    <cellStyle name="Normal 2 3 4 14 9" xfId="42485" xr:uid="{00000000-0005-0000-0000-00004A6F0000}"/>
    <cellStyle name="Normal 2 3 4 15" xfId="11932" xr:uid="{00000000-0005-0000-0000-00004B6F0000}"/>
    <cellStyle name="Normal 2 3 4 15 10" xfId="42486" xr:uid="{00000000-0005-0000-0000-00004C6F0000}"/>
    <cellStyle name="Normal 2 3 4 15 11" xfId="42487" xr:uid="{00000000-0005-0000-0000-00004D6F0000}"/>
    <cellStyle name="Normal 2 3 4 15 2" xfId="11933" xr:uid="{00000000-0005-0000-0000-00004E6F0000}"/>
    <cellStyle name="Normal 2 3 4 15 2 10" xfId="42488" xr:uid="{00000000-0005-0000-0000-00004F6F0000}"/>
    <cellStyle name="Normal 2 3 4 15 2 2" xfId="11934" xr:uid="{00000000-0005-0000-0000-0000506F0000}"/>
    <cellStyle name="Normal 2 3 4 15 2 2 2" xfId="11935" xr:uid="{00000000-0005-0000-0000-0000516F0000}"/>
    <cellStyle name="Normal 2 3 4 15 2 2 2 2" xfId="11936" xr:uid="{00000000-0005-0000-0000-0000526F0000}"/>
    <cellStyle name="Normal 2 3 4 15 2 2 2 2 2" xfId="42489" xr:uid="{00000000-0005-0000-0000-0000536F0000}"/>
    <cellStyle name="Normal 2 3 4 15 2 2 2 3" xfId="11937" xr:uid="{00000000-0005-0000-0000-0000546F0000}"/>
    <cellStyle name="Normal 2 3 4 15 2 2 2 3 2" xfId="42490" xr:uid="{00000000-0005-0000-0000-0000556F0000}"/>
    <cellStyle name="Normal 2 3 4 15 2 2 2 4" xfId="42491" xr:uid="{00000000-0005-0000-0000-0000566F0000}"/>
    <cellStyle name="Normal 2 3 4 15 2 2 3" xfId="11938" xr:uid="{00000000-0005-0000-0000-0000576F0000}"/>
    <cellStyle name="Normal 2 3 4 15 2 2 3 2" xfId="42492" xr:uid="{00000000-0005-0000-0000-0000586F0000}"/>
    <cellStyle name="Normal 2 3 4 15 2 2 4" xfId="11939" xr:uid="{00000000-0005-0000-0000-0000596F0000}"/>
    <cellStyle name="Normal 2 3 4 15 2 2 4 2" xfId="42493" xr:uid="{00000000-0005-0000-0000-00005A6F0000}"/>
    <cellStyle name="Normal 2 3 4 15 2 2 5" xfId="11940" xr:uid="{00000000-0005-0000-0000-00005B6F0000}"/>
    <cellStyle name="Normal 2 3 4 15 2 2 5 2" xfId="42494" xr:uid="{00000000-0005-0000-0000-00005C6F0000}"/>
    <cellStyle name="Normal 2 3 4 15 2 2 6" xfId="42495" xr:uid="{00000000-0005-0000-0000-00005D6F0000}"/>
    <cellStyle name="Normal 2 3 4 15 2 2 6 2" xfId="42496" xr:uid="{00000000-0005-0000-0000-00005E6F0000}"/>
    <cellStyle name="Normal 2 3 4 15 2 2 7" xfId="42497" xr:uid="{00000000-0005-0000-0000-00005F6F0000}"/>
    <cellStyle name="Normal 2 3 4 15 2 3" xfId="11941" xr:uid="{00000000-0005-0000-0000-0000606F0000}"/>
    <cellStyle name="Normal 2 3 4 15 2 3 2" xfId="11942" xr:uid="{00000000-0005-0000-0000-0000616F0000}"/>
    <cellStyle name="Normal 2 3 4 15 2 3 2 2" xfId="42498" xr:uid="{00000000-0005-0000-0000-0000626F0000}"/>
    <cellStyle name="Normal 2 3 4 15 2 3 3" xfId="11943" xr:uid="{00000000-0005-0000-0000-0000636F0000}"/>
    <cellStyle name="Normal 2 3 4 15 2 3 3 2" xfId="42499" xr:uid="{00000000-0005-0000-0000-0000646F0000}"/>
    <cellStyle name="Normal 2 3 4 15 2 3 4" xfId="42500" xr:uid="{00000000-0005-0000-0000-0000656F0000}"/>
    <cellStyle name="Normal 2 3 4 15 2 4" xfId="11944" xr:uid="{00000000-0005-0000-0000-0000666F0000}"/>
    <cellStyle name="Normal 2 3 4 15 2 4 2" xfId="11945" xr:uid="{00000000-0005-0000-0000-0000676F0000}"/>
    <cellStyle name="Normal 2 3 4 15 2 4 2 2" xfId="42501" xr:uid="{00000000-0005-0000-0000-0000686F0000}"/>
    <cellStyle name="Normal 2 3 4 15 2 4 3" xfId="42502" xr:uid="{00000000-0005-0000-0000-0000696F0000}"/>
    <cellStyle name="Normal 2 3 4 15 2 5" xfId="11946" xr:uid="{00000000-0005-0000-0000-00006A6F0000}"/>
    <cellStyle name="Normal 2 3 4 15 2 5 2" xfId="42503" xr:uid="{00000000-0005-0000-0000-00006B6F0000}"/>
    <cellStyle name="Normal 2 3 4 15 2 6" xfId="11947" xr:uid="{00000000-0005-0000-0000-00006C6F0000}"/>
    <cellStyle name="Normal 2 3 4 15 2 6 2" xfId="42504" xr:uid="{00000000-0005-0000-0000-00006D6F0000}"/>
    <cellStyle name="Normal 2 3 4 15 2 7" xfId="42505" xr:uid="{00000000-0005-0000-0000-00006E6F0000}"/>
    <cellStyle name="Normal 2 3 4 15 2 7 2" xfId="42506" xr:uid="{00000000-0005-0000-0000-00006F6F0000}"/>
    <cellStyle name="Normal 2 3 4 15 2 8" xfId="42507" xr:uid="{00000000-0005-0000-0000-0000706F0000}"/>
    <cellStyle name="Normal 2 3 4 15 2 9" xfId="42508" xr:uid="{00000000-0005-0000-0000-0000716F0000}"/>
    <cellStyle name="Normal 2 3 4 15 3" xfId="11948" xr:uid="{00000000-0005-0000-0000-0000726F0000}"/>
    <cellStyle name="Normal 2 3 4 15 3 2" xfId="11949" xr:uid="{00000000-0005-0000-0000-0000736F0000}"/>
    <cellStyle name="Normal 2 3 4 15 3 2 2" xfId="11950" xr:uid="{00000000-0005-0000-0000-0000746F0000}"/>
    <cellStyle name="Normal 2 3 4 15 3 2 2 2" xfId="42509" xr:uid="{00000000-0005-0000-0000-0000756F0000}"/>
    <cellStyle name="Normal 2 3 4 15 3 2 3" xfId="11951" xr:uid="{00000000-0005-0000-0000-0000766F0000}"/>
    <cellStyle name="Normal 2 3 4 15 3 2 3 2" xfId="42510" xr:uid="{00000000-0005-0000-0000-0000776F0000}"/>
    <cellStyle name="Normal 2 3 4 15 3 2 4" xfId="42511" xr:uid="{00000000-0005-0000-0000-0000786F0000}"/>
    <cellStyle name="Normal 2 3 4 15 3 3" xfId="11952" xr:uid="{00000000-0005-0000-0000-0000796F0000}"/>
    <cellStyle name="Normal 2 3 4 15 3 3 2" xfId="42512" xr:uid="{00000000-0005-0000-0000-00007A6F0000}"/>
    <cellStyle name="Normal 2 3 4 15 3 4" xfId="11953" xr:uid="{00000000-0005-0000-0000-00007B6F0000}"/>
    <cellStyle name="Normal 2 3 4 15 3 4 2" xfId="42513" xr:uid="{00000000-0005-0000-0000-00007C6F0000}"/>
    <cellStyle name="Normal 2 3 4 15 3 5" xfId="11954" xr:uid="{00000000-0005-0000-0000-00007D6F0000}"/>
    <cellStyle name="Normal 2 3 4 15 3 5 2" xfId="42514" xr:uid="{00000000-0005-0000-0000-00007E6F0000}"/>
    <cellStyle name="Normal 2 3 4 15 3 6" xfId="42515" xr:uid="{00000000-0005-0000-0000-00007F6F0000}"/>
    <cellStyle name="Normal 2 3 4 15 3 6 2" xfId="42516" xr:uid="{00000000-0005-0000-0000-0000806F0000}"/>
    <cellStyle name="Normal 2 3 4 15 3 7" xfId="42517" xr:uid="{00000000-0005-0000-0000-0000816F0000}"/>
    <cellStyle name="Normal 2 3 4 15 4" xfId="11955" xr:uid="{00000000-0005-0000-0000-0000826F0000}"/>
    <cellStyle name="Normal 2 3 4 15 4 2" xfId="11956" xr:uid="{00000000-0005-0000-0000-0000836F0000}"/>
    <cellStyle name="Normal 2 3 4 15 4 2 2" xfId="42518" xr:uid="{00000000-0005-0000-0000-0000846F0000}"/>
    <cellStyle name="Normal 2 3 4 15 4 3" xfId="11957" xr:uid="{00000000-0005-0000-0000-0000856F0000}"/>
    <cellStyle name="Normal 2 3 4 15 4 3 2" xfId="42519" xr:uid="{00000000-0005-0000-0000-0000866F0000}"/>
    <cellStyle name="Normal 2 3 4 15 4 4" xfId="42520" xr:uid="{00000000-0005-0000-0000-0000876F0000}"/>
    <cellStyle name="Normal 2 3 4 15 5" xfId="11958" xr:uid="{00000000-0005-0000-0000-0000886F0000}"/>
    <cellStyle name="Normal 2 3 4 15 5 2" xfId="11959" xr:uid="{00000000-0005-0000-0000-0000896F0000}"/>
    <cellStyle name="Normal 2 3 4 15 5 2 2" xfId="42521" xr:uid="{00000000-0005-0000-0000-00008A6F0000}"/>
    <cellStyle name="Normal 2 3 4 15 5 3" xfId="42522" xr:uid="{00000000-0005-0000-0000-00008B6F0000}"/>
    <cellStyle name="Normal 2 3 4 15 6" xfId="11960" xr:uid="{00000000-0005-0000-0000-00008C6F0000}"/>
    <cellStyle name="Normal 2 3 4 15 6 2" xfId="42523" xr:uid="{00000000-0005-0000-0000-00008D6F0000}"/>
    <cellStyle name="Normal 2 3 4 15 7" xfId="11961" xr:uid="{00000000-0005-0000-0000-00008E6F0000}"/>
    <cellStyle name="Normal 2 3 4 15 7 2" xfId="42524" xr:uid="{00000000-0005-0000-0000-00008F6F0000}"/>
    <cellStyle name="Normal 2 3 4 15 8" xfId="42525" xr:uid="{00000000-0005-0000-0000-0000906F0000}"/>
    <cellStyle name="Normal 2 3 4 15 8 2" xfId="42526" xr:uid="{00000000-0005-0000-0000-0000916F0000}"/>
    <cellStyle name="Normal 2 3 4 15 9" xfId="42527" xr:uid="{00000000-0005-0000-0000-0000926F0000}"/>
    <cellStyle name="Normal 2 3 4 16" xfId="11962" xr:uid="{00000000-0005-0000-0000-0000936F0000}"/>
    <cellStyle name="Normal 2 3 4 16 10" xfId="42528" xr:uid="{00000000-0005-0000-0000-0000946F0000}"/>
    <cellStyle name="Normal 2 3 4 16 11" xfId="42529" xr:uid="{00000000-0005-0000-0000-0000956F0000}"/>
    <cellStyle name="Normal 2 3 4 16 2" xfId="11963" xr:uid="{00000000-0005-0000-0000-0000966F0000}"/>
    <cellStyle name="Normal 2 3 4 16 2 10" xfId="42530" xr:uid="{00000000-0005-0000-0000-0000976F0000}"/>
    <cellStyle name="Normal 2 3 4 16 2 2" xfId="11964" xr:uid="{00000000-0005-0000-0000-0000986F0000}"/>
    <cellStyle name="Normal 2 3 4 16 2 2 2" xfId="11965" xr:uid="{00000000-0005-0000-0000-0000996F0000}"/>
    <cellStyle name="Normal 2 3 4 16 2 2 2 2" xfId="11966" xr:uid="{00000000-0005-0000-0000-00009A6F0000}"/>
    <cellStyle name="Normal 2 3 4 16 2 2 2 2 2" xfId="42531" xr:uid="{00000000-0005-0000-0000-00009B6F0000}"/>
    <cellStyle name="Normal 2 3 4 16 2 2 2 3" xfId="11967" xr:uid="{00000000-0005-0000-0000-00009C6F0000}"/>
    <cellStyle name="Normal 2 3 4 16 2 2 2 3 2" xfId="42532" xr:uid="{00000000-0005-0000-0000-00009D6F0000}"/>
    <cellStyle name="Normal 2 3 4 16 2 2 2 4" xfId="42533" xr:uid="{00000000-0005-0000-0000-00009E6F0000}"/>
    <cellStyle name="Normal 2 3 4 16 2 2 3" xfId="11968" xr:uid="{00000000-0005-0000-0000-00009F6F0000}"/>
    <cellStyle name="Normal 2 3 4 16 2 2 3 2" xfId="42534" xr:uid="{00000000-0005-0000-0000-0000A06F0000}"/>
    <cellStyle name="Normal 2 3 4 16 2 2 4" xfId="11969" xr:uid="{00000000-0005-0000-0000-0000A16F0000}"/>
    <cellStyle name="Normal 2 3 4 16 2 2 4 2" xfId="42535" xr:uid="{00000000-0005-0000-0000-0000A26F0000}"/>
    <cellStyle name="Normal 2 3 4 16 2 2 5" xfId="11970" xr:uid="{00000000-0005-0000-0000-0000A36F0000}"/>
    <cellStyle name="Normal 2 3 4 16 2 2 5 2" xfId="42536" xr:uid="{00000000-0005-0000-0000-0000A46F0000}"/>
    <cellStyle name="Normal 2 3 4 16 2 2 6" xfId="42537" xr:uid="{00000000-0005-0000-0000-0000A56F0000}"/>
    <cellStyle name="Normal 2 3 4 16 2 2 6 2" xfId="42538" xr:uid="{00000000-0005-0000-0000-0000A66F0000}"/>
    <cellStyle name="Normal 2 3 4 16 2 2 7" xfId="42539" xr:uid="{00000000-0005-0000-0000-0000A76F0000}"/>
    <cellStyle name="Normal 2 3 4 16 2 3" xfId="11971" xr:uid="{00000000-0005-0000-0000-0000A86F0000}"/>
    <cellStyle name="Normal 2 3 4 16 2 3 2" xfId="11972" xr:uid="{00000000-0005-0000-0000-0000A96F0000}"/>
    <cellStyle name="Normal 2 3 4 16 2 3 2 2" xfId="42540" xr:uid="{00000000-0005-0000-0000-0000AA6F0000}"/>
    <cellStyle name="Normal 2 3 4 16 2 3 3" xfId="11973" xr:uid="{00000000-0005-0000-0000-0000AB6F0000}"/>
    <cellStyle name="Normal 2 3 4 16 2 3 3 2" xfId="42541" xr:uid="{00000000-0005-0000-0000-0000AC6F0000}"/>
    <cellStyle name="Normal 2 3 4 16 2 3 4" xfId="42542" xr:uid="{00000000-0005-0000-0000-0000AD6F0000}"/>
    <cellStyle name="Normal 2 3 4 16 2 4" xfId="11974" xr:uid="{00000000-0005-0000-0000-0000AE6F0000}"/>
    <cellStyle name="Normal 2 3 4 16 2 4 2" xfId="11975" xr:uid="{00000000-0005-0000-0000-0000AF6F0000}"/>
    <cellStyle name="Normal 2 3 4 16 2 4 2 2" xfId="42543" xr:uid="{00000000-0005-0000-0000-0000B06F0000}"/>
    <cellStyle name="Normal 2 3 4 16 2 4 3" xfId="42544" xr:uid="{00000000-0005-0000-0000-0000B16F0000}"/>
    <cellStyle name="Normal 2 3 4 16 2 5" xfId="11976" xr:uid="{00000000-0005-0000-0000-0000B26F0000}"/>
    <cellStyle name="Normal 2 3 4 16 2 5 2" xfId="42545" xr:uid="{00000000-0005-0000-0000-0000B36F0000}"/>
    <cellStyle name="Normal 2 3 4 16 2 6" xfId="11977" xr:uid="{00000000-0005-0000-0000-0000B46F0000}"/>
    <cellStyle name="Normal 2 3 4 16 2 6 2" xfId="42546" xr:uid="{00000000-0005-0000-0000-0000B56F0000}"/>
    <cellStyle name="Normal 2 3 4 16 2 7" xfId="42547" xr:uid="{00000000-0005-0000-0000-0000B66F0000}"/>
    <cellStyle name="Normal 2 3 4 16 2 7 2" xfId="42548" xr:uid="{00000000-0005-0000-0000-0000B76F0000}"/>
    <cellStyle name="Normal 2 3 4 16 2 8" xfId="42549" xr:uid="{00000000-0005-0000-0000-0000B86F0000}"/>
    <cellStyle name="Normal 2 3 4 16 2 9" xfId="42550" xr:uid="{00000000-0005-0000-0000-0000B96F0000}"/>
    <cellStyle name="Normal 2 3 4 16 3" xfId="11978" xr:uid="{00000000-0005-0000-0000-0000BA6F0000}"/>
    <cellStyle name="Normal 2 3 4 16 3 2" xfId="11979" xr:uid="{00000000-0005-0000-0000-0000BB6F0000}"/>
    <cellStyle name="Normal 2 3 4 16 3 2 2" xfId="11980" xr:uid="{00000000-0005-0000-0000-0000BC6F0000}"/>
    <cellStyle name="Normal 2 3 4 16 3 2 2 2" xfId="42551" xr:uid="{00000000-0005-0000-0000-0000BD6F0000}"/>
    <cellStyle name="Normal 2 3 4 16 3 2 3" xfId="11981" xr:uid="{00000000-0005-0000-0000-0000BE6F0000}"/>
    <cellStyle name="Normal 2 3 4 16 3 2 3 2" xfId="42552" xr:uid="{00000000-0005-0000-0000-0000BF6F0000}"/>
    <cellStyle name="Normal 2 3 4 16 3 2 4" xfId="42553" xr:uid="{00000000-0005-0000-0000-0000C06F0000}"/>
    <cellStyle name="Normal 2 3 4 16 3 3" xfId="11982" xr:uid="{00000000-0005-0000-0000-0000C16F0000}"/>
    <cellStyle name="Normal 2 3 4 16 3 3 2" xfId="42554" xr:uid="{00000000-0005-0000-0000-0000C26F0000}"/>
    <cellStyle name="Normal 2 3 4 16 3 4" xfId="11983" xr:uid="{00000000-0005-0000-0000-0000C36F0000}"/>
    <cellStyle name="Normal 2 3 4 16 3 4 2" xfId="42555" xr:uid="{00000000-0005-0000-0000-0000C46F0000}"/>
    <cellStyle name="Normal 2 3 4 16 3 5" xfId="11984" xr:uid="{00000000-0005-0000-0000-0000C56F0000}"/>
    <cellStyle name="Normal 2 3 4 16 3 5 2" xfId="42556" xr:uid="{00000000-0005-0000-0000-0000C66F0000}"/>
    <cellStyle name="Normal 2 3 4 16 3 6" xfId="42557" xr:uid="{00000000-0005-0000-0000-0000C76F0000}"/>
    <cellStyle name="Normal 2 3 4 16 3 6 2" xfId="42558" xr:uid="{00000000-0005-0000-0000-0000C86F0000}"/>
    <cellStyle name="Normal 2 3 4 16 3 7" xfId="42559" xr:uid="{00000000-0005-0000-0000-0000C96F0000}"/>
    <cellStyle name="Normal 2 3 4 16 4" xfId="11985" xr:uid="{00000000-0005-0000-0000-0000CA6F0000}"/>
    <cellStyle name="Normal 2 3 4 16 4 2" xfId="11986" xr:uid="{00000000-0005-0000-0000-0000CB6F0000}"/>
    <cellStyle name="Normal 2 3 4 16 4 2 2" xfId="42560" xr:uid="{00000000-0005-0000-0000-0000CC6F0000}"/>
    <cellStyle name="Normal 2 3 4 16 4 3" xfId="11987" xr:uid="{00000000-0005-0000-0000-0000CD6F0000}"/>
    <cellStyle name="Normal 2 3 4 16 4 3 2" xfId="42561" xr:uid="{00000000-0005-0000-0000-0000CE6F0000}"/>
    <cellStyle name="Normal 2 3 4 16 4 4" xfId="42562" xr:uid="{00000000-0005-0000-0000-0000CF6F0000}"/>
    <cellStyle name="Normal 2 3 4 16 5" xfId="11988" xr:uid="{00000000-0005-0000-0000-0000D06F0000}"/>
    <cellStyle name="Normal 2 3 4 16 5 2" xfId="11989" xr:uid="{00000000-0005-0000-0000-0000D16F0000}"/>
    <cellStyle name="Normal 2 3 4 16 5 2 2" xfId="42563" xr:uid="{00000000-0005-0000-0000-0000D26F0000}"/>
    <cellStyle name="Normal 2 3 4 16 5 3" xfId="42564" xr:uid="{00000000-0005-0000-0000-0000D36F0000}"/>
    <cellStyle name="Normal 2 3 4 16 6" xfId="11990" xr:uid="{00000000-0005-0000-0000-0000D46F0000}"/>
    <cellStyle name="Normal 2 3 4 16 6 2" xfId="42565" xr:uid="{00000000-0005-0000-0000-0000D56F0000}"/>
    <cellStyle name="Normal 2 3 4 16 7" xfId="11991" xr:uid="{00000000-0005-0000-0000-0000D66F0000}"/>
    <cellStyle name="Normal 2 3 4 16 7 2" xfId="42566" xr:uid="{00000000-0005-0000-0000-0000D76F0000}"/>
    <cellStyle name="Normal 2 3 4 16 8" xfId="42567" xr:uid="{00000000-0005-0000-0000-0000D86F0000}"/>
    <cellStyle name="Normal 2 3 4 16 8 2" xfId="42568" xr:uid="{00000000-0005-0000-0000-0000D96F0000}"/>
    <cellStyle name="Normal 2 3 4 16 9" xfId="42569" xr:uid="{00000000-0005-0000-0000-0000DA6F0000}"/>
    <cellStyle name="Normal 2 3 4 17" xfId="11992" xr:uid="{00000000-0005-0000-0000-0000DB6F0000}"/>
    <cellStyle name="Normal 2 3 4 17 10" xfId="42570" xr:uid="{00000000-0005-0000-0000-0000DC6F0000}"/>
    <cellStyle name="Normal 2 3 4 17 11" xfId="42571" xr:uid="{00000000-0005-0000-0000-0000DD6F0000}"/>
    <cellStyle name="Normal 2 3 4 17 2" xfId="11993" xr:uid="{00000000-0005-0000-0000-0000DE6F0000}"/>
    <cellStyle name="Normal 2 3 4 17 2 10" xfId="42572" xr:uid="{00000000-0005-0000-0000-0000DF6F0000}"/>
    <cellStyle name="Normal 2 3 4 17 2 2" xfId="11994" xr:uid="{00000000-0005-0000-0000-0000E06F0000}"/>
    <cellStyle name="Normal 2 3 4 17 2 2 2" xfId="11995" xr:uid="{00000000-0005-0000-0000-0000E16F0000}"/>
    <cellStyle name="Normal 2 3 4 17 2 2 2 2" xfId="11996" xr:uid="{00000000-0005-0000-0000-0000E26F0000}"/>
    <cellStyle name="Normal 2 3 4 17 2 2 2 2 2" xfId="42573" xr:uid="{00000000-0005-0000-0000-0000E36F0000}"/>
    <cellStyle name="Normal 2 3 4 17 2 2 2 3" xfId="11997" xr:uid="{00000000-0005-0000-0000-0000E46F0000}"/>
    <cellStyle name="Normal 2 3 4 17 2 2 2 3 2" xfId="42574" xr:uid="{00000000-0005-0000-0000-0000E56F0000}"/>
    <cellStyle name="Normal 2 3 4 17 2 2 2 4" xfId="42575" xr:uid="{00000000-0005-0000-0000-0000E66F0000}"/>
    <cellStyle name="Normal 2 3 4 17 2 2 3" xfId="11998" xr:uid="{00000000-0005-0000-0000-0000E76F0000}"/>
    <cellStyle name="Normal 2 3 4 17 2 2 3 2" xfId="42576" xr:uid="{00000000-0005-0000-0000-0000E86F0000}"/>
    <cellStyle name="Normal 2 3 4 17 2 2 4" xfId="11999" xr:uid="{00000000-0005-0000-0000-0000E96F0000}"/>
    <cellStyle name="Normal 2 3 4 17 2 2 4 2" xfId="42577" xr:uid="{00000000-0005-0000-0000-0000EA6F0000}"/>
    <cellStyle name="Normal 2 3 4 17 2 2 5" xfId="12000" xr:uid="{00000000-0005-0000-0000-0000EB6F0000}"/>
    <cellStyle name="Normal 2 3 4 17 2 2 5 2" xfId="42578" xr:uid="{00000000-0005-0000-0000-0000EC6F0000}"/>
    <cellStyle name="Normal 2 3 4 17 2 2 6" xfId="42579" xr:uid="{00000000-0005-0000-0000-0000ED6F0000}"/>
    <cellStyle name="Normal 2 3 4 17 2 2 6 2" xfId="42580" xr:uid="{00000000-0005-0000-0000-0000EE6F0000}"/>
    <cellStyle name="Normal 2 3 4 17 2 2 7" xfId="42581" xr:uid="{00000000-0005-0000-0000-0000EF6F0000}"/>
    <cellStyle name="Normal 2 3 4 17 2 3" xfId="12001" xr:uid="{00000000-0005-0000-0000-0000F06F0000}"/>
    <cellStyle name="Normal 2 3 4 17 2 3 2" xfId="12002" xr:uid="{00000000-0005-0000-0000-0000F16F0000}"/>
    <cellStyle name="Normal 2 3 4 17 2 3 2 2" xfId="42582" xr:uid="{00000000-0005-0000-0000-0000F26F0000}"/>
    <cellStyle name="Normal 2 3 4 17 2 3 3" xfId="12003" xr:uid="{00000000-0005-0000-0000-0000F36F0000}"/>
    <cellStyle name="Normal 2 3 4 17 2 3 3 2" xfId="42583" xr:uid="{00000000-0005-0000-0000-0000F46F0000}"/>
    <cellStyle name="Normal 2 3 4 17 2 3 4" xfId="42584" xr:uid="{00000000-0005-0000-0000-0000F56F0000}"/>
    <cellStyle name="Normal 2 3 4 17 2 4" xfId="12004" xr:uid="{00000000-0005-0000-0000-0000F66F0000}"/>
    <cellStyle name="Normal 2 3 4 17 2 4 2" xfId="12005" xr:uid="{00000000-0005-0000-0000-0000F76F0000}"/>
    <cellStyle name="Normal 2 3 4 17 2 4 2 2" xfId="42585" xr:uid="{00000000-0005-0000-0000-0000F86F0000}"/>
    <cellStyle name="Normal 2 3 4 17 2 4 3" xfId="42586" xr:uid="{00000000-0005-0000-0000-0000F96F0000}"/>
    <cellStyle name="Normal 2 3 4 17 2 5" xfId="12006" xr:uid="{00000000-0005-0000-0000-0000FA6F0000}"/>
    <cellStyle name="Normal 2 3 4 17 2 5 2" xfId="42587" xr:uid="{00000000-0005-0000-0000-0000FB6F0000}"/>
    <cellStyle name="Normal 2 3 4 17 2 6" xfId="12007" xr:uid="{00000000-0005-0000-0000-0000FC6F0000}"/>
    <cellStyle name="Normal 2 3 4 17 2 6 2" xfId="42588" xr:uid="{00000000-0005-0000-0000-0000FD6F0000}"/>
    <cellStyle name="Normal 2 3 4 17 2 7" xfId="42589" xr:uid="{00000000-0005-0000-0000-0000FE6F0000}"/>
    <cellStyle name="Normal 2 3 4 17 2 7 2" xfId="42590" xr:uid="{00000000-0005-0000-0000-0000FF6F0000}"/>
    <cellStyle name="Normal 2 3 4 17 2 8" xfId="42591" xr:uid="{00000000-0005-0000-0000-000000700000}"/>
    <cellStyle name="Normal 2 3 4 17 2 9" xfId="42592" xr:uid="{00000000-0005-0000-0000-000001700000}"/>
    <cellStyle name="Normal 2 3 4 17 3" xfId="12008" xr:uid="{00000000-0005-0000-0000-000002700000}"/>
    <cellStyle name="Normal 2 3 4 17 3 2" xfId="12009" xr:uid="{00000000-0005-0000-0000-000003700000}"/>
    <cellStyle name="Normal 2 3 4 17 3 2 2" xfId="12010" xr:uid="{00000000-0005-0000-0000-000004700000}"/>
    <cellStyle name="Normal 2 3 4 17 3 2 2 2" xfId="42593" xr:uid="{00000000-0005-0000-0000-000005700000}"/>
    <cellStyle name="Normal 2 3 4 17 3 2 3" xfId="12011" xr:uid="{00000000-0005-0000-0000-000006700000}"/>
    <cellStyle name="Normal 2 3 4 17 3 2 3 2" xfId="42594" xr:uid="{00000000-0005-0000-0000-000007700000}"/>
    <cellStyle name="Normal 2 3 4 17 3 2 4" xfId="42595" xr:uid="{00000000-0005-0000-0000-000008700000}"/>
    <cellStyle name="Normal 2 3 4 17 3 3" xfId="12012" xr:uid="{00000000-0005-0000-0000-000009700000}"/>
    <cellStyle name="Normal 2 3 4 17 3 3 2" xfId="42596" xr:uid="{00000000-0005-0000-0000-00000A700000}"/>
    <cellStyle name="Normal 2 3 4 17 3 4" xfId="12013" xr:uid="{00000000-0005-0000-0000-00000B700000}"/>
    <cellStyle name="Normal 2 3 4 17 3 4 2" xfId="42597" xr:uid="{00000000-0005-0000-0000-00000C700000}"/>
    <cellStyle name="Normal 2 3 4 17 3 5" xfId="12014" xr:uid="{00000000-0005-0000-0000-00000D700000}"/>
    <cellStyle name="Normal 2 3 4 17 3 5 2" xfId="42598" xr:uid="{00000000-0005-0000-0000-00000E700000}"/>
    <cellStyle name="Normal 2 3 4 17 3 6" xfId="42599" xr:uid="{00000000-0005-0000-0000-00000F700000}"/>
    <cellStyle name="Normal 2 3 4 17 3 6 2" xfId="42600" xr:uid="{00000000-0005-0000-0000-000010700000}"/>
    <cellStyle name="Normal 2 3 4 17 3 7" xfId="42601" xr:uid="{00000000-0005-0000-0000-000011700000}"/>
    <cellStyle name="Normal 2 3 4 17 4" xfId="12015" xr:uid="{00000000-0005-0000-0000-000012700000}"/>
    <cellStyle name="Normal 2 3 4 17 4 2" xfId="12016" xr:uid="{00000000-0005-0000-0000-000013700000}"/>
    <cellStyle name="Normal 2 3 4 17 4 2 2" xfId="42602" xr:uid="{00000000-0005-0000-0000-000014700000}"/>
    <cellStyle name="Normal 2 3 4 17 4 3" xfId="12017" xr:uid="{00000000-0005-0000-0000-000015700000}"/>
    <cellStyle name="Normal 2 3 4 17 4 3 2" xfId="42603" xr:uid="{00000000-0005-0000-0000-000016700000}"/>
    <cellStyle name="Normal 2 3 4 17 4 4" xfId="42604" xr:uid="{00000000-0005-0000-0000-000017700000}"/>
    <cellStyle name="Normal 2 3 4 17 5" xfId="12018" xr:uid="{00000000-0005-0000-0000-000018700000}"/>
    <cellStyle name="Normal 2 3 4 17 5 2" xfId="12019" xr:uid="{00000000-0005-0000-0000-000019700000}"/>
    <cellStyle name="Normal 2 3 4 17 5 2 2" xfId="42605" xr:uid="{00000000-0005-0000-0000-00001A700000}"/>
    <cellStyle name="Normal 2 3 4 17 5 3" xfId="42606" xr:uid="{00000000-0005-0000-0000-00001B700000}"/>
    <cellStyle name="Normal 2 3 4 17 6" xfId="12020" xr:uid="{00000000-0005-0000-0000-00001C700000}"/>
    <cellStyle name="Normal 2 3 4 17 6 2" xfId="42607" xr:uid="{00000000-0005-0000-0000-00001D700000}"/>
    <cellStyle name="Normal 2 3 4 17 7" xfId="12021" xr:uid="{00000000-0005-0000-0000-00001E700000}"/>
    <cellStyle name="Normal 2 3 4 17 7 2" xfId="42608" xr:uid="{00000000-0005-0000-0000-00001F700000}"/>
    <cellStyle name="Normal 2 3 4 17 8" xfId="42609" xr:uid="{00000000-0005-0000-0000-000020700000}"/>
    <cellStyle name="Normal 2 3 4 17 8 2" xfId="42610" xr:uid="{00000000-0005-0000-0000-000021700000}"/>
    <cellStyle name="Normal 2 3 4 17 9" xfId="42611" xr:uid="{00000000-0005-0000-0000-000022700000}"/>
    <cellStyle name="Normal 2 3 4 18" xfId="12022" xr:uid="{00000000-0005-0000-0000-000023700000}"/>
    <cellStyle name="Normal 2 3 4 18 10" xfId="42612" xr:uid="{00000000-0005-0000-0000-000024700000}"/>
    <cellStyle name="Normal 2 3 4 18 11" xfId="42613" xr:uid="{00000000-0005-0000-0000-000025700000}"/>
    <cellStyle name="Normal 2 3 4 18 2" xfId="12023" xr:uid="{00000000-0005-0000-0000-000026700000}"/>
    <cellStyle name="Normal 2 3 4 18 2 10" xfId="42614" xr:uid="{00000000-0005-0000-0000-000027700000}"/>
    <cellStyle name="Normal 2 3 4 18 2 2" xfId="12024" xr:uid="{00000000-0005-0000-0000-000028700000}"/>
    <cellStyle name="Normal 2 3 4 18 2 2 2" xfId="12025" xr:uid="{00000000-0005-0000-0000-000029700000}"/>
    <cellStyle name="Normal 2 3 4 18 2 2 2 2" xfId="12026" xr:uid="{00000000-0005-0000-0000-00002A700000}"/>
    <cellStyle name="Normal 2 3 4 18 2 2 2 2 2" xfId="42615" xr:uid="{00000000-0005-0000-0000-00002B700000}"/>
    <cellStyle name="Normal 2 3 4 18 2 2 2 3" xfId="12027" xr:uid="{00000000-0005-0000-0000-00002C700000}"/>
    <cellStyle name="Normal 2 3 4 18 2 2 2 3 2" xfId="42616" xr:uid="{00000000-0005-0000-0000-00002D700000}"/>
    <cellStyle name="Normal 2 3 4 18 2 2 2 4" xfId="42617" xr:uid="{00000000-0005-0000-0000-00002E700000}"/>
    <cellStyle name="Normal 2 3 4 18 2 2 3" xfId="12028" xr:uid="{00000000-0005-0000-0000-00002F700000}"/>
    <cellStyle name="Normal 2 3 4 18 2 2 3 2" xfId="42618" xr:uid="{00000000-0005-0000-0000-000030700000}"/>
    <cellStyle name="Normal 2 3 4 18 2 2 4" xfId="12029" xr:uid="{00000000-0005-0000-0000-000031700000}"/>
    <cellStyle name="Normal 2 3 4 18 2 2 4 2" xfId="42619" xr:uid="{00000000-0005-0000-0000-000032700000}"/>
    <cellStyle name="Normal 2 3 4 18 2 2 5" xfId="12030" xr:uid="{00000000-0005-0000-0000-000033700000}"/>
    <cellStyle name="Normal 2 3 4 18 2 2 5 2" xfId="42620" xr:uid="{00000000-0005-0000-0000-000034700000}"/>
    <cellStyle name="Normal 2 3 4 18 2 2 6" xfId="42621" xr:uid="{00000000-0005-0000-0000-000035700000}"/>
    <cellStyle name="Normal 2 3 4 18 2 2 6 2" xfId="42622" xr:uid="{00000000-0005-0000-0000-000036700000}"/>
    <cellStyle name="Normal 2 3 4 18 2 2 7" xfId="42623" xr:uid="{00000000-0005-0000-0000-000037700000}"/>
    <cellStyle name="Normal 2 3 4 18 2 3" xfId="12031" xr:uid="{00000000-0005-0000-0000-000038700000}"/>
    <cellStyle name="Normal 2 3 4 18 2 3 2" xfId="12032" xr:uid="{00000000-0005-0000-0000-000039700000}"/>
    <cellStyle name="Normal 2 3 4 18 2 3 2 2" xfId="42624" xr:uid="{00000000-0005-0000-0000-00003A700000}"/>
    <cellStyle name="Normal 2 3 4 18 2 3 3" xfId="12033" xr:uid="{00000000-0005-0000-0000-00003B700000}"/>
    <cellStyle name="Normal 2 3 4 18 2 3 3 2" xfId="42625" xr:uid="{00000000-0005-0000-0000-00003C700000}"/>
    <cellStyle name="Normal 2 3 4 18 2 3 4" xfId="42626" xr:uid="{00000000-0005-0000-0000-00003D700000}"/>
    <cellStyle name="Normal 2 3 4 18 2 4" xfId="12034" xr:uid="{00000000-0005-0000-0000-00003E700000}"/>
    <cellStyle name="Normal 2 3 4 18 2 4 2" xfId="12035" xr:uid="{00000000-0005-0000-0000-00003F700000}"/>
    <cellStyle name="Normal 2 3 4 18 2 4 2 2" xfId="42627" xr:uid="{00000000-0005-0000-0000-000040700000}"/>
    <cellStyle name="Normal 2 3 4 18 2 4 3" xfId="42628" xr:uid="{00000000-0005-0000-0000-000041700000}"/>
    <cellStyle name="Normal 2 3 4 18 2 5" xfId="12036" xr:uid="{00000000-0005-0000-0000-000042700000}"/>
    <cellStyle name="Normal 2 3 4 18 2 5 2" xfId="42629" xr:uid="{00000000-0005-0000-0000-000043700000}"/>
    <cellStyle name="Normal 2 3 4 18 2 6" xfId="12037" xr:uid="{00000000-0005-0000-0000-000044700000}"/>
    <cellStyle name="Normal 2 3 4 18 2 6 2" xfId="42630" xr:uid="{00000000-0005-0000-0000-000045700000}"/>
    <cellStyle name="Normal 2 3 4 18 2 7" xfId="42631" xr:uid="{00000000-0005-0000-0000-000046700000}"/>
    <cellStyle name="Normal 2 3 4 18 2 7 2" xfId="42632" xr:uid="{00000000-0005-0000-0000-000047700000}"/>
    <cellStyle name="Normal 2 3 4 18 2 8" xfId="42633" xr:uid="{00000000-0005-0000-0000-000048700000}"/>
    <cellStyle name="Normal 2 3 4 18 2 9" xfId="42634" xr:uid="{00000000-0005-0000-0000-000049700000}"/>
    <cellStyle name="Normal 2 3 4 18 3" xfId="12038" xr:uid="{00000000-0005-0000-0000-00004A700000}"/>
    <cellStyle name="Normal 2 3 4 18 3 2" xfId="12039" xr:uid="{00000000-0005-0000-0000-00004B700000}"/>
    <cellStyle name="Normal 2 3 4 18 3 2 2" xfId="12040" xr:uid="{00000000-0005-0000-0000-00004C700000}"/>
    <cellStyle name="Normal 2 3 4 18 3 2 2 2" xfId="42635" xr:uid="{00000000-0005-0000-0000-00004D700000}"/>
    <cellStyle name="Normal 2 3 4 18 3 2 3" xfId="12041" xr:uid="{00000000-0005-0000-0000-00004E700000}"/>
    <cellStyle name="Normal 2 3 4 18 3 2 3 2" xfId="42636" xr:uid="{00000000-0005-0000-0000-00004F700000}"/>
    <cellStyle name="Normal 2 3 4 18 3 2 4" xfId="42637" xr:uid="{00000000-0005-0000-0000-000050700000}"/>
    <cellStyle name="Normal 2 3 4 18 3 3" xfId="12042" xr:uid="{00000000-0005-0000-0000-000051700000}"/>
    <cellStyle name="Normal 2 3 4 18 3 3 2" xfId="42638" xr:uid="{00000000-0005-0000-0000-000052700000}"/>
    <cellStyle name="Normal 2 3 4 18 3 4" xfId="12043" xr:uid="{00000000-0005-0000-0000-000053700000}"/>
    <cellStyle name="Normal 2 3 4 18 3 4 2" xfId="42639" xr:uid="{00000000-0005-0000-0000-000054700000}"/>
    <cellStyle name="Normal 2 3 4 18 3 5" xfId="12044" xr:uid="{00000000-0005-0000-0000-000055700000}"/>
    <cellStyle name="Normal 2 3 4 18 3 5 2" xfId="42640" xr:uid="{00000000-0005-0000-0000-000056700000}"/>
    <cellStyle name="Normal 2 3 4 18 3 6" xfId="42641" xr:uid="{00000000-0005-0000-0000-000057700000}"/>
    <cellStyle name="Normal 2 3 4 18 3 6 2" xfId="42642" xr:uid="{00000000-0005-0000-0000-000058700000}"/>
    <cellStyle name="Normal 2 3 4 18 3 7" xfId="42643" xr:uid="{00000000-0005-0000-0000-000059700000}"/>
    <cellStyle name="Normal 2 3 4 18 4" xfId="12045" xr:uid="{00000000-0005-0000-0000-00005A700000}"/>
    <cellStyle name="Normal 2 3 4 18 4 2" xfId="12046" xr:uid="{00000000-0005-0000-0000-00005B700000}"/>
    <cellStyle name="Normal 2 3 4 18 4 2 2" xfId="42644" xr:uid="{00000000-0005-0000-0000-00005C700000}"/>
    <cellStyle name="Normal 2 3 4 18 4 3" xfId="12047" xr:uid="{00000000-0005-0000-0000-00005D700000}"/>
    <cellStyle name="Normal 2 3 4 18 4 3 2" xfId="42645" xr:uid="{00000000-0005-0000-0000-00005E700000}"/>
    <cellStyle name="Normal 2 3 4 18 4 4" xfId="42646" xr:uid="{00000000-0005-0000-0000-00005F700000}"/>
    <cellStyle name="Normal 2 3 4 18 5" xfId="12048" xr:uid="{00000000-0005-0000-0000-000060700000}"/>
    <cellStyle name="Normal 2 3 4 18 5 2" xfId="12049" xr:uid="{00000000-0005-0000-0000-000061700000}"/>
    <cellStyle name="Normal 2 3 4 18 5 2 2" xfId="42647" xr:uid="{00000000-0005-0000-0000-000062700000}"/>
    <cellStyle name="Normal 2 3 4 18 5 3" xfId="42648" xr:uid="{00000000-0005-0000-0000-000063700000}"/>
    <cellStyle name="Normal 2 3 4 18 6" xfId="12050" xr:uid="{00000000-0005-0000-0000-000064700000}"/>
    <cellStyle name="Normal 2 3 4 18 6 2" xfId="42649" xr:uid="{00000000-0005-0000-0000-000065700000}"/>
    <cellStyle name="Normal 2 3 4 18 7" xfId="12051" xr:uid="{00000000-0005-0000-0000-000066700000}"/>
    <cellStyle name="Normal 2 3 4 18 7 2" xfId="42650" xr:uid="{00000000-0005-0000-0000-000067700000}"/>
    <cellStyle name="Normal 2 3 4 18 8" xfId="42651" xr:uid="{00000000-0005-0000-0000-000068700000}"/>
    <cellStyle name="Normal 2 3 4 18 8 2" xfId="42652" xr:uid="{00000000-0005-0000-0000-000069700000}"/>
    <cellStyle name="Normal 2 3 4 18 9" xfId="42653" xr:uid="{00000000-0005-0000-0000-00006A700000}"/>
    <cellStyle name="Normal 2 3 4 19" xfId="12052" xr:uid="{00000000-0005-0000-0000-00006B700000}"/>
    <cellStyle name="Normal 2 3 4 19 10" xfId="42654" xr:uid="{00000000-0005-0000-0000-00006C700000}"/>
    <cellStyle name="Normal 2 3 4 19 11" xfId="42655" xr:uid="{00000000-0005-0000-0000-00006D700000}"/>
    <cellStyle name="Normal 2 3 4 19 2" xfId="12053" xr:uid="{00000000-0005-0000-0000-00006E700000}"/>
    <cellStyle name="Normal 2 3 4 19 2 10" xfId="42656" xr:uid="{00000000-0005-0000-0000-00006F700000}"/>
    <cellStyle name="Normal 2 3 4 19 2 2" xfId="12054" xr:uid="{00000000-0005-0000-0000-000070700000}"/>
    <cellStyle name="Normal 2 3 4 19 2 2 2" xfId="12055" xr:uid="{00000000-0005-0000-0000-000071700000}"/>
    <cellStyle name="Normal 2 3 4 19 2 2 2 2" xfId="12056" xr:uid="{00000000-0005-0000-0000-000072700000}"/>
    <cellStyle name="Normal 2 3 4 19 2 2 2 2 2" xfId="42657" xr:uid="{00000000-0005-0000-0000-000073700000}"/>
    <cellStyle name="Normal 2 3 4 19 2 2 2 3" xfId="12057" xr:uid="{00000000-0005-0000-0000-000074700000}"/>
    <cellStyle name="Normal 2 3 4 19 2 2 2 3 2" xfId="42658" xr:uid="{00000000-0005-0000-0000-000075700000}"/>
    <cellStyle name="Normal 2 3 4 19 2 2 2 4" xfId="42659" xr:uid="{00000000-0005-0000-0000-000076700000}"/>
    <cellStyle name="Normal 2 3 4 19 2 2 3" xfId="12058" xr:uid="{00000000-0005-0000-0000-000077700000}"/>
    <cellStyle name="Normal 2 3 4 19 2 2 3 2" xfId="42660" xr:uid="{00000000-0005-0000-0000-000078700000}"/>
    <cellStyle name="Normal 2 3 4 19 2 2 4" xfId="12059" xr:uid="{00000000-0005-0000-0000-000079700000}"/>
    <cellStyle name="Normal 2 3 4 19 2 2 4 2" xfId="42661" xr:uid="{00000000-0005-0000-0000-00007A700000}"/>
    <cellStyle name="Normal 2 3 4 19 2 2 5" xfId="12060" xr:uid="{00000000-0005-0000-0000-00007B700000}"/>
    <cellStyle name="Normal 2 3 4 19 2 2 5 2" xfId="42662" xr:uid="{00000000-0005-0000-0000-00007C700000}"/>
    <cellStyle name="Normal 2 3 4 19 2 2 6" xfId="42663" xr:uid="{00000000-0005-0000-0000-00007D700000}"/>
    <cellStyle name="Normal 2 3 4 19 2 2 6 2" xfId="42664" xr:uid="{00000000-0005-0000-0000-00007E700000}"/>
    <cellStyle name="Normal 2 3 4 19 2 2 7" xfId="42665" xr:uid="{00000000-0005-0000-0000-00007F700000}"/>
    <cellStyle name="Normal 2 3 4 19 2 3" xfId="12061" xr:uid="{00000000-0005-0000-0000-000080700000}"/>
    <cellStyle name="Normal 2 3 4 19 2 3 2" xfId="12062" xr:uid="{00000000-0005-0000-0000-000081700000}"/>
    <cellStyle name="Normal 2 3 4 19 2 3 2 2" xfId="42666" xr:uid="{00000000-0005-0000-0000-000082700000}"/>
    <cellStyle name="Normal 2 3 4 19 2 3 3" xfId="12063" xr:uid="{00000000-0005-0000-0000-000083700000}"/>
    <cellStyle name="Normal 2 3 4 19 2 3 3 2" xfId="42667" xr:uid="{00000000-0005-0000-0000-000084700000}"/>
    <cellStyle name="Normal 2 3 4 19 2 3 4" xfId="42668" xr:uid="{00000000-0005-0000-0000-000085700000}"/>
    <cellStyle name="Normal 2 3 4 19 2 4" xfId="12064" xr:uid="{00000000-0005-0000-0000-000086700000}"/>
    <cellStyle name="Normal 2 3 4 19 2 4 2" xfId="12065" xr:uid="{00000000-0005-0000-0000-000087700000}"/>
    <cellStyle name="Normal 2 3 4 19 2 4 2 2" xfId="42669" xr:uid="{00000000-0005-0000-0000-000088700000}"/>
    <cellStyle name="Normal 2 3 4 19 2 4 3" xfId="42670" xr:uid="{00000000-0005-0000-0000-000089700000}"/>
    <cellStyle name="Normal 2 3 4 19 2 5" xfId="12066" xr:uid="{00000000-0005-0000-0000-00008A700000}"/>
    <cellStyle name="Normal 2 3 4 19 2 5 2" xfId="42671" xr:uid="{00000000-0005-0000-0000-00008B700000}"/>
    <cellStyle name="Normal 2 3 4 19 2 6" xfId="12067" xr:uid="{00000000-0005-0000-0000-00008C700000}"/>
    <cellStyle name="Normal 2 3 4 19 2 6 2" xfId="42672" xr:uid="{00000000-0005-0000-0000-00008D700000}"/>
    <cellStyle name="Normal 2 3 4 19 2 7" xfId="42673" xr:uid="{00000000-0005-0000-0000-00008E700000}"/>
    <cellStyle name="Normal 2 3 4 19 2 7 2" xfId="42674" xr:uid="{00000000-0005-0000-0000-00008F700000}"/>
    <cellStyle name="Normal 2 3 4 19 2 8" xfId="42675" xr:uid="{00000000-0005-0000-0000-000090700000}"/>
    <cellStyle name="Normal 2 3 4 19 2 9" xfId="42676" xr:uid="{00000000-0005-0000-0000-000091700000}"/>
    <cellStyle name="Normal 2 3 4 19 3" xfId="12068" xr:uid="{00000000-0005-0000-0000-000092700000}"/>
    <cellStyle name="Normal 2 3 4 19 3 2" xfId="12069" xr:uid="{00000000-0005-0000-0000-000093700000}"/>
    <cellStyle name="Normal 2 3 4 19 3 2 2" xfId="12070" xr:uid="{00000000-0005-0000-0000-000094700000}"/>
    <cellStyle name="Normal 2 3 4 19 3 2 2 2" xfId="42677" xr:uid="{00000000-0005-0000-0000-000095700000}"/>
    <cellStyle name="Normal 2 3 4 19 3 2 3" xfId="12071" xr:uid="{00000000-0005-0000-0000-000096700000}"/>
    <cellStyle name="Normal 2 3 4 19 3 2 3 2" xfId="42678" xr:uid="{00000000-0005-0000-0000-000097700000}"/>
    <cellStyle name="Normal 2 3 4 19 3 2 4" xfId="42679" xr:uid="{00000000-0005-0000-0000-000098700000}"/>
    <cellStyle name="Normal 2 3 4 19 3 3" xfId="12072" xr:uid="{00000000-0005-0000-0000-000099700000}"/>
    <cellStyle name="Normal 2 3 4 19 3 3 2" xfId="42680" xr:uid="{00000000-0005-0000-0000-00009A700000}"/>
    <cellStyle name="Normal 2 3 4 19 3 4" xfId="12073" xr:uid="{00000000-0005-0000-0000-00009B700000}"/>
    <cellStyle name="Normal 2 3 4 19 3 4 2" xfId="42681" xr:uid="{00000000-0005-0000-0000-00009C700000}"/>
    <cellStyle name="Normal 2 3 4 19 3 5" xfId="12074" xr:uid="{00000000-0005-0000-0000-00009D700000}"/>
    <cellStyle name="Normal 2 3 4 19 3 5 2" xfId="42682" xr:uid="{00000000-0005-0000-0000-00009E700000}"/>
    <cellStyle name="Normal 2 3 4 19 3 6" xfId="42683" xr:uid="{00000000-0005-0000-0000-00009F700000}"/>
    <cellStyle name="Normal 2 3 4 19 3 6 2" xfId="42684" xr:uid="{00000000-0005-0000-0000-0000A0700000}"/>
    <cellStyle name="Normal 2 3 4 19 3 7" xfId="42685" xr:uid="{00000000-0005-0000-0000-0000A1700000}"/>
    <cellStyle name="Normal 2 3 4 19 4" xfId="12075" xr:uid="{00000000-0005-0000-0000-0000A2700000}"/>
    <cellStyle name="Normal 2 3 4 19 4 2" xfId="12076" xr:uid="{00000000-0005-0000-0000-0000A3700000}"/>
    <cellStyle name="Normal 2 3 4 19 4 2 2" xfId="42686" xr:uid="{00000000-0005-0000-0000-0000A4700000}"/>
    <cellStyle name="Normal 2 3 4 19 4 3" xfId="12077" xr:uid="{00000000-0005-0000-0000-0000A5700000}"/>
    <cellStyle name="Normal 2 3 4 19 4 3 2" xfId="42687" xr:uid="{00000000-0005-0000-0000-0000A6700000}"/>
    <cellStyle name="Normal 2 3 4 19 4 4" xfId="42688" xr:uid="{00000000-0005-0000-0000-0000A7700000}"/>
    <cellStyle name="Normal 2 3 4 19 5" xfId="12078" xr:uid="{00000000-0005-0000-0000-0000A8700000}"/>
    <cellStyle name="Normal 2 3 4 19 5 2" xfId="12079" xr:uid="{00000000-0005-0000-0000-0000A9700000}"/>
    <cellStyle name="Normal 2 3 4 19 5 2 2" xfId="42689" xr:uid="{00000000-0005-0000-0000-0000AA700000}"/>
    <cellStyle name="Normal 2 3 4 19 5 3" xfId="42690" xr:uid="{00000000-0005-0000-0000-0000AB700000}"/>
    <cellStyle name="Normal 2 3 4 19 6" xfId="12080" xr:uid="{00000000-0005-0000-0000-0000AC700000}"/>
    <cellStyle name="Normal 2 3 4 19 6 2" xfId="42691" xr:uid="{00000000-0005-0000-0000-0000AD700000}"/>
    <cellStyle name="Normal 2 3 4 19 7" xfId="12081" xr:uid="{00000000-0005-0000-0000-0000AE700000}"/>
    <cellStyle name="Normal 2 3 4 19 7 2" xfId="42692" xr:uid="{00000000-0005-0000-0000-0000AF700000}"/>
    <cellStyle name="Normal 2 3 4 19 8" xfId="42693" xr:uid="{00000000-0005-0000-0000-0000B0700000}"/>
    <cellStyle name="Normal 2 3 4 19 8 2" xfId="42694" xr:uid="{00000000-0005-0000-0000-0000B1700000}"/>
    <cellStyle name="Normal 2 3 4 19 9" xfId="42695" xr:uid="{00000000-0005-0000-0000-0000B2700000}"/>
    <cellStyle name="Normal 2 3 4 2" xfId="12082" xr:uid="{00000000-0005-0000-0000-0000B3700000}"/>
    <cellStyle name="Normal 2 3 4 2 10" xfId="42696" xr:uid="{00000000-0005-0000-0000-0000B4700000}"/>
    <cellStyle name="Normal 2 3 4 2 11" xfId="42697" xr:uid="{00000000-0005-0000-0000-0000B5700000}"/>
    <cellStyle name="Normal 2 3 4 2 2" xfId="12083" xr:uid="{00000000-0005-0000-0000-0000B6700000}"/>
    <cellStyle name="Normal 2 3 4 2 2 10" xfId="42698" xr:uid="{00000000-0005-0000-0000-0000B7700000}"/>
    <cellStyle name="Normal 2 3 4 2 2 2" xfId="12084" xr:uid="{00000000-0005-0000-0000-0000B8700000}"/>
    <cellStyle name="Normal 2 3 4 2 2 2 2" xfId="12085" xr:uid="{00000000-0005-0000-0000-0000B9700000}"/>
    <cellStyle name="Normal 2 3 4 2 2 2 2 2" xfId="12086" xr:uid="{00000000-0005-0000-0000-0000BA700000}"/>
    <cellStyle name="Normal 2 3 4 2 2 2 2 2 2" xfId="42699" xr:uid="{00000000-0005-0000-0000-0000BB700000}"/>
    <cellStyle name="Normal 2 3 4 2 2 2 2 3" xfId="12087" xr:uid="{00000000-0005-0000-0000-0000BC700000}"/>
    <cellStyle name="Normal 2 3 4 2 2 2 2 3 2" xfId="42700" xr:uid="{00000000-0005-0000-0000-0000BD700000}"/>
    <cellStyle name="Normal 2 3 4 2 2 2 2 4" xfId="42701" xr:uid="{00000000-0005-0000-0000-0000BE700000}"/>
    <cellStyle name="Normal 2 3 4 2 2 2 3" xfId="12088" xr:uid="{00000000-0005-0000-0000-0000BF700000}"/>
    <cellStyle name="Normal 2 3 4 2 2 2 3 2" xfId="42702" xr:uid="{00000000-0005-0000-0000-0000C0700000}"/>
    <cellStyle name="Normal 2 3 4 2 2 2 4" xfId="12089" xr:uid="{00000000-0005-0000-0000-0000C1700000}"/>
    <cellStyle name="Normal 2 3 4 2 2 2 4 2" xfId="42703" xr:uid="{00000000-0005-0000-0000-0000C2700000}"/>
    <cellStyle name="Normal 2 3 4 2 2 2 5" xfId="12090" xr:uid="{00000000-0005-0000-0000-0000C3700000}"/>
    <cellStyle name="Normal 2 3 4 2 2 2 5 2" xfId="42704" xr:uid="{00000000-0005-0000-0000-0000C4700000}"/>
    <cellStyle name="Normal 2 3 4 2 2 2 6" xfId="42705" xr:uid="{00000000-0005-0000-0000-0000C5700000}"/>
    <cellStyle name="Normal 2 3 4 2 2 2 6 2" xfId="42706" xr:uid="{00000000-0005-0000-0000-0000C6700000}"/>
    <cellStyle name="Normal 2 3 4 2 2 2 7" xfId="42707" xr:uid="{00000000-0005-0000-0000-0000C7700000}"/>
    <cellStyle name="Normal 2 3 4 2 2 3" xfId="12091" xr:uid="{00000000-0005-0000-0000-0000C8700000}"/>
    <cellStyle name="Normal 2 3 4 2 2 3 2" xfId="12092" xr:uid="{00000000-0005-0000-0000-0000C9700000}"/>
    <cellStyle name="Normal 2 3 4 2 2 3 2 2" xfId="42708" xr:uid="{00000000-0005-0000-0000-0000CA700000}"/>
    <cellStyle name="Normal 2 3 4 2 2 3 3" xfId="12093" xr:uid="{00000000-0005-0000-0000-0000CB700000}"/>
    <cellStyle name="Normal 2 3 4 2 2 3 3 2" xfId="42709" xr:uid="{00000000-0005-0000-0000-0000CC700000}"/>
    <cellStyle name="Normal 2 3 4 2 2 3 4" xfId="42710" xr:uid="{00000000-0005-0000-0000-0000CD700000}"/>
    <cellStyle name="Normal 2 3 4 2 2 4" xfId="12094" xr:uid="{00000000-0005-0000-0000-0000CE700000}"/>
    <cellStyle name="Normal 2 3 4 2 2 4 2" xfId="12095" xr:uid="{00000000-0005-0000-0000-0000CF700000}"/>
    <cellStyle name="Normal 2 3 4 2 2 4 2 2" xfId="42711" xr:uid="{00000000-0005-0000-0000-0000D0700000}"/>
    <cellStyle name="Normal 2 3 4 2 2 4 3" xfId="42712" xr:uid="{00000000-0005-0000-0000-0000D1700000}"/>
    <cellStyle name="Normal 2 3 4 2 2 5" xfId="12096" xr:uid="{00000000-0005-0000-0000-0000D2700000}"/>
    <cellStyle name="Normal 2 3 4 2 2 5 2" xfId="42713" xr:uid="{00000000-0005-0000-0000-0000D3700000}"/>
    <cellStyle name="Normal 2 3 4 2 2 6" xfId="12097" xr:uid="{00000000-0005-0000-0000-0000D4700000}"/>
    <cellStyle name="Normal 2 3 4 2 2 6 2" xfId="42714" xr:uid="{00000000-0005-0000-0000-0000D5700000}"/>
    <cellStyle name="Normal 2 3 4 2 2 7" xfId="42715" xr:uid="{00000000-0005-0000-0000-0000D6700000}"/>
    <cellStyle name="Normal 2 3 4 2 2 7 2" xfId="42716" xr:uid="{00000000-0005-0000-0000-0000D7700000}"/>
    <cellStyle name="Normal 2 3 4 2 2 8" xfId="42717" xr:uid="{00000000-0005-0000-0000-0000D8700000}"/>
    <cellStyle name="Normal 2 3 4 2 2 9" xfId="42718" xr:uid="{00000000-0005-0000-0000-0000D9700000}"/>
    <cellStyle name="Normal 2 3 4 2 3" xfId="12098" xr:uid="{00000000-0005-0000-0000-0000DA700000}"/>
    <cellStyle name="Normal 2 3 4 2 3 2" xfId="12099" xr:uid="{00000000-0005-0000-0000-0000DB700000}"/>
    <cellStyle name="Normal 2 3 4 2 3 2 2" xfId="12100" xr:uid="{00000000-0005-0000-0000-0000DC700000}"/>
    <cellStyle name="Normal 2 3 4 2 3 2 2 2" xfId="42719" xr:uid="{00000000-0005-0000-0000-0000DD700000}"/>
    <cellStyle name="Normal 2 3 4 2 3 2 3" xfId="12101" xr:uid="{00000000-0005-0000-0000-0000DE700000}"/>
    <cellStyle name="Normal 2 3 4 2 3 2 3 2" xfId="42720" xr:uid="{00000000-0005-0000-0000-0000DF700000}"/>
    <cellStyle name="Normal 2 3 4 2 3 2 4" xfId="42721" xr:uid="{00000000-0005-0000-0000-0000E0700000}"/>
    <cellStyle name="Normal 2 3 4 2 3 3" xfId="12102" xr:uid="{00000000-0005-0000-0000-0000E1700000}"/>
    <cellStyle name="Normal 2 3 4 2 3 3 2" xfId="42722" xr:uid="{00000000-0005-0000-0000-0000E2700000}"/>
    <cellStyle name="Normal 2 3 4 2 3 4" xfId="12103" xr:uid="{00000000-0005-0000-0000-0000E3700000}"/>
    <cellStyle name="Normal 2 3 4 2 3 4 2" xfId="42723" xr:uid="{00000000-0005-0000-0000-0000E4700000}"/>
    <cellStyle name="Normal 2 3 4 2 3 5" xfId="12104" xr:uid="{00000000-0005-0000-0000-0000E5700000}"/>
    <cellStyle name="Normal 2 3 4 2 3 5 2" xfId="42724" xr:uid="{00000000-0005-0000-0000-0000E6700000}"/>
    <cellStyle name="Normal 2 3 4 2 3 6" xfId="42725" xr:uid="{00000000-0005-0000-0000-0000E7700000}"/>
    <cellStyle name="Normal 2 3 4 2 3 6 2" xfId="42726" xr:uid="{00000000-0005-0000-0000-0000E8700000}"/>
    <cellStyle name="Normal 2 3 4 2 3 7" xfId="42727" xr:uid="{00000000-0005-0000-0000-0000E9700000}"/>
    <cellStyle name="Normal 2 3 4 2 4" xfId="12105" xr:uid="{00000000-0005-0000-0000-0000EA700000}"/>
    <cellStyle name="Normal 2 3 4 2 4 2" xfId="12106" xr:uid="{00000000-0005-0000-0000-0000EB700000}"/>
    <cellStyle name="Normal 2 3 4 2 4 2 2" xfId="42728" xr:uid="{00000000-0005-0000-0000-0000EC700000}"/>
    <cellStyle name="Normal 2 3 4 2 4 3" xfId="12107" xr:uid="{00000000-0005-0000-0000-0000ED700000}"/>
    <cellStyle name="Normal 2 3 4 2 4 3 2" xfId="42729" xr:uid="{00000000-0005-0000-0000-0000EE700000}"/>
    <cellStyle name="Normal 2 3 4 2 4 4" xfId="42730" xr:uid="{00000000-0005-0000-0000-0000EF700000}"/>
    <cellStyle name="Normal 2 3 4 2 5" xfId="12108" xr:uid="{00000000-0005-0000-0000-0000F0700000}"/>
    <cellStyle name="Normal 2 3 4 2 5 2" xfId="12109" xr:uid="{00000000-0005-0000-0000-0000F1700000}"/>
    <cellStyle name="Normal 2 3 4 2 5 2 2" xfId="42731" xr:uid="{00000000-0005-0000-0000-0000F2700000}"/>
    <cellStyle name="Normal 2 3 4 2 5 3" xfId="42732" xr:uid="{00000000-0005-0000-0000-0000F3700000}"/>
    <cellStyle name="Normal 2 3 4 2 6" xfId="12110" xr:uid="{00000000-0005-0000-0000-0000F4700000}"/>
    <cellStyle name="Normal 2 3 4 2 6 2" xfId="42733" xr:uid="{00000000-0005-0000-0000-0000F5700000}"/>
    <cellStyle name="Normal 2 3 4 2 7" xfId="12111" xr:uid="{00000000-0005-0000-0000-0000F6700000}"/>
    <cellStyle name="Normal 2 3 4 2 7 2" xfId="42734" xr:uid="{00000000-0005-0000-0000-0000F7700000}"/>
    <cellStyle name="Normal 2 3 4 2 8" xfId="42735" xr:uid="{00000000-0005-0000-0000-0000F8700000}"/>
    <cellStyle name="Normal 2 3 4 2 8 2" xfId="42736" xr:uid="{00000000-0005-0000-0000-0000F9700000}"/>
    <cellStyle name="Normal 2 3 4 2 9" xfId="42737" xr:uid="{00000000-0005-0000-0000-0000FA700000}"/>
    <cellStyle name="Normal 2 3 4 20" xfId="12112" xr:uid="{00000000-0005-0000-0000-0000FB700000}"/>
    <cellStyle name="Normal 2 3 4 20 10" xfId="42738" xr:uid="{00000000-0005-0000-0000-0000FC700000}"/>
    <cellStyle name="Normal 2 3 4 20 11" xfId="42739" xr:uid="{00000000-0005-0000-0000-0000FD700000}"/>
    <cellStyle name="Normal 2 3 4 20 2" xfId="12113" xr:uid="{00000000-0005-0000-0000-0000FE700000}"/>
    <cellStyle name="Normal 2 3 4 20 2 10" xfId="42740" xr:uid="{00000000-0005-0000-0000-0000FF700000}"/>
    <cellStyle name="Normal 2 3 4 20 2 2" xfId="12114" xr:uid="{00000000-0005-0000-0000-000000710000}"/>
    <cellStyle name="Normal 2 3 4 20 2 2 2" xfId="12115" xr:uid="{00000000-0005-0000-0000-000001710000}"/>
    <cellStyle name="Normal 2 3 4 20 2 2 2 2" xfId="12116" xr:uid="{00000000-0005-0000-0000-000002710000}"/>
    <cellStyle name="Normal 2 3 4 20 2 2 2 2 2" xfId="42741" xr:uid="{00000000-0005-0000-0000-000003710000}"/>
    <cellStyle name="Normal 2 3 4 20 2 2 2 3" xfId="12117" xr:uid="{00000000-0005-0000-0000-000004710000}"/>
    <cellStyle name="Normal 2 3 4 20 2 2 2 3 2" xfId="42742" xr:uid="{00000000-0005-0000-0000-000005710000}"/>
    <cellStyle name="Normal 2 3 4 20 2 2 2 4" xfId="42743" xr:uid="{00000000-0005-0000-0000-000006710000}"/>
    <cellStyle name="Normal 2 3 4 20 2 2 3" xfId="12118" xr:uid="{00000000-0005-0000-0000-000007710000}"/>
    <cellStyle name="Normal 2 3 4 20 2 2 3 2" xfId="42744" xr:uid="{00000000-0005-0000-0000-000008710000}"/>
    <cellStyle name="Normal 2 3 4 20 2 2 4" xfId="12119" xr:uid="{00000000-0005-0000-0000-000009710000}"/>
    <cellStyle name="Normal 2 3 4 20 2 2 4 2" xfId="42745" xr:uid="{00000000-0005-0000-0000-00000A710000}"/>
    <cellStyle name="Normal 2 3 4 20 2 2 5" xfId="12120" xr:uid="{00000000-0005-0000-0000-00000B710000}"/>
    <cellStyle name="Normal 2 3 4 20 2 2 5 2" xfId="42746" xr:uid="{00000000-0005-0000-0000-00000C710000}"/>
    <cellStyle name="Normal 2 3 4 20 2 2 6" xfId="42747" xr:uid="{00000000-0005-0000-0000-00000D710000}"/>
    <cellStyle name="Normal 2 3 4 20 2 2 6 2" xfId="42748" xr:uid="{00000000-0005-0000-0000-00000E710000}"/>
    <cellStyle name="Normal 2 3 4 20 2 2 7" xfId="42749" xr:uid="{00000000-0005-0000-0000-00000F710000}"/>
    <cellStyle name="Normal 2 3 4 20 2 3" xfId="12121" xr:uid="{00000000-0005-0000-0000-000010710000}"/>
    <cellStyle name="Normal 2 3 4 20 2 3 2" xfId="12122" xr:uid="{00000000-0005-0000-0000-000011710000}"/>
    <cellStyle name="Normal 2 3 4 20 2 3 2 2" xfId="42750" xr:uid="{00000000-0005-0000-0000-000012710000}"/>
    <cellStyle name="Normal 2 3 4 20 2 3 3" xfId="12123" xr:uid="{00000000-0005-0000-0000-000013710000}"/>
    <cellStyle name="Normal 2 3 4 20 2 3 3 2" xfId="42751" xr:uid="{00000000-0005-0000-0000-000014710000}"/>
    <cellStyle name="Normal 2 3 4 20 2 3 4" xfId="42752" xr:uid="{00000000-0005-0000-0000-000015710000}"/>
    <cellStyle name="Normal 2 3 4 20 2 4" xfId="12124" xr:uid="{00000000-0005-0000-0000-000016710000}"/>
    <cellStyle name="Normal 2 3 4 20 2 4 2" xfId="12125" xr:uid="{00000000-0005-0000-0000-000017710000}"/>
    <cellStyle name="Normal 2 3 4 20 2 4 2 2" xfId="42753" xr:uid="{00000000-0005-0000-0000-000018710000}"/>
    <cellStyle name="Normal 2 3 4 20 2 4 3" xfId="42754" xr:uid="{00000000-0005-0000-0000-000019710000}"/>
    <cellStyle name="Normal 2 3 4 20 2 5" xfId="12126" xr:uid="{00000000-0005-0000-0000-00001A710000}"/>
    <cellStyle name="Normal 2 3 4 20 2 5 2" xfId="42755" xr:uid="{00000000-0005-0000-0000-00001B710000}"/>
    <cellStyle name="Normal 2 3 4 20 2 6" xfId="12127" xr:uid="{00000000-0005-0000-0000-00001C710000}"/>
    <cellStyle name="Normal 2 3 4 20 2 6 2" xfId="42756" xr:uid="{00000000-0005-0000-0000-00001D710000}"/>
    <cellStyle name="Normal 2 3 4 20 2 7" xfId="42757" xr:uid="{00000000-0005-0000-0000-00001E710000}"/>
    <cellStyle name="Normal 2 3 4 20 2 7 2" xfId="42758" xr:uid="{00000000-0005-0000-0000-00001F710000}"/>
    <cellStyle name="Normal 2 3 4 20 2 8" xfId="42759" xr:uid="{00000000-0005-0000-0000-000020710000}"/>
    <cellStyle name="Normal 2 3 4 20 2 9" xfId="42760" xr:uid="{00000000-0005-0000-0000-000021710000}"/>
    <cellStyle name="Normal 2 3 4 20 3" xfId="12128" xr:uid="{00000000-0005-0000-0000-000022710000}"/>
    <cellStyle name="Normal 2 3 4 20 3 2" xfId="12129" xr:uid="{00000000-0005-0000-0000-000023710000}"/>
    <cellStyle name="Normal 2 3 4 20 3 2 2" xfId="12130" xr:uid="{00000000-0005-0000-0000-000024710000}"/>
    <cellStyle name="Normal 2 3 4 20 3 2 2 2" xfId="42761" xr:uid="{00000000-0005-0000-0000-000025710000}"/>
    <cellStyle name="Normal 2 3 4 20 3 2 3" xfId="12131" xr:uid="{00000000-0005-0000-0000-000026710000}"/>
    <cellStyle name="Normal 2 3 4 20 3 2 3 2" xfId="42762" xr:uid="{00000000-0005-0000-0000-000027710000}"/>
    <cellStyle name="Normal 2 3 4 20 3 2 4" xfId="42763" xr:uid="{00000000-0005-0000-0000-000028710000}"/>
    <cellStyle name="Normal 2 3 4 20 3 3" xfId="12132" xr:uid="{00000000-0005-0000-0000-000029710000}"/>
    <cellStyle name="Normal 2 3 4 20 3 3 2" xfId="42764" xr:uid="{00000000-0005-0000-0000-00002A710000}"/>
    <cellStyle name="Normal 2 3 4 20 3 4" xfId="12133" xr:uid="{00000000-0005-0000-0000-00002B710000}"/>
    <cellStyle name="Normal 2 3 4 20 3 4 2" xfId="42765" xr:uid="{00000000-0005-0000-0000-00002C710000}"/>
    <cellStyle name="Normal 2 3 4 20 3 5" xfId="12134" xr:uid="{00000000-0005-0000-0000-00002D710000}"/>
    <cellStyle name="Normal 2 3 4 20 3 5 2" xfId="42766" xr:uid="{00000000-0005-0000-0000-00002E710000}"/>
    <cellStyle name="Normal 2 3 4 20 3 6" xfId="42767" xr:uid="{00000000-0005-0000-0000-00002F710000}"/>
    <cellStyle name="Normal 2 3 4 20 3 6 2" xfId="42768" xr:uid="{00000000-0005-0000-0000-000030710000}"/>
    <cellStyle name="Normal 2 3 4 20 3 7" xfId="42769" xr:uid="{00000000-0005-0000-0000-000031710000}"/>
    <cellStyle name="Normal 2 3 4 20 4" xfId="12135" xr:uid="{00000000-0005-0000-0000-000032710000}"/>
    <cellStyle name="Normal 2 3 4 20 4 2" xfId="12136" xr:uid="{00000000-0005-0000-0000-000033710000}"/>
    <cellStyle name="Normal 2 3 4 20 4 2 2" xfId="42770" xr:uid="{00000000-0005-0000-0000-000034710000}"/>
    <cellStyle name="Normal 2 3 4 20 4 3" xfId="12137" xr:uid="{00000000-0005-0000-0000-000035710000}"/>
    <cellStyle name="Normal 2 3 4 20 4 3 2" xfId="42771" xr:uid="{00000000-0005-0000-0000-000036710000}"/>
    <cellStyle name="Normal 2 3 4 20 4 4" xfId="42772" xr:uid="{00000000-0005-0000-0000-000037710000}"/>
    <cellStyle name="Normal 2 3 4 20 5" xfId="12138" xr:uid="{00000000-0005-0000-0000-000038710000}"/>
    <cellStyle name="Normal 2 3 4 20 5 2" xfId="12139" xr:uid="{00000000-0005-0000-0000-000039710000}"/>
    <cellStyle name="Normal 2 3 4 20 5 2 2" xfId="42773" xr:uid="{00000000-0005-0000-0000-00003A710000}"/>
    <cellStyle name="Normal 2 3 4 20 5 3" xfId="42774" xr:uid="{00000000-0005-0000-0000-00003B710000}"/>
    <cellStyle name="Normal 2 3 4 20 6" xfId="12140" xr:uid="{00000000-0005-0000-0000-00003C710000}"/>
    <cellStyle name="Normal 2 3 4 20 6 2" xfId="42775" xr:uid="{00000000-0005-0000-0000-00003D710000}"/>
    <cellStyle name="Normal 2 3 4 20 7" xfId="12141" xr:uid="{00000000-0005-0000-0000-00003E710000}"/>
    <cellStyle name="Normal 2 3 4 20 7 2" xfId="42776" xr:uid="{00000000-0005-0000-0000-00003F710000}"/>
    <cellStyle name="Normal 2 3 4 20 8" xfId="42777" xr:uid="{00000000-0005-0000-0000-000040710000}"/>
    <cellStyle name="Normal 2 3 4 20 8 2" xfId="42778" xr:uid="{00000000-0005-0000-0000-000041710000}"/>
    <cellStyle name="Normal 2 3 4 20 9" xfId="42779" xr:uid="{00000000-0005-0000-0000-000042710000}"/>
    <cellStyle name="Normal 2 3 4 21" xfId="12142" xr:uid="{00000000-0005-0000-0000-000043710000}"/>
    <cellStyle name="Normal 2 3 4 21 10" xfId="42780" xr:uid="{00000000-0005-0000-0000-000044710000}"/>
    <cellStyle name="Normal 2 3 4 21 11" xfId="42781" xr:uid="{00000000-0005-0000-0000-000045710000}"/>
    <cellStyle name="Normal 2 3 4 21 2" xfId="12143" xr:uid="{00000000-0005-0000-0000-000046710000}"/>
    <cellStyle name="Normal 2 3 4 21 2 10" xfId="42782" xr:uid="{00000000-0005-0000-0000-000047710000}"/>
    <cellStyle name="Normal 2 3 4 21 2 2" xfId="12144" xr:uid="{00000000-0005-0000-0000-000048710000}"/>
    <cellStyle name="Normal 2 3 4 21 2 2 2" xfId="12145" xr:uid="{00000000-0005-0000-0000-000049710000}"/>
    <cellStyle name="Normal 2 3 4 21 2 2 2 2" xfId="12146" xr:uid="{00000000-0005-0000-0000-00004A710000}"/>
    <cellStyle name="Normal 2 3 4 21 2 2 2 2 2" xfId="42783" xr:uid="{00000000-0005-0000-0000-00004B710000}"/>
    <cellStyle name="Normal 2 3 4 21 2 2 2 3" xfId="12147" xr:uid="{00000000-0005-0000-0000-00004C710000}"/>
    <cellStyle name="Normal 2 3 4 21 2 2 2 3 2" xfId="42784" xr:uid="{00000000-0005-0000-0000-00004D710000}"/>
    <cellStyle name="Normal 2 3 4 21 2 2 2 4" xfId="42785" xr:uid="{00000000-0005-0000-0000-00004E710000}"/>
    <cellStyle name="Normal 2 3 4 21 2 2 3" xfId="12148" xr:uid="{00000000-0005-0000-0000-00004F710000}"/>
    <cellStyle name="Normal 2 3 4 21 2 2 3 2" xfId="42786" xr:uid="{00000000-0005-0000-0000-000050710000}"/>
    <cellStyle name="Normal 2 3 4 21 2 2 4" xfId="12149" xr:uid="{00000000-0005-0000-0000-000051710000}"/>
    <cellStyle name="Normal 2 3 4 21 2 2 4 2" xfId="42787" xr:uid="{00000000-0005-0000-0000-000052710000}"/>
    <cellStyle name="Normal 2 3 4 21 2 2 5" xfId="12150" xr:uid="{00000000-0005-0000-0000-000053710000}"/>
    <cellStyle name="Normal 2 3 4 21 2 2 5 2" xfId="42788" xr:uid="{00000000-0005-0000-0000-000054710000}"/>
    <cellStyle name="Normal 2 3 4 21 2 2 6" xfId="42789" xr:uid="{00000000-0005-0000-0000-000055710000}"/>
    <cellStyle name="Normal 2 3 4 21 2 2 6 2" xfId="42790" xr:uid="{00000000-0005-0000-0000-000056710000}"/>
    <cellStyle name="Normal 2 3 4 21 2 2 7" xfId="42791" xr:uid="{00000000-0005-0000-0000-000057710000}"/>
    <cellStyle name="Normal 2 3 4 21 2 3" xfId="12151" xr:uid="{00000000-0005-0000-0000-000058710000}"/>
    <cellStyle name="Normal 2 3 4 21 2 3 2" xfId="12152" xr:uid="{00000000-0005-0000-0000-000059710000}"/>
    <cellStyle name="Normal 2 3 4 21 2 3 2 2" xfId="42792" xr:uid="{00000000-0005-0000-0000-00005A710000}"/>
    <cellStyle name="Normal 2 3 4 21 2 3 3" xfId="12153" xr:uid="{00000000-0005-0000-0000-00005B710000}"/>
    <cellStyle name="Normal 2 3 4 21 2 3 3 2" xfId="42793" xr:uid="{00000000-0005-0000-0000-00005C710000}"/>
    <cellStyle name="Normal 2 3 4 21 2 3 4" xfId="42794" xr:uid="{00000000-0005-0000-0000-00005D710000}"/>
    <cellStyle name="Normal 2 3 4 21 2 4" xfId="12154" xr:uid="{00000000-0005-0000-0000-00005E710000}"/>
    <cellStyle name="Normal 2 3 4 21 2 4 2" xfId="12155" xr:uid="{00000000-0005-0000-0000-00005F710000}"/>
    <cellStyle name="Normal 2 3 4 21 2 4 2 2" xfId="42795" xr:uid="{00000000-0005-0000-0000-000060710000}"/>
    <cellStyle name="Normal 2 3 4 21 2 4 3" xfId="42796" xr:uid="{00000000-0005-0000-0000-000061710000}"/>
    <cellStyle name="Normal 2 3 4 21 2 5" xfId="12156" xr:uid="{00000000-0005-0000-0000-000062710000}"/>
    <cellStyle name="Normal 2 3 4 21 2 5 2" xfId="42797" xr:uid="{00000000-0005-0000-0000-000063710000}"/>
    <cellStyle name="Normal 2 3 4 21 2 6" xfId="12157" xr:uid="{00000000-0005-0000-0000-000064710000}"/>
    <cellStyle name="Normal 2 3 4 21 2 6 2" xfId="42798" xr:uid="{00000000-0005-0000-0000-000065710000}"/>
    <cellStyle name="Normal 2 3 4 21 2 7" xfId="42799" xr:uid="{00000000-0005-0000-0000-000066710000}"/>
    <cellStyle name="Normal 2 3 4 21 2 7 2" xfId="42800" xr:uid="{00000000-0005-0000-0000-000067710000}"/>
    <cellStyle name="Normal 2 3 4 21 2 8" xfId="42801" xr:uid="{00000000-0005-0000-0000-000068710000}"/>
    <cellStyle name="Normal 2 3 4 21 2 9" xfId="42802" xr:uid="{00000000-0005-0000-0000-000069710000}"/>
    <cellStyle name="Normal 2 3 4 21 3" xfId="12158" xr:uid="{00000000-0005-0000-0000-00006A710000}"/>
    <cellStyle name="Normal 2 3 4 21 3 2" xfId="12159" xr:uid="{00000000-0005-0000-0000-00006B710000}"/>
    <cellStyle name="Normal 2 3 4 21 3 2 2" xfId="12160" xr:uid="{00000000-0005-0000-0000-00006C710000}"/>
    <cellStyle name="Normal 2 3 4 21 3 2 2 2" xfId="42803" xr:uid="{00000000-0005-0000-0000-00006D710000}"/>
    <cellStyle name="Normal 2 3 4 21 3 2 3" xfId="12161" xr:uid="{00000000-0005-0000-0000-00006E710000}"/>
    <cellStyle name="Normal 2 3 4 21 3 2 3 2" xfId="42804" xr:uid="{00000000-0005-0000-0000-00006F710000}"/>
    <cellStyle name="Normal 2 3 4 21 3 2 4" xfId="42805" xr:uid="{00000000-0005-0000-0000-000070710000}"/>
    <cellStyle name="Normal 2 3 4 21 3 3" xfId="12162" xr:uid="{00000000-0005-0000-0000-000071710000}"/>
    <cellStyle name="Normal 2 3 4 21 3 3 2" xfId="42806" xr:uid="{00000000-0005-0000-0000-000072710000}"/>
    <cellStyle name="Normal 2 3 4 21 3 4" xfId="12163" xr:uid="{00000000-0005-0000-0000-000073710000}"/>
    <cellStyle name="Normal 2 3 4 21 3 4 2" xfId="42807" xr:uid="{00000000-0005-0000-0000-000074710000}"/>
    <cellStyle name="Normal 2 3 4 21 3 5" xfId="12164" xr:uid="{00000000-0005-0000-0000-000075710000}"/>
    <cellStyle name="Normal 2 3 4 21 3 5 2" xfId="42808" xr:uid="{00000000-0005-0000-0000-000076710000}"/>
    <cellStyle name="Normal 2 3 4 21 3 6" xfId="42809" xr:uid="{00000000-0005-0000-0000-000077710000}"/>
    <cellStyle name="Normal 2 3 4 21 3 6 2" xfId="42810" xr:uid="{00000000-0005-0000-0000-000078710000}"/>
    <cellStyle name="Normal 2 3 4 21 3 7" xfId="42811" xr:uid="{00000000-0005-0000-0000-000079710000}"/>
    <cellStyle name="Normal 2 3 4 21 4" xfId="12165" xr:uid="{00000000-0005-0000-0000-00007A710000}"/>
    <cellStyle name="Normal 2 3 4 21 4 2" xfId="12166" xr:uid="{00000000-0005-0000-0000-00007B710000}"/>
    <cellStyle name="Normal 2 3 4 21 4 2 2" xfId="42812" xr:uid="{00000000-0005-0000-0000-00007C710000}"/>
    <cellStyle name="Normal 2 3 4 21 4 3" xfId="12167" xr:uid="{00000000-0005-0000-0000-00007D710000}"/>
    <cellStyle name="Normal 2 3 4 21 4 3 2" xfId="42813" xr:uid="{00000000-0005-0000-0000-00007E710000}"/>
    <cellStyle name="Normal 2 3 4 21 4 4" xfId="42814" xr:uid="{00000000-0005-0000-0000-00007F710000}"/>
    <cellStyle name="Normal 2 3 4 21 5" xfId="12168" xr:uid="{00000000-0005-0000-0000-000080710000}"/>
    <cellStyle name="Normal 2 3 4 21 5 2" xfId="12169" xr:uid="{00000000-0005-0000-0000-000081710000}"/>
    <cellStyle name="Normal 2 3 4 21 5 2 2" xfId="42815" xr:uid="{00000000-0005-0000-0000-000082710000}"/>
    <cellStyle name="Normal 2 3 4 21 5 3" xfId="42816" xr:uid="{00000000-0005-0000-0000-000083710000}"/>
    <cellStyle name="Normal 2 3 4 21 6" xfId="12170" xr:uid="{00000000-0005-0000-0000-000084710000}"/>
    <cellStyle name="Normal 2 3 4 21 6 2" xfId="42817" xr:uid="{00000000-0005-0000-0000-000085710000}"/>
    <cellStyle name="Normal 2 3 4 21 7" xfId="12171" xr:uid="{00000000-0005-0000-0000-000086710000}"/>
    <cellStyle name="Normal 2 3 4 21 7 2" xfId="42818" xr:uid="{00000000-0005-0000-0000-000087710000}"/>
    <cellStyle name="Normal 2 3 4 21 8" xfId="42819" xr:uid="{00000000-0005-0000-0000-000088710000}"/>
    <cellStyle name="Normal 2 3 4 21 8 2" xfId="42820" xr:uid="{00000000-0005-0000-0000-000089710000}"/>
    <cellStyle name="Normal 2 3 4 21 9" xfId="42821" xr:uid="{00000000-0005-0000-0000-00008A710000}"/>
    <cellStyle name="Normal 2 3 4 22" xfId="12172" xr:uid="{00000000-0005-0000-0000-00008B710000}"/>
    <cellStyle name="Normal 2 3 4 22 10" xfId="42822" xr:uid="{00000000-0005-0000-0000-00008C710000}"/>
    <cellStyle name="Normal 2 3 4 22 11" xfId="42823" xr:uid="{00000000-0005-0000-0000-00008D710000}"/>
    <cellStyle name="Normal 2 3 4 22 2" xfId="12173" xr:uid="{00000000-0005-0000-0000-00008E710000}"/>
    <cellStyle name="Normal 2 3 4 22 2 10" xfId="42824" xr:uid="{00000000-0005-0000-0000-00008F710000}"/>
    <cellStyle name="Normal 2 3 4 22 2 2" xfId="12174" xr:uid="{00000000-0005-0000-0000-000090710000}"/>
    <cellStyle name="Normal 2 3 4 22 2 2 2" xfId="12175" xr:uid="{00000000-0005-0000-0000-000091710000}"/>
    <cellStyle name="Normal 2 3 4 22 2 2 2 2" xfId="12176" xr:uid="{00000000-0005-0000-0000-000092710000}"/>
    <cellStyle name="Normal 2 3 4 22 2 2 2 2 2" xfId="42825" xr:uid="{00000000-0005-0000-0000-000093710000}"/>
    <cellStyle name="Normal 2 3 4 22 2 2 2 3" xfId="12177" xr:uid="{00000000-0005-0000-0000-000094710000}"/>
    <cellStyle name="Normal 2 3 4 22 2 2 2 3 2" xfId="42826" xr:uid="{00000000-0005-0000-0000-000095710000}"/>
    <cellStyle name="Normal 2 3 4 22 2 2 2 4" xfId="42827" xr:uid="{00000000-0005-0000-0000-000096710000}"/>
    <cellStyle name="Normal 2 3 4 22 2 2 3" xfId="12178" xr:uid="{00000000-0005-0000-0000-000097710000}"/>
    <cellStyle name="Normal 2 3 4 22 2 2 3 2" xfId="42828" xr:uid="{00000000-0005-0000-0000-000098710000}"/>
    <cellStyle name="Normal 2 3 4 22 2 2 4" xfId="12179" xr:uid="{00000000-0005-0000-0000-000099710000}"/>
    <cellStyle name="Normal 2 3 4 22 2 2 4 2" xfId="42829" xr:uid="{00000000-0005-0000-0000-00009A710000}"/>
    <cellStyle name="Normal 2 3 4 22 2 2 5" xfId="12180" xr:uid="{00000000-0005-0000-0000-00009B710000}"/>
    <cellStyle name="Normal 2 3 4 22 2 2 5 2" xfId="42830" xr:uid="{00000000-0005-0000-0000-00009C710000}"/>
    <cellStyle name="Normal 2 3 4 22 2 2 6" xfId="42831" xr:uid="{00000000-0005-0000-0000-00009D710000}"/>
    <cellStyle name="Normal 2 3 4 22 2 2 6 2" xfId="42832" xr:uid="{00000000-0005-0000-0000-00009E710000}"/>
    <cellStyle name="Normal 2 3 4 22 2 2 7" xfId="42833" xr:uid="{00000000-0005-0000-0000-00009F710000}"/>
    <cellStyle name="Normal 2 3 4 22 2 3" xfId="12181" xr:uid="{00000000-0005-0000-0000-0000A0710000}"/>
    <cellStyle name="Normal 2 3 4 22 2 3 2" xfId="12182" xr:uid="{00000000-0005-0000-0000-0000A1710000}"/>
    <cellStyle name="Normal 2 3 4 22 2 3 2 2" xfId="42834" xr:uid="{00000000-0005-0000-0000-0000A2710000}"/>
    <cellStyle name="Normal 2 3 4 22 2 3 3" xfId="12183" xr:uid="{00000000-0005-0000-0000-0000A3710000}"/>
    <cellStyle name="Normal 2 3 4 22 2 3 3 2" xfId="42835" xr:uid="{00000000-0005-0000-0000-0000A4710000}"/>
    <cellStyle name="Normal 2 3 4 22 2 3 4" xfId="42836" xr:uid="{00000000-0005-0000-0000-0000A5710000}"/>
    <cellStyle name="Normal 2 3 4 22 2 4" xfId="12184" xr:uid="{00000000-0005-0000-0000-0000A6710000}"/>
    <cellStyle name="Normal 2 3 4 22 2 4 2" xfId="12185" xr:uid="{00000000-0005-0000-0000-0000A7710000}"/>
    <cellStyle name="Normal 2 3 4 22 2 4 2 2" xfId="42837" xr:uid="{00000000-0005-0000-0000-0000A8710000}"/>
    <cellStyle name="Normal 2 3 4 22 2 4 3" xfId="42838" xr:uid="{00000000-0005-0000-0000-0000A9710000}"/>
    <cellStyle name="Normal 2 3 4 22 2 5" xfId="12186" xr:uid="{00000000-0005-0000-0000-0000AA710000}"/>
    <cellStyle name="Normal 2 3 4 22 2 5 2" xfId="42839" xr:uid="{00000000-0005-0000-0000-0000AB710000}"/>
    <cellStyle name="Normal 2 3 4 22 2 6" xfId="12187" xr:uid="{00000000-0005-0000-0000-0000AC710000}"/>
    <cellStyle name="Normal 2 3 4 22 2 6 2" xfId="42840" xr:uid="{00000000-0005-0000-0000-0000AD710000}"/>
    <cellStyle name="Normal 2 3 4 22 2 7" xfId="42841" xr:uid="{00000000-0005-0000-0000-0000AE710000}"/>
    <cellStyle name="Normal 2 3 4 22 2 7 2" xfId="42842" xr:uid="{00000000-0005-0000-0000-0000AF710000}"/>
    <cellStyle name="Normal 2 3 4 22 2 8" xfId="42843" xr:uid="{00000000-0005-0000-0000-0000B0710000}"/>
    <cellStyle name="Normal 2 3 4 22 2 9" xfId="42844" xr:uid="{00000000-0005-0000-0000-0000B1710000}"/>
    <cellStyle name="Normal 2 3 4 22 3" xfId="12188" xr:uid="{00000000-0005-0000-0000-0000B2710000}"/>
    <cellStyle name="Normal 2 3 4 22 3 2" xfId="12189" xr:uid="{00000000-0005-0000-0000-0000B3710000}"/>
    <cellStyle name="Normal 2 3 4 22 3 2 2" xfId="12190" xr:uid="{00000000-0005-0000-0000-0000B4710000}"/>
    <cellStyle name="Normal 2 3 4 22 3 2 2 2" xfId="42845" xr:uid="{00000000-0005-0000-0000-0000B5710000}"/>
    <cellStyle name="Normal 2 3 4 22 3 2 3" xfId="12191" xr:uid="{00000000-0005-0000-0000-0000B6710000}"/>
    <cellStyle name="Normal 2 3 4 22 3 2 3 2" xfId="42846" xr:uid="{00000000-0005-0000-0000-0000B7710000}"/>
    <cellStyle name="Normal 2 3 4 22 3 2 4" xfId="42847" xr:uid="{00000000-0005-0000-0000-0000B8710000}"/>
    <cellStyle name="Normal 2 3 4 22 3 3" xfId="12192" xr:uid="{00000000-0005-0000-0000-0000B9710000}"/>
    <cellStyle name="Normal 2 3 4 22 3 3 2" xfId="42848" xr:uid="{00000000-0005-0000-0000-0000BA710000}"/>
    <cellStyle name="Normal 2 3 4 22 3 4" xfId="12193" xr:uid="{00000000-0005-0000-0000-0000BB710000}"/>
    <cellStyle name="Normal 2 3 4 22 3 4 2" xfId="42849" xr:uid="{00000000-0005-0000-0000-0000BC710000}"/>
    <cellStyle name="Normal 2 3 4 22 3 5" xfId="12194" xr:uid="{00000000-0005-0000-0000-0000BD710000}"/>
    <cellStyle name="Normal 2 3 4 22 3 5 2" xfId="42850" xr:uid="{00000000-0005-0000-0000-0000BE710000}"/>
    <cellStyle name="Normal 2 3 4 22 3 6" xfId="42851" xr:uid="{00000000-0005-0000-0000-0000BF710000}"/>
    <cellStyle name="Normal 2 3 4 22 3 6 2" xfId="42852" xr:uid="{00000000-0005-0000-0000-0000C0710000}"/>
    <cellStyle name="Normal 2 3 4 22 3 7" xfId="42853" xr:uid="{00000000-0005-0000-0000-0000C1710000}"/>
    <cellStyle name="Normal 2 3 4 22 4" xfId="12195" xr:uid="{00000000-0005-0000-0000-0000C2710000}"/>
    <cellStyle name="Normal 2 3 4 22 4 2" xfId="12196" xr:uid="{00000000-0005-0000-0000-0000C3710000}"/>
    <cellStyle name="Normal 2 3 4 22 4 2 2" xfId="42854" xr:uid="{00000000-0005-0000-0000-0000C4710000}"/>
    <cellStyle name="Normal 2 3 4 22 4 3" xfId="12197" xr:uid="{00000000-0005-0000-0000-0000C5710000}"/>
    <cellStyle name="Normal 2 3 4 22 4 3 2" xfId="42855" xr:uid="{00000000-0005-0000-0000-0000C6710000}"/>
    <cellStyle name="Normal 2 3 4 22 4 4" xfId="42856" xr:uid="{00000000-0005-0000-0000-0000C7710000}"/>
    <cellStyle name="Normal 2 3 4 22 5" xfId="12198" xr:uid="{00000000-0005-0000-0000-0000C8710000}"/>
    <cellStyle name="Normal 2 3 4 22 5 2" xfId="12199" xr:uid="{00000000-0005-0000-0000-0000C9710000}"/>
    <cellStyle name="Normal 2 3 4 22 5 2 2" xfId="42857" xr:uid="{00000000-0005-0000-0000-0000CA710000}"/>
    <cellStyle name="Normal 2 3 4 22 5 3" xfId="42858" xr:uid="{00000000-0005-0000-0000-0000CB710000}"/>
    <cellStyle name="Normal 2 3 4 22 6" xfId="12200" xr:uid="{00000000-0005-0000-0000-0000CC710000}"/>
    <cellStyle name="Normal 2 3 4 22 6 2" xfId="42859" xr:uid="{00000000-0005-0000-0000-0000CD710000}"/>
    <cellStyle name="Normal 2 3 4 22 7" xfId="12201" xr:uid="{00000000-0005-0000-0000-0000CE710000}"/>
    <cellStyle name="Normal 2 3 4 22 7 2" xfId="42860" xr:uid="{00000000-0005-0000-0000-0000CF710000}"/>
    <cellStyle name="Normal 2 3 4 22 8" xfId="42861" xr:uid="{00000000-0005-0000-0000-0000D0710000}"/>
    <cellStyle name="Normal 2 3 4 22 8 2" xfId="42862" xr:uid="{00000000-0005-0000-0000-0000D1710000}"/>
    <cellStyle name="Normal 2 3 4 22 9" xfId="42863" xr:uid="{00000000-0005-0000-0000-0000D2710000}"/>
    <cellStyle name="Normal 2 3 4 23" xfId="12202" xr:uid="{00000000-0005-0000-0000-0000D3710000}"/>
    <cellStyle name="Normal 2 3 4 23 10" xfId="42864" xr:uid="{00000000-0005-0000-0000-0000D4710000}"/>
    <cellStyle name="Normal 2 3 4 23 11" xfId="42865" xr:uid="{00000000-0005-0000-0000-0000D5710000}"/>
    <cellStyle name="Normal 2 3 4 23 2" xfId="12203" xr:uid="{00000000-0005-0000-0000-0000D6710000}"/>
    <cellStyle name="Normal 2 3 4 23 2 10" xfId="42866" xr:uid="{00000000-0005-0000-0000-0000D7710000}"/>
    <cellStyle name="Normal 2 3 4 23 2 2" xfId="12204" xr:uid="{00000000-0005-0000-0000-0000D8710000}"/>
    <cellStyle name="Normal 2 3 4 23 2 2 2" xfId="12205" xr:uid="{00000000-0005-0000-0000-0000D9710000}"/>
    <cellStyle name="Normal 2 3 4 23 2 2 2 2" xfId="12206" xr:uid="{00000000-0005-0000-0000-0000DA710000}"/>
    <cellStyle name="Normal 2 3 4 23 2 2 2 2 2" xfId="42867" xr:uid="{00000000-0005-0000-0000-0000DB710000}"/>
    <cellStyle name="Normal 2 3 4 23 2 2 2 3" xfId="12207" xr:uid="{00000000-0005-0000-0000-0000DC710000}"/>
    <cellStyle name="Normal 2 3 4 23 2 2 2 3 2" xfId="42868" xr:uid="{00000000-0005-0000-0000-0000DD710000}"/>
    <cellStyle name="Normal 2 3 4 23 2 2 2 4" xfId="42869" xr:uid="{00000000-0005-0000-0000-0000DE710000}"/>
    <cellStyle name="Normal 2 3 4 23 2 2 3" xfId="12208" xr:uid="{00000000-0005-0000-0000-0000DF710000}"/>
    <cellStyle name="Normal 2 3 4 23 2 2 3 2" xfId="42870" xr:uid="{00000000-0005-0000-0000-0000E0710000}"/>
    <cellStyle name="Normal 2 3 4 23 2 2 4" xfId="12209" xr:uid="{00000000-0005-0000-0000-0000E1710000}"/>
    <cellStyle name="Normal 2 3 4 23 2 2 4 2" xfId="42871" xr:uid="{00000000-0005-0000-0000-0000E2710000}"/>
    <cellStyle name="Normal 2 3 4 23 2 2 5" xfId="12210" xr:uid="{00000000-0005-0000-0000-0000E3710000}"/>
    <cellStyle name="Normal 2 3 4 23 2 2 5 2" xfId="42872" xr:uid="{00000000-0005-0000-0000-0000E4710000}"/>
    <cellStyle name="Normal 2 3 4 23 2 2 6" xfId="42873" xr:uid="{00000000-0005-0000-0000-0000E5710000}"/>
    <cellStyle name="Normal 2 3 4 23 2 2 6 2" xfId="42874" xr:uid="{00000000-0005-0000-0000-0000E6710000}"/>
    <cellStyle name="Normal 2 3 4 23 2 2 7" xfId="42875" xr:uid="{00000000-0005-0000-0000-0000E7710000}"/>
    <cellStyle name="Normal 2 3 4 23 2 3" xfId="12211" xr:uid="{00000000-0005-0000-0000-0000E8710000}"/>
    <cellStyle name="Normal 2 3 4 23 2 3 2" xfId="12212" xr:uid="{00000000-0005-0000-0000-0000E9710000}"/>
    <cellStyle name="Normal 2 3 4 23 2 3 2 2" xfId="42876" xr:uid="{00000000-0005-0000-0000-0000EA710000}"/>
    <cellStyle name="Normal 2 3 4 23 2 3 3" xfId="12213" xr:uid="{00000000-0005-0000-0000-0000EB710000}"/>
    <cellStyle name="Normal 2 3 4 23 2 3 3 2" xfId="42877" xr:uid="{00000000-0005-0000-0000-0000EC710000}"/>
    <cellStyle name="Normal 2 3 4 23 2 3 4" xfId="42878" xr:uid="{00000000-0005-0000-0000-0000ED710000}"/>
    <cellStyle name="Normal 2 3 4 23 2 4" xfId="12214" xr:uid="{00000000-0005-0000-0000-0000EE710000}"/>
    <cellStyle name="Normal 2 3 4 23 2 4 2" xfId="12215" xr:uid="{00000000-0005-0000-0000-0000EF710000}"/>
    <cellStyle name="Normal 2 3 4 23 2 4 2 2" xfId="42879" xr:uid="{00000000-0005-0000-0000-0000F0710000}"/>
    <cellStyle name="Normal 2 3 4 23 2 4 3" xfId="42880" xr:uid="{00000000-0005-0000-0000-0000F1710000}"/>
    <cellStyle name="Normal 2 3 4 23 2 5" xfId="12216" xr:uid="{00000000-0005-0000-0000-0000F2710000}"/>
    <cellStyle name="Normal 2 3 4 23 2 5 2" xfId="42881" xr:uid="{00000000-0005-0000-0000-0000F3710000}"/>
    <cellStyle name="Normal 2 3 4 23 2 6" xfId="12217" xr:uid="{00000000-0005-0000-0000-0000F4710000}"/>
    <cellStyle name="Normal 2 3 4 23 2 6 2" xfId="42882" xr:uid="{00000000-0005-0000-0000-0000F5710000}"/>
    <cellStyle name="Normal 2 3 4 23 2 7" xfId="42883" xr:uid="{00000000-0005-0000-0000-0000F6710000}"/>
    <cellStyle name="Normal 2 3 4 23 2 7 2" xfId="42884" xr:uid="{00000000-0005-0000-0000-0000F7710000}"/>
    <cellStyle name="Normal 2 3 4 23 2 8" xfId="42885" xr:uid="{00000000-0005-0000-0000-0000F8710000}"/>
    <cellStyle name="Normal 2 3 4 23 2 9" xfId="42886" xr:uid="{00000000-0005-0000-0000-0000F9710000}"/>
    <cellStyle name="Normal 2 3 4 23 3" xfId="12218" xr:uid="{00000000-0005-0000-0000-0000FA710000}"/>
    <cellStyle name="Normal 2 3 4 23 3 2" xfId="12219" xr:uid="{00000000-0005-0000-0000-0000FB710000}"/>
    <cellStyle name="Normal 2 3 4 23 3 2 2" xfId="12220" xr:uid="{00000000-0005-0000-0000-0000FC710000}"/>
    <cellStyle name="Normal 2 3 4 23 3 2 2 2" xfId="42887" xr:uid="{00000000-0005-0000-0000-0000FD710000}"/>
    <cellStyle name="Normal 2 3 4 23 3 2 3" xfId="12221" xr:uid="{00000000-0005-0000-0000-0000FE710000}"/>
    <cellStyle name="Normal 2 3 4 23 3 2 3 2" xfId="42888" xr:uid="{00000000-0005-0000-0000-0000FF710000}"/>
    <cellStyle name="Normal 2 3 4 23 3 2 4" xfId="42889" xr:uid="{00000000-0005-0000-0000-000000720000}"/>
    <cellStyle name="Normal 2 3 4 23 3 3" xfId="12222" xr:uid="{00000000-0005-0000-0000-000001720000}"/>
    <cellStyle name="Normal 2 3 4 23 3 3 2" xfId="42890" xr:uid="{00000000-0005-0000-0000-000002720000}"/>
    <cellStyle name="Normal 2 3 4 23 3 4" xfId="12223" xr:uid="{00000000-0005-0000-0000-000003720000}"/>
    <cellStyle name="Normal 2 3 4 23 3 4 2" xfId="42891" xr:uid="{00000000-0005-0000-0000-000004720000}"/>
    <cellStyle name="Normal 2 3 4 23 3 5" xfId="12224" xr:uid="{00000000-0005-0000-0000-000005720000}"/>
    <cellStyle name="Normal 2 3 4 23 3 5 2" xfId="42892" xr:uid="{00000000-0005-0000-0000-000006720000}"/>
    <cellStyle name="Normal 2 3 4 23 3 6" xfId="42893" xr:uid="{00000000-0005-0000-0000-000007720000}"/>
    <cellStyle name="Normal 2 3 4 23 3 6 2" xfId="42894" xr:uid="{00000000-0005-0000-0000-000008720000}"/>
    <cellStyle name="Normal 2 3 4 23 3 7" xfId="42895" xr:uid="{00000000-0005-0000-0000-000009720000}"/>
    <cellStyle name="Normal 2 3 4 23 4" xfId="12225" xr:uid="{00000000-0005-0000-0000-00000A720000}"/>
    <cellStyle name="Normal 2 3 4 23 4 2" xfId="12226" xr:uid="{00000000-0005-0000-0000-00000B720000}"/>
    <cellStyle name="Normal 2 3 4 23 4 2 2" xfId="42896" xr:uid="{00000000-0005-0000-0000-00000C720000}"/>
    <cellStyle name="Normal 2 3 4 23 4 3" xfId="12227" xr:uid="{00000000-0005-0000-0000-00000D720000}"/>
    <cellStyle name="Normal 2 3 4 23 4 3 2" xfId="42897" xr:uid="{00000000-0005-0000-0000-00000E720000}"/>
    <cellStyle name="Normal 2 3 4 23 4 4" xfId="42898" xr:uid="{00000000-0005-0000-0000-00000F720000}"/>
    <cellStyle name="Normal 2 3 4 23 5" xfId="12228" xr:uid="{00000000-0005-0000-0000-000010720000}"/>
    <cellStyle name="Normal 2 3 4 23 5 2" xfId="12229" xr:uid="{00000000-0005-0000-0000-000011720000}"/>
    <cellStyle name="Normal 2 3 4 23 5 2 2" xfId="42899" xr:uid="{00000000-0005-0000-0000-000012720000}"/>
    <cellStyle name="Normal 2 3 4 23 5 3" xfId="42900" xr:uid="{00000000-0005-0000-0000-000013720000}"/>
    <cellStyle name="Normal 2 3 4 23 6" xfId="12230" xr:uid="{00000000-0005-0000-0000-000014720000}"/>
    <cellStyle name="Normal 2 3 4 23 6 2" xfId="42901" xr:uid="{00000000-0005-0000-0000-000015720000}"/>
    <cellStyle name="Normal 2 3 4 23 7" xfId="12231" xr:uid="{00000000-0005-0000-0000-000016720000}"/>
    <cellStyle name="Normal 2 3 4 23 7 2" xfId="42902" xr:uid="{00000000-0005-0000-0000-000017720000}"/>
    <cellStyle name="Normal 2 3 4 23 8" xfId="42903" xr:uid="{00000000-0005-0000-0000-000018720000}"/>
    <cellStyle name="Normal 2 3 4 23 8 2" xfId="42904" xr:uid="{00000000-0005-0000-0000-000019720000}"/>
    <cellStyle name="Normal 2 3 4 23 9" xfId="42905" xr:uid="{00000000-0005-0000-0000-00001A720000}"/>
    <cellStyle name="Normal 2 3 4 24" xfId="12232" xr:uid="{00000000-0005-0000-0000-00001B720000}"/>
    <cellStyle name="Normal 2 3 4 24 10" xfId="42906" xr:uid="{00000000-0005-0000-0000-00001C720000}"/>
    <cellStyle name="Normal 2 3 4 24 11" xfId="42907" xr:uid="{00000000-0005-0000-0000-00001D720000}"/>
    <cellStyle name="Normal 2 3 4 24 2" xfId="12233" xr:uid="{00000000-0005-0000-0000-00001E720000}"/>
    <cellStyle name="Normal 2 3 4 24 2 10" xfId="42908" xr:uid="{00000000-0005-0000-0000-00001F720000}"/>
    <cellStyle name="Normal 2 3 4 24 2 2" xfId="12234" xr:uid="{00000000-0005-0000-0000-000020720000}"/>
    <cellStyle name="Normal 2 3 4 24 2 2 2" xfId="12235" xr:uid="{00000000-0005-0000-0000-000021720000}"/>
    <cellStyle name="Normal 2 3 4 24 2 2 2 2" xfId="12236" xr:uid="{00000000-0005-0000-0000-000022720000}"/>
    <cellStyle name="Normal 2 3 4 24 2 2 2 2 2" xfId="42909" xr:uid="{00000000-0005-0000-0000-000023720000}"/>
    <cellStyle name="Normal 2 3 4 24 2 2 2 3" xfId="12237" xr:uid="{00000000-0005-0000-0000-000024720000}"/>
    <cellStyle name="Normal 2 3 4 24 2 2 2 3 2" xfId="42910" xr:uid="{00000000-0005-0000-0000-000025720000}"/>
    <cellStyle name="Normal 2 3 4 24 2 2 2 4" xfId="42911" xr:uid="{00000000-0005-0000-0000-000026720000}"/>
    <cellStyle name="Normal 2 3 4 24 2 2 3" xfId="12238" xr:uid="{00000000-0005-0000-0000-000027720000}"/>
    <cellStyle name="Normal 2 3 4 24 2 2 3 2" xfId="42912" xr:uid="{00000000-0005-0000-0000-000028720000}"/>
    <cellStyle name="Normal 2 3 4 24 2 2 4" xfId="12239" xr:uid="{00000000-0005-0000-0000-000029720000}"/>
    <cellStyle name="Normal 2 3 4 24 2 2 4 2" xfId="42913" xr:uid="{00000000-0005-0000-0000-00002A720000}"/>
    <cellStyle name="Normal 2 3 4 24 2 2 5" xfId="12240" xr:uid="{00000000-0005-0000-0000-00002B720000}"/>
    <cellStyle name="Normal 2 3 4 24 2 2 5 2" xfId="42914" xr:uid="{00000000-0005-0000-0000-00002C720000}"/>
    <cellStyle name="Normal 2 3 4 24 2 2 6" xfId="42915" xr:uid="{00000000-0005-0000-0000-00002D720000}"/>
    <cellStyle name="Normal 2 3 4 24 2 2 6 2" xfId="42916" xr:uid="{00000000-0005-0000-0000-00002E720000}"/>
    <cellStyle name="Normal 2 3 4 24 2 2 7" xfId="42917" xr:uid="{00000000-0005-0000-0000-00002F720000}"/>
    <cellStyle name="Normal 2 3 4 24 2 3" xfId="12241" xr:uid="{00000000-0005-0000-0000-000030720000}"/>
    <cellStyle name="Normal 2 3 4 24 2 3 2" xfId="12242" xr:uid="{00000000-0005-0000-0000-000031720000}"/>
    <cellStyle name="Normal 2 3 4 24 2 3 2 2" xfId="42918" xr:uid="{00000000-0005-0000-0000-000032720000}"/>
    <cellStyle name="Normal 2 3 4 24 2 3 3" xfId="12243" xr:uid="{00000000-0005-0000-0000-000033720000}"/>
    <cellStyle name="Normal 2 3 4 24 2 3 3 2" xfId="42919" xr:uid="{00000000-0005-0000-0000-000034720000}"/>
    <cellStyle name="Normal 2 3 4 24 2 3 4" xfId="42920" xr:uid="{00000000-0005-0000-0000-000035720000}"/>
    <cellStyle name="Normal 2 3 4 24 2 4" xfId="12244" xr:uid="{00000000-0005-0000-0000-000036720000}"/>
    <cellStyle name="Normal 2 3 4 24 2 4 2" xfId="12245" xr:uid="{00000000-0005-0000-0000-000037720000}"/>
    <cellStyle name="Normal 2 3 4 24 2 4 2 2" xfId="42921" xr:uid="{00000000-0005-0000-0000-000038720000}"/>
    <cellStyle name="Normal 2 3 4 24 2 4 3" xfId="42922" xr:uid="{00000000-0005-0000-0000-000039720000}"/>
    <cellStyle name="Normal 2 3 4 24 2 5" xfId="12246" xr:uid="{00000000-0005-0000-0000-00003A720000}"/>
    <cellStyle name="Normal 2 3 4 24 2 5 2" xfId="42923" xr:uid="{00000000-0005-0000-0000-00003B720000}"/>
    <cellStyle name="Normal 2 3 4 24 2 6" xfId="12247" xr:uid="{00000000-0005-0000-0000-00003C720000}"/>
    <cellStyle name="Normal 2 3 4 24 2 6 2" xfId="42924" xr:uid="{00000000-0005-0000-0000-00003D720000}"/>
    <cellStyle name="Normal 2 3 4 24 2 7" xfId="42925" xr:uid="{00000000-0005-0000-0000-00003E720000}"/>
    <cellStyle name="Normal 2 3 4 24 2 7 2" xfId="42926" xr:uid="{00000000-0005-0000-0000-00003F720000}"/>
    <cellStyle name="Normal 2 3 4 24 2 8" xfId="42927" xr:uid="{00000000-0005-0000-0000-000040720000}"/>
    <cellStyle name="Normal 2 3 4 24 2 9" xfId="42928" xr:uid="{00000000-0005-0000-0000-000041720000}"/>
    <cellStyle name="Normal 2 3 4 24 3" xfId="12248" xr:uid="{00000000-0005-0000-0000-000042720000}"/>
    <cellStyle name="Normal 2 3 4 24 3 2" xfId="12249" xr:uid="{00000000-0005-0000-0000-000043720000}"/>
    <cellStyle name="Normal 2 3 4 24 3 2 2" xfId="12250" xr:uid="{00000000-0005-0000-0000-000044720000}"/>
    <cellStyle name="Normal 2 3 4 24 3 2 2 2" xfId="42929" xr:uid="{00000000-0005-0000-0000-000045720000}"/>
    <cellStyle name="Normal 2 3 4 24 3 2 3" xfId="12251" xr:uid="{00000000-0005-0000-0000-000046720000}"/>
    <cellStyle name="Normal 2 3 4 24 3 2 3 2" xfId="42930" xr:uid="{00000000-0005-0000-0000-000047720000}"/>
    <cellStyle name="Normal 2 3 4 24 3 2 4" xfId="42931" xr:uid="{00000000-0005-0000-0000-000048720000}"/>
    <cellStyle name="Normal 2 3 4 24 3 3" xfId="12252" xr:uid="{00000000-0005-0000-0000-000049720000}"/>
    <cellStyle name="Normal 2 3 4 24 3 3 2" xfId="42932" xr:uid="{00000000-0005-0000-0000-00004A720000}"/>
    <cellStyle name="Normal 2 3 4 24 3 4" xfId="12253" xr:uid="{00000000-0005-0000-0000-00004B720000}"/>
    <cellStyle name="Normal 2 3 4 24 3 4 2" xfId="42933" xr:uid="{00000000-0005-0000-0000-00004C720000}"/>
    <cellStyle name="Normal 2 3 4 24 3 5" xfId="12254" xr:uid="{00000000-0005-0000-0000-00004D720000}"/>
    <cellStyle name="Normal 2 3 4 24 3 5 2" xfId="42934" xr:uid="{00000000-0005-0000-0000-00004E720000}"/>
    <cellStyle name="Normal 2 3 4 24 3 6" xfId="42935" xr:uid="{00000000-0005-0000-0000-00004F720000}"/>
    <cellStyle name="Normal 2 3 4 24 3 6 2" xfId="42936" xr:uid="{00000000-0005-0000-0000-000050720000}"/>
    <cellStyle name="Normal 2 3 4 24 3 7" xfId="42937" xr:uid="{00000000-0005-0000-0000-000051720000}"/>
    <cellStyle name="Normal 2 3 4 24 4" xfId="12255" xr:uid="{00000000-0005-0000-0000-000052720000}"/>
    <cellStyle name="Normal 2 3 4 24 4 2" xfId="12256" xr:uid="{00000000-0005-0000-0000-000053720000}"/>
    <cellStyle name="Normal 2 3 4 24 4 2 2" xfId="42938" xr:uid="{00000000-0005-0000-0000-000054720000}"/>
    <cellStyle name="Normal 2 3 4 24 4 3" xfId="12257" xr:uid="{00000000-0005-0000-0000-000055720000}"/>
    <cellStyle name="Normal 2 3 4 24 4 3 2" xfId="42939" xr:uid="{00000000-0005-0000-0000-000056720000}"/>
    <cellStyle name="Normal 2 3 4 24 4 4" xfId="42940" xr:uid="{00000000-0005-0000-0000-000057720000}"/>
    <cellStyle name="Normal 2 3 4 24 5" xfId="12258" xr:uid="{00000000-0005-0000-0000-000058720000}"/>
    <cellStyle name="Normal 2 3 4 24 5 2" xfId="12259" xr:uid="{00000000-0005-0000-0000-000059720000}"/>
    <cellStyle name="Normal 2 3 4 24 5 2 2" xfId="42941" xr:uid="{00000000-0005-0000-0000-00005A720000}"/>
    <cellStyle name="Normal 2 3 4 24 5 3" xfId="42942" xr:uid="{00000000-0005-0000-0000-00005B720000}"/>
    <cellStyle name="Normal 2 3 4 24 6" xfId="12260" xr:uid="{00000000-0005-0000-0000-00005C720000}"/>
    <cellStyle name="Normal 2 3 4 24 6 2" xfId="42943" xr:uid="{00000000-0005-0000-0000-00005D720000}"/>
    <cellStyle name="Normal 2 3 4 24 7" xfId="12261" xr:uid="{00000000-0005-0000-0000-00005E720000}"/>
    <cellStyle name="Normal 2 3 4 24 7 2" xfId="42944" xr:uid="{00000000-0005-0000-0000-00005F720000}"/>
    <cellStyle name="Normal 2 3 4 24 8" xfId="42945" xr:uid="{00000000-0005-0000-0000-000060720000}"/>
    <cellStyle name="Normal 2 3 4 24 8 2" xfId="42946" xr:uid="{00000000-0005-0000-0000-000061720000}"/>
    <cellStyle name="Normal 2 3 4 24 9" xfId="42947" xr:uid="{00000000-0005-0000-0000-000062720000}"/>
    <cellStyle name="Normal 2 3 4 25" xfId="12262" xr:uid="{00000000-0005-0000-0000-000063720000}"/>
    <cellStyle name="Normal 2 3 4 25 10" xfId="42948" xr:uid="{00000000-0005-0000-0000-000064720000}"/>
    <cellStyle name="Normal 2 3 4 25 11" xfId="42949" xr:uid="{00000000-0005-0000-0000-000065720000}"/>
    <cellStyle name="Normal 2 3 4 25 2" xfId="12263" xr:uid="{00000000-0005-0000-0000-000066720000}"/>
    <cellStyle name="Normal 2 3 4 25 2 10" xfId="42950" xr:uid="{00000000-0005-0000-0000-000067720000}"/>
    <cellStyle name="Normal 2 3 4 25 2 2" xfId="12264" xr:uid="{00000000-0005-0000-0000-000068720000}"/>
    <cellStyle name="Normal 2 3 4 25 2 2 2" xfId="12265" xr:uid="{00000000-0005-0000-0000-000069720000}"/>
    <cellStyle name="Normal 2 3 4 25 2 2 2 2" xfId="12266" xr:uid="{00000000-0005-0000-0000-00006A720000}"/>
    <cellStyle name="Normal 2 3 4 25 2 2 2 2 2" xfId="42951" xr:uid="{00000000-0005-0000-0000-00006B720000}"/>
    <cellStyle name="Normal 2 3 4 25 2 2 2 3" xfId="12267" xr:uid="{00000000-0005-0000-0000-00006C720000}"/>
    <cellStyle name="Normal 2 3 4 25 2 2 2 3 2" xfId="42952" xr:uid="{00000000-0005-0000-0000-00006D720000}"/>
    <cellStyle name="Normal 2 3 4 25 2 2 2 4" xfId="42953" xr:uid="{00000000-0005-0000-0000-00006E720000}"/>
    <cellStyle name="Normal 2 3 4 25 2 2 3" xfId="12268" xr:uid="{00000000-0005-0000-0000-00006F720000}"/>
    <cellStyle name="Normal 2 3 4 25 2 2 3 2" xfId="42954" xr:uid="{00000000-0005-0000-0000-000070720000}"/>
    <cellStyle name="Normal 2 3 4 25 2 2 4" xfId="12269" xr:uid="{00000000-0005-0000-0000-000071720000}"/>
    <cellStyle name="Normal 2 3 4 25 2 2 4 2" xfId="42955" xr:uid="{00000000-0005-0000-0000-000072720000}"/>
    <cellStyle name="Normal 2 3 4 25 2 2 5" xfId="12270" xr:uid="{00000000-0005-0000-0000-000073720000}"/>
    <cellStyle name="Normal 2 3 4 25 2 2 5 2" xfId="42956" xr:uid="{00000000-0005-0000-0000-000074720000}"/>
    <cellStyle name="Normal 2 3 4 25 2 2 6" xfId="42957" xr:uid="{00000000-0005-0000-0000-000075720000}"/>
    <cellStyle name="Normal 2 3 4 25 2 2 6 2" xfId="42958" xr:uid="{00000000-0005-0000-0000-000076720000}"/>
    <cellStyle name="Normal 2 3 4 25 2 2 7" xfId="42959" xr:uid="{00000000-0005-0000-0000-000077720000}"/>
    <cellStyle name="Normal 2 3 4 25 2 3" xfId="12271" xr:uid="{00000000-0005-0000-0000-000078720000}"/>
    <cellStyle name="Normal 2 3 4 25 2 3 2" xfId="12272" xr:uid="{00000000-0005-0000-0000-000079720000}"/>
    <cellStyle name="Normal 2 3 4 25 2 3 2 2" xfId="42960" xr:uid="{00000000-0005-0000-0000-00007A720000}"/>
    <cellStyle name="Normal 2 3 4 25 2 3 3" xfId="12273" xr:uid="{00000000-0005-0000-0000-00007B720000}"/>
    <cellStyle name="Normal 2 3 4 25 2 3 3 2" xfId="42961" xr:uid="{00000000-0005-0000-0000-00007C720000}"/>
    <cellStyle name="Normal 2 3 4 25 2 3 4" xfId="42962" xr:uid="{00000000-0005-0000-0000-00007D720000}"/>
    <cellStyle name="Normal 2 3 4 25 2 4" xfId="12274" xr:uid="{00000000-0005-0000-0000-00007E720000}"/>
    <cellStyle name="Normal 2 3 4 25 2 4 2" xfId="12275" xr:uid="{00000000-0005-0000-0000-00007F720000}"/>
    <cellStyle name="Normal 2 3 4 25 2 4 2 2" xfId="42963" xr:uid="{00000000-0005-0000-0000-000080720000}"/>
    <cellStyle name="Normal 2 3 4 25 2 4 3" xfId="42964" xr:uid="{00000000-0005-0000-0000-000081720000}"/>
    <cellStyle name="Normal 2 3 4 25 2 5" xfId="12276" xr:uid="{00000000-0005-0000-0000-000082720000}"/>
    <cellStyle name="Normal 2 3 4 25 2 5 2" xfId="42965" xr:uid="{00000000-0005-0000-0000-000083720000}"/>
    <cellStyle name="Normal 2 3 4 25 2 6" xfId="12277" xr:uid="{00000000-0005-0000-0000-000084720000}"/>
    <cellStyle name="Normal 2 3 4 25 2 6 2" xfId="42966" xr:uid="{00000000-0005-0000-0000-000085720000}"/>
    <cellStyle name="Normal 2 3 4 25 2 7" xfId="42967" xr:uid="{00000000-0005-0000-0000-000086720000}"/>
    <cellStyle name="Normal 2 3 4 25 2 7 2" xfId="42968" xr:uid="{00000000-0005-0000-0000-000087720000}"/>
    <cellStyle name="Normal 2 3 4 25 2 8" xfId="42969" xr:uid="{00000000-0005-0000-0000-000088720000}"/>
    <cellStyle name="Normal 2 3 4 25 2 9" xfId="42970" xr:uid="{00000000-0005-0000-0000-000089720000}"/>
    <cellStyle name="Normal 2 3 4 25 3" xfId="12278" xr:uid="{00000000-0005-0000-0000-00008A720000}"/>
    <cellStyle name="Normal 2 3 4 25 3 2" xfId="12279" xr:uid="{00000000-0005-0000-0000-00008B720000}"/>
    <cellStyle name="Normal 2 3 4 25 3 2 2" xfId="12280" xr:uid="{00000000-0005-0000-0000-00008C720000}"/>
    <cellStyle name="Normal 2 3 4 25 3 2 2 2" xfId="42971" xr:uid="{00000000-0005-0000-0000-00008D720000}"/>
    <cellStyle name="Normal 2 3 4 25 3 2 3" xfId="12281" xr:uid="{00000000-0005-0000-0000-00008E720000}"/>
    <cellStyle name="Normal 2 3 4 25 3 2 3 2" xfId="42972" xr:uid="{00000000-0005-0000-0000-00008F720000}"/>
    <cellStyle name="Normal 2 3 4 25 3 2 4" xfId="42973" xr:uid="{00000000-0005-0000-0000-000090720000}"/>
    <cellStyle name="Normal 2 3 4 25 3 3" xfId="12282" xr:uid="{00000000-0005-0000-0000-000091720000}"/>
    <cellStyle name="Normal 2 3 4 25 3 3 2" xfId="42974" xr:uid="{00000000-0005-0000-0000-000092720000}"/>
    <cellStyle name="Normal 2 3 4 25 3 4" xfId="12283" xr:uid="{00000000-0005-0000-0000-000093720000}"/>
    <cellStyle name="Normal 2 3 4 25 3 4 2" xfId="42975" xr:uid="{00000000-0005-0000-0000-000094720000}"/>
    <cellStyle name="Normal 2 3 4 25 3 5" xfId="12284" xr:uid="{00000000-0005-0000-0000-000095720000}"/>
    <cellStyle name="Normal 2 3 4 25 3 5 2" xfId="42976" xr:uid="{00000000-0005-0000-0000-000096720000}"/>
    <cellStyle name="Normal 2 3 4 25 3 6" xfId="42977" xr:uid="{00000000-0005-0000-0000-000097720000}"/>
    <cellStyle name="Normal 2 3 4 25 3 6 2" xfId="42978" xr:uid="{00000000-0005-0000-0000-000098720000}"/>
    <cellStyle name="Normal 2 3 4 25 3 7" xfId="42979" xr:uid="{00000000-0005-0000-0000-000099720000}"/>
    <cellStyle name="Normal 2 3 4 25 4" xfId="12285" xr:uid="{00000000-0005-0000-0000-00009A720000}"/>
    <cellStyle name="Normal 2 3 4 25 4 2" xfId="12286" xr:uid="{00000000-0005-0000-0000-00009B720000}"/>
    <cellStyle name="Normal 2 3 4 25 4 2 2" xfId="42980" xr:uid="{00000000-0005-0000-0000-00009C720000}"/>
    <cellStyle name="Normal 2 3 4 25 4 3" xfId="12287" xr:uid="{00000000-0005-0000-0000-00009D720000}"/>
    <cellStyle name="Normal 2 3 4 25 4 3 2" xfId="42981" xr:uid="{00000000-0005-0000-0000-00009E720000}"/>
    <cellStyle name="Normal 2 3 4 25 4 4" xfId="42982" xr:uid="{00000000-0005-0000-0000-00009F720000}"/>
    <cellStyle name="Normal 2 3 4 25 5" xfId="12288" xr:uid="{00000000-0005-0000-0000-0000A0720000}"/>
    <cellStyle name="Normal 2 3 4 25 5 2" xfId="12289" xr:uid="{00000000-0005-0000-0000-0000A1720000}"/>
    <cellStyle name="Normal 2 3 4 25 5 2 2" xfId="42983" xr:uid="{00000000-0005-0000-0000-0000A2720000}"/>
    <cellStyle name="Normal 2 3 4 25 5 3" xfId="42984" xr:uid="{00000000-0005-0000-0000-0000A3720000}"/>
    <cellStyle name="Normal 2 3 4 25 6" xfId="12290" xr:uid="{00000000-0005-0000-0000-0000A4720000}"/>
    <cellStyle name="Normal 2 3 4 25 6 2" xfId="42985" xr:uid="{00000000-0005-0000-0000-0000A5720000}"/>
    <cellStyle name="Normal 2 3 4 25 7" xfId="12291" xr:uid="{00000000-0005-0000-0000-0000A6720000}"/>
    <cellStyle name="Normal 2 3 4 25 7 2" xfId="42986" xr:uid="{00000000-0005-0000-0000-0000A7720000}"/>
    <cellStyle name="Normal 2 3 4 25 8" xfId="42987" xr:uid="{00000000-0005-0000-0000-0000A8720000}"/>
    <cellStyle name="Normal 2 3 4 25 8 2" xfId="42988" xr:uid="{00000000-0005-0000-0000-0000A9720000}"/>
    <cellStyle name="Normal 2 3 4 25 9" xfId="42989" xr:uid="{00000000-0005-0000-0000-0000AA720000}"/>
    <cellStyle name="Normal 2 3 4 26" xfId="12292" xr:uid="{00000000-0005-0000-0000-0000AB720000}"/>
    <cellStyle name="Normal 2 3 4 26 10" xfId="42990" xr:uid="{00000000-0005-0000-0000-0000AC720000}"/>
    <cellStyle name="Normal 2 3 4 26 11" xfId="42991" xr:uid="{00000000-0005-0000-0000-0000AD720000}"/>
    <cellStyle name="Normal 2 3 4 26 2" xfId="12293" xr:uid="{00000000-0005-0000-0000-0000AE720000}"/>
    <cellStyle name="Normal 2 3 4 26 2 10" xfId="42992" xr:uid="{00000000-0005-0000-0000-0000AF720000}"/>
    <cellStyle name="Normal 2 3 4 26 2 2" xfId="12294" xr:uid="{00000000-0005-0000-0000-0000B0720000}"/>
    <cellStyle name="Normal 2 3 4 26 2 2 2" xfId="12295" xr:uid="{00000000-0005-0000-0000-0000B1720000}"/>
    <cellStyle name="Normal 2 3 4 26 2 2 2 2" xfId="12296" xr:uid="{00000000-0005-0000-0000-0000B2720000}"/>
    <cellStyle name="Normal 2 3 4 26 2 2 2 2 2" xfId="42993" xr:uid="{00000000-0005-0000-0000-0000B3720000}"/>
    <cellStyle name="Normal 2 3 4 26 2 2 2 3" xfId="12297" xr:uid="{00000000-0005-0000-0000-0000B4720000}"/>
    <cellStyle name="Normal 2 3 4 26 2 2 2 3 2" xfId="42994" xr:uid="{00000000-0005-0000-0000-0000B5720000}"/>
    <cellStyle name="Normal 2 3 4 26 2 2 2 4" xfId="42995" xr:uid="{00000000-0005-0000-0000-0000B6720000}"/>
    <cellStyle name="Normal 2 3 4 26 2 2 3" xfId="12298" xr:uid="{00000000-0005-0000-0000-0000B7720000}"/>
    <cellStyle name="Normal 2 3 4 26 2 2 3 2" xfId="42996" xr:uid="{00000000-0005-0000-0000-0000B8720000}"/>
    <cellStyle name="Normal 2 3 4 26 2 2 4" xfId="12299" xr:uid="{00000000-0005-0000-0000-0000B9720000}"/>
    <cellStyle name="Normal 2 3 4 26 2 2 4 2" xfId="42997" xr:uid="{00000000-0005-0000-0000-0000BA720000}"/>
    <cellStyle name="Normal 2 3 4 26 2 2 5" xfId="12300" xr:uid="{00000000-0005-0000-0000-0000BB720000}"/>
    <cellStyle name="Normal 2 3 4 26 2 2 5 2" xfId="42998" xr:uid="{00000000-0005-0000-0000-0000BC720000}"/>
    <cellStyle name="Normal 2 3 4 26 2 2 6" xfId="42999" xr:uid="{00000000-0005-0000-0000-0000BD720000}"/>
    <cellStyle name="Normal 2 3 4 26 2 2 6 2" xfId="43000" xr:uid="{00000000-0005-0000-0000-0000BE720000}"/>
    <cellStyle name="Normal 2 3 4 26 2 2 7" xfId="43001" xr:uid="{00000000-0005-0000-0000-0000BF720000}"/>
    <cellStyle name="Normal 2 3 4 26 2 3" xfId="12301" xr:uid="{00000000-0005-0000-0000-0000C0720000}"/>
    <cellStyle name="Normal 2 3 4 26 2 3 2" xfId="12302" xr:uid="{00000000-0005-0000-0000-0000C1720000}"/>
    <cellStyle name="Normal 2 3 4 26 2 3 2 2" xfId="43002" xr:uid="{00000000-0005-0000-0000-0000C2720000}"/>
    <cellStyle name="Normal 2 3 4 26 2 3 3" xfId="12303" xr:uid="{00000000-0005-0000-0000-0000C3720000}"/>
    <cellStyle name="Normal 2 3 4 26 2 3 3 2" xfId="43003" xr:uid="{00000000-0005-0000-0000-0000C4720000}"/>
    <cellStyle name="Normal 2 3 4 26 2 3 4" xfId="43004" xr:uid="{00000000-0005-0000-0000-0000C5720000}"/>
    <cellStyle name="Normal 2 3 4 26 2 4" xfId="12304" xr:uid="{00000000-0005-0000-0000-0000C6720000}"/>
    <cellStyle name="Normal 2 3 4 26 2 4 2" xfId="12305" xr:uid="{00000000-0005-0000-0000-0000C7720000}"/>
    <cellStyle name="Normal 2 3 4 26 2 4 2 2" xfId="43005" xr:uid="{00000000-0005-0000-0000-0000C8720000}"/>
    <cellStyle name="Normal 2 3 4 26 2 4 3" xfId="43006" xr:uid="{00000000-0005-0000-0000-0000C9720000}"/>
    <cellStyle name="Normal 2 3 4 26 2 5" xfId="12306" xr:uid="{00000000-0005-0000-0000-0000CA720000}"/>
    <cellStyle name="Normal 2 3 4 26 2 5 2" xfId="43007" xr:uid="{00000000-0005-0000-0000-0000CB720000}"/>
    <cellStyle name="Normal 2 3 4 26 2 6" xfId="12307" xr:uid="{00000000-0005-0000-0000-0000CC720000}"/>
    <cellStyle name="Normal 2 3 4 26 2 6 2" xfId="43008" xr:uid="{00000000-0005-0000-0000-0000CD720000}"/>
    <cellStyle name="Normal 2 3 4 26 2 7" xfId="43009" xr:uid="{00000000-0005-0000-0000-0000CE720000}"/>
    <cellStyle name="Normal 2 3 4 26 2 7 2" xfId="43010" xr:uid="{00000000-0005-0000-0000-0000CF720000}"/>
    <cellStyle name="Normal 2 3 4 26 2 8" xfId="43011" xr:uid="{00000000-0005-0000-0000-0000D0720000}"/>
    <cellStyle name="Normal 2 3 4 26 2 9" xfId="43012" xr:uid="{00000000-0005-0000-0000-0000D1720000}"/>
    <cellStyle name="Normal 2 3 4 26 3" xfId="12308" xr:uid="{00000000-0005-0000-0000-0000D2720000}"/>
    <cellStyle name="Normal 2 3 4 26 3 2" xfId="12309" xr:uid="{00000000-0005-0000-0000-0000D3720000}"/>
    <cellStyle name="Normal 2 3 4 26 3 2 2" xfId="12310" xr:uid="{00000000-0005-0000-0000-0000D4720000}"/>
    <cellStyle name="Normal 2 3 4 26 3 2 2 2" xfId="43013" xr:uid="{00000000-0005-0000-0000-0000D5720000}"/>
    <cellStyle name="Normal 2 3 4 26 3 2 3" xfId="12311" xr:uid="{00000000-0005-0000-0000-0000D6720000}"/>
    <cellStyle name="Normal 2 3 4 26 3 2 3 2" xfId="43014" xr:uid="{00000000-0005-0000-0000-0000D7720000}"/>
    <cellStyle name="Normal 2 3 4 26 3 2 4" xfId="43015" xr:uid="{00000000-0005-0000-0000-0000D8720000}"/>
    <cellStyle name="Normal 2 3 4 26 3 3" xfId="12312" xr:uid="{00000000-0005-0000-0000-0000D9720000}"/>
    <cellStyle name="Normal 2 3 4 26 3 3 2" xfId="43016" xr:uid="{00000000-0005-0000-0000-0000DA720000}"/>
    <cellStyle name="Normal 2 3 4 26 3 4" xfId="12313" xr:uid="{00000000-0005-0000-0000-0000DB720000}"/>
    <cellStyle name="Normal 2 3 4 26 3 4 2" xfId="43017" xr:uid="{00000000-0005-0000-0000-0000DC720000}"/>
    <cellStyle name="Normal 2 3 4 26 3 5" xfId="12314" xr:uid="{00000000-0005-0000-0000-0000DD720000}"/>
    <cellStyle name="Normal 2 3 4 26 3 5 2" xfId="43018" xr:uid="{00000000-0005-0000-0000-0000DE720000}"/>
    <cellStyle name="Normal 2 3 4 26 3 6" xfId="43019" xr:uid="{00000000-0005-0000-0000-0000DF720000}"/>
    <cellStyle name="Normal 2 3 4 26 3 6 2" xfId="43020" xr:uid="{00000000-0005-0000-0000-0000E0720000}"/>
    <cellStyle name="Normal 2 3 4 26 3 7" xfId="43021" xr:uid="{00000000-0005-0000-0000-0000E1720000}"/>
    <cellStyle name="Normal 2 3 4 26 4" xfId="12315" xr:uid="{00000000-0005-0000-0000-0000E2720000}"/>
    <cellStyle name="Normal 2 3 4 26 4 2" xfId="12316" xr:uid="{00000000-0005-0000-0000-0000E3720000}"/>
    <cellStyle name="Normal 2 3 4 26 4 2 2" xfId="43022" xr:uid="{00000000-0005-0000-0000-0000E4720000}"/>
    <cellStyle name="Normal 2 3 4 26 4 3" xfId="12317" xr:uid="{00000000-0005-0000-0000-0000E5720000}"/>
    <cellStyle name="Normal 2 3 4 26 4 3 2" xfId="43023" xr:uid="{00000000-0005-0000-0000-0000E6720000}"/>
    <cellStyle name="Normal 2 3 4 26 4 4" xfId="43024" xr:uid="{00000000-0005-0000-0000-0000E7720000}"/>
    <cellStyle name="Normal 2 3 4 26 5" xfId="12318" xr:uid="{00000000-0005-0000-0000-0000E8720000}"/>
    <cellStyle name="Normal 2 3 4 26 5 2" xfId="12319" xr:uid="{00000000-0005-0000-0000-0000E9720000}"/>
    <cellStyle name="Normal 2 3 4 26 5 2 2" xfId="43025" xr:uid="{00000000-0005-0000-0000-0000EA720000}"/>
    <cellStyle name="Normal 2 3 4 26 5 3" xfId="43026" xr:uid="{00000000-0005-0000-0000-0000EB720000}"/>
    <cellStyle name="Normal 2 3 4 26 6" xfId="12320" xr:uid="{00000000-0005-0000-0000-0000EC720000}"/>
    <cellStyle name="Normal 2 3 4 26 6 2" xfId="43027" xr:uid="{00000000-0005-0000-0000-0000ED720000}"/>
    <cellStyle name="Normal 2 3 4 26 7" xfId="12321" xr:uid="{00000000-0005-0000-0000-0000EE720000}"/>
    <cellStyle name="Normal 2 3 4 26 7 2" xfId="43028" xr:uid="{00000000-0005-0000-0000-0000EF720000}"/>
    <cellStyle name="Normal 2 3 4 26 8" xfId="43029" xr:uid="{00000000-0005-0000-0000-0000F0720000}"/>
    <cellStyle name="Normal 2 3 4 26 8 2" xfId="43030" xr:uid="{00000000-0005-0000-0000-0000F1720000}"/>
    <cellStyle name="Normal 2 3 4 26 9" xfId="43031" xr:uid="{00000000-0005-0000-0000-0000F2720000}"/>
    <cellStyle name="Normal 2 3 4 27" xfId="12322" xr:uid="{00000000-0005-0000-0000-0000F3720000}"/>
    <cellStyle name="Normal 2 3 4 27 10" xfId="43032" xr:uid="{00000000-0005-0000-0000-0000F4720000}"/>
    <cellStyle name="Normal 2 3 4 27 11" xfId="43033" xr:uid="{00000000-0005-0000-0000-0000F5720000}"/>
    <cellStyle name="Normal 2 3 4 27 2" xfId="12323" xr:uid="{00000000-0005-0000-0000-0000F6720000}"/>
    <cellStyle name="Normal 2 3 4 27 2 10" xfId="43034" xr:uid="{00000000-0005-0000-0000-0000F7720000}"/>
    <cellStyle name="Normal 2 3 4 27 2 2" xfId="12324" xr:uid="{00000000-0005-0000-0000-0000F8720000}"/>
    <cellStyle name="Normal 2 3 4 27 2 2 2" xfId="12325" xr:uid="{00000000-0005-0000-0000-0000F9720000}"/>
    <cellStyle name="Normal 2 3 4 27 2 2 2 2" xfId="12326" xr:uid="{00000000-0005-0000-0000-0000FA720000}"/>
    <cellStyle name="Normal 2 3 4 27 2 2 2 2 2" xfId="43035" xr:uid="{00000000-0005-0000-0000-0000FB720000}"/>
    <cellStyle name="Normal 2 3 4 27 2 2 2 3" xfId="12327" xr:uid="{00000000-0005-0000-0000-0000FC720000}"/>
    <cellStyle name="Normal 2 3 4 27 2 2 2 3 2" xfId="43036" xr:uid="{00000000-0005-0000-0000-0000FD720000}"/>
    <cellStyle name="Normal 2 3 4 27 2 2 2 4" xfId="43037" xr:uid="{00000000-0005-0000-0000-0000FE720000}"/>
    <cellStyle name="Normal 2 3 4 27 2 2 3" xfId="12328" xr:uid="{00000000-0005-0000-0000-0000FF720000}"/>
    <cellStyle name="Normal 2 3 4 27 2 2 3 2" xfId="43038" xr:uid="{00000000-0005-0000-0000-000000730000}"/>
    <cellStyle name="Normal 2 3 4 27 2 2 4" xfId="12329" xr:uid="{00000000-0005-0000-0000-000001730000}"/>
    <cellStyle name="Normal 2 3 4 27 2 2 4 2" xfId="43039" xr:uid="{00000000-0005-0000-0000-000002730000}"/>
    <cellStyle name="Normal 2 3 4 27 2 2 5" xfId="12330" xr:uid="{00000000-0005-0000-0000-000003730000}"/>
    <cellStyle name="Normal 2 3 4 27 2 2 5 2" xfId="43040" xr:uid="{00000000-0005-0000-0000-000004730000}"/>
    <cellStyle name="Normal 2 3 4 27 2 2 6" xfId="43041" xr:uid="{00000000-0005-0000-0000-000005730000}"/>
    <cellStyle name="Normal 2 3 4 27 2 2 6 2" xfId="43042" xr:uid="{00000000-0005-0000-0000-000006730000}"/>
    <cellStyle name="Normal 2 3 4 27 2 2 7" xfId="43043" xr:uid="{00000000-0005-0000-0000-000007730000}"/>
    <cellStyle name="Normal 2 3 4 27 2 3" xfId="12331" xr:uid="{00000000-0005-0000-0000-000008730000}"/>
    <cellStyle name="Normal 2 3 4 27 2 3 2" xfId="12332" xr:uid="{00000000-0005-0000-0000-000009730000}"/>
    <cellStyle name="Normal 2 3 4 27 2 3 2 2" xfId="43044" xr:uid="{00000000-0005-0000-0000-00000A730000}"/>
    <cellStyle name="Normal 2 3 4 27 2 3 3" xfId="12333" xr:uid="{00000000-0005-0000-0000-00000B730000}"/>
    <cellStyle name="Normal 2 3 4 27 2 3 3 2" xfId="43045" xr:uid="{00000000-0005-0000-0000-00000C730000}"/>
    <cellStyle name="Normal 2 3 4 27 2 3 4" xfId="43046" xr:uid="{00000000-0005-0000-0000-00000D730000}"/>
    <cellStyle name="Normal 2 3 4 27 2 4" xfId="12334" xr:uid="{00000000-0005-0000-0000-00000E730000}"/>
    <cellStyle name="Normal 2 3 4 27 2 4 2" xfId="12335" xr:uid="{00000000-0005-0000-0000-00000F730000}"/>
    <cellStyle name="Normal 2 3 4 27 2 4 2 2" xfId="43047" xr:uid="{00000000-0005-0000-0000-000010730000}"/>
    <cellStyle name="Normal 2 3 4 27 2 4 3" xfId="43048" xr:uid="{00000000-0005-0000-0000-000011730000}"/>
    <cellStyle name="Normal 2 3 4 27 2 5" xfId="12336" xr:uid="{00000000-0005-0000-0000-000012730000}"/>
    <cellStyle name="Normal 2 3 4 27 2 5 2" xfId="43049" xr:uid="{00000000-0005-0000-0000-000013730000}"/>
    <cellStyle name="Normal 2 3 4 27 2 6" xfId="12337" xr:uid="{00000000-0005-0000-0000-000014730000}"/>
    <cellStyle name="Normal 2 3 4 27 2 6 2" xfId="43050" xr:uid="{00000000-0005-0000-0000-000015730000}"/>
    <cellStyle name="Normal 2 3 4 27 2 7" xfId="43051" xr:uid="{00000000-0005-0000-0000-000016730000}"/>
    <cellStyle name="Normal 2 3 4 27 2 7 2" xfId="43052" xr:uid="{00000000-0005-0000-0000-000017730000}"/>
    <cellStyle name="Normal 2 3 4 27 2 8" xfId="43053" xr:uid="{00000000-0005-0000-0000-000018730000}"/>
    <cellStyle name="Normal 2 3 4 27 2 9" xfId="43054" xr:uid="{00000000-0005-0000-0000-000019730000}"/>
    <cellStyle name="Normal 2 3 4 27 3" xfId="12338" xr:uid="{00000000-0005-0000-0000-00001A730000}"/>
    <cellStyle name="Normal 2 3 4 27 3 2" xfId="12339" xr:uid="{00000000-0005-0000-0000-00001B730000}"/>
    <cellStyle name="Normal 2 3 4 27 3 2 2" xfId="12340" xr:uid="{00000000-0005-0000-0000-00001C730000}"/>
    <cellStyle name="Normal 2 3 4 27 3 2 2 2" xfId="43055" xr:uid="{00000000-0005-0000-0000-00001D730000}"/>
    <cellStyle name="Normal 2 3 4 27 3 2 3" xfId="12341" xr:uid="{00000000-0005-0000-0000-00001E730000}"/>
    <cellStyle name="Normal 2 3 4 27 3 2 3 2" xfId="43056" xr:uid="{00000000-0005-0000-0000-00001F730000}"/>
    <cellStyle name="Normal 2 3 4 27 3 2 4" xfId="43057" xr:uid="{00000000-0005-0000-0000-000020730000}"/>
    <cellStyle name="Normal 2 3 4 27 3 3" xfId="12342" xr:uid="{00000000-0005-0000-0000-000021730000}"/>
    <cellStyle name="Normal 2 3 4 27 3 3 2" xfId="43058" xr:uid="{00000000-0005-0000-0000-000022730000}"/>
    <cellStyle name="Normal 2 3 4 27 3 4" xfId="12343" xr:uid="{00000000-0005-0000-0000-000023730000}"/>
    <cellStyle name="Normal 2 3 4 27 3 4 2" xfId="43059" xr:uid="{00000000-0005-0000-0000-000024730000}"/>
    <cellStyle name="Normal 2 3 4 27 3 5" xfId="12344" xr:uid="{00000000-0005-0000-0000-000025730000}"/>
    <cellStyle name="Normal 2 3 4 27 3 5 2" xfId="43060" xr:uid="{00000000-0005-0000-0000-000026730000}"/>
    <cellStyle name="Normal 2 3 4 27 3 6" xfId="43061" xr:uid="{00000000-0005-0000-0000-000027730000}"/>
    <cellStyle name="Normal 2 3 4 27 3 6 2" xfId="43062" xr:uid="{00000000-0005-0000-0000-000028730000}"/>
    <cellStyle name="Normal 2 3 4 27 3 7" xfId="43063" xr:uid="{00000000-0005-0000-0000-000029730000}"/>
    <cellStyle name="Normal 2 3 4 27 4" xfId="12345" xr:uid="{00000000-0005-0000-0000-00002A730000}"/>
    <cellStyle name="Normal 2 3 4 27 4 2" xfId="12346" xr:uid="{00000000-0005-0000-0000-00002B730000}"/>
    <cellStyle name="Normal 2 3 4 27 4 2 2" xfId="43064" xr:uid="{00000000-0005-0000-0000-00002C730000}"/>
    <cellStyle name="Normal 2 3 4 27 4 3" xfId="12347" xr:uid="{00000000-0005-0000-0000-00002D730000}"/>
    <cellStyle name="Normal 2 3 4 27 4 3 2" xfId="43065" xr:uid="{00000000-0005-0000-0000-00002E730000}"/>
    <cellStyle name="Normal 2 3 4 27 4 4" xfId="43066" xr:uid="{00000000-0005-0000-0000-00002F730000}"/>
    <cellStyle name="Normal 2 3 4 27 5" xfId="12348" xr:uid="{00000000-0005-0000-0000-000030730000}"/>
    <cellStyle name="Normal 2 3 4 27 5 2" xfId="12349" xr:uid="{00000000-0005-0000-0000-000031730000}"/>
    <cellStyle name="Normal 2 3 4 27 5 2 2" xfId="43067" xr:uid="{00000000-0005-0000-0000-000032730000}"/>
    <cellStyle name="Normal 2 3 4 27 5 3" xfId="43068" xr:uid="{00000000-0005-0000-0000-000033730000}"/>
    <cellStyle name="Normal 2 3 4 27 6" xfId="12350" xr:uid="{00000000-0005-0000-0000-000034730000}"/>
    <cellStyle name="Normal 2 3 4 27 6 2" xfId="43069" xr:uid="{00000000-0005-0000-0000-000035730000}"/>
    <cellStyle name="Normal 2 3 4 27 7" xfId="12351" xr:uid="{00000000-0005-0000-0000-000036730000}"/>
    <cellStyle name="Normal 2 3 4 27 7 2" xfId="43070" xr:uid="{00000000-0005-0000-0000-000037730000}"/>
    <cellStyle name="Normal 2 3 4 27 8" xfId="43071" xr:uid="{00000000-0005-0000-0000-000038730000}"/>
    <cellStyle name="Normal 2 3 4 27 8 2" xfId="43072" xr:uid="{00000000-0005-0000-0000-000039730000}"/>
    <cellStyle name="Normal 2 3 4 27 9" xfId="43073" xr:uid="{00000000-0005-0000-0000-00003A730000}"/>
    <cellStyle name="Normal 2 3 4 28" xfId="12352" xr:uid="{00000000-0005-0000-0000-00003B730000}"/>
    <cellStyle name="Normal 2 3 4 28 10" xfId="43074" xr:uid="{00000000-0005-0000-0000-00003C730000}"/>
    <cellStyle name="Normal 2 3 4 28 11" xfId="43075" xr:uid="{00000000-0005-0000-0000-00003D730000}"/>
    <cellStyle name="Normal 2 3 4 28 2" xfId="12353" xr:uid="{00000000-0005-0000-0000-00003E730000}"/>
    <cellStyle name="Normal 2 3 4 28 2 10" xfId="43076" xr:uid="{00000000-0005-0000-0000-00003F730000}"/>
    <cellStyle name="Normal 2 3 4 28 2 2" xfId="12354" xr:uid="{00000000-0005-0000-0000-000040730000}"/>
    <cellStyle name="Normal 2 3 4 28 2 2 2" xfId="12355" xr:uid="{00000000-0005-0000-0000-000041730000}"/>
    <cellStyle name="Normal 2 3 4 28 2 2 2 2" xfId="12356" xr:uid="{00000000-0005-0000-0000-000042730000}"/>
    <cellStyle name="Normal 2 3 4 28 2 2 2 2 2" xfId="43077" xr:uid="{00000000-0005-0000-0000-000043730000}"/>
    <cellStyle name="Normal 2 3 4 28 2 2 2 3" xfId="12357" xr:uid="{00000000-0005-0000-0000-000044730000}"/>
    <cellStyle name="Normal 2 3 4 28 2 2 2 3 2" xfId="43078" xr:uid="{00000000-0005-0000-0000-000045730000}"/>
    <cellStyle name="Normal 2 3 4 28 2 2 2 4" xfId="43079" xr:uid="{00000000-0005-0000-0000-000046730000}"/>
    <cellStyle name="Normal 2 3 4 28 2 2 3" xfId="12358" xr:uid="{00000000-0005-0000-0000-000047730000}"/>
    <cellStyle name="Normal 2 3 4 28 2 2 3 2" xfId="43080" xr:uid="{00000000-0005-0000-0000-000048730000}"/>
    <cellStyle name="Normal 2 3 4 28 2 2 4" xfId="12359" xr:uid="{00000000-0005-0000-0000-000049730000}"/>
    <cellStyle name="Normal 2 3 4 28 2 2 4 2" xfId="43081" xr:uid="{00000000-0005-0000-0000-00004A730000}"/>
    <cellStyle name="Normal 2 3 4 28 2 2 5" xfId="12360" xr:uid="{00000000-0005-0000-0000-00004B730000}"/>
    <cellStyle name="Normal 2 3 4 28 2 2 5 2" xfId="43082" xr:uid="{00000000-0005-0000-0000-00004C730000}"/>
    <cellStyle name="Normal 2 3 4 28 2 2 6" xfId="43083" xr:uid="{00000000-0005-0000-0000-00004D730000}"/>
    <cellStyle name="Normal 2 3 4 28 2 2 6 2" xfId="43084" xr:uid="{00000000-0005-0000-0000-00004E730000}"/>
    <cellStyle name="Normal 2 3 4 28 2 2 7" xfId="43085" xr:uid="{00000000-0005-0000-0000-00004F730000}"/>
    <cellStyle name="Normal 2 3 4 28 2 3" xfId="12361" xr:uid="{00000000-0005-0000-0000-000050730000}"/>
    <cellStyle name="Normal 2 3 4 28 2 3 2" xfId="12362" xr:uid="{00000000-0005-0000-0000-000051730000}"/>
    <cellStyle name="Normal 2 3 4 28 2 3 2 2" xfId="43086" xr:uid="{00000000-0005-0000-0000-000052730000}"/>
    <cellStyle name="Normal 2 3 4 28 2 3 3" xfId="12363" xr:uid="{00000000-0005-0000-0000-000053730000}"/>
    <cellStyle name="Normal 2 3 4 28 2 3 3 2" xfId="43087" xr:uid="{00000000-0005-0000-0000-000054730000}"/>
    <cellStyle name="Normal 2 3 4 28 2 3 4" xfId="43088" xr:uid="{00000000-0005-0000-0000-000055730000}"/>
    <cellStyle name="Normal 2 3 4 28 2 4" xfId="12364" xr:uid="{00000000-0005-0000-0000-000056730000}"/>
    <cellStyle name="Normal 2 3 4 28 2 4 2" xfId="12365" xr:uid="{00000000-0005-0000-0000-000057730000}"/>
    <cellStyle name="Normal 2 3 4 28 2 4 2 2" xfId="43089" xr:uid="{00000000-0005-0000-0000-000058730000}"/>
    <cellStyle name="Normal 2 3 4 28 2 4 3" xfId="43090" xr:uid="{00000000-0005-0000-0000-000059730000}"/>
    <cellStyle name="Normal 2 3 4 28 2 5" xfId="12366" xr:uid="{00000000-0005-0000-0000-00005A730000}"/>
    <cellStyle name="Normal 2 3 4 28 2 5 2" xfId="43091" xr:uid="{00000000-0005-0000-0000-00005B730000}"/>
    <cellStyle name="Normal 2 3 4 28 2 6" xfId="12367" xr:uid="{00000000-0005-0000-0000-00005C730000}"/>
    <cellStyle name="Normal 2 3 4 28 2 6 2" xfId="43092" xr:uid="{00000000-0005-0000-0000-00005D730000}"/>
    <cellStyle name="Normal 2 3 4 28 2 7" xfId="43093" xr:uid="{00000000-0005-0000-0000-00005E730000}"/>
    <cellStyle name="Normal 2 3 4 28 2 7 2" xfId="43094" xr:uid="{00000000-0005-0000-0000-00005F730000}"/>
    <cellStyle name="Normal 2 3 4 28 2 8" xfId="43095" xr:uid="{00000000-0005-0000-0000-000060730000}"/>
    <cellStyle name="Normal 2 3 4 28 2 9" xfId="43096" xr:uid="{00000000-0005-0000-0000-000061730000}"/>
    <cellStyle name="Normal 2 3 4 28 3" xfId="12368" xr:uid="{00000000-0005-0000-0000-000062730000}"/>
    <cellStyle name="Normal 2 3 4 28 3 2" xfId="12369" xr:uid="{00000000-0005-0000-0000-000063730000}"/>
    <cellStyle name="Normal 2 3 4 28 3 2 2" xfId="12370" xr:uid="{00000000-0005-0000-0000-000064730000}"/>
    <cellStyle name="Normal 2 3 4 28 3 2 2 2" xfId="43097" xr:uid="{00000000-0005-0000-0000-000065730000}"/>
    <cellStyle name="Normal 2 3 4 28 3 2 3" xfId="12371" xr:uid="{00000000-0005-0000-0000-000066730000}"/>
    <cellStyle name="Normal 2 3 4 28 3 2 3 2" xfId="43098" xr:uid="{00000000-0005-0000-0000-000067730000}"/>
    <cellStyle name="Normal 2 3 4 28 3 2 4" xfId="43099" xr:uid="{00000000-0005-0000-0000-000068730000}"/>
    <cellStyle name="Normal 2 3 4 28 3 3" xfId="12372" xr:uid="{00000000-0005-0000-0000-000069730000}"/>
    <cellStyle name="Normal 2 3 4 28 3 3 2" xfId="43100" xr:uid="{00000000-0005-0000-0000-00006A730000}"/>
    <cellStyle name="Normal 2 3 4 28 3 4" xfId="12373" xr:uid="{00000000-0005-0000-0000-00006B730000}"/>
    <cellStyle name="Normal 2 3 4 28 3 4 2" xfId="43101" xr:uid="{00000000-0005-0000-0000-00006C730000}"/>
    <cellStyle name="Normal 2 3 4 28 3 5" xfId="12374" xr:uid="{00000000-0005-0000-0000-00006D730000}"/>
    <cellStyle name="Normal 2 3 4 28 3 5 2" xfId="43102" xr:uid="{00000000-0005-0000-0000-00006E730000}"/>
    <cellStyle name="Normal 2 3 4 28 3 6" xfId="43103" xr:uid="{00000000-0005-0000-0000-00006F730000}"/>
    <cellStyle name="Normal 2 3 4 28 3 6 2" xfId="43104" xr:uid="{00000000-0005-0000-0000-000070730000}"/>
    <cellStyle name="Normal 2 3 4 28 3 7" xfId="43105" xr:uid="{00000000-0005-0000-0000-000071730000}"/>
    <cellStyle name="Normal 2 3 4 28 4" xfId="12375" xr:uid="{00000000-0005-0000-0000-000072730000}"/>
    <cellStyle name="Normal 2 3 4 28 4 2" xfId="12376" xr:uid="{00000000-0005-0000-0000-000073730000}"/>
    <cellStyle name="Normal 2 3 4 28 4 2 2" xfId="43106" xr:uid="{00000000-0005-0000-0000-000074730000}"/>
    <cellStyle name="Normal 2 3 4 28 4 3" xfId="12377" xr:uid="{00000000-0005-0000-0000-000075730000}"/>
    <cellStyle name="Normal 2 3 4 28 4 3 2" xfId="43107" xr:uid="{00000000-0005-0000-0000-000076730000}"/>
    <cellStyle name="Normal 2 3 4 28 4 4" xfId="43108" xr:uid="{00000000-0005-0000-0000-000077730000}"/>
    <cellStyle name="Normal 2 3 4 28 5" xfId="12378" xr:uid="{00000000-0005-0000-0000-000078730000}"/>
    <cellStyle name="Normal 2 3 4 28 5 2" xfId="12379" xr:uid="{00000000-0005-0000-0000-000079730000}"/>
    <cellStyle name="Normal 2 3 4 28 5 2 2" xfId="43109" xr:uid="{00000000-0005-0000-0000-00007A730000}"/>
    <cellStyle name="Normal 2 3 4 28 5 3" xfId="43110" xr:uid="{00000000-0005-0000-0000-00007B730000}"/>
    <cellStyle name="Normal 2 3 4 28 6" xfId="12380" xr:uid="{00000000-0005-0000-0000-00007C730000}"/>
    <cellStyle name="Normal 2 3 4 28 6 2" xfId="43111" xr:uid="{00000000-0005-0000-0000-00007D730000}"/>
    <cellStyle name="Normal 2 3 4 28 7" xfId="12381" xr:uid="{00000000-0005-0000-0000-00007E730000}"/>
    <cellStyle name="Normal 2 3 4 28 7 2" xfId="43112" xr:uid="{00000000-0005-0000-0000-00007F730000}"/>
    <cellStyle name="Normal 2 3 4 28 8" xfId="43113" xr:uid="{00000000-0005-0000-0000-000080730000}"/>
    <cellStyle name="Normal 2 3 4 28 8 2" xfId="43114" xr:uid="{00000000-0005-0000-0000-000081730000}"/>
    <cellStyle name="Normal 2 3 4 28 9" xfId="43115" xr:uid="{00000000-0005-0000-0000-000082730000}"/>
    <cellStyle name="Normal 2 3 4 29" xfId="12382" xr:uid="{00000000-0005-0000-0000-000083730000}"/>
    <cellStyle name="Normal 2 3 4 29 10" xfId="43116" xr:uid="{00000000-0005-0000-0000-000084730000}"/>
    <cellStyle name="Normal 2 3 4 29 11" xfId="43117" xr:uid="{00000000-0005-0000-0000-000085730000}"/>
    <cellStyle name="Normal 2 3 4 29 2" xfId="12383" xr:uid="{00000000-0005-0000-0000-000086730000}"/>
    <cellStyle name="Normal 2 3 4 29 2 10" xfId="43118" xr:uid="{00000000-0005-0000-0000-000087730000}"/>
    <cellStyle name="Normal 2 3 4 29 2 2" xfId="12384" xr:uid="{00000000-0005-0000-0000-000088730000}"/>
    <cellStyle name="Normal 2 3 4 29 2 2 2" xfId="12385" xr:uid="{00000000-0005-0000-0000-000089730000}"/>
    <cellStyle name="Normal 2 3 4 29 2 2 2 2" xfId="12386" xr:uid="{00000000-0005-0000-0000-00008A730000}"/>
    <cellStyle name="Normal 2 3 4 29 2 2 2 2 2" xfId="43119" xr:uid="{00000000-0005-0000-0000-00008B730000}"/>
    <cellStyle name="Normal 2 3 4 29 2 2 2 3" xfId="12387" xr:uid="{00000000-0005-0000-0000-00008C730000}"/>
    <cellStyle name="Normal 2 3 4 29 2 2 2 3 2" xfId="43120" xr:uid="{00000000-0005-0000-0000-00008D730000}"/>
    <cellStyle name="Normal 2 3 4 29 2 2 2 4" xfId="43121" xr:uid="{00000000-0005-0000-0000-00008E730000}"/>
    <cellStyle name="Normal 2 3 4 29 2 2 3" xfId="12388" xr:uid="{00000000-0005-0000-0000-00008F730000}"/>
    <cellStyle name="Normal 2 3 4 29 2 2 3 2" xfId="43122" xr:uid="{00000000-0005-0000-0000-000090730000}"/>
    <cellStyle name="Normal 2 3 4 29 2 2 4" xfId="12389" xr:uid="{00000000-0005-0000-0000-000091730000}"/>
    <cellStyle name="Normal 2 3 4 29 2 2 4 2" xfId="43123" xr:uid="{00000000-0005-0000-0000-000092730000}"/>
    <cellStyle name="Normal 2 3 4 29 2 2 5" xfId="12390" xr:uid="{00000000-0005-0000-0000-000093730000}"/>
    <cellStyle name="Normal 2 3 4 29 2 2 5 2" xfId="43124" xr:uid="{00000000-0005-0000-0000-000094730000}"/>
    <cellStyle name="Normal 2 3 4 29 2 2 6" xfId="43125" xr:uid="{00000000-0005-0000-0000-000095730000}"/>
    <cellStyle name="Normal 2 3 4 29 2 2 6 2" xfId="43126" xr:uid="{00000000-0005-0000-0000-000096730000}"/>
    <cellStyle name="Normal 2 3 4 29 2 2 7" xfId="43127" xr:uid="{00000000-0005-0000-0000-000097730000}"/>
    <cellStyle name="Normal 2 3 4 29 2 3" xfId="12391" xr:uid="{00000000-0005-0000-0000-000098730000}"/>
    <cellStyle name="Normal 2 3 4 29 2 3 2" xfId="12392" xr:uid="{00000000-0005-0000-0000-000099730000}"/>
    <cellStyle name="Normal 2 3 4 29 2 3 2 2" xfId="43128" xr:uid="{00000000-0005-0000-0000-00009A730000}"/>
    <cellStyle name="Normal 2 3 4 29 2 3 3" xfId="12393" xr:uid="{00000000-0005-0000-0000-00009B730000}"/>
    <cellStyle name="Normal 2 3 4 29 2 3 3 2" xfId="43129" xr:uid="{00000000-0005-0000-0000-00009C730000}"/>
    <cellStyle name="Normal 2 3 4 29 2 3 4" xfId="43130" xr:uid="{00000000-0005-0000-0000-00009D730000}"/>
    <cellStyle name="Normal 2 3 4 29 2 4" xfId="12394" xr:uid="{00000000-0005-0000-0000-00009E730000}"/>
    <cellStyle name="Normal 2 3 4 29 2 4 2" xfId="12395" xr:uid="{00000000-0005-0000-0000-00009F730000}"/>
    <cellStyle name="Normal 2 3 4 29 2 4 2 2" xfId="43131" xr:uid="{00000000-0005-0000-0000-0000A0730000}"/>
    <cellStyle name="Normal 2 3 4 29 2 4 3" xfId="43132" xr:uid="{00000000-0005-0000-0000-0000A1730000}"/>
    <cellStyle name="Normal 2 3 4 29 2 5" xfId="12396" xr:uid="{00000000-0005-0000-0000-0000A2730000}"/>
    <cellStyle name="Normal 2 3 4 29 2 5 2" xfId="43133" xr:uid="{00000000-0005-0000-0000-0000A3730000}"/>
    <cellStyle name="Normal 2 3 4 29 2 6" xfId="12397" xr:uid="{00000000-0005-0000-0000-0000A4730000}"/>
    <cellStyle name="Normal 2 3 4 29 2 6 2" xfId="43134" xr:uid="{00000000-0005-0000-0000-0000A5730000}"/>
    <cellStyle name="Normal 2 3 4 29 2 7" xfId="43135" xr:uid="{00000000-0005-0000-0000-0000A6730000}"/>
    <cellStyle name="Normal 2 3 4 29 2 7 2" xfId="43136" xr:uid="{00000000-0005-0000-0000-0000A7730000}"/>
    <cellStyle name="Normal 2 3 4 29 2 8" xfId="43137" xr:uid="{00000000-0005-0000-0000-0000A8730000}"/>
    <cellStyle name="Normal 2 3 4 29 2 9" xfId="43138" xr:uid="{00000000-0005-0000-0000-0000A9730000}"/>
    <cellStyle name="Normal 2 3 4 29 3" xfId="12398" xr:uid="{00000000-0005-0000-0000-0000AA730000}"/>
    <cellStyle name="Normal 2 3 4 29 3 2" xfId="12399" xr:uid="{00000000-0005-0000-0000-0000AB730000}"/>
    <cellStyle name="Normal 2 3 4 29 3 2 2" xfId="12400" xr:uid="{00000000-0005-0000-0000-0000AC730000}"/>
    <cellStyle name="Normal 2 3 4 29 3 2 2 2" xfId="43139" xr:uid="{00000000-0005-0000-0000-0000AD730000}"/>
    <cellStyle name="Normal 2 3 4 29 3 2 3" xfId="12401" xr:uid="{00000000-0005-0000-0000-0000AE730000}"/>
    <cellStyle name="Normal 2 3 4 29 3 2 3 2" xfId="43140" xr:uid="{00000000-0005-0000-0000-0000AF730000}"/>
    <cellStyle name="Normal 2 3 4 29 3 2 4" xfId="43141" xr:uid="{00000000-0005-0000-0000-0000B0730000}"/>
    <cellStyle name="Normal 2 3 4 29 3 3" xfId="12402" xr:uid="{00000000-0005-0000-0000-0000B1730000}"/>
    <cellStyle name="Normal 2 3 4 29 3 3 2" xfId="43142" xr:uid="{00000000-0005-0000-0000-0000B2730000}"/>
    <cellStyle name="Normal 2 3 4 29 3 4" xfId="12403" xr:uid="{00000000-0005-0000-0000-0000B3730000}"/>
    <cellStyle name="Normal 2 3 4 29 3 4 2" xfId="43143" xr:uid="{00000000-0005-0000-0000-0000B4730000}"/>
    <cellStyle name="Normal 2 3 4 29 3 5" xfId="12404" xr:uid="{00000000-0005-0000-0000-0000B5730000}"/>
    <cellStyle name="Normal 2 3 4 29 3 5 2" xfId="43144" xr:uid="{00000000-0005-0000-0000-0000B6730000}"/>
    <cellStyle name="Normal 2 3 4 29 3 6" xfId="43145" xr:uid="{00000000-0005-0000-0000-0000B7730000}"/>
    <cellStyle name="Normal 2 3 4 29 3 6 2" xfId="43146" xr:uid="{00000000-0005-0000-0000-0000B8730000}"/>
    <cellStyle name="Normal 2 3 4 29 3 7" xfId="43147" xr:uid="{00000000-0005-0000-0000-0000B9730000}"/>
    <cellStyle name="Normal 2 3 4 29 4" xfId="12405" xr:uid="{00000000-0005-0000-0000-0000BA730000}"/>
    <cellStyle name="Normal 2 3 4 29 4 2" xfId="12406" xr:uid="{00000000-0005-0000-0000-0000BB730000}"/>
    <cellStyle name="Normal 2 3 4 29 4 2 2" xfId="43148" xr:uid="{00000000-0005-0000-0000-0000BC730000}"/>
    <cellStyle name="Normal 2 3 4 29 4 3" xfId="12407" xr:uid="{00000000-0005-0000-0000-0000BD730000}"/>
    <cellStyle name="Normal 2 3 4 29 4 3 2" xfId="43149" xr:uid="{00000000-0005-0000-0000-0000BE730000}"/>
    <cellStyle name="Normal 2 3 4 29 4 4" xfId="43150" xr:uid="{00000000-0005-0000-0000-0000BF730000}"/>
    <cellStyle name="Normal 2 3 4 29 5" xfId="12408" xr:uid="{00000000-0005-0000-0000-0000C0730000}"/>
    <cellStyle name="Normal 2 3 4 29 5 2" xfId="12409" xr:uid="{00000000-0005-0000-0000-0000C1730000}"/>
    <cellStyle name="Normal 2 3 4 29 5 2 2" xfId="43151" xr:uid="{00000000-0005-0000-0000-0000C2730000}"/>
    <cellStyle name="Normal 2 3 4 29 5 3" xfId="43152" xr:uid="{00000000-0005-0000-0000-0000C3730000}"/>
    <cellStyle name="Normal 2 3 4 29 6" xfId="12410" xr:uid="{00000000-0005-0000-0000-0000C4730000}"/>
    <cellStyle name="Normal 2 3 4 29 6 2" xfId="43153" xr:uid="{00000000-0005-0000-0000-0000C5730000}"/>
    <cellStyle name="Normal 2 3 4 29 7" xfId="12411" xr:uid="{00000000-0005-0000-0000-0000C6730000}"/>
    <cellStyle name="Normal 2 3 4 29 7 2" xfId="43154" xr:uid="{00000000-0005-0000-0000-0000C7730000}"/>
    <cellStyle name="Normal 2 3 4 29 8" xfId="43155" xr:uid="{00000000-0005-0000-0000-0000C8730000}"/>
    <cellStyle name="Normal 2 3 4 29 8 2" xfId="43156" xr:uid="{00000000-0005-0000-0000-0000C9730000}"/>
    <cellStyle name="Normal 2 3 4 29 9" xfId="43157" xr:uid="{00000000-0005-0000-0000-0000CA730000}"/>
    <cellStyle name="Normal 2 3 4 3" xfId="12412" xr:uid="{00000000-0005-0000-0000-0000CB730000}"/>
    <cellStyle name="Normal 2 3 4 3 10" xfId="43158" xr:uid="{00000000-0005-0000-0000-0000CC730000}"/>
    <cellStyle name="Normal 2 3 4 3 11" xfId="43159" xr:uid="{00000000-0005-0000-0000-0000CD730000}"/>
    <cellStyle name="Normal 2 3 4 3 2" xfId="12413" xr:uid="{00000000-0005-0000-0000-0000CE730000}"/>
    <cellStyle name="Normal 2 3 4 3 2 10" xfId="43160" xr:uid="{00000000-0005-0000-0000-0000CF730000}"/>
    <cellStyle name="Normal 2 3 4 3 2 2" xfId="12414" xr:uid="{00000000-0005-0000-0000-0000D0730000}"/>
    <cellStyle name="Normal 2 3 4 3 2 2 2" xfId="12415" xr:uid="{00000000-0005-0000-0000-0000D1730000}"/>
    <cellStyle name="Normal 2 3 4 3 2 2 2 2" xfId="12416" xr:uid="{00000000-0005-0000-0000-0000D2730000}"/>
    <cellStyle name="Normal 2 3 4 3 2 2 2 2 2" xfId="43161" xr:uid="{00000000-0005-0000-0000-0000D3730000}"/>
    <cellStyle name="Normal 2 3 4 3 2 2 2 3" xfId="12417" xr:uid="{00000000-0005-0000-0000-0000D4730000}"/>
    <cellStyle name="Normal 2 3 4 3 2 2 2 3 2" xfId="43162" xr:uid="{00000000-0005-0000-0000-0000D5730000}"/>
    <cellStyle name="Normal 2 3 4 3 2 2 2 4" xfId="43163" xr:uid="{00000000-0005-0000-0000-0000D6730000}"/>
    <cellStyle name="Normal 2 3 4 3 2 2 3" xfId="12418" xr:uid="{00000000-0005-0000-0000-0000D7730000}"/>
    <cellStyle name="Normal 2 3 4 3 2 2 3 2" xfId="43164" xr:uid="{00000000-0005-0000-0000-0000D8730000}"/>
    <cellStyle name="Normal 2 3 4 3 2 2 4" xfId="12419" xr:uid="{00000000-0005-0000-0000-0000D9730000}"/>
    <cellStyle name="Normal 2 3 4 3 2 2 4 2" xfId="43165" xr:uid="{00000000-0005-0000-0000-0000DA730000}"/>
    <cellStyle name="Normal 2 3 4 3 2 2 5" xfId="12420" xr:uid="{00000000-0005-0000-0000-0000DB730000}"/>
    <cellStyle name="Normal 2 3 4 3 2 2 5 2" xfId="43166" xr:uid="{00000000-0005-0000-0000-0000DC730000}"/>
    <cellStyle name="Normal 2 3 4 3 2 2 6" xfId="43167" xr:uid="{00000000-0005-0000-0000-0000DD730000}"/>
    <cellStyle name="Normal 2 3 4 3 2 2 6 2" xfId="43168" xr:uid="{00000000-0005-0000-0000-0000DE730000}"/>
    <cellStyle name="Normal 2 3 4 3 2 2 7" xfId="43169" xr:uid="{00000000-0005-0000-0000-0000DF730000}"/>
    <cellStyle name="Normal 2 3 4 3 2 3" xfId="12421" xr:uid="{00000000-0005-0000-0000-0000E0730000}"/>
    <cellStyle name="Normal 2 3 4 3 2 3 2" xfId="12422" xr:uid="{00000000-0005-0000-0000-0000E1730000}"/>
    <cellStyle name="Normal 2 3 4 3 2 3 2 2" xfId="43170" xr:uid="{00000000-0005-0000-0000-0000E2730000}"/>
    <cellStyle name="Normal 2 3 4 3 2 3 3" xfId="12423" xr:uid="{00000000-0005-0000-0000-0000E3730000}"/>
    <cellStyle name="Normal 2 3 4 3 2 3 3 2" xfId="43171" xr:uid="{00000000-0005-0000-0000-0000E4730000}"/>
    <cellStyle name="Normal 2 3 4 3 2 3 4" xfId="43172" xr:uid="{00000000-0005-0000-0000-0000E5730000}"/>
    <cellStyle name="Normal 2 3 4 3 2 4" xfId="12424" xr:uid="{00000000-0005-0000-0000-0000E6730000}"/>
    <cellStyle name="Normal 2 3 4 3 2 4 2" xfId="12425" xr:uid="{00000000-0005-0000-0000-0000E7730000}"/>
    <cellStyle name="Normal 2 3 4 3 2 4 2 2" xfId="43173" xr:uid="{00000000-0005-0000-0000-0000E8730000}"/>
    <cellStyle name="Normal 2 3 4 3 2 4 3" xfId="43174" xr:uid="{00000000-0005-0000-0000-0000E9730000}"/>
    <cellStyle name="Normal 2 3 4 3 2 5" xfId="12426" xr:uid="{00000000-0005-0000-0000-0000EA730000}"/>
    <cellStyle name="Normal 2 3 4 3 2 5 2" xfId="43175" xr:uid="{00000000-0005-0000-0000-0000EB730000}"/>
    <cellStyle name="Normal 2 3 4 3 2 6" xfId="12427" xr:uid="{00000000-0005-0000-0000-0000EC730000}"/>
    <cellStyle name="Normal 2 3 4 3 2 6 2" xfId="43176" xr:uid="{00000000-0005-0000-0000-0000ED730000}"/>
    <cellStyle name="Normal 2 3 4 3 2 7" xfId="43177" xr:uid="{00000000-0005-0000-0000-0000EE730000}"/>
    <cellStyle name="Normal 2 3 4 3 2 7 2" xfId="43178" xr:uid="{00000000-0005-0000-0000-0000EF730000}"/>
    <cellStyle name="Normal 2 3 4 3 2 8" xfId="43179" xr:uid="{00000000-0005-0000-0000-0000F0730000}"/>
    <cellStyle name="Normal 2 3 4 3 2 9" xfId="43180" xr:uid="{00000000-0005-0000-0000-0000F1730000}"/>
    <cellStyle name="Normal 2 3 4 3 3" xfId="12428" xr:uid="{00000000-0005-0000-0000-0000F2730000}"/>
    <cellStyle name="Normal 2 3 4 3 3 2" xfId="12429" xr:uid="{00000000-0005-0000-0000-0000F3730000}"/>
    <cellStyle name="Normal 2 3 4 3 3 2 2" xfId="12430" xr:uid="{00000000-0005-0000-0000-0000F4730000}"/>
    <cellStyle name="Normal 2 3 4 3 3 2 2 2" xfId="43181" xr:uid="{00000000-0005-0000-0000-0000F5730000}"/>
    <cellStyle name="Normal 2 3 4 3 3 2 3" xfId="12431" xr:uid="{00000000-0005-0000-0000-0000F6730000}"/>
    <cellStyle name="Normal 2 3 4 3 3 2 3 2" xfId="43182" xr:uid="{00000000-0005-0000-0000-0000F7730000}"/>
    <cellStyle name="Normal 2 3 4 3 3 2 4" xfId="43183" xr:uid="{00000000-0005-0000-0000-0000F8730000}"/>
    <cellStyle name="Normal 2 3 4 3 3 3" xfId="12432" xr:uid="{00000000-0005-0000-0000-0000F9730000}"/>
    <cellStyle name="Normal 2 3 4 3 3 3 2" xfId="43184" xr:uid="{00000000-0005-0000-0000-0000FA730000}"/>
    <cellStyle name="Normal 2 3 4 3 3 4" xfId="12433" xr:uid="{00000000-0005-0000-0000-0000FB730000}"/>
    <cellStyle name="Normal 2 3 4 3 3 4 2" xfId="43185" xr:uid="{00000000-0005-0000-0000-0000FC730000}"/>
    <cellStyle name="Normal 2 3 4 3 3 5" xfId="12434" xr:uid="{00000000-0005-0000-0000-0000FD730000}"/>
    <cellStyle name="Normal 2 3 4 3 3 5 2" xfId="43186" xr:uid="{00000000-0005-0000-0000-0000FE730000}"/>
    <cellStyle name="Normal 2 3 4 3 3 6" xfId="43187" xr:uid="{00000000-0005-0000-0000-0000FF730000}"/>
    <cellStyle name="Normal 2 3 4 3 3 6 2" xfId="43188" xr:uid="{00000000-0005-0000-0000-000000740000}"/>
    <cellStyle name="Normal 2 3 4 3 3 7" xfId="43189" xr:uid="{00000000-0005-0000-0000-000001740000}"/>
    <cellStyle name="Normal 2 3 4 3 4" xfId="12435" xr:uid="{00000000-0005-0000-0000-000002740000}"/>
    <cellStyle name="Normal 2 3 4 3 4 2" xfId="12436" xr:uid="{00000000-0005-0000-0000-000003740000}"/>
    <cellStyle name="Normal 2 3 4 3 4 2 2" xfId="43190" xr:uid="{00000000-0005-0000-0000-000004740000}"/>
    <cellStyle name="Normal 2 3 4 3 4 3" xfId="12437" xr:uid="{00000000-0005-0000-0000-000005740000}"/>
    <cellStyle name="Normal 2 3 4 3 4 3 2" xfId="43191" xr:uid="{00000000-0005-0000-0000-000006740000}"/>
    <cellStyle name="Normal 2 3 4 3 4 4" xfId="43192" xr:uid="{00000000-0005-0000-0000-000007740000}"/>
    <cellStyle name="Normal 2 3 4 3 5" xfId="12438" xr:uid="{00000000-0005-0000-0000-000008740000}"/>
    <cellStyle name="Normal 2 3 4 3 5 2" xfId="12439" xr:uid="{00000000-0005-0000-0000-000009740000}"/>
    <cellStyle name="Normal 2 3 4 3 5 2 2" xfId="43193" xr:uid="{00000000-0005-0000-0000-00000A740000}"/>
    <cellStyle name="Normal 2 3 4 3 5 3" xfId="43194" xr:uid="{00000000-0005-0000-0000-00000B740000}"/>
    <cellStyle name="Normal 2 3 4 3 6" xfId="12440" xr:uid="{00000000-0005-0000-0000-00000C740000}"/>
    <cellStyle name="Normal 2 3 4 3 6 2" xfId="43195" xr:uid="{00000000-0005-0000-0000-00000D740000}"/>
    <cellStyle name="Normal 2 3 4 3 7" xfId="12441" xr:uid="{00000000-0005-0000-0000-00000E740000}"/>
    <cellStyle name="Normal 2 3 4 3 7 2" xfId="43196" xr:uid="{00000000-0005-0000-0000-00000F740000}"/>
    <cellStyle name="Normal 2 3 4 3 8" xfId="43197" xr:uid="{00000000-0005-0000-0000-000010740000}"/>
    <cellStyle name="Normal 2 3 4 3 8 2" xfId="43198" xr:uid="{00000000-0005-0000-0000-000011740000}"/>
    <cellStyle name="Normal 2 3 4 3 9" xfId="43199" xr:uid="{00000000-0005-0000-0000-000012740000}"/>
    <cellStyle name="Normal 2 3 4 30" xfId="12442" xr:uid="{00000000-0005-0000-0000-000013740000}"/>
    <cellStyle name="Normal 2 3 4 30 10" xfId="43200" xr:uid="{00000000-0005-0000-0000-000014740000}"/>
    <cellStyle name="Normal 2 3 4 30 11" xfId="43201" xr:uid="{00000000-0005-0000-0000-000015740000}"/>
    <cellStyle name="Normal 2 3 4 30 2" xfId="12443" xr:uid="{00000000-0005-0000-0000-000016740000}"/>
    <cellStyle name="Normal 2 3 4 30 2 10" xfId="43202" xr:uid="{00000000-0005-0000-0000-000017740000}"/>
    <cellStyle name="Normal 2 3 4 30 2 2" xfId="12444" xr:uid="{00000000-0005-0000-0000-000018740000}"/>
    <cellStyle name="Normal 2 3 4 30 2 2 2" xfId="12445" xr:uid="{00000000-0005-0000-0000-000019740000}"/>
    <cellStyle name="Normal 2 3 4 30 2 2 2 2" xfId="12446" xr:uid="{00000000-0005-0000-0000-00001A740000}"/>
    <cellStyle name="Normal 2 3 4 30 2 2 2 2 2" xfId="43203" xr:uid="{00000000-0005-0000-0000-00001B740000}"/>
    <cellStyle name="Normal 2 3 4 30 2 2 2 3" xfId="12447" xr:uid="{00000000-0005-0000-0000-00001C740000}"/>
    <cellStyle name="Normal 2 3 4 30 2 2 2 3 2" xfId="43204" xr:uid="{00000000-0005-0000-0000-00001D740000}"/>
    <cellStyle name="Normal 2 3 4 30 2 2 2 4" xfId="43205" xr:uid="{00000000-0005-0000-0000-00001E740000}"/>
    <cellStyle name="Normal 2 3 4 30 2 2 3" xfId="12448" xr:uid="{00000000-0005-0000-0000-00001F740000}"/>
    <cellStyle name="Normal 2 3 4 30 2 2 3 2" xfId="43206" xr:uid="{00000000-0005-0000-0000-000020740000}"/>
    <cellStyle name="Normal 2 3 4 30 2 2 4" xfId="12449" xr:uid="{00000000-0005-0000-0000-000021740000}"/>
    <cellStyle name="Normal 2 3 4 30 2 2 4 2" xfId="43207" xr:uid="{00000000-0005-0000-0000-000022740000}"/>
    <cellStyle name="Normal 2 3 4 30 2 2 5" xfId="12450" xr:uid="{00000000-0005-0000-0000-000023740000}"/>
    <cellStyle name="Normal 2 3 4 30 2 2 5 2" xfId="43208" xr:uid="{00000000-0005-0000-0000-000024740000}"/>
    <cellStyle name="Normal 2 3 4 30 2 2 6" xfId="43209" xr:uid="{00000000-0005-0000-0000-000025740000}"/>
    <cellStyle name="Normal 2 3 4 30 2 2 6 2" xfId="43210" xr:uid="{00000000-0005-0000-0000-000026740000}"/>
    <cellStyle name="Normal 2 3 4 30 2 2 7" xfId="43211" xr:uid="{00000000-0005-0000-0000-000027740000}"/>
    <cellStyle name="Normal 2 3 4 30 2 3" xfId="12451" xr:uid="{00000000-0005-0000-0000-000028740000}"/>
    <cellStyle name="Normal 2 3 4 30 2 3 2" xfId="12452" xr:uid="{00000000-0005-0000-0000-000029740000}"/>
    <cellStyle name="Normal 2 3 4 30 2 3 2 2" xfId="43212" xr:uid="{00000000-0005-0000-0000-00002A740000}"/>
    <cellStyle name="Normal 2 3 4 30 2 3 3" xfId="12453" xr:uid="{00000000-0005-0000-0000-00002B740000}"/>
    <cellStyle name="Normal 2 3 4 30 2 3 3 2" xfId="43213" xr:uid="{00000000-0005-0000-0000-00002C740000}"/>
    <cellStyle name="Normal 2 3 4 30 2 3 4" xfId="43214" xr:uid="{00000000-0005-0000-0000-00002D740000}"/>
    <cellStyle name="Normal 2 3 4 30 2 4" xfId="12454" xr:uid="{00000000-0005-0000-0000-00002E740000}"/>
    <cellStyle name="Normal 2 3 4 30 2 4 2" xfId="12455" xr:uid="{00000000-0005-0000-0000-00002F740000}"/>
    <cellStyle name="Normal 2 3 4 30 2 4 2 2" xfId="43215" xr:uid="{00000000-0005-0000-0000-000030740000}"/>
    <cellStyle name="Normal 2 3 4 30 2 4 3" xfId="43216" xr:uid="{00000000-0005-0000-0000-000031740000}"/>
    <cellStyle name="Normal 2 3 4 30 2 5" xfId="12456" xr:uid="{00000000-0005-0000-0000-000032740000}"/>
    <cellStyle name="Normal 2 3 4 30 2 5 2" xfId="43217" xr:uid="{00000000-0005-0000-0000-000033740000}"/>
    <cellStyle name="Normal 2 3 4 30 2 6" xfId="12457" xr:uid="{00000000-0005-0000-0000-000034740000}"/>
    <cellStyle name="Normal 2 3 4 30 2 6 2" xfId="43218" xr:uid="{00000000-0005-0000-0000-000035740000}"/>
    <cellStyle name="Normal 2 3 4 30 2 7" xfId="43219" xr:uid="{00000000-0005-0000-0000-000036740000}"/>
    <cellStyle name="Normal 2 3 4 30 2 7 2" xfId="43220" xr:uid="{00000000-0005-0000-0000-000037740000}"/>
    <cellStyle name="Normal 2 3 4 30 2 8" xfId="43221" xr:uid="{00000000-0005-0000-0000-000038740000}"/>
    <cellStyle name="Normal 2 3 4 30 2 9" xfId="43222" xr:uid="{00000000-0005-0000-0000-000039740000}"/>
    <cellStyle name="Normal 2 3 4 30 3" xfId="12458" xr:uid="{00000000-0005-0000-0000-00003A740000}"/>
    <cellStyle name="Normal 2 3 4 30 3 2" xfId="12459" xr:uid="{00000000-0005-0000-0000-00003B740000}"/>
    <cellStyle name="Normal 2 3 4 30 3 2 2" xfId="12460" xr:uid="{00000000-0005-0000-0000-00003C740000}"/>
    <cellStyle name="Normal 2 3 4 30 3 2 2 2" xfId="43223" xr:uid="{00000000-0005-0000-0000-00003D740000}"/>
    <cellStyle name="Normal 2 3 4 30 3 2 3" xfId="12461" xr:uid="{00000000-0005-0000-0000-00003E740000}"/>
    <cellStyle name="Normal 2 3 4 30 3 2 3 2" xfId="43224" xr:uid="{00000000-0005-0000-0000-00003F740000}"/>
    <cellStyle name="Normal 2 3 4 30 3 2 4" xfId="43225" xr:uid="{00000000-0005-0000-0000-000040740000}"/>
    <cellStyle name="Normal 2 3 4 30 3 3" xfId="12462" xr:uid="{00000000-0005-0000-0000-000041740000}"/>
    <cellStyle name="Normal 2 3 4 30 3 3 2" xfId="43226" xr:uid="{00000000-0005-0000-0000-000042740000}"/>
    <cellStyle name="Normal 2 3 4 30 3 4" xfId="12463" xr:uid="{00000000-0005-0000-0000-000043740000}"/>
    <cellStyle name="Normal 2 3 4 30 3 4 2" xfId="43227" xr:uid="{00000000-0005-0000-0000-000044740000}"/>
    <cellStyle name="Normal 2 3 4 30 3 5" xfId="12464" xr:uid="{00000000-0005-0000-0000-000045740000}"/>
    <cellStyle name="Normal 2 3 4 30 3 5 2" xfId="43228" xr:uid="{00000000-0005-0000-0000-000046740000}"/>
    <cellStyle name="Normal 2 3 4 30 3 6" xfId="43229" xr:uid="{00000000-0005-0000-0000-000047740000}"/>
    <cellStyle name="Normal 2 3 4 30 3 6 2" xfId="43230" xr:uid="{00000000-0005-0000-0000-000048740000}"/>
    <cellStyle name="Normal 2 3 4 30 3 7" xfId="43231" xr:uid="{00000000-0005-0000-0000-000049740000}"/>
    <cellStyle name="Normal 2 3 4 30 4" xfId="12465" xr:uid="{00000000-0005-0000-0000-00004A740000}"/>
    <cellStyle name="Normal 2 3 4 30 4 2" xfId="12466" xr:uid="{00000000-0005-0000-0000-00004B740000}"/>
    <cellStyle name="Normal 2 3 4 30 4 2 2" xfId="43232" xr:uid="{00000000-0005-0000-0000-00004C740000}"/>
    <cellStyle name="Normal 2 3 4 30 4 3" xfId="12467" xr:uid="{00000000-0005-0000-0000-00004D740000}"/>
    <cellStyle name="Normal 2 3 4 30 4 3 2" xfId="43233" xr:uid="{00000000-0005-0000-0000-00004E740000}"/>
    <cellStyle name="Normal 2 3 4 30 4 4" xfId="43234" xr:uid="{00000000-0005-0000-0000-00004F740000}"/>
    <cellStyle name="Normal 2 3 4 30 5" xfId="12468" xr:uid="{00000000-0005-0000-0000-000050740000}"/>
    <cellStyle name="Normal 2 3 4 30 5 2" xfId="12469" xr:uid="{00000000-0005-0000-0000-000051740000}"/>
    <cellStyle name="Normal 2 3 4 30 5 2 2" xfId="43235" xr:uid="{00000000-0005-0000-0000-000052740000}"/>
    <cellStyle name="Normal 2 3 4 30 5 3" xfId="43236" xr:uid="{00000000-0005-0000-0000-000053740000}"/>
    <cellStyle name="Normal 2 3 4 30 6" xfId="12470" xr:uid="{00000000-0005-0000-0000-000054740000}"/>
    <cellStyle name="Normal 2 3 4 30 6 2" xfId="43237" xr:uid="{00000000-0005-0000-0000-000055740000}"/>
    <cellStyle name="Normal 2 3 4 30 7" xfId="12471" xr:uid="{00000000-0005-0000-0000-000056740000}"/>
    <cellStyle name="Normal 2 3 4 30 7 2" xfId="43238" xr:uid="{00000000-0005-0000-0000-000057740000}"/>
    <cellStyle name="Normal 2 3 4 30 8" xfId="43239" xr:uid="{00000000-0005-0000-0000-000058740000}"/>
    <cellStyle name="Normal 2 3 4 30 8 2" xfId="43240" xr:uid="{00000000-0005-0000-0000-000059740000}"/>
    <cellStyle name="Normal 2 3 4 30 9" xfId="43241" xr:uid="{00000000-0005-0000-0000-00005A740000}"/>
    <cellStyle name="Normal 2 3 4 31" xfId="12472" xr:uid="{00000000-0005-0000-0000-00005B740000}"/>
    <cellStyle name="Normal 2 3 4 31 10" xfId="43242" xr:uid="{00000000-0005-0000-0000-00005C740000}"/>
    <cellStyle name="Normal 2 3 4 31 2" xfId="12473" xr:uid="{00000000-0005-0000-0000-00005D740000}"/>
    <cellStyle name="Normal 2 3 4 31 2 2" xfId="12474" xr:uid="{00000000-0005-0000-0000-00005E740000}"/>
    <cellStyle name="Normal 2 3 4 31 2 2 2" xfId="12475" xr:uid="{00000000-0005-0000-0000-00005F740000}"/>
    <cellStyle name="Normal 2 3 4 31 2 2 2 2" xfId="43243" xr:uid="{00000000-0005-0000-0000-000060740000}"/>
    <cellStyle name="Normal 2 3 4 31 2 2 3" xfId="12476" xr:uid="{00000000-0005-0000-0000-000061740000}"/>
    <cellStyle name="Normal 2 3 4 31 2 2 3 2" xfId="43244" xr:uid="{00000000-0005-0000-0000-000062740000}"/>
    <cellStyle name="Normal 2 3 4 31 2 2 4" xfId="43245" xr:uid="{00000000-0005-0000-0000-000063740000}"/>
    <cellStyle name="Normal 2 3 4 31 2 3" xfId="12477" xr:uid="{00000000-0005-0000-0000-000064740000}"/>
    <cellStyle name="Normal 2 3 4 31 2 3 2" xfId="43246" xr:uid="{00000000-0005-0000-0000-000065740000}"/>
    <cellStyle name="Normal 2 3 4 31 2 4" xfId="12478" xr:uid="{00000000-0005-0000-0000-000066740000}"/>
    <cellStyle name="Normal 2 3 4 31 2 4 2" xfId="43247" xr:uid="{00000000-0005-0000-0000-000067740000}"/>
    <cellStyle name="Normal 2 3 4 31 2 5" xfId="12479" xr:uid="{00000000-0005-0000-0000-000068740000}"/>
    <cellStyle name="Normal 2 3 4 31 2 5 2" xfId="43248" xr:uid="{00000000-0005-0000-0000-000069740000}"/>
    <cellStyle name="Normal 2 3 4 31 2 6" xfId="43249" xr:uid="{00000000-0005-0000-0000-00006A740000}"/>
    <cellStyle name="Normal 2 3 4 31 2 6 2" xfId="43250" xr:uid="{00000000-0005-0000-0000-00006B740000}"/>
    <cellStyle name="Normal 2 3 4 31 2 7" xfId="43251" xr:uid="{00000000-0005-0000-0000-00006C740000}"/>
    <cellStyle name="Normal 2 3 4 31 3" xfId="12480" xr:uid="{00000000-0005-0000-0000-00006D740000}"/>
    <cellStyle name="Normal 2 3 4 31 3 2" xfId="12481" xr:uid="{00000000-0005-0000-0000-00006E740000}"/>
    <cellStyle name="Normal 2 3 4 31 3 2 2" xfId="43252" xr:uid="{00000000-0005-0000-0000-00006F740000}"/>
    <cellStyle name="Normal 2 3 4 31 3 3" xfId="12482" xr:uid="{00000000-0005-0000-0000-000070740000}"/>
    <cellStyle name="Normal 2 3 4 31 3 3 2" xfId="43253" xr:uid="{00000000-0005-0000-0000-000071740000}"/>
    <cellStyle name="Normal 2 3 4 31 3 4" xfId="43254" xr:uid="{00000000-0005-0000-0000-000072740000}"/>
    <cellStyle name="Normal 2 3 4 31 4" xfId="12483" xr:uid="{00000000-0005-0000-0000-000073740000}"/>
    <cellStyle name="Normal 2 3 4 31 4 2" xfId="12484" xr:uid="{00000000-0005-0000-0000-000074740000}"/>
    <cellStyle name="Normal 2 3 4 31 4 2 2" xfId="43255" xr:uid="{00000000-0005-0000-0000-000075740000}"/>
    <cellStyle name="Normal 2 3 4 31 4 3" xfId="43256" xr:uid="{00000000-0005-0000-0000-000076740000}"/>
    <cellStyle name="Normal 2 3 4 31 5" xfId="12485" xr:uid="{00000000-0005-0000-0000-000077740000}"/>
    <cellStyle name="Normal 2 3 4 31 5 2" xfId="43257" xr:uid="{00000000-0005-0000-0000-000078740000}"/>
    <cellStyle name="Normal 2 3 4 31 6" xfId="12486" xr:uid="{00000000-0005-0000-0000-000079740000}"/>
    <cellStyle name="Normal 2 3 4 31 6 2" xfId="43258" xr:uid="{00000000-0005-0000-0000-00007A740000}"/>
    <cellStyle name="Normal 2 3 4 31 7" xfId="43259" xr:uid="{00000000-0005-0000-0000-00007B740000}"/>
    <cellStyle name="Normal 2 3 4 31 7 2" xfId="43260" xr:uid="{00000000-0005-0000-0000-00007C740000}"/>
    <cellStyle name="Normal 2 3 4 31 8" xfId="43261" xr:uid="{00000000-0005-0000-0000-00007D740000}"/>
    <cellStyle name="Normal 2 3 4 31 9" xfId="43262" xr:uid="{00000000-0005-0000-0000-00007E740000}"/>
    <cellStyle name="Normal 2 3 4 32" xfId="12487" xr:uid="{00000000-0005-0000-0000-00007F740000}"/>
    <cellStyle name="Normal 2 3 4 32 2" xfId="12488" xr:uid="{00000000-0005-0000-0000-000080740000}"/>
    <cellStyle name="Normal 2 3 4 32 2 2" xfId="12489" xr:uid="{00000000-0005-0000-0000-000081740000}"/>
    <cellStyle name="Normal 2 3 4 32 2 2 2" xfId="43263" xr:uid="{00000000-0005-0000-0000-000082740000}"/>
    <cellStyle name="Normal 2 3 4 32 2 3" xfId="12490" xr:uid="{00000000-0005-0000-0000-000083740000}"/>
    <cellStyle name="Normal 2 3 4 32 2 3 2" xfId="43264" xr:uid="{00000000-0005-0000-0000-000084740000}"/>
    <cellStyle name="Normal 2 3 4 32 2 4" xfId="43265" xr:uid="{00000000-0005-0000-0000-000085740000}"/>
    <cellStyle name="Normal 2 3 4 32 3" xfId="12491" xr:uid="{00000000-0005-0000-0000-000086740000}"/>
    <cellStyle name="Normal 2 3 4 32 3 2" xfId="43266" xr:uid="{00000000-0005-0000-0000-000087740000}"/>
    <cellStyle name="Normal 2 3 4 32 4" xfId="12492" xr:uid="{00000000-0005-0000-0000-000088740000}"/>
    <cellStyle name="Normal 2 3 4 32 4 2" xfId="43267" xr:uid="{00000000-0005-0000-0000-000089740000}"/>
    <cellStyle name="Normal 2 3 4 32 5" xfId="12493" xr:uid="{00000000-0005-0000-0000-00008A740000}"/>
    <cellStyle name="Normal 2 3 4 32 5 2" xfId="43268" xr:uid="{00000000-0005-0000-0000-00008B740000}"/>
    <cellStyle name="Normal 2 3 4 32 6" xfId="43269" xr:uid="{00000000-0005-0000-0000-00008C740000}"/>
    <cellStyle name="Normal 2 3 4 32 6 2" xfId="43270" xr:uid="{00000000-0005-0000-0000-00008D740000}"/>
    <cellStyle name="Normal 2 3 4 32 7" xfId="43271" xr:uid="{00000000-0005-0000-0000-00008E740000}"/>
    <cellStyle name="Normal 2 3 4 33" xfId="12494" xr:uid="{00000000-0005-0000-0000-00008F740000}"/>
    <cellStyle name="Normal 2 3 4 33 2" xfId="12495" xr:uid="{00000000-0005-0000-0000-000090740000}"/>
    <cellStyle name="Normal 2 3 4 33 2 2" xfId="43272" xr:uid="{00000000-0005-0000-0000-000091740000}"/>
    <cellStyle name="Normal 2 3 4 33 3" xfId="12496" xr:uid="{00000000-0005-0000-0000-000092740000}"/>
    <cellStyle name="Normal 2 3 4 33 3 2" xfId="43273" xr:uid="{00000000-0005-0000-0000-000093740000}"/>
    <cellStyle name="Normal 2 3 4 33 4" xfId="43274" xr:uid="{00000000-0005-0000-0000-000094740000}"/>
    <cellStyle name="Normal 2 3 4 34" xfId="12497" xr:uid="{00000000-0005-0000-0000-000095740000}"/>
    <cellStyle name="Normal 2 3 4 34 2" xfId="12498" xr:uid="{00000000-0005-0000-0000-000096740000}"/>
    <cellStyle name="Normal 2 3 4 34 2 2" xfId="43275" xr:uid="{00000000-0005-0000-0000-000097740000}"/>
    <cellStyle name="Normal 2 3 4 34 3" xfId="43276" xr:uid="{00000000-0005-0000-0000-000098740000}"/>
    <cellStyle name="Normal 2 3 4 35" xfId="12499" xr:uid="{00000000-0005-0000-0000-000099740000}"/>
    <cellStyle name="Normal 2 3 4 35 2" xfId="43277" xr:uid="{00000000-0005-0000-0000-00009A740000}"/>
    <cellStyle name="Normal 2 3 4 36" xfId="12500" xr:uid="{00000000-0005-0000-0000-00009B740000}"/>
    <cellStyle name="Normal 2 3 4 36 2" xfId="43278" xr:uid="{00000000-0005-0000-0000-00009C740000}"/>
    <cellStyle name="Normal 2 3 4 37" xfId="43279" xr:uid="{00000000-0005-0000-0000-00009D740000}"/>
    <cellStyle name="Normal 2 3 4 37 2" xfId="43280" xr:uid="{00000000-0005-0000-0000-00009E740000}"/>
    <cellStyle name="Normal 2 3 4 38" xfId="43281" xr:uid="{00000000-0005-0000-0000-00009F740000}"/>
    <cellStyle name="Normal 2 3 4 39" xfId="43282" xr:uid="{00000000-0005-0000-0000-0000A0740000}"/>
    <cellStyle name="Normal 2 3 4 4" xfId="12501" xr:uid="{00000000-0005-0000-0000-0000A1740000}"/>
    <cellStyle name="Normal 2 3 4 4 10" xfId="43283" xr:uid="{00000000-0005-0000-0000-0000A2740000}"/>
    <cellStyle name="Normal 2 3 4 4 11" xfId="43284" xr:uid="{00000000-0005-0000-0000-0000A3740000}"/>
    <cellStyle name="Normal 2 3 4 4 2" xfId="12502" xr:uid="{00000000-0005-0000-0000-0000A4740000}"/>
    <cellStyle name="Normal 2 3 4 4 2 10" xfId="43285" xr:uid="{00000000-0005-0000-0000-0000A5740000}"/>
    <cellStyle name="Normal 2 3 4 4 2 2" xfId="12503" xr:uid="{00000000-0005-0000-0000-0000A6740000}"/>
    <cellStyle name="Normal 2 3 4 4 2 2 2" xfId="12504" xr:uid="{00000000-0005-0000-0000-0000A7740000}"/>
    <cellStyle name="Normal 2 3 4 4 2 2 2 2" xfId="12505" xr:uid="{00000000-0005-0000-0000-0000A8740000}"/>
    <cellStyle name="Normal 2 3 4 4 2 2 2 2 2" xfId="43286" xr:uid="{00000000-0005-0000-0000-0000A9740000}"/>
    <cellStyle name="Normal 2 3 4 4 2 2 2 3" xfId="12506" xr:uid="{00000000-0005-0000-0000-0000AA740000}"/>
    <cellStyle name="Normal 2 3 4 4 2 2 2 3 2" xfId="43287" xr:uid="{00000000-0005-0000-0000-0000AB740000}"/>
    <cellStyle name="Normal 2 3 4 4 2 2 2 4" xfId="43288" xr:uid="{00000000-0005-0000-0000-0000AC740000}"/>
    <cellStyle name="Normal 2 3 4 4 2 2 3" xfId="12507" xr:uid="{00000000-0005-0000-0000-0000AD740000}"/>
    <cellStyle name="Normal 2 3 4 4 2 2 3 2" xfId="43289" xr:uid="{00000000-0005-0000-0000-0000AE740000}"/>
    <cellStyle name="Normal 2 3 4 4 2 2 4" xfId="12508" xr:uid="{00000000-0005-0000-0000-0000AF740000}"/>
    <cellStyle name="Normal 2 3 4 4 2 2 4 2" xfId="43290" xr:uid="{00000000-0005-0000-0000-0000B0740000}"/>
    <cellStyle name="Normal 2 3 4 4 2 2 5" xfId="12509" xr:uid="{00000000-0005-0000-0000-0000B1740000}"/>
    <cellStyle name="Normal 2 3 4 4 2 2 5 2" xfId="43291" xr:uid="{00000000-0005-0000-0000-0000B2740000}"/>
    <cellStyle name="Normal 2 3 4 4 2 2 6" xfId="43292" xr:uid="{00000000-0005-0000-0000-0000B3740000}"/>
    <cellStyle name="Normal 2 3 4 4 2 2 6 2" xfId="43293" xr:uid="{00000000-0005-0000-0000-0000B4740000}"/>
    <cellStyle name="Normal 2 3 4 4 2 2 7" xfId="43294" xr:uid="{00000000-0005-0000-0000-0000B5740000}"/>
    <cellStyle name="Normal 2 3 4 4 2 3" xfId="12510" xr:uid="{00000000-0005-0000-0000-0000B6740000}"/>
    <cellStyle name="Normal 2 3 4 4 2 3 2" xfId="12511" xr:uid="{00000000-0005-0000-0000-0000B7740000}"/>
    <cellStyle name="Normal 2 3 4 4 2 3 2 2" xfId="43295" xr:uid="{00000000-0005-0000-0000-0000B8740000}"/>
    <cellStyle name="Normal 2 3 4 4 2 3 3" xfId="12512" xr:uid="{00000000-0005-0000-0000-0000B9740000}"/>
    <cellStyle name="Normal 2 3 4 4 2 3 3 2" xfId="43296" xr:uid="{00000000-0005-0000-0000-0000BA740000}"/>
    <cellStyle name="Normal 2 3 4 4 2 3 4" xfId="43297" xr:uid="{00000000-0005-0000-0000-0000BB740000}"/>
    <cellStyle name="Normal 2 3 4 4 2 4" xfId="12513" xr:uid="{00000000-0005-0000-0000-0000BC740000}"/>
    <cellStyle name="Normal 2 3 4 4 2 4 2" xfId="12514" xr:uid="{00000000-0005-0000-0000-0000BD740000}"/>
    <cellStyle name="Normal 2 3 4 4 2 4 2 2" xfId="43298" xr:uid="{00000000-0005-0000-0000-0000BE740000}"/>
    <cellStyle name="Normal 2 3 4 4 2 4 3" xfId="43299" xr:uid="{00000000-0005-0000-0000-0000BF740000}"/>
    <cellStyle name="Normal 2 3 4 4 2 5" xfId="12515" xr:uid="{00000000-0005-0000-0000-0000C0740000}"/>
    <cellStyle name="Normal 2 3 4 4 2 5 2" xfId="43300" xr:uid="{00000000-0005-0000-0000-0000C1740000}"/>
    <cellStyle name="Normal 2 3 4 4 2 6" xfId="12516" xr:uid="{00000000-0005-0000-0000-0000C2740000}"/>
    <cellStyle name="Normal 2 3 4 4 2 6 2" xfId="43301" xr:uid="{00000000-0005-0000-0000-0000C3740000}"/>
    <cellStyle name="Normal 2 3 4 4 2 7" xfId="43302" xr:uid="{00000000-0005-0000-0000-0000C4740000}"/>
    <cellStyle name="Normal 2 3 4 4 2 7 2" xfId="43303" xr:uid="{00000000-0005-0000-0000-0000C5740000}"/>
    <cellStyle name="Normal 2 3 4 4 2 8" xfId="43304" xr:uid="{00000000-0005-0000-0000-0000C6740000}"/>
    <cellStyle name="Normal 2 3 4 4 2 9" xfId="43305" xr:uid="{00000000-0005-0000-0000-0000C7740000}"/>
    <cellStyle name="Normal 2 3 4 4 3" xfId="12517" xr:uid="{00000000-0005-0000-0000-0000C8740000}"/>
    <cellStyle name="Normal 2 3 4 4 3 2" xfId="12518" xr:uid="{00000000-0005-0000-0000-0000C9740000}"/>
    <cellStyle name="Normal 2 3 4 4 3 2 2" xfId="12519" xr:uid="{00000000-0005-0000-0000-0000CA740000}"/>
    <cellStyle name="Normal 2 3 4 4 3 2 2 2" xfId="43306" xr:uid="{00000000-0005-0000-0000-0000CB740000}"/>
    <cellStyle name="Normal 2 3 4 4 3 2 3" xfId="12520" xr:uid="{00000000-0005-0000-0000-0000CC740000}"/>
    <cellStyle name="Normal 2 3 4 4 3 2 3 2" xfId="43307" xr:uid="{00000000-0005-0000-0000-0000CD740000}"/>
    <cellStyle name="Normal 2 3 4 4 3 2 4" xfId="43308" xr:uid="{00000000-0005-0000-0000-0000CE740000}"/>
    <cellStyle name="Normal 2 3 4 4 3 3" xfId="12521" xr:uid="{00000000-0005-0000-0000-0000CF740000}"/>
    <cellStyle name="Normal 2 3 4 4 3 3 2" xfId="43309" xr:uid="{00000000-0005-0000-0000-0000D0740000}"/>
    <cellStyle name="Normal 2 3 4 4 3 4" xfId="12522" xr:uid="{00000000-0005-0000-0000-0000D1740000}"/>
    <cellStyle name="Normal 2 3 4 4 3 4 2" xfId="43310" xr:uid="{00000000-0005-0000-0000-0000D2740000}"/>
    <cellStyle name="Normal 2 3 4 4 3 5" xfId="12523" xr:uid="{00000000-0005-0000-0000-0000D3740000}"/>
    <cellStyle name="Normal 2 3 4 4 3 5 2" xfId="43311" xr:uid="{00000000-0005-0000-0000-0000D4740000}"/>
    <cellStyle name="Normal 2 3 4 4 3 6" xfId="43312" xr:uid="{00000000-0005-0000-0000-0000D5740000}"/>
    <cellStyle name="Normal 2 3 4 4 3 6 2" xfId="43313" xr:uid="{00000000-0005-0000-0000-0000D6740000}"/>
    <cellStyle name="Normal 2 3 4 4 3 7" xfId="43314" xr:uid="{00000000-0005-0000-0000-0000D7740000}"/>
    <cellStyle name="Normal 2 3 4 4 4" xfId="12524" xr:uid="{00000000-0005-0000-0000-0000D8740000}"/>
    <cellStyle name="Normal 2 3 4 4 4 2" xfId="12525" xr:uid="{00000000-0005-0000-0000-0000D9740000}"/>
    <cellStyle name="Normal 2 3 4 4 4 2 2" xfId="43315" xr:uid="{00000000-0005-0000-0000-0000DA740000}"/>
    <cellStyle name="Normal 2 3 4 4 4 3" xfId="12526" xr:uid="{00000000-0005-0000-0000-0000DB740000}"/>
    <cellStyle name="Normal 2 3 4 4 4 3 2" xfId="43316" xr:uid="{00000000-0005-0000-0000-0000DC740000}"/>
    <cellStyle name="Normal 2 3 4 4 4 4" xfId="43317" xr:uid="{00000000-0005-0000-0000-0000DD740000}"/>
    <cellStyle name="Normal 2 3 4 4 5" xfId="12527" xr:uid="{00000000-0005-0000-0000-0000DE740000}"/>
    <cellStyle name="Normal 2 3 4 4 5 2" xfId="12528" xr:uid="{00000000-0005-0000-0000-0000DF740000}"/>
    <cellStyle name="Normal 2 3 4 4 5 2 2" xfId="43318" xr:uid="{00000000-0005-0000-0000-0000E0740000}"/>
    <cellStyle name="Normal 2 3 4 4 5 3" xfId="43319" xr:uid="{00000000-0005-0000-0000-0000E1740000}"/>
    <cellStyle name="Normal 2 3 4 4 6" xfId="12529" xr:uid="{00000000-0005-0000-0000-0000E2740000}"/>
    <cellStyle name="Normal 2 3 4 4 6 2" xfId="43320" xr:uid="{00000000-0005-0000-0000-0000E3740000}"/>
    <cellStyle name="Normal 2 3 4 4 7" xfId="12530" xr:uid="{00000000-0005-0000-0000-0000E4740000}"/>
    <cellStyle name="Normal 2 3 4 4 7 2" xfId="43321" xr:uid="{00000000-0005-0000-0000-0000E5740000}"/>
    <cellStyle name="Normal 2 3 4 4 8" xfId="43322" xr:uid="{00000000-0005-0000-0000-0000E6740000}"/>
    <cellStyle name="Normal 2 3 4 4 8 2" xfId="43323" xr:uid="{00000000-0005-0000-0000-0000E7740000}"/>
    <cellStyle name="Normal 2 3 4 4 9" xfId="43324" xr:uid="{00000000-0005-0000-0000-0000E8740000}"/>
    <cellStyle name="Normal 2 3 4 40" xfId="43325" xr:uid="{00000000-0005-0000-0000-0000E9740000}"/>
    <cellStyle name="Normal 2 3 4 5" xfId="12531" xr:uid="{00000000-0005-0000-0000-0000EA740000}"/>
    <cellStyle name="Normal 2 3 4 5 10" xfId="43326" xr:uid="{00000000-0005-0000-0000-0000EB740000}"/>
    <cellStyle name="Normal 2 3 4 5 11" xfId="43327" xr:uid="{00000000-0005-0000-0000-0000EC740000}"/>
    <cellStyle name="Normal 2 3 4 5 2" xfId="12532" xr:uid="{00000000-0005-0000-0000-0000ED740000}"/>
    <cellStyle name="Normal 2 3 4 5 2 10" xfId="43328" xr:uid="{00000000-0005-0000-0000-0000EE740000}"/>
    <cellStyle name="Normal 2 3 4 5 2 2" xfId="12533" xr:uid="{00000000-0005-0000-0000-0000EF740000}"/>
    <cellStyle name="Normal 2 3 4 5 2 2 2" xfId="12534" xr:uid="{00000000-0005-0000-0000-0000F0740000}"/>
    <cellStyle name="Normal 2 3 4 5 2 2 2 2" xfId="12535" xr:uid="{00000000-0005-0000-0000-0000F1740000}"/>
    <cellStyle name="Normal 2 3 4 5 2 2 2 2 2" xfId="43329" xr:uid="{00000000-0005-0000-0000-0000F2740000}"/>
    <cellStyle name="Normal 2 3 4 5 2 2 2 3" xfId="12536" xr:uid="{00000000-0005-0000-0000-0000F3740000}"/>
    <cellStyle name="Normal 2 3 4 5 2 2 2 3 2" xfId="43330" xr:uid="{00000000-0005-0000-0000-0000F4740000}"/>
    <cellStyle name="Normal 2 3 4 5 2 2 2 4" xfId="43331" xr:uid="{00000000-0005-0000-0000-0000F5740000}"/>
    <cellStyle name="Normal 2 3 4 5 2 2 3" xfId="12537" xr:uid="{00000000-0005-0000-0000-0000F6740000}"/>
    <cellStyle name="Normal 2 3 4 5 2 2 3 2" xfId="43332" xr:uid="{00000000-0005-0000-0000-0000F7740000}"/>
    <cellStyle name="Normal 2 3 4 5 2 2 4" xfId="12538" xr:uid="{00000000-0005-0000-0000-0000F8740000}"/>
    <cellStyle name="Normal 2 3 4 5 2 2 4 2" xfId="43333" xr:uid="{00000000-0005-0000-0000-0000F9740000}"/>
    <cellStyle name="Normal 2 3 4 5 2 2 5" xfId="12539" xr:uid="{00000000-0005-0000-0000-0000FA740000}"/>
    <cellStyle name="Normal 2 3 4 5 2 2 5 2" xfId="43334" xr:uid="{00000000-0005-0000-0000-0000FB740000}"/>
    <cellStyle name="Normal 2 3 4 5 2 2 6" xfId="43335" xr:uid="{00000000-0005-0000-0000-0000FC740000}"/>
    <cellStyle name="Normal 2 3 4 5 2 2 6 2" xfId="43336" xr:uid="{00000000-0005-0000-0000-0000FD740000}"/>
    <cellStyle name="Normal 2 3 4 5 2 2 7" xfId="43337" xr:uid="{00000000-0005-0000-0000-0000FE740000}"/>
    <cellStyle name="Normal 2 3 4 5 2 3" xfId="12540" xr:uid="{00000000-0005-0000-0000-0000FF740000}"/>
    <cellStyle name="Normal 2 3 4 5 2 3 2" xfId="12541" xr:uid="{00000000-0005-0000-0000-000000750000}"/>
    <cellStyle name="Normal 2 3 4 5 2 3 2 2" xfId="43338" xr:uid="{00000000-0005-0000-0000-000001750000}"/>
    <cellStyle name="Normal 2 3 4 5 2 3 3" xfId="12542" xr:uid="{00000000-0005-0000-0000-000002750000}"/>
    <cellStyle name="Normal 2 3 4 5 2 3 3 2" xfId="43339" xr:uid="{00000000-0005-0000-0000-000003750000}"/>
    <cellStyle name="Normal 2 3 4 5 2 3 4" xfId="43340" xr:uid="{00000000-0005-0000-0000-000004750000}"/>
    <cellStyle name="Normal 2 3 4 5 2 4" xfId="12543" xr:uid="{00000000-0005-0000-0000-000005750000}"/>
    <cellStyle name="Normal 2 3 4 5 2 4 2" xfId="12544" xr:uid="{00000000-0005-0000-0000-000006750000}"/>
    <cellStyle name="Normal 2 3 4 5 2 4 2 2" xfId="43341" xr:uid="{00000000-0005-0000-0000-000007750000}"/>
    <cellStyle name="Normal 2 3 4 5 2 4 3" xfId="43342" xr:uid="{00000000-0005-0000-0000-000008750000}"/>
    <cellStyle name="Normal 2 3 4 5 2 5" xfId="12545" xr:uid="{00000000-0005-0000-0000-000009750000}"/>
    <cellStyle name="Normal 2 3 4 5 2 5 2" xfId="43343" xr:uid="{00000000-0005-0000-0000-00000A750000}"/>
    <cellStyle name="Normal 2 3 4 5 2 6" xfId="12546" xr:uid="{00000000-0005-0000-0000-00000B750000}"/>
    <cellStyle name="Normal 2 3 4 5 2 6 2" xfId="43344" xr:uid="{00000000-0005-0000-0000-00000C750000}"/>
    <cellStyle name="Normal 2 3 4 5 2 7" xfId="43345" xr:uid="{00000000-0005-0000-0000-00000D750000}"/>
    <cellStyle name="Normal 2 3 4 5 2 7 2" xfId="43346" xr:uid="{00000000-0005-0000-0000-00000E750000}"/>
    <cellStyle name="Normal 2 3 4 5 2 8" xfId="43347" xr:uid="{00000000-0005-0000-0000-00000F750000}"/>
    <cellStyle name="Normal 2 3 4 5 2 9" xfId="43348" xr:uid="{00000000-0005-0000-0000-000010750000}"/>
    <cellStyle name="Normal 2 3 4 5 3" xfId="12547" xr:uid="{00000000-0005-0000-0000-000011750000}"/>
    <cellStyle name="Normal 2 3 4 5 3 2" xfId="12548" xr:uid="{00000000-0005-0000-0000-000012750000}"/>
    <cellStyle name="Normal 2 3 4 5 3 2 2" xfId="12549" xr:uid="{00000000-0005-0000-0000-000013750000}"/>
    <cellStyle name="Normal 2 3 4 5 3 2 2 2" xfId="43349" xr:uid="{00000000-0005-0000-0000-000014750000}"/>
    <cellStyle name="Normal 2 3 4 5 3 2 3" xfId="12550" xr:uid="{00000000-0005-0000-0000-000015750000}"/>
    <cellStyle name="Normal 2 3 4 5 3 2 3 2" xfId="43350" xr:uid="{00000000-0005-0000-0000-000016750000}"/>
    <cellStyle name="Normal 2 3 4 5 3 2 4" xfId="43351" xr:uid="{00000000-0005-0000-0000-000017750000}"/>
    <cellStyle name="Normal 2 3 4 5 3 3" xfId="12551" xr:uid="{00000000-0005-0000-0000-000018750000}"/>
    <cellStyle name="Normal 2 3 4 5 3 3 2" xfId="43352" xr:uid="{00000000-0005-0000-0000-000019750000}"/>
    <cellStyle name="Normal 2 3 4 5 3 4" xfId="12552" xr:uid="{00000000-0005-0000-0000-00001A750000}"/>
    <cellStyle name="Normal 2 3 4 5 3 4 2" xfId="43353" xr:uid="{00000000-0005-0000-0000-00001B750000}"/>
    <cellStyle name="Normal 2 3 4 5 3 5" xfId="12553" xr:uid="{00000000-0005-0000-0000-00001C750000}"/>
    <cellStyle name="Normal 2 3 4 5 3 5 2" xfId="43354" xr:uid="{00000000-0005-0000-0000-00001D750000}"/>
    <cellStyle name="Normal 2 3 4 5 3 6" xfId="43355" xr:uid="{00000000-0005-0000-0000-00001E750000}"/>
    <cellStyle name="Normal 2 3 4 5 3 6 2" xfId="43356" xr:uid="{00000000-0005-0000-0000-00001F750000}"/>
    <cellStyle name="Normal 2 3 4 5 3 7" xfId="43357" xr:uid="{00000000-0005-0000-0000-000020750000}"/>
    <cellStyle name="Normal 2 3 4 5 4" xfId="12554" xr:uid="{00000000-0005-0000-0000-000021750000}"/>
    <cellStyle name="Normal 2 3 4 5 4 2" xfId="12555" xr:uid="{00000000-0005-0000-0000-000022750000}"/>
    <cellStyle name="Normal 2 3 4 5 4 2 2" xfId="43358" xr:uid="{00000000-0005-0000-0000-000023750000}"/>
    <cellStyle name="Normal 2 3 4 5 4 3" xfId="12556" xr:uid="{00000000-0005-0000-0000-000024750000}"/>
    <cellStyle name="Normal 2 3 4 5 4 3 2" xfId="43359" xr:uid="{00000000-0005-0000-0000-000025750000}"/>
    <cellStyle name="Normal 2 3 4 5 4 4" xfId="43360" xr:uid="{00000000-0005-0000-0000-000026750000}"/>
    <cellStyle name="Normal 2 3 4 5 5" xfId="12557" xr:uid="{00000000-0005-0000-0000-000027750000}"/>
    <cellStyle name="Normal 2 3 4 5 5 2" xfId="12558" xr:uid="{00000000-0005-0000-0000-000028750000}"/>
    <cellStyle name="Normal 2 3 4 5 5 2 2" xfId="43361" xr:uid="{00000000-0005-0000-0000-000029750000}"/>
    <cellStyle name="Normal 2 3 4 5 5 3" xfId="43362" xr:uid="{00000000-0005-0000-0000-00002A750000}"/>
    <cellStyle name="Normal 2 3 4 5 6" xfId="12559" xr:uid="{00000000-0005-0000-0000-00002B750000}"/>
    <cellStyle name="Normal 2 3 4 5 6 2" xfId="43363" xr:uid="{00000000-0005-0000-0000-00002C750000}"/>
    <cellStyle name="Normal 2 3 4 5 7" xfId="12560" xr:uid="{00000000-0005-0000-0000-00002D750000}"/>
    <cellStyle name="Normal 2 3 4 5 7 2" xfId="43364" xr:uid="{00000000-0005-0000-0000-00002E750000}"/>
    <cellStyle name="Normal 2 3 4 5 8" xfId="43365" xr:uid="{00000000-0005-0000-0000-00002F750000}"/>
    <cellStyle name="Normal 2 3 4 5 8 2" xfId="43366" xr:uid="{00000000-0005-0000-0000-000030750000}"/>
    <cellStyle name="Normal 2 3 4 5 9" xfId="43367" xr:uid="{00000000-0005-0000-0000-000031750000}"/>
    <cellStyle name="Normal 2 3 4 6" xfId="12561" xr:uid="{00000000-0005-0000-0000-000032750000}"/>
    <cellStyle name="Normal 2 3 4 6 10" xfId="43368" xr:uid="{00000000-0005-0000-0000-000033750000}"/>
    <cellStyle name="Normal 2 3 4 6 11" xfId="43369" xr:uid="{00000000-0005-0000-0000-000034750000}"/>
    <cellStyle name="Normal 2 3 4 6 2" xfId="12562" xr:uid="{00000000-0005-0000-0000-000035750000}"/>
    <cellStyle name="Normal 2 3 4 6 2 10" xfId="43370" xr:uid="{00000000-0005-0000-0000-000036750000}"/>
    <cellStyle name="Normal 2 3 4 6 2 2" xfId="12563" xr:uid="{00000000-0005-0000-0000-000037750000}"/>
    <cellStyle name="Normal 2 3 4 6 2 2 2" xfId="12564" xr:uid="{00000000-0005-0000-0000-000038750000}"/>
    <cellStyle name="Normal 2 3 4 6 2 2 2 2" xfId="12565" xr:uid="{00000000-0005-0000-0000-000039750000}"/>
    <cellStyle name="Normal 2 3 4 6 2 2 2 2 2" xfId="43371" xr:uid="{00000000-0005-0000-0000-00003A750000}"/>
    <cellStyle name="Normal 2 3 4 6 2 2 2 3" xfId="12566" xr:uid="{00000000-0005-0000-0000-00003B750000}"/>
    <cellStyle name="Normal 2 3 4 6 2 2 2 3 2" xfId="43372" xr:uid="{00000000-0005-0000-0000-00003C750000}"/>
    <cellStyle name="Normal 2 3 4 6 2 2 2 4" xfId="43373" xr:uid="{00000000-0005-0000-0000-00003D750000}"/>
    <cellStyle name="Normal 2 3 4 6 2 2 3" xfId="12567" xr:uid="{00000000-0005-0000-0000-00003E750000}"/>
    <cellStyle name="Normal 2 3 4 6 2 2 3 2" xfId="43374" xr:uid="{00000000-0005-0000-0000-00003F750000}"/>
    <cellStyle name="Normal 2 3 4 6 2 2 4" xfId="12568" xr:uid="{00000000-0005-0000-0000-000040750000}"/>
    <cellStyle name="Normal 2 3 4 6 2 2 4 2" xfId="43375" xr:uid="{00000000-0005-0000-0000-000041750000}"/>
    <cellStyle name="Normal 2 3 4 6 2 2 5" xfId="12569" xr:uid="{00000000-0005-0000-0000-000042750000}"/>
    <cellStyle name="Normal 2 3 4 6 2 2 5 2" xfId="43376" xr:uid="{00000000-0005-0000-0000-000043750000}"/>
    <cellStyle name="Normal 2 3 4 6 2 2 6" xfId="43377" xr:uid="{00000000-0005-0000-0000-000044750000}"/>
    <cellStyle name="Normal 2 3 4 6 2 2 6 2" xfId="43378" xr:uid="{00000000-0005-0000-0000-000045750000}"/>
    <cellStyle name="Normal 2 3 4 6 2 2 7" xfId="43379" xr:uid="{00000000-0005-0000-0000-000046750000}"/>
    <cellStyle name="Normal 2 3 4 6 2 3" xfId="12570" xr:uid="{00000000-0005-0000-0000-000047750000}"/>
    <cellStyle name="Normal 2 3 4 6 2 3 2" xfId="12571" xr:uid="{00000000-0005-0000-0000-000048750000}"/>
    <cellStyle name="Normal 2 3 4 6 2 3 2 2" xfId="43380" xr:uid="{00000000-0005-0000-0000-000049750000}"/>
    <cellStyle name="Normal 2 3 4 6 2 3 3" xfId="12572" xr:uid="{00000000-0005-0000-0000-00004A750000}"/>
    <cellStyle name="Normal 2 3 4 6 2 3 3 2" xfId="43381" xr:uid="{00000000-0005-0000-0000-00004B750000}"/>
    <cellStyle name="Normal 2 3 4 6 2 3 4" xfId="43382" xr:uid="{00000000-0005-0000-0000-00004C750000}"/>
    <cellStyle name="Normal 2 3 4 6 2 4" xfId="12573" xr:uid="{00000000-0005-0000-0000-00004D750000}"/>
    <cellStyle name="Normal 2 3 4 6 2 4 2" xfId="12574" xr:uid="{00000000-0005-0000-0000-00004E750000}"/>
    <cellStyle name="Normal 2 3 4 6 2 4 2 2" xfId="43383" xr:uid="{00000000-0005-0000-0000-00004F750000}"/>
    <cellStyle name="Normal 2 3 4 6 2 4 3" xfId="43384" xr:uid="{00000000-0005-0000-0000-000050750000}"/>
    <cellStyle name="Normal 2 3 4 6 2 5" xfId="12575" xr:uid="{00000000-0005-0000-0000-000051750000}"/>
    <cellStyle name="Normal 2 3 4 6 2 5 2" xfId="43385" xr:uid="{00000000-0005-0000-0000-000052750000}"/>
    <cellStyle name="Normal 2 3 4 6 2 6" xfId="12576" xr:uid="{00000000-0005-0000-0000-000053750000}"/>
    <cellStyle name="Normal 2 3 4 6 2 6 2" xfId="43386" xr:uid="{00000000-0005-0000-0000-000054750000}"/>
    <cellStyle name="Normal 2 3 4 6 2 7" xfId="43387" xr:uid="{00000000-0005-0000-0000-000055750000}"/>
    <cellStyle name="Normal 2 3 4 6 2 7 2" xfId="43388" xr:uid="{00000000-0005-0000-0000-000056750000}"/>
    <cellStyle name="Normal 2 3 4 6 2 8" xfId="43389" xr:uid="{00000000-0005-0000-0000-000057750000}"/>
    <cellStyle name="Normal 2 3 4 6 2 9" xfId="43390" xr:uid="{00000000-0005-0000-0000-000058750000}"/>
    <cellStyle name="Normal 2 3 4 6 3" xfId="12577" xr:uid="{00000000-0005-0000-0000-000059750000}"/>
    <cellStyle name="Normal 2 3 4 6 3 2" xfId="12578" xr:uid="{00000000-0005-0000-0000-00005A750000}"/>
    <cellStyle name="Normal 2 3 4 6 3 2 2" xfId="12579" xr:uid="{00000000-0005-0000-0000-00005B750000}"/>
    <cellStyle name="Normal 2 3 4 6 3 2 2 2" xfId="43391" xr:uid="{00000000-0005-0000-0000-00005C750000}"/>
    <cellStyle name="Normal 2 3 4 6 3 2 3" xfId="12580" xr:uid="{00000000-0005-0000-0000-00005D750000}"/>
    <cellStyle name="Normal 2 3 4 6 3 2 3 2" xfId="43392" xr:uid="{00000000-0005-0000-0000-00005E750000}"/>
    <cellStyle name="Normal 2 3 4 6 3 2 4" xfId="43393" xr:uid="{00000000-0005-0000-0000-00005F750000}"/>
    <cellStyle name="Normal 2 3 4 6 3 3" xfId="12581" xr:uid="{00000000-0005-0000-0000-000060750000}"/>
    <cellStyle name="Normal 2 3 4 6 3 3 2" xfId="43394" xr:uid="{00000000-0005-0000-0000-000061750000}"/>
    <cellStyle name="Normal 2 3 4 6 3 4" xfId="12582" xr:uid="{00000000-0005-0000-0000-000062750000}"/>
    <cellStyle name="Normal 2 3 4 6 3 4 2" xfId="43395" xr:uid="{00000000-0005-0000-0000-000063750000}"/>
    <cellStyle name="Normal 2 3 4 6 3 5" xfId="12583" xr:uid="{00000000-0005-0000-0000-000064750000}"/>
    <cellStyle name="Normal 2 3 4 6 3 5 2" xfId="43396" xr:uid="{00000000-0005-0000-0000-000065750000}"/>
    <cellStyle name="Normal 2 3 4 6 3 6" xfId="43397" xr:uid="{00000000-0005-0000-0000-000066750000}"/>
    <cellStyle name="Normal 2 3 4 6 3 6 2" xfId="43398" xr:uid="{00000000-0005-0000-0000-000067750000}"/>
    <cellStyle name="Normal 2 3 4 6 3 7" xfId="43399" xr:uid="{00000000-0005-0000-0000-000068750000}"/>
    <cellStyle name="Normal 2 3 4 6 4" xfId="12584" xr:uid="{00000000-0005-0000-0000-000069750000}"/>
    <cellStyle name="Normal 2 3 4 6 4 2" xfId="12585" xr:uid="{00000000-0005-0000-0000-00006A750000}"/>
    <cellStyle name="Normal 2 3 4 6 4 2 2" xfId="43400" xr:uid="{00000000-0005-0000-0000-00006B750000}"/>
    <cellStyle name="Normal 2 3 4 6 4 3" xfId="12586" xr:uid="{00000000-0005-0000-0000-00006C750000}"/>
    <cellStyle name="Normal 2 3 4 6 4 3 2" xfId="43401" xr:uid="{00000000-0005-0000-0000-00006D750000}"/>
    <cellStyle name="Normal 2 3 4 6 4 4" xfId="43402" xr:uid="{00000000-0005-0000-0000-00006E750000}"/>
    <cellStyle name="Normal 2 3 4 6 5" xfId="12587" xr:uid="{00000000-0005-0000-0000-00006F750000}"/>
    <cellStyle name="Normal 2 3 4 6 5 2" xfId="12588" xr:uid="{00000000-0005-0000-0000-000070750000}"/>
    <cellStyle name="Normal 2 3 4 6 5 2 2" xfId="43403" xr:uid="{00000000-0005-0000-0000-000071750000}"/>
    <cellStyle name="Normal 2 3 4 6 5 3" xfId="43404" xr:uid="{00000000-0005-0000-0000-000072750000}"/>
    <cellStyle name="Normal 2 3 4 6 6" xfId="12589" xr:uid="{00000000-0005-0000-0000-000073750000}"/>
    <cellStyle name="Normal 2 3 4 6 6 2" xfId="43405" xr:uid="{00000000-0005-0000-0000-000074750000}"/>
    <cellStyle name="Normal 2 3 4 6 7" xfId="12590" xr:uid="{00000000-0005-0000-0000-000075750000}"/>
    <cellStyle name="Normal 2 3 4 6 7 2" xfId="43406" xr:uid="{00000000-0005-0000-0000-000076750000}"/>
    <cellStyle name="Normal 2 3 4 6 8" xfId="43407" xr:uid="{00000000-0005-0000-0000-000077750000}"/>
    <cellStyle name="Normal 2 3 4 6 8 2" xfId="43408" xr:uid="{00000000-0005-0000-0000-000078750000}"/>
    <cellStyle name="Normal 2 3 4 6 9" xfId="43409" xr:uid="{00000000-0005-0000-0000-000079750000}"/>
    <cellStyle name="Normal 2 3 4 7" xfId="12591" xr:uid="{00000000-0005-0000-0000-00007A750000}"/>
    <cellStyle name="Normal 2 3 4 7 10" xfId="43410" xr:uid="{00000000-0005-0000-0000-00007B750000}"/>
    <cellStyle name="Normal 2 3 4 7 11" xfId="43411" xr:uid="{00000000-0005-0000-0000-00007C750000}"/>
    <cellStyle name="Normal 2 3 4 7 2" xfId="12592" xr:uid="{00000000-0005-0000-0000-00007D750000}"/>
    <cellStyle name="Normal 2 3 4 7 2 10" xfId="43412" xr:uid="{00000000-0005-0000-0000-00007E750000}"/>
    <cellStyle name="Normal 2 3 4 7 2 2" xfId="12593" xr:uid="{00000000-0005-0000-0000-00007F750000}"/>
    <cellStyle name="Normal 2 3 4 7 2 2 2" xfId="12594" xr:uid="{00000000-0005-0000-0000-000080750000}"/>
    <cellStyle name="Normal 2 3 4 7 2 2 2 2" xfId="12595" xr:uid="{00000000-0005-0000-0000-000081750000}"/>
    <cellStyle name="Normal 2 3 4 7 2 2 2 2 2" xfId="43413" xr:uid="{00000000-0005-0000-0000-000082750000}"/>
    <cellStyle name="Normal 2 3 4 7 2 2 2 3" xfId="12596" xr:uid="{00000000-0005-0000-0000-000083750000}"/>
    <cellStyle name="Normal 2 3 4 7 2 2 2 3 2" xfId="43414" xr:uid="{00000000-0005-0000-0000-000084750000}"/>
    <cellStyle name="Normal 2 3 4 7 2 2 2 4" xfId="43415" xr:uid="{00000000-0005-0000-0000-000085750000}"/>
    <cellStyle name="Normal 2 3 4 7 2 2 3" xfId="12597" xr:uid="{00000000-0005-0000-0000-000086750000}"/>
    <cellStyle name="Normal 2 3 4 7 2 2 3 2" xfId="43416" xr:uid="{00000000-0005-0000-0000-000087750000}"/>
    <cellStyle name="Normal 2 3 4 7 2 2 4" xfId="12598" xr:uid="{00000000-0005-0000-0000-000088750000}"/>
    <cellStyle name="Normal 2 3 4 7 2 2 4 2" xfId="43417" xr:uid="{00000000-0005-0000-0000-000089750000}"/>
    <cellStyle name="Normal 2 3 4 7 2 2 5" xfId="12599" xr:uid="{00000000-0005-0000-0000-00008A750000}"/>
    <cellStyle name="Normal 2 3 4 7 2 2 5 2" xfId="43418" xr:uid="{00000000-0005-0000-0000-00008B750000}"/>
    <cellStyle name="Normal 2 3 4 7 2 2 6" xfId="43419" xr:uid="{00000000-0005-0000-0000-00008C750000}"/>
    <cellStyle name="Normal 2 3 4 7 2 2 6 2" xfId="43420" xr:uid="{00000000-0005-0000-0000-00008D750000}"/>
    <cellStyle name="Normal 2 3 4 7 2 2 7" xfId="43421" xr:uid="{00000000-0005-0000-0000-00008E750000}"/>
    <cellStyle name="Normal 2 3 4 7 2 3" xfId="12600" xr:uid="{00000000-0005-0000-0000-00008F750000}"/>
    <cellStyle name="Normal 2 3 4 7 2 3 2" xfId="12601" xr:uid="{00000000-0005-0000-0000-000090750000}"/>
    <cellStyle name="Normal 2 3 4 7 2 3 2 2" xfId="43422" xr:uid="{00000000-0005-0000-0000-000091750000}"/>
    <cellStyle name="Normal 2 3 4 7 2 3 3" xfId="12602" xr:uid="{00000000-0005-0000-0000-000092750000}"/>
    <cellStyle name="Normal 2 3 4 7 2 3 3 2" xfId="43423" xr:uid="{00000000-0005-0000-0000-000093750000}"/>
    <cellStyle name="Normal 2 3 4 7 2 3 4" xfId="43424" xr:uid="{00000000-0005-0000-0000-000094750000}"/>
    <cellStyle name="Normal 2 3 4 7 2 4" xfId="12603" xr:uid="{00000000-0005-0000-0000-000095750000}"/>
    <cellStyle name="Normal 2 3 4 7 2 4 2" xfId="12604" xr:uid="{00000000-0005-0000-0000-000096750000}"/>
    <cellStyle name="Normal 2 3 4 7 2 4 2 2" xfId="43425" xr:uid="{00000000-0005-0000-0000-000097750000}"/>
    <cellStyle name="Normal 2 3 4 7 2 4 3" xfId="43426" xr:uid="{00000000-0005-0000-0000-000098750000}"/>
    <cellStyle name="Normal 2 3 4 7 2 5" xfId="12605" xr:uid="{00000000-0005-0000-0000-000099750000}"/>
    <cellStyle name="Normal 2 3 4 7 2 5 2" xfId="43427" xr:uid="{00000000-0005-0000-0000-00009A750000}"/>
    <cellStyle name="Normal 2 3 4 7 2 6" xfId="12606" xr:uid="{00000000-0005-0000-0000-00009B750000}"/>
    <cellStyle name="Normal 2 3 4 7 2 6 2" xfId="43428" xr:uid="{00000000-0005-0000-0000-00009C750000}"/>
    <cellStyle name="Normal 2 3 4 7 2 7" xfId="43429" xr:uid="{00000000-0005-0000-0000-00009D750000}"/>
    <cellStyle name="Normal 2 3 4 7 2 7 2" xfId="43430" xr:uid="{00000000-0005-0000-0000-00009E750000}"/>
    <cellStyle name="Normal 2 3 4 7 2 8" xfId="43431" xr:uid="{00000000-0005-0000-0000-00009F750000}"/>
    <cellStyle name="Normal 2 3 4 7 2 9" xfId="43432" xr:uid="{00000000-0005-0000-0000-0000A0750000}"/>
    <cellStyle name="Normal 2 3 4 7 3" xfId="12607" xr:uid="{00000000-0005-0000-0000-0000A1750000}"/>
    <cellStyle name="Normal 2 3 4 7 3 2" xfId="12608" xr:uid="{00000000-0005-0000-0000-0000A2750000}"/>
    <cellStyle name="Normal 2 3 4 7 3 2 2" xfId="12609" xr:uid="{00000000-0005-0000-0000-0000A3750000}"/>
    <cellStyle name="Normal 2 3 4 7 3 2 2 2" xfId="43433" xr:uid="{00000000-0005-0000-0000-0000A4750000}"/>
    <cellStyle name="Normal 2 3 4 7 3 2 3" xfId="12610" xr:uid="{00000000-0005-0000-0000-0000A5750000}"/>
    <cellStyle name="Normal 2 3 4 7 3 2 3 2" xfId="43434" xr:uid="{00000000-0005-0000-0000-0000A6750000}"/>
    <cellStyle name="Normal 2 3 4 7 3 2 4" xfId="43435" xr:uid="{00000000-0005-0000-0000-0000A7750000}"/>
    <cellStyle name="Normal 2 3 4 7 3 3" xfId="12611" xr:uid="{00000000-0005-0000-0000-0000A8750000}"/>
    <cellStyle name="Normal 2 3 4 7 3 3 2" xfId="43436" xr:uid="{00000000-0005-0000-0000-0000A9750000}"/>
    <cellStyle name="Normal 2 3 4 7 3 4" xfId="12612" xr:uid="{00000000-0005-0000-0000-0000AA750000}"/>
    <cellStyle name="Normal 2 3 4 7 3 4 2" xfId="43437" xr:uid="{00000000-0005-0000-0000-0000AB750000}"/>
    <cellStyle name="Normal 2 3 4 7 3 5" xfId="12613" xr:uid="{00000000-0005-0000-0000-0000AC750000}"/>
    <cellStyle name="Normal 2 3 4 7 3 5 2" xfId="43438" xr:uid="{00000000-0005-0000-0000-0000AD750000}"/>
    <cellStyle name="Normal 2 3 4 7 3 6" xfId="43439" xr:uid="{00000000-0005-0000-0000-0000AE750000}"/>
    <cellStyle name="Normal 2 3 4 7 3 6 2" xfId="43440" xr:uid="{00000000-0005-0000-0000-0000AF750000}"/>
    <cellStyle name="Normal 2 3 4 7 3 7" xfId="43441" xr:uid="{00000000-0005-0000-0000-0000B0750000}"/>
    <cellStyle name="Normal 2 3 4 7 4" xfId="12614" xr:uid="{00000000-0005-0000-0000-0000B1750000}"/>
    <cellStyle name="Normal 2 3 4 7 4 2" xfId="12615" xr:uid="{00000000-0005-0000-0000-0000B2750000}"/>
    <cellStyle name="Normal 2 3 4 7 4 2 2" xfId="43442" xr:uid="{00000000-0005-0000-0000-0000B3750000}"/>
    <cellStyle name="Normal 2 3 4 7 4 3" xfId="12616" xr:uid="{00000000-0005-0000-0000-0000B4750000}"/>
    <cellStyle name="Normal 2 3 4 7 4 3 2" xfId="43443" xr:uid="{00000000-0005-0000-0000-0000B5750000}"/>
    <cellStyle name="Normal 2 3 4 7 4 4" xfId="43444" xr:uid="{00000000-0005-0000-0000-0000B6750000}"/>
    <cellStyle name="Normal 2 3 4 7 5" xfId="12617" xr:uid="{00000000-0005-0000-0000-0000B7750000}"/>
    <cellStyle name="Normal 2 3 4 7 5 2" xfId="12618" xr:uid="{00000000-0005-0000-0000-0000B8750000}"/>
    <cellStyle name="Normal 2 3 4 7 5 2 2" xfId="43445" xr:uid="{00000000-0005-0000-0000-0000B9750000}"/>
    <cellStyle name="Normal 2 3 4 7 5 3" xfId="43446" xr:uid="{00000000-0005-0000-0000-0000BA750000}"/>
    <cellStyle name="Normal 2 3 4 7 6" xfId="12619" xr:uid="{00000000-0005-0000-0000-0000BB750000}"/>
    <cellStyle name="Normal 2 3 4 7 6 2" xfId="43447" xr:uid="{00000000-0005-0000-0000-0000BC750000}"/>
    <cellStyle name="Normal 2 3 4 7 7" xfId="12620" xr:uid="{00000000-0005-0000-0000-0000BD750000}"/>
    <cellStyle name="Normal 2 3 4 7 7 2" xfId="43448" xr:uid="{00000000-0005-0000-0000-0000BE750000}"/>
    <cellStyle name="Normal 2 3 4 7 8" xfId="43449" xr:uid="{00000000-0005-0000-0000-0000BF750000}"/>
    <cellStyle name="Normal 2 3 4 7 8 2" xfId="43450" xr:uid="{00000000-0005-0000-0000-0000C0750000}"/>
    <cellStyle name="Normal 2 3 4 7 9" xfId="43451" xr:uid="{00000000-0005-0000-0000-0000C1750000}"/>
    <cellStyle name="Normal 2 3 4 8" xfId="12621" xr:uid="{00000000-0005-0000-0000-0000C2750000}"/>
    <cellStyle name="Normal 2 3 4 8 10" xfId="43452" xr:uid="{00000000-0005-0000-0000-0000C3750000}"/>
    <cellStyle name="Normal 2 3 4 8 11" xfId="43453" xr:uid="{00000000-0005-0000-0000-0000C4750000}"/>
    <cellStyle name="Normal 2 3 4 8 2" xfId="12622" xr:uid="{00000000-0005-0000-0000-0000C5750000}"/>
    <cellStyle name="Normal 2 3 4 8 2 10" xfId="43454" xr:uid="{00000000-0005-0000-0000-0000C6750000}"/>
    <cellStyle name="Normal 2 3 4 8 2 2" xfId="12623" xr:uid="{00000000-0005-0000-0000-0000C7750000}"/>
    <cellStyle name="Normal 2 3 4 8 2 2 2" xfId="12624" xr:uid="{00000000-0005-0000-0000-0000C8750000}"/>
    <cellStyle name="Normal 2 3 4 8 2 2 2 2" xfId="12625" xr:uid="{00000000-0005-0000-0000-0000C9750000}"/>
    <cellStyle name="Normal 2 3 4 8 2 2 2 2 2" xfId="43455" xr:uid="{00000000-0005-0000-0000-0000CA750000}"/>
    <cellStyle name="Normal 2 3 4 8 2 2 2 3" xfId="12626" xr:uid="{00000000-0005-0000-0000-0000CB750000}"/>
    <cellStyle name="Normal 2 3 4 8 2 2 2 3 2" xfId="43456" xr:uid="{00000000-0005-0000-0000-0000CC750000}"/>
    <cellStyle name="Normal 2 3 4 8 2 2 2 4" xfId="43457" xr:uid="{00000000-0005-0000-0000-0000CD750000}"/>
    <cellStyle name="Normal 2 3 4 8 2 2 3" xfId="12627" xr:uid="{00000000-0005-0000-0000-0000CE750000}"/>
    <cellStyle name="Normal 2 3 4 8 2 2 3 2" xfId="43458" xr:uid="{00000000-0005-0000-0000-0000CF750000}"/>
    <cellStyle name="Normal 2 3 4 8 2 2 4" xfId="12628" xr:uid="{00000000-0005-0000-0000-0000D0750000}"/>
    <cellStyle name="Normal 2 3 4 8 2 2 4 2" xfId="43459" xr:uid="{00000000-0005-0000-0000-0000D1750000}"/>
    <cellStyle name="Normal 2 3 4 8 2 2 5" xfId="12629" xr:uid="{00000000-0005-0000-0000-0000D2750000}"/>
    <cellStyle name="Normal 2 3 4 8 2 2 5 2" xfId="43460" xr:uid="{00000000-0005-0000-0000-0000D3750000}"/>
    <cellStyle name="Normal 2 3 4 8 2 2 6" xfId="43461" xr:uid="{00000000-0005-0000-0000-0000D4750000}"/>
    <cellStyle name="Normal 2 3 4 8 2 2 6 2" xfId="43462" xr:uid="{00000000-0005-0000-0000-0000D5750000}"/>
    <cellStyle name="Normal 2 3 4 8 2 2 7" xfId="43463" xr:uid="{00000000-0005-0000-0000-0000D6750000}"/>
    <cellStyle name="Normal 2 3 4 8 2 3" xfId="12630" xr:uid="{00000000-0005-0000-0000-0000D7750000}"/>
    <cellStyle name="Normal 2 3 4 8 2 3 2" xfId="12631" xr:uid="{00000000-0005-0000-0000-0000D8750000}"/>
    <cellStyle name="Normal 2 3 4 8 2 3 2 2" xfId="43464" xr:uid="{00000000-0005-0000-0000-0000D9750000}"/>
    <cellStyle name="Normal 2 3 4 8 2 3 3" xfId="12632" xr:uid="{00000000-0005-0000-0000-0000DA750000}"/>
    <cellStyle name="Normal 2 3 4 8 2 3 3 2" xfId="43465" xr:uid="{00000000-0005-0000-0000-0000DB750000}"/>
    <cellStyle name="Normal 2 3 4 8 2 3 4" xfId="43466" xr:uid="{00000000-0005-0000-0000-0000DC750000}"/>
    <cellStyle name="Normal 2 3 4 8 2 4" xfId="12633" xr:uid="{00000000-0005-0000-0000-0000DD750000}"/>
    <cellStyle name="Normal 2 3 4 8 2 4 2" xfId="12634" xr:uid="{00000000-0005-0000-0000-0000DE750000}"/>
    <cellStyle name="Normal 2 3 4 8 2 4 2 2" xfId="43467" xr:uid="{00000000-0005-0000-0000-0000DF750000}"/>
    <cellStyle name="Normal 2 3 4 8 2 4 3" xfId="43468" xr:uid="{00000000-0005-0000-0000-0000E0750000}"/>
    <cellStyle name="Normal 2 3 4 8 2 5" xfId="12635" xr:uid="{00000000-0005-0000-0000-0000E1750000}"/>
    <cellStyle name="Normal 2 3 4 8 2 5 2" xfId="43469" xr:uid="{00000000-0005-0000-0000-0000E2750000}"/>
    <cellStyle name="Normal 2 3 4 8 2 6" xfId="12636" xr:uid="{00000000-0005-0000-0000-0000E3750000}"/>
    <cellStyle name="Normal 2 3 4 8 2 6 2" xfId="43470" xr:uid="{00000000-0005-0000-0000-0000E4750000}"/>
    <cellStyle name="Normal 2 3 4 8 2 7" xfId="43471" xr:uid="{00000000-0005-0000-0000-0000E5750000}"/>
    <cellStyle name="Normal 2 3 4 8 2 7 2" xfId="43472" xr:uid="{00000000-0005-0000-0000-0000E6750000}"/>
    <cellStyle name="Normal 2 3 4 8 2 8" xfId="43473" xr:uid="{00000000-0005-0000-0000-0000E7750000}"/>
    <cellStyle name="Normal 2 3 4 8 2 9" xfId="43474" xr:uid="{00000000-0005-0000-0000-0000E8750000}"/>
    <cellStyle name="Normal 2 3 4 8 3" xfId="12637" xr:uid="{00000000-0005-0000-0000-0000E9750000}"/>
    <cellStyle name="Normal 2 3 4 8 3 2" xfId="12638" xr:uid="{00000000-0005-0000-0000-0000EA750000}"/>
    <cellStyle name="Normal 2 3 4 8 3 2 2" xfId="12639" xr:uid="{00000000-0005-0000-0000-0000EB750000}"/>
    <cellStyle name="Normal 2 3 4 8 3 2 2 2" xfId="43475" xr:uid="{00000000-0005-0000-0000-0000EC750000}"/>
    <cellStyle name="Normal 2 3 4 8 3 2 3" xfId="12640" xr:uid="{00000000-0005-0000-0000-0000ED750000}"/>
    <cellStyle name="Normal 2 3 4 8 3 2 3 2" xfId="43476" xr:uid="{00000000-0005-0000-0000-0000EE750000}"/>
    <cellStyle name="Normal 2 3 4 8 3 2 4" xfId="43477" xr:uid="{00000000-0005-0000-0000-0000EF750000}"/>
    <cellStyle name="Normal 2 3 4 8 3 3" xfId="12641" xr:uid="{00000000-0005-0000-0000-0000F0750000}"/>
    <cellStyle name="Normal 2 3 4 8 3 3 2" xfId="43478" xr:uid="{00000000-0005-0000-0000-0000F1750000}"/>
    <cellStyle name="Normal 2 3 4 8 3 4" xfId="12642" xr:uid="{00000000-0005-0000-0000-0000F2750000}"/>
    <cellStyle name="Normal 2 3 4 8 3 4 2" xfId="43479" xr:uid="{00000000-0005-0000-0000-0000F3750000}"/>
    <cellStyle name="Normal 2 3 4 8 3 5" xfId="12643" xr:uid="{00000000-0005-0000-0000-0000F4750000}"/>
    <cellStyle name="Normal 2 3 4 8 3 5 2" xfId="43480" xr:uid="{00000000-0005-0000-0000-0000F5750000}"/>
    <cellStyle name="Normal 2 3 4 8 3 6" xfId="43481" xr:uid="{00000000-0005-0000-0000-0000F6750000}"/>
    <cellStyle name="Normal 2 3 4 8 3 6 2" xfId="43482" xr:uid="{00000000-0005-0000-0000-0000F7750000}"/>
    <cellStyle name="Normal 2 3 4 8 3 7" xfId="43483" xr:uid="{00000000-0005-0000-0000-0000F8750000}"/>
    <cellStyle name="Normal 2 3 4 8 4" xfId="12644" xr:uid="{00000000-0005-0000-0000-0000F9750000}"/>
    <cellStyle name="Normal 2 3 4 8 4 2" xfId="12645" xr:uid="{00000000-0005-0000-0000-0000FA750000}"/>
    <cellStyle name="Normal 2 3 4 8 4 2 2" xfId="43484" xr:uid="{00000000-0005-0000-0000-0000FB750000}"/>
    <cellStyle name="Normal 2 3 4 8 4 3" xfId="12646" xr:uid="{00000000-0005-0000-0000-0000FC750000}"/>
    <cellStyle name="Normal 2 3 4 8 4 3 2" xfId="43485" xr:uid="{00000000-0005-0000-0000-0000FD750000}"/>
    <cellStyle name="Normal 2 3 4 8 4 4" xfId="43486" xr:uid="{00000000-0005-0000-0000-0000FE750000}"/>
    <cellStyle name="Normal 2 3 4 8 5" xfId="12647" xr:uid="{00000000-0005-0000-0000-0000FF750000}"/>
    <cellStyle name="Normal 2 3 4 8 5 2" xfId="12648" xr:uid="{00000000-0005-0000-0000-000000760000}"/>
    <cellStyle name="Normal 2 3 4 8 5 2 2" xfId="43487" xr:uid="{00000000-0005-0000-0000-000001760000}"/>
    <cellStyle name="Normal 2 3 4 8 5 3" xfId="43488" xr:uid="{00000000-0005-0000-0000-000002760000}"/>
    <cellStyle name="Normal 2 3 4 8 6" xfId="12649" xr:uid="{00000000-0005-0000-0000-000003760000}"/>
    <cellStyle name="Normal 2 3 4 8 6 2" xfId="43489" xr:uid="{00000000-0005-0000-0000-000004760000}"/>
    <cellStyle name="Normal 2 3 4 8 7" xfId="12650" xr:uid="{00000000-0005-0000-0000-000005760000}"/>
    <cellStyle name="Normal 2 3 4 8 7 2" xfId="43490" xr:uid="{00000000-0005-0000-0000-000006760000}"/>
    <cellStyle name="Normal 2 3 4 8 8" xfId="43491" xr:uid="{00000000-0005-0000-0000-000007760000}"/>
    <cellStyle name="Normal 2 3 4 8 8 2" xfId="43492" xr:uid="{00000000-0005-0000-0000-000008760000}"/>
    <cellStyle name="Normal 2 3 4 8 9" xfId="43493" xr:uid="{00000000-0005-0000-0000-000009760000}"/>
    <cellStyle name="Normal 2 3 4 9" xfId="12651" xr:uid="{00000000-0005-0000-0000-00000A760000}"/>
    <cellStyle name="Normal 2 3 4 9 10" xfId="43494" xr:uid="{00000000-0005-0000-0000-00000B760000}"/>
    <cellStyle name="Normal 2 3 4 9 11" xfId="43495" xr:uid="{00000000-0005-0000-0000-00000C760000}"/>
    <cellStyle name="Normal 2 3 4 9 2" xfId="12652" xr:uid="{00000000-0005-0000-0000-00000D760000}"/>
    <cellStyle name="Normal 2 3 4 9 2 10" xfId="43496" xr:uid="{00000000-0005-0000-0000-00000E760000}"/>
    <cellStyle name="Normal 2 3 4 9 2 2" xfId="12653" xr:uid="{00000000-0005-0000-0000-00000F760000}"/>
    <cellStyle name="Normal 2 3 4 9 2 2 2" xfId="12654" xr:uid="{00000000-0005-0000-0000-000010760000}"/>
    <cellStyle name="Normal 2 3 4 9 2 2 2 2" xfId="12655" xr:uid="{00000000-0005-0000-0000-000011760000}"/>
    <cellStyle name="Normal 2 3 4 9 2 2 2 2 2" xfId="43497" xr:uid="{00000000-0005-0000-0000-000012760000}"/>
    <cellStyle name="Normal 2 3 4 9 2 2 2 3" xfId="12656" xr:uid="{00000000-0005-0000-0000-000013760000}"/>
    <cellStyle name="Normal 2 3 4 9 2 2 2 3 2" xfId="43498" xr:uid="{00000000-0005-0000-0000-000014760000}"/>
    <cellStyle name="Normal 2 3 4 9 2 2 2 4" xfId="43499" xr:uid="{00000000-0005-0000-0000-000015760000}"/>
    <cellStyle name="Normal 2 3 4 9 2 2 3" xfId="12657" xr:uid="{00000000-0005-0000-0000-000016760000}"/>
    <cellStyle name="Normal 2 3 4 9 2 2 3 2" xfId="43500" xr:uid="{00000000-0005-0000-0000-000017760000}"/>
    <cellStyle name="Normal 2 3 4 9 2 2 4" xfId="12658" xr:uid="{00000000-0005-0000-0000-000018760000}"/>
    <cellStyle name="Normal 2 3 4 9 2 2 4 2" xfId="43501" xr:uid="{00000000-0005-0000-0000-000019760000}"/>
    <cellStyle name="Normal 2 3 4 9 2 2 5" xfId="12659" xr:uid="{00000000-0005-0000-0000-00001A760000}"/>
    <cellStyle name="Normal 2 3 4 9 2 2 5 2" xfId="43502" xr:uid="{00000000-0005-0000-0000-00001B760000}"/>
    <cellStyle name="Normal 2 3 4 9 2 2 6" xfId="43503" xr:uid="{00000000-0005-0000-0000-00001C760000}"/>
    <cellStyle name="Normal 2 3 4 9 2 2 6 2" xfId="43504" xr:uid="{00000000-0005-0000-0000-00001D760000}"/>
    <cellStyle name="Normal 2 3 4 9 2 2 7" xfId="43505" xr:uid="{00000000-0005-0000-0000-00001E760000}"/>
    <cellStyle name="Normal 2 3 4 9 2 3" xfId="12660" xr:uid="{00000000-0005-0000-0000-00001F760000}"/>
    <cellStyle name="Normal 2 3 4 9 2 3 2" xfId="12661" xr:uid="{00000000-0005-0000-0000-000020760000}"/>
    <cellStyle name="Normal 2 3 4 9 2 3 2 2" xfId="43506" xr:uid="{00000000-0005-0000-0000-000021760000}"/>
    <cellStyle name="Normal 2 3 4 9 2 3 3" xfId="12662" xr:uid="{00000000-0005-0000-0000-000022760000}"/>
    <cellStyle name="Normal 2 3 4 9 2 3 3 2" xfId="43507" xr:uid="{00000000-0005-0000-0000-000023760000}"/>
    <cellStyle name="Normal 2 3 4 9 2 3 4" xfId="43508" xr:uid="{00000000-0005-0000-0000-000024760000}"/>
    <cellStyle name="Normal 2 3 4 9 2 4" xfId="12663" xr:uid="{00000000-0005-0000-0000-000025760000}"/>
    <cellStyle name="Normal 2 3 4 9 2 4 2" xfId="12664" xr:uid="{00000000-0005-0000-0000-000026760000}"/>
    <cellStyle name="Normal 2 3 4 9 2 4 2 2" xfId="43509" xr:uid="{00000000-0005-0000-0000-000027760000}"/>
    <cellStyle name="Normal 2 3 4 9 2 4 3" xfId="43510" xr:uid="{00000000-0005-0000-0000-000028760000}"/>
    <cellStyle name="Normal 2 3 4 9 2 5" xfId="12665" xr:uid="{00000000-0005-0000-0000-000029760000}"/>
    <cellStyle name="Normal 2 3 4 9 2 5 2" xfId="43511" xr:uid="{00000000-0005-0000-0000-00002A760000}"/>
    <cellStyle name="Normal 2 3 4 9 2 6" xfId="12666" xr:uid="{00000000-0005-0000-0000-00002B760000}"/>
    <cellStyle name="Normal 2 3 4 9 2 6 2" xfId="43512" xr:uid="{00000000-0005-0000-0000-00002C760000}"/>
    <cellStyle name="Normal 2 3 4 9 2 7" xfId="43513" xr:uid="{00000000-0005-0000-0000-00002D760000}"/>
    <cellStyle name="Normal 2 3 4 9 2 7 2" xfId="43514" xr:uid="{00000000-0005-0000-0000-00002E760000}"/>
    <cellStyle name="Normal 2 3 4 9 2 8" xfId="43515" xr:uid="{00000000-0005-0000-0000-00002F760000}"/>
    <cellStyle name="Normal 2 3 4 9 2 9" xfId="43516" xr:uid="{00000000-0005-0000-0000-000030760000}"/>
    <cellStyle name="Normal 2 3 4 9 3" xfId="12667" xr:uid="{00000000-0005-0000-0000-000031760000}"/>
    <cellStyle name="Normal 2 3 4 9 3 2" xfId="12668" xr:uid="{00000000-0005-0000-0000-000032760000}"/>
    <cellStyle name="Normal 2 3 4 9 3 2 2" xfId="12669" xr:uid="{00000000-0005-0000-0000-000033760000}"/>
    <cellStyle name="Normal 2 3 4 9 3 2 2 2" xfId="43517" xr:uid="{00000000-0005-0000-0000-000034760000}"/>
    <cellStyle name="Normal 2 3 4 9 3 2 3" xfId="12670" xr:uid="{00000000-0005-0000-0000-000035760000}"/>
    <cellStyle name="Normal 2 3 4 9 3 2 3 2" xfId="43518" xr:uid="{00000000-0005-0000-0000-000036760000}"/>
    <cellStyle name="Normal 2 3 4 9 3 2 4" xfId="43519" xr:uid="{00000000-0005-0000-0000-000037760000}"/>
    <cellStyle name="Normal 2 3 4 9 3 3" xfId="12671" xr:uid="{00000000-0005-0000-0000-000038760000}"/>
    <cellStyle name="Normal 2 3 4 9 3 3 2" xfId="43520" xr:uid="{00000000-0005-0000-0000-000039760000}"/>
    <cellStyle name="Normal 2 3 4 9 3 4" xfId="12672" xr:uid="{00000000-0005-0000-0000-00003A760000}"/>
    <cellStyle name="Normal 2 3 4 9 3 4 2" xfId="43521" xr:uid="{00000000-0005-0000-0000-00003B760000}"/>
    <cellStyle name="Normal 2 3 4 9 3 5" xfId="12673" xr:uid="{00000000-0005-0000-0000-00003C760000}"/>
    <cellStyle name="Normal 2 3 4 9 3 5 2" xfId="43522" xr:uid="{00000000-0005-0000-0000-00003D760000}"/>
    <cellStyle name="Normal 2 3 4 9 3 6" xfId="43523" xr:uid="{00000000-0005-0000-0000-00003E760000}"/>
    <cellStyle name="Normal 2 3 4 9 3 6 2" xfId="43524" xr:uid="{00000000-0005-0000-0000-00003F760000}"/>
    <cellStyle name="Normal 2 3 4 9 3 7" xfId="43525" xr:uid="{00000000-0005-0000-0000-000040760000}"/>
    <cellStyle name="Normal 2 3 4 9 4" xfId="12674" xr:uid="{00000000-0005-0000-0000-000041760000}"/>
    <cellStyle name="Normal 2 3 4 9 4 2" xfId="12675" xr:uid="{00000000-0005-0000-0000-000042760000}"/>
    <cellStyle name="Normal 2 3 4 9 4 2 2" xfId="43526" xr:uid="{00000000-0005-0000-0000-000043760000}"/>
    <cellStyle name="Normal 2 3 4 9 4 3" xfId="12676" xr:uid="{00000000-0005-0000-0000-000044760000}"/>
    <cellStyle name="Normal 2 3 4 9 4 3 2" xfId="43527" xr:uid="{00000000-0005-0000-0000-000045760000}"/>
    <cellStyle name="Normal 2 3 4 9 4 4" xfId="43528" xr:uid="{00000000-0005-0000-0000-000046760000}"/>
    <cellStyle name="Normal 2 3 4 9 5" xfId="12677" xr:uid="{00000000-0005-0000-0000-000047760000}"/>
    <cellStyle name="Normal 2 3 4 9 5 2" xfId="12678" xr:uid="{00000000-0005-0000-0000-000048760000}"/>
    <cellStyle name="Normal 2 3 4 9 5 2 2" xfId="43529" xr:uid="{00000000-0005-0000-0000-000049760000}"/>
    <cellStyle name="Normal 2 3 4 9 5 3" xfId="43530" xr:uid="{00000000-0005-0000-0000-00004A760000}"/>
    <cellStyle name="Normal 2 3 4 9 6" xfId="12679" xr:uid="{00000000-0005-0000-0000-00004B760000}"/>
    <cellStyle name="Normal 2 3 4 9 6 2" xfId="43531" xr:uid="{00000000-0005-0000-0000-00004C760000}"/>
    <cellStyle name="Normal 2 3 4 9 7" xfId="12680" xr:uid="{00000000-0005-0000-0000-00004D760000}"/>
    <cellStyle name="Normal 2 3 4 9 7 2" xfId="43532" xr:uid="{00000000-0005-0000-0000-00004E760000}"/>
    <cellStyle name="Normal 2 3 4 9 8" xfId="43533" xr:uid="{00000000-0005-0000-0000-00004F760000}"/>
    <cellStyle name="Normal 2 3 4 9 8 2" xfId="43534" xr:uid="{00000000-0005-0000-0000-000050760000}"/>
    <cellStyle name="Normal 2 3 4 9 9" xfId="43535" xr:uid="{00000000-0005-0000-0000-000051760000}"/>
    <cellStyle name="Normal 2 3 40" xfId="12681" xr:uid="{00000000-0005-0000-0000-000052760000}"/>
    <cellStyle name="Normal 2 3 40 2" xfId="12682" xr:uid="{00000000-0005-0000-0000-000053760000}"/>
    <cellStyle name="Normal 2 3 40 2 2" xfId="12683" xr:uid="{00000000-0005-0000-0000-000054760000}"/>
    <cellStyle name="Normal 2 3 40 2 2 2" xfId="43536" xr:uid="{00000000-0005-0000-0000-000055760000}"/>
    <cellStyle name="Normal 2 3 40 2 3" xfId="12684" xr:uid="{00000000-0005-0000-0000-000056760000}"/>
    <cellStyle name="Normal 2 3 40 2 3 2" xfId="43537" xr:uid="{00000000-0005-0000-0000-000057760000}"/>
    <cellStyle name="Normal 2 3 40 2 4" xfId="43538" xr:uid="{00000000-0005-0000-0000-000058760000}"/>
    <cellStyle name="Normal 2 3 40 3" xfId="12685" xr:uid="{00000000-0005-0000-0000-000059760000}"/>
    <cellStyle name="Normal 2 3 40 3 2" xfId="43539" xr:uid="{00000000-0005-0000-0000-00005A760000}"/>
    <cellStyle name="Normal 2 3 40 4" xfId="12686" xr:uid="{00000000-0005-0000-0000-00005B760000}"/>
    <cellStyle name="Normal 2 3 40 4 2" xfId="43540" xr:uid="{00000000-0005-0000-0000-00005C760000}"/>
    <cellStyle name="Normal 2 3 40 5" xfId="12687" xr:uid="{00000000-0005-0000-0000-00005D760000}"/>
    <cellStyle name="Normal 2 3 40 5 2" xfId="43541" xr:uid="{00000000-0005-0000-0000-00005E760000}"/>
    <cellStyle name="Normal 2 3 40 6" xfId="43542" xr:uid="{00000000-0005-0000-0000-00005F760000}"/>
    <cellStyle name="Normal 2 3 40 6 2" xfId="43543" xr:uid="{00000000-0005-0000-0000-000060760000}"/>
    <cellStyle name="Normal 2 3 40 7" xfId="43544" xr:uid="{00000000-0005-0000-0000-000061760000}"/>
    <cellStyle name="Normal 2 3 40 8" xfId="43545" xr:uid="{00000000-0005-0000-0000-000062760000}"/>
    <cellStyle name="Normal 2 3 40 9" xfId="43546" xr:uid="{00000000-0005-0000-0000-000063760000}"/>
    <cellStyle name="Normal 2 3 41" xfId="12688" xr:uid="{00000000-0005-0000-0000-000064760000}"/>
    <cellStyle name="Normal 2 3 41 2" xfId="12689" xr:uid="{00000000-0005-0000-0000-000065760000}"/>
    <cellStyle name="Normal 2 3 41 2 2" xfId="43547" xr:uid="{00000000-0005-0000-0000-000066760000}"/>
    <cellStyle name="Normal 2 3 41 3" xfId="12690" xr:uid="{00000000-0005-0000-0000-000067760000}"/>
    <cellStyle name="Normal 2 3 41 3 2" xfId="43548" xr:uid="{00000000-0005-0000-0000-000068760000}"/>
    <cellStyle name="Normal 2 3 41 4" xfId="43549" xr:uid="{00000000-0005-0000-0000-000069760000}"/>
    <cellStyle name="Normal 2 3 42" xfId="12691" xr:uid="{00000000-0005-0000-0000-00006A760000}"/>
    <cellStyle name="Normal 2 3 42 2" xfId="12692" xr:uid="{00000000-0005-0000-0000-00006B760000}"/>
    <cellStyle name="Normal 2 3 42 2 2" xfId="43550" xr:uid="{00000000-0005-0000-0000-00006C760000}"/>
    <cellStyle name="Normal 2 3 42 3" xfId="43551" xr:uid="{00000000-0005-0000-0000-00006D760000}"/>
    <cellStyle name="Normal 2 3 43" xfId="12693" xr:uid="{00000000-0005-0000-0000-00006E760000}"/>
    <cellStyle name="Normal 2 3 43 2" xfId="43552" xr:uid="{00000000-0005-0000-0000-00006F760000}"/>
    <cellStyle name="Normal 2 3 44" xfId="12694" xr:uid="{00000000-0005-0000-0000-000070760000}"/>
    <cellStyle name="Normal 2 3 44 2" xfId="43553" xr:uid="{00000000-0005-0000-0000-000071760000}"/>
    <cellStyle name="Normal 2 3 45" xfId="12695" xr:uid="{00000000-0005-0000-0000-000072760000}"/>
    <cellStyle name="Normal 2 3 45 2" xfId="43554" xr:uid="{00000000-0005-0000-0000-000073760000}"/>
    <cellStyle name="Normal 2 3 46" xfId="43555" xr:uid="{00000000-0005-0000-0000-000074760000}"/>
    <cellStyle name="Normal 2 3 47" xfId="43556" xr:uid="{00000000-0005-0000-0000-000075760000}"/>
    <cellStyle name="Normal 2 3 48" xfId="43557" xr:uid="{00000000-0005-0000-0000-000076760000}"/>
    <cellStyle name="Normal 2 3 5" xfId="12696" xr:uid="{00000000-0005-0000-0000-000077760000}"/>
    <cellStyle name="Normal 2 3 5 10" xfId="12697" xr:uid="{00000000-0005-0000-0000-000078760000}"/>
    <cellStyle name="Normal 2 3 5 10 10" xfId="43558" xr:uid="{00000000-0005-0000-0000-000079760000}"/>
    <cellStyle name="Normal 2 3 5 10 11" xfId="43559" xr:uid="{00000000-0005-0000-0000-00007A760000}"/>
    <cellStyle name="Normal 2 3 5 10 2" xfId="12698" xr:uid="{00000000-0005-0000-0000-00007B760000}"/>
    <cellStyle name="Normal 2 3 5 10 2 10" xfId="43560" xr:uid="{00000000-0005-0000-0000-00007C760000}"/>
    <cellStyle name="Normal 2 3 5 10 2 2" xfId="12699" xr:uid="{00000000-0005-0000-0000-00007D760000}"/>
    <cellStyle name="Normal 2 3 5 10 2 2 2" xfId="12700" xr:uid="{00000000-0005-0000-0000-00007E760000}"/>
    <cellStyle name="Normal 2 3 5 10 2 2 2 2" xfId="12701" xr:uid="{00000000-0005-0000-0000-00007F760000}"/>
    <cellStyle name="Normal 2 3 5 10 2 2 2 2 2" xfId="43561" xr:uid="{00000000-0005-0000-0000-000080760000}"/>
    <cellStyle name="Normal 2 3 5 10 2 2 2 3" xfId="12702" xr:uid="{00000000-0005-0000-0000-000081760000}"/>
    <cellStyle name="Normal 2 3 5 10 2 2 2 3 2" xfId="43562" xr:uid="{00000000-0005-0000-0000-000082760000}"/>
    <cellStyle name="Normal 2 3 5 10 2 2 2 4" xfId="43563" xr:uid="{00000000-0005-0000-0000-000083760000}"/>
    <cellStyle name="Normal 2 3 5 10 2 2 3" xfId="12703" xr:uid="{00000000-0005-0000-0000-000084760000}"/>
    <cellStyle name="Normal 2 3 5 10 2 2 3 2" xfId="43564" xr:uid="{00000000-0005-0000-0000-000085760000}"/>
    <cellStyle name="Normal 2 3 5 10 2 2 4" xfId="12704" xr:uid="{00000000-0005-0000-0000-000086760000}"/>
    <cellStyle name="Normal 2 3 5 10 2 2 4 2" xfId="43565" xr:uid="{00000000-0005-0000-0000-000087760000}"/>
    <cellStyle name="Normal 2 3 5 10 2 2 5" xfId="12705" xr:uid="{00000000-0005-0000-0000-000088760000}"/>
    <cellStyle name="Normal 2 3 5 10 2 2 5 2" xfId="43566" xr:uid="{00000000-0005-0000-0000-000089760000}"/>
    <cellStyle name="Normal 2 3 5 10 2 2 6" xfId="43567" xr:uid="{00000000-0005-0000-0000-00008A760000}"/>
    <cellStyle name="Normal 2 3 5 10 2 2 6 2" xfId="43568" xr:uid="{00000000-0005-0000-0000-00008B760000}"/>
    <cellStyle name="Normal 2 3 5 10 2 2 7" xfId="43569" xr:uid="{00000000-0005-0000-0000-00008C760000}"/>
    <cellStyle name="Normal 2 3 5 10 2 3" xfId="12706" xr:uid="{00000000-0005-0000-0000-00008D760000}"/>
    <cellStyle name="Normal 2 3 5 10 2 3 2" xfId="12707" xr:uid="{00000000-0005-0000-0000-00008E760000}"/>
    <cellStyle name="Normal 2 3 5 10 2 3 2 2" xfId="43570" xr:uid="{00000000-0005-0000-0000-00008F760000}"/>
    <cellStyle name="Normal 2 3 5 10 2 3 3" xfId="12708" xr:uid="{00000000-0005-0000-0000-000090760000}"/>
    <cellStyle name="Normal 2 3 5 10 2 3 3 2" xfId="43571" xr:uid="{00000000-0005-0000-0000-000091760000}"/>
    <cellStyle name="Normal 2 3 5 10 2 3 4" xfId="43572" xr:uid="{00000000-0005-0000-0000-000092760000}"/>
    <cellStyle name="Normal 2 3 5 10 2 4" xfId="12709" xr:uid="{00000000-0005-0000-0000-000093760000}"/>
    <cellStyle name="Normal 2 3 5 10 2 4 2" xfId="12710" xr:uid="{00000000-0005-0000-0000-000094760000}"/>
    <cellStyle name="Normal 2 3 5 10 2 4 2 2" xfId="43573" xr:uid="{00000000-0005-0000-0000-000095760000}"/>
    <cellStyle name="Normal 2 3 5 10 2 4 3" xfId="43574" xr:uid="{00000000-0005-0000-0000-000096760000}"/>
    <cellStyle name="Normal 2 3 5 10 2 5" xfId="12711" xr:uid="{00000000-0005-0000-0000-000097760000}"/>
    <cellStyle name="Normal 2 3 5 10 2 5 2" xfId="43575" xr:uid="{00000000-0005-0000-0000-000098760000}"/>
    <cellStyle name="Normal 2 3 5 10 2 6" xfId="12712" xr:uid="{00000000-0005-0000-0000-000099760000}"/>
    <cellStyle name="Normal 2 3 5 10 2 6 2" xfId="43576" xr:uid="{00000000-0005-0000-0000-00009A760000}"/>
    <cellStyle name="Normal 2 3 5 10 2 7" xfId="43577" xr:uid="{00000000-0005-0000-0000-00009B760000}"/>
    <cellStyle name="Normal 2 3 5 10 2 7 2" xfId="43578" xr:uid="{00000000-0005-0000-0000-00009C760000}"/>
    <cellStyle name="Normal 2 3 5 10 2 8" xfId="43579" xr:uid="{00000000-0005-0000-0000-00009D760000}"/>
    <cellStyle name="Normal 2 3 5 10 2 9" xfId="43580" xr:uid="{00000000-0005-0000-0000-00009E760000}"/>
    <cellStyle name="Normal 2 3 5 10 3" xfId="12713" xr:uid="{00000000-0005-0000-0000-00009F760000}"/>
    <cellStyle name="Normal 2 3 5 10 3 2" xfId="12714" xr:uid="{00000000-0005-0000-0000-0000A0760000}"/>
    <cellStyle name="Normal 2 3 5 10 3 2 2" xfId="12715" xr:uid="{00000000-0005-0000-0000-0000A1760000}"/>
    <cellStyle name="Normal 2 3 5 10 3 2 2 2" xfId="43581" xr:uid="{00000000-0005-0000-0000-0000A2760000}"/>
    <cellStyle name="Normal 2 3 5 10 3 2 3" xfId="12716" xr:uid="{00000000-0005-0000-0000-0000A3760000}"/>
    <cellStyle name="Normal 2 3 5 10 3 2 3 2" xfId="43582" xr:uid="{00000000-0005-0000-0000-0000A4760000}"/>
    <cellStyle name="Normal 2 3 5 10 3 2 4" xfId="43583" xr:uid="{00000000-0005-0000-0000-0000A5760000}"/>
    <cellStyle name="Normal 2 3 5 10 3 3" xfId="12717" xr:uid="{00000000-0005-0000-0000-0000A6760000}"/>
    <cellStyle name="Normal 2 3 5 10 3 3 2" xfId="43584" xr:uid="{00000000-0005-0000-0000-0000A7760000}"/>
    <cellStyle name="Normal 2 3 5 10 3 4" xfId="12718" xr:uid="{00000000-0005-0000-0000-0000A8760000}"/>
    <cellStyle name="Normal 2 3 5 10 3 4 2" xfId="43585" xr:uid="{00000000-0005-0000-0000-0000A9760000}"/>
    <cellStyle name="Normal 2 3 5 10 3 5" xfId="12719" xr:uid="{00000000-0005-0000-0000-0000AA760000}"/>
    <cellStyle name="Normal 2 3 5 10 3 5 2" xfId="43586" xr:uid="{00000000-0005-0000-0000-0000AB760000}"/>
    <cellStyle name="Normal 2 3 5 10 3 6" xfId="43587" xr:uid="{00000000-0005-0000-0000-0000AC760000}"/>
    <cellStyle name="Normal 2 3 5 10 3 6 2" xfId="43588" xr:uid="{00000000-0005-0000-0000-0000AD760000}"/>
    <cellStyle name="Normal 2 3 5 10 3 7" xfId="43589" xr:uid="{00000000-0005-0000-0000-0000AE760000}"/>
    <cellStyle name="Normal 2 3 5 10 4" xfId="12720" xr:uid="{00000000-0005-0000-0000-0000AF760000}"/>
    <cellStyle name="Normal 2 3 5 10 4 2" xfId="12721" xr:uid="{00000000-0005-0000-0000-0000B0760000}"/>
    <cellStyle name="Normal 2 3 5 10 4 2 2" xfId="43590" xr:uid="{00000000-0005-0000-0000-0000B1760000}"/>
    <cellStyle name="Normal 2 3 5 10 4 3" xfId="12722" xr:uid="{00000000-0005-0000-0000-0000B2760000}"/>
    <cellStyle name="Normal 2 3 5 10 4 3 2" xfId="43591" xr:uid="{00000000-0005-0000-0000-0000B3760000}"/>
    <cellStyle name="Normal 2 3 5 10 4 4" xfId="43592" xr:uid="{00000000-0005-0000-0000-0000B4760000}"/>
    <cellStyle name="Normal 2 3 5 10 5" xfId="12723" xr:uid="{00000000-0005-0000-0000-0000B5760000}"/>
    <cellStyle name="Normal 2 3 5 10 5 2" xfId="12724" xr:uid="{00000000-0005-0000-0000-0000B6760000}"/>
    <cellStyle name="Normal 2 3 5 10 5 2 2" xfId="43593" xr:uid="{00000000-0005-0000-0000-0000B7760000}"/>
    <cellStyle name="Normal 2 3 5 10 5 3" xfId="43594" xr:uid="{00000000-0005-0000-0000-0000B8760000}"/>
    <cellStyle name="Normal 2 3 5 10 6" xfId="12725" xr:uid="{00000000-0005-0000-0000-0000B9760000}"/>
    <cellStyle name="Normal 2 3 5 10 6 2" xfId="43595" xr:uid="{00000000-0005-0000-0000-0000BA760000}"/>
    <cellStyle name="Normal 2 3 5 10 7" xfId="12726" xr:uid="{00000000-0005-0000-0000-0000BB760000}"/>
    <cellStyle name="Normal 2 3 5 10 7 2" xfId="43596" xr:uid="{00000000-0005-0000-0000-0000BC760000}"/>
    <cellStyle name="Normal 2 3 5 10 8" xfId="43597" xr:uid="{00000000-0005-0000-0000-0000BD760000}"/>
    <cellStyle name="Normal 2 3 5 10 8 2" xfId="43598" xr:uid="{00000000-0005-0000-0000-0000BE760000}"/>
    <cellStyle name="Normal 2 3 5 10 9" xfId="43599" xr:uid="{00000000-0005-0000-0000-0000BF760000}"/>
    <cellStyle name="Normal 2 3 5 11" xfId="12727" xr:uid="{00000000-0005-0000-0000-0000C0760000}"/>
    <cellStyle name="Normal 2 3 5 11 10" xfId="43600" xr:uid="{00000000-0005-0000-0000-0000C1760000}"/>
    <cellStyle name="Normal 2 3 5 11 11" xfId="43601" xr:uid="{00000000-0005-0000-0000-0000C2760000}"/>
    <cellStyle name="Normal 2 3 5 11 2" xfId="12728" xr:uid="{00000000-0005-0000-0000-0000C3760000}"/>
    <cellStyle name="Normal 2 3 5 11 2 10" xfId="43602" xr:uid="{00000000-0005-0000-0000-0000C4760000}"/>
    <cellStyle name="Normal 2 3 5 11 2 2" xfId="12729" xr:uid="{00000000-0005-0000-0000-0000C5760000}"/>
    <cellStyle name="Normal 2 3 5 11 2 2 2" xfId="12730" xr:uid="{00000000-0005-0000-0000-0000C6760000}"/>
    <cellStyle name="Normal 2 3 5 11 2 2 2 2" xfId="12731" xr:uid="{00000000-0005-0000-0000-0000C7760000}"/>
    <cellStyle name="Normal 2 3 5 11 2 2 2 2 2" xfId="43603" xr:uid="{00000000-0005-0000-0000-0000C8760000}"/>
    <cellStyle name="Normal 2 3 5 11 2 2 2 3" xfId="12732" xr:uid="{00000000-0005-0000-0000-0000C9760000}"/>
    <cellStyle name="Normal 2 3 5 11 2 2 2 3 2" xfId="43604" xr:uid="{00000000-0005-0000-0000-0000CA760000}"/>
    <cellStyle name="Normal 2 3 5 11 2 2 2 4" xfId="43605" xr:uid="{00000000-0005-0000-0000-0000CB760000}"/>
    <cellStyle name="Normal 2 3 5 11 2 2 3" xfId="12733" xr:uid="{00000000-0005-0000-0000-0000CC760000}"/>
    <cellStyle name="Normal 2 3 5 11 2 2 3 2" xfId="43606" xr:uid="{00000000-0005-0000-0000-0000CD760000}"/>
    <cellStyle name="Normal 2 3 5 11 2 2 4" xfId="12734" xr:uid="{00000000-0005-0000-0000-0000CE760000}"/>
    <cellStyle name="Normal 2 3 5 11 2 2 4 2" xfId="43607" xr:uid="{00000000-0005-0000-0000-0000CF760000}"/>
    <cellStyle name="Normal 2 3 5 11 2 2 5" xfId="12735" xr:uid="{00000000-0005-0000-0000-0000D0760000}"/>
    <cellStyle name="Normal 2 3 5 11 2 2 5 2" xfId="43608" xr:uid="{00000000-0005-0000-0000-0000D1760000}"/>
    <cellStyle name="Normal 2 3 5 11 2 2 6" xfId="43609" xr:uid="{00000000-0005-0000-0000-0000D2760000}"/>
    <cellStyle name="Normal 2 3 5 11 2 2 6 2" xfId="43610" xr:uid="{00000000-0005-0000-0000-0000D3760000}"/>
    <cellStyle name="Normal 2 3 5 11 2 2 7" xfId="43611" xr:uid="{00000000-0005-0000-0000-0000D4760000}"/>
    <cellStyle name="Normal 2 3 5 11 2 3" xfId="12736" xr:uid="{00000000-0005-0000-0000-0000D5760000}"/>
    <cellStyle name="Normal 2 3 5 11 2 3 2" xfId="12737" xr:uid="{00000000-0005-0000-0000-0000D6760000}"/>
    <cellStyle name="Normal 2 3 5 11 2 3 2 2" xfId="43612" xr:uid="{00000000-0005-0000-0000-0000D7760000}"/>
    <cellStyle name="Normal 2 3 5 11 2 3 3" xfId="12738" xr:uid="{00000000-0005-0000-0000-0000D8760000}"/>
    <cellStyle name="Normal 2 3 5 11 2 3 3 2" xfId="43613" xr:uid="{00000000-0005-0000-0000-0000D9760000}"/>
    <cellStyle name="Normal 2 3 5 11 2 3 4" xfId="43614" xr:uid="{00000000-0005-0000-0000-0000DA760000}"/>
    <cellStyle name="Normal 2 3 5 11 2 4" xfId="12739" xr:uid="{00000000-0005-0000-0000-0000DB760000}"/>
    <cellStyle name="Normal 2 3 5 11 2 4 2" xfId="12740" xr:uid="{00000000-0005-0000-0000-0000DC760000}"/>
    <cellStyle name="Normal 2 3 5 11 2 4 2 2" xfId="43615" xr:uid="{00000000-0005-0000-0000-0000DD760000}"/>
    <cellStyle name="Normal 2 3 5 11 2 4 3" xfId="43616" xr:uid="{00000000-0005-0000-0000-0000DE760000}"/>
    <cellStyle name="Normal 2 3 5 11 2 5" xfId="12741" xr:uid="{00000000-0005-0000-0000-0000DF760000}"/>
    <cellStyle name="Normal 2 3 5 11 2 5 2" xfId="43617" xr:uid="{00000000-0005-0000-0000-0000E0760000}"/>
    <cellStyle name="Normal 2 3 5 11 2 6" xfId="12742" xr:uid="{00000000-0005-0000-0000-0000E1760000}"/>
    <cellStyle name="Normal 2 3 5 11 2 6 2" xfId="43618" xr:uid="{00000000-0005-0000-0000-0000E2760000}"/>
    <cellStyle name="Normal 2 3 5 11 2 7" xfId="43619" xr:uid="{00000000-0005-0000-0000-0000E3760000}"/>
    <cellStyle name="Normal 2 3 5 11 2 7 2" xfId="43620" xr:uid="{00000000-0005-0000-0000-0000E4760000}"/>
    <cellStyle name="Normal 2 3 5 11 2 8" xfId="43621" xr:uid="{00000000-0005-0000-0000-0000E5760000}"/>
    <cellStyle name="Normal 2 3 5 11 2 9" xfId="43622" xr:uid="{00000000-0005-0000-0000-0000E6760000}"/>
    <cellStyle name="Normal 2 3 5 11 3" xfId="12743" xr:uid="{00000000-0005-0000-0000-0000E7760000}"/>
    <cellStyle name="Normal 2 3 5 11 3 2" xfId="12744" xr:uid="{00000000-0005-0000-0000-0000E8760000}"/>
    <cellStyle name="Normal 2 3 5 11 3 2 2" xfId="12745" xr:uid="{00000000-0005-0000-0000-0000E9760000}"/>
    <cellStyle name="Normal 2 3 5 11 3 2 2 2" xfId="43623" xr:uid="{00000000-0005-0000-0000-0000EA760000}"/>
    <cellStyle name="Normal 2 3 5 11 3 2 3" xfId="12746" xr:uid="{00000000-0005-0000-0000-0000EB760000}"/>
    <cellStyle name="Normal 2 3 5 11 3 2 3 2" xfId="43624" xr:uid="{00000000-0005-0000-0000-0000EC760000}"/>
    <cellStyle name="Normal 2 3 5 11 3 2 4" xfId="43625" xr:uid="{00000000-0005-0000-0000-0000ED760000}"/>
    <cellStyle name="Normal 2 3 5 11 3 3" xfId="12747" xr:uid="{00000000-0005-0000-0000-0000EE760000}"/>
    <cellStyle name="Normal 2 3 5 11 3 3 2" xfId="43626" xr:uid="{00000000-0005-0000-0000-0000EF760000}"/>
    <cellStyle name="Normal 2 3 5 11 3 4" xfId="12748" xr:uid="{00000000-0005-0000-0000-0000F0760000}"/>
    <cellStyle name="Normal 2 3 5 11 3 4 2" xfId="43627" xr:uid="{00000000-0005-0000-0000-0000F1760000}"/>
    <cellStyle name="Normal 2 3 5 11 3 5" xfId="12749" xr:uid="{00000000-0005-0000-0000-0000F2760000}"/>
    <cellStyle name="Normal 2 3 5 11 3 5 2" xfId="43628" xr:uid="{00000000-0005-0000-0000-0000F3760000}"/>
    <cellStyle name="Normal 2 3 5 11 3 6" xfId="43629" xr:uid="{00000000-0005-0000-0000-0000F4760000}"/>
    <cellStyle name="Normal 2 3 5 11 3 6 2" xfId="43630" xr:uid="{00000000-0005-0000-0000-0000F5760000}"/>
    <cellStyle name="Normal 2 3 5 11 3 7" xfId="43631" xr:uid="{00000000-0005-0000-0000-0000F6760000}"/>
    <cellStyle name="Normal 2 3 5 11 4" xfId="12750" xr:uid="{00000000-0005-0000-0000-0000F7760000}"/>
    <cellStyle name="Normal 2 3 5 11 4 2" xfId="12751" xr:uid="{00000000-0005-0000-0000-0000F8760000}"/>
    <cellStyle name="Normal 2 3 5 11 4 2 2" xfId="43632" xr:uid="{00000000-0005-0000-0000-0000F9760000}"/>
    <cellStyle name="Normal 2 3 5 11 4 3" xfId="12752" xr:uid="{00000000-0005-0000-0000-0000FA760000}"/>
    <cellStyle name="Normal 2 3 5 11 4 3 2" xfId="43633" xr:uid="{00000000-0005-0000-0000-0000FB760000}"/>
    <cellStyle name="Normal 2 3 5 11 4 4" xfId="43634" xr:uid="{00000000-0005-0000-0000-0000FC760000}"/>
    <cellStyle name="Normal 2 3 5 11 5" xfId="12753" xr:uid="{00000000-0005-0000-0000-0000FD760000}"/>
    <cellStyle name="Normal 2 3 5 11 5 2" xfId="12754" xr:uid="{00000000-0005-0000-0000-0000FE760000}"/>
    <cellStyle name="Normal 2 3 5 11 5 2 2" xfId="43635" xr:uid="{00000000-0005-0000-0000-0000FF760000}"/>
    <cellStyle name="Normal 2 3 5 11 5 3" xfId="43636" xr:uid="{00000000-0005-0000-0000-000000770000}"/>
    <cellStyle name="Normal 2 3 5 11 6" xfId="12755" xr:uid="{00000000-0005-0000-0000-000001770000}"/>
    <cellStyle name="Normal 2 3 5 11 6 2" xfId="43637" xr:uid="{00000000-0005-0000-0000-000002770000}"/>
    <cellStyle name="Normal 2 3 5 11 7" xfId="12756" xr:uid="{00000000-0005-0000-0000-000003770000}"/>
    <cellStyle name="Normal 2 3 5 11 7 2" xfId="43638" xr:uid="{00000000-0005-0000-0000-000004770000}"/>
    <cellStyle name="Normal 2 3 5 11 8" xfId="43639" xr:uid="{00000000-0005-0000-0000-000005770000}"/>
    <cellStyle name="Normal 2 3 5 11 8 2" xfId="43640" xr:uid="{00000000-0005-0000-0000-000006770000}"/>
    <cellStyle name="Normal 2 3 5 11 9" xfId="43641" xr:uid="{00000000-0005-0000-0000-000007770000}"/>
    <cellStyle name="Normal 2 3 5 12" xfId="12757" xr:uid="{00000000-0005-0000-0000-000008770000}"/>
    <cellStyle name="Normal 2 3 5 12 10" xfId="43642" xr:uid="{00000000-0005-0000-0000-000009770000}"/>
    <cellStyle name="Normal 2 3 5 12 11" xfId="43643" xr:uid="{00000000-0005-0000-0000-00000A770000}"/>
    <cellStyle name="Normal 2 3 5 12 2" xfId="12758" xr:uid="{00000000-0005-0000-0000-00000B770000}"/>
    <cellStyle name="Normal 2 3 5 12 2 10" xfId="43644" xr:uid="{00000000-0005-0000-0000-00000C770000}"/>
    <cellStyle name="Normal 2 3 5 12 2 2" xfId="12759" xr:uid="{00000000-0005-0000-0000-00000D770000}"/>
    <cellStyle name="Normal 2 3 5 12 2 2 2" xfId="12760" xr:uid="{00000000-0005-0000-0000-00000E770000}"/>
    <cellStyle name="Normal 2 3 5 12 2 2 2 2" xfId="12761" xr:uid="{00000000-0005-0000-0000-00000F770000}"/>
    <cellStyle name="Normal 2 3 5 12 2 2 2 2 2" xfId="43645" xr:uid="{00000000-0005-0000-0000-000010770000}"/>
    <cellStyle name="Normal 2 3 5 12 2 2 2 3" xfId="12762" xr:uid="{00000000-0005-0000-0000-000011770000}"/>
    <cellStyle name="Normal 2 3 5 12 2 2 2 3 2" xfId="43646" xr:uid="{00000000-0005-0000-0000-000012770000}"/>
    <cellStyle name="Normal 2 3 5 12 2 2 2 4" xfId="43647" xr:uid="{00000000-0005-0000-0000-000013770000}"/>
    <cellStyle name="Normal 2 3 5 12 2 2 3" xfId="12763" xr:uid="{00000000-0005-0000-0000-000014770000}"/>
    <cellStyle name="Normal 2 3 5 12 2 2 3 2" xfId="43648" xr:uid="{00000000-0005-0000-0000-000015770000}"/>
    <cellStyle name="Normal 2 3 5 12 2 2 4" xfId="12764" xr:uid="{00000000-0005-0000-0000-000016770000}"/>
    <cellStyle name="Normal 2 3 5 12 2 2 4 2" xfId="43649" xr:uid="{00000000-0005-0000-0000-000017770000}"/>
    <cellStyle name="Normal 2 3 5 12 2 2 5" xfId="12765" xr:uid="{00000000-0005-0000-0000-000018770000}"/>
    <cellStyle name="Normal 2 3 5 12 2 2 5 2" xfId="43650" xr:uid="{00000000-0005-0000-0000-000019770000}"/>
    <cellStyle name="Normal 2 3 5 12 2 2 6" xfId="43651" xr:uid="{00000000-0005-0000-0000-00001A770000}"/>
    <cellStyle name="Normal 2 3 5 12 2 2 6 2" xfId="43652" xr:uid="{00000000-0005-0000-0000-00001B770000}"/>
    <cellStyle name="Normal 2 3 5 12 2 2 7" xfId="43653" xr:uid="{00000000-0005-0000-0000-00001C770000}"/>
    <cellStyle name="Normal 2 3 5 12 2 3" xfId="12766" xr:uid="{00000000-0005-0000-0000-00001D770000}"/>
    <cellStyle name="Normal 2 3 5 12 2 3 2" xfId="12767" xr:uid="{00000000-0005-0000-0000-00001E770000}"/>
    <cellStyle name="Normal 2 3 5 12 2 3 2 2" xfId="43654" xr:uid="{00000000-0005-0000-0000-00001F770000}"/>
    <cellStyle name="Normal 2 3 5 12 2 3 3" xfId="12768" xr:uid="{00000000-0005-0000-0000-000020770000}"/>
    <cellStyle name="Normal 2 3 5 12 2 3 3 2" xfId="43655" xr:uid="{00000000-0005-0000-0000-000021770000}"/>
    <cellStyle name="Normal 2 3 5 12 2 3 4" xfId="43656" xr:uid="{00000000-0005-0000-0000-000022770000}"/>
    <cellStyle name="Normal 2 3 5 12 2 4" xfId="12769" xr:uid="{00000000-0005-0000-0000-000023770000}"/>
    <cellStyle name="Normal 2 3 5 12 2 4 2" xfId="12770" xr:uid="{00000000-0005-0000-0000-000024770000}"/>
    <cellStyle name="Normal 2 3 5 12 2 4 2 2" xfId="43657" xr:uid="{00000000-0005-0000-0000-000025770000}"/>
    <cellStyle name="Normal 2 3 5 12 2 4 3" xfId="43658" xr:uid="{00000000-0005-0000-0000-000026770000}"/>
    <cellStyle name="Normal 2 3 5 12 2 5" xfId="12771" xr:uid="{00000000-0005-0000-0000-000027770000}"/>
    <cellStyle name="Normal 2 3 5 12 2 5 2" xfId="43659" xr:uid="{00000000-0005-0000-0000-000028770000}"/>
    <cellStyle name="Normal 2 3 5 12 2 6" xfId="12772" xr:uid="{00000000-0005-0000-0000-000029770000}"/>
    <cellStyle name="Normal 2 3 5 12 2 6 2" xfId="43660" xr:uid="{00000000-0005-0000-0000-00002A770000}"/>
    <cellStyle name="Normal 2 3 5 12 2 7" xfId="43661" xr:uid="{00000000-0005-0000-0000-00002B770000}"/>
    <cellStyle name="Normal 2 3 5 12 2 7 2" xfId="43662" xr:uid="{00000000-0005-0000-0000-00002C770000}"/>
    <cellStyle name="Normal 2 3 5 12 2 8" xfId="43663" xr:uid="{00000000-0005-0000-0000-00002D770000}"/>
    <cellStyle name="Normal 2 3 5 12 2 9" xfId="43664" xr:uid="{00000000-0005-0000-0000-00002E770000}"/>
    <cellStyle name="Normal 2 3 5 12 3" xfId="12773" xr:uid="{00000000-0005-0000-0000-00002F770000}"/>
    <cellStyle name="Normal 2 3 5 12 3 2" xfId="12774" xr:uid="{00000000-0005-0000-0000-000030770000}"/>
    <cellStyle name="Normal 2 3 5 12 3 2 2" xfId="12775" xr:uid="{00000000-0005-0000-0000-000031770000}"/>
    <cellStyle name="Normal 2 3 5 12 3 2 2 2" xfId="43665" xr:uid="{00000000-0005-0000-0000-000032770000}"/>
    <cellStyle name="Normal 2 3 5 12 3 2 3" xfId="12776" xr:uid="{00000000-0005-0000-0000-000033770000}"/>
    <cellStyle name="Normal 2 3 5 12 3 2 3 2" xfId="43666" xr:uid="{00000000-0005-0000-0000-000034770000}"/>
    <cellStyle name="Normal 2 3 5 12 3 2 4" xfId="43667" xr:uid="{00000000-0005-0000-0000-000035770000}"/>
    <cellStyle name="Normal 2 3 5 12 3 3" xfId="12777" xr:uid="{00000000-0005-0000-0000-000036770000}"/>
    <cellStyle name="Normal 2 3 5 12 3 3 2" xfId="43668" xr:uid="{00000000-0005-0000-0000-000037770000}"/>
    <cellStyle name="Normal 2 3 5 12 3 4" xfId="12778" xr:uid="{00000000-0005-0000-0000-000038770000}"/>
    <cellStyle name="Normal 2 3 5 12 3 4 2" xfId="43669" xr:uid="{00000000-0005-0000-0000-000039770000}"/>
    <cellStyle name="Normal 2 3 5 12 3 5" xfId="12779" xr:uid="{00000000-0005-0000-0000-00003A770000}"/>
    <cellStyle name="Normal 2 3 5 12 3 5 2" xfId="43670" xr:uid="{00000000-0005-0000-0000-00003B770000}"/>
    <cellStyle name="Normal 2 3 5 12 3 6" xfId="43671" xr:uid="{00000000-0005-0000-0000-00003C770000}"/>
    <cellStyle name="Normal 2 3 5 12 3 6 2" xfId="43672" xr:uid="{00000000-0005-0000-0000-00003D770000}"/>
    <cellStyle name="Normal 2 3 5 12 3 7" xfId="43673" xr:uid="{00000000-0005-0000-0000-00003E770000}"/>
    <cellStyle name="Normal 2 3 5 12 4" xfId="12780" xr:uid="{00000000-0005-0000-0000-00003F770000}"/>
    <cellStyle name="Normal 2 3 5 12 4 2" xfId="12781" xr:uid="{00000000-0005-0000-0000-000040770000}"/>
    <cellStyle name="Normal 2 3 5 12 4 2 2" xfId="43674" xr:uid="{00000000-0005-0000-0000-000041770000}"/>
    <cellStyle name="Normal 2 3 5 12 4 3" xfId="12782" xr:uid="{00000000-0005-0000-0000-000042770000}"/>
    <cellStyle name="Normal 2 3 5 12 4 3 2" xfId="43675" xr:uid="{00000000-0005-0000-0000-000043770000}"/>
    <cellStyle name="Normal 2 3 5 12 4 4" xfId="43676" xr:uid="{00000000-0005-0000-0000-000044770000}"/>
    <cellStyle name="Normal 2 3 5 12 5" xfId="12783" xr:uid="{00000000-0005-0000-0000-000045770000}"/>
    <cellStyle name="Normal 2 3 5 12 5 2" xfId="12784" xr:uid="{00000000-0005-0000-0000-000046770000}"/>
    <cellStyle name="Normal 2 3 5 12 5 2 2" xfId="43677" xr:uid="{00000000-0005-0000-0000-000047770000}"/>
    <cellStyle name="Normal 2 3 5 12 5 3" xfId="43678" xr:uid="{00000000-0005-0000-0000-000048770000}"/>
    <cellStyle name="Normal 2 3 5 12 6" xfId="12785" xr:uid="{00000000-0005-0000-0000-000049770000}"/>
    <cellStyle name="Normal 2 3 5 12 6 2" xfId="43679" xr:uid="{00000000-0005-0000-0000-00004A770000}"/>
    <cellStyle name="Normal 2 3 5 12 7" xfId="12786" xr:uid="{00000000-0005-0000-0000-00004B770000}"/>
    <cellStyle name="Normal 2 3 5 12 7 2" xfId="43680" xr:uid="{00000000-0005-0000-0000-00004C770000}"/>
    <cellStyle name="Normal 2 3 5 12 8" xfId="43681" xr:uid="{00000000-0005-0000-0000-00004D770000}"/>
    <cellStyle name="Normal 2 3 5 12 8 2" xfId="43682" xr:uid="{00000000-0005-0000-0000-00004E770000}"/>
    <cellStyle name="Normal 2 3 5 12 9" xfId="43683" xr:uid="{00000000-0005-0000-0000-00004F770000}"/>
    <cellStyle name="Normal 2 3 5 13" xfId="12787" xr:uid="{00000000-0005-0000-0000-000050770000}"/>
    <cellStyle name="Normal 2 3 5 13 10" xfId="43684" xr:uid="{00000000-0005-0000-0000-000051770000}"/>
    <cellStyle name="Normal 2 3 5 13 11" xfId="43685" xr:uid="{00000000-0005-0000-0000-000052770000}"/>
    <cellStyle name="Normal 2 3 5 13 2" xfId="12788" xr:uid="{00000000-0005-0000-0000-000053770000}"/>
    <cellStyle name="Normal 2 3 5 13 2 10" xfId="43686" xr:uid="{00000000-0005-0000-0000-000054770000}"/>
    <cellStyle name="Normal 2 3 5 13 2 2" xfId="12789" xr:uid="{00000000-0005-0000-0000-000055770000}"/>
    <cellStyle name="Normal 2 3 5 13 2 2 2" xfId="12790" xr:uid="{00000000-0005-0000-0000-000056770000}"/>
    <cellStyle name="Normal 2 3 5 13 2 2 2 2" xfId="12791" xr:uid="{00000000-0005-0000-0000-000057770000}"/>
    <cellStyle name="Normal 2 3 5 13 2 2 2 2 2" xfId="43687" xr:uid="{00000000-0005-0000-0000-000058770000}"/>
    <cellStyle name="Normal 2 3 5 13 2 2 2 3" xfId="12792" xr:uid="{00000000-0005-0000-0000-000059770000}"/>
    <cellStyle name="Normal 2 3 5 13 2 2 2 3 2" xfId="43688" xr:uid="{00000000-0005-0000-0000-00005A770000}"/>
    <cellStyle name="Normal 2 3 5 13 2 2 2 4" xfId="43689" xr:uid="{00000000-0005-0000-0000-00005B770000}"/>
    <cellStyle name="Normal 2 3 5 13 2 2 3" xfId="12793" xr:uid="{00000000-0005-0000-0000-00005C770000}"/>
    <cellStyle name="Normal 2 3 5 13 2 2 3 2" xfId="43690" xr:uid="{00000000-0005-0000-0000-00005D770000}"/>
    <cellStyle name="Normal 2 3 5 13 2 2 4" xfId="12794" xr:uid="{00000000-0005-0000-0000-00005E770000}"/>
    <cellStyle name="Normal 2 3 5 13 2 2 4 2" xfId="43691" xr:uid="{00000000-0005-0000-0000-00005F770000}"/>
    <cellStyle name="Normal 2 3 5 13 2 2 5" xfId="12795" xr:uid="{00000000-0005-0000-0000-000060770000}"/>
    <cellStyle name="Normal 2 3 5 13 2 2 5 2" xfId="43692" xr:uid="{00000000-0005-0000-0000-000061770000}"/>
    <cellStyle name="Normal 2 3 5 13 2 2 6" xfId="43693" xr:uid="{00000000-0005-0000-0000-000062770000}"/>
    <cellStyle name="Normal 2 3 5 13 2 2 6 2" xfId="43694" xr:uid="{00000000-0005-0000-0000-000063770000}"/>
    <cellStyle name="Normal 2 3 5 13 2 2 7" xfId="43695" xr:uid="{00000000-0005-0000-0000-000064770000}"/>
    <cellStyle name="Normal 2 3 5 13 2 3" xfId="12796" xr:uid="{00000000-0005-0000-0000-000065770000}"/>
    <cellStyle name="Normal 2 3 5 13 2 3 2" xfId="12797" xr:uid="{00000000-0005-0000-0000-000066770000}"/>
    <cellStyle name="Normal 2 3 5 13 2 3 2 2" xfId="43696" xr:uid="{00000000-0005-0000-0000-000067770000}"/>
    <cellStyle name="Normal 2 3 5 13 2 3 3" xfId="12798" xr:uid="{00000000-0005-0000-0000-000068770000}"/>
    <cellStyle name="Normal 2 3 5 13 2 3 3 2" xfId="43697" xr:uid="{00000000-0005-0000-0000-000069770000}"/>
    <cellStyle name="Normal 2 3 5 13 2 3 4" xfId="43698" xr:uid="{00000000-0005-0000-0000-00006A770000}"/>
    <cellStyle name="Normal 2 3 5 13 2 4" xfId="12799" xr:uid="{00000000-0005-0000-0000-00006B770000}"/>
    <cellStyle name="Normal 2 3 5 13 2 4 2" xfId="12800" xr:uid="{00000000-0005-0000-0000-00006C770000}"/>
    <cellStyle name="Normal 2 3 5 13 2 4 2 2" xfId="43699" xr:uid="{00000000-0005-0000-0000-00006D770000}"/>
    <cellStyle name="Normal 2 3 5 13 2 4 3" xfId="43700" xr:uid="{00000000-0005-0000-0000-00006E770000}"/>
    <cellStyle name="Normal 2 3 5 13 2 5" xfId="12801" xr:uid="{00000000-0005-0000-0000-00006F770000}"/>
    <cellStyle name="Normal 2 3 5 13 2 5 2" xfId="43701" xr:uid="{00000000-0005-0000-0000-000070770000}"/>
    <cellStyle name="Normal 2 3 5 13 2 6" xfId="12802" xr:uid="{00000000-0005-0000-0000-000071770000}"/>
    <cellStyle name="Normal 2 3 5 13 2 6 2" xfId="43702" xr:uid="{00000000-0005-0000-0000-000072770000}"/>
    <cellStyle name="Normal 2 3 5 13 2 7" xfId="43703" xr:uid="{00000000-0005-0000-0000-000073770000}"/>
    <cellStyle name="Normal 2 3 5 13 2 7 2" xfId="43704" xr:uid="{00000000-0005-0000-0000-000074770000}"/>
    <cellStyle name="Normal 2 3 5 13 2 8" xfId="43705" xr:uid="{00000000-0005-0000-0000-000075770000}"/>
    <cellStyle name="Normal 2 3 5 13 2 9" xfId="43706" xr:uid="{00000000-0005-0000-0000-000076770000}"/>
    <cellStyle name="Normal 2 3 5 13 3" xfId="12803" xr:uid="{00000000-0005-0000-0000-000077770000}"/>
    <cellStyle name="Normal 2 3 5 13 3 2" xfId="12804" xr:uid="{00000000-0005-0000-0000-000078770000}"/>
    <cellStyle name="Normal 2 3 5 13 3 2 2" xfId="12805" xr:uid="{00000000-0005-0000-0000-000079770000}"/>
    <cellStyle name="Normal 2 3 5 13 3 2 2 2" xfId="43707" xr:uid="{00000000-0005-0000-0000-00007A770000}"/>
    <cellStyle name="Normal 2 3 5 13 3 2 3" xfId="12806" xr:uid="{00000000-0005-0000-0000-00007B770000}"/>
    <cellStyle name="Normal 2 3 5 13 3 2 3 2" xfId="43708" xr:uid="{00000000-0005-0000-0000-00007C770000}"/>
    <cellStyle name="Normal 2 3 5 13 3 2 4" xfId="43709" xr:uid="{00000000-0005-0000-0000-00007D770000}"/>
    <cellStyle name="Normal 2 3 5 13 3 3" xfId="12807" xr:uid="{00000000-0005-0000-0000-00007E770000}"/>
    <cellStyle name="Normal 2 3 5 13 3 3 2" xfId="43710" xr:uid="{00000000-0005-0000-0000-00007F770000}"/>
    <cellStyle name="Normal 2 3 5 13 3 4" xfId="12808" xr:uid="{00000000-0005-0000-0000-000080770000}"/>
    <cellStyle name="Normal 2 3 5 13 3 4 2" xfId="43711" xr:uid="{00000000-0005-0000-0000-000081770000}"/>
    <cellStyle name="Normal 2 3 5 13 3 5" xfId="12809" xr:uid="{00000000-0005-0000-0000-000082770000}"/>
    <cellStyle name="Normal 2 3 5 13 3 5 2" xfId="43712" xr:uid="{00000000-0005-0000-0000-000083770000}"/>
    <cellStyle name="Normal 2 3 5 13 3 6" xfId="43713" xr:uid="{00000000-0005-0000-0000-000084770000}"/>
    <cellStyle name="Normal 2 3 5 13 3 6 2" xfId="43714" xr:uid="{00000000-0005-0000-0000-000085770000}"/>
    <cellStyle name="Normal 2 3 5 13 3 7" xfId="43715" xr:uid="{00000000-0005-0000-0000-000086770000}"/>
    <cellStyle name="Normal 2 3 5 13 4" xfId="12810" xr:uid="{00000000-0005-0000-0000-000087770000}"/>
    <cellStyle name="Normal 2 3 5 13 4 2" xfId="12811" xr:uid="{00000000-0005-0000-0000-000088770000}"/>
    <cellStyle name="Normal 2 3 5 13 4 2 2" xfId="43716" xr:uid="{00000000-0005-0000-0000-000089770000}"/>
    <cellStyle name="Normal 2 3 5 13 4 3" xfId="12812" xr:uid="{00000000-0005-0000-0000-00008A770000}"/>
    <cellStyle name="Normal 2 3 5 13 4 3 2" xfId="43717" xr:uid="{00000000-0005-0000-0000-00008B770000}"/>
    <cellStyle name="Normal 2 3 5 13 4 4" xfId="43718" xr:uid="{00000000-0005-0000-0000-00008C770000}"/>
    <cellStyle name="Normal 2 3 5 13 5" xfId="12813" xr:uid="{00000000-0005-0000-0000-00008D770000}"/>
    <cellStyle name="Normal 2 3 5 13 5 2" xfId="12814" xr:uid="{00000000-0005-0000-0000-00008E770000}"/>
    <cellStyle name="Normal 2 3 5 13 5 2 2" xfId="43719" xr:uid="{00000000-0005-0000-0000-00008F770000}"/>
    <cellStyle name="Normal 2 3 5 13 5 3" xfId="43720" xr:uid="{00000000-0005-0000-0000-000090770000}"/>
    <cellStyle name="Normal 2 3 5 13 6" xfId="12815" xr:uid="{00000000-0005-0000-0000-000091770000}"/>
    <cellStyle name="Normal 2 3 5 13 6 2" xfId="43721" xr:uid="{00000000-0005-0000-0000-000092770000}"/>
    <cellStyle name="Normal 2 3 5 13 7" xfId="12816" xr:uid="{00000000-0005-0000-0000-000093770000}"/>
    <cellStyle name="Normal 2 3 5 13 7 2" xfId="43722" xr:uid="{00000000-0005-0000-0000-000094770000}"/>
    <cellStyle name="Normal 2 3 5 13 8" xfId="43723" xr:uid="{00000000-0005-0000-0000-000095770000}"/>
    <cellStyle name="Normal 2 3 5 13 8 2" xfId="43724" xr:uid="{00000000-0005-0000-0000-000096770000}"/>
    <cellStyle name="Normal 2 3 5 13 9" xfId="43725" xr:uid="{00000000-0005-0000-0000-000097770000}"/>
    <cellStyle name="Normal 2 3 5 14" xfId="12817" xr:uid="{00000000-0005-0000-0000-000098770000}"/>
    <cellStyle name="Normal 2 3 5 14 10" xfId="43726" xr:uid="{00000000-0005-0000-0000-000099770000}"/>
    <cellStyle name="Normal 2 3 5 14 11" xfId="43727" xr:uid="{00000000-0005-0000-0000-00009A770000}"/>
    <cellStyle name="Normal 2 3 5 14 2" xfId="12818" xr:uid="{00000000-0005-0000-0000-00009B770000}"/>
    <cellStyle name="Normal 2 3 5 14 2 10" xfId="43728" xr:uid="{00000000-0005-0000-0000-00009C770000}"/>
    <cellStyle name="Normal 2 3 5 14 2 2" xfId="12819" xr:uid="{00000000-0005-0000-0000-00009D770000}"/>
    <cellStyle name="Normal 2 3 5 14 2 2 2" xfId="12820" xr:uid="{00000000-0005-0000-0000-00009E770000}"/>
    <cellStyle name="Normal 2 3 5 14 2 2 2 2" xfId="12821" xr:uid="{00000000-0005-0000-0000-00009F770000}"/>
    <cellStyle name="Normal 2 3 5 14 2 2 2 2 2" xfId="43729" xr:uid="{00000000-0005-0000-0000-0000A0770000}"/>
    <cellStyle name="Normal 2 3 5 14 2 2 2 3" xfId="12822" xr:uid="{00000000-0005-0000-0000-0000A1770000}"/>
    <cellStyle name="Normal 2 3 5 14 2 2 2 3 2" xfId="43730" xr:uid="{00000000-0005-0000-0000-0000A2770000}"/>
    <cellStyle name="Normal 2 3 5 14 2 2 2 4" xfId="43731" xr:uid="{00000000-0005-0000-0000-0000A3770000}"/>
    <cellStyle name="Normal 2 3 5 14 2 2 3" xfId="12823" xr:uid="{00000000-0005-0000-0000-0000A4770000}"/>
    <cellStyle name="Normal 2 3 5 14 2 2 3 2" xfId="43732" xr:uid="{00000000-0005-0000-0000-0000A5770000}"/>
    <cellStyle name="Normal 2 3 5 14 2 2 4" xfId="12824" xr:uid="{00000000-0005-0000-0000-0000A6770000}"/>
    <cellStyle name="Normal 2 3 5 14 2 2 4 2" xfId="43733" xr:uid="{00000000-0005-0000-0000-0000A7770000}"/>
    <cellStyle name="Normal 2 3 5 14 2 2 5" xfId="12825" xr:uid="{00000000-0005-0000-0000-0000A8770000}"/>
    <cellStyle name="Normal 2 3 5 14 2 2 5 2" xfId="43734" xr:uid="{00000000-0005-0000-0000-0000A9770000}"/>
    <cellStyle name="Normal 2 3 5 14 2 2 6" xfId="43735" xr:uid="{00000000-0005-0000-0000-0000AA770000}"/>
    <cellStyle name="Normal 2 3 5 14 2 2 6 2" xfId="43736" xr:uid="{00000000-0005-0000-0000-0000AB770000}"/>
    <cellStyle name="Normal 2 3 5 14 2 2 7" xfId="43737" xr:uid="{00000000-0005-0000-0000-0000AC770000}"/>
    <cellStyle name="Normal 2 3 5 14 2 3" xfId="12826" xr:uid="{00000000-0005-0000-0000-0000AD770000}"/>
    <cellStyle name="Normal 2 3 5 14 2 3 2" xfId="12827" xr:uid="{00000000-0005-0000-0000-0000AE770000}"/>
    <cellStyle name="Normal 2 3 5 14 2 3 2 2" xfId="43738" xr:uid="{00000000-0005-0000-0000-0000AF770000}"/>
    <cellStyle name="Normal 2 3 5 14 2 3 3" xfId="12828" xr:uid="{00000000-0005-0000-0000-0000B0770000}"/>
    <cellStyle name="Normal 2 3 5 14 2 3 3 2" xfId="43739" xr:uid="{00000000-0005-0000-0000-0000B1770000}"/>
    <cellStyle name="Normal 2 3 5 14 2 3 4" xfId="43740" xr:uid="{00000000-0005-0000-0000-0000B2770000}"/>
    <cellStyle name="Normal 2 3 5 14 2 4" xfId="12829" xr:uid="{00000000-0005-0000-0000-0000B3770000}"/>
    <cellStyle name="Normal 2 3 5 14 2 4 2" xfId="12830" xr:uid="{00000000-0005-0000-0000-0000B4770000}"/>
    <cellStyle name="Normal 2 3 5 14 2 4 2 2" xfId="43741" xr:uid="{00000000-0005-0000-0000-0000B5770000}"/>
    <cellStyle name="Normal 2 3 5 14 2 4 3" xfId="43742" xr:uid="{00000000-0005-0000-0000-0000B6770000}"/>
    <cellStyle name="Normal 2 3 5 14 2 5" xfId="12831" xr:uid="{00000000-0005-0000-0000-0000B7770000}"/>
    <cellStyle name="Normal 2 3 5 14 2 5 2" xfId="43743" xr:uid="{00000000-0005-0000-0000-0000B8770000}"/>
    <cellStyle name="Normal 2 3 5 14 2 6" xfId="12832" xr:uid="{00000000-0005-0000-0000-0000B9770000}"/>
    <cellStyle name="Normal 2 3 5 14 2 6 2" xfId="43744" xr:uid="{00000000-0005-0000-0000-0000BA770000}"/>
    <cellStyle name="Normal 2 3 5 14 2 7" xfId="43745" xr:uid="{00000000-0005-0000-0000-0000BB770000}"/>
    <cellStyle name="Normal 2 3 5 14 2 7 2" xfId="43746" xr:uid="{00000000-0005-0000-0000-0000BC770000}"/>
    <cellStyle name="Normal 2 3 5 14 2 8" xfId="43747" xr:uid="{00000000-0005-0000-0000-0000BD770000}"/>
    <cellStyle name="Normal 2 3 5 14 2 9" xfId="43748" xr:uid="{00000000-0005-0000-0000-0000BE770000}"/>
    <cellStyle name="Normal 2 3 5 14 3" xfId="12833" xr:uid="{00000000-0005-0000-0000-0000BF770000}"/>
    <cellStyle name="Normal 2 3 5 14 3 2" xfId="12834" xr:uid="{00000000-0005-0000-0000-0000C0770000}"/>
    <cellStyle name="Normal 2 3 5 14 3 2 2" xfId="12835" xr:uid="{00000000-0005-0000-0000-0000C1770000}"/>
    <cellStyle name="Normal 2 3 5 14 3 2 2 2" xfId="43749" xr:uid="{00000000-0005-0000-0000-0000C2770000}"/>
    <cellStyle name="Normal 2 3 5 14 3 2 3" xfId="12836" xr:uid="{00000000-0005-0000-0000-0000C3770000}"/>
    <cellStyle name="Normal 2 3 5 14 3 2 3 2" xfId="43750" xr:uid="{00000000-0005-0000-0000-0000C4770000}"/>
    <cellStyle name="Normal 2 3 5 14 3 2 4" xfId="43751" xr:uid="{00000000-0005-0000-0000-0000C5770000}"/>
    <cellStyle name="Normal 2 3 5 14 3 3" xfId="12837" xr:uid="{00000000-0005-0000-0000-0000C6770000}"/>
    <cellStyle name="Normal 2 3 5 14 3 3 2" xfId="43752" xr:uid="{00000000-0005-0000-0000-0000C7770000}"/>
    <cellStyle name="Normal 2 3 5 14 3 4" xfId="12838" xr:uid="{00000000-0005-0000-0000-0000C8770000}"/>
    <cellStyle name="Normal 2 3 5 14 3 4 2" xfId="43753" xr:uid="{00000000-0005-0000-0000-0000C9770000}"/>
    <cellStyle name="Normal 2 3 5 14 3 5" xfId="12839" xr:uid="{00000000-0005-0000-0000-0000CA770000}"/>
    <cellStyle name="Normal 2 3 5 14 3 5 2" xfId="43754" xr:uid="{00000000-0005-0000-0000-0000CB770000}"/>
    <cellStyle name="Normal 2 3 5 14 3 6" xfId="43755" xr:uid="{00000000-0005-0000-0000-0000CC770000}"/>
    <cellStyle name="Normal 2 3 5 14 3 6 2" xfId="43756" xr:uid="{00000000-0005-0000-0000-0000CD770000}"/>
    <cellStyle name="Normal 2 3 5 14 3 7" xfId="43757" xr:uid="{00000000-0005-0000-0000-0000CE770000}"/>
    <cellStyle name="Normal 2 3 5 14 4" xfId="12840" xr:uid="{00000000-0005-0000-0000-0000CF770000}"/>
    <cellStyle name="Normal 2 3 5 14 4 2" xfId="12841" xr:uid="{00000000-0005-0000-0000-0000D0770000}"/>
    <cellStyle name="Normal 2 3 5 14 4 2 2" xfId="43758" xr:uid="{00000000-0005-0000-0000-0000D1770000}"/>
    <cellStyle name="Normal 2 3 5 14 4 3" xfId="12842" xr:uid="{00000000-0005-0000-0000-0000D2770000}"/>
    <cellStyle name="Normal 2 3 5 14 4 3 2" xfId="43759" xr:uid="{00000000-0005-0000-0000-0000D3770000}"/>
    <cellStyle name="Normal 2 3 5 14 4 4" xfId="43760" xr:uid="{00000000-0005-0000-0000-0000D4770000}"/>
    <cellStyle name="Normal 2 3 5 14 5" xfId="12843" xr:uid="{00000000-0005-0000-0000-0000D5770000}"/>
    <cellStyle name="Normal 2 3 5 14 5 2" xfId="12844" xr:uid="{00000000-0005-0000-0000-0000D6770000}"/>
    <cellStyle name="Normal 2 3 5 14 5 2 2" xfId="43761" xr:uid="{00000000-0005-0000-0000-0000D7770000}"/>
    <cellStyle name="Normal 2 3 5 14 5 3" xfId="43762" xr:uid="{00000000-0005-0000-0000-0000D8770000}"/>
    <cellStyle name="Normal 2 3 5 14 6" xfId="12845" xr:uid="{00000000-0005-0000-0000-0000D9770000}"/>
    <cellStyle name="Normal 2 3 5 14 6 2" xfId="43763" xr:uid="{00000000-0005-0000-0000-0000DA770000}"/>
    <cellStyle name="Normal 2 3 5 14 7" xfId="12846" xr:uid="{00000000-0005-0000-0000-0000DB770000}"/>
    <cellStyle name="Normal 2 3 5 14 7 2" xfId="43764" xr:uid="{00000000-0005-0000-0000-0000DC770000}"/>
    <cellStyle name="Normal 2 3 5 14 8" xfId="43765" xr:uid="{00000000-0005-0000-0000-0000DD770000}"/>
    <cellStyle name="Normal 2 3 5 14 8 2" xfId="43766" xr:uid="{00000000-0005-0000-0000-0000DE770000}"/>
    <cellStyle name="Normal 2 3 5 14 9" xfId="43767" xr:uid="{00000000-0005-0000-0000-0000DF770000}"/>
    <cellStyle name="Normal 2 3 5 15" xfId="12847" xr:uid="{00000000-0005-0000-0000-0000E0770000}"/>
    <cellStyle name="Normal 2 3 5 15 10" xfId="43768" xr:uid="{00000000-0005-0000-0000-0000E1770000}"/>
    <cellStyle name="Normal 2 3 5 15 11" xfId="43769" xr:uid="{00000000-0005-0000-0000-0000E2770000}"/>
    <cellStyle name="Normal 2 3 5 15 2" xfId="12848" xr:uid="{00000000-0005-0000-0000-0000E3770000}"/>
    <cellStyle name="Normal 2 3 5 15 2 10" xfId="43770" xr:uid="{00000000-0005-0000-0000-0000E4770000}"/>
    <cellStyle name="Normal 2 3 5 15 2 2" xfId="12849" xr:uid="{00000000-0005-0000-0000-0000E5770000}"/>
    <cellStyle name="Normal 2 3 5 15 2 2 2" xfId="12850" xr:uid="{00000000-0005-0000-0000-0000E6770000}"/>
    <cellStyle name="Normal 2 3 5 15 2 2 2 2" xfId="12851" xr:uid="{00000000-0005-0000-0000-0000E7770000}"/>
    <cellStyle name="Normal 2 3 5 15 2 2 2 2 2" xfId="43771" xr:uid="{00000000-0005-0000-0000-0000E8770000}"/>
    <cellStyle name="Normal 2 3 5 15 2 2 2 3" xfId="12852" xr:uid="{00000000-0005-0000-0000-0000E9770000}"/>
    <cellStyle name="Normal 2 3 5 15 2 2 2 3 2" xfId="43772" xr:uid="{00000000-0005-0000-0000-0000EA770000}"/>
    <cellStyle name="Normal 2 3 5 15 2 2 2 4" xfId="43773" xr:uid="{00000000-0005-0000-0000-0000EB770000}"/>
    <cellStyle name="Normal 2 3 5 15 2 2 3" xfId="12853" xr:uid="{00000000-0005-0000-0000-0000EC770000}"/>
    <cellStyle name="Normal 2 3 5 15 2 2 3 2" xfId="43774" xr:uid="{00000000-0005-0000-0000-0000ED770000}"/>
    <cellStyle name="Normal 2 3 5 15 2 2 4" xfId="12854" xr:uid="{00000000-0005-0000-0000-0000EE770000}"/>
    <cellStyle name="Normal 2 3 5 15 2 2 4 2" xfId="43775" xr:uid="{00000000-0005-0000-0000-0000EF770000}"/>
    <cellStyle name="Normal 2 3 5 15 2 2 5" xfId="12855" xr:uid="{00000000-0005-0000-0000-0000F0770000}"/>
    <cellStyle name="Normal 2 3 5 15 2 2 5 2" xfId="43776" xr:uid="{00000000-0005-0000-0000-0000F1770000}"/>
    <cellStyle name="Normal 2 3 5 15 2 2 6" xfId="43777" xr:uid="{00000000-0005-0000-0000-0000F2770000}"/>
    <cellStyle name="Normal 2 3 5 15 2 2 6 2" xfId="43778" xr:uid="{00000000-0005-0000-0000-0000F3770000}"/>
    <cellStyle name="Normal 2 3 5 15 2 2 7" xfId="43779" xr:uid="{00000000-0005-0000-0000-0000F4770000}"/>
    <cellStyle name="Normal 2 3 5 15 2 3" xfId="12856" xr:uid="{00000000-0005-0000-0000-0000F5770000}"/>
    <cellStyle name="Normal 2 3 5 15 2 3 2" xfId="12857" xr:uid="{00000000-0005-0000-0000-0000F6770000}"/>
    <cellStyle name="Normal 2 3 5 15 2 3 2 2" xfId="43780" xr:uid="{00000000-0005-0000-0000-0000F7770000}"/>
    <cellStyle name="Normal 2 3 5 15 2 3 3" xfId="12858" xr:uid="{00000000-0005-0000-0000-0000F8770000}"/>
    <cellStyle name="Normal 2 3 5 15 2 3 3 2" xfId="43781" xr:uid="{00000000-0005-0000-0000-0000F9770000}"/>
    <cellStyle name="Normal 2 3 5 15 2 3 4" xfId="43782" xr:uid="{00000000-0005-0000-0000-0000FA770000}"/>
    <cellStyle name="Normal 2 3 5 15 2 4" xfId="12859" xr:uid="{00000000-0005-0000-0000-0000FB770000}"/>
    <cellStyle name="Normal 2 3 5 15 2 4 2" xfId="12860" xr:uid="{00000000-0005-0000-0000-0000FC770000}"/>
    <cellStyle name="Normal 2 3 5 15 2 4 2 2" xfId="43783" xr:uid="{00000000-0005-0000-0000-0000FD770000}"/>
    <cellStyle name="Normal 2 3 5 15 2 4 3" xfId="43784" xr:uid="{00000000-0005-0000-0000-0000FE770000}"/>
    <cellStyle name="Normal 2 3 5 15 2 5" xfId="12861" xr:uid="{00000000-0005-0000-0000-0000FF770000}"/>
    <cellStyle name="Normal 2 3 5 15 2 5 2" xfId="43785" xr:uid="{00000000-0005-0000-0000-000000780000}"/>
    <cellStyle name="Normal 2 3 5 15 2 6" xfId="12862" xr:uid="{00000000-0005-0000-0000-000001780000}"/>
    <cellStyle name="Normal 2 3 5 15 2 6 2" xfId="43786" xr:uid="{00000000-0005-0000-0000-000002780000}"/>
    <cellStyle name="Normal 2 3 5 15 2 7" xfId="43787" xr:uid="{00000000-0005-0000-0000-000003780000}"/>
    <cellStyle name="Normal 2 3 5 15 2 7 2" xfId="43788" xr:uid="{00000000-0005-0000-0000-000004780000}"/>
    <cellStyle name="Normal 2 3 5 15 2 8" xfId="43789" xr:uid="{00000000-0005-0000-0000-000005780000}"/>
    <cellStyle name="Normal 2 3 5 15 2 9" xfId="43790" xr:uid="{00000000-0005-0000-0000-000006780000}"/>
    <cellStyle name="Normal 2 3 5 15 3" xfId="12863" xr:uid="{00000000-0005-0000-0000-000007780000}"/>
    <cellStyle name="Normal 2 3 5 15 3 2" xfId="12864" xr:uid="{00000000-0005-0000-0000-000008780000}"/>
    <cellStyle name="Normal 2 3 5 15 3 2 2" xfId="12865" xr:uid="{00000000-0005-0000-0000-000009780000}"/>
    <cellStyle name="Normal 2 3 5 15 3 2 2 2" xfId="43791" xr:uid="{00000000-0005-0000-0000-00000A780000}"/>
    <cellStyle name="Normal 2 3 5 15 3 2 3" xfId="12866" xr:uid="{00000000-0005-0000-0000-00000B780000}"/>
    <cellStyle name="Normal 2 3 5 15 3 2 3 2" xfId="43792" xr:uid="{00000000-0005-0000-0000-00000C780000}"/>
    <cellStyle name="Normal 2 3 5 15 3 2 4" xfId="43793" xr:uid="{00000000-0005-0000-0000-00000D780000}"/>
    <cellStyle name="Normal 2 3 5 15 3 3" xfId="12867" xr:uid="{00000000-0005-0000-0000-00000E780000}"/>
    <cellStyle name="Normal 2 3 5 15 3 3 2" xfId="43794" xr:uid="{00000000-0005-0000-0000-00000F780000}"/>
    <cellStyle name="Normal 2 3 5 15 3 4" xfId="12868" xr:uid="{00000000-0005-0000-0000-000010780000}"/>
    <cellStyle name="Normal 2 3 5 15 3 4 2" xfId="43795" xr:uid="{00000000-0005-0000-0000-000011780000}"/>
    <cellStyle name="Normal 2 3 5 15 3 5" xfId="12869" xr:uid="{00000000-0005-0000-0000-000012780000}"/>
    <cellStyle name="Normal 2 3 5 15 3 5 2" xfId="43796" xr:uid="{00000000-0005-0000-0000-000013780000}"/>
    <cellStyle name="Normal 2 3 5 15 3 6" xfId="43797" xr:uid="{00000000-0005-0000-0000-000014780000}"/>
    <cellStyle name="Normal 2 3 5 15 3 6 2" xfId="43798" xr:uid="{00000000-0005-0000-0000-000015780000}"/>
    <cellStyle name="Normal 2 3 5 15 3 7" xfId="43799" xr:uid="{00000000-0005-0000-0000-000016780000}"/>
    <cellStyle name="Normal 2 3 5 15 4" xfId="12870" xr:uid="{00000000-0005-0000-0000-000017780000}"/>
    <cellStyle name="Normal 2 3 5 15 4 2" xfId="12871" xr:uid="{00000000-0005-0000-0000-000018780000}"/>
    <cellStyle name="Normal 2 3 5 15 4 2 2" xfId="43800" xr:uid="{00000000-0005-0000-0000-000019780000}"/>
    <cellStyle name="Normal 2 3 5 15 4 3" xfId="12872" xr:uid="{00000000-0005-0000-0000-00001A780000}"/>
    <cellStyle name="Normal 2 3 5 15 4 3 2" xfId="43801" xr:uid="{00000000-0005-0000-0000-00001B780000}"/>
    <cellStyle name="Normal 2 3 5 15 4 4" xfId="43802" xr:uid="{00000000-0005-0000-0000-00001C780000}"/>
    <cellStyle name="Normal 2 3 5 15 5" xfId="12873" xr:uid="{00000000-0005-0000-0000-00001D780000}"/>
    <cellStyle name="Normal 2 3 5 15 5 2" xfId="12874" xr:uid="{00000000-0005-0000-0000-00001E780000}"/>
    <cellStyle name="Normal 2 3 5 15 5 2 2" xfId="43803" xr:uid="{00000000-0005-0000-0000-00001F780000}"/>
    <cellStyle name="Normal 2 3 5 15 5 3" xfId="43804" xr:uid="{00000000-0005-0000-0000-000020780000}"/>
    <cellStyle name="Normal 2 3 5 15 6" xfId="12875" xr:uid="{00000000-0005-0000-0000-000021780000}"/>
    <cellStyle name="Normal 2 3 5 15 6 2" xfId="43805" xr:uid="{00000000-0005-0000-0000-000022780000}"/>
    <cellStyle name="Normal 2 3 5 15 7" xfId="12876" xr:uid="{00000000-0005-0000-0000-000023780000}"/>
    <cellStyle name="Normal 2 3 5 15 7 2" xfId="43806" xr:uid="{00000000-0005-0000-0000-000024780000}"/>
    <cellStyle name="Normal 2 3 5 15 8" xfId="43807" xr:uid="{00000000-0005-0000-0000-000025780000}"/>
    <cellStyle name="Normal 2 3 5 15 8 2" xfId="43808" xr:uid="{00000000-0005-0000-0000-000026780000}"/>
    <cellStyle name="Normal 2 3 5 15 9" xfId="43809" xr:uid="{00000000-0005-0000-0000-000027780000}"/>
    <cellStyle name="Normal 2 3 5 16" xfId="12877" xr:uid="{00000000-0005-0000-0000-000028780000}"/>
    <cellStyle name="Normal 2 3 5 16 10" xfId="43810" xr:uid="{00000000-0005-0000-0000-000029780000}"/>
    <cellStyle name="Normal 2 3 5 16 11" xfId="43811" xr:uid="{00000000-0005-0000-0000-00002A780000}"/>
    <cellStyle name="Normal 2 3 5 16 2" xfId="12878" xr:uid="{00000000-0005-0000-0000-00002B780000}"/>
    <cellStyle name="Normal 2 3 5 16 2 10" xfId="43812" xr:uid="{00000000-0005-0000-0000-00002C780000}"/>
    <cellStyle name="Normal 2 3 5 16 2 2" xfId="12879" xr:uid="{00000000-0005-0000-0000-00002D780000}"/>
    <cellStyle name="Normal 2 3 5 16 2 2 2" xfId="12880" xr:uid="{00000000-0005-0000-0000-00002E780000}"/>
    <cellStyle name="Normal 2 3 5 16 2 2 2 2" xfId="12881" xr:uid="{00000000-0005-0000-0000-00002F780000}"/>
    <cellStyle name="Normal 2 3 5 16 2 2 2 2 2" xfId="43813" xr:uid="{00000000-0005-0000-0000-000030780000}"/>
    <cellStyle name="Normal 2 3 5 16 2 2 2 3" xfId="12882" xr:uid="{00000000-0005-0000-0000-000031780000}"/>
    <cellStyle name="Normal 2 3 5 16 2 2 2 3 2" xfId="43814" xr:uid="{00000000-0005-0000-0000-000032780000}"/>
    <cellStyle name="Normal 2 3 5 16 2 2 2 4" xfId="43815" xr:uid="{00000000-0005-0000-0000-000033780000}"/>
    <cellStyle name="Normal 2 3 5 16 2 2 3" xfId="12883" xr:uid="{00000000-0005-0000-0000-000034780000}"/>
    <cellStyle name="Normal 2 3 5 16 2 2 3 2" xfId="43816" xr:uid="{00000000-0005-0000-0000-000035780000}"/>
    <cellStyle name="Normal 2 3 5 16 2 2 4" xfId="12884" xr:uid="{00000000-0005-0000-0000-000036780000}"/>
    <cellStyle name="Normal 2 3 5 16 2 2 4 2" xfId="43817" xr:uid="{00000000-0005-0000-0000-000037780000}"/>
    <cellStyle name="Normal 2 3 5 16 2 2 5" xfId="12885" xr:uid="{00000000-0005-0000-0000-000038780000}"/>
    <cellStyle name="Normal 2 3 5 16 2 2 5 2" xfId="43818" xr:uid="{00000000-0005-0000-0000-000039780000}"/>
    <cellStyle name="Normal 2 3 5 16 2 2 6" xfId="43819" xr:uid="{00000000-0005-0000-0000-00003A780000}"/>
    <cellStyle name="Normal 2 3 5 16 2 2 6 2" xfId="43820" xr:uid="{00000000-0005-0000-0000-00003B780000}"/>
    <cellStyle name="Normal 2 3 5 16 2 2 7" xfId="43821" xr:uid="{00000000-0005-0000-0000-00003C780000}"/>
    <cellStyle name="Normal 2 3 5 16 2 3" xfId="12886" xr:uid="{00000000-0005-0000-0000-00003D780000}"/>
    <cellStyle name="Normal 2 3 5 16 2 3 2" xfId="12887" xr:uid="{00000000-0005-0000-0000-00003E780000}"/>
    <cellStyle name="Normal 2 3 5 16 2 3 2 2" xfId="43822" xr:uid="{00000000-0005-0000-0000-00003F780000}"/>
    <cellStyle name="Normal 2 3 5 16 2 3 3" xfId="12888" xr:uid="{00000000-0005-0000-0000-000040780000}"/>
    <cellStyle name="Normal 2 3 5 16 2 3 3 2" xfId="43823" xr:uid="{00000000-0005-0000-0000-000041780000}"/>
    <cellStyle name="Normal 2 3 5 16 2 3 4" xfId="43824" xr:uid="{00000000-0005-0000-0000-000042780000}"/>
    <cellStyle name="Normal 2 3 5 16 2 4" xfId="12889" xr:uid="{00000000-0005-0000-0000-000043780000}"/>
    <cellStyle name="Normal 2 3 5 16 2 4 2" xfId="12890" xr:uid="{00000000-0005-0000-0000-000044780000}"/>
    <cellStyle name="Normal 2 3 5 16 2 4 2 2" xfId="43825" xr:uid="{00000000-0005-0000-0000-000045780000}"/>
    <cellStyle name="Normal 2 3 5 16 2 4 3" xfId="43826" xr:uid="{00000000-0005-0000-0000-000046780000}"/>
    <cellStyle name="Normal 2 3 5 16 2 5" xfId="12891" xr:uid="{00000000-0005-0000-0000-000047780000}"/>
    <cellStyle name="Normal 2 3 5 16 2 5 2" xfId="43827" xr:uid="{00000000-0005-0000-0000-000048780000}"/>
    <cellStyle name="Normal 2 3 5 16 2 6" xfId="12892" xr:uid="{00000000-0005-0000-0000-000049780000}"/>
    <cellStyle name="Normal 2 3 5 16 2 6 2" xfId="43828" xr:uid="{00000000-0005-0000-0000-00004A780000}"/>
    <cellStyle name="Normal 2 3 5 16 2 7" xfId="43829" xr:uid="{00000000-0005-0000-0000-00004B780000}"/>
    <cellStyle name="Normal 2 3 5 16 2 7 2" xfId="43830" xr:uid="{00000000-0005-0000-0000-00004C780000}"/>
    <cellStyle name="Normal 2 3 5 16 2 8" xfId="43831" xr:uid="{00000000-0005-0000-0000-00004D780000}"/>
    <cellStyle name="Normal 2 3 5 16 2 9" xfId="43832" xr:uid="{00000000-0005-0000-0000-00004E780000}"/>
    <cellStyle name="Normal 2 3 5 16 3" xfId="12893" xr:uid="{00000000-0005-0000-0000-00004F780000}"/>
    <cellStyle name="Normal 2 3 5 16 3 2" xfId="12894" xr:uid="{00000000-0005-0000-0000-000050780000}"/>
    <cellStyle name="Normal 2 3 5 16 3 2 2" xfId="12895" xr:uid="{00000000-0005-0000-0000-000051780000}"/>
    <cellStyle name="Normal 2 3 5 16 3 2 2 2" xfId="43833" xr:uid="{00000000-0005-0000-0000-000052780000}"/>
    <cellStyle name="Normal 2 3 5 16 3 2 3" xfId="12896" xr:uid="{00000000-0005-0000-0000-000053780000}"/>
    <cellStyle name="Normal 2 3 5 16 3 2 3 2" xfId="43834" xr:uid="{00000000-0005-0000-0000-000054780000}"/>
    <cellStyle name="Normal 2 3 5 16 3 2 4" xfId="43835" xr:uid="{00000000-0005-0000-0000-000055780000}"/>
    <cellStyle name="Normal 2 3 5 16 3 3" xfId="12897" xr:uid="{00000000-0005-0000-0000-000056780000}"/>
    <cellStyle name="Normal 2 3 5 16 3 3 2" xfId="43836" xr:uid="{00000000-0005-0000-0000-000057780000}"/>
    <cellStyle name="Normal 2 3 5 16 3 4" xfId="12898" xr:uid="{00000000-0005-0000-0000-000058780000}"/>
    <cellStyle name="Normal 2 3 5 16 3 4 2" xfId="43837" xr:uid="{00000000-0005-0000-0000-000059780000}"/>
    <cellStyle name="Normal 2 3 5 16 3 5" xfId="12899" xr:uid="{00000000-0005-0000-0000-00005A780000}"/>
    <cellStyle name="Normal 2 3 5 16 3 5 2" xfId="43838" xr:uid="{00000000-0005-0000-0000-00005B780000}"/>
    <cellStyle name="Normal 2 3 5 16 3 6" xfId="43839" xr:uid="{00000000-0005-0000-0000-00005C780000}"/>
    <cellStyle name="Normal 2 3 5 16 3 6 2" xfId="43840" xr:uid="{00000000-0005-0000-0000-00005D780000}"/>
    <cellStyle name="Normal 2 3 5 16 3 7" xfId="43841" xr:uid="{00000000-0005-0000-0000-00005E780000}"/>
    <cellStyle name="Normal 2 3 5 16 4" xfId="12900" xr:uid="{00000000-0005-0000-0000-00005F780000}"/>
    <cellStyle name="Normal 2 3 5 16 4 2" xfId="12901" xr:uid="{00000000-0005-0000-0000-000060780000}"/>
    <cellStyle name="Normal 2 3 5 16 4 2 2" xfId="43842" xr:uid="{00000000-0005-0000-0000-000061780000}"/>
    <cellStyle name="Normal 2 3 5 16 4 3" xfId="12902" xr:uid="{00000000-0005-0000-0000-000062780000}"/>
    <cellStyle name="Normal 2 3 5 16 4 3 2" xfId="43843" xr:uid="{00000000-0005-0000-0000-000063780000}"/>
    <cellStyle name="Normal 2 3 5 16 4 4" xfId="43844" xr:uid="{00000000-0005-0000-0000-000064780000}"/>
    <cellStyle name="Normal 2 3 5 16 5" xfId="12903" xr:uid="{00000000-0005-0000-0000-000065780000}"/>
    <cellStyle name="Normal 2 3 5 16 5 2" xfId="12904" xr:uid="{00000000-0005-0000-0000-000066780000}"/>
    <cellStyle name="Normal 2 3 5 16 5 2 2" xfId="43845" xr:uid="{00000000-0005-0000-0000-000067780000}"/>
    <cellStyle name="Normal 2 3 5 16 5 3" xfId="43846" xr:uid="{00000000-0005-0000-0000-000068780000}"/>
    <cellStyle name="Normal 2 3 5 16 6" xfId="12905" xr:uid="{00000000-0005-0000-0000-000069780000}"/>
    <cellStyle name="Normal 2 3 5 16 6 2" xfId="43847" xr:uid="{00000000-0005-0000-0000-00006A780000}"/>
    <cellStyle name="Normal 2 3 5 16 7" xfId="12906" xr:uid="{00000000-0005-0000-0000-00006B780000}"/>
    <cellStyle name="Normal 2 3 5 16 7 2" xfId="43848" xr:uid="{00000000-0005-0000-0000-00006C780000}"/>
    <cellStyle name="Normal 2 3 5 16 8" xfId="43849" xr:uid="{00000000-0005-0000-0000-00006D780000}"/>
    <cellStyle name="Normal 2 3 5 16 8 2" xfId="43850" xr:uid="{00000000-0005-0000-0000-00006E780000}"/>
    <cellStyle name="Normal 2 3 5 16 9" xfId="43851" xr:uid="{00000000-0005-0000-0000-00006F780000}"/>
    <cellStyle name="Normal 2 3 5 17" xfId="12907" xr:uid="{00000000-0005-0000-0000-000070780000}"/>
    <cellStyle name="Normal 2 3 5 17 10" xfId="43852" xr:uid="{00000000-0005-0000-0000-000071780000}"/>
    <cellStyle name="Normal 2 3 5 17 11" xfId="43853" xr:uid="{00000000-0005-0000-0000-000072780000}"/>
    <cellStyle name="Normal 2 3 5 17 2" xfId="12908" xr:uid="{00000000-0005-0000-0000-000073780000}"/>
    <cellStyle name="Normal 2 3 5 17 2 10" xfId="43854" xr:uid="{00000000-0005-0000-0000-000074780000}"/>
    <cellStyle name="Normal 2 3 5 17 2 2" xfId="12909" xr:uid="{00000000-0005-0000-0000-000075780000}"/>
    <cellStyle name="Normal 2 3 5 17 2 2 2" xfId="12910" xr:uid="{00000000-0005-0000-0000-000076780000}"/>
    <cellStyle name="Normal 2 3 5 17 2 2 2 2" xfId="12911" xr:uid="{00000000-0005-0000-0000-000077780000}"/>
    <cellStyle name="Normal 2 3 5 17 2 2 2 2 2" xfId="43855" xr:uid="{00000000-0005-0000-0000-000078780000}"/>
    <cellStyle name="Normal 2 3 5 17 2 2 2 3" xfId="12912" xr:uid="{00000000-0005-0000-0000-000079780000}"/>
    <cellStyle name="Normal 2 3 5 17 2 2 2 3 2" xfId="43856" xr:uid="{00000000-0005-0000-0000-00007A780000}"/>
    <cellStyle name="Normal 2 3 5 17 2 2 2 4" xfId="43857" xr:uid="{00000000-0005-0000-0000-00007B780000}"/>
    <cellStyle name="Normal 2 3 5 17 2 2 3" xfId="12913" xr:uid="{00000000-0005-0000-0000-00007C780000}"/>
    <cellStyle name="Normal 2 3 5 17 2 2 3 2" xfId="43858" xr:uid="{00000000-0005-0000-0000-00007D780000}"/>
    <cellStyle name="Normal 2 3 5 17 2 2 4" xfId="12914" xr:uid="{00000000-0005-0000-0000-00007E780000}"/>
    <cellStyle name="Normal 2 3 5 17 2 2 4 2" xfId="43859" xr:uid="{00000000-0005-0000-0000-00007F780000}"/>
    <cellStyle name="Normal 2 3 5 17 2 2 5" xfId="12915" xr:uid="{00000000-0005-0000-0000-000080780000}"/>
    <cellStyle name="Normal 2 3 5 17 2 2 5 2" xfId="43860" xr:uid="{00000000-0005-0000-0000-000081780000}"/>
    <cellStyle name="Normal 2 3 5 17 2 2 6" xfId="43861" xr:uid="{00000000-0005-0000-0000-000082780000}"/>
    <cellStyle name="Normal 2 3 5 17 2 2 6 2" xfId="43862" xr:uid="{00000000-0005-0000-0000-000083780000}"/>
    <cellStyle name="Normal 2 3 5 17 2 2 7" xfId="43863" xr:uid="{00000000-0005-0000-0000-000084780000}"/>
    <cellStyle name="Normal 2 3 5 17 2 3" xfId="12916" xr:uid="{00000000-0005-0000-0000-000085780000}"/>
    <cellStyle name="Normal 2 3 5 17 2 3 2" xfId="12917" xr:uid="{00000000-0005-0000-0000-000086780000}"/>
    <cellStyle name="Normal 2 3 5 17 2 3 2 2" xfId="43864" xr:uid="{00000000-0005-0000-0000-000087780000}"/>
    <cellStyle name="Normal 2 3 5 17 2 3 3" xfId="12918" xr:uid="{00000000-0005-0000-0000-000088780000}"/>
    <cellStyle name="Normal 2 3 5 17 2 3 3 2" xfId="43865" xr:uid="{00000000-0005-0000-0000-000089780000}"/>
    <cellStyle name="Normal 2 3 5 17 2 3 4" xfId="43866" xr:uid="{00000000-0005-0000-0000-00008A780000}"/>
    <cellStyle name="Normal 2 3 5 17 2 4" xfId="12919" xr:uid="{00000000-0005-0000-0000-00008B780000}"/>
    <cellStyle name="Normal 2 3 5 17 2 4 2" xfId="12920" xr:uid="{00000000-0005-0000-0000-00008C780000}"/>
    <cellStyle name="Normal 2 3 5 17 2 4 2 2" xfId="43867" xr:uid="{00000000-0005-0000-0000-00008D780000}"/>
    <cellStyle name="Normal 2 3 5 17 2 4 3" xfId="43868" xr:uid="{00000000-0005-0000-0000-00008E780000}"/>
    <cellStyle name="Normal 2 3 5 17 2 5" xfId="12921" xr:uid="{00000000-0005-0000-0000-00008F780000}"/>
    <cellStyle name="Normal 2 3 5 17 2 5 2" xfId="43869" xr:uid="{00000000-0005-0000-0000-000090780000}"/>
    <cellStyle name="Normal 2 3 5 17 2 6" xfId="12922" xr:uid="{00000000-0005-0000-0000-000091780000}"/>
    <cellStyle name="Normal 2 3 5 17 2 6 2" xfId="43870" xr:uid="{00000000-0005-0000-0000-000092780000}"/>
    <cellStyle name="Normal 2 3 5 17 2 7" xfId="43871" xr:uid="{00000000-0005-0000-0000-000093780000}"/>
    <cellStyle name="Normal 2 3 5 17 2 7 2" xfId="43872" xr:uid="{00000000-0005-0000-0000-000094780000}"/>
    <cellStyle name="Normal 2 3 5 17 2 8" xfId="43873" xr:uid="{00000000-0005-0000-0000-000095780000}"/>
    <cellStyle name="Normal 2 3 5 17 2 9" xfId="43874" xr:uid="{00000000-0005-0000-0000-000096780000}"/>
    <cellStyle name="Normal 2 3 5 17 3" xfId="12923" xr:uid="{00000000-0005-0000-0000-000097780000}"/>
    <cellStyle name="Normal 2 3 5 17 3 2" xfId="12924" xr:uid="{00000000-0005-0000-0000-000098780000}"/>
    <cellStyle name="Normal 2 3 5 17 3 2 2" xfId="12925" xr:uid="{00000000-0005-0000-0000-000099780000}"/>
    <cellStyle name="Normal 2 3 5 17 3 2 2 2" xfId="43875" xr:uid="{00000000-0005-0000-0000-00009A780000}"/>
    <cellStyle name="Normal 2 3 5 17 3 2 3" xfId="12926" xr:uid="{00000000-0005-0000-0000-00009B780000}"/>
    <cellStyle name="Normal 2 3 5 17 3 2 3 2" xfId="43876" xr:uid="{00000000-0005-0000-0000-00009C780000}"/>
    <cellStyle name="Normal 2 3 5 17 3 2 4" xfId="43877" xr:uid="{00000000-0005-0000-0000-00009D780000}"/>
    <cellStyle name="Normal 2 3 5 17 3 3" xfId="12927" xr:uid="{00000000-0005-0000-0000-00009E780000}"/>
    <cellStyle name="Normal 2 3 5 17 3 3 2" xfId="43878" xr:uid="{00000000-0005-0000-0000-00009F780000}"/>
    <cellStyle name="Normal 2 3 5 17 3 4" xfId="12928" xr:uid="{00000000-0005-0000-0000-0000A0780000}"/>
    <cellStyle name="Normal 2 3 5 17 3 4 2" xfId="43879" xr:uid="{00000000-0005-0000-0000-0000A1780000}"/>
    <cellStyle name="Normal 2 3 5 17 3 5" xfId="12929" xr:uid="{00000000-0005-0000-0000-0000A2780000}"/>
    <cellStyle name="Normal 2 3 5 17 3 5 2" xfId="43880" xr:uid="{00000000-0005-0000-0000-0000A3780000}"/>
    <cellStyle name="Normal 2 3 5 17 3 6" xfId="43881" xr:uid="{00000000-0005-0000-0000-0000A4780000}"/>
    <cellStyle name="Normal 2 3 5 17 3 6 2" xfId="43882" xr:uid="{00000000-0005-0000-0000-0000A5780000}"/>
    <cellStyle name="Normal 2 3 5 17 3 7" xfId="43883" xr:uid="{00000000-0005-0000-0000-0000A6780000}"/>
    <cellStyle name="Normal 2 3 5 17 4" xfId="12930" xr:uid="{00000000-0005-0000-0000-0000A7780000}"/>
    <cellStyle name="Normal 2 3 5 17 4 2" xfId="12931" xr:uid="{00000000-0005-0000-0000-0000A8780000}"/>
    <cellStyle name="Normal 2 3 5 17 4 2 2" xfId="43884" xr:uid="{00000000-0005-0000-0000-0000A9780000}"/>
    <cellStyle name="Normal 2 3 5 17 4 3" xfId="12932" xr:uid="{00000000-0005-0000-0000-0000AA780000}"/>
    <cellStyle name="Normal 2 3 5 17 4 3 2" xfId="43885" xr:uid="{00000000-0005-0000-0000-0000AB780000}"/>
    <cellStyle name="Normal 2 3 5 17 4 4" xfId="43886" xr:uid="{00000000-0005-0000-0000-0000AC780000}"/>
    <cellStyle name="Normal 2 3 5 17 5" xfId="12933" xr:uid="{00000000-0005-0000-0000-0000AD780000}"/>
    <cellStyle name="Normal 2 3 5 17 5 2" xfId="12934" xr:uid="{00000000-0005-0000-0000-0000AE780000}"/>
    <cellStyle name="Normal 2 3 5 17 5 2 2" xfId="43887" xr:uid="{00000000-0005-0000-0000-0000AF780000}"/>
    <cellStyle name="Normal 2 3 5 17 5 3" xfId="43888" xr:uid="{00000000-0005-0000-0000-0000B0780000}"/>
    <cellStyle name="Normal 2 3 5 17 6" xfId="12935" xr:uid="{00000000-0005-0000-0000-0000B1780000}"/>
    <cellStyle name="Normal 2 3 5 17 6 2" xfId="43889" xr:uid="{00000000-0005-0000-0000-0000B2780000}"/>
    <cellStyle name="Normal 2 3 5 17 7" xfId="12936" xr:uid="{00000000-0005-0000-0000-0000B3780000}"/>
    <cellStyle name="Normal 2 3 5 17 7 2" xfId="43890" xr:uid="{00000000-0005-0000-0000-0000B4780000}"/>
    <cellStyle name="Normal 2 3 5 17 8" xfId="43891" xr:uid="{00000000-0005-0000-0000-0000B5780000}"/>
    <cellStyle name="Normal 2 3 5 17 8 2" xfId="43892" xr:uid="{00000000-0005-0000-0000-0000B6780000}"/>
    <cellStyle name="Normal 2 3 5 17 9" xfId="43893" xr:uid="{00000000-0005-0000-0000-0000B7780000}"/>
    <cellStyle name="Normal 2 3 5 18" xfId="12937" xr:uid="{00000000-0005-0000-0000-0000B8780000}"/>
    <cellStyle name="Normal 2 3 5 18 10" xfId="43894" xr:uid="{00000000-0005-0000-0000-0000B9780000}"/>
    <cellStyle name="Normal 2 3 5 18 11" xfId="43895" xr:uid="{00000000-0005-0000-0000-0000BA780000}"/>
    <cellStyle name="Normal 2 3 5 18 2" xfId="12938" xr:uid="{00000000-0005-0000-0000-0000BB780000}"/>
    <cellStyle name="Normal 2 3 5 18 2 10" xfId="43896" xr:uid="{00000000-0005-0000-0000-0000BC780000}"/>
    <cellStyle name="Normal 2 3 5 18 2 2" xfId="12939" xr:uid="{00000000-0005-0000-0000-0000BD780000}"/>
    <cellStyle name="Normal 2 3 5 18 2 2 2" xfId="12940" xr:uid="{00000000-0005-0000-0000-0000BE780000}"/>
    <cellStyle name="Normal 2 3 5 18 2 2 2 2" xfId="12941" xr:uid="{00000000-0005-0000-0000-0000BF780000}"/>
    <cellStyle name="Normal 2 3 5 18 2 2 2 2 2" xfId="43897" xr:uid="{00000000-0005-0000-0000-0000C0780000}"/>
    <cellStyle name="Normal 2 3 5 18 2 2 2 3" xfId="12942" xr:uid="{00000000-0005-0000-0000-0000C1780000}"/>
    <cellStyle name="Normal 2 3 5 18 2 2 2 3 2" xfId="43898" xr:uid="{00000000-0005-0000-0000-0000C2780000}"/>
    <cellStyle name="Normal 2 3 5 18 2 2 2 4" xfId="43899" xr:uid="{00000000-0005-0000-0000-0000C3780000}"/>
    <cellStyle name="Normal 2 3 5 18 2 2 3" xfId="12943" xr:uid="{00000000-0005-0000-0000-0000C4780000}"/>
    <cellStyle name="Normal 2 3 5 18 2 2 3 2" xfId="43900" xr:uid="{00000000-0005-0000-0000-0000C5780000}"/>
    <cellStyle name="Normal 2 3 5 18 2 2 4" xfId="12944" xr:uid="{00000000-0005-0000-0000-0000C6780000}"/>
    <cellStyle name="Normal 2 3 5 18 2 2 4 2" xfId="43901" xr:uid="{00000000-0005-0000-0000-0000C7780000}"/>
    <cellStyle name="Normal 2 3 5 18 2 2 5" xfId="12945" xr:uid="{00000000-0005-0000-0000-0000C8780000}"/>
    <cellStyle name="Normal 2 3 5 18 2 2 5 2" xfId="43902" xr:uid="{00000000-0005-0000-0000-0000C9780000}"/>
    <cellStyle name="Normal 2 3 5 18 2 2 6" xfId="43903" xr:uid="{00000000-0005-0000-0000-0000CA780000}"/>
    <cellStyle name="Normal 2 3 5 18 2 2 6 2" xfId="43904" xr:uid="{00000000-0005-0000-0000-0000CB780000}"/>
    <cellStyle name="Normal 2 3 5 18 2 2 7" xfId="43905" xr:uid="{00000000-0005-0000-0000-0000CC780000}"/>
    <cellStyle name="Normal 2 3 5 18 2 3" xfId="12946" xr:uid="{00000000-0005-0000-0000-0000CD780000}"/>
    <cellStyle name="Normal 2 3 5 18 2 3 2" xfId="12947" xr:uid="{00000000-0005-0000-0000-0000CE780000}"/>
    <cellStyle name="Normal 2 3 5 18 2 3 2 2" xfId="43906" xr:uid="{00000000-0005-0000-0000-0000CF780000}"/>
    <cellStyle name="Normal 2 3 5 18 2 3 3" xfId="12948" xr:uid="{00000000-0005-0000-0000-0000D0780000}"/>
    <cellStyle name="Normal 2 3 5 18 2 3 3 2" xfId="43907" xr:uid="{00000000-0005-0000-0000-0000D1780000}"/>
    <cellStyle name="Normal 2 3 5 18 2 3 4" xfId="43908" xr:uid="{00000000-0005-0000-0000-0000D2780000}"/>
    <cellStyle name="Normal 2 3 5 18 2 4" xfId="12949" xr:uid="{00000000-0005-0000-0000-0000D3780000}"/>
    <cellStyle name="Normal 2 3 5 18 2 4 2" xfId="12950" xr:uid="{00000000-0005-0000-0000-0000D4780000}"/>
    <cellStyle name="Normal 2 3 5 18 2 4 2 2" xfId="43909" xr:uid="{00000000-0005-0000-0000-0000D5780000}"/>
    <cellStyle name="Normal 2 3 5 18 2 4 3" xfId="43910" xr:uid="{00000000-0005-0000-0000-0000D6780000}"/>
    <cellStyle name="Normal 2 3 5 18 2 5" xfId="12951" xr:uid="{00000000-0005-0000-0000-0000D7780000}"/>
    <cellStyle name="Normal 2 3 5 18 2 5 2" xfId="43911" xr:uid="{00000000-0005-0000-0000-0000D8780000}"/>
    <cellStyle name="Normal 2 3 5 18 2 6" xfId="12952" xr:uid="{00000000-0005-0000-0000-0000D9780000}"/>
    <cellStyle name="Normal 2 3 5 18 2 6 2" xfId="43912" xr:uid="{00000000-0005-0000-0000-0000DA780000}"/>
    <cellStyle name="Normal 2 3 5 18 2 7" xfId="43913" xr:uid="{00000000-0005-0000-0000-0000DB780000}"/>
    <cellStyle name="Normal 2 3 5 18 2 7 2" xfId="43914" xr:uid="{00000000-0005-0000-0000-0000DC780000}"/>
    <cellStyle name="Normal 2 3 5 18 2 8" xfId="43915" xr:uid="{00000000-0005-0000-0000-0000DD780000}"/>
    <cellStyle name="Normal 2 3 5 18 2 9" xfId="43916" xr:uid="{00000000-0005-0000-0000-0000DE780000}"/>
    <cellStyle name="Normal 2 3 5 18 3" xfId="12953" xr:uid="{00000000-0005-0000-0000-0000DF780000}"/>
    <cellStyle name="Normal 2 3 5 18 3 2" xfId="12954" xr:uid="{00000000-0005-0000-0000-0000E0780000}"/>
    <cellStyle name="Normal 2 3 5 18 3 2 2" xfId="12955" xr:uid="{00000000-0005-0000-0000-0000E1780000}"/>
    <cellStyle name="Normal 2 3 5 18 3 2 2 2" xfId="43917" xr:uid="{00000000-0005-0000-0000-0000E2780000}"/>
    <cellStyle name="Normal 2 3 5 18 3 2 3" xfId="12956" xr:uid="{00000000-0005-0000-0000-0000E3780000}"/>
    <cellStyle name="Normal 2 3 5 18 3 2 3 2" xfId="43918" xr:uid="{00000000-0005-0000-0000-0000E4780000}"/>
    <cellStyle name="Normal 2 3 5 18 3 2 4" xfId="43919" xr:uid="{00000000-0005-0000-0000-0000E5780000}"/>
    <cellStyle name="Normal 2 3 5 18 3 3" xfId="12957" xr:uid="{00000000-0005-0000-0000-0000E6780000}"/>
    <cellStyle name="Normal 2 3 5 18 3 3 2" xfId="43920" xr:uid="{00000000-0005-0000-0000-0000E7780000}"/>
    <cellStyle name="Normal 2 3 5 18 3 4" xfId="12958" xr:uid="{00000000-0005-0000-0000-0000E8780000}"/>
    <cellStyle name="Normal 2 3 5 18 3 4 2" xfId="43921" xr:uid="{00000000-0005-0000-0000-0000E9780000}"/>
    <cellStyle name="Normal 2 3 5 18 3 5" xfId="12959" xr:uid="{00000000-0005-0000-0000-0000EA780000}"/>
    <cellStyle name="Normal 2 3 5 18 3 5 2" xfId="43922" xr:uid="{00000000-0005-0000-0000-0000EB780000}"/>
    <cellStyle name="Normal 2 3 5 18 3 6" xfId="43923" xr:uid="{00000000-0005-0000-0000-0000EC780000}"/>
    <cellStyle name="Normal 2 3 5 18 3 6 2" xfId="43924" xr:uid="{00000000-0005-0000-0000-0000ED780000}"/>
    <cellStyle name="Normal 2 3 5 18 3 7" xfId="43925" xr:uid="{00000000-0005-0000-0000-0000EE780000}"/>
    <cellStyle name="Normal 2 3 5 18 4" xfId="12960" xr:uid="{00000000-0005-0000-0000-0000EF780000}"/>
    <cellStyle name="Normal 2 3 5 18 4 2" xfId="12961" xr:uid="{00000000-0005-0000-0000-0000F0780000}"/>
    <cellStyle name="Normal 2 3 5 18 4 2 2" xfId="43926" xr:uid="{00000000-0005-0000-0000-0000F1780000}"/>
    <cellStyle name="Normal 2 3 5 18 4 3" xfId="12962" xr:uid="{00000000-0005-0000-0000-0000F2780000}"/>
    <cellStyle name="Normal 2 3 5 18 4 3 2" xfId="43927" xr:uid="{00000000-0005-0000-0000-0000F3780000}"/>
    <cellStyle name="Normal 2 3 5 18 4 4" xfId="43928" xr:uid="{00000000-0005-0000-0000-0000F4780000}"/>
    <cellStyle name="Normal 2 3 5 18 5" xfId="12963" xr:uid="{00000000-0005-0000-0000-0000F5780000}"/>
    <cellStyle name="Normal 2 3 5 18 5 2" xfId="12964" xr:uid="{00000000-0005-0000-0000-0000F6780000}"/>
    <cellStyle name="Normal 2 3 5 18 5 2 2" xfId="43929" xr:uid="{00000000-0005-0000-0000-0000F7780000}"/>
    <cellStyle name="Normal 2 3 5 18 5 3" xfId="43930" xr:uid="{00000000-0005-0000-0000-0000F8780000}"/>
    <cellStyle name="Normal 2 3 5 18 6" xfId="12965" xr:uid="{00000000-0005-0000-0000-0000F9780000}"/>
    <cellStyle name="Normal 2 3 5 18 6 2" xfId="43931" xr:uid="{00000000-0005-0000-0000-0000FA780000}"/>
    <cellStyle name="Normal 2 3 5 18 7" xfId="12966" xr:uid="{00000000-0005-0000-0000-0000FB780000}"/>
    <cellStyle name="Normal 2 3 5 18 7 2" xfId="43932" xr:uid="{00000000-0005-0000-0000-0000FC780000}"/>
    <cellStyle name="Normal 2 3 5 18 8" xfId="43933" xr:uid="{00000000-0005-0000-0000-0000FD780000}"/>
    <cellStyle name="Normal 2 3 5 18 8 2" xfId="43934" xr:uid="{00000000-0005-0000-0000-0000FE780000}"/>
    <cellStyle name="Normal 2 3 5 18 9" xfId="43935" xr:uid="{00000000-0005-0000-0000-0000FF780000}"/>
    <cellStyle name="Normal 2 3 5 19" xfId="12967" xr:uid="{00000000-0005-0000-0000-000000790000}"/>
    <cellStyle name="Normal 2 3 5 19 10" xfId="43936" xr:uid="{00000000-0005-0000-0000-000001790000}"/>
    <cellStyle name="Normal 2 3 5 19 11" xfId="43937" xr:uid="{00000000-0005-0000-0000-000002790000}"/>
    <cellStyle name="Normal 2 3 5 19 2" xfId="12968" xr:uid="{00000000-0005-0000-0000-000003790000}"/>
    <cellStyle name="Normal 2 3 5 19 2 10" xfId="43938" xr:uid="{00000000-0005-0000-0000-000004790000}"/>
    <cellStyle name="Normal 2 3 5 19 2 2" xfId="12969" xr:uid="{00000000-0005-0000-0000-000005790000}"/>
    <cellStyle name="Normal 2 3 5 19 2 2 2" xfId="12970" xr:uid="{00000000-0005-0000-0000-000006790000}"/>
    <cellStyle name="Normal 2 3 5 19 2 2 2 2" xfId="12971" xr:uid="{00000000-0005-0000-0000-000007790000}"/>
    <cellStyle name="Normal 2 3 5 19 2 2 2 2 2" xfId="43939" xr:uid="{00000000-0005-0000-0000-000008790000}"/>
    <cellStyle name="Normal 2 3 5 19 2 2 2 3" xfId="12972" xr:uid="{00000000-0005-0000-0000-000009790000}"/>
    <cellStyle name="Normal 2 3 5 19 2 2 2 3 2" xfId="43940" xr:uid="{00000000-0005-0000-0000-00000A790000}"/>
    <cellStyle name="Normal 2 3 5 19 2 2 2 4" xfId="43941" xr:uid="{00000000-0005-0000-0000-00000B790000}"/>
    <cellStyle name="Normal 2 3 5 19 2 2 3" xfId="12973" xr:uid="{00000000-0005-0000-0000-00000C790000}"/>
    <cellStyle name="Normal 2 3 5 19 2 2 3 2" xfId="43942" xr:uid="{00000000-0005-0000-0000-00000D790000}"/>
    <cellStyle name="Normal 2 3 5 19 2 2 4" xfId="12974" xr:uid="{00000000-0005-0000-0000-00000E790000}"/>
    <cellStyle name="Normal 2 3 5 19 2 2 4 2" xfId="43943" xr:uid="{00000000-0005-0000-0000-00000F790000}"/>
    <cellStyle name="Normal 2 3 5 19 2 2 5" xfId="12975" xr:uid="{00000000-0005-0000-0000-000010790000}"/>
    <cellStyle name="Normal 2 3 5 19 2 2 5 2" xfId="43944" xr:uid="{00000000-0005-0000-0000-000011790000}"/>
    <cellStyle name="Normal 2 3 5 19 2 2 6" xfId="43945" xr:uid="{00000000-0005-0000-0000-000012790000}"/>
    <cellStyle name="Normal 2 3 5 19 2 2 6 2" xfId="43946" xr:uid="{00000000-0005-0000-0000-000013790000}"/>
    <cellStyle name="Normal 2 3 5 19 2 2 7" xfId="43947" xr:uid="{00000000-0005-0000-0000-000014790000}"/>
    <cellStyle name="Normal 2 3 5 19 2 3" xfId="12976" xr:uid="{00000000-0005-0000-0000-000015790000}"/>
    <cellStyle name="Normal 2 3 5 19 2 3 2" xfId="12977" xr:uid="{00000000-0005-0000-0000-000016790000}"/>
    <cellStyle name="Normal 2 3 5 19 2 3 2 2" xfId="43948" xr:uid="{00000000-0005-0000-0000-000017790000}"/>
    <cellStyle name="Normal 2 3 5 19 2 3 3" xfId="12978" xr:uid="{00000000-0005-0000-0000-000018790000}"/>
    <cellStyle name="Normal 2 3 5 19 2 3 3 2" xfId="43949" xr:uid="{00000000-0005-0000-0000-000019790000}"/>
    <cellStyle name="Normal 2 3 5 19 2 3 4" xfId="43950" xr:uid="{00000000-0005-0000-0000-00001A790000}"/>
    <cellStyle name="Normal 2 3 5 19 2 4" xfId="12979" xr:uid="{00000000-0005-0000-0000-00001B790000}"/>
    <cellStyle name="Normal 2 3 5 19 2 4 2" xfId="12980" xr:uid="{00000000-0005-0000-0000-00001C790000}"/>
    <cellStyle name="Normal 2 3 5 19 2 4 2 2" xfId="43951" xr:uid="{00000000-0005-0000-0000-00001D790000}"/>
    <cellStyle name="Normal 2 3 5 19 2 4 3" xfId="43952" xr:uid="{00000000-0005-0000-0000-00001E790000}"/>
    <cellStyle name="Normal 2 3 5 19 2 5" xfId="12981" xr:uid="{00000000-0005-0000-0000-00001F790000}"/>
    <cellStyle name="Normal 2 3 5 19 2 5 2" xfId="43953" xr:uid="{00000000-0005-0000-0000-000020790000}"/>
    <cellStyle name="Normal 2 3 5 19 2 6" xfId="12982" xr:uid="{00000000-0005-0000-0000-000021790000}"/>
    <cellStyle name="Normal 2 3 5 19 2 6 2" xfId="43954" xr:uid="{00000000-0005-0000-0000-000022790000}"/>
    <cellStyle name="Normal 2 3 5 19 2 7" xfId="43955" xr:uid="{00000000-0005-0000-0000-000023790000}"/>
    <cellStyle name="Normal 2 3 5 19 2 7 2" xfId="43956" xr:uid="{00000000-0005-0000-0000-000024790000}"/>
    <cellStyle name="Normal 2 3 5 19 2 8" xfId="43957" xr:uid="{00000000-0005-0000-0000-000025790000}"/>
    <cellStyle name="Normal 2 3 5 19 2 9" xfId="43958" xr:uid="{00000000-0005-0000-0000-000026790000}"/>
    <cellStyle name="Normal 2 3 5 19 3" xfId="12983" xr:uid="{00000000-0005-0000-0000-000027790000}"/>
    <cellStyle name="Normal 2 3 5 19 3 2" xfId="12984" xr:uid="{00000000-0005-0000-0000-000028790000}"/>
    <cellStyle name="Normal 2 3 5 19 3 2 2" xfId="12985" xr:uid="{00000000-0005-0000-0000-000029790000}"/>
    <cellStyle name="Normal 2 3 5 19 3 2 2 2" xfId="43959" xr:uid="{00000000-0005-0000-0000-00002A790000}"/>
    <cellStyle name="Normal 2 3 5 19 3 2 3" xfId="12986" xr:uid="{00000000-0005-0000-0000-00002B790000}"/>
    <cellStyle name="Normal 2 3 5 19 3 2 3 2" xfId="43960" xr:uid="{00000000-0005-0000-0000-00002C790000}"/>
    <cellStyle name="Normal 2 3 5 19 3 2 4" xfId="43961" xr:uid="{00000000-0005-0000-0000-00002D790000}"/>
    <cellStyle name="Normal 2 3 5 19 3 3" xfId="12987" xr:uid="{00000000-0005-0000-0000-00002E790000}"/>
    <cellStyle name="Normal 2 3 5 19 3 3 2" xfId="43962" xr:uid="{00000000-0005-0000-0000-00002F790000}"/>
    <cellStyle name="Normal 2 3 5 19 3 4" xfId="12988" xr:uid="{00000000-0005-0000-0000-000030790000}"/>
    <cellStyle name="Normal 2 3 5 19 3 4 2" xfId="43963" xr:uid="{00000000-0005-0000-0000-000031790000}"/>
    <cellStyle name="Normal 2 3 5 19 3 5" xfId="12989" xr:uid="{00000000-0005-0000-0000-000032790000}"/>
    <cellStyle name="Normal 2 3 5 19 3 5 2" xfId="43964" xr:uid="{00000000-0005-0000-0000-000033790000}"/>
    <cellStyle name="Normal 2 3 5 19 3 6" xfId="43965" xr:uid="{00000000-0005-0000-0000-000034790000}"/>
    <cellStyle name="Normal 2 3 5 19 3 6 2" xfId="43966" xr:uid="{00000000-0005-0000-0000-000035790000}"/>
    <cellStyle name="Normal 2 3 5 19 3 7" xfId="43967" xr:uid="{00000000-0005-0000-0000-000036790000}"/>
    <cellStyle name="Normal 2 3 5 19 4" xfId="12990" xr:uid="{00000000-0005-0000-0000-000037790000}"/>
    <cellStyle name="Normal 2 3 5 19 4 2" xfId="12991" xr:uid="{00000000-0005-0000-0000-000038790000}"/>
    <cellStyle name="Normal 2 3 5 19 4 2 2" xfId="43968" xr:uid="{00000000-0005-0000-0000-000039790000}"/>
    <cellStyle name="Normal 2 3 5 19 4 3" xfId="12992" xr:uid="{00000000-0005-0000-0000-00003A790000}"/>
    <cellStyle name="Normal 2 3 5 19 4 3 2" xfId="43969" xr:uid="{00000000-0005-0000-0000-00003B790000}"/>
    <cellStyle name="Normal 2 3 5 19 4 4" xfId="43970" xr:uid="{00000000-0005-0000-0000-00003C790000}"/>
    <cellStyle name="Normal 2 3 5 19 5" xfId="12993" xr:uid="{00000000-0005-0000-0000-00003D790000}"/>
    <cellStyle name="Normal 2 3 5 19 5 2" xfId="12994" xr:uid="{00000000-0005-0000-0000-00003E790000}"/>
    <cellStyle name="Normal 2 3 5 19 5 2 2" xfId="43971" xr:uid="{00000000-0005-0000-0000-00003F790000}"/>
    <cellStyle name="Normal 2 3 5 19 5 3" xfId="43972" xr:uid="{00000000-0005-0000-0000-000040790000}"/>
    <cellStyle name="Normal 2 3 5 19 6" xfId="12995" xr:uid="{00000000-0005-0000-0000-000041790000}"/>
    <cellStyle name="Normal 2 3 5 19 6 2" xfId="43973" xr:uid="{00000000-0005-0000-0000-000042790000}"/>
    <cellStyle name="Normal 2 3 5 19 7" xfId="12996" xr:uid="{00000000-0005-0000-0000-000043790000}"/>
    <cellStyle name="Normal 2 3 5 19 7 2" xfId="43974" xr:uid="{00000000-0005-0000-0000-000044790000}"/>
    <cellStyle name="Normal 2 3 5 19 8" xfId="43975" xr:uid="{00000000-0005-0000-0000-000045790000}"/>
    <cellStyle name="Normal 2 3 5 19 8 2" xfId="43976" xr:uid="{00000000-0005-0000-0000-000046790000}"/>
    <cellStyle name="Normal 2 3 5 19 9" xfId="43977" xr:uid="{00000000-0005-0000-0000-000047790000}"/>
    <cellStyle name="Normal 2 3 5 2" xfId="12997" xr:uid="{00000000-0005-0000-0000-000048790000}"/>
    <cellStyle name="Normal 2 3 5 2 10" xfId="43978" xr:uid="{00000000-0005-0000-0000-000049790000}"/>
    <cellStyle name="Normal 2 3 5 2 11" xfId="43979" xr:uid="{00000000-0005-0000-0000-00004A790000}"/>
    <cellStyle name="Normal 2 3 5 2 2" xfId="12998" xr:uid="{00000000-0005-0000-0000-00004B790000}"/>
    <cellStyle name="Normal 2 3 5 2 2 10" xfId="43980" xr:uid="{00000000-0005-0000-0000-00004C790000}"/>
    <cellStyle name="Normal 2 3 5 2 2 2" xfId="12999" xr:uid="{00000000-0005-0000-0000-00004D790000}"/>
    <cellStyle name="Normal 2 3 5 2 2 2 2" xfId="13000" xr:uid="{00000000-0005-0000-0000-00004E790000}"/>
    <cellStyle name="Normal 2 3 5 2 2 2 2 2" xfId="13001" xr:uid="{00000000-0005-0000-0000-00004F790000}"/>
    <cellStyle name="Normal 2 3 5 2 2 2 2 2 2" xfId="43981" xr:uid="{00000000-0005-0000-0000-000050790000}"/>
    <cellStyle name="Normal 2 3 5 2 2 2 2 3" xfId="13002" xr:uid="{00000000-0005-0000-0000-000051790000}"/>
    <cellStyle name="Normal 2 3 5 2 2 2 2 3 2" xfId="43982" xr:uid="{00000000-0005-0000-0000-000052790000}"/>
    <cellStyle name="Normal 2 3 5 2 2 2 2 4" xfId="43983" xr:uid="{00000000-0005-0000-0000-000053790000}"/>
    <cellStyle name="Normal 2 3 5 2 2 2 3" xfId="13003" xr:uid="{00000000-0005-0000-0000-000054790000}"/>
    <cellStyle name="Normal 2 3 5 2 2 2 3 2" xfId="43984" xr:uid="{00000000-0005-0000-0000-000055790000}"/>
    <cellStyle name="Normal 2 3 5 2 2 2 4" xfId="13004" xr:uid="{00000000-0005-0000-0000-000056790000}"/>
    <cellStyle name="Normal 2 3 5 2 2 2 4 2" xfId="43985" xr:uid="{00000000-0005-0000-0000-000057790000}"/>
    <cellStyle name="Normal 2 3 5 2 2 2 5" xfId="13005" xr:uid="{00000000-0005-0000-0000-000058790000}"/>
    <cellStyle name="Normal 2 3 5 2 2 2 5 2" xfId="43986" xr:uid="{00000000-0005-0000-0000-000059790000}"/>
    <cellStyle name="Normal 2 3 5 2 2 2 6" xfId="43987" xr:uid="{00000000-0005-0000-0000-00005A790000}"/>
    <cellStyle name="Normal 2 3 5 2 2 2 6 2" xfId="43988" xr:uid="{00000000-0005-0000-0000-00005B790000}"/>
    <cellStyle name="Normal 2 3 5 2 2 2 7" xfId="43989" xr:uid="{00000000-0005-0000-0000-00005C790000}"/>
    <cellStyle name="Normal 2 3 5 2 2 3" xfId="13006" xr:uid="{00000000-0005-0000-0000-00005D790000}"/>
    <cellStyle name="Normal 2 3 5 2 2 3 2" xfId="13007" xr:uid="{00000000-0005-0000-0000-00005E790000}"/>
    <cellStyle name="Normal 2 3 5 2 2 3 2 2" xfId="43990" xr:uid="{00000000-0005-0000-0000-00005F790000}"/>
    <cellStyle name="Normal 2 3 5 2 2 3 3" xfId="13008" xr:uid="{00000000-0005-0000-0000-000060790000}"/>
    <cellStyle name="Normal 2 3 5 2 2 3 3 2" xfId="43991" xr:uid="{00000000-0005-0000-0000-000061790000}"/>
    <cellStyle name="Normal 2 3 5 2 2 3 4" xfId="43992" xr:uid="{00000000-0005-0000-0000-000062790000}"/>
    <cellStyle name="Normal 2 3 5 2 2 4" xfId="13009" xr:uid="{00000000-0005-0000-0000-000063790000}"/>
    <cellStyle name="Normal 2 3 5 2 2 4 2" xfId="13010" xr:uid="{00000000-0005-0000-0000-000064790000}"/>
    <cellStyle name="Normal 2 3 5 2 2 4 2 2" xfId="43993" xr:uid="{00000000-0005-0000-0000-000065790000}"/>
    <cellStyle name="Normal 2 3 5 2 2 4 3" xfId="43994" xr:uid="{00000000-0005-0000-0000-000066790000}"/>
    <cellStyle name="Normal 2 3 5 2 2 5" xfId="13011" xr:uid="{00000000-0005-0000-0000-000067790000}"/>
    <cellStyle name="Normal 2 3 5 2 2 5 2" xfId="43995" xr:uid="{00000000-0005-0000-0000-000068790000}"/>
    <cellStyle name="Normal 2 3 5 2 2 6" xfId="13012" xr:uid="{00000000-0005-0000-0000-000069790000}"/>
    <cellStyle name="Normal 2 3 5 2 2 6 2" xfId="43996" xr:uid="{00000000-0005-0000-0000-00006A790000}"/>
    <cellStyle name="Normal 2 3 5 2 2 7" xfId="43997" xr:uid="{00000000-0005-0000-0000-00006B790000}"/>
    <cellStyle name="Normal 2 3 5 2 2 7 2" xfId="43998" xr:uid="{00000000-0005-0000-0000-00006C790000}"/>
    <cellStyle name="Normal 2 3 5 2 2 8" xfId="43999" xr:uid="{00000000-0005-0000-0000-00006D790000}"/>
    <cellStyle name="Normal 2 3 5 2 2 9" xfId="44000" xr:uid="{00000000-0005-0000-0000-00006E790000}"/>
    <cellStyle name="Normal 2 3 5 2 3" xfId="13013" xr:uid="{00000000-0005-0000-0000-00006F790000}"/>
    <cellStyle name="Normal 2 3 5 2 3 2" xfId="13014" xr:uid="{00000000-0005-0000-0000-000070790000}"/>
    <cellStyle name="Normal 2 3 5 2 3 2 2" xfId="13015" xr:uid="{00000000-0005-0000-0000-000071790000}"/>
    <cellStyle name="Normal 2 3 5 2 3 2 2 2" xfId="44001" xr:uid="{00000000-0005-0000-0000-000072790000}"/>
    <cellStyle name="Normal 2 3 5 2 3 2 3" xfId="13016" xr:uid="{00000000-0005-0000-0000-000073790000}"/>
    <cellStyle name="Normal 2 3 5 2 3 2 3 2" xfId="44002" xr:uid="{00000000-0005-0000-0000-000074790000}"/>
    <cellStyle name="Normal 2 3 5 2 3 2 4" xfId="44003" xr:uid="{00000000-0005-0000-0000-000075790000}"/>
    <cellStyle name="Normal 2 3 5 2 3 3" xfId="13017" xr:uid="{00000000-0005-0000-0000-000076790000}"/>
    <cellStyle name="Normal 2 3 5 2 3 3 2" xfId="44004" xr:uid="{00000000-0005-0000-0000-000077790000}"/>
    <cellStyle name="Normal 2 3 5 2 3 4" xfId="13018" xr:uid="{00000000-0005-0000-0000-000078790000}"/>
    <cellStyle name="Normal 2 3 5 2 3 4 2" xfId="44005" xr:uid="{00000000-0005-0000-0000-000079790000}"/>
    <cellStyle name="Normal 2 3 5 2 3 5" xfId="13019" xr:uid="{00000000-0005-0000-0000-00007A790000}"/>
    <cellStyle name="Normal 2 3 5 2 3 5 2" xfId="44006" xr:uid="{00000000-0005-0000-0000-00007B790000}"/>
    <cellStyle name="Normal 2 3 5 2 3 6" xfId="44007" xr:uid="{00000000-0005-0000-0000-00007C790000}"/>
    <cellStyle name="Normal 2 3 5 2 3 6 2" xfId="44008" xr:uid="{00000000-0005-0000-0000-00007D790000}"/>
    <cellStyle name="Normal 2 3 5 2 3 7" xfId="44009" xr:uid="{00000000-0005-0000-0000-00007E790000}"/>
    <cellStyle name="Normal 2 3 5 2 4" xfId="13020" xr:uid="{00000000-0005-0000-0000-00007F790000}"/>
    <cellStyle name="Normal 2 3 5 2 4 2" xfId="13021" xr:uid="{00000000-0005-0000-0000-000080790000}"/>
    <cellStyle name="Normal 2 3 5 2 4 2 2" xfId="44010" xr:uid="{00000000-0005-0000-0000-000081790000}"/>
    <cellStyle name="Normal 2 3 5 2 4 3" xfId="13022" xr:uid="{00000000-0005-0000-0000-000082790000}"/>
    <cellStyle name="Normal 2 3 5 2 4 3 2" xfId="44011" xr:uid="{00000000-0005-0000-0000-000083790000}"/>
    <cellStyle name="Normal 2 3 5 2 4 4" xfId="44012" xr:uid="{00000000-0005-0000-0000-000084790000}"/>
    <cellStyle name="Normal 2 3 5 2 5" xfId="13023" xr:uid="{00000000-0005-0000-0000-000085790000}"/>
    <cellStyle name="Normal 2 3 5 2 5 2" xfId="13024" xr:uid="{00000000-0005-0000-0000-000086790000}"/>
    <cellStyle name="Normal 2 3 5 2 5 2 2" xfId="44013" xr:uid="{00000000-0005-0000-0000-000087790000}"/>
    <cellStyle name="Normal 2 3 5 2 5 3" xfId="44014" xr:uid="{00000000-0005-0000-0000-000088790000}"/>
    <cellStyle name="Normal 2 3 5 2 6" xfId="13025" xr:uid="{00000000-0005-0000-0000-000089790000}"/>
    <cellStyle name="Normal 2 3 5 2 6 2" xfId="44015" xr:uid="{00000000-0005-0000-0000-00008A790000}"/>
    <cellStyle name="Normal 2 3 5 2 7" xfId="13026" xr:uid="{00000000-0005-0000-0000-00008B790000}"/>
    <cellStyle name="Normal 2 3 5 2 7 2" xfId="44016" xr:uid="{00000000-0005-0000-0000-00008C790000}"/>
    <cellStyle name="Normal 2 3 5 2 8" xfId="44017" xr:uid="{00000000-0005-0000-0000-00008D790000}"/>
    <cellStyle name="Normal 2 3 5 2 8 2" xfId="44018" xr:uid="{00000000-0005-0000-0000-00008E790000}"/>
    <cellStyle name="Normal 2 3 5 2 9" xfId="44019" xr:uid="{00000000-0005-0000-0000-00008F790000}"/>
    <cellStyle name="Normal 2 3 5 20" xfId="13027" xr:uid="{00000000-0005-0000-0000-000090790000}"/>
    <cellStyle name="Normal 2 3 5 20 10" xfId="44020" xr:uid="{00000000-0005-0000-0000-000091790000}"/>
    <cellStyle name="Normal 2 3 5 20 11" xfId="44021" xr:uid="{00000000-0005-0000-0000-000092790000}"/>
    <cellStyle name="Normal 2 3 5 20 2" xfId="13028" xr:uid="{00000000-0005-0000-0000-000093790000}"/>
    <cellStyle name="Normal 2 3 5 20 2 10" xfId="44022" xr:uid="{00000000-0005-0000-0000-000094790000}"/>
    <cellStyle name="Normal 2 3 5 20 2 2" xfId="13029" xr:uid="{00000000-0005-0000-0000-000095790000}"/>
    <cellStyle name="Normal 2 3 5 20 2 2 2" xfId="13030" xr:uid="{00000000-0005-0000-0000-000096790000}"/>
    <cellStyle name="Normal 2 3 5 20 2 2 2 2" xfId="13031" xr:uid="{00000000-0005-0000-0000-000097790000}"/>
    <cellStyle name="Normal 2 3 5 20 2 2 2 2 2" xfId="44023" xr:uid="{00000000-0005-0000-0000-000098790000}"/>
    <cellStyle name="Normal 2 3 5 20 2 2 2 3" xfId="13032" xr:uid="{00000000-0005-0000-0000-000099790000}"/>
    <cellStyle name="Normal 2 3 5 20 2 2 2 3 2" xfId="44024" xr:uid="{00000000-0005-0000-0000-00009A790000}"/>
    <cellStyle name="Normal 2 3 5 20 2 2 2 4" xfId="44025" xr:uid="{00000000-0005-0000-0000-00009B790000}"/>
    <cellStyle name="Normal 2 3 5 20 2 2 3" xfId="13033" xr:uid="{00000000-0005-0000-0000-00009C790000}"/>
    <cellStyle name="Normal 2 3 5 20 2 2 3 2" xfId="44026" xr:uid="{00000000-0005-0000-0000-00009D790000}"/>
    <cellStyle name="Normal 2 3 5 20 2 2 4" xfId="13034" xr:uid="{00000000-0005-0000-0000-00009E790000}"/>
    <cellStyle name="Normal 2 3 5 20 2 2 4 2" xfId="44027" xr:uid="{00000000-0005-0000-0000-00009F790000}"/>
    <cellStyle name="Normal 2 3 5 20 2 2 5" xfId="13035" xr:uid="{00000000-0005-0000-0000-0000A0790000}"/>
    <cellStyle name="Normal 2 3 5 20 2 2 5 2" xfId="44028" xr:uid="{00000000-0005-0000-0000-0000A1790000}"/>
    <cellStyle name="Normal 2 3 5 20 2 2 6" xfId="44029" xr:uid="{00000000-0005-0000-0000-0000A2790000}"/>
    <cellStyle name="Normal 2 3 5 20 2 2 6 2" xfId="44030" xr:uid="{00000000-0005-0000-0000-0000A3790000}"/>
    <cellStyle name="Normal 2 3 5 20 2 2 7" xfId="44031" xr:uid="{00000000-0005-0000-0000-0000A4790000}"/>
    <cellStyle name="Normal 2 3 5 20 2 3" xfId="13036" xr:uid="{00000000-0005-0000-0000-0000A5790000}"/>
    <cellStyle name="Normal 2 3 5 20 2 3 2" xfId="13037" xr:uid="{00000000-0005-0000-0000-0000A6790000}"/>
    <cellStyle name="Normal 2 3 5 20 2 3 2 2" xfId="44032" xr:uid="{00000000-0005-0000-0000-0000A7790000}"/>
    <cellStyle name="Normal 2 3 5 20 2 3 3" xfId="13038" xr:uid="{00000000-0005-0000-0000-0000A8790000}"/>
    <cellStyle name="Normal 2 3 5 20 2 3 3 2" xfId="44033" xr:uid="{00000000-0005-0000-0000-0000A9790000}"/>
    <cellStyle name="Normal 2 3 5 20 2 3 4" xfId="44034" xr:uid="{00000000-0005-0000-0000-0000AA790000}"/>
    <cellStyle name="Normal 2 3 5 20 2 4" xfId="13039" xr:uid="{00000000-0005-0000-0000-0000AB790000}"/>
    <cellStyle name="Normal 2 3 5 20 2 4 2" xfId="13040" xr:uid="{00000000-0005-0000-0000-0000AC790000}"/>
    <cellStyle name="Normal 2 3 5 20 2 4 2 2" xfId="44035" xr:uid="{00000000-0005-0000-0000-0000AD790000}"/>
    <cellStyle name="Normal 2 3 5 20 2 4 3" xfId="44036" xr:uid="{00000000-0005-0000-0000-0000AE790000}"/>
    <cellStyle name="Normal 2 3 5 20 2 5" xfId="13041" xr:uid="{00000000-0005-0000-0000-0000AF790000}"/>
    <cellStyle name="Normal 2 3 5 20 2 5 2" xfId="44037" xr:uid="{00000000-0005-0000-0000-0000B0790000}"/>
    <cellStyle name="Normal 2 3 5 20 2 6" xfId="13042" xr:uid="{00000000-0005-0000-0000-0000B1790000}"/>
    <cellStyle name="Normal 2 3 5 20 2 6 2" xfId="44038" xr:uid="{00000000-0005-0000-0000-0000B2790000}"/>
    <cellStyle name="Normal 2 3 5 20 2 7" xfId="44039" xr:uid="{00000000-0005-0000-0000-0000B3790000}"/>
    <cellStyle name="Normal 2 3 5 20 2 7 2" xfId="44040" xr:uid="{00000000-0005-0000-0000-0000B4790000}"/>
    <cellStyle name="Normal 2 3 5 20 2 8" xfId="44041" xr:uid="{00000000-0005-0000-0000-0000B5790000}"/>
    <cellStyle name="Normal 2 3 5 20 2 9" xfId="44042" xr:uid="{00000000-0005-0000-0000-0000B6790000}"/>
    <cellStyle name="Normal 2 3 5 20 3" xfId="13043" xr:uid="{00000000-0005-0000-0000-0000B7790000}"/>
    <cellStyle name="Normal 2 3 5 20 3 2" xfId="13044" xr:uid="{00000000-0005-0000-0000-0000B8790000}"/>
    <cellStyle name="Normal 2 3 5 20 3 2 2" xfId="13045" xr:uid="{00000000-0005-0000-0000-0000B9790000}"/>
    <cellStyle name="Normal 2 3 5 20 3 2 2 2" xfId="44043" xr:uid="{00000000-0005-0000-0000-0000BA790000}"/>
    <cellStyle name="Normal 2 3 5 20 3 2 3" xfId="13046" xr:uid="{00000000-0005-0000-0000-0000BB790000}"/>
    <cellStyle name="Normal 2 3 5 20 3 2 3 2" xfId="44044" xr:uid="{00000000-0005-0000-0000-0000BC790000}"/>
    <cellStyle name="Normal 2 3 5 20 3 2 4" xfId="44045" xr:uid="{00000000-0005-0000-0000-0000BD790000}"/>
    <cellStyle name="Normal 2 3 5 20 3 3" xfId="13047" xr:uid="{00000000-0005-0000-0000-0000BE790000}"/>
    <cellStyle name="Normal 2 3 5 20 3 3 2" xfId="44046" xr:uid="{00000000-0005-0000-0000-0000BF790000}"/>
    <cellStyle name="Normal 2 3 5 20 3 4" xfId="13048" xr:uid="{00000000-0005-0000-0000-0000C0790000}"/>
    <cellStyle name="Normal 2 3 5 20 3 4 2" xfId="44047" xr:uid="{00000000-0005-0000-0000-0000C1790000}"/>
    <cellStyle name="Normal 2 3 5 20 3 5" xfId="13049" xr:uid="{00000000-0005-0000-0000-0000C2790000}"/>
    <cellStyle name="Normal 2 3 5 20 3 5 2" xfId="44048" xr:uid="{00000000-0005-0000-0000-0000C3790000}"/>
    <cellStyle name="Normal 2 3 5 20 3 6" xfId="44049" xr:uid="{00000000-0005-0000-0000-0000C4790000}"/>
    <cellStyle name="Normal 2 3 5 20 3 6 2" xfId="44050" xr:uid="{00000000-0005-0000-0000-0000C5790000}"/>
    <cellStyle name="Normal 2 3 5 20 3 7" xfId="44051" xr:uid="{00000000-0005-0000-0000-0000C6790000}"/>
    <cellStyle name="Normal 2 3 5 20 4" xfId="13050" xr:uid="{00000000-0005-0000-0000-0000C7790000}"/>
    <cellStyle name="Normal 2 3 5 20 4 2" xfId="13051" xr:uid="{00000000-0005-0000-0000-0000C8790000}"/>
    <cellStyle name="Normal 2 3 5 20 4 2 2" xfId="44052" xr:uid="{00000000-0005-0000-0000-0000C9790000}"/>
    <cellStyle name="Normal 2 3 5 20 4 3" xfId="13052" xr:uid="{00000000-0005-0000-0000-0000CA790000}"/>
    <cellStyle name="Normal 2 3 5 20 4 3 2" xfId="44053" xr:uid="{00000000-0005-0000-0000-0000CB790000}"/>
    <cellStyle name="Normal 2 3 5 20 4 4" xfId="44054" xr:uid="{00000000-0005-0000-0000-0000CC790000}"/>
    <cellStyle name="Normal 2 3 5 20 5" xfId="13053" xr:uid="{00000000-0005-0000-0000-0000CD790000}"/>
    <cellStyle name="Normal 2 3 5 20 5 2" xfId="13054" xr:uid="{00000000-0005-0000-0000-0000CE790000}"/>
    <cellStyle name="Normal 2 3 5 20 5 2 2" xfId="44055" xr:uid="{00000000-0005-0000-0000-0000CF790000}"/>
    <cellStyle name="Normal 2 3 5 20 5 3" xfId="44056" xr:uid="{00000000-0005-0000-0000-0000D0790000}"/>
    <cellStyle name="Normal 2 3 5 20 6" xfId="13055" xr:uid="{00000000-0005-0000-0000-0000D1790000}"/>
    <cellStyle name="Normal 2 3 5 20 6 2" xfId="44057" xr:uid="{00000000-0005-0000-0000-0000D2790000}"/>
    <cellStyle name="Normal 2 3 5 20 7" xfId="13056" xr:uid="{00000000-0005-0000-0000-0000D3790000}"/>
    <cellStyle name="Normal 2 3 5 20 7 2" xfId="44058" xr:uid="{00000000-0005-0000-0000-0000D4790000}"/>
    <cellStyle name="Normal 2 3 5 20 8" xfId="44059" xr:uid="{00000000-0005-0000-0000-0000D5790000}"/>
    <cellStyle name="Normal 2 3 5 20 8 2" xfId="44060" xr:uid="{00000000-0005-0000-0000-0000D6790000}"/>
    <cellStyle name="Normal 2 3 5 20 9" xfId="44061" xr:uid="{00000000-0005-0000-0000-0000D7790000}"/>
    <cellStyle name="Normal 2 3 5 21" xfId="13057" xr:uid="{00000000-0005-0000-0000-0000D8790000}"/>
    <cellStyle name="Normal 2 3 5 21 10" xfId="44062" xr:uid="{00000000-0005-0000-0000-0000D9790000}"/>
    <cellStyle name="Normal 2 3 5 21 11" xfId="44063" xr:uid="{00000000-0005-0000-0000-0000DA790000}"/>
    <cellStyle name="Normal 2 3 5 21 2" xfId="13058" xr:uid="{00000000-0005-0000-0000-0000DB790000}"/>
    <cellStyle name="Normal 2 3 5 21 2 10" xfId="44064" xr:uid="{00000000-0005-0000-0000-0000DC790000}"/>
    <cellStyle name="Normal 2 3 5 21 2 2" xfId="13059" xr:uid="{00000000-0005-0000-0000-0000DD790000}"/>
    <cellStyle name="Normal 2 3 5 21 2 2 2" xfId="13060" xr:uid="{00000000-0005-0000-0000-0000DE790000}"/>
    <cellStyle name="Normal 2 3 5 21 2 2 2 2" xfId="13061" xr:uid="{00000000-0005-0000-0000-0000DF790000}"/>
    <cellStyle name="Normal 2 3 5 21 2 2 2 2 2" xfId="44065" xr:uid="{00000000-0005-0000-0000-0000E0790000}"/>
    <cellStyle name="Normal 2 3 5 21 2 2 2 3" xfId="13062" xr:uid="{00000000-0005-0000-0000-0000E1790000}"/>
    <cellStyle name="Normal 2 3 5 21 2 2 2 3 2" xfId="44066" xr:uid="{00000000-0005-0000-0000-0000E2790000}"/>
    <cellStyle name="Normal 2 3 5 21 2 2 2 4" xfId="44067" xr:uid="{00000000-0005-0000-0000-0000E3790000}"/>
    <cellStyle name="Normal 2 3 5 21 2 2 3" xfId="13063" xr:uid="{00000000-0005-0000-0000-0000E4790000}"/>
    <cellStyle name="Normal 2 3 5 21 2 2 3 2" xfId="44068" xr:uid="{00000000-0005-0000-0000-0000E5790000}"/>
    <cellStyle name="Normal 2 3 5 21 2 2 4" xfId="13064" xr:uid="{00000000-0005-0000-0000-0000E6790000}"/>
    <cellStyle name="Normal 2 3 5 21 2 2 4 2" xfId="44069" xr:uid="{00000000-0005-0000-0000-0000E7790000}"/>
    <cellStyle name="Normal 2 3 5 21 2 2 5" xfId="13065" xr:uid="{00000000-0005-0000-0000-0000E8790000}"/>
    <cellStyle name="Normal 2 3 5 21 2 2 5 2" xfId="44070" xr:uid="{00000000-0005-0000-0000-0000E9790000}"/>
    <cellStyle name="Normal 2 3 5 21 2 2 6" xfId="44071" xr:uid="{00000000-0005-0000-0000-0000EA790000}"/>
    <cellStyle name="Normal 2 3 5 21 2 2 6 2" xfId="44072" xr:uid="{00000000-0005-0000-0000-0000EB790000}"/>
    <cellStyle name="Normal 2 3 5 21 2 2 7" xfId="44073" xr:uid="{00000000-0005-0000-0000-0000EC790000}"/>
    <cellStyle name="Normal 2 3 5 21 2 3" xfId="13066" xr:uid="{00000000-0005-0000-0000-0000ED790000}"/>
    <cellStyle name="Normal 2 3 5 21 2 3 2" xfId="13067" xr:uid="{00000000-0005-0000-0000-0000EE790000}"/>
    <cellStyle name="Normal 2 3 5 21 2 3 2 2" xfId="44074" xr:uid="{00000000-0005-0000-0000-0000EF790000}"/>
    <cellStyle name="Normal 2 3 5 21 2 3 3" xfId="13068" xr:uid="{00000000-0005-0000-0000-0000F0790000}"/>
    <cellStyle name="Normal 2 3 5 21 2 3 3 2" xfId="44075" xr:uid="{00000000-0005-0000-0000-0000F1790000}"/>
    <cellStyle name="Normal 2 3 5 21 2 3 4" xfId="44076" xr:uid="{00000000-0005-0000-0000-0000F2790000}"/>
    <cellStyle name="Normal 2 3 5 21 2 4" xfId="13069" xr:uid="{00000000-0005-0000-0000-0000F3790000}"/>
    <cellStyle name="Normal 2 3 5 21 2 4 2" xfId="13070" xr:uid="{00000000-0005-0000-0000-0000F4790000}"/>
    <cellStyle name="Normal 2 3 5 21 2 4 2 2" xfId="44077" xr:uid="{00000000-0005-0000-0000-0000F5790000}"/>
    <cellStyle name="Normal 2 3 5 21 2 4 3" xfId="44078" xr:uid="{00000000-0005-0000-0000-0000F6790000}"/>
    <cellStyle name="Normal 2 3 5 21 2 5" xfId="13071" xr:uid="{00000000-0005-0000-0000-0000F7790000}"/>
    <cellStyle name="Normal 2 3 5 21 2 5 2" xfId="44079" xr:uid="{00000000-0005-0000-0000-0000F8790000}"/>
    <cellStyle name="Normal 2 3 5 21 2 6" xfId="13072" xr:uid="{00000000-0005-0000-0000-0000F9790000}"/>
    <cellStyle name="Normal 2 3 5 21 2 6 2" xfId="44080" xr:uid="{00000000-0005-0000-0000-0000FA790000}"/>
    <cellStyle name="Normal 2 3 5 21 2 7" xfId="44081" xr:uid="{00000000-0005-0000-0000-0000FB790000}"/>
    <cellStyle name="Normal 2 3 5 21 2 7 2" xfId="44082" xr:uid="{00000000-0005-0000-0000-0000FC790000}"/>
    <cellStyle name="Normal 2 3 5 21 2 8" xfId="44083" xr:uid="{00000000-0005-0000-0000-0000FD790000}"/>
    <cellStyle name="Normal 2 3 5 21 2 9" xfId="44084" xr:uid="{00000000-0005-0000-0000-0000FE790000}"/>
    <cellStyle name="Normal 2 3 5 21 3" xfId="13073" xr:uid="{00000000-0005-0000-0000-0000FF790000}"/>
    <cellStyle name="Normal 2 3 5 21 3 2" xfId="13074" xr:uid="{00000000-0005-0000-0000-0000007A0000}"/>
    <cellStyle name="Normal 2 3 5 21 3 2 2" xfId="13075" xr:uid="{00000000-0005-0000-0000-0000017A0000}"/>
    <cellStyle name="Normal 2 3 5 21 3 2 2 2" xfId="44085" xr:uid="{00000000-0005-0000-0000-0000027A0000}"/>
    <cellStyle name="Normal 2 3 5 21 3 2 3" xfId="13076" xr:uid="{00000000-0005-0000-0000-0000037A0000}"/>
    <cellStyle name="Normal 2 3 5 21 3 2 3 2" xfId="44086" xr:uid="{00000000-0005-0000-0000-0000047A0000}"/>
    <cellStyle name="Normal 2 3 5 21 3 2 4" xfId="44087" xr:uid="{00000000-0005-0000-0000-0000057A0000}"/>
    <cellStyle name="Normal 2 3 5 21 3 3" xfId="13077" xr:uid="{00000000-0005-0000-0000-0000067A0000}"/>
    <cellStyle name="Normal 2 3 5 21 3 3 2" xfId="44088" xr:uid="{00000000-0005-0000-0000-0000077A0000}"/>
    <cellStyle name="Normal 2 3 5 21 3 4" xfId="13078" xr:uid="{00000000-0005-0000-0000-0000087A0000}"/>
    <cellStyle name="Normal 2 3 5 21 3 4 2" xfId="44089" xr:uid="{00000000-0005-0000-0000-0000097A0000}"/>
    <cellStyle name="Normal 2 3 5 21 3 5" xfId="13079" xr:uid="{00000000-0005-0000-0000-00000A7A0000}"/>
    <cellStyle name="Normal 2 3 5 21 3 5 2" xfId="44090" xr:uid="{00000000-0005-0000-0000-00000B7A0000}"/>
    <cellStyle name="Normal 2 3 5 21 3 6" xfId="44091" xr:uid="{00000000-0005-0000-0000-00000C7A0000}"/>
    <cellStyle name="Normal 2 3 5 21 3 6 2" xfId="44092" xr:uid="{00000000-0005-0000-0000-00000D7A0000}"/>
    <cellStyle name="Normal 2 3 5 21 3 7" xfId="44093" xr:uid="{00000000-0005-0000-0000-00000E7A0000}"/>
    <cellStyle name="Normal 2 3 5 21 4" xfId="13080" xr:uid="{00000000-0005-0000-0000-00000F7A0000}"/>
    <cellStyle name="Normal 2 3 5 21 4 2" xfId="13081" xr:uid="{00000000-0005-0000-0000-0000107A0000}"/>
    <cellStyle name="Normal 2 3 5 21 4 2 2" xfId="44094" xr:uid="{00000000-0005-0000-0000-0000117A0000}"/>
    <cellStyle name="Normal 2 3 5 21 4 3" xfId="13082" xr:uid="{00000000-0005-0000-0000-0000127A0000}"/>
    <cellStyle name="Normal 2 3 5 21 4 3 2" xfId="44095" xr:uid="{00000000-0005-0000-0000-0000137A0000}"/>
    <cellStyle name="Normal 2 3 5 21 4 4" xfId="44096" xr:uid="{00000000-0005-0000-0000-0000147A0000}"/>
    <cellStyle name="Normal 2 3 5 21 5" xfId="13083" xr:uid="{00000000-0005-0000-0000-0000157A0000}"/>
    <cellStyle name="Normal 2 3 5 21 5 2" xfId="13084" xr:uid="{00000000-0005-0000-0000-0000167A0000}"/>
    <cellStyle name="Normal 2 3 5 21 5 2 2" xfId="44097" xr:uid="{00000000-0005-0000-0000-0000177A0000}"/>
    <cellStyle name="Normal 2 3 5 21 5 3" xfId="44098" xr:uid="{00000000-0005-0000-0000-0000187A0000}"/>
    <cellStyle name="Normal 2 3 5 21 6" xfId="13085" xr:uid="{00000000-0005-0000-0000-0000197A0000}"/>
    <cellStyle name="Normal 2 3 5 21 6 2" xfId="44099" xr:uid="{00000000-0005-0000-0000-00001A7A0000}"/>
    <cellStyle name="Normal 2 3 5 21 7" xfId="13086" xr:uid="{00000000-0005-0000-0000-00001B7A0000}"/>
    <cellStyle name="Normal 2 3 5 21 7 2" xfId="44100" xr:uid="{00000000-0005-0000-0000-00001C7A0000}"/>
    <cellStyle name="Normal 2 3 5 21 8" xfId="44101" xr:uid="{00000000-0005-0000-0000-00001D7A0000}"/>
    <cellStyle name="Normal 2 3 5 21 8 2" xfId="44102" xr:uid="{00000000-0005-0000-0000-00001E7A0000}"/>
    <cellStyle name="Normal 2 3 5 21 9" xfId="44103" xr:uid="{00000000-0005-0000-0000-00001F7A0000}"/>
    <cellStyle name="Normal 2 3 5 22" xfId="13087" xr:uid="{00000000-0005-0000-0000-0000207A0000}"/>
    <cellStyle name="Normal 2 3 5 22 10" xfId="44104" xr:uid="{00000000-0005-0000-0000-0000217A0000}"/>
    <cellStyle name="Normal 2 3 5 22 11" xfId="44105" xr:uid="{00000000-0005-0000-0000-0000227A0000}"/>
    <cellStyle name="Normal 2 3 5 22 2" xfId="13088" xr:uid="{00000000-0005-0000-0000-0000237A0000}"/>
    <cellStyle name="Normal 2 3 5 22 2 10" xfId="44106" xr:uid="{00000000-0005-0000-0000-0000247A0000}"/>
    <cellStyle name="Normal 2 3 5 22 2 2" xfId="13089" xr:uid="{00000000-0005-0000-0000-0000257A0000}"/>
    <cellStyle name="Normal 2 3 5 22 2 2 2" xfId="13090" xr:uid="{00000000-0005-0000-0000-0000267A0000}"/>
    <cellStyle name="Normal 2 3 5 22 2 2 2 2" xfId="13091" xr:uid="{00000000-0005-0000-0000-0000277A0000}"/>
    <cellStyle name="Normal 2 3 5 22 2 2 2 2 2" xfId="44107" xr:uid="{00000000-0005-0000-0000-0000287A0000}"/>
    <cellStyle name="Normal 2 3 5 22 2 2 2 3" xfId="13092" xr:uid="{00000000-0005-0000-0000-0000297A0000}"/>
    <cellStyle name="Normal 2 3 5 22 2 2 2 3 2" xfId="44108" xr:uid="{00000000-0005-0000-0000-00002A7A0000}"/>
    <cellStyle name="Normal 2 3 5 22 2 2 2 4" xfId="44109" xr:uid="{00000000-0005-0000-0000-00002B7A0000}"/>
    <cellStyle name="Normal 2 3 5 22 2 2 3" xfId="13093" xr:uid="{00000000-0005-0000-0000-00002C7A0000}"/>
    <cellStyle name="Normal 2 3 5 22 2 2 3 2" xfId="44110" xr:uid="{00000000-0005-0000-0000-00002D7A0000}"/>
    <cellStyle name="Normal 2 3 5 22 2 2 4" xfId="13094" xr:uid="{00000000-0005-0000-0000-00002E7A0000}"/>
    <cellStyle name="Normal 2 3 5 22 2 2 4 2" xfId="44111" xr:uid="{00000000-0005-0000-0000-00002F7A0000}"/>
    <cellStyle name="Normal 2 3 5 22 2 2 5" xfId="13095" xr:uid="{00000000-0005-0000-0000-0000307A0000}"/>
    <cellStyle name="Normal 2 3 5 22 2 2 5 2" xfId="44112" xr:uid="{00000000-0005-0000-0000-0000317A0000}"/>
    <cellStyle name="Normal 2 3 5 22 2 2 6" xfId="44113" xr:uid="{00000000-0005-0000-0000-0000327A0000}"/>
    <cellStyle name="Normal 2 3 5 22 2 2 6 2" xfId="44114" xr:uid="{00000000-0005-0000-0000-0000337A0000}"/>
    <cellStyle name="Normal 2 3 5 22 2 2 7" xfId="44115" xr:uid="{00000000-0005-0000-0000-0000347A0000}"/>
    <cellStyle name="Normal 2 3 5 22 2 3" xfId="13096" xr:uid="{00000000-0005-0000-0000-0000357A0000}"/>
    <cellStyle name="Normal 2 3 5 22 2 3 2" xfId="13097" xr:uid="{00000000-0005-0000-0000-0000367A0000}"/>
    <cellStyle name="Normal 2 3 5 22 2 3 2 2" xfId="44116" xr:uid="{00000000-0005-0000-0000-0000377A0000}"/>
    <cellStyle name="Normal 2 3 5 22 2 3 3" xfId="13098" xr:uid="{00000000-0005-0000-0000-0000387A0000}"/>
    <cellStyle name="Normal 2 3 5 22 2 3 3 2" xfId="44117" xr:uid="{00000000-0005-0000-0000-0000397A0000}"/>
    <cellStyle name="Normal 2 3 5 22 2 3 4" xfId="44118" xr:uid="{00000000-0005-0000-0000-00003A7A0000}"/>
    <cellStyle name="Normal 2 3 5 22 2 4" xfId="13099" xr:uid="{00000000-0005-0000-0000-00003B7A0000}"/>
    <cellStyle name="Normal 2 3 5 22 2 4 2" xfId="13100" xr:uid="{00000000-0005-0000-0000-00003C7A0000}"/>
    <cellStyle name="Normal 2 3 5 22 2 4 2 2" xfId="44119" xr:uid="{00000000-0005-0000-0000-00003D7A0000}"/>
    <cellStyle name="Normal 2 3 5 22 2 4 3" xfId="44120" xr:uid="{00000000-0005-0000-0000-00003E7A0000}"/>
    <cellStyle name="Normal 2 3 5 22 2 5" xfId="13101" xr:uid="{00000000-0005-0000-0000-00003F7A0000}"/>
    <cellStyle name="Normal 2 3 5 22 2 5 2" xfId="44121" xr:uid="{00000000-0005-0000-0000-0000407A0000}"/>
    <cellStyle name="Normal 2 3 5 22 2 6" xfId="13102" xr:uid="{00000000-0005-0000-0000-0000417A0000}"/>
    <cellStyle name="Normal 2 3 5 22 2 6 2" xfId="44122" xr:uid="{00000000-0005-0000-0000-0000427A0000}"/>
    <cellStyle name="Normal 2 3 5 22 2 7" xfId="44123" xr:uid="{00000000-0005-0000-0000-0000437A0000}"/>
    <cellStyle name="Normal 2 3 5 22 2 7 2" xfId="44124" xr:uid="{00000000-0005-0000-0000-0000447A0000}"/>
    <cellStyle name="Normal 2 3 5 22 2 8" xfId="44125" xr:uid="{00000000-0005-0000-0000-0000457A0000}"/>
    <cellStyle name="Normal 2 3 5 22 2 9" xfId="44126" xr:uid="{00000000-0005-0000-0000-0000467A0000}"/>
    <cellStyle name="Normal 2 3 5 22 3" xfId="13103" xr:uid="{00000000-0005-0000-0000-0000477A0000}"/>
    <cellStyle name="Normal 2 3 5 22 3 2" xfId="13104" xr:uid="{00000000-0005-0000-0000-0000487A0000}"/>
    <cellStyle name="Normal 2 3 5 22 3 2 2" xfId="13105" xr:uid="{00000000-0005-0000-0000-0000497A0000}"/>
    <cellStyle name="Normal 2 3 5 22 3 2 2 2" xfId="44127" xr:uid="{00000000-0005-0000-0000-00004A7A0000}"/>
    <cellStyle name="Normal 2 3 5 22 3 2 3" xfId="13106" xr:uid="{00000000-0005-0000-0000-00004B7A0000}"/>
    <cellStyle name="Normal 2 3 5 22 3 2 3 2" xfId="44128" xr:uid="{00000000-0005-0000-0000-00004C7A0000}"/>
    <cellStyle name="Normal 2 3 5 22 3 2 4" xfId="44129" xr:uid="{00000000-0005-0000-0000-00004D7A0000}"/>
    <cellStyle name="Normal 2 3 5 22 3 3" xfId="13107" xr:uid="{00000000-0005-0000-0000-00004E7A0000}"/>
    <cellStyle name="Normal 2 3 5 22 3 3 2" xfId="44130" xr:uid="{00000000-0005-0000-0000-00004F7A0000}"/>
    <cellStyle name="Normal 2 3 5 22 3 4" xfId="13108" xr:uid="{00000000-0005-0000-0000-0000507A0000}"/>
    <cellStyle name="Normal 2 3 5 22 3 4 2" xfId="44131" xr:uid="{00000000-0005-0000-0000-0000517A0000}"/>
    <cellStyle name="Normal 2 3 5 22 3 5" xfId="13109" xr:uid="{00000000-0005-0000-0000-0000527A0000}"/>
    <cellStyle name="Normal 2 3 5 22 3 5 2" xfId="44132" xr:uid="{00000000-0005-0000-0000-0000537A0000}"/>
    <cellStyle name="Normal 2 3 5 22 3 6" xfId="44133" xr:uid="{00000000-0005-0000-0000-0000547A0000}"/>
    <cellStyle name="Normal 2 3 5 22 3 6 2" xfId="44134" xr:uid="{00000000-0005-0000-0000-0000557A0000}"/>
    <cellStyle name="Normal 2 3 5 22 3 7" xfId="44135" xr:uid="{00000000-0005-0000-0000-0000567A0000}"/>
    <cellStyle name="Normal 2 3 5 22 4" xfId="13110" xr:uid="{00000000-0005-0000-0000-0000577A0000}"/>
    <cellStyle name="Normal 2 3 5 22 4 2" xfId="13111" xr:uid="{00000000-0005-0000-0000-0000587A0000}"/>
    <cellStyle name="Normal 2 3 5 22 4 2 2" xfId="44136" xr:uid="{00000000-0005-0000-0000-0000597A0000}"/>
    <cellStyle name="Normal 2 3 5 22 4 3" xfId="13112" xr:uid="{00000000-0005-0000-0000-00005A7A0000}"/>
    <cellStyle name="Normal 2 3 5 22 4 3 2" xfId="44137" xr:uid="{00000000-0005-0000-0000-00005B7A0000}"/>
    <cellStyle name="Normal 2 3 5 22 4 4" xfId="44138" xr:uid="{00000000-0005-0000-0000-00005C7A0000}"/>
    <cellStyle name="Normal 2 3 5 22 5" xfId="13113" xr:uid="{00000000-0005-0000-0000-00005D7A0000}"/>
    <cellStyle name="Normal 2 3 5 22 5 2" xfId="13114" xr:uid="{00000000-0005-0000-0000-00005E7A0000}"/>
    <cellStyle name="Normal 2 3 5 22 5 2 2" xfId="44139" xr:uid="{00000000-0005-0000-0000-00005F7A0000}"/>
    <cellStyle name="Normal 2 3 5 22 5 3" xfId="44140" xr:uid="{00000000-0005-0000-0000-0000607A0000}"/>
    <cellStyle name="Normal 2 3 5 22 6" xfId="13115" xr:uid="{00000000-0005-0000-0000-0000617A0000}"/>
    <cellStyle name="Normal 2 3 5 22 6 2" xfId="44141" xr:uid="{00000000-0005-0000-0000-0000627A0000}"/>
    <cellStyle name="Normal 2 3 5 22 7" xfId="13116" xr:uid="{00000000-0005-0000-0000-0000637A0000}"/>
    <cellStyle name="Normal 2 3 5 22 7 2" xfId="44142" xr:uid="{00000000-0005-0000-0000-0000647A0000}"/>
    <cellStyle name="Normal 2 3 5 22 8" xfId="44143" xr:uid="{00000000-0005-0000-0000-0000657A0000}"/>
    <cellStyle name="Normal 2 3 5 22 8 2" xfId="44144" xr:uid="{00000000-0005-0000-0000-0000667A0000}"/>
    <cellStyle name="Normal 2 3 5 22 9" xfId="44145" xr:uid="{00000000-0005-0000-0000-0000677A0000}"/>
    <cellStyle name="Normal 2 3 5 23" xfId="13117" xr:uid="{00000000-0005-0000-0000-0000687A0000}"/>
    <cellStyle name="Normal 2 3 5 23 10" xfId="44146" xr:uid="{00000000-0005-0000-0000-0000697A0000}"/>
    <cellStyle name="Normal 2 3 5 23 11" xfId="44147" xr:uid="{00000000-0005-0000-0000-00006A7A0000}"/>
    <cellStyle name="Normal 2 3 5 23 2" xfId="13118" xr:uid="{00000000-0005-0000-0000-00006B7A0000}"/>
    <cellStyle name="Normal 2 3 5 23 2 10" xfId="44148" xr:uid="{00000000-0005-0000-0000-00006C7A0000}"/>
    <cellStyle name="Normal 2 3 5 23 2 2" xfId="13119" xr:uid="{00000000-0005-0000-0000-00006D7A0000}"/>
    <cellStyle name="Normal 2 3 5 23 2 2 2" xfId="13120" xr:uid="{00000000-0005-0000-0000-00006E7A0000}"/>
    <cellStyle name="Normal 2 3 5 23 2 2 2 2" xfId="13121" xr:uid="{00000000-0005-0000-0000-00006F7A0000}"/>
    <cellStyle name="Normal 2 3 5 23 2 2 2 2 2" xfId="44149" xr:uid="{00000000-0005-0000-0000-0000707A0000}"/>
    <cellStyle name="Normal 2 3 5 23 2 2 2 3" xfId="13122" xr:uid="{00000000-0005-0000-0000-0000717A0000}"/>
    <cellStyle name="Normal 2 3 5 23 2 2 2 3 2" xfId="44150" xr:uid="{00000000-0005-0000-0000-0000727A0000}"/>
    <cellStyle name="Normal 2 3 5 23 2 2 2 4" xfId="44151" xr:uid="{00000000-0005-0000-0000-0000737A0000}"/>
    <cellStyle name="Normal 2 3 5 23 2 2 3" xfId="13123" xr:uid="{00000000-0005-0000-0000-0000747A0000}"/>
    <cellStyle name="Normal 2 3 5 23 2 2 3 2" xfId="44152" xr:uid="{00000000-0005-0000-0000-0000757A0000}"/>
    <cellStyle name="Normal 2 3 5 23 2 2 4" xfId="13124" xr:uid="{00000000-0005-0000-0000-0000767A0000}"/>
    <cellStyle name="Normal 2 3 5 23 2 2 4 2" xfId="44153" xr:uid="{00000000-0005-0000-0000-0000777A0000}"/>
    <cellStyle name="Normal 2 3 5 23 2 2 5" xfId="13125" xr:uid="{00000000-0005-0000-0000-0000787A0000}"/>
    <cellStyle name="Normal 2 3 5 23 2 2 5 2" xfId="44154" xr:uid="{00000000-0005-0000-0000-0000797A0000}"/>
    <cellStyle name="Normal 2 3 5 23 2 2 6" xfId="44155" xr:uid="{00000000-0005-0000-0000-00007A7A0000}"/>
    <cellStyle name="Normal 2 3 5 23 2 2 6 2" xfId="44156" xr:uid="{00000000-0005-0000-0000-00007B7A0000}"/>
    <cellStyle name="Normal 2 3 5 23 2 2 7" xfId="44157" xr:uid="{00000000-0005-0000-0000-00007C7A0000}"/>
    <cellStyle name="Normal 2 3 5 23 2 3" xfId="13126" xr:uid="{00000000-0005-0000-0000-00007D7A0000}"/>
    <cellStyle name="Normal 2 3 5 23 2 3 2" xfId="13127" xr:uid="{00000000-0005-0000-0000-00007E7A0000}"/>
    <cellStyle name="Normal 2 3 5 23 2 3 2 2" xfId="44158" xr:uid="{00000000-0005-0000-0000-00007F7A0000}"/>
    <cellStyle name="Normal 2 3 5 23 2 3 3" xfId="13128" xr:uid="{00000000-0005-0000-0000-0000807A0000}"/>
    <cellStyle name="Normal 2 3 5 23 2 3 3 2" xfId="44159" xr:uid="{00000000-0005-0000-0000-0000817A0000}"/>
    <cellStyle name="Normal 2 3 5 23 2 3 4" xfId="44160" xr:uid="{00000000-0005-0000-0000-0000827A0000}"/>
    <cellStyle name="Normal 2 3 5 23 2 4" xfId="13129" xr:uid="{00000000-0005-0000-0000-0000837A0000}"/>
    <cellStyle name="Normal 2 3 5 23 2 4 2" xfId="13130" xr:uid="{00000000-0005-0000-0000-0000847A0000}"/>
    <cellStyle name="Normal 2 3 5 23 2 4 2 2" xfId="44161" xr:uid="{00000000-0005-0000-0000-0000857A0000}"/>
    <cellStyle name="Normal 2 3 5 23 2 4 3" xfId="44162" xr:uid="{00000000-0005-0000-0000-0000867A0000}"/>
    <cellStyle name="Normal 2 3 5 23 2 5" xfId="13131" xr:uid="{00000000-0005-0000-0000-0000877A0000}"/>
    <cellStyle name="Normal 2 3 5 23 2 5 2" xfId="44163" xr:uid="{00000000-0005-0000-0000-0000887A0000}"/>
    <cellStyle name="Normal 2 3 5 23 2 6" xfId="13132" xr:uid="{00000000-0005-0000-0000-0000897A0000}"/>
    <cellStyle name="Normal 2 3 5 23 2 6 2" xfId="44164" xr:uid="{00000000-0005-0000-0000-00008A7A0000}"/>
    <cellStyle name="Normal 2 3 5 23 2 7" xfId="44165" xr:uid="{00000000-0005-0000-0000-00008B7A0000}"/>
    <cellStyle name="Normal 2 3 5 23 2 7 2" xfId="44166" xr:uid="{00000000-0005-0000-0000-00008C7A0000}"/>
    <cellStyle name="Normal 2 3 5 23 2 8" xfId="44167" xr:uid="{00000000-0005-0000-0000-00008D7A0000}"/>
    <cellStyle name="Normal 2 3 5 23 2 9" xfId="44168" xr:uid="{00000000-0005-0000-0000-00008E7A0000}"/>
    <cellStyle name="Normal 2 3 5 23 3" xfId="13133" xr:uid="{00000000-0005-0000-0000-00008F7A0000}"/>
    <cellStyle name="Normal 2 3 5 23 3 2" xfId="13134" xr:uid="{00000000-0005-0000-0000-0000907A0000}"/>
    <cellStyle name="Normal 2 3 5 23 3 2 2" xfId="13135" xr:uid="{00000000-0005-0000-0000-0000917A0000}"/>
    <cellStyle name="Normal 2 3 5 23 3 2 2 2" xfId="44169" xr:uid="{00000000-0005-0000-0000-0000927A0000}"/>
    <cellStyle name="Normal 2 3 5 23 3 2 3" xfId="13136" xr:uid="{00000000-0005-0000-0000-0000937A0000}"/>
    <cellStyle name="Normal 2 3 5 23 3 2 3 2" xfId="44170" xr:uid="{00000000-0005-0000-0000-0000947A0000}"/>
    <cellStyle name="Normal 2 3 5 23 3 2 4" xfId="44171" xr:uid="{00000000-0005-0000-0000-0000957A0000}"/>
    <cellStyle name="Normal 2 3 5 23 3 3" xfId="13137" xr:uid="{00000000-0005-0000-0000-0000967A0000}"/>
    <cellStyle name="Normal 2 3 5 23 3 3 2" xfId="44172" xr:uid="{00000000-0005-0000-0000-0000977A0000}"/>
    <cellStyle name="Normal 2 3 5 23 3 4" xfId="13138" xr:uid="{00000000-0005-0000-0000-0000987A0000}"/>
    <cellStyle name="Normal 2 3 5 23 3 4 2" xfId="44173" xr:uid="{00000000-0005-0000-0000-0000997A0000}"/>
    <cellStyle name="Normal 2 3 5 23 3 5" xfId="13139" xr:uid="{00000000-0005-0000-0000-00009A7A0000}"/>
    <cellStyle name="Normal 2 3 5 23 3 5 2" xfId="44174" xr:uid="{00000000-0005-0000-0000-00009B7A0000}"/>
    <cellStyle name="Normal 2 3 5 23 3 6" xfId="44175" xr:uid="{00000000-0005-0000-0000-00009C7A0000}"/>
    <cellStyle name="Normal 2 3 5 23 3 6 2" xfId="44176" xr:uid="{00000000-0005-0000-0000-00009D7A0000}"/>
    <cellStyle name="Normal 2 3 5 23 3 7" xfId="44177" xr:uid="{00000000-0005-0000-0000-00009E7A0000}"/>
    <cellStyle name="Normal 2 3 5 23 4" xfId="13140" xr:uid="{00000000-0005-0000-0000-00009F7A0000}"/>
    <cellStyle name="Normal 2 3 5 23 4 2" xfId="13141" xr:uid="{00000000-0005-0000-0000-0000A07A0000}"/>
    <cellStyle name="Normal 2 3 5 23 4 2 2" xfId="44178" xr:uid="{00000000-0005-0000-0000-0000A17A0000}"/>
    <cellStyle name="Normal 2 3 5 23 4 3" xfId="13142" xr:uid="{00000000-0005-0000-0000-0000A27A0000}"/>
    <cellStyle name="Normal 2 3 5 23 4 3 2" xfId="44179" xr:uid="{00000000-0005-0000-0000-0000A37A0000}"/>
    <cellStyle name="Normal 2 3 5 23 4 4" xfId="44180" xr:uid="{00000000-0005-0000-0000-0000A47A0000}"/>
    <cellStyle name="Normal 2 3 5 23 5" xfId="13143" xr:uid="{00000000-0005-0000-0000-0000A57A0000}"/>
    <cellStyle name="Normal 2 3 5 23 5 2" xfId="13144" xr:uid="{00000000-0005-0000-0000-0000A67A0000}"/>
    <cellStyle name="Normal 2 3 5 23 5 2 2" xfId="44181" xr:uid="{00000000-0005-0000-0000-0000A77A0000}"/>
    <cellStyle name="Normal 2 3 5 23 5 3" xfId="44182" xr:uid="{00000000-0005-0000-0000-0000A87A0000}"/>
    <cellStyle name="Normal 2 3 5 23 6" xfId="13145" xr:uid="{00000000-0005-0000-0000-0000A97A0000}"/>
    <cellStyle name="Normal 2 3 5 23 6 2" xfId="44183" xr:uid="{00000000-0005-0000-0000-0000AA7A0000}"/>
    <cellStyle name="Normal 2 3 5 23 7" xfId="13146" xr:uid="{00000000-0005-0000-0000-0000AB7A0000}"/>
    <cellStyle name="Normal 2 3 5 23 7 2" xfId="44184" xr:uid="{00000000-0005-0000-0000-0000AC7A0000}"/>
    <cellStyle name="Normal 2 3 5 23 8" xfId="44185" xr:uid="{00000000-0005-0000-0000-0000AD7A0000}"/>
    <cellStyle name="Normal 2 3 5 23 8 2" xfId="44186" xr:uid="{00000000-0005-0000-0000-0000AE7A0000}"/>
    <cellStyle name="Normal 2 3 5 23 9" xfId="44187" xr:uid="{00000000-0005-0000-0000-0000AF7A0000}"/>
    <cellStyle name="Normal 2 3 5 24" xfId="13147" xr:uid="{00000000-0005-0000-0000-0000B07A0000}"/>
    <cellStyle name="Normal 2 3 5 24 10" xfId="44188" xr:uid="{00000000-0005-0000-0000-0000B17A0000}"/>
    <cellStyle name="Normal 2 3 5 24 11" xfId="44189" xr:uid="{00000000-0005-0000-0000-0000B27A0000}"/>
    <cellStyle name="Normal 2 3 5 24 2" xfId="13148" xr:uid="{00000000-0005-0000-0000-0000B37A0000}"/>
    <cellStyle name="Normal 2 3 5 24 2 10" xfId="44190" xr:uid="{00000000-0005-0000-0000-0000B47A0000}"/>
    <cellStyle name="Normal 2 3 5 24 2 2" xfId="13149" xr:uid="{00000000-0005-0000-0000-0000B57A0000}"/>
    <cellStyle name="Normal 2 3 5 24 2 2 2" xfId="13150" xr:uid="{00000000-0005-0000-0000-0000B67A0000}"/>
    <cellStyle name="Normal 2 3 5 24 2 2 2 2" xfId="13151" xr:uid="{00000000-0005-0000-0000-0000B77A0000}"/>
    <cellStyle name="Normal 2 3 5 24 2 2 2 2 2" xfId="44191" xr:uid="{00000000-0005-0000-0000-0000B87A0000}"/>
    <cellStyle name="Normal 2 3 5 24 2 2 2 3" xfId="13152" xr:uid="{00000000-0005-0000-0000-0000B97A0000}"/>
    <cellStyle name="Normal 2 3 5 24 2 2 2 3 2" xfId="44192" xr:uid="{00000000-0005-0000-0000-0000BA7A0000}"/>
    <cellStyle name="Normal 2 3 5 24 2 2 2 4" xfId="44193" xr:uid="{00000000-0005-0000-0000-0000BB7A0000}"/>
    <cellStyle name="Normal 2 3 5 24 2 2 3" xfId="13153" xr:uid="{00000000-0005-0000-0000-0000BC7A0000}"/>
    <cellStyle name="Normal 2 3 5 24 2 2 3 2" xfId="44194" xr:uid="{00000000-0005-0000-0000-0000BD7A0000}"/>
    <cellStyle name="Normal 2 3 5 24 2 2 4" xfId="13154" xr:uid="{00000000-0005-0000-0000-0000BE7A0000}"/>
    <cellStyle name="Normal 2 3 5 24 2 2 4 2" xfId="44195" xr:uid="{00000000-0005-0000-0000-0000BF7A0000}"/>
    <cellStyle name="Normal 2 3 5 24 2 2 5" xfId="13155" xr:uid="{00000000-0005-0000-0000-0000C07A0000}"/>
    <cellStyle name="Normal 2 3 5 24 2 2 5 2" xfId="44196" xr:uid="{00000000-0005-0000-0000-0000C17A0000}"/>
    <cellStyle name="Normal 2 3 5 24 2 2 6" xfId="44197" xr:uid="{00000000-0005-0000-0000-0000C27A0000}"/>
    <cellStyle name="Normal 2 3 5 24 2 2 6 2" xfId="44198" xr:uid="{00000000-0005-0000-0000-0000C37A0000}"/>
    <cellStyle name="Normal 2 3 5 24 2 2 7" xfId="44199" xr:uid="{00000000-0005-0000-0000-0000C47A0000}"/>
    <cellStyle name="Normal 2 3 5 24 2 3" xfId="13156" xr:uid="{00000000-0005-0000-0000-0000C57A0000}"/>
    <cellStyle name="Normal 2 3 5 24 2 3 2" xfId="13157" xr:uid="{00000000-0005-0000-0000-0000C67A0000}"/>
    <cellStyle name="Normal 2 3 5 24 2 3 2 2" xfId="44200" xr:uid="{00000000-0005-0000-0000-0000C77A0000}"/>
    <cellStyle name="Normal 2 3 5 24 2 3 3" xfId="13158" xr:uid="{00000000-0005-0000-0000-0000C87A0000}"/>
    <cellStyle name="Normal 2 3 5 24 2 3 3 2" xfId="44201" xr:uid="{00000000-0005-0000-0000-0000C97A0000}"/>
    <cellStyle name="Normal 2 3 5 24 2 3 4" xfId="44202" xr:uid="{00000000-0005-0000-0000-0000CA7A0000}"/>
    <cellStyle name="Normal 2 3 5 24 2 4" xfId="13159" xr:uid="{00000000-0005-0000-0000-0000CB7A0000}"/>
    <cellStyle name="Normal 2 3 5 24 2 4 2" xfId="13160" xr:uid="{00000000-0005-0000-0000-0000CC7A0000}"/>
    <cellStyle name="Normal 2 3 5 24 2 4 2 2" xfId="44203" xr:uid="{00000000-0005-0000-0000-0000CD7A0000}"/>
    <cellStyle name="Normal 2 3 5 24 2 4 3" xfId="44204" xr:uid="{00000000-0005-0000-0000-0000CE7A0000}"/>
    <cellStyle name="Normal 2 3 5 24 2 5" xfId="13161" xr:uid="{00000000-0005-0000-0000-0000CF7A0000}"/>
    <cellStyle name="Normal 2 3 5 24 2 5 2" xfId="44205" xr:uid="{00000000-0005-0000-0000-0000D07A0000}"/>
    <cellStyle name="Normal 2 3 5 24 2 6" xfId="13162" xr:uid="{00000000-0005-0000-0000-0000D17A0000}"/>
    <cellStyle name="Normal 2 3 5 24 2 6 2" xfId="44206" xr:uid="{00000000-0005-0000-0000-0000D27A0000}"/>
    <cellStyle name="Normal 2 3 5 24 2 7" xfId="44207" xr:uid="{00000000-0005-0000-0000-0000D37A0000}"/>
    <cellStyle name="Normal 2 3 5 24 2 7 2" xfId="44208" xr:uid="{00000000-0005-0000-0000-0000D47A0000}"/>
    <cellStyle name="Normal 2 3 5 24 2 8" xfId="44209" xr:uid="{00000000-0005-0000-0000-0000D57A0000}"/>
    <cellStyle name="Normal 2 3 5 24 2 9" xfId="44210" xr:uid="{00000000-0005-0000-0000-0000D67A0000}"/>
    <cellStyle name="Normal 2 3 5 24 3" xfId="13163" xr:uid="{00000000-0005-0000-0000-0000D77A0000}"/>
    <cellStyle name="Normal 2 3 5 24 3 2" xfId="13164" xr:uid="{00000000-0005-0000-0000-0000D87A0000}"/>
    <cellStyle name="Normal 2 3 5 24 3 2 2" xfId="13165" xr:uid="{00000000-0005-0000-0000-0000D97A0000}"/>
    <cellStyle name="Normal 2 3 5 24 3 2 2 2" xfId="44211" xr:uid="{00000000-0005-0000-0000-0000DA7A0000}"/>
    <cellStyle name="Normal 2 3 5 24 3 2 3" xfId="13166" xr:uid="{00000000-0005-0000-0000-0000DB7A0000}"/>
    <cellStyle name="Normal 2 3 5 24 3 2 3 2" xfId="44212" xr:uid="{00000000-0005-0000-0000-0000DC7A0000}"/>
    <cellStyle name="Normal 2 3 5 24 3 2 4" xfId="44213" xr:uid="{00000000-0005-0000-0000-0000DD7A0000}"/>
    <cellStyle name="Normal 2 3 5 24 3 3" xfId="13167" xr:uid="{00000000-0005-0000-0000-0000DE7A0000}"/>
    <cellStyle name="Normal 2 3 5 24 3 3 2" xfId="44214" xr:uid="{00000000-0005-0000-0000-0000DF7A0000}"/>
    <cellStyle name="Normal 2 3 5 24 3 4" xfId="13168" xr:uid="{00000000-0005-0000-0000-0000E07A0000}"/>
    <cellStyle name="Normal 2 3 5 24 3 4 2" xfId="44215" xr:uid="{00000000-0005-0000-0000-0000E17A0000}"/>
    <cellStyle name="Normal 2 3 5 24 3 5" xfId="13169" xr:uid="{00000000-0005-0000-0000-0000E27A0000}"/>
    <cellStyle name="Normal 2 3 5 24 3 5 2" xfId="44216" xr:uid="{00000000-0005-0000-0000-0000E37A0000}"/>
    <cellStyle name="Normal 2 3 5 24 3 6" xfId="44217" xr:uid="{00000000-0005-0000-0000-0000E47A0000}"/>
    <cellStyle name="Normal 2 3 5 24 3 6 2" xfId="44218" xr:uid="{00000000-0005-0000-0000-0000E57A0000}"/>
    <cellStyle name="Normal 2 3 5 24 3 7" xfId="44219" xr:uid="{00000000-0005-0000-0000-0000E67A0000}"/>
    <cellStyle name="Normal 2 3 5 24 4" xfId="13170" xr:uid="{00000000-0005-0000-0000-0000E77A0000}"/>
    <cellStyle name="Normal 2 3 5 24 4 2" xfId="13171" xr:uid="{00000000-0005-0000-0000-0000E87A0000}"/>
    <cellStyle name="Normal 2 3 5 24 4 2 2" xfId="44220" xr:uid="{00000000-0005-0000-0000-0000E97A0000}"/>
    <cellStyle name="Normal 2 3 5 24 4 3" xfId="13172" xr:uid="{00000000-0005-0000-0000-0000EA7A0000}"/>
    <cellStyle name="Normal 2 3 5 24 4 3 2" xfId="44221" xr:uid="{00000000-0005-0000-0000-0000EB7A0000}"/>
    <cellStyle name="Normal 2 3 5 24 4 4" xfId="44222" xr:uid="{00000000-0005-0000-0000-0000EC7A0000}"/>
    <cellStyle name="Normal 2 3 5 24 5" xfId="13173" xr:uid="{00000000-0005-0000-0000-0000ED7A0000}"/>
    <cellStyle name="Normal 2 3 5 24 5 2" xfId="13174" xr:uid="{00000000-0005-0000-0000-0000EE7A0000}"/>
    <cellStyle name="Normal 2 3 5 24 5 2 2" xfId="44223" xr:uid="{00000000-0005-0000-0000-0000EF7A0000}"/>
    <cellStyle name="Normal 2 3 5 24 5 3" xfId="44224" xr:uid="{00000000-0005-0000-0000-0000F07A0000}"/>
    <cellStyle name="Normal 2 3 5 24 6" xfId="13175" xr:uid="{00000000-0005-0000-0000-0000F17A0000}"/>
    <cellStyle name="Normal 2 3 5 24 6 2" xfId="44225" xr:uid="{00000000-0005-0000-0000-0000F27A0000}"/>
    <cellStyle name="Normal 2 3 5 24 7" xfId="13176" xr:uid="{00000000-0005-0000-0000-0000F37A0000}"/>
    <cellStyle name="Normal 2 3 5 24 7 2" xfId="44226" xr:uid="{00000000-0005-0000-0000-0000F47A0000}"/>
    <cellStyle name="Normal 2 3 5 24 8" xfId="44227" xr:uid="{00000000-0005-0000-0000-0000F57A0000}"/>
    <cellStyle name="Normal 2 3 5 24 8 2" xfId="44228" xr:uid="{00000000-0005-0000-0000-0000F67A0000}"/>
    <cellStyle name="Normal 2 3 5 24 9" xfId="44229" xr:uid="{00000000-0005-0000-0000-0000F77A0000}"/>
    <cellStyle name="Normal 2 3 5 25" xfId="13177" xr:uid="{00000000-0005-0000-0000-0000F87A0000}"/>
    <cellStyle name="Normal 2 3 5 25 10" xfId="44230" xr:uid="{00000000-0005-0000-0000-0000F97A0000}"/>
    <cellStyle name="Normal 2 3 5 25 11" xfId="44231" xr:uid="{00000000-0005-0000-0000-0000FA7A0000}"/>
    <cellStyle name="Normal 2 3 5 25 2" xfId="13178" xr:uid="{00000000-0005-0000-0000-0000FB7A0000}"/>
    <cellStyle name="Normal 2 3 5 25 2 10" xfId="44232" xr:uid="{00000000-0005-0000-0000-0000FC7A0000}"/>
    <cellStyle name="Normal 2 3 5 25 2 2" xfId="13179" xr:uid="{00000000-0005-0000-0000-0000FD7A0000}"/>
    <cellStyle name="Normal 2 3 5 25 2 2 2" xfId="13180" xr:uid="{00000000-0005-0000-0000-0000FE7A0000}"/>
    <cellStyle name="Normal 2 3 5 25 2 2 2 2" xfId="13181" xr:uid="{00000000-0005-0000-0000-0000FF7A0000}"/>
    <cellStyle name="Normal 2 3 5 25 2 2 2 2 2" xfId="44233" xr:uid="{00000000-0005-0000-0000-0000007B0000}"/>
    <cellStyle name="Normal 2 3 5 25 2 2 2 3" xfId="13182" xr:uid="{00000000-0005-0000-0000-0000017B0000}"/>
    <cellStyle name="Normal 2 3 5 25 2 2 2 3 2" xfId="44234" xr:uid="{00000000-0005-0000-0000-0000027B0000}"/>
    <cellStyle name="Normal 2 3 5 25 2 2 2 4" xfId="44235" xr:uid="{00000000-0005-0000-0000-0000037B0000}"/>
    <cellStyle name="Normal 2 3 5 25 2 2 3" xfId="13183" xr:uid="{00000000-0005-0000-0000-0000047B0000}"/>
    <cellStyle name="Normal 2 3 5 25 2 2 3 2" xfId="44236" xr:uid="{00000000-0005-0000-0000-0000057B0000}"/>
    <cellStyle name="Normal 2 3 5 25 2 2 4" xfId="13184" xr:uid="{00000000-0005-0000-0000-0000067B0000}"/>
    <cellStyle name="Normal 2 3 5 25 2 2 4 2" xfId="44237" xr:uid="{00000000-0005-0000-0000-0000077B0000}"/>
    <cellStyle name="Normal 2 3 5 25 2 2 5" xfId="13185" xr:uid="{00000000-0005-0000-0000-0000087B0000}"/>
    <cellStyle name="Normal 2 3 5 25 2 2 5 2" xfId="44238" xr:uid="{00000000-0005-0000-0000-0000097B0000}"/>
    <cellStyle name="Normal 2 3 5 25 2 2 6" xfId="44239" xr:uid="{00000000-0005-0000-0000-00000A7B0000}"/>
    <cellStyle name="Normal 2 3 5 25 2 2 6 2" xfId="44240" xr:uid="{00000000-0005-0000-0000-00000B7B0000}"/>
    <cellStyle name="Normal 2 3 5 25 2 2 7" xfId="44241" xr:uid="{00000000-0005-0000-0000-00000C7B0000}"/>
    <cellStyle name="Normal 2 3 5 25 2 3" xfId="13186" xr:uid="{00000000-0005-0000-0000-00000D7B0000}"/>
    <cellStyle name="Normal 2 3 5 25 2 3 2" xfId="13187" xr:uid="{00000000-0005-0000-0000-00000E7B0000}"/>
    <cellStyle name="Normal 2 3 5 25 2 3 2 2" xfId="44242" xr:uid="{00000000-0005-0000-0000-00000F7B0000}"/>
    <cellStyle name="Normal 2 3 5 25 2 3 3" xfId="13188" xr:uid="{00000000-0005-0000-0000-0000107B0000}"/>
    <cellStyle name="Normal 2 3 5 25 2 3 3 2" xfId="44243" xr:uid="{00000000-0005-0000-0000-0000117B0000}"/>
    <cellStyle name="Normal 2 3 5 25 2 3 4" xfId="44244" xr:uid="{00000000-0005-0000-0000-0000127B0000}"/>
    <cellStyle name="Normal 2 3 5 25 2 4" xfId="13189" xr:uid="{00000000-0005-0000-0000-0000137B0000}"/>
    <cellStyle name="Normal 2 3 5 25 2 4 2" xfId="13190" xr:uid="{00000000-0005-0000-0000-0000147B0000}"/>
    <cellStyle name="Normal 2 3 5 25 2 4 2 2" xfId="44245" xr:uid="{00000000-0005-0000-0000-0000157B0000}"/>
    <cellStyle name="Normal 2 3 5 25 2 4 3" xfId="44246" xr:uid="{00000000-0005-0000-0000-0000167B0000}"/>
    <cellStyle name="Normal 2 3 5 25 2 5" xfId="13191" xr:uid="{00000000-0005-0000-0000-0000177B0000}"/>
    <cellStyle name="Normal 2 3 5 25 2 5 2" xfId="44247" xr:uid="{00000000-0005-0000-0000-0000187B0000}"/>
    <cellStyle name="Normal 2 3 5 25 2 6" xfId="13192" xr:uid="{00000000-0005-0000-0000-0000197B0000}"/>
    <cellStyle name="Normal 2 3 5 25 2 6 2" xfId="44248" xr:uid="{00000000-0005-0000-0000-00001A7B0000}"/>
    <cellStyle name="Normal 2 3 5 25 2 7" xfId="44249" xr:uid="{00000000-0005-0000-0000-00001B7B0000}"/>
    <cellStyle name="Normal 2 3 5 25 2 7 2" xfId="44250" xr:uid="{00000000-0005-0000-0000-00001C7B0000}"/>
    <cellStyle name="Normal 2 3 5 25 2 8" xfId="44251" xr:uid="{00000000-0005-0000-0000-00001D7B0000}"/>
    <cellStyle name="Normal 2 3 5 25 2 9" xfId="44252" xr:uid="{00000000-0005-0000-0000-00001E7B0000}"/>
    <cellStyle name="Normal 2 3 5 25 3" xfId="13193" xr:uid="{00000000-0005-0000-0000-00001F7B0000}"/>
    <cellStyle name="Normal 2 3 5 25 3 2" xfId="13194" xr:uid="{00000000-0005-0000-0000-0000207B0000}"/>
    <cellStyle name="Normal 2 3 5 25 3 2 2" xfId="13195" xr:uid="{00000000-0005-0000-0000-0000217B0000}"/>
    <cellStyle name="Normal 2 3 5 25 3 2 2 2" xfId="44253" xr:uid="{00000000-0005-0000-0000-0000227B0000}"/>
    <cellStyle name="Normal 2 3 5 25 3 2 3" xfId="13196" xr:uid="{00000000-0005-0000-0000-0000237B0000}"/>
    <cellStyle name="Normal 2 3 5 25 3 2 3 2" xfId="44254" xr:uid="{00000000-0005-0000-0000-0000247B0000}"/>
    <cellStyle name="Normal 2 3 5 25 3 2 4" xfId="44255" xr:uid="{00000000-0005-0000-0000-0000257B0000}"/>
    <cellStyle name="Normal 2 3 5 25 3 3" xfId="13197" xr:uid="{00000000-0005-0000-0000-0000267B0000}"/>
    <cellStyle name="Normal 2 3 5 25 3 3 2" xfId="44256" xr:uid="{00000000-0005-0000-0000-0000277B0000}"/>
    <cellStyle name="Normal 2 3 5 25 3 4" xfId="13198" xr:uid="{00000000-0005-0000-0000-0000287B0000}"/>
    <cellStyle name="Normal 2 3 5 25 3 4 2" xfId="44257" xr:uid="{00000000-0005-0000-0000-0000297B0000}"/>
    <cellStyle name="Normal 2 3 5 25 3 5" xfId="13199" xr:uid="{00000000-0005-0000-0000-00002A7B0000}"/>
    <cellStyle name="Normal 2 3 5 25 3 5 2" xfId="44258" xr:uid="{00000000-0005-0000-0000-00002B7B0000}"/>
    <cellStyle name="Normal 2 3 5 25 3 6" xfId="44259" xr:uid="{00000000-0005-0000-0000-00002C7B0000}"/>
    <cellStyle name="Normal 2 3 5 25 3 6 2" xfId="44260" xr:uid="{00000000-0005-0000-0000-00002D7B0000}"/>
    <cellStyle name="Normal 2 3 5 25 3 7" xfId="44261" xr:uid="{00000000-0005-0000-0000-00002E7B0000}"/>
    <cellStyle name="Normal 2 3 5 25 4" xfId="13200" xr:uid="{00000000-0005-0000-0000-00002F7B0000}"/>
    <cellStyle name="Normal 2 3 5 25 4 2" xfId="13201" xr:uid="{00000000-0005-0000-0000-0000307B0000}"/>
    <cellStyle name="Normal 2 3 5 25 4 2 2" xfId="44262" xr:uid="{00000000-0005-0000-0000-0000317B0000}"/>
    <cellStyle name="Normal 2 3 5 25 4 3" xfId="13202" xr:uid="{00000000-0005-0000-0000-0000327B0000}"/>
    <cellStyle name="Normal 2 3 5 25 4 3 2" xfId="44263" xr:uid="{00000000-0005-0000-0000-0000337B0000}"/>
    <cellStyle name="Normal 2 3 5 25 4 4" xfId="44264" xr:uid="{00000000-0005-0000-0000-0000347B0000}"/>
    <cellStyle name="Normal 2 3 5 25 5" xfId="13203" xr:uid="{00000000-0005-0000-0000-0000357B0000}"/>
    <cellStyle name="Normal 2 3 5 25 5 2" xfId="13204" xr:uid="{00000000-0005-0000-0000-0000367B0000}"/>
    <cellStyle name="Normal 2 3 5 25 5 2 2" xfId="44265" xr:uid="{00000000-0005-0000-0000-0000377B0000}"/>
    <cellStyle name="Normal 2 3 5 25 5 3" xfId="44266" xr:uid="{00000000-0005-0000-0000-0000387B0000}"/>
    <cellStyle name="Normal 2 3 5 25 6" xfId="13205" xr:uid="{00000000-0005-0000-0000-0000397B0000}"/>
    <cellStyle name="Normal 2 3 5 25 6 2" xfId="44267" xr:uid="{00000000-0005-0000-0000-00003A7B0000}"/>
    <cellStyle name="Normal 2 3 5 25 7" xfId="13206" xr:uid="{00000000-0005-0000-0000-00003B7B0000}"/>
    <cellStyle name="Normal 2 3 5 25 7 2" xfId="44268" xr:uid="{00000000-0005-0000-0000-00003C7B0000}"/>
    <cellStyle name="Normal 2 3 5 25 8" xfId="44269" xr:uid="{00000000-0005-0000-0000-00003D7B0000}"/>
    <cellStyle name="Normal 2 3 5 25 8 2" xfId="44270" xr:uid="{00000000-0005-0000-0000-00003E7B0000}"/>
    <cellStyle name="Normal 2 3 5 25 9" xfId="44271" xr:uid="{00000000-0005-0000-0000-00003F7B0000}"/>
    <cellStyle name="Normal 2 3 5 26" xfId="13207" xr:uid="{00000000-0005-0000-0000-0000407B0000}"/>
    <cellStyle name="Normal 2 3 5 26 10" xfId="44272" xr:uid="{00000000-0005-0000-0000-0000417B0000}"/>
    <cellStyle name="Normal 2 3 5 26 11" xfId="44273" xr:uid="{00000000-0005-0000-0000-0000427B0000}"/>
    <cellStyle name="Normal 2 3 5 26 2" xfId="13208" xr:uid="{00000000-0005-0000-0000-0000437B0000}"/>
    <cellStyle name="Normal 2 3 5 26 2 10" xfId="44274" xr:uid="{00000000-0005-0000-0000-0000447B0000}"/>
    <cellStyle name="Normal 2 3 5 26 2 2" xfId="13209" xr:uid="{00000000-0005-0000-0000-0000457B0000}"/>
    <cellStyle name="Normal 2 3 5 26 2 2 2" xfId="13210" xr:uid="{00000000-0005-0000-0000-0000467B0000}"/>
    <cellStyle name="Normal 2 3 5 26 2 2 2 2" xfId="13211" xr:uid="{00000000-0005-0000-0000-0000477B0000}"/>
    <cellStyle name="Normal 2 3 5 26 2 2 2 2 2" xfId="44275" xr:uid="{00000000-0005-0000-0000-0000487B0000}"/>
    <cellStyle name="Normal 2 3 5 26 2 2 2 3" xfId="13212" xr:uid="{00000000-0005-0000-0000-0000497B0000}"/>
    <cellStyle name="Normal 2 3 5 26 2 2 2 3 2" xfId="44276" xr:uid="{00000000-0005-0000-0000-00004A7B0000}"/>
    <cellStyle name="Normal 2 3 5 26 2 2 2 4" xfId="44277" xr:uid="{00000000-0005-0000-0000-00004B7B0000}"/>
    <cellStyle name="Normal 2 3 5 26 2 2 3" xfId="13213" xr:uid="{00000000-0005-0000-0000-00004C7B0000}"/>
    <cellStyle name="Normal 2 3 5 26 2 2 3 2" xfId="44278" xr:uid="{00000000-0005-0000-0000-00004D7B0000}"/>
    <cellStyle name="Normal 2 3 5 26 2 2 4" xfId="13214" xr:uid="{00000000-0005-0000-0000-00004E7B0000}"/>
    <cellStyle name="Normal 2 3 5 26 2 2 4 2" xfId="44279" xr:uid="{00000000-0005-0000-0000-00004F7B0000}"/>
    <cellStyle name="Normal 2 3 5 26 2 2 5" xfId="13215" xr:uid="{00000000-0005-0000-0000-0000507B0000}"/>
    <cellStyle name="Normal 2 3 5 26 2 2 5 2" xfId="44280" xr:uid="{00000000-0005-0000-0000-0000517B0000}"/>
    <cellStyle name="Normal 2 3 5 26 2 2 6" xfId="44281" xr:uid="{00000000-0005-0000-0000-0000527B0000}"/>
    <cellStyle name="Normal 2 3 5 26 2 2 6 2" xfId="44282" xr:uid="{00000000-0005-0000-0000-0000537B0000}"/>
    <cellStyle name="Normal 2 3 5 26 2 2 7" xfId="44283" xr:uid="{00000000-0005-0000-0000-0000547B0000}"/>
    <cellStyle name="Normal 2 3 5 26 2 3" xfId="13216" xr:uid="{00000000-0005-0000-0000-0000557B0000}"/>
    <cellStyle name="Normal 2 3 5 26 2 3 2" xfId="13217" xr:uid="{00000000-0005-0000-0000-0000567B0000}"/>
    <cellStyle name="Normal 2 3 5 26 2 3 2 2" xfId="44284" xr:uid="{00000000-0005-0000-0000-0000577B0000}"/>
    <cellStyle name="Normal 2 3 5 26 2 3 3" xfId="13218" xr:uid="{00000000-0005-0000-0000-0000587B0000}"/>
    <cellStyle name="Normal 2 3 5 26 2 3 3 2" xfId="44285" xr:uid="{00000000-0005-0000-0000-0000597B0000}"/>
    <cellStyle name="Normal 2 3 5 26 2 3 4" xfId="44286" xr:uid="{00000000-0005-0000-0000-00005A7B0000}"/>
    <cellStyle name="Normal 2 3 5 26 2 4" xfId="13219" xr:uid="{00000000-0005-0000-0000-00005B7B0000}"/>
    <cellStyle name="Normal 2 3 5 26 2 4 2" xfId="13220" xr:uid="{00000000-0005-0000-0000-00005C7B0000}"/>
    <cellStyle name="Normal 2 3 5 26 2 4 2 2" xfId="44287" xr:uid="{00000000-0005-0000-0000-00005D7B0000}"/>
    <cellStyle name="Normal 2 3 5 26 2 4 3" xfId="44288" xr:uid="{00000000-0005-0000-0000-00005E7B0000}"/>
    <cellStyle name="Normal 2 3 5 26 2 5" xfId="13221" xr:uid="{00000000-0005-0000-0000-00005F7B0000}"/>
    <cellStyle name="Normal 2 3 5 26 2 5 2" xfId="44289" xr:uid="{00000000-0005-0000-0000-0000607B0000}"/>
    <cellStyle name="Normal 2 3 5 26 2 6" xfId="13222" xr:uid="{00000000-0005-0000-0000-0000617B0000}"/>
    <cellStyle name="Normal 2 3 5 26 2 6 2" xfId="44290" xr:uid="{00000000-0005-0000-0000-0000627B0000}"/>
    <cellStyle name="Normal 2 3 5 26 2 7" xfId="44291" xr:uid="{00000000-0005-0000-0000-0000637B0000}"/>
    <cellStyle name="Normal 2 3 5 26 2 7 2" xfId="44292" xr:uid="{00000000-0005-0000-0000-0000647B0000}"/>
    <cellStyle name="Normal 2 3 5 26 2 8" xfId="44293" xr:uid="{00000000-0005-0000-0000-0000657B0000}"/>
    <cellStyle name="Normal 2 3 5 26 2 9" xfId="44294" xr:uid="{00000000-0005-0000-0000-0000667B0000}"/>
    <cellStyle name="Normal 2 3 5 26 3" xfId="13223" xr:uid="{00000000-0005-0000-0000-0000677B0000}"/>
    <cellStyle name="Normal 2 3 5 26 3 2" xfId="13224" xr:uid="{00000000-0005-0000-0000-0000687B0000}"/>
    <cellStyle name="Normal 2 3 5 26 3 2 2" xfId="13225" xr:uid="{00000000-0005-0000-0000-0000697B0000}"/>
    <cellStyle name="Normal 2 3 5 26 3 2 2 2" xfId="44295" xr:uid="{00000000-0005-0000-0000-00006A7B0000}"/>
    <cellStyle name="Normal 2 3 5 26 3 2 3" xfId="13226" xr:uid="{00000000-0005-0000-0000-00006B7B0000}"/>
    <cellStyle name="Normal 2 3 5 26 3 2 3 2" xfId="44296" xr:uid="{00000000-0005-0000-0000-00006C7B0000}"/>
    <cellStyle name="Normal 2 3 5 26 3 2 4" xfId="44297" xr:uid="{00000000-0005-0000-0000-00006D7B0000}"/>
    <cellStyle name="Normal 2 3 5 26 3 3" xfId="13227" xr:uid="{00000000-0005-0000-0000-00006E7B0000}"/>
    <cellStyle name="Normal 2 3 5 26 3 3 2" xfId="44298" xr:uid="{00000000-0005-0000-0000-00006F7B0000}"/>
    <cellStyle name="Normal 2 3 5 26 3 4" xfId="13228" xr:uid="{00000000-0005-0000-0000-0000707B0000}"/>
    <cellStyle name="Normal 2 3 5 26 3 4 2" xfId="44299" xr:uid="{00000000-0005-0000-0000-0000717B0000}"/>
    <cellStyle name="Normal 2 3 5 26 3 5" xfId="13229" xr:uid="{00000000-0005-0000-0000-0000727B0000}"/>
    <cellStyle name="Normal 2 3 5 26 3 5 2" xfId="44300" xr:uid="{00000000-0005-0000-0000-0000737B0000}"/>
    <cellStyle name="Normal 2 3 5 26 3 6" xfId="44301" xr:uid="{00000000-0005-0000-0000-0000747B0000}"/>
    <cellStyle name="Normal 2 3 5 26 3 6 2" xfId="44302" xr:uid="{00000000-0005-0000-0000-0000757B0000}"/>
    <cellStyle name="Normal 2 3 5 26 3 7" xfId="44303" xr:uid="{00000000-0005-0000-0000-0000767B0000}"/>
    <cellStyle name="Normal 2 3 5 26 4" xfId="13230" xr:uid="{00000000-0005-0000-0000-0000777B0000}"/>
    <cellStyle name="Normal 2 3 5 26 4 2" xfId="13231" xr:uid="{00000000-0005-0000-0000-0000787B0000}"/>
    <cellStyle name="Normal 2 3 5 26 4 2 2" xfId="44304" xr:uid="{00000000-0005-0000-0000-0000797B0000}"/>
    <cellStyle name="Normal 2 3 5 26 4 3" xfId="13232" xr:uid="{00000000-0005-0000-0000-00007A7B0000}"/>
    <cellStyle name="Normal 2 3 5 26 4 3 2" xfId="44305" xr:uid="{00000000-0005-0000-0000-00007B7B0000}"/>
    <cellStyle name="Normal 2 3 5 26 4 4" xfId="44306" xr:uid="{00000000-0005-0000-0000-00007C7B0000}"/>
    <cellStyle name="Normal 2 3 5 26 5" xfId="13233" xr:uid="{00000000-0005-0000-0000-00007D7B0000}"/>
    <cellStyle name="Normal 2 3 5 26 5 2" xfId="13234" xr:uid="{00000000-0005-0000-0000-00007E7B0000}"/>
    <cellStyle name="Normal 2 3 5 26 5 2 2" xfId="44307" xr:uid="{00000000-0005-0000-0000-00007F7B0000}"/>
    <cellStyle name="Normal 2 3 5 26 5 3" xfId="44308" xr:uid="{00000000-0005-0000-0000-0000807B0000}"/>
    <cellStyle name="Normal 2 3 5 26 6" xfId="13235" xr:uid="{00000000-0005-0000-0000-0000817B0000}"/>
    <cellStyle name="Normal 2 3 5 26 6 2" xfId="44309" xr:uid="{00000000-0005-0000-0000-0000827B0000}"/>
    <cellStyle name="Normal 2 3 5 26 7" xfId="13236" xr:uid="{00000000-0005-0000-0000-0000837B0000}"/>
    <cellStyle name="Normal 2 3 5 26 7 2" xfId="44310" xr:uid="{00000000-0005-0000-0000-0000847B0000}"/>
    <cellStyle name="Normal 2 3 5 26 8" xfId="44311" xr:uid="{00000000-0005-0000-0000-0000857B0000}"/>
    <cellStyle name="Normal 2 3 5 26 8 2" xfId="44312" xr:uid="{00000000-0005-0000-0000-0000867B0000}"/>
    <cellStyle name="Normal 2 3 5 26 9" xfId="44313" xr:uid="{00000000-0005-0000-0000-0000877B0000}"/>
    <cellStyle name="Normal 2 3 5 27" xfId="13237" xr:uid="{00000000-0005-0000-0000-0000887B0000}"/>
    <cellStyle name="Normal 2 3 5 27 10" xfId="44314" xr:uid="{00000000-0005-0000-0000-0000897B0000}"/>
    <cellStyle name="Normal 2 3 5 27 11" xfId="44315" xr:uid="{00000000-0005-0000-0000-00008A7B0000}"/>
    <cellStyle name="Normal 2 3 5 27 2" xfId="13238" xr:uid="{00000000-0005-0000-0000-00008B7B0000}"/>
    <cellStyle name="Normal 2 3 5 27 2 10" xfId="44316" xr:uid="{00000000-0005-0000-0000-00008C7B0000}"/>
    <cellStyle name="Normal 2 3 5 27 2 2" xfId="13239" xr:uid="{00000000-0005-0000-0000-00008D7B0000}"/>
    <cellStyle name="Normal 2 3 5 27 2 2 2" xfId="13240" xr:uid="{00000000-0005-0000-0000-00008E7B0000}"/>
    <cellStyle name="Normal 2 3 5 27 2 2 2 2" xfId="13241" xr:uid="{00000000-0005-0000-0000-00008F7B0000}"/>
    <cellStyle name="Normal 2 3 5 27 2 2 2 2 2" xfId="44317" xr:uid="{00000000-0005-0000-0000-0000907B0000}"/>
    <cellStyle name="Normal 2 3 5 27 2 2 2 3" xfId="13242" xr:uid="{00000000-0005-0000-0000-0000917B0000}"/>
    <cellStyle name="Normal 2 3 5 27 2 2 2 3 2" xfId="44318" xr:uid="{00000000-0005-0000-0000-0000927B0000}"/>
    <cellStyle name="Normal 2 3 5 27 2 2 2 4" xfId="44319" xr:uid="{00000000-0005-0000-0000-0000937B0000}"/>
    <cellStyle name="Normal 2 3 5 27 2 2 3" xfId="13243" xr:uid="{00000000-0005-0000-0000-0000947B0000}"/>
    <cellStyle name="Normal 2 3 5 27 2 2 3 2" xfId="44320" xr:uid="{00000000-0005-0000-0000-0000957B0000}"/>
    <cellStyle name="Normal 2 3 5 27 2 2 4" xfId="13244" xr:uid="{00000000-0005-0000-0000-0000967B0000}"/>
    <cellStyle name="Normal 2 3 5 27 2 2 4 2" xfId="44321" xr:uid="{00000000-0005-0000-0000-0000977B0000}"/>
    <cellStyle name="Normal 2 3 5 27 2 2 5" xfId="13245" xr:uid="{00000000-0005-0000-0000-0000987B0000}"/>
    <cellStyle name="Normal 2 3 5 27 2 2 5 2" xfId="44322" xr:uid="{00000000-0005-0000-0000-0000997B0000}"/>
    <cellStyle name="Normal 2 3 5 27 2 2 6" xfId="44323" xr:uid="{00000000-0005-0000-0000-00009A7B0000}"/>
    <cellStyle name="Normal 2 3 5 27 2 2 6 2" xfId="44324" xr:uid="{00000000-0005-0000-0000-00009B7B0000}"/>
    <cellStyle name="Normal 2 3 5 27 2 2 7" xfId="44325" xr:uid="{00000000-0005-0000-0000-00009C7B0000}"/>
    <cellStyle name="Normal 2 3 5 27 2 3" xfId="13246" xr:uid="{00000000-0005-0000-0000-00009D7B0000}"/>
    <cellStyle name="Normal 2 3 5 27 2 3 2" xfId="13247" xr:uid="{00000000-0005-0000-0000-00009E7B0000}"/>
    <cellStyle name="Normal 2 3 5 27 2 3 2 2" xfId="44326" xr:uid="{00000000-0005-0000-0000-00009F7B0000}"/>
    <cellStyle name="Normal 2 3 5 27 2 3 3" xfId="13248" xr:uid="{00000000-0005-0000-0000-0000A07B0000}"/>
    <cellStyle name="Normal 2 3 5 27 2 3 3 2" xfId="44327" xr:uid="{00000000-0005-0000-0000-0000A17B0000}"/>
    <cellStyle name="Normal 2 3 5 27 2 3 4" xfId="44328" xr:uid="{00000000-0005-0000-0000-0000A27B0000}"/>
    <cellStyle name="Normal 2 3 5 27 2 4" xfId="13249" xr:uid="{00000000-0005-0000-0000-0000A37B0000}"/>
    <cellStyle name="Normal 2 3 5 27 2 4 2" xfId="13250" xr:uid="{00000000-0005-0000-0000-0000A47B0000}"/>
    <cellStyle name="Normal 2 3 5 27 2 4 2 2" xfId="44329" xr:uid="{00000000-0005-0000-0000-0000A57B0000}"/>
    <cellStyle name="Normal 2 3 5 27 2 4 3" xfId="44330" xr:uid="{00000000-0005-0000-0000-0000A67B0000}"/>
    <cellStyle name="Normal 2 3 5 27 2 5" xfId="13251" xr:uid="{00000000-0005-0000-0000-0000A77B0000}"/>
    <cellStyle name="Normal 2 3 5 27 2 5 2" xfId="44331" xr:uid="{00000000-0005-0000-0000-0000A87B0000}"/>
    <cellStyle name="Normal 2 3 5 27 2 6" xfId="13252" xr:uid="{00000000-0005-0000-0000-0000A97B0000}"/>
    <cellStyle name="Normal 2 3 5 27 2 6 2" xfId="44332" xr:uid="{00000000-0005-0000-0000-0000AA7B0000}"/>
    <cellStyle name="Normal 2 3 5 27 2 7" xfId="44333" xr:uid="{00000000-0005-0000-0000-0000AB7B0000}"/>
    <cellStyle name="Normal 2 3 5 27 2 7 2" xfId="44334" xr:uid="{00000000-0005-0000-0000-0000AC7B0000}"/>
    <cellStyle name="Normal 2 3 5 27 2 8" xfId="44335" xr:uid="{00000000-0005-0000-0000-0000AD7B0000}"/>
    <cellStyle name="Normal 2 3 5 27 2 9" xfId="44336" xr:uid="{00000000-0005-0000-0000-0000AE7B0000}"/>
    <cellStyle name="Normal 2 3 5 27 3" xfId="13253" xr:uid="{00000000-0005-0000-0000-0000AF7B0000}"/>
    <cellStyle name="Normal 2 3 5 27 3 2" xfId="13254" xr:uid="{00000000-0005-0000-0000-0000B07B0000}"/>
    <cellStyle name="Normal 2 3 5 27 3 2 2" xfId="13255" xr:uid="{00000000-0005-0000-0000-0000B17B0000}"/>
    <cellStyle name="Normal 2 3 5 27 3 2 2 2" xfId="44337" xr:uid="{00000000-0005-0000-0000-0000B27B0000}"/>
    <cellStyle name="Normal 2 3 5 27 3 2 3" xfId="13256" xr:uid="{00000000-0005-0000-0000-0000B37B0000}"/>
    <cellStyle name="Normal 2 3 5 27 3 2 3 2" xfId="44338" xr:uid="{00000000-0005-0000-0000-0000B47B0000}"/>
    <cellStyle name="Normal 2 3 5 27 3 2 4" xfId="44339" xr:uid="{00000000-0005-0000-0000-0000B57B0000}"/>
    <cellStyle name="Normal 2 3 5 27 3 3" xfId="13257" xr:uid="{00000000-0005-0000-0000-0000B67B0000}"/>
    <cellStyle name="Normal 2 3 5 27 3 3 2" xfId="44340" xr:uid="{00000000-0005-0000-0000-0000B77B0000}"/>
    <cellStyle name="Normal 2 3 5 27 3 4" xfId="13258" xr:uid="{00000000-0005-0000-0000-0000B87B0000}"/>
    <cellStyle name="Normal 2 3 5 27 3 4 2" xfId="44341" xr:uid="{00000000-0005-0000-0000-0000B97B0000}"/>
    <cellStyle name="Normal 2 3 5 27 3 5" xfId="13259" xr:uid="{00000000-0005-0000-0000-0000BA7B0000}"/>
    <cellStyle name="Normal 2 3 5 27 3 5 2" xfId="44342" xr:uid="{00000000-0005-0000-0000-0000BB7B0000}"/>
    <cellStyle name="Normal 2 3 5 27 3 6" xfId="44343" xr:uid="{00000000-0005-0000-0000-0000BC7B0000}"/>
    <cellStyle name="Normal 2 3 5 27 3 6 2" xfId="44344" xr:uid="{00000000-0005-0000-0000-0000BD7B0000}"/>
    <cellStyle name="Normal 2 3 5 27 3 7" xfId="44345" xr:uid="{00000000-0005-0000-0000-0000BE7B0000}"/>
    <cellStyle name="Normal 2 3 5 27 4" xfId="13260" xr:uid="{00000000-0005-0000-0000-0000BF7B0000}"/>
    <cellStyle name="Normal 2 3 5 27 4 2" xfId="13261" xr:uid="{00000000-0005-0000-0000-0000C07B0000}"/>
    <cellStyle name="Normal 2 3 5 27 4 2 2" xfId="44346" xr:uid="{00000000-0005-0000-0000-0000C17B0000}"/>
    <cellStyle name="Normal 2 3 5 27 4 3" xfId="13262" xr:uid="{00000000-0005-0000-0000-0000C27B0000}"/>
    <cellStyle name="Normal 2 3 5 27 4 3 2" xfId="44347" xr:uid="{00000000-0005-0000-0000-0000C37B0000}"/>
    <cellStyle name="Normal 2 3 5 27 4 4" xfId="44348" xr:uid="{00000000-0005-0000-0000-0000C47B0000}"/>
    <cellStyle name="Normal 2 3 5 27 5" xfId="13263" xr:uid="{00000000-0005-0000-0000-0000C57B0000}"/>
    <cellStyle name="Normal 2 3 5 27 5 2" xfId="13264" xr:uid="{00000000-0005-0000-0000-0000C67B0000}"/>
    <cellStyle name="Normal 2 3 5 27 5 2 2" xfId="44349" xr:uid="{00000000-0005-0000-0000-0000C77B0000}"/>
    <cellStyle name="Normal 2 3 5 27 5 3" xfId="44350" xr:uid="{00000000-0005-0000-0000-0000C87B0000}"/>
    <cellStyle name="Normal 2 3 5 27 6" xfId="13265" xr:uid="{00000000-0005-0000-0000-0000C97B0000}"/>
    <cellStyle name="Normal 2 3 5 27 6 2" xfId="44351" xr:uid="{00000000-0005-0000-0000-0000CA7B0000}"/>
    <cellStyle name="Normal 2 3 5 27 7" xfId="13266" xr:uid="{00000000-0005-0000-0000-0000CB7B0000}"/>
    <cellStyle name="Normal 2 3 5 27 7 2" xfId="44352" xr:uid="{00000000-0005-0000-0000-0000CC7B0000}"/>
    <cellStyle name="Normal 2 3 5 27 8" xfId="44353" xr:uid="{00000000-0005-0000-0000-0000CD7B0000}"/>
    <cellStyle name="Normal 2 3 5 27 8 2" xfId="44354" xr:uid="{00000000-0005-0000-0000-0000CE7B0000}"/>
    <cellStyle name="Normal 2 3 5 27 9" xfId="44355" xr:uid="{00000000-0005-0000-0000-0000CF7B0000}"/>
    <cellStyle name="Normal 2 3 5 28" xfId="13267" xr:uid="{00000000-0005-0000-0000-0000D07B0000}"/>
    <cellStyle name="Normal 2 3 5 28 10" xfId="44356" xr:uid="{00000000-0005-0000-0000-0000D17B0000}"/>
    <cellStyle name="Normal 2 3 5 28 11" xfId="44357" xr:uid="{00000000-0005-0000-0000-0000D27B0000}"/>
    <cellStyle name="Normal 2 3 5 28 2" xfId="13268" xr:uid="{00000000-0005-0000-0000-0000D37B0000}"/>
    <cellStyle name="Normal 2 3 5 28 2 10" xfId="44358" xr:uid="{00000000-0005-0000-0000-0000D47B0000}"/>
    <cellStyle name="Normal 2 3 5 28 2 2" xfId="13269" xr:uid="{00000000-0005-0000-0000-0000D57B0000}"/>
    <cellStyle name="Normal 2 3 5 28 2 2 2" xfId="13270" xr:uid="{00000000-0005-0000-0000-0000D67B0000}"/>
    <cellStyle name="Normal 2 3 5 28 2 2 2 2" xfId="13271" xr:uid="{00000000-0005-0000-0000-0000D77B0000}"/>
    <cellStyle name="Normal 2 3 5 28 2 2 2 2 2" xfId="44359" xr:uid="{00000000-0005-0000-0000-0000D87B0000}"/>
    <cellStyle name="Normal 2 3 5 28 2 2 2 3" xfId="13272" xr:uid="{00000000-0005-0000-0000-0000D97B0000}"/>
    <cellStyle name="Normal 2 3 5 28 2 2 2 3 2" xfId="44360" xr:uid="{00000000-0005-0000-0000-0000DA7B0000}"/>
    <cellStyle name="Normal 2 3 5 28 2 2 2 4" xfId="44361" xr:uid="{00000000-0005-0000-0000-0000DB7B0000}"/>
    <cellStyle name="Normal 2 3 5 28 2 2 3" xfId="13273" xr:uid="{00000000-0005-0000-0000-0000DC7B0000}"/>
    <cellStyle name="Normal 2 3 5 28 2 2 3 2" xfId="44362" xr:uid="{00000000-0005-0000-0000-0000DD7B0000}"/>
    <cellStyle name="Normal 2 3 5 28 2 2 4" xfId="13274" xr:uid="{00000000-0005-0000-0000-0000DE7B0000}"/>
    <cellStyle name="Normal 2 3 5 28 2 2 4 2" xfId="44363" xr:uid="{00000000-0005-0000-0000-0000DF7B0000}"/>
    <cellStyle name="Normal 2 3 5 28 2 2 5" xfId="13275" xr:uid="{00000000-0005-0000-0000-0000E07B0000}"/>
    <cellStyle name="Normal 2 3 5 28 2 2 5 2" xfId="44364" xr:uid="{00000000-0005-0000-0000-0000E17B0000}"/>
    <cellStyle name="Normal 2 3 5 28 2 2 6" xfId="44365" xr:uid="{00000000-0005-0000-0000-0000E27B0000}"/>
    <cellStyle name="Normal 2 3 5 28 2 2 6 2" xfId="44366" xr:uid="{00000000-0005-0000-0000-0000E37B0000}"/>
    <cellStyle name="Normal 2 3 5 28 2 2 7" xfId="44367" xr:uid="{00000000-0005-0000-0000-0000E47B0000}"/>
    <cellStyle name="Normal 2 3 5 28 2 3" xfId="13276" xr:uid="{00000000-0005-0000-0000-0000E57B0000}"/>
    <cellStyle name="Normal 2 3 5 28 2 3 2" xfId="13277" xr:uid="{00000000-0005-0000-0000-0000E67B0000}"/>
    <cellStyle name="Normal 2 3 5 28 2 3 2 2" xfId="44368" xr:uid="{00000000-0005-0000-0000-0000E77B0000}"/>
    <cellStyle name="Normal 2 3 5 28 2 3 3" xfId="13278" xr:uid="{00000000-0005-0000-0000-0000E87B0000}"/>
    <cellStyle name="Normal 2 3 5 28 2 3 3 2" xfId="44369" xr:uid="{00000000-0005-0000-0000-0000E97B0000}"/>
    <cellStyle name="Normal 2 3 5 28 2 3 4" xfId="44370" xr:uid="{00000000-0005-0000-0000-0000EA7B0000}"/>
    <cellStyle name="Normal 2 3 5 28 2 4" xfId="13279" xr:uid="{00000000-0005-0000-0000-0000EB7B0000}"/>
    <cellStyle name="Normal 2 3 5 28 2 4 2" xfId="13280" xr:uid="{00000000-0005-0000-0000-0000EC7B0000}"/>
    <cellStyle name="Normal 2 3 5 28 2 4 2 2" xfId="44371" xr:uid="{00000000-0005-0000-0000-0000ED7B0000}"/>
    <cellStyle name="Normal 2 3 5 28 2 4 3" xfId="44372" xr:uid="{00000000-0005-0000-0000-0000EE7B0000}"/>
    <cellStyle name="Normal 2 3 5 28 2 5" xfId="13281" xr:uid="{00000000-0005-0000-0000-0000EF7B0000}"/>
    <cellStyle name="Normal 2 3 5 28 2 5 2" xfId="44373" xr:uid="{00000000-0005-0000-0000-0000F07B0000}"/>
    <cellStyle name="Normal 2 3 5 28 2 6" xfId="13282" xr:uid="{00000000-0005-0000-0000-0000F17B0000}"/>
    <cellStyle name="Normal 2 3 5 28 2 6 2" xfId="44374" xr:uid="{00000000-0005-0000-0000-0000F27B0000}"/>
    <cellStyle name="Normal 2 3 5 28 2 7" xfId="44375" xr:uid="{00000000-0005-0000-0000-0000F37B0000}"/>
    <cellStyle name="Normal 2 3 5 28 2 7 2" xfId="44376" xr:uid="{00000000-0005-0000-0000-0000F47B0000}"/>
    <cellStyle name="Normal 2 3 5 28 2 8" xfId="44377" xr:uid="{00000000-0005-0000-0000-0000F57B0000}"/>
    <cellStyle name="Normal 2 3 5 28 2 9" xfId="44378" xr:uid="{00000000-0005-0000-0000-0000F67B0000}"/>
    <cellStyle name="Normal 2 3 5 28 3" xfId="13283" xr:uid="{00000000-0005-0000-0000-0000F77B0000}"/>
    <cellStyle name="Normal 2 3 5 28 3 2" xfId="13284" xr:uid="{00000000-0005-0000-0000-0000F87B0000}"/>
    <cellStyle name="Normal 2 3 5 28 3 2 2" xfId="13285" xr:uid="{00000000-0005-0000-0000-0000F97B0000}"/>
    <cellStyle name="Normal 2 3 5 28 3 2 2 2" xfId="44379" xr:uid="{00000000-0005-0000-0000-0000FA7B0000}"/>
    <cellStyle name="Normal 2 3 5 28 3 2 3" xfId="13286" xr:uid="{00000000-0005-0000-0000-0000FB7B0000}"/>
    <cellStyle name="Normal 2 3 5 28 3 2 3 2" xfId="44380" xr:uid="{00000000-0005-0000-0000-0000FC7B0000}"/>
    <cellStyle name="Normal 2 3 5 28 3 2 4" xfId="44381" xr:uid="{00000000-0005-0000-0000-0000FD7B0000}"/>
    <cellStyle name="Normal 2 3 5 28 3 3" xfId="13287" xr:uid="{00000000-0005-0000-0000-0000FE7B0000}"/>
    <cellStyle name="Normal 2 3 5 28 3 3 2" xfId="44382" xr:uid="{00000000-0005-0000-0000-0000FF7B0000}"/>
    <cellStyle name="Normal 2 3 5 28 3 4" xfId="13288" xr:uid="{00000000-0005-0000-0000-0000007C0000}"/>
    <cellStyle name="Normal 2 3 5 28 3 4 2" xfId="44383" xr:uid="{00000000-0005-0000-0000-0000017C0000}"/>
    <cellStyle name="Normal 2 3 5 28 3 5" xfId="13289" xr:uid="{00000000-0005-0000-0000-0000027C0000}"/>
    <cellStyle name="Normal 2 3 5 28 3 5 2" xfId="44384" xr:uid="{00000000-0005-0000-0000-0000037C0000}"/>
    <cellStyle name="Normal 2 3 5 28 3 6" xfId="44385" xr:uid="{00000000-0005-0000-0000-0000047C0000}"/>
    <cellStyle name="Normal 2 3 5 28 3 6 2" xfId="44386" xr:uid="{00000000-0005-0000-0000-0000057C0000}"/>
    <cellStyle name="Normal 2 3 5 28 3 7" xfId="44387" xr:uid="{00000000-0005-0000-0000-0000067C0000}"/>
    <cellStyle name="Normal 2 3 5 28 4" xfId="13290" xr:uid="{00000000-0005-0000-0000-0000077C0000}"/>
    <cellStyle name="Normal 2 3 5 28 4 2" xfId="13291" xr:uid="{00000000-0005-0000-0000-0000087C0000}"/>
    <cellStyle name="Normal 2 3 5 28 4 2 2" xfId="44388" xr:uid="{00000000-0005-0000-0000-0000097C0000}"/>
    <cellStyle name="Normal 2 3 5 28 4 3" xfId="13292" xr:uid="{00000000-0005-0000-0000-00000A7C0000}"/>
    <cellStyle name="Normal 2 3 5 28 4 3 2" xfId="44389" xr:uid="{00000000-0005-0000-0000-00000B7C0000}"/>
    <cellStyle name="Normal 2 3 5 28 4 4" xfId="44390" xr:uid="{00000000-0005-0000-0000-00000C7C0000}"/>
    <cellStyle name="Normal 2 3 5 28 5" xfId="13293" xr:uid="{00000000-0005-0000-0000-00000D7C0000}"/>
    <cellStyle name="Normal 2 3 5 28 5 2" xfId="13294" xr:uid="{00000000-0005-0000-0000-00000E7C0000}"/>
    <cellStyle name="Normal 2 3 5 28 5 2 2" xfId="44391" xr:uid="{00000000-0005-0000-0000-00000F7C0000}"/>
    <cellStyle name="Normal 2 3 5 28 5 3" xfId="44392" xr:uid="{00000000-0005-0000-0000-0000107C0000}"/>
    <cellStyle name="Normal 2 3 5 28 6" xfId="13295" xr:uid="{00000000-0005-0000-0000-0000117C0000}"/>
    <cellStyle name="Normal 2 3 5 28 6 2" xfId="44393" xr:uid="{00000000-0005-0000-0000-0000127C0000}"/>
    <cellStyle name="Normal 2 3 5 28 7" xfId="13296" xr:uid="{00000000-0005-0000-0000-0000137C0000}"/>
    <cellStyle name="Normal 2 3 5 28 7 2" xfId="44394" xr:uid="{00000000-0005-0000-0000-0000147C0000}"/>
    <cellStyle name="Normal 2 3 5 28 8" xfId="44395" xr:uid="{00000000-0005-0000-0000-0000157C0000}"/>
    <cellStyle name="Normal 2 3 5 28 8 2" xfId="44396" xr:uid="{00000000-0005-0000-0000-0000167C0000}"/>
    <cellStyle name="Normal 2 3 5 28 9" xfId="44397" xr:uid="{00000000-0005-0000-0000-0000177C0000}"/>
    <cellStyle name="Normal 2 3 5 29" xfId="13297" xr:uid="{00000000-0005-0000-0000-0000187C0000}"/>
    <cellStyle name="Normal 2 3 5 29 10" xfId="44398" xr:uid="{00000000-0005-0000-0000-0000197C0000}"/>
    <cellStyle name="Normal 2 3 5 29 11" xfId="44399" xr:uid="{00000000-0005-0000-0000-00001A7C0000}"/>
    <cellStyle name="Normal 2 3 5 29 2" xfId="13298" xr:uid="{00000000-0005-0000-0000-00001B7C0000}"/>
    <cellStyle name="Normal 2 3 5 29 2 10" xfId="44400" xr:uid="{00000000-0005-0000-0000-00001C7C0000}"/>
    <cellStyle name="Normal 2 3 5 29 2 2" xfId="13299" xr:uid="{00000000-0005-0000-0000-00001D7C0000}"/>
    <cellStyle name="Normal 2 3 5 29 2 2 2" xfId="13300" xr:uid="{00000000-0005-0000-0000-00001E7C0000}"/>
    <cellStyle name="Normal 2 3 5 29 2 2 2 2" xfId="13301" xr:uid="{00000000-0005-0000-0000-00001F7C0000}"/>
    <cellStyle name="Normal 2 3 5 29 2 2 2 2 2" xfId="44401" xr:uid="{00000000-0005-0000-0000-0000207C0000}"/>
    <cellStyle name="Normal 2 3 5 29 2 2 2 3" xfId="13302" xr:uid="{00000000-0005-0000-0000-0000217C0000}"/>
    <cellStyle name="Normal 2 3 5 29 2 2 2 3 2" xfId="44402" xr:uid="{00000000-0005-0000-0000-0000227C0000}"/>
    <cellStyle name="Normal 2 3 5 29 2 2 2 4" xfId="44403" xr:uid="{00000000-0005-0000-0000-0000237C0000}"/>
    <cellStyle name="Normal 2 3 5 29 2 2 3" xfId="13303" xr:uid="{00000000-0005-0000-0000-0000247C0000}"/>
    <cellStyle name="Normal 2 3 5 29 2 2 3 2" xfId="44404" xr:uid="{00000000-0005-0000-0000-0000257C0000}"/>
    <cellStyle name="Normal 2 3 5 29 2 2 4" xfId="13304" xr:uid="{00000000-0005-0000-0000-0000267C0000}"/>
    <cellStyle name="Normal 2 3 5 29 2 2 4 2" xfId="44405" xr:uid="{00000000-0005-0000-0000-0000277C0000}"/>
    <cellStyle name="Normal 2 3 5 29 2 2 5" xfId="13305" xr:uid="{00000000-0005-0000-0000-0000287C0000}"/>
    <cellStyle name="Normal 2 3 5 29 2 2 5 2" xfId="44406" xr:uid="{00000000-0005-0000-0000-0000297C0000}"/>
    <cellStyle name="Normal 2 3 5 29 2 2 6" xfId="44407" xr:uid="{00000000-0005-0000-0000-00002A7C0000}"/>
    <cellStyle name="Normal 2 3 5 29 2 2 6 2" xfId="44408" xr:uid="{00000000-0005-0000-0000-00002B7C0000}"/>
    <cellStyle name="Normal 2 3 5 29 2 2 7" xfId="44409" xr:uid="{00000000-0005-0000-0000-00002C7C0000}"/>
    <cellStyle name="Normal 2 3 5 29 2 3" xfId="13306" xr:uid="{00000000-0005-0000-0000-00002D7C0000}"/>
    <cellStyle name="Normal 2 3 5 29 2 3 2" xfId="13307" xr:uid="{00000000-0005-0000-0000-00002E7C0000}"/>
    <cellStyle name="Normal 2 3 5 29 2 3 2 2" xfId="44410" xr:uid="{00000000-0005-0000-0000-00002F7C0000}"/>
    <cellStyle name="Normal 2 3 5 29 2 3 3" xfId="13308" xr:uid="{00000000-0005-0000-0000-0000307C0000}"/>
    <cellStyle name="Normal 2 3 5 29 2 3 3 2" xfId="44411" xr:uid="{00000000-0005-0000-0000-0000317C0000}"/>
    <cellStyle name="Normal 2 3 5 29 2 3 4" xfId="44412" xr:uid="{00000000-0005-0000-0000-0000327C0000}"/>
    <cellStyle name="Normal 2 3 5 29 2 4" xfId="13309" xr:uid="{00000000-0005-0000-0000-0000337C0000}"/>
    <cellStyle name="Normal 2 3 5 29 2 4 2" xfId="13310" xr:uid="{00000000-0005-0000-0000-0000347C0000}"/>
    <cellStyle name="Normal 2 3 5 29 2 4 2 2" xfId="44413" xr:uid="{00000000-0005-0000-0000-0000357C0000}"/>
    <cellStyle name="Normal 2 3 5 29 2 4 3" xfId="44414" xr:uid="{00000000-0005-0000-0000-0000367C0000}"/>
    <cellStyle name="Normal 2 3 5 29 2 5" xfId="13311" xr:uid="{00000000-0005-0000-0000-0000377C0000}"/>
    <cellStyle name="Normal 2 3 5 29 2 5 2" xfId="44415" xr:uid="{00000000-0005-0000-0000-0000387C0000}"/>
    <cellStyle name="Normal 2 3 5 29 2 6" xfId="13312" xr:uid="{00000000-0005-0000-0000-0000397C0000}"/>
    <cellStyle name="Normal 2 3 5 29 2 6 2" xfId="44416" xr:uid="{00000000-0005-0000-0000-00003A7C0000}"/>
    <cellStyle name="Normal 2 3 5 29 2 7" xfId="44417" xr:uid="{00000000-0005-0000-0000-00003B7C0000}"/>
    <cellStyle name="Normal 2 3 5 29 2 7 2" xfId="44418" xr:uid="{00000000-0005-0000-0000-00003C7C0000}"/>
    <cellStyle name="Normal 2 3 5 29 2 8" xfId="44419" xr:uid="{00000000-0005-0000-0000-00003D7C0000}"/>
    <cellStyle name="Normal 2 3 5 29 2 9" xfId="44420" xr:uid="{00000000-0005-0000-0000-00003E7C0000}"/>
    <cellStyle name="Normal 2 3 5 29 3" xfId="13313" xr:uid="{00000000-0005-0000-0000-00003F7C0000}"/>
    <cellStyle name="Normal 2 3 5 29 3 2" xfId="13314" xr:uid="{00000000-0005-0000-0000-0000407C0000}"/>
    <cellStyle name="Normal 2 3 5 29 3 2 2" xfId="13315" xr:uid="{00000000-0005-0000-0000-0000417C0000}"/>
    <cellStyle name="Normal 2 3 5 29 3 2 2 2" xfId="44421" xr:uid="{00000000-0005-0000-0000-0000427C0000}"/>
    <cellStyle name="Normal 2 3 5 29 3 2 3" xfId="13316" xr:uid="{00000000-0005-0000-0000-0000437C0000}"/>
    <cellStyle name="Normal 2 3 5 29 3 2 3 2" xfId="44422" xr:uid="{00000000-0005-0000-0000-0000447C0000}"/>
    <cellStyle name="Normal 2 3 5 29 3 2 4" xfId="44423" xr:uid="{00000000-0005-0000-0000-0000457C0000}"/>
    <cellStyle name="Normal 2 3 5 29 3 3" xfId="13317" xr:uid="{00000000-0005-0000-0000-0000467C0000}"/>
    <cellStyle name="Normal 2 3 5 29 3 3 2" xfId="44424" xr:uid="{00000000-0005-0000-0000-0000477C0000}"/>
    <cellStyle name="Normal 2 3 5 29 3 4" xfId="13318" xr:uid="{00000000-0005-0000-0000-0000487C0000}"/>
    <cellStyle name="Normal 2 3 5 29 3 4 2" xfId="44425" xr:uid="{00000000-0005-0000-0000-0000497C0000}"/>
    <cellStyle name="Normal 2 3 5 29 3 5" xfId="13319" xr:uid="{00000000-0005-0000-0000-00004A7C0000}"/>
    <cellStyle name="Normal 2 3 5 29 3 5 2" xfId="44426" xr:uid="{00000000-0005-0000-0000-00004B7C0000}"/>
    <cellStyle name="Normal 2 3 5 29 3 6" xfId="44427" xr:uid="{00000000-0005-0000-0000-00004C7C0000}"/>
    <cellStyle name="Normal 2 3 5 29 3 6 2" xfId="44428" xr:uid="{00000000-0005-0000-0000-00004D7C0000}"/>
    <cellStyle name="Normal 2 3 5 29 3 7" xfId="44429" xr:uid="{00000000-0005-0000-0000-00004E7C0000}"/>
    <cellStyle name="Normal 2 3 5 29 4" xfId="13320" xr:uid="{00000000-0005-0000-0000-00004F7C0000}"/>
    <cellStyle name="Normal 2 3 5 29 4 2" xfId="13321" xr:uid="{00000000-0005-0000-0000-0000507C0000}"/>
    <cellStyle name="Normal 2 3 5 29 4 2 2" xfId="44430" xr:uid="{00000000-0005-0000-0000-0000517C0000}"/>
    <cellStyle name="Normal 2 3 5 29 4 3" xfId="13322" xr:uid="{00000000-0005-0000-0000-0000527C0000}"/>
    <cellStyle name="Normal 2 3 5 29 4 3 2" xfId="44431" xr:uid="{00000000-0005-0000-0000-0000537C0000}"/>
    <cellStyle name="Normal 2 3 5 29 4 4" xfId="44432" xr:uid="{00000000-0005-0000-0000-0000547C0000}"/>
    <cellStyle name="Normal 2 3 5 29 5" xfId="13323" xr:uid="{00000000-0005-0000-0000-0000557C0000}"/>
    <cellStyle name="Normal 2 3 5 29 5 2" xfId="13324" xr:uid="{00000000-0005-0000-0000-0000567C0000}"/>
    <cellStyle name="Normal 2 3 5 29 5 2 2" xfId="44433" xr:uid="{00000000-0005-0000-0000-0000577C0000}"/>
    <cellStyle name="Normal 2 3 5 29 5 3" xfId="44434" xr:uid="{00000000-0005-0000-0000-0000587C0000}"/>
    <cellStyle name="Normal 2 3 5 29 6" xfId="13325" xr:uid="{00000000-0005-0000-0000-0000597C0000}"/>
    <cellStyle name="Normal 2 3 5 29 6 2" xfId="44435" xr:uid="{00000000-0005-0000-0000-00005A7C0000}"/>
    <cellStyle name="Normal 2 3 5 29 7" xfId="13326" xr:uid="{00000000-0005-0000-0000-00005B7C0000}"/>
    <cellStyle name="Normal 2 3 5 29 7 2" xfId="44436" xr:uid="{00000000-0005-0000-0000-00005C7C0000}"/>
    <cellStyle name="Normal 2 3 5 29 8" xfId="44437" xr:uid="{00000000-0005-0000-0000-00005D7C0000}"/>
    <cellStyle name="Normal 2 3 5 29 8 2" xfId="44438" xr:uid="{00000000-0005-0000-0000-00005E7C0000}"/>
    <cellStyle name="Normal 2 3 5 29 9" xfId="44439" xr:uid="{00000000-0005-0000-0000-00005F7C0000}"/>
    <cellStyle name="Normal 2 3 5 3" xfId="13327" xr:uid="{00000000-0005-0000-0000-0000607C0000}"/>
    <cellStyle name="Normal 2 3 5 3 10" xfId="44440" xr:uid="{00000000-0005-0000-0000-0000617C0000}"/>
    <cellStyle name="Normal 2 3 5 3 11" xfId="44441" xr:uid="{00000000-0005-0000-0000-0000627C0000}"/>
    <cellStyle name="Normal 2 3 5 3 2" xfId="13328" xr:uid="{00000000-0005-0000-0000-0000637C0000}"/>
    <cellStyle name="Normal 2 3 5 3 2 10" xfId="44442" xr:uid="{00000000-0005-0000-0000-0000647C0000}"/>
    <cellStyle name="Normal 2 3 5 3 2 2" xfId="13329" xr:uid="{00000000-0005-0000-0000-0000657C0000}"/>
    <cellStyle name="Normal 2 3 5 3 2 2 2" xfId="13330" xr:uid="{00000000-0005-0000-0000-0000667C0000}"/>
    <cellStyle name="Normal 2 3 5 3 2 2 2 2" xfId="13331" xr:uid="{00000000-0005-0000-0000-0000677C0000}"/>
    <cellStyle name="Normal 2 3 5 3 2 2 2 2 2" xfId="44443" xr:uid="{00000000-0005-0000-0000-0000687C0000}"/>
    <cellStyle name="Normal 2 3 5 3 2 2 2 3" xfId="13332" xr:uid="{00000000-0005-0000-0000-0000697C0000}"/>
    <cellStyle name="Normal 2 3 5 3 2 2 2 3 2" xfId="44444" xr:uid="{00000000-0005-0000-0000-00006A7C0000}"/>
    <cellStyle name="Normal 2 3 5 3 2 2 2 4" xfId="44445" xr:uid="{00000000-0005-0000-0000-00006B7C0000}"/>
    <cellStyle name="Normal 2 3 5 3 2 2 3" xfId="13333" xr:uid="{00000000-0005-0000-0000-00006C7C0000}"/>
    <cellStyle name="Normal 2 3 5 3 2 2 3 2" xfId="44446" xr:uid="{00000000-0005-0000-0000-00006D7C0000}"/>
    <cellStyle name="Normal 2 3 5 3 2 2 4" xfId="13334" xr:uid="{00000000-0005-0000-0000-00006E7C0000}"/>
    <cellStyle name="Normal 2 3 5 3 2 2 4 2" xfId="44447" xr:uid="{00000000-0005-0000-0000-00006F7C0000}"/>
    <cellStyle name="Normal 2 3 5 3 2 2 5" xfId="13335" xr:uid="{00000000-0005-0000-0000-0000707C0000}"/>
    <cellStyle name="Normal 2 3 5 3 2 2 5 2" xfId="44448" xr:uid="{00000000-0005-0000-0000-0000717C0000}"/>
    <cellStyle name="Normal 2 3 5 3 2 2 6" xfId="44449" xr:uid="{00000000-0005-0000-0000-0000727C0000}"/>
    <cellStyle name="Normal 2 3 5 3 2 2 6 2" xfId="44450" xr:uid="{00000000-0005-0000-0000-0000737C0000}"/>
    <cellStyle name="Normal 2 3 5 3 2 2 7" xfId="44451" xr:uid="{00000000-0005-0000-0000-0000747C0000}"/>
    <cellStyle name="Normal 2 3 5 3 2 3" xfId="13336" xr:uid="{00000000-0005-0000-0000-0000757C0000}"/>
    <cellStyle name="Normal 2 3 5 3 2 3 2" xfId="13337" xr:uid="{00000000-0005-0000-0000-0000767C0000}"/>
    <cellStyle name="Normal 2 3 5 3 2 3 2 2" xfId="44452" xr:uid="{00000000-0005-0000-0000-0000777C0000}"/>
    <cellStyle name="Normal 2 3 5 3 2 3 3" xfId="13338" xr:uid="{00000000-0005-0000-0000-0000787C0000}"/>
    <cellStyle name="Normal 2 3 5 3 2 3 3 2" xfId="44453" xr:uid="{00000000-0005-0000-0000-0000797C0000}"/>
    <cellStyle name="Normal 2 3 5 3 2 3 4" xfId="44454" xr:uid="{00000000-0005-0000-0000-00007A7C0000}"/>
    <cellStyle name="Normal 2 3 5 3 2 4" xfId="13339" xr:uid="{00000000-0005-0000-0000-00007B7C0000}"/>
    <cellStyle name="Normal 2 3 5 3 2 4 2" xfId="13340" xr:uid="{00000000-0005-0000-0000-00007C7C0000}"/>
    <cellStyle name="Normal 2 3 5 3 2 4 2 2" xfId="44455" xr:uid="{00000000-0005-0000-0000-00007D7C0000}"/>
    <cellStyle name="Normal 2 3 5 3 2 4 3" xfId="44456" xr:uid="{00000000-0005-0000-0000-00007E7C0000}"/>
    <cellStyle name="Normal 2 3 5 3 2 5" xfId="13341" xr:uid="{00000000-0005-0000-0000-00007F7C0000}"/>
    <cellStyle name="Normal 2 3 5 3 2 5 2" xfId="44457" xr:uid="{00000000-0005-0000-0000-0000807C0000}"/>
    <cellStyle name="Normal 2 3 5 3 2 6" xfId="13342" xr:uid="{00000000-0005-0000-0000-0000817C0000}"/>
    <cellStyle name="Normal 2 3 5 3 2 6 2" xfId="44458" xr:uid="{00000000-0005-0000-0000-0000827C0000}"/>
    <cellStyle name="Normal 2 3 5 3 2 7" xfId="44459" xr:uid="{00000000-0005-0000-0000-0000837C0000}"/>
    <cellStyle name="Normal 2 3 5 3 2 7 2" xfId="44460" xr:uid="{00000000-0005-0000-0000-0000847C0000}"/>
    <cellStyle name="Normal 2 3 5 3 2 8" xfId="44461" xr:uid="{00000000-0005-0000-0000-0000857C0000}"/>
    <cellStyle name="Normal 2 3 5 3 2 9" xfId="44462" xr:uid="{00000000-0005-0000-0000-0000867C0000}"/>
    <cellStyle name="Normal 2 3 5 3 3" xfId="13343" xr:uid="{00000000-0005-0000-0000-0000877C0000}"/>
    <cellStyle name="Normal 2 3 5 3 3 2" xfId="13344" xr:uid="{00000000-0005-0000-0000-0000887C0000}"/>
    <cellStyle name="Normal 2 3 5 3 3 2 2" xfId="13345" xr:uid="{00000000-0005-0000-0000-0000897C0000}"/>
    <cellStyle name="Normal 2 3 5 3 3 2 2 2" xfId="44463" xr:uid="{00000000-0005-0000-0000-00008A7C0000}"/>
    <cellStyle name="Normal 2 3 5 3 3 2 3" xfId="13346" xr:uid="{00000000-0005-0000-0000-00008B7C0000}"/>
    <cellStyle name="Normal 2 3 5 3 3 2 3 2" xfId="44464" xr:uid="{00000000-0005-0000-0000-00008C7C0000}"/>
    <cellStyle name="Normal 2 3 5 3 3 2 4" xfId="44465" xr:uid="{00000000-0005-0000-0000-00008D7C0000}"/>
    <cellStyle name="Normal 2 3 5 3 3 3" xfId="13347" xr:uid="{00000000-0005-0000-0000-00008E7C0000}"/>
    <cellStyle name="Normal 2 3 5 3 3 3 2" xfId="44466" xr:uid="{00000000-0005-0000-0000-00008F7C0000}"/>
    <cellStyle name="Normal 2 3 5 3 3 4" xfId="13348" xr:uid="{00000000-0005-0000-0000-0000907C0000}"/>
    <cellStyle name="Normal 2 3 5 3 3 4 2" xfId="44467" xr:uid="{00000000-0005-0000-0000-0000917C0000}"/>
    <cellStyle name="Normal 2 3 5 3 3 5" xfId="13349" xr:uid="{00000000-0005-0000-0000-0000927C0000}"/>
    <cellStyle name="Normal 2 3 5 3 3 5 2" xfId="44468" xr:uid="{00000000-0005-0000-0000-0000937C0000}"/>
    <cellStyle name="Normal 2 3 5 3 3 6" xfId="44469" xr:uid="{00000000-0005-0000-0000-0000947C0000}"/>
    <cellStyle name="Normal 2 3 5 3 3 6 2" xfId="44470" xr:uid="{00000000-0005-0000-0000-0000957C0000}"/>
    <cellStyle name="Normal 2 3 5 3 3 7" xfId="44471" xr:uid="{00000000-0005-0000-0000-0000967C0000}"/>
    <cellStyle name="Normal 2 3 5 3 4" xfId="13350" xr:uid="{00000000-0005-0000-0000-0000977C0000}"/>
    <cellStyle name="Normal 2 3 5 3 4 2" xfId="13351" xr:uid="{00000000-0005-0000-0000-0000987C0000}"/>
    <cellStyle name="Normal 2 3 5 3 4 2 2" xfId="44472" xr:uid="{00000000-0005-0000-0000-0000997C0000}"/>
    <cellStyle name="Normal 2 3 5 3 4 3" xfId="13352" xr:uid="{00000000-0005-0000-0000-00009A7C0000}"/>
    <cellStyle name="Normal 2 3 5 3 4 3 2" xfId="44473" xr:uid="{00000000-0005-0000-0000-00009B7C0000}"/>
    <cellStyle name="Normal 2 3 5 3 4 4" xfId="44474" xr:uid="{00000000-0005-0000-0000-00009C7C0000}"/>
    <cellStyle name="Normal 2 3 5 3 5" xfId="13353" xr:uid="{00000000-0005-0000-0000-00009D7C0000}"/>
    <cellStyle name="Normal 2 3 5 3 5 2" xfId="13354" xr:uid="{00000000-0005-0000-0000-00009E7C0000}"/>
    <cellStyle name="Normal 2 3 5 3 5 2 2" xfId="44475" xr:uid="{00000000-0005-0000-0000-00009F7C0000}"/>
    <cellStyle name="Normal 2 3 5 3 5 3" xfId="44476" xr:uid="{00000000-0005-0000-0000-0000A07C0000}"/>
    <cellStyle name="Normal 2 3 5 3 6" xfId="13355" xr:uid="{00000000-0005-0000-0000-0000A17C0000}"/>
    <cellStyle name="Normal 2 3 5 3 6 2" xfId="44477" xr:uid="{00000000-0005-0000-0000-0000A27C0000}"/>
    <cellStyle name="Normal 2 3 5 3 7" xfId="13356" xr:uid="{00000000-0005-0000-0000-0000A37C0000}"/>
    <cellStyle name="Normal 2 3 5 3 7 2" xfId="44478" xr:uid="{00000000-0005-0000-0000-0000A47C0000}"/>
    <cellStyle name="Normal 2 3 5 3 8" xfId="44479" xr:uid="{00000000-0005-0000-0000-0000A57C0000}"/>
    <cellStyle name="Normal 2 3 5 3 8 2" xfId="44480" xr:uid="{00000000-0005-0000-0000-0000A67C0000}"/>
    <cellStyle name="Normal 2 3 5 3 9" xfId="44481" xr:uid="{00000000-0005-0000-0000-0000A77C0000}"/>
    <cellStyle name="Normal 2 3 5 30" xfId="13357" xr:uid="{00000000-0005-0000-0000-0000A87C0000}"/>
    <cellStyle name="Normal 2 3 5 30 10" xfId="44482" xr:uid="{00000000-0005-0000-0000-0000A97C0000}"/>
    <cellStyle name="Normal 2 3 5 30 11" xfId="44483" xr:uid="{00000000-0005-0000-0000-0000AA7C0000}"/>
    <cellStyle name="Normal 2 3 5 30 2" xfId="13358" xr:uid="{00000000-0005-0000-0000-0000AB7C0000}"/>
    <cellStyle name="Normal 2 3 5 30 2 10" xfId="44484" xr:uid="{00000000-0005-0000-0000-0000AC7C0000}"/>
    <cellStyle name="Normal 2 3 5 30 2 2" xfId="13359" xr:uid="{00000000-0005-0000-0000-0000AD7C0000}"/>
    <cellStyle name="Normal 2 3 5 30 2 2 2" xfId="13360" xr:uid="{00000000-0005-0000-0000-0000AE7C0000}"/>
    <cellStyle name="Normal 2 3 5 30 2 2 2 2" xfId="13361" xr:uid="{00000000-0005-0000-0000-0000AF7C0000}"/>
    <cellStyle name="Normal 2 3 5 30 2 2 2 2 2" xfId="44485" xr:uid="{00000000-0005-0000-0000-0000B07C0000}"/>
    <cellStyle name="Normal 2 3 5 30 2 2 2 3" xfId="13362" xr:uid="{00000000-0005-0000-0000-0000B17C0000}"/>
    <cellStyle name="Normal 2 3 5 30 2 2 2 3 2" xfId="44486" xr:uid="{00000000-0005-0000-0000-0000B27C0000}"/>
    <cellStyle name="Normal 2 3 5 30 2 2 2 4" xfId="44487" xr:uid="{00000000-0005-0000-0000-0000B37C0000}"/>
    <cellStyle name="Normal 2 3 5 30 2 2 3" xfId="13363" xr:uid="{00000000-0005-0000-0000-0000B47C0000}"/>
    <cellStyle name="Normal 2 3 5 30 2 2 3 2" xfId="44488" xr:uid="{00000000-0005-0000-0000-0000B57C0000}"/>
    <cellStyle name="Normal 2 3 5 30 2 2 4" xfId="13364" xr:uid="{00000000-0005-0000-0000-0000B67C0000}"/>
    <cellStyle name="Normal 2 3 5 30 2 2 4 2" xfId="44489" xr:uid="{00000000-0005-0000-0000-0000B77C0000}"/>
    <cellStyle name="Normal 2 3 5 30 2 2 5" xfId="13365" xr:uid="{00000000-0005-0000-0000-0000B87C0000}"/>
    <cellStyle name="Normal 2 3 5 30 2 2 5 2" xfId="44490" xr:uid="{00000000-0005-0000-0000-0000B97C0000}"/>
    <cellStyle name="Normal 2 3 5 30 2 2 6" xfId="44491" xr:uid="{00000000-0005-0000-0000-0000BA7C0000}"/>
    <cellStyle name="Normal 2 3 5 30 2 2 6 2" xfId="44492" xr:uid="{00000000-0005-0000-0000-0000BB7C0000}"/>
    <cellStyle name="Normal 2 3 5 30 2 2 7" xfId="44493" xr:uid="{00000000-0005-0000-0000-0000BC7C0000}"/>
    <cellStyle name="Normal 2 3 5 30 2 3" xfId="13366" xr:uid="{00000000-0005-0000-0000-0000BD7C0000}"/>
    <cellStyle name="Normal 2 3 5 30 2 3 2" xfId="13367" xr:uid="{00000000-0005-0000-0000-0000BE7C0000}"/>
    <cellStyle name="Normal 2 3 5 30 2 3 2 2" xfId="44494" xr:uid="{00000000-0005-0000-0000-0000BF7C0000}"/>
    <cellStyle name="Normal 2 3 5 30 2 3 3" xfId="13368" xr:uid="{00000000-0005-0000-0000-0000C07C0000}"/>
    <cellStyle name="Normal 2 3 5 30 2 3 3 2" xfId="44495" xr:uid="{00000000-0005-0000-0000-0000C17C0000}"/>
    <cellStyle name="Normal 2 3 5 30 2 3 4" xfId="44496" xr:uid="{00000000-0005-0000-0000-0000C27C0000}"/>
    <cellStyle name="Normal 2 3 5 30 2 4" xfId="13369" xr:uid="{00000000-0005-0000-0000-0000C37C0000}"/>
    <cellStyle name="Normal 2 3 5 30 2 4 2" xfId="13370" xr:uid="{00000000-0005-0000-0000-0000C47C0000}"/>
    <cellStyle name="Normal 2 3 5 30 2 4 2 2" xfId="44497" xr:uid="{00000000-0005-0000-0000-0000C57C0000}"/>
    <cellStyle name="Normal 2 3 5 30 2 4 3" xfId="44498" xr:uid="{00000000-0005-0000-0000-0000C67C0000}"/>
    <cellStyle name="Normal 2 3 5 30 2 5" xfId="13371" xr:uid="{00000000-0005-0000-0000-0000C77C0000}"/>
    <cellStyle name="Normal 2 3 5 30 2 5 2" xfId="44499" xr:uid="{00000000-0005-0000-0000-0000C87C0000}"/>
    <cellStyle name="Normal 2 3 5 30 2 6" xfId="13372" xr:uid="{00000000-0005-0000-0000-0000C97C0000}"/>
    <cellStyle name="Normal 2 3 5 30 2 6 2" xfId="44500" xr:uid="{00000000-0005-0000-0000-0000CA7C0000}"/>
    <cellStyle name="Normal 2 3 5 30 2 7" xfId="44501" xr:uid="{00000000-0005-0000-0000-0000CB7C0000}"/>
    <cellStyle name="Normal 2 3 5 30 2 7 2" xfId="44502" xr:uid="{00000000-0005-0000-0000-0000CC7C0000}"/>
    <cellStyle name="Normal 2 3 5 30 2 8" xfId="44503" xr:uid="{00000000-0005-0000-0000-0000CD7C0000}"/>
    <cellStyle name="Normal 2 3 5 30 2 9" xfId="44504" xr:uid="{00000000-0005-0000-0000-0000CE7C0000}"/>
    <cellStyle name="Normal 2 3 5 30 3" xfId="13373" xr:uid="{00000000-0005-0000-0000-0000CF7C0000}"/>
    <cellStyle name="Normal 2 3 5 30 3 2" xfId="13374" xr:uid="{00000000-0005-0000-0000-0000D07C0000}"/>
    <cellStyle name="Normal 2 3 5 30 3 2 2" xfId="13375" xr:uid="{00000000-0005-0000-0000-0000D17C0000}"/>
    <cellStyle name="Normal 2 3 5 30 3 2 2 2" xfId="44505" xr:uid="{00000000-0005-0000-0000-0000D27C0000}"/>
    <cellStyle name="Normal 2 3 5 30 3 2 3" xfId="13376" xr:uid="{00000000-0005-0000-0000-0000D37C0000}"/>
    <cellStyle name="Normal 2 3 5 30 3 2 3 2" xfId="44506" xr:uid="{00000000-0005-0000-0000-0000D47C0000}"/>
    <cellStyle name="Normal 2 3 5 30 3 2 4" xfId="44507" xr:uid="{00000000-0005-0000-0000-0000D57C0000}"/>
    <cellStyle name="Normal 2 3 5 30 3 3" xfId="13377" xr:uid="{00000000-0005-0000-0000-0000D67C0000}"/>
    <cellStyle name="Normal 2 3 5 30 3 3 2" xfId="44508" xr:uid="{00000000-0005-0000-0000-0000D77C0000}"/>
    <cellStyle name="Normal 2 3 5 30 3 4" xfId="13378" xr:uid="{00000000-0005-0000-0000-0000D87C0000}"/>
    <cellStyle name="Normal 2 3 5 30 3 4 2" xfId="44509" xr:uid="{00000000-0005-0000-0000-0000D97C0000}"/>
    <cellStyle name="Normal 2 3 5 30 3 5" xfId="13379" xr:uid="{00000000-0005-0000-0000-0000DA7C0000}"/>
    <cellStyle name="Normal 2 3 5 30 3 5 2" xfId="44510" xr:uid="{00000000-0005-0000-0000-0000DB7C0000}"/>
    <cellStyle name="Normal 2 3 5 30 3 6" xfId="44511" xr:uid="{00000000-0005-0000-0000-0000DC7C0000}"/>
    <cellStyle name="Normal 2 3 5 30 3 6 2" xfId="44512" xr:uid="{00000000-0005-0000-0000-0000DD7C0000}"/>
    <cellStyle name="Normal 2 3 5 30 3 7" xfId="44513" xr:uid="{00000000-0005-0000-0000-0000DE7C0000}"/>
    <cellStyle name="Normal 2 3 5 30 4" xfId="13380" xr:uid="{00000000-0005-0000-0000-0000DF7C0000}"/>
    <cellStyle name="Normal 2 3 5 30 4 2" xfId="13381" xr:uid="{00000000-0005-0000-0000-0000E07C0000}"/>
    <cellStyle name="Normal 2 3 5 30 4 2 2" xfId="44514" xr:uid="{00000000-0005-0000-0000-0000E17C0000}"/>
    <cellStyle name="Normal 2 3 5 30 4 3" xfId="13382" xr:uid="{00000000-0005-0000-0000-0000E27C0000}"/>
    <cellStyle name="Normal 2 3 5 30 4 3 2" xfId="44515" xr:uid="{00000000-0005-0000-0000-0000E37C0000}"/>
    <cellStyle name="Normal 2 3 5 30 4 4" xfId="44516" xr:uid="{00000000-0005-0000-0000-0000E47C0000}"/>
    <cellStyle name="Normal 2 3 5 30 5" xfId="13383" xr:uid="{00000000-0005-0000-0000-0000E57C0000}"/>
    <cellStyle name="Normal 2 3 5 30 5 2" xfId="13384" xr:uid="{00000000-0005-0000-0000-0000E67C0000}"/>
    <cellStyle name="Normal 2 3 5 30 5 2 2" xfId="44517" xr:uid="{00000000-0005-0000-0000-0000E77C0000}"/>
    <cellStyle name="Normal 2 3 5 30 5 3" xfId="44518" xr:uid="{00000000-0005-0000-0000-0000E87C0000}"/>
    <cellStyle name="Normal 2 3 5 30 6" xfId="13385" xr:uid="{00000000-0005-0000-0000-0000E97C0000}"/>
    <cellStyle name="Normal 2 3 5 30 6 2" xfId="44519" xr:uid="{00000000-0005-0000-0000-0000EA7C0000}"/>
    <cellStyle name="Normal 2 3 5 30 7" xfId="13386" xr:uid="{00000000-0005-0000-0000-0000EB7C0000}"/>
    <cellStyle name="Normal 2 3 5 30 7 2" xfId="44520" xr:uid="{00000000-0005-0000-0000-0000EC7C0000}"/>
    <cellStyle name="Normal 2 3 5 30 8" xfId="44521" xr:uid="{00000000-0005-0000-0000-0000ED7C0000}"/>
    <cellStyle name="Normal 2 3 5 30 8 2" xfId="44522" xr:uid="{00000000-0005-0000-0000-0000EE7C0000}"/>
    <cellStyle name="Normal 2 3 5 30 9" xfId="44523" xr:uid="{00000000-0005-0000-0000-0000EF7C0000}"/>
    <cellStyle name="Normal 2 3 5 31" xfId="13387" xr:uid="{00000000-0005-0000-0000-0000F07C0000}"/>
    <cellStyle name="Normal 2 3 5 31 10" xfId="44524" xr:uid="{00000000-0005-0000-0000-0000F17C0000}"/>
    <cellStyle name="Normal 2 3 5 31 2" xfId="13388" xr:uid="{00000000-0005-0000-0000-0000F27C0000}"/>
    <cellStyle name="Normal 2 3 5 31 2 2" xfId="13389" xr:uid="{00000000-0005-0000-0000-0000F37C0000}"/>
    <cellStyle name="Normal 2 3 5 31 2 2 2" xfId="13390" xr:uid="{00000000-0005-0000-0000-0000F47C0000}"/>
    <cellStyle name="Normal 2 3 5 31 2 2 2 2" xfId="44525" xr:uid="{00000000-0005-0000-0000-0000F57C0000}"/>
    <cellStyle name="Normal 2 3 5 31 2 2 3" xfId="13391" xr:uid="{00000000-0005-0000-0000-0000F67C0000}"/>
    <cellStyle name="Normal 2 3 5 31 2 2 3 2" xfId="44526" xr:uid="{00000000-0005-0000-0000-0000F77C0000}"/>
    <cellStyle name="Normal 2 3 5 31 2 2 4" xfId="44527" xr:uid="{00000000-0005-0000-0000-0000F87C0000}"/>
    <cellStyle name="Normal 2 3 5 31 2 3" xfId="13392" xr:uid="{00000000-0005-0000-0000-0000F97C0000}"/>
    <cellStyle name="Normal 2 3 5 31 2 3 2" xfId="44528" xr:uid="{00000000-0005-0000-0000-0000FA7C0000}"/>
    <cellStyle name="Normal 2 3 5 31 2 4" xfId="13393" xr:uid="{00000000-0005-0000-0000-0000FB7C0000}"/>
    <cellStyle name="Normal 2 3 5 31 2 4 2" xfId="44529" xr:uid="{00000000-0005-0000-0000-0000FC7C0000}"/>
    <cellStyle name="Normal 2 3 5 31 2 5" xfId="13394" xr:uid="{00000000-0005-0000-0000-0000FD7C0000}"/>
    <cellStyle name="Normal 2 3 5 31 2 5 2" xfId="44530" xr:uid="{00000000-0005-0000-0000-0000FE7C0000}"/>
    <cellStyle name="Normal 2 3 5 31 2 6" xfId="44531" xr:uid="{00000000-0005-0000-0000-0000FF7C0000}"/>
    <cellStyle name="Normal 2 3 5 31 2 6 2" xfId="44532" xr:uid="{00000000-0005-0000-0000-0000007D0000}"/>
    <cellStyle name="Normal 2 3 5 31 2 7" xfId="44533" xr:uid="{00000000-0005-0000-0000-0000017D0000}"/>
    <cellStyle name="Normal 2 3 5 31 3" xfId="13395" xr:uid="{00000000-0005-0000-0000-0000027D0000}"/>
    <cellStyle name="Normal 2 3 5 31 3 2" xfId="13396" xr:uid="{00000000-0005-0000-0000-0000037D0000}"/>
    <cellStyle name="Normal 2 3 5 31 3 2 2" xfId="44534" xr:uid="{00000000-0005-0000-0000-0000047D0000}"/>
    <cellStyle name="Normal 2 3 5 31 3 3" xfId="13397" xr:uid="{00000000-0005-0000-0000-0000057D0000}"/>
    <cellStyle name="Normal 2 3 5 31 3 3 2" xfId="44535" xr:uid="{00000000-0005-0000-0000-0000067D0000}"/>
    <cellStyle name="Normal 2 3 5 31 3 4" xfId="44536" xr:uid="{00000000-0005-0000-0000-0000077D0000}"/>
    <cellStyle name="Normal 2 3 5 31 4" xfId="13398" xr:uid="{00000000-0005-0000-0000-0000087D0000}"/>
    <cellStyle name="Normal 2 3 5 31 4 2" xfId="13399" xr:uid="{00000000-0005-0000-0000-0000097D0000}"/>
    <cellStyle name="Normal 2 3 5 31 4 2 2" xfId="44537" xr:uid="{00000000-0005-0000-0000-00000A7D0000}"/>
    <cellStyle name="Normal 2 3 5 31 4 3" xfId="44538" xr:uid="{00000000-0005-0000-0000-00000B7D0000}"/>
    <cellStyle name="Normal 2 3 5 31 5" xfId="13400" xr:uid="{00000000-0005-0000-0000-00000C7D0000}"/>
    <cellStyle name="Normal 2 3 5 31 5 2" xfId="44539" xr:uid="{00000000-0005-0000-0000-00000D7D0000}"/>
    <cellStyle name="Normal 2 3 5 31 6" xfId="13401" xr:uid="{00000000-0005-0000-0000-00000E7D0000}"/>
    <cellStyle name="Normal 2 3 5 31 6 2" xfId="44540" xr:uid="{00000000-0005-0000-0000-00000F7D0000}"/>
    <cellStyle name="Normal 2 3 5 31 7" xfId="44541" xr:uid="{00000000-0005-0000-0000-0000107D0000}"/>
    <cellStyle name="Normal 2 3 5 31 7 2" xfId="44542" xr:uid="{00000000-0005-0000-0000-0000117D0000}"/>
    <cellStyle name="Normal 2 3 5 31 8" xfId="44543" xr:uid="{00000000-0005-0000-0000-0000127D0000}"/>
    <cellStyle name="Normal 2 3 5 31 9" xfId="44544" xr:uid="{00000000-0005-0000-0000-0000137D0000}"/>
    <cellStyle name="Normal 2 3 5 32" xfId="13402" xr:uid="{00000000-0005-0000-0000-0000147D0000}"/>
    <cellStyle name="Normal 2 3 5 32 2" xfId="13403" xr:uid="{00000000-0005-0000-0000-0000157D0000}"/>
    <cellStyle name="Normal 2 3 5 32 2 2" xfId="13404" xr:uid="{00000000-0005-0000-0000-0000167D0000}"/>
    <cellStyle name="Normal 2 3 5 32 2 2 2" xfId="44545" xr:uid="{00000000-0005-0000-0000-0000177D0000}"/>
    <cellStyle name="Normal 2 3 5 32 2 3" xfId="13405" xr:uid="{00000000-0005-0000-0000-0000187D0000}"/>
    <cellStyle name="Normal 2 3 5 32 2 3 2" xfId="44546" xr:uid="{00000000-0005-0000-0000-0000197D0000}"/>
    <cellStyle name="Normal 2 3 5 32 2 4" xfId="44547" xr:uid="{00000000-0005-0000-0000-00001A7D0000}"/>
    <cellStyle name="Normal 2 3 5 32 3" xfId="13406" xr:uid="{00000000-0005-0000-0000-00001B7D0000}"/>
    <cellStyle name="Normal 2 3 5 32 3 2" xfId="44548" xr:uid="{00000000-0005-0000-0000-00001C7D0000}"/>
    <cellStyle name="Normal 2 3 5 32 4" xfId="13407" xr:uid="{00000000-0005-0000-0000-00001D7D0000}"/>
    <cellStyle name="Normal 2 3 5 32 4 2" xfId="44549" xr:uid="{00000000-0005-0000-0000-00001E7D0000}"/>
    <cellStyle name="Normal 2 3 5 32 5" xfId="13408" xr:uid="{00000000-0005-0000-0000-00001F7D0000}"/>
    <cellStyle name="Normal 2 3 5 32 5 2" xfId="44550" xr:uid="{00000000-0005-0000-0000-0000207D0000}"/>
    <cellStyle name="Normal 2 3 5 32 6" xfId="44551" xr:uid="{00000000-0005-0000-0000-0000217D0000}"/>
    <cellStyle name="Normal 2 3 5 32 6 2" xfId="44552" xr:uid="{00000000-0005-0000-0000-0000227D0000}"/>
    <cellStyle name="Normal 2 3 5 32 7" xfId="44553" xr:uid="{00000000-0005-0000-0000-0000237D0000}"/>
    <cellStyle name="Normal 2 3 5 33" xfId="13409" xr:uid="{00000000-0005-0000-0000-0000247D0000}"/>
    <cellStyle name="Normal 2 3 5 33 2" xfId="13410" xr:uid="{00000000-0005-0000-0000-0000257D0000}"/>
    <cellStyle name="Normal 2 3 5 33 2 2" xfId="44554" xr:uid="{00000000-0005-0000-0000-0000267D0000}"/>
    <cellStyle name="Normal 2 3 5 33 3" xfId="13411" xr:uid="{00000000-0005-0000-0000-0000277D0000}"/>
    <cellStyle name="Normal 2 3 5 33 3 2" xfId="44555" xr:uid="{00000000-0005-0000-0000-0000287D0000}"/>
    <cellStyle name="Normal 2 3 5 33 4" xfId="44556" xr:uid="{00000000-0005-0000-0000-0000297D0000}"/>
    <cellStyle name="Normal 2 3 5 34" xfId="13412" xr:uid="{00000000-0005-0000-0000-00002A7D0000}"/>
    <cellStyle name="Normal 2 3 5 34 2" xfId="13413" xr:uid="{00000000-0005-0000-0000-00002B7D0000}"/>
    <cellStyle name="Normal 2 3 5 34 2 2" xfId="44557" xr:uid="{00000000-0005-0000-0000-00002C7D0000}"/>
    <cellStyle name="Normal 2 3 5 34 3" xfId="44558" xr:uid="{00000000-0005-0000-0000-00002D7D0000}"/>
    <cellStyle name="Normal 2 3 5 35" xfId="13414" xr:uid="{00000000-0005-0000-0000-00002E7D0000}"/>
    <cellStyle name="Normal 2 3 5 35 2" xfId="44559" xr:uid="{00000000-0005-0000-0000-00002F7D0000}"/>
    <cellStyle name="Normal 2 3 5 36" xfId="13415" xr:uid="{00000000-0005-0000-0000-0000307D0000}"/>
    <cellStyle name="Normal 2 3 5 36 2" xfId="44560" xr:uid="{00000000-0005-0000-0000-0000317D0000}"/>
    <cellStyle name="Normal 2 3 5 37" xfId="44561" xr:uid="{00000000-0005-0000-0000-0000327D0000}"/>
    <cellStyle name="Normal 2 3 5 37 2" xfId="44562" xr:uid="{00000000-0005-0000-0000-0000337D0000}"/>
    <cellStyle name="Normal 2 3 5 38" xfId="44563" xr:uid="{00000000-0005-0000-0000-0000347D0000}"/>
    <cellStyle name="Normal 2 3 5 39" xfId="44564" xr:uid="{00000000-0005-0000-0000-0000357D0000}"/>
    <cellStyle name="Normal 2 3 5 4" xfId="13416" xr:uid="{00000000-0005-0000-0000-0000367D0000}"/>
    <cellStyle name="Normal 2 3 5 4 10" xfId="44565" xr:uid="{00000000-0005-0000-0000-0000377D0000}"/>
    <cellStyle name="Normal 2 3 5 4 11" xfId="44566" xr:uid="{00000000-0005-0000-0000-0000387D0000}"/>
    <cellStyle name="Normal 2 3 5 4 2" xfId="13417" xr:uid="{00000000-0005-0000-0000-0000397D0000}"/>
    <cellStyle name="Normal 2 3 5 4 2 10" xfId="44567" xr:uid="{00000000-0005-0000-0000-00003A7D0000}"/>
    <cellStyle name="Normal 2 3 5 4 2 2" xfId="13418" xr:uid="{00000000-0005-0000-0000-00003B7D0000}"/>
    <cellStyle name="Normal 2 3 5 4 2 2 2" xfId="13419" xr:uid="{00000000-0005-0000-0000-00003C7D0000}"/>
    <cellStyle name="Normal 2 3 5 4 2 2 2 2" xfId="13420" xr:uid="{00000000-0005-0000-0000-00003D7D0000}"/>
    <cellStyle name="Normal 2 3 5 4 2 2 2 2 2" xfId="44568" xr:uid="{00000000-0005-0000-0000-00003E7D0000}"/>
    <cellStyle name="Normal 2 3 5 4 2 2 2 3" xfId="13421" xr:uid="{00000000-0005-0000-0000-00003F7D0000}"/>
    <cellStyle name="Normal 2 3 5 4 2 2 2 3 2" xfId="44569" xr:uid="{00000000-0005-0000-0000-0000407D0000}"/>
    <cellStyle name="Normal 2 3 5 4 2 2 2 4" xfId="44570" xr:uid="{00000000-0005-0000-0000-0000417D0000}"/>
    <cellStyle name="Normal 2 3 5 4 2 2 3" xfId="13422" xr:uid="{00000000-0005-0000-0000-0000427D0000}"/>
    <cellStyle name="Normal 2 3 5 4 2 2 3 2" xfId="44571" xr:uid="{00000000-0005-0000-0000-0000437D0000}"/>
    <cellStyle name="Normal 2 3 5 4 2 2 4" xfId="13423" xr:uid="{00000000-0005-0000-0000-0000447D0000}"/>
    <cellStyle name="Normal 2 3 5 4 2 2 4 2" xfId="44572" xr:uid="{00000000-0005-0000-0000-0000457D0000}"/>
    <cellStyle name="Normal 2 3 5 4 2 2 5" xfId="13424" xr:uid="{00000000-0005-0000-0000-0000467D0000}"/>
    <cellStyle name="Normal 2 3 5 4 2 2 5 2" xfId="44573" xr:uid="{00000000-0005-0000-0000-0000477D0000}"/>
    <cellStyle name="Normal 2 3 5 4 2 2 6" xfId="44574" xr:uid="{00000000-0005-0000-0000-0000487D0000}"/>
    <cellStyle name="Normal 2 3 5 4 2 2 6 2" xfId="44575" xr:uid="{00000000-0005-0000-0000-0000497D0000}"/>
    <cellStyle name="Normal 2 3 5 4 2 2 7" xfId="44576" xr:uid="{00000000-0005-0000-0000-00004A7D0000}"/>
    <cellStyle name="Normal 2 3 5 4 2 3" xfId="13425" xr:uid="{00000000-0005-0000-0000-00004B7D0000}"/>
    <cellStyle name="Normal 2 3 5 4 2 3 2" xfId="13426" xr:uid="{00000000-0005-0000-0000-00004C7D0000}"/>
    <cellStyle name="Normal 2 3 5 4 2 3 2 2" xfId="44577" xr:uid="{00000000-0005-0000-0000-00004D7D0000}"/>
    <cellStyle name="Normal 2 3 5 4 2 3 3" xfId="13427" xr:uid="{00000000-0005-0000-0000-00004E7D0000}"/>
    <cellStyle name="Normal 2 3 5 4 2 3 3 2" xfId="44578" xr:uid="{00000000-0005-0000-0000-00004F7D0000}"/>
    <cellStyle name="Normal 2 3 5 4 2 3 4" xfId="44579" xr:uid="{00000000-0005-0000-0000-0000507D0000}"/>
    <cellStyle name="Normal 2 3 5 4 2 4" xfId="13428" xr:uid="{00000000-0005-0000-0000-0000517D0000}"/>
    <cellStyle name="Normal 2 3 5 4 2 4 2" xfId="13429" xr:uid="{00000000-0005-0000-0000-0000527D0000}"/>
    <cellStyle name="Normal 2 3 5 4 2 4 2 2" xfId="44580" xr:uid="{00000000-0005-0000-0000-0000537D0000}"/>
    <cellStyle name="Normal 2 3 5 4 2 4 3" xfId="44581" xr:uid="{00000000-0005-0000-0000-0000547D0000}"/>
    <cellStyle name="Normal 2 3 5 4 2 5" xfId="13430" xr:uid="{00000000-0005-0000-0000-0000557D0000}"/>
    <cellStyle name="Normal 2 3 5 4 2 5 2" xfId="44582" xr:uid="{00000000-0005-0000-0000-0000567D0000}"/>
    <cellStyle name="Normal 2 3 5 4 2 6" xfId="13431" xr:uid="{00000000-0005-0000-0000-0000577D0000}"/>
    <cellStyle name="Normal 2 3 5 4 2 6 2" xfId="44583" xr:uid="{00000000-0005-0000-0000-0000587D0000}"/>
    <cellStyle name="Normal 2 3 5 4 2 7" xfId="44584" xr:uid="{00000000-0005-0000-0000-0000597D0000}"/>
    <cellStyle name="Normal 2 3 5 4 2 7 2" xfId="44585" xr:uid="{00000000-0005-0000-0000-00005A7D0000}"/>
    <cellStyle name="Normal 2 3 5 4 2 8" xfId="44586" xr:uid="{00000000-0005-0000-0000-00005B7D0000}"/>
    <cellStyle name="Normal 2 3 5 4 2 9" xfId="44587" xr:uid="{00000000-0005-0000-0000-00005C7D0000}"/>
    <cellStyle name="Normal 2 3 5 4 3" xfId="13432" xr:uid="{00000000-0005-0000-0000-00005D7D0000}"/>
    <cellStyle name="Normal 2 3 5 4 3 2" xfId="13433" xr:uid="{00000000-0005-0000-0000-00005E7D0000}"/>
    <cellStyle name="Normal 2 3 5 4 3 2 2" xfId="13434" xr:uid="{00000000-0005-0000-0000-00005F7D0000}"/>
    <cellStyle name="Normal 2 3 5 4 3 2 2 2" xfId="44588" xr:uid="{00000000-0005-0000-0000-0000607D0000}"/>
    <cellStyle name="Normal 2 3 5 4 3 2 3" xfId="13435" xr:uid="{00000000-0005-0000-0000-0000617D0000}"/>
    <cellStyle name="Normal 2 3 5 4 3 2 3 2" xfId="44589" xr:uid="{00000000-0005-0000-0000-0000627D0000}"/>
    <cellStyle name="Normal 2 3 5 4 3 2 4" xfId="44590" xr:uid="{00000000-0005-0000-0000-0000637D0000}"/>
    <cellStyle name="Normal 2 3 5 4 3 3" xfId="13436" xr:uid="{00000000-0005-0000-0000-0000647D0000}"/>
    <cellStyle name="Normal 2 3 5 4 3 3 2" xfId="44591" xr:uid="{00000000-0005-0000-0000-0000657D0000}"/>
    <cellStyle name="Normal 2 3 5 4 3 4" xfId="13437" xr:uid="{00000000-0005-0000-0000-0000667D0000}"/>
    <cellStyle name="Normal 2 3 5 4 3 4 2" xfId="44592" xr:uid="{00000000-0005-0000-0000-0000677D0000}"/>
    <cellStyle name="Normal 2 3 5 4 3 5" xfId="13438" xr:uid="{00000000-0005-0000-0000-0000687D0000}"/>
    <cellStyle name="Normal 2 3 5 4 3 5 2" xfId="44593" xr:uid="{00000000-0005-0000-0000-0000697D0000}"/>
    <cellStyle name="Normal 2 3 5 4 3 6" xfId="44594" xr:uid="{00000000-0005-0000-0000-00006A7D0000}"/>
    <cellStyle name="Normal 2 3 5 4 3 6 2" xfId="44595" xr:uid="{00000000-0005-0000-0000-00006B7D0000}"/>
    <cellStyle name="Normal 2 3 5 4 3 7" xfId="44596" xr:uid="{00000000-0005-0000-0000-00006C7D0000}"/>
    <cellStyle name="Normal 2 3 5 4 4" xfId="13439" xr:uid="{00000000-0005-0000-0000-00006D7D0000}"/>
    <cellStyle name="Normal 2 3 5 4 4 2" xfId="13440" xr:uid="{00000000-0005-0000-0000-00006E7D0000}"/>
    <cellStyle name="Normal 2 3 5 4 4 2 2" xfId="44597" xr:uid="{00000000-0005-0000-0000-00006F7D0000}"/>
    <cellStyle name="Normal 2 3 5 4 4 3" xfId="13441" xr:uid="{00000000-0005-0000-0000-0000707D0000}"/>
    <cellStyle name="Normal 2 3 5 4 4 3 2" xfId="44598" xr:uid="{00000000-0005-0000-0000-0000717D0000}"/>
    <cellStyle name="Normal 2 3 5 4 4 4" xfId="44599" xr:uid="{00000000-0005-0000-0000-0000727D0000}"/>
    <cellStyle name="Normal 2 3 5 4 5" xfId="13442" xr:uid="{00000000-0005-0000-0000-0000737D0000}"/>
    <cellStyle name="Normal 2 3 5 4 5 2" xfId="13443" xr:uid="{00000000-0005-0000-0000-0000747D0000}"/>
    <cellStyle name="Normal 2 3 5 4 5 2 2" xfId="44600" xr:uid="{00000000-0005-0000-0000-0000757D0000}"/>
    <cellStyle name="Normal 2 3 5 4 5 3" xfId="44601" xr:uid="{00000000-0005-0000-0000-0000767D0000}"/>
    <cellStyle name="Normal 2 3 5 4 6" xfId="13444" xr:uid="{00000000-0005-0000-0000-0000777D0000}"/>
    <cellStyle name="Normal 2 3 5 4 6 2" xfId="44602" xr:uid="{00000000-0005-0000-0000-0000787D0000}"/>
    <cellStyle name="Normal 2 3 5 4 7" xfId="13445" xr:uid="{00000000-0005-0000-0000-0000797D0000}"/>
    <cellStyle name="Normal 2 3 5 4 7 2" xfId="44603" xr:uid="{00000000-0005-0000-0000-00007A7D0000}"/>
    <cellStyle name="Normal 2 3 5 4 8" xfId="44604" xr:uid="{00000000-0005-0000-0000-00007B7D0000}"/>
    <cellStyle name="Normal 2 3 5 4 8 2" xfId="44605" xr:uid="{00000000-0005-0000-0000-00007C7D0000}"/>
    <cellStyle name="Normal 2 3 5 4 9" xfId="44606" xr:uid="{00000000-0005-0000-0000-00007D7D0000}"/>
    <cellStyle name="Normal 2 3 5 40" xfId="44607" xr:uid="{00000000-0005-0000-0000-00007E7D0000}"/>
    <cellStyle name="Normal 2 3 5 5" xfId="13446" xr:uid="{00000000-0005-0000-0000-00007F7D0000}"/>
    <cellStyle name="Normal 2 3 5 5 10" xfId="44608" xr:uid="{00000000-0005-0000-0000-0000807D0000}"/>
    <cellStyle name="Normal 2 3 5 5 11" xfId="44609" xr:uid="{00000000-0005-0000-0000-0000817D0000}"/>
    <cellStyle name="Normal 2 3 5 5 2" xfId="13447" xr:uid="{00000000-0005-0000-0000-0000827D0000}"/>
    <cellStyle name="Normal 2 3 5 5 2 10" xfId="44610" xr:uid="{00000000-0005-0000-0000-0000837D0000}"/>
    <cellStyle name="Normal 2 3 5 5 2 2" xfId="13448" xr:uid="{00000000-0005-0000-0000-0000847D0000}"/>
    <cellStyle name="Normal 2 3 5 5 2 2 2" xfId="13449" xr:uid="{00000000-0005-0000-0000-0000857D0000}"/>
    <cellStyle name="Normal 2 3 5 5 2 2 2 2" xfId="13450" xr:uid="{00000000-0005-0000-0000-0000867D0000}"/>
    <cellStyle name="Normal 2 3 5 5 2 2 2 2 2" xfId="44611" xr:uid="{00000000-0005-0000-0000-0000877D0000}"/>
    <cellStyle name="Normal 2 3 5 5 2 2 2 3" xfId="13451" xr:uid="{00000000-0005-0000-0000-0000887D0000}"/>
    <cellStyle name="Normal 2 3 5 5 2 2 2 3 2" xfId="44612" xr:uid="{00000000-0005-0000-0000-0000897D0000}"/>
    <cellStyle name="Normal 2 3 5 5 2 2 2 4" xfId="44613" xr:uid="{00000000-0005-0000-0000-00008A7D0000}"/>
    <cellStyle name="Normal 2 3 5 5 2 2 3" xfId="13452" xr:uid="{00000000-0005-0000-0000-00008B7D0000}"/>
    <cellStyle name="Normal 2 3 5 5 2 2 3 2" xfId="44614" xr:uid="{00000000-0005-0000-0000-00008C7D0000}"/>
    <cellStyle name="Normal 2 3 5 5 2 2 4" xfId="13453" xr:uid="{00000000-0005-0000-0000-00008D7D0000}"/>
    <cellStyle name="Normal 2 3 5 5 2 2 4 2" xfId="44615" xr:uid="{00000000-0005-0000-0000-00008E7D0000}"/>
    <cellStyle name="Normal 2 3 5 5 2 2 5" xfId="13454" xr:uid="{00000000-0005-0000-0000-00008F7D0000}"/>
    <cellStyle name="Normal 2 3 5 5 2 2 5 2" xfId="44616" xr:uid="{00000000-0005-0000-0000-0000907D0000}"/>
    <cellStyle name="Normal 2 3 5 5 2 2 6" xfId="44617" xr:uid="{00000000-0005-0000-0000-0000917D0000}"/>
    <cellStyle name="Normal 2 3 5 5 2 2 6 2" xfId="44618" xr:uid="{00000000-0005-0000-0000-0000927D0000}"/>
    <cellStyle name="Normal 2 3 5 5 2 2 7" xfId="44619" xr:uid="{00000000-0005-0000-0000-0000937D0000}"/>
    <cellStyle name="Normal 2 3 5 5 2 3" xfId="13455" xr:uid="{00000000-0005-0000-0000-0000947D0000}"/>
    <cellStyle name="Normal 2 3 5 5 2 3 2" xfId="13456" xr:uid="{00000000-0005-0000-0000-0000957D0000}"/>
    <cellStyle name="Normal 2 3 5 5 2 3 2 2" xfId="44620" xr:uid="{00000000-0005-0000-0000-0000967D0000}"/>
    <cellStyle name="Normal 2 3 5 5 2 3 3" xfId="13457" xr:uid="{00000000-0005-0000-0000-0000977D0000}"/>
    <cellStyle name="Normal 2 3 5 5 2 3 3 2" xfId="44621" xr:uid="{00000000-0005-0000-0000-0000987D0000}"/>
    <cellStyle name="Normal 2 3 5 5 2 3 4" xfId="44622" xr:uid="{00000000-0005-0000-0000-0000997D0000}"/>
    <cellStyle name="Normal 2 3 5 5 2 4" xfId="13458" xr:uid="{00000000-0005-0000-0000-00009A7D0000}"/>
    <cellStyle name="Normal 2 3 5 5 2 4 2" xfId="13459" xr:uid="{00000000-0005-0000-0000-00009B7D0000}"/>
    <cellStyle name="Normal 2 3 5 5 2 4 2 2" xfId="44623" xr:uid="{00000000-0005-0000-0000-00009C7D0000}"/>
    <cellStyle name="Normal 2 3 5 5 2 4 3" xfId="44624" xr:uid="{00000000-0005-0000-0000-00009D7D0000}"/>
    <cellStyle name="Normal 2 3 5 5 2 5" xfId="13460" xr:uid="{00000000-0005-0000-0000-00009E7D0000}"/>
    <cellStyle name="Normal 2 3 5 5 2 5 2" xfId="44625" xr:uid="{00000000-0005-0000-0000-00009F7D0000}"/>
    <cellStyle name="Normal 2 3 5 5 2 6" xfId="13461" xr:uid="{00000000-0005-0000-0000-0000A07D0000}"/>
    <cellStyle name="Normal 2 3 5 5 2 6 2" xfId="44626" xr:uid="{00000000-0005-0000-0000-0000A17D0000}"/>
    <cellStyle name="Normal 2 3 5 5 2 7" xfId="44627" xr:uid="{00000000-0005-0000-0000-0000A27D0000}"/>
    <cellStyle name="Normal 2 3 5 5 2 7 2" xfId="44628" xr:uid="{00000000-0005-0000-0000-0000A37D0000}"/>
    <cellStyle name="Normal 2 3 5 5 2 8" xfId="44629" xr:uid="{00000000-0005-0000-0000-0000A47D0000}"/>
    <cellStyle name="Normal 2 3 5 5 2 9" xfId="44630" xr:uid="{00000000-0005-0000-0000-0000A57D0000}"/>
    <cellStyle name="Normal 2 3 5 5 3" xfId="13462" xr:uid="{00000000-0005-0000-0000-0000A67D0000}"/>
    <cellStyle name="Normal 2 3 5 5 3 2" xfId="13463" xr:uid="{00000000-0005-0000-0000-0000A77D0000}"/>
    <cellStyle name="Normal 2 3 5 5 3 2 2" xfId="13464" xr:uid="{00000000-0005-0000-0000-0000A87D0000}"/>
    <cellStyle name="Normal 2 3 5 5 3 2 2 2" xfId="44631" xr:uid="{00000000-0005-0000-0000-0000A97D0000}"/>
    <cellStyle name="Normal 2 3 5 5 3 2 3" xfId="13465" xr:uid="{00000000-0005-0000-0000-0000AA7D0000}"/>
    <cellStyle name="Normal 2 3 5 5 3 2 3 2" xfId="44632" xr:uid="{00000000-0005-0000-0000-0000AB7D0000}"/>
    <cellStyle name="Normal 2 3 5 5 3 2 4" xfId="44633" xr:uid="{00000000-0005-0000-0000-0000AC7D0000}"/>
    <cellStyle name="Normal 2 3 5 5 3 3" xfId="13466" xr:uid="{00000000-0005-0000-0000-0000AD7D0000}"/>
    <cellStyle name="Normal 2 3 5 5 3 3 2" xfId="44634" xr:uid="{00000000-0005-0000-0000-0000AE7D0000}"/>
    <cellStyle name="Normal 2 3 5 5 3 4" xfId="13467" xr:uid="{00000000-0005-0000-0000-0000AF7D0000}"/>
    <cellStyle name="Normal 2 3 5 5 3 4 2" xfId="44635" xr:uid="{00000000-0005-0000-0000-0000B07D0000}"/>
    <cellStyle name="Normal 2 3 5 5 3 5" xfId="13468" xr:uid="{00000000-0005-0000-0000-0000B17D0000}"/>
    <cellStyle name="Normal 2 3 5 5 3 5 2" xfId="44636" xr:uid="{00000000-0005-0000-0000-0000B27D0000}"/>
    <cellStyle name="Normal 2 3 5 5 3 6" xfId="44637" xr:uid="{00000000-0005-0000-0000-0000B37D0000}"/>
    <cellStyle name="Normal 2 3 5 5 3 6 2" xfId="44638" xr:uid="{00000000-0005-0000-0000-0000B47D0000}"/>
    <cellStyle name="Normal 2 3 5 5 3 7" xfId="44639" xr:uid="{00000000-0005-0000-0000-0000B57D0000}"/>
    <cellStyle name="Normal 2 3 5 5 4" xfId="13469" xr:uid="{00000000-0005-0000-0000-0000B67D0000}"/>
    <cellStyle name="Normal 2 3 5 5 4 2" xfId="13470" xr:uid="{00000000-0005-0000-0000-0000B77D0000}"/>
    <cellStyle name="Normal 2 3 5 5 4 2 2" xfId="44640" xr:uid="{00000000-0005-0000-0000-0000B87D0000}"/>
    <cellStyle name="Normal 2 3 5 5 4 3" xfId="13471" xr:uid="{00000000-0005-0000-0000-0000B97D0000}"/>
    <cellStyle name="Normal 2 3 5 5 4 3 2" xfId="44641" xr:uid="{00000000-0005-0000-0000-0000BA7D0000}"/>
    <cellStyle name="Normal 2 3 5 5 4 4" xfId="44642" xr:uid="{00000000-0005-0000-0000-0000BB7D0000}"/>
    <cellStyle name="Normal 2 3 5 5 5" xfId="13472" xr:uid="{00000000-0005-0000-0000-0000BC7D0000}"/>
    <cellStyle name="Normal 2 3 5 5 5 2" xfId="13473" xr:uid="{00000000-0005-0000-0000-0000BD7D0000}"/>
    <cellStyle name="Normal 2 3 5 5 5 2 2" xfId="44643" xr:uid="{00000000-0005-0000-0000-0000BE7D0000}"/>
    <cellStyle name="Normal 2 3 5 5 5 3" xfId="44644" xr:uid="{00000000-0005-0000-0000-0000BF7D0000}"/>
    <cellStyle name="Normal 2 3 5 5 6" xfId="13474" xr:uid="{00000000-0005-0000-0000-0000C07D0000}"/>
    <cellStyle name="Normal 2 3 5 5 6 2" xfId="44645" xr:uid="{00000000-0005-0000-0000-0000C17D0000}"/>
    <cellStyle name="Normal 2 3 5 5 7" xfId="13475" xr:uid="{00000000-0005-0000-0000-0000C27D0000}"/>
    <cellStyle name="Normal 2 3 5 5 7 2" xfId="44646" xr:uid="{00000000-0005-0000-0000-0000C37D0000}"/>
    <cellStyle name="Normal 2 3 5 5 8" xfId="44647" xr:uid="{00000000-0005-0000-0000-0000C47D0000}"/>
    <cellStyle name="Normal 2 3 5 5 8 2" xfId="44648" xr:uid="{00000000-0005-0000-0000-0000C57D0000}"/>
    <cellStyle name="Normal 2 3 5 5 9" xfId="44649" xr:uid="{00000000-0005-0000-0000-0000C67D0000}"/>
    <cellStyle name="Normal 2 3 5 6" xfId="13476" xr:uid="{00000000-0005-0000-0000-0000C77D0000}"/>
    <cellStyle name="Normal 2 3 5 6 10" xfId="44650" xr:uid="{00000000-0005-0000-0000-0000C87D0000}"/>
    <cellStyle name="Normal 2 3 5 6 11" xfId="44651" xr:uid="{00000000-0005-0000-0000-0000C97D0000}"/>
    <cellStyle name="Normal 2 3 5 6 2" xfId="13477" xr:uid="{00000000-0005-0000-0000-0000CA7D0000}"/>
    <cellStyle name="Normal 2 3 5 6 2 10" xfId="44652" xr:uid="{00000000-0005-0000-0000-0000CB7D0000}"/>
    <cellStyle name="Normal 2 3 5 6 2 2" xfId="13478" xr:uid="{00000000-0005-0000-0000-0000CC7D0000}"/>
    <cellStyle name="Normal 2 3 5 6 2 2 2" xfId="13479" xr:uid="{00000000-0005-0000-0000-0000CD7D0000}"/>
    <cellStyle name="Normal 2 3 5 6 2 2 2 2" xfId="13480" xr:uid="{00000000-0005-0000-0000-0000CE7D0000}"/>
    <cellStyle name="Normal 2 3 5 6 2 2 2 2 2" xfId="44653" xr:uid="{00000000-0005-0000-0000-0000CF7D0000}"/>
    <cellStyle name="Normal 2 3 5 6 2 2 2 3" xfId="13481" xr:uid="{00000000-0005-0000-0000-0000D07D0000}"/>
    <cellStyle name="Normal 2 3 5 6 2 2 2 3 2" xfId="44654" xr:uid="{00000000-0005-0000-0000-0000D17D0000}"/>
    <cellStyle name="Normal 2 3 5 6 2 2 2 4" xfId="44655" xr:uid="{00000000-0005-0000-0000-0000D27D0000}"/>
    <cellStyle name="Normal 2 3 5 6 2 2 3" xfId="13482" xr:uid="{00000000-0005-0000-0000-0000D37D0000}"/>
    <cellStyle name="Normal 2 3 5 6 2 2 3 2" xfId="44656" xr:uid="{00000000-0005-0000-0000-0000D47D0000}"/>
    <cellStyle name="Normal 2 3 5 6 2 2 4" xfId="13483" xr:uid="{00000000-0005-0000-0000-0000D57D0000}"/>
    <cellStyle name="Normal 2 3 5 6 2 2 4 2" xfId="44657" xr:uid="{00000000-0005-0000-0000-0000D67D0000}"/>
    <cellStyle name="Normal 2 3 5 6 2 2 5" xfId="13484" xr:uid="{00000000-0005-0000-0000-0000D77D0000}"/>
    <cellStyle name="Normal 2 3 5 6 2 2 5 2" xfId="44658" xr:uid="{00000000-0005-0000-0000-0000D87D0000}"/>
    <cellStyle name="Normal 2 3 5 6 2 2 6" xfId="44659" xr:uid="{00000000-0005-0000-0000-0000D97D0000}"/>
    <cellStyle name="Normal 2 3 5 6 2 2 6 2" xfId="44660" xr:uid="{00000000-0005-0000-0000-0000DA7D0000}"/>
    <cellStyle name="Normal 2 3 5 6 2 2 7" xfId="44661" xr:uid="{00000000-0005-0000-0000-0000DB7D0000}"/>
    <cellStyle name="Normal 2 3 5 6 2 3" xfId="13485" xr:uid="{00000000-0005-0000-0000-0000DC7D0000}"/>
    <cellStyle name="Normal 2 3 5 6 2 3 2" xfId="13486" xr:uid="{00000000-0005-0000-0000-0000DD7D0000}"/>
    <cellStyle name="Normal 2 3 5 6 2 3 2 2" xfId="44662" xr:uid="{00000000-0005-0000-0000-0000DE7D0000}"/>
    <cellStyle name="Normal 2 3 5 6 2 3 3" xfId="13487" xr:uid="{00000000-0005-0000-0000-0000DF7D0000}"/>
    <cellStyle name="Normal 2 3 5 6 2 3 3 2" xfId="44663" xr:uid="{00000000-0005-0000-0000-0000E07D0000}"/>
    <cellStyle name="Normal 2 3 5 6 2 3 4" xfId="44664" xr:uid="{00000000-0005-0000-0000-0000E17D0000}"/>
    <cellStyle name="Normal 2 3 5 6 2 4" xfId="13488" xr:uid="{00000000-0005-0000-0000-0000E27D0000}"/>
    <cellStyle name="Normal 2 3 5 6 2 4 2" xfId="13489" xr:uid="{00000000-0005-0000-0000-0000E37D0000}"/>
    <cellStyle name="Normal 2 3 5 6 2 4 2 2" xfId="44665" xr:uid="{00000000-0005-0000-0000-0000E47D0000}"/>
    <cellStyle name="Normal 2 3 5 6 2 4 3" xfId="44666" xr:uid="{00000000-0005-0000-0000-0000E57D0000}"/>
    <cellStyle name="Normal 2 3 5 6 2 5" xfId="13490" xr:uid="{00000000-0005-0000-0000-0000E67D0000}"/>
    <cellStyle name="Normal 2 3 5 6 2 5 2" xfId="44667" xr:uid="{00000000-0005-0000-0000-0000E77D0000}"/>
    <cellStyle name="Normal 2 3 5 6 2 6" xfId="13491" xr:uid="{00000000-0005-0000-0000-0000E87D0000}"/>
    <cellStyle name="Normal 2 3 5 6 2 6 2" xfId="44668" xr:uid="{00000000-0005-0000-0000-0000E97D0000}"/>
    <cellStyle name="Normal 2 3 5 6 2 7" xfId="44669" xr:uid="{00000000-0005-0000-0000-0000EA7D0000}"/>
    <cellStyle name="Normal 2 3 5 6 2 7 2" xfId="44670" xr:uid="{00000000-0005-0000-0000-0000EB7D0000}"/>
    <cellStyle name="Normal 2 3 5 6 2 8" xfId="44671" xr:uid="{00000000-0005-0000-0000-0000EC7D0000}"/>
    <cellStyle name="Normal 2 3 5 6 2 9" xfId="44672" xr:uid="{00000000-0005-0000-0000-0000ED7D0000}"/>
    <cellStyle name="Normal 2 3 5 6 3" xfId="13492" xr:uid="{00000000-0005-0000-0000-0000EE7D0000}"/>
    <cellStyle name="Normal 2 3 5 6 3 2" xfId="13493" xr:uid="{00000000-0005-0000-0000-0000EF7D0000}"/>
    <cellStyle name="Normal 2 3 5 6 3 2 2" xfId="13494" xr:uid="{00000000-0005-0000-0000-0000F07D0000}"/>
    <cellStyle name="Normal 2 3 5 6 3 2 2 2" xfId="44673" xr:uid="{00000000-0005-0000-0000-0000F17D0000}"/>
    <cellStyle name="Normal 2 3 5 6 3 2 3" xfId="13495" xr:uid="{00000000-0005-0000-0000-0000F27D0000}"/>
    <cellStyle name="Normal 2 3 5 6 3 2 3 2" xfId="44674" xr:uid="{00000000-0005-0000-0000-0000F37D0000}"/>
    <cellStyle name="Normal 2 3 5 6 3 2 4" xfId="44675" xr:uid="{00000000-0005-0000-0000-0000F47D0000}"/>
    <cellStyle name="Normal 2 3 5 6 3 3" xfId="13496" xr:uid="{00000000-0005-0000-0000-0000F57D0000}"/>
    <cellStyle name="Normal 2 3 5 6 3 3 2" xfId="44676" xr:uid="{00000000-0005-0000-0000-0000F67D0000}"/>
    <cellStyle name="Normal 2 3 5 6 3 4" xfId="13497" xr:uid="{00000000-0005-0000-0000-0000F77D0000}"/>
    <cellStyle name="Normal 2 3 5 6 3 4 2" xfId="44677" xr:uid="{00000000-0005-0000-0000-0000F87D0000}"/>
    <cellStyle name="Normal 2 3 5 6 3 5" xfId="13498" xr:uid="{00000000-0005-0000-0000-0000F97D0000}"/>
    <cellStyle name="Normal 2 3 5 6 3 5 2" xfId="44678" xr:uid="{00000000-0005-0000-0000-0000FA7D0000}"/>
    <cellStyle name="Normal 2 3 5 6 3 6" xfId="44679" xr:uid="{00000000-0005-0000-0000-0000FB7D0000}"/>
    <cellStyle name="Normal 2 3 5 6 3 6 2" xfId="44680" xr:uid="{00000000-0005-0000-0000-0000FC7D0000}"/>
    <cellStyle name="Normal 2 3 5 6 3 7" xfId="44681" xr:uid="{00000000-0005-0000-0000-0000FD7D0000}"/>
    <cellStyle name="Normal 2 3 5 6 4" xfId="13499" xr:uid="{00000000-0005-0000-0000-0000FE7D0000}"/>
    <cellStyle name="Normal 2 3 5 6 4 2" xfId="13500" xr:uid="{00000000-0005-0000-0000-0000FF7D0000}"/>
    <cellStyle name="Normal 2 3 5 6 4 2 2" xfId="44682" xr:uid="{00000000-0005-0000-0000-0000007E0000}"/>
    <cellStyle name="Normal 2 3 5 6 4 3" xfId="13501" xr:uid="{00000000-0005-0000-0000-0000017E0000}"/>
    <cellStyle name="Normal 2 3 5 6 4 3 2" xfId="44683" xr:uid="{00000000-0005-0000-0000-0000027E0000}"/>
    <cellStyle name="Normal 2 3 5 6 4 4" xfId="44684" xr:uid="{00000000-0005-0000-0000-0000037E0000}"/>
    <cellStyle name="Normal 2 3 5 6 5" xfId="13502" xr:uid="{00000000-0005-0000-0000-0000047E0000}"/>
    <cellStyle name="Normal 2 3 5 6 5 2" xfId="13503" xr:uid="{00000000-0005-0000-0000-0000057E0000}"/>
    <cellStyle name="Normal 2 3 5 6 5 2 2" xfId="44685" xr:uid="{00000000-0005-0000-0000-0000067E0000}"/>
    <cellStyle name="Normal 2 3 5 6 5 3" xfId="44686" xr:uid="{00000000-0005-0000-0000-0000077E0000}"/>
    <cellStyle name="Normal 2 3 5 6 6" xfId="13504" xr:uid="{00000000-0005-0000-0000-0000087E0000}"/>
    <cellStyle name="Normal 2 3 5 6 6 2" xfId="44687" xr:uid="{00000000-0005-0000-0000-0000097E0000}"/>
    <cellStyle name="Normal 2 3 5 6 7" xfId="13505" xr:uid="{00000000-0005-0000-0000-00000A7E0000}"/>
    <cellStyle name="Normal 2 3 5 6 7 2" xfId="44688" xr:uid="{00000000-0005-0000-0000-00000B7E0000}"/>
    <cellStyle name="Normal 2 3 5 6 8" xfId="44689" xr:uid="{00000000-0005-0000-0000-00000C7E0000}"/>
    <cellStyle name="Normal 2 3 5 6 8 2" xfId="44690" xr:uid="{00000000-0005-0000-0000-00000D7E0000}"/>
    <cellStyle name="Normal 2 3 5 6 9" xfId="44691" xr:uid="{00000000-0005-0000-0000-00000E7E0000}"/>
    <cellStyle name="Normal 2 3 5 7" xfId="13506" xr:uid="{00000000-0005-0000-0000-00000F7E0000}"/>
    <cellStyle name="Normal 2 3 5 7 10" xfId="44692" xr:uid="{00000000-0005-0000-0000-0000107E0000}"/>
    <cellStyle name="Normal 2 3 5 7 11" xfId="44693" xr:uid="{00000000-0005-0000-0000-0000117E0000}"/>
    <cellStyle name="Normal 2 3 5 7 2" xfId="13507" xr:uid="{00000000-0005-0000-0000-0000127E0000}"/>
    <cellStyle name="Normal 2 3 5 7 2 10" xfId="44694" xr:uid="{00000000-0005-0000-0000-0000137E0000}"/>
    <cellStyle name="Normal 2 3 5 7 2 2" xfId="13508" xr:uid="{00000000-0005-0000-0000-0000147E0000}"/>
    <cellStyle name="Normal 2 3 5 7 2 2 2" xfId="13509" xr:uid="{00000000-0005-0000-0000-0000157E0000}"/>
    <cellStyle name="Normal 2 3 5 7 2 2 2 2" xfId="13510" xr:uid="{00000000-0005-0000-0000-0000167E0000}"/>
    <cellStyle name="Normal 2 3 5 7 2 2 2 2 2" xfId="44695" xr:uid="{00000000-0005-0000-0000-0000177E0000}"/>
    <cellStyle name="Normal 2 3 5 7 2 2 2 3" xfId="13511" xr:uid="{00000000-0005-0000-0000-0000187E0000}"/>
    <cellStyle name="Normal 2 3 5 7 2 2 2 3 2" xfId="44696" xr:uid="{00000000-0005-0000-0000-0000197E0000}"/>
    <cellStyle name="Normal 2 3 5 7 2 2 2 4" xfId="44697" xr:uid="{00000000-0005-0000-0000-00001A7E0000}"/>
    <cellStyle name="Normal 2 3 5 7 2 2 3" xfId="13512" xr:uid="{00000000-0005-0000-0000-00001B7E0000}"/>
    <cellStyle name="Normal 2 3 5 7 2 2 3 2" xfId="44698" xr:uid="{00000000-0005-0000-0000-00001C7E0000}"/>
    <cellStyle name="Normal 2 3 5 7 2 2 4" xfId="13513" xr:uid="{00000000-0005-0000-0000-00001D7E0000}"/>
    <cellStyle name="Normal 2 3 5 7 2 2 4 2" xfId="44699" xr:uid="{00000000-0005-0000-0000-00001E7E0000}"/>
    <cellStyle name="Normal 2 3 5 7 2 2 5" xfId="13514" xr:uid="{00000000-0005-0000-0000-00001F7E0000}"/>
    <cellStyle name="Normal 2 3 5 7 2 2 5 2" xfId="44700" xr:uid="{00000000-0005-0000-0000-0000207E0000}"/>
    <cellStyle name="Normal 2 3 5 7 2 2 6" xfId="44701" xr:uid="{00000000-0005-0000-0000-0000217E0000}"/>
    <cellStyle name="Normal 2 3 5 7 2 2 6 2" xfId="44702" xr:uid="{00000000-0005-0000-0000-0000227E0000}"/>
    <cellStyle name="Normal 2 3 5 7 2 2 7" xfId="44703" xr:uid="{00000000-0005-0000-0000-0000237E0000}"/>
    <cellStyle name="Normal 2 3 5 7 2 3" xfId="13515" xr:uid="{00000000-0005-0000-0000-0000247E0000}"/>
    <cellStyle name="Normal 2 3 5 7 2 3 2" xfId="13516" xr:uid="{00000000-0005-0000-0000-0000257E0000}"/>
    <cellStyle name="Normal 2 3 5 7 2 3 2 2" xfId="44704" xr:uid="{00000000-0005-0000-0000-0000267E0000}"/>
    <cellStyle name="Normal 2 3 5 7 2 3 3" xfId="13517" xr:uid="{00000000-0005-0000-0000-0000277E0000}"/>
    <cellStyle name="Normal 2 3 5 7 2 3 3 2" xfId="44705" xr:uid="{00000000-0005-0000-0000-0000287E0000}"/>
    <cellStyle name="Normal 2 3 5 7 2 3 4" xfId="44706" xr:uid="{00000000-0005-0000-0000-0000297E0000}"/>
    <cellStyle name="Normal 2 3 5 7 2 4" xfId="13518" xr:uid="{00000000-0005-0000-0000-00002A7E0000}"/>
    <cellStyle name="Normal 2 3 5 7 2 4 2" xfId="13519" xr:uid="{00000000-0005-0000-0000-00002B7E0000}"/>
    <cellStyle name="Normal 2 3 5 7 2 4 2 2" xfId="44707" xr:uid="{00000000-0005-0000-0000-00002C7E0000}"/>
    <cellStyle name="Normal 2 3 5 7 2 4 3" xfId="44708" xr:uid="{00000000-0005-0000-0000-00002D7E0000}"/>
    <cellStyle name="Normal 2 3 5 7 2 5" xfId="13520" xr:uid="{00000000-0005-0000-0000-00002E7E0000}"/>
    <cellStyle name="Normal 2 3 5 7 2 5 2" xfId="44709" xr:uid="{00000000-0005-0000-0000-00002F7E0000}"/>
    <cellStyle name="Normal 2 3 5 7 2 6" xfId="13521" xr:uid="{00000000-0005-0000-0000-0000307E0000}"/>
    <cellStyle name="Normal 2 3 5 7 2 6 2" xfId="44710" xr:uid="{00000000-0005-0000-0000-0000317E0000}"/>
    <cellStyle name="Normal 2 3 5 7 2 7" xfId="44711" xr:uid="{00000000-0005-0000-0000-0000327E0000}"/>
    <cellStyle name="Normal 2 3 5 7 2 7 2" xfId="44712" xr:uid="{00000000-0005-0000-0000-0000337E0000}"/>
    <cellStyle name="Normal 2 3 5 7 2 8" xfId="44713" xr:uid="{00000000-0005-0000-0000-0000347E0000}"/>
    <cellStyle name="Normal 2 3 5 7 2 9" xfId="44714" xr:uid="{00000000-0005-0000-0000-0000357E0000}"/>
    <cellStyle name="Normal 2 3 5 7 3" xfId="13522" xr:uid="{00000000-0005-0000-0000-0000367E0000}"/>
    <cellStyle name="Normal 2 3 5 7 3 2" xfId="13523" xr:uid="{00000000-0005-0000-0000-0000377E0000}"/>
    <cellStyle name="Normal 2 3 5 7 3 2 2" xfId="13524" xr:uid="{00000000-0005-0000-0000-0000387E0000}"/>
    <cellStyle name="Normal 2 3 5 7 3 2 2 2" xfId="44715" xr:uid="{00000000-0005-0000-0000-0000397E0000}"/>
    <cellStyle name="Normal 2 3 5 7 3 2 3" xfId="13525" xr:uid="{00000000-0005-0000-0000-00003A7E0000}"/>
    <cellStyle name="Normal 2 3 5 7 3 2 3 2" xfId="44716" xr:uid="{00000000-0005-0000-0000-00003B7E0000}"/>
    <cellStyle name="Normal 2 3 5 7 3 2 4" xfId="44717" xr:uid="{00000000-0005-0000-0000-00003C7E0000}"/>
    <cellStyle name="Normal 2 3 5 7 3 3" xfId="13526" xr:uid="{00000000-0005-0000-0000-00003D7E0000}"/>
    <cellStyle name="Normal 2 3 5 7 3 3 2" xfId="44718" xr:uid="{00000000-0005-0000-0000-00003E7E0000}"/>
    <cellStyle name="Normal 2 3 5 7 3 4" xfId="13527" xr:uid="{00000000-0005-0000-0000-00003F7E0000}"/>
    <cellStyle name="Normal 2 3 5 7 3 4 2" xfId="44719" xr:uid="{00000000-0005-0000-0000-0000407E0000}"/>
    <cellStyle name="Normal 2 3 5 7 3 5" xfId="13528" xr:uid="{00000000-0005-0000-0000-0000417E0000}"/>
    <cellStyle name="Normal 2 3 5 7 3 5 2" xfId="44720" xr:uid="{00000000-0005-0000-0000-0000427E0000}"/>
    <cellStyle name="Normal 2 3 5 7 3 6" xfId="44721" xr:uid="{00000000-0005-0000-0000-0000437E0000}"/>
    <cellStyle name="Normal 2 3 5 7 3 6 2" xfId="44722" xr:uid="{00000000-0005-0000-0000-0000447E0000}"/>
    <cellStyle name="Normal 2 3 5 7 3 7" xfId="44723" xr:uid="{00000000-0005-0000-0000-0000457E0000}"/>
    <cellStyle name="Normal 2 3 5 7 4" xfId="13529" xr:uid="{00000000-0005-0000-0000-0000467E0000}"/>
    <cellStyle name="Normal 2 3 5 7 4 2" xfId="13530" xr:uid="{00000000-0005-0000-0000-0000477E0000}"/>
    <cellStyle name="Normal 2 3 5 7 4 2 2" xfId="44724" xr:uid="{00000000-0005-0000-0000-0000487E0000}"/>
    <cellStyle name="Normal 2 3 5 7 4 3" xfId="13531" xr:uid="{00000000-0005-0000-0000-0000497E0000}"/>
    <cellStyle name="Normal 2 3 5 7 4 3 2" xfId="44725" xr:uid="{00000000-0005-0000-0000-00004A7E0000}"/>
    <cellStyle name="Normal 2 3 5 7 4 4" xfId="44726" xr:uid="{00000000-0005-0000-0000-00004B7E0000}"/>
    <cellStyle name="Normal 2 3 5 7 5" xfId="13532" xr:uid="{00000000-0005-0000-0000-00004C7E0000}"/>
    <cellStyle name="Normal 2 3 5 7 5 2" xfId="13533" xr:uid="{00000000-0005-0000-0000-00004D7E0000}"/>
    <cellStyle name="Normal 2 3 5 7 5 2 2" xfId="44727" xr:uid="{00000000-0005-0000-0000-00004E7E0000}"/>
    <cellStyle name="Normal 2 3 5 7 5 3" xfId="44728" xr:uid="{00000000-0005-0000-0000-00004F7E0000}"/>
    <cellStyle name="Normal 2 3 5 7 6" xfId="13534" xr:uid="{00000000-0005-0000-0000-0000507E0000}"/>
    <cellStyle name="Normal 2 3 5 7 6 2" xfId="44729" xr:uid="{00000000-0005-0000-0000-0000517E0000}"/>
    <cellStyle name="Normal 2 3 5 7 7" xfId="13535" xr:uid="{00000000-0005-0000-0000-0000527E0000}"/>
    <cellStyle name="Normal 2 3 5 7 7 2" xfId="44730" xr:uid="{00000000-0005-0000-0000-0000537E0000}"/>
    <cellStyle name="Normal 2 3 5 7 8" xfId="44731" xr:uid="{00000000-0005-0000-0000-0000547E0000}"/>
    <cellStyle name="Normal 2 3 5 7 8 2" xfId="44732" xr:uid="{00000000-0005-0000-0000-0000557E0000}"/>
    <cellStyle name="Normal 2 3 5 7 9" xfId="44733" xr:uid="{00000000-0005-0000-0000-0000567E0000}"/>
    <cellStyle name="Normal 2 3 5 8" xfId="13536" xr:uid="{00000000-0005-0000-0000-0000577E0000}"/>
    <cellStyle name="Normal 2 3 5 8 10" xfId="44734" xr:uid="{00000000-0005-0000-0000-0000587E0000}"/>
    <cellStyle name="Normal 2 3 5 8 11" xfId="44735" xr:uid="{00000000-0005-0000-0000-0000597E0000}"/>
    <cellStyle name="Normal 2 3 5 8 2" xfId="13537" xr:uid="{00000000-0005-0000-0000-00005A7E0000}"/>
    <cellStyle name="Normal 2 3 5 8 2 10" xfId="44736" xr:uid="{00000000-0005-0000-0000-00005B7E0000}"/>
    <cellStyle name="Normal 2 3 5 8 2 2" xfId="13538" xr:uid="{00000000-0005-0000-0000-00005C7E0000}"/>
    <cellStyle name="Normal 2 3 5 8 2 2 2" xfId="13539" xr:uid="{00000000-0005-0000-0000-00005D7E0000}"/>
    <cellStyle name="Normal 2 3 5 8 2 2 2 2" xfId="13540" xr:uid="{00000000-0005-0000-0000-00005E7E0000}"/>
    <cellStyle name="Normal 2 3 5 8 2 2 2 2 2" xfId="44737" xr:uid="{00000000-0005-0000-0000-00005F7E0000}"/>
    <cellStyle name="Normal 2 3 5 8 2 2 2 3" xfId="13541" xr:uid="{00000000-0005-0000-0000-0000607E0000}"/>
    <cellStyle name="Normal 2 3 5 8 2 2 2 3 2" xfId="44738" xr:uid="{00000000-0005-0000-0000-0000617E0000}"/>
    <cellStyle name="Normal 2 3 5 8 2 2 2 4" xfId="44739" xr:uid="{00000000-0005-0000-0000-0000627E0000}"/>
    <cellStyle name="Normal 2 3 5 8 2 2 3" xfId="13542" xr:uid="{00000000-0005-0000-0000-0000637E0000}"/>
    <cellStyle name="Normal 2 3 5 8 2 2 3 2" xfId="44740" xr:uid="{00000000-0005-0000-0000-0000647E0000}"/>
    <cellStyle name="Normal 2 3 5 8 2 2 4" xfId="13543" xr:uid="{00000000-0005-0000-0000-0000657E0000}"/>
    <cellStyle name="Normal 2 3 5 8 2 2 4 2" xfId="44741" xr:uid="{00000000-0005-0000-0000-0000667E0000}"/>
    <cellStyle name="Normal 2 3 5 8 2 2 5" xfId="13544" xr:uid="{00000000-0005-0000-0000-0000677E0000}"/>
    <cellStyle name="Normal 2 3 5 8 2 2 5 2" xfId="44742" xr:uid="{00000000-0005-0000-0000-0000687E0000}"/>
    <cellStyle name="Normal 2 3 5 8 2 2 6" xfId="44743" xr:uid="{00000000-0005-0000-0000-0000697E0000}"/>
    <cellStyle name="Normal 2 3 5 8 2 2 6 2" xfId="44744" xr:uid="{00000000-0005-0000-0000-00006A7E0000}"/>
    <cellStyle name="Normal 2 3 5 8 2 2 7" xfId="44745" xr:uid="{00000000-0005-0000-0000-00006B7E0000}"/>
    <cellStyle name="Normal 2 3 5 8 2 3" xfId="13545" xr:uid="{00000000-0005-0000-0000-00006C7E0000}"/>
    <cellStyle name="Normal 2 3 5 8 2 3 2" xfId="13546" xr:uid="{00000000-0005-0000-0000-00006D7E0000}"/>
    <cellStyle name="Normal 2 3 5 8 2 3 2 2" xfId="44746" xr:uid="{00000000-0005-0000-0000-00006E7E0000}"/>
    <cellStyle name="Normal 2 3 5 8 2 3 3" xfId="13547" xr:uid="{00000000-0005-0000-0000-00006F7E0000}"/>
    <cellStyle name="Normal 2 3 5 8 2 3 3 2" xfId="44747" xr:uid="{00000000-0005-0000-0000-0000707E0000}"/>
    <cellStyle name="Normal 2 3 5 8 2 3 4" xfId="44748" xr:uid="{00000000-0005-0000-0000-0000717E0000}"/>
    <cellStyle name="Normal 2 3 5 8 2 4" xfId="13548" xr:uid="{00000000-0005-0000-0000-0000727E0000}"/>
    <cellStyle name="Normal 2 3 5 8 2 4 2" xfId="13549" xr:uid="{00000000-0005-0000-0000-0000737E0000}"/>
    <cellStyle name="Normal 2 3 5 8 2 4 2 2" xfId="44749" xr:uid="{00000000-0005-0000-0000-0000747E0000}"/>
    <cellStyle name="Normal 2 3 5 8 2 4 3" xfId="44750" xr:uid="{00000000-0005-0000-0000-0000757E0000}"/>
    <cellStyle name="Normal 2 3 5 8 2 5" xfId="13550" xr:uid="{00000000-0005-0000-0000-0000767E0000}"/>
    <cellStyle name="Normal 2 3 5 8 2 5 2" xfId="44751" xr:uid="{00000000-0005-0000-0000-0000777E0000}"/>
    <cellStyle name="Normal 2 3 5 8 2 6" xfId="13551" xr:uid="{00000000-0005-0000-0000-0000787E0000}"/>
    <cellStyle name="Normal 2 3 5 8 2 6 2" xfId="44752" xr:uid="{00000000-0005-0000-0000-0000797E0000}"/>
    <cellStyle name="Normal 2 3 5 8 2 7" xfId="44753" xr:uid="{00000000-0005-0000-0000-00007A7E0000}"/>
    <cellStyle name="Normal 2 3 5 8 2 7 2" xfId="44754" xr:uid="{00000000-0005-0000-0000-00007B7E0000}"/>
    <cellStyle name="Normal 2 3 5 8 2 8" xfId="44755" xr:uid="{00000000-0005-0000-0000-00007C7E0000}"/>
    <cellStyle name="Normal 2 3 5 8 2 9" xfId="44756" xr:uid="{00000000-0005-0000-0000-00007D7E0000}"/>
    <cellStyle name="Normal 2 3 5 8 3" xfId="13552" xr:uid="{00000000-0005-0000-0000-00007E7E0000}"/>
    <cellStyle name="Normal 2 3 5 8 3 2" xfId="13553" xr:uid="{00000000-0005-0000-0000-00007F7E0000}"/>
    <cellStyle name="Normal 2 3 5 8 3 2 2" xfId="13554" xr:uid="{00000000-0005-0000-0000-0000807E0000}"/>
    <cellStyle name="Normal 2 3 5 8 3 2 2 2" xfId="44757" xr:uid="{00000000-0005-0000-0000-0000817E0000}"/>
    <cellStyle name="Normal 2 3 5 8 3 2 3" xfId="13555" xr:uid="{00000000-0005-0000-0000-0000827E0000}"/>
    <cellStyle name="Normal 2 3 5 8 3 2 3 2" xfId="44758" xr:uid="{00000000-0005-0000-0000-0000837E0000}"/>
    <cellStyle name="Normal 2 3 5 8 3 2 4" xfId="44759" xr:uid="{00000000-0005-0000-0000-0000847E0000}"/>
    <cellStyle name="Normal 2 3 5 8 3 3" xfId="13556" xr:uid="{00000000-0005-0000-0000-0000857E0000}"/>
    <cellStyle name="Normal 2 3 5 8 3 3 2" xfId="44760" xr:uid="{00000000-0005-0000-0000-0000867E0000}"/>
    <cellStyle name="Normal 2 3 5 8 3 4" xfId="13557" xr:uid="{00000000-0005-0000-0000-0000877E0000}"/>
    <cellStyle name="Normal 2 3 5 8 3 4 2" xfId="44761" xr:uid="{00000000-0005-0000-0000-0000887E0000}"/>
    <cellStyle name="Normal 2 3 5 8 3 5" xfId="13558" xr:uid="{00000000-0005-0000-0000-0000897E0000}"/>
    <cellStyle name="Normal 2 3 5 8 3 5 2" xfId="44762" xr:uid="{00000000-0005-0000-0000-00008A7E0000}"/>
    <cellStyle name="Normal 2 3 5 8 3 6" xfId="44763" xr:uid="{00000000-0005-0000-0000-00008B7E0000}"/>
    <cellStyle name="Normal 2 3 5 8 3 6 2" xfId="44764" xr:uid="{00000000-0005-0000-0000-00008C7E0000}"/>
    <cellStyle name="Normal 2 3 5 8 3 7" xfId="44765" xr:uid="{00000000-0005-0000-0000-00008D7E0000}"/>
    <cellStyle name="Normal 2 3 5 8 4" xfId="13559" xr:uid="{00000000-0005-0000-0000-00008E7E0000}"/>
    <cellStyle name="Normal 2 3 5 8 4 2" xfId="13560" xr:uid="{00000000-0005-0000-0000-00008F7E0000}"/>
    <cellStyle name="Normal 2 3 5 8 4 2 2" xfId="44766" xr:uid="{00000000-0005-0000-0000-0000907E0000}"/>
    <cellStyle name="Normal 2 3 5 8 4 3" xfId="13561" xr:uid="{00000000-0005-0000-0000-0000917E0000}"/>
    <cellStyle name="Normal 2 3 5 8 4 3 2" xfId="44767" xr:uid="{00000000-0005-0000-0000-0000927E0000}"/>
    <cellStyle name="Normal 2 3 5 8 4 4" xfId="44768" xr:uid="{00000000-0005-0000-0000-0000937E0000}"/>
    <cellStyle name="Normal 2 3 5 8 5" xfId="13562" xr:uid="{00000000-0005-0000-0000-0000947E0000}"/>
    <cellStyle name="Normal 2 3 5 8 5 2" xfId="13563" xr:uid="{00000000-0005-0000-0000-0000957E0000}"/>
    <cellStyle name="Normal 2 3 5 8 5 2 2" xfId="44769" xr:uid="{00000000-0005-0000-0000-0000967E0000}"/>
    <cellStyle name="Normal 2 3 5 8 5 3" xfId="44770" xr:uid="{00000000-0005-0000-0000-0000977E0000}"/>
    <cellStyle name="Normal 2 3 5 8 6" xfId="13564" xr:uid="{00000000-0005-0000-0000-0000987E0000}"/>
    <cellStyle name="Normal 2 3 5 8 6 2" xfId="44771" xr:uid="{00000000-0005-0000-0000-0000997E0000}"/>
    <cellStyle name="Normal 2 3 5 8 7" xfId="13565" xr:uid="{00000000-0005-0000-0000-00009A7E0000}"/>
    <cellStyle name="Normal 2 3 5 8 7 2" xfId="44772" xr:uid="{00000000-0005-0000-0000-00009B7E0000}"/>
    <cellStyle name="Normal 2 3 5 8 8" xfId="44773" xr:uid="{00000000-0005-0000-0000-00009C7E0000}"/>
    <cellStyle name="Normal 2 3 5 8 8 2" xfId="44774" xr:uid="{00000000-0005-0000-0000-00009D7E0000}"/>
    <cellStyle name="Normal 2 3 5 8 9" xfId="44775" xr:uid="{00000000-0005-0000-0000-00009E7E0000}"/>
    <cellStyle name="Normal 2 3 5 9" xfId="13566" xr:uid="{00000000-0005-0000-0000-00009F7E0000}"/>
    <cellStyle name="Normal 2 3 5 9 10" xfId="44776" xr:uid="{00000000-0005-0000-0000-0000A07E0000}"/>
    <cellStyle name="Normal 2 3 5 9 11" xfId="44777" xr:uid="{00000000-0005-0000-0000-0000A17E0000}"/>
    <cellStyle name="Normal 2 3 5 9 2" xfId="13567" xr:uid="{00000000-0005-0000-0000-0000A27E0000}"/>
    <cellStyle name="Normal 2 3 5 9 2 10" xfId="44778" xr:uid="{00000000-0005-0000-0000-0000A37E0000}"/>
    <cellStyle name="Normal 2 3 5 9 2 2" xfId="13568" xr:uid="{00000000-0005-0000-0000-0000A47E0000}"/>
    <cellStyle name="Normal 2 3 5 9 2 2 2" xfId="13569" xr:uid="{00000000-0005-0000-0000-0000A57E0000}"/>
    <cellStyle name="Normal 2 3 5 9 2 2 2 2" xfId="13570" xr:uid="{00000000-0005-0000-0000-0000A67E0000}"/>
    <cellStyle name="Normal 2 3 5 9 2 2 2 2 2" xfId="44779" xr:uid="{00000000-0005-0000-0000-0000A77E0000}"/>
    <cellStyle name="Normal 2 3 5 9 2 2 2 3" xfId="13571" xr:uid="{00000000-0005-0000-0000-0000A87E0000}"/>
    <cellStyle name="Normal 2 3 5 9 2 2 2 3 2" xfId="44780" xr:uid="{00000000-0005-0000-0000-0000A97E0000}"/>
    <cellStyle name="Normal 2 3 5 9 2 2 2 4" xfId="44781" xr:uid="{00000000-0005-0000-0000-0000AA7E0000}"/>
    <cellStyle name="Normal 2 3 5 9 2 2 3" xfId="13572" xr:uid="{00000000-0005-0000-0000-0000AB7E0000}"/>
    <cellStyle name="Normal 2 3 5 9 2 2 3 2" xfId="44782" xr:uid="{00000000-0005-0000-0000-0000AC7E0000}"/>
    <cellStyle name="Normal 2 3 5 9 2 2 4" xfId="13573" xr:uid="{00000000-0005-0000-0000-0000AD7E0000}"/>
    <cellStyle name="Normal 2 3 5 9 2 2 4 2" xfId="44783" xr:uid="{00000000-0005-0000-0000-0000AE7E0000}"/>
    <cellStyle name="Normal 2 3 5 9 2 2 5" xfId="13574" xr:uid="{00000000-0005-0000-0000-0000AF7E0000}"/>
    <cellStyle name="Normal 2 3 5 9 2 2 5 2" xfId="44784" xr:uid="{00000000-0005-0000-0000-0000B07E0000}"/>
    <cellStyle name="Normal 2 3 5 9 2 2 6" xfId="44785" xr:uid="{00000000-0005-0000-0000-0000B17E0000}"/>
    <cellStyle name="Normal 2 3 5 9 2 2 6 2" xfId="44786" xr:uid="{00000000-0005-0000-0000-0000B27E0000}"/>
    <cellStyle name="Normal 2 3 5 9 2 2 7" xfId="44787" xr:uid="{00000000-0005-0000-0000-0000B37E0000}"/>
    <cellStyle name="Normal 2 3 5 9 2 3" xfId="13575" xr:uid="{00000000-0005-0000-0000-0000B47E0000}"/>
    <cellStyle name="Normal 2 3 5 9 2 3 2" xfId="13576" xr:uid="{00000000-0005-0000-0000-0000B57E0000}"/>
    <cellStyle name="Normal 2 3 5 9 2 3 2 2" xfId="44788" xr:uid="{00000000-0005-0000-0000-0000B67E0000}"/>
    <cellStyle name="Normal 2 3 5 9 2 3 3" xfId="13577" xr:uid="{00000000-0005-0000-0000-0000B77E0000}"/>
    <cellStyle name="Normal 2 3 5 9 2 3 3 2" xfId="44789" xr:uid="{00000000-0005-0000-0000-0000B87E0000}"/>
    <cellStyle name="Normal 2 3 5 9 2 3 4" xfId="44790" xr:uid="{00000000-0005-0000-0000-0000B97E0000}"/>
    <cellStyle name="Normal 2 3 5 9 2 4" xfId="13578" xr:uid="{00000000-0005-0000-0000-0000BA7E0000}"/>
    <cellStyle name="Normal 2 3 5 9 2 4 2" xfId="13579" xr:uid="{00000000-0005-0000-0000-0000BB7E0000}"/>
    <cellStyle name="Normal 2 3 5 9 2 4 2 2" xfId="44791" xr:uid="{00000000-0005-0000-0000-0000BC7E0000}"/>
    <cellStyle name="Normal 2 3 5 9 2 4 3" xfId="44792" xr:uid="{00000000-0005-0000-0000-0000BD7E0000}"/>
    <cellStyle name="Normal 2 3 5 9 2 5" xfId="13580" xr:uid="{00000000-0005-0000-0000-0000BE7E0000}"/>
    <cellStyle name="Normal 2 3 5 9 2 5 2" xfId="44793" xr:uid="{00000000-0005-0000-0000-0000BF7E0000}"/>
    <cellStyle name="Normal 2 3 5 9 2 6" xfId="13581" xr:uid="{00000000-0005-0000-0000-0000C07E0000}"/>
    <cellStyle name="Normal 2 3 5 9 2 6 2" xfId="44794" xr:uid="{00000000-0005-0000-0000-0000C17E0000}"/>
    <cellStyle name="Normal 2 3 5 9 2 7" xfId="44795" xr:uid="{00000000-0005-0000-0000-0000C27E0000}"/>
    <cellStyle name="Normal 2 3 5 9 2 7 2" xfId="44796" xr:uid="{00000000-0005-0000-0000-0000C37E0000}"/>
    <cellStyle name="Normal 2 3 5 9 2 8" xfId="44797" xr:uid="{00000000-0005-0000-0000-0000C47E0000}"/>
    <cellStyle name="Normal 2 3 5 9 2 9" xfId="44798" xr:uid="{00000000-0005-0000-0000-0000C57E0000}"/>
    <cellStyle name="Normal 2 3 5 9 3" xfId="13582" xr:uid="{00000000-0005-0000-0000-0000C67E0000}"/>
    <cellStyle name="Normal 2 3 5 9 3 2" xfId="13583" xr:uid="{00000000-0005-0000-0000-0000C77E0000}"/>
    <cellStyle name="Normal 2 3 5 9 3 2 2" xfId="13584" xr:uid="{00000000-0005-0000-0000-0000C87E0000}"/>
    <cellStyle name="Normal 2 3 5 9 3 2 2 2" xfId="44799" xr:uid="{00000000-0005-0000-0000-0000C97E0000}"/>
    <cellStyle name="Normal 2 3 5 9 3 2 3" xfId="13585" xr:uid="{00000000-0005-0000-0000-0000CA7E0000}"/>
    <cellStyle name="Normal 2 3 5 9 3 2 3 2" xfId="44800" xr:uid="{00000000-0005-0000-0000-0000CB7E0000}"/>
    <cellStyle name="Normal 2 3 5 9 3 2 4" xfId="44801" xr:uid="{00000000-0005-0000-0000-0000CC7E0000}"/>
    <cellStyle name="Normal 2 3 5 9 3 3" xfId="13586" xr:uid="{00000000-0005-0000-0000-0000CD7E0000}"/>
    <cellStyle name="Normal 2 3 5 9 3 3 2" xfId="44802" xr:uid="{00000000-0005-0000-0000-0000CE7E0000}"/>
    <cellStyle name="Normal 2 3 5 9 3 4" xfId="13587" xr:uid="{00000000-0005-0000-0000-0000CF7E0000}"/>
    <cellStyle name="Normal 2 3 5 9 3 4 2" xfId="44803" xr:uid="{00000000-0005-0000-0000-0000D07E0000}"/>
    <cellStyle name="Normal 2 3 5 9 3 5" xfId="13588" xr:uid="{00000000-0005-0000-0000-0000D17E0000}"/>
    <cellStyle name="Normal 2 3 5 9 3 5 2" xfId="44804" xr:uid="{00000000-0005-0000-0000-0000D27E0000}"/>
    <cellStyle name="Normal 2 3 5 9 3 6" xfId="44805" xr:uid="{00000000-0005-0000-0000-0000D37E0000}"/>
    <cellStyle name="Normal 2 3 5 9 3 6 2" xfId="44806" xr:uid="{00000000-0005-0000-0000-0000D47E0000}"/>
    <cellStyle name="Normal 2 3 5 9 3 7" xfId="44807" xr:uid="{00000000-0005-0000-0000-0000D57E0000}"/>
    <cellStyle name="Normal 2 3 5 9 4" xfId="13589" xr:uid="{00000000-0005-0000-0000-0000D67E0000}"/>
    <cellStyle name="Normal 2 3 5 9 4 2" xfId="13590" xr:uid="{00000000-0005-0000-0000-0000D77E0000}"/>
    <cellStyle name="Normal 2 3 5 9 4 2 2" xfId="44808" xr:uid="{00000000-0005-0000-0000-0000D87E0000}"/>
    <cellStyle name="Normal 2 3 5 9 4 3" xfId="13591" xr:uid="{00000000-0005-0000-0000-0000D97E0000}"/>
    <cellStyle name="Normal 2 3 5 9 4 3 2" xfId="44809" xr:uid="{00000000-0005-0000-0000-0000DA7E0000}"/>
    <cellStyle name="Normal 2 3 5 9 4 4" xfId="44810" xr:uid="{00000000-0005-0000-0000-0000DB7E0000}"/>
    <cellStyle name="Normal 2 3 5 9 5" xfId="13592" xr:uid="{00000000-0005-0000-0000-0000DC7E0000}"/>
    <cellStyle name="Normal 2 3 5 9 5 2" xfId="13593" xr:uid="{00000000-0005-0000-0000-0000DD7E0000}"/>
    <cellStyle name="Normal 2 3 5 9 5 2 2" xfId="44811" xr:uid="{00000000-0005-0000-0000-0000DE7E0000}"/>
    <cellStyle name="Normal 2 3 5 9 5 3" xfId="44812" xr:uid="{00000000-0005-0000-0000-0000DF7E0000}"/>
    <cellStyle name="Normal 2 3 5 9 6" xfId="13594" xr:uid="{00000000-0005-0000-0000-0000E07E0000}"/>
    <cellStyle name="Normal 2 3 5 9 6 2" xfId="44813" xr:uid="{00000000-0005-0000-0000-0000E17E0000}"/>
    <cellStyle name="Normal 2 3 5 9 7" xfId="13595" xr:uid="{00000000-0005-0000-0000-0000E27E0000}"/>
    <cellStyle name="Normal 2 3 5 9 7 2" xfId="44814" xr:uid="{00000000-0005-0000-0000-0000E37E0000}"/>
    <cellStyle name="Normal 2 3 5 9 8" xfId="44815" xr:uid="{00000000-0005-0000-0000-0000E47E0000}"/>
    <cellStyle name="Normal 2 3 5 9 8 2" xfId="44816" xr:uid="{00000000-0005-0000-0000-0000E57E0000}"/>
    <cellStyle name="Normal 2 3 5 9 9" xfId="44817" xr:uid="{00000000-0005-0000-0000-0000E67E0000}"/>
    <cellStyle name="Normal 2 3 6" xfId="13596" xr:uid="{00000000-0005-0000-0000-0000E77E0000}"/>
    <cellStyle name="Normal 2 3 6 10" xfId="13597" xr:uid="{00000000-0005-0000-0000-0000E87E0000}"/>
    <cellStyle name="Normal 2 3 6 10 10" xfId="44818" xr:uid="{00000000-0005-0000-0000-0000E97E0000}"/>
    <cellStyle name="Normal 2 3 6 10 11" xfId="44819" xr:uid="{00000000-0005-0000-0000-0000EA7E0000}"/>
    <cellStyle name="Normal 2 3 6 10 2" xfId="13598" xr:uid="{00000000-0005-0000-0000-0000EB7E0000}"/>
    <cellStyle name="Normal 2 3 6 10 2 10" xfId="44820" xr:uid="{00000000-0005-0000-0000-0000EC7E0000}"/>
    <cellStyle name="Normal 2 3 6 10 2 2" xfId="13599" xr:uid="{00000000-0005-0000-0000-0000ED7E0000}"/>
    <cellStyle name="Normal 2 3 6 10 2 2 2" xfId="13600" xr:uid="{00000000-0005-0000-0000-0000EE7E0000}"/>
    <cellStyle name="Normal 2 3 6 10 2 2 2 2" xfId="13601" xr:uid="{00000000-0005-0000-0000-0000EF7E0000}"/>
    <cellStyle name="Normal 2 3 6 10 2 2 2 2 2" xfId="44821" xr:uid="{00000000-0005-0000-0000-0000F07E0000}"/>
    <cellStyle name="Normal 2 3 6 10 2 2 2 3" xfId="13602" xr:uid="{00000000-0005-0000-0000-0000F17E0000}"/>
    <cellStyle name="Normal 2 3 6 10 2 2 2 3 2" xfId="44822" xr:uid="{00000000-0005-0000-0000-0000F27E0000}"/>
    <cellStyle name="Normal 2 3 6 10 2 2 2 4" xfId="44823" xr:uid="{00000000-0005-0000-0000-0000F37E0000}"/>
    <cellStyle name="Normal 2 3 6 10 2 2 3" xfId="13603" xr:uid="{00000000-0005-0000-0000-0000F47E0000}"/>
    <cellStyle name="Normal 2 3 6 10 2 2 3 2" xfId="44824" xr:uid="{00000000-0005-0000-0000-0000F57E0000}"/>
    <cellStyle name="Normal 2 3 6 10 2 2 4" xfId="13604" xr:uid="{00000000-0005-0000-0000-0000F67E0000}"/>
    <cellStyle name="Normal 2 3 6 10 2 2 4 2" xfId="44825" xr:uid="{00000000-0005-0000-0000-0000F77E0000}"/>
    <cellStyle name="Normal 2 3 6 10 2 2 5" xfId="13605" xr:uid="{00000000-0005-0000-0000-0000F87E0000}"/>
    <cellStyle name="Normal 2 3 6 10 2 2 5 2" xfId="44826" xr:uid="{00000000-0005-0000-0000-0000F97E0000}"/>
    <cellStyle name="Normal 2 3 6 10 2 2 6" xfId="44827" xr:uid="{00000000-0005-0000-0000-0000FA7E0000}"/>
    <cellStyle name="Normal 2 3 6 10 2 2 6 2" xfId="44828" xr:uid="{00000000-0005-0000-0000-0000FB7E0000}"/>
    <cellStyle name="Normal 2 3 6 10 2 2 7" xfId="44829" xr:uid="{00000000-0005-0000-0000-0000FC7E0000}"/>
    <cellStyle name="Normal 2 3 6 10 2 3" xfId="13606" xr:uid="{00000000-0005-0000-0000-0000FD7E0000}"/>
    <cellStyle name="Normal 2 3 6 10 2 3 2" xfId="13607" xr:uid="{00000000-0005-0000-0000-0000FE7E0000}"/>
    <cellStyle name="Normal 2 3 6 10 2 3 2 2" xfId="44830" xr:uid="{00000000-0005-0000-0000-0000FF7E0000}"/>
    <cellStyle name="Normal 2 3 6 10 2 3 3" xfId="13608" xr:uid="{00000000-0005-0000-0000-0000007F0000}"/>
    <cellStyle name="Normal 2 3 6 10 2 3 3 2" xfId="44831" xr:uid="{00000000-0005-0000-0000-0000017F0000}"/>
    <cellStyle name="Normal 2 3 6 10 2 3 4" xfId="44832" xr:uid="{00000000-0005-0000-0000-0000027F0000}"/>
    <cellStyle name="Normal 2 3 6 10 2 4" xfId="13609" xr:uid="{00000000-0005-0000-0000-0000037F0000}"/>
    <cellStyle name="Normal 2 3 6 10 2 4 2" xfId="13610" xr:uid="{00000000-0005-0000-0000-0000047F0000}"/>
    <cellStyle name="Normal 2 3 6 10 2 4 2 2" xfId="44833" xr:uid="{00000000-0005-0000-0000-0000057F0000}"/>
    <cellStyle name="Normal 2 3 6 10 2 4 3" xfId="44834" xr:uid="{00000000-0005-0000-0000-0000067F0000}"/>
    <cellStyle name="Normal 2 3 6 10 2 5" xfId="13611" xr:uid="{00000000-0005-0000-0000-0000077F0000}"/>
    <cellStyle name="Normal 2 3 6 10 2 5 2" xfId="44835" xr:uid="{00000000-0005-0000-0000-0000087F0000}"/>
    <cellStyle name="Normal 2 3 6 10 2 6" xfId="13612" xr:uid="{00000000-0005-0000-0000-0000097F0000}"/>
    <cellStyle name="Normal 2 3 6 10 2 6 2" xfId="44836" xr:uid="{00000000-0005-0000-0000-00000A7F0000}"/>
    <cellStyle name="Normal 2 3 6 10 2 7" xfId="44837" xr:uid="{00000000-0005-0000-0000-00000B7F0000}"/>
    <cellStyle name="Normal 2 3 6 10 2 7 2" xfId="44838" xr:uid="{00000000-0005-0000-0000-00000C7F0000}"/>
    <cellStyle name="Normal 2 3 6 10 2 8" xfId="44839" xr:uid="{00000000-0005-0000-0000-00000D7F0000}"/>
    <cellStyle name="Normal 2 3 6 10 2 9" xfId="44840" xr:uid="{00000000-0005-0000-0000-00000E7F0000}"/>
    <cellStyle name="Normal 2 3 6 10 3" xfId="13613" xr:uid="{00000000-0005-0000-0000-00000F7F0000}"/>
    <cellStyle name="Normal 2 3 6 10 3 2" xfId="13614" xr:uid="{00000000-0005-0000-0000-0000107F0000}"/>
    <cellStyle name="Normal 2 3 6 10 3 2 2" xfId="13615" xr:uid="{00000000-0005-0000-0000-0000117F0000}"/>
    <cellStyle name="Normal 2 3 6 10 3 2 2 2" xfId="44841" xr:uid="{00000000-0005-0000-0000-0000127F0000}"/>
    <cellStyle name="Normal 2 3 6 10 3 2 3" xfId="13616" xr:uid="{00000000-0005-0000-0000-0000137F0000}"/>
    <cellStyle name="Normal 2 3 6 10 3 2 3 2" xfId="44842" xr:uid="{00000000-0005-0000-0000-0000147F0000}"/>
    <cellStyle name="Normal 2 3 6 10 3 2 4" xfId="44843" xr:uid="{00000000-0005-0000-0000-0000157F0000}"/>
    <cellStyle name="Normal 2 3 6 10 3 3" xfId="13617" xr:uid="{00000000-0005-0000-0000-0000167F0000}"/>
    <cellStyle name="Normal 2 3 6 10 3 3 2" xfId="44844" xr:uid="{00000000-0005-0000-0000-0000177F0000}"/>
    <cellStyle name="Normal 2 3 6 10 3 4" xfId="13618" xr:uid="{00000000-0005-0000-0000-0000187F0000}"/>
    <cellStyle name="Normal 2 3 6 10 3 4 2" xfId="44845" xr:uid="{00000000-0005-0000-0000-0000197F0000}"/>
    <cellStyle name="Normal 2 3 6 10 3 5" xfId="13619" xr:uid="{00000000-0005-0000-0000-00001A7F0000}"/>
    <cellStyle name="Normal 2 3 6 10 3 5 2" xfId="44846" xr:uid="{00000000-0005-0000-0000-00001B7F0000}"/>
    <cellStyle name="Normal 2 3 6 10 3 6" xfId="44847" xr:uid="{00000000-0005-0000-0000-00001C7F0000}"/>
    <cellStyle name="Normal 2 3 6 10 3 6 2" xfId="44848" xr:uid="{00000000-0005-0000-0000-00001D7F0000}"/>
    <cellStyle name="Normal 2 3 6 10 3 7" xfId="44849" xr:uid="{00000000-0005-0000-0000-00001E7F0000}"/>
    <cellStyle name="Normal 2 3 6 10 4" xfId="13620" xr:uid="{00000000-0005-0000-0000-00001F7F0000}"/>
    <cellStyle name="Normal 2 3 6 10 4 2" xfId="13621" xr:uid="{00000000-0005-0000-0000-0000207F0000}"/>
    <cellStyle name="Normal 2 3 6 10 4 2 2" xfId="44850" xr:uid="{00000000-0005-0000-0000-0000217F0000}"/>
    <cellStyle name="Normal 2 3 6 10 4 3" xfId="13622" xr:uid="{00000000-0005-0000-0000-0000227F0000}"/>
    <cellStyle name="Normal 2 3 6 10 4 3 2" xfId="44851" xr:uid="{00000000-0005-0000-0000-0000237F0000}"/>
    <cellStyle name="Normal 2 3 6 10 4 4" xfId="44852" xr:uid="{00000000-0005-0000-0000-0000247F0000}"/>
    <cellStyle name="Normal 2 3 6 10 5" xfId="13623" xr:uid="{00000000-0005-0000-0000-0000257F0000}"/>
    <cellStyle name="Normal 2 3 6 10 5 2" xfId="13624" xr:uid="{00000000-0005-0000-0000-0000267F0000}"/>
    <cellStyle name="Normal 2 3 6 10 5 2 2" xfId="44853" xr:uid="{00000000-0005-0000-0000-0000277F0000}"/>
    <cellStyle name="Normal 2 3 6 10 5 3" xfId="44854" xr:uid="{00000000-0005-0000-0000-0000287F0000}"/>
    <cellStyle name="Normal 2 3 6 10 6" xfId="13625" xr:uid="{00000000-0005-0000-0000-0000297F0000}"/>
    <cellStyle name="Normal 2 3 6 10 6 2" xfId="44855" xr:uid="{00000000-0005-0000-0000-00002A7F0000}"/>
    <cellStyle name="Normal 2 3 6 10 7" xfId="13626" xr:uid="{00000000-0005-0000-0000-00002B7F0000}"/>
    <cellStyle name="Normal 2 3 6 10 7 2" xfId="44856" xr:uid="{00000000-0005-0000-0000-00002C7F0000}"/>
    <cellStyle name="Normal 2 3 6 10 8" xfId="44857" xr:uid="{00000000-0005-0000-0000-00002D7F0000}"/>
    <cellStyle name="Normal 2 3 6 10 8 2" xfId="44858" xr:uid="{00000000-0005-0000-0000-00002E7F0000}"/>
    <cellStyle name="Normal 2 3 6 10 9" xfId="44859" xr:uid="{00000000-0005-0000-0000-00002F7F0000}"/>
    <cellStyle name="Normal 2 3 6 11" xfId="13627" xr:uid="{00000000-0005-0000-0000-0000307F0000}"/>
    <cellStyle name="Normal 2 3 6 11 10" xfId="44860" xr:uid="{00000000-0005-0000-0000-0000317F0000}"/>
    <cellStyle name="Normal 2 3 6 11 11" xfId="44861" xr:uid="{00000000-0005-0000-0000-0000327F0000}"/>
    <cellStyle name="Normal 2 3 6 11 2" xfId="13628" xr:uid="{00000000-0005-0000-0000-0000337F0000}"/>
    <cellStyle name="Normal 2 3 6 11 2 10" xfId="44862" xr:uid="{00000000-0005-0000-0000-0000347F0000}"/>
    <cellStyle name="Normal 2 3 6 11 2 2" xfId="13629" xr:uid="{00000000-0005-0000-0000-0000357F0000}"/>
    <cellStyle name="Normal 2 3 6 11 2 2 2" xfId="13630" xr:uid="{00000000-0005-0000-0000-0000367F0000}"/>
    <cellStyle name="Normal 2 3 6 11 2 2 2 2" xfId="13631" xr:uid="{00000000-0005-0000-0000-0000377F0000}"/>
    <cellStyle name="Normal 2 3 6 11 2 2 2 2 2" xfId="44863" xr:uid="{00000000-0005-0000-0000-0000387F0000}"/>
    <cellStyle name="Normal 2 3 6 11 2 2 2 3" xfId="13632" xr:uid="{00000000-0005-0000-0000-0000397F0000}"/>
    <cellStyle name="Normal 2 3 6 11 2 2 2 3 2" xfId="44864" xr:uid="{00000000-0005-0000-0000-00003A7F0000}"/>
    <cellStyle name="Normal 2 3 6 11 2 2 2 4" xfId="44865" xr:uid="{00000000-0005-0000-0000-00003B7F0000}"/>
    <cellStyle name="Normal 2 3 6 11 2 2 3" xfId="13633" xr:uid="{00000000-0005-0000-0000-00003C7F0000}"/>
    <cellStyle name="Normal 2 3 6 11 2 2 3 2" xfId="44866" xr:uid="{00000000-0005-0000-0000-00003D7F0000}"/>
    <cellStyle name="Normal 2 3 6 11 2 2 4" xfId="13634" xr:uid="{00000000-0005-0000-0000-00003E7F0000}"/>
    <cellStyle name="Normal 2 3 6 11 2 2 4 2" xfId="44867" xr:uid="{00000000-0005-0000-0000-00003F7F0000}"/>
    <cellStyle name="Normal 2 3 6 11 2 2 5" xfId="13635" xr:uid="{00000000-0005-0000-0000-0000407F0000}"/>
    <cellStyle name="Normal 2 3 6 11 2 2 5 2" xfId="44868" xr:uid="{00000000-0005-0000-0000-0000417F0000}"/>
    <cellStyle name="Normal 2 3 6 11 2 2 6" xfId="44869" xr:uid="{00000000-0005-0000-0000-0000427F0000}"/>
    <cellStyle name="Normal 2 3 6 11 2 2 6 2" xfId="44870" xr:uid="{00000000-0005-0000-0000-0000437F0000}"/>
    <cellStyle name="Normal 2 3 6 11 2 2 7" xfId="44871" xr:uid="{00000000-0005-0000-0000-0000447F0000}"/>
    <cellStyle name="Normal 2 3 6 11 2 3" xfId="13636" xr:uid="{00000000-0005-0000-0000-0000457F0000}"/>
    <cellStyle name="Normal 2 3 6 11 2 3 2" xfId="13637" xr:uid="{00000000-0005-0000-0000-0000467F0000}"/>
    <cellStyle name="Normal 2 3 6 11 2 3 2 2" xfId="44872" xr:uid="{00000000-0005-0000-0000-0000477F0000}"/>
    <cellStyle name="Normal 2 3 6 11 2 3 3" xfId="13638" xr:uid="{00000000-0005-0000-0000-0000487F0000}"/>
    <cellStyle name="Normal 2 3 6 11 2 3 3 2" xfId="44873" xr:uid="{00000000-0005-0000-0000-0000497F0000}"/>
    <cellStyle name="Normal 2 3 6 11 2 3 4" xfId="44874" xr:uid="{00000000-0005-0000-0000-00004A7F0000}"/>
    <cellStyle name="Normal 2 3 6 11 2 4" xfId="13639" xr:uid="{00000000-0005-0000-0000-00004B7F0000}"/>
    <cellStyle name="Normal 2 3 6 11 2 4 2" xfId="13640" xr:uid="{00000000-0005-0000-0000-00004C7F0000}"/>
    <cellStyle name="Normal 2 3 6 11 2 4 2 2" xfId="44875" xr:uid="{00000000-0005-0000-0000-00004D7F0000}"/>
    <cellStyle name="Normal 2 3 6 11 2 4 3" xfId="44876" xr:uid="{00000000-0005-0000-0000-00004E7F0000}"/>
    <cellStyle name="Normal 2 3 6 11 2 5" xfId="13641" xr:uid="{00000000-0005-0000-0000-00004F7F0000}"/>
    <cellStyle name="Normal 2 3 6 11 2 5 2" xfId="44877" xr:uid="{00000000-0005-0000-0000-0000507F0000}"/>
    <cellStyle name="Normal 2 3 6 11 2 6" xfId="13642" xr:uid="{00000000-0005-0000-0000-0000517F0000}"/>
    <cellStyle name="Normal 2 3 6 11 2 6 2" xfId="44878" xr:uid="{00000000-0005-0000-0000-0000527F0000}"/>
    <cellStyle name="Normal 2 3 6 11 2 7" xfId="44879" xr:uid="{00000000-0005-0000-0000-0000537F0000}"/>
    <cellStyle name="Normal 2 3 6 11 2 7 2" xfId="44880" xr:uid="{00000000-0005-0000-0000-0000547F0000}"/>
    <cellStyle name="Normal 2 3 6 11 2 8" xfId="44881" xr:uid="{00000000-0005-0000-0000-0000557F0000}"/>
    <cellStyle name="Normal 2 3 6 11 2 9" xfId="44882" xr:uid="{00000000-0005-0000-0000-0000567F0000}"/>
    <cellStyle name="Normal 2 3 6 11 3" xfId="13643" xr:uid="{00000000-0005-0000-0000-0000577F0000}"/>
    <cellStyle name="Normal 2 3 6 11 3 2" xfId="13644" xr:uid="{00000000-0005-0000-0000-0000587F0000}"/>
    <cellStyle name="Normal 2 3 6 11 3 2 2" xfId="13645" xr:uid="{00000000-0005-0000-0000-0000597F0000}"/>
    <cellStyle name="Normal 2 3 6 11 3 2 2 2" xfId="44883" xr:uid="{00000000-0005-0000-0000-00005A7F0000}"/>
    <cellStyle name="Normal 2 3 6 11 3 2 3" xfId="13646" xr:uid="{00000000-0005-0000-0000-00005B7F0000}"/>
    <cellStyle name="Normal 2 3 6 11 3 2 3 2" xfId="44884" xr:uid="{00000000-0005-0000-0000-00005C7F0000}"/>
    <cellStyle name="Normal 2 3 6 11 3 2 4" xfId="44885" xr:uid="{00000000-0005-0000-0000-00005D7F0000}"/>
    <cellStyle name="Normal 2 3 6 11 3 3" xfId="13647" xr:uid="{00000000-0005-0000-0000-00005E7F0000}"/>
    <cellStyle name="Normal 2 3 6 11 3 3 2" xfId="44886" xr:uid="{00000000-0005-0000-0000-00005F7F0000}"/>
    <cellStyle name="Normal 2 3 6 11 3 4" xfId="13648" xr:uid="{00000000-0005-0000-0000-0000607F0000}"/>
    <cellStyle name="Normal 2 3 6 11 3 4 2" xfId="44887" xr:uid="{00000000-0005-0000-0000-0000617F0000}"/>
    <cellStyle name="Normal 2 3 6 11 3 5" xfId="13649" xr:uid="{00000000-0005-0000-0000-0000627F0000}"/>
    <cellStyle name="Normal 2 3 6 11 3 5 2" xfId="44888" xr:uid="{00000000-0005-0000-0000-0000637F0000}"/>
    <cellStyle name="Normal 2 3 6 11 3 6" xfId="44889" xr:uid="{00000000-0005-0000-0000-0000647F0000}"/>
    <cellStyle name="Normal 2 3 6 11 3 6 2" xfId="44890" xr:uid="{00000000-0005-0000-0000-0000657F0000}"/>
    <cellStyle name="Normal 2 3 6 11 3 7" xfId="44891" xr:uid="{00000000-0005-0000-0000-0000667F0000}"/>
    <cellStyle name="Normal 2 3 6 11 4" xfId="13650" xr:uid="{00000000-0005-0000-0000-0000677F0000}"/>
    <cellStyle name="Normal 2 3 6 11 4 2" xfId="13651" xr:uid="{00000000-0005-0000-0000-0000687F0000}"/>
    <cellStyle name="Normal 2 3 6 11 4 2 2" xfId="44892" xr:uid="{00000000-0005-0000-0000-0000697F0000}"/>
    <cellStyle name="Normal 2 3 6 11 4 3" xfId="13652" xr:uid="{00000000-0005-0000-0000-00006A7F0000}"/>
    <cellStyle name="Normal 2 3 6 11 4 3 2" xfId="44893" xr:uid="{00000000-0005-0000-0000-00006B7F0000}"/>
    <cellStyle name="Normal 2 3 6 11 4 4" xfId="44894" xr:uid="{00000000-0005-0000-0000-00006C7F0000}"/>
    <cellStyle name="Normal 2 3 6 11 5" xfId="13653" xr:uid="{00000000-0005-0000-0000-00006D7F0000}"/>
    <cellStyle name="Normal 2 3 6 11 5 2" xfId="13654" xr:uid="{00000000-0005-0000-0000-00006E7F0000}"/>
    <cellStyle name="Normal 2 3 6 11 5 2 2" xfId="44895" xr:uid="{00000000-0005-0000-0000-00006F7F0000}"/>
    <cellStyle name="Normal 2 3 6 11 5 3" xfId="44896" xr:uid="{00000000-0005-0000-0000-0000707F0000}"/>
    <cellStyle name="Normal 2 3 6 11 6" xfId="13655" xr:uid="{00000000-0005-0000-0000-0000717F0000}"/>
    <cellStyle name="Normal 2 3 6 11 6 2" xfId="44897" xr:uid="{00000000-0005-0000-0000-0000727F0000}"/>
    <cellStyle name="Normal 2 3 6 11 7" xfId="13656" xr:uid="{00000000-0005-0000-0000-0000737F0000}"/>
    <cellStyle name="Normal 2 3 6 11 7 2" xfId="44898" xr:uid="{00000000-0005-0000-0000-0000747F0000}"/>
    <cellStyle name="Normal 2 3 6 11 8" xfId="44899" xr:uid="{00000000-0005-0000-0000-0000757F0000}"/>
    <cellStyle name="Normal 2 3 6 11 8 2" xfId="44900" xr:uid="{00000000-0005-0000-0000-0000767F0000}"/>
    <cellStyle name="Normal 2 3 6 11 9" xfId="44901" xr:uid="{00000000-0005-0000-0000-0000777F0000}"/>
    <cellStyle name="Normal 2 3 6 12" xfId="13657" xr:uid="{00000000-0005-0000-0000-0000787F0000}"/>
    <cellStyle name="Normal 2 3 6 12 10" xfId="44902" xr:uid="{00000000-0005-0000-0000-0000797F0000}"/>
    <cellStyle name="Normal 2 3 6 12 11" xfId="44903" xr:uid="{00000000-0005-0000-0000-00007A7F0000}"/>
    <cellStyle name="Normal 2 3 6 12 2" xfId="13658" xr:uid="{00000000-0005-0000-0000-00007B7F0000}"/>
    <cellStyle name="Normal 2 3 6 12 2 10" xfId="44904" xr:uid="{00000000-0005-0000-0000-00007C7F0000}"/>
    <cellStyle name="Normal 2 3 6 12 2 2" xfId="13659" xr:uid="{00000000-0005-0000-0000-00007D7F0000}"/>
    <cellStyle name="Normal 2 3 6 12 2 2 2" xfId="13660" xr:uid="{00000000-0005-0000-0000-00007E7F0000}"/>
    <cellStyle name="Normal 2 3 6 12 2 2 2 2" xfId="13661" xr:uid="{00000000-0005-0000-0000-00007F7F0000}"/>
    <cellStyle name="Normal 2 3 6 12 2 2 2 2 2" xfId="44905" xr:uid="{00000000-0005-0000-0000-0000807F0000}"/>
    <cellStyle name="Normal 2 3 6 12 2 2 2 3" xfId="13662" xr:uid="{00000000-0005-0000-0000-0000817F0000}"/>
    <cellStyle name="Normal 2 3 6 12 2 2 2 3 2" xfId="44906" xr:uid="{00000000-0005-0000-0000-0000827F0000}"/>
    <cellStyle name="Normal 2 3 6 12 2 2 2 4" xfId="44907" xr:uid="{00000000-0005-0000-0000-0000837F0000}"/>
    <cellStyle name="Normal 2 3 6 12 2 2 3" xfId="13663" xr:uid="{00000000-0005-0000-0000-0000847F0000}"/>
    <cellStyle name="Normal 2 3 6 12 2 2 3 2" xfId="44908" xr:uid="{00000000-0005-0000-0000-0000857F0000}"/>
    <cellStyle name="Normal 2 3 6 12 2 2 4" xfId="13664" xr:uid="{00000000-0005-0000-0000-0000867F0000}"/>
    <cellStyle name="Normal 2 3 6 12 2 2 4 2" xfId="44909" xr:uid="{00000000-0005-0000-0000-0000877F0000}"/>
    <cellStyle name="Normal 2 3 6 12 2 2 5" xfId="13665" xr:uid="{00000000-0005-0000-0000-0000887F0000}"/>
    <cellStyle name="Normal 2 3 6 12 2 2 5 2" xfId="44910" xr:uid="{00000000-0005-0000-0000-0000897F0000}"/>
    <cellStyle name="Normal 2 3 6 12 2 2 6" xfId="44911" xr:uid="{00000000-0005-0000-0000-00008A7F0000}"/>
    <cellStyle name="Normal 2 3 6 12 2 2 6 2" xfId="44912" xr:uid="{00000000-0005-0000-0000-00008B7F0000}"/>
    <cellStyle name="Normal 2 3 6 12 2 2 7" xfId="44913" xr:uid="{00000000-0005-0000-0000-00008C7F0000}"/>
    <cellStyle name="Normal 2 3 6 12 2 3" xfId="13666" xr:uid="{00000000-0005-0000-0000-00008D7F0000}"/>
    <cellStyle name="Normal 2 3 6 12 2 3 2" xfId="13667" xr:uid="{00000000-0005-0000-0000-00008E7F0000}"/>
    <cellStyle name="Normal 2 3 6 12 2 3 2 2" xfId="44914" xr:uid="{00000000-0005-0000-0000-00008F7F0000}"/>
    <cellStyle name="Normal 2 3 6 12 2 3 3" xfId="13668" xr:uid="{00000000-0005-0000-0000-0000907F0000}"/>
    <cellStyle name="Normal 2 3 6 12 2 3 3 2" xfId="44915" xr:uid="{00000000-0005-0000-0000-0000917F0000}"/>
    <cellStyle name="Normal 2 3 6 12 2 3 4" xfId="44916" xr:uid="{00000000-0005-0000-0000-0000927F0000}"/>
    <cellStyle name="Normal 2 3 6 12 2 4" xfId="13669" xr:uid="{00000000-0005-0000-0000-0000937F0000}"/>
    <cellStyle name="Normal 2 3 6 12 2 4 2" xfId="13670" xr:uid="{00000000-0005-0000-0000-0000947F0000}"/>
    <cellStyle name="Normal 2 3 6 12 2 4 2 2" xfId="44917" xr:uid="{00000000-0005-0000-0000-0000957F0000}"/>
    <cellStyle name="Normal 2 3 6 12 2 4 3" xfId="44918" xr:uid="{00000000-0005-0000-0000-0000967F0000}"/>
    <cellStyle name="Normal 2 3 6 12 2 5" xfId="13671" xr:uid="{00000000-0005-0000-0000-0000977F0000}"/>
    <cellStyle name="Normal 2 3 6 12 2 5 2" xfId="44919" xr:uid="{00000000-0005-0000-0000-0000987F0000}"/>
    <cellStyle name="Normal 2 3 6 12 2 6" xfId="13672" xr:uid="{00000000-0005-0000-0000-0000997F0000}"/>
    <cellStyle name="Normal 2 3 6 12 2 6 2" xfId="44920" xr:uid="{00000000-0005-0000-0000-00009A7F0000}"/>
    <cellStyle name="Normal 2 3 6 12 2 7" xfId="44921" xr:uid="{00000000-0005-0000-0000-00009B7F0000}"/>
    <cellStyle name="Normal 2 3 6 12 2 7 2" xfId="44922" xr:uid="{00000000-0005-0000-0000-00009C7F0000}"/>
    <cellStyle name="Normal 2 3 6 12 2 8" xfId="44923" xr:uid="{00000000-0005-0000-0000-00009D7F0000}"/>
    <cellStyle name="Normal 2 3 6 12 2 9" xfId="44924" xr:uid="{00000000-0005-0000-0000-00009E7F0000}"/>
    <cellStyle name="Normal 2 3 6 12 3" xfId="13673" xr:uid="{00000000-0005-0000-0000-00009F7F0000}"/>
    <cellStyle name="Normal 2 3 6 12 3 2" xfId="13674" xr:uid="{00000000-0005-0000-0000-0000A07F0000}"/>
    <cellStyle name="Normal 2 3 6 12 3 2 2" xfId="13675" xr:uid="{00000000-0005-0000-0000-0000A17F0000}"/>
    <cellStyle name="Normal 2 3 6 12 3 2 2 2" xfId="44925" xr:uid="{00000000-0005-0000-0000-0000A27F0000}"/>
    <cellStyle name="Normal 2 3 6 12 3 2 3" xfId="13676" xr:uid="{00000000-0005-0000-0000-0000A37F0000}"/>
    <cellStyle name="Normal 2 3 6 12 3 2 3 2" xfId="44926" xr:uid="{00000000-0005-0000-0000-0000A47F0000}"/>
    <cellStyle name="Normal 2 3 6 12 3 2 4" xfId="44927" xr:uid="{00000000-0005-0000-0000-0000A57F0000}"/>
    <cellStyle name="Normal 2 3 6 12 3 3" xfId="13677" xr:uid="{00000000-0005-0000-0000-0000A67F0000}"/>
    <cellStyle name="Normal 2 3 6 12 3 3 2" xfId="44928" xr:uid="{00000000-0005-0000-0000-0000A77F0000}"/>
    <cellStyle name="Normal 2 3 6 12 3 4" xfId="13678" xr:uid="{00000000-0005-0000-0000-0000A87F0000}"/>
    <cellStyle name="Normal 2 3 6 12 3 4 2" xfId="44929" xr:uid="{00000000-0005-0000-0000-0000A97F0000}"/>
    <cellStyle name="Normal 2 3 6 12 3 5" xfId="13679" xr:uid="{00000000-0005-0000-0000-0000AA7F0000}"/>
    <cellStyle name="Normal 2 3 6 12 3 5 2" xfId="44930" xr:uid="{00000000-0005-0000-0000-0000AB7F0000}"/>
    <cellStyle name="Normal 2 3 6 12 3 6" xfId="44931" xr:uid="{00000000-0005-0000-0000-0000AC7F0000}"/>
    <cellStyle name="Normal 2 3 6 12 3 6 2" xfId="44932" xr:uid="{00000000-0005-0000-0000-0000AD7F0000}"/>
    <cellStyle name="Normal 2 3 6 12 3 7" xfId="44933" xr:uid="{00000000-0005-0000-0000-0000AE7F0000}"/>
    <cellStyle name="Normal 2 3 6 12 4" xfId="13680" xr:uid="{00000000-0005-0000-0000-0000AF7F0000}"/>
    <cellStyle name="Normal 2 3 6 12 4 2" xfId="13681" xr:uid="{00000000-0005-0000-0000-0000B07F0000}"/>
    <cellStyle name="Normal 2 3 6 12 4 2 2" xfId="44934" xr:uid="{00000000-0005-0000-0000-0000B17F0000}"/>
    <cellStyle name="Normal 2 3 6 12 4 3" xfId="13682" xr:uid="{00000000-0005-0000-0000-0000B27F0000}"/>
    <cellStyle name="Normal 2 3 6 12 4 3 2" xfId="44935" xr:uid="{00000000-0005-0000-0000-0000B37F0000}"/>
    <cellStyle name="Normal 2 3 6 12 4 4" xfId="44936" xr:uid="{00000000-0005-0000-0000-0000B47F0000}"/>
    <cellStyle name="Normal 2 3 6 12 5" xfId="13683" xr:uid="{00000000-0005-0000-0000-0000B57F0000}"/>
    <cellStyle name="Normal 2 3 6 12 5 2" xfId="13684" xr:uid="{00000000-0005-0000-0000-0000B67F0000}"/>
    <cellStyle name="Normal 2 3 6 12 5 2 2" xfId="44937" xr:uid="{00000000-0005-0000-0000-0000B77F0000}"/>
    <cellStyle name="Normal 2 3 6 12 5 3" xfId="44938" xr:uid="{00000000-0005-0000-0000-0000B87F0000}"/>
    <cellStyle name="Normal 2 3 6 12 6" xfId="13685" xr:uid="{00000000-0005-0000-0000-0000B97F0000}"/>
    <cellStyle name="Normal 2 3 6 12 6 2" xfId="44939" xr:uid="{00000000-0005-0000-0000-0000BA7F0000}"/>
    <cellStyle name="Normal 2 3 6 12 7" xfId="13686" xr:uid="{00000000-0005-0000-0000-0000BB7F0000}"/>
    <cellStyle name="Normal 2 3 6 12 7 2" xfId="44940" xr:uid="{00000000-0005-0000-0000-0000BC7F0000}"/>
    <cellStyle name="Normal 2 3 6 12 8" xfId="44941" xr:uid="{00000000-0005-0000-0000-0000BD7F0000}"/>
    <cellStyle name="Normal 2 3 6 12 8 2" xfId="44942" xr:uid="{00000000-0005-0000-0000-0000BE7F0000}"/>
    <cellStyle name="Normal 2 3 6 12 9" xfId="44943" xr:uid="{00000000-0005-0000-0000-0000BF7F0000}"/>
    <cellStyle name="Normal 2 3 6 13" xfId="13687" xr:uid="{00000000-0005-0000-0000-0000C07F0000}"/>
    <cellStyle name="Normal 2 3 6 13 10" xfId="44944" xr:uid="{00000000-0005-0000-0000-0000C17F0000}"/>
    <cellStyle name="Normal 2 3 6 13 11" xfId="44945" xr:uid="{00000000-0005-0000-0000-0000C27F0000}"/>
    <cellStyle name="Normal 2 3 6 13 2" xfId="13688" xr:uid="{00000000-0005-0000-0000-0000C37F0000}"/>
    <cellStyle name="Normal 2 3 6 13 2 10" xfId="44946" xr:uid="{00000000-0005-0000-0000-0000C47F0000}"/>
    <cellStyle name="Normal 2 3 6 13 2 2" xfId="13689" xr:uid="{00000000-0005-0000-0000-0000C57F0000}"/>
    <cellStyle name="Normal 2 3 6 13 2 2 2" xfId="13690" xr:uid="{00000000-0005-0000-0000-0000C67F0000}"/>
    <cellStyle name="Normal 2 3 6 13 2 2 2 2" xfId="13691" xr:uid="{00000000-0005-0000-0000-0000C77F0000}"/>
    <cellStyle name="Normal 2 3 6 13 2 2 2 2 2" xfId="44947" xr:uid="{00000000-0005-0000-0000-0000C87F0000}"/>
    <cellStyle name="Normal 2 3 6 13 2 2 2 3" xfId="13692" xr:uid="{00000000-0005-0000-0000-0000C97F0000}"/>
    <cellStyle name="Normal 2 3 6 13 2 2 2 3 2" xfId="44948" xr:uid="{00000000-0005-0000-0000-0000CA7F0000}"/>
    <cellStyle name="Normal 2 3 6 13 2 2 2 4" xfId="44949" xr:uid="{00000000-0005-0000-0000-0000CB7F0000}"/>
    <cellStyle name="Normal 2 3 6 13 2 2 3" xfId="13693" xr:uid="{00000000-0005-0000-0000-0000CC7F0000}"/>
    <cellStyle name="Normal 2 3 6 13 2 2 3 2" xfId="44950" xr:uid="{00000000-0005-0000-0000-0000CD7F0000}"/>
    <cellStyle name="Normal 2 3 6 13 2 2 4" xfId="13694" xr:uid="{00000000-0005-0000-0000-0000CE7F0000}"/>
    <cellStyle name="Normal 2 3 6 13 2 2 4 2" xfId="44951" xr:uid="{00000000-0005-0000-0000-0000CF7F0000}"/>
    <cellStyle name="Normal 2 3 6 13 2 2 5" xfId="13695" xr:uid="{00000000-0005-0000-0000-0000D07F0000}"/>
    <cellStyle name="Normal 2 3 6 13 2 2 5 2" xfId="44952" xr:uid="{00000000-0005-0000-0000-0000D17F0000}"/>
    <cellStyle name="Normal 2 3 6 13 2 2 6" xfId="44953" xr:uid="{00000000-0005-0000-0000-0000D27F0000}"/>
    <cellStyle name="Normal 2 3 6 13 2 2 6 2" xfId="44954" xr:uid="{00000000-0005-0000-0000-0000D37F0000}"/>
    <cellStyle name="Normal 2 3 6 13 2 2 7" xfId="44955" xr:uid="{00000000-0005-0000-0000-0000D47F0000}"/>
    <cellStyle name="Normal 2 3 6 13 2 3" xfId="13696" xr:uid="{00000000-0005-0000-0000-0000D57F0000}"/>
    <cellStyle name="Normal 2 3 6 13 2 3 2" xfId="13697" xr:uid="{00000000-0005-0000-0000-0000D67F0000}"/>
    <cellStyle name="Normal 2 3 6 13 2 3 2 2" xfId="44956" xr:uid="{00000000-0005-0000-0000-0000D77F0000}"/>
    <cellStyle name="Normal 2 3 6 13 2 3 3" xfId="13698" xr:uid="{00000000-0005-0000-0000-0000D87F0000}"/>
    <cellStyle name="Normal 2 3 6 13 2 3 3 2" xfId="44957" xr:uid="{00000000-0005-0000-0000-0000D97F0000}"/>
    <cellStyle name="Normal 2 3 6 13 2 3 4" xfId="44958" xr:uid="{00000000-0005-0000-0000-0000DA7F0000}"/>
    <cellStyle name="Normal 2 3 6 13 2 4" xfId="13699" xr:uid="{00000000-0005-0000-0000-0000DB7F0000}"/>
    <cellStyle name="Normal 2 3 6 13 2 4 2" xfId="13700" xr:uid="{00000000-0005-0000-0000-0000DC7F0000}"/>
    <cellStyle name="Normal 2 3 6 13 2 4 2 2" xfId="44959" xr:uid="{00000000-0005-0000-0000-0000DD7F0000}"/>
    <cellStyle name="Normal 2 3 6 13 2 4 3" xfId="44960" xr:uid="{00000000-0005-0000-0000-0000DE7F0000}"/>
    <cellStyle name="Normal 2 3 6 13 2 5" xfId="13701" xr:uid="{00000000-0005-0000-0000-0000DF7F0000}"/>
    <cellStyle name="Normal 2 3 6 13 2 5 2" xfId="44961" xr:uid="{00000000-0005-0000-0000-0000E07F0000}"/>
    <cellStyle name="Normal 2 3 6 13 2 6" xfId="13702" xr:uid="{00000000-0005-0000-0000-0000E17F0000}"/>
    <cellStyle name="Normal 2 3 6 13 2 6 2" xfId="44962" xr:uid="{00000000-0005-0000-0000-0000E27F0000}"/>
    <cellStyle name="Normal 2 3 6 13 2 7" xfId="44963" xr:uid="{00000000-0005-0000-0000-0000E37F0000}"/>
    <cellStyle name="Normal 2 3 6 13 2 7 2" xfId="44964" xr:uid="{00000000-0005-0000-0000-0000E47F0000}"/>
    <cellStyle name="Normal 2 3 6 13 2 8" xfId="44965" xr:uid="{00000000-0005-0000-0000-0000E57F0000}"/>
    <cellStyle name="Normal 2 3 6 13 2 9" xfId="44966" xr:uid="{00000000-0005-0000-0000-0000E67F0000}"/>
    <cellStyle name="Normal 2 3 6 13 3" xfId="13703" xr:uid="{00000000-0005-0000-0000-0000E77F0000}"/>
    <cellStyle name="Normal 2 3 6 13 3 2" xfId="13704" xr:uid="{00000000-0005-0000-0000-0000E87F0000}"/>
    <cellStyle name="Normal 2 3 6 13 3 2 2" xfId="13705" xr:uid="{00000000-0005-0000-0000-0000E97F0000}"/>
    <cellStyle name="Normal 2 3 6 13 3 2 2 2" xfId="44967" xr:uid="{00000000-0005-0000-0000-0000EA7F0000}"/>
    <cellStyle name="Normal 2 3 6 13 3 2 3" xfId="13706" xr:uid="{00000000-0005-0000-0000-0000EB7F0000}"/>
    <cellStyle name="Normal 2 3 6 13 3 2 3 2" xfId="44968" xr:uid="{00000000-0005-0000-0000-0000EC7F0000}"/>
    <cellStyle name="Normal 2 3 6 13 3 2 4" xfId="44969" xr:uid="{00000000-0005-0000-0000-0000ED7F0000}"/>
    <cellStyle name="Normal 2 3 6 13 3 3" xfId="13707" xr:uid="{00000000-0005-0000-0000-0000EE7F0000}"/>
    <cellStyle name="Normal 2 3 6 13 3 3 2" xfId="44970" xr:uid="{00000000-0005-0000-0000-0000EF7F0000}"/>
    <cellStyle name="Normal 2 3 6 13 3 4" xfId="13708" xr:uid="{00000000-0005-0000-0000-0000F07F0000}"/>
    <cellStyle name="Normal 2 3 6 13 3 4 2" xfId="44971" xr:uid="{00000000-0005-0000-0000-0000F17F0000}"/>
    <cellStyle name="Normal 2 3 6 13 3 5" xfId="13709" xr:uid="{00000000-0005-0000-0000-0000F27F0000}"/>
    <cellStyle name="Normal 2 3 6 13 3 5 2" xfId="44972" xr:uid="{00000000-0005-0000-0000-0000F37F0000}"/>
    <cellStyle name="Normal 2 3 6 13 3 6" xfId="44973" xr:uid="{00000000-0005-0000-0000-0000F47F0000}"/>
    <cellStyle name="Normal 2 3 6 13 3 6 2" xfId="44974" xr:uid="{00000000-0005-0000-0000-0000F57F0000}"/>
    <cellStyle name="Normal 2 3 6 13 3 7" xfId="44975" xr:uid="{00000000-0005-0000-0000-0000F67F0000}"/>
    <cellStyle name="Normal 2 3 6 13 4" xfId="13710" xr:uid="{00000000-0005-0000-0000-0000F77F0000}"/>
    <cellStyle name="Normal 2 3 6 13 4 2" xfId="13711" xr:uid="{00000000-0005-0000-0000-0000F87F0000}"/>
    <cellStyle name="Normal 2 3 6 13 4 2 2" xfId="44976" xr:uid="{00000000-0005-0000-0000-0000F97F0000}"/>
    <cellStyle name="Normal 2 3 6 13 4 3" xfId="13712" xr:uid="{00000000-0005-0000-0000-0000FA7F0000}"/>
    <cellStyle name="Normal 2 3 6 13 4 3 2" xfId="44977" xr:uid="{00000000-0005-0000-0000-0000FB7F0000}"/>
    <cellStyle name="Normal 2 3 6 13 4 4" xfId="44978" xr:uid="{00000000-0005-0000-0000-0000FC7F0000}"/>
    <cellStyle name="Normal 2 3 6 13 5" xfId="13713" xr:uid="{00000000-0005-0000-0000-0000FD7F0000}"/>
    <cellStyle name="Normal 2 3 6 13 5 2" xfId="13714" xr:uid="{00000000-0005-0000-0000-0000FE7F0000}"/>
    <cellStyle name="Normal 2 3 6 13 5 2 2" xfId="44979" xr:uid="{00000000-0005-0000-0000-0000FF7F0000}"/>
    <cellStyle name="Normal 2 3 6 13 5 3" xfId="44980" xr:uid="{00000000-0005-0000-0000-000000800000}"/>
    <cellStyle name="Normal 2 3 6 13 6" xfId="13715" xr:uid="{00000000-0005-0000-0000-000001800000}"/>
    <cellStyle name="Normal 2 3 6 13 6 2" xfId="44981" xr:uid="{00000000-0005-0000-0000-000002800000}"/>
    <cellStyle name="Normal 2 3 6 13 7" xfId="13716" xr:uid="{00000000-0005-0000-0000-000003800000}"/>
    <cellStyle name="Normal 2 3 6 13 7 2" xfId="44982" xr:uid="{00000000-0005-0000-0000-000004800000}"/>
    <cellStyle name="Normal 2 3 6 13 8" xfId="44983" xr:uid="{00000000-0005-0000-0000-000005800000}"/>
    <cellStyle name="Normal 2 3 6 13 8 2" xfId="44984" xr:uid="{00000000-0005-0000-0000-000006800000}"/>
    <cellStyle name="Normal 2 3 6 13 9" xfId="44985" xr:uid="{00000000-0005-0000-0000-000007800000}"/>
    <cellStyle name="Normal 2 3 6 14" xfId="13717" xr:uid="{00000000-0005-0000-0000-000008800000}"/>
    <cellStyle name="Normal 2 3 6 14 10" xfId="44986" xr:uid="{00000000-0005-0000-0000-000009800000}"/>
    <cellStyle name="Normal 2 3 6 14 11" xfId="44987" xr:uid="{00000000-0005-0000-0000-00000A800000}"/>
    <cellStyle name="Normal 2 3 6 14 2" xfId="13718" xr:uid="{00000000-0005-0000-0000-00000B800000}"/>
    <cellStyle name="Normal 2 3 6 14 2 10" xfId="44988" xr:uid="{00000000-0005-0000-0000-00000C800000}"/>
    <cellStyle name="Normal 2 3 6 14 2 2" xfId="13719" xr:uid="{00000000-0005-0000-0000-00000D800000}"/>
    <cellStyle name="Normal 2 3 6 14 2 2 2" xfId="13720" xr:uid="{00000000-0005-0000-0000-00000E800000}"/>
    <cellStyle name="Normal 2 3 6 14 2 2 2 2" xfId="13721" xr:uid="{00000000-0005-0000-0000-00000F800000}"/>
    <cellStyle name="Normal 2 3 6 14 2 2 2 2 2" xfId="44989" xr:uid="{00000000-0005-0000-0000-000010800000}"/>
    <cellStyle name="Normal 2 3 6 14 2 2 2 3" xfId="13722" xr:uid="{00000000-0005-0000-0000-000011800000}"/>
    <cellStyle name="Normal 2 3 6 14 2 2 2 3 2" xfId="44990" xr:uid="{00000000-0005-0000-0000-000012800000}"/>
    <cellStyle name="Normal 2 3 6 14 2 2 2 4" xfId="44991" xr:uid="{00000000-0005-0000-0000-000013800000}"/>
    <cellStyle name="Normal 2 3 6 14 2 2 3" xfId="13723" xr:uid="{00000000-0005-0000-0000-000014800000}"/>
    <cellStyle name="Normal 2 3 6 14 2 2 3 2" xfId="44992" xr:uid="{00000000-0005-0000-0000-000015800000}"/>
    <cellStyle name="Normal 2 3 6 14 2 2 4" xfId="13724" xr:uid="{00000000-0005-0000-0000-000016800000}"/>
    <cellStyle name="Normal 2 3 6 14 2 2 4 2" xfId="44993" xr:uid="{00000000-0005-0000-0000-000017800000}"/>
    <cellStyle name="Normal 2 3 6 14 2 2 5" xfId="13725" xr:uid="{00000000-0005-0000-0000-000018800000}"/>
    <cellStyle name="Normal 2 3 6 14 2 2 5 2" xfId="44994" xr:uid="{00000000-0005-0000-0000-000019800000}"/>
    <cellStyle name="Normal 2 3 6 14 2 2 6" xfId="44995" xr:uid="{00000000-0005-0000-0000-00001A800000}"/>
    <cellStyle name="Normal 2 3 6 14 2 2 6 2" xfId="44996" xr:uid="{00000000-0005-0000-0000-00001B800000}"/>
    <cellStyle name="Normal 2 3 6 14 2 2 7" xfId="44997" xr:uid="{00000000-0005-0000-0000-00001C800000}"/>
    <cellStyle name="Normal 2 3 6 14 2 3" xfId="13726" xr:uid="{00000000-0005-0000-0000-00001D800000}"/>
    <cellStyle name="Normal 2 3 6 14 2 3 2" xfId="13727" xr:uid="{00000000-0005-0000-0000-00001E800000}"/>
    <cellStyle name="Normal 2 3 6 14 2 3 2 2" xfId="44998" xr:uid="{00000000-0005-0000-0000-00001F800000}"/>
    <cellStyle name="Normal 2 3 6 14 2 3 3" xfId="13728" xr:uid="{00000000-0005-0000-0000-000020800000}"/>
    <cellStyle name="Normal 2 3 6 14 2 3 3 2" xfId="44999" xr:uid="{00000000-0005-0000-0000-000021800000}"/>
    <cellStyle name="Normal 2 3 6 14 2 3 4" xfId="45000" xr:uid="{00000000-0005-0000-0000-000022800000}"/>
    <cellStyle name="Normal 2 3 6 14 2 4" xfId="13729" xr:uid="{00000000-0005-0000-0000-000023800000}"/>
    <cellStyle name="Normal 2 3 6 14 2 4 2" xfId="13730" xr:uid="{00000000-0005-0000-0000-000024800000}"/>
    <cellStyle name="Normal 2 3 6 14 2 4 2 2" xfId="45001" xr:uid="{00000000-0005-0000-0000-000025800000}"/>
    <cellStyle name="Normal 2 3 6 14 2 4 3" xfId="45002" xr:uid="{00000000-0005-0000-0000-000026800000}"/>
    <cellStyle name="Normal 2 3 6 14 2 5" xfId="13731" xr:uid="{00000000-0005-0000-0000-000027800000}"/>
    <cellStyle name="Normal 2 3 6 14 2 5 2" xfId="45003" xr:uid="{00000000-0005-0000-0000-000028800000}"/>
    <cellStyle name="Normal 2 3 6 14 2 6" xfId="13732" xr:uid="{00000000-0005-0000-0000-000029800000}"/>
    <cellStyle name="Normal 2 3 6 14 2 6 2" xfId="45004" xr:uid="{00000000-0005-0000-0000-00002A800000}"/>
    <cellStyle name="Normal 2 3 6 14 2 7" xfId="45005" xr:uid="{00000000-0005-0000-0000-00002B800000}"/>
    <cellStyle name="Normal 2 3 6 14 2 7 2" xfId="45006" xr:uid="{00000000-0005-0000-0000-00002C800000}"/>
    <cellStyle name="Normal 2 3 6 14 2 8" xfId="45007" xr:uid="{00000000-0005-0000-0000-00002D800000}"/>
    <cellStyle name="Normal 2 3 6 14 2 9" xfId="45008" xr:uid="{00000000-0005-0000-0000-00002E800000}"/>
    <cellStyle name="Normal 2 3 6 14 3" xfId="13733" xr:uid="{00000000-0005-0000-0000-00002F800000}"/>
    <cellStyle name="Normal 2 3 6 14 3 2" xfId="13734" xr:uid="{00000000-0005-0000-0000-000030800000}"/>
    <cellStyle name="Normal 2 3 6 14 3 2 2" xfId="13735" xr:uid="{00000000-0005-0000-0000-000031800000}"/>
    <cellStyle name="Normal 2 3 6 14 3 2 2 2" xfId="45009" xr:uid="{00000000-0005-0000-0000-000032800000}"/>
    <cellStyle name="Normal 2 3 6 14 3 2 3" xfId="13736" xr:uid="{00000000-0005-0000-0000-000033800000}"/>
    <cellStyle name="Normal 2 3 6 14 3 2 3 2" xfId="45010" xr:uid="{00000000-0005-0000-0000-000034800000}"/>
    <cellStyle name="Normal 2 3 6 14 3 2 4" xfId="45011" xr:uid="{00000000-0005-0000-0000-000035800000}"/>
    <cellStyle name="Normal 2 3 6 14 3 3" xfId="13737" xr:uid="{00000000-0005-0000-0000-000036800000}"/>
    <cellStyle name="Normal 2 3 6 14 3 3 2" xfId="45012" xr:uid="{00000000-0005-0000-0000-000037800000}"/>
    <cellStyle name="Normal 2 3 6 14 3 4" xfId="13738" xr:uid="{00000000-0005-0000-0000-000038800000}"/>
    <cellStyle name="Normal 2 3 6 14 3 4 2" xfId="45013" xr:uid="{00000000-0005-0000-0000-000039800000}"/>
    <cellStyle name="Normal 2 3 6 14 3 5" xfId="13739" xr:uid="{00000000-0005-0000-0000-00003A800000}"/>
    <cellStyle name="Normal 2 3 6 14 3 5 2" xfId="45014" xr:uid="{00000000-0005-0000-0000-00003B800000}"/>
    <cellStyle name="Normal 2 3 6 14 3 6" xfId="45015" xr:uid="{00000000-0005-0000-0000-00003C800000}"/>
    <cellStyle name="Normal 2 3 6 14 3 6 2" xfId="45016" xr:uid="{00000000-0005-0000-0000-00003D800000}"/>
    <cellStyle name="Normal 2 3 6 14 3 7" xfId="45017" xr:uid="{00000000-0005-0000-0000-00003E800000}"/>
    <cellStyle name="Normal 2 3 6 14 4" xfId="13740" xr:uid="{00000000-0005-0000-0000-00003F800000}"/>
    <cellStyle name="Normal 2 3 6 14 4 2" xfId="13741" xr:uid="{00000000-0005-0000-0000-000040800000}"/>
    <cellStyle name="Normal 2 3 6 14 4 2 2" xfId="45018" xr:uid="{00000000-0005-0000-0000-000041800000}"/>
    <cellStyle name="Normal 2 3 6 14 4 3" xfId="13742" xr:uid="{00000000-0005-0000-0000-000042800000}"/>
    <cellStyle name="Normal 2 3 6 14 4 3 2" xfId="45019" xr:uid="{00000000-0005-0000-0000-000043800000}"/>
    <cellStyle name="Normal 2 3 6 14 4 4" xfId="45020" xr:uid="{00000000-0005-0000-0000-000044800000}"/>
    <cellStyle name="Normal 2 3 6 14 5" xfId="13743" xr:uid="{00000000-0005-0000-0000-000045800000}"/>
    <cellStyle name="Normal 2 3 6 14 5 2" xfId="13744" xr:uid="{00000000-0005-0000-0000-000046800000}"/>
    <cellStyle name="Normal 2 3 6 14 5 2 2" xfId="45021" xr:uid="{00000000-0005-0000-0000-000047800000}"/>
    <cellStyle name="Normal 2 3 6 14 5 3" xfId="45022" xr:uid="{00000000-0005-0000-0000-000048800000}"/>
    <cellStyle name="Normal 2 3 6 14 6" xfId="13745" xr:uid="{00000000-0005-0000-0000-000049800000}"/>
    <cellStyle name="Normal 2 3 6 14 6 2" xfId="45023" xr:uid="{00000000-0005-0000-0000-00004A800000}"/>
    <cellStyle name="Normal 2 3 6 14 7" xfId="13746" xr:uid="{00000000-0005-0000-0000-00004B800000}"/>
    <cellStyle name="Normal 2 3 6 14 7 2" xfId="45024" xr:uid="{00000000-0005-0000-0000-00004C800000}"/>
    <cellStyle name="Normal 2 3 6 14 8" xfId="45025" xr:uid="{00000000-0005-0000-0000-00004D800000}"/>
    <cellStyle name="Normal 2 3 6 14 8 2" xfId="45026" xr:uid="{00000000-0005-0000-0000-00004E800000}"/>
    <cellStyle name="Normal 2 3 6 14 9" xfId="45027" xr:uid="{00000000-0005-0000-0000-00004F800000}"/>
    <cellStyle name="Normal 2 3 6 15" xfId="13747" xr:uid="{00000000-0005-0000-0000-000050800000}"/>
    <cellStyle name="Normal 2 3 6 15 10" xfId="45028" xr:uid="{00000000-0005-0000-0000-000051800000}"/>
    <cellStyle name="Normal 2 3 6 15 11" xfId="45029" xr:uid="{00000000-0005-0000-0000-000052800000}"/>
    <cellStyle name="Normal 2 3 6 15 2" xfId="13748" xr:uid="{00000000-0005-0000-0000-000053800000}"/>
    <cellStyle name="Normal 2 3 6 15 2 10" xfId="45030" xr:uid="{00000000-0005-0000-0000-000054800000}"/>
    <cellStyle name="Normal 2 3 6 15 2 2" xfId="13749" xr:uid="{00000000-0005-0000-0000-000055800000}"/>
    <cellStyle name="Normal 2 3 6 15 2 2 2" xfId="13750" xr:uid="{00000000-0005-0000-0000-000056800000}"/>
    <cellStyle name="Normal 2 3 6 15 2 2 2 2" xfId="13751" xr:uid="{00000000-0005-0000-0000-000057800000}"/>
    <cellStyle name="Normal 2 3 6 15 2 2 2 2 2" xfId="45031" xr:uid="{00000000-0005-0000-0000-000058800000}"/>
    <cellStyle name="Normal 2 3 6 15 2 2 2 3" xfId="13752" xr:uid="{00000000-0005-0000-0000-000059800000}"/>
    <cellStyle name="Normal 2 3 6 15 2 2 2 3 2" xfId="45032" xr:uid="{00000000-0005-0000-0000-00005A800000}"/>
    <cellStyle name="Normal 2 3 6 15 2 2 2 4" xfId="45033" xr:uid="{00000000-0005-0000-0000-00005B800000}"/>
    <cellStyle name="Normal 2 3 6 15 2 2 3" xfId="13753" xr:uid="{00000000-0005-0000-0000-00005C800000}"/>
    <cellStyle name="Normal 2 3 6 15 2 2 3 2" xfId="45034" xr:uid="{00000000-0005-0000-0000-00005D800000}"/>
    <cellStyle name="Normal 2 3 6 15 2 2 4" xfId="13754" xr:uid="{00000000-0005-0000-0000-00005E800000}"/>
    <cellStyle name="Normal 2 3 6 15 2 2 4 2" xfId="45035" xr:uid="{00000000-0005-0000-0000-00005F800000}"/>
    <cellStyle name="Normal 2 3 6 15 2 2 5" xfId="13755" xr:uid="{00000000-0005-0000-0000-000060800000}"/>
    <cellStyle name="Normal 2 3 6 15 2 2 5 2" xfId="45036" xr:uid="{00000000-0005-0000-0000-000061800000}"/>
    <cellStyle name="Normal 2 3 6 15 2 2 6" xfId="45037" xr:uid="{00000000-0005-0000-0000-000062800000}"/>
    <cellStyle name="Normal 2 3 6 15 2 2 6 2" xfId="45038" xr:uid="{00000000-0005-0000-0000-000063800000}"/>
    <cellStyle name="Normal 2 3 6 15 2 2 7" xfId="45039" xr:uid="{00000000-0005-0000-0000-000064800000}"/>
    <cellStyle name="Normal 2 3 6 15 2 3" xfId="13756" xr:uid="{00000000-0005-0000-0000-000065800000}"/>
    <cellStyle name="Normal 2 3 6 15 2 3 2" xfId="13757" xr:uid="{00000000-0005-0000-0000-000066800000}"/>
    <cellStyle name="Normal 2 3 6 15 2 3 2 2" xfId="45040" xr:uid="{00000000-0005-0000-0000-000067800000}"/>
    <cellStyle name="Normal 2 3 6 15 2 3 3" xfId="13758" xr:uid="{00000000-0005-0000-0000-000068800000}"/>
    <cellStyle name="Normal 2 3 6 15 2 3 3 2" xfId="45041" xr:uid="{00000000-0005-0000-0000-000069800000}"/>
    <cellStyle name="Normal 2 3 6 15 2 3 4" xfId="45042" xr:uid="{00000000-0005-0000-0000-00006A800000}"/>
    <cellStyle name="Normal 2 3 6 15 2 4" xfId="13759" xr:uid="{00000000-0005-0000-0000-00006B800000}"/>
    <cellStyle name="Normal 2 3 6 15 2 4 2" xfId="13760" xr:uid="{00000000-0005-0000-0000-00006C800000}"/>
    <cellStyle name="Normal 2 3 6 15 2 4 2 2" xfId="45043" xr:uid="{00000000-0005-0000-0000-00006D800000}"/>
    <cellStyle name="Normal 2 3 6 15 2 4 3" xfId="45044" xr:uid="{00000000-0005-0000-0000-00006E800000}"/>
    <cellStyle name="Normal 2 3 6 15 2 5" xfId="13761" xr:uid="{00000000-0005-0000-0000-00006F800000}"/>
    <cellStyle name="Normal 2 3 6 15 2 5 2" xfId="45045" xr:uid="{00000000-0005-0000-0000-000070800000}"/>
    <cellStyle name="Normal 2 3 6 15 2 6" xfId="13762" xr:uid="{00000000-0005-0000-0000-000071800000}"/>
    <cellStyle name="Normal 2 3 6 15 2 6 2" xfId="45046" xr:uid="{00000000-0005-0000-0000-000072800000}"/>
    <cellStyle name="Normal 2 3 6 15 2 7" xfId="45047" xr:uid="{00000000-0005-0000-0000-000073800000}"/>
    <cellStyle name="Normal 2 3 6 15 2 7 2" xfId="45048" xr:uid="{00000000-0005-0000-0000-000074800000}"/>
    <cellStyle name="Normal 2 3 6 15 2 8" xfId="45049" xr:uid="{00000000-0005-0000-0000-000075800000}"/>
    <cellStyle name="Normal 2 3 6 15 2 9" xfId="45050" xr:uid="{00000000-0005-0000-0000-000076800000}"/>
    <cellStyle name="Normal 2 3 6 15 3" xfId="13763" xr:uid="{00000000-0005-0000-0000-000077800000}"/>
    <cellStyle name="Normal 2 3 6 15 3 2" xfId="13764" xr:uid="{00000000-0005-0000-0000-000078800000}"/>
    <cellStyle name="Normal 2 3 6 15 3 2 2" xfId="13765" xr:uid="{00000000-0005-0000-0000-000079800000}"/>
    <cellStyle name="Normal 2 3 6 15 3 2 2 2" xfId="45051" xr:uid="{00000000-0005-0000-0000-00007A800000}"/>
    <cellStyle name="Normal 2 3 6 15 3 2 3" xfId="13766" xr:uid="{00000000-0005-0000-0000-00007B800000}"/>
    <cellStyle name="Normal 2 3 6 15 3 2 3 2" xfId="45052" xr:uid="{00000000-0005-0000-0000-00007C800000}"/>
    <cellStyle name="Normal 2 3 6 15 3 2 4" xfId="45053" xr:uid="{00000000-0005-0000-0000-00007D800000}"/>
    <cellStyle name="Normal 2 3 6 15 3 3" xfId="13767" xr:uid="{00000000-0005-0000-0000-00007E800000}"/>
    <cellStyle name="Normal 2 3 6 15 3 3 2" xfId="45054" xr:uid="{00000000-0005-0000-0000-00007F800000}"/>
    <cellStyle name="Normal 2 3 6 15 3 4" xfId="13768" xr:uid="{00000000-0005-0000-0000-000080800000}"/>
    <cellStyle name="Normal 2 3 6 15 3 4 2" xfId="45055" xr:uid="{00000000-0005-0000-0000-000081800000}"/>
    <cellStyle name="Normal 2 3 6 15 3 5" xfId="13769" xr:uid="{00000000-0005-0000-0000-000082800000}"/>
    <cellStyle name="Normal 2 3 6 15 3 5 2" xfId="45056" xr:uid="{00000000-0005-0000-0000-000083800000}"/>
    <cellStyle name="Normal 2 3 6 15 3 6" xfId="45057" xr:uid="{00000000-0005-0000-0000-000084800000}"/>
    <cellStyle name="Normal 2 3 6 15 3 6 2" xfId="45058" xr:uid="{00000000-0005-0000-0000-000085800000}"/>
    <cellStyle name="Normal 2 3 6 15 3 7" xfId="45059" xr:uid="{00000000-0005-0000-0000-000086800000}"/>
    <cellStyle name="Normal 2 3 6 15 4" xfId="13770" xr:uid="{00000000-0005-0000-0000-000087800000}"/>
    <cellStyle name="Normal 2 3 6 15 4 2" xfId="13771" xr:uid="{00000000-0005-0000-0000-000088800000}"/>
    <cellStyle name="Normal 2 3 6 15 4 2 2" xfId="45060" xr:uid="{00000000-0005-0000-0000-000089800000}"/>
    <cellStyle name="Normal 2 3 6 15 4 3" xfId="13772" xr:uid="{00000000-0005-0000-0000-00008A800000}"/>
    <cellStyle name="Normal 2 3 6 15 4 3 2" xfId="45061" xr:uid="{00000000-0005-0000-0000-00008B800000}"/>
    <cellStyle name="Normal 2 3 6 15 4 4" xfId="45062" xr:uid="{00000000-0005-0000-0000-00008C800000}"/>
    <cellStyle name="Normal 2 3 6 15 5" xfId="13773" xr:uid="{00000000-0005-0000-0000-00008D800000}"/>
    <cellStyle name="Normal 2 3 6 15 5 2" xfId="13774" xr:uid="{00000000-0005-0000-0000-00008E800000}"/>
    <cellStyle name="Normal 2 3 6 15 5 2 2" xfId="45063" xr:uid="{00000000-0005-0000-0000-00008F800000}"/>
    <cellStyle name="Normal 2 3 6 15 5 3" xfId="45064" xr:uid="{00000000-0005-0000-0000-000090800000}"/>
    <cellStyle name="Normal 2 3 6 15 6" xfId="13775" xr:uid="{00000000-0005-0000-0000-000091800000}"/>
    <cellStyle name="Normal 2 3 6 15 6 2" xfId="45065" xr:uid="{00000000-0005-0000-0000-000092800000}"/>
    <cellStyle name="Normal 2 3 6 15 7" xfId="13776" xr:uid="{00000000-0005-0000-0000-000093800000}"/>
    <cellStyle name="Normal 2 3 6 15 7 2" xfId="45066" xr:uid="{00000000-0005-0000-0000-000094800000}"/>
    <cellStyle name="Normal 2 3 6 15 8" xfId="45067" xr:uid="{00000000-0005-0000-0000-000095800000}"/>
    <cellStyle name="Normal 2 3 6 15 8 2" xfId="45068" xr:uid="{00000000-0005-0000-0000-000096800000}"/>
    <cellStyle name="Normal 2 3 6 15 9" xfId="45069" xr:uid="{00000000-0005-0000-0000-000097800000}"/>
    <cellStyle name="Normal 2 3 6 16" xfId="13777" xr:uid="{00000000-0005-0000-0000-000098800000}"/>
    <cellStyle name="Normal 2 3 6 16 10" xfId="45070" xr:uid="{00000000-0005-0000-0000-000099800000}"/>
    <cellStyle name="Normal 2 3 6 16 11" xfId="45071" xr:uid="{00000000-0005-0000-0000-00009A800000}"/>
    <cellStyle name="Normal 2 3 6 16 2" xfId="13778" xr:uid="{00000000-0005-0000-0000-00009B800000}"/>
    <cellStyle name="Normal 2 3 6 16 2 10" xfId="45072" xr:uid="{00000000-0005-0000-0000-00009C800000}"/>
    <cellStyle name="Normal 2 3 6 16 2 2" xfId="13779" xr:uid="{00000000-0005-0000-0000-00009D800000}"/>
    <cellStyle name="Normal 2 3 6 16 2 2 2" xfId="13780" xr:uid="{00000000-0005-0000-0000-00009E800000}"/>
    <cellStyle name="Normal 2 3 6 16 2 2 2 2" xfId="13781" xr:uid="{00000000-0005-0000-0000-00009F800000}"/>
    <cellStyle name="Normal 2 3 6 16 2 2 2 2 2" xfId="45073" xr:uid="{00000000-0005-0000-0000-0000A0800000}"/>
    <cellStyle name="Normal 2 3 6 16 2 2 2 3" xfId="13782" xr:uid="{00000000-0005-0000-0000-0000A1800000}"/>
    <cellStyle name="Normal 2 3 6 16 2 2 2 3 2" xfId="45074" xr:uid="{00000000-0005-0000-0000-0000A2800000}"/>
    <cellStyle name="Normal 2 3 6 16 2 2 2 4" xfId="45075" xr:uid="{00000000-0005-0000-0000-0000A3800000}"/>
    <cellStyle name="Normal 2 3 6 16 2 2 3" xfId="13783" xr:uid="{00000000-0005-0000-0000-0000A4800000}"/>
    <cellStyle name="Normal 2 3 6 16 2 2 3 2" xfId="45076" xr:uid="{00000000-0005-0000-0000-0000A5800000}"/>
    <cellStyle name="Normal 2 3 6 16 2 2 4" xfId="13784" xr:uid="{00000000-0005-0000-0000-0000A6800000}"/>
    <cellStyle name="Normal 2 3 6 16 2 2 4 2" xfId="45077" xr:uid="{00000000-0005-0000-0000-0000A7800000}"/>
    <cellStyle name="Normal 2 3 6 16 2 2 5" xfId="13785" xr:uid="{00000000-0005-0000-0000-0000A8800000}"/>
    <cellStyle name="Normal 2 3 6 16 2 2 5 2" xfId="45078" xr:uid="{00000000-0005-0000-0000-0000A9800000}"/>
    <cellStyle name="Normal 2 3 6 16 2 2 6" xfId="45079" xr:uid="{00000000-0005-0000-0000-0000AA800000}"/>
    <cellStyle name="Normal 2 3 6 16 2 2 6 2" xfId="45080" xr:uid="{00000000-0005-0000-0000-0000AB800000}"/>
    <cellStyle name="Normal 2 3 6 16 2 2 7" xfId="45081" xr:uid="{00000000-0005-0000-0000-0000AC800000}"/>
    <cellStyle name="Normal 2 3 6 16 2 3" xfId="13786" xr:uid="{00000000-0005-0000-0000-0000AD800000}"/>
    <cellStyle name="Normal 2 3 6 16 2 3 2" xfId="13787" xr:uid="{00000000-0005-0000-0000-0000AE800000}"/>
    <cellStyle name="Normal 2 3 6 16 2 3 2 2" xfId="45082" xr:uid="{00000000-0005-0000-0000-0000AF800000}"/>
    <cellStyle name="Normal 2 3 6 16 2 3 3" xfId="13788" xr:uid="{00000000-0005-0000-0000-0000B0800000}"/>
    <cellStyle name="Normal 2 3 6 16 2 3 3 2" xfId="45083" xr:uid="{00000000-0005-0000-0000-0000B1800000}"/>
    <cellStyle name="Normal 2 3 6 16 2 3 4" xfId="45084" xr:uid="{00000000-0005-0000-0000-0000B2800000}"/>
    <cellStyle name="Normal 2 3 6 16 2 4" xfId="13789" xr:uid="{00000000-0005-0000-0000-0000B3800000}"/>
    <cellStyle name="Normal 2 3 6 16 2 4 2" xfId="13790" xr:uid="{00000000-0005-0000-0000-0000B4800000}"/>
    <cellStyle name="Normal 2 3 6 16 2 4 2 2" xfId="45085" xr:uid="{00000000-0005-0000-0000-0000B5800000}"/>
    <cellStyle name="Normal 2 3 6 16 2 4 3" xfId="45086" xr:uid="{00000000-0005-0000-0000-0000B6800000}"/>
    <cellStyle name="Normal 2 3 6 16 2 5" xfId="13791" xr:uid="{00000000-0005-0000-0000-0000B7800000}"/>
    <cellStyle name="Normal 2 3 6 16 2 5 2" xfId="45087" xr:uid="{00000000-0005-0000-0000-0000B8800000}"/>
    <cellStyle name="Normal 2 3 6 16 2 6" xfId="13792" xr:uid="{00000000-0005-0000-0000-0000B9800000}"/>
    <cellStyle name="Normal 2 3 6 16 2 6 2" xfId="45088" xr:uid="{00000000-0005-0000-0000-0000BA800000}"/>
    <cellStyle name="Normal 2 3 6 16 2 7" xfId="45089" xr:uid="{00000000-0005-0000-0000-0000BB800000}"/>
    <cellStyle name="Normal 2 3 6 16 2 7 2" xfId="45090" xr:uid="{00000000-0005-0000-0000-0000BC800000}"/>
    <cellStyle name="Normal 2 3 6 16 2 8" xfId="45091" xr:uid="{00000000-0005-0000-0000-0000BD800000}"/>
    <cellStyle name="Normal 2 3 6 16 2 9" xfId="45092" xr:uid="{00000000-0005-0000-0000-0000BE800000}"/>
    <cellStyle name="Normal 2 3 6 16 3" xfId="13793" xr:uid="{00000000-0005-0000-0000-0000BF800000}"/>
    <cellStyle name="Normal 2 3 6 16 3 2" xfId="13794" xr:uid="{00000000-0005-0000-0000-0000C0800000}"/>
    <cellStyle name="Normal 2 3 6 16 3 2 2" xfId="13795" xr:uid="{00000000-0005-0000-0000-0000C1800000}"/>
    <cellStyle name="Normal 2 3 6 16 3 2 2 2" xfId="45093" xr:uid="{00000000-0005-0000-0000-0000C2800000}"/>
    <cellStyle name="Normal 2 3 6 16 3 2 3" xfId="13796" xr:uid="{00000000-0005-0000-0000-0000C3800000}"/>
    <cellStyle name="Normal 2 3 6 16 3 2 3 2" xfId="45094" xr:uid="{00000000-0005-0000-0000-0000C4800000}"/>
    <cellStyle name="Normal 2 3 6 16 3 2 4" xfId="45095" xr:uid="{00000000-0005-0000-0000-0000C5800000}"/>
    <cellStyle name="Normal 2 3 6 16 3 3" xfId="13797" xr:uid="{00000000-0005-0000-0000-0000C6800000}"/>
    <cellStyle name="Normal 2 3 6 16 3 3 2" xfId="45096" xr:uid="{00000000-0005-0000-0000-0000C7800000}"/>
    <cellStyle name="Normal 2 3 6 16 3 4" xfId="13798" xr:uid="{00000000-0005-0000-0000-0000C8800000}"/>
    <cellStyle name="Normal 2 3 6 16 3 4 2" xfId="45097" xr:uid="{00000000-0005-0000-0000-0000C9800000}"/>
    <cellStyle name="Normal 2 3 6 16 3 5" xfId="13799" xr:uid="{00000000-0005-0000-0000-0000CA800000}"/>
    <cellStyle name="Normal 2 3 6 16 3 5 2" xfId="45098" xr:uid="{00000000-0005-0000-0000-0000CB800000}"/>
    <cellStyle name="Normal 2 3 6 16 3 6" xfId="45099" xr:uid="{00000000-0005-0000-0000-0000CC800000}"/>
    <cellStyle name="Normal 2 3 6 16 3 6 2" xfId="45100" xr:uid="{00000000-0005-0000-0000-0000CD800000}"/>
    <cellStyle name="Normal 2 3 6 16 3 7" xfId="45101" xr:uid="{00000000-0005-0000-0000-0000CE800000}"/>
    <cellStyle name="Normal 2 3 6 16 4" xfId="13800" xr:uid="{00000000-0005-0000-0000-0000CF800000}"/>
    <cellStyle name="Normal 2 3 6 16 4 2" xfId="13801" xr:uid="{00000000-0005-0000-0000-0000D0800000}"/>
    <cellStyle name="Normal 2 3 6 16 4 2 2" xfId="45102" xr:uid="{00000000-0005-0000-0000-0000D1800000}"/>
    <cellStyle name="Normal 2 3 6 16 4 3" xfId="13802" xr:uid="{00000000-0005-0000-0000-0000D2800000}"/>
    <cellStyle name="Normal 2 3 6 16 4 3 2" xfId="45103" xr:uid="{00000000-0005-0000-0000-0000D3800000}"/>
    <cellStyle name="Normal 2 3 6 16 4 4" xfId="45104" xr:uid="{00000000-0005-0000-0000-0000D4800000}"/>
    <cellStyle name="Normal 2 3 6 16 5" xfId="13803" xr:uid="{00000000-0005-0000-0000-0000D5800000}"/>
    <cellStyle name="Normal 2 3 6 16 5 2" xfId="13804" xr:uid="{00000000-0005-0000-0000-0000D6800000}"/>
    <cellStyle name="Normal 2 3 6 16 5 2 2" xfId="45105" xr:uid="{00000000-0005-0000-0000-0000D7800000}"/>
    <cellStyle name="Normal 2 3 6 16 5 3" xfId="45106" xr:uid="{00000000-0005-0000-0000-0000D8800000}"/>
    <cellStyle name="Normal 2 3 6 16 6" xfId="13805" xr:uid="{00000000-0005-0000-0000-0000D9800000}"/>
    <cellStyle name="Normal 2 3 6 16 6 2" xfId="45107" xr:uid="{00000000-0005-0000-0000-0000DA800000}"/>
    <cellStyle name="Normal 2 3 6 16 7" xfId="13806" xr:uid="{00000000-0005-0000-0000-0000DB800000}"/>
    <cellStyle name="Normal 2 3 6 16 7 2" xfId="45108" xr:uid="{00000000-0005-0000-0000-0000DC800000}"/>
    <cellStyle name="Normal 2 3 6 16 8" xfId="45109" xr:uid="{00000000-0005-0000-0000-0000DD800000}"/>
    <cellStyle name="Normal 2 3 6 16 8 2" xfId="45110" xr:uid="{00000000-0005-0000-0000-0000DE800000}"/>
    <cellStyle name="Normal 2 3 6 16 9" xfId="45111" xr:uid="{00000000-0005-0000-0000-0000DF800000}"/>
    <cellStyle name="Normal 2 3 6 17" xfId="13807" xr:uid="{00000000-0005-0000-0000-0000E0800000}"/>
    <cellStyle name="Normal 2 3 6 17 10" xfId="45112" xr:uid="{00000000-0005-0000-0000-0000E1800000}"/>
    <cellStyle name="Normal 2 3 6 17 11" xfId="45113" xr:uid="{00000000-0005-0000-0000-0000E2800000}"/>
    <cellStyle name="Normal 2 3 6 17 2" xfId="13808" xr:uid="{00000000-0005-0000-0000-0000E3800000}"/>
    <cellStyle name="Normal 2 3 6 17 2 10" xfId="45114" xr:uid="{00000000-0005-0000-0000-0000E4800000}"/>
    <cellStyle name="Normal 2 3 6 17 2 2" xfId="13809" xr:uid="{00000000-0005-0000-0000-0000E5800000}"/>
    <cellStyle name="Normal 2 3 6 17 2 2 2" xfId="13810" xr:uid="{00000000-0005-0000-0000-0000E6800000}"/>
    <cellStyle name="Normal 2 3 6 17 2 2 2 2" xfId="13811" xr:uid="{00000000-0005-0000-0000-0000E7800000}"/>
    <cellStyle name="Normal 2 3 6 17 2 2 2 2 2" xfId="45115" xr:uid="{00000000-0005-0000-0000-0000E8800000}"/>
    <cellStyle name="Normal 2 3 6 17 2 2 2 3" xfId="13812" xr:uid="{00000000-0005-0000-0000-0000E9800000}"/>
    <cellStyle name="Normal 2 3 6 17 2 2 2 3 2" xfId="45116" xr:uid="{00000000-0005-0000-0000-0000EA800000}"/>
    <cellStyle name="Normal 2 3 6 17 2 2 2 4" xfId="45117" xr:uid="{00000000-0005-0000-0000-0000EB800000}"/>
    <cellStyle name="Normal 2 3 6 17 2 2 3" xfId="13813" xr:uid="{00000000-0005-0000-0000-0000EC800000}"/>
    <cellStyle name="Normal 2 3 6 17 2 2 3 2" xfId="45118" xr:uid="{00000000-0005-0000-0000-0000ED800000}"/>
    <cellStyle name="Normal 2 3 6 17 2 2 4" xfId="13814" xr:uid="{00000000-0005-0000-0000-0000EE800000}"/>
    <cellStyle name="Normal 2 3 6 17 2 2 4 2" xfId="45119" xr:uid="{00000000-0005-0000-0000-0000EF800000}"/>
    <cellStyle name="Normal 2 3 6 17 2 2 5" xfId="13815" xr:uid="{00000000-0005-0000-0000-0000F0800000}"/>
    <cellStyle name="Normal 2 3 6 17 2 2 5 2" xfId="45120" xr:uid="{00000000-0005-0000-0000-0000F1800000}"/>
    <cellStyle name="Normal 2 3 6 17 2 2 6" xfId="45121" xr:uid="{00000000-0005-0000-0000-0000F2800000}"/>
    <cellStyle name="Normal 2 3 6 17 2 2 6 2" xfId="45122" xr:uid="{00000000-0005-0000-0000-0000F3800000}"/>
    <cellStyle name="Normal 2 3 6 17 2 2 7" xfId="45123" xr:uid="{00000000-0005-0000-0000-0000F4800000}"/>
    <cellStyle name="Normal 2 3 6 17 2 3" xfId="13816" xr:uid="{00000000-0005-0000-0000-0000F5800000}"/>
    <cellStyle name="Normal 2 3 6 17 2 3 2" xfId="13817" xr:uid="{00000000-0005-0000-0000-0000F6800000}"/>
    <cellStyle name="Normal 2 3 6 17 2 3 2 2" xfId="45124" xr:uid="{00000000-0005-0000-0000-0000F7800000}"/>
    <cellStyle name="Normal 2 3 6 17 2 3 3" xfId="13818" xr:uid="{00000000-0005-0000-0000-0000F8800000}"/>
    <cellStyle name="Normal 2 3 6 17 2 3 3 2" xfId="45125" xr:uid="{00000000-0005-0000-0000-0000F9800000}"/>
    <cellStyle name="Normal 2 3 6 17 2 3 4" xfId="45126" xr:uid="{00000000-0005-0000-0000-0000FA800000}"/>
    <cellStyle name="Normal 2 3 6 17 2 4" xfId="13819" xr:uid="{00000000-0005-0000-0000-0000FB800000}"/>
    <cellStyle name="Normal 2 3 6 17 2 4 2" xfId="13820" xr:uid="{00000000-0005-0000-0000-0000FC800000}"/>
    <cellStyle name="Normal 2 3 6 17 2 4 2 2" xfId="45127" xr:uid="{00000000-0005-0000-0000-0000FD800000}"/>
    <cellStyle name="Normal 2 3 6 17 2 4 3" xfId="45128" xr:uid="{00000000-0005-0000-0000-0000FE800000}"/>
    <cellStyle name="Normal 2 3 6 17 2 5" xfId="13821" xr:uid="{00000000-0005-0000-0000-0000FF800000}"/>
    <cellStyle name="Normal 2 3 6 17 2 5 2" xfId="45129" xr:uid="{00000000-0005-0000-0000-000000810000}"/>
    <cellStyle name="Normal 2 3 6 17 2 6" xfId="13822" xr:uid="{00000000-0005-0000-0000-000001810000}"/>
    <cellStyle name="Normal 2 3 6 17 2 6 2" xfId="45130" xr:uid="{00000000-0005-0000-0000-000002810000}"/>
    <cellStyle name="Normal 2 3 6 17 2 7" xfId="45131" xr:uid="{00000000-0005-0000-0000-000003810000}"/>
    <cellStyle name="Normal 2 3 6 17 2 7 2" xfId="45132" xr:uid="{00000000-0005-0000-0000-000004810000}"/>
    <cellStyle name="Normal 2 3 6 17 2 8" xfId="45133" xr:uid="{00000000-0005-0000-0000-000005810000}"/>
    <cellStyle name="Normal 2 3 6 17 2 9" xfId="45134" xr:uid="{00000000-0005-0000-0000-000006810000}"/>
    <cellStyle name="Normal 2 3 6 17 3" xfId="13823" xr:uid="{00000000-0005-0000-0000-000007810000}"/>
    <cellStyle name="Normal 2 3 6 17 3 2" xfId="13824" xr:uid="{00000000-0005-0000-0000-000008810000}"/>
    <cellStyle name="Normal 2 3 6 17 3 2 2" xfId="13825" xr:uid="{00000000-0005-0000-0000-000009810000}"/>
    <cellStyle name="Normal 2 3 6 17 3 2 2 2" xfId="45135" xr:uid="{00000000-0005-0000-0000-00000A810000}"/>
    <cellStyle name="Normal 2 3 6 17 3 2 3" xfId="13826" xr:uid="{00000000-0005-0000-0000-00000B810000}"/>
    <cellStyle name="Normal 2 3 6 17 3 2 3 2" xfId="45136" xr:uid="{00000000-0005-0000-0000-00000C810000}"/>
    <cellStyle name="Normal 2 3 6 17 3 2 4" xfId="45137" xr:uid="{00000000-0005-0000-0000-00000D810000}"/>
    <cellStyle name="Normal 2 3 6 17 3 3" xfId="13827" xr:uid="{00000000-0005-0000-0000-00000E810000}"/>
    <cellStyle name="Normal 2 3 6 17 3 3 2" xfId="45138" xr:uid="{00000000-0005-0000-0000-00000F810000}"/>
    <cellStyle name="Normal 2 3 6 17 3 4" xfId="13828" xr:uid="{00000000-0005-0000-0000-000010810000}"/>
    <cellStyle name="Normal 2 3 6 17 3 4 2" xfId="45139" xr:uid="{00000000-0005-0000-0000-000011810000}"/>
    <cellStyle name="Normal 2 3 6 17 3 5" xfId="13829" xr:uid="{00000000-0005-0000-0000-000012810000}"/>
    <cellStyle name="Normal 2 3 6 17 3 5 2" xfId="45140" xr:uid="{00000000-0005-0000-0000-000013810000}"/>
    <cellStyle name="Normal 2 3 6 17 3 6" xfId="45141" xr:uid="{00000000-0005-0000-0000-000014810000}"/>
    <cellStyle name="Normal 2 3 6 17 3 6 2" xfId="45142" xr:uid="{00000000-0005-0000-0000-000015810000}"/>
    <cellStyle name="Normal 2 3 6 17 3 7" xfId="45143" xr:uid="{00000000-0005-0000-0000-000016810000}"/>
    <cellStyle name="Normal 2 3 6 17 4" xfId="13830" xr:uid="{00000000-0005-0000-0000-000017810000}"/>
    <cellStyle name="Normal 2 3 6 17 4 2" xfId="13831" xr:uid="{00000000-0005-0000-0000-000018810000}"/>
    <cellStyle name="Normal 2 3 6 17 4 2 2" xfId="45144" xr:uid="{00000000-0005-0000-0000-000019810000}"/>
    <cellStyle name="Normal 2 3 6 17 4 3" xfId="13832" xr:uid="{00000000-0005-0000-0000-00001A810000}"/>
    <cellStyle name="Normal 2 3 6 17 4 3 2" xfId="45145" xr:uid="{00000000-0005-0000-0000-00001B810000}"/>
    <cellStyle name="Normal 2 3 6 17 4 4" xfId="45146" xr:uid="{00000000-0005-0000-0000-00001C810000}"/>
    <cellStyle name="Normal 2 3 6 17 5" xfId="13833" xr:uid="{00000000-0005-0000-0000-00001D810000}"/>
    <cellStyle name="Normal 2 3 6 17 5 2" xfId="13834" xr:uid="{00000000-0005-0000-0000-00001E810000}"/>
    <cellStyle name="Normal 2 3 6 17 5 2 2" xfId="45147" xr:uid="{00000000-0005-0000-0000-00001F810000}"/>
    <cellStyle name="Normal 2 3 6 17 5 3" xfId="45148" xr:uid="{00000000-0005-0000-0000-000020810000}"/>
    <cellStyle name="Normal 2 3 6 17 6" xfId="13835" xr:uid="{00000000-0005-0000-0000-000021810000}"/>
    <cellStyle name="Normal 2 3 6 17 6 2" xfId="45149" xr:uid="{00000000-0005-0000-0000-000022810000}"/>
    <cellStyle name="Normal 2 3 6 17 7" xfId="13836" xr:uid="{00000000-0005-0000-0000-000023810000}"/>
    <cellStyle name="Normal 2 3 6 17 7 2" xfId="45150" xr:uid="{00000000-0005-0000-0000-000024810000}"/>
    <cellStyle name="Normal 2 3 6 17 8" xfId="45151" xr:uid="{00000000-0005-0000-0000-000025810000}"/>
    <cellStyle name="Normal 2 3 6 17 8 2" xfId="45152" xr:uid="{00000000-0005-0000-0000-000026810000}"/>
    <cellStyle name="Normal 2 3 6 17 9" xfId="45153" xr:uid="{00000000-0005-0000-0000-000027810000}"/>
    <cellStyle name="Normal 2 3 6 18" xfId="13837" xr:uid="{00000000-0005-0000-0000-000028810000}"/>
    <cellStyle name="Normal 2 3 6 18 10" xfId="45154" xr:uid="{00000000-0005-0000-0000-000029810000}"/>
    <cellStyle name="Normal 2 3 6 18 11" xfId="45155" xr:uid="{00000000-0005-0000-0000-00002A810000}"/>
    <cellStyle name="Normal 2 3 6 18 2" xfId="13838" xr:uid="{00000000-0005-0000-0000-00002B810000}"/>
    <cellStyle name="Normal 2 3 6 18 2 10" xfId="45156" xr:uid="{00000000-0005-0000-0000-00002C810000}"/>
    <cellStyle name="Normal 2 3 6 18 2 2" xfId="13839" xr:uid="{00000000-0005-0000-0000-00002D810000}"/>
    <cellStyle name="Normal 2 3 6 18 2 2 2" xfId="13840" xr:uid="{00000000-0005-0000-0000-00002E810000}"/>
    <cellStyle name="Normal 2 3 6 18 2 2 2 2" xfId="13841" xr:uid="{00000000-0005-0000-0000-00002F810000}"/>
    <cellStyle name="Normal 2 3 6 18 2 2 2 2 2" xfId="45157" xr:uid="{00000000-0005-0000-0000-000030810000}"/>
    <cellStyle name="Normal 2 3 6 18 2 2 2 3" xfId="13842" xr:uid="{00000000-0005-0000-0000-000031810000}"/>
    <cellStyle name="Normal 2 3 6 18 2 2 2 3 2" xfId="45158" xr:uid="{00000000-0005-0000-0000-000032810000}"/>
    <cellStyle name="Normal 2 3 6 18 2 2 2 4" xfId="45159" xr:uid="{00000000-0005-0000-0000-000033810000}"/>
    <cellStyle name="Normal 2 3 6 18 2 2 3" xfId="13843" xr:uid="{00000000-0005-0000-0000-000034810000}"/>
    <cellStyle name="Normal 2 3 6 18 2 2 3 2" xfId="45160" xr:uid="{00000000-0005-0000-0000-000035810000}"/>
    <cellStyle name="Normal 2 3 6 18 2 2 4" xfId="13844" xr:uid="{00000000-0005-0000-0000-000036810000}"/>
    <cellStyle name="Normal 2 3 6 18 2 2 4 2" xfId="45161" xr:uid="{00000000-0005-0000-0000-000037810000}"/>
    <cellStyle name="Normal 2 3 6 18 2 2 5" xfId="13845" xr:uid="{00000000-0005-0000-0000-000038810000}"/>
    <cellStyle name="Normal 2 3 6 18 2 2 5 2" xfId="45162" xr:uid="{00000000-0005-0000-0000-000039810000}"/>
    <cellStyle name="Normal 2 3 6 18 2 2 6" xfId="45163" xr:uid="{00000000-0005-0000-0000-00003A810000}"/>
    <cellStyle name="Normal 2 3 6 18 2 2 6 2" xfId="45164" xr:uid="{00000000-0005-0000-0000-00003B810000}"/>
    <cellStyle name="Normal 2 3 6 18 2 2 7" xfId="45165" xr:uid="{00000000-0005-0000-0000-00003C810000}"/>
    <cellStyle name="Normal 2 3 6 18 2 3" xfId="13846" xr:uid="{00000000-0005-0000-0000-00003D810000}"/>
    <cellStyle name="Normal 2 3 6 18 2 3 2" xfId="13847" xr:uid="{00000000-0005-0000-0000-00003E810000}"/>
    <cellStyle name="Normal 2 3 6 18 2 3 2 2" xfId="45166" xr:uid="{00000000-0005-0000-0000-00003F810000}"/>
    <cellStyle name="Normal 2 3 6 18 2 3 3" xfId="13848" xr:uid="{00000000-0005-0000-0000-000040810000}"/>
    <cellStyle name="Normal 2 3 6 18 2 3 3 2" xfId="45167" xr:uid="{00000000-0005-0000-0000-000041810000}"/>
    <cellStyle name="Normal 2 3 6 18 2 3 4" xfId="45168" xr:uid="{00000000-0005-0000-0000-000042810000}"/>
    <cellStyle name="Normal 2 3 6 18 2 4" xfId="13849" xr:uid="{00000000-0005-0000-0000-000043810000}"/>
    <cellStyle name="Normal 2 3 6 18 2 4 2" xfId="13850" xr:uid="{00000000-0005-0000-0000-000044810000}"/>
    <cellStyle name="Normal 2 3 6 18 2 4 2 2" xfId="45169" xr:uid="{00000000-0005-0000-0000-000045810000}"/>
    <cellStyle name="Normal 2 3 6 18 2 4 3" xfId="45170" xr:uid="{00000000-0005-0000-0000-000046810000}"/>
    <cellStyle name="Normal 2 3 6 18 2 5" xfId="13851" xr:uid="{00000000-0005-0000-0000-000047810000}"/>
    <cellStyle name="Normal 2 3 6 18 2 5 2" xfId="45171" xr:uid="{00000000-0005-0000-0000-000048810000}"/>
    <cellStyle name="Normal 2 3 6 18 2 6" xfId="13852" xr:uid="{00000000-0005-0000-0000-000049810000}"/>
    <cellStyle name="Normal 2 3 6 18 2 6 2" xfId="45172" xr:uid="{00000000-0005-0000-0000-00004A810000}"/>
    <cellStyle name="Normal 2 3 6 18 2 7" xfId="45173" xr:uid="{00000000-0005-0000-0000-00004B810000}"/>
    <cellStyle name="Normal 2 3 6 18 2 7 2" xfId="45174" xr:uid="{00000000-0005-0000-0000-00004C810000}"/>
    <cellStyle name="Normal 2 3 6 18 2 8" xfId="45175" xr:uid="{00000000-0005-0000-0000-00004D810000}"/>
    <cellStyle name="Normal 2 3 6 18 2 9" xfId="45176" xr:uid="{00000000-0005-0000-0000-00004E810000}"/>
    <cellStyle name="Normal 2 3 6 18 3" xfId="13853" xr:uid="{00000000-0005-0000-0000-00004F810000}"/>
    <cellStyle name="Normal 2 3 6 18 3 2" xfId="13854" xr:uid="{00000000-0005-0000-0000-000050810000}"/>
    <cellStyle name="Normal 2 3 6 18 3 2 2" xfId="13855" xr:uid="{00000000-0005-0000-0000-000051810000}"/>
    <cellStyle name="Normal 2 3 6 18 3 2 2 2" xfId="45177" xr:uid="{00000000-0005-0000-0000-000052810000}"/>
    <cellStyle name="Normal 2 3 6 18 3 2 3" xfId="13856" xr:uid="{00000000-0005-0000-0000-000053810000}"/>
    <cellStyle name="Normal 2 3 6 18 3 2 3 2" xfId="45178" xr:uid="{00000000-0005-0000-0000-000054810000}"/>
    <cellStyle name="Normal 2 3 6 18 3 2 4" xfId="45179" xr:uid="{00000000-0005-0000-0000-000055810000}"/>
    <cellStyle name="Normal 2 3 6 18 3 3" xfId="13857" xr:uid="{00000000-0005-0000-0000-000056810000}"/>
    <cellStyle name="Normal 2 3 6 18 3 3 2" xfId="45180" xr:uid="{00000000-0005-0000-0000-000057810000}"/>
    <cellStyle name="Normal 2 3 6 18 3 4" xfId="13858" xr:uid="{00000000-0005-0000-0000-000058810000}"/>
    <cellStyle name="Normal 2 3 6 18 3 4 2" xfId="45181" xr:uid="{00000000-0005-0000-0000-000059810000}"/>
    <cellStyle name="Normal 2 3 6 18 3 5" xfId="13859" xr:uid="{00000000-0005-0000-0000-00005A810000}"/>
    <cellStyle name="Normal 2 3 6 18 3 5 2" xfId="45182" xr:uid="{00000000-0005-0000-0000-00005B810000}"/>
    <cellStyle name="Normal 2 3 6 18 3 6" xfId="45183" xr:uid="{00000000-0005-0000-0000-00005C810000}"/>
    <cellStyle name="Normal 2 3 6 18 3 6 2" xfId="45184" xr:uid="{00000000-0005-0000-0000-00005D810000}"/>
    <cellStyle name="Normal 2 3 6 18 3 7" xfId="45185" xr:uid="{00000000-0005-0000-0000-00005E810000}"/>
    <cellStyle name="Normal 2 3 6 18 4" xfId="13860" xr:uid="{00000000-0005-0000-0000-00005F810000}"/>
    <cellStyle name="Normal 2 3 6 18 4 2" xfId="13861" xr:uid="{00000000-0005-0000-0000-000060810000}"/>
    <cellStyle name="Normal 2 3 6 18 4 2 2" xfId="45186" xr:uid="{00000000-0005-0000-0000-000061810000}"/>
    <cellStyle name="Normal 2 3 6 18 4 3" xfId="13862" xr:uid="{00000000-0005-0000-0000-000062810000}"/>
    <cellStyle name="Normal 2 3 6 18 4 3 2" xfId="45187" xr:uid="{00000000-0005-0000-0000-000063810000}"/>
    <cellStyle name="Normal 2 3 6 18 4 4" xfId="45188" xr:uid="{00000000-0005-0000-0000-000064810000}"/>
    <cellStyle name="Normal 2 3 6 18 5" xfId="13863" xr:uid="{00000000-0005-0000-0000-000065810000}"/>
    <cellStyle name="Normal 2 3 6 18 5 2" xfId="13864" xr:uid="{00000000-0005-0000-0000-000066810000}"/>
    <cellStyle name="Normal 2 3 6 18 5 2 2" xfId="45189" xr:uid="{00000000-0005-0000-0000-000067810000}"/>
    <cellStyle name="Normal 2 3 6 18 5 3" xfId="45190" xr:uid="{00000000-0005-0000-0000-000068810000}"/>
    <cellStyle name="Normal 2 3 6 18 6" xfId="13865" xr:uid="{00000000-0005-0000-0000-000069810000}"/>
    <cellStyle name="Normal 2 3 6 18 6 2" xfId="45191" xr:uid="{00000000-0005-0000-0000-00006A810000}"/>
    <cellStyle name="Normal 2 3 6 18 7" xfId="13866" xr:uid="{00000000-0005-0000-0000-00006B810000}"/>
    <cellStyle name="Normal 2 3 6 18 7 2" xfId="45192" xr:uid="{00000000-0005-0000-0000-00006C810000}"/>
    <cellStyle name="Normal 2 3 6 18 8" xfId="45193" xr:uid="{00000000-0005-0000-0000-00006D810000}"/>
    <cellStyle name="Normal 2 3 6 18 8 2" xfId="45194" xr:uid="{00000000-0005-0000-0000-00006E810000}"/>
    <cellStyle name="Normal 2 3 6 18 9" xfId="45195" xr:uid="{00000000-0005-0000-0000-00006F810000}"/>
    <cellStyle name="Normal 2 3 6 19" xfId="13867" xr:uid="{00000000-0005-0000-0000-000070810000}"/>
    <cellStyle name="Normal 2 3 6 19 10" xfId="45196" xr:uid="{00000000-0005-0000-0000-000071810000}"/>
    <cellStyle name="Normal 2 3 6 19 11" xfId="45197" xr:uid="{00000000-0005-0000-0000-000072810000}"/>
    <cellStyle name="Normal 2 3 6 19 2" xfId="13868" xr:uid="{00000000-0005-0000-0000-000073810000}"/>
    <cellStyle name="Normal 2 3 6 19 2 10" xfId="45198" xr:uid="{00000000-0005-0000-0000-000074810000}"/>
    <cellStyle name="Normal 2 3 6 19 2 2" xfId="13869" xr:uid="{00000000-0005-0000-0000-000075810000}"/>
    <cellStyle name="Normal 2 3 6 19 2 2 2" xfId="13870" xr:uid="{00000000-0005-0000-0000-000076810000}"/>
    <cellStyle name="Normal 2 3 6 19 2 2 2 2" xfId="13871" xr:uid="{00000000-0005-0000-0000-000077810000}"/>
    <cellStyle name="Normal 2 3 6 19 2 2 2 2 2" xfId="45199" xr:uid="{00000000-0005-0000-0000-000078810000}"/>
    <cellStyle name="Normal 2 3 6 19 2 2 2 3" xfId="13872" xr:uid="{00000000-0005-0000-0000-000079810000}"/>
    <cellStyle name="Normal 2 3 6 19 2 2 2 3 2" xfId="45200" xr:uid="{00000000-0005-0000-0000-00007A810000}"/>
    <cellStyle name="Normal 2 3 6 19 2 2 2 4" xfId="45201" xr:uid="{00000000-0005-0000-0000-00007B810000}"/>
    <cellStyle name="Normal 2 3 6 19 2 2 3" xfId="13873" xr:uid="{00000000-0005-0000-0000-00007C810000}"/>
    <cellStyle name="Normal 2 3 6 19 2 2 3 2" xfId="45202" xr:uid="{00000000-0005-0000-0000-00007D810000}"/>
    <cellStyle name="Normal 2 3 6 19 2 2 4" xfId="13874" xr:uid="{00000000-0005-0000-0000-00007E810000}"/>
    <cellStyle name="Normal 2 3 6 19 2 2 4 2" xfId="45203" xr:uid="{00000000-0005-0000-0000-00007F810000}"/>
    <cellStyle name="Normal 2 3 6 19 2 2 5" xfId="13875" xr:uid="{00000000-0005-0000-0000-000080810000}"/>
    <cellStyle name="Normal 2 3 6 19 2 2 5 2" xfId="45204" xr:uid="{00000000-0005-0000-0000-000081810000}"/>
    <cellStyle name="Normal 2 3 6 19 2 2 6" xfId="45205" xr:uid="{00000000-0005-0000-0000-000082810000}"/>
    <cellStyle name="Normal 2 3 6 19 2 2 6 2" xfId="45206" xr:uid="{00000000-0005-0000-0000-000083810000}"/>
    <cellStyle name="Normal 2 3 6 19 2 2 7" xfId="45207" xr:uid="{00000000-0005-0000-0000-000084810000}"/>
    <cellStyle name="Normal 2 3 6 19 2 3" xfId="13876" xr:uid="{00000000-0005-0000-0000-000085810000}"/>
    <cellStyle name="Normal 2 3 6 19 2 3 2" xfId="13877" xr:uid="{00000000-0005-0000-0000-000086810000}"/>
    <cellStyle name="Normal 2 3 6 19 2 3 2 2" xfId="45208" xr:uid="{00000000-0005-0000-0000-000087810000}"/>
    <cellStyle name="Normal 2 3 6 19 2 3 3" xfId="13878" xr:uid="{00000000-0005-0000-0000-000088810000}"/>
    <cellStyle name="Normal 2 3 6 19 2 3 3 2" xfId="45209" xr:uid="{00000000-0005-0000-0000-000089810000}"/>
    <cellStyle name="Normal 2 3 6 19 2 3 4" xfId="45210" xr:uid="{00000000-0005-0000-0000-00008A810000}"/>
    <cellStyle name="Normal 2 3 6 19 2 4" xfId="13879" xr:uid="{00000000-0005-0000-0000-00008B810000}"/>
    <cellStyle name="Normal 2 3 6 19 2 4 2" xfId="13880" xr:uid="{00000000-0005-0000-0000-00008C810000}"/>
    <cellStyle name="Normal 2 3 6 19 2 4 2 2" xfId="45211" xr:uid="{00000000-0005-0000-0000-00008D810000}"/>
    <cellStyle name="Normal 2 3 6 19 2 4 3" xfId="45212" xr:uid="{00000000-0005-0000-0000-00008E810000}"/>
    <cellStyle name="Normal 2 3 6 19 2 5" xfId="13881" xr:uid="{00000000-0005-0000-0000-00008F810000}"/>
    <cellStyle name="Normal 2 3 6 19 2 5 2" xfId="45213" xr:uid="{00000000-0005-0000-0000-000090810000}"/>
    <cellStyle name="Normal 2 3 6 19 2 6" xfId="13882" xr:uid="{00000000-0005-0000-0000-000091810000}"/>
    <cellStyle name="Normal 2 3 6 19 2 6 2" xfId="45214" xr:uid="{00000000-0005-0000-0000-000092810000}"/>
    <cellStyle name="Normal 2 3 6 19 2 7" xfId="45215" xr:uid="{00000000-0005-0000-0000-000093810000}"/>
    <cellStyle name="Normal 2 3 6 19 2 7 2" xfId="45216" xr:uid="{00000000-0005-0000-0000-000094810000}"/>
    <cellStyle name="Normal 2 3 6 19 2 8" xfId="45217" xr:uid="{00000000-0005-0000-0000-000095810000}"/>
    <cellStyle name="Normal 2 3 6 19 2 9" xfId="45218" xr:uid="{00000000-0005-0000-0000-000096810000}"/>
    <cellStyle name="Normal 2 3 6 19 3" xfId="13883" xr:uid="{00000000-0005-0000-0000-000097810000}"/>
    <cellStyle name="Normal 2 3 6 19 3 2" xfId="13884" xr:uid="{00000000-0005-0000-0000-000098810000}"/>
    <cellStyle name="Normal 2 3 6 19 3 2 2" xfId="13885" xr:uid="{00000000-0005-0000-0000-000099810000}"/>
    <cellStyle name="Normal 2 3 6 19 3 2 2 2" xfId="45219" xr:uid="{00000000-0005-0000-0000-00009A810000}"/>
    <cellStyle name="Normal 2 3 6 19 3 2 3" xfId="13886" xr:uid="{00000000-0005-0000-0000-00009B810000}"/>
    <cellStyle name="Normal 2 3 6 19 3 2 3 2" xfId="45220" xr:uid="{00000000-0005-0000-0000-00009C810000}"/>
    <cellStyle name="Normal 2 3 6 19 3 2 4" xfId="45221" xr:uid="{00000000-0005-0000-0000-00009D810000}"/>
    <cellStyle name="Normal 2 3 6 19 3 3" xfId="13887" xr:uid="{00000000-0005-0000-0000-00009E810000}"/>
    <cellStyle name="Normal 2 3 6 19 3 3 2" xfId="45222" xr:uid="{00000000-0005-0000-0000-00009F810000}"/>
    <cellStyle name="Normal 2 3 6 19 3 4" xfId="13888" xr:uid="{00000000-0005-0000-0000-0000A0810000}"/>
    <cellStyle name="Normal 2 3 6 19 3 4 2" xfId="45223" xr:uid="{00000000-0005-0000-0000-0000A1810000}"/>
    <cellStyle name="Normal 2 3 6 19 3 5" xfId="13889" xr:uid="{00000000-0005-0000-0000-0000A2810000}"/>
    <cellStyle name="Normal 2 3 6 19 3 5 2" xfId="45224" xr:uid="{00000000-0005-0000-0000-0000A3810000}"/>
    <cellStyle name="Normal 2 3 6 19 3 6" xfId="45225" xr:uid="{00000000-0005-0000-0000-0000A4810000}"/>
    <cellStyle name="Normal 2 3 6 19 3 6 2" xfId="45226" xr:uid="{00000000-0005-0000-0000-0000A5810000}"/>
    <cellStyle name="Normal 2 3 6 19 3 7" xfId="45227" xr:uid="{00000000-0005-0000-0000-0000A6810000}"/>
    <cellStyle name="Normal 2 3 6 19 4" xfId="13890" xr:uid="{00000000-0005-0000-0000-0000A7810000}"/>
    <cellStyle name="Normal 2 3 6 19 4 2" xfId="13891" xr:uid="{00000000-0005-0000-0000-0000A8810000}"/>
    <cellStyle name="Normal 2 3 6 19 4 2 2" xfId="45228" xr:uid="{00000000-0005-0000-0000-0000A9810000}"/>
    <cellStyle name="Normal 2 3 6 19 4 3" xfId="13892" xr:uid="{00000000-0005-0000-0000-0000AA810000}"/>
    <cellStyle name="Normal 2 3 6 19 4 3 2" xfId="45229" xr:uid="{00000000-0005-0000-0000-0000AB810000}"/>
    <cellStyle name="Normal 2 3 6 19 4 4" xfId="45230" xr:uid="{00000000-0005-0000-0000-0000AC810000}"/>
    <cellStyle name="Normal 2 3 6 19 5" xfId="13893" xr:uid="{00000000-0005-0000-0000-0000AD810000}"/>
    <cellStyle name="Normal 2 3 6 19 5 2" xfId="13894" xr:uid="{00000000-0005-0000-0000-0000AE810000}"/>
    <cellStyle name="Normal 2 3 6 19 5 2 2" xfId="45231" xr:uid="{00000000-0005-0000-0000-0000AF810000}"/>
    <cellStyle name="Normal 2 3 6 19 5 3" xfId="45232" xr:uid="{00000000-0005-0000-0000-0000B0810000}"/>
    <cellStyle name="Normal 2 3 6 19 6" xfId="13895" xr:uid="{00000000-0005-0000-0000-0000B1810000}"/>
    <cellStyle name="Normal 2 3 6 19 6 2" xfId="45233" xr:uid="{00000000-0005-0000-0000-0000B2810000}"/>
    <cellStyle name="Normal 2 3 6 19 7" xfId="13896" xr:uid="{00000000-0005-0000-0000-0000B3810000}"/>
    <cellStyle name="Normal 2 3 6 19 7 2" xfId="45234" xr:uid="{00000000-0005-0000-0000-0000B4810000}"/>
    <cellStyle name="Normal 2 3 6 19 8" xfId="45235" xr:uid="{00000000-0005-0000-0000-0000B5810000}"/>
    <cellStyle name="Normal 2 3 6 19 8 2" xfId="45236" xr:uid="{00000000-0005-0000-0000-0000B6810000}"/>
    <cellStyle name="Normal 2 3 6 19 9" xfId="45237" xr:uid="{00000000-0005-0000-0000-0000B7810000}"/>
    <cellStyle name="Normal 2 3 6 2" xfId="13897" xr:uid="{00000000-0005-0000-0000-0000B8810000}"/>
    <cellStyle name="Normal 2 3 6 2 10" xfId="45238" xr:uid="{00000000-0005-0000-0000-0000B9810000}"/>
    <cellStyle name="Normal 2 3 6 2 11" xfId="45239" xr:uid="{00000000-0005-0000-0000-0000BA810000}"/>
    <cellStyle name="Normal 2 3 6 2 2" xfId="13898" xr:uid="{00000000-0005-0000-0000-0000BB810000}"/>
    <cellStyle name="Normal 2 3 6 2 2 10" xfId="45240" xr:uid="{00000000-0005-0000-0000-0000BC810000}"/>
    <cellStyle name="Normal 2 3 6 2 2 2" xfId="13899" xr:uid="{00000000-0005-0000-0000-0000BD810000}"/>
    <cellStyle name="Normal 2 3 6 2 2 2 2" xfId="13900" xr:uid="{00000000-0005-0000-0000-0000BE810000}"/>
    <cellStyle name="Normal 2 3 6 2 2 2 2 2" xfId="13901" xr:uid="{00000000-0005-0000-0000-0000BF810000}"/>
    <cellStyle name="Normal 2 3 6 2 2 2 2 2 2" xfId="45241" xr:uid="{00000000-0005-0000-0000-0000C0810000}"/>
    <cellStyle name="Normal 2 3 6 2 2 2 2 3" xfId="13902" xr:uid="{00000000-0005-0000-0000-0000C1810000}"/>
    <cellStyle name="Normal 2 3 6 2 2 2 2 3 2" xfId="45242" xr:uid="{00000000-0005-0000-0000-0000C2810000}"/>
    <cellStyle name="Normal 2 3 6 2 2 2 2 4" xfId="45243" xr:uid="{00000000-0005-0000-0000-0000C3810000}"/>
    <cellStyle name="Normal 2 3 6 2 2 2 3" xfId="13903" xr:uid="{00000000-0005-0000-0000-0000C4810000}"/>
    <cellStyle name="Normal 2 3 6 2 2 2 3 2" xfId="45244" xr:uid="{00000000-0005-0000-0000-0000C5810000}"/>
    <cellStyle name="Normal 2 3 6 2 2 2 4" xfId="13904" xr:uid="{00000000-0005-0000-0000-0000C6810000}"/>
    <cellStyle name="Normal 2 3 6 2 2 2 4 2" xfId="45245" xr:uid="{00000000-0005-0000-0000-0000C7810000}"/>
    <cellStyle name="Normal 2 3 6 2 2 2 5" xfId="13905" xr:uid="{00000000-0005-0000-0000-0000C8810000}"/>
    <cellStyle name="Normal 2 3 6 2 2 2 5 2" xfId="45246" xr:uid="{00000000-0005-0000-0000-0000C9810000}"/>
    <cellStyle name="Normal 2 3 6 2 2 2 6" xfId="45247" xr:uid="{00000000-0005-0000-0000-0000CA810000}"/>
    <cellStyle name="Normal 2 3 6 2 2 2 6 2" xfId="45248" xr:uid="{00000000-0005-0000-0000-0000CB810000}"/>
    <cellStyle name="Normal 2 3 6 2 2 2 7" xfId="45249" xr:uid="{00000000-0005-0000-0000-0000CC810000}"/>
    <cellStyle name="Normal 2 3 6 2 2 3" xfId="13906" xr:uid="{00000000-0005-0000-0000-0000CD810000}"/>
    <cellStyle name="Normal 2 3 6 2 2 3 2" xfId="13907" xr:uid="{00000000-0005-0000-0000-0000CE810000}"/>
    <cellStyle name="Normal 2 3 6 2 2 3 2 2" xfId="45250" xr:uid="{00000000-0005-0000-0000-0000CF810000}"/>
    <cellStyle name="Normal 2 3 6 2 2 3 3" xfId="13908" xr:uid="{00000000-0005-0000-0000-0000D0810000}"/>
    <cellStyle name="Normal 2 3 6 2 2 3 3 2" xfId="45251" xr:uid="{00000000-0005-0000-0000-0000D1810000}"/>
    <cellStyle name="Normal 2 3 6 2 2 3 4" xfId="45252" xr:uid="{00000000-0005-0000-0000-0000D2810000}"/>
    <cellStyle name="Normal 2 3 6 2 2 4" xfId="13909" xr:uid="{00000000-0005-0000-0000-0000D3810000}"/>
    <cellStyle name="Normal 2 3 6 2 2 4 2" xfId="13910" xr:uid="{00000000-0005-0000-0000-0000D4810000}"/>
    <cellStyle name="Normal 2 3 6 2 2 4 2 2" xfId="45253" xr:uid="{00000000-0005-0000-0000-0000D5810000}"/>
    <cellStyle name="Normal 2 3 6 2 2 4 3" xfId="45254" xr:uid="{00000000-0005-0000-0000-0000D6810000}"/>
    <cellStyle name="Normal 2 3 6 2 2 5" xfId="13911" xr:uid="{00000000-0005-0000-0000-0000D7810000}"/>
    <cellStyle name="Normal 2 3 6 2 2 5 2" xfId="45255" xr:uid="{00000000-0005-0000-0000-0000D8810000}"/>
    <cellStyle name="Normal 2 3 6 2 2 6" xfId="13912" xr:uid="{00000000-0005-0000-0000-0000D9810000}"/>
    <cellStyle name="Normal 2 3 6 2 2 6 2" xfId="45256" xr:uid="{00000000-0005-0000-0000-0000DA810000}"/>
    <cellStyle name="Normal 2 3 6 2 2 7" xfId="45257" xr:uid="{00000000-0005-0000-0000-0000DB810000}"/>
    <cellStyle name="Normal 2 3 6 2 2 7 2" xfId="45258" xr:uid="{00000000-0005-0000-0000-0000DC810000}"/>
    <cellStyle name="Normal 2 3 6 2 2 8" xfId="45259" xr:uid="{00000000-0005-0000-0000-0000DD810000}"/>
    <cellStyle name="Normal 2 3 6 2 2 9" xfId="45260" xr:uid="{00000000-0005-0000-0000-0000DE810000}"/>
    <cellStyle name="Normal 2 3 6 2 3" xfId="13913" xr:uid="{00000000-0005-0000-0000-0000DF810000}"/>
    <cellStyle name="Normal 2 3 6 2 3 2" xfId="13914" xr:uid="{00000000-0005-0000-0000-0000E0810000}"/>
    <cellStyle name="Normal 2 3 6 2 3 2 2" xfId="13915" xr:uid="{00000000-0005-0000-0000-0000E1810000}"/>
    <cellStyle name="Normal 2 3 6 2 3 2 2 2" xfId="45261" xr:uid="{00000000-0005-0000-0000-0000E2810000}"/>
    <cellStyle name="Normal 2 3 6 2 3 2 3" xfId="13916" xr:uid="{00000000-0005-0000-0000-0000E3810000}"/>
    <cellStyle name="Normal 2 3 6 2 3 2 3 2" xfId="45262" xr:uid="{00000000-0005-0000-0000-0000E4810000}"/>
    <cellStyle name="Normal 2 3 6 2 3 2 4" xfId="45263" xr:uid="{00000000-0005-0000-0000-0000E5810000}"/>
    <cellStyle name="Normal 2 3 6 2 3 3" xfId="13917" xr:uid="{00000000-0005-0000-0000-0000E6810000}"/>
    <cellStyle name="Normal 2 3 6 2 3 3 2" xfId="45264" xr:uid="{00000000-0005-0000-0000-0000E7810000}"/>
    <cellStyle name="Normal 2 3 6 2 3 4" xfId="13918" xr:uid="{00000000-0005-0000-0000-0000E8810000}"/>
    <cellStyle name="Normal 2 3 6 2 3 4 2" xfId="45265" xr:uid="{00000000-0005-0000-0000-0000E9810000}"/>
    <cellStyle name="Normal 2 3 6 2 3 5" xfId="13919" xr:uid="{00000000-0005-0000-0000-0000EA810000}"/>
    <cellStyle name="Normal 2 3 6 2 3 5 2" xfId="45266" xr:uid="{00000000-0005-0000-0000-0000EB810000}"/>
    <cellStyle name="Normal 2 3 6 2 3 6" xfId="45267" xr:uid="{00000000-0005-0000-0000-0000EC810000}"/>
    <cellStyle name="Normal 2 3 6 2 3 6 2" xfId="45268" xr:uid="{00000000-0005-0000-0000-0000ED810000}"/>
    <cellStyle name="Normal 2 3 6 2 3 7" xfId="45269" xr:uid="{00000000-0005-0000-0000-0000EE810000}"/>
    <cellStyle name="Normal 2 3 6 2 4" xfId="13920" xr:uid="{00000000-0005-0000-0000-0000EF810000}"/>
    <cellStyle name="Normal 2 3 6 2 4 2" xfId="13921" xr:uid="{00000000-0005-0000-0000-0000F0810000}"/>
    <cellStyle name="Normal 2 3 6 2 4 2 2" xfId="45270" xr:uid="{00000000-0005-0000-0000-0000F1810000}"/>
    <cellStyle name="Normal 2 3 6 2 4 3" xfId="13922" xr:uid="{00000000-0005-0000-0000-0000F2810000}"/>
    <cellStyle name="Normal 2 3 6 2 4 3 2" xfId="45271" xr:uid="{00000000-0005-0000-0000-0000F3810000}"/>
    <cellStyle name="Normal 2 3 6 2 4 4" xfId="45272" xr:uid="{00000000-0005-0000-0000-0000F4810000}"/>
    <cellStyle name="Normal 2 3 6 2 5" xfId="13923" xr:uid="{00000000-0005-0000-0000-0000F5810000}"/>
    <cellStyle name="Normal 2 3 6 2 5 2" xfId="13924" xr:uid="{00000000-0005-0000-0000-0000F6810000}"/>
    <cellStyle name="Normal 2 3 6 2 5 2 2" xfId="45273" xr:uid="{00000000-0005-0000-0000-0000F7810000}"/>
    <cellStyle name="Normal 2 3 6 2 5 3" xfId="45274" xr:uid="{00000000-0005-0000-0000-0000F8810000}"/>
    <cellStyle name="Normal 2 3 6 2 6" xfId="13925" xr:uid="{00000000-0005-0000-0000-0000F9810000}"/>
    <cellStyle name="Normal 2 3 6 2 6 2" xfId="45275" xr:uid="{00000000-0005-0000-0000-0000FA810000}"/>
    <cellStyle name="Normal 2 3 6 2 7" xfId="13926" xr:uid="{00000000-0005-0000-0000-0000FB810000}"/>
    <cellStyle name="Normal 2 3 6 2 7 2" xfId="45276" xr:uid="{00000000-0005-0000-0000-0000FC810000}"/>
    <cellStyle name="Normal 2 3 6 2 8" xfId="45277" xr:uid="{00000000-0005-0000-0000-0000FD810000}"/>
    <cellStyle name="Normal 2 3 6 2 8 2" xfId="45278" xr:uid="{00000000-0005-0000-0000-0000FE810000}"/>
    <cellStyle name="Normal 2 3 6 2 9" xfId="45279" xr:uid="{00000000-0005-0000-0000-0000FF810000}"/>
    <cellStyle name="Normal 2 3 6 20" xfId="13927" xr:uid="{00000000-0005-0000-0000-000000820000}"/>
    <cellStyle name="Normal 2 3 6 20 10" xfId="45280" xr:uid="{00000000-0005-0000-0000-000001820000}"/>
    <cellStyle name="Normal 2 3 6 20 11" xfId="45281" xr:uid="{00000000-0005-0000-0000-000002820000}"/>
    <cellStyle name="Normal 2 3 6 20 2" xfId="13928" xr:uid="{00000000-0005-0000-0000-000003820000}"/>
    <cellStyle name="Normal 2 3 6 20 2 10" xfId="45282" xr:uid="{00000000-0005-0000-0000-000004820000}"/>
    <cellStyle name="Normal 2 3 6 20 2 2" xfId="13929" xr:uid="{00000000-0005-0000-0000-000005820000}"/>
    <cellStyle name="Normal 2 3 6 20 2 2 2" xfId="13930" xr:uid="{00000000-0005-0000-0000-000006820000}"/>
    <cellStyle name="Normal 2 3 6 20 2 2 2 2" xfId="13931" xr:uid="{00000000-0005-0000-0000-000007820000}"/>
    <cellStyle name="Normal 2 3 6 20 2 2 2 2 2" xfId="45283" xr:uid="{00000000-0005-0000-0000-000008820000}"/>
    <cellStyle name="Normal 2 3 6 20 2 2 2 3" xfId="13932" xr:uid="{00000000-0005-0000-0000-000009820000}"/>
    <cellStyle name="Normal 2 3 6 20 2 2 2 3 2" xfId="45284" xr:uid="{00000000-0005-0000-0000-00000A820000}"/>
    <cellStyle name="Normal 2 3 6 20 2 2 2 4" xfId="45285" xr:uid="{00000000-0005-0000-0000-00000B820000}"/>
    <cellStyle name="Normal 2 3 6 20 2 2 3" xfId="13933" xr:uid="{00000000-0005-0000-0000-00000C820000}"/>
    <cellStyle name="Normal 2 3 6 20 2 2 3 2" xfId="45286" xr:uid="{00000000-0005-0000-0000-00000D820000}"/>
    <cellStyle name="Normal 2 3 6 20 2 2 4" xfId="13934" xr:uid="{00000000-0005-0000-0000-00000E820000}"/>
    <cellStyle name="Normal 2 3 6 20 2 2 4 2" xfId="45287" xr:uid="{00000000-0005-0000-0000-00000F820000}"/>
    <cellStyle name="Normal 2 3 6 20 2 2 5" xfId="13935" xr:uid="{00000000-0005-0000-0000-000010820000}"/>
    <cellStyle name="Normal 2 3 6 20 2 2 5 2" xfId="45288" xr:uid="{00000000-0005-0000-0000-000011820000}"/>
    <cellStyle name="Normal 2 3 6 20 2 2 6" xfId="45289" xr:uid="{00000000-0005-0000-0000-000012820000}"/>
    <cellStyle name="Normal 2 3 6 20 2 2 6 2" xfId="45290" xr:uid="{00000000-0005-0000-0000-000013820000}"/>
    <cellStyle name="Normal 2 3 6 20 2 2 7" xfId="45291" xr:uid="{00000000-0005-0000-0000-000014820000}"/>
    <cellStyle name="Normal 2 3 6 20 2 3" xfId="13936" xr:uid="{00000000-0005-0000-0000-000015820000}"/>
    <cellStyle name="Normal 2 3 6 20 2 3 2" xfId="13937" xr:uid="{00000000-0005-0000-0000-000016820000}"/>
    <cellStyle name="Normal 2 3 6 20 2 3 2 2" xfId="45292" xr:uid="{00000000-0005-0000-0000-000017820000}"/>
    <cellStyle name="Normal 2 3 6 20 2 3 3" xfId="13938" xr:uid="{00000000-0005-0000-0000-000018820000}"/>
    <cellStyle name="Normal 2 3 6 20 2 3 3 2" xfId="45293" xr:uid="{00000000-0005-0000-0000-000019820000}"/>
    <cellStyle name="Normal 2 3 6 20 2 3 4" xfId="45294" xr:uid="{00000000-0005-0000-0000-00001A820000}"/>
    <cellStyle name="Normal 2 3 6 20 2 4" xfId="13939" xr:uid="{00000000-0005-0000-0000-00001B820000}"/>
    <cellStyle name="Normal 2 3 6 20 2 4 2" xfId="13940" xr:uid="{00000000-0005-0000-0000-00001C820000}"/>
    <cellStyle name="Normal 2 3 6 20 2 4 2 2" xfId="45295" xr:uid="{00000000-0005-0000-0000-00001D820000}"/>
    <cellStyle name="Normal 2 3 6 20 2 4 3" xfId="45296" xr:uid="{00000000-0005-0000-0000-00001E820000}"/>
    <cellStyle name="Normal 2 3 6 20 2 5" xfId="13941" xr:uid="{00000000-0005-0000-0000-00001F820000}"/>
    <cellStyle name="Normal 2 3 6 20 2 5 2" xfId="45297" xr:uid="{00000000-0005-0000-0000-000020820000}"/>
    <cellStyle name="Normal 2 3 6 20 2 6" xfId="13942" xr:uid="{00000000-0005-0000-0000-000021820000}"/>
    <cellStyle name="Normal 2 3 6 20 2 6 2" xfId="45298" xr:uid="{00000000-0005-0000-0000-000022820000}"/>
    <cellStyle name="Normal 2 3 6 20 2 7" xfId="45299" xr:uid="{00000000-0005-0000-0000-000023820000}"/>
    <cellStyle name="Normal 2 3 6 20 2 7 2" xfId="45300" xr:uid="{00000000-0005-0000-0000-000024820000}"/>
    <cellStyle name="Normal 2 3 6 20 2 8" xfId="45301" xr:uid="{00000000-0005-0000-0000-000025820000}"/>
    <cellStyle name="Normal 2 3 6 20 2 9" xfId="45302" xr:uid="{00000000-0005-0000-0000-000026820000}"/>
    <cellStyle name="Normal 2 3 6 20 3" xfId="13943" xr:uid="{00000000-0005-0000-0000-000027820000}"/>
    <cellStyle name="Normal 2 3 6 20 3 2" xfId="13944" xr:uid="{00000000-0005-0000-0000-000028820000}"/>
    <cellStyle name="Normal 2 3 6 20 3 2 2" xfId="13945" xr:uid="{00000000-0005-0000-0000-000029820000}"/>
    <cellStyle name="Normal 2 3 6 20 3 2 2 2" xfId="45303" xr:uid="{00000000-0005-0000-0000-00002A820000}"/>
    <cellStyle name="Normal 2 3 6 20 3 2 3" xfId="13946" xr:uid="{00000000-0005-0000-0000-00002B820000}"/>
    <cellStyle name="Normal 2 3 6 20 3 2 3 2" xfId="45304" xr:uid="{00000000-0005-0000-0000-00002C820000}"/>
    <cellStyle name="Normal 2 3 6 20 3 2 4" xfId="45305" xr:uid="{00000000-0005-0000-0000-00002D820000}"/>
    <cellStyle name="Normal 2 3 6 20 3 3" xfId="13947" xr:uid="{00000000-0005-0000-0000-00002E820000}"/>
    <cellStyle name="Normal 2 3 6 20 3 3 2" xfId="45306" xr:uid="{00000000-0005-0000-0000-00002F820000}"/>
    <cellStyle name="Normal 2 3 6 20 3 4" xfId="13948" xr:uid="{00000000-0005-0000-0000-000030820000}"/>
    <cellStyle name="Normal 2 3 6 20 3 4 2" xfId="45307" xr:uid="{00000000-0005-0000-0000-000031820000}"/>
    <cellStyle name="Normal 2 3 6 20 3 5" xfId="13949" xr:uid="{00000000-0005-0000-0000-000032820000}"/>
    <cellStyle name="Normal 2 3 6 20 3 5 2" xfId="45308" xr:uid="{00000000-0005-0000-0000-000033820000}"/>
    <cellStyle name="Normal 2 3 6 20 3 6" xfId="45309" xr:uid="{00000000-0005-0000-0000-000034820000}"/>
    <cellStyle name="Normal 2 3 6 20 3 6 2" xfId="45310" xr:uid="{00000000-0005-0000-0000-000035820000}"/>
    <cellStyle name="Normal 2 3 6 20 3 7" xfId="45311" xr:uid="{00000000-0005-0000-0000-000036820000}"/>
    <cellStyle name="Normal 2 3 6 20 4" xfId="13950" xr:uid="{00000000-0005-0000-0000-000037820000}"/>
    <cellStyle name="Normal 2 3 6 20 4 2" xfId="13951" xr:uid="{00000000-0005-0000-0000-000038820000}"/>
    <cellStyle name="Normal 2 3 6 20 4 2 2" xfId="45312" xr:uid="{00000000-0005-0000-0000-000039820000}"/>
    <cellStyle name="Normal 2 3 6 20 4 3" xfId="13952" xr:uid="{00000000-0005-0000-0000-00003A820000}"/>
    <cellStyle name="Normal 2 3 6 20 4 3 2" xfId="45313" xr:uid="{00000000-0005-0000-0000-00003B820000}"/>
    <cellStyle name="Normal 2 3 6 20 4 4" xfId="45314" xr:uid="{00000000-0005-0000-0000-00003C820000}"/>
    <cellStyle name="Normal 2 3 6 20 5" xfId="13953" xr:uid="{00000000-0005-0000-0000-00003D820000}"/>
    <cellStyle name="Normal 2 3 6 20 5 2" xfId="13954" xr:uid="{00000000-0005-0000-0000-00003E820000}"/>
    <cellStyle name="Normal 2 3 6 20 5 2 2" xfId="45315" xr:uid="{00000000-0005-0000-0000-00003F820000}"/>
    <cellStyle name="Normal 2 3 6 20 5 3" xfId="45316" xr:uid="{00000000-0005-0000-0000-000040820000}"/>
    <cellStyle name="Normal 2 3 6 20 6" xfId="13955" xr:uid="{00000000-0005-0000-0000-000041820000}"/>
    <cellStyle name="Normal 2 3 6 20 6 2" xfId="45317" xr:uid="{00000000-0005-0000-0000-000042820000}"/>
    <cellStyle name="Normal 2 3 6 20 7" xfId="13956" xr:uid="{00000000-0005-0000-0000-000043820000}"/>
    <cellStyle name="Normal 2 3 6 20 7 2" xfId="45318" xr:uid="{00000000-0005-0000-0000-000044820000}"/>
    <cellStyle name="Normal 2 3 6 20 8" xfId="45319" xr:uid="{00000000-0005-0000-0000-000045820000}"/>
    <cellStyle name="Normal 2 3 6 20 8 2" xfId="45320" xr:uid="{00000000-0005-0000-0000-000046820000}"/>
    <cellStyle name="Normal 2 3 6 20 9" xfId="45321" xr:uid="{00000000-0005-0000-0000-000047820000}"/>
    <cellStyle name="Normal 2 3 6 21" xfId="13957" xr:uid="{00000000-0005-0000-0000-000048820000}"/>
    <cellStyle name="Normal 2 3 6 21 10" xfId="45322" xr:uid="{00000000-0005-0000-0000-000049820000}"/>
    <cellStyle name="Normal 2 3 6 21 11" xfId="45323" xr:uid="{00000000-0005-0000-0000-00004A820000}"/>
    <cellStyle name="Normal 2 3 6 21 2" xfId="13958" xr:uid="{00000000-0005-0000-0000-00004B820000}"/>
    <cellStyle name="Normal 2 3 6 21 2 10" xfId="45324" xr:uid="{00000000-0005-0000-0000-00004C820000}"/>
    <cellStyle name="Normal 2 3 6 21 2 2" xfId="13959" xr:uid="{00000000-0005-0000-0000-00004D820000}"/>
    <cellStyle name="Normal 2 3 6 21 2 2 2" xfId="13960" xr:uid="{00000000-0005-0000-0000-00004E820000}"/>
    <cellStyle name="Normal 2 3 6 21 2 2 2 2" xfId="13961" xr:uid="{00000000-0005-0000-0000-00004F820000}"/>
    <cellStyle name="Normal 2 3 6 21 2 2 2 2 2" xfId="45325" xr:uid="{00000000-0005-0000-0000-000050820000}"/>
    <cellStyle name="Normal 2 3 6 21 2 2 2 3" xfId="13962" xr:uid="{00000000-0005-0000-0000-000051820000}"/>
    <cellStyle name="Normal 2 3 6 21 2 2 2 3 2" xfId="45326" xr:uid="{00000000-0005-0000-0000-000052820000}"/>
    <cellStyle name="Normal 2 3 6 21 2 2 2 4" xfId="45327" xr:uid="{00000000-0005-0000-0000-000053820000}"/>
    <cellStyle name="Normal 2 3 6 21 2 2 3" xfId="13963" xr:uid="{00000000-0005-0000-0000-000054820000}"/>
    <cellStyle name="Normal 2 3 6 21 2 2 3 2" xfId="45328" xr:uid="{00000000-0005-0000-0000-000055820000}"/>
    <cellStyle name="Normal 2 3 6 21 2 2 4" xfId="13964" xr:uid="{00000000-0005-0000-0000-000056820000}"/>
    <cellStyle name="Normal 2 3 6 21 2 2 4 2" xfId="45329" xr:uid="{00000000-0005-0000-0000-000057820000}"/>
    <cellStyle name="Normal 2 3 6 21 2 2 5" xfId="13965" xr:uid="{00000000-0005-0000-0000-000058820000}"/>
    <cellStyle name="Normal 2 3 6 21 2 2 5 2" xfId="45330" xr:uid="{00000000-0005-0000-0000-000059820000}"/>
    <cellStyle name="Normal 2 3 6 21 2 2 6" xfId="45331" xr:uid="{00000000-0005-0000-0000-00005A820000}"/>
    <cellStyle name="Normal 2 3 6 21 2 2 6 2" xfId="45332" xr:uid="{00000000-0005-0000-0000-00005B820000}"/>
    <cellStyle name="Normal 2 3 6 21 2 2 7" xfId="45333" xr:uid="{00000000-0005-0000-0000-00005C820000}"/>
    <cellStyle name="Normal 2 3 6 21 2 3" xfId="13966" xr:uid="{00000000-0005-0000-0000-00005D820000}"/>
    <cellStyle name="Normal 2 3 6 21 2 3 2" xfId="13967" xr:uid="{00000000-0005-0000-0000-00005E820000}"/>
    <cellStyle name="Normal 2 3 6 21 2 3 2 2" xfId="45334" xr:uid="{00000000-0005-0000-0000-00005F820000}"/>
    <cellStyle name="Normal 2 3 6 21 2 3 3" xfId="13968" xr:uid="{00000000-0005-0000-0000-000060820000}"/>
    <cellStyle name="Normal 2 3 6 21 2 3 3 2" xfId="45335" xr:uid="{00000000-0005-0000-0000-000061820000}"/>
    <cellStyle name="Normal 2 3 6 21 2 3 4" xfId="45336" xr:uid="{00000000-0005-0000-0000-000062820000}"/>
    <cellStyle name="Normal 2 3 6 21 2 4" xfId="13969" xr:uid="{00000000-0005-0000-0000-000063820000}"/>
    <cellStyle name="Normal 2 3 6 21 2 4 2" xfId="13970" xr:uid="{00000000-0005-0000-0000-000064820000}"/>
    <cellStyle name="Normal 2 3 6 21 2 4 2 2" xfId="45337" xr:uid="{00000000-0005-0000-0000-000065820000}"/>
    <cellStyle name="Normal 2 3 6 21 2 4 3" xfId="45338" xr:uid="{00000000-0005-0000-0000-000066820000}"/>
    <cellStyle name="Normal 2 3 6 21 2 5" xfId="13971" xr:uid="{00000000-0005-0000-0000-000067820000}"/>
    <cellStyle name="Normal 2 3 6 21 2 5 2" xfId="45339" xr:uid="{00000000-0005-0000-0000-000068820000}"/>
    <cellStyle name="Normal 2 3 6 21 2 6" xfId="13972" xr:uid="{00000000-0005-0000-0000-000069820000}"/>
    <cellStyle name="Normal 2 3 6 21 2 6 2" xfId="45340" xr:uid="{00000000-0005-0000-0000-00006A820000}"/>
    <cellStyle name="Normal 2 3 6 21 2 7" xfId="45341" xr:uid="{00000000-0005-0000-0000-00006B820000}"/>
    <cellStyle name="Normal 2 3 6 21 2 7 2" xfId="45342" xr:uid="{00000000-0005-0000-0000-00006C820000}"/>
    <cellStyle name="Normal 2 3 6 21 2 8" xfId="45343" xr:uid="{00000000-0005-0000-0000-00006D820000}"/>
    <cellStyle name="Normal 2 3 6 21 2 9" xfId="45344" xr:uid="{00000000-0005-0000-0000-00006E820000}"/>
    <cellStyle name="Normal 2 3 6 21 3" xfId="13973" xr:uid="{00000000-0005-0000-0000-00006F820000}"/>
    <cellStyle name="Normal 2 3 6 21 3 2" xfId="13974" xr:uid="{00000000-0005-0000-0000-000070820000}"/>
    <cellStyle name="Normal 2 3 6 21 3 2 2" xfId="13975" xr:uid="{00000000-0005-0000-0000-000071820000}"/>
    <cellStyle name="Normal 2 3 6 21 3 2 2 2" xfId="45345" xr:uid="{00000000-0005-0000-0000-000072820000}"/>
    <cellStyle name="Normal 2 3 6 21 3 2 3" xfId="13976" xr:uid="{00000000-0005-0000-0000-000073820000}"/>
    <cellStyle name="Normal 2 3 6 21 3 2 3 2" xfId="45346" xr:uid="{00000000-0005-0000-0000-000074820000}"/>
    <cellStyle name="Normal 2 3 6 21 3 2 4" xfId="45347" xr:uid="{00000000-0005-0000-0000-000075820000}"/>
    <cellStyle name="Normal 2 3 6 21 3 3" xfId="13977" xr:uid="{00000000-0005-0000-0000-000076820000}"/>
    <cellStyle name="Normal 2 3 6 21 3 3 2" xfId="45348" xr:uid="{00000000-0005-0000-0000-000077820000}"/>
    <cellStyle name="Normal 2 3 6 21 3 4" xfId="13978" xr:uid="{00000000-0005-0000-0000-000078820000}"/>
    <cellStyle name="Normal 2 3 6 21 3 4 2" xfId="45349" xr:uid="{00000000-0005-0000-0000-000079820000}"/>
    <cellStyle name="Normal 2 3 6 21 3 5" xfId="13979" xr:uid="{00000000-0005-0000-0000-00007A820000}"/>
    <cellStyle name="Normal 2 3 6 21 3 5 2" xfId="45350" xr:uid="{00000000-0005-0000-0000-00007B820000}"/>
    <cellStyle name="Normal 2 3 6 21 3 6" xfId="45351" xr:uid="{00000000-0005-0000-0000-00007C820000}"/>
    <cellStyle name="Normal 2 3 6 21 3 6 2" xfId="45352" xr:uid="{00000000-0005-0000-0000-00007D820000}"/>
    <cellStyle name="Normal 2 3 6 21 3 7" xfId="45353" xr:uid="{00000000-0005-0000-0000-00007E820000}"/>
    <cellStyle name="Normal 2 3 6 21 4" xfId="13980" xr:uid="{00000000-0005-0000-0000-00007F820000}"/>
    <cellStyle name="Normal 2 3 6 21 4 2" xfId="13981" xr:uid="{00000000-0005-0000-0000-000080820000}"/>
    <cellStyle name="Normal 2 3 6 21 4 2 2" xfId="45354" xr:uid="{00000000-0005-0000-0000-000081820000}"/>
    <cellStyle name="Normal 2 3 6 21 4 3" xfId="13982" xr:uid="{00000000-0005-0000-0000-000082820000}"/>
    <cellStyle name="Normal 2 3 6 21 4 3 2" xfId="45355" xr:uid="{00000000-0005-0000-0000-000083820000}"/>
    <cellStyle name="Normal 2 3 6 21 4 4" xfId="45356" xr:uid="{00000000-0005-0000-0000-000084820000}"/>
    <cellStyle name="Normal 2 3 6 21 5" xfId="13983" xr:uid="{00000000-0005-0000-0000-000085820000}"/>
    <cellStyle name="Normal 2 3 6 21 5 2" xfId="13984" xr:uid="{00000000-0005-0000-0000-000086820000}"/>
    <cellStyle name="Normal 2 3 6 21 5 2 2" xfId="45357" xr:uid="{00000000-0005-0000-0000-000087820000}"/>
    <cellStyle name="Normal 2 3 6 21 5 3" xfId="45358" xr:uid="{00000000-0005-0000-0000-000088820000}"/>
    <cellStyle name="Normal 2 3 6 21 6" xfId="13985" xr:uid="{00000000-0005-0000-0000-000089820000}"/>
    <cellStyle name="Normal 2 3 6 21 6 2" xfId="45359" xr:uid="{00000000-0005-0000-0000-00008A820000}"/>
    <cellStyle name="Normal 2 3 6 21 7" xfId="13986" xr:uid="{00000000-0005-0000-0000-00008B820000}"/>
    <cellStyle name="Normal 2 3 6 21 7 2" xfId="45360" xr:uid="{00000000-0005-0000-0000-00008C820000}"/>
    <cellStyle name="Normal 2 3 6 21 8" xfId="45361" xr:uid="{00000000-0005-0000-0000-00008D820000}"/>
    <cellStyle name="Normal 2 3 6 21 8 2" xfId="45362" xr:uid="{00000000-0005-0000-0000-00008E820000}"/>
    <cellStyle name="Normal 2 3 6 21 9" xfId="45363" xr:uid="{00000000-0005-0000-0000-00008F820000}"/>
    <cellStyle name="Normal 2 3 6 22" xfId="13987" xr:uid="{00000000-0005-0000-0000-000090820000}"/>
    <cellStyle name="Normal 2 3 6 22 10" xfId="45364" xr:uid="{00000000-0005-0000-0000-000091820000}"/>
    <cellStyle name="Normal 2 3 6 22 11" xfId="45365" xr:uid="{00000000-0005-0000-0000-000092820000}"/>
    <cellStyle name="Normal 2 3 6 22 2" xfId="13988" xr:uid="{00000000-0005-0000-0000-000093820000}"/>
    <cellStyle name="Normal 2 3 6 22 2 10" xfId="45366" xr:uid="{00000000-0005-0000-0000-000094820000}"/>
    <cellStyle name="Normal 2 3 6 22 2 2" xfId="13989" xr:uid="{00000000-0005-0000-0000-000095820000}"/>
    <cellStyle name="Normal 2 3 6 22 2 2 2" xfId="13990" xr:uid="{00000000-0005-0000-0000-000096820000}"/>
    <cellStyle name="Normal 2 3 6 22 2 2 2 2" xfId="13991" xr:uid="{00000000-0005-0000-0000-000097820000}"/>
    <cellStyle name="Normal 2 3 6 22 2 2 2 2 2" xfId="45367" xr:uid="{00000000-0005-0000-0000-000098820000}"/>
    <cellStyle name="Normal 2 3 6 22 2 2 2 3" xfId="13992" xr:uid="{00000000-0005-0000-0000-000099820000}"/>
    <cellStyle name="Normal 2 3 6 22 2 2 2 3 2" xfId="45368" xr:uid="{00000000-0005-0000-0000-00009A820000}"/>
    <cellStyle name="Normal 2 3 6 22 2 2 2 4" xfId="45369" xr:uid="{00000000-0005-0000-0000-00009B820000}"/>
    <cellStyle name="Normal 2 3 6 22 2 2 3" xfId="13993" xr:uid="{00000000-0005-0000-0000-00009C820000}"/>
    <cellStyle name="Normal 2 3 6 22 2 2 3 2" xfId="45370" xr:uid="{00000000-0005-0000-0000-00009D820000}"/>
    <cellStyle name="Normal 2 3 6 22 2 2 4" xfId="13994" xr:uid="{00000000-0005-0000-0000-00009E820000}"/>
    <cellStyle name="Normal 2 3 6 22 2 2 4 2" xfId="45371" xr:uid="{00000000-0005-0000-0000-00009F820000}"/>
    <cellStyle name="Normal 2 3 6 22 2 2 5" xfId="13995" xr:uid="{00000000-0005-0000-0000-0000A0820000}"/>
    <cellStyle name="Normal 2 3 6 22 2 2 5 2" xfId="45372" xr:uid="{00000000-0005-0000-0000-0000A1820000}"/>
    <cellStyle name="Normal 2 3 6 22 2 2 6" xfId="45373" xr:uid="{00000000-0005-0000-0000-0000A2820000}"/>
    <cellStyle name="Normal 2 3 6 22 2 2 6 2" xfId="45374" xr:uid="{00000000-0005-0000-0000-0000A3820000}"/>
    <cellStyle name="Normal 2 3 6 22 2 2 7" xfId="45375" xr:uid="{00000000-0005-0000-0000-0000A4820000}"/>
    <cellStyle name="Normal 2 3 6 22 2 3" xfId="13996" xr:uid="{00000000-0005-0000-0000-0000A5820000}"/>
    <cellStyle name="Normal 2 3 6 22 2 3 2" xfId="13997" xr:uid="{00000000-0005-0000-0000-0000A6820000}"/>
    <cellStyle name="Normal 2 3 6 22 2 3 2 2" xfId="45376" xr:uid="{00000000-0005-0000-0000-0000A7820000}"/>
    <cellStyle name="Normal 2 3 6 22 2 3 3" xfId="13998" xr:uid="{00000000-0005-0000-0000-0000A8820000}"/>
    <cellStyle name="Normal 2 3 6 22 2 3 3 2" xfId="45377" xr:uid="{00000000-0005-0000-0000-0000A9820000}"/>
    <cellStyle name="Normal 2 3 6 22 2 3 4" xfId="45378" xr:uid="{00000000-0005-0000-0000-0000AA820000}"/>
    <cellStyle name="Normal 2 3 6 22 2 4" xfId="13999" xr:uid="{00000000-0005-0000-0000-0000AB820000}"/>
    <cellStyle name="Normal 2 3 6 22 2 4 2" xfId="14000" xr:uid="{00000000-0005-0000-0000-0000AC820000}"/>
    <cellStyle name="Normal 2 3 6 22 2 4 2 2" xfId="45379" xr:uid="{00000000-0005-0000-0000-0000AD820000}"/>
    <cellStyle name="Normal 2 3 6 22 2 4 3" xfId="45380" xr:uid="{00000000-0005-0000-0000-0000AE820000}"/>
    <cellStyle name="Normal 2 3 6 22 2 5" xfId="14001" xr:uid="{00000000-0005-0000-0000-0000AF820000}"/>
    <cellStyle name="Normal 2 3 6 22 2 5 2" xfId="45381" xr:uid="{00000000-0005-0000-0000-0000B0820000}"/>
    <cellStyle name="Normal 2 3 6 22 2 6" xfId="14002" xr:uid="{00000000-0005-0000-0000-0000B1820000}"/>
    <cellStyle name="Normal 2 3 6 22 2 6 2" xfId="45382" xr:uid="{00000000-0005-0000-0000-0000B2820000}"/>
    <cellStyle name="Normal 2 3 6 22 2 7" xfId="45383" xr:uid="{00000000-0005-0000-0000-0000B3820000}"/>
    <cellStyle name="Normal 2 3 6 22 2 7 2" xfId="45384" xr:uid="{00000000-0005-0000-0000-0000B4820000}"/>
    <cellStyle name="Normal 2 3 6 22 2 8" xfId="45385" xr:uid="{00000000-0005-0000-0000-0000B5820000}"/>
    <cellStyle name="Normal 2 3 6 22 2 9" xfId="45386" xr:uid="{00000000-0005-0000-0000-0000B6820000}"/>
    <cellStyle name="Normal 2 3 6 22 3" xfId="14003" xr:uid="{00000000-0005-0000-0000-0000B7820000}"/>
    <cellStyle name="Normal 2 3 6 22 3 2" xfId="14004" xr:uid="{00000000-0005-0000-0000-0000B8820000}"/>
    <cellStyle name="Normal 2 3 6 22 3 2 2" xfId="14005" xr:uid="{00000000-0005-0000-0000-0000B9820000}"/>
    <cellStyle name="Normal 2 3 6 22 3 2 2 2" xfId="45387" xr:uid="{00000000-0005-0000-0000-0000BA820000}"/>
    <cellStyle name="Normal 2 3 6 22 3 2 3" xfId="14006" xr:uid="{00000000-0005-0000-0000-0000BB820000}"/>
    <cellStyle name="Normal 2 3 6 22 3 2 3 2" xfId="45388" xr:uid="{00000000-0005-0000-0000-0000BC820000}"/>
    <cellStyle name="Normal 2 3 6 22 3 2 4" xfId="45389" xr:uid="{00000000-0005-0000-0000-0000BD820000}"/>
    <cellStyle name="Normal 2 3 6 22 3 3" xfId="14007" xr:uid="{00000000-0005-0000-0000-0000BE820000}"/>
    <cellStyle name="Normal 2 3 6 22 3 3 2" xfId="45390" xr:uid="{00000000-0005-0000-0000-0000BF820000}"/>
    <cellStyle name="Normal 2 3 6 22 3 4" xfId="14008" xr:uid="{00000000-0005-0000-0000-0000C0820000}"/>
    <cellStyle name="Normal 2 3 6 22 3 4 2" xfId="45391" xr:uid="{00000000-0005-0000-0000-0000C1820000}"/>
    <cellStyle name="Normal 2 3 6 22 3 5" xfId="14009" xr:uid="{00000000-0005-0000-0000-0000C2820000}"/>
    <cellStyle name="Normal 2 3 6 22 3 5 2" xfId="45392" xr:uid="{00000000-0005-0000-0000-0000C3820000}"/>
    <cellStyle name="Normal 2 3 6 22 3 6" xfId="45393" xr:uid="{00000000-0005-0000-0000-0000C4820000}"/>
    <cellStyle name="Normal 2 3 6 22 3 6 2" xfId="45394" xr:uid="{00000000-0005-0000-0000-0000C5820000}"/>
    <cellStyle name="Normal 2 3 6 22 3 7" xfId="45395" xr:uid="{00000000-0005-0000-0000-0000C6820000}"/>
    <cellStyle name="Normal 2 3 6 22 4" xfId="14010" xr:uid="{00000000-0005-0000-0000-0000C7820000}"/>
    <cellStyle name="Normal 2 3 6 22 4 2" xfId="14011" xr:uid="{00000000-0005-0000-0000-0000C8820000}"/>
    <cellStyle name="Normal 2 3 6 22 4 2 2" xfId="45396" xr:uid="{00000000-0005-0000-0000-0000C9820000}"/>
    <cellStyle name="Normal 2 3 6 22 4 3" xfId="14012" xr:uid="{00000000-0005-0000-0000-0000CA820000}"/>
    <cellStyle name="Normal 2 3 6 22 4 3 2" xfId="45397" xr:uid="{00000000-0005-0000-0000-0000CB820000}"/>
    <cellStyle name="Normal 2 3 6 22 4 4" xfId="45398" xr:uid="{00000000-0005-0000-0000-0000CC820000}"/>
    <cellStyle name="Normal 2 3 6 22 5" xfId="14013" xr:uid="{00000000-0005-0000-0000-0000CD820000}"/>
    <cellStyle name="Normal 2 3 6 22 5 2" xfId="14014" xr:uid="{00000000-0005-0000-0000-0000CE820000}"/>
    <cellStyle name="Normal 2 3 6 22 5 2 2" xfId="45399" xr:uid="{00000000-0005-0000-0000-0000CF820000}"/>
    <cellStyle name="Normal 2 3 6 22 5 3" xfId="45400" xr:uid="{00000000-0005-0000-0000-0000D0820000}"/>
    <cellStyle name="Normal 2 3 6 22 6" xfId="14015" xr:uid="{00000000-0005-0000-0000-0000D1820000}"/>
    <cellStyle name="Normal 2 3 6 22 6 2" xfId="45401" xr:uid="{00000000-0005-0000-0000-0000D2820000}"/>
    <cellStyle name="Normal 2 3 6 22 7" xfId="14016" xr:uid="{00000000-0005-0000-0000-0000D3820000}"/>
    <cellStyle name="Normal 2 3 6 22 7 2" xfId="45402" xr:uid="{00000000-0005-0000-0000-0000D4820000}"/>
    <cellStyle name="Normal 2 3 6 22 8" xfId="45403" xr:uid="{00000000-0005-0000-0000-0000D5820000}"/>
    <cellStyle name="Normal 2 3 6 22 8 2" xfId="45404" xr:uid="{00000000-0005-0000-0000-0000D6820000}"/>
    <cellStyle name="Normal 2 3 6 22 9" xfId="45405" xr:uid="{00000000-0005-0000-0000-0000D7820000}"/>
    <cellStyle name="Normal 2 3 6 23" xfId="14017" xr:uid="{00000000-0005-0000-0000-0000D8820000}"/>
    <cellStyle name="Normal 2 3 6 23 10" xfId="45406" xr:uid="{00000000-0005-0000-0000-0000D9820000}"/>
    <cellStyle name="Normal 2 3 6 23 11" xfId="45407" xr:uid="{00000000-0005-0000-0000-0000DA820000}"/>
    <cellStyle name="Normal 2 3 6 23 2" xfId="14018" xr:uid="{00000000-0005-0000-0000-0000DB820000}"/>
    <cellStyle name="Normal 2 3 6 23 2 10" xfId="45408" xr:uid="{00000000-0005-0000-0000-0000DC820000}"/>
    <cellStyle name="Normal 2 3 6 23 2 2" xfId="14019" xr:uid="{00000000-0005-0000-0000-0000DD820000}"/>
    <cellStyle name="Normal 2 3 6 23 2 2 2" xfId="14020" xr:uid="{00000000-0005-0000-0000-0000DE820000}"/>
    <cellStyle name="Normal 2 3 6 23 2 2 2 2" xfId="14021" xr:uid="{00000000-0005-0000-0000-0000DF820000}"/>
    <cellStyle name="Normal 2 3 6 23 2 2 2 2 2" xfId="45409" xr:uid="{00000000-0005-0000-0000-0000E0820000}"/>
    <cellStyle name="Normal 2 3 6 23 2 2 2 3" xfId="14022" xr:uid="{00000000-0005-0000-0000-0000E1820000}"/>
    <cellStyle name="Normal 2 3 6 23 2 2 2 3 2" xfId="45410" xr:uid="{00000000-0005-0000-0000-0000E2820000}"/>
    <cellStyle name="Normal 2 3 6 23 2 2 2 4" xfId="45411" xr:uid="{00000000-0005-0000-0000-0000E3820000}"/>
    <cellStyle name="Normal 2 3 6 23 2 2 3" xfId="14023" xr:uid="{00000000-0005-0000-0000-0000E4820000}"/>
    <cellStyle name="Normal 2 3 6 23 2 2 3 2" xfId="45412" xr:uid="{00000000-0005-0000-0000-0000E5820000}"/>
    <cellStyle name="Normal 2 3 6 23 2 2 4" xfId="14024" xr:uid="{00000000-0005-0000-0000-0000E6820000}"/>
    <cellStyle name="Normal 2 3 6 23 2 2 4 2" xfId="45413" xr:uid="{00000000-0005-0000-0000-0000E7820000}"/>
    <cellStyle name="Normal 2 3 6 23 2 2 5" xfId="14025" xr:uid="{00000000-0005-0000-0000-0000E8820000}"/>
    <cellStyle name="Normal 2 3 6 23 2 2 5 2" xfId="45414" xr:uid="{00000000-0005-0000-0000-0000E9820000}"/>
    <cellStyle name="Normal 2 3 6 23 2 2 6" xfId="45415" xr:uid="{00000000-0005-0000-0000-0000EA820000}"/>
    <cellStyle name="Normal 2 3 6 23 2 2 6 2" xfId="45416" xr:uid="{00000000-0005-0000-0000-0000EB820000}"/>
    <cellStyle name="Normal 2 3 6 23 2 2 7" xfId="45417" xr:uid="{00000000-0005-0000-0000-0000EC820000}"/>
    <cellStyle name="Normal 2 3 6 23 2 3" xfId="14026" xr:uid="{00000000-0005-0000-0000-0000ED820000}"/>
    <cellStyle name="Normal 2 3 6 23 2 3 2" xfId="14027" xr:uid="{00000000-0005-0000-0000-0000EE820000}"/>
    <cellStyle name="Normal 2 3 6 23 2 3 2 2" xfId="45418" xr:uid="{00000000-0005-0000-0000-0000EF820000}"/>
    <cellStyle name="Normal 2 3 6 23 2 3 3" xfId="14028" xr:uid="{00000000-0005-0000-0000-0000F0820000}"/>
    <cellStyle name="Normal 2 3 6 23 2 3 3 2" xfId="45419" xr:uid="{00000000-0005-0000-0000-0000F1820000}"/>
    <cellStyle name="Normal 2 3 6 23 2 3 4" xfId="45420" xr:uid="{00000000-0005-0000-0000-0000F2820000}"/>
    <cellStyle name="Normal 2 3 6 23 2 4" xfId="14029" xr:uid="{00000000-0005-0000-0000-0000F3820000}"/>
    <cellStyle name="Normal 2 3 6 23 2 4 2" xfId="14030" xr:uid="{00000000-0005-0000-0000-0000F4820000}"/>
    <cellStyle name="Normal 2 3 6 23 2 4 2 2" xfId="45421" xr:uid="{00000000-0005-0000-0000-0000F5820000}"/>
    <cellStyle name="Normal 2 3 6 23 2 4 3" xfId="45422" xr:uid="{00000000-0005-0000-0000-0000F6820000}"/>
    <cellStyle name="Normal 2 3 6 23 2 5" xfId="14031" xr:uid="{00000000-0005-0000-0000-0000F7820000}"/>
    <cellStyle name="Normal 2 3 6 23 2 5 2" xfId="45423" xr:uid="{00000000-0005-0000-0000-0000F8820000}"/>
    <cellStyle name="Normal 2 3 6 23 2 6" xfId="14032" xr:uid="{00000000-0005-0000-0000-0000F9820000}"/>
    <cellStyle name="Normal 2 3 6 23 2 6 2" xfId="45424" xr:uid="{00000000-0005-0000-0000-0000FA820000}"/>
    <cellStyle name="Normal 2 3 6 23 2 7" xfId="45425" xr:uid="{00000000-0005-0000-0000-0000FB820000}"/>
    <cellStyle name="Normal 2 3 6 23 2 7 2" xfId="45426" xr:uid="{00000000-0005-0000-0000-0000FC820000}"/>
    <cellStyle name="Normal 2 3 6 23 2 8" xfId="45427" xr:uid="{00000000-0005-0000-0000-0000FD820000}"/>
    <cellStyle name="Normal 2 3 6 23 2 9" xfId="45428" xr:uid="{00000000-0005-0000-0000-0000FE820000}"/>
    <cellStyle name="Normal 2 3 6 23 3" xfId="14033" xr:uid="{00000000-0005-0000-0000-0000FF820000}"/>
    <cellStyle name="Normal 2 3 6 23 3 2" xfId="14034" xr:uid="{00000000-0005-0000-0000-000000830000}"/>
    <cellStyle name="Normal 2 3 6 23 3 2 2" xfId="14035" xr:uid="{00000000-0005-0000-0000-000001830000}"/>
    <cellStyle name="Normal 2 3 6 23 3 2 2 2" xfId="45429" xr:uid="{00000000-0005-0000-0000-000002830000}"/>
    <cellStyle name="Normal 2 3 6 23 3 2 3" xfId="14036" xr:uid="{00000000-0005-0000-0000-000003830000}"/>
    <cellStyle name="Normal 2 3 6 23 3 2 3 2" xfId="45430" xr:uid="{00000000-0005-0000-0000-000004830000}"/>
    <cellStyle name="Normal 2 3 6 23 3 2 4" xfId="45431" xr:uid="{00000000-0005-0000-0000-000005830000}"/>
    <cellStyle name="Normal 2 3 6 23 3 3" xfId="14037" xr:uid="{00000000-0005-0000-0000-000006830000}"/>
    <cellStyle name="Normal 2 3 6 23 3 3 2" xfId="45432" xr:uid="{00000000-0005-0000-0000-000007830000}"/>
    <cellStyle name="Normal 2 3 6 23 3 4" xfId="14038" xr:uid="{00000000-0005-0000-0000-000008830000}"/>
    <cellStyle name="Normal 2 3 6 23 3 4 2" xfId="45433" xr:uid="{00000000-0005-0000-0000-000009830000}"/>
    <cellStyle name="Normal 2 3 6 23 3 5" xfId="14039" xr:uid="{00000000-0005-0000-0000-00000A830000}"/>
    <cellStyle name="Normal 2 3 6 23 3 5 2" xfId="45434" xr:uid="{00000000-0005-0000-0000-00000B830000}"/>
    <cellStyle name="Normal 2 3 6 23 3 6" xfId="45435" xr:uid="{00000000-0005-0000-0000-00000C830000}"/>
    <cellStyle name="Normal 2 3 6 23 3 6 2" xfId="45436" xr:uid="{00000000-0005-0000-0000-00000D830000}"/>
    <cellStyle name="Normal 2 3 6 23 3 7" xfId="45437" xr:uid="{00000000-0005-0000-0000-00000E830000}"/>
    <cellStyle name="Normal 2 3 6 23 4" xfId="14040" xr:uid="{00000000-0005-0000-0000-00000F830000}"/>
    <cellStyle name="Normal 2 3 6 23 4 2" xfId="14041" xr:uid="{00000000-0005-0000-0000-000010830000}"/>
    <cellStyle name="Normal 2 3 6 23 4 2 2" xfId="45438" xr:uid="{00000000-0005-0000-0000-000011830000}"/>
    <cellStyle name="Normal 2 3 6 23 4 3" xfId="14042" xr:uid="{00000000-0005-0000-0000-000012830000}"/>
    <cellStyle name="Normal 2 3 6 23 4 3 2" xfId="45439" xr:uid="{00000000-0005-0000-0000-000013830000}"/>
    <cellStyle name="Normal 2 3 6 23 4 4" xfId="45440" xr:uid="{00000000-0005-0000-0000-000014830000}"/>
    <cellStyle name="Normal 2 3 6 23 5" xfId="14043" xr:uid="{00000000-0005-0000-0000-000015830000}"/>
    <cellStyle name="Normal 2 3 6 23 5 2" xfId="14044" xr:uid="{00000000-0005-0000-0000-000016830000}"/>
    <cellStyle name="Normal 2 3 6 23 5 2 2" xfId="45441" xr:uid="{00000000-0005-0000-0000-000017830000}"/>
    <cellStyle name="Normal 2 3 6 23 5 3" xfId="45442" xr:uid="{00000000-0005-0000-0000-000018830000}"/>
    <cellStyle name="Normal 2 3 6 23 6" xfId="14045" xr:uid="{00000000-0005-0000-0000-000019830000}"/>
    <cellStyle name="Normal 2 3 6 23 6 2" xfId="45443" xr:uid="{00000000-0005-0000-0000-00001A830000}"/>
    <cellStyle name="Normal 2 3 6 23 7" xfId="14046" xr:uid="{00000000-0005-0000-0000-00001B830000}"/>
    <cellStyle name="Normal 2 3 6 23 7 2" xfId="45444" xr:uid="{00000000-0005-0000-0000-00001C830000}"/>
    <cellStyle name="Normal 2 3 6 23 8" xfId="45445" xr:uid="{00000000-0005-0000-0000-00001D830000}"/>
    <cellStyle name="Normal 2 3 6 23 8 2" xfId="45446" xr:uid="{00000000-0005-0000-0000-00001E830000}"/>
    <cellStyle name="Normal 2 3 6 23 9" xfId="45447" xr:uid="{00000000-0005-0000-0000-00001F830000}"/>
    <cellStyle name="Normal 2 3 6 24" xfId="14047" xr:uid="{00000000-0005-0000-0000-000020830000}"/>
    <cellStyle name="Normal 2 3 6 24 10" xfId="45448" xr:uid="{00000000-0005-0000-0000-000021830000}"/>
    <cellStyle name="Normal 2 3 6 24 11" xfId="45449" xr:uid="{00000000-0005-0000-0000-000022830000}"/>
    <cellStyle name="Normal 2 3 6 24 2" xfId="14048" xr:uid="{00000000-0005-0000-0000-000023830000}"/>
    <cellStyle name="Normal 2 3 6 24 2 10" xfId="45450" xr:uid="{00000000-0005-0000-0000-000024830000}"/>
    <cellStyle name="Normal 2 3 6 24 2 2" xfId="14049" xr:uid="{00000000-0005-0000-0000-000025830000}"/>
    <cellStyle name="Normal 2 3 6 24 2 2 2" xfId="14050" xr:uid="{00000000-0005-0000-0000-000026830000}"/>
    <cellStyle name="Normal 2 3 6 24 2 2 2 2" xfId="14051" xr:uid="{00000000-0005-0000-0000-000027830000}"/>
    <cellStyle name="Normal 2 3 6 24 2 2 2 2 2" xfId="45451" xr:uid="{00000000-0005-0000-0000-000028830000}"/>
    <cellStyle name="Normal 2 3 6 24 2 2 2 3" xfId="14052" xr:uid="{00000000-0005-0000-0000-000029830000}"/>
    <cellStyle name="Normal 2 3 6 24 2 2 2 3 2" xfId="45452" xr:uid="{00000000-0005-0000-0000-00002A830000}"/>
    <cellStyle name="Normal 2 3 6 24 2 2 2 4" xfId="45453" xr:uid="{00000000-0005-0000-0000-00002B830000}"/>
    <cellStyle name="Normal 2 3 6 24 2 2 3" xfId="14053" xr:uid="{00000000-0005-0000-0000-00002C830000}"/>
    <cellStyle name="Normal 2 3 6 24 2 2 3 2" xfId="45454" xr:uid="{00000000-0005-0000-0000-00002D830000}"/>
    <cellStyle name="Normal 2 3 6 24 2 2 4" xfId="14054" xr:uid="{00000000-0005-0000-0000-00002E830000}"/>
    <cellStyle name="Normal 2 3 6 24 2 2 4 2" xfId="45455" xr:uid="{00000000-0005-0000-0000-00002F830000}"/>
    <cellStyle name="Normal 2 3 6 24 2 2 5" xfId="14055" xr:uid="{00000000-0005-0000-0000-000030830000}"/>
    <cellStyle name="Normal 2 3 6 24 2 2 5 2" xfId="45456" xr:uid="{00000000-0005-0000-0000-000031830000}"/>
    <cellStyle name="Normal 2 3 6 24 2 2 6" xfId="45457" xr:uid="{00000000-0005-0000-0000-000032830000}"/>
    <cellStyle name="Normal 2 3 6 24 2 2 6 2" xfId="45458" xr:uid="{00000000-0005-0000-0000-000033830000}"/>
    <cellStyle name="Normal 2 3 6 24 2 2 7" xfId="45459" xr:uid="{00000000-0005-0000-0000-000034830000}"/>
    <cellStyle name="Normal 2 3 6 24 2 3" xfId="14056" xr:uid="{00000000-0005-0000-0000-000035830000}"/>
    <cellStyle name="Normal 2 3 6 24 2 3 2" xfId="14057" xr:uid="{00000000-0005-0000-0000-000036830000}"/>
    <cellStyle name="Normal 2 3 6 24 2 3 2 2" xfId="45460" xr:uid="{00000000-0005-0000-0000-000037830000}"/>
    <cellStyle name="Normal 2 3 6 24 2 3 3" xfId="14058" xr:uid="{00000000-0005-0000-0000-000038830000}"/>
    <cellStyle name="Normal 2 3 6 24 2 3 3 2" xfId="45461" xr:uid="{00000000-0005-0000-0000-000039830000}"/>
    <cellStyle name="Normal 2 3 6 24 2 3 4" xfId="45462" xr:uid="{00000000-0005-0000-0000-00003A830000}"/>
    <cellStyle name="Normal 2 3 6 24 2 4" xfId="14059" xr:uid="{00000000-0005-0000-0000-00003B830000}"/>
    <cellStyle name="Normal 2 3 6 24 2 4 2" xfId="14060" xr:uid="{00000000-0005-0000-0000-00003C830000}"/>
    <cellStyle name="Normal 2 3 6 24 2 4 2 2" xfId="45463" xr:uid="{00000000-0005-0000-0000-00003D830000}"/>
    <cellStyle name="Normal 2 3 6 24 2 4 3" xfId="45464" xr:uid="{00000000-0005-0000-0000-00003E830000}"/>
    <cellStyle name="Normal 2 3 6 24 2 5" xfId="14061" xr:uid="{00000000-0005-0000-0000-00003F830000}"/>
    <cellStyle name="Normal 2 3 6 24 2 5 2" xfId="45465" xr:uid="{00000000-0005-0000-0000-000040830000}"/>
    <cellStyle name="Normal 2 3 6 24 2 6" xfId="14062" xr:uid="{00000000-0005-0000-0000-000041830000}"/>
    <cellStyle name="Normal 2 3 6 24 2 6 2" xfId="45466" xr:uid="{00000000-0005-0000-0000-000042830000}"/>
    <cellStyle name="Normal 2 3 6 24 2 7" xfId="45467" xr:uid="{00000000-0005-0000-0000-000043830000}"/>
    <cellStyle name="Normal 2 3 6 24 2 7 2" xfId="45468" xr:uid="{00000000-0005-0000-0000-000044830000}"/>
    <cellStyle name="Normal 2 3 6 24 2 8" xfId="45469" xr:uid="{00000000-0005-0000-0000-000045830000}"/>
    <cellStyle name="Normal 2 3 6 24 2 9" xfId="45470" xr:uid="{00000000-0005-0000-0000-000046830000}"/>
    <cellStyle name="Normal 2 3 6 24 3" xfId="14063" xr:uid="{00000000-0005-0000-0000-000047830000}"/>
    <cellStyle name="Normal 2 3 6 24 3 2" xfId="14064" xr:uid="{00000000-0005-0000-0000-000048830000}"/>
    <cellStyle name="Normal 2 3 6 24 3 2 2" xfId="14065" xr:uid="{00000000-0005-0000-0000-000049830000}"/>
    <cellStyle name="Normal 2 3 6 24 3 2 2 2" xfId="45471" xr:uid="{00000000-0005-0000-0000-00004A830000}"/>
    <cellStyle name="Normal 2 3 6 24 3 2 3" xfId="14066" xr:uid="{00000000-0005-0000-0000-00004B830000}"/>
    <cellStyle name="Normal 2 3 6 24 3 2 3 2" xfId="45472" xr:uid="{00000000-0005-0000-0000-00004C830000}"/>
    <cellStyle name="Normal 2 3 6 24 3 2 4" xfId="45473" xr:uid="{00000000-0005-0000-0000-00004D830000}"/>
    <cellStyle name="Normal 2 3 6 24 3 3" xfId="14067" xr:uid="{00000000-0005-0000-0000-00004E830000}"/>
    <cellStyle name="Normal 2 3 6 24 3 3 2" xfId="45474" xr:uid="{00000000-0005-0000-0000-00004F830000}"/>
    <cellStyle name="Normal 2 3 6 24 3 4" xfId="14068" xr:uid="{00000000-0005-0000-0000-000050830000}"/>
    <cellStyle name="Normal 2 3 6 24 3 4 2" xfId="45475" xr:uid="{00000000-0005-0000-0000-000051830000}"/>
    <cellStyle name="Normal 2 3 6 24 3 5" xfId="14069" xr:uid="{00000000-0005-0000-0000-000052830000}"/>
    <cellStyle name="Normal 2 3 6 24 3 5 2" xfId="45476" xr:uid="{00000000-0005-0000-0000-000053830000}"/>
    <cellStyle name="Normal 2 3 6 24 3 6" xfId="45477" xr:uid="{00000000-0005-0000-0000-000054830000}"/>
    <cellStyle name="Normal 2 3 6 24 3 6 2" xfId="45478" xr:uid="{00000000-0005-0000-0000-000055830000}"/>
    <cellStyle name="Normal 2 3 6 24 3 7" xfId="45479" xr:uid="{00000000-0005-0000-0000-000056830000}"/>
    <cellStyle name="Normal 2 3 6 24 4" xfId="14070" xr:uid="{00000000-0005-0000-0000-000057830000}"/>
    <cellStyle name="Normal 2 3 6 24 4 2" xfId="14071" xr:uid="{00000000-0005-0000-0000-000058830000}"/>
    <cellStyle name="Normal 2 3 6 24 4 2 2" xfId="45480" xr:uid="{00000000-0005-0000-0000-000059830000}"/>
    <cellStyle name="Normal 2 3 6 24 4 3" xfId="14072" xr:uid="{00000000-0005-0000-0000-00005A830000}"/>
    <cellStyle name="Normal 2 3 6 24 4 3 2" xfId="45481" xr:uid="{00000000-0005-0000-0000-00005B830000}"/>
    <cellStyle name="Normal 2 3 6 24 4 4" xfId="45482" xr:uid="{00000000-0005-0000-0000-00005C830000}"/>
    <cellStyle name="Normal 2 3 6 24 5" xfId="14073" xr:uid="{00000000-0005-0000-0000-00005D830000}"/>
    <cellStyle name="Normal 2 3 6 24 5 2" xfId="14074" xr:uid="{00000000-0005-0000-0000-00005E830000}"/>
    <cellStyle name="Normal 2 3 6 24 5 2 2" xfId="45483" xr:uid="{00000000-0005-0000-0000-00005F830000}"/>
    <cellStyle name="Normal 2 3 6 24 5 3" xfId="45484" xr:uid="{00000000-0005-0000-0000-000060830000}"/>
    <cellStyle name="Normal 2 3 6 24 6" xfId="14075" xr:uid="{00000000-0005-0000-0000-000061830000}"/>
    <cellStyle name="Normal 2 3 6 24 6 2" xfId="45485" xr:uid="{00000000-0005-0000-0000-000062830000}"/>
    <cellStyle name="Normal 2 3 6 24 7" xfId="14076" xr:uid="{00000000-0005-0000-0000-000063830000}"/>
    <cellStyle name="Normal 2 3 6 24 7 2" xfId="45486" xr:uid="{00000000-0005-0000-0000-000064830000}"/>
    <cellStyle name="Normal 2 3 6 24 8" xfId="45487" xr:uid="{00000000-0005-0000-0000-000065830000}"/>
    <cellStyle name="Normal 2 3 6 24 8 2" xfId="45488" xr:uid="{00000000-0005-0000-0000-000066830000}"/>
    <cellStyle name="Normal 2 3 6 24 9" xfId="45489" xr:uid="{00000000-0005-0000-0000-000067830000}"/>
    <cellStyle name="Normal 2 3 6 25" xfId="14077" xr:uid="{00000000-0005-0000-0000-000068830000}"/>
    <cellStyle name="Normal 2 3 6 25 10" xfId="45490" xr:uid="{00000000-0005-0000-0000-000069830000}"/>
    <cellStyle name="Normal 2 3 6 25 11" xfId="45491" xr:uid="{00000000-0005-0000-0000-00006A830000}"/>
    <cellStyle name="Normal 2 3 6 25 2" xfId="14078" xr:uid="{00000000-0005-0000-0000-00006B830000}"/>
    <cellStyle name="Normal 2 3 6 25 2 10" xfId="45492" xr:uid="{00000000-0005-0000-0000-00006C830000}"/>
    <cellStyle name="Normal 2 3 6 25 2 2" xfId="14079" xr:uid="{00000000-0005-0000-0000-00006D830000}"/>
    <cellStyle name="Normal 2 3 6 25 2 2 2" xfId="14080" xr:uid="{00000000-0005-0000-0000-00006E830000}"/>
    <cellStyle name="Normal 2 3 6 25 2 2 2 2" xfId="14081" xr:uid="{00000000-0005-0000-0000-00006F830000}"/>
    <cellStyle name="Normal 2 3 6 25 2 2 2 2 2" xfId="45493" xr:uid="{00000000-0005-0000-0000-000070830000}"/>
    <cellStyle name="Normal 2 3 6 25 2 2 2 3" xfId="14082" xr:uid="{00000000-0005-0000-0000-000071830000}"/>
    <cellStyle name="Normal 2 3 6 25 2 2 2 3 2" xfId="45494" xr:uid="{00000000-0005-0000-0000-000072830000}"/>
    <cellStyle name="Normal 2 3 6 25 2 2 2 4" xfId="45495" xr:uid="{00000000-0005-0000-0000-000073830000}"/>
    <cellStyle name="Normal 2 3 6 25 2 2 3" xfId="14083" xr:uid="{00000000-0005-0000-0000-000074830000}"/>
    <cellStyle name="Normal 2 3 6 25 2 2 3 2" xfId="45496" xr:uid="{00000000-0005-0000-0000-000075830000}"/>
    <cellStyle name="Normal 2 3 6 25 2 2 4" xfId="14084" xr:uid="{00000000-0005-0000-0000-000076830000}"/>
    <cellStyle name="Normal 2 3 6 25 2 2 4 2" xfId="45497" xr:uid="{00000000-0005-0000-0000-000077830000}"/>
    <cellStyle name="Normal 2 3 6 25 2 2 5" xfId="14085" xr:uid="{00000000-0005-0000-0000-000078830000}"/>
    <cellStyle name="Normal 2 3 6 25 2 2 5 2" xfId="45498" xr:uid="{00000000-0005-0000-0000-000079830000}"/>
    <cellStyle name="Normal 2 3 6 25 2 2 6" xfId="45499" xr:uid="{00000000-0005-0000-0000-00007A830000}"/>
    <cellStyle name="Normal 2 3 6 25 2 2 6 2" xfId="45500" xr:uid="{00000000-0005-0000-0000-00007B830000}"/>
    <cellStyle name="Normal 2 3 6 25 2 2 7" xfId="45501" xr:uid="{00000000-0005-0000-0000-00007C830000}"/>
    <cellStyle name="Normal 2 3 6 25 2 3" xfId="14086" xr:uid="{00000000-0005-0000-0000-00007D830000}"/>
    <cellStyle name="Normal 2 3 6 25 2 3 2" xfId="14087" xr:uid="{00000000-0005-0000-0000-00007E830000}"/>
    <cellStyle name="Normal 2 3 6 25 2 3 2 2" xfId="45502" xr:uid="{00000000-0005-0000-0000-00007F830000}"/>
    <cellStyle name="Normal 2 3 6 25 2 3 3" xfId="14088" xr:uid="{00000000-0005-0000-0000-000080830000}"/>
    <cellStyle name="Normal 2 3 6 25 2 3 3 2" xfId="45503" xr:uid="{00000000-0005-0000-0000-000081830000}"/>
    <cellStyle name="Normal 2 3 6 25 2 3 4" xfId="45504" xr:uid="{00000000-0005-0000-0000-000082830000}"/>
    <cellStyle name="Normal 2 3 6 25 2 4" xfId="14089" xr:uid="{00000000-0005-0000-0000-000083830000}"/>
    <cellStyle name="Normal 2 3 6 25 2 4 2" xfId="14090" xr:uid="{00000000-0005-0000-0000-000084830000}"/>
    <cellStyle name="Normal 2 3 6 25 2 4 2 2" xfId="45505" xr:uid="{00000000-0005-0000-0000-000085830000}"/>
    <cellStyle name="Normal 2 3 6 25 2 4 3" xfId="45506" xr:uid="{00000000-0005-0000-0000-000086830000}"/>
    <cellStyle name="Normal 2 3 6 25 2 5" xfId="14091" xr:uid="{00000000-0005-0000-0000-000087830000}"/>
    <cellStyle name="Normal 2 3 6 25 2 5 2" xfId="45507" xr:uid="{00000000-0005-0000-0000-000088830000}"/>
    <cellStyle name="Normal 2 3 6 25 2 6" xfId="14092" xr:uid="{00000000-0005-0000-0000-000089830000}"/>
    <cellStyle name="Normal 2 3 6 25 2 6 2" xfId="45508" xr:uid="{00000000-0005-0000-0000-00008A830000}"/>
    <cellStyle name="Normal 2 3 6 25 2 7" xfId="45509" xr:uid="{00000000-0005-0000-0000-00008B830000}"/>
    <cellStyle name="Normal 2 3 6 25 2 7 2" xfId="45510" xr:uid="{00000000-0005-0000-0000-00008C830000}"/>
    <cellStyle name="Normal 2 3 6 25 2 8" xfId="45511" xr:uid="{00000000-0005-0000-0000-00008D830000}"/>
    <cellStyle name="Normal 2 3 6 25 2 9" xfId="45512" xr:uid="{00000000-0005-0000-0000-00008E830000}"/>
    <cellStyle name="Normal 2 3 6 25 3" xfId="14093" xr:uid="{00000000-0005-0000-0000-00008F830000}"/>
    <cellStyle name="Normal 2 3 6 25 3 2" xfId="14094" xr:uid="{00000000-0005-0000-0000-000090830000}"/>
    <cellStyle name="Normal 2 3 6 25 3 2 2" xfId="14095" xr:uid="{00000000-0005-0000-0000-000091830000}"/>
    <cellStyle name="Normal 2 3 6 25 3 2 2 2" xfId="45513" xr:uid="{00000000-0005-0000-0000-000092830000}"/>
    <cellStyle name="Normal 2 3 6 25 3 2 3" xfId="14096" xr:uid="{00000000-0005-0000-0000-000093830000}"/>
    <cellStyle name="Normal 2 3 6 25 3 2 3 2" xfId="45514" xr:uid="{00000000-0005-0000-0000-000094830000}"/>
    <cellStyle name="Normal 2 3 6 25 3 2 4" xfId="45515" xr:uid="{00000000-0005-0000-0000-000095830000}"/>
    <cellStyle name="Normal 2 3 6 25 3 3" xfId="14097" xr:uid="{00000000-0005-0000-0000-000096830000}"/>
    <cellStyle name="Normal 2 3 6 25 3 3 2" xfId="45516" xr:uid="{00000000-0005-0000-0000-000097830000}"/>
    <cellStyle name="Normal 2 3 6 25 3 4" xfId="14098" xr:uid="{00000000-0005-0000-0000-000098830000}"/>
    <cellStyle name="Normal 2 3 6 25 3 4 2" xfId="45517" xr:uid="{00000000-0005-0000-0000-000099830000}"/>
    <cellStyle name="Normal 2 3 6 25 3 5" xfId="14099" xr:uid="{00000000-0005-0000-0000-00009A830000}"/>
    <cellStyle name="Normal 2 3 6 25 3 5 2" xfId="45518" xr:uid="{00000000-0005-0000-0000-00009B830000}"/>
    <cellStyle name="Normal 2 3 6 25 3 6" xfId="45519" xr:uid="{00000000-0005-0000-0000-00009C830000}"/>
    <cellStyle name="Normal 2 3 6 25 3 6 2" xfId="45520" xr:uid="{00000000-0005-0000-0000-00009D830000}"/>
    <cellStyle name="Normal 2 3 6 25 3 7" xfId="45521" xr:uid="{00000000-0005-0000-0000-00009E830000}"/>
    <cellStyle name="Normal 2 3 6 25 4" xfId="14100" xr:uid="{00000000-0005-0000-0000-00009F830000}"/>
    <cellStyle name="Normal 2 3 6 25 4 2" xfId="14101" xr:uid="{00000000-0005-0000-0000-0000A0830000}"/>
    <cellStyle name="Normal 2 3 6 25 4 2 2" xfId="45522" xr:uid="{00000000-0005-0000-0000-0000A1830000}"/>
    <cellStyle name="Normal 2 3 6 25 4 3" xfId="14102" xr:uid="{00000000-0005-0000-0000-0000A2830000}"/>
    <cellStyle name="Normal 2 3 6 25 4 3 2" xfId="45523" xr:uid="{00000000-0005-0000-0000-0000A3830000}"/>
    <cellStyle name="Normal 2 3 6 25 4 4" xfId="45524" xr:uid="{00000000-0005-0000-0000-0000A4830000}"/>
    <cellStyle name="Normal 2 3 6 25 5" xfId="14103" xr:uid="{00000000-0005-0000-0000-0000A5830000}"/>
    <cellStyle name="Normal 2 3 6 25 5 2" xfId="14104" xr:uid="{00000000-0005-0000-0000-0000A6830000}"/>
    <cellStyle name="Normal 2 3 6 25 5 2 2" xfId="45525" xr:uid="{00000000-0005-0000-0000-0000A7830000}"/>
    <cellStyle name="Normal 2 3 6 25 5 3" xfId="45526" xr:uid="{00000000-0005-0000-0000-0000A8830000}"/>
    <cellStyle name="Normal 2 3 6 25 6" xfId="14105" xr:uid="{00000000-0005-0000-0000-0000A9830000}"/>
    <cellStyle name="Normal 2 3 6 25 6 2" xfId="45527" xr:uid="{00000000-0005-0000-0000-0000AA830000}"/>
    <cellStyle name="Normal 2 3 6 25 7" xfId="14106" xr:uid="{00000000-0005-0000-0000-0000AB830000}"/>
    <cellStyle name="Normal 2 3 6 25 7 2" xfId="45528" xr:uid="{00000000-0005-0000-0000-0000AC830000}"/>
    <cellStyle name="Normal 2 3 6 25 8" xfId="45529" xr:uid="{00000000-0005-0000-0000-0000AD830000}"/>
    <cellStyle name="Normal 2 3 6 25 8 2" xfId="45530" xr:uid="{00000000-0005-0000-0000-0000AE830000}"/>
    <cellStyle name="Normal 2 3 6 25 9" xfId="45531" xr:uid="{00000000-0005-0000-0000-0000AF830000}"/>
    <cellStyle name="Normal 2 3 6 26" xfId="14107" xr:uid="{00000000-0005-0000-0000-0000B0830000}"/>
    <cellStyle name="Normal 2 3 6 26 10" xfId="45532" xr:uid="{00000000-0005-0000-0000-0000B1830000}"/>
    <cellStyle name="Normal 2 3 6 26 11" xfId="45533" xr:uid="{00000000-0005-0000-0000-0000B2830000}"/>
    <cellStyle name="Normal 2 3 6 26 2" xfId="14108" xr:uid="{00000000-0005-0000-0000-0000B3830000}"/>
    <cellStyle name="Normal 2 3 6 26 2 10" xfId="45534" xr:uid="{00000000-0005-0000-0000-0000B4830000}"/>
    <cellStyle name="Normal 2 3 6 26 2 2" xfId="14109" xr:uid="{00000000-0005-0000-0000-0000B5830000}"/>
    <cellStyle name="Normal 2 3 6 26 2 2 2" xfId="14110" xr:uid="{00000000-0005-0000-0000-0000B6830000}"/>
    <cellStyle name="Normal 2 3 6 26 2 2 2 2" xfId="14111" xr:uid="{00000000-0005-0000-0000-0000B7830000}"/>
    <cellStyle name="Normal 2 3 6 26 2 2 2 2 2" xfId="45535" xr:uid="{00000000-0005-0000-0000-0000B8830000}"/>
    <cellStyle name="Normal 2 3 6 26 2 2 2 3" xfId="14112" xr:uid="{00000000-0005-0000-0000-0000B9830000}"/>
    <cellStyle name="Normal 2 3 6 26 2 2 2 3 2" xfId="45536" xr:uid="{00000000-0005-0000-0000-0000BA830000}"/>
    <cellStyle name="Normal 2 3 6 26 2 2 2 4" xfId="45537" xr:uid="{00000000-0005-0000-0000-0000BB830000}"/>
    <cellStyle name="Normal 2 3 6 26 2 2 3" xfId="14113" xr:uid="{00000000-0005-0000-0000-0000BC830000}"/>
    <cellStyle name="Normal 2 3 6 26 2 2 3 2" xfId="45538" xr:uid="{00000000-0005-0000-0000-0000BD830000}"/>
    <cellStyle name="Normal 2 3 6 26 2 2 4" xfId="14114" xr:uid="{00000000-0005-0000-0000-0000BE830000}"/>
    <cellStyle name="Normal 2 3 6 26 2 2 4 2" xfId="45539" xr:uid="{00000000-0005-0000-0000-0000BF830000}"/>
    <cellStyle name="Normal 2 3 6 26 2 2 5" xfId="14115" xr:uid="{00000000-0005-0000-0000-0000C0830000}"/>
    <cellStyle name="Normal 2 3 6 26 2 2 5 2" xfId="45540" xr:uid="{00000000-0005-0000-0000-0000C1830000}"/>
    <cellStyle name="Normal 2 3 6 26 2 2 6" xfId="45541" xr:uid="{00000000-0005-0000-0000-0000C2830000}"/>
    <cellStyle name="Normal 2 3 6 26 2 2 6 2" xfId="45542" xr:uid="{00000000-0005-0000-0000-0000C3830000}"/>
    <cellStyle name="Normal 2 3 6 26 2 2 7" xfId="45543" xr:uid="{00000000-0005-0000-0000-0000C4830000}"/>
    <cellStyle name="Normal 2 3 6 26 2 3" xfId="14116" xr:uid="{00000000-0005-0000-0000-0000C5830000}"/>
    <cellStyle name="Normal 2 3 6 26 2 3 2" xfId="14117" xr:uid="{00000000-0005-0000-0000-0000C6830000}"/>
    <cellStyle name="Normal 2 3 6 26 2 3 2 2" xfId="45544" xr:uid="{00000000-0005-0000-0000-0000C7830000}"/>
    <cellStyle name="Normal 2 3 6 26 2 3 3" xfId="14118" xr:uid="{00000000-0005-0000-0000-0000C8830000}"/>
    <cellStyle name="Normal 2 3 6 26 2 3 3 2" xfId="45545" xr:uid="{00000000-0005-0000-0000-0000C9830000}"/>
    <cellStyle name="Normal 2 3 6 26 2 3 4" xfId="45546" xr:uid="{00000000-0005-0000-0000-0000CA830000}"/>
    <cellStyle name="Normal 2 3 6 26 2 4" xfId="14119" xr:uid="{00000000-0005-0000-0000-0000CB830000}"/>
    <cellStyle name="Normal 2 3 6 26 2 4 2" xfId="14120" xr:uid="{00000000-0005-0000-0000-0000CC830000}"/>
    <cellStyle name="Normal 2 3 6 26 2 4 2 2" xfId="45547" xr:uid="{00000000-0005-0000-0000-0000CD830000}"/>
    <cellStyle name="Normal 2 3 6 26 2 4 3" xfId="45548" xr:uid="{00000000-0005-0000-0000-0000CE830000}"/>
    <cellStyle name="Normal 2 3 6 26 2 5" xfId="14121" xr:uid="{00000000-0005-0000-0000-0000CF830000}"/>
    <cellStyle name="Normal 2 3 6 26 2 5 2" xfId="45549" xr:uid="{00000000-0005-0000-0000-0000D0830000}"/>
    <cellStyle name="Normal 2 3 6 26 2 6" xfId="14122" xr:uid="{00000000-0005-0000-0000-0000D1830000}"/>
    <cellStyle name="Normal 2 3 6 26 2 6 2" xfId="45550" xr:uid="{00000000-0005-0000-0000-0000D2830000}"/>
    <cellStyle name="Normal 2 3 6 26 2 7" xfId="45551" xr:uid="{00000000-0005-0000-0000-0000D3830000}"/>
    <cellStyle name="Normal 2 3 6 26 2 7 2" xfId="45552" xr:uid="{00000000-0005-0000-0000-0000D4830000}"/>
    <cellStyle name="Normal 2 3 6 26 2 8" xfId="45553" xr:uid="{00000000-0005-0000-0000-0000D5830000}"/>
    <cellStyle name="Normal 2 3 6 26 2 9" xfId="45554" xr:uid="{00000000-0005-0000-0000-0000D6830000}"/>
    <cellStyle name="Normal 2 3 6 26 3" xfId="14123" xr:uid="{00000000-0005-0000-0000-0000D7830000}"/>
    <cellStyle name="Normal 2 3 6 26 3 2" xfId="14124" xr:uid="{00000000-0005-0000-0000-0000D8830000}"/>
    <cellStyle name="Normal 2 3 6 26 3 2 2" xfId="14125" xr:uid="{00000000-0005-0000-0000-0000D9830000}"/>
    <cellStyle name="Normal 2 3 6 26 3 2 2 2" xfId="45555" xr:uid="{00000000-0005-0000-0000-0000DA830000}"/>
    <cellStyle name="Normal 2 3 6 26 3 2 3" xfId="14126" xr:uid="{00000000-0005-0000-0000-0000DB830000}"/>
    <cellStyle name="Normal 2 3 6 26 3 2 3 2" xfId="45556" xr:uid="{00000000-0005-0000-0000-0000DC830000}"/>
    <cellStyle name="Normal 2 3 6 26 3 2 4" xfId="45557" xr:uid="{00000000-0005-0000-0000-0000DD830000}"/>
    <cellStyle name="Normal 2 3 6 26 3 3" xfId="14127" xr:uid="{00000000-0005-0000-0000-0000DE830000}"/>
    <cellStyle name="Normal 2 3 6 26 3 3 2" xfId="45558" xr:uid="{00000000-0005-0000-0000-0000DF830000}"/>
    <cellStyle name="Normal 2 3 6 26 3 4" xfId="14128" xr:uid="{00000000-0005-0000-0000-0000E0830000}"/>
    <cellStyle name="Normal 2 3 6 26 3 4 2" xfId="45559" xr:uid="{00000000-0005-0000-0000-0000E1830000}"/>
    <cellStyle name="Normal 2 3 6 26 3 5" xfId="14129" xr:uid="{00000000-0005-0000-0000-0000E2830000}"/>
    <cellStyle name="Normal 2 3 6 26 3 5 2" xfId="45560" xr:uid="{00000000-0005-0000-0000-0000E3830000}"/>
    <cellStyle name="Normal 2 3 6 26 3 6" xfId="45561" xr:uid="{00000000-0005-0000-0000-0000E4830000}"/>
    <cellStyle name="Normal 2 3 6 26 3 6 2" xfId="45562" xr:uid="{00000000-0005-0000-0000-0000E5830000}"/>
    <cellStyle name="Normal 2 3 6 26 3 7" xfId="45563" xr:uid="{00000000-0005-0000-0000-0000E6830000}"/>
    <cellStyle name="Normal 2 3 6 26 4" xfId="14130" xr:uid="{00000000-0005-0000-0000-0000E7830000}"/>
    <cellStyle name="Normal 2 3 6 26 4 2" xfId="14131" xr:uid="{00000000-0005-0000-0000-0000E8830000}"/>
    <cellStyle name="Normal 2 3 6 26 4 2 2" xfId="45564" xr:uid="{00000000-0005-0000-0000-0000E9830000}"/>
    <cellStyle name="Normal 2 3 6 26 4 3" xfId="14132" xr:uid="{00000000-0005-0000-0000-0000EA830000}"/>
    <cellStyle name="Normal 2 3 6 26 4 3 2" xfId="45565" xr:uid="{00000000-0005-0000-0000-0000EB830000}"/>
    <cellStyle name="Normal 2 3 6 26 4 4" xfId="45566" xr:uid="{00000000-0005-0000-0000-0000EC830000}"/>
    <cellStyle name="Normal 2 3 6 26 5" xfId="14133" xr:uid="{00000000-0005-0000-0000-0000ED830000}"/>
    <cellStyle name="Normal 2 3 6 26 5 2" xfId="14134" xr:uid="{00000000-0005-0000-0000-0000EE830000}"/>
    <cellStyle name="Normal 2 3 6 26 5 2 2" xfId="45567" xr:uid="{00000000-0005-0000-0000-0000EF830000}"/>
    <cellStyle name="Normal 2 3 6 26 5 3" xfId="45568" xr:uid="{00000000-0005-0000-0000-0000F0830000}"/>
    <cellStyle name="Normal 2 3 6 26 6" xfId="14135" xr:uid="{00000000-0005-0000-0000-0000F1830000}"/>
    <cellStyle name="Normal 2 3 6 26 6 2" xfId="45569" xr:uid="{00000000-0005-0000-0000-0000F2830000}"/>
    <cellStyle name="Normal 2 3 6 26 7" xfId="14136" xr:uid="{00000000-0005-0000-0000-0000F3830000}"/>
    <cellStyle name="Normal 2 3 6 26 7 2" xfId="45570" xr:uid="{00000000-0005-0000-0000-0000F4830000}"/>
    <cellStyle name="Normal 2 3 6 26 8" xfId="45571" xr:uid="{00000000-0005-0000-0000-0000F5830000}"/>
    <cellStyle name="Normal 2 3 6 26 8 2" xfId="45572" xr:uid="{00000000-0005-0000-0000-0000F6830000}"/>
    <cellStyle name="Normal 2 3 6 26 9" xfId="45573" xr:uid="{00000000-0005-0000-0000-0000F7830000}"/>
    <cellStyle name="Normal 2 3 6 27" xfId="14137" xr:uid="{00000000-0005-0000-0000-0000F8830000}"/>
    <cellStyle name="Normal 2 3 6 27 10" xfId="45574" xr:uid="{00000000-0005-0000-0000-0000F9830000}"/>
    <cellStyle name="Normal 2 3 6 27 11" xfId="45575" xr:uid="{00000000-0005-0000-0000-0000FA830000}"/>
    <cellStyle name="Normal 2 3 6 27 2" xfId="14138" xr:uid="{00000000-0005-0000-0000-0000FB830000}"/>
    <cellStyle name="Normal 2 3 6 27 2 10" xfId="45576" xr:uid="{00000000-0005-0000-0000-0000FC830000}"/>
    <cellStyle name="Normal 2 3 6 27 2 2" xfId="14139" xr:uid="{00000000-0005-0000-0000-0000FD830000}"/>
    <cellStyle name="Normal 2 3 6 27 2 2 2" xfId="14140" xr:uid="{00000000-0005-0000-0000-0000FE830000}"/>
    <cellStyle name="Normal 2 3 6 27 2 2 2 2" xfId="14141" xr:uid="{00000000-0005-0000-0000-0000FF830000}"/>
    <cellStyle name="Normal 2 3 6 27 2 2 2 2 2" xfId="45577" xr:uid="{00000000-0005-0000-0000-000000840000}"/>
    <cellStyle name="Normal 2 3 6 27 2 2 2 3" xfId="14142" xr:uid="{00000000-0005-0000-0000-000001840000}"/>
    <cellStyle name="Normal 2 3 6 27 2 2 2 3 2" xfId="45578" xr:uid="{00000000-0005-0000-0000-000002840000}"/>
    <cellStyle name="Normal 2 3 6 27 2 2 2 4" xfId="45579" xr:uid="{00000000-0005-0000-0000-000003840000}"/>
    <cellStyle name="Normal 2 3 6 27 2 2 3" xfId="14143" xr:uid="{00000000-0005-0000-0000-000004840000}"/>
    <cellStyle name="Normal 2 3 6 27 2 2 3 2" xfId="45580" xr:uid="{00000000-0005-0000-0000-000005840000}"/>
    <cellStyle name="Normal 2 3 6 27 2 2 4" xfId="14144" xr:uid="{00000000-0005-0000-0000-000006840000}"/>
    <cellStyle name="Normal 2 3 6 27 2 2 4 2" xfId="45581" xr:uid="{00000000-0005-0000-0000-000007840000}"/>
    <cellStyle name="Normal 2 3 6 27 2 2 5" xfId="14145" xr:uid="{00000000-0005-0000-0000-000008840000}"/>
    <cellStyle name="Normal 2 3 6 27 2 2 5 2" xfId="45582" xr:uid="{00000000-0005-0000-0000-000009840000}"/>
    <cellStyle name="Normal 2 3 6 27 2 2 6" xfId="45583" xr:uid="{00000000-0005-0000-0000-00000A840000}"/>
    <cellStyle name="Normal 2 3 6 27 2 2 6 2" xfId="45584" xr:uid="{00000000-0005-0000-0000-00000B840000}"/>
    <cellStyle name="Normal 2 3 6 27 2 2 7" xfId="45585" xr:uid="{00000000-0005-0000-0000-00000C840000}"/>
    <cellStyle name="Normal 2 3 6 27 2 3" xfId="14146" xr:uid="{00000000-0005-0000-0000-00000D840000}"/>
    <cellStyle name="Normal 2 3 6 27 2 3 2" xfId="14147" xr:uid="{00000000-0005-0000-0000-00000E840000}"/>
    <cellStyle name="Normal 2 3 6 27 2 3 2 2" xfId="45586" xr:uid="{00000000-0005-0000-0000-00000F840000}"/>
    <cellStyle name="Normal 2 3 6 27 2 3 3" xfId="14148" xr:uid="{00000000-0005-0000-0000-000010840000}"/>
    <cellStyle name="Normal 2 3 6 27 2 3 3 2" xfId="45587" xr:uid="{00000000-0005-0000-0000-000011840000}"/>
    <cellStyle name="Normal 2 3 6 27 2 3 4" xfId="45588" xr:uid="{00000000-0005-0000-0000-000012840000}"/>
    <cellStyle name="Normal 2 3 6 27 2 4" xfId="14149" xr:uid="{00000000-0005-0000-0000-000013840000}"/>
    <cellStyle name="Normal 2 3 6 27 2 4 2" xfId="14150" xr:uid="{00000000-0005-0000-0000-000014840000}"/>
    <cellStyle name="Normal 2 3 6 27 2 4 2 2" xfId="45589" xr:uid="{00000000-0005-0000-0000-000015840000}"/>
    <cellStyle name="Normal 2 3 6 27 2 4 3" xfId="45590" xr:uid="{00000000-0005-0000-0000-000016840000}"/>
    <cellStyle name="Normal 2 3 6 27 2 5" xfId="14151" xr:uid="{00000000-0005-0000-0000-000017840000}"/>
    <cellStyle name="Normal 2 3 6 27 2 5 2" xfId="45591" xr:uid="{00000000-0005-0000-0000-000018840000}"/>
    <cellStyle name="Normal 2 3 6 27 2 6" xfId="14152" xr:uid="{00000000-0005-0000-0000-000019840000}"/>
    <cellStyle name="Normal 2 3 6 27 2 6 2" xfId="45592" xr:uid="{00000000-0005-0000-0000-00001A840000}"/>
    <cellStyle name="Normal 2 3 6 27 2 7" xfId="45593" xr:uid="{00000000-0005-0000-0000-00001B840000}"/>
    <cellStyle name="Normal 2 3 6 27 2 7 2" xfId="45594" xr:uid="{00000000-0005-0000-0000-00001C840000}"/>
    <cellStyle name="Normal 2 3 6 27 2 8" xfId="45595" xr:uid="{00000000-0005-0000-0000-00001D840000}"/>
    <cellStyle name="Normal 2 3 6 27 2 9" xfId="45596" xr:uid="{00000000-0005-0000-0000-00001E840000}"/>
    <cellStyle name="Normal 2 3 6 27 3" xfId="14153" xr:uid="{00000000-0005-0000-0000-00001F840000}"/>
    <cellStyle name="Normal 2 3 6 27 3 2" xfId="14154" xr:uid="{00000000-0005-0000-0000-000020840000}"/>
    <cellStyle name="Normal 2 3 6 27 3 2 2" xfId="14155" xr:uid="{00000000-0005-0000-0000-000021840000}"/>
    <cellStyle name="Normal 2 3 6 27 3 2 2 2" xfId="45597" xr:uid="{00000000-0005-0000-0000-000022840000}"/>
    <cellStyle name="Normal 2 3 6 27 3 2 3" xfId="14156" xr:uid="{00000000-0005-0000-0000-000023840000}"/>
    <cellStyle name="Normal 2 3 6 27 3 2 3 2" xfId="45598" xr:uid="{00000000-0005-0000-0000-000024840000}"/>
    <cellStyle name="Normal 2 3 6 27 3 2 4" xfId="45599" xr:uid="{00000000-0005-0000-0000-000025840000}"/>
    <cellStyle name="Normal 2 3 6 27 3 3" xfId="14157" xr:uid="{00000000-0005-0000-0000-000026840000}"/>
    <cellStyle name="Normal 2 3 6 27 3 3 2" xfId="45600" xr:uid="{00000000-0005-0000-0000-000027840000}"/>
    <cellStyle name="Normal 2 3 6 27 3 4" xfId="14158" xr:uid="{00000000-0005-0000-0000-000028840000}"/>
    <cellStyle name="Normal 2 3 6 27 3 4 2" xfId="45601" xr:uid="{00000000-0005-0000-0000-000029840000}"/>
    <cellStyle name="Normal 2 3 6 27 3 5" xfId="14159" xr:uid="{00000000-0005-0000-0000-00002A840000}"/>
    <cellStyle name="Normal 2 3 6 27 3 5 2" xfId="45602" xr:uid="{00000000-0005-0000-0000-00002B840000}"/>
    <cellStyle name="Normal 2 3 6 27 3 6" xfId="45603" xr:uid="{00000000-0005-0000-0000-00002C840000}"/>
    <cellStyle name="Normal 2 3 6 27 3 6 2" xfId="45604" xr:uid="{00000000-0005-0000-0000-00002D840000}"/>
    <cellStyle name="Normal 2 3 6 27 3 7" xfId="45605" xr:uid="{00000000-0005-0000-0000-00002E840000}"/>
    <cellStyle name="Normal 2 3 6 27 4" xfId="14160" xr:uid="{00000000-0005-0000-0000-00002F840000}"/>
    <cellStyle name="Normal 2 3 6 27 4 2" xfId="14161" xr:uid="{00000000-0005-0000-0000-000030840000}"/>
    <cellStyle name="Normal 2 3 6 27 4 2 2" xfId="45606" xr:uid="{00000000-0005-0000-0000-000031840000}"/>
    <cellStyle name="Normal 2 3 6 27 4 3" xfId="14162" xr:uid="{00000000-0005-0000-0000-000032840000}"/>
    <cellStyle name="Normal 2 3 6 27 4 3 2" xfId="45607" xr:uid="{00000000-0005-0000-0000-000033840000}"/>
    <cellStyle name="Normal 2 3 6 27 4 4" xfId="45608" xr:uid="{00000000-0005-0000-0000-000034840000}"/>
    <cellStyle name="Normal 2 3 6 27 5" xfId="14163" xr:uid="{00000000-0005-0000-0000-000035840000}"/>
    <cellStyle name="Normal 2 3 6 27 5 2" xfId="14164" xr:uid="{00000000-0005-0000-0000-000036840000}"/>
    <cellStyle name="Normal 2 3 6 27 5 2 2" xfId="45609" xr:uid="{00000000-0005-0000-0000-000037840000}"/>
    <cellStyle name="Normal 2 3 6 27 5 3" xfId="45610" xr:uid="{00000000-0005-0000-0000-000038840000}"/>
    <cellStyle name="Normal 2 3 6 27 6" xfId="14165" xr:uid="{00000000-0005-0000-0000-000039840000}"/>
    <cellStyle name="Normal 2 3 6 27 6 2" xfId="45611" xr:uid="{00000000-0005-0000-0000-00003A840000}"/>
    <cellStyle name="Normal 2 3 6 27 7" xfId="14166" xr:uid="{00000000-0005-0000-0000-00003B840000}"/>
    <cellStyle name="Normal 2 3 6 27 7 2" xfId="45612" xr:uid="{00000000-0005-0000-0000-00003C840000}"/>
    <cellStyle name="Normal 2 3 6 27 8" xfId="45613" xr:uid="{00000000-0005-0000-0000-00003D840000}"/>
    <cellStyle name="Normal 2 3 6 27 8 2" xfId="45614" xr:uid="{00000000-0005-0000-0000-00003E840000}"/>
    <cellStyle name="Normal 2 3 6 27 9" xfId="45615" xr:uid="{00000000-0005-0000-0000-00003F840000}"/>
    <cellStyle name="Normal 2 3 6 28" xfId="14167" xr:uid="{00000000-0005-0000-0000-000040840000}"/>
    <cellStyle name="Normal 2 3 6 28 10" xfId="45616" xr:uid="{00000000-0005-0000-0000-000041840000}"/>
    <cellStyle name="Normal 2 3 6 28 11" xfId="45617" xr:uid="{00000000-0005-0000-0000-000042840000}"/>
    <cellStyle name="Normal 2 3 6 28 2" xfId="14168" xr:uid="{00000000-0005-0000-0000-000043840000}"/>
    <cellStyle name="Normal 2 3 6 28 2 10" xfId="45618" xr:uid="{00000000-0005-0000-0000-000044840000}"/>
    <cellStyle name="Normal 2 3 6 28 2 2" xfId="14169" xr:uid="{00000000-0005-0000-0000-000045840000}"/>
    <cellStyle name="Normal 2 3 6 28 2 2 2" xfId="14170" xr:uid="{00000000-0005-0000-0000-000046840000}"/>
    <cellStyle name="Normal 2 3 6 28 2 2 2 2" xfId="14171" xr:uid="{00000000-0005-0000-0000-000047840000}"/>
    <cellStyle name="Normal 2 3 6 28 2 2 2 2 2" xfId="45619" xr:uid="{00000000-0005-0000-0000-000048840000}"/>
    <cellStyle name="Normal 2 3 6 28 2 2 2 3" xfId="14172" xr:uid="{00000000-0005-0000-0000-000049840000}"/>
    <cellStyle name="Normal 2 3 6 28 2 2 2 3 2" xfId="45620" xr:uid="{00000000-0005-0000-0000-00004A840000}"/>
    <cellStyle name="Normal 2 3 6 28 2 2 2 4" xfId="45621" xr:uid="{00000000-0005-0000-0000-00004B840000}"/>
    <cellStyle name="Normal 2 3 6 28 2 2 3" xfId="14173" xr:uid="{00000000-0005-0000-0000-00004C840000}"/>
    <cellStyle name="Normal 2 3 6 28 2 2 3 2" xfId="45622" xr:uid="{00000000-0005-0000-0000-00004D840000}"/>
    <cellStyle name="Normal 2 3 6 28 2 2 4" xfId="14174" xr:uid="{00000000-0005-0000-0000-00004E840000}"/>
    <cellStyle name="Normal 2 3 6 28 2 2 4 2" xfId="45623" xr:uid="{00000000-0005-0000-0000-00004F840000}"/>
    <cellStyle name="Normal 2 3 6 28 2 2 5" xfId="14175" xr:uid="{00000000-0005-0000-0000-000050840000}"/>
    <cellStyle name="Normal 2 3 6 28 2 2 5 2" xfId="45624" xr:uid="{00000000-0005-0000-0000-000051840000}"/>
    <cellStyle name="Normal 2 3 6 28 2 2 6" xfId="45625" xr:uid="{00000000-0005-0000-0000-000052840000}"/>
    <cellStyle name="Normal 2 3 6 28 2 2 6 2" xfId="45626" xr:uid="{00000000-0005-0000-0000-000053840000}"/>
    <cellStyle name="Normal 2 3 6 28 2 2 7" xfId="45627" xr:uid="{00000000-0005-0000-0000-000054840000}"/>
    <cellStyle name="Normal 2 3 6 28 2 3" xfId="14176" xr:uid="{00000000-0005-0000-0000-000055840000}"/>
    <cellStyle name="Normal 2 3 6 28 2 3 2" xfId="14177" xr:uid="{00000000-0005-0000-0000-000056840000}"/>
    <cellStyle name="Normal 2 3 6 28 2 3 2 2" xfId="45628" xr:uid="{00000000-0005-0000-0000-000057840000}"/>
    <cellStyle name="Normal 2 3 6 28 2 3 3" xfId="14178" xr:uid="{00000000-0005-0000-0000-000058840000}"/>
    <cellStyle name="Normal 2 3 6 28 2 3 3 2" xfId="45629" xr:uid="{00000000-0005-0000-0000-000059840000}"/>
    <cellStyle name="Normal 2 3 6 28 2 3 4" xfId="45630" xr:uid="{00000000-0005-0000-0000-00005A840000}"/>
    <cellStyle name="Normal 2 3 6 28 2 4" xfId="14179" xr:uid="{00000000-0005-0000-0000-00005B840000}"/>
    <cellStyle name="Normal 2 3 6 28 2 4 2" xfId="14180" xr:uid="{00000000-0005-0000-0000-00005C840000}"/>
    <cellStyle name="Normal 2 3 6 28 2 4 2 2" xfId="45631" xr:uid="{00000000-0005-0000-0000-00005D840000}"/>
    <cellStyle name="Normal 2 3 6 28 2 4 3" xfId="45632" xr:uid="{00000000-0005-0000-0000-00005E840000}"/>
    <cellStyle name="Normal 2 3 6 28 2 5" xfId="14181" xr:uid="{00000000-0005-0000-0000-00005F840000}"/>
    <cellStyle name="Normal 2 3 6 28 2 5 2" xfId="45633" xr:uid="{00000000-0005-0000-0000-000060840000}"/>
    <cellStyle name="Normal 2 3 6 28 2 6" xfId="14182" xr:uid="{00000000-0005-0000-0000-000061840000}"/>
    <cellStyle name="Normal 2 3 6 28 2 6 2" xfId="45634" xr:uid="{00000000-0005-0000-0000-000062840000}"/>
    <cellStyle name="Normal 2 3 6 28 2 7" xfId="45635" xr:uid="{00000000-0005-0000-0000-000063840000}"/>
    <cellStyle name="Normal 2 3 6 28 2 7 2" xfId="45636" xr:uid="{00000000-0005-0000-0000-000064840000}"/>
    <cellStyle name="Normal 2 3 6 28 2 8" xfId="45637" xr:uid="{00000000-0005-0000-0000-000065840000}"/>
    <cellStyle name="Normal 2 3 6 28 2 9" xfId="45638" xr:uid="{00000000-0005-0000-0000-000066840000}"/>
    <cellStyle name="Normal 2 3 6 28 3" xfId="14183" xr:uid="{00000000-0005-0000-0000-000067840000}"/>
    <cellStyle name="Normal 2 3 6 28 3 2" xfId="14184" xr:uid="{00000000-0005-0000-0000-000068840000}"/>
    <cellStyle name="Normal 2 3 6 28 3 2 2" xfId="14185" xr:uid="{00000000-0005-0000-0000-000069840000}"/>
    <cellStyle name="Normal 2 3 6 28 3 2 2 2" xfId="45639" xr:uid="{00000000-0005-0000-0000-00006A840000}"/>
    <cellStyle name="Normal 2 3 6 28 3 2 3" xfId="14186" xr:uid="{00000000-0005-0000-0000-00006B840000}"/>
    <cellStyle name="Normal 2 3 6 28 3 2 3 2" xfId="45640" xr:uid="{00000000-0005-0000-0000-00006C840000}"/>
    <cellStyle name="Normal 2 3 6 28 3 2 4" xfId="45641" xr:uid="{00000000-0005-0000-0000-00006D840000}"/>
    <cellStyle name="Normal 2 3 6 28 3 3" xfId="14187" xr:uid="{00000000-0005-0000-0000-00006E840000}"/>
    <cellStyle name="Normal 2 3 6 28 3 3 2" xfId="45642" xr:uid="{00000000-0005-0000-0000-00006F840000}"/>
    <cellStyle name="Normal 2 3 6 28 3 4" xfId="14188" xr:uid="{00000000-0005-0000-0000-000070840000}"/>
    <cellStyle name="Normal 2 3 6 28 3 4 2" xfId="45643" xr:uid="{00000000-0005-0000-0000-000071840000}"/>
    <cellStyle name="Normal 2 3 6 28 3 5" xfId="14189" xr:uid="{00000000-0005-0000-0000-000072840000}"/>
    <cellStyle name="Normal 2 3 6 28 3 5 2" xfId="45644" xr:uid="{00000000-0005-0000-0000-000073840000}"/>
    <cellStyle name="Normal 2 3 6 28 3 6" xfId="45645" xr:uid="{00000000-0005-0000-0000-000074840000}"/>
    <cellStyle name="Normal 2 3 6 28 3 6 2" xfId="45646" xr:uid="{00000000-0005-0000-0000-000075840000}"/>
    <cellStyle name="Normal 2 3 6 28 3 7" xfId="45647" xr:uid="{00000000-0005-0000-0000-000076840000}"/>
    <cellStyle name="Normal 2 3 6 28 4" xfId="14190" xr:uid="{00000000-0005-0000-0000-000077840000}"/>
    <cellStyle name="Normal 2 3 6 28 4 2" xfId="14191" xr:uid="{00000000-0005-0000-0000-000078840000}"/>
    <cellStyle name="Normal 2 3 6 28 4 2 2" xfId="45648" xr:uid="{00000000-0005-0000-0000-000079840000}"/>
    <cellStyle name="Normal 2 3 6 28 4 3" xfId="14192" xr:uid="{00000000-0005-0000-0000-00007A840000}"/>
    <cellStyle name="Normal 2 3 6 28 4 3 2" xfId="45649" xr:uid="{00000000-0005-0000-0000-00007B840000}"/>
    <cellStyle name="Normal 2 3 6 28 4 4" xfId="45650" xr:uid="{00000000-0005-0000-0000-00007C840000}"/>
    <cellStyle name="Normal 2 3 6 28 5" xfId="14193" xr:uid="{00000000-0005-0000-0000-00007D840000}"/>
    <cellStyle name="Normal 2 3 6 28 5 2" xfId="14194" xr:uid="{00000000-0005-0000-0000-00007E840000}"/>
    <cellStyle name="Normal 2 3 6 28 5 2 2" xfId="45651" xr:uid="{00000000-0005-0000-0000-00007F840000}"/>
    <cellStyle name="Normal 2 3 6 28 5 3" xfId="45652" xr:uid="{00000000-0005-0000-0000-000080840000}"/>
    <cellStyle name="Normal 2 3 6 28 6" xfId="14195" xr:uid="{00000000-0005-0000-0000-000081840000}"/>
    <cellStyle name="Normal 2 3 6 28 6 2" xfId="45653" xr:uid="{00000000-0005-0000-0000-000082840000}"/>
    <cellStyle name="Normal 2 3 6 28 7" xfId="14196" xr:uid="{00000000-0005-0000-0000-000083840000}"/>
    <cellStyle name="Normal 2 3 6 28 7 2" xfId="45654" xr:uid="{00000000-0005-0000-0000-000084840000}"/>
    <cellStyle name="Normal 2 3 6 28 8" xfId="45655" xr:uid="{00000000-0005-0000-0000-000085840000}"/>
    <cellStyle name="Normal 2 3 6 28 8 2" xfId="45656" xr:uid="{00000000-0005-0000-0000-000086840000}"/>
    <cellStyle name="Normal 2 3 6 28 9" xfId="45657" xr:uid="{00000000-0005-0000-0000-000087840000}"/>
    <cellStyle name="Normal 2 3 6 29" xfId="14197" xr:uid="{00000000-0005-0000-0000-000088840000}"/>
    <cellStyle name="Normal 2 3 6 29 10" xfId="45658" xr:uid="{00000000-0005-0000-0000-000089840000}"/>
    <cellStyle name="Normal 2 3 6 29 11" xfId="45659" xr:uid="{00000000-0005-0000-0000-00008A840000}"/>
    <cellStyle name="Normal 2 3 6 29 2" xfId="14198" xr:uid="{00000000-0005-0000-0000-00008B840000}"/>
    <cellStyle name="Normal 2 3 6 29 2 10" xfId="45660" xr:uid="{00000000-0005-0000-0000-00008C840000}"/>
    <cellStyle name="Normal 2 3 6 29 2 2" xfId="14199" xr:uid="{00000000-0005-0000-0000-00008D840000}"/>
    <cellStyle name="Normal 2 3 6 29 2 2 2" xfId="14200" xr:uid="{00000000-0005-0000-0000-00008E840000}"/>
    <cellStyle name="Normal 2 3 6 29 2 2 2 2" xfId="14201" xr:uid="{00000000-0005-0000-0000-00008F840000}"/>
    <cellStyle name="Normal 2 3 6 29 2 2 2 2 2" xfId="45661" xr:uid="{00000000-0005-0000-0000-000090840000}"/>
    <cellStyle name="Normal 2 3 6 29 2 2 2 3" xfId="14202" xr:uid="{00000000-0005-0000-0000-000091840000}"/>
    <cellStyle name="Normal 2 3 6 29 2 2 2 3 2" xfId="45662" xr:uid="{00000000-0005-0000-0000-000092840000}"/>
    <cellStyle name="Normal 2 3 6 29 2 2 2 4" xfId="45663" xr:uid="{00000000-0005-0000-0000-000093840000}"/>
    <cellStyle name="Normal 2 3 6 29 2 2 3" xfId="14203" xr:uid="{00000000-0005-0000-0000-000094840000}"/>
    <cellStyle name="Normal 2 3 6 29 2 2 3 2" xfId="45664" xr:uid="{00000000-0005-0000-0000-000095840000}"/>
    <cellStyle name="Normal 2 3 6 29 2 2 4" xfId="14204" xr:uid="{00000000-0005-0000-0000-000096840000}"/>
    <cellStyle name="Normal 2 3 6 29 2 2 4 2" xfId="45665" xr:uid="{00000000-0005-0000-0000-000097840000}"/>
    <cellStyle name="Normal 2 3 6 29 2 2 5" xfId="14205" xr:uid="{00000000-0005-0000-0000-000098840000}"/>
    <cellStyle name="Normal 2 3 6 29 2 2 5 2" xfId="45666" xr:uid="{00000000-0005-0000-0000-000099840000}"/>
    <cellStyle name="Normal 2 3 6 29 2 2 6" xfId="45667" xr:uid="{00000000-0005-0000-0000-00009A840000}"/>
    <cellStyle name="Normal 2 3 6 29 2 2 6 2" xfId="45668" xr:uid="{00000000-0005-0000-0000-00009B840000}"/>
    <cellStyle name="Normal 2 3 6 29 2 2 7" xfId="45669" xr:uid="{00000000-0005-0000-0000-00009C840000}"/>
    <cellStyle name="Normal 2 3 6 29 2 3" xfId="14206" xr:uid="{00000000-0005-0000-0000-00009D840000}"/>
    <cellStyle name="Normal 2 3 6 29 2 3 2" xfId="14207" xr:uid="{00000000-0005-0000-0000-00009E840000}"/>
    <cellStyle name="Normal 2 3 6 29 2 3 2 2" xfId="45670" xr:uid="{00000000-0005-0000-0000-00009F840000}"/>
    <cellStyle name="Normal 2 3 6 29 2 3 3" xfId="14208" xr:uid="{00000000-0005-0000-0000-0000A0840000}"/>
    <cellStyle name="Normal 2 3 6 29 2 3 3 2" xfId="45671" xr:uid="{00000000-0005-0000-0000-0000A1840000}"/>
    <cellStyle name="Normal 2 3 6 29 2 3 4" xfId="45672" xr:uid="{00000000-0005-0000-0000-0000A2840000}"/>
    <cellStyle name="Normal 2 3 6 29 2 4" xfId="14209" xr:uid="{00000000-0005-0000-0000-0000A3840000}"/>
    <cellStyle name="Normal 2 3 6 29 2 4 2" xfId="14210" xr:uid="{00000000-0005-0000-0000-0000A4840000}"/>
    <cellStyle name="Normal 2 3 6 29 2 4 2 2" xfId="45673" xr:uid="{00000000-0005-0000-0000-0000A5840000}"/>
    <cellStyle name="Normal 2 3 6 29 2 4 3" xfId="45674" xr:uid="{00000000-0005-0000-0000-0000A6840000}"/>
    <cellStyle name="Normal 2 3 6 29 2 5" xfId="14211" xr:uid="{00000000-0005-0000-0000-0000A7840000}"/>
    <cellStyle name="Normal 2 3 6 29 2 5 2" xfId="45675" xr:uid="{00000000-0005-0000-0000-0000A8840000}"/>
    <cellStyle name="Normal 2 3 6 29 2 6" xfId="14212" xr:uid="{00000000-0005-0000-0000-0000A9840000}"/>
    <cellStyle name="Normal 2 3 6 29 2 6 2" xfId="45676" xr:uid="{00000000-0005-0000-0000-0000AA840000}"/>
    <cellStyle name="Normal 2 3 6 29 2 7" xfId="45677" xr:uid="{00000000-0005-0000-0000-0000AB840000}"/>
    <cellStyle name="Normal 2 3 6 29 2 7 2" xfId="45678" xr:uid="{00000000-0005-0000-0000-0000AC840000}"/>
    <cellStyle name="Normal 2 3 6 29 2 8" xfId="45679" xr:uid="{00000000-0005-0000-0000-0000AD840000}"/>
    <cellStyle name="Normal 2 3 6 29 2 9" xfId="45680" xr:uid="{00000000-0005-0000-0000-0000AE840000}"/>
    <cellStyle name="Normal 2 3 6 29 3" xfId="14213" xr:uid="{00000000-0005-0000-0000-0000AF840000}"/>
    <cellStyle name="Normal 2 3 6 29 3 2" xfId="14214" xr:uid="{00000000-0005-0000-0000-0000B0840000}"/>
    <cellStyle name="Normal 2 3 6 29 3 2 2" xfId="14215" xr:uid="{00000000-0005-0000-0000-0000B1840000}"/>
    <cellStyle name="Normal 2 3 6 29 3 2 2 2" xfId="45681" xr:uid="{00000000-0005-0000-0000-0000B2840000}"/>
    <cellStyle name="Normal 2 3 6 29 3 2 3" xfId="14216" xr:uid="{00000000-0005-0000-0000-0000B3840000}"/>
    <cellStyle name="Normal 2 3 6 29 3 2 3 2" xfId="45682" xr:uid="{00000000-0005-0000-0000-0000B4840000}"/>
    <cellStyle name="Normal 2 3 6 29 3 2 4" xfId="45683" xr:uid="{00000000-0005-0000-0000-0000B5840000}"/>
    <cellStyle name="Normal 2 3 6 29 3 3" xfId="14217" xr:uid="{00000000-0005-0000-0000-0000B6840000}"/>
    <cellStyle name="Normal 2 3 6 29 3 3 2" xfId="45684" xr:uid="{00000000-0005-0000-0000-0000B7840000}"/>
    <cellStyle name="Normal 2 3 6 29 3 4" xfId="14218" xr:uid="{00000000-0005-0000-0000-0000B8840000}"/>
    <cellStyle name="Normal 2 3 6 29 3 4 2" xfId="45685" xr:uid="{00000000-0005-0000-0000-0000B9840000}"/>
    <cellStyle name="Normal 2 3 6 29 3 5" xfId="14219" xr:uid="{00000000-0005-0000-0000-0000BA840000}"/>
    <cellStyle name="Normal 2 3 6 29 3 5 2" xfId="45686" xr:uid="{00000000-0005-0000-0000-0000BB840000}"/>
    <cellStyle name="Normal 2 3 6 29 3 6" xfId="45687" xr:uid="{00000000-0005-0000-0000-0000BC840000}"/>
    <cellStyle name="Normal 2 3 6 29 3 6 2" xfId="45688" xr:uid="{00000000-0005-0000-0000-0000BD840000}"/>
    <cellStyle name="Normal 2 3 6 29 3 7" xfId="45689" xr:uid="{00000000-0005-0000-0000-0000BE840000}"/>
    <cellStyle name="Normal 2 3 6 29 4" xfId="14220" xr:uid="{00000000-0005-0000-0000-0000BF840000}"/>
    <cellStyle name="Normal 2 3 6 29 4 2" xfId="14221" xr:uid="{00000000-0005-0000-0000-0000C0840000}"/>
    <cellStyle name="Normal 2 3 6 29 4 2 2" xfId="45690" xr:uid="{00000000-0005-0000-0000-0000C1840000}"/>
    <cellStyle name="Normal 2 3 6 29 4 3" xfId="14222" xr:uid="{00000000-0005-0000-0000-0000C2840000}"/>
    <cellStyle name="Normal 2 3 6 29 4 3 2" xfId="45691" xr:uid="{00000000-0005-0000-0000-0000C3840000}"/>
    <cellStyle name="Normal 2 3 6 29 4 4" xfId="45692" xr:uid="{00000000-0005-0000-0000-0000C4840000}"/>
    <cellStyle name="Normal 2 3 6 29 5" xfId="14223" xr:uid="{00000000-0005-0000-0000-0000C5840000}"/>
    <cellStyle name="Normal 2 3 6 29 5 2" xfId="14224" xr:uid="{00000000-0005-0000-0000-0000C6840000}"/>
    <cellStyle name="Normal 2 3 6 29 5 2 2" xfId="45693" xr:uid="{00000000-0005-0000-0000-0000C7840000}"/>
    <cellStyle name="Normal 2 3 6 29 5 3" xfId="45694" xr:uid="{00000000-0005-0000-0000-0000C8840000}"/>
    <cellStyle name="Normal 2 3 6 29 6" xfId="14225" xr:uid="{00000000-0005-0000-0000-0000C9840000}"/>
    <cellStyle name="Normal 2 3 6 29 6 2" xfId="45695" xr:uid="{00000000-0005-0000-0000-0000CA840000}"/>
    <cellStyle name="Normal 2 3 6 29 7" xfId="14226" xr:uid="{00000000-0005-0000-0000-0000CB840000}"/>
    <cellStyle name="Normal 2 3 6 29 7 2" xfId="45696" xr:uid="{00000000-0005-0000-0000-0000CC840000}"/>
    <cellStyle name="Normal 2 3 6 29 8" xfId="45697" xr:uid="{00000000-0005-0000-0000-0000CD840000}"/>
    <cellStyle name="Normal 2 3 6 29 8 2" xfId="45698" xr:uid="{00000000-0005-0000-0000-0000CE840000}"/>
    <cellStyle name="Normal 2 3 6 29 9" xfId="45699" xr:uid="{00000000-0005-0000-0000-0000CF840000}"/>
    <cellStyle name="Normal 2 3 6 3" xfId="14227" xr:uid="{00000000-0005-0000-0000-0000D0840000}"/>
    <cellStyle name="Normal 2 3 6 3 10" xfId="45700" xr:uid="{00000000-0005-0000-0000-0000D1840000}"/>
    <cellStyle name="Normal 2 3 6 3 11" xfId="45701" xr:uid="{00000000-0005-0000-0000-0000D2840000}"/>
    <cellStyle name="Normal 2 3 6 3 2" xfId="14228" xr:uid="{00000000-0005-0000-0000-0000D3840000}"/>
    <cellStyle name="Normal 2 3 6 3 2 10" xfId="45702" xr:uid="{00000000-0005-0000-0000-0000D4840000}"/>
    <cellStyle name="Normal 2 3 6 3 2 2" xfId="14229" xr:uid="{00000000-0005-0000-0000-0000D5840000}"/>
    <cellStyle name="Normal 2 3 6 3 2 2 2" xfId="14230" xr:uid="{00000000-0005-0000-0000-0000D6840000}"/>
    <cellStyle name="Normal 2 3 6 3 2 2 2 2" xfId="14231" xr:uid="{00000000-0005-0000-0000-0000D7840000}"/>
    <cellStyle name="Normal 2 3 6 3 2 2 2 2 2" xfId="45703" xr:uid="{00000000-0005-0000-0000-0000D8840000}"/>
    <cellStyle name="Normal 2 3 6 3 2 2 2 3" xfId="14232" xr:uid="{00000000-0005-0000-0000-0000D9840000}"/>
    <cellStyle name="Normal 2 3 6 3 2 2 2 3 2" xfId="45704" xr:uid="{00000000-0005-0000-0000-0000DA840000}"/>
    <cellStyle name="Normal 2 3 6 3 2 2 2 4" xfId="45705" xr:uid="{00000000-0005-0000-0000-0000DB840000}"/>
    <cellStyle name="Normal 2 3 6 3 2 2 3" xfId="14233" xr:uid="{00000000-0005-0000-0000-0000DC840000}"/>
    <cellStyle name="Normal 2 3 6 3 2 2 3 2" xfId="45706" xr:uid="{00000000-0005-0000-0000-0000DD840000}"/>
    <cellStyle name="Normal 2 3 6 3 2 2 4" xfId="14234" xr:uid="{00000000-0005-0000-0000-0000DE840000}"/>
    <cellStyle name="Normal 2 3 6 3 2 2 4 2" xfId="45707" xr:uid="{00000000-0005-0000-0000-0000DF840000}"/>
    <cellStyle name="Normal 2 3 6 3 2 2 5" xfId="14235" xr:uid="{00000000-0005-0000-0000-0000E0840000}"/>
    <cellStyle name="Normal 2 3 6 3 2 2 5 2" xfId="45708" xr:uid="{00000000-0005-0000-0000-0000E1840000}"/>
    <cellStyle name="Normal 2 3 6 3 2 2 6" xfId="45709" xr:uid="{00000000-0005-0000-0000-0000E2840000}"/>
    <cellStyle name="Normal 2 3 6 3 2 2 6 2" xfId="45710" xr:uid="{00000000-0005-0000-0000-0000E3840000}"/>
    <cellStyle name="Normal 2 3 6 3 2 2 7" xfId="45711" xr:uid="{00000000-0005-0000-0000-0000E4840000}"/>
    <cellStyle name="Normal 2 3 6 3 2 3" xfId="14236" xr:uid="{00000000-0005-0000-0000-0000E5840000}"/>
    <cellStyle name="Normal 2 3 6 3 2 3 2" xfId="14237" xr:uid="{00000000-0005-0000-0000-0000E6840000}"/>
    <cellStyle name="Normal 2 3 6 3 2 3 2 2" xfId="45712" xr:uid="{00000000-0005-0000-0000-0000E7840000}"/>
    <cellStyle name="Normal 2 3 6 3 2 3 3" xfId="14238" xr:uid="{00000000-0005-0000-0000-0000E8840000}"/>
    <cellStyle name="Normal 2 3 6 3 2 3 3 2" xfId="45713" xr:uid="{00000000-0005-0000-0000-0000E9840000}"/>
    <cellStyle name="Normal 2 3 6 3 2 3 4" xfId="45714" xr:uid="{00000000-0005-0000-0000-0000EA840000}"/>
    <cellStyle name="Normal 2 3 6 3 2 4" xfId="14239" xr:uid="{00000000-0005-0000-0000-0000EB840000}"/>
    <cellStyle name="Normal 2 3 6 3 2 4 2" xfId="14240" xr:uid="{00000000-0005-0000-0000-0000EC840000}"/>
    <cellStyle name="Normal 2 3 6 3 2 4 2 2" xfId="45715" xr:uid="{00000000-0005-0000-0000-0000ED840000}"/>
    <cellStyle name="Normal 2 3 6 3 2 4 3" xfId="45716" xr:uid="{00000000-0005-0000-0000-0000EE840000}"/>
    <cellStyle name="Normal 2 3 6 3 2 5" xfId="14241" xr:uid="{00000000-0005-0000-0000-0000EF840000}"/>
    <cellStyle name="Normal 2 3 6 3 2 5 2" xfId="45717" xr:uid="{00000000-0005-0000-0000-0000F0840000}"/>
    <cellStyle name="Normal 2 3 6 3 2 6" xfId="14242" xr:uid="{00000000-0005-0000-0000-0000F1840000}"/>
    <cellStyle name="Normal 2 3 6 3 2 6 2" xfId="45718" xr:uid="{00000000-0005-0000-0000-0000F2840000}"/>
    <cellStyle name="Normal 2 3 6 3 2 7" xfId="45719" xr:uid="{00000000-0005-0000-0000-0000F3840000}"/>
    <cellStyle name="Normal 2 3 6 3 2 7 2" xfId="45720" xr:uid="{00000000-0005-0000-0000-0000F4840000}"/>
    <cellStyle name="Normal 2 3 6 3 2 8" xfId="45721" xr:uid="{00000000-0005-0000-0000-0000F5840000}"/>
    <cellStyle name="Normal 2 3 6 3 2 9" xfId="45722" xr:uid="{00000000-0005-0000-0000-0000F6840000}"/>
    <cellStyle name="Normal 2 3 6 3 3" xfId="14243" xr:uid="{00000000-0005-0000-0000-0000F7840000}"/>
    <cellStyle name="Normal 2 3 6 3 3 2" xfId="14244" xr:uid="{00000000-0005-0000-0000-0000F8840000}"/>
    <cellStyle name="Normal 2 3 6 3 3 2 2" xfId="14245" xr:uid="{00000000-0005-0000-0000-0000F9840000}"/>
    <cellStyle name="Normal 2 3 6 3 3 2 2 2" xfId="45723" xr:uid="{00000000-0005-0000-0000-0000FA840000}"/>
    <cellStyle name="Normal 2 3 6 3 3 2 3" xfId="14246" xr:uid="{00000000-0005-0000-0000-0000FB840000}"/>
    <cellStyle name="Normal 2 3 6 3 3 2 3 2" xfId="45724" xr:uid="{00000000-0005-0000-0000-0000FC840000}"/>
    <cellStyle name="Normal 2 3 6 3 3 2 4" xfId="45725" xr:uid="{00000000-0005-0000-0000-0000FD840000}"/>
    <cellStyle name="Normal 2 3 6 3 3 3" xfId="14247" xr:uid="{00000000-0005-0000-0000-0000FE840000}"/>
    <cellStyle name="Normal 2 3 6 3 3 3 2" xfId="45726" xr:uid="{00000000-0005-0000-0000-0000FF840000}"/>
    <cellStyle name="Normal 2 3 6 3 3 4" xfId="14248" xr:uid="{00000000-0005-0000-0000-000000850000}"/>
    <cellStyle name="Normal 2 3 6 3 3 4 2" xfId="45727" xr:uid="{00000000-0005-0000-0000-000001850000}"/>
    <cellStyle name="Normal 2 3 6 3 3 5" xfId="14249" xr:uid="{00000000-0005-0000-0000-000002850000}"/>
    <cellStyle name="Normal 2 3 6 3 3 5 2" xfId="45728" xr:uid="{00000000-0005-0000-0000-000003850000}"/>
    <cellStyle name="Normal 2 3 6 3 3 6" xfId="45729" xr:uid="{00000000-0005-0000-0000-000004850000}"/>
    <cellStyle name="Normal 2 3 6 3 3 6 2" xfId="45730" xr:uid="{00000000-0005-0000-0000-000005850000}"/>
    <cellStyle name="Normal 2 3 6 3 3 7" xfId="45731" xr:uid="{00000000-0005-0000-0000-000006850000}"/>
    <cellStyle name="Normal 2 3 6 3 4" xfId="14250" xr:uid="{00000000-0005-0000-0000-000007850000}"/>
    <cellStyle name="Normal 2 3 6 3 4 2" xfId="14251" xr:uid="{00000000-0005-0000-0000-000008850000}"/>
    <cellStyle name="Normal 2 3 6 3 4 2 2" xfId="45732" xr:uid="{00000000-0005-0000-0000-000009850000}"/>
    <cellStyle name="Normal 2 3 6 3 4 3" xfId="14252" xr:uid="{00000000-0005-0000-0000-00000A850000}"/>
    <cellStyle name="Normal 2 3 6 3 4 3 2" xfId="45733" xr:uid="{00000000-0005-0000-0000-00000B850000}"/>
    <cellStyle name="Normal 2 3 6 3 4 4" xfId="45734" xr:uid="{00000000-0005-0000-0000-00000C850000}"/>
    <cellStyle name="Normal 2 3 6 3 5" xfId="14253" xr:uid="{00000000-0005-0000-0000-00000D850000}"/>
    <cellStyle name="Normal 2 3 6 3 5 2" xfId="14254" xr:uid="{00000000-0005-0000-0000-00000E850000}"/>
    <cellStyle name="Normal 2 3 6 3 5 2 2" xfId="45735" xr:uid="{00000000-0005-0000-0000-00000F850000}"/>
    <cellStyle name="Normal 2 3 6 3 5 3" xfId="45736" xr:uid="{00000000-0005-0000-0000-000010850000}"/>
    <cellStyle name="Normal 2 3 6 3 6" xfId="14255" xr:uid="{00000000-0005-0000-0000-000011850000}"/>
    <cellStyle name="Normal 2 3 6 3 6 2" xfId="45737" xr:uid="{00000000-0005-0000-0000-000012850000}"/>
    <cellStyle name="Normal 2 3 6 3 7" xfId="14256" xr:uid="{00000000-0005-0000-0000-000013850000}"/>
    <cellStyle name="Normal 2 3 6 3 7 2" xfId="45738" xr:uid="{00000000-0005-0000-0000-000014850000}"/>
    <cellStyle name="Normal 2 3 6 3 8" xfId="45739" xr:uid="{00000000-0005-0000-0000-000015850000}"/>
    <cellStyle name="Normal 2 3 6 3 8 2" xfId="45740" xr:uid="{00000000-0005-0000-0000-000016850000}"/>
    <cellStyle name="Normal 2 3 6 3 9" xfId="45741" xr:uid="{00000000-0005-0000-0000-000017850000}"/>
    <cellStyle name="Normal 2 3 6 30" xfId="14257" xr:uid="{00000000-0005-0000-0000-000018850000}"/>
    <cellStyle name="Normal 2 3 6 30 10" xfId="45742" xr:uid="{00000000-0005-0000-0000-000019850000}"/>
    <cellStyle name="Normal 2 3 6 30 11" xfId="45743" xr:uid="{00000000-0005-0000-0000-00001A850000}"/>
    <cellStyle name="Normal 2 3 6 30 2" xfId="14258" xr:uid="{00000000-0005-0000-0000-00001B850000}"/>
    <cellStyle name="Normal 2 3 6 30 2 10" xfId="45744" xr:uid="{00000000-0005-0000-0000-00001C850000}"/>
    <cellStyle name="Normal 2 3 6 30 2 2" xfId="14259" xr:uid="{00000000-0005-0000-0000-00001D850000}"/>
    <cellStyle name="Normal 2 3 6 30 2 2 2" xfId="14260" xr:uid="{00000000-0005-0000-0000-00001E850000}"/>
    <cellStyle name="Normal 2 3 6 30 2 2 2 2" xfId="14261" xr:uid="{00000000-0005-0000-0000-00001F850000}"/>
    <cellStyle name="Normal 2 3 6 30 2 2 2 2 2" xfId="45745" xr:uid="{00000000-0005-0000-0000-000020850000}"/>
    <cellStyle name="Normal 2 3 6 30 2 2 2 3" xfId="14262" xr:uid="{00000000-0005-0000-0000-000021850000}"/>
    <cellStyle name="Normal 2 3 6 30 2 2 2 3 2" xfId="45746" xr:uid="{00000000-0005-0000-0000-000022850000}"/>
    <cellStyle name="Normal 2 3 6 30 2 2 2 4" xfId="45747" xr:uid="{00000000-0005-0000-0000-000023850000}"/>
    <cellStyle name="Normal 2 3 6 30 2 2 3" xfId="14263" xr:uid="{00000000-0005-0000-0000-000024850000}"/>
    <cellStyle name="Normal 2 3 6 30 2 2 3 2" xfId="45748" xr:uid="{00000000-0005-0000-0000-000025850000}"/>
    <cellStyle name="Normal 2 3 6 30 2 2 4" xfId="14264" xr:uid="{00000000-0005-0000-0000-000026850000}"/>
    <cellStyle name="Normal 2 3 6 30 2 2 4 2" xfId="45749" xr:uid="{00000000-0005-0000-0000-000027850000}"/>
    <cellStyle name="Normal 2 3 6 30 2 2 5" xfId="14265" xr:uid="{00000000-0005-0000-0000-000028850000}"/>
    <cellStyle name="Normal 2 3 6 30 2 2 5 2" xfId="45750" xr:uid="{00000000-0005-0000-0000-000029850000}"/>
    <cellStyle name="Normal 2 3 6 30 2 2 6" xfId="45751" xr:uid="{00000000-0005-0000-0000-00002A850000}"/>
    <cellStyle name="Normal 2 3 6 30 2 2 6 2" xfId="45752" xr:uid="{00000000-0005-0000-0000-00002B850000}"/>
    <cellStyle name="Normal 2 3 6 30 2 2 7" xfId="45753" xr:uid="{00000000-0005-0000-0000-00002C850000}"/>
    <cellStyle name="Normal 2 3 6 30 2 3" xfId="14266" xr:uid="{00000000-0005-0000-0000-00002D850000}"/>
    <cellStyle name="Normal 2 3 6 30 2 3 2" xfId="14267" xr:uid="{00000000-0005-0000-0000-00002E850000}"/>
    <cellStyle name="Normal 2 3 6 30 2 3 2 2" xfId="45754" xr:uid="{00000000-0005-0000-0000-00002F850000}"/>
    <cellStyle name="Normal 2 3 6 30 2 3 3" xfId="14268" xr:uid="{00000000-0005-0000-0000-000030850000}"/>
    <cellStyle name="Normal 2 3 6 30 2 3 3 2" xfId="45755" xr:uid="{00000000-0005-0000-0000-000031850000}"/>
    <cellStyle name="Normal 2 3 6 30 2 3 4" xfId="45756" xr:uid="{00000000-0005-0000-0000-000032850000}"/>
    <cellStyle name="Normal 2 3 6 30 2 4" xfId="14269" xr:uid="{00000000-0005-0000-0000-000033850000}"/>
    <cellStyle name="Normal 2 3 6 30 2 4 2" xfId="14270" xr:uid="{00000000-0005-0000-0000-000034850000}"/>
    <cellStyle name="Normal 2 3 6 30 2 4 2 2" xfId="45757" xr:uid="{00000000-0005-0000-0000-000035850000}"/>
    <cellStyle name="Normal 2 3 6 30 2 4 3" xfId="45758" xr:uid="{00000000-0005-0000-0000-000036850000}"/>
    <cellStyle name="Normal 2 3 6 30 2 5" xfId="14271" xr:uid="{00000000-0005-0000-0000-000037850000}"/>
    <cellStyle name="Normal 2 3 6 30 2 5 2" xfId="45759" xr:uid="{00000000-0005-0000-0000-000038850000}"/>
    <cellStyle name="Normal 2 3 6 30 2 6" xfId="14272" xr:uid="{00000000-0005-0000-0000-000039850000}"/>
    <cellStyle name="Normal 2 3 6 30 2 6 2" xfId="45760" xr:uid="{00000000-0005-0000-0000-00003A850000}"/>
    <cellStyle name="Normal 2 3 6 30 2 7" xfId="45761" xr:uid="{00000000-0005-0000-0000-00003B850000}"/>
    <cellStyle name="Normal 2 3 6 30 2 7 2" xfId="45762" xr:uid="{00000000-0005-0000-0000-00003C850000}"/>
    <cellStyle name="Normal 2 3 6 30 2 8" xfId="45763" xr:uid="{00000000-0005-0000-0000-00003D850000}"/>
    <cellStyle name="Normal 2 3 6 30 2 9" xfId="45764" xr:uid="{00000000-0005-0000-0000-00003E850000}"/>
    <cellStyle name="Normal 2 3 6 30 3" xfId="14273" xr:uid="{00000000-0005-0000-0000-00003F850000}"/>
    <cellStyle name="Normal 2 3 6 30 3 2" xfId="14274" xr:uid="{00000000-0005-0000-0000-000040850000}"/>
    <cellStyle name="Normal 2 3 6 30 3 2 2" xfId="14275" xr:uid="{00000000-0005-0000-0000-000041850000}"/>
    <cellStyle name="Normal 2 3 6 30 3 2 2 2" xfId="45765" xr:uid="{00000000-0005-0000-0000-000042850000}"/>
    <cellStyle name="Normal 2 3 6 30 3 2 3" xfId="14276" xr:uid="{00000000-0005-0000-0000-000043850000}"/>
    <cellStyle name="Normal 2 3 6 30 3 2 3 2" xfId="45766" xr:uid="{00000000-0005-0000-0000-000044850000}"/>
    <cellStyle name="Normal 2 3 6 30 3 2 4" xfId="45767" xr:uid="{00000000-0005-0000-0000-000045850000}"/>
    <cellStyle name="Normal 2 3 6 30 3 3" xfId="14277" xr:uid="{00000000-0005-0000-0000-000046850000}"/>
    <cellStyle name="Normal 2 3 6 30 3 3 2" xfId="45768" xr:uid="{00000000-0005-0000-0000-000047850000}"/>
    <cellStyle name="Normal 2 3 6 30 3 4" xfId="14278" xr:uid="{00000000-0005-0000-0000-000048850000}"/>
    <cellStyle name="Normal 2 3 6 30 3 4 2" xfId="45769" xr:uid="{00000000-0005-0000-0000-000049850000}"/>
    <cellStyle name="Normal 2 3 6 30 3 5" xfId="14279" xr:uid="{00000000-0005-0000-0000-00004A850000}"/>
    <cellStyle name="Normal 2 3 6 30 3 5 2" xfId="45770" xr:uid="{00000000-0005-0000-0000-00004B850000}"/>
    <cellStyle name="Normal 2 3 6 30 3 6" xfId="45771" xr:uid="{00000000-0005-0000-0000-00004C850000}"/>
    <cellStyle name="Normal 2 3 6 30 3 6 2" xfId="45772" xr:uid="{00000000-0005-0000-0000-00004D850000}"/>
    <cellStyle name="Normal 2 3 6 30 3 7" xfId="45773" xr:uid="{00000000-0005-0000-0000-00004E850000}"/>
    <cellStyle name="Normal 2 3 6 30 4" xfId="14280" xr:uid="{00000000-0005-0000-0000-00004F850000}"/>
    <cellStyle name="Normal 2 3 6 30 4 2" xfId="14281" xr:uid="{00000000-0005-0000-0000-000050850000}"/>
    <cellStyle name="Normal 2 3 6 30 4 2 2" xfId="45774" xr:uid="{00000000-0005-0000-0000-000051850000}"/>
    <cellStyle name="Normal 2 3 6 30 4 3" xfId="14282" xr:uid="{00000000-0005-0000-0000-000052850000}"/>
    <cellStyle name="Normal 2 3 6 30 4 3 2" xfId="45775" xr:uid="{00000000-0005-0000-0000-000053850000}"/>
    <cellStyle name="Normal 2 3 6 30 4 4" xfId="45776" xr:uid="{00000000-0005-0000-0000-000054850000}"/>
    <cellStyle name="Normal 2 3 6 30 5" xfId="14283" xr:uid="{00000000-0005-0000-0000-000055850000}"/>
    <cellStyle name="Normal 2 3 6 30 5 2" xfId="14284" xr:uid="{00000000-0005-0000-0000-000056850000}"/>
    <cellStyle name="Normal 2 3 6 30 5 2 2" xfId="45777" xr:uid="{00000000-0005-0000-0000-000057850000}"/>
    <cellStyle name="Normal 2 3 6 30 5 3" xfId="45778" xr:uid="{00000000-0005-0000-0000-000058850000}"/>
    <cellStyle name="Normal 2 3 6 30 6" xfId="14285" xr:uid="{00000000-0005-0000-0000-000059850000}"/>
    <cellStyle name="Normal 2 3 6 30 6 2" xfId="45779" xr:uid="{00000000-0005-0000-0000-00005A850000}"/>
    <cellStyle name="Normal 2 3 6 30 7" xfId="14286" xr:uid="{00000000-0005-0000-0000-00005B850000}"/>
    <cellStyle name="Normal 2 3 6 30 7 2" xfId="45780" xr:uid="{00000000-0005-0000-0000-00005C850000}"/>
    <cellStyle name="Normal 2 3 6 30 8" xfId="45781" xr:uid="{00000000-0005-0000-0000-00005D850000}"/>
    <cellStyle name="Normal 2 3 6 30 8 2" xfId="45782" xr:uid="{00000000-0005-0000-0000-00005E850000}"/>
    <cellStyle name="Normal 2 3 6 30 9" xfId="45783" xr:uid="{00000000-0005-0000-0000-00005F850000}"/>
    <cellStyle name="Normal 2 3 6 31" xfId="14287" xr:uid="{00000000-0005-0000-0000-000060850000}"/>
    <cellStyle name="Normal 2 3 6 31 10" xfId="45784" xr:uid="{00000000-0005-0000-0000-000061850000}"/>
    <cellStyle name="Normal 2 3 6 31 2" xfId="14288" xr:uid="{00000000-0005-0000-0000-000062850000}"/>
    <cellStyle name="Normal 2 3 6 31 2 2" xfId="14289" xr:uid="{00000000-0005-0000-0000-000063850000}"/>
    <cellStyle name="Normal 2 3 6 31 2 2 2" xfId="14290" xr:uid="{00000000-0005-0000-0000-000064850000}"/>
    <cellStyle name="Normal 2 3 6 31 2 2 2 2" xfId="45785" xr:uid="{00000000-0005-0000-0000-000065850000}"/>
    <cellStyle name="Normal 2 3 6 31 2 2 3" xfId="14291" xr:uid="{00000000-0005-0000-0000-000066850000}"/>
    <cellStyle name="Normal 2 3 6 31 2 2 3 2" xfId="45786" xr:uid="{00000000-0005-0000-0000-000067850000}"/>
    <cellStyle name="Normal 2 3 6 31 2 2 4" xfId="45787" xr:uid="{00000000-0005-0000-0000-000068850000}"/>
    <cellStyle name="Normal 2 3 6 31 2 3" xfId="14292" xr:uid="{00000000-0005-0000-0000-000069850000}"/>
    <cellStyle name="Normal 2 3 6 31 2 3 2" xfId="45788" xr:uid="{00000000-0005-0000-0000-00006A850000}"/>
    <cellStyle name="Normal 2 3 6 31 2 4" xfId="14293" xr:uid="{00000000-0005-0000-0000-00006B850000}"/>
    <cellStyle name="Normal 2 3 6 31 2 4 2" xfId="45789" xr:uid="{00000000-0005-0000-0000-00006C850000}"/>
    <cellStyle name="Normal 2 3 6 31 2 5" xfId="14294" xr:uid="{00000000-0005-0000-0000-00006D850000}"/>
    <cellStyle name="Normal 2 3 6 31 2 5 2" xfId="45790" xr:uid="{00000000-0005-0000-0000-00006E850000}"/>
    <cellStyle name="Normal 2 3 6 31 2 6" xfId="45791" xr:uid="{00000000-0005-0000-0000-00006F850000}"/>
    <cellStyle name="Normal 2 3 6 31 2 6 2" xfId="45792" xr:uid="{00000000-0005-0000-0000-000070850000}"/>
    <cellStyle name="Normal 2 3 6 31 2 7" xfId="45793" xr:uid="{00000000-0005-0000-0000-000071850000}"/>
    <cellStyle name="Normal 2 3 6 31 3" xfId="14295" xr:uid="{00000000-0005-0000-0000-000072850000}"/>
    <cellStyle name="Normal 2 3 6 31 3 2" xfId="14296" xr:uid="{00000000-0005-0000-0000-000073850000}"/>
    <cellStyle name="Normal 2 3 6 31 3 2 2" xfId="45794" xr:uid="{00000000-0005-0000-0000-000074850000}"/>
    <cellStyle name="Normal 2 3 6 31 3 3" xfId="14297" xr:uid="{00000000-0005-0000-0000-000075850000}"/>
    <cellStyle name="Normal 2 3 6 31 3 3 2" xfId="45795" xr:uid="{00000000-0005-0000-0000-000076850000}"/>
    <cellStyle name="Normal 2 3 6 31 3 4" xfId="45796" xr:uid="{00000000-0005-0000-0000-000077850000}"/>
    <cellStyle name="Normal 2 3 6 31 4" xfId="14298" xr:uid="{00000000-0005-0000-0000-000078850000}"/>
    <cellStyle name="Normal 2 3 6 31 4 2" xfId="14299" xr:uid="{00000000-0005-0000-0000-000079850000}"/>
    <cellStyle name="Normal 2 3 6 31 4 2 2" xfId="45797" xr:uid="{00000000-0005-0000-0000-00007A850000}"/>
    <cellStyle name="Normal 2 3 6 31 4 3" xfId="45798" xr:uid="{00000000-0005-0000-0000-00007B850000}"/>
    <cellStyle name="Normal 2 3 6 31 5" xfId="14300" xr:uid="{00000000-0005-0000-0000-00007C850000}"/>
    <cellStyle name="Normal 2 3 6 31 5 2" xfId="45799" xr:uid="{00000000-0005-0000-0000-00007D850000}"/>
    <cellStyle name="Normal 2 3 6 31 6" xfId="14301" xr:uid="{00000000-0005-0000-0000-00007E850000}"/>
    <cellStyle name="Normal 2 3 6 31 6 2" xfId="45800" xr:uid="{00000000-0005-0000-0000-00007F850000}"/>
    <cellStyle name="Normal 2 3 6 31 7" xfId="45801" xr:uid="{00000000-0005-0000-0000-000080850000}"/>
    <cellStyle name="Normal 2 3 6 31 7 2" xfId="45802" xr:uid="{00000000-0005-0000-0000-000081850000}"/>
    <cellStyle name="Normal 2 3 6 31 8" xfId="45803" xr:uid="{00000000-0005-0000-0000-000082850000}"/>
    <cellStyle name="Normal 2 3 6 31 9" xfId="45804" xr:uid="{00000000-0005-0000-0000-000083850000}"/>
    <cellStyle name="Normal 2 3 6 32" xfId="14302" xr:uid="{00000000-0005-0000-0000-000084850000}"/>
    <cellStyle name="Normal 2 3 6 32 2" xfId="14303" xr:uid="{00000000-0005-0000-0000-000085850000}"/>
    <cellStyle name="Normal 2 3 6 32 2 2" xfId="14304" xr:uid="{00000000-0005-0000-0000-000086850000}"/>
    <cellStyle name="Normal 2 3 6 32 2 2 2" xfId="45805" xr:uid="{00000000-0005-0000-0000-000087850000}"/>
    <cellStyle name="Normal 2 3 6 32 2 3" xfId="14305" xr:uid="{00000000-0005-0000-0000-000088850000}"/>
    <cellStyle name="Normal 2 3 6 32 2 3 2" xfId="45806" xr:uid="{00000000-0005-0000-0000-000089850000}"/>
    <cellStyle name="Normal 2 3 6 32 2 4" xfId="45807" xr:uid="{00000000-0005-0000-0000-00008A850000}"/>
    <cellStyle name="Normal 2 3 6 32 3" xfId="14306" xr:uid="{00000000-0005-0000-0000-00008B850000}"/>
    <cellStyle name="Normal 2 3 6 32 3 2" xfId="45808" xr:uid="{00000000-0005-0000-0000-00008C850000}"/>
    <cellStyle name="Normal 2 3 6 32 4" xfId="14307" xr:uid="{00000000-0005-0000-0000-00008D850000}"/>
    <cellStyle name="Normal 2 3 6 32 4 2" xfId="45809" xr:uid="{00000000-0005-0000-0000-00008E850000}"/>
    <cellStyle name="Normal 2 3 6 32 5" xfId="14308" xr:uid="{00000000-0005-0000-0000-00008F850000}"/>
    <cellStyle name="Normal 2 3 6 32 5 2" xfId="45810" xr:uid="{00000000-0005-0000-0000-000090850000}"/>
    <cellStyle name="Normal 2 3 6 32 6" xfId="45811" xr:uid="{00000000-0005-0000-0000-000091850000}"/>
    <cellStyle name="Normal 2 3 6 32 6 2" xfId="45812" xr:uid="{00000000-0005-0000-0000-000092850000}"/>
    <cellStyle name="Normal 2 3 6 32 7" xfId="45813" xr:uid="{00000000-0005-0000-0000-000093850000}"/>
    <cellStyle name="Normal 2 3 6 33" xfId="14309" xr:uid="{00000000-0005-0000-0000-000094850000}"/>
    <cellStyle name="Normal 2 3 6 33 2" xfId="14310" xr:uid="{00000000-0005-0000-0000-000095850000}"/>
    <cellStyle name="Normal 2 3 6 33 2 2" xfId="45814" xr:uid="{00000000-0005-0000-0000-000096850000}"/>
    <cellStyle name="Normal 2 3 6 33 3" xfId="14311" xr:uid="{00000000-0005-0000-0000-000097850000}"/>
    <cellStyle name="Normal 2 3 6 33 3 2" xfId="45815" xr:uid="{00000000-0005-0000-0000-000098850000}"/>
    <cellStyle name="Normal 2 3 6 33 4" xfId="45816" xr:uid="{00000000-0005-0000-0000-000099850000}"/>
    <cellStyle name="Normal 2 3 6 34" xfId="14312" xr:uid="{00000000-0005-0000-0000-00009A850000}"/>
    <cellStyle name="Normal 2 3 6 34 2" xfId="14313" xr:uid="{00000000-0005-0000-0000-00009B850000}"/>
    <cellStyle name="Normal 2 3 6 34 2 2" xfId="45817" xr:uid="{00000000-0005-0000-0000-00009C850000}"/>
    <cellStyle name="Normal 2 3 6 34 3" xfId="45818" xr:uid="{00000000-0005-0000-0000-00009D850000}"/>
    <cellStyle name="Normal 2 3 6 35" xfId="14314" xr:uid="{00000000-0005-0000-0000-00009E850000}"/>
    <cellStyle name="Normal 2 3 6 35 2" xfId="45819" xr:uid="{00000000-0005-0000-0000-00009F850000}"/>
    <cellStyle name="Normal 2 3 6 36" xfId="14315" xr:uid="{00000000-0005-0000-0000-0000A0850000}"/>
    <cellStyle name="Normal 2 3 6 36 2" xfId="45820" xr:uid="{00000000-0005-0000-0000-0000A1850000}"/>
    <cellStyle name="Normal 2 3 6 37" xfId="45821" xr:uid="{00000000-0005-0000-0000-0000A2850000}"/>
    <cellStyle name="Normal 2 3 6 37 2" xfId="45822" xr:uid="{00000000-0005-0000-0000-0000A3850000}"/>
    <cellStyle name="Normal 2 3 6 38" xfId="45823" xr:uid="{00000000-0005-0000-0000-0000A4850000}"/>
    <cellStyle name="Normal 2 3 6 39" xfId="45824" xr:uid="{00000000-0005-0000-0000-0000A5850000}"/>
    <cellStyle name="Normal 2 3 6 4" xfId="14316" xr:uid="{00000000-0005-0000-0000-0000A6850000}"/>
    <cellStyle name="Normal 2 3 6 4 10" xfId="45825" xr:uid="{00000000-0005-0000-0000-0000A7850000}"/>
    <cellStyle name="Normal 2 3 6 4 11" xfId="45826" xr:uid="{00000000-0005-0000-0000-0000A8850000}"/>
    <cellStyle name="Normal 2 3 6 4 2" xfId="14317" xr:uid="{00000000-0005-0000-0000-0000A9850000}"/>
    <cellStyle name="Normal 2 3 6 4 2 10" xfId="45827" xr:uid="{00000000-0005-0000-0000-0000AA850000}"/>
    <cellStyle name="Normal 2 3 6 4 2 2" xfId="14318" xr:uid="{00000000-0005-0000-0000-0000AB850000}"/>
    <cellStyle name="Normal 2 3 6 4 2 2 2" xfId="14319" xr:uid="{00000000-0005-0000-0000-0000AC850000}"/>
    <cellStyle name="Normal 2 3 6 4 2 2 2 2" xfId="14320" xr:uid="{00000000-0005-0000-0000-0000AD850000}"/>
    <cellStyle name="Normal 2 3 6 4 2 2 2 2 2" xfId="45828" xr:uid="{00000000-0005-0000-0000-0000AE850000}"/>
    <cellStyle name="Normal 2 3 6 4 2 2 2 3" xfId="14321" xr:uid="{00000000-0005-0000-0000-0000AF850000}"/>
    <cellStyle name="Normal 2 3 6 4 2 2 2 3 2" xfId="45829" xr:uid="{00000000-0005-0000-0000-0000B0850000}"/>
    <cellStyle name="Normal 2 3 6 4 2 2 2 4" xfId="45830" xr:uid="{00000000-0005-0000-0000-0000B1850000}"/>
    <cellStyle name="Normal 2 3 6 4 2 2 3" xfId="14322" xr:uid="{00000000-0005-0000-0000-0000B2850000}"/>
    <cellStyle name="Normal 2 3 6 4 2 2 3 2" xfId="45831" xr:uid="{00000000-0005-0000-0000-0000B3850000}"/>
    <cellStyle name="Normal 2 3 6 4 2 2 4" xfId="14323" xr:uid="{00000000-0005-0000-0000-0000B4850000}"/>
    <cellStyle name="Normal 2 3 6 4 2 2 4 2" xfId="45832" xr:uid="{00000000-0005-0000-0000-0000B5850000}"/>
    <cellStyle name="Normal 2 3 6 4 2 2 5" xfId="14324" xr:uid="{00000000-0005-0000-0000-0000B6850000}"/>
    <cellStyle name="Normal 2 3 6 4 2 2 5 2" xfId="45833" xr:uid="{00000000-0005-0000-0000-0000B7850000}"/>
    <cellStyle name="Normal 2 3 6 4 2 2 6" xfId="45834" xr:uid="{00000000-0005-0000-0000-0000B8850000}"/>
    <cellStyle name="Normal 2 3 6 4 2 2 6 2" xfId="45835" xr:uid="{00000000-0005-0000-0000-0000B9850000}"/>
    <cellStyle name="Normal 2 3 6 4 2 2 7" xfId="45836" xr:uid="{00000000-0005-0000-0000-0000BA850000}"/>
    <cellStyle name="Normal 2 3 6 4 2 3" xfId="14325" xr:uid="{00000000-0005-0000-0000-0000BB850000}"/>
    <cellStyle name="Normal 2 3 6 4 2 3 2" xfId="14326" xr:uid="{00000000-0005-0000-0000-0000BC850000}"/>
    <cellStyle name="Normal 2 3 6 4 2 3 2 2" xfId="45837" xr:uid="{00000000-0005-0000-0000-0000BD850000}"/>
    <cellStyle name="Normal 2 3 6 4 2 3 3" xfId="14327" xr:uid="{00000000-0005-0000-0000-0000BE850000}"/>
    <cellStyle name="Normal 2 3 6 4 2 3 3 2" xfId="45838" xr:uid="{00000000-0005-0000-0000-0000BF850000}"/>
    <cellStyle name="Normal 2 3 6 4 2 3 4" xfId="45839" xr:uid="{00000000-0005-0000-0000-0000C0850000}"/>
    <cellStyle name="Normal 2 3 6 4 2 4" xfId="14328" xr:uid="{00000000-0005-0000-0000-0000C1850000}"/>
    <cellStyle name="Normal 2 3 6 4 2 4 2" xfId="14329" xr:uid="{00000000-0005-0000-0000-0000C2850000}"/>
    <cellStyle name="Normal 2 3 6 4 2 4 2 2" xfId="45840" xr:uid="{00000000-0005-0000-0000-0000C3850000}"/>
    <cellStyle name="Normal 2 3 6 4 2 4 3" xfId="45841" xr:uid="{00000000-0005-0000-0000-0000C4850000}"/>
    <cellStyle name="Normal 2 3 6 4 2 5" xfId="14330" xr:uid="{00000000-0005-0000-0000-0000C5850000}"/>
    <cellStyle name="Normal 2 3 6 4 2 5 2" xfId="45842" xr:uid="{00000000-0005-0000-0000-0000C6850000}"/>
    <cellStyle name="Normal 2 3 6 4 2 6" xfId="14331" xr:uid="{00000000-0005-0000-0000-0000C7850000}"/>
    <cellStyle name="Normal 2 3 6 4 2 6 2" xfId="45843" xr:uid="{00000000-0005-0000-0000-0000C8850000}"/>
    <cellStyle name="Normal 2 3 6 4 2 7" xfId="45844" xr:uid="{00000000-0005-0000-0000-0000C9850000}"/>
    <cellStyle name="Normal 2 3 6 4 2 7 2" xfId="45845" xr:uid="{00000000-0005-0000-0000-0000CA850000}"/>
    <cellStyle name="Normal 2 3 6 4 2 8" xfId="45846" xr:uid="{00000000-0005-0000-0000-0000CB850000}"/>
    <cellStyle name="Normal 2 3 6 4 2 9" xfId="45847" xr:uid="{00000000-0005-0000-0000-0000CC850000}"/>
    <cellStyle name="Normal 2 3 6 4 3" xfId="14332" xr:uid="{00000000-0005-0000-0000-0000CD850000}"/>
    <cellStyle name="Normal 2 3 6 4 3 2" xfId="14333" xr:uid="{00000000-0005-0000-0000-0000CE850000}"/>
    <cellStyle name="Normal 2 3 6 4 3 2 2" xfId="14334" xr:uid="{00000000-0005-0000-0000-0000CF850000}"/>
    <cellStyle name="Normal 2 3 6 4 3 2 2 2" xfId="45848" xr:uid="{00000000-0005-0000-0000-0000D0850000}"/>
    <cellStyle name="Normal 2 3 6 4 3 2 3" xfId="14335" xr:uid="{00000000-0005-0000-0000-0000D1850000}"/>
    <cellStyle name="Normal 2 3 6 4 3 2 3 2" xfId="45849" xr:uid="{00000000-0005-0000-0000-0000D2850000}"/>
    <cellStyle name="Normal 2 3 6 4 3 2 4" xfId="45850" xr:uid="{00000000-0005-0000-0000-0000D3850000}"/>
    <cellStyle name="Normal 2 3 6 4 3 3" xfId="14336" xr:uid="{00000000-0005-0000-0000-0000D4850000}"/>
    <cellStyle name="Normal 2 3 6 4 3 3 2" xfId="45851" xr:uid="{00000000-0005-0000-0000-0000D5850000}"/>
    <cellStyle name="Normal 2 3 6 4 3 4" xfId="14337" xr:uid="{00000000-0005-0000-0000-0000D6850000}"/>
    <cellStyle name="Normal 2 3 6 4 3 4 2" xfId="45852" xr:uid="{00000000-0005-0000-0000-0000D7850000}"/>
    <cellStyle name="Normal 2 3 6 4 3 5" xfId="14338" xr:uid="{00000000-0005-0000-0000-0000D8850000}"/>
    <cellStyle name="Normal 2 3 6 4 3 5 2" xfId="45853" xr:uid="{00000000-0005-0000-0000-0000D9850000}"/>
    <cellStyle name="Normal 2 3 6 4 3 6" xfId="45854" xr:uid="{00000000-0005-0000-0000-0000DA850000}"/>
    <cellStyle name="Normal 2 3 6 4 3 6 2" xfId="45855" xr:uid="{00000000-0005-0000-0000-0000DB850000}"/>
    <cellStyle name="Normal 2 3 6 4 3 7" xfId="45856" xr:uid="{00000000-0005-0000-0000-0000DC850000}"/>
    <cellStyle name="Normal 2 3 6 4 4" xfId="14339" xr:uid="{00000000-0005-0000-0000-0000DD850000}"/>
    <cellStyle name="Normal 2 3 6 4 4 2" xfId="14340" xr:uid="{00000000-0005-0000-0000-0000DE850000}"/>
    <cellStyle name="Normal 2 3 6 4 4 2 2" xfId="45857" xr:uid="{00000000-0005-0000-0000-0000DF850000}"/>
    <cellStyle name="Normal 2 3 6 4 4 3" xfId="14341" xr:uid="{00000000-0005-0000-0000-0000E0850000}"/>
    <cellStyle name="Normal 2 3 6 4 4 3 2" xfId="45858" xr:uid="{00000000-0005-0000-0000-0000E1850000}"/>
    <cellStyle name="Normal 2 3 6 4 4 4" xfId="45859" xr:uid="{00000000-0005-0000-0000-0000E2850000}"/>
    <cellStyle name="Normal 2 3 6 4 5" xfId="14342" xr:uid="{00000000-0005-0000-0000-0000E3850000}"/>
    <cellStyle name="Normal 2 3 6 4 5 2" xfId="14343" xr:uid="{00000000-0005-0000-0000-0000E4850000}"/>
    <cellStyle name="Normal 2 3 6 4 5 2 2" xfId="45860" xr:uid="{00000000-0005-0000-0000-0000E5850000}"/>
    <cellStyle name="Normal 2 3 6 4 5 3" xfId="45861" xr:uid="{00000000-0005-0000-0000-0000E6850000}"/>
    <cellStyle name="Normal 2 3 6 4 6" xfId="14344" xr:uid="{00000000-0005-0000-0000-0000E7850000}"/>
    <cellStyle name="Normal 2 3 6 4 6 2" xfId="45862" xr:uid="{00000000-0005-0000-0000-0000E8850000}"/>
    <cellStyle name="Normal 2 3 6 4 7" xfId="14345" xr:uid="{00000000-0005-0000-0000-0000E9850000}"/>
    <cellStyle name="Normal 2 3 6 4 7 2" xfId="45863" xr:uid="{00000000-0005-0000-0000-0000EA850000}"/>
    <cellStyle name="Normal 2 3 6 4 8" xfId="45864" xr:uid="{00000000-0005-0000-0000-0000EB850000}"/>
    <cellStyle name="Normal 2 3 6 4 8 2" xfId="45865" xr:uid="{00000000-0005-0000-0000-0000EC850000}"/>
    <cellStyle name="Normal 2 3 6 4 9" xfId="45866" xr:uid="{00000000-0005-0000-0000-0000ED850000}"/>
    <cellStyle name="Normal 2 3 6 40" xfId="45867" xr:uid="{00000000-0005-0000-0000-0000EE850000}"/>
    <cellStyle name="Normal 2 3 6 5" xfId="14346" xr:uid="{00000000-0005-0000-0000-0000EF850000}"/>
    <cellStyle name="Normal 2 3 6 5 10" xfId="45868" xr:uid="{00000000-0005-0000-0000-0000F0850000}"/>
    <cellStyle name="Normal 2 3 6 5 11" xfId="45869" xr:uid="{00000000-0005-0000-0000-0000F1850000}"/>
    <cellStyle name="Normal 2 3 6 5 2" xfId="14347" xr:uid="{00000000-0005-0000-0000-0000F2850000}"/>
    <cellStyle name="Normal 2 3 6 5 2 10" xfId="45870" xr:uid="{00000000-0005-0000-0000-0000F3850000}"/>
    <cellStyle name="Normal 2 3 6 5 2 2" xfId="14348" xr:uid="{00000000-0005-0000-0000-0000F4850000}"/>
    <cellStyle name="Normal 2 3 6 5 2 2 2" xfId="14349" xr:uid="{00000000-0005-0000-0000-0000F5850000}"/>
    <cellStyle name="Normal 2 3 6 5 2 2 2 2" xfId="14350" xr:uid="{00000000-0005-0000-0000-0000F6850000}"/>
    <cellStyle name="Normal 2 3 6 5 2 2 2 2 2" xfId="45871" xr:uid="{00000000-0005-0000-0000-0000F7850000}"/>
    <cellStyle name="Normal 2 3 6 5 2 2 2 3" xfId="14351" xr:uid="{00000000-0005-0000-0000-0000F8850000}"/>
    <cellStyle name="Normal 2 3 6 5 2 2 2 3 2" xfId="45872" xr:uid="{00000000-0005-0000-0000-0000F9850000}"/>
    <cellStyle name="Normal 2 3 6 5 2 2 2 4" xfId="45873" xr:uid="{00000000-0005-0000-0000-0000FA850000}"/>
    <cellStyle name="Normal 2 3 6 5 2 2 3" xfId="14352" xr:uid="{00000000-0005-0000-0000-0000FB850000}"/>
    <cellStyle name="Normal 2 3 6 5 2 2 3 2" xfId="45874" xr:uid="{00000000-0005-0000-0000-0000FC850000}"/>
    <cellStyle name="Normal 2 3 6 5 2 2 4" xfId="14353" xr:uid="{00000000-0005-0000-0000-0000FD850000}"/>
    <cellStyle name="Normal 2 3 6 5 2 2 4 2" xfId="45875" xr:uid="{00000000-0005-0000-0000-0000FE850000}"/>
    <cellStyle name="Normal 2 3 6 5 2 2 5" xfId="14354" xr:uid="{00000000-0005-0000-0000-0000FF850000}"/>
    <cellStyle name="Normal 2 3 6 5 2 2 5 2" xfId="45876" xr:uid="{00000000-0005-0000-0000-000000860000}"/>
    <cellStyle name="Normal 2 3 6 5 2 2 6" xfId="45877" xr:uid="{00000000-0005-0000-0000-000001860000}"/>
    <cellStyle name="Normal 2 3 6 5 2 2 6 2" xfId="45878" xr:uid="{00000000-0005-0000-0000-000002860000}"/>
    <cellStyle name="Normal 2 3 6 5 2 2 7" xfId="45879" xr:uid="{00000000-0005-0000-0000-000003860000}"/>
    <cellStyle name="Normal 2 3 6 5 2 3" xfId="14355" xr:uid="{00000000-0005-0000-0000-000004860000}"/>
    <cellStyle name="Normal 2 3 6 5 2 3 2" xfId="14356" xr:uid="{00000000-0005-0000-0000-000005860000}"/>
    <cellStyle name="Normal 2 3 6 5 2 3 2 2" xfId="45880" xr:uid="{00000000-0005-0000-0000-000006860000}"/>
    <cellStyle name="Normal 2 3 6 5 2 3 3" xfId="14357" xr:uid="{00000000-0005-0000-0000-000007860000}"/>
    <cellStyle name="Normal 2 3 6 5 2 3 3 2" xfId="45881" xr:uid="{00000000-0005-0000-0000-000008860000}"/>
    <cellStyle name="Normal 2 3 6 5 2 3 4" xfId="45882" xr:uid="{00000000-0005-0000-0000-000009860000}"/>
    <cellStyle name="Normal 2 3 6 5 2 4" xfId="14358" xr:uid="{00000000-0005-0000-0000-00000A860000}"/>
    <cellStyle name="Normal 2 3 6 5 2 4 2" xfId="14359" xr:uid="{00000000-0005-0000-0000-00000B860000}"/>
    <cellStyle name="Normal 2 3 6 5 2 4 2 2" xfId="45883" xr:uid="{00000000-0005-0000-0000-00000C860000}"/>
    <cellStyle name="Normal 2 3 6 5 2 4 3" xfId="45884" xr:uid="{00000000-0005-0000-0000-00000D860000}"/>
    <cellStyle name="Normal 2 3 6 5 2 5" xfId="14360" xr:uid="{00000000-0005-0000-0000-00000E860000}"/>
    <cellStyle name="Normal 2 3 6 5 2 5 2" xfId="45885" xr:uid="{00000000-0005-0000-0000-00000F860000}"/>
    <cellStyle name="Normal 2 3 6 5 2 6" xfId="14361" xr:uid="{00000000-0005-0000-0000-000010860000}"/>
    <cellStyle name="Normal 2 3 6 5 2 6 2" xfId="45886" xr:uid="{00000000-0005-0000-0000-000011860000}"/>
    <cellStyle name="Normal 2 3 6 5 2 7" xfId="45887" xr:uid="{00000000-0005-0000-0000-000012860000}"/>
    <cellStyle name="Normal 2 3 6 5 2 7 2" xfId="45888" xr:uid="{00000000-0005-0000-0000-000013860000}"/>
    <cellStyle name="Normal 2 3 6 5 2 8" xfId="45889" xr:uid="{00000000-0005-0000-0000-000014860000}"/>
    <cellStyle name="Normal 2 3 6 5 2 9" xfId="45890" xr:uid="{00000000-0005-0000-0000-000015860000}"/>
    <cellStyle name="Normal 2 3 6 5 3" xfId="14362" xr:uid="{00000000-0005-0000-0000-000016860000}"/>
    <cellStyle name="Normal 2 3 6 5 3 2" xfId="14363" xr:uid="{00000000-0005-0000-0000-000017860000}"/>
    <cellStyle name="Normal 2 3 6 5 3 2 2" xfId="14364" xr:uid="{00000000-0005-0000-0000-000018860000}"/>
    <cellStyle name="Normal 2 3 6 5 3 2 2 2" xfId="45891" xr:uid="{00000000-0005-0000-0000-000019860000}"/>
    <cellStyle name="Normal 2 3 6 5 3 2 3" xfId="14365" xr:uid="{00000000-0005-0000-0000-00001A860000}"/>
    <cellStyle name="Normal 2 3 6 5 3 2 3 2" xfId="45892" xr:uid="{00000000-0005-0000-0000-00001B860000}"/>
    <cellStyle name="Normal 2 3 6 5 3 2 4" xfId="45893" xr:uid="{00000000-0005-0000-0000-00001C860000}"/>
    <cellStyle name="Normal 2 3 6 5 3 3" xfId="14366" xr:uid="{00000000-0005-0000-0000-00001D860000}"/>
    <cellStyle name="Normal 2 3 6 5 3 3 2" xfId="45894" xr:uid="{00000000-0005-0000-0000-00001E860000}"/>
    <cellStyle name="Normal 2 3 6 5 3 4" xfId="14367" xr:uid="{00000000-0005-0000-0000-00001F860000}"/>
    <cellStyle name="Normal 2 3 6 5 3 4 2" xfId="45895" xr:uid="{00000000-0005-0000-0000-000020860000}"/>
    <cellStyle name="Normal 2 3 6 5 3 5" xfId="14368" xr:uid="{00000000-0005-0000-0000-000021860000}"/>
    <cellStyle name="Normal 2 3 6 5 3 5 2" xfId="45896" xr:uid="{00000000-0005-0000-0000-000022860000}"/>
    <cellStyle name="Normal 2 3 6 5 3 6" xfId="45897" xr:uid="{00000000-0005-0000-0000-000023860000}"/>
    <cellStyle name="Normal 2 3 6 5 3 6 2" xfId="45898" xr:uid="{00000000-0005-0000-0000-000024860000}"/>
    <cellStyle name="Normal 2 3 6 5 3 7" xfId="45899" xr:uid="{00000000-0005-0000-0000-000025860000}"/>
    <cellStyle name="Normal 2 3 6 5 4" xfId="14369" xr:uid="{00000000-0005-0000-0000-000026860000}"/>
    <cellStyle name="Normal 2 3 6 5 4 2" xfId="14370" xr:uid="{00000000-0005-0000-0000-000027860000}"/>
    <cellStyle name="Normal 2 3 6 5 4 2 2" xfId="45900" xr:uid="{00000000-0005-0000-0000-000028860000}"/>
    <cellStyle name="Normal 2 3 6 5 4 3" xfId="14371" xr:uid="{00000000-0005-0000-0000-000029860000}"/>
    <cellStyle name="Normal 2 3 6 5 4 3 2" xfId="45901" xr:uid="{00000000-0005-0000-0000-00002A860000}"/>
    <cellStyle name="Normal 2 3 6 5 4 4" xfId="45902" xr:uid="{00000000-0005-0000-0000-00002B860000}"/>
    <cellStyle name="Normal 2 3 6 5 5" xfId="14372" xr:uid="{00000000-0005-0000-0000-00002C860000}"/>
    <cellStyle name="Normal 2 3 6 5 5 2" xfId="14373" xr:uid="{00000000-0005-0000-0000-00002D860000}"/>
    <cellStyle name="Normal 2 3 6 5 5 2 2" xfId="45903" xr:uid="{00000000-0005-0000-0000-00002E860000}"/>
    <cellStyle name="Normal 2 3 6 5 5 3" xfId="45904" xr:uid="{00000000-0005-0000-0000-00002F860000}"/>
    <cellStyle name="Normal 2 3 6 5 6" xfId="14374" xr:uid="{00000000-0005-0000-0000-000030860000}"/>
    <cellStyle name="Normal 2 3 6 5 6 2" xfId="45905" xr:uid="{00000000-0005-0000-0000-000031860000}"/>
    <cellStyle name="Normal 2 3 6 5 7" xfId="14375" xr:uid="{00000000-0005-0000-0000-000032860000}"/>
    <cellStyle name="Normal 2 3 6 5 7 2" xfId="45906" xr:uid="{00000000-0005-0000-0000-000033860000}"/>
    <cellStyle name="Normal 2 3 6 5 8" xfId="45907" xr:uid="{00000000-0005-0000-0000-000034860000}"/>
    <cellStyle name="Normal 2 3 6 5 8 2" xfId="45908" xr:uid="{00000000-0005-0000-0000-000035860000}"/>
    <cellStyle name="Normal 2 3 6 5 9" xfId="45909" xr:uid="{00000000-0005-0000-0000-000036860000}"/>
    <cellStyle name="Normal 2 3 6 6" xfId="14376" xr:uid="{00000000-0005-0000-0000-000037860000}"/>
    <cellStyle name="Normal 2 3 6 6 10" xfId="45910" xr:uid="{00000000-0005-0000-0000-000038860000}"/>
    <cellStyle name="Normal 2 3 6 6 11" xfId="45911" xr:uid="{00000000-0005-0000-0000-000039860000}"/>
    <cellStyle name="Normal 2 3 6 6 2" xfId="14377" xr:uid="{00000000-0005-0000-0000-00003A860000}"/>
    <cellStyle name="Normal 2 3 6 6 2 10" xfId="45912" xr:uid="{00000000-0005-0000-0000-00003B860000}"/>
    <cellStyle name="Normal 2 3 6 6 2 2" xfId="14378" xr:uid="{00000000-0005-0000-0000-00003C860000}"/>
    <cellStyle name="Normal 2 3 6 6 2 2 2" xfId="14379" xr:uid="{00000000-0005-0000-0000-00003D860000}"/>
    <cellStyle name="Normal 2 3 6 6 2 2 2 2" xfId="14380" xr:uid="{00000000-0005-0000-0000-00003E860000}"/>
    <cellStyle name="Normal 2 3 6 6 2 2 2 2 2" xfId="45913" xr:uid="{00000000-0005-0000-0000-00003F860000}"/>
    <cellStyle name="Normal 2 3 6 6 2 2 2 3" xfId="14381" xr:uid="{00000000-0005-0000-0000-000040860000}"/>
    <cellStyle name="Normal 2 3 6 6 2 2 2 3 2" xfId="45914" xr:uid="{00000000-0005-0000-0000-000041860000}"/>
    <cellStyle name="Normal 2 3 6 6 2 2 2 4" xfId="45915" xr:uid="{00000000-0005-0000-0000-000042860000}"/>
    <cellStyle name="Normal 2 3 6 6 2 2 3" xfId="14382" xr:uid="{00000000-0005-0000-0000-000043860000}"/>
    <cellStyle name="Normal 2 3 6 6 2 2 3 2" xfId="45916" xr:uid="{00000000-0005-0000-0000-000044860000}"/>
    <cellStyle name="Normal 2 3 6 6 2 2 4" xfId="14383" xr:uid="{00000000-0005-0000-0000-000045860000}"/>
    <cellStyle name="Normal 2 3 6 6 2 2 4 2" xfId="45917" xr:uid="{00000000-0005-0000-0000-000046860000}"/>
    <cellStyle name="Normal 2 3 6 6 2 2 5" xfId="14384" xr:uid="{00000000-0005-0000-0000-000047860000}"/>
    <cellStyle name="Normal 2 3 6 6 2 2 5 2" xfId="45918" xr:uid="{00000000-0005-0000-0000-000048860000}"/>
    <cellStyle name="Normal 2 3 6 6 2 2 6" xfId="45919" xr:uid="{00000000-0005-0000-0000-000049860000}"/>
    <cellStyle name="Normal 2 3 6 6 2 2 6 2" xfId="45920" xr:uid="{00000000-0005-0000-0000-00004A860000}"/>
    <cellStyle name="Normal 2 3 6 6 2 2 7" xfId="45921" xr:uid="{00000000-0005-0000-0000-00004B860000}"/>
    <cellStyle name="Normal 2 3 6 6 2 3" xfId="14385" xr:uid="{00000000-0005-0000-0000-00004C860000}"/>
    <cellStyle name="Normal 2 3 6 6 2 3 2" xfId="14386" xr:uid="{00000000-0005-0000-0000-00004D860000}"/>
    <cellStyle name="Normal 2 3 6 6 2 3 2 2" xfId="45922" xr:uid="{00000000-0005-0000-0000-00004E860000}"/>
    <cellStyle name="Normal 2 3 6 6 2 3 3" xfId="14387" xr:uid="{00000000-0005-0000-0000-00004F860000}"/>
    <cellStyle name="Normal 2 3 6 6 2 3 3 2" xfId="45923" xr:uid="{00000000-0005-0000-0000-000050860000}"/>
    <cellStyle name="Normal 2 3 6 6 2 3 4" xfId="45924" xr:uid="{00000000-0005-0000-0000-000051860000}"/>
    <cellStyle name="Normal 2 3 6 6 2 4" xfId="14388" xr:uid="{00000000-0005-0000-0000-000052860000}"/>
    <cellStyle name="Normal 2 3 6 6 2 4 2" xfId="14389" xr:uid="{00000000-0005-0000-0000-000053860000}"/>
    <cellStyle name="Normal 2 3 6 6 2 4 2 2" xfId="45925" xr:uid="{00000000-0005-0000-0000-000054860000}"/>
    <cellStyle name="Normal 2 3 6 6 2 4 3" xfId="45926" xr:uid="{00000000-0005-0000-0000-000055860000}"/>
    <cellStyle name="Normal 2 3 6 6 2 5" xfId="14390" xr:uid="{00000000-0005-0000-0000-000056860000}"/>
    <cellStyle name="Normal 2 3 6 6 2 5 2" xfId="45927" xr:uid="{00000000-0005-0000-0000-000057860000}"/>
    <cellStyle name="Normal 2 3 6 6 2 6" xfId="14391" xr:uid="{00000000-0005-0000-0000-000058860000}"/>
    <cellStyle name="Normal 2 3 6 6 2 6 2" xfId="45928" xr:uid="{00000000-0005-0000-0000-000059860000}"/>
    <cellStyle name="Normal 2 3 6 6 2 7" xfId="45929" xr:uid="{00000000-0005-0000-0000-00005A860000}"/>
    <cellStyle name="Normal 2 3 6 6 2 7 2" xfId="45930" xr:uid="{00000000-0005-0000-0000-00005B860000}"/>
    <cellStyle name="Normal 2 3 6 6 2 8" xfId="45931" xr:uid="{00000000-0005-0000-0000-00005C860000}"/>
    <cellStyle name="Normal 2 3 6 6 2 9" xfId="45932" xr:uid="{00000000-0005-0000-0000-00005D860000}"/>
    <cellStyle name="Normal 2 3 6 6 3" xfId="14392" xr:uid="{00000000-0005-0000-0000-00005E860000}"/>
    <cellStyle name="Normal 2 3 6 6 3 2" xfId="14393" xr:uid="{00000000-0005-0000-0000-00005F860000}"/>
    <cellStyle name="Normal 2 3 6 6 3 2 2" xfId="14394" xr:uid="{00000000-0005-0000-0000-000060860000}"/>
    <cellStyle name="Normal 2 3 6 6 3 2 2 2" xfId="45933" xr:uid="{00000000-0005-0000-0000-000061860000}"/>
    <cellStyle name="Normal 2 3 6 6 3 2 3" xfId="14395" xr:uid="{00000000-0005-0000-0000-000062860000}"/>
    <cellStyle name="Normal 2 3 6 6 3 2 3 2" xfId="45934" xr:uid="{00000000-0005-0000-0000-000063860000}"/>
    <cellStyle name="Normal 2 3 6 6 3 2 4" xfId="45935" xr:uid="{00000000-0005-0000-0000-000064860000}"/>
    <cellStyle name="Normal 2 3 6 6 3 3" xfId="14396" xr:uid="{00000000-0005-0000-0000-000065860000}"/>
    <cellStyle name="Normal 2 3 6 6 3 3 2" xfId="45936" xr:uid="{00000000-0005-0000-0000-000066860000}"/>
    <cellStyle name="Normal 2 3 6 6 3 4" xfId="14397" xr:uid="{00000000-0005-0000-0000-000067860000}"/>
    <cellStyle name="Normal 2 3 6 6 3 4 2" xfId="45937" xr:uid="{00000000-0005-0000-0000-000068860000}"/>
    <cellStyle name="Normal 2 3 6 6 3 5" xfId="14398" xr:uid="{00000000-0005-0000-0000-000069860000}"/>
    <cellStyle name="Normal 2 3 6 6 3 5 2" xfId="45938" xr:uid="{00000000-0005-0000-0000-00006A860000}"/>
    <cellStyle name="Normal 2 3 6 6 3 6" xfId="45939" xr:uid="{00000000-0005-0000-0000-00006B860000}"/>
    <cellStyle name="Normal 2 3 6 6 3 6 2" xfId="45940" xr:uid="{00000000-0005-0000-0000-00006C860000}"/>
    <cellStyle name="Normal 2 3 6 6 3 7" xfId="45941" xr:uid="{00000000-0005-0000-0000-00006D860000}"/>
    <cellStyle name="Normal 2 3 6 6 4" xfId="14399" xr:uid="{00000000-0005-0000-0000-00006E860000}"/>
    <cellStyle name="Normal 2 3 6 6 4 2" xfId="14400" xr:uid="{00000000-0005-0000-0000-00006F860000}"/>
    <cellStyle name="Normal 2 3 6 6 4 2 2" xfId="45942" xr:uid="{00000000-0005-0000-0000-000070860000}"/>
    <cellStyle name="Normal 2 3 6 6 4 3" xfId="14401" xr:uid="{00000000-0005-0000-0000-000071860000}"/>
    <cellStyle name="Normal 2 3 6 6 4 3 2" xfId="45943" xr:uid="{00000000-0005-0000-0000-000072860000}"/>
    <cellStyle name="Normal 2 3 6 6 4 4" xfId="45944" xr:uid="{00000000-0005-0000-0000-000073860000}"/>
    <cellStyle name="Normal 2 3 6 6 5" xfId="14402" xr:uid="{00000000-0005-0000-0000-000074860000}"/>
    <cellStyle name="Normal 2 3 6 6 5 2" xfId="14403" xr:uid="{00000000-0005-0000-0000-000075860000}"/>
    <cellStyle name="Normal 2 3 6 6 5 2 2" xfId="45945" xr:uid="{00000000-0005-0000-0000-000076860000}"/>
    <cellStyle name="Normal 2 3 6 6 5 3" xfId="45946" xr:uid="{00000000-0005-0000-0000-000077860000}"/>
    <cellStyle name="Normal 2 3 6 6 6" xfId="14404" xr:uid="{00000000-0005-0000-0000-000078860000}"/>
    <cellStyle name="Normal 2 3 6 6 6 2" xfId="45947" xr:uid="{00000000-0005-0000-0000-000079860000}"/>
    <cellStyle name="Normal 2 3 6 6 7" xfId="14405" xr:uid="{00000000-0005-0000-0000-00007A860000}"/>
    <cellStyle name="Normal 2 3 6 6 7 2" xfId="45948" xr:uid="{00000000-0005-0000-0000-00007B860000}"/>
    <cellStyle name="Normal 2 3 6 6 8" xfId="45949" xr:uid="{00000000-0005-0000-0000-00007C860000}"/>
    <cellStyle name="Normal 2 3 6 6 8 2" xfId="45950" xr:uid="{00000000-0005-0000-0000-00007D860000}"/>
    <cellStyle name="Normal 2 3 6 6 9" xfId="45951" xr:uid="{00000000-0005-0000-0000-00007E860000}"/>
    <cellStyle name="Normal 2 3 6 7" xfId="14406" xr:uid="{00000000-0005-0000-0000-00007F860000}"/>
    <cellStyle name="Normal 2 3 6 7 10" xfId="45952" xr:uid="{00000000-0005-0000-0000-000080860000}"/>
    <cellStyle name="Normal 2 3 6 7 11" xfId="45953" xr:uid="{00000000-0005-0000-0000-000081860000}"/>
    <cellStyle name="Normal 2 3 6 7 2" xfId="14407" xr:uid="{00000000-0005-0000-0000-000082860000}"/>
    <cellStyle name="Normal 2 3 6 7 2 10" xfId="45954" xr:uid="{00000000-0005-0000-0000-000083860000}"/>
    <cellStyle name="Normal 2 3 6 7 2 2" xfId="14408" xr:uid="{00000000-0005-0000-0000-000084860000}"/>
    <cellStyle name="Normal 2 3 6 7 2 2 2" xfId="14409" xr:uid="{00000000-0005-0000-0000-000085860000}"/>
    <cellStyle name="Normal 2 3 6 7 2 2 2 2" xfId="14410" xr:uid="{00000000-0005-0000-0000-000086860000}"/>
    <cellStyle name="Normal 2 3 6 7 2 2 2 2 2" xfId="45955" xr:uid="{00000000-0005-0000-0000-000087860000}"/>
    <cellStyle name="Normal 2 3 6 7 2 2 2 3" xfId="14411" xr:uid="{00000000-0005-0000-0000-000088860000}"/>
    <cellStyle name="Normal 2 3 6 7 2 2 2 3 2" xfId="45956" xr:uid="{00000000-0005-0000-0000-000089860000}"/>
    <cellStyle name="Normal 2 3 6 7 2 2 2 4" xfId="45957" xr:uid="{00000000-0005-0000-0000-00008A860000}"/>
    <cellStyle name="Normal 2 3 6 7 2 2 3" xfId="14412" xr:uid="{00000000-0005-0000-0000-00008B860000}"/>
    <cellStyle name="Normal 2 3 6 7 2 2 3 2" xfId="45958" xr:uid="{00000000-0005-0000-0000-00008C860000}"/>
    <cellStyle name="Normal 2 3 6 7 2 2 4" xfId="14413" xr:uid="{00000000-0005-0000-0000-00008D860000}"/>
    <cellStyle name="Normal 2 3 6 7 2 2 4 2" xfId="45959" xr:uid="{00000000-0005-0000-0000-00008E860000}"/>
    <cellStyle name="Normal 2 3 6 7 2 2 5" xfId="14414" xr:uid="{00000000-0005-0000-0000-00008F860000}"/>
    <cellStyle name="Normal 2 3 6 7 2 2 5 2" xfId="45960" xr:uid="{00000000-0005-0000-0000-000090860000}"/>
    <cellStyle name="Normal 2 3 6 7 2 2 6" xfId="45961" xr:uid="{00000000-0005-0000-0000-000091860000}"/>
    <cellStyle name="Normal 2 3 6 7 2 2 6 2" xfId="45962" xr:uid="{00000000-0005-0000-0000-000092860000}"/>
    <cellStyle name="Normal 2 3 6 7 2 2 7" xfId="45963" xr:uid="{00000000-0005-0000-0000-000093860000}"/>
    <cellStyle name="Normal 2 3 6 7 2 3" xfId="14415" xr:uid="{00000000-0005-0000-0000-000094860000}"/>
    <cellStyle name="Normal 2 3 6 7 2 3 2" xfId="14416" xr:uid="{00000000-0005-0000-0000-000095860000}"/>
    <cellStyle name="Normal 2 3 6 7 2 3 2 2" xfId="45964" xr:uid="{00000000-0005-0000-0000-000096860000}"/>
    <cellStyle name="Normal 2 3 6 7 2 3 3" xfId="14417" xr:uid="{00000000-0005-0000-0000-000097860000}"/>
    <cellStyle name="Normal 2 3 6 7 2 3 3 2" xfId="45965" xr:uid="{00000000-0005-0000-0000-000098860000}"/>
    <cellStyle name="Normal 2 3 6 7 2 3 4" xfId="45966" xr:uid="{00000000-0005-0000-0000-000099860000}"/>
    <cellStyle name="Normal 2 3 6 7 2 4" xfId="14418" xr:uid="{00000000-0005-0000-0000-00009A860000}"/>
    <cellStyle name="Normal 2 3 6 7 2 4 2" xfId="14419" xr:uid="{00000000-0005-0000-0000-00009B860000}"/>
    <cellStyle name="Normal 2 3 6 7 2 4 2 2" xfId="45967" xr:uid="{00000000-0005-0000-0000-00009C860000}"/>
    <cellStyle name="Normal 2 3 6 7 2 4 3" xfId="45968" xr:uid="{00000000-0005-0000-0000-00009D860000}"/>
    <cellStyle name="Normal 2 3 6 7 2 5" xfId="14420" xr:uid="{00000000-0005-0000-0000-00009E860000}"/>
    <cellStyle name="Normal 2 3 6 7 2 5 2" xfId="45969" xr:uid="{00000000-0005-0000-0000-00009F860000}"/>
    <cellStyle name="Normal 2 3 6 7 2 6" xfId="14421" xr:uid="{00000000-0005-0000-0000-0000A0860000}"/>
    <cellStyle name="Normal 2 3 6 7 2 6 2" xfId="45970" xr:uid="{00000000-0005-0000-0000-0000A1860000}"/>
    <cellStyle name="Normal 2 3 6 7 2 7" xfId="45971" xr:uid="{00000000-0005-0000-0000-0000A2860000}"/>
    <cellStyle name="Normal 2 3 6 7 2 7 2" xfId="45972" xr:uid="{00000000-0005-0000-0000-0000A3860000}"/>
    <cellStyle name="Normal 2 3 6 7 2 8" xfId="45973" xr:uid="{00000000-0005-0000-0000-0000A4860000}"/>
    <cellStyle name="Normal 2 3 6 7 2 9" xfId="45974" xr:uid="{00000000-0005-0000-0000-0000A5860000}"/>
    <cellStyle name="Normal 2 3 6 7 3" xfId="14422" xr:uid="{00000000-0005-0000-0000-0000A6860000}"/>
    <cellStyle name="Normal 2 3 6 7 3 2" xfId="14423" xr:uid="{00000000-0005-0000-0000-0000A7860000}"/>
    <cellStyle name="Normal 2 3 6 7 3 2 2" xfId="14424" xr:uid="{00000000-0005-0000-0000-0000A8860000}"/>
    <cellStyle name="Normal 2 3 6 7 3 2 2 2" xfId="45975" xr:uid="{00000000-0005-0000-0000-0000A9860000}"/>
    <cellStyle name="Normal 2 3 6 7 3 2 3" xfId="14425" xr:uid="{00000000-0005-0000-0000-0000AA860000}"/>
    <cellStyle name="Normal 2 3 6 7 3 2 3 2" xfId="45976" xr:uid="{00000000-0005-0000-0000-0000AB860000}"/>
    <cellStyle name="Normal 2 3 6 7 3 2 4" xfId="45977" xr:uid="{00000000-0005-0000-0000-0000AC860000}"/>
    <cellStyle name="Normal 2 3 6 7 3 3" xfId="14426" xr:uid="{00000000-0005-0000-0000-0000AD860000}"/>
    <cellStyle name="Normal 2 3 6 7 3 3 2" xfId="45978" xr:uid="{00000000-0005-0000-0000-0000AE860000}"/>
    <cellStyle name="Normal 2 3 6 7 3 4" xfId="14427" xr:uid="{00000000-0005-0000-0000-0000AF860000}"/>
    <cellStyle name="Normal 2 3 6 7 3 4 2" xfId="45979" xr:uid="{00000000-0005-0000-0000-0000B0860000}"/>
    <cellStyle name="Normal 2 3 6 7 3 5" xfId="14428" xr:uid="{00000000-0005-0000-0000-0000B1860000}"/>
    <cellStyle name="Normal 2 3 6 7 3 5 2" xfId="45980" xr:uid="{00000000-0005-0000-0000-0000B2860000}"/>
    <cellStyle name="Normal 2 3 6 7 3 6" xfId="45981" xr:uid="{00000000-0005-0000-0000-0000B3860000}"/>
    <cellStyle name="Normal 2 3 6 7 3 6 2" xfId="45982" xr:uid="{00000000-0005-0000-0000-0000B4860000}"/>
    <cellStyle name="Normal 2 3 6 7 3 7" xfId="45983" xr:uid="{00000000-0005-0000-0000-0000B5860000}"/>
    <cellStyle name="Normal 2 3 6 7 4" xfId="14429" xr:uid="{00000000-0005-0000-0000-0000B6860000}"/>
    <cellStyle name="Normal 2 3 6 7 4 2" xfId="14430" xr:uid="{00000000-0005-0000-0000-0000B7860000}"/>
    <cellStyle name="Normal 2 3 6 7 4 2 2" xfId="45984" xr:uid="{00000000-0005-0000-0000-0000B8860000}"/>
    <cellStyle name="Normal 2 3 6 7 4 3" xfId="14431" xr:uid="{00000000-0005-0000-0000-0000B9860000}"/>
    <cellStyle name="Normal 2 3 6 7 4 3 2" xfId="45985" xr:uid="{00000000-0005-0000-0000-0000BA860000}"/>
    <cellStyle name="Normal 2 3 6 7 4 4" xfId="45986" xr:uid="{00000000-0005-0000-0000-0000BB860000}"/>
    <cellStyle name="Normal 2 3 6 7 5" xfId="14432" xr:uid="{00000000-0005-0000-0000-0000BC860000}"/>
    <cellStyle name="Normal 2 3 6 7 5 2" xfId="14433" xr:uid="{00000000-0005-0000-0000-0000BD860000}"/>
    <cellStyle name="Normal 2 3 6 7 5 2 2" xfId="45987" xr:uid="{00000000-0005-0000-0000-0000BE860000}"/>
    <cellStyle name="Normal 2 3 6 7 5 3" xfId="45988" xr:uid="{00000000-0005-0000-0000-0000BF860000}"/>
    <cellStyle name="Normal 2 3 6 7 6" xfId="14434" xr:uid="{00000000-0005-0000-0000-0000C0860000}"/>
    <cellStyle name="Normal 2 3 6 7 6 2" xfId="45989" xr:uid="{00000000-0005-0000-0000-0000C1860000}"/>
    <cellStyle name="Normal 2 3 6 7 7" xfId="14435" xr:uid="{00000000-0005-0000-0000-0000C2860000}"/>
    <cellStyle name="Normal 2 3 6 7 7 2" xfId="45990" xr:uid="{00000000-0005-0000-0000-0000C3860000}"/>
    <cellStyle name="Normal 2 3 6 7 8" xfId="45991" xr:uid="{00000000-0005-0000-0000-0000C4860000}"/>
    <cellStyle name="Normal 2 3 6 7 8 2" xfId="45992" xr:uid="{00000000-0005-0000-0000-0000C5860000}"/>
    <cellStyle name="Normal 2 3 6 7 9" xfId="45993" xr:uid="{00000000-0005-0000-0000-0000C6860000}"/>
    <cellStyle name="Normal 2 3 6 8" xfId="14436" xr:uid="{00000000-0005-0000-0000-0000C7860000}"/>
    <cellStyle name="Normal 2 3 6 8 10" xfId="45994" xr:uid="{00000000-0005-0000-0000-0000C8860000}"/>
    <cellStyle name="Normal 2 3 6 8 11" xfId="45995" xr:uid="{00000000-0005-0000-0000-0000C9860000}"/>
    <cellStyle name="Normal 2 3 6 8 2" xfId="14437" xr:uid="{00000000-0005-0000-0000-0000CA860000}"/>
    <cellStyle name="Normal 2 3 6 8 2 10" xfId="45996" xr:uid="{00000000-0005-0000-0000-0000CB860000}"/>
    <cellStyle name="Normal 2 3 6 8 2 2" xfId="14438" xr:uid="{00000000-0005-0000-0000-0000CC860000}"/>
    <cellStyle name="Normal 2 3 6 8 2 2 2" xfId="14439" xr:uid="{00000000-0005-0000-0000-0000CD860000}"/>
    <cellStyle name="Normal 2 3 6 8 2 2 2 2" xfId="14440" xr:uid="{00000000-0005-0000-0000-0000CE860000}"/>
    <cellStyle name="Normal 2 3 6 8 2 2 2 2 2" xfId="45997" xr:uid="{00000000-0005-0000-0000-0000CF860000}"/>
    <cellStyle name="Normal 2 3 6 8 2 2 2 3" xfId="14441" xr:uid="{00000000-0005-0000-0000-0000D0860000}"/>
    <cellStyle name="Normal 2 3 6 8 2 2 2 3 2" xfId="45998" xr:uid="{00000000-0005-0000-0000-0000D1860000}"/>
    <cellStyle name="Normal 2 3 6 8 2 2 2 4" xfId="45999" xr:uid="{00000000-0005-0000-0000-0000D2860000}"/>
    <cellStyle name="Normal 2 3 6 8 2 2 3" xfId="14442" xr:uid="{00000000-0005-0000-0000-0000D3860000}"/>
    <cellStyle name="Normal 2 3 6 8 2 2 3 2" xfId="46000" xr:uid="{00000000-0005-0000-0000-0000D4860000}"/>
    <cellStyle name="Normal 2 3 6 8 2 2 4" xfId="14443" xr:uid="{00000000-0005-0000-0000-0000D5860000}"/>
    <cellStyle name="Normal 2 3 6 8 2 2 4 2" xfId="46001" xr:uid="{00000000-0005-0000-0000-0000D6860000}"/>
    <cellStyle name="Normal 2 3 6 8 2 2 5" xfId="14444" xr:uid="{00000000-0005-0000-0000-0000D7860000}"/>
    <cellStyle name="Normal 2 3 6 8 2 2 5 2" xfId="46002" xr:uid="{00000000-0005-0000-0000-0000D8860000}"/>
    <cellStyle name="Normal 2 3 6 8 2 2 6" xfId="46003" xr:uid="{00000000-0005-0000-0000-0000D9860000}"/>
    <cellStyle name="Normal 2 3 6 8 2 2 6 2" xfId="46004" xr:uid="{00000000-0005-0000-0000-0000DA860000}"/>
    <cellStyle name="Normal 2 3 6 8 2 2 7" xfId="46005" xr:uid="{00000000-0005-0000-0000-0000DB860000}"/>
    <cellStyle name="Normal 2 3 6 8 2 3" xfId="14445" xr:uid="{00000000-0005-0000-0000-0000DC860000}"/>
    <cellStyle name="Normal 2 3 6 8 2 3 2" xfId="14446" xr:uid="{00000000-0005-0000-0000-0000DD860000}"/>
    <cellStyle name="Normal 2 3 6 8 2 3 2 2" xfId="46006" xr:uid="{00000000-0005-0000-0000-0000DE860000}"/>
    <cellStyle name="Normal 2 3 6 8 2 3 3" xfId="14447" xr:uid="{00000000-0005-0000-0000-0000DF860000}"/>
    <cellStyle name="Normal 2 3 6 8 2 3 3 2" xfId="46007" xr:uid="{00000000-0005-0000-0000-0000E0860000}"/>
    <cellStyle name="Normal 2 3 6 8 2 3 4" xfId="46008" xr:uid="{00000000-0005-0000-0000-0000E1860000}"/>
    <cellStyle name="Normal 2 3 6 8 2 4" xfId="14448" xr:uid="{00000000-0005-0000-0000-0000E2860000}"/>
    <cellStyle name="Normal 2 3 6 8 2 4 2" xfId="14449" xr:uid="{00000000-0005-0000-0000-0000E3860000}"/>
    <cellStyle name="Normal 2 3 6 8 2 4 2 2" xfId="46009" xr:uid="{00000000-0005-0000-0000-0000E4860000}"/>
    <cellStyle name="Normal 2 3 6 8 2 4 3" xfId="46010" xr:uid="{00000000-0005-0000-0000-0000E5860000}"/>
    <cellStyle name="Normal 2 3 6 8 2 5" xfId="14450" xr:uid="{00000000-0005-0000-0000-0000E6860000}"/>
    <cellStyle name="Normal 2 3 6 8 2 5 2" xfId="46011" xr:uid="{00000000-0005-0000-0000-0000E7860000}"/>
    <cellStyle name="Normal 2 3 6 8 2 6" xfId="14451" xr:uid="{00000000-0005-0000-0000-0000E8860000}"/>
    <cellStyle name="Normal 2 3 6 8 2 6 2" xfId="46012" xr:uid="{00000000-0005-0000-0000-0000E9860000}"/>
    <cellStyle name="Normal 2 3 6 8 2 7" xfId="46013" xr:uid="{00000000-0005-0000-0000-0000EA860000}"/>
    <cellStyle name="Normal 2 3 6 8 2 7 2" xfId="46014" xr:uid="{00000000-0005-0000-0000-0000EB860000}"/>
    <cellStyle name="Normal 2 3 6 8 2 8" xfId="46015" xr:uid="{00000000-0005-0000-0000-0000EC860000}"/>
    <cellStyle name="Normal 2 3 6 8 2 9" xfId="46016" xr:uid="{00000000-0005-0000-0000-0000ED860000}"/>
    <cellStyle name="Normal 2 3 6 8 3" xfId="14452" xr:uid="{00000000-0005-0000-0000-0000EE860000}"/>
    <cellStyle name="Normal 2 3 6 8 3 2" xfId="14453" xr:uid="{00000000-0005-0000-0000-0000EF860000}"/>
    <cellStyle name="Normal 2 3 6 8 3 2 2" xfId="14454" xr:uid="{00000000-0005-0000-0000-0000F0860000}"/>
    <cellStyle name="Normal 2 3 6 8 3 2 2 2" xfId="46017" xr:uid="{00000000-0005-0000-0000-0000F1860000}"/>
    <cellStyle name="Normal 2 3 6 8 3 2 3" xfId="14455" xr:uid="{00000000-0005-0000-0000-0000F2860000}"/>
    <cellStyle name="Normal 2 3 6 8 3 2 3 2" xfId="46018" xr:uid="{00000000-0005-0000-0000-0000F3860000}"/>
    <cellStyle name="Normal 2 3 6 8 3 2 4" xfId="46019" xr:uid="{00000000-0005-0000-0000-0000F4860000}"/>
    <cellStyle name="Normal 2 3 6 8 3 3" xfId="14456" xr:uid="{00000000-0005-0000-0000-0000F5860000}"/>
    <cellStyle name="Normal 2 3 6 8 3 3 2" xfId="46020" xr:uid="{00000000-0005-0000-0000-0000F6860000}"/>
    <cellStyle name="Normal 2 3 6 8 3 4" xfId="14457" xr:uid="{00000000-0005-0000-0000-0000F7860000}"/>
    <cellStyle name="Normal 2 3 6 8 3 4 2" xfId="46021" xr:uid="{00000000-0005-0000-0000-0000F8860000}"/>
    <cellStyle name="Normal 2 3 6 8 3 5" xfId="14458" xr:uid="{00000000-0005-0000-0000-0000F9860000}"/>
    <cellStyle name="Normal 2 3 6 8 3 5 2" xfId="46022" xr:uid="{00000000-0005-0000-0000-0000FA860000}"/>
    <cellStyle name="Normal 2 3 6 8 3 6" xfId="46023" xr:uid="{00000000-0005-0000-0000-0000FB860000}"/>
    <cellStyle name="Normal 2 3 6 8 3 6 2" xfId="46024" xr:uid="{00000000-0005-0000-0000-0000FC860000}"/>
    <cellStyle name="Normal 2 3 6 8 3 7" xfId="46025" xr:uid="{00000000-0005-0000-0000-0000FD860000}"/>
    <cellStyle name="Normal 2 3 6 8 4" xfId="14459" xr:uid="{00000000-0005-0000-0000-0000FE860000}"/>
    <cellStyle name="Normal 2 3 6 8 4 2" xfId="14460" xr:uid="{00000000-0005-0000-0000-0000FF860000}"/>
    <cellStyle name="Normal 2 3 6 8 4 2 2" xfId="46026" xr:uid="{00000000-0005-0000-0000-000000870000}"/>
    <cellStyle name="Normal 2 3 6 8 4 3" xfId="14461" xr:uid="{00000000-0005-0000-0000-000001870000}"/>
    <cellStyle name="Normal 2 3 6 8 4 3 2" xfId="46027" xr:uid="{00000000-0005-0000-0000-000002870000}"/>
    <cellStyle name="Normal 2 3 6 8 4 4" xfId="46028" xr:uid="{00000000-0005-0000-0000-000003870000}"/>
    <cellStyle name="Normal 2 3 6 8 5" xfId="14462" xr:uid="{00000000-0005-0000-0000-000004870000}"/>
    <cellStyle name="Normal 2 3 6 8 5 2" xfId="14463" xr:uid="{00000000-0005-0000-0000-000005870000}"/>
    <cellStyle name="Normal 2 3 6 8 5 2 2" xfId="46029" xr:uid="{00000000-0005-0000-0000-000006870000}"/>
    <cellStyle name="Normal 2 3 6 8 5 3" xfId="46030" xr:uid="{00000000-0005-0000-0000-000007870000}"/>
    <cellStyle name="Normal 2 3 6 8 6" xfId="14464" xr:uid="{00000000-0005-0000-0000-000008870000}"/>
    <cellStyle name="Normal 2 3 6 8 6 2" xfId="46031" xr:uid="{00000000-0005-0000-0000-000009870000}"/>
    <cellStyle name="Normal 2 3 6 8 7" xfId="14465" xr:uid="{00000000-0005-0000-0000-00000A870000}"/>
    <cellStyle name="Normal 2 3 6 8 7 2" xfId="46032" xr:uid="{00000000-0005-0000-0000-00000B870000}"/>
    <cellStyle name="Normal 2 3 6 8 8" xfId="46033" xr:uid="{00000000-0005-0000-0000-00000C870000}"/>
    <cellStyle name="Normal 2 3 6 8 8 2" xfId="46034" xr:uid="{00000000-0005-0000-0000-00000D870000}"/>
    <cellStyle name="Normal 2 3 6 8 9" xfId="46035" xr:uid="{00000000-0005-0000-0000-00000E870000}"/>
    <cellStyle name="Normal 2 3 6 9" xfId="14466" xr:uid="{00000000-0005-0000-0000-00000F870000}"/>
    <cellStyle name="Normal 2 3 6 9 10" xfId="46036" xr:uid="{00000000-0005-0000-0000-000010870000}"/>
    <cellStyle name="Normal 2 3 6 9 11" xfId="46037" xr:uid="{00000000-0005-0000-0000-000011870000}"/>
    <cellStyle name="Normal 2 3 6 9 2" xfId="14467" xr:uid="{00000000-0005-0000-0000-000012870000}"/>
    <cellStyle name="Normal 2 3 6 9 2 10" xfId="46038" xr:uid="{00000000-0005-0000-0000-000013870000}"/>
    <cellStyle name="Normal 2 3 6 9 2 2" xfId="14468" xr:uid="{00000000-0005-0000-0000-000014870000}"/>
    <cellStyle name="Normal 2 3 6 9 2 2 2" xfId="14469" xr:uid="{00000000-0005-0000-0000-000015870000}"/>
    <cellStyle name="Normal 2 3 6 9 2 2 2 2" xfId="14470" xr:uid="{00000000-0005-0000-0000-000016870000}"/>
    <cellStyle name="Normal 2 3 6 9 2 2 2 2 2" xfId="46039" xr:uid="{00000000-0005-0000-0000-000017870000}"/>
    <cellStyle name="Normal 2 3 6 9 2 2 2 3" xfId="14471" xr:uid="{00000000-0005-0000-0000-000018870000}"/>
    <cellStyle name="Normal 2 3 6 9 2 2 2 3 2" xfId="46040" xr:uid="{00000000-0005-0000-0000-000019870000}"/>
    <cellStyle name="Normal 2 3 6 9 2 2 2 4" xfId="46041" xr:uid="{00000000-0005-0000-0000-00001A870000}"/>
    <cellStyle name="Normal 2 3 6 9 2 2 3" xfId="14472" xr:uid="{00000000-0005-0000-0000-00001B870000}"/>
    <cellStyle name="Normal 2 3 6 9 2 2 3 2" xfId="46042" xr:uid="{00000000-0005-0000-0000-00001C870000}"/>
    <cellStyle name="Normal 2 3 6 9 2 2 4" xfId="14473" xr:uid="{00000000-0005-0000-0000-00001D870000}"/>
    <cellStyle name="Normal 2 3 6 9 2 2 4 2" xfId="46043" xr:uid="{00000000-0005-0000-0000-00001E870000}"/>
    <cellStyle name="Normal 2 3 6 9 2 2 5" xfId="14474" xr:uid="{00000000-0005-0000-0000-00001F870000}"/>
    <cellStyle name="Normal 2 3 6 9 2 2 5 2" xfId="46044" xr:uid="{00000000-0005-0000-0000-000020870000}"/>
    <cellStyle name="Normal 2 3 6 9 2 2 6" xfId="46045" xr:uid="{00000000-0005-0000-0000-000021870000}"/>
    <cellStyle name="Normal 2 3 6 9 2 2 6 2" xfId="46046" xr:uid="{00000000-0005-0000-0000-000022870000}"/>
    <cellStyle name="Normal 2 3 6 9 2 2 7" xfId="46047" xr:uid="{00000000-0005-0000-0000-000023870000}"/>
    <cellStyle name="Normal 2 3 6 9 2 3" xfId="14475" xr:uid="{00000000-0005-0000-0000-000024870000}"/>
    <cellStyle name="Normal 2 3 6 9 2 3 2" xfId="14476" xr:uid="{00000000-0005-0000-0000-000025870000}"/>
    <cellStyle name="Normal 2 3 6 9 2 3 2 2" xfId="46048" xr:uid="{00000000-0005-0000-0000-000026870000}"/>
    <cellStyle name="Normal 2 3 6 9 2 3 3" xfId="14477" xr:uid="{00000000-0005-0000-0000-000027870000}"/>
    <cellStyle name="Normal 2 3 6 9 2 3 3 2" xfId="46049" xr:uid="{00000000-0005-0000-0000-000028870000}"/>
    <cellStyle name="Normal 2 3 6 9 2 3 4" xfId="46050" xr:uid="{00000000-0005-0000-0000-000029870000}"/>
    <cellStyle name="Normal 2 3 6 9 2 4" xfId="14478" xr:uid="{00000000-0005-0000-0000-00002A870000}"/>
    <cellStyle name="Normal 2 3 6 9 2 4 2" xfId="14479" xr:uid="{00000000-0005-0000-0000-00002B870000}"/>
    <cellStyle name="Normal 2 3 6 9 2 4 2 2" xfId="46051" xr:uid="{00000000-0005-0000-0000-00002C870000}"/>
    <cellStyle name="Normal 2 3 6 9 2 4 3" xfId="46052" xr:uid="{00000000-0005-0000-0000-00002D870000}"/>
    <cellStyle name="Normal 2 3 6 9 2 5" xfId="14480" xr:uid="{00000000-0005-0000-0000-00002E870000}"/>
    <cellStyle name="Normal 2 3 6 9 2 5 2" xfId="46053" xr:uid="{00000000-0005-0000-0000-00002F870000}"/>
    <cellStyle name="Normal 2 3 6 9 2 6" xfId="14481" xr:uid="{00000000-0005-0000-0000-000030870000}"/>
    <cellStyle name="Normal 2 3 6 9 2 6 2" xfId="46054" xr:uid="{00000000-0005-0000-0000-000031870000}"/>
    <cellStyle name="Normal 2 3 6 9 2 7" xfId="46055" xr:uid="{00000000-0005-0000-0000-000032870000}"/>
    <cellStyle name="Normal 2 3 6 9 2 7 2" xfId="46056" xr:uid="{00000000-0005-0000-0000-000033870000}"/>
    <cellStyle name="Normal 2 3 6 9 2 8" xfId="46057" xr:uid="{00000000-0005-0000-0000-000034870000}"/>
    <cellStyle name="Normal 2 3 6 9 2 9" xfId="46058" xr:uid="{00000000-0005-0000-0000-000035870000}"/>
    <cellStyle name="Normal 2 3 6 9 3" xfId="14482" xr:uid="{00000000-0005-0000-0000-000036870000}"/>
    <cellStyle name="Normal 2 3 6 9 3 2" xfId="14483" xr:uid="{00000000-0005-0000-0000-000037870000}"/>
    <cellStyle name="Normal 2 3 6 9 3 2 2" xfId="14484" xr:uid="{00000000-0005-0000-0000-000038870000}"/>
    <cellStyle name="Normal 2 3 6 9 3 2 2 2" xfId="46059" xr:uid="{00000000-0005-0000-0000-000039870000}"/>
    <cellStyle name="Normal 2 3 6 9 3 2 3" xfId="14485" xr:uid="{00000000-0005-0000-0000-00003A870000}"/>
    <cellStyle name="Normal 2 3 6 9 3 2 3 2" xfId="46060" xr:uid="{00000000-0005-0000-0000-00003B870000}"/>
    <cellStyle name="Normal 2 3 6 9 3 2 4" xfId="46061" xr:uid="{00000000-0005-0000-0000-00003C870000}"/>
    <cellStyle name="Normal 2 3 6 9 3 3" xfId="14486" xr:uid="{00000000-0005-0000-0000-00003D870000}"/>
    <cellStyle name="Normal 2 3 6 9 3 3 2" xfId="46062" xr:uid="{00000000-0005-0000-0000-00003E870000}"/>
    <cellStyle name="Normal 2 3 6 9 3 4" xfId="14487" xr:uid="{00000000-0005-0000-0000-00003F870000}"/>
    <cellStyle name="Normal 2 3 6 9 3 4 2" xfId="46063" xr:uid="{00000000-0005-0000-0000-000040870000}"/>
    <cellStyle name="Normal 2 3 6 9 3 5" xfId="14488" xr:uid="{00000000-0005-0000-0000-000041870000}"/>
    <cellStyle name="Normal 2 3 6 9 3 5 2" xfId="46064" xr:uid="{00000000-0005-0000-0000-000042870000}"/>
    <cellStyle name="Normal 2 3 6 9 3 6" xfId="46065" xr:uid="{00000000-0005-0000-0000-000043870000}"/>
    <cellStyle name="Normal 2 3 6 9 3 6 2" xfId="46066" xr:uid="{00000000-0005-0000-0000-000044870000}"/>
    <cellStyle name="Normal 2 3 6 9 3 7" xfId="46067" xr:uid="{00000000-0005-0000-0000-000045870000}"/>
    <cellStyle name="Normal 2 3 6 9 4" xfId="14489" xr:uid="{00000000-0005-0000-0000-000046870000}"/>
    <cellStyle name="Normal 2 3 6 9 4 2" xfId="14490" xr:uid="{00000000-0005-0000-0000-000047870000}"/>
    <cellStyle name="Normal 2 3 6 9 4 2 2" xfId="46068" xr:uid="{00000000-0005-0000-0000-000048870000}"/>
    <cellStyle name="Normal 2 3 6 9 4 3" xfId="14491" xr:uid="{00000000-0005-0000-0000-000049870000}"/>
    <cellStyle name="Normal 2 3 6 9 4 3 2" xfId="46069" xr:uid="{00000000-0005-0000-0000-00004A870000}"/>
    <cellStyle name="Normal 2 3 6 9 4 4" xfId="46070" xr:uid="{00000000-0005-0000-0000-00004B870000}"/>
    <cellStyle name="Normal 2 3 6 9 5" xfId="14492" xr:uid="{00000000-0005-0000-0000-00004C870000}"/>
    <cellStyle name="Normal 2 3 6 9 5 2" xfId="14493" xr:uid="{00000000-0005-0000-0000-00004D870000}"/>
    <cellStyle name="Normal 2 3 6 9 5 2 2" xfId="46071" xr:uid="{00000000-0005-0000-0000-00004E870000}"/>
    <cellStyle name="Normal 2 3 6 9 5 3" xfId="46072" xr:uid="{00000000-0005-0000-0000-00004F870000}"/>
    <cellStyle name="Normal 2 3 6 9 6" xfId="14494" xr:uid="{00000000-0005-0000-0000-000050870000}"/>
    <cellStyle name="Normal 2 3 6 9 6 2" xfId="46073" xr:uid="{00000000-0005-0000-0000-000051870000}"/>
    <cellStyle name="Normal 2 3 6 9 7" xfId="14495" xr:uid="{00000000-0005-0000-0000-000052870000}"/>
    <cellStyle name="Normal 2 3 6 9 7 2" xfId="46074" xr:uid="{00000000-0005-0000-0000-000053870000}"/>
    <cellStyle name="Normal 2 3 6 9 8" xfId="46075" xr:uid="{00000000-0005-0000-0000-000054870000}"/>
    <cellStyle name="Normal 2 3 6 9 8 2" xfId="46076" xr:uid="{00000000-0005-0000-0000-000055870000}"/>
    <cellStyle name="Normal 2 3 6 9 9" xfId="46077" xr:uid="{00000000-0005-0000-0000-000056870000}"/>
    <cellStyle name="Normal 2 3 7" xfId="14496" xr:uid="{00000000-0005-0000-0000-000057870000}"/>
    <cellStyle name="Normal 2 3 7 10" xfId="14497" xr:uid="{00000000-0005-0000-0000-000058870000}"/>
    <cellStyle name="Normal 2 3 7 10 10" xfId="46078" xr:uid="{00000000-0005-0000-0000-000059870000}"/>
    <cellStyle name="Normal 2 3 7 10 11" xfId="46079" xr:uid="{00000000-0005-0000-0000-00005A870000}"/>
    <cellStyle name="Normal 2 3 7 10 2" xfId="14498" xr:uid="{00000000-0005-0000-0000-00005B870000}"/>
    <cellStyle name="Normal 2 3 7 10 2 10" xfId="46080" xr:uid="{00000000-0005-0000-0000-00005C870000}"/>
    <cellStyle name="Normal 2 3 7 10 2 2" xfId="14499" xr:uid="{00000000-0005-0000-0000-00005D870000}"/>
    <cellStyle name="Normal 2 3 7 10 2 2 2" xfId="14500" xr:uid="{00000000-0005-0000-0000-00005E870000}"/>
    <cellStyle name="Normal 2 3 7 10 2 2 2 2" xfId="14501" xr:uid="{00000000-0005-0000-0000-00005F870000}"/>
    <cellStyle name="Normal 2 3 7 10 2 2 2 2 2" xfId="46081" xr:uid="{00000000-0005-0000-0000-000060870000}"/>
    <cellStyle name="Normal 2 3 7 10 2 2 2 3" xfId="14502" xr:uid="{00000000-0005-0000-0000-000061870000}"/>
    <cellStyle name="Normal 2 3 7 10 2 2 2 3 2" xfId="46082" xr:uid="{00000000-0005-0000-0000-000062870000}"/>
    <cellStyle name="Normal 2 3 7 10 2 2 2 4" xfId="46083" xr:uid="{00000000-0005-0000-0000-000063870000}"/>
    <cellStyle name="Normal 2 3 7 10 2 2 3" xfId="14503" xr:uid="{00000000-0005-0000-0000-000064870000}"/>
    <cellStyle name="Normal 2 3 7 10 2 2 3 2" xfId="46084" xr:uid="{00000000-0005-0000-0000-000065870000}"/>
    <cellStyle name="Normal 2 3 7 10 2 2 4" xfId="14504" xr:uid="{00000000-0005-0000-0000-000066870000}"/>
    <cellStyle name="Normal 2 3 7 10 2 2 4 2" xfId="46085" xr:uid="{00000000-0005-0000-0000-000067870000}"/>
    <cellStyle name="Normal 2 3 7 10 2 2 5" xfId="14505" xr:uid="{00000000-0005-0000-0000-000068870000}"/>
    <cellStyle name="Normal 2 3 7 10 2 2 5 2" xfId="46086" xr:uid="{00000000-0005-0000-0000-000069870000}"/>
    <cellStyle name="Normal 2 3 7 10 2 2 6" xfId="46087" xr:uid="{00000000-0005-0000-0000-00006A870000}"/>
    <cellStyle name="Normal 2 3 7 10 2 2 6 2" xfId="46088" xr:uid="{00000000-0005-0000-0000-00006B870000}"/>
    <cellStyle name="Normal 2 3 7 10 2 2 7" xfId="46089" xr:uid="{00000000-0005-0000-0000-00006C870000}"/>
    <cellStyle name="Normal 2 3 7 10 2 3" xfId="14506" xr:uid="{00000000-0005-0000-0000-00006D870000}"/>
    <cellStyle name="Normal 2 3 7 10 2 3 2" xfId="14507" xr:uid="{00000000-0005-0000-0000-00006E870000}"/>
    <cellStyle name="Normal 2 3 7 10 2 3 2 2" xfId="46090" xr:uid="{00000000-0005-0000-0000-00006F870000}"/>
    <cellStyle name="Normal 2 3 7 10 2 3 3" xfId="14508" xr:uid="{00000000-0005-0000-0000-000070870000}"/>
    <cellStyle name="Normal 2 3 7 10 2 3 3 2" xfId="46091" xr:uid="{00000000-0005-0000-0000-000071870000}"/>
    <cellStyle name="Normal 2 3 7 10 2 3 4" xfId="46092" xr:uid="{00000000-0005-0000-0000-000072870000}"/>
    <cellStyle name="Normal 2 3 7 10 2 4" xfId="14509" xr:uid="{00000000-0005-0000-0000-000073870000}"/>
    <cellStyle name="Normal 2 3 7 10 2 4 2" xfId="14510" xr:uid="{00000000-0005-0000-0000-000074870000}"/>
    <cellStyle name="Normal 2 3 7 10 2 4 2 2" xfId="46093" xr:uid="{00000000-0005-0000-0000-000075870000}"/>
    <cellStyle name="Normal 2 3 7 10 2 4 3" xfId="46094" xr:uid="{00000000-0005-0000-0000-000076870000}"/>
    <cellStyle name="Normal 2 3 7 10 2 5" xfId="14511" xr:uid="{00000000-0005-0000-0000-000077870000}"/>
    <cellStyle name="Normal 2 3 7 10 2 5 2" xfId="46095" xr:uid="{00000000-0005-0000-0000-000078870000}"/>
    <cellStyle name="Normal 2 3 7 10 2 6" xfId="14512" xr:uid="{00000000-0005-0000-0000-000079870000}"/>
    <cellStyle name="Normal 2 3 7 10 2 6 2" xfId="46096" xr:uid="{00000000-0005-0000-0000-00007A870000}"/>
    <cellStyle name="Normal 2 3 7 10 2 7" xfId="46097" xr:uid="{00000000-0005-0000-0000-00007B870000}"/>
    <cellStyle name="Normal 2 3 7 10 2 7 2" xfId="46098" xr:uid="{00000000-0005-0000-0000-00007C870000}"/>
    <cellStyle name="Normal 2 3 7 10 2 8" xfId="46099" xr:uid="{00000000-0005-0000-0000-00007D870000}"/>
    <cellStyle name="Normal 2 3 7 10 2 9" xfId="46100" xr:uid="{00000000-0005-0000-0000-00007E870000}"/>
    <cellStyle name="Normal 2 3 7 10 3" xfId="14513" xr:uid="{00000000-0005-0000-0000-00007F870000}"/>
    <cellStyle name="Normal 2 3 7 10 3 2" xfId="14514" xr:uid="{00000000-0005-0000-0000-000080870000}"/>
    <cellStyle name="Normal 2 3 7 10 3 2 2" xfId="14515" xr:uid="{00000000-0005-0000-0000-000081870000}"/>
    <cellStyle name="Normal 2 3 7 10 3 2 2 2" xfId="46101" xr:uid="{00000000-0005-0000-0000-000082870000}"/>
    <cellStyle name="Normal 2 3 7 10 3 2 3" xfId="14516" xr:uid="{00000000-0005-0000-0000-000083870000}"/>
    <cellStyle name="Normal 2 3 7 10 3 2 3 2" xfId="46102" xr:uid="{00000000-0005-0000-0000-000084870000}"/>
    <cellStyle name="Normal 2 3 7 10 3 2 4" xfId="46103" xr:uid="{00000000-0005-0000-0000-000085870000}"/>
    <cellStyle name="Normal 2 3 7 10 3 3" xfId="14517" xr:uid="{00000000-0005-0000-0000-000086870000}"/>
    <cellStyle name="Normal 2 3 7 10 3 3 2" xfId="46104" xr:uid="{00000000-0005-0000-0000-000087870000}"/>
    <cellStyle name="Normal 2 3 7 10 3 4" xfId="14518" xr:uid="{00000000-0005-0000-0000-000088870000}"/>
    <cellStyle name="Normal 2 3 7 10 3 4 2" xfId="46105" xr:uid="{00000000-0005-0000-0000-000089870000}"/>
    <cellStyle name="Normal 2 3 7 10 3 5" xfId="14519" xr:uid="{00000000-0005-0000-0000-00008A870000}"/>
    <cellStyle name="Normal 2 3 7 10 3 5 2" xfId="46106" xr:uid="{00000000-0005-0000-0000-00008B870000}"/>
    <cellStyle name="Normal 2 3 7 10 3 6" xfId="46107" xr:uid="{00000000-0005-0000-0000-00008C870000}"/>
    <cellStyle name="Normal 2 3 7 10 3 6 2" xfId="46108" xr:uid="{00000000-0005-0000-0000-00008D870000}"/>
    <cellStyle name="Normal 2 3 7 10 3 7" xfId="46109" xr:uid="{00000000-0005-0000-0000-00008E870000}"/>
    <cellStyle name="Normal 2 3 7 10 4" xfId="14520" xr:uid="{00000000-0005-0000-0000-00008F870000}"/>
    <cellStyle name="Normal 2 3 7 10 4 2" xfId="14521" xr:uid="{00000000-0005-0000-0000-000090870000}"/>
    <cellStyle name="Normal 2 3 7 10 4 2 2" xfId="46110" xr:uid="{00000000-0005-0000-0000-000091870000}"/>
    <cellStyle name="Normal 2 3 7 10 4 3" xfId="14522" xr:uid="{00000000-0005-0000-0000-000092870000}"/>
    <cellStyle name="Normal 2 3 7 10 4 3 2" xfId="46111" xr:uid="{00000000-0005-0000-0000-000093870000}"/>
    <cellStyle name="Normal 2 3 7 10 4 4" xfId="46112" xr:uid="{00000000-0005-0000-0000-000094870000}"/>
    <cellStyle name="Normal 2 3 7 10 5" xfId="14523" xr:uid="{00000000-0005-0000-0000-000095870000}"/>
    <cellStyle name="Normal 2 3 7 10 5 2" xfId="14524" xr:uid="{00000000-0005-0000-0000-000096870000}"/>
    <cellStyle name="Normal 2 3 7 10 5 2 2" xfId="46113" xr:uid="{00000000-0005-0000-0000-000097870000}"/>
    <cellStyle name="Normal 2 3 7 10 5 3" xfId="46114" xr:uid="{00000000-0005-0000-0000-000098870000}"/>
    <cellStyle name="Normal 2 3 7 10 6" xfId="14525" xr:uid="{00000000-0005-0000-0000-000099870000}"/>
    <cellStyle name="Normal 2 3 7 10 6 2" xfId="46115" xr:uid="{00000000-0005-0000-0000-00009A870000}"/>
    <cellStyle name="Normal 2 3 7 10 7" xfId="14526" xr:uid="{00000000-0005-0000-0000-00009B870000}"/>
    <cellStyle name="Normal 2 3 7 10 7 2" xfId="46116" xr:uid="{00000000-0005-0000-0000-00009C870000}"/>
    <cellStyle name="Normal 2 3 7 10 8" xfId="46117" xr:uid="{00000000-0005-0000-0000-00009D870000}"/>
    <cellStyle name="Normal 2 3 7 10 8 2" xfId="46118" xr:uid="{00000000-0005-0000-0000-00009E870000}"/>
    <cellStyle name="Normal 2 3 7 10 9" xfId="46119" xr:uid="{00000000-0005-0000-0000-00009F870000}"/>
    <cellStyle name="Normal 2 3 7 11" xfId="14527" xr:uid="{00000000-0005-0000-0000-0000A0870000}"/>
    <cellStyle name="Normal 2 3 7 11 10" xfId="46120" xr:uid="{00000000-0005-0000-0000-0000A1870000}"/>
    <cellStyle name="Normal 2 3 7 11 11" xfId="46121" xr:uid="{00000000-0005-0000-0000-0000A2870000}"/>
    <cellStyle name="Normal 2 3 7 11 2" xfId="14528" xr:uid="{00000000-0005-0000-0000-0000A3870000}"/>
    <cellStyle name="Normal 2 3 7 11 2 10" xfId="46122" xr:uid="{00000000-0005-0000-0000-0000A4870000}"/>
    <cellStyle name="Normal 2 3 7 11 2 2" xfId="14529" xr:uid="{00000000-0005-0000-0000-0000A5870000}"/>
    <cellStyle name="Normal 2 3 7 11 2 2 2" xfId="14530" xr:uid="{00000000-0005-0000-0000-0000A6870000}"/>
    <cellStyle name="Normal 2 3 7 11 2 2 2 2" xfId="14531" xr:uid="{00000000-0005-0000-0000-0000A7870000}"/>
    <cellStyle name="Normal 2 3 7 11 2 2 2 2 2" xfId="46123" xr:uid="{00000000-0005-0000-0000-0000A8870000}"/>
    <cellStyle name="Normal 2 3 7 11 2 2 2 3" xfId="14532" xr:uid="{00000000-0005-0000-0000-0000A9870000}"/>
    <cellStyle name="Normal 2 3 7 11 2 2 2 3 2" xfId="46124" xr:uid="{00000000-0005-0000-0000-0000AA870000}"/>
    <cellStyle name="Normal 2 3 7 11 2 2 2 4" xfId="46125" xr:uid="{00000000-0005-0000-0000-0000AB870000}"/>
    <cellStyle name="Normal 2 3 7 11 2 2 3" xfId="14533" xr:uid="{00000000-0005-0000-0000-0000AC870000}"/>
    <cellStyle name="Normal 2 3 7 11 2 2 3 2" xfId="46126" xr:uid="{00000000-0005-0000-0000-0000AD870000}"/>
    <cellStyle name="Normal 2 3 7 11 2 2 4" xfId="14534" xr:uid="{00000000-0005-0000-0000-0000AE870000}"/>
    <cellStyle name="Normal 2 3 7 11 2 2 4 2" xfId="46127" xr:uid="{00000000-0005-0000-0000-0000AF870000}"/>
    <cellStyle name="Normal 2 3 7 11 2 2 5" xfId="14535" xr:uid="{00000000-0005-0000-0000-0000B0870000}"/>
    <cellStyle name="Normal 2 3 7 11 2 2 5 2" xfId="46128" xr:uid="{00000000-0005-0000-0000-0000B1870000}"/>
    <cellStyle name="Normal 2 3 7 11 2 2 6" xfId="46129" xr:uid="{00000000-0005-0000-0000-0000B2870000}"/>
    <cellStyle name="Normal 2 3 7 11 2 2 6 2" xfId="46130" xr:uid="{00000000-0005-0000-0000-0000B3870000}"/>
    <cellStyle name="Normal 2 3 7 11 2 2 7" xfId="46131" xr:uid="{00000000-0005-0000-0000-0000B4870000}"/>
    <cellStyle name="Normal 2 3 7 11 2 3" xfId="14536" xr:uid="{00000000-0005-0000-0000-0000B5870000}"/>
    <cellStyle name="Normal 2 3 7 11 2 3 2" xfId="14537" xr:uid="{00000000-0005-0000-0000-0000B6870000}"/>
    <cellStyle name="Normal 2 3 7 11 2 3 2 2" xfId="46132" xr:uid="{00000000-0005-0000-0000-0000B7870000}"/>
    <cellStyle name="Normal 2 3 7 11 2 3 3" xfId="14538" xr:uid="{00000000-0005-0000-0000-0000B8870000}"/>
    <cellStyle name="Normal 2 3 7 11 2 3 3 2" xfId="46133" xr:uid="{00000000-0005-0000-0000-0000B9870000}"/>
    <cellStyle name="Normal 2 3 7 11 2 3 4" xfId="46134" xr:uid="{00000000-0005-0000-0000-0000BA870000}"/>
    <cellStyle name="Normal 2 3 7 11 2 4" xfId="14539" xr:uid="{00000000-0005-0000-0000-0000BB870000}"/>
    <cellStyle name="Normal 2 3 7 11 2 4 2" xfId="14540" xr:uid="{00000000-0005-0000-0000-0000BC870000}"/>
    <cellStyle name="Normal 2 3 7 11 2 4 2 2" xfId="46135" xr:uid="{00000000-0005-0000-0000-0000BD870000}"/>
    <cellStyle name="Normal 2 3 7 11 2 4 3" xfId="46136" xr:uid="{00000000-0005-0000-0000-0000BE870000}"/>
    <cellStyle name="Normal 2 3 7 11 2 5" xfId="14541" xr:uid="{00000000-0005-0000-0000-0000BF870000}"/>
    <cellStyle name="Normal 2 3 7 11 2 5 2" xfId="46137" xr:uid="{00000000-0005-0000-0000-0000C0870000}"/>
    <cellStyle name="Normal 2 3 7 11 2 6" xfId="14542" xr:uid="{00000000-0005-0000-0000-0000C1870000}"/>
    <cellStyle name="Normal 2 3 7 11 2 6 2" xfId="46138" xr:uid="{00000000-0005-0000-0000-0000C2870000}"/>
    <cellStyle name="Normal 2 3 7 11 2 7" xfId="46139" xr:uid="{00000000-0005-0000-0000-0000C3870000}"/>
    <cellStyle name="Normal 2 3 7 11 2 7 2" xfId="46140" xr:uid="{00000000-0005-0000-0000-0000C4870000}"/>
    <cellStyle name="Normal 2 3 7 11 2 8" xfId="46141" xr:uid="{00000000-0005-0000-0000-0000C5870000}"/>
    <cellStyle name="Normal 2 3 7 11 2 9" xfId="46142" xr:uid="{00000000-0005-0000-0000-0000C6870000}"/>
    <cellStyle name="Normal 2 3 7 11 3" xfId="14543" xr:uid="{00000000-0005-0000-0000-0000C7870000}"/>
    <cellStyle name="Normal 2 3 7 11 3 2" xfId="14544" xr:uid="{00000000-0005-0000-0000-0000C8870000}"/>
    <cellStyle name="Normal 2 3 7 11 3 2 2" xfId="14545" xr:uid="{00000000-0005-0000-0000-0000C9870000}"/>
    <cellStyle name="Normal 2 3 7 11 3 2 2 2" xfId="46143" xr:uid="{00000000-0005-0000-0000-0000CA870000}"/>
    <cellStyle name="Normal 2 3 7 11 3 2 3" xfId="14546" xr:uid="{00000000-0005-0000-0000-0000CB870000}"/>
    <cellStyle name="Normal 2 3 7 11 3 2 3 2" xfId="46144" xr:uid="{00000000-0005-0000-0000-0000CC870000}"/>
    <cellStyle name="Normal 2 3 7 11 3 2 4" xfId="46145" xr:uid="{00000000-0005-0000-0000-0000CD870000}"/>
    <cellStyle name="Normal 2 3 7 11 3 3" xfId="14547" xr:uid="{00000000-0005-0000-0000-0000CE870000}"/>
    <cellStyle name="Normal 2 3 7 11 3 3 2" xfId="46146" xr:uid="{00000000-0005-0000-0000-0000CF870000}"/>
    <cellStyle name="Normal 2 3 7 11 3 4" xfId="14548" xr:uid="{00000000-0005-0000-0000-0000D0870000}"/>
    <cellStyle name="Normal 2 3 7 11 3 4 2" xfId="46147" xr:uid="{00000000-0005-0000-0000-0000D1870000}"/>
    <cellStyle name="Normal 2 3 7 11 3 5" xfId="14549" xr:uid="{00000000-0005-0000-0000-0000D2870000}"/>
    <cellStyle name="Normal 2 3 7 11 3 5 2" xfId="46148" xr:uid="{00000000-0005-0000-0000-0000D3870000}"/>
    <cellStyle name="Normal 2 3 7 11 3 6" xfId="46149" xr:uid="{00000000-0005-0000-0000-0000D4870000}"/>
    <cellStyle name="Normal 2 3 7 11 3 6 2" xfId="46150" xr:uid="{00000000-0005-0000-0000-0000D5870000}"/>
    <cellStyle name="Normal 2 3 7 11 3 7" xfId="46151" xr:uid="{00000000-0005-0000-0000-0000D6870000}"/>
    <cellStyle name="Normal 2 3 7 11 4" xfId="14550" xr:uid="{00000000-0005-0000-0000-0000D7870000}"/>
    <cellStyle name="Normal 2 3 7 11 4 2" xfId="14551" xr:uid="{00000000-0005-0000-0000-0000D8870000}"/>
    <cellStyle name="Normal 2 3 7 11 4 2 2" xfId="46152" xr:uid="{00000000-0005-0000-0000-0000D9870000}"/>
    <cellStyle name="Normal 2 3 7 11 4 3" xfId="14552" xr:uid="{00000000-0005-0000-0000-0000DA870000}"/>
    <cellStyle name="Normal 2 3 7 11 4 3 2" xfId="46153" xr:uid="{00000000-0005-0000-0000-0000DB870000}"/>
    <cellStyle name="Normal 2 3 7 11 4 4" xfId="46154" xr:uid="{00000000-0005-0000-0000-0000DC870000}"/>
    <cellStyle name="Normal 2 3 7 11 5" xfId="14553" xr:uid="{00000000-0005-0000-0000-0000DD870000}"/>
    <cellStyle name="Normal 2 3 7 11 5 2" xfId="14554" xr:uid="{00000000-0005-0000-0000-0000DE870000}"/>
    <cellStyle name="Normal 2 3 7 11 5 2 2" xfId="46155" xr:uid="{00000000-0005-0000-0000-0000DF870000}"/>
    <cellStyle name="Normal 2 3 7 11 5 3" xfId="46156" xr:uid="{00000000-0005-0000-0000-0000E0870000}"/>
    <cellStyle name="Normal 2 3 7 11 6" xfId="14555" xr:uid="{00000000-0005-0000-0000-0000E1870000}"/>
    <cellStyle name="Normal 2 3 7 11 6 2" xfId="46157" xr:uid="{00000000-0005-0000-0000-0000E2870000}"/>
    <cellStyle name="Normal 2 3 7 11 7" xfId="14556" xr:uid="{00000000-0005-0000-0000-0000E3870000}"/>
    <cellStyle name="Normal 2 3 7 11 7 2" xfId="46158" xr:uid="{00000000-0005-0000-0000-0000E4870000}"/>
    <cellStyle name="Normal 2 3 7 11 8" xfId="46159" xr:uid="{00000000-0005-0000-0000-0000E5870000}"/>
    <cellStyle name="Normal 2 3 7 11 8 2" xfId="46160" xr:uid="{00000000-0005-0000-0000-0000E6870000}"/>
    <cellStyle name="Normal 2 3 7 11 9" xfId="46161" xr:uid="{00000000-0005-0000-0000-0000E7870000}"/>
    <cellStyle name="Normal 2 3 7 12" xfId="14557" xr:uid="{00000000-0005-0000-0000-0000E8870000}"/>
    <cellStyle name="Normal 2 3 7 12 10" xfId="46162" xr:uid="{00000000-0005-0000-0000-0000E9870000}"/>
    <cellStyle name="Normal 2 3 7 12 11" xfId="46163" xr:uid="{00000000-0005-0000-0000-0000EA870000}"/>
    <cellStyle name="Normal 2 3 7 12 2" xfId="14558" xr:uid="{00000000-0005-0000-0000-0000EB870000}"/>
    <cellStyle name="Normal 2 3 7 12 2 10" xfId="46164" xr:uid="{00000000-0005-0000-0000-0000EC870000}"/>
    <cellStyle name="Normal 2 3 7 12 2 2" xfId="14559" xr:uid="{00000000-0005-0000-0000-0000ED870000}"/>
    <cellStyle name="Normal 2 3 7 12 2 2 2" xfId="14560" xr:uid="{00000000-0005-0000-0000-0000EE870000}"/>
    <cellStyle name="Normal 2 3 7 12 2 2 2 2" xfId="14561" xr:uid="{00000000-0005-0000-0000-0000EF870000}"/>
    <cellStyle name="Normal 2 3 7 12 2 2 2 2 2" xfId="46165" xr:uid="{00000000-0005-0000-0000-0000F0870000}"/>
    <cellStyle name="Normal 2 3 7 12 2 2 2 3" xfId="14562" xr:uid="{00000000-0005-0000-0000-0000F1870000}"/>
    <cellStyle name="Normal 2 3 7 12 2 2 2 3 2" xfId="46166" xr:uid="{00000000-0005-0000-0000-0000F2870000}"/>
    <cellStyle name="Normal 2 3 7 12 2 2 2 4" xfId="46167" xr:uid="{00000000-0005-0000-0000-0000F3870000}"/>
    <cellStyle name="Normal 2 3 7 12 2 2 3" xfId="14563" xr:uid="{00000000-0005-0000-0000-0000F4870000}"/>
    <cellStyle name="Normal 2 3 7 12 2 2 3 2" xfId="46168" xr:uid="{00000000-0005-0000-0000-0000F5870000}"/>
    <cellStyle name="Normal 2 3 7 12 2 2 4" xfId="14564" xr:uid="{00000000-0005-0000-0000-0000F6870000}"/>
    <cellStyle name="Normal 2 3 7 12 2 2 4 2" xfId="46169" xr:uid="{00000000-0005-0000-0000-0000F7870000}"/>
    <cellStyle name="Normal 2 3 7 12 2 2 5" xfId="14565" xr:uid="{00000000-0005-0000-0000-0000F8870000}"/>
    <cellStyle name="Normal 2 3 7 12 2 2 5 2" xfId="46170" xr:uid="{00000000-0005-0000-0000-0000F9870000}"/>
    <cellStyle name="Normal 2 3 7 12 2 2 6" xfId="46171" xr:uid="{00000000-0005-0000-0000-0000FA870000}"/>
    <cellStyle name="Normal 2 3 7 12 2 2 6 2" xfId="46172" xr:uid="{00000000-0005-0000-0000-0000FB870000}"/>
    <cellStyle name="Normal 2 3 7 12 2 2 7" xfId="46173" xr:uid="{00000000-0005-0000-0000-0000FC870000}"/>
    <cellStyle name="Normal 2 3 7 12 2 3" xfId="14566" xr:uid="{00000000-0005-0000-0000-0000FD870000}"/>
    <cellStyle name="Normal 2 3 7 12 2 3 2" xfId="14567" xr:uid="{00000000-0005-0000-0000-0000FE870000}"/>
    <cellStyle name="Normal 2 3 7 12 2 3 2 2" xfId="46174" xr:uid="{00000000-0005-0000-0000-0000FF870000}"/>
    <cellStyle name="Normal 2 3 7 12 2 3 3" xfId="14568" xr:uid="{00000000-0005-0000-0000-000000880000}"/>
    <cellStyle name="Normal 2 3 7 12 2 3 3 2" xfId="46175" xr:uid="{00000000-0005-0000-0000-000001880000}"/>
    <cellStyle name="Normal 2 3 7 12 2 3 4" xfId="46176" xr:uid="{00000000-0005-0000-0000-000002880000}"/>
    <cellStyle name="Normal 2 3 7 12 2 4" xfId="14569" xr:uid="{00000000-0005-0000-0000-000003880000}"/>
    <cellStyle name="Normal 2 3 7 12 2 4 2" xfId="14570" xr:uid="{00000000-0005-0000-0000-000004880000}"/>
    <cellStyle name="Normal 2 3 7 12 2 4 2 2" xfId="46177" xr:uid="{00000000-0005-0000-0000-000005880000}"/>
    <cellStyle name="Normal 2 3 7 12 2 4 3" xfId="46178" xr:uid="{00000000-0005-0000-0000-000006880000}"/>
    <cellStyle name="Normal 2 3 7 12 2 5" xfId="14571" xr:uid="{00000000-0005-0000-0000-000007880000}"/>
    <cellStyle name="Normal 2 3 7 12 2 5 2" xfId="46179" xr:uid="{00000000-0005-0000-0000-000008880000}"/>
    <cellStyle name="Normal 2 3 7 12 2 6" xfId="14572" xr:uid="{00000000-0005-0000-0000-000009880000}"/>
    <cellStyle name="Normal 2 3 7 12 2 6 2" xfId="46180" xr:uid="{00000000-0005-0000-0000-00000A880000}"/>
    <cellStyle name="Normal 2 3 7 12 2 7" xfId="46181" xr:uid="{00000000-0005-0000-0000-00000B880000}"/>
    <cellStyle name="Normal 2 3 7 12 2 7 2" xfId="46182" xr:uid="{00000000-0005-0000-0000-00000C880000}"/>
    <cellStyle name="Normal 2 3 7 12 2 8" xfId="46183" xr:uid="{00000000-0005-0000-0000-00000D880000}"/>
    <cellStyle name="Normal 2 3 7 12 2 9" xfId="46184" xr:uid="{00000000-0005-0000-0000-00000E880000}"/>
    <cellStyle name="Normal 2 3 7 12 3" xfId="14573" xr:uid="{00000000-0005-0000-0000-00000F880000}"/>
    <cellStyle name="Normal 2 3 7 12 3 2" xfId="14574" xr:uid="{00000000-0005-0000-0000-000010880000}"/>
    <cellStyle name="Normal 2 3 7 12 3 2 2" xfId="14575" xr:uid="{00000000-0005-0000-0000-000011880000}"/>
    <cellStyle name="Normal 2 3 7 12 3 2 2 2" xfId="46185" xr:uid="{00000000-0005-0000-0000-000012880000}"/>
    <cellStyle name="Normal 2 3 7 12 3 2 3" xfId="14576" xr:uid="{00000000-0005-0000-0000-000013880000}"/>
    <cellStyle name="Normal 2 3 7 12 3 2 3 2" xfId="46186" xr:uid="{00000000-0005-0000-0000-000014880000}"/>
    <cellStyle name="Normal 2 3 7 12 3 2 4" xfId="46187" xr:uid="{00000000-0005-0000-0000-000015880000}"/>
    <cellStyle name="Normal 2 3 7 12 3 3" xfId="14577" xr:uid="{00000000-0005-0000-0000-000016880000}"/>
    <cellStyle name="Normal 2 3 7 12 3 3 2" xfId="46188" xr:uid="{00000000-0005-0000-0000-000017880000}"/>
    <cellStyle name="Normal 2 3 7 12 3 4" xfId="14578" xr:uid="{00000000-0005-0000-0000-000018880000}"/>
    <cellStyle name="Normal 2 3 7 12 3 4 2" xfId="46189" xr:uid="{00000000-0005-0000-0000-000019880000}"/>
    <cellStyle name="Normal 2 3 7 12 3 5" xfId="14579" xr:uid="{00000000-0005-0000-0000-00001A880000}"/>
    <cellStyle name="Normal 2 3 7 12 3 5 2" xfId="46190" xr:uid="{00000000-0005-0000-0000-00001B880000}"/>
    <cellStyle name="Normal 2 3 7 12 3 6" xfId="46191" xr:uid="{00000000-0005-0000-0000-00001C880000}"/>
    <cellStyle name="Normal 2 3 7 12 3 6 2" xfId="46192" xr:uid="{00000000-0005-0000-0000-00001D880000}"/>
    <cellStyle name="Normal 2 3 7 12 3 7" xfId="46193" xr:uid="{00000000-0005-0000-0000-00001E880000}"/>
    <cellStyle name="Normal 2 3 7 12 4" xfId="14580" xr:uid="{00000000-0005-0000-0000-00001F880000}"/>
    <cellStyle name="Normal 2 3 7 12 4 2" xfId="14581" xr:uid="{00000000-0005-0000-0000-000020880000}"/>
    <cellStyle name="Normal 2 3 7 12 4 2 2" xfId="46194" xr:uid="{00000000-0005-0000-0000-000021880000}"/>
    <cellStyle name="Normal 2 3 7 12 4 3" xfId="14582" xr:uid="{00000000-0005-0000-0000-000022880000}"/>
    <cellStyle name="Normal 2 3 7 12 4 3 2" xfId="46195" xr:uid="{00000000-0005-0000-0000-000023880000}"/>
    <cellStyle name="Normal 2 3 7 12 4 4" xfId="46196" xr:uid="{00000000-0005-0000-0000-000024880000}"/>
    <cellStyle name="Normal 2 3 7 12 5" xfId="14583" xr:uid="{00000000-0005-0000-0000-000025880000}"/>
    <cellStyle name="Normal 2 3 7 12 5 2" xfId="14584" xr:uid="{00000000-0005-0000-0000-000026880000}"/>
    <cellStyle name="Normal 2 3 7 12 5 2 2" xfId="46197" xr:uid="{00000000-0005-0000-0000-000027880000}"/>
    <cellStyle name="Normal 2 3 7 12 5 3" xfId="46198" xr:uid="{00000000-0005-0000-0000-000028880000}"/>
    <cellStyle name="Normal 2 3 7 12 6" xfId="14585" xr:uid="{00000000-0005-0000-0000-000029880000}"/>
    <cellStyle name="Normal 2 3 7 12 6 2" xfId="46199" xr:uid="{00000000-0005-0000-0000-00002A880000}"/>
    <cellStyle name="Normal 2 3 7 12 7" xfId="14586" xr:uid="{00000000-0005-0000-0000-00002B880000}"/>
    <cellStyle name="Normal 2 3 7 12 7 2" xfId="46200" xr:uid="{00000000-0005-0000-0000-00002C880000}"/>
    <cellStyle name="Normal 2 3 7 12 8" xfId="46201" xr:uid="{00000000-0005-0000-0000-00002D880000}"/>
    <cellStyle name="Normal 2 3 7 12 8 2" xfId="46202" xr:uid="{00000000-0005-0000-0000-00002E880000}"/>
    <cellStyle name="Normal 2 3 7 12 9" xfId="46203" xr:uid="{00000000-0005-0000-0000-00002F880000}"/>
    <cellStyle name="Normal 2 3 7 13" xfId="14587" xr:uid="{00000000-0005-0000-0000-000030880000}"/>
    <cellStyle name="Normal 2 3 7 13 10" xfId="46204" xr:uid="{00000000-0005-0000-0000-000031880000}"/>
    <cellStyle name="Normal 2 3 7 13 11" xfId="46205" xr:uid="{00000000-0005-0000-0000-000032880000}"/>
    <cellStyle name="Normal 2 3 7 13 2" xfId="14588" xr:uid="{00000000-0005-0000-0000-000033880000}"/>
    <cellStyle name="Normal 2 3 7 13 2 10" xfId="46206" xr:uid="{00000000-0005-0000-0000-000034880000}"/>
    <cellStyle name="Normal 2 3 7 13 2 2" xfId="14589" xr:uid="{00000000-0005-0000-0000-000035880000}"/>
    <cellStyle name="Normal 2 3 7 13 2 2 2" xfId="14590" xr:uid="{00000000-0005-0000-0000-000036880000}"/>
    <cellStyle name="Normal 2 3 7 13 2 2 2 2" xfId="14591" xr:uid="{00000000-0005-0000-0000-000037880000}"/>
    <cellStyle name="Normal 2 3 7 13 2 2 2 2 2" xfId="46207" xr:uid="{00000000-0005-0000-0000-000038880000}"/>
    <cellStyle name="Normal 2 3 7 13 2 2 2 3" xfId="14592" xr:uid="{00000000-0005-0000-0000-000039880000}"/>
    <cellStyle name="Normal 2 3 7 13 2 2 2 3 2" xfId="46208" xr:uid="{00000000-0005-0000-0000-00003A880000}"/>
    <cellStyle name="Normal 2 3 7 13 2 2 2 4" xfId="46209" xr:uid="{00000000-0005-0000-0000-00003B880000}"/>
    <cellStyle name="Normal 2 3 7 13 2 2 3" xfId="14593" xr:uid="{00000000-0005-0000-0000-00003C880000}"/>
    <cellStyle name="Normal 2 3 7 13 2 2 3 2" xfId="46210" xr:uid="{00000000-0005-0000-0000-00003D880000}"/>
    <cellStyle name="Normal 2 3 7 13 2 2 4" xfId="14594" xr:uid="{00000000-0005-0000-0000-00003E880000}"/>
    <cellStyle name="Normal 2 3 7 13 2 2 4 2" xfId="46211" xr:uid="{00000000-0005-0000-0000-00003F880000}"/>
    <cellStyle name="Normal 2 3 7 13 2 2 5" xfId="14595" xr:uid="{00000000-0005-0000-0000-000040880000}"/>
    <cellStyle name="Normal 2 3 7 13 2 2 5 2" xfId="46212" xr:uid="{00000000-0005-0000-0000-000041880000}"/>
    <cellStyle name="Normal 2 3 7 13 2 2 6" xfId="46213" xr:uid="{00000000-0005-0000-0000-000042880000}"/>
    <cellStyle name="Normal 2 3 7 13 2 2 6 2" xfId="46214" xr:uid="{00000000-0005-0000-0000-000043880000}"/>
    <cellStyle name="Normal 2 3 7 13 2 2 7" xfId="46215" xr:uid="{00000000-0005-0000-0000-000044880000}"/>
    <cellStyle name="Normal 2 3 7 13 2 3" xfId="14596" xr:uid="{00000000-0005-0000-0000-000045880000}"/>
    <cellStyle name="Normal 2 3 7 13 2 3 2" xfId="14597" xr:uid="{00000000-0005-0000-0000-000046880000}"/>
    <cellStyle name="Normal 2 3 7 13 2 3 2 2" xfId="46216" xr:uid="{00000000-0005-0000-0000-000047880000}"/>
    <cellStyle name="Normal 2 3 7 13 2 3 3" xfId="14598" xr:uid="{00000000-0005-0000-0000-000048880000}"/>
    <cellStyle name="Normal 2 3 7 13 2 3 3 2" xfId="46217" xr:uid="{00000000-0005-0000-0000-000049880000}"/>
    <cellStyle name="Normal 2 3 7 13 2 3 4" xfId="46218" xr:uid="{00000000-0005-0000-0000-00004A880000}"/>
    <cellStyle name="Normal 2 3 7 13 2 4" xfId="14599" xr:uid="{00000000-0005-0000-0000-00004B880000}"/>
    <cellStyle name="Normal 2 3 7 13 2 4 2" xfId="14600" xr:uid="{00000000-0005-0000-0000-00004C880000}"/>
    <cellStyle name="Normal 2 3 7 13 2 4 2 2" xfId="46219" xr:uid="{00000000-0005-0000-0000-00004D880000}"/>
    <cellStyle name="Normal 2 3 7 13 2 4 3" xfId="46220" xr:uid="{00000000-0005-0000-0000-00004E880000}"/>
    <cellStyle name="Normal 2 3 7 13 2 5" xfId="14601" xr:uid="{00000000-0005-0000-0000-00004F880000}"/>
    <cellStyle name="Normal 2 3 7 13 2 5 2" xfId="46221" xr:uid="{00000000-0005-0000-0000-000050880000}"/>
    <cellStyle name="Normal 2 3 7 13 2 6" xfId="14602" xr:uid="{00000000-0005-0000-0000-000051880000}"/>
    <cellStyle name="Normal 2 3 7 13 2 6 2" xfId="46222" xr:uid="{00000000-0005-0000-0000-000052880000}"/>
    <cellStyle name="Normal 2 3 7 13 2 7" xfId="46223" xr:uid="{00000000-0005-0000-0000-000053880000}"/>
    <cellStyle name="Normal 2 3 7 13 2 7 2" xfId="46224" xr:uid="{00000000-0005-0000-0000-000054880000}"/>
    <cellStyle name="Normal 2 3 7 13 2 8" xfId="46225" xr:uid="{00000000-0005-0000-0000-000055880000}"/>
    <cellStyle name="Normal 2 3 7 13 2 9" xfId="46226" xr:uid="{00000000-0005-0000-0000-000056880000}"/>
    <cellStyle name="Normal 2 3 7 13 3" xfId="14603" xr:uid="{00000000-0005-0000-0000-000057880000}"/>
    <cellStyle name="Normal 2 3 7 13 3 2" xfId="14604" xr:uid="{00000000-0005-0000-0000-000058880000}"/>
    <cellStyle name="Normal 2 3 7 13 3 2 2" xfId="14605" xr:uid="{00000000-0005-0000-0000-000059880000}"/>
    <cellStyle name="Normal 2 3 7 13 3 2 2 2" xfId="46227" xr:uid="{00000000-0005-0000-0000-00005A880000}"/>
    <cellStyle name="Normal 2 3 7 13 3 2 3" xfId="14606" xr:uid="{00000000-0005-0000-0000-00005B880000}"/>
    <cellStyle name="Normal 2 3 7 13 3 2 3 2" xfId="46228" xr:uid="{00000000-0005-0000-0000-00005C880000}"/>
    <cellStyle name="Normal 2 3 7 13 3 2 4" xfId="46229" xr:uid="{00000000-0005-0000-0000-00005D880000}"/>
    <cellStyle name="Normal 2 3 7 13 3 3" xfId="14607" xr:uid="{00000000-0005-0000-0000-00005E880000}"/>
    <cellStyle name="Normal 2 3 7 13 3 3 2" xfId="46230" xr:uid="{00000000-0005-0000-0000-00005F880000}"/>
    <cellStyle name="Normal 2 3 7 13 3 4" xfId="14608" xr:uid="{00000000-0005-0000-0000-000060880000}"/>
    <cellStyle name="Normal 2 3 7 13 3 4 2" xfId="46231" xr:uid="{00000000-0005-0000-0000-000061880000}"/>
    <cellStyle name="Normal 2 3 7 13 3 5" xfId="14609" xr:uid="{00000000-0005-0000-0000-000062880000}"/>
    <cellStyle name="Normal 2 3 7 13 3 5 2" xfId="46232" xr:uid="{00000000-0005-0000-0000-000063880000}"/>
    <cellStyle name="Normal 2 3 7 13 3 6" xfId="46233" xr:uid="{00000000-0005-0000-0000-000064880000}"/>
    <cellStyle name="Normal 2 3 7 13 3 6 2" xfId="46234" xr:uid="{00000000-0005-0000-0000-000065880000}"/>
    <cellStyle name="Normal 2 3 7 13 3 7" xfId="46235" xr:uid="{00000000-0005-0000-0000-000066880000}"/>
    <cellStyle name="Normal 2 3 7 13 4" xfId="14610" xr:uid="{00000000-0005-0000-0000-000067880000}"/>
    <cellStyle name="Normal 2 3 7 13 4 2" xfId="14611" xr:uid="{00000000-0005-0000-0000-000068880000}"/>
    <cellStyle name="Normal 2 3 7 13 4 2 2" xfId="46236" xr:uid="{00000000-0005-0000-0000-000069880000}"/>
    <cellStyle name="Normal 2 3 7 13 4 3" xfId="14612" xr:uid="{00000000-0005-0000-0000-00006A880000}"/>
    <cellStyle name="Normal 2 3 7 13 4 3 2" xfId="46237" xr:uid="{00000000-0005-0000-0000-00006B880000}"/>
    <cellStyle name="Normal 2 3 7 13 4 4" xfId="46238" xr:uid="{00000000-0005-0000-0000-00006C880000}"/>
    <cellStyle name="Normal 2 3 7 13 5" xfId="14613" xr:uid="{00000000-0005-0000-0000-00006D880000}"/>
    <cellStyle name="Normal 2 3 7 13 5 2" xfId="14614" xr:uid="{00000000-0005-0000-0000-00006E880000}"/>
    <cellStyle name="Normal 2 3 7 13 5 2 2" xfId="46239" xr:uid="{00000000-0005-0000-0000-00006F880000}"/>
    <cellStyle name="Normal 2 3 7 13 5 3" xfId="46240" xr:uid="{00000000-0005-0000-0000-000070880000}"/>
    <cellStyle name="Normal 2 3 7 13 6" xfId="14615" xr:uid="{00000000-0005-0000-0000-000071880000}"/>
    <cellStyle name="Normal 2 3 7 13 6 2" xfId="46241" xr:uid="{00000000-0005-0000-0000-000072880000}"/>
    <cellStyle name="Normal 2 3 7 13 7" xfId="14616" xr:uid="{00000000-0005-0000-0000-000073880000}"/>
    <cellStyle name="Normal 2 3 7 13 7 2" xfId="46242" xr:uid="{00000000-0005-0000-0000-000074880000}"/>
    <cellStyle name="Normal 2 3 7 13 8" xfId="46243" xr:uid="{00000000-0005-0000-0000-000075880000}"/>
    <cellStyle name="Normal 2 3 7 13 8 2" xfId="46244" xr:uid="{00000000-0005-0000-0000-000076880000}"/>
    <cellStyle name="Normal 2 3 7 13 9" xfId="46245" xr:uid="{00000000-0005-0000-0000-000077880000}"/>
    <cellStyle name="Normal 2 3 7 14" xfId="14617" xr:uid="{00000000-0005-0000-0000-000078880000}"/>
    <cellStyle name="Normal 2 3 7 14 10" xfId="46246" xr:uid="{00000000-0005-0000-0000-000079880000}"/>
    <cellStyle name="Normal 2 3 7 14 11" xfId="46247" xr:uid="{00000000-0005-0000-0000-00007A880000}"/>
    <cellStyle name="Normal 2 3 7 14 2" xfId="14618" xr:uid="{00000000-0005-0000-0000-00007B880000}"/>
    <cellStyle name="Normal 2 3 7 14 2 10" xfId="46248" xr:uid="{00000000-0005-0000-0000-00007C880000}"/>
    <cellStyle name="Normal 2 3 7 14 2 2" xfId="14619" xr:uid="{00000000-0005-0000-0000-00007D880000}"/>
    <cellStyle name="Normal 2 3 7 14 2 2 2" xfId="14620" xr:uid="{00000000-0005-0000-0000-00007E880000}"/>
    <cellStyle name="Normal 2 3 7 14 2 2 2 2" xfId="14621" xr:uid="{00000000-0005-0000-0000-00007F880000}"/>
    <cellStyle name="Normal 2 3 7 14 2 2 2 2 2" xfId="46249" xr:uid="{00000000-0005-0000-0000-000080880000}"/>
    <cellStyle name="Normal 2 3 7 14 2 2 2 3" xfId="14622" xr:uid="{00000000-0005-0000-0000-000081880000}"/>
    <cellStyle name="Normal 2 3 7 14 2 2 2 3 2" xfId="46250" xr:uid="{00000000-0005-0000-0000-000082880000}"/>
    <cellStyle name="Normal 2 3 7 14 2 2 2 4" xfId="46251" xr:uid="{00000000-0005-0000-0000-000083880000}"/>
    <cellStyle name="Normal 2 3 7 14 2 2 3" xfId="14623" xr:uid="{00000000-0005-0000-0000-000084880000}"/>
    <cellStyle name="Normal 2 3 7 14 2 2 3 2" xfId="46252" xr:uid="{00000000-0005-0000-0000-000085880000}"/>
    <cellStyle name="Normal 2 3 7 14 2 2 4" xfId="14624" xr:uid="{00000000-0005-0000-0000-000086880000}"/>
    <cellStyle name="Normal 2 3 7 14 2 2 4 2" xfId="46253" xr:uid="{00000000-0005-0000-0000-000087880000}"/>
    <cellStyle name="Normal 2 3 7 14 2 2 5" xfId="14625" xr:uid="{00000000-0005-0000-0000-000088880000}"/>
    <cellStyle name="Normal 2 3 7 14 2 2 5 2" xfId="46254" xr:uid="{00000000-0005-0000-0000-000089880000}"/>
    <cellStyle name="Normal 2 3 7 14 2 2 6" xfId="46255" xr:uid="{00000000-0005-0000-0000-00008A880000}"/>
    <cellStyle name="Normal 2 3 7 14 2 2 6 2" xfId="46256" xr:uid="{00000000-0005-0000-0000-00008B880000}"/>
    <cellStyle name="Normal 2 3 7 14 2 2 7" xfId="46257" xr:uid="{00000000-0005-0000-0000-00008C880000}"/>
    <cellStyle name="Normal 2 3 7 14 2 3" xfId="14626" xr:uid="{00000000-0005-0000-0000-00008D880000}"/>
    <cellStyle name="Normal 2 3 7 14 2 3 2" xfId="14627" xr:uid="{00000000-0005-0000-0000-00008E880000}"/>
    <cellStyle name="Normal 2 3 7 14 2 3 2 2" xfId="46258" xr:uid="{00000000-0005-0000-0000-00008F880000}"/>
    <cellStyle name="Normal 2 3 7 14 2 3 3" xfId="14628" xr:uid="{00000000-0005-0000-0000-000090880000}"/>
    <cellStyle name="Normal 2 3 7 14 2 3 3 2" xfId="46259" xr:uid="{00000000-0005-0000-0000-000091880000}"/>
    <cellStyle name="Normal 2 3 7 14 2 3 4" xfId="46260" xr:uid="{00000000-0005-0000-0000-000092880000}"/>
    <cellStyle name="Normal 2 3 7 14 2 4" xfId="14629" xr:uid="{00000000-0005-0000-0000-000093880000}"/>
    <cellStyle name="Normal 2 3 7 14 2 4 2" xfId="14630" xr:uid="{00000000-0005-0000-0000-000094880000}"/>
    <cellStyle name="Normal 2 3 7 14 2 4 2 2" xfId="46261" xr:uid="{00000000-0005-0000-0000-000095880000}"/>
    <cellStyle name="Normal 2 3 7 14 2 4 3" xfId="46262" xr:uid="{00000000-0005-0000-0000-000096880000}"/>
    <cellStyle name="Normal 2 3 7 14 2 5" xfId="14631" xr:uid="{00000000-0005-0000-0000-000097880000}"/>
    <cellStyle name="Normal 2 3 7 14 2 5 2" xfId="46263" xr:uid="{00000000-0005-0000-0000-000098880000}"/>
    <cellStyle name="Normal 2 3 7 14 2 6" xfId="14632" xr:uid="{00000000-0005-0000-0000-000099880000}"/>
    <cellStyle name="Normal 2 3 7 14 2 6 2" xfId="46264" xr:uid="{00000000-0005-0000-0000-00009A880000}"/>
    <cellStyle name="Normal 2 3 7 14 2 7" xfId="46265" xr:uid="{00000000-0005-0000-0000-00009B880000}"/>
    <cellStyle name="Normal 2 3 7 14 2 7 2" xfId="46266" xr:uid="{00000000-0005-0000-0000-00009C880000}"/>
    <cellStyle name="Normal 2 3 7 14 2 8" xfId="46267" xr:uid="{00000000-0005-0000-0000-00009D880000}"/>
    <cellStyle name="Normal 2 3 7 14 2 9" xfId="46268" xr:uid="{00000000-0005-0000-0000-00009E880000}"/>
    <cellStyle name="Normal 2 3 7 14 3" xfId="14633" xr:uid="{00000000-0005-0000-0000-00009F880000}"/>
    <cellStyle name="Normal 2 3 7 14 3 2" xfId="14634" xr:uid="{00000000-0005-0000-0000-0000A0880000}"/>
    <cellStyle name="Normal 2 3 7 14 3 2 2" xfId="14635" xr:uid="{00000000-0005-0000-0000-0000A1880000}"/>
    <cellStyle name="Normal 2 3 7 14 3 2 2 2" xfId="46269" xr:uid="{00000000-0005-0000-0000-0000A2880000}"/>
    <cellStyle name="Normal 2 3 7 14 3 2 3" xfId="14636" xr:uid="{00000000-0005-0000-0000-0000A3880000}"/>
    <cellStyle name="Normal 2 3 7 14 3 2 3 2" xfId="46270" xr:uid="{00000000-0005-0000-0000-0000A4880000}"/>
    <cellStyle name="Normal 2 3 7 14 3 2 4" xfId="46271" xr:uid="{00000000-0005-0000-0000-0000A5880000}"/>
    <cellStyle name="Normal 2 3 7 14 3 3" xfId="14637" xr:uid="{00000000-0005-0000-0000-0000A6880000}"/>
    <cellStyle name="Normal 2 3 7 14 3 3 2" xfId="46272" xr:uid="{00000000-0005-0000-0000-0000A7880000}"/>
    <cellStyle name="Normal 2 3 7 14 3 4" xfId="14638" xr:uid="{00000000-0005-0000-0000-0000A8880000}"/>
    <cellStyle name="Normal 2 3 7 14 3 4 2" xfId="46273" xr:uid="{00000000-0005-0000-0000-0000A9880000}"/>
    <cellStyle name="Normal 2 3 7 14 3 5" xfId="14639" xr:uid="{00000000-0005-0000-0000-0000AA880000}"/>
    <cellStyle name="Normal 2 3 7 14 3 5 2" xfId="46274" xr:uid="{00000000-0005-0000-0000-0000AB880000}"/>
    <cellStyle name="Normal 2 3 7 14 3 6" xfId="46275" xr:uid="{00000000-0005-0000-0000-0000AC880000}"/>
    <cellStyle name="Normal 2 3 7 14 3 6 2" xfId="46276" xr:uid="{00000000-0005-0000-0000-0000AD880000}"/>
    <cellStyle name="Normal 2 3 7 14 3 7" xfId="46277" xr:uid="{00000000-0005-0000-0000-0000AE880000}"/>
    <cellStyle name="Normal 2 3 7 14 4" xfId="14640" xr:uid="{00000000-0005-0000-0000-0000AF880000}"/>
    <cellStyle name="Normal 2 3 7 14 4 2" xfId="14641" xr:uid="{00000000-0005-0000-0000-0000B0880000}"/>
    <cellStyle name="Normal 2 3 7 14 4 2 2" xfId="46278" xr:uid="{00000000-0005-0000-0000-0000B1880000}"/>
    <cellStyle name="Normal 2 3 7 14 4 3" xfId="14642" xr:uid="{00000000-0005-0000-0000-0000B2880000}"/>
    <cellStyle name="Normal 2 3 7 14 4 3 2" xfId="46279" xr:uid="{00000000-0005-0000-0000-0000B3880000}"/>
    <cellStyle name="Normal 2 3 7 14 4 4" xfId="46280" xr:uid="{00000000-0005-0000-0000-0000B4880000}"/>
    <cellStyle name="Normal 2 3 7 14 5" xfId="14643" xr:uid="{00000000-0005-0000-0000-0000B5880000}"/>
    <cellStyle name="Normal 2 3 7 14 5 2" xfId="14644" xr:uid="{00000000-0005-0000-0000-0000B6880000}"/>
    <cellStyle name="Normal 2 3 7 14 5 2 2" xfId="46281" xr:uid="{00000000-0005-0000-0000-0000B7880000}"/>
    <cellStyle name="Normal 2 3 7 14 5 3" xfId="46282" xr:uid="{00000000-0005-0000-0000-0000B8880000}"/>
    <cellStyle name="Normal 2 3 7 14 6" xfId="14645" xr:uid="{00000000-0005-0000-0000-0000B9880000}"/>
    <cellStyle name="Normal 2 3 7 14 6 2" xfId="46283" xr:uid="{00000000-0005-0000-0000-0000BA880000}"/>
    <cellStyle name="Normal 2 3 7 14 7" xfId="14646" xr:uid="{00000000-0005-0000-0000-0000BB880000}"/>
    <cellStyle name="Normal 2 3 7 14 7 2" xfId="46284" xr:uid="{00000000-0005-0000-0000-0000BC880000}"/>
    <cellStyle name="Normal 2 3 7 14 8" xfId="46285" xr:uid="{00000000-0005-0000-0000-0000BD880000}"/>
    <cellStyle name="Normal 2 3 7 14 8 2" xfId="46286" xr:uid="{00000000-0005-0000-0000-0000BE880000}"/>
    <cellStyle name="Normal 2 3 7 14 9" xfId="46287" xr:uid="{00000000-0005-0000-0000-0000BF880000}"/>
    <cellStyle name="Normal 2 3 7 15" xfId="14647" xr:uid="{00000000-0005-0000-0000-0000C0880000}"/>
    <cellStyle name="Normal 2 3 7 15 10" xfId="46288" xr:uid="{00000000-0005-0000-0000-0000C1880000}"/>
    <cellStyle name="Normal 2 3 7 15 11" xfId="46289" xr:uid="{00000000-0005-0000-0000-0000C2880000}"/>
    <cellStyle name="Normal 2 3 7 15 2" xfId="14648" xr:uid="{00000000-0005-0000-0000-0000C3880000}"/>
    <cellStyle name="Normal 2 3 7 15 2 10" xfId="46290" xr:uid="{00000000-0005-0000-0000-0000C4880000}"/>
    <cellStyle name="Normal 2 3 7 15 2 2" xfId="14649" xr:uid="{00000000-0005-0000-0000-0000C5880000}"/>
    <cellStyle name="Normal 2 3 7 15 2 2 2" xfId="14650" xr:uid="{00000000-0005-0000-0000-0000C6880000}"/>
    <cellStyle name="Normal 2 3 7 15 2 2 2 2" xfId="14651" xr:uid="{00000000-0005-0000-0000-0000C7880000}"/>
    <cellStyle name="Normal 2 3 7 15 2 2 2 2 2" xfId="46291" xr:uid="{00000000-0005-0000-0000-0000C8880000}"/>
    <cellStyle name="Normal 2 3 7 15 2 2 2 3" xfId="14652" xr:uid="{00000000-0005-0000-0000-0000C9880000}"/>
    <cellStyle name="Normal 2 3 7 15 2 2 2 3 2" xfId="46292" xr:uid="{00000000-0005-0000-0000-0000CA880000}"/>
    <cellStyle name="Normal 2 3 7 15 2 2 2 4" xfId="46293" xr:uid="{00000000-0005-0000-0000-0000CB880000}"/>
    <cellStyle name="Normal 2 3 7 15 2 2 3" xfId="14653" xr:uid="{00000000-0005-0000-0000-0000CC880000}"/>
    <cellStyle name="Normal 2 3 7 15 2 2 3 2" xfId="46294" xr:uid="{00000000-0005-0000-0000-0000CD880000}"/>
    <cellStyle name="Normal 2 3 7 15 2 2 4" xfId="14654" xr:uid="{00000000-0005-0000-0000-0000CE880000}"/>
    <cellStyle name="Normal 2 3 7 15 2 2 4 2" xfId="46295" xr:uid="{00000000-0005-0000-0000-0000CF880000}"/>
    <cellStyle name="Normal 2 3 7 15 2 2 5" xfId="14655" xr:uid="{00000000-0005-0000-0000-0000D0880000}"/>
    <cellStyle name="Normal 2 3 7 15 2 2 5 2" xfId="46296" xr:uid="{00000000-0005-0000-0000-0000D1880000}"/>
    <cellStyle name="Normal 2 3 7 15 2 2 6" xfId="46297" xr:uid="{00000000-0005-0000-0000-0000D2880000}"/>
    <cellStyle name="Normal 2 3 7 15 2 2 6 2" xfId="46298" xr:uid="{00000000-0005-0000-0000-0000D3880000}"/>
    <cellStyle name="Normal 2 3 7 15 2 2 7" xfId="46299" xr:uid="{00000000-0005-0000-0000-0000D4880000}"/>
    <cellStyle name="Normal 2 3 7 15 2 3" xfId="14656" xr:uid="{00000000-0005-0000-0000-0000D5880000}"/>
    <cellStyle name="Normal 2 3 7 15 2 3 2" xfId="14657" xr:uid="{00000000-0005-0000-0000-0000D6880000}"/>
    <cellStyle name="Normal 2 3 7 15 2 3 2 2" xfId="46300" xr:uid="{00000000-0005-0000-0000-0000D7880000}"/>
    <cellStyle name="Normal 2 3 7 15 2 3 3" xfId="14658" xr:uid="{00000000-0005-0000-0000-0000D8880000}"/>
    <cellStyle name="Normal 2 3 7 15 2 3 3 2" xfId="46301" xr:uid="{00000000-0005-0000-0000-0000D9880000}"/>
    <cellStyle name="Normal 2 3 7 15 2 3 4" xfId="46302" xr:uid="{00000000-0005-0000-0000-0000DA880000}"/>
    <cellStyle name="Normal 2 3 7 15 2 4" xfId="14659" xr:uid="{00000000-0005-0000-0000-0000DB880000}"/>
    <cellStyle name="Normal 2 3 7 15 2 4 2" xfId="14660" xr:uid="{00000000-0005-0000-0000-0000DC880000}"/>
    <cellStyle name="Normal 2 3 7 15 2 4 2 2" xfId="46303" xr:uid="{00000000-0005-0000-0000-0000DD880000}"/>
    <cellStyle name="Normal 2 3 7 15 2 4 3" xfId="46304" xr:uid="{00000000-0005-0000-0000-0000DE880000}"/>
    <cellStyle name="Normal 2 3 7 15 2 5" xfId="14661" xr:uid="{00000000-0005-0000-0000-0000DF880000}"/>
    <cellStyle name="Normal 2 3 7 15 2 5 2" xfId="46305" xr:uid="{00000000-0005-0000-0000-0000E0880000}"/>
    <cellStyle name="Normal 2 3 7 15 2 6" xfId="14662" xr:uid="{00000000-0005-0000-0000-0000E1880000}"/>
    <cellStyle name="Normal 2 3 7 15 2 6 2" xfId="46306" xr:uid="{00000000-0005-0000-0000-0000E2880000}"/>
    <cellStyle name="Normal 2 3 7 15 2 7" xfId="46307" xr:uid="{00000000-0005-0000-0000-0000E3880000}"/>
    <cellStyle name="Normal 2 3 7 15 2 7 2" xfId="46308" xr:uid="{00000000-0005-0000-0000-0000E4880000}"/>
    <cellStyle name="Normal 2 3 7 15 2 8" xfId="46309" xr:uid="{00000000-0005-0000-0000-0000E5880000}"/>
    <cellStyle name="Normal 2 3 7 15 2 9" xfId="46310" xr:uid="{00000000-0005-0000-0000-0000E6880000}"/>
    <cellStyle name="Normal 2 3 7 15 3" xfId="14663" xr:uid="{00000000-0005-0000-0000-0000E7880000}"/>
    <cellStyle name="Normal 2 3 7 15 3 2" xfId="14664" xr:uid="{00000000-0005-0000-0000-0000E8880000}"/>
    <cellStyle name="Normal 2 3 7 15 3 2 2" xfId="14665" xr:uid="{00000000-0005-0000-0000-0000E9880000}"/>
    <cellStyle name="Normal 2 3 7 15 3 2 2 2" xfId="46311" xr:uid="{00000000-0005-0000-0000-0000EA880000}"/>
    <cellStyle name="Normal 2 3 7 15 3 2 3" xfId="14666" xr:uid="{00000000-0005-0000-0000-0000EB880000}"/>
    <cellStyle name="Normal 2 3 7 15 3 2 3 2" xfId="46312" xr:uid="{00000000-0005-0000-0000-0000EC880000}"/>
    <cellStyle name="Normal 2 3 7 15 3 2 4" xfId="46313" xr:uid="{00000000-0005-0000-0000-0000ED880000}"/>
    <cellStyle name="Normal 2 3 7 15 3 3" xfId="14667" xr:uid="{00000000-0005-0000-0000-0000EE880000}"/>
    <cellStyle name="Normal 2 3 7 15 3 3 2" xfId="46314" xr:uid="{00000000-0005-0000-0000-0000EF880000}"/>
    <cellStyle name="Normal 2 3 7 15 3 4" xfId="14668" xr:uid="{00000000-0005-0000-0000-0000F0880000}"/>
    <cellStyle name="Normal 2 3 7 15 3 4 2" xfId="46315" xr:uid="{00000000-0005-0000-0000-0000F1880000}"/>
    <cellStyle name="Normal 2 3 7 15 3 5" xfId="14669" xr:uid="{00000000-0005-0000-0000-0000F2880000}"/>
    <cellStyle name="Normal 2 3 7 15 3 5 2" xfId="46316" xr:uid="{00000000-0005-0000-0000-0000F3880000}"/>
    <cellStyle name="Normal 2 3 7 15 3 6" xfId="46317" xr:uid="{00000000-0005-0000-0000-0000F4880000}"/>
    <cellStyle name="Normal 2 3 7 15 3 6 2" xfId="46318" xr:uid="{00000000-0005-0000-0000-0000F5880000}"/>
    <cellStyle name="Normal 2 3 7 15 3 7" xfId="46319" xr:uid="{00000000-0005-0000-0000-0000F6880000}"/>
    <cellStyle name="Normal 2 3 7 15 4" xfId="14670" xr:uid="{00000000-0005-0000-0000-0000F7880000}"/>
    <cellStyle name="Normal 2 3 7 15 4 2" xfId="14671" xr:uid="{00000000-0005-0000-0000-0000F8880000}"/>
    <cellStyle name="Normal 2 3 7 15 4 2 2" xfId="46320" xr:uid="{00000000-0005-0000-0000-0000F9880000}"/>
    <cellStyle name="Normal 2 3 7 15 4 3" xfId="14672" xr:uid="{00000000-0005-0000-0000-0000FA880000}"/>
    <cellStyle name="Normal 2 3 7 15 4 3 2" xfId="46321" xr:uid="{00000000-0005-0000-0000-0000FB880000}"/>
    <cellStyle name="Normal 2 3 7 15 4 4" xfId="46322" xr:uid="{00000000-0005-0000-0000-0000FC880000}"/>
    <cellStyle name="Normal 2 3 7 15 5" xfId="14673" xr:uid="{00000000-0005-0000-0000-0000FD880000}"/>
    <cellStyle name="Normal 2 3 7 15 5 2" xfId="14674" xr:uid="{00000000-0005-0000-0000-0000FE880000}"/>
    <cellStyle name="Normal 2 3 7 15 5 2 2" xfId="46323" xr:uid="{00000000-0005-0000-0000-0000FF880000}"/>
    <cellStyle name="Normal 2 3 7 15 5 3" xfId="46324" xr:uid="{00000000-0005-0000-0000-000000890000}"/>
    <cellStyle name="Normal 2 3 7 15 6" xfId="14675" xr:uid="{00000000-0005-0000-0000-000001890000}"/>
    <cellStyle name="Normal 2 3 7 15 6 2" xfId="46325" xr:uid="{00000000-0005-0000-0000-000002890000}"/>
    <cellStyle name="Normal 2 3 7 15 7" xfId="14676" xr:uid="{00000000-0005-0000-0000-000003890000}"/>
    <cellStyle name="Normal 2 3 7 15 7 2" xfId="46326" xr:uid="{00000000-0005-0000-0000-000004890000}"/>
    <cellStyle name="Normal 2 3 7 15 8" xfId="46327" xr:uid="{00000000-0005-0000-0000-000005890000}"/>
    <cellStyle name="Normal 2 3 7 15 8 2" xfId="46328" xr:uid="{00000000-0005-0000-0000-000006890000}"/>
    <cellStyle name="Normal 2 3 7 15 9" xfId="46329" xr:uid="{00000000-0005-0000-0000-000007890000}"/>
    <cellStyle name="Normal 2 3 7 16" xfId="14677" xr:uid="{00000000-0005-0000-0000-000008890000}"/>
    <cellStyle name="Normal 2 3 7 16 10" xfId="46330" xr:uid="{00000000-0005-0000-0000-000009890000}"/>
    <cellStyle name="Normal 2 3 7 16 11" xfId="46331" xr:uid="{00000000-0005-0000-0000-00000A890000}"/>
    <cellStyle name="Normal 2 3 7 16 2" xfId="14678" xr:uid="{00000000-0005-0000-0000-00000B890000}"/>
    <cellStyle name="Normal 2 3 7 16 2 10" xfId="46332" xr:uid="{00000000-0005-0000-0000-00000C890000}"/>
    <cellStyle name="Normal 2 3 7 16 2 2" xfId="14679" xr:uid="{00000000-0005-0000-0000-00000D890000}"/>
    <cellStyle name="Normal 2 3 7 16 2 2 2" xfId="14680" xr:uid="{00000000-0005-0000-0000-00000E890000}"/>
    <cellStyle name="Normal 2 3 7 16 2 2 2 2" xfId="14681" xr:uid="{00000000-0005-0000-0000-00000F890000}"/>
    <cellStyle name="Normal 2 3 7 16 2 2 2 2 2" xfId="46333" xr:uid="{00000000-0005-0000-0000-000010890000}"/>
    <cellStyle name="Normal 2 3 7 16 2 2 2 3" xfId="14682" xr:uid="{00000000-0005-0000-0000-000011890000}"/>
    <cellStyle name="Normal 2 3 7 16 2 2 2 3 2" xfId="46334" xr:uid="{00000000-0005-0000-0000-000012890000}"/>
    <cellStyle name="Normal 2 3 7 16 2 2 2 4" xfId="46335" xr:uid="{00000000-0005-0000-0000-000013890000}"/>
    <cellStyle name="Normal 2 3 7 16 2 2 3" xfId="14683" xr:uid="{00000000-0005-0000-0000-000014890000}"/>
    <cellStyle name="Normal 2 3 7 16 2 2 3 2" xfId="46336" xr:uid="{00000000-0005-0000-0000-000015890000}"/>
    <cellStyle name="Normal 2 3 7 16 2 2 4" xfId="14684" xr:uid="{00000000-0005-0000-0000-000016890000}"/>
    <cellStyle name="Normal 2 3 7 16 2 2 4 2" xfId="46337" xr:uid="{00000000-0005-0000-0000-000017890000}"/>
    <cellStyle name="Normal 2 3 7 16 2 2 5" xfId="14685" xr:uid="{00000000-0005-0000-0000-000018890000}"/>
    <cellStyle name="Normal 2 3 7 16 2 2 5 2" xfId="46338" xr:uid="{00000000-0005-0000-0000-000019890000}"/>
    <cellStyle name="Normal 2 3 7 16 2 2 6" xfId="46339" xr:uid="{00000000-0005-0000-0000-00001A890000}"/>
    <cellStyle name="Normal 2 3 7 16 2 2 6 2" xfId="46340" xr:uid="{00000000-0005-0000-0000-00001B890000}"/>
    <cellStyle name="Normal 2 3 7 16 2 2 7" xfId="46341" xr:uid="{00000000-0005-0000-0000-00001C890000}"/>
    <cellStyle name="Normal 2 3 7 16 2 3" xfId="14686" xr:uid="{00000000-0005-0000-0000-00001D890000}"/>
    <cellStyle name="Normal 2 3 7 16 2 3 2" xfId="14687" xr:uid="{00000000-0005-0000-0000-00001E890000}"/>
    <cellStyle name="Normal 2 3 7 16 2 3 2 2" xfId="46342" xr:uid="{00000000-0005-0000-0000-00001F890000}"/>
    <cellStyle name="Normal 2 3 7 16 2 3 3" xfId="14688" xr:uid="{00000000-0005-0000-0000-000020890000}"/>
    <cellStyle name="Normal 2 3 7 16 2 3 3 2" xfId="46343" xr:uid="{00000000-0005-0000-0000-000021890000}"/>
    <cellStyle name="Normal 2 3 7 16 2 3 4" xfId="46344" xr:uid="{00000000-0005-0000-0000-000022890000}"/>
    <cellStyle name="Normal 2 3 7 16 2 4" xfId="14689" xr:uid="{00000000-0005-0000-0000-000023890000}"/>
    <cellStyle name="Normal 2 3 7 16 2 4 2" xfId="14690" xr:uid="{00000000-0005-0000-0000-000024890000}"/>
    <cellStyle name="Normal 2 3 7 16 2 4 2 2" xfId="46345" xr:uid="{00000000-0005-0000-0000-000025890000}"/>
    <cellStyle name="Normal 2 3 7 16 2 4 3" xfId="46346" xr:uid="{00000000-0005-0000-0000-000026890000}"/>
    <cellStyle name="Normal 2 3 7 16 2 5" xfId="14691" xr:uid="{00000000-0005-0000-0000-000027890000}"/>
    <cellStyle name="Normal 2 3 7 16 2 5 2" xfId="46347" xr:uid="{00000000-0005-0000-0000-000028890000}"/>
    <cellStyle name="Normal 2 3 7 16 2 6" xfId="14692" xr:uid="{00000000-0005-0000-0000-000029890000}"/>
    <cellStyle name="Normal 2 3 7 16 2 6 2" xfId="46348" xr:uid="{00000000-0005-0000-0000-00002A890000}"/>
    <cellStyle name="Normal 2 3 7 16 2 7" xfId="46349" xr:uid="{00000000-0005-0000-0000-00002B890000}"/>
    <cellStyle name="Normal 2 3 7 16 2 7 2" xfId="46350" xr:uid="{00000000-0005-0000-0000-00002C890000}"/>
    <cellStyle name="Normal 2 3 7 16 2 8" xfId="46351" xr:uid="{00000000-0005-0000-0000-00002D890000}"/>
    <cellStyle name="Normal 2 3 7 16 2 9" xfId="46352" xr:uid="{00000000-0005-0000-0000-00002E890000}"/>
    <cellStyle name="Normal 2 3 7 16 3" xfId="14693" xr:uid="{00000000-0005-0000-0000-00002F890000}"/>
    <cellStyle name="Normal 2 3 7 16 3 2" xfId="14694" xr:uid="{00000000-0005-0000-0000-000030890000}"/>
    <cellStyle name="Normal 2 3 7 16 3 2 2" xfId="14695" xr:uid="{00000000-0005-0000-0000-000031890000}"/>
    <cellStyle name="Normal 2 3 7 16 3 2 2 2" xfId="46353" xr:uid="{00000000-0005-0000-0000-000032890000}"/>
    <cellStyle name="Normal 2 3 7 16 3 2 3" xfId="14696" xr:uid="{00000000-0005-0000-0000-000033890000}"/>
    <cellStyle name="Normal 2 3 7 16 3 2 3 2" xfId="46354" xr:uid="{00000000-0005-0000-0000-000034890000}"/>
    <cellStyle name="Normal 2 3 7 16 3 2 4" xfId="46355" xr:uid="{00000000-0005-0000-0000-000035890000}"/>
    <cellStyle name="Normal 2 3 7 16 3 3" xfId="14697" xr:uid="{00000000-0005-0000-0000-000036890000}"/>
    <cellStyle name="Normal 2 3 7 16 3 3 2" xfId="46356" xr:uid="{00000000-0005-0000-0000-000037890000}"/>
    <cellStyle name="Normal 2 3 7 16 3 4" xfId="14698" xr:uid="{00000000-0005-0000-0000-000038890000}"/>
    <cellStyle name="Normal 2 3 7 16 3 4 2" xfId="46357" xr:uid="{00000000-0005-0000-0000-000039890000}"/>
    <cellStyle name="Normal 2 3 7 16 3 5" xfId="14699" xr:uid="{00000000-0005-0000-0000-00003A890000}"/>
    <cellStyle name="Normal 2 3 7 16 3 5 2" xfId="46358" xr:uid="{00000000-0005-0000-0000-00003B890000}"/>
    <cellStyle name="Normal 2 3 7 16 3 6" xfId="46359" xr:uid="{00000000-0005-0000-0000-00003C890000}"/>
    <cellStyle name="Normal 2 3 7 16 3 6 2" xfId="46360" xr:uid="{00000000-0005-0000-0000-00003D890000}"/>
    <cellStyle name="Normal 2 3 7 16 3 7" xfId="46361" xr:uid="{00000000-0005-0000-0000-00003E890000}"/>
    <cellStyle name="Normal 2 3 7 16 4" xfId="14700" xr:uid="{00000000-0005-0000-0000-00003F890000}"/>
    <cellStyle name="Normal 2 3 7 16 4 2" xfId="14701" xr:uid="{00000000-0005-0000-0000-000040890000}"/>
    <cellStyle name="Normal 2 3 7 16 4 2 2" xfId="46362" xr:uid="{00000000-0005-0000-0000-000041890000}"/>
    <cellStyle name="Normal 2 3 7 16 4 3" xfId="14702" xr:uid="{00000000-0005-0000-0000-000042890000}"/>
    <cellStyle name="Normal 2 3 7 16 4 3 2" xfId="46363" xr:uid="{00000000-0005-0000-0000-000043890000}"/>
    <cellStyle name="Normal 2 3 7 16 4 4" xfId="46364" xr:uid="{00000000-0005-0000-0000-000044890000}"/>
    <cellStyle name="Normal 2 3 7 16 5" xfId="14703" xr:uid="{00000000-0005-0000-0000-000045890000}"/>
    <cellStyle name="Normal 2 3 7 16 5 2" xfId="14704" xr:uid="{00000000-0005-0000-0000-000046890000}"/>
    <cellStyle name="Normal 2 3 7 16 5 2 2" xfId="46365" xr:uid="{00000000-0005-0000-0000-000047890000}"/>
    <cellStyle name="Normal 2 3 7 16 5 3" xfId="46366" xr:uid="{00000000-0005-0000-0000-000048890000}"/>
    <cellStyle name="Normal 2 3 7 16 6" xfId="14705" xr:uid="{00000000-0005-0000-0000-000049890000}"/>
    <cellStyle name="Normal 2 3 7 16 6 2" xfId="46367" xr:uid="{00000000-0005-0000-0000-00004A890000}"/>
    <cellStyle name="Normal 2 3 7 16 7" xfId="14706" xr:uid="{00000000-0005-0000-0000-00004B890000}"/>
    <cellStyle name="Normal 2 3 7 16 7 2" xfId="46368" xr:uid="{00000000-0005-0000-0000-00004C890000}"/>
    <cellStyle name="Normal 2 3 7 16 8" xfId="46369" xr:uid="{00000000-0005-0000-0000-00004D890000}"/>
    <cellStyle name="Normal 2 3 7 16 8 2" xfId="46370" xr:uid="{00000000-0005-0000-0000-00004E890000}"/>
    <cellStyle name="Normal 2 3 7 16 9" xfId="46371" xr:uid="{00000000-0005-0000-0000-00004F890000}"/>
    <cellStyle name="Normal 2 3 7 17" xfId="14707" xr:uid="{00000000-0005-0000-0000-000050890000}"/>
    <cellStyle name="Normal 2 3 7 17 10" xfId="46372" xr:uid="{00000000-0005-0000-0000-000051890000}"/>
    <cellStyle name="Normal 2 3 7 17 11" xfId="46373" xr:uid="{00000000-0005-0000-0000-000052890000}"/>
    <cellStyle name="Normal 2 3 7 17 2" xfId="14708" xr:uid="{00000000-0005-0000-0000-000053890000}"/>
    <cellStyle name="Normal 2 3 7 17 2 10" xfId="46374" xr:uid="{00000000-0005-0000-0000-000054890000}"/>
    <cellStyle name="Normal 2 3 7 17 2 2" xfId="14709" xr:uid="{00000000-0005-0000-0000-000055890000}"/>
    <cellStyle name="Normal 2 3 7 17 2 2 2" xfId="14710" xr:uid="{00000000-0005-0000-0000-000056890000}"/>
    <cellStyle name="Normal 2 3 7 17 2 2 2 2" xfId="14711" xr:uid="{00000000-0005-0000-0000-000057890000}"/>
    <cellStyle name="Normal 2 3 7 17 2 2 2 2 2" xfId="46375" xr:uid="{00000000-0005-0000-0000-000058890000}"/>
    <cellStyle name="Normal 2 3 7 17 2 2 2 3" xfId="14712" xr:uid="{00000000-0005-0000-0000-000059890000}"/>
    <cellStyle name="Normal 2 3 7 17 2 2 2 3 2" xfId="46376" xr:uid="{00000000-0005-0000-0000-00005A890000}"/>
    <cellStyle name="Normal 2 3 7 17 2 2 2 4" xfId="46377" xr:uid="{00000000-0005-0000-0000-00005B890000}"/>
    <cellStyle name="Normal 2 3 7 17 2 2 3" xfId="14713" xr:uid="{00000000-0005-0000-0000-00005C890000}"/>
    <cellStyle name="Normal 2 3 7 17 2 2 3 2" xfId="46378" xr:uid="{00000000-0005-0000-0000-00005D890000}"/>
    <cellStyle name="Normal 2 3 7 17 2 2 4" xfId="14714" xr:uid="{00000000-0005-0000-0000-00005E890000}"/>
    <cellStyle name="Normal 2 3 7 17 2 2 4 2" xfId="46379" xr:uid="{00000000-0005-0000-0000-00005F890000}"/>
    <cellStyle name="Normal 2 3 7 17 2 2 5" xfId="14715" xr:uid="{00000000-0005-0000-0000-000060890000}"/>
    <cellStyle name="Normal 2 3 7 17 2 2 5 2" xfId="46380" xr:uid="{00000000-0005-0000-0000-000061890000}"/>
    <cellStyle name="Normal 2 3 7 17 2 2 6" xfId="46381" xr:uid="{00000000-0005-0000-0000-000062890000}"/>
    <cellStyle name="Normal 2 3 7 17 2 2 6 2" xfId="46382" xr:uid="{00000000-0005-0000-0000-000063890000}"/>
    <cellStyle name="Normal 2 3 7 17 2 2 7" xfId="46383" xr:uid="{00000000-0005-0000-0000-000064890000}"/>
    <cellStyle name="Normal 2 3 7 17 2 3" xfId="14716" xr:uid="{00000000-0005-0000-0000-000065890000}"/>
    <cellStyle name="Normal 2 3 7 17 2 3 2" xfId="14717" xr:uid="{00000000-0005-0000-0000-000066890000}"/>
    <cellStyle name="Normal 2 3 7 17 2 3 2 2" xfId="46384" xr:uid="{00000000-0005-0000-0000-000067890000}"/>
    <cellStyle name="Normal 2 3 7 17 2 3 3" xfId="14718" xr:uid="{00000000-0005-0000-0000-000068890000}"/>
    <cellStyle name="Normal 2 3 7 17 2 3 3 2" xfId="46385" xr:uid="{00000000-0005-0000-0000-000069890000}"/>
    <cellStyle name="Normal 2 3 7 17 2 3 4" xfId="46386" xr:uid="{00000000-0005-0000-0000-00006A890000}"/>
    <cellStyle name="Normal 2 3 7 17 2 4" xfId="14719" xr:uid="{00000000-0005-0000-0000-00006B890000}"/>
    <cellStyle name="Normal 2 3 7 17 2 4 2" xfId="14720" xr:uid="{00000000-0005-0000-0000-00006C890000}"/>
    <cellStyle name="Normal 2 3 7 17 2 4 2 2" xfId="46387" xr:uid="{00000000-0005-0000-0000-00006D890000}"/>
    <cellStyle name="Normal 2 3 7 17 2 4 3" xfId="46388" xr:uid="{00000000-0005-0000-0000-00006E890000}"/>
    <cellStyle name="Normal 2 3 7 17 2 5" xfId="14721" xr:uid="{00000000-0005-0000-0000-00006F890000}"/>
    <cellStyle name="Normal 2 3 7 17 2 5 2" xfId="46389" xr:uid="{00000000-0005-0000-0000-000070890000}"/>
    <cellStyle name="Normal 2 3 7 17 2 6" xfId="14722" xr:uid="{00000000-0005-0000-0000-000071890000}"/>
    <cellStyle name="Normal 2 3 7 17 2 6 2" xfId="46390" xr:uid="{00000000-0005-0000-0000-000072890000}"/>
    <cellStyle name="Normal 2 3 7 17 2 7" xfId="46391" xr:uid="{00000000-0005-0000-0000-000073890000}"/>
    <cellStyle name="Normal 2 3 7 17 2 7 2" xfId="46392" xr:uid="{00000000-0005-0000-0000-000074890000}"/>
    <cellStyle name="Normal 2 3 7 17 2 8" xfId="46393" xr:uid="{00000000-0005-0000-0000-000075890000}"/>
    <cellStyle name="Normal 2 3 7 17 2 9" xfId="46394" xr:uid="{00000000-0005-0000-0000-000076890000}"/>
    <cellStyle name="Normal 2 3 7 17 3" xfId="14723" xr:uid="{00000000-0005-0000-0000-000077890000}"/>
    <cellStyle name="Normal 2 3 7 17 3 2" xfId="14724" xr:uid="{00000000-0005-0000-0000-000078890000}"/>
    <cellStyle name="Normal 2 3 7 17 3 2 2" xfId="14725" xr:uid="{00000000-0005-0000-0000-000079890000}"/>
    <cellStyle name="Normal 2 3 7 17 3 2 2 2" xfId="46395" xr:uid="{00000000-0005-0000-0000-00007A890000}"/>
    <cellStyle name="Normal 2 3 7 17 3 2 3" xfId="14726" xr:uid="{00000000-0005-0000-0000-00007B890000}"/>
    <cellStyle name="Normal 2 3 7 17 3 2 3 2" xfId="46396" xr:uid="{00000000-0005-0000-0000-00007C890000}"/>
    <cellStyle name="Normal 2 3 7 17 3 2 4" xfId="46397" xr:uid="{00000000-0005-0000-0000-00007D890000}"/>
    <cellStyle name="Normal 2 3 7 17 3 3" xfId="14727" xr:uid="{00000000-0005-0000-0000-00007E890000}"/>
    <cellStyle name="Normal 2 3 7 17 3 3 2" xfId="46398" xr:uid="{00000000-0005-0000-0000-00007F890000}"/>
    <cellStyle name="Normal 2 3 7 17 3 4" xfId="14728" xr:uid="{00000000-0005-0000-0000-000080890000}"/>
    <cellStyle name="Normal 2 3 7 17 3 4 2" xfId="46399" xr:uid="{00000000-0005-0000-0000-000081890000}"/>
    <cellStyle name="Normal 2 3 7 17 3 5" xfId="14729" xr:uid="{00000000-0005-0000-0000-000082890000}"/>
    <cellStyle name="Normal 2 3 7 17 3 5 2" xfId="46400" xr:uid="{00000000-0005-0000-0000-000083890000}"/>
    <cellStyle name="Normal 2 3 7 17 3 6" xfId="46401" xr:uid="{00000000-0005-0000-0000-000084890000}"/>
    <cellStyle name="Normal 2 3 7 17 3 6 2" xfId="46402" xr:uid="{00000000-0005-0000-0000-000085890000}"/>
    <cellStyle name="Normal 2 3 7 17 3 7" xfId="46403" xr:uid="{00000000-0005-0000-0000-000086890000}"/>
    <cellStyle name="Normal 2 3 7 17 4" xfId="14730" xr:uid="{00000000-0005-0000-0000-000087890000}"/>
    <cellStyle name="Normal 2 3 7 17 4 2" xfId="14731" xr:uid="{00000000-0005-0000-0000-000088890000}"/>
    <cellStyle name="Normal 2 3 7 17 4 2 2" xfId="46404" xr:uid="{00000000-0005-0000-0000-000089890000}"/>
    <cellStyle name="Normal 2 3 7 17 4 3" xfId="14732" xr:uid="{00000000-0005-0000-0000-00008A890000}"/>
    <cellStyle name="Normal 2 3 7 17 4 3 2" xfId="46405" xr:uid="{00000000-0005-0000-0000-00008B890000}"/>
    <cellStyle name="Normal 2 3 7 17 4 4" xfId="46406" xr:uid="{00000000-0005-0000-0000-00008C890000}"/>
    <cellStyle name="Normal 2 3 7 17 5" xfId="14733" xr:uid="{00000000-0005-0000-0000-00008D890000}"/>
    <cellStyle name="Normal 2 3 7 17 5 2" xfId="14734" xr:uid="{00000000-0005-0000-0000-00008E890000}"/>
    <cellStyle name="Normal 2 3 7 17 5 2 2" xfId="46407" xr:uid="{00000000-0005-0000-0000-00008F890000}"/>
    <cellStyle name="Normal 2 3 7 17 5 3" xfId="46408" xr:uid="{00000000-0005-0000-0000-000090890000}"/>
    <cellStyle name="Normal 2 3 7 17 6" xfId="14735" xr:uid="{00000000-0005-0000-0000-000091890000}"/>
    <cellStyle name="Normal 2 3 7 17 6 2" xfId="46409" xr:uid="{00000000-0005-0000-0000-000092890000}"/>
    <cellStyle name="Normal 2 3 7 17 7" xfId="14736" xr:uid="{00000000-0005-0000-0000-000093890000}"/>
    <cellStyle name="Normal 2 3 7 17 7 2" xfId="46410" xr:uid="{00000000-0005-0000-0000-000094890000}"/>
    <cellStyle name="Normal 2 3 7 17 8" xfId="46411" xr:uid="{00000000-0005-0000-0000-000095890000}"/>
    <cellStyle name="Normal 2 3 7 17 8 2" xfId="46412" xr:uid="{00000000-0005-0000-0000-000096890000}"/>
    <cellStyle name="Normal 2 3 7 17 9" xfId="46413" xr:uid="{00000000-0005-0000-0000-000097890000}"/>
    <cellStyle name="Normal 2 3 7 18" xfId="14737" xr:uid="{00000000-0005-0000-0000-000098890000}"/>
    <cellStyle name="Normal 2 3 7 18 10" xfId="46414" xr:uid="{00000000-0005-0000-0000-000099890000}"/>
    <cellStyle name="Normal 2 3 7 18 11" xfId="46415" xr:uid="{00000000-0005-0000-0000-00009A890000}"/>
    <cellStyle name="Normal 2 3 7 18 2" xfId="14738" xr:uid="{00000000-0005-0000-0000-00009B890000}"/>
    <cellStyle name="Normal 2 3 7 18 2 10" xfId="46416" xr:uid="{00000000-0005-0000-0000-00009C890000}"/>
    <cellStyle name="Normal 2 3 7 18 2 2" xfId="14739" xr:uid="{00000000-0005-0000-0000-00009D890000}"/>
    <cellStyle name="Normal 2 3 7 18 2 2 2" xfId="14740" xr:uid="{00000000-0005-0000-0000-00009E890000}"/>
    <cellStyle name="Normal 2 3 7 18 2 2 2 2" xfId="14741" xr:uid="{00000000-0005-0000-0000-00009F890000}"/>
    <cellStyle name="Normal 2 3 7 18 2 2 2 2 2" xfId="46417" xr:uid="{00000000-0005-0000-0000-0000A0890000}"/>
    <cellStyle name="Normal 2 3 7 18 2 2 2 3" xfId="14742" xr:uid="{00000000-0005-0000-0000-0000A1890000}"/>
    <cellStyle name="Normal 2 3 7 18 2 2 2 3 2" xfId="46418" xr:uid="{00000000-0005-0000-0000-0000A2890000}"/>
    <cellStyle name="Normal 2 3 7 18 2 2 2 4" xfId="46419" xr:uid="{00000000-0005-0000-0000-0000A3890000}"/>
    <cellStyle name="Normal 2 3 7 18 2 2 3" xfId="14743" xr:uid="{00000000-0005-0000-0000-0000A4890000}"/>
    <cellStyle name="Normal 2 3 7 18 2 2 3 2" xfId="46420" xr:uid="{00000000-0005-0000-0000-0000A5890000}"/>
    <cellStyle name="Normal 2 3 7 18 2 2 4" xfId="14744" xr:uid="{00000000-0005-0000-0000-0000A6890000}"/>
    <cellStyle name="Normal 2 3 7 18 2 2 4 2" xfId="46421" xr:uid="{00000000-0005-0000-0000-0000A7890000}"/>
    <cellStyle name="Normal 2 3 7 18 2 2 5" xfId="14745" xr:uid="{00000000-0005-0000-0000-0000A8890000}"/>
    <cellStyle name="Normal 2 3 7 18 2 2 5 2" xfId="46422" xr:uid="{00000000-0005-0000-0000-0000A9890000}"/>
    <cellStyle name="Normal 2 3 7 18 2 2 6" xfId="46423" xr:uid="{00000000-0005-0000-0000-0000AA890000}"/>
    <cellStyle name="Normal 2 3 7 18 2 2 6 2" xfId="46424" xr:uid="{00000000-0005-0000-0000-0000AB890000}"/>
    <cellStyle name="Normal 2 3 7 18 2 2 7" xfId="46425" xr:uid="{00000000-0005-0000-0000-0000AC890000}"/>
    <cellStyle name="Normal 2 3 7 18 2 3" xfId="14746" xr:uid="{00000000-0005-0000-0000-0000AD890000}"/>
    <cellStyle name="Normal 2 3 7 18 2 3 2" xfId="14747" xr:uid="{00000000-0005-0000-0000-0000AE890000}"/>
    <cellStyle name="Normal 2 3 7 18 2 3 2 2" xfId="46426" xr:uid="{00000000-0005-0000-0000-0000AF890000}"/>
    <cellStyle name="Normal 2 3 7 18 2 3 3" xfId="14748" xr:uid="{00000000-0005-0000-0000-0000B0890000}"/>
    <cellStyle name="Normal 2 3 7 18 2 3 3 2" xfId="46427" xr:uid="{00000000-0005-0000-0000-0000B1890000}"/>
    <cellStyle name="Normal 2 3 7 18 2 3 4" xfId="46428" xr:uid="{00000000-0005-0000-0000-0000B2890000}"/>
    <cellStyle name="Normal 2 3 7 18 2 4" xfId="14749" xr:uid="{00000000-0005-0000-0000-0000B3890000}"/>
    <cellStyle name="Normal 2 3 7 18 2 4 2" xfId="14750" xr:uid="{00000000-0005-0000-0000-0000B4890000}"/>
    <cellStyle name="Normal 2 3 7 18 2 4 2 2" xfId="46429" xr:uid="{00000000-0005-0000-0000-0000B5890000}"/>
    <cellStyle name="Normal 2 3 7 18 2 4 3" xfId="46430" xr:uid="{00000000-0005-0000-0000-0000B6890000}"/>
    <cellStyle name="Normal 2 3 7 18 2 5" xfId="14751" xr:uid="{00000000-0005-0000-0000-0000B7890000}"/>
    <cellStyle name="Normal 2 3 7 18 2 5 2" xfId="46431" xr:uid="{00000000-0005-0000-0000-0000B8890000}"/>
    <cellStyle name="Normal 2 3 7 18 2 6" xfId="14752" xr:uid="{00000000-0005-0000-0000-0000B9890000}"/>
    <cellStyle name="Normal 2 3 7 18 2 6 2" xfId="46432" xr:uid="{00000000-0005-0000-0000-0000BA890000}"/>
    <cellStyle name="Normal 2 3 7 18 2 7" xfId="46433" xr:uid="{00000000-0005-0000-0000-0000BB890000}"/>
    <cellStyle name="Normal 2 3 7 18 2 7 2" xfId="46434" xr:uid="{00000000-0005-0000-0000-0000BC890000}"/>
    <cellStyle name="Normal 2 3 7 18 2 8" xfId="46435" xr:uid="{00000000-0005-0000-0000-0000BD890000}"/>
    <cellStyle name="Normal 2 3 7 18 2 9" xfId="46436" xr:uid="{00000000-0005-0000-0000-0000BE890000}"/>
    <cellStyle name="Normal 2 3 7 18 3" xfId="14753" xr:uid="{00000000-0005-0000-0000-0000BF890000}"/>
    <cellStyle name="Normal 2 3 7 18 3 2" xfId="14754" xr:uid="{00000000-0005-0000-0000-0000C0890000}"/>
    <cellStyle name="Normal 2 3 7 18 3 2 2" xfId="14755" xr:uid="{00000000-0005-0000-0000-0000C1890000}"/>
    <cellStyle name="Normal 2 3 7 18 3 2 2 2" xfId="46437" xr:uid="{00000000-0005-0000-0000-0000C2890000}"/>
    <cellStyle name="Normal 2 3 7 18 3 2 3" xfId="14756" xr:uid="{00000000-0005-0000-0000-0000C3890000}"/>
    <cellStyle name="Normal 2 3 7 18 3 2 3 2" xfId="46438" xr:uid="{00000000-0005-0000-0000-0000C4890000}"/>
    <cellStyle name="Normal 2 3 7 18 3 2 4" xfId="46439" xr:uid="{00000000-0005-0000-0000-0000C5890000}"/>
    <cellStyle name="Normal 2 3 7 18 3 3" xfId="14757" xr:uid="{00000000-0005-0000-0000-0000C6890000}"/>
    <cellStyle name="Normal 2 3 7 18 3 3 2" xfId="46440" xr:uid="{00000000-0005-0000-0000-0000C7890000}"/>
    <cellStyle name="Normal 2 3 7 18 3 4" xfId="14758" xr:uid="{00000000-0005-0000-0000-0000C8890000}"/>
    <cellStyle name="Normal 2 3 7 18 3 4 2" xfId="46441" xr:uid="{00000000-0005-0000-0000-0000C9890000}"/>
    <cellStyle name="Normal 2 3 7 18 3 5" xfId="14759" xr:uid="{00000000-0005-0000-0000-0000CA890000}"/>
    <cellStyle name="Normal 2 3 7 18 3 5 2" xfId="46442" xr:uid="{00000000-0005-0000-0000-0000CB890000}"/>
    <cellStyle name="Normal 2 3 7 18 3 6" xfId="46443" xr:uid="{00000000-0005-0000-0000-0000CC890000}"/>
    <cellStyle name="Normal 2 3 7 18 3 6 2" xfId="46444" xr:uid="{00000000-0005-0000-0000-0000CD890000}"/>
    <cellStyle name="Normal 2 3 7 18 3 7" xfId="46445" xr:uid="{00000000-0005-0000-0000-0000CE890000}"/>
    <cellStyle name="Normal 2 3 7 18 4" xfId="14760" xr:uid="{00000000-0005-0000-0000-0000CF890000}"/>
    <cellStyle name="Normal 2 3 7 18 4 2" xfId="14761" xr:uid="{00000000-0005-0000-0000-0000D0890000}"/>
    <cellStyle name="Normal 2 3 7 18 4 2 2" xfId="46446" xr:uid="{00000000-0005-0000-0000-0000D1890000}"/>
    <cellStyle name="Normal 2 3 7 18 4 3" xfId="14762" xr:uid="{00000000-0005-0000-0000-0000D2890000}"/>
    <cellStyle name="Normal 2 3 7 18 4 3 2" xfId="46447" xr:uid="{00000000-0005-0000-0000-0000D3890000}"/>
    <cellStyle name="Normal 2 3 7 18 4 4" xfId="46448" xr:uid="{00000000-0005-0000-0000-0000D4890000}"/>
    <cellStyle name="Normal 2 3 7 18 5" xfId="14763" xr:uid="{00000000-0005-0000-0000-0000D5890000}"/>
    <cellStyle name="Normal 2 3 7 18 5 2" xfId="14764" xr:uid="{00000000-0005-0000-0000-0000D6890000}"/>
    <cellStyle name="Normal 2 3 7 18 5 2 2" xfId="46449" xr:uid="{00000000-0005-0000-0000-0000D7890000}"/>
    <cellStyle name="Normal 2 3 7 18 5 3" xfId="46450" xr:uid="{00000000-0005-0000-0000-0000D8890000}"/>
    <cellStyle name="Normal 2 3 7 18 6" xfId="14765" xr:uid="{00000000-0005-0000-0000-0000D9890000}"/>
    <cellStyle name="Normal 2 3 7 18 6 2" xfId="46451" xr:uid="{00000000-0005-0000-0000-0000DA890000}"/>
    <cellStyle name="Normal 2 3 7 18 7" xfId="14766" xr:uid="{00000000-0005-0000-0000-0000DB890000}"/>
    <cellStyle name="Normal 2 3 7 18 7 2" xfId="46452" xr:uid="{00000000-0005-0000-0000-0000DC890000}"/>
    <cellStyle name="Normal 2 3 7 18 8" xfId="46453" xr:uid="{00000000-0005-0000-0000-0000DD890000}"/>
    <cellStyle name="Normal 2 3 7 18 8 2" xfId="46454" xr:uid="{00000000-0005-0000-0000-0000DE890000}"/>
    <cellStyle name="Normal 2 3 7 18 9" xfId="46455" xr:uid="{00000000-0005-0000-0000-0000DF890000}"/>
    <cellStyle name="Normal 2 3 7 19" xfId="14767" xr:uid="{00000000-0005-0000-0000-0000E0890000}"/>
    <cellStyle name="Normal 2 3 7 19 10" xfId="46456" xr:uid="{00000000-0005-0000-0000-0000E1890000}"/>
    <cellStyle name="Normal 2 3 7 19 11" xfId="46457" xr:uid="{00000000-0005-0000-0000-0000E2890000}"/>
    <cellStyle name="Normal 2 3 7 19 2" xfId="14768" xr:uid="{00000000-0005-0000-0000-0000E3890000}"/>
    <cellStyle name="Normal 2 3 7 19 2 10" xfId="46458" xr:uid="{00000000-0005-0000-0000-0000E4890000}"/>
    <cellStyle name="Normal 2 3 7 19 2 2" xfId="14769" xr:uid="{00000000-0005-0000-0000-0000E5890000}"/>
    <cellStyle name="Normal 2 3 7 19 2 2 2" xfId="14770" xr:uid="{00000000-0005-0000-0000-0000E6890000}"/>
    <cellStyle name="Normal 2 3 7 19 2 2 2 2" xfId="14771" xr:uid="{00000000-0005-0000-0000-0000E7890000}"/>
    <cellStyle name="Normal 2 3 7 19 2 2 2 2 2" xfId="46459" xr:uid="{00000000-0005-0000-0000-0000E8890000}"/>
    <cellStyle name="Normal 2 3 7 19 2 2 2 3" xfId="14772" xr:uid="{00000000-0005-0000-0000-0000E9890000}"/>
    <cellStyle name="Normal 2 3 7 19 2 2 2 3 2" xfId="46460" xr:uid="{00000000-0005-0000-0000-0000EA890000}"/>
    <cellStyle name="Normal 2 3 7 19 2 2 2 4" xfId="46461" xr:uid="{00000000-0005-0000-0000-0000EB890000}"/>
    <cellStyle name="Normal 2 3 7 19 2 2 3" xfId="14773" xr:uid="{00000000-0005-0000-0000-0000EC890000}"/>
    <cellStyle name="Normal 2 3 7 19 2 2 3 2" xfId="46462" xr:uid="{00000000-0005-0000-0000-0000ED890000}"/>
    <cellStyle name="Normal 2 3 7 19 2 2 4" xfId="14774" xr:uid="{00000000-0005-0000-0000-0000EE890000}"/>
    <cellStyle name="Normal 2 3 7 19 2 2 4 2" xfId="46463" xr:uid="{00000000-0005-0000-0000-0000EF890000}"/>
    <cellStyle name="Normal 2 3 7 19 2 2 5" xfId="14775" xr:uid="{00000000-0005-0000-0000-0000F0890000}"/>
    <cellStyle name="Normal 2 3 7 19 2 2 5 2" xfId="46464" xr:uid="{00000000-0005-0000-0000-0000F1890000}"/>
    <cellStyle name="Normal 2 3 7 19 2 2 6" xfId="46465" xr:uid="{00000000-0005-0000-0000-0000F2890000}"/>
    <cellStyle name="Normal 2 3 7 19 2 2 6 2" xfId="46466" xr:uid="{00000000-0005-0000-0000-0000F3890000}"/>
    <cellStyle name="Normal 2 3 7 19 2 2 7" xfId="46467" xr:uid="{00000000-0005-0000-0000-0000F4890000}"/>
    <cellStyle name="Normal 2 3 7 19 2 3" xfId="14776" xr:uid="{00000000-0005-0000-0000-0000F5890000}"/>
    <cellStyle name="Normal 2 3 7 19 2 3 2" xfId="14777" xr:uid="{00000000-0005-0000-0000-0000F6890000}"/>
    <cellStyle name="Normal 2 3 7 19 2 3 2 2" xfId="46468" xr:uid="{00000000-0005-0000-0000-0000F7890000}"/>
    <cellStyle name="Normal 2 3 7 19 2 3 3" xfId="14778" xr:uid="{00000000-0005-0000-0000-0000F8890000}"/>
    <cellStyle name="Normal 2 3 7 19 2 3 3 2" xfId="46469" xr:uid="{00000000-0005-0000-0000-0000F9890000}"/>
    <cellStyle name="Normal 2 3 7 19 2 3 4" xfId="46470" xr:uid="{00000000-0005-0000-0000-0000FA890000}"/>
    <cellStyle name="Normal 2 3 7 19 2 4" xfId="14779" xr:uid="{00000000-0005-0000-0000-0000FB890000}"/>
    <cellStyle name="Normal 2 3 7 19 2 4 2" xfId="14780" xr:uid="{00000000-0005-0000-0000-0000FC890000}"/>
    <cellStyle name="Normal 2 3 7 19 2 4 2 2" xfId="46471" xr:uid="{00000000-0005-0000-0000-0000FD890000}"/>
    <cellStyle name="Normal 2 3 7 19 2 4 3" xfId="46472" xr:uid="{00000000-0005-0000-0000-0000FE890000}"/>
    <cellStyle name="Normal 2 3 7 19 2 5" xfId="14781" xr:uid="{00000000-0005-0000-0000-0000FF890000}"/>
    <cellStyle name="Normal 2 3 7 19 2 5 2" xfId="46473" xr:uid="{00000000-0005-0000-0000-0000008A0000}"/>
    <cellStyle name="Normal 2 3 7 19 2 6" xfId="14782" xr:uid="{00000000-0005-0000-0000-0000018A0000}"/>
    <cellStyle name="Normal 2 3 7 19 2 6 2" xfId="46474" xr:uid="{00000000-0005-0000-0000-0000028A0000}"/>
    <cellStyle name="Normal 2 3 7 19 2 7" xfId="46475" xr:uid="{00000000-0005-0000-0000-0000038A0000}"/>
    <cellStyle name="Normal 2 3 7 19 2 7 2" xfId="46476" xr:uid="{00000000-0005-0000-0000-0000048A0000}"/>
    <cellStyle name="Normal 2 3 7 19 2 8" xfId="46477" xr:uid="{00000000-0005-0000-0000-0000058A0000}"/>
    <cellStyle name="Normal 2 3 7 19 2 9" xfId="46478" xr:uid="{00000000-0005-0000-0000-0000068A0000}"/>
    <cellStyle name="Normal 2 3 7 19 3" xfId="14783" xr:uid="{00000000-0005-0000-0000-0000078A0000}"/>
    <cellStyle name="Normal 2 3 7 19 3 2" xfId="14784" xr:uid="{00000000-0005-0000-0000-0000088A0000}"/>
    <cellStyle name="Normal 2 3 7 19 3 2 2" xfId="14785" xr:uid="{00000000-0005-0000-0000-0000098A0000}"/>
    <cellStyle name="Normal 2 3 7 19 3 2 2 2" xfId="46479" xr:uid="{00000000-0005-0000-0000-00000A8A0000}"/>
    <cellStyle name="Normal 2 3 7 19 3 2 3" xfId="14786" xr:uid="{00000000-0005-0000-0000-00000B8A0000}"/>
    <cellStyle name="Normal 2 3 7 19 3 2 3 2" xfId="46480" xr:uid="{00000000-0005-0000-0000-00000C8A0000}"/>
    <cellStyle name="Normal 2 3 7 19 3 2 4" xfId="46481" xr:uid="{00000000-0005-0000-0000-00000D8A0000}"/>
    <cellStyle name="Normal 2 3 7 19 3 3" xfId="14787" xr:uid="{00000000-0005-0000-0000-00000E8A0000}"/>
    <cellStyle name="Normal 2 3 7 19 3 3 2" xfId="46482" xr:uid="{00000000-0005-0000-0000-00000F8A0000}"/>
    <cellStyle name="Normal 2 3 7 19 3 4" xfId="14788" xr:uid="{00000000-0005-0000-0000-0000108A0000}"/>
    <cellStyle name="Normal 2 3 7 19 3 4 2" xfId="46483" xr:uid="{00000000-0005-0000-0000-0000118A0000}"/>
    <cellStyle name="Normal 2 3 7 19 3 5" xfId="14789" xr:uid="{00000000-0005-0000-0000-0000128A0000}"/>
    <cellStyle name="Normal 2 3 7 19 3 5 2" xfId="46484" xr:uid="{00000000-0005-0000-0000-0000138A0000}"/>
    <cellStyle name="Normal 2 3 7 19 3 6" xfId="46485" xr:uid="{00000000-0005-0000-0000-0000148A0000}"/>
    <cellStyle name="Normal 2 3 7 19 3 6 2" xfId="46486" xr:uid="{00000000-0005-0000-0000-0000158A0000}"/>
    <cellStyle name="Normal 2 3 7 19 3 7" xfId="46487" xr:uid="{00000000-0005-0000-0000-0000168A0000}"/>
    <cellStyle name="Normal 2 3 7 19 4" xfId="14790" xr:uid="{00000000-0005-0000-0000-0000178A0000}"/>
    <cellStyle name="Normal 2 3 7 19 4 2" xfId="14791" xr:uid="{00000000-0005-0000-0000-0000188A0000}"/>
    <cellStyle name="Normal 2 3 7 19 4 2 2" xfId="46488" xr:uid="{00000000-0005-0000-0000-0000198A0000}"/>
    <cellStyle name="Normal 2 3 7 19 4 3" xfId="14792" xr:uid="{00000000-0005-0000-0000-00001A8A0000}"/>
    <cellStyle name="Normal 2 3 7 19 4 3 2" xfId="46489" xr:uid="{00000000-0005-0000-0000-00001B8A0000}"/>
    <cellStyle name="Normal 2 3 7 19 4 4" xfId="46490" xr:uid="{00000000-0005-0000-0000-00001C8A0000}"/>
    <cellStyle name="Normal 2 3 7 19 5" xfId="14793" xr:uid="{00000000-0005-0000-0000-00001D8A0000}"/>
    <cellStyle name="Normal 2 3 7 19 5 2" xfId="14794" xr:uid="{00000000-0005-0000-0000-00001E8A0000}"/>
    <cellStyle name="Normal 2 3 7 19 5 2 2" xfId="46491" xr:uid="{00000000-0005-0000-0000-00001F8A0000}"/>
    <cellStyle name="Normal 2 3 7 19 5 3" xfId="46492" xr:uid="{00000000-0005-0000-0000-0000208A0000}"/>
    <cellStyle name="Normal 2 3 7 19 6" xfId="14795" xr:uid="{00000000-0005-0000-0000-0000218A0000}"/>
    <cellStyle name="Normal 2 3 7 19 6 2" xfId="46493" xr:uid="{00000000-0005-0000-0000-0000228A0000}"/>
    <cellStyle name="Normal 2 3 7 19 7" xfId="14796" xr:uid="{00000000-0005-0000-0000-0000238A0000}"/>
    <cellStyle name="Normal 2 3 7 19 7 2" xfId="46494" xr:uid="{00000000-0005-0000-0000-0000248A0000}"/>
    <cellStyle name="Normal 2 3 7 19 8" xfId="46495" xr:uid="{00000000-0005-0000-0000-0000258A0000}"/>
    <cellStyle name="Normal 2 3 7 19 8 2" xfId="46496" xr:uid="{00000000-0005-0000-0000-0000268A0000}"/>
    <cellStyle name="Normal 2 3 7 19 9" xfId="46497" xr:uid="{00000000-0005-0000-0000-0000278A0000}"/>
    <cellStyle name="Normal 2 3 7 2" xfId="14797" xr:uid="{00000000-0005-0000-0000-0000288A0000}"/>
    <cellStyle name="Normal 2 3 7 2 10" xfId="46498" xr:uid="{00000000-0005-0000-0000-0000298A0000}"/>
    <cellStyle name="Normal 2 3 7 2 11" xfId="46499" xr:uid="{00000000-0005-0000-0000-00002A8A0000}"/>
    <cellStyle name="Normal 2 3 7 2 2" xfId="14798" xr:uid="{00000000-0005-0000-0000-00002B8A0000}"/>
    <cellStyle name="Normal 2 3 7 2 2 10" xfId="46500" xr:uid="{00000000-0005-0000-0000-00002C8A0000}"/>
    <cellStyle name="Normal 2 3 7 2 2 2" xfId="14799" xr:uid="{00000000-0005-0000-0000-00002D8A0000}"/>
    <cellStyle name="Normal 2 3 7 2 2 2 2" xfId="14800" xr:uid="{00000000-0005-0000-0000-00002E8A0000}"/>
    <cellStyle name="Normal 2 3 7 2 2 2 2 2" xfId="14801" xr:uid="{00000000-0005-0000-0000-00002F8A0000}"/>
    <cellStyle name="Normal 2 3 7 2 2 2 2 2 2" xfId="46501" xr:uid="{00000000-0005-0000-0000-0000308A0000}"/>
    <cellStyle name="Normal 2 3 7 2 2 2 2 3" xfId="14802" xr:uid="{00000000-0005-0000-0000-0000318A0000}"/>
    <cellStyle name="Normal 2 3 7 2 2 2 2 3 2" xfId="46502" xr:uid="{00000000-0005-0000-0000-0000328A0000}"/>
    <cellStyle name="Normal 2 3 7 2 2 2 2 4" xfId="46503" xr:uid="{00000000-0005-0000-0000-0000338A0000}"/>
    <cellStyle name="Normal 2 3 7 2 2 2 3" xfId="14803" xr:uid="{00000000-0005-0000-0000-0000348A0000}"/>
    <cellStyle name="Normal 2 3 7 2 2 2 3 2" xfId="46504" xr:uid="{00000000-0005-0000-0000-0000358A0000}"/>
    <cellStyle name="Normal 2 3 7 2 2 2 4" xfId="14804" xr:uid="{00000000-0005-0000-0000-0000368A0000}"/>
    <cellStyle name="Normal 2 3 7 2 2 2 4 2" xfId="46505" xr:uid="{00000000-0005-0000-0000-0000378A0000}"/>
    <cellStyle name="Normal 2 3 7 2 2 2 5" xfId="14805" xr:uid="{00000000-0005-0000-0000-0000388A0000}"/>
    <cellStyle name="Normal 2 3 7 2 2 2 5 2" xfId="46506" xr:uid="{00000000-0005-0000-0000-0000398A0000}"/>
    <cellStyle name="Normal 2 3 7 2 2 2 6" xfId="46507" xr:uid="{00000000-0005-0000-0000-00003A8A0000}"/>
    <cellStyle name="Normal 2 3 7 2 2 2 6 2" xfId="46508" xr:uid="{00000000-0005-0000-0000-00003B8A0000}"/>
    <cellStyle name="Normal 2 3 7 2 2 2 7" xfId="46509" xr:uid="{00000000-0005-0000-0000-00003C8A0000}"/>
    <cellStyle name="Normal 2 3 7 2 2 3" xfId="14806" xr:uid="{00000000-0005-0000-0000-00003D8A0000}"/>
    <cellStyle name="Normal 2 3 7 2 2 3 2" xfId="14807" xr:uid="{00000000-0005-0000-0000-00003E8A0000}"/>
    <cellStyle name="Normal 2 3 7 2 2 3 2 2" xfId="46510" xr:uid="{00000000-0005-0000-0000-00003F8A0000}"/>
    <cellStyle name="Normal 2 3 7 2 2 3 3" xfId="14808" xr:uid="{00000000-0005-0000-0000-0000408A0000}"/>
    <cellStyle name="Normal 2 3 7 2 2 3 3 2" xfId="46511" xr:uid="{00000000-0005-0000-0000-0000418A0000}"/>
    <cellStyle name="Normal 2 3 7 2 2 3 4" xfId="46512" xr:uid="{00000000-0005-0000-0000-0000428A0000}"/>
    <cellStyle name="Normal 2 3 7 2 2 4" xfId="14809" xr:uid="{00000000-0005-0000-0000-0000438A0000}"/>
    <cellStyle name="Normal 2 3 7 2 2 4 2" xfId="14810" xr:uid="{00000000-0005-0000-0000-0000448A0000}"/>
    <cellStyle name="Normal 2 3 7 2 2 4 2 2" xfId="46513" xr:uid="{00000000-0005-0000-0000-0000458A0000}"/>
    <cellStyle name="Normal 2 3 7 2 2 4 3" xfId="46514" xr:uid="{00000000-0005-0000-0000-0000468A0000}"/>
    <cellStyle name="Normal 2 3 7 2 2 5" xfId="14811" xr:uid="{00000000-0005-0000-0000-0000478A0000}"/>
    <cellStyle name="Normal 2 3 7 2 2 5 2" xfId="46515" xr:uid="{00000000-0005-0000-0000-0000488A0000}"/>
    <cellStyle name="Normal 2 3 7 2 2 6" xfId="14812" xr:uid="{00000000-0005-0000-0000-0000498A0000}"/>
    <cellStyle name="Normal 2 3 7 2 2 6 2" xfId="46516" xr:uid="{00000000-0005-0000-0000-00004A8A0000}"/>
    <cellStyle name="Normal 2 3 7 2 2 7" xfId="46517" xr:uid="{00000000-0005-0000-0000-00004B8A0000}"/>
    <cellStyle name="Normal 2 3 7 2 2 7 2" xfId="46518" xr:uid="{00000000-0005-0000-0000-00004C8A0000}"/>
    <cellStyle name="Normal 2 3 7 2 2 8" xfId="46519" xr:uid="{00000000-0005-0000-0000-00004D8A0000}"/>
    <cellStyle name="Normal 2 3 7 2 2 9" xfId="46520" xr:uid="{00000000-0005-0000-0000-00004E8A0000}"/>
    <cellStyle name="Normal 2 3 7 2 3" xfId="14813" xr:uid="{00000000-0005-0000-0000-00004F8A0000}"/>
    <cellStyle name="Normal 2 3 7 2 3 2" xfId="14814" xr:uid="{00000000-0005-0000-0000-0000508A0000}"/>
    <cellStyle name="Normal 2 3 7 2 3 2 2" xfId="14815" xr:uid="{00000000-0005-0000-0000-0000518A0000}"/>
    <cellStyle name="Normal 2 3 7 2 3 2 2 2" xfId="46521" xr:uid="{00000000-0005-0000-0000-0000528A0000}"/>
    <cellStyle name="Normal 2 3 7 2 3 2 3" xfId="14816" xr:uid="{00000000-0005-0000-0000-0000538A0000}"/>
    <cellStyle name="Normal 2 3 7 2 3 2 3 2" xfId="46522" xr:uid="{00000000-0005-0000-0000-0000548A0000}"/>
    <cellStyle name="Normal 2 3 7 2 3 2 4" xfId="46523" xr:uid="{00000000-0005-0000-0000-0000558A0000}"/>
    <cellStyle name="Normal 2 3 7 2 3 3" xfId="14817" xr:uid="{00000000-0005-0000-0000-0000568A0000}"/>
    <cellStyle name="Normal 2 3 7 2 3 3 2" xfId="46524" xr:uid="{00000000-0005-0000-0000-0000578A0000}"/>
    <cellStyle name="Normal 2 3 7 2 3 4" xfId="14818" xr:uid="{00000000-0005-0000-0000-0000588A0000}"/>
    <cellStyle name="Normal 2 3 7 2 3 4 2" xfId="46525" xr:uid="{00000000-0005-0000-0000-0000598A0000}"/>
    <cellStyle name="Normal 2 3 7 2 3 5" xfId="14819" xr:uid="{00000000-0005-0000-0000-00005A8A0000}"/>
    <cellStyle name="Normal 2 3 7 2 3 5 2" xfId="46526" xr:uid="{00000000-0005-0000-0000-00005B8A0000}"/>
    <cellStyle name="Normal 2 3 7 2 3 6" xfId="46527" xr:uid="{00000000-0005-0000-0000-00005C8A0000}"/>
    <cellStyle name="Normal 2 3 7 2 3 6 2" xfId="46528" xr:uid="{00000000-0005-0000-0000-00005D8A0000}"/>
    <cellStyle name="Normal 2 3 7 2 3 7" xfId="46529" xr:uid="{00000000-0005-0000-0000-00005E8A0000}"/>
    <cellStyle name="Normal 2 3 7 2 4" xfId="14820" xr:uid="{00000000-0005-0000-0000-00005F8A0000}"/>
    <cellStyle name="Normal 2 3 7 2 4 2" xfId="14821" xr:uid="{00000000-0005-0000-0000-0000608A0000}"/>
    <cellStyle name="Normal 2 3 7 2 4 2 2" xfId="46530" xr:uid="{00000000-0005-0000-0000-0000618A0000}"/>
    <cellStyle name="Normal 2 3 7 2 4 3" xfId="14822" xr:uid="{00000000-0005-0000-0000-0000628A0000}"/>
    <cellStyle name="Normal 2 3 7 2 4 3 2" xfId="46531" xr:uid="{00000000-0005-0000-0000-0000638A0000}"/>
    <cellStyle name="Normal 2 3 7 2 4 4" xfId="46532" xr:uid="{00000000-0005-0000-0000-0000648A0000}"/>
    <cellStyle name="Normal 2 3 7 2 5" xfId="14823" xr:uid="{00000000-0005-0000-0000-0000658A0000}"/>
    <cellStyle name="Normal 2 3 7 2 5 2" xfId="14824" xr:uid="{00000000-0005-0000-0000-0000668A0000}"/>
    <cellStyle name="Normal 2 3 7 2 5 2 2" xfId="46533" xr:uid="{00000000-0005-0000-0000-0000678A0000}"/>
    <cellStyle name="Normal 2 3 7 2 5 3" xfId="46534" xr:uid="{00000000-0005-0000-0000-0000688A0000}"/>
    <cellStyle name="Normal 2 3 7 2 6" xfId="14825" xr:uid="{00000000-0005-0000-0000-0000698A0000}"/>
    <cellStyle name="Normal 2 3 7 2 6 2" xfId="46535" xr:uid="{00000000-0005-0000-0000-00006A8A0000}"/>
    <cellStyle name="Normal 2 3 7 2 7" xfId="14826" xr:uid="{00000000-0005-0000-0000-00006B8A0000}"/>
    <cellStyle name="Normal 2 3 7 2 7 2" xfId="46536" xr:uid="{00000000-0005-0000-0000-00006C8A0000}"/>
    <cellStyle name="Normal 2 3 7 2 8" xfId="46537" xr:uid="{00000000-0005-0000-0000-00006D8A0000}"/>
    <cellStyle name="Normal 2 3 7 2 8 2" xfId="46538" xr:uid="{00000000-0005-0000-0000-00006E8A0000}"/>
    <cellStyle name="Normal 2 3 7 2 9" xfId="46539" xr:uid="{00000000-0005-0000-0000-00006F8A0000}"/>
    <cellStyle name="Normal 2 3 7 20" xfId="14827" xr:uid="{00000000-0005-0000-0000-0000708A0000}"/>
    <cellStyle name="Normal 2 3 7 20 10" xfId="46540" xr:uid="{00000000-0005-0000-0000-0000718A0000}"/>
    <cellStyle name="Normal 2 3 7 20 11" xfId="46541" xr:uid="{00000000-0005-0000-0000-0000728A0000}"/>
    <cellStyle name="Normal 2 3 7 20 2" xfId="14828" xr:uid="{00000000-0005-0000-0000-0000738A0000}"/>
    <cellStyle name="Normal 2 3 7 20 2 10" xfId="46542" xr:uid="{00000000-0005-0000-0000-0000748A0000}"/>
    <cellStyle name="Normal 2 3 7 20 2 2" xfId="14829" xr:uid="{00000000-0005-0000-0000-0000758A0000}"/>
    <cellStyle name="Normal 2 3 7 20 2 2 2" xfId="14830" xr:uid="{00000000-0005-0000-0000-0000768A0000}"/>
    <cellStyle name="Normal 2 3 7 20 2 2 2 2" xfId="14831" xr:uid="{00000000-0005-0000-0000-0000778A0000}"/>
    <cellStyle name="Normal 2 3 7 20 2 2 2 2 2" xfId="46543" xr:uid="{00000000-0005-0000-0000-0000788A0000}"/>
    <cellStyle name="Normal 2 3 7 20 2 2 2 3" xfId="14832" xr:uid="{00000000-0005-0000-0000-0000798A0000}"/>
    <cellStyle name="Normal 2 3 7 20 2 2 2 3 2" xfId="46544" xr:uid="{00000000-0005-0000-0000-00007A8A0000}"/>
    <cellStyle name="Normal 2 3 7 20 2 2 2 4" xfId="46545" xr:uid="{00000000-0005-0000-0000-00007B8A0000}"/>
    <cellStyle name="Normal 2 3 7 20 2 2 3" xfId="14833" xr:uid="{00000000-0005-0000-0000-00007C8A0000}"/>
    <cellStyle name="Normal 2 3 7 20 2 2 3 2" xfId="46546" xr:uid="{00000000-0005-0000-0000-00007D8A0000}"/>
    <cellStyle name="Normal 2 3 7 20 2 2 4" xfId="14834" xr:uid="{00000000-0005-0000-0000-00007E8A0000}"/>
    <cellStyle name="Normal 2 3 7 20 2 2 4 2" xfId="46547" xr:uid="{00000000-0005-0000-0000-00007F8A0000}"/>
    <cellStyle name="Normal 2 3 7 20 2 2 5" xfId="14835" xr:uid="{00000000-0005-0000-0000-0000808A0000}"/>
    <cellStyle name="Normal 2 3 7 20 2 2 5 2" xfId="46548" xr:uid="{00000000-0005-0000-0000-0000818A0000}"/>
    <cellStyle name="Normal 2 3 7 20 2 2 6" xfId="46549" xr:uid="{00000000-0005-0000-0000-0000828A0000}"/>
    <cellStyle name="Normal 2 3 7 20 2 2 6 2" xfId="46550" xr:uid="{00000000-0005-0000-0000-0000838A0000}"/>
    <cellStyle name="Normal 2 3 7 20 2 2 7" xfId="46551" xr:uid="{00000000-0005-0000-0000-0000848A0000}"/>
    <cellStyle name="Normal 2 3 7 20 2 3" xfId="14836" xr:uid="{00000000-0005-0000-0000-0000858A0000}"/>
    <cellStyle name="Normal 2 3 7 20 2 3 2" xfId="14837" xr:uid="{00000000-0005-0000-0000-0000868A0000}"/>
    <cellStyle name="Normal 2 3 7 20 2 3 2 2" xfId="46552" xr:uid="{00000000-0005-0000-0000-0000878A0000}"/>
    <cellStyle name="Normal 2 3 7 20 2 3 3" xfId="14838" xr:uid="{00000000-0005-0000-0000-0000888A0000}"/>
    <cellStyle name="Normal 2 3 7 20 2 3 3 2" xfId="46553" xr:uid="{00000000-0005-0000-0000-0000898A0000}"/>
    <cellStyle name="Normal 2 3 7 20 2 3 4" xfId="46554" xr:uid="{00000000-0005-0000-0000-00008A8A0000}"/>
    <cellStyle name="Normal 2 3 7 20 2 4" xfId="14839" xr:uid="{00000000-0005-0000-0000-00008B8A0000}"/>
    <cellStyle name="Normal 2 3 7 20 2 4 2" xfId="14840" xr:uid="{00000000-0005-0000-0000-00008C8A0000}"/>
    <cellStyle name="Normal 2 3 7 20 2 4 2 2" xfId="46555" xr:uid="{00000000-0005-0000-0000-00008D8A0000}"/>
    <cellStyle name="Normal 2 3 7 20 2 4 3" xfId="46556" xr:uid="{00000000-0005-0000-0000-00008E8A0000}"/>
    <cellStyle name="Normal 2 3 7 20 2 5" xfId="14841" xr:uid="{00000000-0005-0000-0000-00008F8A0000}"/>
    <cellStyle name="Normal 2 3 7 20 2 5 2" xfId="46557" xr:uid="{00000000-0005-0000-0000-0000908A0000}"/>
    <cellStyle name="Normal 2 3 7 20 2 6" xfId="14842" xr:uid="{00000000-0005-0000-0000-0000918A0000}"/>
    <cellStyle name="Normal 2 3 7 20 2 6 2" xfId="46558" xr:uid="{00000000-0005-0000-0000-0000928A0000}"/>
    <cellStyle name="Normal 2 3 7 20 2 7" xfId="46559" xr:uid="{00000000-0005-0000-0000-0000938A0000}"/>
    <cellStyle name="Normal 2 3 7 20 2 7 2" xfId="46560" xr:uid="{00000000-0005-0000-0000-0000948A0000}"/>
    <cellStyle name="Normal 2 3 7 20 2 8" xfId="46561" xr:uid="{00000000-0005-0000-0000-0000958A0000}"/>
    <cellStyle name="Normal 2 3 7 20 2 9" xfId="46562" xr:uid="{00000000-0005-0000-0000-0000968A0000}"/>
    <cellStyle name="Normal 2 3 7 20 3" xfId="14843" xr:uid="{00000000-0005-0000-0000-0000978A0000}"/>
    <cellStyle name="Normal 2 3 7 20 3 2" xfId="14844" xr:uid="{00000000-0005-0000-0000-0000988A0000}"/>
    <cellStyle name="Normal 2 3 7 20 3 2 2" xfId="14845" xr:uid="{00000000-0005-0000-0000-0000998A0000}"/>
    <cellStyle name="Normal 2 3 7 20 3 2 2 2" xfId="46563" xr:uid="{00000000-0005-0000-0000-00009A8A0000}"/>
    <cellStyle name="Normal 2 3 7 20 3 2 3" xfId="14846" xr:uid="{00000000-0005-0000-0000-00009B8A0000}"/>
    <cellStyle name="Normal 2 3 7 20 3 2 3 2" xfId="46564" xr:uid="{00000000-0005-0000-0000-00009C8A0000}"/>
    <cellStyle name="Normal 2 3 7 20 3 2 4" xfId="46565" xr:uid="{00000000-0005-0000-0000-00009D8A0000}"/>
    <cellStyle name="Normal 2 3 7 20 3 3" xfId="14847" xr:uid="{00000000-0005-0000-0000-00009E8A0000}"/>
    <cellStyle name="Normal 2 3 7 20 3 3 2" xfId="46566" xr:uid="{00000000-0005-0000-0000-00009F8A0000}"/>
    <cellStyle name="Normal 2 3 7 20 3 4" xfId="14848" xr:uid="{00000000-0005-0000-0000-0000A08A0000}"/>
    <cellStyle name="Normal 2 3 7 20 3 4 2" xfId="46567" xr:uid="{00000000-0005-0000-0000-0000A18A0000}"/>
    <cellStyle name="Normal 2 3 7 20 3 5" xfId="14849" xr:uid="{00000000-0005-0000-0000-0000A28A0000}"/>
    <cellStyle name="Normal 2 3 7 20 3 5 2" xfId="46568" xr:uid="{00000000-0005-0000-0000-0000A38A0000}"/>
    <cellStyle name="Normal 2 3 7 20 3 6" xfId="46569" xr:uid="{00000000-0005-0000-0000-0000A48A0000}"/>
    <cellStyle name="Normal 2 3 7 20 3 6 2" xfId="46570" xr:uid="{00000000-0005-0000-0000-0000A58A0000}"/>
    <cellStyle name="Normal 2 3 7 20 3 7" xfId="46571" xr:uid="{00000000-0005-0000-0000-0000A68A0000}"/>
    <cellStyle name="Normal 2 3 7 20 4" xfId="14850" xr:uid="{00000000-0005-0000-0000-0000A78A0000}"/>
    <cellStyle name="Normal 2 3 7 20 4 2" xfId="14851" xr:uid="{00000000-0005-0000-0000-0000A88A0000}"/>
    <cellStyle name="Normal 2 3 7 20 4 2 2" xfId="46572" xr:uid="{00000000-0005-0000-0000-0000A98A0000}"/>
    <cellStyle name="Normal 2 3 7 20 4 3" xfId="14852" xr:uid="{00000000-0005-0000-0000-0000AA8A0000}"/>
    <cellStyle name="Normal 2 3 7 20 4 3 2" xfId="46573" xr:uid="{00000000-0005-0000-0000-0000AB8A0000}"/>
    <cellStyle name="Normal 2 3 7 20 4 4" xfId="46574" xr:uid="{00000000-0005-0000-0000-0000AC8A0000}"/>
    <cellStyle name="Normal 2 3 7 20 5" xfId="14853" xr:uid="{00000000-0005-0000-0000-0000AD8A0000}"/>
    <cellStyle name="Normal 2 3 7 20 5 2" xfId="14854" xr:uid="{00000000-0005-0000-0000-0000AE8A0000}"/>
    <cellStyle name="Normal 2 3 7 20 5 2 2" xfId="46575" xr:uid="{00000000-0005-0000-0000-0000AF8A0000}"/>
    <cellStyle name="Normal 2 3 7 20 5 3" xfId="46576" xr:uid="{00000000-0005-0000-0000-0000B08A0000}"/>
    <cellStyle name="Normal 2 3 7 20 6" xfId="14855" xr:uid="{00000000-0005-0000-0000-0000B18A0000}"/>
    <cellStyle name="Normal 2 3 7 20 6 2" xfId="46577" xr:uid="{00000000-0005-0000-0000-0000B28A0000}"/>
    <cellStyle name="Normal 2 3 7 20 7" xfId="14856" xr:uid="{00000000-0005-0000-0000-0000B38A0000}"/>
    <cellStyle name="Normal 2 3 7 20 7 2" xfId="46578" xr:uid="{00000000-0005-0000-0000-0000B48A0000}"/>
    <cellStyle name="Normal 2 3 7 20 8" xfId="46579" xr:uid="{00000000-0005-0000-0000-0000B58A0000}"/>
    <cellStyle name="Normal 2 3 7 20 8 2" xfId="46580" xr:uid="{00000000-0005-0000-0000-0000B68A0000}"/>
    <cellStyle name="Normal 2 3 7 20 9" xfId="46581" xr:uid="{00000000-0005-0000-0000-0000B78A0000}"/>
    <cellStyle name="Normal 2 3 7 21" xfId="14857" xr:uid="{00000000-0005-0000-0000-0000B88A0000}"/>
    <cellStyle name="Normal 2 3 7 21 10" xfId="46582" xr:uid="{00000000-0005-0000-0000-0000B98A0000}"/>
    <cellStyle name="Normal 2 3 7 21 11" xfId="46583" xr:uid="{00000000-0005-0000-0000-0000BA8A0000}"/>
    <cellStyle name="Normal 2 3 7 21 2" xfId="14858" xr:uid="{00000000-0005-0000-0000-0000BB8A0000}"/>
    <cellStyle name="Normal 2 3 7 21 2 10" xfId="46584" xr:uid="{00000000-0005-0000-0000-0000BC8A0000}"/>
    <cellStyle name="Normal 2 3 7 21 2 2" xfId="14859" xr:uid="{00000000-0005-0000-0000-0000BD8A0000}"/>
    <cellStyle name="Normal 2 3 7 21 2 2 2" xfId="14860" xr:uid="{00000000-0005-0000-0000-0000BE8A0000}"/>
    <cellStyle name="Normal 2 3 7 21 2 2 2 2" xfId="14861" xr:uid="{00000000-0005-0000-0000-0000BF8A0000}"/>
    <cellStyle name="Normal 2 3 7 21 2 2 2 2 2" xfId="46585" xr:uid="{00000000-0005-0000-0000-0000C08A0000}"/>
    <cellStyle name="Normal 2 3 7 21 2 2 2 3" xfId="14862" xr:uid="{00000000-0005-0000-0000-0000C18A0000}"/>
    <cellStyle name="Normal 2 3 7 21 2 2 2 3 2" xfId="46586" xr:uid="{00000000-0005-0000-0000-0000C28A0000}"/>
    <cellStyle name="Normal 2 3 7 21 2 2 2 4" xfId="46587" xr:uid="{00000000-0005-0000-0000-0000C38A0000}"/>
    <cellStyle name="Normal 2 3 7 21 2 2 3" xfId="14863" xr:uid="{00000000-0005-0000-0000-0000C48A0000}"/>
    <cellStyle name="Normal 2 3 7 21 2 2 3 2" xfId="46588" xr:uid="{00000000-0005-0000-0000-0000C58A0000}"/>
    <cellStyle name="Normal 2 3 7 21 2 2 4" xfId="14864" xr:uid="{00000000-0005-0000-0000-0000C68A0000}"/>
    <cellStyle name="Normal 2 3 7 21 2 2 4 2" xfId="46589" xr:uid="{00000000-0005-0000-0000-0000C78A0000}"/>
    <cellStyle name="Normal 2 3 7 21 2 2 5" xfId="14865" xr:uid="{00000000-0005-0000-0000-0000C88A0000}"/>
    <cellStyle name="Normal 2 3 7 21 2 2 5 2" xfId="46590" xr:uid="{00000000-0005-0000-0000-0000C98A0000}"/>
    <cellStyle name="Normal 2 3 7 21 2 2 6" xfId="46591" xr:uid="{00000000-0005-0000-0000-0000CA8A0000}"/>
    <cellStyle name="Normal 2 3 7 21 2 2 6 2" xfId="46592" xr:uid="{00000000-0005-0000-0000-0000CB8A0000}"/>
    <cellStyle name="Normal 2 3 7 21 2 2 7" xfId="46593" xr:uid="{00000000-0005-0000-0000-0000CC8A0000}"/>
    <cellStyle name="Normal 2 3 7 21 2 3" xfId="14866" xr:uid="{00000000-0005-0000-0000-0000CD8A0000}"/>
    <cellStyle name="Normal 2 3 7 21 2 3 2" xfId="14867" xr:uid="{00000000-0005-0000-0000-0000CE8A0000}"/>
    <cellStyle name="Normal 2 3 7 21 2 3 2 2" xfId="46594" xr:uid="{00000000-0005-0000-0000-0000CF8A0000}"/>
    <cellStyle name="Normal 2 3 7 21 2 3 3" xfId="14868" xr:uid="{00000000-0005-0000-0000-0000D08A0000}"/>
    <cellStyle name="Normal 2 3 7 21 2 3 3 2" xfId="46595" xr:uid="{00000000-0005-0000-0000-0000D18A0000}"/>
    <cellStyle name="Normal 2 3 7 21 2 3 4" xfId="46596" xr:uid="{00000000-0005-0000-0000-0000D28A0000}"/>
    <cellStyle name="Normal 2 3 7 21 2 4" xfId="14869" xr:uid="{00000000-0005-0000-0000-0000D38A0000}"/>
    <cellStyle name="Normal 2 3 7 21 2 4 2" xfId="14870" xr:uid="{00000000-0005-0000-0000-0000D48A0000}"/>
    <cellStyle name="Normal 2 3 7 21 2 4 2 2" xfId="46597" xr:uid="{00000000-0005-0000-0000-0000D58A0000}"/>
    <cellStyle name="Normal 2 3 7 21 2 4 3" xfId="46598" xr:uid="{00000000-0005-0000-0000-0000D68A0000}"/>
    <cellStyle name="Normal 2 3 7 21 2 5" xfId="14871" xr:uid="{00000000-0005-0000-0000-0000D78A0000}"/>
    <cellStyle name="Normal 2 3 7 21 2 5 2" xfId="46599" xr:uid="{00000000-0005-0000-0000-0000D88A0000}"/>
    <cellStyle name="Normal 2 3 7 21 2 6" xfId="14872" xr:uid="{00000000-0005-0000-0000-0000D98A0000}"/>
    <cellStyle name="Normal 2 3 7 21 2 6 2" xfId="46600" xr:uid="{00000000-0005-0000-0000-0000DA8A0000}"/>
    <cellStyle name="Normal 2 3 7 21 2 7" xfId="46601" xr:uid="{00000000-0005-0000-0000-0000DB8A0000}"/>
    <cellStyle name="Normal 2 3 7 21 2 7 2" xfId="46602" xr:uid="{00000000-0005-0000-0000-0000DC8A0000}"/>
    <cellStyle name="Normal 2 3 7 21 2 8" xfId="46603" xr:uid="{00000000-0005-0000-0000-0000DD8A0000}"/>
    <cellStyle name="Normal 2 3 7 21 2 9" xfId="46604" xr:uid="{00000000-0005-0000-0000-0000DE8A0000}"/>
    <cellStyle name="Normal 2 3 7 21 3" xfId="14873" xr:uid="{00000000-0005-0000-0000-0000DF8A0000}"/>
    <cellStyle name="Normal 2 3 7 21 3 2" xfId="14874" xr:uid="{00000000-0005-0000-0000-0000E08A0000}"/>
    <cellStyle name="Normal 2 3 7 21 3 2 2" xfId="14875" xr:uid="{00000000-0005-0000-0000-0000E18A0000}"/>
    <cellStyle name="Normal 2 3 7 21 3 2 2 2" xfId="46605" xr:uid="{00000000-0005-0000-0000-0000E28A0000}"/>
    <cellStyle name="Normal 2 3 7 21 3 2 3" xfId="14876" xr:uid="{00000000-0005-0000-0000-0000E38A0000}"/>
    <cellStyle name="Normal 2 3 7 21 3 2 3 2" xfId="46606" xr:uid="{00000000-0005-0000-0000-0000E48A0000}"/>
    <cellStyle name="Normal 2 3 7 21 3 2 4" xfId="46607" xr:uid="{00000000-0005-0000-0000-0000E58A0000}"/>
    <cellStyle name="Normal 2 3 7 21 3 3" xfId="14877" xr:uid="{00000000-0005-0000-0000-0000E68A0000}"/>
    <cellStyle name="Normal 2 3 7 21 3 3 2" xfId="46608" xr:uid="{00000000-0005-0000-0000-0000E78A0000}"/>
    <cellStyle name="Normal 2 3 7 21 3 4" xfId="14878" xr:uid="{00000000-0005-0000-0000-0000E88A0000}"/>
    <cellStyle name="Normal 2 3 7 21 3 4 2" xfId="46609" xr:uid="{00000000-0005-0000-0000-0000E98A0000}"/>
    <cellStyle name="Normal 2 3 7 21 3 5" xfId="14879" xr:uid="{00000000-0005-0000-0000-0000EA8A0000}"/>
    <cellStyle name="Normal 2 3 7 21 3 5 2" xfId="46610" xr:uid="{00000000-0005-0000-0000-0000EB8A0000}"/>
    <cellStyle name="Normal 2 3 7 21 3 6" xfId="46611" xr:uid="{00000000-0005-0000-0000-0000EC8A0000}"/>
    <cellStyle name="Normal 2 3 7 21 3 6 2" xfId="46612" xr:uid="{00000000-0005-0000-0000-0000ED8A0000}"/>
    <cellStyle name="Normal 2 3 7 21 3 7" xfId="46613" xr:uid="{00000000-0005-0000-0000-0000EE8A0000}"/>
    <cellStyle name="Normal 2 3 7 21 4" xfId="14880" xr:uid="{00000000-0005-0000-0000-0000EF8A0000}"/>
    <cellStyle name="Normal 2 3 7 21 4 2" xfId="14881" xr:uid="{00000000-0005-0000-0000-0000F08A0000}"/>
    <cellStyle name="Normal 2 3 7 21 4 2 2" xfId="46614" xr:uid="{00000000-0005-0000-0000-0000F18A0000}"/>
    <cellStyle name="Normal 2 3 7 21 4 3" xfId="14882" xr:uid="{00000000-0005-0000-0000-0000F28A0000}"/>
    <cellStyle name="Normal 2 3 7 21 4 3 2" xfId="46615" xr:uid="{00000000-0005-0000-0000-0000F38A0000}"/>
    <cellStyle name="Normal 2 3 7 21 4 4" xfId="46616" xr:uid="{00000000-0005-0000-0000-0000F48A0000}"/>
    <cellStyle name="Normal 2 3 7 21 5" xfId="14883" xr:uid="{00000000-0005-0000-0000-0000F58A0000}"/>
    <cellStyle name="Normal 2 3 7 21 5 2" xfId="14884" xr:uid="{00000000-0005-0000-0000-0000F68A0000}"/>
    <cellStyle name="Normal 2 3 7 21 5 2 2" xfId="46617" xr:uid="{00000000-0005-0000-0000-0000F78A0000}"/>
    <cellStyle name="Normal 2 3 7 21 5 3" xfId="46618" xr:uid="{00000000-0005-0000-0000-0000F88A0000}"/>
    <cellStyle name="Normal 2 3 7 21 6" xfId="14885" xr:uid="{00000000-0005-0000-0000-0000F98A0000}"/>
    <cellStyle name="Normal 2 3 7 21 6 2" xfId="46619" xr:uid="{00000000-0005-0000-0000-0000FA8A0000}"/>
    <cellStyle name="Normal 2 3 7 21 7" xfId="14886" xr:uid="{00000000-0005-0000-0000-0000FB8A0000}"/>
    <cellStyle name="Normal 2 3 7 21 7 2" xfId="46620" xr:uid="{00000000-0005-0000-0000-0000FC8A0000}"/>
    <cellStyle name="Normal 2 3 7 21 8" xfId="46621" xr:uid="{00000000-0005-0000-0000-0000FD8A0000}"/>
    <cellStyle name="Normal 2 3 7 21 8 2" xfId="46622" xr:uid="{00000000-0005-0000-0000-0000FE8A0000}"/>
    <cellStyle name="Normal 2 3 7 21 9" xfId="46623" xr:uid="{00000000-0005-0000-0000-0000FF8A0000}"/>
    <cellStyle name="Normal 2 3 7 22" xfId="14887" xr:uid="{00000000-0005-0000-0000-0000008B0000}"/>
    <cellStyle name="Normal 2 3 7 22 10" xfId="46624" xr:uid="{00000000-0005-0000-0000-0000018B0000}"/>
    <cellStyle name="Normal 2 3 7 22 11" xfId="46625" xr:uid="{00000000-0005-0000-0000-0000028B0000}"/>
    <cellStyle name="Normal 2 3 7 22 2" xfId="14888" xr:uid="{00000000-0005-0000-0000-0000038B0000}"/>
    <cellStyle name="Normal 2 3 7 22 2 10" xfId="46626" xr:uid="{00000000-0005-0000-0000-0000048B0000}"/>
    <cellStyle name="Normal 2 3 7 22 2 2" xfId="14889" xr:uid="{00000000-0005-0000-0000-0000058B0000}"/>
    <cellStyle name="Normal 2 3 7 22 2 2 2" xfId="14890" xr:uid="{00000000-0005-0000-0000-0000068B0000}"/>
    <cellStyle name="Normal 2 3 7 22 2 2 2 2" xfId="14891" xr:uid="{00000000-0005-0000-0000-0000078B0000}"/>
    <cellStyle name="Normal 2 3 7 22 2 2 2 2 2" xfId="46627" xr:uid="{00000000-0005-0000-0000-0000088B0000}"/>
    <cellStyle name="Normal 2 3 7 22 2 2 2 3" xfId="14892" xr:uid="{00000000-0005-0000-0000-0000098B0000}"/>
    <cellStyle name="Normal 2 3 7 22 2 2 2 3 2" xfId="46628" xr:uid="{00000000-0005-0000-0000-00000A8B0000}"/>
    <cellStyle name="Normal 2 3 7 22 2 2 2 4" xfId="46629" xr:uid="{00000000-0005-0000-0000-00000B8B0000}"/>
    <cellStyle name="Normal 2 3 7 22 2 2 3" xfId="14893" xr:uid="{00000000-0005-0000-0000-00000C8B0000}"/>
    <cellStyle name="Normal 2 3 7 22 2 2 3 2" xfId="46630" xr:uid="{00000000-0005-0000-0000-00000D8B0000}"/>
    <cellStyle name="Normal 2 3 7 22 2 2 4" xfId="14894" xr:uid="{00000000-0005-0000-0000-00000E8B0000}"/>
    <cellStyle name="Normal 2 3 7 22 2 2 4 2" xfId="46631" xr:uid="{00000000-0005-0000-0000-00000F8B0000}"/>
    <cellStyle name="Normal 2 3 7 22 2 2 5" xfId="14895" xr:uid="{00000000-0005-0000-0000-0000108B0000}"/>
    <cellStyle name="Normal 2 3 7 22 2 2 5 2" xfId="46632" xr:uid="{00000000-0005-0000-0000-0000118B0000}"/>
    <cellStyle name="Normal 2 3 7 22 2 2 6" xfId="46633" xr:uid="{00000000-0005-0000-0000-0000128B0000}"/>
    <cellStyle name="Normal 2 3 7 22 2 2 6 2" xfId="46634" xr:uid="{00000000-0005-0000-0000-0000138B0000}"/>
    <cellStyle name="Normal 2 3 7 22 2 2 7" xfId="46635" xr:uid="{00000000-0005-0000-0000-0000148B0000}"/>
    <cellStyle name="Normal 2 3 7 22 2 3" xfId="14896" xr:uid="{00000000-0005-0000-0000-0000158B0000}"/>
    <cellStyle name="Normal 2 3 7 22 2 3 2" xfId="14897" xr:uid="{00000000-0005-0000-0000-0000168B0000}"/>
    <cellStyle name="Normal 2 3 7 22 2 3 2 2" xfId="46636" xr:uid="{00000000-0005-0000-0000-0000178B0000}"/>
    <cellStyle name="Normal 2 3 7 22 2 3 3" xfId="14898" xr:uid="{00000000-0005-0000-0000-0000188B0000}"/>
    <cellStyle name="Normal 2 3 7 22 2 3 3 2" xfId="46637" xr:uid="{00000000-0005-0000-0000-0000198B0000}"/>
    <cellStyle name="Normal 2 3 7 22 2 3 4" xfId="46638" xr:uid="{00000000-0005-0000-0000-00001A8B0000}"/>
    <cellStyle name="Normal 2 3 7 22 2 4" xfId="14899" xr:uid="{00000000-0005-0000-0000-00001B8B0000}"/>
    <cellStyle name="Normal 2 3 7 22 2 4 2" xfId="14900" xr:uid="{00000000-0005-0000-0000-00001C8B0000}"/>
    <cellStyle name="Normal 2 3 7 22 2 4 2 2" xfId="46639" xr:uid="{00000000-0005-0000-0000-00001D8B0000}"/>
    <cellStyle name="Normal 2 3 7 22 2 4 3" xfId="46640" xr:uid="{00000000-0005-0000-0000-00001E8B0000}"/>
    <cellStyle name="Normal 2 3 7 22 2 5" xfId="14901" xr:uid="{00000000-0005-0000-0000-00001F8B0000}"/>
    <cellStyle name="Normal 2 3 7 22 2 5 2" xfId="46641" xr:uid="{00000000-0005-0000-0000-0000208B0000}"/>
    <cellStyle name="Normal 2 3 7 22 2 6" xfId="14902" xr:uid="{00000000-0005-0000-0000-0000218B0000}"/>
    <cellStyle name="Normal 2 3 7 22 2 6 2" xfId="46642" xr:uid="{00000000-0005-0000-0000-0000228B0000}"/>
    <cellStyle name="Normal 2 3 7 22 2 7" xfId="46643" xr:uid="{00000000-0005-0000-0000-0000238B0000}"/>
    <cellStyle name="Normal 2 3 7 22 2 7 2" xfId="46644" xr:uid="{00000000-0005-0000-0000-0000248B0000}"/>
    <cellStyle name="Normal 2 3 7 22 2 8" xfId="46645" xr:uid="{00000000-0005-0000-0000-0000258B0000}"/>
    <cellStyle name="Normal 2 3 7 22 2 9" xfId="46646" xr:uid="{00000000-0005-0000-0000-0000268B0000}"/>
    <cellStyle name="Normal 2 3 7 22 3" xfId="14903" xr:uid="{00000000-0005-0000-0000-0000278B0000}"/>
    <cellStyle name="Normal 2 3 7 22 3 2" xfId="14904" xr:uid="{00000000-0005-0000-0000-0000288B0000}"/>
    <cellStyle name="Normal 2 3 7 22 3 2 2" xfId="14905" xr:uid="{00000000-0005-0000-0000-0000298B0000}"/>
    <cellStyle name="Normal 2 3 7 22 3 2 2 2" xfId="46647" xr:uid="{00000000-0005-0000-0000-00002A8B0000}"/>
    <cellStyle name="Normal 2 3 7 22 3 2 3" xfId="14906" xr:uid="{00000000-0005-0000-0000-00002B8B0000}"/>
    <cellStyle name="Normal 2 3 7 22 3 2 3 2" xfId="46648" xr:uid="{00000000-0005-0000-0000-00002C8B0000}"/>
    <cellStyle name="Normal 2 3 7 22 3 2 4" xfId="46649" xr:uid="{00000000-0005-0000-0000-00002D8B0000}"/>
    <cellStyle name="Normal 2 3 7 22 3 3" xfId="14907" xr:uid="{00000000-0005-0000-0000-00002E8B0000}"/>
    <cellStyle name="Normal 2 3 7 22 3 3 2" xfId="46650" xr:uid="{00000000-0005-0000-0000-00002F8B0000}"/>
    <cellStyle name="Normal 2 3 7 22 3 4" xfId="14908" xr:uid="{00000000-0005-0000-0000-0000308B0000}"/>
    <cellStyle name="Normal 2 3 7 22 3 4 2" xfId="46651" xr:uid="{00000000-0005-0000-0000-0000318B0000}"/>
    <cellStyle name="Normal 2 3 7 22 3 5" xfId="14909" xr:uid="{00000000-0005-0000-0000-0000328B0000}"/>
    <cellStyle name="Normal 2 3 7 22 3 5 2" xfId="46652" xr:uid="{00000000-0005-0000-0000-0000338B0000}"/>
    <cellStyle name="Normal 2 3 7 22 3 6" xfId="46653" xr:uid="{00000000-0005-0000-0000-0000348B0000}"/>
    <cellStyle name="Normal 2 3 7 22 3 6 2" xfId="46654" xr:uid="{00000000-0005-0000-0000-0000358B0000}"/>
    <cellStyle name="Normal 2 3 7 22 3 7" xfId="46655" xr:uid="{00000000-0005-0000-0000-0000368B0000}"/>
    <cellStyle name="Normal 2 3 7 22 4" xfId="14910" xr:uid="{00000000-0005-0000-0000-0000378B0000}"/>
    <cellStyle name="Normal 2 3 7 22 4 2" xfId="14911" xr:uid="{00000000-0005-0000-0000-0000388B0000}"/>
    <cellStyle name="Normal 2 3 7 22 4 2 2" xfId="46656" xr:uid="{00000000-0005-0000-0000-0000398B0000}"/>
    <cellStyle name="Normal 2 3 7 22 4 3" xfId="14912" xr:uid="{00000000-0005-0000-0000-00003A8B0000}"/>
    <cellStyle name="Normal 2 3 7 22 4 3 2" xfId="46657" xr:uid="{00000000-0005-0000-0000-00003B8B0000}"/>
    <cellStyle name="Normal 2 3 7 22 4 4" xfId="46658" xr:uid="{00000000-0005-0000-0000-00003C8B0000}"/>
    <cellStyle name="Normal 2 3 7 22 5" xfId="14913" xr:uid="{00000000-0005-0000-0000-00003D8B0000}"/>
    <cellStyle name="Normal 2 3 7 22 5 2" xfId="14914" xr:uid="{00000000-0005-0000-0000-00003E8B0000}"/>
    <cellStyle name="Normal 2 3 7 22 5 2 2" xfId="46659" xr:uid="{00000000-0005-0000-0000-00003F8B0000}"/>
    <cellStyle name="Normal 2 3 7 22 5 3" xfId="46660" xr:uid="{00000000-0005-0000-0000-0000408B0000}"/>
    <cellStyle name="Normal 2 3 7 22 6" xfId="14915" xr:uid="{00000000-0005-0000-0000-0000418B0000}"/>
    <cellStyle name="Normal 2 3 7 22 6 2" xfId="46661" xr:uid="{00000000-0005-0000-0000-0000428B0000}"/>
    <cellStyle name="Normal 2 3 7 22 7" xfId="14916" xr:uid="{00000000-0005-0000-0000-0000438B0000}"/>
    <cellStyle name="Normal 2 3 7 22 7 2" xfId="46662" xr:uid="{00000000-0005-0000-0000-0000448B0000}"/>
    <cellStyle name="Normal 2 3 7 22 8" xfId="46663" xr:uid="{00000000-0005-0000-0000-0000458B0000}"/>
    <cellStyle name="Normal 2 3 7 22 8 2" xfId="46664" xr:uid="{00000000-0005-0000-0000-0000468B0000}"/>
    <cellStyle name="Normal 2 3 7 22 9" xfId="46665" xr:uid="{00000000-0005-0000-0000-0000478B0000}"/>
    <cellStyle name="Normal 2 3 7 23" xfId="14917" xr:uid="{00000000-0005-0000-0000-0000488B0000}"/>
    <cellStyle name="Normal 2 3 7 23 10" xfId="46666" xr:uid="{00000000-0005-0000-0000-0000498B0000}"/>
    <cellStyle name="Normal 2 3 7 23 11" xfId="46667" xr:uid="{00000000-0005-0000-0000-00004A8B0000}"/>
    <cellStyle name="Normal 2 3 7 23 2" xfId="14918" xr:uid="{00000000-0005-0000-0000-00004B8B0000}"/>
    <cellStyle name="Normal 2 3 7 23 2 10" xfId="46668" xr:uid="{00000000-0005-0000-0000-00004C8B0000}"/>
    <cellStyle name="Normal 2 3 7 23 2 2" xfId="14919" xr:uid="{00000000-0005-0000-0000-00004D8B0000}"/>
    <cellStyle name="Normal 2 3 7 23 2 2 2" xfId="14920" xr:uid="{00000000-0005-0000-0000-00004E8B0000}"/>
    <cellStyle name="Normal 2 3 7 23 2 2 2 2" xfId="14921" xr:uid="{00000000-0005-0000-0000-00004F8B0000}"/>
    <cellStyle name="Normal 2 3 7 23 2 2 2 2 2" xfId="46669" xr:uid="{00000000-0005-0000-0000-0000508B0000}"/>
    <cellStyle name="Normal 2 3 7 23 2 2 2 3" xfId="14922" xr:uid="{00000000-0005-0000-0000-0000518B0000}"/>
    <cellStyle name="Normal 2 3 7 23 2 2 2 3 2" xfId="46670" xr:uid="{00000000-0005-0000-0000-0000528B0000}"/>
    <cellStyle name="Normal 2 3 7 23 2 2 2 4" xfId="46671" xr:uid="{00000000-0005-0000-0000-0000538B0000}"/>
    <cellStyle name="Normal 2 3 7 23 2 2 3" xfId="14923" xr:uid="{00000000-0005-0000-0000-0000548B0000}"/>
    <cellStyle name="Normal 2 3 7 23 2 2 3 2" xfId="46672" xr:uid="{00000000-0005-0000-0000-0000558B0000}"/>
    <cellStyle name="Normal 2 3 7 23 2 2 4" xfId="14924" xr:uid="{00000000-0005-0000-0000-0000568B0000}"/>
    <cellStyle name="Normal 2 3 7 23 2 2 4 2" xfId="46673" xr:uid="{00000000-0005-0000-0000-0000578B0000}"/>
    <cellStyle name="Normal 2 3 7 23 2 2 5" xfId="14925" xr:uid="{00000000-0005-0000-0000-0000588B0000}"/>
    <cellStyle name="Normal 2 3 7 23 2 2 5 2" xfId="46674" xr:uid="{00000000-0005-0000-0000-0000598B0000}"/>
    <cellStyle name="Normal 2 3 7 23 2 2 6" xfId="46675" xr:uid="{00000000-0005-0000-0000-00005A8B0000}"/>
    <cellStyle name="Normal 2 3 7 23 2 2 6 2" xfId="46676" xr:uid="{00000000-0005-0000-0000-00005B8B0000}"/>
    <cellStyle name="Normal 2 3 7 23 2 2 7" xfId="46677" xr:uid="{00000000-0005-0000-0000-00005C8B0000}"/>
    <cellStyle name="Normal 2 3 7 23 2 3" xfId="14926" xr:uid="{00000000-0005-0000-0000-00005D8B0000}"/>
    <cellStyle name="Normal 2 3 7 23 2 3 2" xfId="14927" xr:uid="{00000000-0005-0000-0000-00005E8B0000}"/>
    <cellStyle name="Normal 2 3 7 23 2 3 2 2" xfId="46678" xr:uid="{00000000-0005-0000-0000-00005F8B0000}"/>
    <cellStyle name="Normal 2 3 7 23 2 3 3" xfId="14928" xr:uid="{00000000-0005-0000-0000-0000608B0000}"/>
    <cellStyle name="Normal 2 3 7 23 2 3 3 2" xfId="46679" xr:uid="{00000000-0005-0000-0000-0000618B0000}"/>
    <cellStyle name="Normal 2 3 7 23 2 3 4" xfId="46680" xr:uid="{00000000-0005-0000-0000-0000628B0000}"/>
    <cellStyle name="Normal 2 3 7 23 2 4" xfId="14929" xr:uid="{00000000-0005-0000-0000-0000638B0000}"/>
    <cellStyle name="Normal 2 3 7 23 2 4 2" xfId="14930" xr:uid="{00000000-0005-0000-0000-0000648B0000}"/>
    <cellStyle name="Normal 2 3 7 23 2 4 2 2" xfId="46681" xr:uid="{00000000-0005-0000-0000-0000658B0000}"/>
    <cellStyle name="Normal 2 3 7 23 2 4 3" xfId="46682" xr:uid="{00000000-0005-0000-0000-0000668B0000}"/>
    <cellStyle name="Normal 2 3 7 23 2 5" xfId="14931" xr:uid="{00000000-0005-0000-0000-0000678B0000}"/>
    <cellStyle name="Normal 2 3 7 23 2 5 2" xfId="46683" xr:uid="{00000000-0005-0000-0000-0000688B0000}"/>
    <cellStyle name="Normal 2 3 7 23 2 6" xfId="14932" xr:uid="{00000000-0005-0000-0000-0000698B0000}"/>
    <cellStyle name="Normal 2 3 7 23 2 6 2" xfId="46684" xr:uid="{00000000-0005-0000-0000-00006A8B0000}"/>
    <cellStyle name="Normal 2 3 7 23 2 7" xfId="46685" xr:uid="{00000000-0005-0000-0000-00006B8B0000}"/>
    <cellStyle name="Normal 2 3 7 23 2 7 2" xfId="46686" xr:uid="{00000000-0005-0000-0000-00006C8B0000}"/>
    <cellStyle name="Normal 2 3 7 23 2 8" xfId="46687" xr:uid="{00000000-0005-0000-0000-00006D8B0000}"/>
    <cellStyle name="Normal 2 3 7 23 2 9" xfId="46688" xr:uid="{00000000-0005-0000-0000-00006E8B0000}"/>
    <cellStyle name="Normal 2 3 7 23 3" xfId="14933" xr:uid="{00000000-0005-0000-0000-00006F8B0000}"/>
    <cellStyle name="Normal 2 3 7 23 3 2" xfId="14934" xr:uid="{00000000-0005-0000-0000-0000708B0000}"/>
    <cellStyle name="Normal 2 3 7 23 3 2 2" xfId="14935" xr:uid="{00000000-0005-0000-0000-0000718B0000}"/>
    <cellStyle name="Normal 2 3 7 23 3 2 2 2" xfId="46689" xr:uid="{00000000-0005-0000-0000-0000728B0000}"/>
    <cellStyle name="Normal 2 3 7 23 3 2 3" xfId="14936" xr:uid="{00000000-0005-0000-0000-0000738B0000}"/>
    <cellStyle name="Normal 2 3 7 23 3 2 3 2" xfId="46690" xr:uid="{00000000-0005-0000-0000-0000748B0000}"/>
    <cellStyle name="Normal 2 3 7 23 3 2 4" xfId="46691" xr:uid="{00000000-0005-0000-0000-0000758B0000}"/>
    <cellStyle name="Normal 2 3 7 23 3 3" xfId="14937" xr:uid="{00000000-0005-0000-0000-0000768B0000}"/>
    <cellStyle name="Normal 2 3 7 23 3 3 2" xfId="46692" xr:uid="{00000000-0005-0000-0000-0000778B0000}"/>
    <cellStyle name="Normal 2 3 7 23 3 4" xfId="14938" xr:uid="{00000000-0005-0000-0000-0000788B0000}"/>
    <cellStyle name="Normal 2 3 7 23 3 4 2" xfId="46693" xr:uid="{00000000-0005-0000-0000-0000798B0000}"/>
    <cellStyle name="Normal 2 3 7 23 3 5" xfId="14939" xr:uid="{00000000-0005-0000-0000-00007A8B0000}"/>
    <cellStyle name="Normal 2 3 7 23 3 5 2" xfId="46694" xr:uid="{00000000-0005-0000-0000-00007B8B0000}"/>
    <cellStyle name="Normal 2 3 7 23 3 6" xfId="46695" xr:uid="{00000000-0005-0000-0000-00007C8B0000}"/>
    <cellStyle name="Normal 2 3 7 23 3 6 2" xfId="46696" xr:uid="{00000000-0005-0000-0000-00007D8B0000}"/>
    <cellStyle name="Normal 2 3 7 23 3 7" xfId="46697" xr:uid="{00000000-0005-0000-0000-00007E8B0000}"/>
    <cellStyle name="Normal 2 3 7 23 4" xfId="14940" xr:uid="{00000000-0005-0000-0000-00007F8B0000}"/>
    <cellStyle name="Normal 2 3 7 23 4 2" xfId="14941" xr:uid="{00000000-0005-0000-0000-0000808B0000}"/>
    <cellStyle name="Normal 2 3 7 23 4 2 2" xfId="46698" xr:uid="{00000000-0005-0000-0000-0000818B0000}"/>
    <cellStyle name="Normal 2 3 7 23 4 3" xfId="14942" xr:uid="{00000000-0005-0000-0000-0000828B0000}"/>
    <cellStyle name="Normal 2 3 7 23 4 3 2" xfId="46699" xr:uid="{00000000-0005-0000-0000-0000838B0000}"/>
    <cellStyle name="Normal 2 3 7 23 4 4" xfId="46700" xr:uid="{00000000-0005-0000-0000-0000848B0000}"/>
    <cellStyle name="Normal 2 3 7 23 5" xfId="14943" xr:uid="{00000000-0005-0000-0000-0000858B0000}"/>
    <cellStyle name="Normal 2 3 7 23 5 2" xfId="14944" xr:uid="{00000000-0005-0000-0000-0000868B0000}"/>
    <cellStyle name="Normal 2 3 7 23 5 2 2" xfId="46701" xr:uid="{00000000-0005-0000-0000-0000878B0000}"/>
    <cellStyle name="Normal 2 3 7 23 5 3" xfId="46702" xr:uid="{00000000-0005-0000-0000-0000888B0000}"/>
    <cellStyle name="Normal 2 3 7 23 6" xfId="14945" xr:uid="{00000000-0005-0000-0000-0000898B0000}"/>
    <cellStyle name="Normal 2 3 7 23 6 2" xfId="46703" xr:uid="{00000000-0005-0000-0000-00008A8B0000}"/>
    <cellStyle name="Normal 2 3 7 23 7" xfId="14946" xr:uid="{00000000-0005-0000-0000-00008B8B0000}"/>
    <cellStyle name="Normal 2 3 7 23 7 2" xfId="46704" xr:uid="{00000000-0005-0000-0000-00008C8B0000}"/>
    <cellStyle name="Normal 2 3 7 23 8" xfId="46705" xr:uid="{00000000-0005-0000-0000-00008D8B0000}"/>
    <cellStyle name="Normal 2 3 7 23 8 2" xfId="46706" xr:uid="{00000000-0005-0000-0000-00008E8B0000}"/>
    <cellStyle name="Normal 2 3 7 23 9" xfId="46707" xr:uid="{00000000-0005-0000-0000-00008F8B0000}"/>
    <cellStyle name="Normal 2 3 7 24" xfId="14947" xr:uid="{00000000-0005-0000-0000-0000908B0000}"/>
    <cellStyle name="Normal 2 3 7 24 10" xfId="46708" xr:uid="{00000000-0005-0000-0000-0000918B0000}"/>
    <cellStyle name="Normal 2 3 7 24 11" xfId="46709" xr:uid="{00000000-0005-0000-0000-0000928B0000}"/>
    <cellStyle name="Normal 2 3 7 24 2" xfId="14948" xr:uid="{00000000-0005-0000-0000-0000938B0000}"/>
    <cellStyle name="Normal 2 3 7 24 2 10" xfId="46710" xr:uid="{00000000-0005-0000-0000-0000948B0000}"/>
    <cellStyle name="Normal 2 3 7 24 2 2" xfId="14949" xr:uid="{00000000-0005-0000-0000-0000958B0000}"/>
    <cellStyle name="Normal 2 3 7 24 2 2 2" xfId="14950" xr:uid="{00000000-0005-0000-0000-0000968B0000}"/>
    <cellStyle name="Normal 2 3 7 24 2 2 2 2" xfId="14951" xr:uid="{00000000-0005-0000-0000-0000978B0000}"/>
    <cellStyle name="Normal 2 3 7 24 2 2 2 2 2" xfId="46711" xr:uid="{00000000-0005-0000-0000-0000988B0000}"/>
    <cellStyle name="Normal 2 3 7 24 2 2 2 3" xfId="14952" xr:uid="{00000000-0005-0000-0000-0000998B0000}"/>
    <cellStyle name="Normal 2 3 7 24 2 2 2 3 2" xfId="46712" xr:uid="{00000000-0005-0000-0000-00009A8B0000}"/>
    <cellStyle name="Normal 2 3 7 24 2 2 2 4" xfId="46713" xr:uid="{00000000-0005-0000-0000-00009B8B0000}"/>
    <cellStyle name="Normal 2 3 7 24 2 2 3" xfId="14953" xr:uid="{00000000-0005-0000-0000-00009C8B0000}"/>
    <cellStyle name="Normal 2 3 7 24 2 2 3 2" xfId="46714" xr:uid="{00000000-0005-0000-0000-00009D8B0000}"/>
    <cellStyle name="Normal 2 3 7 24 2 2 4" xfId="14954" xr:uid="{00000000-0005-0000-0000-00009E8B0000}"/>
    <cellStyle name="Normal 2 3 7 24 2 2 4 2" xfId="46715" xr:uid="{00000000-0005-0000-0000-00009F8B0000}"/>
    <cellStyle name="Normal 2 3 7 24 2 2 5" xfId="14955" xr:uid="{00000000-0005-0000-0000-0000A08B0000}"/>
    <cellStyle name="Normal 2 3 7 24 2 2 5 2" xfId="46716" xr:uid="{00000000-0005-0000-0000-0000A18B0000}"/>
    <cellStyle name="Normal 2 3 7 24 2 2 6" xfId="46717" xr:uid="{00000000-0005-0000-0000-0000A28B0000}"/>
    <cellStyle name="Normal 2 3 7 24 2 2 6 2" xfId="46718" xr:uid="{00000000-0005-0000-0000-0000A38B0000}"/>
    <cellStyle name="Normal 2 3 7 24 2 2 7" xfId="46719" xr:uid="{00000000-0005-0000-0000-0000A48B0000}"/>
    <cellStyle name="Normal 2 3 7 24 2 3" xfId="14956" xr:uid="{00000000-0005-0000-0000-0000A58B0000}"/>
    <cellStyle name="Normal 2 3 7 24 2 3 2" xfId="14957" xr:uid="{00000000-0005-0000-0000-0000A68B0000}"/>
    <cellStyle name="Normal 2 3 7 24 2 3 2 2" xfId="46720" xr:uid="{00000000-0005-0000-0000-0000A78B0000}"/>
    <cellStyle name="Normal 2 3 7 24 2 3 3" xfId="14958" xr:uid="{00000000-0005-0000-0000-0000A88B0000}"/>
    <cellStyle name="Normal 2 3 7 24 2 3 3 2" xfId="46721" xr:uid="{00000000-0005-0000-0000-0000A98B0000}"/>
    <cellStyle name="Normal 2 3 7 24 2 3 4" xfId="46722" xr:uid="{00000000-0005-0000-0000-0000AA8B0000}"/>
    <cellStyle name="Normal 2 3 7 24 2 4" xfId="14959" xr:uid="{00000000-0005-0000-0000-0000AB8B0000}"/>
    <cellStyle name="Normal 2 3 7 24 2 4 2" xfId="14960" xr:uid="{00000000-0005-0000-0000-0000AC8B0000}"/>
    <cellStyle name="Normal 2 3 7 24 2 4 2 2" xfId="46723" xr:uid="{00000000-0005-0000-0000-0000AD8B0000}"/>
    <cellStyle name="Normal 2 3 7 24 2 4 3" xfId="46724" xr:uid="{00000000-0005-0000-0000-0000AE8B0000}"/>
    <cellStyle name="Normal 2 3 7 24 2 5" xfId="14961" xr:uid="{00000000-0005-0000-0000-0000AF8B0000}"/>
    <cellStyle name="Normal 2 3 7 24 2 5 2" xfId="46725" xr:uid="{00000000-0005-0000-0000-0000B08B0000}"/>
    <cellStyle name="Normal 2 3 7 24 2 6" xfId="14962" xr:uid="{00000000-0005-0000-0000-0000B18B0000}"/>
    <cellStyle name="Normal 2 3 7 24 2 6 2" xfId="46726" xr:uid="{00000000-0005-0000-0000-0000B28B0000}"/>
    <cellStyle name="Normal 2 3 7 24 2 7" xfId="46727" xr:uid="{00000000-0005-0000-0000-0000B38B0000}"/>
    <cellStyle name="Normal 2 3 7 24 2 7 2" xfId="46728" xr:uid="{00000000-0005-0000-0000-0000B48B0000}"/>
    <cellStyle name="Normal 2 3 7 24 2 8" xfId="46729" xr:uid="{00000000-0005-0000-0000-0000B58B0000}"/>
    <cellStyle name="Normal 2 3 7 24 2 9" xfId="46730" xr:uid="{00000000-0005-0000-0000-0000B68B0000}"/>
    <cellStyle name="Normal 2 3 7 24 3" xfId="14963" xr:uid="{00000000-0005-0000-0000-0000B78B0000}"/>
    <cellStyle name="Normal 2 3 7 24 3 2" xfId="14964" xr:uid="{00000000-0005-0000-0000-0000B88B0000}"/>
    <cellStyle name="Normal 2 3 7 24 3 2 2" xfId="14965" xr:uid="{00000000-0005-0000-0000-0000B98B0000}"/>
    <cellStyle name="Normal 2 3 7 24 3 2 2 2" xfId="46731" xr:uid="{00000000-0005-0000-0000-0000BA8B0000}"/>
    <cellStyle name="Normal 2 3 7 24 3 2 3" xfId="14966" xr:uid="{00000000-0005-0000-0000-0000BB8B0000}"/>
    <cellStyle name="Normal 2 3 7 24 3 2 3 2" xfId="46732" xr:uid="{00000000-0005-0000-0000-0000BC8B0000}"/>
    <cellStyle name="Normal 2 3 7 24 3 2 4" xfId="46733" xr:uid="{00000000-0005-0000-0000-0000BD8B0000}"/>
    <cellStyle name="Normal 2 3 7 24 3 3" xfId="14967" xr:uid="{00000000-0005-0000-0000-0000BE8B0000}"/>
    <cellStyle name="Normal 2 3 7 24 3 3 2" xfId="46734" xr:uid="{00000000-0005-0000-0000-0000BF8B0000}"/>
    <cellStyle name="Normal 2 3 7 24 3 4" xfId="14968" xr:uid="{00000000-0005-0000-0000-0000C08B0000}"/>
    <cellStyle name="Normal 2 3 7 24 3 4 2" xfId="46735" xr:uid="{00000000-0005-0000-0000-0000C18B0000}"/>
    <cellStyle name="Normal 2 3 7 24 3 5" xfId="14969" xr:uid="{00000000-0005-0000-0000-0000C28B0000}"/>
    <cellStyle name="Normal 2 3 7 24 3 5 2" xfId="46736" xr:uid="{00000000-0005-0000-0000-0000C38B0000}"/>
    <cellStyle name="Normal 2 3 7 24 3 6" xfId="46737" xr:uid="{00000000-0005-0000-0000-0000C48B0000}"/>
    <cellStyle name="Normal 2 3 7 24 3 6 2" xfId="46738" xr:uid="{00000000-0005-0000-0000-0000C58B0000}"/>
    <cellStyle name="Normal 2 3 7 24 3 7" xfId="46739" xr:uid="{00000000-0005-0000-0000-0000C68B0000}"/>
    <cellStyle name="Normal 2 3 7 24 4" xfId="14970" xr:uid="{00000000-0005-0000-0000-0000C78B0000}"/>
    <cellStyle name="Normal 2 3 7 24 4 2" xfId="14971" xr:uid="{00000000-0005-0000-0000-0000C88B0000}"/>
    <cellStyle name="Normal 2 3 7 24 4 2 2" xfId="46740" xr:uid="{00000000-0005-0000-0000-0000C98B0000}"/>
    <cellStyle name="Normal 2 3 7 24 4 3" xfId="14972" xr:uid="{00000000-0005-0000-0000-0000CA8B0000}"/>
    <cellStyle name="Normal 2 3 7 24 4 3 2" xfId="46741" xr:uid="{00000000-0005-0000-0000-0000CB8B0000}"/>
    <cellStyle name="Normal 2 3 7 24 4 4" xfId="46742" xr:uid="{00000000-0005-0000-0000-0000CC8B0000}"/>
    <cellStyle name="Normal 2 3 7 24 5" xfId="14973" xr:uid="{00000000-0005-0000-0000-0000CD8B0000}"/>
    <cellStyle name="Normal 2 3 7 24 5 2" xfId="14974" xr:uid="{00000000-0005-0000-0000-0000CE8B0000}"/>
    <cellStyle name="Normal 2 3 7 24 5 2 2" xfId="46743" xr:uid="{00000000-0005-0000-0000-0000CF8B0000}"/>
    <cellStyle name="Normal 2 3 7 24 5 3" xfId="46744" xr:uid="{00000000-0005-0000-0000-0000D08B0000}"/>
    <cellStyle name="Normal 2 3 7 24 6" xfId="14975" xr:uid="{00000000-0005-0000-0000-0000D18B0000}"/>
    <cellStyle name="Normal 2 3 7 24 6 2" xfId="46745" xr:uid="{00000000-0005-0000-0000-0000D28B0000}"/>
    <cellStyle name="Normal 2 3 7 24 7" xfId="14976" xr:uid="{00000000-0005-0000-0000-0000D38B0000}"/>
    <cellStyle name="Normal 2 3 7 24 7 2" xfId="46746" xr:uid="{00000000-0005-0000-0000-0000D48B0000}"/>
    <cellStyle name="Normal 2 3 7 24 8" xfId="46747" xr:uid="{00000000-0005-0000-0000-0000D58B0000}"/>
    <cellStyle name="Normal 2 3 7 24 8 2" xfId="46748" xr:uid="{00000000-0005-0000-0000-0000D68B0000}"/>
    <cellStyle name="Normal 2 3 7 24 9" xfId="46749" xr:uid="{00000000-0005-0000-0000-0000D78B0000}"/>
    <cellStyle name="Normal 2 3 7 25" xfId="14977" xr:uid="{00000000-0005-0000-0000-0000D88B0000}"/>
    <cellStyle name="Normal 2 3 7 25 10" xfId="46750" xr:uid="{00000000-0005-0000-0000-0000D98B0000}"/>
    <cellStyle name="Normal 2 3 7 25 11" xfId="46751" xr:uid="{00000000-0005-0000-0000-0000DA8B0000}"/>
    <cellStyle name="Normal 2 3 7 25 2" xfId="14978" xr:uid="{00000000-0005-0000-0000-0000DB8B0000}"/>
    <cellStyle name="Normal 2 3 7 25 2 10" xfId="46752" xr:uid="{00000000-0005-0000-0000-0000DC8B0000}"/>
    <cellStyle name="Normal 2 3 7 25 2 2" xfId="14979" xr:uid="{00000000-0005-0000-0000-0000DD8B0000}"/>
    <cellStyle name="Normal 2 3 7 25 2 2 2" xfId="14980" xr:uid="{00000000-0005-0000-0000-0000DE8B0000}"/>
    <cellStyle name="Normal 2 3 7 25 2 2 2 2" xfId="14981" xr:uid="{00000000-0005-0000-0000-0000DF8B0000}"/>
    <cellStyle name="Normal 2 3 7 25 2 2 2 2 2" xfId="46753" xr:uid="{00000000-0005-0000-0000-0000E08B0000}"/>
    <cellStyle name="Normal 2 3 7 25 2 2 2 3" xfId="14982" xr:uid="{00000000-0005-0000-0000-0000E18B0000}"/>
    <cellStyle name="Normal 2 3 7 25 2 2 2 3 2" xfId="46754" xr:uid="{00000000-0005-0000-0000-0000E28B0000}"/>
    <cellStyle name="Normal 2 3 7 25 2 2 2 4" xfId="46755" xr:uid="{00000000-0005-0000-0000-0000E38B0000}"/>
    <cellStyle name="Normal 2 3 7 25 2 2 3" xfId="14983" xr:uid="{00000000-0005-0000-0000-0000E48B0000}"/>
    <cellStyle name="Normal 2 3 7 25 2 2 3 2" xfId="46756" xr:uid="{00000000-0005-0000-0000-0000E58B0000}"/>
    <cellStyle name="Normal 2 3 7 25 2 2 4" xfId="14984" xr:uid="{00000000-0005-0000-0000-0000E68B0000}"/>
    <cellStyle name="Normal 2 3 7 25 2 2 4 2" xfId="46757" xr:uid="{00000000-0005-0000-0000-0000E78B0000}"/>
    <cellStyle name="Normal 2 3 7 25 2 2 5" xfId="14985" xr:uid="{00000000-0005-0000-0000-0000E88B0000}"/>
    <cellStyle name="Normal 2 3 7 25 2 2 5 2" xfId="46758" xr:uid="{00000000-0005-0000-0000-0000E98B0000}"/>
    <cellStyle name="Normal 2 3 7 25 2 2 6" xfId="46759" xr:uid="{00000000-0005-0000-0000-0000EA8B0000}"/>
    <cellStyle name="Normal 2 3 7 25 2 2 6 2" xfId="46760" xr:uid="{00000000-0005-0000-0000-0000EB8B0000}"/>
    <cellStyle name="Normal 2 3 7 25 2 2 7" xfId="46761" xr:uid="{00000000-0005-0000-0000-0000EC8B0000}"/>
    <cellStyle name="Normal 2 3 7 25 2 3" xfId="14986" xr:uid="{00000000-0005-0000-0000-0000ED8B0000}"/>
    <cellStyle name="Normal 2 3 7 25 2 3 2" xfId="14987" xr:uid="{00000000-0005-0000-0000-0000EE8B0000}"/>
    <cellStyle name="Normal 2 3 7 25 2 3 2 2" xfId="46762" xr:uid="{00000000-0005-0000-0000-0000EF8B0000}"/>
    <cellStyle name="Normal 2 3 7 25 2 3 3" xfId="14988" xr:uid="{00000000-0005-0000-0000-0000F08B0000}"/>
    <cellStyle name="Normal 2 3 7 25 2 3 3 2" xfId="46763" xr:uid="{00000000-0005-0000-0000-0000F18B0000}"/>
    <cellStyle name="Normal 2 3 7 25 2 3 4" xfId="46764" xr:uid="{00000000-0005-0000-0000-0000F28B0000}"/>
    <cellStyle name="Normal 2 3 7 25 2 4" xfId="14989" xr:uid="{00000000-0005-0000-0000-0000F38B0000}"/>
    <cellStyle name="Normal 2 3 7 25 2 4 2" xfId="14990" xr:uid="{00000000-0005-0000-0000-0000F48B0000}"/>
    <cellStyle name="Normal 2 3 7 25 2 4 2 2" xfId="46765" xr:uid="{00000000-0005-0000-0000-0000F58B0000}"/>
    <cellStyle name="Normal 2 3 7 25 2 4 3" xfId="46766" xr:uid="{00000000-0005-0000-0000-0000F68B0000}"/>
    <cellStyle name="Normal 2 3 7 25 2 5" xfId="14991" xr:uid="{00000000-0005-0000-0000-0000F78B0000}"/>
    <cellStyle name="Normal 2 3 7 25 2 5 2" xfId="46767" xr:uid="{00000000-0005-0000-0000-0000F88B0000}"/>
    <cellStyle name="Normal 2 3 7 25 2 6" xfId="14992" xr:uid="{00000000-0005-0000-0000-0000F98B0000}"/>
    <cellStyle name="Normal 2 3 7 25 2 6 2" xfId="46768" xr:uid="{00000000-0005-0000-0000-0000FA8B0000}"/>
    <cellStyle name="Normal 2 3 7 25 2 7" xfId="46769" xr:uid="{00000000-0005-0000-0000-0000FB8B0000}"/>
    <cellStyle name="Normal 2 3 7 25 2 7 2" xfId="46770" xr:uid="{00000000-0005-0000-0000-0000FC8B0000}"/>
    <cellStyle name="Normal 2 3 7 25 2 8" xfId="46771" xr:uid="{00000000-0005-0000-0000-0000FD8B0000}"/>
    <cellStyle name="Normal 2 3 7 25 2 9" xfId="46772" xr:uid="{00000000-0005-0000-0000-0000FE8B0000}"/>
    <cellStyle name="Normal 2 3 7 25 3" xfId="14993" xr:uid="{00000000-0005-0000-0000-0000FF8B0000}"/>
    <cellStyle name="Normal 2 3 7 25 3 2" xfId="14994" xr:uid="{00000000-0005-0000-0000-0000008C0000}"/>
    <cellStyle name="Normal 2 3 7 25 3 2 2" xfId="14995" xr:uid="{00000000-0005-0000-0000-0000018C0000}"/>
    <cellStyle name="Normal 2 3 7 25 3 2 2 2" xfId="46773" xr:uid="{00000000-0005-0000-0000-0000028C0000}"/>
    <cellStyle name="Normal 2 3 7 25 3 2 3" xfId="14996" xr:uid="{00000000-0005-0000-0000-0000038C0000}"/>
    <cellStyle name="Normal 2 3 7 25 3 2 3 2" xfId="46774" xr:uid="{00000000-0005-0000-0000-0000048C0000}"/>
    <cellStyle name="Normal 2 3 7 25 3 2 4" xfId="46775" xr:uid="{00000000-0005-0000-0000-0000058C0000}"/>
    <cellStyle name="Normal 2 3 7 25 3 3" xfId="14997" xr:uid="{00000000-0005-0000-0000-0000068C0000}"/>
    <cellStyle name="Normal 2 3 7 25 3 3 2" xfId="46776" xr:uid="{00000000-0005-0000-0000-0000078C0000}"/>
    <cellStyle name="Normal 2 3 7 25 3 4" xfId="14998" xr:uid="{00000000-0005-0000-0000-0000088C0000}"/>
    <cellStyle name="Normal 2 3 7 25 3 4 2" xfId="46777" xr:uid="{00000000-0005-0000-0000-0000098C0000}"/>
    <cellStyle name="Normal 2 3 7 25 3 5" xfId="14999" xr:uid="{00000000-0005-0000-0000-00000A8C0000}"/>
    <cellStyle name="Normal 2 3 7 25 3 5 2" xfId="46778" xr:uid="{00000000-0005-0000-0000-00000B8C0000}"/>
    <cellStyle name="Normal 2 3 7 25 3 6" xfId="46779" xr:uid="{00000000-0005-0000-0000-00000C8C0000}"/>
    <cellStyle name="Normal 2 3 7 25 3 6 2" xfId="46780" xr:uid="{00000000-0005-0000-0000-00000D8C0000}"/>
    <cellStyle name="Normal 2 3 7 25 3 7" xfId="46781" xr:uid="{00000000-0005-0000-0000-00000E8C0000}"/>
    <cellStyle name="Normal 2 3 7 25 4" xfId="15000" xr:uid="{00000000-0005-0000-0000-00000F8C0000}"/>
    <cellStyle name="Normal 2 3 7 25 4 2" xfId="15001" xr:uid="{00000000-0005-0000-0000-0000108C0000}"/>
    <cellStyle name="Normal 2 3 7 25 4 2 2" xfId="46782" xr:uid="{00000000-0005-0000-0000-0000118C0000}"/>
    <cellStyle name="Normal 2 3 7 25 4 3" xfId="15002" xr:uid="{00000000-0005-0000-0000-0000128C0000}"/>
    <cellStyle name="Normal 2 3 7 25 4 3 2" xfId="46783" xr:uid="{00000000-0005-0000-0000-0000138C0000}"/>
    <cellStyle name="Normal 2 3 7 25 4 4" xfId="46784" xr:uid="{00000000-0005-0000-0000-0000148C0000}"/>
    <cellStyle name="Normal 2 3 7 25 5" xfId="15003" xr:uid="{00000000-0005-0000-0000-0000158C0000}"/>
    <cellStyle name="Normal 2 3 7 25 5 2" xfId="15004" xr:uid="{00000000-0005-0000-0000-0000168C0000}"/>
    <cellStyle name="Normal 2 3 7 25 5 2 2" xfId="46785" xr:uid="{00000000-0005-0000-0000-0000178C0000}"/>
    <cellStyle name="Normal 2 3 7 25 5 3" xfId="46786" xr:uid="{00000000-0005-0000-0000-0000188C0000}"/>
    <cellStyle name="Normal 2 3 7 25 6" xfId="15005" xr:uid="{00000000-0005-0000-0000-0000198C0000}"/>
    <cellStyle name="Normal 2 3 7 25 6 2" xfId="46787" xr:uid="{00000000-0005-0000-0000-00001A8C0000}"/>
    <cellStyle name="Normal 2 3 7 25 7" xfId="15006" xr:uid="{00000000-0005-0000-0000-00001B8C0000}"/>
    <cellStyle name="Normal 2 3 7 25 7 2" xfId="46788" xr:uid="{00000000-0005-0000-0000-00001C8C0000}"/>
    <cellStyle name="Normal 2 3 7 25 8" xfId="46789" xr:uid="{00000000-0005-0000-0000-00001D8C0000}"/>
    <cellStyle name="Normal 2 3 7 25 8 2" xfId="46790" xr:uid="{00000000-0005-0000-0000-00001E8C0000}"/>
    <cellStyle name="Normal 2 3 7 25 9" xfId="46791" xr:uid="{00000000-0005-0000-0000-00001F8C0000}"/>
    <cellStyle name="Normal 2 3 7 26" xfId="15007" xr:uid="{00000000-0005-0000-0000-0000208C0000}"/>
    <cellStyle name="Normal 2 3 7 26 10" xfId="46792" xr:uid="{00000000-0005-0000-0000-0000218C0000}"/>
    <cellStyle name="Normal 2 3 7 26 11" xfId="46793" xr:uid="{00000000-0005-0000-0000-0000228C0000}"/>
    <cellStyle name="Normal 2 3 7 26 2" xfId="15008" xr:uid="{00000000-0005-0000-0000-0000238C0000}"/>
    <cellStyle name="Normal 2 3 7 26 2 10" xfId="46794" xr:uid="{00000000-0005-0000-0000-0000248C0000}"/>
    <cellStyle name="Normal 2 3 7 26 2 2" xfId="15009" xr:uid="{00000000-0005-0000-0000-0000258C0000}"/>
    <cellStyle name="Normal 2 3 7 26 2 2 2" xfId="15010" xr:uid="{00000000-0005-0000-0000-0000268C0000}"/>
    <cellStyle name="Normal 2 3 7 26 2 2 2 2" xfId="15011" xr:uid="{00000000-0005-0000-0000-0000278C0000}"/>
    <cellStyle name="Normal 2 3 7 26 2 2 2 2 2" xfId="46795" xr:uid="{00000000-0005-0000-0000-0000288C0000}"/>
    <cellStyle name="Normal 2 3 7 26 2 2 2 3" xfId="15012" xr:uid="{00000000-0005-0000-0000-0000298C0000}"/>
    <cellStyle name="Normal 2 3 7 26 2 2 2 3 2" xfId="46796" xr:uid="{00000000-0005-0000-0000-00002A8C0000}"/>
    <cellStyle name="Normal 2 3 7 26 2 2 2 4" xfId="46797" xr:uid="{00000000-0005-0000-0000-00002B8C0000}"/>
    <cellStyle name="Normal 2 3 7 26 2 2 3" xfId="15013" xr:uid="{00000000-0005-0000-0000-00002C8C0000}"/>
    <cellStyle name="Normal 2 3 7 26 2 2 3 2" xfId="46798" xr:uid="{00000000-0005-0000-0000-00002D8C0000}"/>
    <cellStyle name="Normal 2 3 7 26 2 2 4" xfId="15014" xr:uid="{00000000-0005-0000-0000-00002E8C0000}"/>
    <cellStyle name="Normal 2 3 7 26 2 2 4 2" xfId="46799" xr:uid="{00000000-0005-0000-0000-00002F8C0000}"/>
    <cellStyle name="Normal 2 3 7 26 2 2 5" xfId="15015" xr:uid="{00000000-0005-0000-0000-0000308C0000}"/>
    <cellStyle name="Normal 2 3 7 26 2 2 5 2" xfId="46800" xr:uid="{00000000-0005-0000-0000-0000318C0000}"/>
    <cellStyle name="Normal 2 3 7 26 2 2 6" xfId="46801" xr:uid="{00000000-0005-0000-0000-0000328C0000}"/>
    <cellStyle name="Normal 2 3 7 26 2 2 6 2" xfId="46802" xr:uid="{00000000-0005-0000-0000-0000338C0000}"/>
    <cellStyle name="Normal 2 3 7 26 2 2 7" xfId="46803" xr:uid="{00000000-0005-0000-0000-0000348C0000}"/>
    <cellStyle name="Normal 2 3 7 26 2 3" xfId="15016" xr:uid="{00000000-0005-0000-0000-0000358C0000}"/>
    <cellStyle name="Normal 2 3 7 26 2 3 2" xfId="15017" xr:uid="{00000000-0005-0000-0000-0000368C0000}"/>
    <cellStyle name="Normal 2 3 7 26 2 3 2 2" xfId="46804" xr:uid="{00000000-0005-0000-0000-0000378C0000}"/>
    <cellStyle name="Normal 2 3 7 26 2 3 3" xfId="15018" xr:uid="{00000000-0005-0000-0000-0000388C0000}"/>
    <cellStyle name="Normal 2 3 7 26 2 3 3 2" xfId="46805" xr:uid="{00000000-0005-0000-0000-0000398C0000}"/>
    <cellStyle name="Normal 2 3 7 26 2 3 4" xfId="46806" xr:uid="{00000000-0005-0000-0000-00003A8C0000}"/>
    <cellStyle name="Normal 2 3 7 26 2 4" xfId="15019" xr:uid="{00000000-0005-0000-0000-00003B8C0000}"/>
    <cellStyle name="Normal 2 3 7 26 2 4 2" xfId="15020" xr:uid="{00000000-0005-0000-0000-00003C8C0000}"/>
    <cellStyle name="Normal 2 3 7 26 2 4 2 2" xfId="46807" xr:uid="{00000000-0005-0000-0000-00003D8C0000}"/>
    <cellStyle name="Normal 2 3 7 26 2 4 3" xfId="46808" xr:uid="{00000000-0005-0000-0000-00003E8C0000}"/>
    <cellStyle name="Normal 2 3 7 26 2 5" xfId="15021" xr:uid="{00000000-0005-0000-0000-00003F8C0000}"/>
    <cellStyle name="Normal 2 3 7 26 2 5 2" xfId="46809" xr:uid="{00000000-0005-0000-0000-0000408C0000}"/>
    <cellStyle name="Normal 2 3 7 26 2 6" xfId="15022" xr:uid="{00000000-0005-0000-0000-0000418C0000}"/>
    <cellStyle name="Normal 2 3 7 26 2 6 2" xfId="46810" xr:uid="{00000000-0005-0000-0000-0000428C0000}"/>
    <cellStyle name="Normal 2 3 7 26 2 7" xfId="46811" xr:uid="{00000000-0005-0000-0000-0000438C0000}"/>
    <cellStyle name="Normal 2 3 7 26 2 7 2" xfId="46812" xr:uid="{00000000-0005-0000-0000-0000448C0000}"/>
    <cellStyle name="Normal 2 3 7 26 2 8" xfId="46813" xr:uid="{00000000-0005-0000-0000-0000458C0000}"/>
    <cellStyle name="Normal 2 3 7 26 2 9" xfId="46814" xr:uid="{00000000-0005-0000-0000-0000468C0000}"/>
    <cellStyle name="Normal 2 3 7 26 3" xfId="15023" xr:uid="{00000000-0005-0000-0000-0000478C0000}"/>
    <cellStyle name="Normal 2 3 7 26 3 2" xfId="15024" xr:uid="{00000000-0005-0000-0000-0000488C0000}"/>
    <cellStyle name="Normal 2 3 7 26 3 2 2" xfId="15025" xr:uid="{00000000-0005-0000-0000-0000498C0000}"/>
    <cellStyle name="Normal 2 3 7 26 3 2 2 2" xfId="46815" xr:uid="{00000000-0005-0000-0000-00004A8C0000}"/>
    <cellStyle name="Normal 2 3 7 26 3 2 3" xfId="15026" xr:uid="{00000000-0005-0000-0000-00004B8C0000}"/>
    <cellStyle name="Normal 2 3 7 26 3 2 3 2" xfId="46816" xr:uid="{00000000-0005-0000-0000-00004C8C0000}"/>
    <cellStyle name="Normal 2 3 7 26 3 2 4" xfId="46817" xr:uid="{00000000-0005-0000-0000-00004D8C0000}"/>
    <cellStyle name="Normal 2 3 7 26 3 3" xfId="15027" xr:uid="{00000000-0005-0000-0000-00004E8C0000}"/>
    <cellStyle name="Normal 2 3 7 26 3 3 2" xfId="46818" xr:uid="{00000000-0005-0000-0000-00004F8C0000}"/>
    <cellStyle name="Normal 2 3 7 26 3 4" xfId="15028" xr:uid="{00000000-0005-0000-0000-0000508C0000}"/>
    <cellStyle name="Normal 2 3 7 26 3 4 2" xfId="46819" xr:uid="{00000000-0005-0000-0000-0000518C0000}"/>
    <cellStyle name="Normal 2 3 7 26 3 5" xfId="15029" xr:uid="{00000000-0005-0000-0000-0000528C0000}"/>
    <cellStyle name="Normal 2 3 7 26 3 5 2" xfId="46820" xr:uid="{00000000-0005-0000-0000-0000538C0000}"/>
    <cellStyle name="Normal 2 3 7 26 3 6" xfId="46821" xr:uid="{00000000-0005-0000-0000-0000548C0000}"/>
    <cellStyle name="Normal 2 3 7 26 3 6 2" xfId="46822" xr:uid="{00000000-0005-0000-0000-0000558C0000}"/>
    <cellStyle name="Normal 2 3 7 26 3 7" xfId="46823" xr:uid="{00000000-0005-0000-0000-0000568C0000}"/>
    <cellStyle name="Normal 2 3 7 26 4" xfId="15030" xr:uid="{00000000-0005-0000-0000-0000578C0000}"/>
    <cellStyle name="Normal 2 3 7 26 4 2" xfId="15031" xr:uid="{00000000-0005-0000-0000-0000588C0000}"/>
    <cellStyle name="Normal 2 3 7 26 4 2 2" xfId="46824" xr:uid="{00000000-0005-0000-0000-0000598C0000}"/>
    <cellStyle name="Normal 2 3 7 26 4 3" xfId="15032" xr:uid="{00000000-0005-0000-0000-00005A8C0000}"/>
    <cellStyle name="Normal 2 3 7 26 4 3 2" xfId="46825" xr:uid="{00000000-0005-0000-0000-00005B8C0000}"/>
    <cellStyle name="Normal 2 3 7 26 4 4" xfId="46826" xr:uid="{00000000-0005-0000-0000-00005C8C0000}"/>
    <cellStyle name="Normal 2 3 7 26 5" xfId="15033" xr:uid="{00000000-0005-0000-0000-00005D8C0000}"/>
    <cellStyle name="Normal 2 3 7 26 5 2" xfId="15034" xr:uid="{00000000-0005-0000-0000-00005E8C0000}"/>
    <cellStyle name="Normal 2 3 7 26 5 2 2" xfId="46827" xr:uid="{00000000-0005-0000-0000-00005F8C0000}"/>
    <cellStyle name="Normal 2 3 7 26 5 3" xfId="46828" xr:uid="{00000000-0005-0000-0000-0000608C0000}"/>
    <cellStyle name="Normal 2 3 7 26 6" xfId="15035" xr:uid="{00000000-0005-0000-0000-0000618C0000}"/>
    <cellStyle name="Normal 2 3 7 26 6 2" xfId="46829" xr:uid="{00000000-0005-0000-0000-0000628C0000}"/>
    <cellStyle name="Normal 2 3 7 26 7" xfId="15036" xr:uid="{00000000-0005-0000-0000-0000638C0000}"/>
    <cellStyle name="Normal 2 3 7 26 7 2" xfId="46830" xr:uid="{00000000-0005-0000-0000-0000648C0000}"/>
    <cellStyle name="Normal 2 3 7 26 8" xfId="46831" xr:uid="{00000000-0005-0000-0000-0000658C0000}"/>
    <cellStyle name="Normal 2 3 7 26 8 2" xfId="46832" xr:uid="{00000000-0005-0000-0000-0000668C0000}"/>
    <cellStyle name="Normal 2 3 7 26 9" xfId="46833" xr:uid="{00000000-0005-0000-0000-0000678C0000}"/>
    <cellStyle name="Normal 2 3 7 27" xfId="15037" xr:uid="{00000000-0005-0000-0000-0000688C0000}"/>
    <cellStyle name="Normal 2 3 7 27 10" xfId="46834" xr:uid="{00000000-0005-0000-0000-0000698C0000}"/>
    <cellStyle name="Normal 2 3 7 27 11" xfId="46835" xr:uid="{00000000-0005-0000-0000-00006A8C0000}"/>
    <cellStyle name="Normal 2 3 7 27 2" xfId="15038" xr:uid="{00000000-0005-0000-0000-00006B8C0000}"/>
    <cellStyle name="Normal 2 3 7 27 2 10" xfId="46836" xr:uid="{00000000-0005-0000-0000-00006C8C0000}"/>
    <cellStyle name="Normal 2 3 7 27 2 2" xfId="15039" xr:uid="{00000000-0005-0000-0000-00006D8C0000}"/>
    <cellStyle name="Normal 2 3 7 27 2 2 2" xfId="15040" xr:uid="{00000000-0005-0000-0000-00006E8C0000}"/>
    <cellStyle name="Normal 2 3 7 27 2 2 2 2" xfId="15041" xr:uid="{00000000-0005-0000-0000-00006F8C0000}"/>
    <cellStyle name="Normal 2 3 7 27 2 2 2 2 2" xfId="46837" xr:uid="{00000000-0005-0000-0000-0000708C0000}"/>
    <cellStyle name="Normal 2 3 7 27 2 2 2 3" xfId="15042" xr:uid="{00000000-0005-0000-0000-0000718C0000}"/>
    <cellStyle name="Normal 2 3 7 27 2 2 2 3 2" xfId="46838" xr:uid="{00000000-0005-0000-0000-0000728C0000}"/>
    <cellStyle name="Normal 2 3 7 27 2 2 2 4" xfId="46839" xr:uid="{00000000-0005-0000-0000-0000738C0000}"/>
    <cellStyle name="Normal 2 3 7 27 2 2 3" xfId="15043" xr:uid="{00000000-0005-0000-0000-0000748C0000}"/>
    <cellStyle name="Normal 2 3 7 27 2 2 3 2" xfId="46840" xr:uid="{00000000-0005-0000-0000-0000758C0000}"/>
    <cellStyle name="Normal 2 3 7 27 2 2 4" xfId="15044" xr:uid="{00000000-0005-0000-0000-0000768C0000}"/>
    <cellStyle name="Normal 2 3 7 27 2 2 4 2" xfId="46841" xr:uid="{00000000-0005-0000-0000-0000778C0000}"/>
    <cellStyle name="Normal 2 3 7 27 2 2 5" xfId="15045" xr:uid="{00000000-0005-0000-0000-0000788C0000}"/>
    <cellStyle name="Normal 2 3 7 27 2 2 5 2" xfId="46842" xr:uid="{00000000-0005-0000-0000-0000798C0000}"/>
    <cellStyle name="Normal 2 3 7 27 2 2 6" xfId="46843" xr:uid="{00000000-0005-0000-0000-00007A8C0000}"/>
    <cellStyle name="Normal 2 3 7 27 2 2 6 2" xfId="46844" xr:uid="{00000000-0005-0000-0000-00007B8C0000}"/>
    <cellStyle name="Normal 2 3 7 27 2 2 7" xfId="46845" xr:uid="{00000000-0005-0000-0000-00007C8C0000}"/>
    <cellStyle name="Normal 2 3 7 27 2 3" xfId="15046" xr:uid="{00000000-0005-0000-0000-00007D8C0000}"/>
    <cellStyle name="Normal 2 3 7 27 2 3 2" xfId="15047" xr:uid="{00000000-0005-0000-0000-00007E8C0000}"/>
    <cellStyle name="Normal 2 3 7 27 2 3 2 2" xfId="46846" xr:uid="{00000000-0005-0000-0000-00007F8C0000}"/>
    <cellStyle name="Normal 2 3 7 27 2 3 3" xfId="15048" xr:uid="{00000000-0005-0000-0000-0000808C0000}"/>
    <cellStyle name="Normal 2 3 7 27 2 3 3 2" xfId="46847" xr:uid="{00000000-0005-0000-0000-0000818C0000}"/>
    <cellStyle name="Normal 2 3 7 27 2 3 4" xfId="46848" xr:uid="{00000000-0005-0000-0000-0000828C0000}"/>
    <cellStyle name="Normal 2 3 7 27 2 4" xfId="15049" xr:uid="{00000000-0005-0000-0000-0000838C0000}"/>
    <cellStyle name="Normal 2 3 7 27 2 4 2" xfId="15050" xr:uid="{00000000-0005-0000-0000-0000848C0000}"/>
    <cellStyle name="Normal 2 3 7 27 2 4 2 2" xfId="46849" xr:uid="{00000000-0005-0000-0000-0000858C0000}"/>
    <cellStyle name="Normal 2 3 7 27 2 4 3" xfId="46850" xr:uid="{00000000-0005-0000-0000-0000868C0000}"/>
    <cellStyle name="Normal 2 3 7 27 2 5" xfId="15051" xr:uid="{00000000-0005-0000-0000-0000878C0000}"/>
    <cellStyle name="Normal 2 3 7 27 2 5 2" xfId="46851" xr:uid="{00000000-0005-0000-0000-0000888C0000}"/>
    <cellStyle name="Normal 2 3 7 27 2 6" xfId="15052" xr:uid="{00000000-0005-0000-0000-0000898C0000}"/>
    <cellStyle name="Normal 2 3 7 27 2 6 2" xfId="46852" xr:uid="{00000000-0005-0000-0000-00008A8C0000}"/>
    <cellStyle name="Normal 2 3 7 27 2 7" xfId="46853" xr:uid="{00000000-0005-0000-0000-00008B8C0000}"/>
    <cellStyle name="Normal 2 3 7 27 2 7 2" xfId="46854" xr:uid="{00000000-0005-0000-0000-00008C8C0000}"/>
    <cellStyle name="Normal 2 3 7 27 2 8" xfId="46855" xr:uid="{00000000-0005-0000-0000-00008D8C0000}"/>
    <cellStyle name="Normal 2 3 7 27 2 9" xfId="46856" xr:uid="{00000000-0005-0000-0000-00008E8C0000}"/>
    <cellStyle name="Normal 2 3 7 27 3" xfId="15053" xr:uid="{00000000-0005-0000-0000-00008F8C0000}"/>
    <cellStyle name="Normal 2 3 7 27 3 2" xfId="15054" xr:uid="{00000000-0005-0000-0000-0000908C0000}"/>
    <cellStyle name="Normal 2 3 7 27 3 2 2" xfId="15055" xr:uid="{00000000-0005-0000-0000-0000918C0000}"/>
    <cellStyle name="Normal 2 3 7 27 3 2 2 2" xfId="46857" xr:uid="{00000000-0005-0000-0000-0000928C0000}"/>
    <cellStyle name="Normal 2 3 7 27 3 2 3" xfId="15056" xr:uid="{00000000-0005-0000-0000-0000938C0000}"/>
    <cellStyle name="Normal 2 3 7 27 3 2 3 2" xfId="46858" xr:uid="{00000000-0005-0000-0000-0000948C0000}"/>
    <cellStyle name="Normal 2 3 7 27 3 2 4" xfId="46859" xr:uid="{00000000-0005-0000-0000-0000958C0000}"/>
    <cellStyle name="Normal 2 3 7 27 3 3" xfId="15057" xr:uid="{00000000-0005-0000-0000-0000968C0000}"/>
    <cellStyle name="Normal 2 3 7 27 3 3 2" xfId="46860" xr:uid="{00000000-0005-0000-0000-0000978C0000}"/>
    <cellStyle name="Normal 2 3 7 27 3 4" xfId="15058" xr:uid="{00000000-0005-0000-0000-0000988C0000}"/>
    <cellStyle name="Normal 2 3 7 27 3 4 2" xfId="46861" xr:uid="{00000000-0005-0000-0000-0000998C0000}"/>
    <cellStyle name="Normal 2 3 7 27 3 5" xfId="15059" xr:uid="{00000000-0005-0000-0000-00009A8C0000}"/>
    <cellStyle name="Normal 2 3 7 27 3 5 2" xfId="46862" xr:uid="{00000000-0005-0000-0000-00009B8C0000}"/>
    <cellStyle name="Normal 2 3 7 27 3 6" xfId="46863" xr:uid="{00000000-0005-0000-0000-00009C8C0000}"/>
    <cellStyle name="Normal 2 3 7 27 3 6 2" xfId="46864" xr:uid="{00000000-0005-0000-0000-00009D8C0000}"/>
    <cellStyle name="Normal 2 3 7 27 3 7" xfId="46865" xr:uid="{00000000-0005-0000-0000-00009E8C0000}"/>
    <cellStyle name="Normal 2 3 7 27 4" xfId="15060" xr:uid="{00000000-0005-0000-0000-00009F8C0000}"/>
    <cellStyle name="Normal 2 3 7 27 4 2" xfId="15061" xr:uid="{00000000-0005-0000-0000-0000A08C0000}"/>
    <cellStyle name="Normal 2 3 7 27 4 2 2" xfId="46866" xr:uid="{00000000-0005-0000-0000-0000A18C0000}"/>
    <cellStyle name="Normal 2 3 7 27 4 3" xfId="15062" xr:uid="{00000000-0005-0000-0000-0000A28C0000}"/>
    <cellStyle name="Normal 2 3 7 27 4 3 2" xfId="46867" xr:uid="{00000000-0005-0000-0000-0000A38C0000}"/>
    <cellStyle name="Normal 2 3 7 27 4 4" xfId="46868" xr:uid="{00000000-0005-0000-0000-0000A48C0000}"/>
    <cellStyle name="Normal 2 3 7 27 5" xfId="15063" xr:uid="{00000000-0005-0000-0000-0000A58C0000}"/>
    <cellStyle name="Normal 2 3 7 27 5 2" xfId="15064" xr:uid="{00000000-0005-0000-0000-0000A68C0000}"/>
    <cellStyle name="Normal 2 3 7 27 5 2 2" xfId="46869" xr:uid="{00000000-0005-0000-0000-0000A78C0000}"/>
    <cellStyle name="Normal 2 3 7 27 5 3" xfId="46870" xr:uid="{00000000-0005-0000-0000-0000A88C0000}"/>
    <cellStyle name="Normal 2 3 7 27 6" xfId="15065" xr:uid="{00000000-0005-0000-0000-0000A98C0000}"/>
    <cellStyle name="Normal 2 3 7 27 6 2" xfId="46871" xr:uid="{00000000-0005-0000-0000-0000AA8C0000}"/>
    <cellStyle name="Normal 2 3 7 27 7" xfId="15066" xr:uid="{00000000-0005-0000-0000-0000AB8C0000}"/>
    <cellStyle name="Normal 2 3 7 27 7 2" xfId="46872" xr:uid="{00000000-0005-0000-0000-0000AC8C0000}"/>
    <cellStyle name="Normal 2 3 7 27 8" xfId="46873" xr:uid="{00000000-0005-0000-0000-0000AD8C0000}"/>
    <cellStyle name="Normal 2 3 7 27 8 2" xfId="46874" xr:uid="{00000000-0005-0000-0000-0000AE8C0000}"/>
    <cellStyle name="Normal 2 3 7 27 9" xfId="46875" xr:uid="{00000000-0005-0000-0000-0000AF8C0000}"/>
    <cellStyle name="Normal 2 3 7 28" xfId="15067" xr:uid="{00000000-0005-0000-0000-0000B08C0000}"/>
    <cellStyle name="Normal 2 3 7 28 10" xfId="46876" xr:uid="{00000000-0005-0000-0000-0000B18C0000}"/>
    <cellStyle name="Normal 2 3 7 28 11" xfId="46877" xr:uid="{00000000-0005-0000-0000-0000B28C0000}"/>
    <cellStyle name="Normal 2 3 7 28 2" xfId="15068" xr:uid="{00000000-0005-0000-0000-0000B38C0000}"/>
    <cellStyle name="Normal 2 3 7 28 2 10" xfId="46878" xr:uid="{00000000-0005-0000-0000-0000B48C0000}"/>
    <cellStyle name="Normal 2 3 7 28 2 2" xfId="15069" xr:uid="{00000000-0005-0000-0000-0000B58C0000}"/>
    <cellStyle name="Normal 2 3 7 28 2 2 2" xfId="15070" xr:uid="{00000000-0005-0000-0000-0000B68C0000}"/>
    <cellStyle name="Normal 2 3 7 28 2 2 2 2" xfId="15071" xr:uid="{00000000-0005-0000-0000-0000B78C0000}"/>
    <cellStyle name="Normal 2 3 7 28 2 2 2 2 2" xfId="46879" xr:uid="{00000000-0005-0000-0000-0000B88C0000}"/>
    <cellStyle name="Normal 2 3 7 28 2 2 2 3" xfId="15072" xr:uid="{00000000-0005-0000-0000-0000B98C0000}"/>
    <cellStyle name="Normal 2 3 7 28 2 2 2 3 2" xfId="46880" xr:uid="{00000000-0005-0000-0000-0000BA8C0000}"/>
    <cellStyle name="Normal 2 3 7 28 2 2 2 4" xfId="46881" xr:uid="{00000000-0005-0000-0000-0000BB8C0000}"/>
    <cellStyle name="Normal 2 3 7 28 2 2 3" xfId="15073" xr:uid="{00000000-0005-0000-0000-0000BC8C0000}"/>
    <cellStyle name="Normal 2 3 7 28 2 2 3 2" xfId="46882" xr:uid="{00000000-0005-0000-0000-0000BD8C0000}"/>
    <cellStyle name="Normal 2 3 7 28 2 2 4" xfId="15074" xr:uid="{00000000-0005-0000-0000-0000BE8C0000}"/>
    <cellStyle name="Normal 2 3 7 28 2 2 4 2" xfId="46883" xr:uid="{00000000-0005-0000-0000-0000BF8C0000}"/>
    <cellStyle name="Normal 2 3 7 28 2 2 5" xfId="15075" xr:uid="{00000000-0005-0000-0000-0000C08C0000}"/>
    <cellStyle name="Normal 2 3 7 28 2 2 5 2" xfId="46884" xr:uid="{00000000-0005-0000-0000-0000C18C0000}"/>
    <cellStyle name="Normal 2 3 7 28 2 2 6" xfId="46885" xr:uid="{00000000-0005-0000-0000-0000C28C0000}"/>
    <cellStyle name="Normal 2 3 7 28 2 2 6 2" xfId="46886" xr:uid="{00000000-0005-0000-0000-0000C38C0000}"/>
    <cellStyle name="Normal 2 3 7 28 2 2 7" xfId="46887" xr:uid="{00000000-0005-0000-0000-0000C48C0000}"/>
    <cellStyle name="Normal 2 3 7 28 2 3" xfId="15076" xr:uid="{00000000-0005-0000-0000-0000C58C0000}"/>
    <cellStyle name="Normal 2 3 7 28 2 3 2" xfId="15077" xr:uid="{00000000-0005-0000-0000-0000C68C0000}"/>
    <cellStyle name="Normal 2 3 7 28 2 3 2 2" xfId="46888" xr:uid="{00000000-0005-0000-0000-0000C78C0000}"/>
    <cellStyle name="Normal 2 3 7 28 2 3 3" xfId="15078" xr:uid="{00000000-0005-0000-0000-0000C88C0000}"/>
    <cellStyle name="Normal 2 3 7 28 2 3 3 2" xfId="46889" xr:uid="{00000000-0005-0000-0000-0000C98C0000}"/>
    <cellStyle name="Normal 2 3 7 28 2 3 4" xfId="46890" xr:uid="{00000000-0005-0000-0000-0000CA8C0000}"/>
    <cellStyle name="Normal 2 3 7 28 2 4" xfId="15079" xr:uid="{00000000-0005-0000-0000-0000CB8C0000}"/>
    <cellStyle name="Normal 2 3 7 28 2 4 2" xfId="15080" xr:uid="{00000000-0005-0000-0000-0000CC8C0000}"/>
    <cellStyle name="Normal 2 3 7 28 2 4 2 2" xfId="46891" xr:uid="{00000000-0005-0000-0000-0000CD8C0000}"/>
    <cellStyle name="Normal 2 3 7 28 2 4 3" xfId="46892" xr:uid="{00000000-0005-0000-0000-0000CE8C0000}"/>
    <cellStyle name="Normal 2 3 7 28 2 5" xfId="15081" xr:uid="{00000000-0005-0000-0000-0000CF8C0000}"/>
    <cellStyle name="Normal 2 3 7 28 2 5 2" xfId="46893" xr:uid="{00000000-0005-0000-0000-0000D08C0000}"/>
    <cellStyle name="Normal 2 3 7 28 2 6" xfId="15082" xr:uid="{00000000-0005-0000-0000-0000D18C0000}"/>
    <cellStyle name="Normal 2 3 7 28 2 6 2" xfId="46894" xr:uid="{00000000-0005-0000-0000-0000D28C0000}"/>
    <cellStyle name="Normal 2 3 7 28 2 7" xfId="46895" xr:uid="{00000000-0005-0000-0000-0000D38C0000}"/>
    <cellStyle name="Normal 2 3 7 28 2 7 2" xfId="46896" xr:uid="{00000000-0005-0000-0000-0000D48C0000}"/>
    <cellStyle name="Normal 2 3 7 28 2 8" xfId="46897" xr:uid="{00000000-0005-0000-0000-0000D58C0000}"/>
    <cellStyle name="Normal 2 3 7 28 2 9" xfId="46898" xr:uid="{00000000-0005-0000-0000-0000D68C0000}"/>
    <cellStyle name="Normal 2 3 7 28 3" xfId="15083" xr:uid="{00000000-0005-0000-0000-0000D78C0000}"/>
    <cellStyle name="Normal 2 3 7 28 3 2" xfId="15084" xr:uid="{00000000-0005-0000-0000-0000D88C0000}"/>
    <cellStyle name="Normal 2 3 7 28 3 2 2" xfId="15085" xr:uid="{00000000-0005-0000-0000-0000D98C0000}"/>
    <cellStyle name="Normal 2 3 7 28 3 2 2 2" xfId="46899" xr:uid="{00000000-0005-0000-0000-0000DA8C0000}"/>
    <cellStyle name="Normal 2 3 7 28 3 2 3" xfId="15086" xr:uid="{00000000-0005-0000-0000-0000DB8C0000}"/>
    <cellStyle name="Normal 2 3 7 28 3 2 3 2" xfId="46900" xr:uid="{00000000-0005-0000-0000-0000DC8C0000}"/>
    <cellStyle name="Normal 2 3 7 28 3 2 4" xfId="46901" xr:uid="{00000000-0005-0000-0000-0000DD8C0000}"/>
    <cellStyle name="Normal 2 3 7 28 3 3" xfId="15087" xr:uid="{00000000-0005-0000-0000-0000DE8C0000}"/>
    <cellStyle name="Normal 2 3 7 28 3 3 2" xfId="46902" xr:uid="{00000000-0005-0000-0000-0000DF8C0000}"/>
    <cellStyle name="Normal 2 3 7 28 3 4" xfId="15088" xr:uid="{00000000-0005-0000-0000-0000E08C0000}"/>
    <cellStyle name="Normal 2 3 7 28 3 4 2" xfId="46903" xr:uid="{00000000-0005-0000-0000-0000E18C0000}"/>
    <cellStyle name="Normal 2 3 7 28 3 5" xfId="15089" xr:uid="{00000000-0005-0000-0000-0000E28C0000}"/>
    <cellStyle name="Normal 2 3 7 28 3 5 2" xfId="46904" xr:uid="{00000000-0005-0000-0000-0000E38C0000}"/>
    <cellStyle name="Normal 2 3 7 28 3 6" xfId="46905" xr:uid="{00000000-0005-0000-0000-0000E48C0000}"/>
    <cellStyle name="Normal 2 3 7 28 3 6 2" xfId="46906" xr:uid="{00000000-0005-0000-0000-0000E58C0000}"/>
    <cellStyle name="Normal 2 3 7 28 3 7" xfId="46907" xr:uid="{00000000-0005-0000-0000-0000E68C0000}"/>
    <cellStyle name="Normal 2 3 7 28 4" xfId="15090" xr:uid="{00000000-0005-0000-0000-0000E78C0000}"/>
    <cellStyle name="Normal 2 3 7 28 4 2" xfId="15091" xr:uid="{00000000-0005-0000-0000-0000E88C0000}"/>
    <cellStyle name="Normal 2 3 7 28 4 2 2" xfId="46908" xr:uid="{00000000-0005-0000-0000-0000E98C0000}"/>
    <cellStyle name="Normal 2 3 7 28 4 3" xfId="15092" xr:uid="{00000000-0005-0000-0000-0000EA8C0000}"/>
    <cellStyle name="Normal 2 3 7 28 4 3 2" xfId="46909" xr:uid="{00000000-0005-0000-0000-0000EB8C0000}"/>
    <cellStyle name="Normal 2 3 7 28 4 4" xfId="46910" xr:uid="{00000000-0005-0000-0000-0000EC8C0000}"/>
    <cellStyle name="Normal 2 3 7 28 5" xfId="15093" xr:uid="{00000000-0005-0000-0000-0000ED8C0000}"/>
    <cellStyle name="Normal 2 3 7 28 5 2" xfId="15094" xr:uid="{00000000-0005-0000-0000-0000EE8C0000}"/>
    <cellStyle name="Normal 2 3 7 28 5 2 2" xfId="46911" xr:uid="{00000000-0005-0000-0000-0000EF8C0000}"/>
    <cellStyle name="Normal 2 3 7 28 5 3" xfId="46912" xr:uid="{00000000-0005-0000-0000-0000F08C0000}"/>
    <cellStyle name="Normal 2 3 7 28 6" xfId="15095" xr:uid="{00000000-0005-0000-0000-0000F18C0000}"/>
    <cellStyle name="Normal 2 3 7 28 6 2" xfId="46913" xr:uid="{00000000-0005-0000-0000-0000F28C0000}"/>
    <cellStyle name="Normal 2 3 7 28 7" xfId="15096" xr:uid="{00000000-0005-0000-0000-0000F38C0000}"/>
    <cellStyle name="Normal 2 3 7 28 7 2" xfId="46914" xr:uid="{00000000-0005-0000-0000-0000F48C0000}"/>
    <cellStyle name="Normal 2 3 7 28 8" xfId="46915" xr:uid="{00000000-0005-0000-0000-0000F58C0000}"/>
    <cellStyle name="Normal 2 3 7 28 8 2" xfId="46916" xr:uid="{00000000-0005-0000-0000-0000F68C0000}"/>
    <cellStyle name="Normal 2 3 7 28 9" xfId="46917" xr:uid="{00000000-0005-0000-0000-0000F78C0000}"/>
    <cellStyle name="Normal 2 3 7 29" xfId="15097" xr:uid="{00000000-0005-0000-0000-0000F88C0000}"/>
    <cellStyle name="Normal 2 3 7 29 10" xfId="46918" xr:uid="{00000000-0005-0000-0000-0000F98C0000}"/>
    <cellStyle name="Normal 2 3 7 29 11" xfId="46919" xr:uid="{00000000-0005-0000-0000-0000FA8C0000}"/>
    <cellStyle name="Normal 2 3 7 29 2" xfId="15098" xr:uid="{00000000-0005-0000-0000-0000FB8C0000}"/>
    <cellStyle name="Normal 2 3 7 29 2 10" xfId="46920" xr:uid="{00000000-0005-0000-0000-0000FC8C0000}"/>
    <cellStyle name="Normal 2 3 7 29 2 2" xfId="15099" xr:uid="{00000000-0005-0000-0000-0000FD8C0000}"/>
    <cellStyle name="Normal 2 3 7 29 2 2 2" xfId="15100" xr:uid="{00000000-0005-0000-0000-0000FE8C0000}"/>
    <cellStyle name="Normal 2 3 7 29 2 2 2 2" xfId="15101" xr:uid="{00000000-0005-0000-0000-0000FF8C0000}"/>
    <cellStyle name="Normal 2 3 7 29 2 2 2 2 2" xfId="46921" xr:uid="{00000000-0005-0000-0000-0000008D0000}"/>
    <cellStyle name="Normal 2 3 7 29 2 2 2 3" xfId="15102" xr:uid="{00000000-0005-0000-0000-0000018D0000}"/>
    <cellStyle name="Normal 2 3 7 29 2 2 2 3 2" xfId="46922" xr:uid="{00000000-0005-0000-0000-0000028D0000}"/>
    <cellStyle name="Normal 2 3 7 29 2 2 2 4" xfId="46923" xr:uid="{00000000-0005-0000-0000-0000038D0000}"/>
    <cellStyle name="Normal 2 3 7 29 2 2 3" xfId="15103" xr:uid="{00000000-0005-0000-0000-0000048D0000}"/>
    <cellStyle name="Normal 2 3 7 29 2 2 3 2" xfId="46924" xr:uid="{00000000-0005-0000-0000-0000058D0000}"/>
    <cellStyle name="Normal 2 3 7 29 2 2 4" xfId="15104" xr:uid="{00000000-0005-0000-0000-0000068D0000}"/>
    <cellStyle name="Normal 2 3 7 29 2 2 4 2" xfId="46925" xr:uid="{00000000-0005-0000-0000-0000078D0000}"/>
    <cellStyle name="Normal 2 3 7 29 2 2 5" xfId="15105" xr:uid="{00000000-0005-0000-0000-0000088D0000}"/>
    <cellStyle name="Normal 2 3 7 29 2 2 5 2" xfId="46926" xr:uid="{00000000-0005-0000-0000-0000098D0000}"/>
    <cellStyle name="Normal 2 3 7 29 2 2 6" xfId="46927" xr:uid="{00000000-0005-0000-0000-00000A8D0000}"/>
    <cellStyle name="Normal 2 3 7 29 2 2 6 2" xfId="46928" xr:uid="{00000000-0005-0000-0000-00000B8D0000}"/>
    <cellStyle name="Normal 2 3 7 29 2 2 7" xfId="46929" xr:uid="{00000000-0005-0000-0000-00000C8D0000}"/>
    <cellStyle name="Normal 2 3 7 29 2 3" xfId="15106" xr:uid="{00000000-0005-0000-0000-00000D8D0000}"/>
    <cellStyle name="Normal 2 3 7 29 2 3 2" xfId="15107" xr:uid="{00000000-0005-0000-0000-00000E8D0000}"/>
    <cellStyle name="Normal 2 3 7 29 2 3 2 2" xfId="46930" xr:uid="{00000000-0005-0000-0000-00000F8D0000}"/>
    <cellStyle name="Normal 2 3 7 29 2 3 3" xfId="15108" xr:uid="{00000000-0005-0000-0000-0000108D0000}"/>
    <cellStyle name="Normal 2 3 7 29 2 3 3 2" xfId="46931" xr:uid="{00000000-0005-0000-0000-0000118D0000}"/>
    <cellStyle name="Normal 2 3 7 29 2 3 4" xfId="46932" xr:uid="{00000000-0005-0000-0000-0000128D0000}"/>
    <cellStyle name="Normal 2 3 7 29 2 4" xfId="15109" xr:uid="{00000000-0005-0000-0000-0000138D0000}"/>
    <cellStyle name="Normal 2 3 7 29 2 4 2" xfId="15110" xr:uid="{00000000-0005-0000-0000-0000148D0000}"/>
    <cellStyle name="Normal 2 3 7 29 2 4 2 2" xfId="46933" xr:uid="{00000000-0005-0000-0000-0000158D0000}"/>
    <cellStyle name="Normal 2 3 7 29 2 4 3" xfId="46934" xr:uid="{00000000-0005-0000-0000-0000168D0000}"/>
    <cellStyle name="Normal 2 3 7 29 2 5" xfId="15111" xr:uid="{00000000-0005-0000-0000-0000178D0000}"/>
    <cellStyle name="Normal 2 3 7 29 2 5 2" xfId="46935" xr:uid="{00000000-0005-0000-0000-0000188D0000}"/>
    <cellStyle name="Normal 2 3 7 29 2 6" xfId="15112" xr:uid="{00000000-0005-0000-0000-0000198D0000}"/>
    <cellStyle name="Normal 2 3 7 29 2 6 2" xfId="46936" xr:uid="{00000000-0005-0000-0000-00001A8D0000}"/>
    <cellStyle name="Normal 2 3 7 29 2 7" xfId="46937" xr:uid="{00000000-0005-0000-0000-00001B8D0000}"/>
    <cellStyle name="Normal 2 3 7 29 2 7 2" xfId="46938" xr:uid="{00000000-0005-0000-0000-00001C8D0000}"/>
    <cellStyle name="Normal 2 3 7 29 2 8" xfId="46939" xr:uid="{00000000-0005-0000-0000-00001D8D0000}"/>
    <cellStyle name="Normal 2 3 7 29 2 9" xfId="46940" xr:uid="{00000000-0005-0000-0000-00001E8D0000}"/>
    <cellStyle name="Normal 2 3 7 29 3" xfId="15113" xr:uid="{00000000-0005-0000-0000-00001F8D0000}"/>
    <cellStyle name="Normal 2 3 7 29 3 2" xfId="15114" xr:uid="{00000000-0005-0000-0000-0000208D0000}"/>
    <cellStyle name="Normal 2 3 7 29 3 2 2" xfId="15115" xr:uid="{00000000-0005-0000-0000-0000218D0000}"/>
    <cellStyle name="Normal 2 3 7 29 3 2 2 2" xfId="46941" xr:uid="{00000000-0005-0000-0000-0000228D0000}"/>
    <cellStyle name="Normal 2 3 7 29 3 2 3" xfId="15116" xr:uid="{00000000-0005-0000-0000-0000238D0000}"/>
    <cellStyle name="Normal 2 3 7 29 3 2 3 2" xfId="46942" xr:uid="{00000000-0005-0000-0000-0000248D0000}"/>
    <cellStyle name="Normal 2 3 7 29 3 2 4" xfId="46943" xr:uid="{00000000-0005-0000-0000-0000258D0000}"/>
    <cellStyle name="Normal 2 3 7 29 3 3" xfId="15117" xr:uid="{00000000-0005-0000-0000-0000268D0000}"/>
    <cellStyle name="Normal 2 3 7 29 3 3 2" xfId="46944" xr:uid="{00000000-0005-0000-0000-0000278D0000}"/>
    <cellStyle name="Normal 2 3 7 29 3 4" xfId="15118" xr:uid="{00000000-0005-0000-0000-0000288D0000}"/>
    <cellStyle name="Normal 2 3 7 29 3 4 2" xfId="46945" xr:uid="{00000000-0005-0000-0000-0000298D0000}"/>
    <cellStyle name="Normal 2 3 7 29 3 5" xfId="15119" xr:uid="{00000000-0005-0000-0000-00002A8D0000}"/>
    <cellStyle name="Normal 2 3 7 29 3 5 2" xfId="46946" xr:uid="{00000000-0005-0000-0000-00002B8D0000}"/>
    <cellStyle name="Normal 2 3 7 29 3 6" xfId="46947" xr:uid="{00000000-0005-0000-0000-00002C8D0000}"/>
    <cellStyle name="Normal 2 3 7 29 3 6 2" xfId="46948" xr:uid="{00000000-0005-0000-0000-00002D8D0000}"/>
    <cellStyle name="Normal 2 3 7 29 3 7" xfId="46949" xr:uid="{00000000-0005-0000-0000-00002E8D0000}"/>
    <cellStyle name="Normal 2 3 7 29 4" xfId="15120" xr:uid="{00000000-0005-0000-0000-00002F8D0000}"/>
    <cellStyle name="Normal 2 3 7 29 4 2" xfId="15121" xr:uid="{00000000-0005-0000-0000-0000308D0000}"/>
    <cellStyle name="Normal 2 3 7 29 4 2 2" xfId="46950" xr:uid="{00000000-0005-0000-0000-0000318D0000}"/>
    <cellStyle name="Normal 2 3 7 29 4 3" xfId="15122" xr:uid="{00000000-0005-0000-0000-0000328D0000}"/>
    <cellStyle name="Normal 2 3 7 29 4 3 2" xfId="46951" xr:uid="{00000000-0005-0000-0000-0000338D0000}"/>
    <cellStyle name="Normal 2 3 7 29 4 4" xfId="46952" xr:uid="{00000000-0005-0000-0000-0000348D0000}"/>
    <cellStyle name="Normal 2 3 7 29 5" xfId="15123" xr:uid="{00000000-0005-0000-0000-0000358D0000}"/>
    <cellStyle name="Normal 2 3 7 29 5 2" xfId="15124" xr:uid="{00000000-0005-0000-0000-0000368D0000}"/>
    <cellStyle name="Normal 2 3 7 29 5 2 2" xfId="46953" xr:uid="{00000000-0005-0000-0000-0000378D0000}"/>
    <cellStyle name="Normal 2 3 7 29 5 3" xfId="46954" xr:uid="{00000000-0005-0000-0000-0000388D0000}"/>
    <cellStyle name="Normal 2 3 7 29 6" xfId="15125" xr:uid="{00000000-0005-0000-0000-0000398D0000}"/>
    <cellStyle name="Normal 2 3 7 29 6 2" xfId="46955" xr:uid="{00000000-0005-0000-0000-00003A8D0000}"/>
    <cellStyle name="Normal 2 3 7 29 7" xfId="15126" xr:uid="{00000000-0005-0000-0000-00003B8D0000}"/>
    <cellStyle name="Normal 2 3 7 29 7 2" xfId="46956" xr:uid="{00000000-0005-0000-0000-00003C8D0000}"/>
    <cellStyle name="Normal 2 3 7 29 8" xfId="46957" xr:uid="{00000000-0005-0000-0000-00003D8D0000}"/>
    <cellStyle name="Normal 2 3 7 29 8 2" xfId="46958" xr:uid="{00000000-0005-0000-0000-00003E8D0000}"/>
    <cellStyle name="Normal 2 3 7 29 9" xfId="46959" xr:uid="{00000000-0005-0000-0000-00003F8D0000}"/>
    <cellStyle name="Normal 2 3 7 3" xfId="15127" xr:uid="{00000000-0005-0000-0000-0000408D0000}"/>
    <cellStyle name="Normal 2 3 7 3 10" xfId="46960" xr:uid="{00000000-0005-0000-0000-0000418D0000}"/>
    <cellStyle name="Normal 2 3 7 3 11" xfId="46961" xr:uid="{00000000-0005-0000-0000-0000428D0000}"/>
    <cellStyle name="Normal 2 3 7 3 2" xfId="15128" xr:uid="{00000000-0005-0000-0000-0000438D0000}"/>
    <cellStyle name="Normal 2 3 7 3 2 10" xfId="46962" xr:uid="{00000000-0005-0000-0000-0000448D0000}"/>
    <cellStyle name="Normal 2 3 7 3 2 2" xfId="15129" xr:uid="{00000000-0005-0000-0000-0000458D0000}"/>
    <cellStyle name="Normal 2 3 7 3 2 2 2" xfId="15130" xr:uid="{00000000-0005-0000-0000-0000468D0000}"/>
    <cellStyle name="Normal 2 3 7 3 2 2 2 2" xfId="15131" xr:uid="{00000000-0005-0000-0000-0000478D0000}"/>
    <cellStyle name="Normal 2 3 7 3 2 2 2 2 2" xfId="46963" xr:uid="{00000000-0005-0000-0000-0000488D0000}"/>
    <cellStyle name="Normal 2 3 7 3 2 2 2 3" xfId="15132" xr:uid="{00000000-0005-0000-0000-0000498D0000}"/>
    <cellStyle name="Normal 2 3 7 3 2 2 2 3 2" xfId="46964" xr:uid="{00000000-0005-0000-0000-00004A8D0000}"/>
    <cellStyle name="Normal 2 3 7 3 2 2 2 4" xfId="46965" xr:uid="{00000000-0005-0000-0000-00004B8D0000}"/>
    <cellStyle name="Normal 2 3 7 3 2 2 3" xfId="15133" xr:uid="{00000000-0005-0000-0000-00004C8D0000}"/>
    <cellStyle name="Normal 2 3 7 3 2 2 3 2" xfId="46966" xr:uid="{00000000-0005-0000-0000-00004D8D0000}"/>
    <cellStyle name="Normal 2 3 7 3 2 2 4" xfId="15134" xr:uid="{00000000-0005-0000-0000-00004E8D0000}"/>
    <cellStyle name="Normal 2 3 7 3 2 2 4 2" xfId="46967" xr:uid="{00000000-0005-0000-0000-00004F8D0000}"/>
    <cellStyle name="Normal 2 3 7 3 2 2 5" xfId="15135" xr:uid="{00000000-0005-0000-0000-0000508D0000}"/>
    <cellStyle name="Normal 2 3 7 3 2 2 5 2" xfId="46968" xr:uid="{00000000-0005-0000-0000-0000518D0000}"/>
    <cellStyle name="Normal 2 3 7 3 2 2 6" xfId="46969" xr:uid="{00000000-0005-0000-0000-0000528D0000}"/>
    <cellStyle name="Normal 2 3 7 3 2 2 6 2" xfId="46970" xr:uid="{00000000-0005-0000-0000-0000538D0000}"/>
    <cellStyle name="Normal 2 3 7 3 2 2 7" xfId="46971" xr:uid="{00000000-0005-0000-0000-0000548D0000}"/>
    <cellStyle name="Normal 2 3 7 3 2 3" xfId="15136" xr:uid="{00000000-0005-0000-0000-0000558D0000}"/>
    <cellStyle name="Normal 2 3 7 3 2 3 2" xfId="15137" xr:uid="{00000000-0005-0000-0000-0000568D0000}"/>
    <cellStyle name="Normal 2 3 7 3 2 3 2 2" xfId="46972" xr:uid="{00000000-0005-0000-0000-0000578D0000}"/>
    <cellStyle name="Normal 2 3 7 3 2 3 3" xfId="15138" xr:uid="{00000000-0005-0000-0000-0000588D0000}"/>
    <cellStyle name="Normal 2 3 7 3 2 3 3 2" xfId="46973" xr:uid="{00000000-0005-0000-0000-0000598D0000}"/>
    <cellStyle name="Normal 2 3 7 3 2 3 4" xfId="46974" xr:uid="{00000000-0005-0000-0000-00005A8D0000}"/>
    <cellStyle name="Normal 2 3 7 3 2 4" xfId="15139" xr:uid="{00000000-0005-0000-0000-00005B8D0000}"/>
    <cellStyle name="Normal 2 3 7 3 2 4 2" xfId="15140" xr:uid="{00000000-0005-0000-0000-00005C8D0000}"/>
    <cellStyle name="Normal 2 3 7 3 2 4 2 2" xfId="46975" xr:uid="{00000000-0005-0000-0000-00005D8D0000}"/>
    <cellStyle name="Normal 2 3 7 3 2 4 3" xfId="46976" xr:uid="{00000000-0005-0000-0000-00005E8D0000}"/>
    <cellStyle name="Normal 2 3 7 3 2 5" xfId="15141" xr:uid="{00000000-0005-0000-0000-00005F8D0000}"/>
    <cellStyle name="Normal 2 3 7 3 2 5 2" xfId="46977" xr:uid="{00000000-0005-0000-0000-0000608D0000}"/>
    <cellStyle name="Normal 2 3 7 3 2 6" xfId="15142" xr:uid="{00000000-0005-0000-0000-0000618D0000}"/>
    <cellStyle name="Normal 2 3 7 3 2 6 2" xfId="46978" xr:uid="{00000000-0005-0000-0000-0000628D0000}"/>
    <cellStyle name="Normal 2 3 7 3 2 7" xfId="46979" xr:uid="{00000000-0005-0000-0000-0000638D0000}"/>
    <cellStyle name="Normal 2 3 7 3 2 7 2" xfId="46980" xr:uid="{00000000-0005-0000-0000-0000648D0000}"/>
    <cellStyle name="Normal 2 3 7 3 2 8" xfId="46981" xr:uid="{00000000-0005-0000-0000-0000658D0000}"/>
    <cellStyle name="Normal 2 3 7 3 2 9" xfId="46982" xr:uid="{00000000-0005-0000-0000-0000668D0000}"/>
    <cellStyle name="Normal 2 3 7 3 3" xfId="15143" xr:uid="{00000000-0005-0000-0000-0000678D0000}"/>
    <cellStyle name="Normal 2 3 7 3 3 2" xfId="15144" xr:uid="{00000000-0005-0000-0000-0000688D0000}"/>
    <cellStyle name="Normal 2 3 7 3 3 2 2" xfId="15145" xr:uid="{00000000-0005-0000-0000-0000698D0000}"/>
    <cellStyle name="Normal 2 3 7 3 3 2 2 2" xfId="46983" xr:uid="{00000000-0005-0000-0000-00006A8D0000}"/>
    <cellStyle name="Normal 2 3 7 3 3 2 3" xfId="15146" xr:uid="{00000000-0005-0000-0000-00006B8D0000}"/>
    <cellStyle name="Normal 2 3 7 3 3 2 3 2" xfId="46984" xr:uid="{00000000-0005-0000-0000-00006C8D0000}"/>
    <cellStyle name="Normal 2 3 7 3 3 2 4" xfId="46985" xr:uid="{00000000-0005-0000-0000-00006D8D0000}"/>
    <cellStyle name="Normal 2 3 7 3 3 3" xfId="15147" xr:uid="{00000000-0005-0000-0000-00006E8D0000}"/>
    <cellStyle name="Normal 2 3 7 3 3 3 2" xfId="46986" xr:uid="{00000000-0005-0000-0000-00006F8D0000}"/>
    <cellStyle name="Normal 2 3 7 3 3 4" xfId="15148" xr:uid="{00000000-0005-0000-0000-0000708D0000}"/>
    <cellStyle name="Normal 2 3 7 3 3 4 2" xfId="46987" xr:uid="{00000000-0005-0000-0000-0000718D0000}"/>
    <cellStyle name="Normal 2 3 7 3 3 5" xfId="15149" xr:uid="{00000000-0005-0000-0000-0000728D0000}"/>
    <cellStyle name="Normal 2 3 7 3 3 5 2" xfId="46988" xr:uid="{00000000-0005-0000-0000-0000738D0000}"/>
    <cellStyle name="Normal 2 3 7 3 3 6" xfId="46989" xr:uid="{00000000-0005-0000-0000-0000748D0000}"/>
    <cellStyle name="Normal 2 3 7 3 3 6 2" xfId="46990" xr:uid="{00000000-0005-0000-0000-0000758D0000}"/>
    <cellStyle name="Normal 2 3 7 3 3 7" xfId="46991" xr:uid="{00000000-0005-0000-0000-0000768D0000}"/>
    <cellStyle name="Normal 2 3 7 3 4" xfId="15150" xr:uid="{00000000-0005-0000-0000-0000778D0000}"/>
    <cellStyle name="Normal 2 3 7 3 4 2" xfId="15151" xr:uid="{00000000-0005-0000-0000-0000788D0000}"/>
    <cellStyle name="Normal 2 3 7 3 4 2 2" xfId="46992" xr:uid="{00000000-0005-0000-0000-0000798D0000}"/>
    <cellStyle name="Normal 2 3 7 3 4 3" xfId="15152" xr:uid="{00000000-0005-0000-0000-00007A8D0000}"/>
    <cellStyle name="Normal 2 3 7 3 4 3 2" xfId="46993" xr:uid="{00000000-0005-0000-0000-00007B8D0000}"/>
    <cellStyle name="Normal 2 3 7 3 4 4" xfId="46994" xr:uid="{00000000-0005-0000-0000-00007C8D0000}"/>
    <cellStyle name="Normal 2 3 7 3 5" xfId="15153" xr:uid="{00000000-0005-0000-0000-00007D8D0000}"/>
    <cellStyle name="Normal 2 3 7 3 5 2" xfId="15154" xr:uid="{00000000-0005-0000-0000-00007E8D0000}"/>
    <cellStyle name="Normal 2 3 7 3 5 2 2" xfId="46995" xr:uid="{00000000-0005-0000-0000-00007F8D0000}"/>
    <cellStyle name="Normal 2 3 7 3 5 3" xfId="46996" xr:uid="{00000000-0005-0000-0000-0000808D0000}"/>
    <cellStyle name="Normal 2 3 7 3 6" xfId="15155" xr:uid="{00000000-0005-0000-0000-0000818D0000}"/>
    <cellStyle name="Normal 2 3 7 3 6 2" xfId="46997" xr:uid="{00000000-0005-0000-0000-0000828D0000}"/>
    <cellStyle name="Normal 2 3 7 3 7" xfId="15156" xr:uid="{00000000-0005-0000-0000-0000838D0000}"/>
    <cellStyle name="Normal 2 3 7 3 7 2" xfId="46998" xr:uid="{00000000-0005-0000-0000-0000848D0000}"/>
    <cellStyle name="Normal 2 3 7 3 8" xfId="46999" xr:uid="{00000000-0005-0000-0000-0000858D0000}"/>
    <cellStyle name="Normal 2 3 7 3 8 2" xfId="47000" xr:uid="{00000000-0005-0000-0000-0000868D0000}"/>
    <cellStyle name="Normal 2 3 7 3 9" xfId="47001" xr:uid="{00000000-0005-0000-0000-0000878D0000}"/>
    <cellStyle name="Normal 2 3 7 30" xfId="15157" xr:uid="{00000000-0005-0000-0000-0000888D0000}"/>
    <cellStyle name="Normal 2 3 7 30 10" xfId="47002" xr:uid="{00000000-0005-0000-0000-0000898D0000}"/>
    <cellStyle name="Normal 2 3 7 30 11" xfId="47003" xr:uid="{00000000-0005-0000-0000-00008A8D0000}"/>
    <cellStyle name="Normal 2 3 7 30 2" xfId="15158" xr:uid="{00000000-0005-0000-0000-00008B8D0000}"/>
    <cellStyle name="Normal 2 3 7 30 2 10" xfId="47004" xr:uid="{00000000-0005-0000-0000-00008C8D0000}"/>
    <cellStyle name="Normal 2 3 7 30 2 2" xfId="15159" xr:uid="{00000000-0005-0000-0000-00008D8D0000}"/>
    <cellStyle name="Normal 2 3 7 30 2 2 2" xfId="15160" xr:uid="{00000000-0005-0000-0000-00008E8D0000}"/>
    <cellStyle name="Normal 2 3 7 30 2 2 2 2" xfId="15161" xr:uid="{00000000-0005-0000-0000-00008F8D0000}"/>
    <cellStyle name="Normal 2 3 7 30 2 2 2 2 2" xfId="47005" xr:uid="{00000000-0005-0000-0000-0000908D0000}"/>
    <cellStyle name="Normal 2 3 7 30 2 2 2 3" xfId="15162" xr:uid="{00000000-0005-0000-0000-0000918D0000}"/>
    <cellStyle name="Normal 2 3 7 30 2 2 2 3 2" xfId="47006" xr:uid="{00000000-0005-0000-0000-0000928D0000}"/>
    <cellStyle name="Normal 2 3 7 30 2 2 2 4" xfId="47007" xr:uid="{00000000-0005-0000-0000-0000938D0000}"/>
    <cellStyle name="Normal 2 3 7 30 2 2 3" xfId="15163" xr:uid="{00000000-0005-0000-0000-0000948D0000}"/>
    <cellStyle name="Normal 2 3 7 30 2 2 3 2" xfId="47008" xr:uid="{00000000-0005-0000-0000-0000958D0000}"/>
    <cellStyle name="Normal 2 3 7 30 2 2 4" xfId="15164" xr:uid="{00000000-0005-0000-0000-0000968D0000}"/>
    <cellStyle name="Normal 2 3 7 30 2 2 4 2" xfId="47009" xr:uid="{00000000-0005-0000-0000-0000978D0000}"/>
    <cellStyle name="Normal 2 3 7 30 2 2 5" xfId="15165" xr:uid="{00000000-0005-0000-0000-0000988D0000}"/>
    <cellStyle name="Normal 2 3 7 30 2 2 5 2" xfId="47010" xr:uid="{00000000-0005-0000-0000-0000998D0000}"/>
    <cellStyle name="Normal 2 3 7 30 2 2 6" xfId="47011" xr:uid="{00000000-0005-0000-0000-00009A8D0000}"/>
    <cellStyle name="Normal 2 3 7 30 2 2 6 2" xfId="47012" xr:uid="{00000000-0005-0000-0000-00009B8D0000}"/>
    <cellStyle name="Normal 2 3 7 30 2 2 7" xfId="47013" xr:uid="{00000000-0005-0000-0000-00009C8D0000}"/>
    <cellStyle name="Normal 2 3 7 30 2 3" xfId="15166" xr:uid="{00000000-0005-0000-0000-00009D8D0000}"/>
    <cellStyle name="Normal 2 3 7 30 2 3 2" xfId="15167" xr:uid="{00000000-0005-0000-0000-00009E8D0000}"/>
    <cellStyle name="Normal 2 3 7 30 2 3 2 2" xfId="47014" xr:uid="{00000000-0005-0000-0000-00009F8D0000}"/>
    <cellStyle name="Normal 2 3 7 30 2 3 3" xfId="15168" xr:uid="{00000000-0005-0000-0000-0000A08D0000}"/>
    <cellStyle name="Normal 2 3 7 30 2 3 3 2" xfId="47015" xr:uid="{00000000-0005-0000-0000-0000A18D0000}"/>
    <cellStyle name="Normal 2 3 7 30 2 3 4" xfId="47016" xr:uid="{00000000-0005-0000-0000-0000A28D0000}"/>
    <cellStyle name="Normal 2 3 7 30 2 4" xfId="15169" xr:uid="{00000000-0005-0000-0000-0000A38D0000}"/>
    <cellStyle name="Normal 2 3 7 30 2 4 2" xfId="15170" xr:uid="{00000000-0005-0000-0000-0000A48D0000}"/>
    <cellStyle name="Normal 2 3 7 30 2 4 2 2" xfId="47017" xr:uid="{00000000-0005-0000-0000-0000A58D0000}"/>
    <cellStyle name="Normal 2 3 7 30 2 4 3" xfId="47018" xr:uid="{00000000-0005-0000-0000-0000A68D0000}"/>
    <cellStyle name="Normal 2 3 7 30 2 5" xfId="15171" xr:uid="{00000000-0005-0000-0000-0000A78D0000}"/>
    <cellStyle name="Normal 2 3 7 30 2 5 2" xfId="47019" xr:uid="{00000000-0005-0000-0000-0000A88D0000}"/>
    <cellStyle name="Normal 2 3 7 30 2 6" xfId="15172" xr:uid="{00000000-0005-0000-0000-0000A98D0000}"/>
    <cellStyle name="Normal 2 3 7 30 2 6 2" xfId="47020" xr:uid="{00000000-0005-0000-0000-0000AA8D0000}"/>
    <cellStyle name="Normal 2 3 7 30 2 7" xfId="47021" xr:uid="{00000000-0005-0000-0000-0000AB8D0000}"/>
    <cellStyle name="Normal 2 3 7 30 2 7 2" xfId="47022" xr:uid="{00000000-0005-0000-0000-0000AC8D0000}"/>
    <cellStyle name="Normal 2 3 7 30 2 8" xfId="47023" xr:uid="{00000000-0005-0000-0000-0000AD8D0000}"/>
    <cellStyle name="Normal 2 3 7 30 2 9" xfId="47024" xr:uid="{00000000-0005-0000-0000-0000AE8D0000}"/>
    <cellStyle name="Normal 2 3 7 30 3" xfId="15173" xr:uid="{00000000-0005-0000-0000-0000AF8D0000}"/>
    <cellStyle name="Normal 2 3 7 30 3 2" xfId="15174" xr:uid="{00000000-0005-0000-0000-0000B08D0000}"/>
    <cellStyle name="Normal 2 3 7 30 3 2 2" xfId="15175" xr:uid="{00000000-0005-0000-0000-0000B18D0000}"/>
    <cellStyle name="Normal 2 3 7 30 3 2 2 2" xfId="47025" xr:uid="{00000000-0005-0000-0000-0000B28D0000}"/>
    <cellStyle name="Normal 2 3 7 30 3 2 3" xfId="15176" xr:uid="{00000000-0005-0000-0000-0000B38D0000}"/>
    <cellStyle name="Normal 2 3 7 30 3 2 3 2" xfId="47026" xr:uid="{00000000-0005-0000-0000-0000B48D0000}"/>
    <cellStyle name="Normal 2 3 7 30 3 2 4" xfId="47027" xr:uid="{00000000-0005-0000-0000-0000B58D0000}"/>
    <cellStyle name="Normal 2 3 7 30 3 3" xfId="15177" xr:uid="{00000000-0005-0000-0000-0000B68D0000}"/>
    <cellStyle name="Normal 2 3 7 30 3 3 2" xfId="47028" xr:uid="{00000000-0005-0000-0000-0000B78D0000}"/>
    <cellStyle name="Normal 2 3 7 30 3 4" xfId="15178" xr:uid="{00000000-0005-0000-0000-0000B88D0000}"/>
    <cellStyle name="Normal 2 3 7 30 3 4 2" xfId="47029" xr:uid="{00000000-0005-0000-0000-0000B98D0000}"/>
    <cellStyle name="Normal 2 3 7 30 3 5" xfId="15179" xr:uid="{00000000-0005-0000-0000-0000BA8D0000}"/>
    <cellStyle name="Normal 2 3 7 30 3 5 2" xfId="47030" xr:uid="{00000000-0005-0000-0000-0000BB8D0000}"/>
    <cellStyle name="Normal 2 3 7 30 3 6" xfId="47031" xr:uid="{00000000-0005-0000-0000-0000BC8D0000}"/>
    <cellStyle name="Normal 2 3 7 30 3 6 2" xfId="47032" xr:uid="{00000000-0005-0000-0000-0000BD8D0000}"/>
    <cellStyle name="Normal 2 3 7 30 3 7" xfId="47033" xr:uid="{00000000-0005-0000-0000-0000BE8D0000}"/>
    <cellStyle name="Normal 2 3 7 30 4" xfId="15180" xr:uid="{00000000-0005-0000-0000-0000BF8D0000}"/>
    <cellStyle name="Normal 2 3 7 30 4 2" xfId="15181" xr:uid="{00000000-0005-0000-0000-0000C08D0000}"/>
    <cellStyle name="Normal 2 3 7 30 4 2 2" xfId="47034" xr:uid="{00000000-0005-0000-0000-0000C18D0000}"/>
    <cellStyle name="Normal 2 3 7 30 4 3" xfId="15182" xr:uid="{00000000-0005-0000-0000-0000C28D0000}"/>
    <cellStyle name="Normal 2 3 7 30 4 3 2" xfId="47035" xr:uid="{00000000-0005-0000-0000-0000C38D0000}"/>
    <cellStyle name="Normal 2 3 7 30 4 4" xfId="47036" xr:uid="{00000000-0005-0000-0000-0000C48D0000}"/>
    <cellStyle name="Normal 2 3 7 30 5" xfId="15183" xr:uid="{00000000-0005-0000-0000-0000C58D0000}"/>
    <cellStyle name="Normal 2 3 7 30 5 2" xfId="15184" xr:uid="{00000000-0005-0000-0000-0000C68D0000}"/>
    <cellStyle name="Normal 2 3 7 30 5 2 2" xfId="47037" xr:uid="{00000000-0005-0000-0000-0000C78D0000}"/>
    <cellStyle name="Normal 2 3 7 30 5 3" xfId="47038" xr:uid="{00000000-0005-0000-0000-0000C88D0000}"/>
    <cellStyle name="Normal 2 3 7 30 6" xfId="15185" xr:uid="{00000000-0005-0000-0000-0000C98D0000}"/>
    <cellStyle name="Normal 2 3 7 30 6 2" xfId="47039" xr:uid="{00000000-0005-0000-0000-0000CA8D0000}"/>
    <cellStyle name="Normal 2 3 7 30 7" xfId="15186" xr:uid="{00000000-0005-0000-0000-0000CB8D0000}"/>
    <cellStyle name="Normal 2 3 7 30 7 2" xfId="47040" xr:uid="{00000000-0005-0000-0000-0000CC8D0000}"/>
    <cellStyle name="Normal 2 3 7 30 8" xfId="47041" xr:uid="{00000000-0005-0000-0000-0000CD8D0000}"/>
    <cellStyle name="Normal 2 3 7 30 8 2" xfId="47042" xr:uid="{00000000-0005-0000-0000-0000CE8D0000}"/>
    <cellStyle name="Normal 2 3 7 30 9" xfId="47043" xr:uid="{00000000-0005-0000-0000-0000CF8D0000}"/>
    <cellStyle name="Normal 2 3 7 31" xfId="15187" xr:uid="{00000000-0005-0000-0000-0000D08D0000}"/>
    <cellStyle name="Normal 2 3 7 31 10" xfId="47044" xr:uid="{00000000-0005-0000-0000-0000D18D0000}"/>
    <cellStyle name="Normal 2 3 7 31 2" xfId="15188" xr:uid="{00000000-0005-0000-0000-0000D28D0000}"/>
    <cellStyle name="Normal 2 3 7 31 2 2" xfId="15189" xr:uid="{00000000-0005-0000-0000-0000D38D0000}"/>
    <cellStyle name="Normal 2 3 7 31 2 2 2" xfId="15190" xr:uid="{00000000-0005-0000-0000-0000D48D0000}"/>
    <cellStyle name="Normal 2 3 7 31 2 2 2 2" xfId="47045" xr:uid="{00000000-0005-0000-0000-0000D58D0000}"/>
    <cellStyle name="Normal 2 3 7 31 2 2 3" xfId="15191" xr:uid="{00000000-0005-0000-0000-0000D68D0000}"/>
    <cellStyle name="Normal 2 3 7 31 2 2 3 2" xfId="47046" xr:uid="{00000000-0005-0000-0000-0000D78D0000}"/>
    <cellStyle name="Normal 2 3 7 31 2 2 4" xfId="47047" xr:uid="{00000000-0005-0000-0000-0000D88D0000}"/>
    <cellStyle name="Normal 2 3 7 31 2 3" xfId="15192" xr:uid="{00000000-0005-0000-0000-0000D98D0000}"/>
    <cellStyle name="Normal 2 3 7 31 2 3 2" xfId="47048" xr:uid="{00000000-0005-0000-0000-0000DA8D0000}"/>
    <cellStyle name="Normal 2 3 7 31 2 4" xfId="15193" xr:uid="{00000000-0005-0000-0000-0000DB8D0000}"/>
    <cellStyle name="Normal 2 3 7 31 2 4 2" xfId="47049" xr:uid="{00000000-0005-0000-0000-0000DC8D0000}"/>
    <cellStyle name="Normal 2 3 7 31 2 5" xfId="15194" xr:uid="{00000000-0005-0000-0000-0000DD8D0000}"/>
    <cellStyle name="Normal 2 3 7 31 2 5 2" xfId="47050" xr:uid="{00000000-0005-0000-0000-0000DE8D0000}"/>
    <cellStyle name="Normal 2 3 7 31 2 6" xfId="47051" xr:uid="{00000000-0005-0000-0000-0000DF8D0000}"/>
    <cellStyle name="Normal 2 3 7 31 2 6 2" xfId="47052" xr:uid="{00000000-0005-0000-0000-0000E08D0000}"/>
    <cellStyle name="Normal 2 3 7 31 2 7" xfId="47053" xr:uid="{00000000-0005-0000-0000-0000E18D0000}"/>
    <cellStyle name="Normal 2 3 7 31 3" xfId="15195" xr:uid="{00000000-0005-0000-0000-0000E28D0000}"/>
    <cellStyle name="Normal 2 3 7 31 3 2" xfId="15196" xr:uid="{00000000-0005-0000-0000-0000E38D0000}"/>
    <cellStyle name="Normal 2 3 7 31 3 2 2" xfId="47054" xr:uid="{00000000-0005-0000-0000-0000E48D0000}"/>
    <cellStyle name="Normal 2 3 7 31 3 3" xfId="15197" xr:uid="{00000000-0005-0000-0000-0000E58D0000}"/>
    <cellStyle name="Normal 2 3 7 31 3 3 2" xfId="47055" xr:uid="{00000000-0005-0000-0000-0000E68D0000}"/>
    <cellStyle name="Normal 2 3 7 31 3 4" xfId="47056" xr:uid="{00000000-0005-0000-0000-0000E78D0000}"/>
    <cellStyle name="Normal 2 3 7 31 4" xfId="15198" xr:uid="{00000000-0005-0000-0000-0000E88D0000}"/>
    <cellStyle name="Normal 2 3 7 31 4 2" xfId="15199" xr:uid="{00000000-0005-0000-0000-0000E98D0000}"/>
    <cellStyle name="Normal 2 3 7 31 4 2 2" xfId="47057" xr:uid="{00000000-0005-0000-0000-0000EA8D0000}"/>
    <cellStyle name="Normal 2 3 7 31 4 3" xfId="47058" xr:uid="{00000000-0005-0000-0000-0000EB8D0000}"/>
    <cellStyle name="Normal 2 3 7 31 5" xfId="15200" xr:uid="{00000000-0005-0000-0000-0000EC8D0000}"/>
    <cellStyle name="Normal 2 3 7 31 5 2" xfId="47059" xr:uid="{00000000-0005-0000-0000-0000ED8D0000}"/>
    <cellStyle name="Normal 2 3 7 31 6" xfId="15201" xr:uid="{00000000-0005-0000-0000-0000EE8D0000}"/>
    <cellStyle name="Normal 2 3 7 31 6 2" xfId="47060" xr:uid="{00000000-0005-0000-0000-0000EF8D0000}"/>
    <cellStyle name="Normal 2 3 7 31 7" xfId="47061" xr:uid="{00000000-0005-0000-0000-0000F08D0000}"/>
    <cellStyle name="Normal 2 3 7 31 7 2" xfId="47062" xr:uid="{00000000-0005-0000-0000-0000F18D0000}"/>
    <cellStyle name="Normal 2 3 7 31 8" xfId="47063" xr:uid="{00000000-0005-0000-0000-0000F28D0000}"/>
    <cellStyle name="Normal 2 3 7 31 9" xfId="47064" xr:uid="{00000000-0005-0000-0000-0000F38D0000}"/>
    <cellStyle name="Normal 2 3 7 32" xfId="15202" xr:uid="{00000000-0005-0000-0000-0000F48D0000}"/>
    <cellStyle name="Normal 2 3 7 32 2" xfId="15203" xr:uid="{00000000-0005-0000-0000-0000F58D0000}"/>
    <cellStyle name="Normal 2 3 7 32 2 2" xfId="15204" xr:uid="{00000000-0005-0000-0000-0000F68D0000}"/>
    <cellStyle name="Normal 2 3 7 32 2 2 2" xfId="47065" xr:uid="{00000000-0005-0000-0000-0000F78D0000}"/>
    <cellStyle name="Normal 2 3 7 32 2 3" xfId="15205" xr:uid="{00000000-0005-0000-0000-0000F88D0000}"/>
    <cellStyle name="Normal 2 3 7 32 2 3 2" xfId="47066" xr:uid="{00000000-0005-0000-0000-0000F98D0000}"/>
    <cellStyle name="Normal 2 3 7 32 2 4" xfId="47067" xr:uid="{00000000-0005-0000-0000-0000FA8D0000}"/>
    <cellStyle name="Normal 2 3 7 32 3" xfId="15206" xr:uid="{00000000-0005-0000-0000-0000FB8D0000}"/>
    <cellStyle name="Normal 2 3 7 32 3 2" xfId="47068" xr:uid="{00000000-0005-0000-0000-0000FC8D0000}"/>
    <cellStyle name="Normal 2 3 7 32 4" xfId="15207" xr:uid="{00000000-0005-0000-0000-0000FD8D0000}"/>
    <cellStyle name="Normal 2 3 7 32 4 2" xfId="47069" xr:uid="{00000000-0005-0000-0000-0000FE8D0000}"/>
    <cellStyle name="Normal 2 3 7 32 5" xfId="15208" xr:uid="{00000000-0005-0000-0000-0000FF8D0000}"/>
    <cellStyle name="Normal 2 3 7 32 5 2" xfId="47070" xr:uid="{00000000-0005-0000-0000-0000008E0000}"/>
    <cellStyle name="Normal 2 3 7 32 6" xfId="47071" xr:uid="{00000000-0005-0000-0000-0000018E0000}"/>
    <cellStyle name="Normal 2 3 7 32 6 2" xfId="47072" xr:uid="{00000000-0005-0000-0000-0000028E0000}"/>
    <cellStyle name="Normal 2 3 7 32 7" xfId="47073" xr:uid="{00000000-0005-0000-0000-0000038E0000}"/>
    <cellStyle name="Normal 2 3 7 33" xfId="15209" xr:uid="{00000000-0005-0000-0000-0000048E0000}"/>
    <cellStyle name="Normal 2 3 7 33 2" xfId="15210" xr:uid="{00000000-0005-0000-0000-0000058E0000}"/>
    <cellStyle name="Normal 2 3 7 33 2 2" xfId="47074" xr:uid="{00000000-0005-0000-0000-0000068E0000}"/>
    <cellStyle name="Normal 2 3 7 33 3" xfId="15211" xr:uid="{00000000-0005-0000-0000-0000078E0000}"/>
    <cellStyle name="Normal 2 3 7 33 3 2" xfId="47075" xr:uid="{00000000-0005-0000-0000-0000088E0000}"/>
    <cellStyle name="Normal 2 3 7 33 4" xfId="47076" xr:uid="{00000000-0005-0000-0000-0000098E0000}"/>
    <cellStyle name="Normal 2 3 7 34" xfId="15212" xr:uid="{00000000-0005-0000-0000-00000A8E0000}"/>
    <cellStyle name="Normal 2 3 7 34 2" xfId="15213" xr:uid="{00000000-0005-0000-0000-00000B8E0000}"/>
    <cellStyle name="Normal 2 3 7 34 2 2" xfId="47077" xr:uid="{00000000-0005-0000-0000-00000C8E0000}"/>
    <cellStyle name="Normal 2 3 7 34 3" xfId="47078" xr:uid="{00000000-0005-0000-0000-00000D8E0000}"/>
    <cellStyle name="Normal 2 3 7 35" xfId="15214" xr:uid="{00000000-0005-0000-0000-00000E8E0000}"/>
    <cellStyle name="Normal 2 3 7 35 2" xfId="47079" xr:uid="{00000000-0005-0000-0000-00000F8E0000}"/>
    <cellStyle name="Normal 2 3 7 36" xfId="15215" xr:uid="{00000000-0005-0000-0000-0000108E0000}"/>
    <cellStyle name="Normal 2 3 7 36 2" xfId="47080" xr:uid="{00000000-0005-0000-0000-0000118E0000}"/>
    <cellStyle name="Normal 2 3 7 37" xfId="47081" xr:uid="{00000000-0005-0000-0000-0000128E0000}"/>
    <cellStyle name="Normal 2 3 7 37 2" xfId="47082" xr:uid="{00000000-0005-0000-0000-0000138E0000}"/>
    <cellStyle name="Normal 2 3 7 38" xfId="47083" xr:uid="{00000000-0005-0000-0000-0000148E0000}"/>
    <cellStyle name="Normal 2 3 7 39" xfId="47084" xr:uid="{00000000-0005-0000-0000-0000158E0000}"/>
    <cellStyle name="Normal 2 3 7 4" xfId="15216" xr:uid="{00000000-0005-0000-0000-0000168E0000}"/>
    <cellStyle name="Normal 2 3 7 4 10" xfId="47085" xr:uid="{00000000-0005-0000-0000-0000178E0000}"/>
    <cellStyle name="Normal 2 3 7 4 11" xfId="47086" xr:uid="{00000000-0005-0000-0000-0000188E0000}"/>
    <cellStyle name="Normal 2 3 7 4 2" xfId="15217" xr:uid="{00000000-0005-0000-0000-0000198E0000}"/>
    <cellStyle name="Normal 2 3 7 4 2 10" xfId="47087" xr:uid="{00000000-0005-0000-0000-00001A8E0000}"/>
    <cellStyle name="Normal 2 3 7 4 2 2" xfId="15218" xr:uid="{00000000-0005-0000-0000-00001B8E0000}"/>
    <cellStyle name="Normal 2 3 7 4 2 2 2" xfId="15219" xr:uid="{00000000-0005-0000-0000-00001C8E0000}"/>
    <cellStyle name="Normal 2 3 7 4 2 2 2 2" xfId="15220" xr:uid="{00000000-0005-0000-0000-00001D8E0000}"/>
    <cellStyle name="Normal 2 3 7 4 2 2 2 2 2" xfId="47088" xr:uid="{00000000-0005-0000-0000-00001E8E0000}"/>
    <cellStyle name="Normal 2 3 7 4 2 2 2 3" xfId="15221" xr:uid="{00000000-0005-0000-0000-00001F8E0000}"/>
    <cellStyle name="Normal 2 3 7 4 2 2 2 3 2" xfId="47089" xr:uid="{00000000-0005-0000-0000-0000208E0000}"/>
    <cellStyle name="Normal 2 3 7 4 2 2 2 4" xfId="47090" xr:uid="{00000000-0005-0000-0000-0000218E0000}"/>
    <cellStyle name="Normal 2 3 7 4 2 2 3" xfId="15222" xr:uid="{00000000-0005-0000-0000-0000228E0000}"/>
    <cellStyle name="Normal 2 3 7 4 2 2 3 2" xfId="47091" xr:uid="{00000000-0005-0000-0000-0000238E0000}"/>
    <cellStyle name="Normal 2 3 7 4 2 2 4" xfId="15223" xr:uid="{00000000-0005-0000-0000-0000248E0000}"/>
    <cellStyle name="Normal 2 3 7 4 2 2 4 2" xfId="47092" xr:uid="{00000000-0005-0000-0000-0000258E0000}"/>
    <cellStyle name="Normal 2 3 7 4 2 2 5" xfId="15224" xr:uid="{00000000-0005-0000-0000-0000268E0000}"/>
    <cellStyle name="Normal 2 3 7 4 2 2 5 2" xfId="47093" xr:uid="{00000000-0005-0000-0000-0000278E0000}"/>
    <cellStyle name="Normal 2 3 7 4 2 2 6" xfId="47094" xr:uid="{00000000-0005-0000-0000-0000288E0000}"/>
    <cellStyle name="Normal 2 3 7 4 2 2 6 2" xfId="47095" xr:uid="{00000000-0005-0000-0000-0000298E0000}"/>
    <cellStyle name="Normal 2 3 7 4 2 2 7" xfId="47096" xr:uid="{00000000-0005-0000-0000-00002A8E0000}"/>
    <cellStyle name="Normal 2 3 7 4 2 3" xfId="15225" xr:uid="{00000000-0005-0000-0000-00002B8E0000}"/>
    <cellStyle name="Normal 2 3 7 4 2 3 2" xfId="15226" xr:uid="{00000000-0005-0000-0000-00002C8E0000}"/>
    <cellStyle name="Normal 2 3 7 4 2 3 2 2" xfId="47097" xr:uid="{00000000-0005-0000-0000-00002D8E0000}"/>
    <cellStyle name="Normal 2 3 7 4 2 3 3" xfId="15227" xr:uid="{00000000-0005-0000-0000-00002E8E0000}"/>
    <cellStyle name="Normal 2 3 7 4 2 3 3 2" xfId="47098" xr:uid="{00000000-0005-0000-0000-00002F8E0000}"/>
    <cellStyle name="Normal 2 3 7 4 2 3 4" xfId="47099" xr:uid="{00000000-0005-0000-0000-0000308E0000}"/>
    <cellStyle name="Normal 2 3 7 4 2 4" xfId="15228" xr:uid="{00000000-0005-0000-0000-0000318E0000}"/>
    <cellStyle name="Normal 2 3 7 4 2 4 2" xfId="15229" xr:uid="{00000000-0005-0000-0000-0000328E0000}"/>
    <cellStyle name="Normal 2 3 7 4 2 4 2 2" xfId="47100" xr:uid="{00000000-0005-0000-0000-0000338E0000}"/>
    <cellStyle name="Normal 2 3 7 4 2 4 3" xfId="47101" xr:uid="{00000000-0005-0000-0000-0000348E0000}"/>
    <cellStyle name="Normal 2 3 7 4 2 5" xfId="15230" xr:uid="{00000000-0005-0000-0000-0000358E0000}"/>
    <cellStyle name="Normal 2 3 7 4 2 5 2" xfId="47102" xr:uid="{00000000-0005-0000-0000-0000368E0000}"/>
    <cellStyle name="Normal 2 3 7 4 2 6" xfId="15231" xr:uid="{00000000-0005-0000-0000-0000378E0000}"/>
    <cellStyle name="Normal 2 3 7 4 2 6 2" xfId="47103" xr:uid="{00000000-0005-0000-0000-0000388E0000}"/>
    <cellStyle name="Normal 2 3 7 4 2 7" xfId="47104" xr:uid="{00000000-0005-0000-0000-0000398E0000}"/>
    <cellStyle name="Normal 2 3 7 4 2 7 2" xfId="47105" xr:uid="{00000000-0005-0000-0000-00003A8E0000}"/>
    <cellStyle name="Normal 2 3 7 4 2 8" xfId="47106" xr:uid="{00000000-0005-0000-0000-00003B8E0000}"/>
    <cellStyle name="Normal 2 3 7 4 2 9" xfId="47107" xr:uid="{00000000-0005-0000-0000-00003C8E0000}"/>
    <cellStyle name="Normal 2 3 7 4 3" xfId="15232" xr:uid="{00000000-0005-0000-0000-00003D8E0000}"/>
    <cellStyle name="Normal 2 3 7 4 3 2" xfId="15233" xr:uid="{00000000-0005-0000-0000-00003E8E0000}"/>
    <cellStyle name="Normal 2 3 7 4 3 2 2" xfId="15234" xr:uid="{00000000-0005-0000-0000-00003F8E0000}"/>
    <cellStyle name="Normal 2 3 7 4 3 2 2 2" xfId="47108" xr:uid="{00000000-0005-0000-0000-0000408E0000}"/>
    <cellStyle name="Normal 2 3 7 4 3 2 3" xfId="15235" xr:uid="{00000000-0005-0000-0000-0000418E0000}"/>
    <cellStyle name="Normal 2 3 7 4 3 2 3 2" xfId="47109" xr:uid="{00000000-0005-0000-0000-0000428E0000}"/>
    <cellStyle name="Normal 2 3 7 4 3 2 4" xfId="47110" xr:uid="{00000000-0005-0000-0000-0000438E0000}"/>
    <cellStyle name="Normal 2 3 7 4 3 3" xfId="15236" xr:uid="{00000000-0005-0000-0000-0000448E0000}"/>
    <cellStyle name="Normal 2 3 7 4 3 3 2" xfId="47111" xr:uid="{00000000-0005-0000-0000-0000458E0000}"/>
    <cellStyle name="Normal 2 3 7 4 3 4" xfId="15237" xr:uid="{00000000-0005-0000-0000-0000468E0000}"/>
    <cellStyle name="Normal 2 3 7 4 3 4 2" xfId="47112" xr:uid="{00000000-0005-0000-0000-0000478E0000}"/>
    <cellStyle name="Normal 2 3 7 4 3 5" xfId="15238" xr:uid="{00000000-0005-0000-0000-0000488E0000}"/>
    <cellStyle name="Normal 2 3 7 4 3 5 2" xfId="47113" xr:uid="{00000000-0005-0000-0000-0000498E0000}"/>
    <cellStyle name="Normal 2 3 7 4 3 6" xfId="47114" xr:uid="{00000000-0005-0000-0000-00004A8E0000}"/>
    <cellStyle name="Normal 2 3 7 4 3 6 2" xfId="47115" xr:uid="{00000000-0005-0000-0000-00004B8E0000}"/>
    <cellStyle name="Normal 2 3 7 4 3 7" xfId="47116" xr:uid="{00000000-0005-0000-0000-00004C8E0000}"/>
    <cellStyle name="Normal 2 3 7 4 4" xfId="15239" xr:uid="{00000000-0005-0000-0000-00004D8E0000}"/>
    <cellStyle name="Normal 2 3 7 4 4 2" xfId="15240" xr:uid="{00000000-0005-0000-0000-00004E8E0000}"/>
    <cellStyle name="Normal 2 3 7 4 4 2 2" xfId="47117" xr:uid="{00000000-0005-0000-0000-00004F8E0000}"/>
    <cellStyle name="Normal 2 3 7 4 4 3" xfId="15241" xr:uid="{00000000-0005-0000-0000-0000508E0000}"/>
    <cellStyle name="Normal 2 3 7 4 4 3 2" xfId="47118" xr:uid="{00000000-0005-0000-0000-0000518E0000}"/>
    <cellStyle name="Normal 2 3 7 4 4 4" xfId="47119" xr:uid="{00000000-0005-0000-0000-0000528E0000}"/>
    <cellStyle name="Normal 2 3 7 4 5" xfId="15242" xr:uid="{00000000-0005-0000-0000-0000538E0000}"/>
    <cellStyle name="Normal 2 3 7 4 5 2" xfId="15243" xr:uid="{00000000-0005-0000-0000-0000548E0000}"/>
    <cellStyle name="Normal 2 3 7 4 5 2 2" xfId="47120" xr:uid="{00000000-0005-0000-0000-0000558E0000}"/>
    <cellStyle name="Normal 2 3 7 4 5 3" xfId="47121" xr:uid="{00000000-0005-0000-0000-0000568E0000}"/>
    <cellStyle name="Normal 2 3 7 4 6" xfId="15244" xr:uid="{00000000-0005-0000-0000-0000578E0000}"/>
    <cellStyle name="Normal 2 3 7 4 6 2" xfId="47122" xr:uid="{00000000-0005-0000-0000-0000588E0000}"/>
    <cellStyle name="Normal 2 3 7 4 7" xfId="15245" xr:uid="{00000000-0005-0000-0000-0000598E0000}"/>
    <cellStyle name="Normal 2 3 7 4 7 2" xfId="47123" xr:uid="{00000000-0005-0000-0000-00005A8E0000}"/>
    <cellStyle name="Normal 2 3 7 4 8" xfId="47124" xr:uid="{00000000-0005-0000-0000-00005B8E0000}"/>
    <cellStyle name="Normal 2 3 7 4 8 2" xfId="47125" xr:uid="{00000000-0005-0000-0000-00005C8E0000}"/>
    <cellStyle name="Normal 2 3 7 4 9" xfId="47126" xr:uid="{00000000-0005-0000-0000-00005D8E0000}"/>
    <cellStyle name="Normal 2 3 7 40" xfId="47127" xr:uid="{00000000-0005-0000-0000-00005E8E0000}"/>
    <cellStyle name="Normal 2 3 7 5" xfId="15246" xr:uid="{00000000-0005-0000-0000-00005F8E0000}"/>
    <cellStyle name="Normal 2 3 7 5 10" xfId="47128" xr:uid="{00000000-0005-0000-0000-0000608E0000}"/>
    <cellStyle name="Normal 2 3 7 5 11" xfId="47129" xr:uid="{00000000-0005-0000-0000-0000618E0000}"/>
    <cellStyle name="Normal 2 3 7 5 2" xfId="15247" xr:uid="{00000000-0005-0000-0000-0000628E0000}"/>
    <cellStyle name="Normal 2 3 7 5 2 10" xfId="47130" xr:uid="{00000000-0005-0000-0000-0000638E0000}"/>
    <cellStyle name="Normal 2 3 7 5 2 2" xfId="15248" xr:uid="{00000000-0005-0000-0000-0000648E0000}"/>
    <cellStyle name="Normal 2 3 7 5 2 2 2" xfId="15249" xr:uid="{00000000-0005-0000-0000-0000658E0000}"/>
    <cellStyle name="Normal 2 3 7 5 2 2 2 2" xfId="15250" xr:uid="{00000000-0005-0000-0000-0000668E0000}"/>
    <cellStyle name="Normal 2 3 7 5 2 2 2 2 2" xfId="47131" xr:uid="{00000000-0005-0000-0000-0000678E0000}"/>
    <cellStyle name="Normal 2 3 7 5 2 2 2 3" xfId="15251" xr:uid="{00000000-0005-0000-0000-0000688E0000}"/>
    <cellStyle name="Normal 2 3 7 5 2 2 2 3 2" xfId="47132" xr:uid="{00000000-0005-0000-0000-0000698E0000}"/>
    <cellStyle name="Normal 2 3 7 5 2 2 2 4" xfId="47133" xr:uid="{00000000-0005-0000-0000-00006A8E0000}"/>
    <cellStyle name="Normal 2 3 7 5 2 2 3" xfId="15252" xr:uid="{00000000-0005-0000-0000-00006B8E0000}"/>
    <cellStyle name="Normal 2 3 7 5 2 2 3 2" xfId="47134" xr:uid="{00000000-0005-0000-0000-00006C8E0000}"/>
    <cellStyle name="Normal 2 3 7 5 2 2 4" xfId="15253" xr:uid="{00000000-0005-0000-0000-00006D8E0000}"/>
    <cellStyle name="Normal 2 3 7 5 2 2 4 2" xfId="47135" xr:uid="{00000000-0005-0000-0000-00006E8E0000}"/>
    <cellStyle name="Normal 2 3 7 5 2 2 5" xfId="15254" xr:uid="{00000000-0005-0000-0000-00006F8E0000}"/>
    <cellStyle name="Normal 2 3 7 5 2 2 5 2" xfId="47136" xr:uid="{00000000-0005-0000-0000-0000708E0000}"/>
    <cellStyle name="Normal 2 3 7 5 2 2 6" xfId="47137" xr:uid="{00000000-0005-0000-0000-0000718E0000}"/>
    <cellStyle name="Normal 2 3 7 5 2 2 6 2" xfId="47138" xr:uid="{00000000-0005-0000-0000-0000728E0000}"/>
    <cellStyle name="Normal 2 3 7 5 2 2 7" xfId="47139" xr:uid="{00000000-0005-0000-0000-0000738E0000}"/>
    <cellStyle name="Normal 2 3 7 5 2 3" xfId="15255" xr:uid="{00000000-0005-0000-0000-0000748E0000}"/>
    <cellStyle name="Normal 2 3 7 5 2 3 2" xfId="15256" xr:uid="{00000000-0005-0000-0000-0000758E0000}"/>
    <cellStyle name="Normal 2 3 7 5 2 3 2 2" xfId="47140" xr:uid="{00000000-0005-0000-0000-0000768E0000}"/>
    <cellStyle name="Normal 2 3 7 5 2 3 3" xfId="15257" xr:uid="{00000000-0005-0000-0000-0000778E0000}"/>
    <cellStyle name="Normal 2 3 7 5 2 3 3 2" xfId="47141" xr:uid="{00000000-0005-0000-0000-0000788E0000}"/>
    <cellStyle name="Normal 2 3 7 5 2 3 4" xfId="47142" xr:uid="{00000000-0005-0000-0000-0000798E0000}"/>
    <cellStyle name="Normal 2 3 7 5 2 4" xfId="15258" xr:uid="{00000000-0005-0000-0000-00007A8E0000}"/>
    <cellStyle name="Normal 2 3 7 5 2 4 2" xfId="15259" xr:uid="{00000000-0005-0000-0000-00007B8E0000}"/>
    <cellStyle name="Normal 2 3 7 5 2 4 2 2" xfId="47143" xr:uid="{00000000-0005-0000-0000-00007C8E0000}"/>
    <cellStyle name="Normal 2 3 7 5 2 4 3" xfId="47144" xr:uid="{00000000-0005-0000-0000-00007D8E0000}"/>
    <cellStyle name="Normal 2 3 7 5 2 5" xfId="15260" xr:uid="{00000000-0005-0000-0000-00007E8E0000}"/>
    <cellStyle name="Normal 2 3 7 5 2 5 2" xfId="47145" xr:uid="{00000000-0005-0000-0000-00007F8E0000}"/>
    <cellStyle name="Normal 2 3 7 5 2 6" xfId="15261" xr:uid="{00000000-0005-0000-0000-0000808E0000}"/>
    <cellStyle name="Normal 2 3 7 5 2 6 2" xfId="47146" xr:uid="{00000000-0005-0000-0000-0000818E0000}"/>
    <cellStyle name="Normal 2 3 7 5 2 7" xfId="47147" xr:uid="{00000000-0005-0000-0000-0000828E0000}"/>
    <cellStyle name="Normal 2 3 7 5 2 7 2" xfId="47148" xr:uid="{00000000-0005-0000-0000-0000838E0000}"/>
    <cellStyle name="Normal 2 3 7 5 2 8" xfId="47149" xr:uid="{00000000-0005-0000-0000-0000848E0000}"/>
    <cellStyle name="Normal 2 3 7 5 2 9" xfId="47150" xr:uid="{00000000-0005-0000-0000-0000858E0000}"/>
    <cellStyle name="Normal 2 3 7 5 3" xfId="15262" xr:uid="{00000000-0005-0000-0000-0000868E0000}"/>
    <cellStyle name="Normal 2 3 7 5 3 2" xfId="15263" xr:uid="{00000000-0005-0000-0000-0000878E0000}"/>
    <cellStyle name="Normal 2 3 7 5 3 2 2" xfId="15264" xr:uid="{00000000-0005-0000-0000-0000888E0000}"/>
    <cellStyle name="Normal 2 3 7 5 3 2 2 2" xfId="47151" xr:uid="{00000000-0005-0000-0000-0000898E0000}"/>
    <cellStyle name="Normal 2 3 7 5 3 2 3" xfId="15265" xr:uid="{00000000-0005-0000-0000-00008A8E0000}"/>
    <cellStyle name="Normal 2 3 7 5 3 2 3 2" xfId="47152" xr:uid="{00000000-0005-0000-0000-00008B8E0000}"/>
    <cellStyle name="Normal 2 3 7 5 3 2 4" xfId="47153" xr:uid="{00000000-0005-0000-0000-00008C8E0000}"/>
    <cellStyle name="Normal 2 3 7 5 3 3" xfId="15266" xr:uid="{00000000-0005-0000-0000-00008D8E0000}"/>
    <cellStyle name="Normal 2 3 7 5 3 3 2" xfId="47154" xr:uid="{00000000-0005-0000-0000-00008E8E0000}"/>
    <cellStyle name="Normal 2 3 7 5 3 4" xfId="15267" xr:uid="{00000000-0005-0000-0000-00008F8E0000}"/>
    <cellStyle name="Normal 2 3 7 5 3 4 2" xfId="47155" xr:uid="{00000000-0005-0000-0000-0000908E0000}"/>
    <cellStyle name="Normal 2 3 7 5 3 5" xfId="15268" xr:uid="{00000000-0005-0000-0000-0000918E0000}"/>
    <cellStyle name="Normal 2 3 7 5 3 5 2" xfId="47156" xr:uid="{00000000-0005-0000-0000-0000928E0000}"/>
    <cellStyle name="Normal 2 3 7 5 3 6" xfId="47157" xr:uid="{00000000-0005-0000-0000-0000938E0000}"/>
    <cellStyle name="Normal 2 3 7 5 3 6 2" xfId="47158" xr:uid="{00000000-0005-0000-0000-0000948E0000}"/>
    <cellStyle name="Normal 2 3 7 5 3 7" xfId="47159" xr:uid="{00000000-0005-0000-0000-0000958E0000}"/>
    <cellStyle name="Normal 2 3 7 5 4" xfId="15269" xr:uid="{00000000-0005-0000-0000-0000968E0000}"/>
    <cellStyle name="Normal 2 3 7 5 4 2" xfId="15270" xr:uid="{00000000-0005-0000-0000-0000978E0000}"/>
    <cellStyle name="Normal 2 3 7 5 4 2 2" xfId="47160" xr:uid="{00000000-0005-0000-0000-0000988E0000}"/>
    <cellStyle name="Normal 2 3 7 5 4 3" xfId="15271" xr:uid="{00000000-0005-0000-0000-0000998E0000}"/>
    <cellStyle name="Normal 2 3 7 5 4 3 2" xfId="47161" xr:uid="{00000000-0005-0000-0000-00009A8E0000}"/>
    <cellStyle name="Normal 2 3 7 5 4 4" xfId="47162" xr:uid="{00000000-0005-0000-0000-00009B8E0000}"/>
    <cellStyle name="Normal 2 3 7 5 5" xfId="15272" xr:uid="{00000000-0005-0000-0000-00009C8E0000}"/>
    <cellStyle name="Normal 2 3 7 5 5 2" xfId="15273" xr:uid="{00000000-0005-0000-0000-00009D8E0000}"/>
    <cellStyle name="Normal 2 3 7 5 5 2 2" xfId="47163" xr:uid="{00000000-0005-0000-0000-00009E8E0000}"/>
    <cellStyle name="Normal 2 3 7 5 5 3" xfId="47164" xr:uid="{00000000-0005-0000-0000-00009F8E0000}"/>
    <cellStyle name="Normal 2 3 7 5 6" xfId="15274" xr:uid="{00000000-0005-0000-0000-0000A08E0000}"/>
    <cellStyle name="Normal 2 3 7 5 6 2" xfId="47165" xr:uid="{00000000-0005-0000-0000-0000A18E0000}"/>
    <cellStyle name="Normal 2 3 7 5 7" xfId="15275" xr:uid="{00000000-0005-0000-0000-0000A28E0000}"/>
    <cellStyle name="Normal 2 3 7 5 7 2" xfId="47166" xr:uid="{00000000-0005-0000-0000-0000A38E0000}"/>
    <cellStyle name="Normal 2 3 7 5 8" xfId="47167" xr:uid="{00000000-0005-0000-0000-0000A48E0000}"/>
    <cellStyle name="Normal 2 3 7 5 8 2" xfId="47168" xr:uid="{00000000-0005-0000-0000-0000A58E0000}"/>
    <cellStyle name="Normal 2 3 7 5 9" xfId="47169" xr:uid="{00000000-0005-0000-0000-0000A68E0000}"/>
    <cellStyle name="Normal 2 3 7 6" xfId="15276" xr:uid="{00000000-0005-0000-0000-0000A78E0000}"/>
    <cellStyle name="Normal 2 3 7 6 10" xfId="47170" xr:uid="{00000000-0005-0000-0000-0000A88E0000}"/>
    <cellStyle name="Normal 2 3 7 6 11" xfId="47171" xr:uid="{00000000-0005-0000-0000-0000A98E0000}"/>
    <cellStyle name="Normal 2 3 7 6 2" xfId="15277" xr:uid="{00000000-0005-0000-0000-0000AA8E0000}"/>
    <cellStyle name="Normal 2 3 7 6 2 10" xfId="47172" xr:uid="{00000000-0005-0000-0000-0000AB8E0000}"/>
    <cellStyle name="Normal 2 3 7 6 2 2" xfId="15278" xr:uid="{00000000-0005-0000-0000-0000AC8E0000}"/>
    <cellStyle name="Normal 2 3 7 6 2 2 2" xfId="15279" xr:uid="{00000000-0005-0000-0000-0000AD8E0000}"/>
    <cellStyle name="Normal 2 3 7 6 2 2 2 2" xfId="15280" xr:uid="{00000000-0005-0000-0000-0000AE8E0000}"/>
    <cellStyle name="Normal 2 3 7 6 2 2 2 2 2" xfId="47173" xr:uid="{00000000-0005-0000-0000-0000AF8E0000}"/>
    <cellStyle name="Normal 2 3 7 6 2 2 2 3" xfId="15281" xr:uid="{00000000-0005-0000-0000-0000B08E0000}"/>
    <cellStyle name="Normal 2 3 7 6 2 2 2 3 2" xfId="47174" xr:uid="{00000000-0005-0000-0000-0000B18E0000}"/>
    <cellStyle name="Normal 2 3 7 6 2 2 2 4" xfId="47175" xr:uid="{00000000-0005-0000-0000-0000B28E0000}"/>
    <cellStyle name="Normal 2 3 7 6 2 2 3" xfId="15282" xr:uid="{00000000-0005-0000-0000-0000B38E0000}"/>
    <cellStyle name="Normal 2 3 7 6 2 2 3 2" xfId="47176" xr:uid="{00000000-0005-0000-0000-0000B48E0000}"/>
    <cellStyle name="Normal 2 3 7 6 2 2 4" xfId="15283" xr:uid="{00000000-0005-0000-0000-0000B58E0000}"/>
    <cellStyle name="Normal 2 3 7 6 2 2 4 2" xfId="47177" xr:uid="{00000000-0005-0000-0000-0000B68E0000}"/>
    <cellStyle name="Normal 2 3 7 6 2 2 5" xfId="15284" xr:uid="{00000000-0005-0000-0000-0000B78E0000}"/>
    <cellStyle name="Normal 2 3 7 6 2 2 5 2" xfId="47178" xr:uid="{00000000-0005-0000-0000-0000B88E0000}"/>
    <cellStyle name="Normal 2 3 7 6 2 2 6" xfId="47179" xr:uid="{00000000-0005-0000-0000-0000B98E0000}"/>
    <cellStyle name="Normal 2 3 7 6 2 2 6 2" xfId="47180" xr:uid="{00000000-0005-0000-0000-0000BA8E0000}"/>
    <cellStyle name="Normal 2 3 7 6 2 2 7" xfId="47181" xr:uid="{00000000-0005-0000-0000-0000BB8E0000}"/>
    <cellStyle name="Normal 2 3 7 6 2 3" xfId="15285" xr:uid="{00000000-0005-0000-0000-0000BC8E0000}"/>
    <cellStyle name="Normal 2 3 7 6 2 3 2" xfId="15286" xr:uid="{00000000-0005-0000-0000-0000BD8E0000}"/>
    <cellStyle name="Normal 2 3 7 6 2 3 2 2" xfId="47182" xr:uid="{00000000-0005-0000-0000-0000BE8E0000}"/>
    <cellStyle name="Normal 2 3 7 6 2 3 3" xfId="15287" xr:uid="{00000000-0005-0000-0000-0000BF8E0000}"/>
    <cellStyle name="Normal 2 3 7 6 2 3 3 2" xfId="47183" xr:uid="{00000000-0005-0000-0000-0000C08E0000}"/>
    <cellStyle name="Normal 2 3 7 6 2 3 4" xfId="47184" xr:uid="{00000000-0005-0000-0000-0000C18E0000}"/>
    <cellStyle name="Normal 2 3 7 6 2 4" xfId="15288" xr:uid="{00000000-0005-0000-0000-0000C28E0000}"/>
    <cellStyle name="Normal 2 3 7 6 2 4 2" xfId="15289" xr:uid="{00000000-0005-0000-0000-0000C38E0000}"/>
    <cellStyle name="Normal 2 3 7 6 2 4 2 2" xfId="47185" xr:uid="{00000000-0005-0000-0000-0000C48E0000}"/>
    <cellStyle name="Normal 2 3 7 6 2 4 3" xfId="47186" xr:uid="{00000000-0005-0000-0000-0000C58E0000}"/>
    <cellStyle name="Normal 2 3 7 6 2 5" xfId="15290" xr:uid="{00000000-0005-0000-0000-0000C68E0000}"/>
    <cellStyle name="Normal 2 3 7 6 2 5 2" xfId="47187" xr:uid="{00000000-0005-0000-0000-0000C78E0000}"/>
    <cellStyle name="Normal 2 3 7 6 2 6" xfId="15291" xr:uid="{00000000-0005-0000-0000-0000C88E0000}"/>
    <cellStyle name="Normal 2 3 7 6 2 6 2" xfId="47188" xr:uid="{00000000-0005-0000-0000-0000C98E0000}"/>
    <cellStyle name="Normal 2 3 7 6 2 7" xfId="47189" xr:uid="{00000000-0005-0000-0000-0000CA8E0000}"/>
    <cellStyle name="Normal 2 3 7 6 2 7 2" xfId="47190" xr:uid="{00000000-0005-0000-0000-0000CB8E0000}"/>
    <cellStyle name="Normal 2 3 7 6 2 8" xfId="47191" xr:uid="{00000000-0005-0000-0000-0000CC8E0000}"/>
    <cellStyle name="Normal 2 3 7 6 2 9" xfId="47192" xr:uid="{00000000-0005-0000-0000-0000CD8E0000}"/>
    <cellStyle name="Normal 2 3 7 6 3" xfId="15292" xr:uid="{00000000-0005-0000-0000-0000CE8E0000}"/>
    <cellStyle name="Normal 2 3 7 6 3 2" xfId="15293" xr:uid="{00000000-0005-0000-0000-0000CF8E0000}"/>
    <cellStyle name="Normal 2 3 7 6 3 2 2" xfId="15294" xr:uid="{00000000-0005-0000-0000-0000D08E0000}"/>
    <cellStyle name="Normal 2 3 7 6 3 2 2 2" xfId="47193" xr:uid="{00000000-0005-0000-0000-0000D18E0000}"/>
    <cellStyle name="Normal 2 3 7 6 3 2 3" xfId="15295" xr:uid="{00000000-0005-0000-0000-0000D28E0000}"/>
    <cellStyle name="Normal 2 3 7 6 3 2 3 2" xfId="47194" xr:uid="{00000000-0005-0000-0000-0000D38E0000}"/>
    <cellStyle name="Normal 2 3 7 6 3 2 4" xfId="47195" xr:uid="{00000000-0005-0000-0000-0000D48E0000}"/>
    <cellStyle name="Normal 2 3 7 6 3 3" xfId="15296" xr:uid="{00000000-0005-0000-0000-0000D58E0000}"/>
    <cellStyle name="Normal 2 3 7 6 3 3 2" xfId="47196" xr:uid="{00000000-0005-0000-0000-0000D68E0000}"/>
    <cellStyle name="Normal 2 3 7 6 3 4" xfId="15297" xr:uid="{00000000-0005-0000-0000-0000D78E0000}"/>
    <cellStyle name="Normal 2 3 7 6 3 4 2" xfId="47197" xr:uid="{00000000-0005-0000-0000-0000D88E0000}"/>
    <cellStyle name="Normal 2 3 7 6 3 5" xfId="15298" xr:uid="{00000000-0005-0000-0000-0000D98E0000}"/>
    <cellStyle name="Normal 2 3 7 6 3 5 2" xfId="47198" xr:uid="{00000000-0005-0000-0000-0000DA8E0000}"/>
    <cellStyle name="Normal 2 3 7 6 3 6" xfId="47199" xr:uid="{00000000-0005-0000-0000-0000DB8E0000}"/>
    <cellStyle name="Normal 2 3 7 6 3 6 2" xfId="47200" xr:uid="{00000000-0005-0000-0000-0000DC8E0000}"/>
    <cellStyle name="Normal 2 3 7 6 3 7" xfId="47201" xr:uid="{00000000-0005-0000-0000-0000DD8E0000}"/>
    <cellStyle name="Normal 2 3 7 6 4" xfId="15299" xr:uid="{00000000-0005-0000-0000-0000DE8E0000}"/>
    <cellStyle name="Normal 2 3 7 6 4 2" xfId="15300" xr:uid="{00000000-0005-0000-0000-0000DF8E0000}"/>
    <cellStyle name="Normal 2 3 7 6 4 2 2" xfId="47202" xr:uid="{00000000-0005-0000-0000-0000E08E0000}"/>
    <cellStyle name="Normal 2 3 7 6 4 3" xfId="15301" xr:uid="{00000000-0005-0000-0000-0000E18E0000}"/>
    <cellStyle name="Normal 2 3 7 6 4 3 2" xfId="47203" xr:uid="{00000000-0005-0000-0000-0000E28E0000}"/>
    <cellStyle name="Normal 2 3 7 6 4 4" xfId="47204" xr:uid="{00000000-0005-0000-0000-0000E38E0000}"/>
    <cellStyle name="Normal 2 3 7 6 5" xfId="15302" xr:uid="{00000000-0005-0000-0000-0000E48E0000}"/>
    <cellStyle name="Normal 2 3 7 6 5 2" xfId="15303" xr:uid="{00000000-0005-0000-0000-0000E58E0000}"/>
    <cellStyle name="Normal 2 3 7 6 5 2 2" xfId="47205" xr:uid="{00000000-0005-0000-0000-0000E68E0000}"/>
    <cellStyle name="Normal 2 3 7 6 5 3" xfId="47206" xr:uid="{00000000-0005-0000-0000-0000E78E0000}"/>
    <cellStyle name="Normal 2 3 7 6 6" xfId="15304" xr:uid="{00000000-0005-0000-0000-0000E88E0000}"/>
    <cellStyle name="Normal 2 3 7 6 6 2" xfId="47207" xr:uid="{00000000-0005-0000-0000-0000E98E0000}"/>
    <cellStyle name="Normal 2 3 7 6 7" xfId="15305" xr:uid="{00000000-0005-0000-0000-0000EA8E0000}"/>
    <cellStyle name="Normal 2 3 7 6 7 2" xfId="47208" xr:uid="{00000000-0005-0000-0000-0000EB8E0000}"/>
    <cellStyle name="Normal 2 3 7 6 8" xfId="47209" xr:uid="{00000000-0005-0000-0000-0000EC8E0000}"/>
    <cellStyle name="Normal 2 3 7 6 8 2" xfId="47210" xr:uid="{00000000-0005-0000-0000-0000ED8E0000}"/>
    <cellStyle name="Normal 2 3 7 6 9" xfId="47211" xr:uid="{00000000-0005-0000-0000-0000EE8E0000}"/>
    <cellStyle name="Normal 2 3 7 7" xfId="15306" xr:uid="{00000000-0005-0000-0000-0000EF8E0000}"/>
    <cellStyle name="Normal 2 3 7 7 10" xfId="47212" xr:uid="{00000000-0005-0000-0000-0000F08E0000}"/>
    <cellStyle name="Normal 2 3 7 7 11" xfId="47213" xr:uid="{00000000-0005-0000-0000-0000F18E0000}"/>
    <cellStyle name="Normal 2 3 7 7 2" xfId="15307" xr:uid="{00000000-0005-0000-0000-0000F28E0000}"/>
    <cellStyle name="Normal 2 3 7 7 2 10" xfId="47214" xr:uid="{00000000-0005-0000-0000-0000F38E0000}"/>
    <cellStyle name="Normal 2 3 7 7 2 2" xfId="15308" xr:uid="{00000000-0005-0000-0000-0000F48E0000}"/>
    <cellStyle name="Normal 2 3 7 7 2 2 2" xfId="15309" xr:uid="{00000000-0005-0000-0000-0000F58E0000}"/>
    <cellStyle name="Normal 2 3 7 7 2 2 2 2" xfId="15310" xr:uid="{00000000-0005-0000-0000-0000F68E0000}"/>
    <cellStyle name="Normal 2 3 7 7 2 2 2 2 2" xfId="47215" xr:uid="{00000000-0005-0000-0000-0000F78E0000}"/>
    <cellStyle name="Normal 2 3 7 7 2 2 2 3" xfId="15311" xr:uid="{00000000-0005-0000-0000-0000F88E0000}"/>
    <cellStyle name="Normal 2 3 7 7 2 2 2 3 2" xfId="47216" xr:uid="{00000000-0005-0000-0000-0000F98E0000}"/>
    <cellStyle name="Normal 2 3 7 7 2 2 2 4" xfId="47217" xr:uid="{00000000-0005-0000-0000-0000FA8E0000}"/>
    <cellStyle name="Normal 2 3 7 7 2 2 3" xfId="15312" xr:uid="{00000000-0005-0000-0000-0000FB8E0000}"/>
    <cellStyle name="Normal 2 3 7 7 2 2 3 2" xfId="47218" xr:uid="{00000000-0005-0000-0000-0000FC8E0000}"/>
    <cellStyle name="Normal 2 3 7 7 2 2 4" xfId="15313" xr:uid="{00000000-0005-0000-0000-0000FD8E0000}"/>
    <cellStyle name="Normal 2 3 7 7 2 2 4 2" xfId="47219" xr:uid="{00000000-0005-0000-0000-0000FE8E0000}"/>
    <cellStyle name="Normal 2 3 7 7 2 2 5" xfId="15314" xr:uid="{00000000-0005-0000-0000-0000FF8E0000}"/>
    <cellStyle name="Normal 2 3 7 7 2 2 5 2" xfId="47220" xr:uid="{00000000-0005-0000-0000-0000008F0000}"/>
    <cellStyle name="Normal 2 3 7 7 2 2 6" xfId="47221" xr:uid="{00000000-0005-0000-0000-0000018F0000}"/>
    <cellStyle name="Normal 2 3 7 7 2 2 6 2" xfId="47222" xr:uid="{00000000-0005-0000-0000-0000028F0000}"/>
    <cellStyle name="Normal 2 3 7 7 2 2 7" xfId="47223" xr:uid="{00000000-0005-0000-0000-0000038F0000}"/>
    <cellStyle name="Normal 2 3 7 7 2 3" xfId="15315" xr:uid="{00000000-0005-0000-0000-0000048F0000}"/>
    <cellStyle name="Normal 2 3 7 7 2 3 2" xfId="15316" xr:uid="{00000000-0005-0000-0000-0000058F0000}"/>
    <cellStyle name="Normal 2 3 7 7 2 3 2 2" xfId="47224" xr:uid="{00000000-0005-0000-0000-0000068F0000}"/>
    <cellStyle name="Normal 2 3 7 7 2 3 3" xfId="15317" xr:uid="{00000000-0005-0000-0000-0000078F0000}"/>
    <cellStyle name="Normal 2 3 7 7 2 3 3 2" xfId="47225" xr:uid="{00000000-0005-0000-0000-0000088F0000}"/>
    <cellStyle name="Normal 2 3 7 7 2 3 4" xfId="47226" xr:uid="{00000000-0005-0000-0000-0000098F0000}"/>
    <cellStyle name="Normal 2 3 7 7 2 4" xfId="15318" xr:uid="{00000000-0005-0000-0000-00000A8F0000}"/>
    <cellStyle name="Normal 2 3 7 7 2 4 2" xfId="15319" xr:uid="{00000000-0005-0000-0000-00000B8F0000}"/>
    <cellStyle name="Normal 2 3 7 7 2 4 2 2" xfId="47227" xr:uid="{00000000-0005-0000-0000-00000C8F0000}"/>
    <cellStyle name="Normal 2 3 7 7 2 4 3" xfId="47228" xr:uid="{00000000-0005-0000-0000-00000D8F0000}"/>
    <cellStyle name="Normal 2 3 7 7 2 5" xfId="15320" xr:uid="{00000000-0005-0000-0000-00000E8F0000}"/>
    <cellStyle name="Normal 2 3 7 7 2 5 2" xfId="47229" xr:uid="{00000000-0005-0000-0000-00000F8F0000}"/>
    <cellStyle name="Normal 2 3 7 7 2 6" xfId="15321" xr:uid="{00000000-0005-0000-0000-0000108F0000}"/>
    <cellStyle name="Normal 2 3 7 7 2 6 2" xfId="47230" xr:uid="{00000000-0005-0000-0000-0000118F0000}"/>
    <cellStyle name="Normal 2 3 7 7 2 7" xfId="47231" xr:uid="{00000000-0005-0000-0000-0000128F0000}"/>
    <cellStyle name="Normal 2 3 7 7 2 7 2" xfId="47232" xr:uid="{00000000-0005-0000-0000-0000138F0000}"/>
    <cellStyle name="Normal 2 3 7 7 2 8" xfId="47233" xr:uid="{00000000-0005-0000-0000-0000148F0000}"/>
    <cellStyle name="Normal 2 3 7 7 2 9" xfId="47234" xr:uid="{00000000-0005-0000-0000-0000158F0000}"/>
    <cellStyle name="Normal 2 3 7 7 3" xfId="15322" xr:uid="{00000000-0005-0000-0000-0000168F0000}"/>
    <cellStyle name="Normal 2 3 7 7 3 2" xfId="15323" xr:uid="{00000000-0005-0000-0000-0000178F0000}"/>
    <cellStyle name="Normal 2 3 7 7 3 2 2" xfId="15324" xr:uid="{00000000-0005-0000-0000-0000188F0000}"/>
    <cellStyle name="Normal 2 3 7 7 3 2 2 2" xfId="47235" xr:uid="{00000000-0005-0000-0000-0000198F0000}"/>
    <cellStyle name="Normal 2 3 7 7 3 2 3" xfId="15325" xr:uid="{00000000-0005-0000-0000-00001A8F0000}"/>
    <cellStyle name="Normal 2 3 7 7 3 2 3 2" xfId="47236" xr:uid="{00000000-0005-0000-0000-00001B8F0000}"/>
    <cellStyle name="Normal 2 3 7 7 3 2 4" xfId="47237" xr:uid="{00000000-0005-0000-0000-00001C8F0000}"/>
    <cellStyle name="Normal 2 3 7 7 3 3" xfId="15326" xr:uid="{00000000-0005-0000-0000-00001D8F0000}"/>
    <cellStyle name="Normal 2 3 7 7 3 3 2" xfId="47238" xr:uid="{00000000-0005-0000-0000-00001E8F0000}"/>
    <cellStyle name="Normal 2 3 7 7 3 4" xfId="15327" xr:uid="{00000000-0005-0000-0000-00001F8F0000}"/>
    <cellStyle name="Normal 2 3 7 7 3 4 2" xfId="47239" xr:uid="{00000000-0005-0000-0000-0000208F0000}"/>
    <cellStyle name="Normal 2 3 7 7 3 5" xfId="15328" xr:uid="{00000000-0005-0000-0000-0000218F0000}"/>
    <cellStyle name="Normal 2 3 7 7 3 5 2" xfId="47240" xr:uid="{00000000-0005-0000-0000-0000228F0000}"/>
    <cellStyle name="Normal 2 3 7 7 3 6" xfId="47241" xr:uid="{00000000-0005-0000-0000-0000238F0000}"/>
    <cellStyle name="Normal 2 3 7 7 3 6 2" xfId="47242" xr:uid="{00000000-0005-0000-0000-0000248F0000}"/>
    <cellStyle name="Normal 2 3 7 7 3 7" xfId="47243" xr:uid="{00000000-0005-0000-0000-0000258F0000}"/>
    <cellStyle name="Normal 2 3 7 7 4" xfId="15329" xr:uid="{00000000-0005-0000-0000-0000268F0000}"/>
    <cellStyle name="Normal 2 3 7 7 4 2" xfId="15330" xr:uid="{00000000-0005-0000-0000-0000278F0000}"/>
    <cellStyle name="Normal 2 3 7 7 4 2 2" xfId="47244" xr:uid="{00000000-0005-0000-0000-0000288F0000}"/>
    <cellStyle name="Normal 2 3 7 7 4 3" xfId="15331" xr:uid="{00000000-0005-0000-0000-0000298F0000}"/>
    <cellStyle name="Normal 2 3 7 7 4 3 2" xfId="47245" xr:uid="{00000000-0005-0000-0000-00002A8F0000}"/>
    <cellStyle name="Normal 2 3 7 7 4 4" xfId="47246" xr:uid="{00000000-0005-0000-0000-00002B8F0000}"/>
    <cellStyle name="Normal 2 3 7 7 5" xfId="15332" xr:uid="{00000000-0005-0000-0000-00002C8F0000}"/>
    <cellStyle name="Normal 2 3 7 7 5 2" xfId="15333" xr:uid="{00000000-0005-0000-0000-00002D8F0000}"/>
    <cellStyle name="Normal 2 3 7 7 5 2 2" xfId="47247" xr:uid="{00000000-0005-0000-0000-00002E8F0000}"/>
    <cellStyle name="Normal 2 3 7 7 5 3" xfId="47248" xr:uid="{00000000-0005-0000-0000-00002F8F0000}"/>
    <cellStyle name="Normal 2 3 7 7 6" xfId="15334" xr:uid="{00000000-0005-0000-0000-0000308F0000}"/>
    <cellStyle name="Normal 2 3 7 7 6 2" xfId="47249" xr:uid="{00000000-0005-0000-0000-0000318F0000}"/>
    <cellStyle name="Normal 2 3 7 7 7" xfId="15335" xr:uid="{00000000-0005-0000-0000-0000328F0000}"/>
    <cellStyle name="Normal 2 3 7 7 7 2" xfId="47250" xr:uid="{00000000-0005-0000-0000-0000338F0000}"/>
    <cellStyle name="Normal 2 3 7 7 8" xfId="47251" xr:uid="{00000000-0005-0000-0000-0000348F0000}"/>
    <cellStyle name="Normal 2 3 7 7 8 2" xfId="47252" xr:uid="{00000000-0005-0000-0000-0000358F0000}"/>
    <cellStyle name="Normal 2 3 7 7 9" xfId="47253" xr:uid="{00000000-0005-0000-0000-0000368F0000}"/>
    <cellStyle name="Normal 2 3 7 8" xfId="15336" xr:uid="{00000000-0005-0000-0000-0000378F0000}"/>
    <cellStyle name="Normal 2 3 7 8 10" xfId="47254" xr:uid="{00000000-0005-0000-0000-0000388F0000}"/>
    <cellStyle name="Normal 2 3 7 8 11" xfId="47255" xr:uid="{00000000-0005-0000-0000-0000398F0000}"/>
    <cellStyle name="Normal 2 3 7 8 2" xfId="15337" xr:uid="{00000000-0005-0000-0000-00003A8F0000}"/>
    <cellStyle name="Normal 2 3 7 8 2 10" xfId="47256" xr:uid="{00000000-0005-0000-0000-00003B8F0000}"/>
    <cellStyle name="Normal 2 3 7 8 2 2" xfId="15338" xr:uid="{00000000-0005-0000-0000-00003C8F0000}"/>
    <cellStyle name="Normal 2 3 7 8 2 2 2" xfId="15339" xr:uid="{00000000-0005-0000-0000-00003D8F0000}"/>
    <cellStyle name="Normal 2 3 7 8 2 2 2 2" xfId="15340" xr:uid="{00000000-0005-0000-0000-00003E8F0000}"/>
    <cellStyle name="Normal 2 3 7 8 2 2 2 2 2" xfId="47257" xr:uid="{00000000-0005-0000-0000-00003F8F0000}"/>
    <cellStyle name="Normal 2 3 7 8 2 2 2 3" xfId="15341" xr:uid="{00000000-0005-0000-0000-0000408F0000}"/>
    <cellStyle name="Normal 2 3 7 8 2 2 2 3 2" xfId="47258" xr:uid="{00000000-0005-0000-0000-0000418F0000}"/>
    <cellStyle name="Normal 2 3 7 8 2 2 2 4" xfId="47259" xr:uid="{00000000-0005-0000-0000-0000428F0000}"/>
    <cellStyle name="Normal 2 3 7 8 2 2 3" xfId="15342" xr:uid="{00000000-0005-0000-0000-0000438F0000}"/>
    <cellStyle name="Normal 2 3 7 8 2 2 3 2" xfId="47260" xr:uid="{00000000-0005-0000-0000-0000448F0000}"/>
    <cellStyle name="Normal 2 3 7 8 2 2 4" xfId="15343" xr:uid="{00000000-0005-0000-0000-0000458F0000}"/>
    <cellStyle name="Normal 2 3 7 8 2 2 4 2" xfId="47261" xr:uid="{00000000-0005-0000-0000-0000468F0000}"/>
    <cellStyle name="Normal 2 3 7 8 2 2 5" xfId="15344" xr:uid="{00000000-0005-0000-0000-0000478F0000}"/>
    <cellStyle name="Normal 2 3 7 8 2 2 5 2" xfId="47262" xr:uid="{00000000-0005-0000-0000-0000488F0000}"/>
    <cellStyle name="Normal 2 3 7 8 2 2 6" xfId="47263" xr:uid="{00000000-0005-0000-0000-0000498F0000}"/>
    <cellStyle name="Normal 2 3 7 8 2 2 6 2" xfId="47264" xr:uid="{00000000-0005-0000-0000-00004A8F0000}"/>
    <cellStyle name="Normal 2 3 7 8 2 2 7" xfId="47265" xr:uid="{00000000-0005-0000-0000-00004B8F0000}"/>
    <cellStyle name="Normal 2 3 7 8 2 3" xfId="15345" xr:uid="{00000000-0005-0000-0000-00004C8F0000}"/>
    <cellStyle name="Normal 2 3 7 8 2 3 2" xfId="15346" xr:uid="{00000000-0005-0000-0000-00004D8F0000}"/>
    <cellStyle name="Normal 2 3 7 8 2 3 2 2" xfId="47266" xr:uid="{00000000-0005-0000-0000-00004E8F0000}"/>
    <cellStyle name="Normal 2 3 7 8 2 3 3" xfId="15347" xr:uid="{00000000-0005-0000-0000-00004F8F0000}"/>
    <cellStyle name="Normal 2 3 7 8 2 3 3 2" xfId="47267" xr:uid="{00000000-0005-0000-0000-0000508F0000}"/>
    <cellStyle name="Normal 2 3 7 8 2 3 4" xfId="47268" xr:uid="{00000000-0005-0000-0000-0000518F0000}"/>
    <cellStyle name="Normal 2 3 7 8 2 4" xfId="15348" xr:uid="{00000000-0005-0000-0000-0000528F0000}"/>
    <cellStyle name="Normal 2 3 7 8 2 4 2" xfId="15349" xr:uid="{00000000-0005-0000-0000-0000538F0000}"/>
    <cellStyle name="Normal 2 3 7 8 2 4 2 2" xfId="47269" xr:uid="{00000000-0005-0000-0000-0000548F0000}"/>
    <cellStyle name="Normal 2 3 7 8 2 4 3" xfId="47270" xr:uid="{00000000-0005-0000-0000-0000558F0000}"/>
    <cellStyle name="Normal 2 3 7 8 2 5" xfId="15350" xr:uid="{00000000-0005-0000-0000-0000568F0000}"/>
    <cellStyle name="Normal 2 3 7 8 2 5 2" xfId="47271" xr:uid="{00000000-0005-0000-0000-0000578F0000}"/>
    <cellStyle name="Normal 2 3 7 8 2 6" xfId="15351" xr:uid="{00000000-0005-0000-0000-0000588F0000}"/>
    <cellStyle name="Normal 2 3 7 8 2 6 2" xfId="47272" xr:uid="{00000000-0005-0000-0000-0000598F0000}"/>
    <cellStyle name="Normal 2 3 7 8 2 7" xfId="47273" xr:uid="{00000000-0005-0000-0000-00005A8F0000}"/>
    <cellStyle name="Normal 2 3 7 8 2 7 2" xfId="47274" xr:uid="{00000000-0005-0000-0000-00005B8F0000}"/>
    <cellStyle name="Normal 2 3 7 8 2 8" xfId="47275" xr:uid="{00000000-0005-0000-0000-00005C8F0000}"/>
    <cellStyle name="Normal 2 3 7 8 2 9" xfId="47276" xr:uid="{00000000-0005-0000-0000-00005D8F0000}"/>
    <cellStyle name="Normal 2 3 7 8 3" xfId="15352" xr:uid="{00000000-0005-0000-0000-00005E8F0000}"/>
    <cellStyle name="Normal 2 3 7 8 3 2" xfId="15353" xr:uid="{00000000-0005-0000-0000-00005F8F0000}"/>
    <cellStyle name="Normal 2 3 7 8 3 2 2" xfId="15354" xr:uid="{00000000-0005-0000-0000-0000608F0000}"/>
    <cellStyle name="Normal 2 3 7 8 3 2 2 2" xfId="47277" xr:uid="{00000000-0005-0000-0000-0000618F0000}"/>
    <cellStyle name="Normal 2 3 7 8 3 2 3" xfId="15355" xr:uid="{00000000-0005-0000-0000-0000628F0000}"/>
    <cellStyle name="Normal 2 3 7 8 3 2 3 2" xfId="47278" xr:uid="{00000000-0005-0000-0000-0000638F0000}"/>
    <cellStyle name="Normal 2 3 7 8 3 2 4" xfId="47279" xr:uid="{00000000-0005-0000-0000-0000648F0000}"/>
    <cellStyle name="Normal 2 3 7 8 3 3" xfId="15356" xr:uid="{00000000-0005-0000-0000-0000658F0000}"/>
    <cellStyle name="Normal 2 3 7 8 3 3 2" xfId="47280" xr:uid="{00000000-0005-0000-0000-0000668F0000}"/>
    <cellStyle name="Normal 2 3 7 8 3 4" xfId="15357" xr:uid="{00000000-0005-0000-0000-0000678F0000}"/>
    <cellStyle name="Normal 2 3 7 8 3 4 2" xfId="47281" xr:uid="{00000000-0005-0000-0000-0000688F0000}"/>
    <cellStyle name="Normal 2 3 7 8 3 5" xfId="15358" xr:uid="{00000000-0005-0000-0000-0000698F0000}"/>
    <cellStyle name="Normal 2 3 7 8 3 5 2" xfId="47282" xr:uid="{00000000-0005-0000-0000-00006A8F0000}"/>
    <cellStyle name="Normal 2 3 7 8 3 6" xfId="47283" xr:uid="{00000000-0005-0000-0000-00006B8F0000}"/>
    <cellStyle name="Normal 2 3 7 8 3 6 2" xfId="47284" xr:uid="{00000000-0005-0000-0000-00006C8F0000}"/>
    <cellStyle name="Normal 2 3 7 8 3 7" xfId="47285" xr:uid="{00000000-0005-0000-0000-00006D8F0000}"/>
    <cellStyle name="Normal 2 3 7 8 4" xfId="15359" xr:uid="{00000000-0005-0000-0000-00006E8F0000}"/>
    <cellStyle name="Normal 2 3 7 8 4 2" xfId="15360" xr:uid="{00000000-0005-0000-0000-00006F8F0000}"/>
    <cellStyle name="Normal 2 3 7 8 4 2 2" xfId="47286" xr:uid="{00000000-0005-0000-0000-0000708F0000}"/>
    <cellStyle name="Normal 2 3 7 8 4 3" xfId="15361" xr:uid="{00000000-0005-0000-0000-0000718F0000}"/>
    <cellStyle name="Normal 2 3 7 8 4 3 2" xfId="47287" xr:uid="{00000000-0005-0000-0000-0000728F0000}"/>
    <cellStyle name="Normal 2 3 7 8 4 4" xfId="47288" xr:uid="{00000000-0005-0000-0000-0000738F0000}"/>
    <cellStyle name="Normal 2 3 7 8 5" xfId="15362" xr:uid="{00000000-0005-0000-0000-0000748F0000}"/>
    <cellStyle name="Normal 2 3 7 8 5 2" xfId="15363" xr:uid="{00000000-0005-0000-0000-0000758F0000}"/>
    <cellStyle name="Normal 2 3 7 8 5 2 2" xfId="47289" xr:uid="{00000000-0005-0000-0000-0000768F0000}"/>
    <cellStyle name="Normal 2 3 7 8 5 3" xfId="47290" xr:uid="{00000000-0005-0000-0000-0000778F0000}"/>
    <cellStyle name="Normal 2 3 7 8 6" xfId="15364" xr:uid="{00000000-0005-0000-0000-0000788F0000}"/>
    <cellStyle name="Normal 2 3 7 8 6 2" xfId="47291" xr:uid="{00000000-0005-0000-0000-0000798F0000}"/>
    <cellStyle name="Normal 2 3 7 8 7" xfId="15365" xr:uid="{00000000-0005-0000-0000-00007A8F0000}"/>
    <cellStyle name="Normal 2 3 7 8 7 2" xfId="47292" xr:uid="{00000000-0005-0000-0000-00007B8F0000}"/>
    <cellStyle name="Normal 2 3 7 8 8" xfId="47293" xr:uid="{00000000-0005-0000-0000-00007C8F0000}"/>
    <cellStyle name="Normal 2 3 7 8 8 2" xfId="47294" xr:uid="{00000000-0005-0000-0000-00007D8F0000}"/>
    <cellStyle name="Normal 2 3 7 8 9" xfId="47295" xr:uid="{00000000-0005-0000-0000-00007E8F0000}"/>
    <cellStyle name="Normal 2 3 7 9" xfId="15366" xr:uid="{00000000-0005-0000-0000-00007F8F0000}"/>
    <cellStyle name="Normal 2 3 7 9 10" xfId="47296" xr:uid="{00000000-0005-0000-0000-0000808F0000}"/>
    <cellStyle name="Normal 2 3 7 9 11" xfId="47297" xr:uid="{00000000-0005-0000-0000-0000818F0000}"/>
    <cellStyle name="Normal 2 3 7 9 2" xfId="15367" xr:uid="{00000000-0005-0000-0000-0000828F0000}"/>
    <cellStyle name="Normal 2 3 7 9 2 10" xfId="47298" xr:uid="{00000000-0005-0000-0000-0000838F0000}"/>
    <cellStyle name="Normal 2 3 7 9 2 2" xfId="15368" xr:uid="{00000000-0005-0000-0000-0000848F0000}"/>
    <cellStyle name="Normal 2 3 7 9 2 2 2" xfId="15369" xr:uid="{00000000-0005-0000-0000-0000858F0000}"/>
    <cellStyle name="Normal 2 3 7 9 2 2 2 2" xfId="15370" xr:uid="{00000000-0005-0000-0000-0000868F0000}"/>
    <cellStyle name="Normal 2 3 7 9 2 2 2 2 2" xfId="47299" xr:uid="{00000000-0005-0000-0000-0000878F0000}"/>
    <cellStyle name="Normal 2 3 7 9 2 2 2 3" xfId="15371" xr:uid="{00000000-0005-0000-0000-0000888F0000}"/>
    <cellStyle name="Normal 2 3 7 9 2 2 2 3 2" xfId="47300" xr:uid="{00000000-0005-0000-0000-0000898F0000}"/>
    <cellStyle name="Normal 2 3 7 9 2 2 2 4" xfId="47301" xr:uid="{00000000-0005-0000-0000-00008A8F0000}"/>
    <cellStyle name="Normal 2 3 7 9 2 2 3" xfId="15372" xr:uid="{00000000-0005-0000-0000-00008B8F0000}"/>
    <cellStyle name="Normal 2 3 7 9 2 2 3 2" xfId="47302" xr:uid="{00000000-0005-0000-0000-00008C8F0000}"/>
    <cellStyle name="Normal 2 3 7 9 2 2 4" xfId="15373" xr:uid="{00000000-0005-0000-0000-00008D8F0000}"/>
    <cellStyle name="Normal 2 3 7 9 2 2 4 2" xfId="47303" xr:uid="{00000000-0005-0000-0000-00008E8F0000}"/>
    <cellStyle name="Normal 2 3 7 9 2 2 5" xfId="15374" xr:uid="{00000000-0005-0000-0000-00008F8F0000}"/>
    <cellStyle name="Normal 2 3 7 9 2 2 5 2" xfId="47304" xr:uid="{00000000-0005-0000-0000-0000908F0000}"/>
    <cellStyle name="Normal 2 3 7 9 2 2 6" xfId="47305" xr:uid="{00000000-0005-0000-0000-0000918F0000}"/>
    <cellStyle name="Normal 2 3 7 9 2 2 6 2" xfId="47306" xr:uid="{00000000-0005-0000-0000-0000928F0000}"/>
    <cellStyle name="Normal 2 3 7 9 2 2 7" xfId="47307" xr:uid="{00000000-0005-0000-0000-0000938F0000}"/>
    <cellStyle name="Normal 2 3 7 9 2 3" xfId="15375" xr:uid="{00000000-0005-0000-0000-0000948F0000}"/>
    <cellStyle name="Normal 2 3 7 9 2 3 2" xfId="15376" xr:uid="{00000000-0005-0000-0000-0000958F0000}"/>
    <cellStyle name="Normal 2 3 7 9 2 3 2 2" xfId="47308" xr:uid="{00000000-0005-0000-0000-0000968F0000}"/>
    <cellStyle name="Normal 2 3 7 9 2 3 3" xfId="15377" xr:uid="{00000000-0005-0000-0000-0000978F0000}"/>
    <cellStyle name="Normal 2 3 7 9 2 3 3 2" xfId="47309" xr:uid="{00000000-0005-0000-0000-0000988F0000}"/>
    <cellStyle name="Normal 2 3 7 9 2 3 4" xfId="47310" xr:uid="{00000000-0005-0000-0000-0000998F0000}"/>
    <cellStyle name="Normal 2 3 7 9 2 4" xfId="15378" xr:uid="{00000000-0005-0000-0000-00009A8F0000}"/>
    <cellStyle name="Normal 2 3 7 9 2 4 2" xfId="15379" xr:uid="{00000000-0005-0000-0000-00009B8F0000}"/>
    <cellStyle name="Normal 2 3 7 9 2 4 2 2" xfId="47311" xr:uid="{00000000-0005-0000-0000-00009C8F0000}"/>
    <cellStyle name="Normal 2 3 7 9 2 4 3" xfId="47312" xr:uid="{00000000-0005-0000-0000-00009D8F0000}"/>
    <cellStyle name="Normal 2 3 7 9 2 5" xfId="15380" xr:uid="{00000000-0005-0000-0000-00009E8F0000}"/>
    <cellStyle name="Normal 2 3 7 9 2 5 2" xfId="47313" xr:uid="{00000000-0005-0000-0000-00009F8F0000}"/>
    <cellStyle name="Normal 2 3 7 9 2 6" xfId="15381" xr:uid="{00000000-0005-0000-0000-0000A08F0000}"/>
    <cellStyle name="Normal 2 3 7 9 2 6 2" xfId="47314" xr:uid="{00000000-0005-0000-0000-0000A18F0000}"/>
    <cellStyle name="Normal 2 3 7 9 2 7" xfId="47315" xr:uid="{00000000-0005-0000-0000-0000A28F0000}"/>
    <cellStyle name="Normal 2 3 7 9 2 7 2" xfId="47316" xr:uid="{00000000-0005-0000-0000-0000A38F0000}"/>
    <cellStyle name="Normal 2 3 7 9 2 8" xfId="47317" xr:uid="{00000000-0005-0000-0000-0000A48F0000}"/>
    <cellStyle name="Normal 2 3 7 9 2 9" xfId="47318" xr:uid="{00000000-0005-0000-0000-0000A58F0000}"/>
    <cellStyle name="Normal 2 3 7 9 3" xfId="15382" xr:uid="{00000000-0005-0000-0000-0000A68F0000}"/>
    <cellStyle name="Normal 2 3 7 9 3 2" xfId="15383" xr:uid="{00000000-0005-0000-0000-0000A78F0000}"/>
    <cellStyle name="Normal 2 3 7 9 3 2 2" xfId="15384" xr:uid="{00000000-0005-0000-0000-0000A88F0000}"/>
    <cellStyle name="Normal 2 3 7 9 3 2 2 2" xfId="47319" xr:uid="{00000000-0005-0000-0000-0000A98F0000}"/>
    <cellStyle name="Normal 2 3 7 9 3 2 3" xfId="15385" xr:uid="{00000000-0005-0000-0000-0000AA8F0000}"/>
    <cellStyle name="Normal 2 3 7 9 3 2 3 2" xfId="47320" xr:uid="{00000000-0005-0000-0000-0000AB8F0000}"/>
    <cellStyle name="Normal 2 3 7 9 3 2 4" xfId="47321" xr:uid="{00000000-0005-0000-0000-0000AC8F0000}"/>
    <cellStyle name="Normal 2 3 7 9 3 3" xfId="15386" xr:uid="{00000000-0005-0000-0000-0000AD8F0000}"/>
    <cellStyle name="Normal 2 3 7 9 3 3 2" xfId="47322" xr:uid="{00000000-0005-0000-0000-0000AE8F0000}"/>
    <cellStyle name="Normal 2 3 7 9 3 4" xfId="15387" xr:uid="{00000000-0005-0000-0000-0000AF8F0000}"/>
    <cellStyle name="Normal 2 3 7 9 3 4 2" xfId="47323" xr:uid="{00000000-0005-0000-0000-0000B08F0000}"/>
    <cellStyle name="Normal 2 3 7 9 3 5" xfId="15388" xr:uid="{00000000-0005-0000-0000-0000B18F0000}"/>
    <cellStyle name="Normal 2 3 7 9 3 5 2" xfId="47324" xr:uid="{00000000-0005-0000-0000-0000B28F0000}"/>
    <cellStyle name="Normal 2 3 7 9 3 6" xfId="47325" xr:uid="{00000000-0005-0000-0000-0000B38F0000}"/>
    <cellStyle name="Normal 2 3 7 9 3 6 2" xfId="47326" xr:uid="{00000000-0005-0000-0000-0000B48F0000}"/>
    <cellStyle name="Normal 2 3 7 9 3 7" xfId="47327" xr:uid="{00000000-0005-0000-0000-0000B58F0000}"/>
    <cellStyle name="Normal 2 3 7 9 4" xfId="15389" xr:uid="{00000000-0005-0000-0000-0000B68F0000}"/>
    <cellStyle name="Normal 2 3 7 9 4 2" xfId="15390" xr:uid="{00000000-0005-0000-0000-0000B78F0000}"/>
    <cellStyle name="Normal 2 3 7 9 4 2 2" xfId="47328" xr:uid="{00000000-0005-0000-0000-0000B88F0000}"/>
    <cellStyle name="Normal 2 3 7 9 4 3" xfId="15391" xr:uid="{00000000-0005-0000-0000-0000B98F0000}"/>
    <cellStyle name="Normal 2 3 7 9 4 3 2" xfId="47329" xr:uid="{00000000-0005-0000-0000-0000BA8F0000}"/>
    <cellStyle name="Normal 2 3 7 9 4 4" xfId="47330" xr:uid="{00000000-0005-0000-0000-0000BB8F0000}"/>
    <cellStyle name="Normal 2 3 7 9 5" xfId="15392" xr:uid="{00000000-0005-0000-0000-0000BC8F0000}"/>
    <cellStyle name="Normal 2 3 7 9 5 2" xfId="15393" xr:uid="{00000000-0005-0000-0000-0000BD8F0000}"/>
    <cellStyle name="Normal 2 3 7 9 5 2 2" xfId="47331" xr:uid="{00000000-0005-0000-0000-0000BE8F0000}"/>
    <cellStyle name="Normal 2 3 7 9 5 3" xfId="47332" xr:uid="{00000000-0005-0000-0000-0000BF8F0000}"/>
    <cellStyle name="Normal 2 3 7 9 6" xfId="15394" xr:uid="{00000000-0005-0000-0000-0000C08F0000}"/>
    <cellStyle name="Normal 2 3 7 9 6 2" xfId="47333" xr:uid="{00000000-0005-0000-0000-0000C18F0000}"/>
    <cellStyle name="Normal 2 3 7 9 7" xfId="15395" xr:uid="{00000000-0005-0000-0000-0000C28F0000}"/>
    <cellStyle name="Normal 2 3 7 9 7 2" xfId="47334" xr:uid="{00000000-0005-0000-0000-0000C38F0000}"/>
    <cellStyle name="Normal 2 3 7 9 8" xfId="47335" xr:uid="{00000000-0005-0000-0000-0000C48F0000}"/>
    <cellStyle name="Normal 2 3 7 9 8 2" xfId="47336" xr:uid="{00000000-0005-0000-0000-0000C58F0000}"/>
    <cellStyle name="Normal 2 3 7 9 9" xfId="47337" xr:uid="{00000000-0005-0000-0000-0000C68F0000}"/>
    <cellStyle name="Normal 2 3 8" xfId="15396" xr:uid="{00000000-0005-0000-0000-0000C78F0000}"/>
    <cellStyle name="Normal 2 3 8 10" xfId="15397" xr:uid="{00000000-0005-0000-0000-0000C88F0000}"/>
    <cellStyle name="Normal 2 3 8 10 10" xfId="47338" xr:uid="{00000000-0005-0000-0000-0000C98F0000}"/>
    <cellStyle name="Normal 2 3 8 10 11" xfId="47339" xr:uid="{00000000-0005-0000-0000-0000CA8F0000}"/>
    <cellStyle name="Normal 2 3 8 10 2" xfId="15398" xr:uid="{00000000-0005-0000-0000-0000CB8F0000}"/>
    <cellStyle name="Normal 2 3 8 10 2 10" xfId="47340" xr:uid="{00000000-0005-0000-0000-0000CC8F0000}"/>
    <cellStyle name="Normal 2 3 8 10 2 2" xfId="15399" xr:uid="{00000000-0005-0000-0000-0000CD8F0000}"/>
    <cellStyle name="Normal 2 3 8 10 2 2 2" xfId="15400" xr:uid="{00000000-0005-0000-0000-0000CE8F0000}"/>
    <cellStyle name="Normal 2 3 8 10 2 2 2 2" xfId="15401" xr:uid="{00000000-0005-0000-0000-0000CF8F0000}"/>
    <cellStyle name="Normal 2 3 8 10 2 2 2 2 2" xfId="47341" xr:uid="{00000000-0005-0000-0000-0000D08F0000}"/>
    <cellStyle name="Normal 2 3 8 10 2 2 2 3" xfId="15402" xr:uid="{00000000-0005-0000-0000-0000D18F0000}"/>
    <cellStyle name="Normal 2 3 8 10 2 2 2 3 2" xfId="47342" xr:uid="{00000000-0005-0000-0000-0000D28F0000}"/>
    <cellStyle name="Normal 2 3 8 10 2 2 2 4" xfId="47343" xr:uid="{00000000-0005-0000-0000-0000D38F0000}"/>
    <cellStyle name="Normal 2 3 8 10 2 2 3" xfId="15403" xr:uid="{00000000-0005-0000-0000-0000D48F0000}"/>
    <cellStyle name="Normal 2 3 8 10 2 2 3 2" xfId="47344" xr:uid="{00000000-0005-0000-0000-0000D58F0000}"/>
    <cellStyle name="Normal 2 3 8 10 2 2 4" xfId="15404" xr:uid="{00000000-0005-0000-0000-0000D68F0000}"/>
    <cellStyle name="Normal 2 3 8 10 2 2 4 2" xfId="47345" xr:uid="{00000000-0005-0000-0000-0000D78F0000}"/>
    <cellStyle name="Normal 2 3 8 10 2 2 5" xfId="15405" xr:uid="{00000000-0005-0000-0000-0000D88F0000}"/>
    <cellStyle name="Normal 2 3 8 10 2 2 5 2" xfId="47346" xr:uid="{00000000-0005-0000-0000-0000D98F0000}"/>
    <cellStyle name="Normal 2 3 8 10 2 2 6" xfId="47347" xr:uid="{00000000-0005-0000-0000-0000DA8F0000}"/>
    <cellStyle name="Normal 2 3 8 10 2 2 6 2" xfId="47348" xr:uid="{00000000-0005-0000-0000-0000DB8F0000}"/>
    <cellStyle name="Normal 2 3 8 10 2 2 7" xfId="47349" xr:uid="{00000000-0005-0000-0000-0000DC8F0000}"/>
    <cellStyle name="Normal 2 3 8 10 2 3" xfId="15406" xr:uid="{00000000-0005-0000-0000-0000DD8F0000}"/>
    <cellStyle name="Normal 2 3 8 10 2 3 2" xfId="15407" xr:uid="{00000000-0005-0000-0000-0000DE8F0000}"/>
    <cellStyle name="Normal 2 3 8 10 2 3 2 2" xfId="47350" xr:uid="{00000000-0005-0000-0000-0000DF8F0000}"/>
    <cellStyle name="Normal 2 3 8 10 2 3 3" xfId="15408" xr:uid="{00000000-0005-0000-0000-0000E08F0000}"/>
    <cellStyle name="Normal 2 3 8 10 2 3 3 2" xfId="47351" xr:uid="{00000000-0005-0000-0000-0000E18F0000}"/>
    <cellStyle name="Normal 2 3 8 10 2 3 4" xfId="47352" xr:uid="{00000000-0005-0000-0000-0000E28F0000}"/>
    <cellStyle name="Normal 2 3 8 10 2 4" xfId="15409" xr:uid="{00000000-0005-0000-0000-0000E38F0000}"/>
    <cellStyle name="Normal 2 3 8 10 2 4 2" xfId="15410" xr:uid="{00000000-0005-0000-0000-0000E48F0000}"/>
    <cellStyle name="Normal 2 3 8 10 2 4 2 2" xfId="47353" xr:uid="{00000000-0005-0000-0000-0000E58F0000}"/>
    <cellStyle name="Normal 2 3 8 10 2 4 3" xfId="47354" xr:uid="{00000000-0005-0000-0000-0000E68F0000}"/>
    <cellStyle name="Normal 2 3 8 10 2 5" xfId="15411" xr:uid="{00000000-0005-0000-0000-0000E78F0000}"/>
    <cellStyle name="Normal 2 3 8 10 2 5 2" xfId="47355" xr:uid="{00000000-0005-0000-0000-0000E88F0000}"/>
    <cellStyle name="Normal 2 3 8 10 2 6" xfId="15412" xr:uid="{00000000-0005-0000-0000-0000E98F0000}"/>
    <cellStyle name="Normal 2 3 8 10 2 6 2" xfId="47356" xr:uid="{00000000-0005-0000-0000-0000EA8F0000}"/>
    <cellStyle name="Normal 2 3 8 10 2 7" xfId="47357" xr:uid="{00000000-0005-0000-0000-0000EB8F0000}"/>
    <cellStyle name="Normal 2 3 8 10 2 7 2" xfId="47358" xr:uid="{00000000-0005-0000-0000-0000EC8F0000}"/>
    <cellStyle name="Normal 2 3 8 10 2 8" xfId="47359" xr:uid="{00000000-0005-0000-0000-0000ED8F0000}"/>
    <cellStyle name="Normal 2 3 8 10 2 9" xfId="47360" xr:uid="{00000000-0005-0000-0000-0000EE8F0000}"/>
    <cellStyle name="Normal 2 3 8 10 3" xfId="15413" xr:uid="{00000000-0005-0000-0000-0000EF8F0000}"/>
    <cellStyle name="Normal 2 3 8 10 3 2" xfId="15414" xr:uid="{00000000-0005-0000-0000-0000F08F0000}"/>
    <cellStyle name="Normal 2 3 8 10 3 2 2" xfId="15415" xr:uid="{00000000-0005-0000-0000-0000F18F0000}"/>
    <cellStyle name="Normal 2 3 8 10 3 2 2 2" xfId="47361" xr:uid="{00000000-0005-0000-0000-0000F28F0000}"/>
    <cellStyle name="Normal 2 3 8 10 3 2 3" xfId="15416" xr:uid="{00000000-0005-0000-0000-0000F38F0000}"/>
    <cellStyle name="Normal 2 3 8 10 3 2 3 2" xfId="47362" xr:uid="{00000000-0005-0000-0000-0000F48F0000}"/>
    <cellStyle name="Normal 2 3 8 10 3 2 4" xfId="47363" xr:uid="{00000000-0005-0000-0000-0000F58F0000}"/>
    <cellStyle name="Normal 2 3 8 10 3 3" xfId="15417" xr:uid="{00000000-0005-0000-0000-0000F68F0000}"/>
    <cellStyle name="Normal 2 3 8 10 3 3 2" xfId="47364" xr:uid="{00000000-0005-0000-0000-0000F78F0000}"/>
    <cellStyle name="Normal 2 3 8 10 3 4" xfId="15418" xr:uid="{00000000-0005-0000-0000-0000F88F0000}"/>
    <cellStyle name="Normal 2 3 8 10 3 4 2" xfId="47365" xr:uid="{00000000-0005-0000-0000-0000F98F0000}"/>
    <cellStyle name="Normal 2 3 8 10 3 5" xfId="15419" xr:uid="{00000000-0005-0000-0000-0000FA8F0000}"/>
    <cellStyle name="Normal 2 3 8 10 3 5 2" xfId="47366" xr:uid="{00000000-0005-0000-0000-0000FB8F0000}"/>
    <cellStyle name="Normal 2 3 8 10 3 6" xfId="47367" xr:uid="{00000000-0005-0000-0000-0000FC8F0000}"/>
    <cellStyle name="Normal 2 3 8 10 3 6 2" xfId="47368" xr:uid="{00000000-0005-0000-0000-0000FD8F0000}"/>
    <cellStyle name="Normal 2 3 8 10 3 7" xfId="47369" xr:uid="{00000000-0005-0000-0000-0000FE8F0000}"/>
    <cellStyle name="Normal 2 3 8 10 4" xfId="15420" xr:uid="{00000000-0005-0000-0000-0000FF8F0000}"/>
    <cellStyle name="Normal 2 3 8 10 4 2" xfId="15421" xr:uid="{00000000-0005-0000-0000-000000900000}"/>
    <cellStyle name="Normal 2 3 8 10 4 2 2" xfId="47370" xr:uid="{00000000-0005-0000-0000-000001900000}"/>
    <cellStyle name="Normal 2 3 8 10 4 3" xfId="15422" xr:uid="{00000000-0005-0000-0000-000002900000}"/>
    <cellStyle name="Normal 2 3 8 10 4 3 2" xfId="47371" xr:uid="{00000000-0005-0000-0000-000003900000}"/>
    <cellStyle name="Normal 2 3 8 10 4 4" xfId="47372" xr:uid="{00000000-0005-0000-0000-000004900000}"/>
    <cellStyle name="Normal 2 3 8 10 5" xfId="15423" xr:uid="{00000000-0005-0000-0000-000005900000}"/>
    <cellStyle name="Normal 2 3 8 10 5 2" xfId="15424" xr:uid="{00000000-0005-0000-0000-000006900000}"/>
    <cellStyle name="Normal 2 3 8 10 5 2 2" xfId="47373" xr:uid="{00000000-0005-0000-0000-000007900000}"/>
    <cellStyle name="Normal 2 3 8 10 5 3" xfId="47374" xr:uid="{00000000-0005-0000-0000-000008900000}"/>
    <cellStyle name="Normal 2 3 8 10 6" xfId="15425" xr:uid="{00000000-0005-0000-0000-000009900000}"/>
    <cellStyle name="Normal 2 3 8 10 6 2" xfId="47375" xr:uid="{00000000-0005-0000-0000-00000A900000}"/>
    <cellStyle name="Normal 2 3 8 10 7" xfId="15426" xr:uid="{00000000-0005-0000-0000-00000B900000}"/>
    <cellStyle name="Normal 2 3 8 10 7 2" xfId="47376" xr:uid="{00000000-0005-0000-0000-00000C900000}"/>
    <cellStyle name="Normal 2 3 8 10 8" xfId="47377" xr:uid="{00000000-0005-0000-0000-00000D900000}"/>
    <cellStyle name="Normal 2 3 8 10 8 2" xfId="47378" xr:uid="{00000000-0005-0000-0000-00000E900000}"/>
    <cellStyle name="Normal 2 3 8 10 9" xfId="47379" xr:uid="{00000000-0005-0000-0000-00000F900000}"/>
    <cellStyle name="Normal 2 3 8 11" xfId="15427" xr:uid="{00000000-0005-0000-0000-000010900000}"/>
    <cellStyle name="Normal 2 3 8 11 10" xfId="47380" xr:uid="{00000000-0005-0000-0000-000011900000}"/>
    <cellStyle name="Normal 2 3 8 11 11" xfId="47381" xr:uid="{00000000-0005-0000-0000-000012900000}"/>
    <cellStyle name="Normal 2 3 8 11 2" xfId="15428" xr:uid="{00000000-0005-0000-0000-000013900000}"/>
    <cellStyle name="Normal 2 3 8 11 2 10" xfId="47382" xr:uid="{00000000-0005-0000-0000-000014900000}"/>
    <cellStyle name="Normal 2 3 8 11 2 2" xfId="15429" xr:uid="{00000000-0005-0000-0000-000015900000}"/>
    <cellStyle name="Normal 2 3 8 11 2 2 2" xfId="15430" xr:uid="{00000000-0005-0000-0000-000016900000}"/>
    <cellStyle name="Normal 2 3 8 11 2 2 2 2" xfId="15431" xr:uid="{00000000-0005-0000-0000-000017900000}"/>
    <cellStyle name="Normal 2 3 8 11 2 2 2 2 2" xfId="47383" xr:uid="{00000000-0005-0000-0000-000018900000}"/>
    <cellStyle name="Normal 2 3 8 11 2 2 2 3" xfId="15432" xr:uid="{00000000-0005-0000-0000-000019900000}"/>
    <cellStyle name="Normal 2 3 8 11 2 2 2 3 2" xfId="47384" xr:uid="{00000000-0005-0000-0000-00001A900000}"/>
    <cellStyle name="Normal 2 3 8 11 2 2 2 4" xfId="47385" xr:uid="{00000000-0005-0000-0000-00001B900000}"/>
    <cellStyle name="Normal 2 3 8 11 2 2 3" xfId="15433" xr:uid="{00000000-0005-0000-0000-00001C900000}"/>
    <cellStyle name="Normal 2 3 8 11 2 2 3 2" xfId="47386" xr:uid="{00000000-0005-0000-0000-00001D900000}"/>
    <cellStyle name="Normal 2 3 8 11 2 2 4" xfId="15434" xr:uid="{00000000-0005-0000-0000-00001E900000}"/>
    <cellStyle name="Normal 2 3 8 11 2 2 4 2" xfId="47387" xr:uid="{00000000-0005-0000-0000-00001F900000}"/>
    <cellStyle name="Normal 2 3 8 11 2 2 5" xfId="15435" xr:uid="{00000000-0005-0000-0000-000020900000}"/>
    <cellStyle name="Normal 2 3 8 11 2 2 5 2" xfId="47388" xr:uid="{00000000-0005-0000-0000-000021900000}"/>
    <cellStyle name="Normal 2 3 8 11 2 2 6" xfId="47389" xr:uid="{00000000-0005-0000-0000-000022900000}"/>
    <cellStyle name="Normal 2 3 8 11 2 2 6 2" xfId="47390" xr:uid="{00000000-0005-0000-0000-000023900000}"/>
    <cellStyle name="Normal 2 3 8 11 2 2 7" xfId="47391" xr:uid="{00000000-0005-0000-0000-000024900000}"/>
    <cellStyle name="Normal 2 3 8 11 2 3" xfId="15436" xr:uid="{00000000-0005-0000-0000-000025900000}"/>
    <cellStyle name="Normal 2 3 8 11 2 3 2" xfId="15437" xr:uid="{00000000-0005-0000-0000-000026900000}"/>
    <cellStyle name="Normal 2 3 8 11 2 3 2 2" xfId="47392" xr:uid="{00000000-0005-0000-0000-000027900000}"/>
    <cellStyle name="Normal 2 3 8 11 2 3 3" xfId="15438" xr:uid="{00000000-0005-0000-0000-000028900000}"/>
    <cellStyle name="Normal 2 3 8 11 2 3 3 2" xfId="47393" xr:uid="{00000000-0005-0000-0000-000029900000}"/>
    <cellStyle name="Normal 2 3 8 11 2 3 4" xfId="47394" xr:uid="{00000000-0005-0000-0000-00002A900000}"/>
    <cellStyle name="Normal 2 3 8 11 2 4" xfId="15439" xr:uid="{00000000-0005-0000-0000-00002B900000}"/>
    <cellStyle name="Normal 2 3 8 11 2 4 2" xfId="15440" xr:uid="{00000000-0005-0000-0000-00002C900000}"/>
    <cellStyle name="Normal 2 3 8 11 2 4 2 2" xfId="47395" xr:uid="{00000000-0005-0000-0000-00002D900000}"/>
    <cellStyle name="Normal 2 3 8 11 2 4 3" xfId="47396" xr:uid="{00000000-0005-0000-0000-00002E900000}"/>
    <cellStyle name="Normal 2 3 8 11 2 5" xfId="15441" xr:uid="{00000000-0005-0000-0000-00002F900000}"/>
    <cellStyle name="Normal 2 3 8 11 2 5 2" xfId="47397" xr:uid="{00000000-0005-0000-0000-000030900000}"/>
    <cellStyle name="Normal 2 3 8 11 2 6" xfId="15442" xr:uid="{00000000-0005-0000-0000-000031900000}"/>
    <cellStyle name="Normal 2 3 8 11 2 6 2" xfId="47398" xr:uid="{00000000-0005-0000-0000-000032900000}"/>
    <cellStyle name="Normal 2 3 8 11 2 7" xfId="47399" xr:uid="{00000000-0005-0000-0000-000033900000}"/>
    <cellStyle name="Normal 2 3 8 11 2 7 2" xfId="47400" xr:uid="{00000000-0005-0000-0000-000034900000}"/>
    <cellStyle name="Normal 2 3 8 11 2 8" xfId="47401" xr:uid="{00000000-0005-0000-0000-000035900000}"/>
    <cellStyle name="Normal 2 3 8 11 2 9" xfId="47402" xr:uid="{00000000-0005-0000-0000-000036900000}"/>
    <cellStyle name="Normal 2 3 8 11 3" xfId="15443" xr:uid="{00000000-0005-0000-0000-000037900000}"/>
    <cellStyle name="Normal 2 3 8 11 3 2" xfId="15444" xr:uid="{00000000-0005-0000-0000-000038900000}"/>
    <cellStyle name="Normal 2 3 8 11 3 2 2" xfId="15445" xr:uid="{00000000-0005-0000-0000-000039900000}"/>
    <cellStyle name="Normal 2 3 8 11 3 2 2 2" xfId="47403" xr:uid="{00000000-0005-0000-0000-00003A900000}"/>
    <cellStyle name="Normal 2 3 8 11 3 2 3" xfId="15446" xr:uid="{00000000-0005-0000-0000-00003B900000}"/>
    <cellStyle name="Normal 2 3 8 11 3 2 3 2" xfId="47404" xr:uid="{00000000-0005-0000-0000-00003C900000}"/>
    <cellStyle name="Normal 2 3 8 11 3 2 4" xfId="47405" xr:uid="{00000000-0005-0000-0000-00003D900000}"/>
    <cellStyle name="Normal 2 3 8 11 3 3" xfId="15447" xr:uid="{00000000-0005-0000-0000-00003E900000}"/>
    <cellStyle name="Normal 2 3 8 11 3 3 2" xfId="47406" xr:uid="{00000000-0005-0000-0000-00003F900000}"/>
    <cellStyle name="Normal 2 3 8 11 3 4" xfId="15448" xr:uid="{00000000-0005-0000-0000-000040900000}"/>
    <cellStyle name="Normal 2 3 8 11 3 4 2" xfId="47407" xr:uid="{00000000-0005-0000-0000-000041900000}"/>
    <cellStyle name="Normal 2 3 8 11 3 5" xfId="15449" xr:uid="{00000000-0005-0000-0000-000042900000}"/>
    <cellStyle name="Normal 2 3 8 11 3 5 2" xfId="47408" xr:uid="{00000000-0005-0000-0000-000043900000}"/>
    <cellStyle name="Normal 2 3 8 11 3 6" xfId="47409" xr:uid="{00000000-0005-0000-0000-000044900000}"/>
    <cellStyle name="Normal 2 3 8 11 3 6 2" xfId="47410" xr:uid="{00000000-0005-0000-0000-000045900000}"/>
    <cellStyle name="Normal 2 3 8 11 3 7" xfId="47411" xr:uid="{00000000-0005-0000-0000-000046900000}"/>
    <cellStyle name="Normal 2 3 8 11 4" xfId="15450" xr:uid="{00000000-0005-0000-0000-000047900000}"/>
    <cellStyle name="Normal 2 3 8 11 4 2" xfId="15451" xr:uid="{00000000-0005-0000-0000-000048900000}"/>
    <cellStyle name="Normal 2 3 8 11 4 2 2" xfId="47412" xr:uid="{00000000-0005-0000-0000-000049900000}"/>
    <cellStyle name="Normal 2 3 8 11 4 3" xfId="15452" xr:uid="{00000000-0005-0000-0000-00004A900000}"/>
    <cellStyle name="Normal 2 3 8 11 4 3 2" xfId="47413" xr:uid="{00000000-0005-0000-0000-00004B900000}"/>
    <cellStyle name="Normal 2 3 8 11 4 4" xfId="47414" xr:uid="{00000000-0005-0000-0000-00004C900000}"/>
    <cellStyle name="Normal 2 3 8 11 5" xfId="15453" xr:uid="{00000000-0005-0000-0000-00004D900000}"/>
    <cellStyle name="Normal 2 3 8 11 5 2" xfId="15454" xr:uid="{00000000-0005-0000-0000-00004E900000}"/>
    <cellStyle name="Normal 2 3 8 11 5 2 2" xfId="47415" xr:uid="{00000000-0005-0000-0000-00004F900000}"/>
    <cellStyle name="Normal 2 3 8 11 5 3" xfId="47416" xr:uid="{00000000-0005-0000-0000-000050900000}"/>
    <cellStyle name="Normal 2 3 8 11 6" xfId="15455" xr:uid="{00000000-0005-0000-0000-000051900000}"/>
    <cellStyle name="Normal 2 3 8 11 6 2" xfId="47417" xr:uid="{00000000-0005-0000-0000-000052900000}"/>
    <cellStyle name="Normal 2 3 8 11 7" xfId="15456" xr:uid="{00000000-0005-0000-0000-000053900000}"/>
    <cellStyle name="Normal 2 3 8 11 7 2" xfId="47418" xr:uid="{00000000-0005-0000-0000-000054900000}"/>
    <cellStyle name="Normal 2 3 8 11 8" xfId="47419" xr:uid="{00000000-0005-0000-0000-000055900000}"/>
    <cellStyle name="Normal 2 3 8 11 8 2" xfId="47420" xr:uid="{00000000-0005-0000-0000-000056900000}"/>
    <cellStyle name="Normal 2 3 8 11 9" xfId="47421" xr:uid="{00000000-0005-0000-0000-000057900000}"/>
    <cellStyle name="Normal 2 3 8 12" xfId="15457" xr:uid="{00000000-0005-0000-0000-000058900000}"/>
    <cellStyle name="Normal 2 3 8 12 10" xfId="47422" xr:uid="{00000000-0005-0000-0000-000059900000}"/>
    <cellStyle name="Normal 2 3 8 12 11" xfId="47423" xr:uid="{00000000-0005-0000-0000-00005A900000}"/>
    <cellStyle name="Normal 2 3 8 12 2" xfId="15458" xr:uid="{00000000-0005-0000-0000-00005B900000}"/>
    <cellStyle name="Normal 2 3 8 12 2 10" xfId="47424" xr:uid="{00000000-0005-0000-0000-00005C900000}"/>
    <cellStyle name="Normal 2 3 8 12 2 2" xfId="15459" xr:uid="{00000000-0005-0000-0000-00005D900000}"/>
    <cellStyle name="Normal 2 3 8 12 2 2 2" xfId="15460" xr:uid="{00000000-0005-0000-0000-00005E900000}"/>
    <cellStyle name="Normal 2 3 8 12 2 2 2 2" xfId="15461" xr:uid="{00000000-0005-0000-0000-00005F900000}"/>
    <cellStyle name="Normal 2 3 8 12 2 2 2 2 2" xfId="47425" xr:uid="{00000000-0005-0000-0000-000060900000}"/>
    <cellStyle name="Normal 2 3 8 12 2 2 2 3" xfId="15462" xr:uid="{00000000-0005-0000-0000-000061900000}"/>
    <cellStyle name="Normal 2 3 8 12 2 2 2 3 2" xfId="47426" xr:uid="{00000000-0005-0000-0000-000062900000}"/>
    <cellStyle name="Normal 2 3 8 12 2 2 2 4" xfId="47427" xr:uid="{00000000-0005-0000-0000-000063900000}"/>
    <cellStyle name="Normal 2 3 8 12 2 2 3" xfId="15463" xr:uid="{00000000-0005-0000-0000-000064900000}"/>
    <cellStyle name="Normal 2 3 8 12 2 2 3 2" xfId="47428" xr:uid="{00000000-0005-0000-0000-000065900000}"/>
    <cellStyle name="Normal 2 3 8 12 2 2 4" xfId="15464" xr:uid="{00000000-0005-0000-0000-000066900000}"/>
    <cellStyle name="Normal 2 3 8 12 2 2 4 2" xfId="47429" xr:uid="{00000000-0005-0000-0000-000067900000}"/>
    <cellStyle name="Normal 2 3 8 12 2 2 5" xfId="15465" xr:uid="{00000000-0005-0000-0000-000068900000}"/>
    <cellStyle name="Normal 2 3 8 12 2 2 5 2" xfId="47430" xr:uid="{00000000-0005-0000-0000-000069900000}"/>
    <cellStyle name="Normal 2 3 8 12 2 2 6" xfId="47431" xr:uid="{00000000-0005-0000-0000-00006A900000}"/>
    <cellStyle name="Normal 2 3 8 12 2 2 6 2" xfId="47432" xr:uid="{00000000-0005-0000-0000-00006B900000}"/>
    <cellStyle name="Normal 2 3 8 12 2 2 7" xfId="47433" xr:uid="{00000000-0005-0000-0000-00006C900000}"/>
    <cellStyle name="Normal 2 3 8 12 2 3" xfId="15466" xr:uid="{00000000-0005-0000-0000-00006D900000}"/>
    <cellStyle name="Normal 2 3 8 12 2 3 2" xfId="15467" xr:uid="{00000000-0005-0000-0000-00006E900000}"/>
    <cellStyle name="Normal 2 3 8 12 2 3 2 2" xfId="47434" xr:uid="{00000000-0005-0000-0000-00006F900000}"/>
    <cellStyle name="Normal 2 3 8 12 2 3 3" xfId="15468" xr:uid="{00000000-0005-0000-0000-000070900000}"/>
    <cellStyle name="Normal 2 3 8 12 2 3 3 2" xfId="47435" xr:uid="{00000000-0005-0000-0000-000071900000}"/>
    <cellStyle name="Normal 2 3 8 12 2 3 4" xfId="47436" xr:uid="{00000000-0005-0000-0000-000072900000}"/>
    <cellStyle name="Normal 2 3 8 12 2 4" xfId="15469" xr:uid="{00000000-0005-0000-0000-000073900000}"/>
    <cellStyle name="Normal 2 3 8 12 2 4 2" xfId="15470" xr:uid="{00000000-0005-0000-0000-000074900000}"/>
    <cellStyle name="Normal 2 3 8 12 2 4 2 2" xfId="47437" xr:uid="{00000000-0005-0000-0000-000075900000}"/>
    <cellStyle name="Normal 2 3 8 12 2 4 3" xfId="47438" xr:uid="{00000000-0005-0000-0000-000076900000}"/>
    <cellStyle name="Normal 2 3 8 12 2 5" xfId="15471" xr:uid="{00000000-0005-0000-0000-000077900000}"/>
    <cellStyle name="Normal 2 3 8 12 2 5 2" xfId="47439" xr:uid="{00000000-0005-0000-0000-000078900000}"/>
    <cellStyle name="Normal 2 3 8 12 2 6" xfId="15472" xr:uid="{00000000-0005-0000-0000-000079900000}"/>
    <cellStyle name="Normal 2 3 8 12 2 6 2" xfId="47440" xr:uid="{00000000-0005-0000-0000-00007A900000}"/>
    <cellStyle name="Normal 2 3 8 12 2 7" xfId="47441" xr:uid="{00000000-0005-0000-0000-00007B900000}"/>
    <cellStyle name="Normal 2 3 8 12 2 7 2" xfId="47442" xr:uid="{00000000-0005-0000-0000-00007C900000}"/>
    <cellStyle name="Normal 2 3 8 12 2 8" xfId="47443" xr:uid="{00000000-0005-0000-0000-00007D900000}"/>
    <cellStyle name="Normal 2 3 8 12 2 9" xfId="47444" xr:uid="{00000000-0005-0000-0000-00007E900000}"/>
    <cellStyle name="Normal 2 3 8 12 3" xfId="15473" xr:uid="{00000000-0005-0000-0000-00007F900000}"/>
    <cellStyle name="Normal 2 3 8 12 3 2" xfId="15474" xr:uid="{00000000-0005-0000-0000-000080900000}"/>
    <cellStyle name="Normal 2 3 8 12 3 2 2" xfId="15475" xr:uid="{00000000-0005-0000-0000-000081900000}"/>
    <cellStyle name="Normal 2 3 8 12 3 2 2 2" xfId="47445" xr:uid="{00000000-0005-0000-0000-000082900000}"/>
    <cellStyle name="Normal 2 3 8 12 3 2 3" xfId="15476" xr:uid="{00000000-0005-0000-0000-000083900000}"/>
    <cellStyle name="Normal 2 3 8 12 3 2 3 2" xfId="47446" xr:uid="{00000000-0005-0000-0000-000084900000}"/>
    <cellStyle name="Normal 2 3 8 12 3 2 4" xfId="47447" xr:uid="{00000000-0005-0000-0000-000085900000}"/>
    <cellStyle name="Normal 2 3 8 12 3 3" xfId="15477" xr:uid="{00000000-0005-0000-0000-000086900000}"/>
    <cellStyle name="Normal 2 3 8 12 3 3 2" xfId="47448" xr:uid="{00000000-0005-0000-0000-000087900000}"/>
    <cellStyle name="Normal 2 3 8 12 3 4" xfId="15478" xr:uid="{00000000-0005-0000-0000-000088900000}"/>
    <cellStyle name="Normal 2 3 8 12 3 4 2" xfId="47449" xr:uid="{00000000-0005-0000-0000-000089900000}"/>
    <cellStyle name="Normal 2 3 8 12 3 5" xfId="15479" xr:uid="{00000000-0005-0000-0000-00008A900000}"/>
    <cellStyle name="Normal 2 3 8 12 3 5 2" xfId="47450" xr:uid="{00000000-0005-0000-0000-00008B900000}"/>
    <cellStyle name="Normal 2 3 8 12 3 6" xfId="47451" xr:uid="{00000000-0005-0000-0000-00008C900000}"/>
    <cellStyle name="Normal 2 3 8 12 3 6 2" xfId="47452" xr:uid="{00000000-0005-0000-0000-00008D900000}"/>
    <cellStyle name="Normal 2 3 8 12 3 7" xfId="47453" xr:uid="{00000000-0005-0000-0000-00008E900000}"/>
    <cellStyle name="Normal 2 3 8 12 4" xfId="15480" xr:uid="{00000000-0005-0000-0000-00008F900000}"/>
    <cellStyle name="Normal 2 3 8 12 4 2" xfId="15481" xr:uid="{00000000-0005-0000-0000-000090900000}"/>
    <cellStyle name="Normal 2 3 8 12 4 2 2" xfId="47454" xr:uid="{00000000-0005-0000-0000-000091900000}"/>
    <cellStyle name="Normal 2 3 8 12 4 3" xfId="15482" xr:uid="{00000000-0005-0000-0000-000092900000}"/>
    <cellStyle name="Normal 2 3 8 12 4 3 2" xfId="47455" xr:uid="{00000000-0005-0000-0000-000093900000}"/>
    <cellStyle name="Normal 2 3 8 12 4 4" xfId="47456" xr:uid="{00000000-0005-0000-0000-000094900000}"/>
    <cellStyle name="Normal 2 3 8 12 5" xfId="15483" xr:uid="{00000000-0005-0000-0000-000095900000}"/>
    <cellStyle name="Normal 2 3 8 12 5 2" xfId="15484" xr:uid="{00000000-0005-0000-0000-000096900000}"/>
    <cellStyle name="Normal 2 3 8 12 5 2 2" xfId="47457" xr:uid="{00000000-0005-0000-0000-000097900000}"/>
    <cellStyle name="Normal 2 3 8 12 5 3" xfId="47458" xr:uid="{00000000-0005-0000-0000-000098900000}"/>
    <cellStyle name="Normal 2 3 8 12 6" xfId="15485" xr:uid="{00000000-0005-0000-0000-000099900000}"/>
    <cellStyle name="Normal 2 3 8 12 6 2" xfId="47459" xr:uid="{00000000-0005-0000-0000-00009A900000}"/>
    <cellStyle name="Normal 2 3 8 12 7" xfId="15486" xr:uid="{00000000-0005-0000-0000-00009B900000}"/>
    <cellStyle name="Normal 2 3 8 12 7 2" xfId="47460" xr:uid="{00000000-0005-0000-0000-00009C900000}"/>
    <cellStyle name="Normal 2 3 8 12 8" xfId="47461" xr:uid="{00000000-0005-0000-0000-00009D900000}"/>
    <cellStyle name="Normal 2 3 8 12 8 2" xfId="47462" xr:uid="{00000000-0005-0000-0000-00009E900000}"/>
    <cellStyle name="Normal 2 3 8 12 9" xfId="47463" xr:uid="{00000000-0005-0000-0000-00009F900000}"/>
    <cellStyle name="Normal 2 3 8 13" xfId="15487" xr:uid="{00000000-0005-0000-0000-0000A0900000}"/>
    <cellStyle name="Normal 2 3 8 13 10" xfId="47464" xr:uid="{00000000-0005-0000-0000-0000A1900000}"/>
    <cellStyle name="Normal 2 3 8 13 11" xfId="47465" xr:uid="{00000000-0005-0000-0000-0000A2900000}"/>
    <cellStyle name="Normal 2 3 8 13 2" xfId="15488" xr:uid="{00000000-0005-0000-0000-0000A3900000}"/>
    <cellStyle name="Normal 2 3 8 13 2 10" xfId="47466" xr:uid="{00000000-0005-0000-0000-0000A4900000}"/>
    <cellStyle name="Normal 2 3 8 13 2 2" xfId="15489" xr:uid="{00000000-0005-0000-0000-0000A5900000}"/>
    <cellStyle name="Normal 2 3 8 13 2 2 2" xfId="15490" xr:uid="{00000000-0005-0000-0000-0000A6900000}"/>
    <cellStyle name="Normal 2 3 8 13 2 2 2 2" xfId="15491" xr:uid="{00000000-0005-0000-0000-0000A7900000}"/>
    <cellStyle name="Normal 2 3 8 13 2 2 2 2 2" xfId="47467" xr:uid="{00000000-0005-0000-0000-0000A8900000}"/>
    <cellStyle name="Normal 2 3 8 13 2 2 2 3" xfId="15492" xr:uid="{00000000-0005-0000-0000-0000A9900000}"/>
    <cellStyle name="Normal 2 3 8 13 2 2 2 3 2" xfId="47468" xr:uid="{00000000-0005-0000-0000-0000AA900000}"/>
    <cellStyle name="Normal 2 3 8 13 2 2 2 4" xfId="47469" xr:uid="{00000000-0005-0000-0000-0000AB900000}"/>
    <cellStyle name="Normal 2 3 8 13 2 2 3" xfId="15493" xr:uid="{00000000-0005-0000-0000-0000AC900000}"/>
    <cellStyle name="Normal 2 3 8 13 2 2 3 2" xfId="47470" xr:uid="{00000000-0005-0000-0000-0000AD900000}"/>
    <cellStyle name="Normal 2 3 8 13 2 2 4" xfId="15494" xr:uid="{00000000-0005-0000-0000-0000AE900000}"/>
    <cellStyle name="Normal 2 3 8 13 2 2 4 2" xfId="47471" xr:uid="{00000000-0005-0000-0000-0000AF900000}"/>
    <cellStyle name="Normal 2 3 8 13 2 2 5" xfId="15495" xr:uid="{00000000-0005-0000-0000-0000B0900000}"/>
    <cellStyle name="Normal 2 3 8 13 2 2 5 2" xfId="47472" xr:uid="{00000000-0005-0000-0000-0000B1900000}"/>
    <cellStyle name="Normal 2 3 8 13 2 2 6" xfId="47473" xr:uid="{00000000-0005-0000-0000-0000B2900000}"/>
    <cellStyle name="Normal 2 3 8 13 2 2 6 2" xfId="47474" xr:uid="{00000000-0005-0000-0000-0000B3900000}"/>
    <cellStyle name="Normal 2 3 8 13 2 2 7" xfId="47475" xr:uid="{00000000-0005-0000-0000-0000B4900000}"/>
    <cellStyle name="Normal 2 3 8 13 2 3" xfId="15496" xr:uid="{00000000-0005-0000-0000-0000B5900000}"/>
    <cellStyle name="Normal 2 3 8 13 2 3 2" xfId="15497" xr:uid="{00000000-0005-0000-0000-0000B6900000}"/>
    <cellStyle name="Normal 2 3 8 13 2 3 2 2" xfId="47476" xr:uid="{00000000-0005-0000-0000-0000B7900000}"/>
    <cellStyle name="Normal 2 3 8 13 2 3 3" xfId="15498" xr:uid="{00000000-0005-0000-0000-0000B8900000}"/>
    <cellStyle name="Normal 2 3 8 13 2 3 3 2" xfId="47477" xr:uid="{00000000-0005-0000-0000-0000B9900000}"/>
    <cellStyle name="Normal 2 3 8 13 2 3 4" xfId="47478" xr:uid="{00000000-0005-0000-0000-0000BA900000}"/>
    <cellStyle name="Normal 2 3 8 13 2 4" xfId="15499" xr:uid="{00000000-0005-0000-0000-0000BB900000}"/>
    <cellStyle name="Normal 2 3 8 13 2 4 2" xfId="15500" xr:uid="{00000000-0005-0000-0000-0000BC900000}"/>
    <cellStyle name="Normal 2 3 8 13 2 4 2 2" xfId="47479" xr:uid="{00000000-0005-0000-0000-0000BD900000}"/>
    <cellStyle name="Normal 2 3 8 13 2 4 3" xfId="47480" xr:uid="{00000000-0005-0000-0000-0000BE900000}"/>
    <cellStyle name="Normal 2 3 8 13 2 5" xfId="15501" xr:uid="{00000000-0005-0000-0000-0000BF900000}"/>
    <cellStyle name="Normal 2 3 8 13 2 5 2" xfId="47481" xr:uid="{00000000-0005-0000-0000-0000C0900000}"/>
    <cellStyle name="Normal 2 3 8 13 2 6" xfId="15502" xr:uid="{00000000-0005-0000-0000-0000C1900000}"/>
    <cellStyle name="Normal 2 3 8 13 2 6 2" xfId="47482" xr:uid="{00000000-0005-0000-0000-0000C2900000}"/>
    <cellStyle name="Normal 2 3 8 13 2 7" xfId="47483" xr:uid="{00000000-0005-0000-0000-0000C3900000}"/>
    <cellStyle name="Normal 2 3 8 13 2 7 2" xfId="47484" xr:uid="{00000000-0005-0000-0000-0000C4900000}"/>
    <cellStyle name="Normal 2 3 8 13 2 8" xfId="47485" xr:uid="{00000000-0005-0000-0000-0000C5900000}"/>
    <cellStyle name="Normal 2 3 8 13 2 9" xfId="47486" xr:uid="{00000000-0005-0000-0000-0000C6900000}"/>
    <cellStyle name="Normal 2 3 8 13 3" xfId="15503" xr:uid="{00000000-0005-0000-0000-0000C7900000}"/>
    <cellStyle name="Normal 2 3 8 13 3 2" xfId="15504" xr:uid="{00000000-0005-0000-0000-0000C8900000}"/>
    <cellStyle name="Normal 2 3 8 13 3 2 2" xfId="15505" xr:uid="{00000000-0005-0000-0000-0000C9900000}"/>
    <cellStyle name="Normal 2 3 8 13 3 2 2 2" xfId="47487" xr:uid="{00000000-0005-0000-0000-0000CA900000}"/>
    <cellStyle name="Normal 2 3 8 13 3 2 3" xfId="15506" xr:uid="{00000000-0005-0000-0000-0000CB900000}"/>
    <cellStyle name="Normal 2 3 8 13 3 2 3 2" xfId="47488" xr:uid="{00000000-0005-0000-0000-0000CC900000}"/>
    <cellStyle name="Normal 2 3 8 13 3 2 4" xfId="47489" xr:uid="{00000000-0005-0000-0000-0000CD900000}"/>
    <cellStyle name="Normal 2 3 8 13 3 3" xfId="15507" xr:uid="{00000000-0005-0000-0000-0000CE900000}"/>
    <cellStyle name="Normal 2 3 8 13 3 3 2" xfId="47490" xr:uid="{00000000-0005-0000-0000-0000CF900000}"/>
    <cellStyle name="Normal 2 3 8 13 3 4" xfId="15508" xr:uid="{00000000-0005-0000-0000-0000D0900000}"/>
    <cellStyle name="Normal 2 3 8 13 3 4 2" xfId="47491" xr:uid="{00000000-0005-0000-0000-0000D1900000}"/>
    <cellStyle name="Normal 2 3 8 13 3 5" xfId="15509" xr:uid="{00000000-0005-0000-0000-0000D2900000}"/>
    <cellStyle name="Normal 2 3 8 13 3 5 2" xfId="47492" xr:uid="{00000000-0005-0000-0000-0000D3900000}"/>
    <cellStyle name="Normal 2 3 8 13 3 6" xfId="47493" xr:uid="{00000000-0005-0000-0000-0000D4900000}"/>
    <cellStyle name="Normal 2 3 8 13 3 6 2" xfId="47494" xr:uid="{00000000-0005-0000-0000-0000D5900000}"/>
    <cellStyle name="Normal 2 3 8 13 3 7" xfId="47495" xr:uid="{00000000-0005-0000-0000-0000D6900000}"/>
    <cellStyle name="Normal 2 3 8 13 4" xfId="15510" xr:uid="{00000000-0005-0000-0000-0000D7900000}"/>
    <cellStyle name="Normal 2 3 8 13 4 2" xfId="15511" xr:uid="{00000000-0005-0000-0000-0000D8900000}"/>
    <cellStyle name="Normal 2 3 8 13 4 2 2" xfId="47496" xr:uid="{00000000-0005-0000-0000-0000D9900000}"/>
    <cellStyle name="Normal 2 3 8 13 4 3" xfId="15512" xr:uid="{00000000-0005-0000-0000-0000DA900000}"/>
    <cellStyle name="Normal 2 3 8 13 4 3 2" xfId="47497" xr:uid="{00000000-0005-0000-0000-0000DB900000}"/>
    <cellStyle name="Normal 2 3 8 13 4 4" xfId="47498" xr:uid="{00000000-0005-0000-0000-0000DC900000}"/>
    <cellStyle name="Normal 2 3 8 13 5" xfId="15513" xr:uid="{00000000-0005-0000-0000-0000DD900000}"/>
    <cellStyle name="Normal 2 3 8 13 5 2" xfId="15514" xr:uid="{00000000-0005-0000-0000-0000DE900000}"/>
    <cellStyle name="Normal 2 3 8 13 5 2 2" xfId="47499" xr:uid="{00000000-0005-0000-0000-0000DF900000}"/>
    <cellStyle name="Normal 2 3 8 13 5 3" xfId="47500" xr:uid="{00000000-0005-0000-0000-0000E0900000}"/>
    <cellStyle name="Normal 2 3 8 13 6" xfId="15515" xr:uid="{00000000-0005-0000-0000-0000E1900000}"/>
    <cellStyle name="Normal 2 3 8 13 6 2" xfId="47501" xr:uid="{00000000-0005-0000-0000-0000E2900000}"/>
    <cellStyle name="Normal 2 3 8 13 7" xfId="15516" xr:uid="{00000000-0005-0000-0000-0000E3900000}"/>
    <cellStyle name="Normal 2 3 8 13 7 2" xfId="47502" xr:uid="{00000000-0005-0000-0000-0000E4900000}"/>
    <cellStyle name="Normal 2 3 8 13 8" xfId="47503" xr:uid="{00000000-0005-0000-0000-0000E5900000}"/>
    <cellStyle name="Normal 2 3 8 13 8 2" xfId="47504" xr:uid="{00000000-0005-0000-0000-0000E6900000}"/>
    <cellStyle name="Normal 2 3 8 13 9" xfId="47505" xr:uid="{00000000-0005-0000-0000-0000E7900000}"/>
    <cellStyle name="Normal 2 3 8 14" xfId="15517" xr:uid="{00000000-0005-0000-0000-0000E8900000}"/>
    <cellStyle name="Normal 2 3 8 14 10" xfId="47506" xr:uid="{00000000-0005-0000-0000-0000E9900000}"/>
    <cellStyle name="Normal 2 3 8 14 11" xfId="47507" xr:uid="{00000000-0005-0000-0000-0000EA900000}"/>
    <cellStyle name="Normal 2 3 8 14 2" xfId="15518" xr:uid="{00000000-0005-0000-0000-0000EB900000}"/>
    <cellStyle name="Normal 2 3 8 14 2 10" xfId="47508" xr:uid="{00000000-0005-0000-0000-0000EC900000}"/>
    <cellStyle name="Normal 2 3 8 14 2 2" xfId="15519" xr:uid="{00000000-0005-0000-0000-0000ED900000}"/>
    <cellStyle name="Normal 2 3 8 14 2 2 2" xfId="15520" xr:uid="{00000000-0005-0000-0000-0000EE900000}"/>
    <cellStyle name="Normal 2 3 8 14 2 2 2 2" xfId="15521" xr:uid="{00000000-0005-0000-0000-0000EF900000}"/>
    <cellStyle name="Normal 2 3 8 14 2 2 2 2 2" xfId="47509" xr:uid="{00000000-0005-0000-0000-0000F0900000}"/>
    <cellStyle name="Normal 2 3 8 14 2 2 2 3" xfId="15522" xr:uid="{00000000-0005-0000-0000-0000F1900000}"/>
    <cellStyle name="Normal 2 3 8 14 2 2 2 3 2" xfId="47510" xr:uid="{00000000-0005-0000-0000-0000F2900000}"/>
    <cellStyle name="Normal 2 3 8 14 2 2 2 4" xfId="47511" xr:uid="{00000000-0005-0000-0000-0000F3900000}"/>
    <cellStyle name="Normal 2 3 8 14 2 2 3" xfId="15523" xr:uid="{00000000-0005-0000-0000-0000F4900000}"/>
    <cellStyle name="Normal 2 3 8 14 2 2 3 2" xfId="47512" xr:uid="{00000000-0005-0000-0000-0000F5900000}"/>
    <cellStyle name="Normal 2 3 8 14 2 2 4" xfId="15524" xr:uid="{00000000-0005-0000-0000-0000F6900000}"/>
    <cellStyle name="Normal 2 3 8 14 2 2 4 2" xfId="47513" xr:uid="{00000000-0005-0000-0000-0000F7900000}"/>
    <cellStyle name="Normal 2 3 8 14 2 2 5" xfId="15525" xr:uid="{00000000-0005-0000-0000-0000F8900000}"/>
    <cellStyle name="Normal 2 3 8 14 2 2 5 2" xfId="47514" xr:uid="{00000000-0005-0000-0000-0000F9900000}"/>
    <cellStyle name="Normal 2 3 8 14 2 2 6" xfId="47515" xr:uid="{00000000-0005-0000-0000-0000FA900000}"/>
    <cellStyle name="Normal 2 3 8 14 2 2 6 2" xfId="47516" xr:uid="{00000000-0005-0000-0000-0000FB900000}"/>
    <cellStyle name="Normal 2 3 8 14 2 2 7" xfId="47517" xr:uid="{00000000-0005-0000-0000-0000FC900000}"/>
    <cellStyle name="Normal 2 3 8 14 2 3" xfId="15526" xr:uid="{00000000-0005-0000-0000-0000FD900000}"/>
    <cellStyle name="Normal 2 3 8 14 2 3 2" xfId="15527" xr:uid="{00000000-0005-0000-0000-0000FE900000}"/>
    <cellStyle name="Normal 2 3 8 14 2 3 2 2" xfId="47518" xr:uid="{00000000-0005-0000-0000-0000FF900000}"/>
    <cellStyle name="Normal 2 3 8 14 2 3 3" xfId="15528" xr:uid="{00000000-0005-0000-0000-000000910000}"/>
    <cellStyle name="Normal 2 3 8 14 2 3 3 2" xfId="47519" xr:uid="{00000000-0005-0000-0000-000001910000}"/>
    <cellStyle name="Normal 2 3 8 14 2 3 4" xfId="47520" xr:uid="{00000000-0005-0000-0000-000002910000}"/>
    <cellStyle name="Normal 2 3 8 14 2 4" xfId="15529" xr:uid="{00000000-0005-0000-0000-000003910000}"/>
    <cellStyle name="Normal 2 3 8 14 2 4 2" xfId="15530" xr:uid="{00000000-0005-0000-0000-000004910000}"/>
    <cellStyle name="Normal 2 3 8 14 2 4 2 2" xfId="47521" xr:uid="{00000000-0005-0000-0000-000005910000}"/>
    <cellStyle name="Normal 2 3 8 14 2 4 3" xfId="47522" xr:uid="{00000000-0005-0000-0000-000006910000}"/>
    <cellStyle name="Normal 2 3 8 14 2 5" xfId="15531" xr:uid="{00000000-0005-0000-0000-000007910000}"/>
    <cellStyle name="Normal 2 3 8 14 2 5 2" xfId="47523" xr:uid="{00000000-0005-0000-0000-000008910000}"/>
    <cellStyle name="Normal 2 3 8 14 2 6" xfId="15532" xr:uid="{00000000-0005-0000-0000-000009910000}"/>
    <cellStyle name="Normal 2 3 8 14 2 6 2" xfId="47524" xr:uid="{00000000-0005-0000-0000-00000A910000}"/>
    <cellStyle name="Normal 2 3 8 14 2 7" xfId="47525" xr:uid="{00000000-0005-0000-0000-00000B910000}"/>
    <cellStyle name="Normal 2 3 8 14 2 7 2" xfId="47526" xr:uid="{00000000-0005-0000-0000-00000C910000}"/>
    <cellStyle name="Normal 2 3 8 14 2 8" xfId="47527" xr:uid="{00000000-0005-0000-0000-00000D910000}"/>
    <cellStyle name="Normal 2 3 8 14 2 9" xfId="47528" xr:uid="{00000000-0005-0000-0000-00000E910000}"/>
    <cellStyle name="Normal 2 3 8 14 3" xfId="15533" xr:uid="{00000000-0005-0000-0000-00000F910000}"/>
    <cellStyle name="Normal 2 3 8 14 3 2" xfId="15534" xr:uid="{00000000-0005-0000-0000-000010910000}"/>
    <cellStyle name="Normal 2 3 8 14 3 2 2" xfId="15535" xr:uid="{00000000-0005-0000-0000-000011910000}"/>
    <cellStyle name="Normal 2 3 8 14 3 2 2 2" xfId="47529" xr:uid="{00000000-0005-0000-0000-000012910000}"/>
    <cellStyle name="Normal 2 3 8 14 3 2 3" xfId="15536" xr:uid="{00000000-0005-0000-0000-000013910000}"/>
    <cellStyle name="Normal 2 3 8 14 3 2 3 2" xfId="47530" xr:uid="{00000000-0005-0000-0000-000014910000}"/>
    <cellStyle name="Normal 2 3 8 14 3 2 4" xfId="47531" xr:uid="{00000000-0005-0000-0000-000015910000}"/>
    <cellStyle name="Normal 2 3 8 14 3 3" xfId="15537" xr:uid="{00000000-0005-0000-0000-000016910000}"/>
    <cellStyle name="Normal 2 3 8 14 3 3 2" xfId="47532" xr:uid="{00000000-0005-0000-0000-000017910000}"/>
    <cellStyle name="Normal 2 3 8 14 3 4" xfId="15538" xr:uid="{00000000-0005-0000-0000-000018910000}"/>
    <cellStyle name="Normal 2 3 8 14 3 4 2" xfId="47533" xr:uid="{00000000-0005-0000-0000-000019910000}"/>
    <cellStyle name="Normal 2 3 8 14 3 5" xfId="15539" xr:uid="{00000000-0005-0000-0000-00001A910000}"/>
    <cellStyle name="Normal 2 3 8 14 3 5 2" xfId="47534" xr:uid="{00000000-0005-0000-0000-00001B910000}"/>
    <cellStyle name="Normal 2 3 8 14 3 6" xfId="47535" xr:uid="{00000000-0005-0000-0000-00001C910000}"/>
    <cellStyle name="Normal 2 3 8 14 3 6 2" xfId="47536" xr:uid="{00000000-0005-0000-0000-00001D910000}"/>
    <cellStyle name="Normal 2 3 8 14 3 7" xfId="47537" xr:uid="{00000000-0005-0000-0000-00001E910000}"/>
    <cellStyle name="Normal 2 3 8 14 4" xfId="15540" xr:uid="{00000000-0005-0000-0000-00001F910000}"/>
    <cellStyle name="Normal 2 3 8 14 4 2" xfId="15541" xr:uid="{00000000-0005-0000-0000-000020910000}"/>
    <cellStyle name="Normal 2 3 8 14 4 2 2" xfId="47538" xr:uid="{00000000-0005-0000-0000-000021910000}"/>
    <cellStyle name="Normal 2 3 8 14 4 3" xfId="15542" xr:uid="{00000000-0005-0000-0000-000022910000}"/>
    <cellStyle name="Normal 2 3 8 14 4 3 2" xfId="47539" xr:uid="{00000000-0005-0000-0000-000023910000}"/>
    <cellStyle name="Normal 2 3 8 14 4 4" xfId="47540" xr:uid="{00000000-0005-0000-0000-000024910000}"/>
    <cellStyle name="Normal 2 3 8 14 5" xfId="15543" xr:uid="{00000000-0005-0000-0000-000025910000}"/>
    <cellStyle name="Normal 2 3 8 14 5 2" xfId="15544" xr:uid="{00000000-0005-0000-0000-000026910000}"/>
    <cellStyle name="Normal 2 3 8 14 5 2 2" xfId="47541" xr:uid="{00000000-0005-0000-0000-000027910000}"/>
    <cellStyle name="Normal 2 3 8 14 5 3" xfId="47542" xr:uid="{00000000-0005-0000-0000-000028910000}"/>
    <cellStyle name="Normal 2 3 8 14 6" xfId="15545" xr:uid="{00000000-0005-0000-0000-000029910000}"/>
    <cellStyle name="Normal 2 3 8 14 6 2" xfId="47543" xr:uid="{00000000-0005-0000-0000-00002A910000}"/>
    <cellStyle name="Normal 2 3 8 14 7" xfId="15546" xr:uid="{00000000-0005-0000-0000-00002B910000}"/>
    <cellStyle name="Normal 2 3 8 14 7 2" xfId="47544" xr:uid="{00000000-0005-0000-0000-00002C910000}"/>
    <cellStyle name="Normal 2 3 8 14 8" xfId="47545" xr:uid="{00000000-0005-0000-0000-00002D910000}"/>
    <cellStyle name="Normal 2 3 8 14 8 2" xfId="47546" xr:uid="{00000000-0005-0000-0000-00002E910000}"/>
    <cellStyle name="Normal 2 3 8 14 9" xfId="47547" xr:uid="{00000000-0005-0000-0000-00002F910000}"/>
    <cellStyle name="Normal 2 3 8 15" xfId="15547" xr:uid="{00000000-0005-0000-0000-000030910000}"/>
    <cellStyle name="Normal 2 3 8 15 10" xfId="47548" xr:uid="{00000000-0005-0000-0000-000031910000}"/>
    <cellStyle name="Normal 2 3 8 15 11" xfId="47549" xr:uid="{00000000-0005-0000-0000-000032910000}"/>
    <cellStyle name="Normal 2 3 8 15 2" xfId="15548" xr:uid="{00000000-0005-0000-0000-000033910000}"/>
    <cellStyle name="Normal 2 3 8 15 2 10" xfId="47550" xr:uid="{00000000-0005-0000-0000-000034910000}"/>
    <cellStyle name="Normal 2 3 8 15 2 2" xfId="15549" xr:uid="{00000000-0005-0000-0000-000035910000}"/>
    <cellStyle name="Normal 2 3 8 15 2 2 2" xfId="15550" xr:uid="{00000000-0005-0000-0000-000036910000}"/>
    <cellStyle name="Normal 2 3 8 15 2 2 2 2" xfId="15551" xr:uid="{00000000-0005-0000-0000-000037910000}"/>
    <cellStyle name="Normal 2 3 8 15 2 2 2 2 2" xfId="47551" xr:uid="{00000000-0005-0000-0000-000038910000}"/>
    <cellStyle name="Normal 2 3 8 15 2 2 2 3" xfId="15552" xr:uid="{00000000-0005-0000-0000-000039910000}"/>
    <cellStyle name="Normal 2 3 8 15 2 2 2 3 2" xfId="47552" xr:uid="{00000000-0005-0000-0000-00003A910000}"/>
    <cellStyle name="Normal 2 3 8 15 2 2 2 4" xfId="47553" xr:uid="{00000000-0005-0000-0000-00003B910000}"/>
    <cellStyle name="Normal 2 3 8 15 2 2 3" xfId="15553" xr:uid="{00000000-0005-0000-0000-00003C910000}"/>
    <cellStyle name="Normal 2 3 8 15 2 2 3 2" xfId="47554" xr:uid="{00000000-0005-0000-0000-00003D910000}"/>
    <cellStyle name="Normal 2 3 8 15 2 2 4" xfId="15554" xr:uid="{00000000-0005-0000-0000-00003E910000}"/>
    <cellStyle name="Normal 2 3 8 15 2 2 4 2" xfId="47555" xr:uid="{00000000-0005-0000-0000-00003F910000}"/>
    <cellStyle name="Normal 2 3 8 15 2 2 5" xfId="15555" xr:uid="{00000000-0005-0000-0000-000040910000}"/>
    <cellStyle name="Normal 2 3 8 15 2 2 5 2" xfId="47556" xr:uid="{00000000-0005-0000-0000-000041910000}"/>
    <cellStyle name="Normal 2 3 8 15 2 2 6" xfId="47557" xr:uid="{00000000-0005-0000-0000-000042910000}"/>
    <cellStyle name="Normal 2 3 8 15 2 2 6 2" xfId="47558" xr:uid="{00000000-0005-0000-0000-000043910000}"/>
    <cellStyle name="Normal 2 3 8 15 2 2 7" xfId="47559" xr:uid="{00000000-0005-0000-0000-000044910000}"/>
    <cellStyle name="Normal 2 3 8 15 2 3" xfId="15556" xr:uid="{00000000-0005-0000-0000-000045910000}"/>
    <cellStyle name="Normal 2 3 8 15 2 3 2" xfId="15557" xr:uid="{00000000-0005-0000-0000-000046910000}"/>
    <cellStyle name="Normal 2 3 8 15 2 3 2 2" xfId="47560" xr:uid="{00000000-0005-0000-0000-000047910000}"/>
    <cellStyle name="Normal 2 3 8 15 2 3 3" xfId="15558" xr:uid="{00000000-0005-0000-0000-000048910000}"/>
    <cellStyle name="Normal 2 3 8 15 2 3 3 2" xfId="47561" xr:uid="{00000000-0005-0000-0000-000049910000}"/>
    <cellStyle name="Normal 2 3 8 15 2 3 4" xfId="47562" xr:uid="{00000000-0005-0000-0000-00004A910000}"/>
    <cellStyle name="Normal 2 3 8 15 2 4" xfId="15559" xr:uid="{00000000-0005-0000-0000-00004B910000}"/>
    <cellStyle name="Normal 2 3 8 15 2 4 2" xfId="15560" xr:uid="{00000000-0005-0000-0000-00004C910000}"/>
    <cellStyle name="Normal 2 3 8 15 2 4 2 2" xfId="47563" xr:uid="{00000000-0005-0000-0000-00004D910000}"/>
    <cellStyle name="Normal 2 3 8 15 2 4 3" xfId="47564" xr:uid="{00000000-0005-0000-0000-00004E910000}"/>
    <cellStyle name="Normal 2 3 8 15 2 5" xfId="15561" xr:uid="{00000000-0005-0000-0000-00004F910000}"/>
    <cellStyle name="Normal 2 3 8 15 2 5 2" xfId="47565" xr:uid="{00000000-0005-0000-0000-000050910000}"/>
    <cellStyle name="Normal 2 3 8 15 2 6" xfId="15562" xr:uid="{00000000-0005-0000-0000-000051910000}"/>
    <cellStyle name="Normal 2 3 8 15 2 6 2" xfId="47566" xr:uid="{00000000-0005-0000-0000-000052910000}"/>
    <cellStyle name="Normal 2 3 8 15 2 7" xfId="47567" xr:uid="{00000000-0005-0000-0000-000053910000}"/>
    <cellStyle name="Normal 2 3 8 15 2 7 2" xfId="47568" xr:uid="{00000000-0005-0000-0000-000054910000}"/>
    <cellStyle name="Normal 2 3 8 15 2 8" xfId="47569" xr:uid="{00000000-0005-0000-0000-000055910000}"/>
    <cellStyle name="Normal 2 3 8 15 2 9" xfId="47570" xr:uid="{00000000-0005-0000-0000-000056910000}"/>
    <cellStyle name="Normal 2 3 8 15 3" xfId="15563" xr:uid="{00000000-0005-0000-0000-000057910000}"/>
    <cellStyle name="Normal 2 3 8 15 3 2" xfId="15564" xr:uid="{00000000-0005-0000-0000-000058910000}"/>
    <cellStyle name="Normal 2 3 8 15 3 2 2" xfId="15565" xr:uid="{00000000-0005-0000-0000-000059910000}"/>
    <cellStyle name="Normal 2 3 8 15 3 2 2 2" xfId="47571" xr:uid="{00000000-0005-0000-0000-00005A910000}"/>
    <cellStyle name="Normal 2 3 8 15 3 2 3" xfId="15566" xr:uid="{00000000-0005-0000-0000-00005B910000}"/>
    <cellStyle name="Normal 2 3 8 15 3 2 3 2" xfId="47572" xr:uid="{00000000-0005-0000-0000-00005C910000}"/>
    <cellStyle name="Normal 2 3 8 15 3 2 4" xfId="47573" xr:uid="{00000000-0005-0000-0000-00005D910000}"/>
    <cellStyle name="Normal 2 3 8 15 3 3" xfId="15567" xr:uid="{00000000-0005-0000-0000-00005E910000}"/>
    <cellStyle name="Normal 2 3 8 15 3 3 2" xfId="47574" xr:uid="{00000000-0005-0000-0000-00005F910000}"/>
    <cellStyle name="Normal 2 3 8 15 3 4" xfId="15568" xr:uid="{00000000-0005-0000-0000-000060910000}"/>
    <cellStyle name="Normal 2 3 8 15 3 4 2" xfId="47575" xr:uid="{00000000-0005-0000-0000-000061910000}"/>
    <cellStyle name="Normal 2 3 8 15 3 5" xfId="15569" xr:uid="{00000000-0005-0000-0000-000062910000}"/>
    <cellStyle name="Normal 2 3 8 15 3 5 2" xfId="47576" xr:uid="{00000000-0005-0000-0000-000063910000}"/>
    <cellStyle name="Normal 2 3 8 15 3 6" xfId="47577" xr:uid="{00000000-0005-0000-0000-000064910000}"/>
    <cellStyle name="Normal 2 3 8 15 3 6 2" xfId="47578" xr:uid="{00000000-0005-0000-0000-000065910000}"/>
    <cellStyle name="Normal 2 3 8 15 3 7" xfId="47579" xr:uid="{00000000-0005-0000-0000-000066910000}"/>
    <cellStyle name="Normal 2 3 8 15 4" xfId="15570" xr:uid="{00000000-0005-0000-0000-000067910000}"/>
    <cellStyle name="Normal 2 3 8 15 4 2" xfId="15571" xr:uid="{00000000-0005-0000-0000-000068910000}"/>
    <cellStyle name="Normal 2 3 8 15 4 2 2" xfId="47580" xr:uid="{00000000-0005-0000-0000-000069910000}"/>
    <cellStyle name="Normal 2 3 8 15 4 3" xfId="15572" xr:uid="{00000000-0005-0000-0000-00006A910000}"/>
    <cellStyle name="Normal 2 3 8 15 4 3 2" xfId="47581" xr:uid="{00000000-0005-0000-0000-00006B910000}"/>
    <cellStyle name="Normal 2 3 8 15 4 4" xfId="47582" xr:uid="{00000000-0005-0000-0000-00006C910000}"/>
    <cellStyle name="Normal 2 3 8 15 5" xfId="15573" xr:uid="{00000000-0005-0000-0000-00006D910000}"/>
    <cellStyle name="Normal 2 3 8 15 5 2" xfId="15574" xr:uid="{00000000-0005-0000-0000-00006E910000}"/>
    <cellStyle name="Normal 2 3 8 15 5 2 2" xfId="47583" xr:uid="{00000000-0005-0000-0000-00006F910000}"/>
    <cellStyle name="Normal 2 3 8 15 5 3" xfId="47584" xr:uid="{00000000-0005-0000-0000-000070910000}"/>
    <cellStyle name="Normal 2 3 8 15 6" xfId="15575" xr:uid="{00000000-0005-0000-0000-000071910000}"/>
    <cellStyle name="Normal 2 3 8 15 6 2" xfId="47585" xr:uid="{00000000-0005-0000-0000-000072910000}"/>
    <cellStyle name="Normal 2 3 8 15 7" xfId="15576" xr:uid="{00000000-0005-0000-0000-000073910000}"/>
    <cellStyle name="Normal 2 3 8 15 7 2" xfId="47586" xr:uid="{00000000-0005-0000-0000-000074910000}"/>
    <cellStyle name="Normal 2 3 8 15 8" xfId="47587" xr:uid="{00000000-0005-0000-0000-000075910000}"/>
    <cellStyle name="Normal 2 3 8 15 8 2" xfId="47588" xr:uid="{00000000-0005-0000-0000-000076910000}"/>
    <cellStyle name="Normal 2 3 8 15 9" xfId="47589" xr:uid="{00000000-0005-0000-0000-000077910000}"/>
    <cellStyle name="Normal 2 3 8 16" xfId="15577" xr:uid="{00000000-0005-0000-0000-000078910000}"/>
    <cellStyle name="Normal 2 3 8 16 10" xfId="47590" xr:uid="{00000000-0005-0000-0000-000079910000}"/>
    <cellStyle name="Normal 2 3 8 16 11" xfId="47591" xr:uid="{00000000-0005-0000-0000-00007A910000}"/>
    <cellStyle name="Normal 2 3 8 16 2" xfId="15578" xr:uid="{00000000-0005-0000-0000-00007B910000}"/>
    <cellStyle name="Normal 2 3 8 16 2 10" xfId="47592" xr:uid="{00000000-0005-0000-0000-00007C910000}"/>
    <cellStyle name="Normal 2 3 8 16 2 2" xfId="15579" xr:uid="{00000000-0005-0000-0000-00007D910000}"/>
    <cellStyle name="Normal 2 3 8 16 2 2 2" xfId="15580" xr:uid="{00000000-0005-0000-0000-00007E910000}"/>
    <cellStyle name="Normal 2 3 8 16 2 2 2 2" xfId="15581" xr:uid="{00000000-0005-0000-0000-00007F910000}"/>
    <cellStyle name="Normal 2 3 8 16 2 2 2 2 2" xfId="47593" xr:uid="{00000000-0005-0000-0000-000080910000}"/>
    <cellStyle name="Normal 2 3 8 16 2 2 2 3" xfId="15582" xr:uid="{00000000-0005-0000-0000-000081910000}"/>
    <cellStyle name="Normal 2 3 8 16 2 2 2 3 2" xfId="47594" xr:uid="{00000000-0005-0000-0000-000082910000}"/>
    <cellStyle name="Normal 2 3 8 16 2 2 2 4" xfId="47595" xr:uid="{00000000-0005-0000-0000-000083910000}"/>
    <cellStyle name="Normal 2 3 8 16 2 2 3" xfId="15583" xr:uid="{00000000-0005-0000-0000-000084910000}"/>
    <cellStyle name="Normal 2 3 8 16 2 2 3 2" xfId="47596" xr:uid="{00000000-0005-0000-0000-000085910000}"/>
    <cellStyle name="Normal 2 3 8 16 2 2 4" xfId="15584" xr:uid="{00000000-0005-0000-0000-000086910000}"/>
    <cellStyle name="Normal 2 3 8 16 2 2 4 2" xfId="47597" xr:uid="{00000000-0005-0000-0000-000087910000}"/>
    <cellStyle name="Normal 2 3 8 16 2 2 5" xfId="15585" xr:uid="{00000000-0005-0000-0000-000088910000}"/>
    <cellStyle name="Normal 2 3 8 16 2 2 5 2" xfId="47598" xr:uid="{00000000-0005-0000-0000-000089910000}"/>
    <cellStyle name="Normal 2 3 8 16 2 2 6" xfId="47599" xr:uid="{00000000-0005-0000-0000-00008A910000}"/>
    <cellStyle name="Normal 2 3 8 16 2 2 6 2" xfId="47600" xr:uid="{00000000-0005-0000-0000-00008B910000}"/>
    <cellStyle name="Normal 2 3 8 16 2 2 7" xfId="47601" xr:uid="{00000000-0005-0000-0000-00008C910000}"/>
    <cellStyle name="Normal 2 3 8 16 2 3" xfId="15586" xr:uid="{00000000-0005-0000-0000-00008D910000}"/>
    <cellStyle name="Normal 2 3 8 16 2 3 2" xfId="15587" xr:uid="{00000000-0005-0000-0000-00008E910000}"/>
    <cellStyle name="Normal 2 3 8 16 2 3 2 2" xfId="47602" xr:uid="{00000000-0005-0000-0000-00008F910000}"/>
    <cellStyle name="Normal 2 3 8 16 2 3 3" xfId="15588" xr:uid="{00000000-0005-0000-0000-000090910000}"/>
    <cellStyle name="Normal 2 3 8 16 2 3 3 2" xfId="47603" xr:uid="{00000000-0005-0000-0000-000091910000}"/>
    <cellStyle name="Normal 2 3 8 16 2 3 4" xfId="47604" xr:uid="{00000000-0005-0000-0000-000092910000}"/>
    <cellStyle name="Normal 2 3 8 16 2 4" xfId="15589" xr:uid="{00000000-0005-0000-0000-000093910000}"/>
    <cellStyle name="Normal 2 3 8 16 2 4 2" xfId="15590" xr:uid="{00000000-0005-0000-0000-000094910000}"/>
    <cellStyle name="Normal 2 3 8 16 2 4 2 2" xfId="47605" xr:uid="{00000000-0005-0000-0000-000095910000}"/>
    <cellStyle name="Normal 2 3 8 16 2 4 3" xfId="47606" xr:uid="{00000000-0005-0000-0000-000096910000}"/>
    <cellStyle name="Normal 2 3 8 16 2 5" xfId="15591" xr:uid="{00000000-0005-0000-0000-000097910000}"/>
    <cellStyle name="Normal 2 3 8 16 2 5 2" xfId="47607" xr:uid="{00000000-0005-0000-0000-000098910000}"/>
    <cellStyle name="Normal 2 3 8 16 2 6" xfId="15592" xr:uid="{00000000-0005-0000-0000-000099910000}"/>
    <cellStyle name="Normal 2 3 8 16 2 6 2" xfId="47608" xr:uid="{00000000-0005-0000-0000-00009A910000}"/>
    <cellStyle name="Normal 2 3 8 16 2 7" xfId="47609" xr:uid="{00000000-0005-0000-0000-00009B910000}"/>
    <cellStyle name="Normal 2 3 8 16 2 7 2" xfId="47610" xr:uid="{00000000-0005-0000-0000-00009C910000}"/>
    <cellStyle name="Normal 2 3 8 16 2 8" xfId="47611" xr:uid="{00000000-0005-0000-0000-00009D910000}"/>
    <cellStyle name="Normal 2 3 8 16 2 9" xfId="47612" xr:uid="{00000000-0005-0000-0000-00009E910000}"/>
    <cellStyle name="Normal 2 3 8 16 3" xfId="15593" xr:uid="{00000000-0005-0000-0000-00009F910000}"/>
    <cellStyle name="Normal 2 3 8 16 3 2" xfId="15594" xr:uid="{00000000-0005-0000-0000-0000A0910000}"/>
    <cellStyle name="Normal 2 3 8 16 3 2 2" xfId="15595" xr:uid="{00000000-0005-0000-0000-0000A1910000}"/>
    <cellStyle name="Normal 2 3 8 16 3 2 2 2" xfId="47613" xr:uid="{00000000-0005-0000-0000-0000A2910000}"/>
    <cellStyle name="Normal 2 3 8 16 3 2 3" xfId="15596" xr:uid="{00000000-0005-0000-0000-0000A3910000}"/>
    <cellStyle name="Normal 2 3 8 16 3 2 3 2" xfId="47614" xr:uid="{00000000-0005-0000-0000-0000A4910000}"/>
    <cellStyle name="Normal 2 3 8 16 3 2 4" xfId="47615" xr:uid="{00000000-0005-0000-0000-0000A5910000}"/>
    <cellStyle name="Normal 2 3 8 16 3 3" xfId="15597" xr:uid="{00000000-0005-0000-0000-0000A6910000}"/>
    <cellStyle name="Normal 2 3 8 16 3 3 2" xfId="47616" xr:uid="{00000000-0005-0000-0000-0000A7910000}"/>
    <cellStyle name="Normal 2 3 8 16 3 4" xfId="15598" xr:uid="{00000000-0005-0000-0000-0000A8910000}"/>
    <cellStyle name="Normal 2 3 8 16 3 4 2" xfId="47617" xr:uid="{00000000-0005-0000-0000-0000A9910000}"/>
    <cellStyle name="Normal 2 3 8 16 3 5" xfId="15599" xr:uid="{00000000-0005-0000-0000-0000AA910000}"/>
    <cellStyle name="Normal 2 3 8 16 3 5 2" xfId="47618" xr:uid="{00000000-0005-0000-0000-0000AB910000}"/>
    <cellStyle name="Normal 2 3 8 16 3 6" xfId="47619" xr:uid="{00000000-0005-0000-0000-0000AC910000}"/>
    <cellStyle name="Normal 2 3 8 16 3 6 2" xfId="47620" xr:uid="{00000000-0005-0000-0000-0000AD910000}"/>
    <cellStyle name="Normal 2 3 8 16 3 7" xfId="47621" xr:uid="{00000000-0005-0000-0000-0000AE910000}"/>
    <cellStyle name="Normal 2 3 8 16 4" xfId="15600" xr:uid="{00000000-0005-0000-0000-0000AF910000}"/>
    <cellStyle name="Normal 2 3 8 16 4 2" xfId="15601" xr:uid="{00000000-0005-0000-0000-0000B0910000}"/>
    <cellStyle name="Normal 2 3 8 16 4 2 2" xfId="47622" xr:uid="{00000000-0005-0000-0000-0000B1910000}"/>
    <cellStyle name="Normal 2 3 8 16 4 3" xfId="15602" xr:uid="{00000000-0005-0000-0000-0000B2910000}"/>
    <cellStyle name="Normal 2 3 8 16 4 3 2" xfId="47623" xr:uid="{00000000-0005-0000-0000-0000B3910000}"/>
    <cellStyle name="Normal 2 3 8 16 4 4" xfId="47624" xr:uid="{00000000-0005-0000-0000-0000B4910000}"/>
    <cellStyle name="Normal 2 3 8 16 5" xfId="15603" xr:uid="{00000000-0005-0000-0000-0000B5910000}"/>
    <cellStyle name="Normal 2 3 8 16 5 2" xfId="15604" xr:uid="{00000000-0005-0000-0000-0000B6910000}"/>
    <cellStyle name="Normal 2 3 8 16 5 2 2" xfId="47625" xr:uid="{00000000-0005-0000-0000-0000B7910000}"/>
    <cellStyle name="Normal 2 3 8 16 5 3" xfId="47626" xr:uid="{00000000-0005-0000-0000-0000B8910000}"/>
    <cellStyle name="Normal 2 3 8 16 6" xfId="15605" xr:uid="{00000000-0005-0000-0000-0000B9910000}"/>
    <cellStyle name="Normal 2 3 8 16 6 2" xfId="47627" xr:uid="{00000000-0005-0000-0000-0000BA910000}"/>
    <cellStyle name="Normal 2 3 8 16 7" xfId="15606" xr:uid="{00000000-0005-0000-0000-0000BB910000}"/>
    <cellStyle name="Normal 2 3 8 16 7 2" xfId="47628" xr:uid="{00000000-0005-0000-0000-0000BC910000}"/>
    <cellStyle name="Normal 2 3 8 16 8" xfId="47629" xr:uid="{00000000-0005-0000-0000-0000BD910000}"/>
    <cellStyle name="Normal 2 3 8 16 8 2" xfId="47630" xr:uid="{00000000-0005-0000-0000-0000BE910000}"/>
    <cellStyle name="Normal 2 3 8 16 9" xfId="47631" xr:uid="{00000000-0005-0000-0000-0000BF910000}"/>
    <cellStyle name="Normal 2 3 8 17" xfId="15607" xr:uid="{00000000-0005-0000-0000-0000C0910000}"/>
    <cellStyle name="Normal 2 3 8 17 10" xfId="47632" xr:uid="{00000000-0005-0000-0000-0000C1910000}"/>
    <cellStyle name="Normal 2 3 8 17 11" xfId="47633" xr:uid="{00000000-0005-0000-0000-0000C2910000}"/>
    <cellStyle name="Normal 2 3 8 17 2" xfId="15608" xr:uid="{00000000-0005-0000-0000-0000C3910000}"/>
    <cellStyle name="Normal 2 3 8 17 2 10" xfId="47634" xr:uid="{00000000-0005-0000-0000-0000C4910000}"/>
    <cellStyle name="Normal 2 3 8 17 2 2" xfId="15609" xr:uid="{00000000-0005-0000-0000-0000C5910000}"/>
    <cellStyle name="Normal 2 3 8 17 2 2 2" xfId="15610" xr:uid="{00000000-0005-0000-0000-0000C6910000}"/>
    <cellStyle name="Normal 2 3 8 17 2 2 2 2" xfId="15611" xr:uid="{00000000-0005-0000-0000-0000C7910000}"/>
    <cellStyle name="Normal 2 3 8 17 2 2 2 2 2" xfId="47635" xr:uid="{00000000-0005-0000-0000-0000C8910000}"/>
    <cellStyle name="Normal 2 3 8 17 2 2 2 3" xfId="15612" xr:uid="{00000000-0005-0000-0000-0000C9910000}"/>
    <cellStyle name="Normal 2 3 8 17 2 2 2 3 2" xfId="47636" xr:uid="{00000000-0005-0000-0000-0000CA910000}"/>
    <cellStyle name="Normal 2 3 8 17 2 2 2 4" xfId="47637" xr:uid="{00000000-0005-0000-0000-0000CB910000}"/>
    <cellStyle name="Normal 2 3 8 17 2 2 3" xfId="15613" xr:uid="{00000000-0005-0000-0000-0000CC910000}"/>
    <cellStyle name="Normal 2 3 8 17 2 2 3 2" xfId="47638" xr:uid="{00000000-0005-0000-0000-0000CD910000}"/>
    <cellStyle name="Normal 2 3 8 17 2 2 4" xfId="15614" xr:uid="{00000000-0005-0000-0000-0000CE910000}"/>
    <cellStyle name="Normal 2 3 8 17 2 2 4 2" xfId="47639" xr:uid="{00000000-0005-0000-0000-0000CF910000}"/>
    <cellStyle name="Normal 2 3 8 17 2 2 5" xfId="15615" xr:uid="{00000000-0005-0000-0000-0000D0910000}"/>
    <cellStyle name="Normal 2 3 8 17 2 2 5 2" xfId="47640" xr:uid="{00000000-0005-0000-0000-0000D1910000}"/>
    <cellStyle name="Normal 2 3 8 17 2 2 6" xfId="47641" xr:uid="{00000000-0005-0000-0000-0000D2910000}"/>
    <cellStyle name="Normal 2 3 8 17 2 2 6 2" xfId="47642" xr:uid="{00000000-0005-0000-0000-0000D3910000}"/>
    <cellStyle name="Normal 2 3 8 17 2 2 7" xfId="47643" xr:uid="{00000000-0005-0000-0000-0000D4910000}"/>
    <cellStyle name="Normal 2 3 8 17 2 3" xfId="15616" xr:uid="{00000000-0005-0000-0000-0000D5910000}"/>
    <cellStyle name="Normal 2 3 8 17 2 3 2" xfId="15617" xr:uid="{00000000-0005-0000-0000-0000D6910000}"/>
    <cellStyle name="Normal 2 3 8 17 2 3 2 2" xfId="47644" xr:uid="{00000000-0005-0000-0000-0000D7910000}"/>
    <cellStyle name="Normal 2 3 8 17 2 3 3" xfId="15618" xr:uid="{00000000-0005-0000-0000-0000D8910000}"/>
    <cellStyle name="Normal 2 3 8 17 2 3 3 2" xfId="47645" xr:uid="{00000000-0005-0000-0000-0000D9910000}"/>
    <cellStyle name="Normal 2 3 8 17 2 3 4" xfId="47646" xr:uid="{00000000-0005-0000-0000-0000DA910000}"/>
    <cellStyle name="Normal 2 3 8 17 2 4" xfId="15619" xr:uid="{00000000-0005-0000-0000-0000DB910000}"/>
    <cellStyle name="Normal 2 3 8 17 2 4 2" xfId="15620" xr:uid="{00000000-0005-0000-0000-0000DC910000}"/>
    <cellStyle name="Normal 2 3 8 17 2 4 2 2" xfId="47647" xr:uid="{00000000-0005-0000-0000-0000DD910000}"/>
    <cellStyle name="Normal 2 3 8 17 2 4 3" xfId="47648" xr:uid="{00000000-0005-0000-0000-0000DE910000}"/>
    <cellStyle name="Normal 2 3 8 17 2 5" xfId="15621" xr:uid="{00000000-0005-0000-0000-0000DF910000}"/>
    <cellStyle name="Normal 2 3 8 17 2 5 2" xfId="47649" xr:uid="{00000000-0005-0000-0000-0000E0910000}"/>
    <cellStyle name="Normal 2 3 8 17 2 6" xfId="15622" xr:uid="{00000000-0005-0000-0000-0000E1910000}"/>
    <cellStyle name="Normal 2 3 8 17 2 6 2" xfId="47650" xr:uid="{00000000-0005-0000-0000-0000E2910000}"/>
    <cellStyle name="Normal 2 3 8 17 2 7" xfId="47651" xr:uid="{00000000-0005-0000-0000-0000E3910000}"/>
    <cellStyle name="Normal 2 3 8 17 2 7 2" xfId="47652" xr:uid="{00000000-0005-0000-0000-0000E4910000}"/>
    <cellStyle name="Normal 2 3 8 17 2 8" xfId="47653" xr:uid="{00000000-0005-0000-0000-0000E5910000}"/>
    <cellStyle name="Normal 2 3 8 17 2 9" xfId="47654" xr:uid="{00000000-0005-0000-0000-0000E6910000}"/>
    <cellStyle name="Normal 2 3 8 17 3" xfId="15623" xr:uid="{00000000-0005-0000-0000-0000E7910000}"/>
    <cellStyle name="Normal 2 3 8 17 3 2" xfId="15624" xr:uid="{00000000-0005-0000-0000-0000E8910000}"/>
    <cellStyle name="Normal 2 3 8 17 3 2 2" xfId="15625" xr:uid="{00000000-0005-0000-0000-0000E9910000}"/>
    <cellStyle name="Normal 2 3 8 17 3 2 2 2" xfId="47655" xr:uid="{00000000-0005-0000-0000-0000EA910000}"/>
    <cellStyle name="Normal 2 3 8 17 3 2 3" xfId="15626" xr:uid="{00000000-0005-0000-0000-0000EB910000}"/>
    <cellStyle name="Normal 2 3 8 17 3 2 3 2" xfId="47656" xr:uid="{00000000-0005-0000-0000-0000EC910000}"/>
    <cellStyle name="Normal 2 3 8 17 3 2 4" xfId="47657" xr:uid="{00000000-0005-0000-0000-0000ED910000}"/>
    <cellStyle name="Normal 2 3 8 17 3 3" xfId="15627" xr:uid="{00000000-0005-0000-0000-0000EE910000}"/>
    <cellStyle name="Normal 2 3 8 17 3 3 2" xfId="47658" xr:uid="{00000000-0005-0000-0000-0000EF910000}"/>
    <cellStyle name="Normal 2 3 8 17 3 4" xfId="15628" xr:uid="{00000000-0005-0000-0000-0000F0910000}"/>
    <cellStyle name="Normal 2 3 8 17 3 4 2" xfId="47659" xr:uid="{00000000-0005-0000-0000-0000F1910000}"/>
    <cellStyle name="Normal 2 3 8 17 3 5" xfId="15629" xr:uid="{00000000-0005-0000-0000-0000F2910000}"/>
    <cellStyle name="Normal 2 3 8 17 3 5 2" xfId="47660" xr:uid="{00000000-0005-0000-0000-0000F3910000}"/>
    <cellStyle name="Normal 2 3 8 17 3 6" xfId="47661" xr:uid="{00000000-0005-0000-0000-0000F4910000}"/>
    <cellStyle name="Normal 2 3 8 17 3 6 2" xfId="47662" xr:uid="{00000000-0005-0000-0000-0000F5910000}"/>
    <cellStyle name="Normal 2 3 8 17 3 7" xfId="47663" xr:uid="{00000000-0005-0000-0000-0000F6910000}"/>
    <cellStyle name="Normal 2 3 8 17 4" xfId="15630" xr:uid="{00000000-0005-0000-0000-0000F7910000}"/>
    <cellStyle name="Normal 2 3 8 17 4 2" xfId="15631" xr:uid="{00000000-0005-0000-0000-0000F8910000}"/>
    <cellStyle name="Normal 2 3 8 17 4 2 2" xfId="47664" xr:uid="{00000000-0005-0000-0000-0000F9910000}"/>
    <cellStyle name="Normal 2 3 8 17 4 3" xfId="15632" xr:uid="{00000000-0005-0000-0000-0000FA910000}"/>
    <cellStyle name="Normal 2 3 8 17 4 3 2" xfId="47665" xr:uid="{00000000-0005-0000-0000-0000FB910000}"/>
    <cellStyle name="Normal 2 3 8 17 4 4" xfId="47666" xr:uid="{00000000-0005-0000-0000-0000FC910000}"/>
    <cellStyle name="Normal 2 3 8 17 5" xfId="15633" xr:uid="{00000000-0005-0000-0000-0000FD910000}"/>
    <cellStyle name="Normal 2 3 8 17 5 2" xfId="15634" xr:uid="{00000000-0005-0000-0000-0000FE910000}"/>
    <cellStyle name="Normal 2 3 8 17 5 2 2" xfId="47667" xr:uid="{00000000-0005-0000-0000-0000FF910000}"/>
    <cellStyle name="Normal 2 3 8 17 5 3" xfId="47668" xr:uid="{00000000-0005-0000-0000-000000920000}"/>
    <cellStyle name="Normal 2 3 8 17 6" xfId="15635" xr:uid="{00000000-0005-0000-0000-000001920000}"/>
    <cellStyle name="Normal 2 3 8 17 6 2" xfId="47669" xr:uid="{00000000-0005-0000-0000-000002920000}"/>
    <cellStyle name="Normal 2 3 8 17 7" xfId="15636" xr:uid="{00000000-0005-0000-0000-000003920000}"/>
    <cellStyle name="Normal 2 3 8 17 7 2" xfId="47670" xr:uid="{00000000-0005-0000-0000-000004920000}"/>
    <cellStyle name="Normal 2 3 8 17 8" xfId="47671" xr:uid="{00000000-0005-0000-0000-000005920000}"/>
    <cellStyle name="Normal 2 3 8 17 8 2" xfId="47672" xr:uid="{00000000-0005-0000-0000-000006920000}"/>
    <cellStyle name="Normal 2 3 8 17 9" xfId="47673" xr:uid="{00000000-0005-0000-0000-000007920000}"/>
    <cellStyle name="Normal 2 3 8 18" xfId="15637" xr:uid="{00000000-0005-0000-0000-000008920000}"/>
    <cellStyle name="Normal 2 3 8 18 10" xfId="47674" xr:uid="{00000000-0005-0000-0000-000009920000}"/>
    <cellStyle name="Normal 2 3 8 18 11" xfId="47675" xr:uid="{00000000-0005-0000-0000-00000A920000}"/>
    <cellStyle name="Normal 2 3 8 18 2" xfId="15638" xr:uid="{00000000-0005-0000-0000-00000B920000}"/>
    <cellStyle name="Normal 2 3 8 18 2 10" xfId="47676" xr:uid="{00000000-0005-0000-0000-00000C920000}"/>
    <cellStyle name="Normal 2 3 8 18 2 2" xfId="15639" xr:uid="{00000000-0005-0000-0000-00000D920000}"/>
    <cellStyle name="Normal 2 3 8 18 2 2 2" xfId="15640" xr:uid="{00000000-0005-0000-0000-00000E920000}"/>
    <cellStyle name="Normal 2 3 8 18 2 2 2 2" xfId="15641" xr:uid="{00000000-0005-0000-0000-00000F920000}"/>
    <cellStyle name="Normal 2 3 8 18 2 2 2 2 2" xfId="47677" xr:uid="{00000000-0005-0000-0000-000010920000}"/>
    <cellStyle name="Normal 2 3 8 18 2 2 2 3" xfId="15642" xr:uid="{00000000-0005-0000-0000-000011920000}"/>
    <cellStyle name="Normal 2 3 8 18 2 2 2 3 2" xfId="47678" xr:uid="{00000000-0005-0000-0000-000012920000}"/>
    <cellStyle name="Normal 2 3 8 18 2 2 2 4" xfId="47679" xr:uid="{00000000-0005-0000-0000-000013920000}"/>
    <cellStyle name="Normal 2 3 8 18 2 2 3" xfId="15643" xr:uid="{00000000-0005-0000-0000-000014920000}"/>
    <cellStyle name="Normal 2 3 8 18 2 2 3 2" xfId="47680" xr:uid="{00000000-0005-0000-0000-000015920000}"/>
    <cellStyle name="Normal 2 3 8 18 2 2 4" xfId="15644" xr:uid="{00000000-0005-0000-0000-000016920000}"/>
    <cellStyle name="Normal 2 3 8 18 2 2 4 2" xfId="47681" xr:uid="{00000000-0005-0000-0000-000017920000}"/>
    <cellStyle name="Normal 2 3 8 18 2 2 5" xfId="15645" xr:uid="{00000000-0005-0000-0000-000018920000}"/>
    <cellStyle name="Normal 2 3 8 18 2 2 5 2" xfId="47682" xr:uid="{00000000-0005-0000-0000-000019920000}"/>
    <cellStyle name="Normal 2 3 8 18 2 2 6" xfId="47683" xr:uid="{00000000-0005-0000-0000-00001A920000}"/>
    <cellStyle name="Normal 2 3 8 18 2 2 6 2" xfId="47684" xr:uid="{00000000-0005-0000-0000-00001B920000}"/>
    <cellStyle name="Normal 2 3 8 18 2 2 7" xfId="47685" xr:uid="{00000000-0005-0000-0000-00001C920000}"/>
    <cellStyle name="Normal 2 3 8 18 2 3" xfId="15646" xr:uid="{00000000-0005-0000-0000-00001D920000}"/>
    <cellStyle name="Normal 2 3 8 18 2 3 2" xfId="15647" xr:uid="{00000000-0005-0000-0000-00001E920000}"/>
    <cellStyle name="Normal 2 3 8 18 2 3 2 2" xfId="47686" xr:uid="{00000000-0005-0000-0000-00001F920000}"/>
    <cellStyle name="Normal 2 3 8 18 2 3 3" xfId="15648" xr:uid="{00000000-0005-0000-0000-000020920000}"/>
    <cellStyle name="Normal 2 3 8 18 2 3 3 2" xfId="47687" xr:uid="{00000000-0005-0000-0000-000021920000}"/>
    <cellStyle name="Normal 2 3 8 18 2 3 4" xfId="47688" xr:uid="{00000000-0005-0000-0000-000022920000}"/>
    <cellStyle name="Normal 2 3 8 18 2 4" xfId="15649" xr:uid="{00000000-0005-0000-0000-000023920000}"/>
    <cellStyle name="Normal 2 3 8 18 2 4 2" xfId="15650" xr:uid="{00000000-0005-0000-0000-000024920000}"/>
    <cellStyle name="Normal 2 3 8 18 2 4 2 2" xfId="47689" xr:uid="{00000000-0005-0000-0000-000025920000}"/>
    <cellStyle name="Normal 2 3 8 18 2 4 3" xfId="47690" xr:uid="{00000000-0005-0000-0000-000026920000}"/>
    <cellStyle name="Normal 2 3 8 18 2 5" xfId="15651" xr:uid="{00000000-0005-0000-0000-000027920000}"/>
    <cellStyle name="Normal 2 3 8 18 2 5 2" xfId="47691" xr:uid="{00000000-0005-0000-0000-000028920000}"/>
    <cellStyle name="Normal 2 3 8 18 2 6" xfId="15652" xr:uid="{00000000-0005-0000-0000-000029920000}"/>
    <cellStyle name="Normal 2 3 8 18 2 6 2" xfId="47692" xr:uid="{00000000-0005-0000-0000-00002A920000}"/>
    <cellStyle name="Normal 2 3 8 18 2 7" xfId="47693" xr:uid="{00000000-0005-0000-0000-00002B920000}"/>
    <cellStyle name="Normal 2 3 8 18 2 7 2" xfId="47694" xr:uid="{00000000-0005-0000-0000-00002C920000}"/>
    <cellStyle name="Normal 2 3 8 18 2 8" xfId="47695" xr:uid="{00000000-0005-0000-0000-00002D920000}"/>
    <cellStyle name="Normal 2 3 8 18 2 9" xfId="47696" xr:uid="{00000000-0005-0000-0000-00002E920000}"/>
    <cellStyle name="Normal 2 3 8 18 3" xfId="15653" xr:uid="{00000000-0005-0000-0000-00002F920000}"/>
    <cellStyle name="Normal 2 3 8 18 3 2" xfId="15654" xr:uid="{00000000-0005-0000-0000-000030920000}"/>
    <cellStyle name="Normal 2 3 8 18 3 2 2" xfId="15655" xr:uid="{00000000-0005-0000-0000-000031920000}"/>
    <cellStyle name="Normal 2 3 8 18 3 2 2 2" xfId="47697" xr:uid="{00000000-0005-0000-0000-000032920000}"/>
    <cellStyle name="Normal 2 3 8 18 3 2 3" xfId="15656" xr:uid="{00000000-0005-0000-0000-000033920000}"/>
    <cellStyle name="Normal 2 3 8 18 3 2 3 2" xfId="47698" xr:uid="{00000000-0005-0000-0000-000034920000}"/>
    <cellStyle name="Normal 2 3 8 18 3 2 4" xfId="47699" xr:uid="{00000000-0005-0000-0000-000035920000}"/>
    <cellStyle name="Normal 2 3 8 18 3 3" xfId="15657" xr:uid="{00000000-0005-0000-0000-000036920000}"/>
    <cellStyle name="Normal 2 3 8 18 3 3 2" xfId="47700" xr:uid="{00000000-0005-0000-0000-000037920000}"/>
    <cellStyle name="Normal 2 3 8 18 3 4" xfId="15658" xr:uid="{00000000-0005-0000-0000-000038920000}"/>
    <cellStyle name="Normal 2 3 8 18 3 4 2" xfId="47701" xr:uid="{00000000-0005-0000-0000-000039920000}"/>
    <cellStyle name="Normal 2 3 8 18 3 5" xfId="15659" xr:uid="{00000000-0005-0000-0000-00003A920000}"/>
    <cellStyle name="Normal 2 3 8 18 3 5 2" xfId="47702" xr:uid="{00000000-0005-0000-0000-00003B920000}"/>
    <cellStyle name="Normal 2 3 8 18 3 6" xfId="47703" xr:uid="{00000000-0005-0000-0000-00003C920000}"/>
    <cellStyle name="Normal 2 3 8 18 3 6 2" xfId="47704" xr:uid="{00000000-0005-0000-0000-00003D920000}"/>
    <cellStyle name="Normal 2 3 8 18 3 7" xfId="47705" xr:uid="{00000000-0005-0000-0000-00003E920000}"/>
    <cellStyle name="Normal 2 3 8 18 4" xfId="15660" xr:uid="{00000000-0005-0000-0000-00003F920000}"/>
    <cellStyle name="Normal 2 3 8 18 4 2" xfId="15661" xr:uid="{00000000-0005-0000-0000-000040920000}"/>
    <cellStyle name="Normal 2 3 8 18 4 2 2" xfId="47706" xr:uid="{00000000-0005-0000-0000-000041920000}"/>
    <cellStyle name="Normal 2 3 8 18 4 3" xfId="15662" xr:uid="{00000000-0005-0000-0000-000042920000}"/>
    <cellStyle name="Normal 2 3 8 18 4 3 2" xfId="47707" xr:uid="{00000000-0005-0000-0000-000043920000}"/>
    <cellStyle name="Normal 2 3 8 18 4 4" xfId="47708" xr:uid="{00000000-0005-0000-0000-000044920000}"/>
    <cellStyle name="Normal 2 3 8 18 5" xfId="15663" xr:uid="{00000000-0005-0000-0000-000045920000}"/>
    <cellStyle name="Normal 2 3 8 18 5 2" xfId="15664" xr:uid="{00000000-0005-0000-0000-000046920000}"/>
    <cellStyle name="Normal 2 3 8 18 5 2 2" xfId="47709" xr:uid="{00000000-0005-0000-0000-000047920000}"/>
    <cellStyle name="Normal 2 3 8 18 5 3" xfId="47710" xr:uid="{00000000-0005-0000-0000-000048920000}"/>
    <cellStyle name="Normal 2 3 8 18 6" xfId="15665" xr:uid="{00000000-0005-0000-0000-000049920000}"/>
    <cellStyle name="Normal 2 3 8 18 6 2" xfId="47711" xr:uid="{00000000-0005-0000-0000-00004A920000}"/>
    <cellStyle name="Normal 2 3 8 18 7" xfId="15666" xr:uid="{00000000-0005-0000-0000-00004B920000}"/>
    <cellStyle name="Normal 2 3 8 18 7 2" xfId="47712" xr:uid="{00000000-0005-0000-0000-00004C920000}"/>
    <cellStyle name="Normal 2 3 8 18 8" xfId="47713" xr:uid="{00000000-0005-0000-0000-00004D920000}"/>
    <cellStyle name="Normal 2 3 8 18 8 2" xfId="47714" xr:uid="{00000000-0005-0000-0000-00004E920000}"/>
    <cellStyle name="Normal 2 3 8 18 9" xfId="47715" xr:uid="{00000000-0005-0000-0000-00004F920000}"/>
    <cellStyle name="Normal 2 3 8 19" xfId="15667" xr:uid="{00000000-0005-0000-0000-000050920000}"/>
    <cellStyle name="Normal 2 3 8 19 10" xfId="47716" xr:uid="{00000000-0005-0000-0000-000051920000}"/>
    <cellStyle name="Normal 2 3 8 19 11" xfId="47717" xr:uid="{00000000-0005-0000-0000-000052920000}"/>
    <cellStyle name="Normal 2 3 8 19 2" xfId="15668" xr:uid="{00000000-0005-0000-0000-000053920000}"/>
    <cellStyle name="Normal 2 3 8 19 2 10" xfId="47718" xr:uid="{00000000-0005-0000-0000-000054920000}"/>
    <cellStyle name="Normal 2 3 8 19 2 2" xfId="15669" xr:uid="{00000000-0005-0000-0000-000055920000}"/>
    <cellStyle name="Normal 2 3 8 19 2 2 2" xfId="15670" xr:uid="{00000000-0005-0000-0000-000056920000}"/>
    <cellStyle name="Normal 2 3 8 19 2 2 2 2" xfId="15671" xr:uid="{00000000-0005-0000-0000-000057920000}"/>
    <cellStyle name="Normal 2 3 8 19 2 2 2 2 2" xfId="47719" xr:uid="{00000000-0005-0000-0000-000058920000}"/>
    <cellStyle name="Normal 2 3 8 19 2 2 2 3" xfId="15672" xr:uid="{00000000-0005-0000-0000-000059920000}"/>
    <cellStyle name="Normal 2 3 8 19 2 2 2 3 2" xfId="47720" xr:uid="{00000000-0005-0000-0000-00005A920000}"/>
    <cellStyle name="Normal 2 3 8 19 2 2 2 4" xfId="47721" xr:uid="{00000000-0005-0000-0000-00005B920000}"/>
    <cellStyle name="Normal 2 3 8 19 2 2 3" xfId="15673" xr:uid="{00000000-0005-0000-0000-00005C920000}"/>
    <cellStyle name="Normal 2 3 8 19 2 2 3 2" xfId="47722" xr:uid="{00000000-0005-0000-0000-00005D920000}"/>
    <cellStyle name="Normal 2 3 8 19 2 2 4" xfId="15674" xr:uid="{00000000-0005-0000-0000-00005E920000}"/>
    <cellStyle name="Normal 2 3 8 19 2 2 4 2" xfId="47723" xr:uid="{00000000-0005-0000-0000-00005F920000}"/>
    <cellStyle name="Normal 2 3 8 19 2 2 5" xfId="15675" xr:uid="{00000000-0005-0000-0000-000060920000}"/>
    <cellStyle name="Normal 2 3 8 19 2 2 5 2" xfId="47724" xr:uid="{00000000-0005-0000-0000-000061920000}"/>
    <cellStyle name="Normal 2 3 8 19 2 2 6" xfId="47725" xr:uid="{00000000-0005-0000-0000-000062920000}"/>
    <cellStyle name="Normal 2 3 8 19 2 2 6 2" xfId="47726" xr:uid="{00000000-0005-0000-0000-000063920000}"/>
    <cellStyle name="Normal 2 3 8 19 2 2 7" xfId="47727" xr:uid="{00000000-0005-0000-0000-000064920000}"/>
    <cellStyle name="Normal 2 3 8 19 2 3" xfId="15676" xr:uid="{00000000-0005-0000-0000-000065920000}"/>
    <cellStyle name="Normal 2 3 8 19 2 3 2" xfId="15677" xr:uid="{00000000-0005-0000-0000-000066920000}"/>
    <cellStyle name="Normal 2 3 8 19 2 3 2 2" xfId="47728" xr:uid="{00000000-0005-0000-0000-000067920000}"/>
    <cellStyle name="Normal 2 3 8 19 2 3 3" xfId="15678" xr:uid="{00000000-0005-0000-0000-000068920000}"/>
    <cellStyle name="Normal 2 3 8 19 2 3 3 2" xfId="47729" xr:uid="{00000000-0005-0000-0000-000069920000}"/>
    <cellStyle name="Normal 2 3 8 19 2 3 4" xfId="47730" xr:uid="{00000000-0005-0000-0000-00006A920000}"/>
    <cellStyle name="Normal 2 3 8 19 2 4" xfId="15679" xr:uid="{00000000-0005-0000-0000-00006B920000}"/>
    <cellStyle name="Normal 2 3 8 19 2 4 2" xfId="15680" xr:uid="{00000000-0005-0000-0000-00006C920000}"/>
    <cellStyle name="Normal 2 3 8 19 2 4 2 2" xfId="47731" xr:uid="{00000000-0005-0000-0000-00006D920000}"/>
    <cellStyle name="Normal 2 3 8 19 2 4 3" xfId="47732" xr:uid="{00000000-0005-0000-0000-00006E920000}"/>
    <cellStyle name="Normal 2 3 8 19 2 5" xfId="15681" xr:uid="{00000000-0005-0000-0000-00006F920000}"/>
    <cellStyle name="Normal 2 3 8 19 2 5 2" xfId="47733" xr:uid="{00000000-0005-0000-0000-000070920000}"/>
    <cellStyle name="Normal 2 3 8 19 2 6" xfId="15682" xr:uid="{00000000-0005-0000-0000-000071920000}"/>
    <cellStyle name="Normal 2 3 8 19 2 6 2" xfId="47734" xr:uid="{00000000-0005-0000-0000-000072920000}"/>
    <cellStyle name="Normal 2 3 8 19 2 7" xfId="47735" xr:uid="{00000000-0005-0000-0000-000073920000}"/>
    <cellStyle name="Normal 2 3 8 19 2 7 2" xfId="47736" xr:uid="{00000000-0005-0000-0000-000074920000}"/>
    <cellStyle name="Normal 2 3 8 19 2 8" xfId="47737" xr:uid="{00000000-0005-0000-0000-000075920000}"/>
    <cellStyle name="Normal 2 3 8 19 2 9" xfId="47738" xr:uid="{00000000-0005-0000-0000-000076920000}"/>
    <cellStyle name="Normal 2 3 8 19 3" xfId="15683" xr:uid="{00000000-0005-0000-0000-000077920000}"/>
    <cellStyle name="Normal 2 3 8 19 3 2" xfId="15684" xr:uid="{00000000-0005-0000-0000-000078920000}"/>
    <cellStyle name="Normal 2 3 8 19 3 2 2" xfId="15685" xr:uid="{00000000-0005-0000-0000-000079920000}"/>
    <cellStyle name="Normal 2 3 8 19 3 2 2 2" xfId="47739" xr:uid="{00000000-0005-0000-0000-00007A920000}"/>
    <cellStyle name="Normal 2 3 8 19 3 2 3" xfId="15686" xr:uid="{00000000-0005-0000-0000-00007B920000}"/>
    <cellStyle name="Normal 2 3 8 19 3 2 3 2" xfId="47740" xr:uid="{00000000-0005-0000-0000-00007C920000}"/>
    <cellStyle name="Normal 2 3 8 19 3 2 4" xfId="47741" xr:uid="{00000000-0005-0000-0000-00007D920000}"/>
    <cellStyle name="Normal 2 3 8 19 3 3" xfId="15687" xr:uid="{00000000-0005-0000-0000-00007E920000}"/>
    <cellStyle name="Normal 2 3 8 19 3 3 2" xfId="47742" xr:uid="{00000000-0005-0000-0000-00007F920000}"/>
    <cellStyle name="Normal 2 3 8 19 3 4" xfId="15688" xr:uid="{00000000-0005-0000-0000-000080920000}"/>
    <cellStyle name="Normal 2 3 8 19 3 4 2" xfId="47743" xr:uid="{00000000-0005-0000-0000-000081920000}"/>
    <cellStyle name="Normal 2 3 8 19 3 5" xfId="15689" xr:uid="{00000000-0005-0000-0000-000082920000}"/>
    <cellStyle name="Normal 2 3 8 19 3 5 2" xfId="47744" xr:uid="{00000000-0005-0000-0000-000083920000}"/>
    <cellStyle name="Normal 2 3 8 19 3 6" xfId="47745" xr:uid="{00000000-0005-0000-0000-000084920000}"/>
    <cellStyle name="Normal 2 3 8 19 3 6 2" xfId="47746" xr:uid="{00000000-0005-0000-0000-000085920000}"/>
    <cellStyle name="Normal 2 3 8 19 3 7" xfId="47747" xr:uid="{00000000-0005-0000-0000-000086920000}"/>
    <cellStyle name="Normal 2 3 8 19 4" xfId="15690" xr:uid="{00000000-0005-0000-0000-000087920000}"/>
    <cellStyle name="Normal 2 3 8 19 4 2" xfId="15691" xr:uid="{00000000-0005-0000-0000-000088920000}"/>
    <cellStyle name="Normal 2 3 8 19 4 2 2" xfId="47748" xr:uid="{00000000-0005-0000-0000-000089920000}"/>
    <cellStyle name="Normal 2 3 8 19 4 3" xfId="15692" xr:uid="{00000000-0005-0000-0000-00008A920000}"/>
    <cellStyle name="Normal 2 3 8 19 4 3 2" xfId="47749" xr:uid="{00000000-0005-0000-0000-00008B920000}"/>
    <cellStyle name="Normal 2 3 8 19 4 4" xfId="47750" xr:uid="{00000000-0005-0000-0000-00008C920000}"/>
    <cellStyle name="Normal 2 3 8 19 5" xfId="15693" xr:uid="{00000000-0005-0000-0000-00008D920000}"/>
    <cellStyle name="Normal 2 3 8 19 5 2" xfId="15694" xr:uid="{00000000-0005-0000-0000-00008E920000}"/>
    <cellStyle name="Normal 2 3 8 19 5 2 2" xfId="47751" xr:uid="{00000000-0005-0000-0000-00008F920000}"/>
    <cellStyle name="Normal 2 3 8 19 5 3" xfId="47752" xr:uid="{00000000-0005-0000-0000-000090920000}"/>
    <cellStyle name="Normal 2 3 8 19 6" xfId="15695" xr:uid="{00000000-0005-0000-0000-000091920000}"/>
    <cellStyle name="Normal 2 3 8 19 6 2" xfId="47753" xr:uid="{00000000-0005-0000-0000-000092920000}"/>
    <cellStyle name="Normal 2 3 8 19 7" xfId="15696" xr:uid="{00000000-0005-0000-0000-000093920000}"/>
    <cellStyle name="Normal 2 3 8 19 7 2" xfId="47754" xr:uid="{00000000-0005-0000-0000-000094920000}"/>
    <cellStyle name="Normal 2 3 8 19 8" xfId="47755" xr:uid="{00000000-0005-0000-0000-000095920000}"/>
    <cellStyle name="Normal 2 3 8 19 8 2" xfId="47756" xr:uid="{00000000-0005-0000-0000-000096920000}"/>
    <cellStyle name="Normal 2 3 8 19 9" xfId="47757" xr:uid="{00000000-0005-0000-0000-000097920000}"/>
    <cellStyle name="Normal 2 3 8 2" xfId="15697" xr:uid="{00000000-0005-0000-0000-000098920000}"/>
    <cellStyle name="Normal 2 3 8 2 10" xfId="47758" xr:uid="{00000000-0005-0000-0000-000099920000}"/>
    <cellStyle name="Normal 2 3 8 2 11" xfId="47759" xr:uid="{00000000-0005-0000-0000-00009A920000}"/>
    <cellStyle name="Normal 2 3 8 2 2" xfId="15698" xr:uid="{00000000-0005-0000-0000-00009B920000}"/>
    <cellStyle name="Normal 2 3 8 2 2 10" xfId="47760" xr:uid="{00000000-0005-0000-0000-00009C920000}"/>
    <cellStyle name="Normal 2 3 8 2 2 2" xfId="15699" xr:uid="{00000000-0005-0000-0000-00009D920000}"/>
    <cellStyle name="Normal 2 3 8 2 2 2 2" xfId="15700" xr:uid="{00000000-0005-0000-0000-00009E920000}"/>
    <cellStyle name="Normal 2 3 8 2 2 2 2 2" xfId="15701" xr:uid="{00000000-0005-0000-0000-00009F920000}"/>
    <cellStyle name="Normal 2 3 8 2 2 2 2 2 2" xfId="47761" xr:uid="{00000000-0005-0000-0000-0000A0920000}"/>
    <cellStyle name="Normal 2 3 8 2 2 2 2 3" xfId="15702" xr:uid="{00000000-0005-0000-0000-0000A1920000}"/>
    <cellStyle name="Normal 2 3 8 2 2 2 2 3 2" xfId="47762" xr:uid="{00000000-0005-0000-0000-0000A2920000}"/>
    <cellStyle name="Normal 2 3 8 2 2 2 2 4" xfId="47763" xr:uid="{00000000-0005-0000-0000-0000A3920000}"/>
    <cellStyle name="Normal 2 3 8 2 2 2 3" xfId="15703" xr:uid="{00000000-0005-0000-0000-0000A4920000}"/>
    <cellStyle name="Normal 2 3 8 2 2 2 3 2" xfId="47764" xr:uid="{00000000-0005-0000-0000-0000A5920000}"/>
    <cellStyle name="Normal 2 3 8 2 2 2 4" xfId="15704" xr:uid="{00000000-0005-0000-0000-0000A6920000}"/>
    <cellStyle name="Normal 2 3 8 2 2 2 4 2" xfId="47765" xr:uid="{00000000-0005-0000-0000-0000A7920000}"/>
    <cellStyle name="Normal 2 3 8 2 2 2 5" xfId="15705" xr:uid="{00000000-0005-0000-0000-0000A8920000}"/>
    <cellStyle name="Normal 2 3 8 2 2 2 5 2" xfId="47766" xr:uid="{00000000-0005-0000-0000-0000A9920000}"/>
    <cellStyle name="Normal 2 3 8 2 2 2 6" xfId="47767" xr:uid="{00000000-0005-0000-0000-0000AA920000}"/>
    <cellStyle name="Normal 2 3 8 2 2 2 6 2" xfId="47768" xr:uid="{00000000-0005-0000-0000-0000AB920000}"/>
    <cellStyle name="Normal 2 3 8 2 2 2 7" xfId="47769" xr:uid="{00000000-0005-0000-0000-0000AC920000}"/>
    <cellStyle name="Normal 2 3 8 2 2 3" xfId="15706" xr:uid="{00000000-0005-0000-0000-0000AD920000}"/>
    <cellStyle name="Normal 2 3 8 2 2 3 2" xfId="15707" xr:uid="{00000000-0005-0000-0000-0000AE920000}"/>
    <cellStyle name="Normal 2 3 8 2 2 3 2 2" xfId="47770" xr:uid="{00000000-0005-0000-0000-0000AF920000}"/>
    <cellStyle name="Normal 2 3 8 2 2 3 3" xfId="15708" xr:uid="{00000000-0005-0000-0000-0000B0920000}"/>
    <cellStyle name="Normal 2 3 8 2 2 3 3 2" xfId="47771" xr:uid="{00000000-0005-0000-0000-0000B1920000}"/>
    <cellStyle name="Normal 2 3 8 2 2 3 4" xfId="47772" xr:uid="{00000000-0005-0000-0000-0000B2920000}"/>
    <cellStyle name="Normal 2 3 8 2 2 4" xfId="15709" xr:uid="{00000000-0005-0000-0000-0000B3920000}"/>
    <cellStyle name="Normal 2 3 8 2 2 4 2" xfId="15710" xr:uid="{00000000-0005-0000-0000-0000B4920000}"/>
    <cellStyle name="Normal 2 3 8 2 2 4 2 2" xfId="47773" xr:uid="{00000000-0005-0000-0000-0000B5920000}"/>
    <cellStyle name="Normal 2 3 8 2 2 4 3" xfId="47774" xr:uid="{00000000-0005-0000-0000-0000B6920000}"/>
    <cellStyle name="Normal 2 3 8 2 2 5" xfId="15711" xr:uid="{00000000-0005-0000-0000-0000B7920000}"/>
    <cellStyle name="Normal 2 3 8 2 2 5 2" xfId="47775" xr:uid="{00000000-0005-0000-0000-0000B8920000}"/>
    <cellStyle name="Normal 2 3 8 2 2 6" xfId="15712" xr:uid="{00000000-0005-0000-0000-0000B9920000}"/>
    <cellStyle name="Normal 2 3 8 2 2 6 2" xfId="47776" xr:uid="{00000000-0005-0000-0000-0000BA920000}"/>
    <cellStyle name="Normal 2 3 8 2 2 7" xfId="47777" xr:uid="{00000000-0005-0000-0000-0000BB920000}"/>
    <cellStyle name="Normal 2 3 8 2 2 7 2" xfId="47778" xr:uid="{00000000-0005-0000-0000-0000BC920000}"/>
    <cellStyle name="Normal 2 3 8 2 2 8" xfId="47779" xr:uid="{00000000-0005-0000-0000-0000BD920000}"/>
    <cellStyle name="Normal 2 3 8 2 2 9" xfId="47780" xr:uid="{00000000-0005-0000-0000-0000BE920000}"/>
    <cellStyle name="Normal 2 3 8 2 3" xfId="15713" xr:uid="{00000000-0005-0000-0000-0000BF920000}"/>
    <cellStyle name="Normal 2 3 8 2 3 2" xfId="15714" xr:uid="{00000000-0005-0000-0000-0000C0920000}"/>
    <cellStyle name="Normal 2 3 8 2 3 2 2" xfId="15715" xr:uid="{00000000-0005-0000-0000-0000C1920000}"/>
    <cellStyle name="Normal 2 3 8 2 3 2 2 2" xfId="47781" xr:uid="{00000000-0005-0000-0000-0000C2920000}"/>
    <cellStyle name="Normal 2 3 8 2 3 2 3" xfId="15716" xr:uid="{00000000-0005-0000-0000-0000C3920000}"/>
    <cellStyle name="Normal 2 3 8 2 3 2 3 2" xfId="47782" xr:uid="{00000000-0005-0000-0000-0000C4920000}"/>
    <cellStyle name="Normal 2 3 8 2 3 2 4" xfId="47783" xr:uid="{00000000-0005-0000-0000-0000C5920000}"/>
    <cellStyle name="Normal 2 3 8 2 3 3" xfId="15717" xr:uid="{00000000-0005-0000-0000-0000C6920000}"/>
    <cellStyle name="Normal 2 3 8 2 3 3 2" xfId="47784" xr:uid="{00000000-0005-0000-0000-0000C7920000}"/>
    <cellStyle name="Normal 2 3 8 2 3 4" xfId="15718" xr:uid="{00000000-0005-0000-0000-0000C8920000}"/>
    <cellStyle name="Normal 2 3 8 2 3 4 2" xfId="47785" xr:uid="{00000000-0005-0000-0000-0000C9920000}"/>
    <cellStyle name="Normal 2 3 8 2 3 5" xfId="15719" xr:uid="{00000000-0005-0000-0000-0000CA920000}"/>
    <cellStyle name="Normal 2 3 8 2 3 5 2" xfId="47786" xr:uid="{00000000-0005-0000-0000-0000CB920000}"/>
    <cellStyle name="Normal 2 3 8 2 3 6" xfId="47787" xr:uid="{00000000-0005-0000-0000-0000CC920000}"/>
    <cellStyle name="Normal 2 3 8 2 3 6 2" xfId="47788" xr:uid="{00000000-0005-0000-0000-0000CD920000}"/>
    <cellStyle name="Normal 2 3 8 2 3 7" xfId="47789" xr:uid="{00000000-0005-0000-0000-0000CE920000}"/>
    <cellStyle name="Normal 2 3 8 2 4" xfId="15720" xr:uid="{00000000-0005-0000-0000-0000CF920000}"/>
    <cellStyle name="Normal 2 3 8 2 4 2" xfId="15721" xr:uid="{00000000-0005-0000-0000-0000D0920000}"/>
    <cellStyle name="Normal 2 3 8 2 4 2 2" xfId="47790" xr:uid="{00000000-0005-0000-0000-0000D1920000}"/>
    <cellStyle name="Normal 2 3 8 2 4 3" xfId="15722" xr:uid="{00000000-0005-0000-0000-0000D2920000}"/>
    <cellStyle name="Normal 2 3 8 2 4 3 2" xfId="47791" xr:uid="{00000000-0005-0000-0000-0000D3920000}"/>
    <cellStyle name="Normal 2 3 8 2 4 4" xfId="47792" xr:uid="{00000000-0005-0000-0000-0000D4920000}"/>
    <cellStyle name="Normal 2 3 8 2 5" xfId="15723" xr:uid="{00000000-0005-0000-0000-0000D5920000}"/>
    <cellStyle name="Normal 2 3 8 2 5 2" xfId="15724" xr:uid="{00000000-0005-0000-0000-0000D6920000}"/>
    <cellStyle name="Normal 2 3 8 2 5 2 2" xfId="47793" xr:uid="{00000000-0005-0000-0000-0000D7920000}"/>
    <cellStyle name="Normal 2 3 8 2 5 3" xfId="47794" xr:uid="{00000000-0005-0000-0000-0000D8920000}"/>
    <cellStyle name="Normal 2 3 8 2 6" xfId="15725" xr:uid="{00000000-0005-0000-0000-0000D9920000}"/>
    <cellStyle name="Normal 2 3 8 2 6 2" xfId="47795" xr:uid="{00000000-0005-0000-0000-0000DA920000}"/>
    <cellStyle name="Normal 2 3 8 2 7" xfId="15726" xr:uid="{00000000-0005-0000-0000-0000DB920000}"/>
    <cellStyle name="Normal 2 3 8 2 7 2" xfId="47796" xr:uid="{00000000-0005-0000-0000-0000DC920000}"/>
    <cellStyle name="Normal 2 3 8 2 8" xfId="47797" xr:uid="{00000000-0005-0000-0000-0000DD920000}"/>
    <cellStyle name="Normal 2 3 8 2 8 2" xfId="47798" xr:uid="{00000000-0005-0000-0000-0000DE920000}"/>
    <cellStyle name="Normal 2 3 8 2 9" xfId="47799" xr:uid="{00000000-0005-0000-0000-0000DF920000}"/>
    <cellStyle name="Normal 2 3 8 20" xfId="15727" xr:uid="{00000000-0005-0000-0000-0000E0920000}"/>
    <cellStyle name="Normal 2 3 8 20 10" xfId="47800" xr:uid="{00000000-0005-0000-0000-0000E1920000}"/>
    <cellStyle name="Normal 2 3 8 20 11" xfId="47801" xr:uid="{00000000-0005-0000-0000-0000E2920000}"/>
    <cellStyle name="Normal 2 3 8 20 2" xfId="15728" xr:uid="{00000000-0005-0000-0000-0000E3920000}"/>
    <cellStyle name="Normal 2 3 8 20 2 10" xfId="47802" xr:uid="{00000000-0005-0000-0000-0000E4920000}"/>
    <cellStyle name="Normal 2 3 8 20 2 2" xfId="15729" xr:uid="{00000000-0005-0000-0000-0000E5920000}"/>
    <cellStyle name="Normal 2 3 8 20 2 2 2" xfId="15730" xr:uid="{00000000-0005-0000-0000-0000E6920000}"/>
    <cellStyle name="Normal 2 3 8 20 2 2 2 2" xfId="15731" xr:uid="{00000000-0005-0000-0000-0000E7920000}"/>
    <cellStyle name="Normal 2 3 8 20 2 2 2 2 2" xfId="47803" xr:uid="{00000000-0005-0000-0000-0000E8920000}"/>
    <cellStyle name="Normal 2 3 8 20 2 2 2 3" xfId="15732" xr:uid="{00000000-0005-0000-0000-0000E9920000}"/>
    <cellStyle name="Normal 2 3 8 20 2 2 2 3 2" xfId="47804" xr:uid="{00000000-0005-0000-0000-0000EA920000}"/>
    <cellStyle name="Normal 2 3 8 20 2 2 2 4" xfId="47805" xr:uid="{00000000-0005-0000-0000-0000EB920000}"/>
    <cellStyle name="Normal 2 3 8 20 2 2 3" xfId="15733" xr:uid="{00000000-0005-0000-0000-0000EC920000}"/>
    <cellStyle name="Normal 2 3 8 20 2 2 3 2" xfId="47806" xr:uid="{00000000-0005-0000-0000-0000ED920000}"/>
    <cellStyle name="Normal 2 3 8 20 2 2 4" xfId="15734" xr:uid="{00000000-0005-0000-0000-0000EE920000}"/>
    <cellStyle name="Normal 2 3 8 20 2 2 4 2" xfId="47807" xr:uid="{00000000-0005-0000-0000-0000EF920000}"/>
    <cellStyle name="Normal 2 3 8 20 2 2 5" xfId="15735" xr:uid="{00000000-0005-0000-0000-0000F0920000}"/>
    <cellStyle name="Normal 2 3 8 20 2 2 5 2" xfId="47808" xr:uid="{00000000-0005-0000-0000-0000F1920000}"/>
    <cellStyle name="Normal 2 3 8 20 2 2 6" xfId="47809" xr:uid="{00000000-0005-0000-0000-0000F2920000}"/>
    <cellStyle name="Normal 2 3 8 20 2 2 6 2" xfId="47810" xr:uid="{00000000-0005-0000-0000-0000F3920000}"/>
    <cellStyle name="Normal 2 3 8 20 2 2 7" xfId="47811" xr:uid="{00000000-0005-0000-0000-0000F4920000}"/>
    <cellStyle name="Normal 2 3 8 20 2 3" xfId="15736" xr:uid="{00000000-0005-0000-0000-0000F5920000}"/>
    <cellStyle name="Normal 2 3 8 20 2 3 2" xfId="15737" xr:uid="{00000000-0005-0000-0000-0000F6920000}"/>
    <cellStyle name="Normal 2 3 8 20 2 3 2 2" xfId="47812" xr:uid="{00000000-0005-0000-0000-0000F7920000}"/>
    <cellStyle name="Normal 2 3 8 20 2 3 3" xfId="15738" xr:uid="{00000000-0005-0000-0000-0000F8920000}"/>
    <cellStyle name="Normal 2 3 8 20 2 3 3 2" xfId="47813" xr:uid="{00000000-0005-0000-0000-0000F9920000}"/>
    <cellStyle name="Normal 2 3 8 20 2 3 4" xfId="47814" xr:uid="{00000000-0005-0000-0000-0000FA920000}"/>
    <cellStyle name="Normal 2 3 8 20 2 4" xfId="15739" xr:uid="{00000000-0005-0000-0000-0000FB920000}"/>
    <cellStyle name="Normal 2 3 8 20 2 4 2" xfId="15740" xr:uid="{00000000-0005-0000-0000-0000FC920000}"/>
    <cellStyle name="Normal 2 3 8 20 2 4 2 2" xfId="47815" xr:uid="{00000000-0005-0000-0000-0000FD920000}"/>
    <cellStyle name="Normal 2 3 8 20 2 4 3" xfId="47816" xr:uid="{00000000-0005-0000-0000-0000FE920000}"/>
    <cellStyle name="Normal 2 3 8 20 2 5" xfId="15741" xr:uid="{00000000-0005-0000-0000-0000FF920000}"/>
    <cellStyle name="Normal 2 3 8 20 2 5 2" xfId="47817" xr:uid="{00000000-0005-0000-0000-000000930000}"/>
    <cellStyle name="Normal 2 3 8 20 2 6" xfId="15742" xr:uid="{00000000-0005-0000-0000-000001930000}"/>
    <cellStyle name="Normal 2 3 8 20 2 6 2" xfId="47818" xr:uid="{00000000-0005-0000-0000-000002930000}"/>
    <cellStyle name="Normal 2 3 8 20 2 7" xfId="47819" xr:uid="{00000000-0005-0000-0000-000003930000}"/>
    <cellStyle name="Normal 2 3 8 20 2 7 2" xfId="47820" xr:uid="{00000000-0005-0000-0000-000004930000}"/>
    <cellStyle name="Normal 2 3 8 20 2 8" xfId="47821" xr:uid="{00000000-0005-0000-0000-000005930000}"/>
    <cellStyle name="Normal 2 3 8 20 2 9" xfId="47822" xr:uid="{00000000-0005-0000-0000-000006930000}"/>
    <cellStyle name="Normal 2 3 8 20 3" xfId="15743" xr:uid="{00000000-0005-0000-0000-000007930000}"/>
    <cellStyle name="Normal 2 3 8 20 3 2" xfId="15744" xr:uid="{00000000-0005-0000-0000-000008930000}"/>
    <cellStyle name="Normal 2 3 8 20 3 2 2" xfId="15745" xr:uid="{00000000-0005-0000-0000-000009930000}"/>
    <cellStyle name="Normal 2 3 8 20 3 2 2 2" xfId="47823" xr:uid="{00000000-0005-0000-0000-00000A930000}"/>
    <cellStyle name="Normal 2 3 8 20 3 2 3" xfId="15746" xr:uid="{00000000-0005-0000-0000-00000B930000}"/>
    <cellStyle name="Normal 2 3 8 20 3 2 3 2" xfId="47824" xr:uid="{00000000-0005-0000-0000-00000C930000}"/>
    <cellStyle name="Normal 2 3 8 20 3 2 4" xfId="47825" xr:uid="{00000000-0005-0000-0000-00000D930000}"/>
    <cellStyle name="Normal 2 3 8 20 3 3" xfId="15747" xr:uid="{00000000-0005-0000-0000-00000E930000}"/>
    <cellStyle name="Normal 2 3 8 20 3 3 2" xfId="47826" xr:uid="{00000000-0005-0000-0000-00000F930000}"/>
    <cellStyle name="Normal 2 3 8 20 3 4" xfId="15748" xr:uid="{00000000-0005-0000-0000-000010930000}"/>
    <cellStyle name="Normal 2 3 8 20 3 4 2" xfId="47827" xr:uid="{00000000-0005-0000-0000-000011930000}"/>
    <cellStyle name="Normal 2 3 8 20 3 5" xfId="15749" xr:uid="{00000000-0005-0000-0000-000012930000}"/>
    <cellStyle name="Normal 2 3 8 20 3 5 2" xfId="47828" xr:uid="{00000000-0005-0000-0000-000013930000}"/>
    <cellStyle name="Normal 2 3 8 20 3 6" xfId="47829" xr:uid="{00000000-0005-0000-0000-000014930000}"/>
    <cellStyle name="Normal 2 3 8 20 3 6 2" xfId="47830" xr:uid="{00000000-0005-0000-0000-000015930000}"/>
    <cellStyle name="Normal 2 3 8 20 3 7" xfId="47831" xr:uid="{00000000-0005-0000-0000-000016930000}"/>
    <cellStyle name="Normal 2 3 8 20 4" xfId="15750" xr:uid="{00000000-0005-0000-0000-000017930000}"/>
    <cellStyle name="Normal 2 3 8 20 4 2" xfId="15751" xr:uid="{00000000-0005-0000-0000-000018930000}"/>
    <cellStyle name="Normal 2 3 8 20 4 2 2" xfId="47832" xr:uid="{00000000-0005-0000-0000-000019930000}"/>
    <cellStyle name="Normal 2 3 8 20 4 3" xfId="15752" xr:uid="{00000000-0005-0000-0000-00001A930000}"/>
    <cellStyle name="Normal 2 3 8 20 4 3 2" xfId="47833" xr:uid="{00000000-0005-0000-0000-00001B930000}"/>
    <cellStyle name="Normal 2 3 8 20 4 4" xfId="47834" xr:uid="{00000000-0005-0000-0000-00001C930000}"/>
    <cellStyle name="Normal 2 3 8 20 5" xfId="15753" xr:uid="{00000000-0005-0000-0000-00001D930000}"/>
    <cellStyle name="Normal 2 3 8 20 5 2" xfId="15754" xr:uid="{00000000-0005-0000-0000-00001E930000}"/>
    <cellStyle name="Normal 2 3 8 20 5 2 2" xfId="47835" xr:uid="{00000000-0005-0000-0000-00001F930000}"/>
    <cellStyle name="Normal 2 3 8 20 5 3" xfId="47836" xr:uid="{00000000-0005-0000-0000-000020930000}"/>
    <cellStyle name="Normal 2 3 8 20 6" xfId="15755" xr:uid="{00000000-0005-0000-0000-000021930000}"/>
    <cellStyle name="Normal 2 3 8 20 6 2" xfId="47837" xr:uid="{00000000-0005-0000-0000-000022930000}"/>
    <cellStyle name="Normal 2 3 8 20 7" xfId="15756" xr:uid="{00000000-0005-0000-0000-000023930000}"/>
    <cellStyle name="Normal 2 3 8 20 7 2" xfId="47838" xr:uid="{00000000-0005-0000-0000-000024930000}"/>
    <cellStyle name="Normal 2 3 8 20 8" xfId="47839" xr:uid="{00000000-0005-0000-0000-000025930000}"/>
    <cellStyle name="Normal 2 3 8 20 8 2" xfId="47840" xr:uid="{00000000-0005-0000-0000-000026930000}"/>
    <cellStyle name="Normal 2 3 8 20 9" xfId="47841" xr:uid="{00000000-0005-0000-0000-000027930000}"/>
    <cellStyle name="Normal 2 3 8 21" xfId="15757" xr:uid="{00000000-0005-0000-0000-000028930000}"/>
    <cellStyle name="Normal 2 3 8 21 10" xfId="47842" xr:uid="{00000000-0005-0000-0000-000029930000}"/>
    <cellStyle name="Normal 2 3 8 21 11" xfId="47843" xr:uid="{00000000-0005-0000-0000-00002A930000}"/>
    <cellStyle name="Normal 2 3 8 21 2" xfId="15758" xr:uid="{00000000-0005-0000-0000-00002B930000}"/>
    <cellStyle name="Normal 2 3 8 21 2 10" xfId="47844" xr:uid="{00000000-0005-0000-0000-00002C930000}"/>
    <cellStyle name="Normal 2 3 8 21 2 2" xfId="15759" xr:uid="{00000000-0005-0000-0000-00002D930000}"/>
    <cellStyle name="Normal 2 3 8 21 2 2 2" xfId="15760" xr:uid="{00000000-0005-0000-0000-00002E930000}"/>
    <cellStyle name="Normal 2 3 8 21 2 2 2 2" xfId="15761" xr:uid="{00000000-0005-0000-0000-00002F930000}"/>
    <cellStyle name="Normal 2 3 8 21 2 2 2 2 2" xfId="47845" xr:uid="{00000000-0005-0000-0000-000030930000}"/>
    <cellStyle name="Normal 2 3 8 21 2 2 2 3" xfId="15762" xr:uid="{00000000-0005-0000-0000-000031930000}"/>
    <cellStyle name="Normal 2 3 8 21 2 2 2 3 2" xfId="47846" xr:uid="{00000000-0005-0000-0000-000032930000}"/>
    <cellStyle name="Normal 2 3 8 21 2 2 2 4" xfId="47847" xr:uid="{00000000-0005-0000-0000-000033930000}"/>
    <cellStyle name="Normal 2 3 8 21 2 2 3" xfId="15763" xr:uid="{00000000-0005-0000-0000-000034930000}"/>
    <cellStyle name="Normal 2 3 8 21 2 2 3 2" xfId="47848" xr:uid="{00000000-0005-0000-0000-000035930000}"/>
    <cellStyle name="Normal 2 3 8 21 2 2 4" xfId="15764" xr:uid="{00000000-0005-0000-0000-000036930000}"/>
    <cellStyle name="Normal 2 3 8 21 2 2 4 2" xfId="47849" xr:uid="{00000000-0005-0000-0000-000037930000}"/>
    <cellStyle name="Normal 2 3 8 21 2 2 5" xfId="15765" xr:uid="{00000000-0005-0000-0000-000038930000}"/>
    <cellStyle name="Normal 2 3 8 21 2 2 5 2" xfId="47850" xr:uid="{00000000-0005-0000-0000-000039930000}"/>
    <cellStyle name="Normal 2 3 8 21 2 2 6" xfId="47851" xr:uid="{00000000-0005-0000-0000-00003A930000}"/>
    <cellStyle name="Normal 2 3 8 21 2 2 6 2" xfId="47852" xr:uid="{00000000-0005-0000-0000-00003B930000}"/>
    <cellStyle name="Normal 2 3 8 21 2 2 7" xfId="47853" xr:uid="{00000000-0005-0000-0000-00003C930000}"/>
    <cellStyle name="Normal 2 3 8 21 2 3" xfId="15766" xr:uid="{00000000-0005-0000-0000-00003D930000}"/>
    <cellStyle name="Normal 2 3 8 21 2 3 2" xfId="15767" xr:uid="{00000000-0005-0000-0000-00003E930000}"/>
    <cellStyle name="Normal 2 3 8 21 2 3 2 2" xfId="47854" xr:uid="{00000000-0005-0000-0000-00003F930000}"/>
    <cellStyle name="Normal 2 3 8 21 2 3 3" xfId="15768" xr:uid="{00000000-0005-0000-0000-000040930000}"/>
    <cellStyle name="Normal 2 3 8 21 2 3 3 2" xfId="47855" xr:uid="{00000000-0005-0000-0000-000041930000}"/>
    <cellStyle name="Normal 2 3 8 21 2 3 4" xfId="47856" xr:uid="{00000000-0005-0000-0000-000042930000}"/>
    <cellStyle name="Normal 2 3 8 21 2 4" xfId="15769" xr:uid="{00000000-0005-0000-0000-000043930000}"/>
    <cellStyle name="Normal 2 3 8 21 2 4 2" xfId="15770" xr:uid="{00000000-0005-0000-0000-000044930000}"/>
    <cellStyle name="Normal 2 3 8 21 2 4 2 2" xfId="47857" xr:uid="{00000000-0005-0000-0000-000045930000}"/>
    <cellStyle name="Normal 2 3 8 21 2 4 3" xfId="47858" xr:uid="{00000000-0005-0000-0000-000046930000}"/>
    <cellStyle name="Normal 2 3 8 21 2 5" xfId="15771" xr:uid="{00000000-0005-0000-0000-000047930000}"/>
    <cellStyle name="Normal 2 3 8 21 2 5 2" xfId="47859" xr:uid="{00000000-0005-0000-0000-000048930000}"/>
    <cellStyle name="Normal 2 3 8 21 2 6" xfId="15772" xr:uid="{00000000-0005-0000-0000-000049930000}"/>
    <cellStyle name="Normal 2 3 8 21 2 6 2" xfId="47860" xr:uid="{00000000-0005-0000-0000-00004A930000}"/>
    <cellStyle name="Normal 2 3 8 21 2 7" xfId="47861" xr:uid="{00000000-0005-0000-0000-00004B930000}"/>
    <cellStyle name="Normal 2 3 8 21 2 7 2" xfId="47862" xr:uid="{00000000-0005-0000-0000-00004C930000}"/>
    <cellStyle name="Normal 2 3 8 21 2 8" xfId="47863" xr:uid="{00000000-0005-0000-0000-00004D930000}"/>
    <cellStyle name="Normal 2 3 8 21 2 9" xfId="47864" xr:uid="{00000000-0005-0000-0000-00004E930000}"/>
    <cellStyle name="Normal 2 3 8 21 3" xfId="15773" xr:uid="{00000000-0005-0000-0000-00004F930000}"/>
    <cellStyle name="Normal 2 3 8 21 3 2" xfId="15774" xr:uid="{00000000-0005-0000-0000-000050930000}"/>
    <cellStyle name="Normal 2 3 8 21 3 2 2" xfId="15775" xr:uid="{00000000-0005-0000-0000-000051930000}"/>
    <cellStyle name="Normal 2 3 8 21 3 2 2 2" xfId="47865" xr:uid="{00000000-0005-0000-0000-000052930000}"/>
    <cellStyle name="Normal 2 3 8 21 3 2 3" xfId="15776" xr:uid="{00000000-0005-0000-0000-000053930000}"/>
    <cellStyle name="Normal 2 3 8 21 3 2 3 2" xfId="47866" xr:uid="{00000000-0005-0000-0000-000054930000}"/>
    <cellStyle name="Normal 2 3 8 21 3 2 4" xfId="47867" xr:uid="{00000000-0005-0000-0000-000055930000}"/>
    <cellStyle name="Normal 2 3 8 21 3 3" xfId="15777" xr:uid="{00000000-0005-0000-0000-000056930000}"/>
    <cellStyle name="Normal 2 3 8 21 3 3 2" xfId="47868" xr:uid="{00000000-0005-0000-0000-000057930000}"/>
    <cellStyle name="Normal 2 3 8 21 3 4" xfId="15778" xr:uid="{00000000-0005-0000-0000-000058930000}"/>
    <cellStyle name="Normal 2 3 8 21 3 4 2" xfId="47869" xr:uid="{00000000-0005-0000-0000-000059930000}"/>
    <cellStyle name="Normal 2 3 8 21 3 5" xfId="15779" xr:uid="{00000000-0005-0000-0000-00005A930000}"/>
    <cellStyle name="Normal 2 3 8 21 3 5 2" xfId="47870" xr:uid="{00000000-0005-0000-0000-00005B930000}"/>
    <cellStyle name="Normal 2 3 8 21 3 6" xfId="47871" xr:uid="{00000000-0005-0000-0000-00005C930000}"/>
    <cellStyle name="Normal 2 3 8 21 3 6 2" xfId="47872" xr:uid="{00000000-0005-0000-0000-00005D930000}"/>
    <cellStyle name="Normal 2 3 8 21 3 7" xfId="47873" xr:uid="{00000000-0005-0000-0000-00005E930000}"/>
    <cellStyle name="Normal 2 3 8 21 4" xfId="15780" xr:uid="{00000000-0005-0000-0000-00005F930000}"/>
    <cellStyle name="Normal 2 3 8 21 4 2" xfId="15781" xr:uid="{00000000-0005-0000-0000-000060930000}"/>
    <cellStyle name="Normal 2 3 8 21 4 2 2" xfId="47874" xr:uid="{00000000-0005-0000-0000-000061930000}"/>
    <cellStyle name="Normal 2 3 8 21 4 3" xfId="15782" xr:uid="{00000000-0005-0000-0000-000062930000}"/>
    <cellStyle name="Normal 2 3 8 21 4 3 2" xfId="47875" xr:uid="{00000000-0005-0000-0000-000063930000}"/>
    <cellStyle name="Normal 2 3 8 21 4 4" xfId="47876" xr:uid="{00000000-0005-0000-0000-000064930000}"/>
    <cellStyle name="Normal 2 3 8 21 5" xfId="15783" xr:uid="{00000000-0005-0000-0000-000065930000}"/>
    <cellStyle name="Normal 2 3 8 21 5 2" xfId="15784" xr:uid="{00000000-0005-0000-0000-000066930000}"/>
    <cellStyle name="Normal 2 3 8 21 5 2 2" xfId="47877" xr:uid="{00000000-0005-0000-0000-000067930000}"/>
    <cellStyle name="Normal 2 3 8 21 5 3" xfId="47878" xr:uid="{00000000-0005-0000-0000-000068930000}"/>
    <cellStyle name="Normal 2 3 8 21 6" xfId="15785" xr:uid="{00000000-0005-0000-0000-000069930000}"/>
    <cellStyle name="Normal 2 3 8 21 6 2" xfId="47879" xr:uid="{00000000-0005-0000-0000-00006A930000}"/>
    <cellStyle name="Normal 2 3 8 21 7" xfId="15786" xr:uid="{00000000-0005-0000-0000-00006B930000}"/>
    <cellStyle name="Normal 2 3 8 21 7 2" xfId="47880" xr:uid="{00000000-0005-0000-0000-00006C930000}"/>
    <cellStyle name="Normal 2 3 8 21 8" xfId="47881" xr:uid="{00000000-0005-0000-0000-00006D930000}"/>
    <cellStyle name="Normal 2 3 8 21 8 2" xfId="47882" xr:uid="{00000000-0005-0000-0000-00006E930000}"/>
    <cellStyle name="Normal 2 3 8 21 9" xfId="47883" xr:uid="{00000000-0005-0000-0000-00006F930000}"/>
    <cellStyle name="Normal 2 3 8 22" xfId="15787" xr:uid="{00000000-0005-0000-0000-000070930000}"/>
    <cellStyle name="Normal 2 3 8 22 10" xfId="47884" xr:uid="{00000000-0005-0000-0000-000071930000}"/>
    <cellStyle name="Normal 2 3 8 22 11" xfId="47885" xr:uid="{00000000-0005-0000-0000-000072930000}"/>
    <cellStyle name="Normal 2 3 8 22 2" xfId="15788" xr:uid="{00000000-0005-0000-0000-000073930000}"/>
    <cellStyle name="Normal 2 3 8 22 2 10" xfId="47886" xr:uid="{00000000-0005-0000-0000-000074930000}"/>
    <cellStyle name="Normal 2 3 8 22 2 2" xfId="15789" xr:uid="{00000000-0005-0000-0000-000075930000}"/>
    <cellStyle name="Normal 2 3 8 22 2 2 2" xfId="15790" xr:uid="{00000000-0005-0000-0000-000076930000}"/>
    <cellStyle name="Normal 2 3 8 22 2 2 2 2" xfId="15791" xr:uid="{00000000-0005-0000-0000-000077930000}"/>
    <cellStyle name="Normal 2 3 8 22 2 2 2 2 2" xfId="47887" xr:uid="{00000000-0005-0000-0000-000078930000}"/>
    <cellStyle name="Normal 2 3 8 22 2 2 2 3" xfId="15792" xr:uid="{00000000-0005-0000-0000-000079930000}"/>
    <cellStyle name="Normal 2 3 8 22 2 2 2 3 2" xfId="47888" xr:uid="{00000000-0005-0000-0000-00007A930000}"/>
    <cellStyle name="Normal 2 3 8 22 2 2 2 4" xfId="47889" xr:uid="{00000000-0005-0000-0000-00007B930000}"/>
    <cellStyle name="Normal 2 3 8 22 2 2 3" xfId="15793" xr:uid="{00000000-0005-0000-0000-00007C930000}"/>
    <cellStyle name="Normal 2 3 8 22 2 2 3 2" xfId="47890" xr:uid="{00000000-0005-0000-0000-00007D930000}"/>
    <cellStyle name="Normal 2 3 8 22 2 2 4" xfId="15794" xr:uid="{00000000-0005-0000-0000-00007E930000}"/>
    <cellStyle name="Normal 2 3 8 22 2 2 4 2" xfId="47891" xr:uid="{00000000-0005-0000-0000-00007F930000}"/>
    <cellStyle name="Normal 2 3 8 22 2 2 5" xfId="15795" xr:uid="{00000000-0005-0000-0000-000080930000}"/>
    <cellStyle name="Normal 2 3 8 22 2 2 5 2" xfId="47892" xr:uid="{00000000-0005-0000-0000-000081930000}"/>
    <cellStyle name="Normal 2 3 8 22 2 2 6" xfId="47893" xr:uid="{00000000-0005-0000-0000-000082930000}"/>
    <cellStyle name="Normal 2 3 8 22 2 2 6 2" xfId="47894" xr:uid="{00000000-0005-0000-0000-000083930000}"/>
    <cellStyle name="Normal 2 3 8 22 2 2 7" xfId="47895" xr:uid="{00000000-0005-0000-0000-000084930000}"/>
    <cellStyle name="Normal 2 3 8 22 2 3" xfId="15796" xr:uid="{00000000-0005-0000-0000-000085930000}"/>
    <cellStyle name="Normal 2 3 8 22 2 3 2" xfId="15797" xr:uid="{00000000-0005-0000-0000-000086930000}"/>
    <cellStyle name="Normal 2 3 8 22 2 3 2 2" xfId="47896" xr:uid="{00000000-0005-0000-0000-000087930000}"/>
    <cellStyle name="Normal 2 3 8 22 2 3 3" xfId="15798" xr:uid="{00000000-0005-0000-0000-000088930000}"/>
    <cellStyle name="Normal 2 3 8 22 2 3 3 2" xfId="47897" xr:uid="{00000000-0005-0000-0000-000089930000}"/>
    <cellStyle name="Normal 2 3 8 22 2 3 4" xfId="47898" xr:uid="{00000000-0005-0000-0000-00008A930000}"/>
    <cellStyle name="Normal 2 3 8 22 2 4" xfId="15799" xr:uid="{00000000-0005-0000-0000-00008B930000}"/>
    <cellStyle name="Normal 2 3 8 22 2 4 2" xfId="15800" xr:uid="{00000000-0005-0000-0000-00008C930000}"/>
    <cellStyle name="Normal 2 3 8 22 2 4 2 2" xfId="47899" xr:uid="{00000000-0005-0000-0000-00008D930000}"/>
    <cellStyle name="Normal 2 3 8 22 2 4 3" xfId="47900" xr:uid="{00000000-0005-0000-0000-00008E930000}"/>
    <cellStyle name="Normal 2 3 8 22 2 5" xfId="15801" xr:uid="{00000000-0005-0000-0000-00008F930000}"/>
    <cellStyle name="Normal 2 3 8 22 2 5 2" xfId="47901" xr:uid="{00000000-0005-0000-0000-000090930000}"/>
    <cellStyle name="Normal 2 3 8 22 2 6" xfId="15802" xr:uid="{00000000-0005-0000-0000-000091930000}"/>
    <cellStyle name="Normal 2 3 8 22 2 6 2" xfId="47902" xr:uid="{00000000-0005-0000-0000-000092930000}"/>
    <cellStyle name="Normal 2 3 8 22 2 7" xfId="47903" xr:uid="{00000000-0005-0000-0000-000093930000}"/>
    <cellStyle name="Normal 2 3 8 22 2 7 2" xfId="47904" xr:uid="{00000000-0005-0000-0000-000094930000}"/>
    <cellStyle name="Normal 2 3 8 22 2 8" xfId="47905" xr:uid="{00000000-0005-0000-0000-000095930000}"/>
    <cellStyle name="Normal 2 3 8 22 2 9" xfId="47906" xr:uid="{00000000-0005-0000-0000-000096930000}"/>
    <cellStyle name="Normal 2 3 8 22 3" xfId="15803" xr:uid="{00000000-0005-0000-0000-000097930000}"/>
    <cellStyle name="Normal 2 3 8 22 3 2" xfId="15804" xr:uid="{00000000-0005-0000-0000-000098930000}"/>
    <cellStyle name="Normal 2 3 8 22 3 2 2" xfId="15805" xr:uid="{00000000-0005-0000-0000-000099930000}"/>
    <cellStyle name="Normal 2 3 8 22 3 2 2 2" xfId="47907" xr:uid="{00000000-0005-0000-0000-00009A930000}"/>
    <cellStyle name="Normal 2 3 8 22 3 2 3" xfId="15806" xr:uid="{00000000-0005-0000-0000-00009B930000}"/>
    <cellStyle name="Normal 2 3 8 22 3 2 3 2" xfId="47908" xr:uid="{00000000-0005-0000-0000-00009C930000}"/>
    <cellStyle name="Normal 2 3 8 22 3 2 4" xfId="47909" xr:uid="{00000000-0005-0000-0000-00009D930000}"/>
    <cellStyle name="Normal 2 3 8 22 3 3" xfId="15807" xr:uid="{00000000-0005-0000-0000-00009E930000}"/>
    <cellStyle name="Normal 2 3 8 22 3 3 2" xfId="47910" xr:uid="{00000000-0005-0000-0000-00009F930000}"/>
    <cellStyle name="Normal 2 3 8 22 3 4" xfId="15808" xr:uid="{00000000-0005-0000-0000-0000A0930000}"/>
    <cellStyle name="Normal 2 3 8 22 3 4 2" xfId="47911" xr:uid="{00000000-0005-0000-0000-0000A1930000}"/>
    <cellStyle name="Normal 2 3 8 22 3 5" xfId="15809" xr:uid="{00000000-0005-0000-0000-0000A2930000}"/>
    <cellStyle name="Normal 2 3 8 22 3 5 2" xfId="47912" xr:uid="{00000000-0005-0000-0000-0000A3930000}"/>
    <cellStyle name="Normal 2 3 8 22 3 6" xfId="47913" xr:uid="{00000000-0005-0000-0000-0000A4930000}"/>
    <cellStyle name="Normal 2 3 8 22 3 6 2" xfId="47914" xr:uid="{00000000-0005-0000-0000-0000A5930000}"/>
    <cellStyle name="Normal 2 3 8 22 3 7" xfId="47915" xr:uid="{00000000-0005-0000-0000-0000A6930000}"/>
    <cellStyle name="Normal 2 3 8 22 4" xfId="15810" xr:uid="{00000000-0005-0000-0000-0000A7930000}"/>
    <cellStyle name="Normal 2 3 8 22 4 2" xfId="15811" xr:uid="{00000000-0005-0000-0000-0000A8930000}"/>
    <cellStyle name="Normal 2 3 8 22 4 2 2" xfId="47916" xr:uid="{00000000-0005-0000-0000-0000A9930000}"/>
    <cellStyle name="Normal 2 3 8 22 4 3" xfId="15812" xr:uid="{00000000-0005-0000-0000-0000AA930000}"/>
    <cellStyle name="Normal 2 3 8 22 4 3 2" xfId="47917" xr:uid="{00000000-0005-0000-0000-0000AB930000}"/>
    <cellStyle name="Normal 2 3 8 22 4 4" xfId="47918" xr:uid="{00000000-0005-0000-0000-0000AC930000}"/>
    <cellStyle name="Normal 2 3 8 22 5" xfId="15813" xr:uid="{00000000-0005-0000-0000-0000AD930000}"/>
    <cellStyle name="Normal 2 3 8 22 5 2" xfId="15814" xr:uid="{00000000-0005-0000-0000-0000AE930000}"/>
    <cellStyle name="Normal 2 3 8 22 5 2 2" xfId="47919" xr:uid="{00000000-0005-0000-0000-0000AF930000}"/>
    <cellStyle name="Normal 2 3 8 22 5 3" xfId="47920" xr:uid="{00000000-0005-0000-0000-0000B0930000}"/>
    <cellStyle name="Normal 2 3 8 22 6" xfId="15815" xr:uid="{00000000-0005-0000-0000-0000B1930000}"/>
    <cellStyle name="Normal 2 3 8 22 6 2" xfId="47921" xr:uid="{00000000-0005-0000-0000-0000B2930000}"/>
    <cellStyle name="Normal 2 3 8 22 7" xfId="15816" xr:uid="{00000000-0005-0000-0000-0000B3930000}"/>
    <cellStyle name="Normal 2 3 8 22 7 2" xfId="47922" xr:uid="{00000000-0005-0000-0000-0000B4930000}"/>
    <cellStyle name="Normal 2 3 8 22 8" xfId="47923" xr:uid="{00000000-0005-0000-0000-0000B5930000}"/>
    <cellStyle name="Normal 2 3 8 22 8 2" xfId="47924" xr:uid="{00000000-0005-0000-0000-0000B6930000}"/>
    <cellStyle name="Normal 2 3 8 22 9" xfId="47925" xr:uid="{00000000-0005-0000-0000-0000B7930000}"/>
    <cellStyle name="Normal 2 3 8 23" xfId="15817" xr:uid="{00000000-0005-0000-0000-0000B8930000}"/>
    <cellStyle name="Normal 2 3 8 23 10" xfId="47926" xr:uid="{00000000-0005-0000-0000-0000B9930000}"/>
    <cellStyle name="Normal 2 3 8 23 11" xfId="47927" xr:uid="{00000000-0005-0000-0000-0000BA930000}"/>
    <cellStyle name="Normal 2 3 8 23 2" xfId="15818" xr:uid="{00000000-0005-0000-0000-0000BB930000}"/>
    <cellStyle name="Normal 2 3 8 23 2 10" xfId="47928" xr:uid="{00000000-0005-0000-0000-0000BC930000}"/>
    <cellStyle name="Normal 2 3 8 23 2 2" xfId="15819" xr:uid="{00000000-0005-0000-0000-0000BD930000}"/>
    <cellStyle name="Normal 2 3 8 23 2 2 2" xfId="15820" xr:uid="{00000000-0005-0000-0000-0000BE930000}"/>
    <cellStyle name="Normal 2 3 8 23 2 2 2 2" xfId="15821" xr:uid="{00000000-0005-0000-0000-0000BF930000}"/>
    <cellStyle name="Normal 2 3 8 23 2 2 2 2 2" xfId="47929" xr:uid="{00000000-0005-0000-0000-0000C0930000}"/>
    <cellStyle name="Normal 2 3 8 23 2 2 2 3" xfId="15822" xr:uid="{00000000-0005-0000-0000-0000C1930000}"/>
    <cellStyle name="Normal 2 3 8 23 2 2 2 3 2" xfId="47930" xr:uid="{00000000-0005-0000-0000-0000C2930000}"/>
    <cellStyle name="Normal 2 3 8 23 2 2 2 4" xfId="47931" xr:uid="{00000000-0005-0000-0000-0000C3930000}"/>
    <cellStyle name="Normal 2 3 8 23 2 2 3" xfId="15823" xr:uid="{00000000-0005-0000-0000-0000C4930000}"/>
    <cellStyle name="Normal 2 3 8 23 2 2 3 2" xfId="47932" xr:uid="{00000000-0005-0000-0000-0000C5930000}"/>
    <cellStyle name="Normal 2 3 8 23 2 2 4" xfId="15824" xr:uid="{00000000-0005-0000-0000-0000C6930000}"/>
    <cellStyle name="Normal 2 3 8 23 2 2 4 2" xfId="47933" xr:uid="{00000000-0005-0000-0000-0000C7930000}"/>
    <cellStyle name="Normal 2 3 8 23 2 2 5" xfId="15825" xr:uid="{00000000-0005-0000-0000-0000C8930000}"/>
    <cellStyle name="Normal 2 3 8 23 2 2 5 2" xfId="47934" xr:uid="{00000000-0005-0000-0000-0000C9930000}"/>
    <cellStyle name="Normal 2 3 8 23 2 2 6" xfId="47935" xr:uid="{00000000-0005-0000-0000-0000CA930000}"/>
    <cellStyle name="Normal 2 3 8 23 2 2 6 2" xfId="47936" xr:uid="{00000000-0005-0000-0000-0000CB930000}"/>
    <cellStyle name="Normal 2 3 8 23 2 2 7" xfId="47937" xr:uid="{00000000-0005-0000-0000-0000CC930000}"/>
    <cellStyle name="Normal 2 3 8 23 2 3" xfId="15826" xr:uid="{00000000-0005-0000-0000-0000CD930000}"/>
    <cellStyle name="Normal 2 3 8 23 2 3 2" xfId="15827" xr:uid="{00000000-0005-0000-0000-0000CE930000}"/>
    <cellStyle name="Normal 2 3 8 23 2 3 2 2" xfId="47938" xr:uid="{00000000-0005-0000-0000-0000CF930000}"/>
    <cellStyle name="Normal 2 3 8 23 2 3 3" xfId="15828" xr:uid="{00000000-0005-0000-0000-0000D0930000}"/>
    <cellStyle name="Normal 2 3 8 23 2 3 3 2" xfId="47939" xr:uid="{00000000-0005-0000-0000-0000D1930000}"/>
    <cellStyle name="Normal 2 3 8 23 2 3 4" xfId="47940" xr:uid="{00000000-0005-0000-0000-0000D2930000}"/>
    <cellStyle name="Normal 2 3 8 23 2 4" xfId="15829" xr:uid="{00000000-0005-0000-0000-0000D3930000}"/>
    <cellStyle name="Normal 2 3 8 23 2 4 2" xfId="15830" xr:uid="{00000000-0005-0000-0000-0000D4930000}"/>
    <cellStyle name="Normal 2 3 8 23 2 4 2 2" xfId="47941" xr:uid="{00000000-0005-0000-0000-0000D5930000}"/>
    <cellStyle name="Normal 2 3 8 23 2 4 3" xfId="47942" xr:uid="{00000000-0005-0000-0000-0000D6930000}"/>
    <cellStyle name="Normal 2 3 8 23 2 5" xfId="15831" xr:uid="{00000000-0005-0000-0000-0000D7930000}"/>
    <cellStyle name="Normal 2 3 8 23 2 5 2" xfId="47943" xr:uid="{00000000-0005-0000-0000-0000D8930000}"/>
    <cellStyle name="Normal 2 3 8 23 2 6" xfId="15832" xr:uid="{00000000-0005-0000-0000-0000D9930000}"/>
    <cellStyle name="Normal 2 3 8 23 2 6 2" xfId="47944" xr:uid="{00000000-0005-0000-0000-0000DA930000}"/>
    <cellStyle name="Normal 2 3 8 23 2 7" xfId="47945" xr:uid="{00000000-0005-0000-0000-0000DB930000}"/>
    <cellStyle name="Normal 2 3 8 23 2 7 2" xfId="47946" xr:uid="{00000000-0005-0000-0000-0000DC930000}"/>
    <cellStyle name="Normal 2 3 8 23 2 8" xfId="47947" xr:uid="{00000000-0005-0000-0000-0000DD930000}"/>
    <cellStyle name="Normal 2 3 8 23 2 9" xfId="47948" xr:uid="{00000000-0005-0000-0000-0000DE930000}"/>
    <cellStyle name="Normal 2 3 8 23 3" xfId="15833" xr:uid="{00000000-0005-0000-0000-0000DF930000}"/>
    <cellStyle name="Normal 2 3 8 23 3 2" xfId="15834" xr:uid="{00000000-0005-0000-0000-0000E0930000}"/>
    <cellStyle name="Normal 2 3 8 23 3 2 2" xfId="15835" xr:uid="{00000000-0005-0000-0000-0000E1930000}"/>
    <cellStyle name="Normal 2 3 8 23 3 2 2 2" xfId="47949" xr:uid="{00000000-0005-0000-0000-0000E2930000}"/>
    <cellStyle name="Normal 2 3 8 23 3 2 3" xfId="15836" xr:uid="{00000000-0005-0000-0000-0000E3930000}"/>
    <cellStyle name="Normal 2 3 8 23 3 2 3 2" xfId="47950" xr:uid="{00000000-0005-0000-0000-0000E4930000}"/>
    <cellStyle name="Normal 2 3 8 23 3 2 4" xfId="47951" xr:uid="{00000000-0005-0000-0000-0000E5930000}"/>
    <cellStyle name="Normal 2 3 8 23 3 3" xfId="15837" xr:uid="{00000000-0005-0000-0000-0000E6930000}"/>
    <cellStyle name="Normal 2 3 8 23 3 3 2" xfId="47952" xr:uid="{00000000-0005-0000-0000-0000E7930000}"/>
    <cellStyle name="Normal 2 3 8 23 3 4" xfId="15838" xr:uid="{00000000-0005-0000-0000-0000E8930000}"/>
    <cellStyle name="Normal 2 3 8 23 3 4 2" xfId="47953" xr:uid="{00000000-0005-0000-0000-0000E9930000}"/>
    <cellStyle name="Normal 2 3 8 23 3 5" xfId="15839" xr:uid="{00000000-0005-0000-0000-0000EA930000}"/>
    <cellStyle name="Normal 2 3 8 23 3 5 2" xfId="47954" xr:uid="{00000000-0005-0000-0000-0000EB930000}"/>
    <cellStyle name="Normal 2 3 8 23 3 6" xfId="47955" xr:uid="{00000000-0005-0000-0000-0000EC930000}"/>
    <cellStyle name="Normal 2 3 8 23 3 6 2" xfId="47956" xr:uid="{00000000-0005-0000-0000-0000ED930000}"/>
    <cellStyle name="Normal 2 3 8 23 3 7" xfId="47957" xr:uid="{00000000-0005-0000-0000-0000EE930000}"/>
    <cellStyle name="Normal 2 3 8 23 4" xfId="15840" xr:uid="{00000000-0005-0000-0000-0000EF930000}"/>
    <cellStyle name="Normal 2 3 8 23 4 2" xfId="15841" xr:uid="{00000000-0005-0000-0000-0000F0930000}"/>
    <cellStyle name="Normal 2 3 8 23 4 2 2" xfId="47958" xr:uid="{00000000-0005-0000-0000-0000F1930000}"/>
    <cellStyle name="Normal 2 3 8 23 4 3" xfId="15842" xr:uid="{00000000-0005-0000-0000-0000F2930000}"/>
    <cellStyle name="Normal 2 3 8 23 4 3 2" xfId="47959" xr:uid="{00000000-0005-0000-0000-0000F3930000}"/>
    <cellStyle name="Normal 2 3 8 23 4 4" xfId="47960" xr:uid="{00000000-0005-0000-0000-0000F4930000}"/>
    <cellStyle name="Normal 2 3 8 23 5" xfId="15843" xr:uid="{00000000-0005-0000-0000-0000F5930000}"/>
    <cellStyle name="Normal 2 3 8 23 5 2" xfId="15844" xr:uid="{00000000-0005-0000-0000-0000F6930000}"/>
    <cellStyle name="Normal 2 3 8 23 5 2 2" xfId="47961" xr:uid="{00000000-0005-0000-0000-0000F7930000}"/>
    <cellStyle name="Normal 2 3 8 23 5 3" xfId="47962" xr:uid="{00000000-0005-0000-0000-0000F8930000}"/>
    <cellStyle name="Normal 2 3 8 23 6" xfId="15845" xr:uid="{00000000-0005-0000-0000-0000F9930000}"/>
    <cellStyle name="Normal 2 3 8 23 6 2" xfId="47963" xr:uid="{00000000-0005-0000-0000-0000FA930000}"/>
    <cellStyle name="Normal 2 3 8 23 7" xfId="15846" xr:uid="{00000000-0005-0000-0000-0000FB930000}"/>
    <cellStyle name="Normal 2 3 8 23 7 2" xfId="47964" xr:uid="{00000000-0005-0000-0000-0000FC930000}"/>
    <cellStyle name="Normal 2 3 8 23 8" xfId="47965" xr:uid="{00000000-0005-0000-0000-0000FD930000}"/>
    <cellStyle name="Normal 2 3 8 23 8 2" xfId="47966" xr:uid="{00000000-0005-0000-0000-0000FE930000}"/>
    <cellStyle name="Normal 2 3 8 23 9" xfId="47967" xr:uid="{00000000-0005-0000-0000-0000FF930000}"/>
    <cellStyle name="Normal 2 3 8 24" xfId="15847" xr:uid="{00000000-0005-0000-0000-000000940000}"/>
    <cellStyle name="Normal 2 3 8 24 10" xfId="47968" xr:uid="{00000000-0005-0000-0000-000001940000}"/>
    <cellStyle name="Normal 2 3 8 24 11" xfId="47969" xr:uid="{00000000-0005-0000-0000-000002940000}"/>
    <cellStyle name="Normal 2 3 8 24 2" xfId="15848" xr:uid="{00000000-0005-0000-0000-000003940000}"/>
    <cellStyle name="Normal 2 3 8 24 2 10" xfId="47970" xr:uid="{00000000-0005-0000-0000-000004940000}"/>
    <cellStyle name="Normal 2 3 8 24 2 2" xfId="15849" xr:uid="{00000000-0005-0000-0000-000005940000}"/>
    <cellStyle name="Normal 2 3 8 24 2 2 2" xfId="15850" xr:uid="{00000000-0005-0000-0000-000006940000}"/>
    <cellStyle name="Normal 2 3 8 24 2 2 2 2" xfId="15851" xr:uid="{00000000-0005-0000-0000-000007940000}"/>
    <cellStyle name="Normal 2 3 8 24 2 2 2 2 2" xfId="47971" xr:uid="{00000000-0005-0000-0000-000008940000}"/>
    <cellStyle name="Normal 2 3 8 24 2 2 2 3" xfId="15852" xr:uid="{00000000-0005-0000-0000-000009940000}"/>
    <cellStyle name="Normal 2 3 8 24 2 2 2 3 2" xfId="47972" xr:uid="{00000000-0005-0000-0000-00000A940000}"/>
    <cellStyle name="Normal 2 3 8 24 2 2 2 4" xfId="47973" xr:uid="{00000000-0005-0000-0000-00000B940000}"/>
    <cellStyle name="Normal 2 3 8 24 2 2 3" xfId="15853" xr:uid="{00000000-0005-0000-0000-00000C940000}"/>
    <cellStyle name="Normal 2 3 8 24 2 2 3 2" xfId="47974" xr:uid="{00000000-0005-0000-0000-00000D940000}"/>
    <cellStyle name="Normal 2 3 8 24 2 2 4" xfId="15854" xr:uid="{00000000-0005-0000-0000-00000E940000}"/>
    <cellStyle name="Normal 2 3 8 24 2 2 4 2" xfId="47975" xr:uid="{00000000-0005-0000-0000-00000F940000}"/>
    <cellStyle name="Normal 2 3 8 24 2 2 5" xfId="15855" xr:uid="{00000000-0005-0000-0000-000010940000}"/>
    <cellStyle name="Normal 2 3 8 24 2 2 5 2" xfId="47976" xr:uid="{00000000-0005-0000-0000-000011940000}"/>
    <cellStyle name="Normal 2 3 8 24 2 2 6" xfId="47977" xr:uid="{00000000-0005-0000-0000-000012940000}"/>
    <cellStyle name="Normal 2 3 8 24 2 2 6 2" xfId="47978" xr:uid="{00000000-0005-0000-0000-000013940000}"/>
    <cellStyle name="Normal 2 3 8 24 2 2 7" xfId="47979" xr:uid="{00000000-0005-0000-0000-000014940000}"/>
    <cellStyle name="Normal 2 3 8 24 2 3" xfId="15856" xr:uid="{00000000-0005-0000-0000-000015940000}"/>
    <cellStyle name="Normal 2 3 8 24 2 3 2" xfId="15857" xr:uid="{00000000-0005-0000-0000-000016940000}"/>
    <cellStyle name="Normal 2 3 8 24 2 3 2 2" xfId="47980" xr:uid="{00000000-0005-0000-0000-000017940000}"/>
    <cellStyle name="Normal 2 3 8 24 2 3 3" xfId="15858" xr:uid="{00000000-0005-0000-0000-000018940000}"/>
    <cellStyle name="Normal 2 3 8 24 2 3 3 2" xfId="47981" xr:uid="{00000000-0005-0000-0000-000019940000}"/>
    <cellStyle name="Normal 2 3 8 24 2 3 4" xfId="47982" xr:uid="{00000000-0005-0000-0000-00001A940000}"/>
    <cellStyle name="Normal 2 3 8 24 2 4" xfId="15859" xr:uid="{00000000-0005-0000-0000-00001B940000}"/>
    <cellStyle name="Normal 2 3 8 24 2 4 2" xfId="15860" xr:uid="{00000000-0005-0000-0000-00001C940000}"/>
    <cellStyle name="Normal 2 3 8 24 2 4 2 2" xfId="47983" xr:uid="{00000000-0005-0000-0000-00001D940000}"/>
    <cellStyle name="Normal 2 3 8 24 2 4 3" xfId="47984" xr:uid="{00000000-0005-0000-0000-00001E940000}"/>
    <cellStyle name="Normal 2 3 8 24 2 5" xfId="15861" xr:uid="{00000000-0005-0000-0000-00001F940000}"/>
    <cellStyle name="Normal 2 3 8 24 2 5 2" xfId="47985" xr:uid="{00000000-0005-0000-0000-000020940000}"/>
    <cellStyle name="Normal 2 3 8 24 2 6" xfId="15862" xr:uid="{00000000-0005-0000-0000-000021940000}"/>
    <cellStyle name="Normal 2 3 8 24 2 6 2" xfId="47986" xr:uid="{00000000-0005-0000-0000-000022940000}"/>
    <cellStyle name="Normal 2 3 8 24 2 7" xfId="47987" xr:uid="{00000000-0005-0000-0000-000023940000}"/>
    <cellStyle name="Normal 2 3 8 24 2 7 2" xfId="47988" xr:uid="{00000000-0005-0000-0000-000024940000}"/>
    <cellStyle name="Normal 2 3 8 24 2 8" xfId="47989" xr:uid="{00000000-0005-0000-0000-000025940000}"/>
    <cellStyle name="Normal 2 3 8 24 2 9" xfId="47990" xr:uid="{00000000-0005-0000-0000-000026940000}"/>
    <cellStyle name="Normal 2 3 8 24 3" xfId="15863" xr:uid="{00000000-0005-0000-0000-000027940000}"/>
    <cellStyle name="Normal 2 3 8 24 3 2" xfId="15864" xr:uid="{00000000-0005-0000-0000-000028940000}"/>
    <cellStyle name="Normal 2 3 8 24 3 2 2" xfId="15865" xr:uid="{00000000-0005-0000-0000-000029940000}"/>
    <cellStyle name="Normal 2 3 8 24 3 2 2 2" xfId="47991" xr:uid="{00000000-0005-0000-0000-00002A940000}"/>
    <cellStyle name="Normal 2 3 8 24 3 2 3" xfId="15866" xr:uid="{00000000-0005-0000-0000-00002B940000}"/>
    <cellStyle name="Normal 2 3 8 24 3 2 3 2" xfId="47992" xr:uid="{00000000-0005-0000-0000-00002C940000}"/>
    <cellStyle name="Normal 2 3 8 24 3 2 4" xfId="47993" xr:uid="{00000000-0005-0000-0000-00002D940000}"/>
    <cellStyle name="Normal 2 3 8 24 3 3" xfId="15867" xr:uid="{00000000-0005-0000-0000-00002E940000}"/>
    <cellStyle name="Normal 2 3 8 24 3 3 2" xfId="47994" xr:uid="{00000000-0005-0000-0000-00002F940000}"/>
    <cellStyle name="Normal 2 3 8 24 3 4" xfId="15868" xr:uid="{00000000-0005-0000-0000-000030940000}"/>
    <cellStyle name="Normal 2 3 8 24 3 4 2" xfId="47995" xr:uid="{00000000-0005-0000-0000-000031940000}"/>
    <cellStyle name="Normal 2 3 8 24 3 5" xfId="15869" xr:uid="{00000000-0005-0000-0000-000032940000}"/>
    <cellStyle name="Normal 2 3 8 24 3 5 2" xfId="47996" xr:uid="{00000000-0005-0000-0000-000033940000}"/>
    <cellStyle name="Normal 2 3 8 24 3 6" xfId="47997" xr:uid="{00000000-0005-0000-0000-000034940000}"/>
    <cellStyle name="Normal 2 3 8 24 3 6 2" xfId="47998" xr:uid="{00000000-0005-0000-0000-000035940000}"/>
    <cellStyle name="Normal 2 3 8 24 3 7" xfId="47999" xr:uid="{00000000-0005-0000-0000-000036940000}"/>
    <cellStyle name="Normal 2 3 8 24 4" xfId="15870" xr:uid="{00000000-0005-0000-0000-000037940000}"/>
    <cellStyle name="Normal 2 3 8 24 4 2" xfId="15871" xr:uid="{00000000-0005-0000-0000-000038940000}"/>
    <cellStyle name="Normal 2 3 8 24 4 2 2" xfId="48000" xr:uid="{00000000-0005-0000-0000-000039940000}"/>
    <cellStyle name="Normal 2 3 8 24 4 3" xfId="15872" xr:uid="{00000000-0005-0000-0000-00003A940000}"/>
    <cellStyle name="Normal 2 3 8 24 4 3 2" xfId="48001" xr:uid="{00000000-0005-0000-0000-00003B940000}"/>
    <cellStyle name="Normal 2 3 8 24 4 4" xfId="48002" xr:uid="{00000000-0005-0000-0000-00003C940000}"/>
    <cellStyle name="Normal 2 3 8 24 5" xfId="15873" xr:uid="{00000000-0005-0000-0000-00003D940000}"/>
    <cellStyle name="Normal 2 3 8 24 5 2" xfId="15874" xr:uid="{00000000-0005-0000-0000-00003E940000}"/>
    <cellStyle name="Normal 2 3 8 24 5 2 2" xfId="48003" xr:uid="{00000000-0005-0000-0000-00003F940000}"/>
    <cellStyle name="Normal 2 3 8 24 5 3" xfId="48004" xr:uid="{00000000-0005-0000-0000-000040940000}"/>
    <cellStyle name="Normal 2 3 8 24 6" xfId="15875" xr:uid="{00000000-0005-0000-0000-000041940000}"/>
    <cellStyle name="Normal 2 3 8 24 6 2" xfId="48005" xr:uid="{00000000-0005-0000-0000-000042940000}"/>
    <cellStyle name="Normal 2 3 8 24 7" xfId="15876" xr:uid="{00000000-0005-0000-0000-000043940000}"/>
    <cellStyle name="Normal 2 3 8 24 7 2" xfId="48006" xr:uid="{00000000-0005-0000-0000-000044940000}"/>
    <cellStyle name="Normal 2 3 8 24 8" xfId="48007" xr:uid="{00000000-0005-0000-0000-000045940000}"/>
    <cellStyle name="Normal 2 3 8 24 8 2" xfId="48008" xr:uid="{00000000-0005-0000-0000-000046940000}"/>
    <cellStyle name="Normal 2 3 8 24 9" xfId="48009" xr:uid="{00000000-0005-0000-0000-000047940000}"/>
    <cellStyle name="Normal 2 3 8 25" xfId="15877" xr:uid="{00000000-0005-0000-0000-000048940000}"/>
    <cellStyle name="Normal 2 3 8 25 10" xfId="48010" xr:uid="{00000000-0005-0000-0000-000049940000}"/>
    <cellStyle name="Normal 2 3 8 25 11" xfId="48011" xr:uid="{00000000-0005-0000-0000-00004A940000}"/>
    <cellStyle name="Normal 2 3 8 25 2" xfId="15878" xr:uid="{00000000-0005-0000-0000-00004B940000}"/>
    <cellStyle name="Normal 2 3 8 25 2 10" xfId="48012" xr:uid="{00000000-0005-0000-0000-00004C940000}"/>
    <cellStyle name="Normal 2 3 8 25 2 2" xfId="15879" xr:uid="{00000000-0005-0000-0000-00004D940000}"/>
    <cellStyle name="Normal 2 3 8 25 2 2 2" xfId="15880" xr:uid="{00000000-0005-0000-0000-00004E940000}"/>
    <cellStyle name="Normal 2 3 8 25 2 2 2 2" xfId="15881" xr:uid="{00000000-0005-0000-0000-00004F940000}"/>
    <cellStyle name="Normal 2 3 8 25 2 2 2 2 2" xfId="48013" xr:uid="{00000000-0005-0000-0000-000050940000}"/>
    <cellStyle name="Normal 2 3 8 25 2 2 2 3" xfId="15882" xr:uid="{00000000-0005-0000-0000-000051940000}"/>
    <cellStyle name="Normal 2 3 8 25 2 2 2 3 2" xfId="48014" xr:uid="{00000000-0005-0000-0000-000052940000}"/>
    <cellStyle name="Normal 2 3 8 25 2 2 2 4" xfId="48015" xr:uid="{00000000-0005-0000-0000-000053940000}"/>
    <cellStyle name="Normal 2 3 8 25 2 2 3" xfId="15883" xr:uid="{00000000-0005-0000-0000-000054940000}"/>
    <cellStyle name="Normal 2 3 8 25 2 2 3 2" xfId="48016" xr:uid="{00000000-0005-0000-0000-000055940000}"/>
    <cellStyle name="Normal 2 3 8 25 2 2 4" xfId="15884" xr:uid="{00000000-0005-0000-0000-000056940000}"/>
    <cellStyle name="Normal 2 3 8 25 2 2 4 2" xfId="48017" xr:uid="{00000000-0005-0000-0000-000057940000}"/>
    <cellStyle name="Normal 2 3 8 25 2 2 5" xfId="15885" xr:uid="{00000000-0005-0000-0000-000058940000}"/>
    <cellStyle name="Normal 2 3 8 25 2 2 5 2" xfId="48018" xr:uid="{00000000-0005-0000-0000-000059940000}"/>
    <cellStyle name="Normal 2 3 8 25 2 2 6" xfId="48019" xr:uid="{00000000-0005-0000-0000-00005A940000}"/>
    <cellStyle name="Normal 2 3 8 25 2 2 6 2" xfId="48020" xr:uid="{00000000-0005-0000-0000-00005B940000}"/>
    <cellStyle name="Normal 2 3 8 25 2 2 7" xfId="48021" xr:uid="{00000000-0005-0000-0000-00005C940000}"/>
    <cellStyle name="Normal 2 3 8 25 2 3" xfId="15886" xr:uid="{00000000-0005-0000-0000-00005D940000}"/>
    <cellStyle name="Normal 2 3 8 25 2 3 2" xfId="15887" xr:uid="{00000000-0005-0000-0000-00005E940000}"/>
    <cellStyle name="Normal 2 3 8 25 2 3 2 2" xfId="48022" xr:uid="{00000000-0005-0000-0000-00005F940000}"/>
    <cellStyle name="Normal 2 3 8 25 2 3 3" xfId="15888" xr:uid="{00000000-0005-0000-0000-000060940000}"/>
    <cellStyle name="Normal 2 3 8 25 2 3 3 2" xfId="48023" xr:uid="{00000000-0005-0000-0000-000061940000}"/>
    <cellStyle name="Normal 2 3 8 25 2 3 4" xfId="48024" xr:uid="{00000000-0005-0000-0000-000062940000}"/>
    <cellStyle name="Normal 2 3 8 25 2 4" xfId="15889" xr:uid="{00000000-0005-0000-0000-000063940000}"/>
    <cellStyle name="Normal 2 3 8 25 2 4 2" xfId="15890" xr:uid="{00000000-0005-0000-0000-000064940000}"/>
    <cellStyle name="Normal 2 3 8 25 2 4 2 2" xfId="48025" xr:uid="{00000000-0005-0000-0000-000065940000}"/>
    <cellStyle name="Normal 2 3 8 25 2 4 3" xfId="48026" xr:uid="{00000000-0005-0000-0000-000066940000}"/>
    <cellStyle name="Normal 2 3 8 25 2 5" xfId="15891" xr:uid="{00000000-0005-0000-0000-000067940000}"/>
    <cellStyle name="Normal 2 3 8 25 2 5 2" xfId="48027" xr:uid="{00000000-0005-0000-0000-000068940000}"/>
    <cellStyle name="Normal 2 3 8 25 2 6" xfId="15892" xr:uid="{00000000-0005-0000-0000-000069940000}"/>
    <cellStyle name="Normal 2 3 8 25 2 6 2" xfId="48028" xr:uid="{00000000-0005-0000-0000-00006A940000}"/>
    <cellStyle name="Normal 2 3 8 25 2 7" xfId="48029" xr:uid="{00000000-0005-0000-0000-00006B940000}"/>
    <cellStyle name="Normal 2 3 8 25 2 7 2" xfId="48030" xr:uid="{00000000-0005-0000-0000-00006C940000}"/>
    <cellStyle name="Normal 2 3 8 25 2 8" xfId="48031" xr:uid="{00000000-0005-0000-0000-00006D940000}"/>
    <cellStyle name="Normal 2 3 8 25 2 9" xfId="48032" xr:uid="{00000000-0005-0000-0000-00006E940000}"/>
    <cellStyle name="Normal 2 3 8 25 3" xfId="15893" xr:uid="{00000000-0005-0000-0000-00006F940000}"/>
    <cellStyle name="Normal 2 3 8 25 3 2" xfId="15894" xr:uid="{00000000-0005-0000-0000-000070940000}"/>
    <cellStyle name="Normal 2 3 8 25 3 2 2" xfId="15895" xr:uid="{00000000-0005-0000-0000-000071940000}"/>
    <cellStyle name="Normal 2 3 8 25 3 2 2 2" xfId="48033" xr:uid="{00000000-0005-0000-0000-000072940000}"/>
    <cellStyle name="Normal 2 3 8 25 3 2 3" xfId="15896" xr:uid="{00000000-0005-0000-0000-000073940000}"/>
    <cellStyle name="Normal 2 3 8 25 3 2 3 2" xfId="48034" xr:uid="{00000000-0005-0000-0000-000074940000}"/>
    <cellStyle name="Normal 2 3 8 25 3 2 4" xfId="48035" xr:uid="{00000000-0005-0000-0000-000075940000}"/>
    <cellStyle name="Normal 2 3 8 25 3 3" xfId="15897" xr:uid="{00000000-0005-0000-0000-000076940000}"/>
    <cellStyle name="Normal 2 3 8 25 3 3 2" xfId="48036" xr:uid="{00000000-0005-0000-0000-000077940000}"/>
    <cellStyle name="Normal 2 3 8 25 3 4" xfId="15898" xr:uid="{00000000-0005-0000-0000-000078940000}"/>
    <cellStyle name="Normal 2 3 8 25 3 4 2" xfId="48037" xr:uid="{00000000-0005-0000-0000-000079940000}"/>
    <cellStyle name="Normal 2 3 8 25 3 5" xfId="15899" xr:uid="{00000000-0005-0000-0000-00007A940000}"/>
    <cellStyle name="Normal 2 3 8 25 3 5 2" xfId="48038" xr:uid="{00000000-0005-0000-0000-00007B940000}"/>
    <cellStyle name="Normal 2 3 8 25 3 6" xfId="48039" xr:uid="{00000000-0005-0000-0000-00007C940000}"/>
    <cellStyle name="Normal 2 3 8 25 3 6 2" xfId="48040" xr:uid="{00000000-0005-0000-0000-00007D940000}"/>
    <cellStyle name="Normal 2 3 8 25 3 7" xfId="48041" xr:uid="{00000000-0005-0000-0000-00007E940000}"/>
    <cellStyle name="Normal 2 3 8 25 4" xfId="15900" xr:uid="{00000000-0005-0000-0000-00007F940000}"/>
    <cellStyle name="Normal 2 3 8 25 4 2" xfId="15901" xr:uid="{00000000-0005-0000-0000-000080940000}"/>
    <cellStyle name="Normal 2 3 8 25 4 2 2" xfId="48042" xr:uid="{00000000-0005-0000-0000-000081940000}"/>
    <cellStyle name="Normal 2 3 8 25 4 3" xfId="15902" xr:uid="{00000000-0005-0000-0000-000082940000}"/>
    <cellStyle name="Normal 2 3 8 25 4 3 2" xfId="48043" xr:uid="{00000000-0005-0000-0000-000083940000}"/>
    <cellStyle name="Normal 2 3 8 25 4 4" xfId="48044" xr:uid="{00000000-0005-0000-0000-000084940000}"/>
    <cellStyle name="Normal 2 3 8 25 5" xfId="15903" xr:uid="{00000000-0005-0000-0000-000085940000}"/>
    <cellStyle name="Normal 2 3 8 25 5 2" xfId="15904" xr:uid="{00000000-0005-0000-0000-000086940000}"/>
    <cellStyle name="Normal 2 3 8 25 5 2 2" xfId="48045" xr:uid="{00000000-0005-0000-0000-000087940000}"/>
    <cellStyle name="Normal 2 3 8 25 5 3" xfId="48046" xr:uid="{00000000-0005-0000-0000-000088940000}"/>
    <cellStyle name="Normal 2 3 8 25 6" xfId="15905" xr:uid="{00000000-0005-0000-0000-000089940000}"/>
    <cellStyle name="Normal 2 3 8 25 6 2" xfId="48047" xr:uid="{00000000-0005-0000-0000-00008A940000}"/>
    <cellStyle name="Normal 2 3 8 25 7" xfId="15906" xr:uid="{00000000-0005-0000-0000-00008B940000}"/>
    <cellStyle name="Normal 2 3 8 25 7 2" xfId="48048" xr:uid="{00000000-0005-0000-0000-00008C940000}"/>
    <cellStyle name="Normal 2 3 8 25 8" xfId="48049" xr:uid="{00000000-0005-0000-0000-00008D940000}"/>
    <cellStyle name="Normal 2 3 8 25 8 2" xfId="48050" xr:uid="{00000000-0005-0000-0000-00008E940000}"/>
    <cellStyle name="Normal 2 3 8 25 9" xfId="48051" xr:uid="{00000000-0005-0000-0000-00008F940000}"/>
    <cellStyle name="Normal 2 3 8 26" xfId="15907" xr:uid="{00000000-0005-0000-0000-000090940000}"/>
    <cellStyle name="Normal 2 3 8 26 10" xfId="48052" xr:uid="{00000000-0005-0000-0000-000091940000}"/>
    <cellStyle name="Normal 2 3 8 26 11" xfId="48053" xr:uid="{00000000-0005-0000-0000-000092940000}"/>
    <cellStyle name="Normal 2 3 8 26 2" xfId="15908" xr:uid="{00000000-0005-0000-0000-000093940000}"/>
    <cellStyle name="Normal 2 3 8 26 2 10" xfId="48054" xr:uid="{00000000-0005-0000-0000-000094940000}"/>
    <cellStyle name="Normal 2 3 8 26 2 2" xfId="15909" xr:uid="{00000000-0005-0000-0000-000095940000}"/>
    <cellStyle name="Normal 2 3 8 26 2 2 2" xfId="15910" xr:uid="{00000000-0005-0000-0000-000096940000}"/>
    <cellStyle name="Normal 2 3 8 26 2 2 2 2" xfId="15911" xr:uid="{00000000-0005-0000-0000-000097940000}"/>
    <cellStyle name="Normal 2 3 8 26 2 2 2 2 2" xfId="48055" xr:uid="{00000000-0005-0000-0000-000098940000}"/>
    <cellStyle name="Normal 2 3 8 26 2 2 2 3" xfId="15912" xr:uid="{00000000-0005-0000-0000-000099940000}"/>
    <cellStyle name="Normal 2 3 8 26 2 2 2 3 2" xfId="48056" xr:uid="{00000000-0005-0000-0000-00009A940000}"/>
    <cellStyle name="Normal 2 3 8 26 2 2 2 4" xfId="48057" xr:uid="{00000000-0005-0000-0000-00009B940000}"/>
    <cellStyle name="Normal 2 3 8 26 2 2 3" xfId="15913" xr:uid="{00000000-0005-0000-0000-00009C940000}"/>
    <cellStyle name="Normal 2 3 8 26 2 2 3 2" xfId="48058" xr:uid="{00000000-0005-0000-0000-00009D940000}"/>
    <cellStyle name="Normal 2 3 8 26 2 2 4" xfId="15914" xr:uid="{00000000-0005-0000-0000-00009E940000}"/>
    <cellStyle name="Normal 2 3 8 26 2 2 4 2" xfId="48059" xr:uid="{00000000-0005-0000-0000-00009F940000}"/>
    <cellStyle name="Normal 2 3 8 26 2 2 5" xfId="15915" xr:uid="{00000000-0005-0000-0000-0000A0940000}"/>
    <cellStyle name="Normal 2 3 8 26 2 2 5 2" xfId="48060" xr:uid="{00000000-0005-0000-0000-0000A1940000}"/>
    <cellStyle name="Normal 2 3 8 26 2 2 6" xfId="48061" xr:uid="{00000000-0005-0000-0000-0000A2940000}"/>
    <cellStyle name="Normal 2 3 8 26 2 2 6 2" xfId="48062" xr:uid="{00000000-0005-0000-0000-0000A3940000}"/>
    <cellStyle name="Normal 2 3 8 26 2 2 7" xfId="48063" xr:uid="{00000000-0005-0000-0000-0000A4940000}"/>
    <cellStyle name="Normal 2 3 8 26 2 3" xfId="15916" xr:uid="{00000000-0005-0000-0000-0000A5940000}"/>
    <cellStyle name="Normal 2 3 8 26 2 3 2" xfId="15917" xr:uid="{00000000-0005-0000-0000-0000A6940000}"/>
    <cellStyle name="Normal 2 3 8 26 2 3 2 2" xfId="48064" xr:uid="{00000000-0005-0000-0000-0000A7940000}"/>
    <cellStyle name="Normal 2 3 8 26 2 3 3" xfId="15918" xr:uid="{00000000-0005-0000-0000-0000A8940000}"/>
    <cellStyle name="Normal 2 3 8 26 2 3 3 2" xfId="48065" xr:uid="{00000000-0005-0000-0000-0000A9940000}"/>
    <cellStyle name="Normal 2 3 8 26 2 3 4" xfId="48066" xr:uid="{00000000-0005-0000-0000-0000AA940000}"/>
    <cellStyle name="Normal 2 3 8 26 2 4" xfId="15919" xr:uid="{00000000-0005-0000-0000-0000AB940000}"/>
    <cellStyle name="Normal 2 3 8 26 2 4 2" xfId="15920" xr:uid="{00000000-0005-0000-0000-0000AC940000}"/>
    <cellStyle name="Normal 2 3 8 26 2 4 2 2" xfId="48067" xr:uid="{00000000-0005-0000-0000-0000AD940000}"/>
    <cellStyle name="Normal 2 3 8 26 2 4 3" xfId="48068" xr:uid="{00000000-0005-0000-0000-0000AE940000}"/>
    <cellStyle name="Normal 2 3 8 26 2 5" xfId="15921" xr:uid="{00000000-0005-0000-0000-0000AF940000}"/>
    <cellStyle name="Normal 2 3 8 26 2 5 2" xfId="48069" xr:uid="{00000000-0005-0000-0000-0000B0940000}"/>
    <cellStyle name="Normal 2 3 8 26 2 6" xfId="15922" xr:uid="{00000000-0005-0000-0000-0000B1940000}"/>
    <cellStyle name="Normal 2 3 8 26 2 6 2" xfId="48070" xr:uid="{00000000-0005-0000-0000-0000B2940000}"/>
    <cellStyle name="Normal 2 3 8 26 2 7" xfId="48071" xr:uid="{00000000-0005-0000-0000-0000B3940000}"/>
    <cellStyle name="Normal 2 3 8 26 2 7 2" xfId="48072" xr:uid="{00000000-0005-0000-0000-0000B4940000}"/>
    <cellStyle name="Normal 2 3 8 26 2 8" xfId="48073" xr:uid="{00000000-0005-0000-0000-0000B5940000}"/>
    <cellStyle name="Normal 2 3 8 26 2 9" xfId="48074" xr:uid="{00000000-0005-0000-0000-0000B6940000}"/>
    <cellStyle name="Normal 2 3 8 26 3" xfId="15923" xr:uid="{00000000-0005-0000-0000-0000B7940000}"/>
    <cellStyle name="Normal 2 3 8 26 3 2" xfId="15924" xr:uid="{00000000-0005-0000-0000-0000B8940000}"/>
    <cellStyle name="Normal 2 3 8 26 3 2 2" xfId="15925" xr:uid="{00000000-0005-0000-0000-0000B9940000}"/>
    <cellStyle name="Normal 2 3 8 26 3 2 2 2" xfId="48075" xr:uid="{00000000-0005-0000-0000-0000BA940000}"/>
    <cellStyle name="Normal 2 3 8 26 3 2 3" xfId="15926" xr:uid="{00000000-0005-0000-0000-0000BB940000}"/>
    <cellStyle name="Normal 2 3 8 26 3 2 3 2" xfId="48076" xr:uid="{00000000-0005-0000-0000-0000BC940000}"/>
    <cellStyle name="Normal 2 3 8 26 3 2 4" xfId="48077" xr:uid="{00000000-0005-0000-0000-0000BD940000}"/>
    <cellStyle name="Normal 2 3 8 26 3 3" xfId="15927" xr:uid="{00000000-0005-0000-0000-0000BE940000}"/>
    <cellStyle name="Normal 2 3 8 26 3 3 2" xfId="48078" xr:uid="{00000000-0005-0000-0000-0000BF940000}"/>
    <cellStyle name="Normal 2 3 8 26 3 4" xfId="15928" xr:uid="{00000000-0005-0000-0000-0000C0940000}"/>
    <cellStyle name="Normal 2 3 8 26 3 4 2" xfId="48079" xr:uid="{00000000-0005-0000-0000-0000C1940000}"/>
    <cellStyle name="Normal 2 3 8 26 3 5" xfId="15929" xr:uid="{00000000-0005-0000-0000-0000C2940000}"/>
    <cellStyle name="Normal 2 3 8 26 3 5 2" xfId="48080" xr:uid="{00000000-0005-0000-0000-0000C3940000}"/>
    <cellStyle name="Normal 2 3 8 26 3 6" xfId="48081" xr:uid="{00000000-0005-0000-0000-0000C4940000}"/>
    <cellStyle name="Normal 2 3 8 26 3 6 2" xfId="48082" xr:uid="{00000000-0005-0000-0000-0000C5940000}"/>
    <cellStyle name="Normal 2 3 8 26 3 7" xfId="48083" xr:uid="{00000000-0005-0000-0000-0000C6940000}"/>
    <cellStyle name="Normal 2 3 8 26 4" xfId="15930" xr:uid="{00000000-0005-0000-0000-0000C7940000}"/>
    <cellStyle name="Normal 2 3 8 26 4 2" xfId="15931" xr:uid="{00000000-0005-0000-0000-0000C8940000}"/>
    <cellStyle name="Normal 2 3 8 26 4 2 2" xfId="48084" xr:uid="{00000000-0005-0000-0000-0000C9940000}"/>
    <cellStyle name="Normal 2 3 8 26 4 3" xfId="15932" xr:uid="{00000000-0005-0000-0000-0000CA940000}"/>
    <cellStyle name="Normal 2 3 8 26 4 3 2" xfId="48085" xr:uid="{00000000-0005-0000-0000-0000CB940000}"/>
    <cellStyle name="Normal 2 3 8 26 4 4" xfId="48086" xr:uid="{00000000-0005-0000-0000-0000CC940000}"/>
    <cellStyle name="Normal 2 3 8 26 5" xfId="15933" xr:uid="{00000000-0005-0000-0000-0000CD940000}"/>
    <cellStyle name="Normal 2 3 8 26 5 2" xfId="15934" xr:uid="{00000000-0005-0000-0000-0000CE940000}"/>
    <cellStyle name="Normal 2 3 8 26 5 2 2" xfId="48087" xr:uid="{00000000-0005-0000-0000-0000CF940000}"/>
    <cellStyle name="Normal 2 3 8 26 5 3" xfId="48088" xr:uid="{00000000-0005-0000-0000-0000D0940000}"/>
    <cellStyle name="Normal 2 3 8 26 6" xfId="15935" xr:uid="{00000000-0005-0000-0000-0000D1940000}"/>
    <cellStyle name="Normal 2 3 8 26 6 2" xfId="48089" xr:uid="{00000000-0005-0000-0000-0000D2940000}"/>
    <cellStyle name="Normal 2 3 8 26 7" xfId="15936" xr:uid="{00000000-0005-0000-0000-0000D3940000}"/>
    <cellStyle name="Normal 2 3 8 26 7 2" xfId="48090" xr:uid="{00000000-0005-0000-0000-0000D4940000}"/>
    <cellStyle name="Normal 2 3 8 26 8" xfId="48091" xr:uid="{00000000-0005-0000-0000-0000D5940000}"/>
    <cellStyle name="Normal 2 3 8 26 8 2" xfId="48092" xr:uid="{00000000-0005-0000-0000-0000D6940000}"/>
    <cellStyle name="Normal 2 3 8 26 9" xfId="48093" xr:uid="{00000000-0005-0000-0000-0000D7940000}"/>
    <cellStyle name="Normal 2 3 8 27" xfId="15937" xr:uid="{00000000-0005-0000-0000-0000D8940000}"/>
    <cellStyle name="Normal 2 3 8 27 10" xfId="48094" xr:uid="{00000000-0005-0000-0000-0000D9940000}"/>
    <cellStyle name="Normal 2 3 8 27 11" xfId="48095" xr:uid="{00000000-0005-0000-0000-0000DA940000}"/>
    <cellStyle name="Normal 2 3 8 27 2" xfId="15938" xr:uid="{00000000-0005-0000-0000-0000DB940000}"/>
    <cellStyle name="Normal 2 3 8 27 2 10" xfId="48096" xr:uid="{00000000-0005-0000-0000-0000DC940000}"/>
    <cellStyle name="Normal 2 3 8 27 2 2" xfId="15939" xr:uid="{00000000-0005-0000-0000-0000DD940000}"/>
    <cellStyle name="Normal 2 3 8 27 2 2 2" xfId="15940" xr:uid="{00000000-0005-0000-0000-0000DE940000}"/>
    <cellStyle name="Normal 2 3 8 27 2 2 2 2" xfId="15941" xr:uid="{00000000-0005-0000-0000-0000DF940000}"/>
    <cellStyle name="Normal 2 3 8 27 2 2 2 2 2" xfId="48097" xr:uid="{00000000-0005-0000-0000-0000E0940000}"/>
    <cellStyle name="Normal 2 3 8 27 2 2 2 3" xfId="15942" xr:uid="{00000000-0005-0000-0000-0000E1940000}"/>
    <cellStyle name="Normal 2 3 8 27 2 2 2 3 2" xfId="48098" xr:uid="{00000000-0005-0000-0000-0000E2940000}"/>
    <cellStyle name="Normal 2 3 8 27 2 2 2 4" xfId="48099" xr:uid="{00000000-0005-0000-0000-0000E3940000}"/>
    <cellStyle name="Normal 2 3 8 27 2 2 3" xfId="15943" xr:uid="{00000000-0005-0000-0000-0000E4940000}"/>
    <cellStyle name="Normal 2 3 8 27 2 2 3 2" xfId="48100" xr:uid="{00000000-0005-0000-0000-0000E5940000}"/>
    <cellStyle name="Normal 2 3 8 27 2 2 4" xfId="15944" xr:uid="{00000000-0005-0000-0000-0000E6940000}"/>
    <cellStyle name="Normal 2 3 8 27 2 2 4 2" xfId="48101" xr:uid="{00000000-0005-0000-0000-0000E7940000}"/>
    <cellStyle name="Normal 2 3 8 27 2 2 5" xfId="15945" xr:uid="{00000000-0005-0000-0000-0000E8940000}"/>
    <cellStyle name="Normal 2 3 8 27 2 2 5 2" xfId="48102" xr:uid="{00000000-0005-0000-0000-0000E9940000}"/>
    <cellStyle name="Normal 2 3 8 27 2 2 6" xfId="48103" xr:uid="{00000000-0005-0000-0000-0000EA940000}"/>
    <cellStyle name="Normal 2 3 8 27 2 2 6 2" xfId="48104" xr:uid="{00000000-0005-0000-0000-0000EB940000}"/>
    <cellStyle name="Normal 2 3 8 27 2 2 7" xfId="48105" xr:uid="{00000000-0005-0000-0000-0000EC940000}"/>
    <cellStyle name="Normal 2 3 8 27 2 3" xfId="15946" xr:uid="{00000000-0005-0000-0000-0000ED940000}"/>
    <cellStyle name="Normal 2 3 8 27 2 3 2" xfId="15947" xr:uid="{00000000-0005-0000-0000-0000EE940000}"/>
    <cellStyle name="Normal 2 3 8 27 2 3 2 2" xfId="48106" xr:uid="{00000000-0005-0000-0000-0000EF940000}"/>
    <cellStyle name="Normal 2 3 8 27 2 3 3" xfId="15948" xr:uid="{00000000-0005-0000-0000-0000F0940000}"/>
    <cellStyle name="Normal 2 3 8 27 2 3 3 2" xfId="48107" xr:uid="{00000000-0005-0000-0000-0000F1940000}"/>
    <cellStyle name="Normal 2 3 8 27 2 3 4" xfId="48108" xr:uid="{00000000-0005-0000-0000-0000F2940000}"/>
    <cellStyle name="Normal 2 3 8 27 2 4" xfId="15949" xr:uid="{00000000-0005-0000-0000-0000F3940000}"/>
    <cellStyle name="Normal 2 3 8 27 2 4 2" xfId="15950" xr:uid="{00000000-0005-0000-0000-0000F4940000}"/>
    <cellStyle name="Normal 2 3 8 27 2 4 2 2" xfId="48109" xr:uid="{00000000-0005-0000-0000-0000F5940000}"/>
    <cellStyle name="Normal 2 3 8 27 2 4 3" xfId="48110" xr:uid="{00000000-0005-0000-0000-0000F6940000}"/>
    <cellStyle name="Normal 2 3 8 27 2 5" xfId="15951" xr:uid="{00000000-0005-0000-0000-0000F7940000}"/>
    <cellStyle name="Normal 2 3 8 27 2 5 2" xfId="48111" xr:uid="{00000000-0005-0000-0000-0000F8940000}"/>
    <cellStyle name="Normal 2 3 8 27 2 6" xfId="15952" xr:uid="{00000000-0005-0000-0000-0000F9940000}"/>
    <cellStyle name="Normal 2 3 8 27 2 6 2" xfId="48112" xr:uid="{00000000-0005-0000-0000-0000FA940000}"/>
    <cellStyle name="Normal 2 3 8 27 2 7" xfId="48113" xr:uid="{00000000-0005-0000-0000-0000FB940000}"/>
    <cellStyle name="Normal 2 3 8 27 2 7 2" xfId="48114" xr:uid="{00000000-0005-0000-0000-0000FC940000}"/>
    <cellStyle name="Normal 2 3 8 27 2 8" xfId="48115" xr:uid="{00000000-0005-0000-0000-0000FD940000}"/>
    <cellStyle name="Normal 2 3 8 27 2 9" xfId="48116" xr:uid="{00000000-0005-0000-0000-0000FE940000}"/>
    <cellStyle name="Normal 2 3 8 27 3" xfId="15953" xr:uid="{00000000-0005-0000-0000-0000FF940000}"/>
    <cellStyle name="Normal 2 3 8 27 3 2" xfId="15954" xr:uid="{00000000-0005-0000-0000-000000950000}"/>
    <cellStyle name="Normal 2 3 8 27 3 2 2" xfId="15955" xr:uid="{00000000-0005-0000-0000-000001950000}"/>
    <cellStyle name="Normal 2 3 8 27 3 2 2 2" xfId="48117" xr:uid="{00000000-0005-0000-0000-000002950000}"/>
    <cellStyle name="Normal 2 3 8 27 3 2 3" xfId="15956" xr:uid="{00000000-0005-0000-0000-000003950000}"/>
    <cellStyle name="Normal 2 3 8 27 3 2 3 2" xfId="48118" xr:uid="{00000000-0005-0000-0000-000004950000}"/>
    <cellStyle name="Normal 2 3 8 27 3 2 4" xfId="48119" xr:uid="{00000000-0005-0000-0000-000005950000}"/>
    <cellStyle name="Normal 2 3 8 27 3 3" xfId="15957" xr:uid="{00000000-0005-0000-0000-000006950000}"/>
    <cellStyle name="Normal 2 3 8 27 3 3 2" xfId="48120" xr:uid="{00000000-0005-0000-0000-000007950000}"/>
    <cellStyle name="Normal 2 3 8 27 3 4" xfId="15958" xr:uid="{00000000-0005-0000-0000-000008950000}"/>
    <cellStyle name="Normal 2 3 8 27 3 4 2" xfId="48121" xr:uid="{00000000-0005-0000-0000-000009950000}"/>
    <cellStyle name="Normal 2 3 8 27 3 5" xfId="15959" xr:uid="{00000000-0005-0000-0000-00000A950000}"/>
    <cellStyle name="Normal 2 3 8 27 3 5 2" xfId="48122" xr:uid="{00000000-0005-0000-0000-00000B950000}"/>
    <cellStyle name="Normal 2 3 8 27 3 6" xfId="48123" xr:uid="{00000000-0005-0000-0000-00000C950000}"/>
    <cellStyle name="Normal 2 3 8 27 3 6 2" xfId="48124" xr:uid="{00000000-0005-0000-0000-00000D950000}"/>
    <cellStyle name="Normal 2 3 8 27 3 7" xfId="48125" xr:uid="{00000000-0005-0000-0000-00000E950000}"/>
    <cellStyle name="Normal 2 3 8 27 4" xfId="15960" xr:uid="{00000000-0005-0000-0000-00000F950000}"/>
    <cellStyle name="Normal 2 3 8 27 4 2" xfId="15961" xr:uid="{00000000-0005-0000-0000-000010950000}"/>
    <cellStyle name="Normal 2 3 8 27 4 2 2" xfId="48126" xr:uid="{00000000-0005-0000-0000-000011950000}"/>
    <cellStyle name="Normal 2 3 8 27 4 3" xfId="15962" xr:uid="{00000000-0005-0000-0000-000012950000}"/>
    <cellStyle name="Normal 2 3 8 27 4 3 2" xfId="48127" xr:uid="{00000000-0005-0000-0000-000013950000}"/>
    <cellStyle name="Normal 2 3 8 27 4 4" xfId="48128" xr:uid="{00000000-0005-0000-0000-000014950000}"/>
    <cellStyle name="Normal 2 3 8 27 5" xfId="15963" xr:uid="{00000000-0005-0000-0000-000015950000}"/>
    <cellStyle name="Normal 2 3 8 27 5 2" xfId="15964" xr:uid="{00000000-0005-0000-0000-000016950000}"/>
    <cellStyle name="Normal 2 3 8 27 5 2 2" xfId="48129" xr:uid="{00000000-0005-0000-0000-000017950000}"/>
    <cellStyle name="Normal 2 3 8 27 5 3" xfId="48130" xr:uid="{00000000-0005-0000-0000-000018950000}"/>
    <cellStyle name="Normal 2 3 8 27 6" xfId="15965" xr:uid="{00000000-0005-0000-0000-000019950000}"/>
    <cellStyle name="Normal 2 3 8 27 6 2" xfId="48131" xr:uid="{00000000-0005-0000-0000-00001A950000}"/>
    <cellStyle name="Normal 2 3 8 27 7" xfId="15966" xr:uid="{00000000-0005-0000-0000-00001B950000}"/>
    <cellStyle name="Normal 2 3 8 27 7 2" xfId="48132" xr:uid="{00000000-0005-0000-0000-00001C950000}"/>
    <cellStyle name="Normal 2 3 8 27 8" xfId="48133" xr:uid="{00000000-0005-0000-0000-00001D950000}"/>
    <cellStyle name="Normal 2 3 8 27 8 2" xfId="48134" xr:uid="{00000000-0005-0000-0000-00001E950000}"/>
    <cellStyle name="Normal 2 3 8 27 9" xfId="48135" xr:uid="{00000000-0005-0000-0000-00001F950000}"/>
    <cellStyle name="Normal 2 3 8 28" xfId="15967" xr:uid="{00000000-0005-0000-0000-000020950000}"/>
    <cellStyle name="Normal 2 3 8 28 10" xfId="48136" xr:uid="{00000000-0005-0000-0000-000021950000}"/>
    <cellStyle name="Normal 2 3 8 28 11" xfId="48137" xr:uid="{00000000-0005-0000-0000-000022950000}"/>
    <cellStyle name="Normal 2 3 8 28 2" xfId="15968" xr:uid="{00000000-0005-0000-0000-000023950000}"/>
    <cellStyle name="Normal 2 3 8 28 2 10" xfId="48138" xr:uid="{00000000-0005-0000-0000-000024950000}"/>
    <cellStyle name="Normal 2 3 8 28 2 2" xfId="15969" xr:uid="{00000000-0005-0000-0000-000025950000}"/>
    <cellStyle name="Normal 2 3 8 28 2 2 2" xfId="15970" xr:uid="{00000000-0005-0000-0000-000026950000}"/>
    <cellStyle name="Normal 2 3 8 28 2 2 2 2" xfId="15971" xr:uid="{00000000-0005-0000-0000-000027950000}"/>
    <cellStyle name="Normal 2 3 8 28 2 2 2 2 2" xfId="48139" xr:uid="{00000000-0005-0000-0000-000028950000}"/>
    <cellStyle name="Normal 2 3 8 28 2 2 2 3" xfId="15972" xr:uid="{00000000-0005-0000-0000-000029950000}"/>
    <cellStyle name="Normal 2 3 8 28 2 2 2 3 2" xfId="48140" xr:uid="{00000000-0005-0000-0000-00002A950000}"/>
    <cellStyle name="Normal 2 3 8 28 2 2 2 4" xfId="48141" xr:uid="{00000000-0005-0000-0000-00002B950000}"/>
    <cellStyle name="Normal 2 3 8 28 2 2 3" xfId="15973" xr:uid="{00000000-0005-0000-0000-00002C950000}"/>
    <cellStyle name="Normal 2 3 8 28 2 2 3 2" xfId="48142" xr:uid="{00000000-0005-0000-0000-00002D950000}"/>
    <cellStyle name="Normal 2 3 8 28 2 2 4" xfId="15974" xr:uid="{00000000-0005-0000-0000-00002E950000}"/>
    <cellStyle name="Normal 2 3 8 28 2 2 4 2" xfId="48143" xr:uid="{00000000-0005-0000-0000-00002F950000}"/>
    <cellStyle name="Normal 2 3 8 28 2 2 5" xfId="15975" xr:uid="{00000000-0005-0000-0000-000030950000}"/>
    <cellStyle name="Normal 2 3 8 28 2 2 5 2" xfId="48144" xr:uid="{00000000-0005-0000-0000-000031950000}"/>
    <cellStyle name="Normal 2 3 8 28 2 2 6" xfId="48145" xr:uid="{00000000-0005-0000-0000-000032950000}"/>
    <cellStyle name="Normal 2 3 8 28 2 2 6 2" xfId="48146" xr:uid="{00000000-0005-0000-0000-000033950000}"/>
    <cellStyle name="Normal 2 3 8 28 2 2 7" xfId="48147" xr:uid="{00000000-0005-0000-0000-000034950000}"/>
    <cellStyle name="Normal 2 3 8 28 2 3" xfId="15976" xr:uid="{00000000-0005-0000-0000-000035950000}"/>
    <cellStyle name="Normal 2 3 8 28 2 3 2" xfId="15977" xr:uid="{00000000-0005-0000-0000-000036950000}"/>
    <cellStyle name="Normal 2 3 8 28 2 3 2 2" xfId="48148" xr:uid="{00000000-0005-0000-0000-000037950000}"/>
    <cellStyle name="Normal 2 3 8 28 2 3 3" xfId="15978" xr:uid="{00000000-0005-0000-0000-000038950000}"/>
    <cellStyle name="Normal 2 3 8 28 2 3 3 2" xfId="48149" xr:uid="{00000000-0005-0000-0000-000039950000}"/>
    <cellStyle name="Normal 2 3 8 28 2 3 4" xfId="48150" xr:uid="{00000000-0005-0000-0000-00003A950000}"/>
    <cellStyle name="Normal 2 3 8 28 2 4" xfId="15979" xr:uid="{00000000-0005-0000-0000-00003B950000}"/>
    <cellStyle name="Normal 2 3 8 28 2 4 2" xfId="15980" xr:uid="{00000000-0005-0000-0000-00003C950000}"/>
    <cellStyle name="Normal 2 3 8 28 2 4 2 2" xfId="48151" xr:uid="{00000000-0005-0000-0000-00003D950000}"/>
    <cellStyle name="Normal 2 3 8 28 2 4 3" xfId="48152" xr:uid="{00000000-0005-0000-0000-00003E950000}"/>
    <cellStyle name="Normal 2 3 8 28 2 5" xfId="15981" xr:uid="{00000000-0005-0000-0000-00003F950000}"/>
    <cellStyle name="Normal 2 3 8 28 2 5 2" xfId="48153" xr:uid="{00000000-0005-0000-0000-000040950000}"/>
    <cellStyle name="Normal 2 3 8 28 2 6" xfId="15982" xr:uid="{00000000-0005-0000-0000-000041950000}"/>
    <cellStyle name="Normal 2 3 8 28 2 6 2" xfId="48154" xr:uid="{00000000-0005-0000-0000-000042950000}"/>
    <cellStyle name="Normal 2 3 8 28 2 7" xfId="48155" xr:uid="{00000000-0005-0000-0000-000043950000}"/>
    <cellStyle name="Normal 2 3 8 28 2 7 2" xfId="48156" xr:uid="{00000000-0005-0000-0000-000044950000}"/>
    <cellStyle name="Normal 2 3 8 28 2 8" xfId="48157" xr:uid="{00000000-0005-0000-0000-000045950000}"/>
    <cellStyle name="Normal 2 3 8 28 2 9" xfId="48158" xr:uid="{00000000-0005-0000-0000-000046950000}"/>
    <cellStyle name="Normal 2 3 8 28 3" xfId="15983" xr:uid="{00000000-0005-0000-0000-000047950000}"/>
    <cellStyle name="Normal 2 3 8 28 3 2" xfId="15984" xr:uid="{00000000-0005-0000-0000-000048950000}"/>
    <cellStyle name="Normal 2 3 8 28 3 2 2" xfId="15985" xr:uid="{00000000-0005-0000-0000-000049950000}"/>
    <cellStyle name="Normal 2 3 8 28 3 2 2 2" xfId="48159" xr:uid="{00000000-0005-0000-0000-00004A950000}"/>
    <cellStyle name="Normal 2 3 8 28 3 2 3" xfId="15986" xr:uid="{00000000-0005-0000-0000-00004B950000}"/>
    <cellStyle name="Normal 2 3 8 28 3 2 3 2" xfId="48160" xr:uid="{00000000-0005-0000-0000-00004C950000}"/>
    <cellStyle name="Normal 2 3 8 28 3 2 4" xfId="48161" xr:uid="{00000000-0005-0000-0000-00004D950000}"/>
    <cellStyle name="Normal 2 3 8 28 3 3" xfId="15987" xr:uid="{00000000-0005-0000-0000-00004E950000}"/>
    <cellStyle name="Normal 2 3 8 28 3 3 2" xfId="48162" xr:uid="{00000000-0005-0000-0000-00004F950000}"/>
    <cellStyle name="Normal 2 3 8 28 3 4" xfId="15988" xr:uid="{00000000-0005-0000-0000-000050950000}"/>
    <cellStyle name="Normal 2 3 8 28 3 4 2" xfId="48163" xr:uid="{00000000-0005-0000-0000-000051950000}"/>
    <cellStyle name="Normal 2 3 8 28 3 5" xfId="15989" xr:uid="{00000000-0005-0000-0000-000052950000}"/>
    <cellStyle name="Normal 2 3 8 28 3 5 2" xfId="48164" xr:uid="{00000000-0005-0000-0000-000053950000}"/>
    <cellStyle name="Normal 2 3 8 28 3 6" xfId="48165" xr:uid="{00000000-0005-0000-0000-000054950000}"/>
    <cellStyle name="Normal 2 3 8 28 3 6 2" xfId="48166" xr:uid="{00000000-0005-0000-0000-000055950000}"/>
    <cellStyle name="Normal 2 3 8 28 3 7" xfId="48167" xr:uid="{00000000-0005-0000-0000-000056950000}"/>
    <cellStyle name="Normal 2 3 8 28 4" xfId="15990" xr:uid="{00000000-0005-0000-0000-000057950000}"/>
    <cellStyle name="Normal 2 3 8 28 4 2" xfId="15991" xr:uid="{00000000-0005-0000-0000-000058950000}"/>
    <cellStyle name="Normal 2 3 8 28 4 2 2" xfId="48168" xr:uid="{00000000-0005-0000-0000-000059950000}"/>
    <cellStyle name="Normal 2 3 8 28 4 3" xfId="15992" xr:uid="{00000000-0005-0000-0000-00005A950000}"/>
    <cellStyle name="Normal 2 3 8 28 4 3 2" xfId="48169" xr:uid="{00000000-0005-0000-0000-00005B950000}"/>
    <cellStyle name="Normal 2 3 8 28 4 4" xfId="48170" xr:uid="{00000000-0005-0000-0000-00005C950000}"/>
    <cellStyle name="Normal 2 3 8 28 5" xfId="15993" xr:uid="{00000000-0005-0000-0000-00005D950000}"/>
    <cellStyle name="Normal 2 3 8 28 5 2" xfId="15994" xr:uid="{00000000-0005-0000-0000-00005E950000}"/>
    <cellStyle name="Normal 2 3 8 28 5 2 2" xfId="48171" xr:uid="{00000000-0005-0000-0000-00005F950000}"/>
    <cellStyle name="Normal 2 3 8 28 5 3" xfId="48172" xr:uid="{00000000-0005-0000-0000-000060950000}"/>
    <cellStyle name="Normal 2 3 8 28 6" xfId="15995" xr:uid="{00000000-0005-0000-0000-000061950000}"/>
    <cellStyle name="Normal 2 3 8 28 6 2" xfId="48173" xr:uid="{00000000-0005-0000-0000-000062950000}"/>
    <cellStyle name="Normal 2 3 8 28 7" xfId="15996" xr:uid="{00000000-0005-0000-0000-000063950000}"/>
    <cellStyle name="Normal 2 3 8 28 7 2" xfId="48174" xr:uid="{00000000-0005-0000-0000-000064950000}"/>
    <cellStyle name="Normal 2 3 8 28 8" xfId="48175" xr:uid="{00000000-0005-0000-0000-000065950000}"/>
    <cellStyle name="Normal 2 3 8 28 8 2" xfId="48176" xr:uid="{00000000-0005-0000-0000-000066950000}"/>
    <cellStyle name="Normal 2 3 8 28 9" xfId="48177" xr:uid="{00000000-0005-0000-0000-000067950000}"/>
    <cellStyle name="Normal 2 3 8 29" xfId="15997" xr:uid="{00000000-0005-0000-0000-000068950000}"/>
    <cellStyle name="Normal 2 3 8 29 10" xfId="48178" xr:uid="{00000000-0005-0000-0000-000069950000}"/>
    <cellStyle name="Normal 2 3 8 29 11" xfId="48179" xr:uid="{00000000-0005-0000-0000-00006A950000}"/>
    <cellStyle name="Normal 2 3 8 29 2" xfId="15998" xr:uid="{00000000-0005-0000-0000-00006B950000}"/>
    <cellStyle name="Normal 2 3 8 29 2 10" xfId="48180" xr:uid="{00000000-0005-0000-0000-00006C950000}"/>
    <cellStyle name="Normal 2 3 8 29 2 2" xfId="15999" xr:uid="{00000000-0005-0000-0000-00006D950000}"/>
    <cellStyle name="Normal 2 3 8 29 2 2 2" xfId="16000" xr:uid="{00000000-0005-0000-0000-00006E950000}"/>
    <cellStyle name="Normal 2 3 8 29 2 2 2 2" xfId="16001" xr:uid="{00000000-0005-0000-0000-00006F950000}"/>
    <cellStyle name="Normal 2 3 8 29 2 2 2 2 2" xfId="48181" xr:uid="{00000000-0005-0000-0000-000070950000}"/>
    <cellStyle name="Normal 2 3 8 29 2 2 2 3" xfId="16002" xr:uid="{00000000-0005-0000-0000-000071950000}"/>
    <cellStyle name="Normal 2 3 8 29 2 2 2 3 2" xfId="48182" xr:uid="{00000000-0005-0000-0000-000072950000}"/>
    <cellStyle name="Normal 2 3 8 29 2 2 2 4" xfId="48183" xr:uid="{00000000-0005-0000-0000-000073950000}"/>
    <cellStyle name="Normal 2 3 8 29 2 2 3" xfId="16003" xr:uid="{00000000-0005-0000-0000-000074950000}"/>
    <cellStyle name="Normal 2 3 8 29 2 2 3 2" xfId="48184" xr:uid="{00000000-0005-0000-0000-000075950000}"/>
    <cellStyle name="Normal 2 3 8 29 2 2 4" xfId="16004" xr:uid="{00000000-0005-0000-0000-000076950000}"/>
    <cellStyle name="Normal 2 3 8 29 2 2 4 2" xfId="48185" xr:uid="{00000000-0005-0000-0000-000077950000}"/>
    <cellStyle name="Normal 2 3 8 29 2 2 5" xfId="16005" xr:uid="{00000000-0005-0000-0000-000078950000}"/>
    <cellStyle name="Normal 2 3 8 29 2 2 5 2" xfId="48186" xr:uid="{00000000-0005-0000-0000-000079950000}"/>
    <cellStyle name="Normal 2 3 8 29 2 2 6" xfId="48187" xr:uid="{00000000-0005-0000-0000-00007A950000}"/>
    <cellStyle name="Normal 2 3 8 29 2 2 6 2" xfId="48188" xr:uid="{00000000-0005-0000-0000-00007B950000}"/>
    <cellStyle name="Normal 2 3 8 29 2 2 7" xfId="48189" xr:uid="{00000000-0005-0000-0000-00007C950000}"/>
    <cellStyle name="Normal 2 3 8 29 2 3" xfId="16006" xr:uid="{00000000-0005-0000-0000-00007D950000}"/>
    <cellStyle name="Normal 2 3 8 29 2 3 2" xfId="16007" xr:uid="{00000000-0005-0000-0000-00007E950000}"/>
    <cellStyle name="Normal 2 3 8 29 2 3 2 2" xfId="48190" xr:uid="{00000000-0005-0000-0000-00007F950000}"/>
    <cellStyle name="Normal 2 3 8 29 2 3 3" xfId="16008" xr:uid="{00000000-0005-0000-0000-000080950000}"/>
    <cellStyle name="Normal 2 3 8 29 2 3 3 2" xfId="48191" xr:uid="{00000000-0005-0000-0000-000081950000}"/>
    <cellStyle name="Normal 2 3 8 29 2 3 4" xfId="48192" xr:uid="{00000000-0005-0000-0000-000082950000}"/>
    <cellStyle name="Normal 2 3 8 29 2 4" xfId="16009" xr:uid="{00000000-0005-0000-0000-000083950000}"/>
    <cellStyle name="Normal 2 3 8 29 2 4 2" xfId="16010" xr:uid="{00000000-0005-0000-0000-000084950000}"/>
    <cellStyle name="Normal 2 3 8 29 2 4 2 2" xfId="48193" xr:uid="{00000000-0005-0000-0000-000085950000}"/>
    <cellStyle name="Normal 2 3 8 29 2 4 3" xfId="48194" xr:uid="{00000000-0005-0000-0000-000086950000}"/>
    <cellStyle name="Normal 2 3 8 29 2 5" xfId="16011" xr:uid="{00000000-0005-0000-0000-000087950000}"/>
    <cellStyle name="Normal 2 3 8 29 2 5 2" xfId="48195" xr:uid="{00000000-0005-0000-0000-000088950000}"/>
    <cellStyle name="Normal 2 3 8 29 2 6" xfId="16012" xr:uid="{00000000-0005-0000-0000-000089950000}"/>
    <cellStyle name="Normal 2 3 8 29 2 6 2" xfId="48196" xr:uid="{00000000-0005-0000-0000-00008A950000}"/>
    <cellStyle name="Normal 2 3 8 29 2 7" xfId="48197" xr:uid="{00000000-0005-0000-0000-00008B950000}"/>
    <cellStyle name="Normal 2 3 8 29 2 7 2" xfId="48198" xr:uid="{00000000-0005-0000-0000-00008C950000}"/>
    <cellStyle name="Normal 2 3 8 29 2 8" xfId="48199" xr:uid="{00000000-0005-0000-0000-00008D950000}"/>
    <cellStyle name="Normal 2 3 8 29 2 9" xfId="48200" xr:uid="{00000000-0005-0000-0000-00008E950000}"/>
    <cellStyle name="Normal 2 3 8 29 3" xfId="16013" xr:uid="{00000000-0005-0000-0000-00008F950000}"/>
    <cellStyle name="Normal 2 3 8 29 3 2" xfId="16014" xr:uid="{00000000-0005-0000-0000-000090950000}"/>
    <cellStyle name="Normal 2 3 8 29 3 2 2" xfId="16015" xr:uid="{00000000-0005-0000-0000-000091950000}"/>
    <cellStyle name="Normal 2 3 8 29 3 2 2 2" xfId="48201" xr:uid="{00000000-0005-0000-0000-000092950000}"/>
    <cellStyle name="Normal 2 3 8 29 3 2 3" xfId="16016" xr:uid="{00000000-0005-0000-0000-000093950000}"/>
    <cellStyle name="Normal 2 3 8 29 3 2 3 2" xfId="48202" xr:uid="{00000000-0005-0000-0000-000094950000}"/>
    <cellStyle name="Normal 2 3 8 29 3 2 4" xfId="48203" xr:uid="{00000000-0005-0000-0000-000095950000}"/>
    <cellStyle name="Normal 2 3 8 29 3 3" xfId="16017" xr:uid="{00000000-0005-0000-0000-000096950000}"/>
    <cellStyle name="Normal 2 3 8 29 3 3 2" xfId="48204" xr:uid="{00000000-0005-0000-0000-000097950000}"/>
    <cellStyle name="Normal 2 3 8 29 3 4" xfId="16018" xr:uid="{00000000-0005-0000-0000-000098950000}"/>
    <cellStyle name="Normal 2 3 8 29 3 4 2" xfId="48205" xr:uid="{00000000-0005-0000-0000-000099950000}"/>
    <cellStyle name="Normal 2 3 8 29 3 5" xfId="16019" xr:uid="{00000000-0005-0000-0000-00009A950000}"/>
    <cellStyle name="Normal 2 3 8 29 3 5 2" xfId="48206" xr:uid="{00000000-0005-0000-0000-00009B950000}"/>
    <cellStyle name="Normal 2 3 8 29 3 6" xfId="48207" xr:uid="{00000000-0005-0000-0000-00009C950000}"/>
    <cellStyle name="Normal 2 3 8 29 3 6 2" xfId="48208" xr:uid="{00000000-0005-0000-0000-00009D950000}"/>
    <cellStyle name="Normal 2 3 8 29 3 7" xfId="48209" xr:uid="{00000000-0005-0000-0000-00009E950000}"/>
    <cellStyle name="Normal 2 3 8 29 4" xfId="16020" xr:uid="{00000000-0005-0000-0000-00009F950000}"/>
    <cellStyle name="Normal 2 3 8 29 4 2" xfId="16021" xr:uid="{00000000-0005-0000-0000-0000A0950000}"/>
    <cellStyle name="Normal 2 3 8 29 4 2 2" xfId="48210" xr:uid="{00000000-0005-0000-0000-0000A1950000}"/>
    <cellStyle name="Normal 2 3 8 29 4 3" xfId="16022" xr:uid="{00000000-0005-0000-0000-0000A2950000}"/>
    <cellStyle name="Normal 2 3 8 29 4 3 2" xfId="48211" xr:uid="{00000000-0005-0000-0000-0000A3950000}"/>
    <cellStyle name="Normal 2 3 8 29 4 4" xfId="48212" xr:uid="{00000000-0005-0000-0000-0000A4950000}"/>
    <cellStyle name="Normal 2 3 8 29 5" xfId="16023" xr:uid="{00000000-0005-0000-0000-0000A5950000}"/>
    <cellStyle name="Normal 2 3 8 29 5 2" xfId="16024" xr:uid="{00000000-0005-0000-0000-0000A6950000}"/>
    <cellStyle name="Normal 2 3 8 29 5 2 2" xfId="48213" xr:uid="{00000000-0005-0000-0000-0000A7950000}"/>
    <cellStyle name="Normal 2 3 8 29 5 3" xfId="48214" xr:uid="{00000000-0005-0000-0000-0000A8950000}"/>
    <cellStyle name="Normal 2 3 8 29 6" xfId="16025" xr:uid="{00000000-0005-0000-0000-0000A9950000}"/>
    <cellStyle name="Normal 2 3 8 29 6 2" xfId="48215" xr:uid="{00000000-0005-0000-0000-0000AA950000}"/>
    <cellStyle name="Normal 2 3 8 29 7" xfId="16026" xr:uid="{00000000-0005-0000-0000-0000AB950000}"/>
    <cellStyle name="Normal 2 3 8 29 7 2" xfId="48216" xr:uid="{00000000-0005-0000-0000-0000AC950000}"/>
    <cellStyle name="Normal 2 3 8 29 8" xfId="48217" xr:uid="{00000000-0005-0000-0000-0000AD950000}"/>
    <cellStyle name="Normal 2 3 8 29 8 2" xfId="48218" xr:uid="{00000000-0005-0000-0000-0000AE950000}"/>
    <cellStyle name="Normal 2 3 8 29 9" xfId="48219" xr:uid="{00000000-0005-0000-0000-0000AF950000}"/>
    <cellStyle name="Normal 2 3 8 3" xfId="16027" xr:uid="{00000000-0005-0000-0000-0000B0950000}"/>
    <cellStyle name="Normal 2 3 8 3 10" xfId="48220" xr:uid="{00000000-0005-0000-0000-0000B1950000}"/>
    <cellStyle name="Normal 2 3 8 3 11" xfId="48221" xr:uid="{00000000-0005-0000-0000-0000B2950000}"/>
    <cellStyle name="Normal 2 3 8 3 2" xfId="16028" xr:uid="{00000000-0005-0000-0000-0000B3950000}"/>
    <cellStyle name="Normal 2 3 8 3 2 10" xfId="48222" xr:uid="{00000000-0005-0000-0000-0000B4950000}"/>
    <cellStyle name="Normal 2 3 8 3 2 2" xfId="16029" xr:uid="{00000000-0005-0000-0000-0000B5950000}"/>
    <cellStyle name="Normal 2 3 8 3 2 2 2" xfId="16030" xr:uid="{00000000-0005-0000-0000-0000B6950000}"/>
    <cellStyle name="Normal 2 3 8 3 2 2 2 2" xfId="16031" xr:uid="{00000000-0005-0000-0000-0000B7950000}"/>
    <cellStyle name="Normal 2 3 8 3 2 2 2 2 2" xfId="48223" xr:uid="{00000000-0005-0000-0000-0000B8950000}"/>
    <cellStyle name="Normal 2 3 8 3 2 2 2 3" xfId="16032" xr:uid="{00000000-0005-0000-0000-0000B9950000}"/>
    <cellStyle name="Normal 2 3 8 3 2 2 2 3 2" xfId="48224" xr:uid="{00000000-0005-0000-0000-0000BA950000}"/>
    <cellStyle name="Normal 2 3 8 3 2 2 2 4" xfId="48225" xr:uid="{00000000-0005-0000-0000-0000BB950000}"/>
    <cellStyle name="Normal 2 3 8 3 2 2 3" xfId="16033" xr:uid="{00000000-0005-0000-0000-0000BC950000}"/>
    <cellStyle name="Normal 2 3 8 3 2 2 3 2" xfId="48226" xr:uid="{00000000-0005-0000-0000-0000BD950000}"/>
    <cellStyle name="Normal 2 3 8 3 2 2 4" xfId="16034" xr:uid="{00000000-0005-0000-0000-0000BE950000}"/>
    <cellStyle name="Normal 2 3 8 3 2 2 4 2" xfId="48227" xr:uid="{00000000-0005-0000-0000-0000BF950000}"/>
    <cellStyle name="Normal 2 3 8 3 2 2 5" xfId="16035" xr:uid="{00000000-0005-0000-0000-0000C0950000}"/>
    <cellStyle name="Normal 2 3 8 3 2 2 5 2" xfId="48228" xr:uid="{00000000-0005-0000-0000-0000C1950000}"/>
    <cellStyle name="Normal 2 3 8 3 2 2 6" xfId="48229" xr:uid="{00000000-0005-0000-0000-0000C2950000}"/>
    <cellStyle name="Normal 2 3 8 3 2 2 6 2" xfId="48230" xr:uid="{00000000-0005-0000-0000-0000C3950000}"/>
    <cellStyle name="Normal 2 3 8 3 2 2 7" xfId="48231" xr:uid="{00000000-0005-0000-0000-0000C4950000}"/>
    <cellStyle name="Normal 2 3 8 3 2 3" xfId="16036" xr:uid="{00000000-0005-0000-0000-0000C5950000}"/>
    <cellStyle name="Normal 2 3 8 3 2 3 2" xfId="16037" xr:uid="{00000000-0005-0000-0000-0000C6950000}"/>
    <cellStyle name="Normal 2 3 8 3 2 3 2 2" xfId="48232" xr:uid="{00000000-0005-0000-0000-0000C7950000}"/>
    <cellStyle name="Normal 2 3 8 3 2 3 3" xfId="16038" xr:uid="{00000000-0005-0000-0000-0000C8950000}"/>
    <cellStyle name="Normal 2 3 8 3 2 3 3 2" xfId="48233" xr:uid="{00000000-0005-0000-0000-0000C9950000}"/>
    <cellStyle name="Normal 2 3 8 3 2 3 4" xfId="48234" xr:uid="{00000000-0005-0000-0000-0000CA950000}"/>
    <cellStyle name="Normal 2 3 8 3 2 4" xfId="16039" xr:uid="{00000000-0005-0000-0000-0000CB950000}"/>
    <cellStyle name="Normal 2 3 8 3 2 4 2" xfId="16040" xr:uid="{00000000-0005-0000-0000-0000CC950000}"/>
    <cellStyle name="Normal 2 3 8 3 2 4 2 2" xfId="48235" xr:uid="{00000000-0005-0000-0000-0000CD950000}"/>
    <cellStyle name="Normal 2 3 8 3 2 4 3" xfId="48236" xr:uid="{00000000-0005-0000-0000-0000CE950000}"/>
    <cellStyle name="Normal 2 3 8 3 2 5" xfId="16041" xr:uid="{00000000-0005-0000-0000-0000CF950000}"/>
    <cellStyle name="Normal 2 3 8 3 2 5 2" xfId="48237" xr:uid="{00000000-0005-0000-0000-0000D0950000}"/>
    <cellStyle name="Normal 2 3 8 3 2 6" xfId="16042" xr:uid="{00000000-0005-0000-0000-0000D1950000}"/>
    <cellStyle name="Normal 2 3 8 3 2 6 2" xfId="48238" xr:uid="{00000000-0005-0000-0000-0000D2950000}"/>
    <cellStyle name="Normal 2 3 8 3 2 7" xfId="48239" xr:uid="{00000000-0005-0000-0000-0000D3950000}"/>
    <cellStyle name="Normal 2 3 8 3 2 7 2" xfId="48240" xr:uid="{00000000-0005-0000-0000-0000D4950000}"/>
    <cellStyle name="Normal 2 3 8 3 2 8" xfId="48241" xr:uid="{00000000-0005-0000-0000-0000D5950000}"/>
    <cellStyle name="Normal 2 3 8 3 2 9" xfId="48242" xr:uid="{00000000-0005-0000-0000-0000D6950000}"/>
    <cellStyle name="Normal 2 3 8 3 3" xfId="16043" xr:uid="{00000000-0005-0000-0000-0000D7950000}"/>
    <cellStyle name="Normal 2 3 8 3 3 2" xfId="16044" xr:uid="{00000000-0005-0000-0000-0000D8950000}"/>
    <cellStyle name="Normal 2 3 8 3 3 2 2" xfId="16045" xr:uid="{00000000-0005-0000-0000-0000D9950000}"/>
    <cellStyle name="Normal 2 3 8 3 3 2 2 2" xfId="48243" xr:uid="{00000000-0005-0000-0000-0000DA950000}"/>
    <cellStyle name="Normal 2 3 8 3 3 2 3" xfId="16046" xr:uid="{00000000-0005-0000-0000-0000DB950000}"/>
    <cellStyle name="Normal 2 3 8 3 3 2 3 2" xfId="48244" xr:uid="{00000000-0005-0000-0000-0000DC950000}"/>
    <cellStyle name="Normal 2 3 8 3 3 2 4" xfId="48245" xr:uid="{00000000-0005-0000-0000-0000DD950000}"/>
    <cellStyle name="Normal 2 3 8 3 3 3" xfId="16047" xr:uid="{00000000-0005-0000-0000-0000DE950000}"/>
    <cellStyle name="Normal 2 3 8 3 3 3 2" xfId="48246" xr:uid="{00000000-0005-0000-0000-0000DF950000}"/>
    <cellStyle name="Normal 2 3 8 3 3 4" xfId="16048" xr:uid="{00000000-0005-0000-0000-0000E0950000}"/>
    <cellStyle name="Normal 2 3 8 3 3 4 2" xfId="48247" xr:uid="{00000000-0005-0000-0000-0000E1950000}"/>
    <cellStyle name="Normal 2 3 8 3 3 5" xfId="16049" xr:uid="{00000000-0005-0000-0000-0000E2950000}"/>
    <cellStyle name="Normal 2 3 8 3 3 5 2" xfId="48248" xr:uid="{00000000-0005-0000-0000-0000E3950000}"/>
    <cellStyle name="Normal 2 3 8 3 3 6" xfId="48249" xr:uid="{00000000-0005-0000-0000-0000E4950000}"/>
    <cellStyle name="Normal 2 3 8 3 3 6 2" xfId="48250" xr:uid="{00000000-0005-0000-0000-0000E5950000}"/>
    <cellStyle name="Normal 2 3 8 3 3 7" xfId="48251" xr:uid="{00000000-0005-0000-0000-0000E6950000}"/>
    <cellStyle name="Normal 2 3 8 3 4" xfId="16050" xr:uid="{00000000-0005-0000-0000-0000E7950000}"/>
    <cellStyle name="Normal 2 3 8 3 4 2" xfId="16051" xr:uid="{00000000-0005-0000-0000-0000E8950000}"/>
    <cellStyle name="Normal 2 3 8 3 4 2 2" xfId="48252" xr:uid="{00000000-0005-0000-0000-0000E9950000}"/>
    <cellStyle name="Normal 2 3 8 3 4 3" xfId="16052" xr:uid="{00000000-0005-0000-0000-0000EA950000}"/>
    <cellStyle name="Normal 2 3 8 3 4 3 2" xfId="48253" xr:uid="{00000000-0005-0000-0000-0000EB950000}"/>
    <cellStyle name="Normal 2 3 8 3 4 4" xfId="48254" xr:uid="{00000000-0005-0000-0000-0000EC950000}"/>
    <cellStyle name="Normal 2 3 8 3 5" xfId="16053" xr:uid="{00000000-0005-0000-0000-0000ED950000}"/>
    <cellStyle name="Normal 2 3 8 3 5 2" xfId="16054" xr:uid="{00000000-0005-0000-0000-0000EE950000}"/>
    <cellStyle name="Normal 2 3 8 3 5 2 2" xfId="48255" xr:uid="{00000000-0005-0000-0000-0000EF950000}"/>
    <cellStyle name="Normal 2 3 8 3 5 3" xfId="48256" xr:uid="{00000000-0005-0000-0000-0000F0950000}"/>
    <cellStyle name="Normal 2 3 8 3 6" xfId="16055" xr:uid="{00000000-0005-0000-0000-0000F1950000}"/>
    <cellStyle name="Normal 2 3 8 3 6 2" xfId="48257" xr:uid="{00000000-0005-0000-0000-0000F2950000}"/>
    <cellStyle name="Normal 2 3 8 3 7" xfId="16056" xr:uid="{00000000-0005-0000-0000-0000F3950000}"/>
    <cellStyle name="Normal 2 3 8 3 7 2" xfId="48258" xr:uid="{00000000-0005-0000-0000-0000F4950000}"/>
    <cellStyle name="Normal 2 3 8 3 8" xfId="48259" xr:uid="{00000000-0005-0000-0000-0000F5950000}"/>
    <cellStyle name="Normal 2 3 8 3 8 2" xfId="48260" xr:uid="{00000000-0005-0000-0000-0000F6950000}"/>
    <cellStyle name="Normal 2 3 8 3 9" xfId="48261" xr:uid="{00000000-0005-0000-0000-0000F7950000}"/>
    <cellStyle name="Normal 2 3 8 30" xfId="16057" xr:uid="{00000000-0005-0000-0000-0000F8950000}"/>
    <cellStyle name="Normal 2 3 8 30 10" xfId="48262" xr:uid="{00000000-0005-0000-0000-0000F9950000}"/>
    <cellStyle name="Normal 2 3 8 30 11" xfId="48263" xr:uid="{00000000-0005-0000-0000-0000FA950000}"/>
    <cellStyle name="Normal 2 3 8 30 2" xfId="16058" xr:uid="{00000000-0005-0000-0000-0000FB950000}"/>
    <cellStyle name="Normal 2 3 8 30 2 10" xfId="48264" xr:uid="{00000000-0005-0000-0000-0000FC950000}"/>
    <cellStyle name="Normal 2 3 8 30 2 2" xfId="16059" xr:uid="{00000000-0005-0000-0000-0000FD950000}"/>
    <cellStyle name="Normal 2 3 8 30 2 2 2" xfId="16060" xr:uid="{00000000-0005-0000-0000-0000FE950000}"/>
    <cellStyle name="Normal 2 3 8 30 2 2 2 2" xfId="16061" xr:uid="{00000000-0005-0000-0000-0000FF950000}"/>
    <cellStyle name="Normal 2 3 8 30 2 2 2 2 2" xfId="48265" xr:uid="{00000000-0005-0000-0000-000000960000}"/>
    <cellStyle name="Normal 2 3 8 30 2 2 2 3" xfId="16062" xr:uid="{00000000-0005-0000-0000-000001960000}"/>
    <cellStyle name="Normal 2 3 8 30 2 2 2 3 2" xfId="48266" xr:uid="{00000000-0005-0000-0000-000002960000}"/>
    <cellStyle name="Normal 2 3 8 30 2 2 2 4" xfId="48267" xr:uid="{00000000-0005-0000-0000-000003960000}"/>
    <cellStyle name="Normal 2 3 8 30 2 2 3" xfId="16063" xr:uid="{00000000-0005-0000-0000-000004960000}"/>
    <cellStyle name="Normal 2 3 8 30 2 2 3 2" xfId="48268" xr:uid="{00000000-0005-0000-0000-000005960000}"/>
    <cellStyle name="Normal 2 3 8 30 2 2 4" xfId="16064" xr:uid="{00000000-0005-0000-0000-000006960000}"/>
    <cellStyle name="Normal 2 3 8 30 2 2 4 2" xfId="48269" xr:uid="{00000000-0005-0000-0000-000007960000}"/>
    <cellStyle name="Normal 2 3 8 30 2 2 5" xfId="16065" xr:uid="{00000000-0005-0000-0000-000008960000}"/>
    <cellStyle name="Normal 2 3 8 30 2 2 5 2" xfId="48270" xr:uid="{00000000-0005-0000-0000-000009960000}"/>
    <cellStyle name="Normal 2 3 8 30 2 2 6" xfId="48271" xr:uid="{00000000-0005-0000-0000-00000A960000}"/>
    <cellStyle name="Normal 2 3 8 30 2 2 6 2" xfId="48272" xr:uid="{00000000-0005-0000-0000-00000B960000}"/>
    <cellStyle name="Normal 2 3 8 30 2 2 7" xfId="48273" xr:uid="{00000000-0005-0000-0000-00000C960000}"/>
    <cellStyle name="Normal 2 3 8 30 2 3" xfId="16066" xr:uid="{00000000-0005-0000-0000-00000D960000}"/>
    <cellStyle name="Normal 2 3 8 30 2 3 2" xfId="16067" xr:uid="{00000000-0005-0000-0000-00000E960000}"/>
    <cellStyle name="Normal 2 3 8 30 2 3 2 2" xfId="48274" xr:uid="{00000000-0005-0000-0000-00000F960000}"/>
    <cellStyle name="Normal 2 3 8 30 2 3 3" xfId="16068" xr:uid="{00000000-0005-0000-0000-000010960000}"/>
    <cellStyle name="Normal 2 3 8 30 2 3 3 2" xfId="48275" xr:uid="{00000000-0005-0000-0000-000011960000}"/>
    <cellStyle name="Normal 2 3 8 30 2 3 4" xfId="48276" xr:uid="{00000000-0005-0000-0000-000012960000}"/>
    <cellStyle name="Normal 2 3 8 30 2 4" xfId="16069" xr:uid="{00000000-0005-0000-0000-000013960000}"/>
    <cellStyle name="Normal 2 3 8 30 2 4 2" xfId="16070" xr:uid="{00000000-0005-0000-0000-000014960000}"/>
    <cellStyle name="Normal 2 3 8 30 2 4 2 2" xfId="48277" xr:uid="{00000000-0005-0000-0000-000015960000}"/>
    <cellStyle name="Normal 2 3 8 30 2 4 3" xfId="48278" xr:uid="{00000000-0005-0000-0000-000016960000}"/>
    <cellStyle name="Normal 2 3 8 30 2 5" xfId="16071" xr:uid="{00000000-0005-0000-0000-000017960000}"/>
    <cellStyle name="Normal 2 3 8 30 2 5 2" xfId="48279" xr:uid="{00000000-0005-0000-0000-000018960000}"/>
    <cellStyle name="Normal 2 3 8 30 2 6" xfId="16072" xr:uid="{00000000-0005-0000-0000-000019960000}"/>
    <cellStyle name="Normal 2 3 8 30 2 6 2" xfId="48280" xr:uid="{00000000-0005-0000-0000-00001A960000}"/>
    <cellStyle name="Normal 2 3 8 30 2 7" xfId="48281" xr:uid="{00000000-0005-0000-0000-00001B960000}"/>
    <cellStyle name="Normal 2 3 8 30 2 7 2" xfId="48282" xr:uid="{00000000-0005-0000-0000-00001C960000}"/>
    <cellStyle name="Normal 2 3 8 30 2 8" xfId="48283" xr:uid="{00000000-0005-0000-0000-00001D960000}"/>
    <cellStyle name="Normal 2 3 8 30 2 9" xfId="48284" xr:uid="{00000000-0005-0000-0000-00001E960000}"/>
    <cellStyle name="Normal 2 3 8 30 3" xfId="16073" xr:uid="{00000000-0005-0000-0000-00001F960000}"/>
    <cellStyle name="Normal 2 3 8 30 3 2" xfId="16074" xr:uid="{00000000-0005-0000-0000-000020960000}"/>
    <cellStyle name="Normal 2 3 8 30 3 2 2" xfId="16075" xr:uid="{00000000-0005-0000-0000-000021960000}"/>
    <cellStyle name="Normal 2 3 8 30 3 2 2 2" xfId="48285" xr:uid="{00000000-0005-0000-0000-000022960000}"/>
    <cellStyle name="Normal 2 3 8 30 3 2 3" xfId="16076" xr:uid="{00000000-0005-0000-0000-000023960000}"/>
    <cellStyle name="Normal 2 3 8 30 3 2 3 2" xfId="48286" xr:uid="{00000000-0005-0000-0000-000024960000}"/>
    <cellStyle name="Normal 2 3 8 30 3 2 4" xfId="48287" xr:uid="{00000000-0005-0000-0000-000025960000}"/>
    <cellStyle name="Normal 2 3 8 30 3 3" xfId="16077" xr:uid="{00000000-0005-0000-0000-000026960000}"/>
    <cellStyle name="Normal 2 3 8 30 3 3 2" xfId="48288" xr:uid="{00000000-0005-0000-0000-000027960000}"/>
    <cellStyle name="Normal 2 3 8 30 3 4" xfId="16078" xr:uid="{00000000-0005-0000-0000-000028960000}"/>
    <cellStyle name="Normal 2 3 8 30 3 4 2" xfId="48289" xr:uid="{00000000-0005-0000-0000-000029960000}"/>
    <cellStyle name="Normal 2 3 8 30 3 5" xfId="16079" xr:uid="{00000000-0005-0000-0000-00002A960000}"/>
    <cellStyle name="Normal 2 3 8 30 3 5 2" xfId="48290" xr:uid="{00000000-0005-0000-0000-00002B960000}"/>
    <cellStyle name="Normal 2 3 8 30 3 6" xfId="48291" xr:uid="{00000000-0005-0000-0000-00002C960000}"/>
    <cellStyle name="Normal 2 3 8 30 3 6 2" xfId="48292" xr:uid="{00000000-0005-0000-0000-00002D960000}"/>
    <cellStyle name="Normal 2 3 8 30 3 7" xfId="48293" xr:uid="{00000000-0005-0000-0000-00002E960000}"/>
    <cellStyle name="Normal 2 3 8 30 4" xfId="16080" xr:uid="{00000000-0005-0000-0000-00002F960000}"/>
    <cellStyle name="Normal 2 3 8 30 4 2" xfId="16081" xr:uid="{00000000-0005-0000-0000-000030960000}"/>
    <cellStyle name="Normal 2 3 8 30 4 2 2" xfId="48294" xr:uid="{00000000-0005-0000-0000-000031960000}"/>
    <cellStyle name="Normal 2 3 8 30 4 3" xfId="16082" xr:uid="{00000000-0005-0000-0000-000032960000}"/>
    <cellStyle name="Normal 2 3 8 30 4 3 2" xfId="48295" xr:uid="{00000000-0005-0000-0000-000033960000}"/>
    <cellStyle name="Normal 2 3 8 30 4 4" xfId="48296" xr:uid="{00000000-0005-0000-0000-000034960000}"/>
    <cellStyle name="Normal 2 3 8 30 5" xfId="16083" xr:uid="{00000000-0005-0000-0000-000035960000}"/>
    <cellStyle name="Normal 2 3 8 30 5 2" xfId="16084" xr:uid="{00000000-0005-0000-0000-000036960000}"/>
    <cellStyle name="Normal 2 3 8 30 5 2 2" xfId="48297" xr:uid="{00000000-0005-0000-0000-000037960000}"/>
    <cellStyle name="Normal 2 3 8 30 5 3" xfId="48298" xr:uid="{00000000-0005-0000-0000-000038960000}"/>
    <cellStyle name="Normal 2 3 8 30 6" xfId="16085" xr:uid="{00000000-0005-0000-0000-000039960000}"/>
    <cellStyle name="Normal 2 3 8 30 6 2" xfId="48299" xr:uid="{00000000-0005-0000-0000-00003A960000}"/>
    <cellStyle name="Normal 2 3 8 30 7" xfId="16086" xr:uid="{00000000-0005-0000-0000-00003B960000}"/>
    <cellStyle name="Normal 2 3 8 30 7 2" xfId="48300" xr:uid="{00000000-0005-0000-0000-00003C960000}"/>
    <cellStyle name="Normal 2 3 8 30 8" xfId="48301" xr:uid="{00000000-0005-0000-0000-00003D960000}"/>
    <cellStyle name="Normal 2 3 8 30 8 2" xfId="48302" xr:uid="{00000000-0005-0000-0000-00003E960000}"/>
    <cellStyle name="Normal 2 3 8 30 9" xfId="48303" xr:uid="{00000000-0005-0000-0000-00003F960000}"/>
    <cellStyle name="Normal 2 3 8 31" xfId="16087" xr:uid="{00000000-0005-0000-0000-000040960000}"/>
    <cellStyle name="Normal 2 3 8 31 10" xfId="48304" xr:uid="{00000000-0005-0000-0000-000041960000}"/>
    <cellStyle name="Normal 2 3 8 31 2" xfId="16088" xr:uid="{00000000-0005-0000-0000-000042960000}"/>
    <cellStyle name="Normal 2 3 8 31 2 2" xfId="16089" xr:uid="{00000000-0005-0000-0000-000043960000}"/>
    <cellStyle name="Normal 2 3 8 31 2 2 2" xfId="16090" xr:uid="{00000000-0005-0000-0000-000044960000}"/>
    <cellStyle name="Normal 2 3 8 31 2 2 2 2" xfId="48305" xr:uid="{00000000-0005-0000-0000-000045960000}"/>
    <cellStyle name="Normal 2 3 8 31 2 2 3" xfId="16091" xr:uid="{00000000-0005-0000-0000-000046960000}"/>
    <cellStyle name="Normal 2 3 8 31 2 2 3 2" xfId="48306" xr:uid="{00000000-0005-0000-0000-000047960000}"/>
    <cellStyle name="Normal 2 3 8 31 2 2 4" xfId="48307" xr:uid="{00000000-0005-0000-0000-000048960000}"/>
    <cellStyle name="Normal 2 3 8 31 2 3" xfId="16092" xr:uid="{00000000-0005-0000-0000-000049960000}"/>
    <cellStyle name="Normal 2 3 8 31 2 3 2" xfId="48308" xr:uid="{00000000-0005-0000-0000-00004A960000}"/>
    <cellStyle name="Normal 2 3 8 31 2 4" xfId="16093" xr:uid="{00000000-0005-0000-0000-00004B960000}"/>
    <cellStyle name="Normal 2 3 8 31 2 4 2" xfId="48309" xr:uid="{00000000-0005-0000-0000-00004C960000}"/>
    <cellStyle name="Normal 2 3 8 31 2 5" xfId="16094" xr:uid="{00000000-0005-0000-0000-00004D960000}"/>
    <cellStyle name="Normal 2 3 8 31 2 5 2" xfId="48310" xr:uid="{00000000-0005-0000-0000-00004E960000}"/>
    <cellStyle name="Normal 2 3 8 31 2 6" xfId="48311" xr:uid="{00000000-0005-0000-0000-00004F960000}"/>
    <cellStyle name="Normal 2 3 8 31 2 6 2" xfId="48312" xr:uid="{00000000-0005-0000-0000-000050960000}"/>
    <cellStyle name="Normal 2 3 8 31 2 7" xfId="48313" xr:uid="{00000000-0005-0000-0000-000051960000}"/>
    <cellStyle name="Normal 2 3 8 31 3" xfId="16095" xr:uid="{00000000-0005-0000-0000-000052960000}"/>
    <cellStyle name="Normal 2 3 8 31 3 2" xfId="16096" xr:uid="{00000000-0005-0000-0000-000053960000}"/>
    <cellStyle name="Normal 2 3 8 31 3 2 2" xfId="48314" xr:uid="{00000000-0005-0000-0000-000054960000}"/>
    <cellStyle name="Normal 2 3 8 31 3 3" xfId="16097" xr:uid="{00000000-0005-0000-0000-000055960000}"/>
    <cellStyle name="Normal 2 3 8 31 3 3 2" xfId="48315" xr:uid="{00000000-0005-0000-0000-000056960000}"/>
    <cellStyle name="Normal 2 3 8 31 3 4" xfId="48316" xr:uid="{00000000-0005-0000-0000-000057960000}"/>
    <cellStyle name="Normal 2 3 8 31 4" xfId="16098" xr:uid="{00000000-0005-0000-0000-000058960000}"/>
    <cellStyle name="Normal 2 3 8 31 4 2" xfId="16099" xr:uid="{00000000-0005-0000-0000-000059960000}"/>
    <cellStyle name="Normal 2 3 8 31 4 2 2" xfId="48317" xr:uid="{00000000-0005-0000-0000-00005A960000}"/>
    <cellStyle name="Normal 2 3 8 31 4 3" xfId="48318" xr:uid="{00000000-0005-0000-0000-00005B960000}"/>
    <cellStyle name="Normal 2 3 8 31 5" xfId="16100" xr:uid="{00000000-0005-0000-0000-00005C960000}"/>
    <cellStyle name="Normal 2 3 8 31 5 2" xfId="48319" xr:uid="{00000000-0005-0000-0000-00005D960000}"/>
    <cellStyle name="Normal 2 3 8 31 6" xfId="16101" xr:uid="{00000000-0005-0000-0000-00005E960000}"/>
    <cellStyle name="Normal 2 3 8 31 6 2" xfId="48320" xr:uid="{00000000-0005-0000-0000-00005F960000}"/>
    <cellStyle name="Normal 2 3 8 31 7" xfId="48321" xr:uid="{00000000-0005-0000-0000-000060960000}"/>
    <cellStyle name="Normal 2 3 8 31 7 2" xfId="48322" xr:uid="{00000000-0005-0000-0000-000061960000}"/>
    <cellStyle name="Normal 2 3 8 31 8" xfId="48323" xr:uid="{00000000-0005-0000-0000-000062960000}"/>
    <cellStyle name="Normal 2 3 8 31 9" xfId="48324" xr:uid="{00000000-0005-0000-0000-000063960000}"/>
    <cellStyle name="Normal 2 3 8 32" xfId="16102" xr:uid="{00000000-0005-0000-0000-000064960000}"/>
    <cellStyle name="Normal 2 3 8 32 2" xfId="16103" xr:uid="{00000000-0005-0000-0000-000065960000}"/>
    <cellStyle name="Normal 2 3 8 32 2 2" xfId="16104" xr:uid="{00000000-0005-0000-0000-000066960000}"/>
    <cellStyle name="Normal 2 3 8 32 2 2 2" xfId="48325" xr:uid="{00000000-0005-0000-0000-000067960000}"/>
    <cellStyle name="Normal 2 3 8 32 2 3" xfId="16105" xr:uid="{00000000-0005-0000-0000-000068960000}"/>
    <cellStyle name="Normal 2 3 8 32 2 3 2" xfId="48326" xr:uid="{00000000-0005-0000-0000-000069960000}"/>
    <cellStyle name="Normal 2 3 8 32 2 4" xfId="48327" xr:uid="{00000000-0005-0000-0000-00006A960000}"/>
    <cellStyle name="Normal 2 3 8 32 3" xfId="16106" xr:uid="{00000000-0005-0000-0000-00006B960000}"/>
    <cellStyle name="Normal 2 3 8 32 3 2" xfId="48328" xr:uid="{00000000-0005-0000-0000-00006C960000}"/>
    <cellStyle name="Normal 2 3 8 32 4" xfId="16107" xr:uid="{00000000-0005-0000-0000-00006D960000}"/>
    <cellStyle name="Normal 2 3 8 32 4 2" xfId="48329" xr:uid="{00000000-0005-0000-0000-00006E960000}"/>
    <cellStyle name="Normal 2 3 8 32 5" xfId="16108" xr:uid="{00000000-0005-0000-0000-00006F960000}"/>
    <cellStyle name="Normal 2 3 8 32 5 2" xfId="48330" xr:uid="{00000000-0005-0000-0000-000070960000}"/>
    <cellStyle name="Normal 2 3 8 32 6" xfId="48331" xr:uid="{00000000-0005-0000-0000-000071960000}"/>
    <cellStyle name="Normal 2 3 8 32 6 2" xfId="48332" xr:uid="{00000000-0005-0000-0000-000072960000}"/>
    <cellStyle name="Normal 2 3 8 32 7" xfId="48333" xr:uid="{00000000-0005-0000-0000-000073960000}"/>
    <cellStyle name="Normal 2 3 8 33" xfId="16109" xr:uid="{00000000-0005-0000-0000-000074960000}"/>
    <cellStyle name="Normal 2 3 8 33 2" xfId="16110" xr:uid="{00000000-0005-0000-0000-000075960000}"/>
    <cellStyle name="Normal 2 3 8 33 2 2" xfId="48334" xr:uid="{00000000-0005-0000-0000-000076960000}"/>
    <cellStyle name="Normal 2 3 8 33 3" xfId="16111" xr:uid="{00000000-0005-0000-0000-000077960000}"/>
    <cellStyle name="Normal 2 3 8 33 3 2" xfId="48335" xr:uid="{00000000-0005-0000-0000-000078960000}"/>
    <cellStyle name="Normal 2 3 8 33 4" xfId="48336" xr:uid="{00000000-0005-0000-0000-000079960000}"/>
    <cellStyle name="Normal 2 3 8 34" xfId="16112" xr:uid="{00000000-0005-0000-0000-00007A960000}"/>
    <cellStyle name="Normal 2 3 8 34 2" xfId="16113" xr:uid="{00000000-0005-0000-0000-00007B960000}"/>
    <cellStyle name="Normal 2 3 8 34 2 2" xfId="48337" xr:uid="{00000000-0005-0000-0000-00007C960000}"/>
    <cellStyle name="Normal 2 3 8 34 3" xfId="48338" xr:uid="{00000000-0005-0000-0000-00007D960000}"/>
    <cellStyle name="Normal 2 3 8 35" xfId="16114" xr:uid="{00000000-0005-0000-0000-00007E960000}"/>
    <cellStyle name="Normal 2 3 8 35 2" xfId="48339" xr:uid="{00000000-0005-0000-0000-00007F960000}"/>
    <cellStyle name="Normal 2 3 8 36" xfId="16115" xr:uid="{00000000-0005-0000-0000-000080960000}"/>
    <cellStyle name="Normal 2 3 8 36 2" xfId="48340" xr:uid="{00000000-0005-0000-0000-000081960000}"/>
    <cellStyle name="Normal 2 3 8 37" xfId="48341" xr:uid="{00000000-0005-0000-0000-000082960000}"/>
    <cellStyle name="Normal 2 3 8 37 2" xfId="48342" xr:uid="{00000000-0005-0000-0000-000083960000}"/>
    <cellStyle name="Normal 2 3 8 38" xfId="48343" xr:uid="{00000000-0005-0000-0000-000084960000}"/>
    <cellStyle name="Normal 2 3 8 39" xfId="48344" xr:uid="{00000000-0005-0000-0000-000085960000}"/>
    <cellStyle name="Normal 2 3 8 4" xfId="16116" xr:uid="{00000000-0005-0000-0000-000086960000}"/>
    <cellStyle name="Normal 2 3 8 4 10" xfId="48345" xr:uid="{00000000-0005-0000-0000-000087960000}"/>
    <cellStyle name="Normal 2 3 8 4 11" xfId="48346" xr:uid="{00000000-0005-0000-0000-000088960000}"/>
    <cellStyle name="Normal 2 3 8 4 2" xfId="16117" xr:uid="{00000000-0005-0000-0000-000089960000}"/>
    <cellStyle name="Normal 2 3 8 4 2 10" xfId="48347" xr:uid="{00000000-0005-0000-0000-00008A960000}"/>
    <cellStyle name="Normal 2 3 8 4 2 2" xfId="16118" xr:uid="{00000000-0005-0000-0000-00008B960000}"/>
    <cellStyle name="Normal 2 3 8 4 2 2 2" xfId="16119" xr:uid="{00000000-0005-0000-0000-00008C960000}"/>
    <cellStyle name="Normal 2 3 8 4 2 2 2 2" xfId="16120" xr:uid="{00000000-0005-0000-0000-00008D960000}"/>
    <cellStyle name="Normal 2 3 8 4 2 2 2 2 2" xfId="48348" xr:uid="{00000000-0005-0000-0000-00008E960000}"/>
    <cellStyle name="Normal 2 3 8 4 2 2 2 3" xfId="16121" xr:uid="{00000000-0005-0000-0000-00008F960000}"/>
    <cellStyle name="Normal 2 3 8 4 2 2 2 3 2" xfId="48349" xr:uid="{00000000-0005-0000-0000-000090960000}"/>
    <cellStyle name="Normal 2 3 8 4 2 2 2 4" xfId="48350" xr:uid="{00000000-0005-0000-0000-000091960000}"/>
    <cellStyle name="Normal 2 3 8 4 2 2 3" xfId="16122" xr:uid="{00000000-0005-0000-0000-000092960000}"/>
    <cellStyle name="Normal 2 3 8 4 2 2 3 2" xfId="48351" xr:uid="{00000000-0005-0000-0000-000093960000}"/>
    <cellStyle name="Normal 2 3 8 4 2 2 4" xfId="16123" xr:uid="{00000000-0005-0000-0000-000094960000}"/>
    <cellStyle name="Normal 2 3 8 4 2 2 4 2" xfId="48352" xr:uid="{00000000-0005-0000-0000-000095960000}"/>
    <cellStyle name="Normal 2 3 8 4 2 2 5" xfId="16124" xr:uid="{00000000-0005-0000-0000-000096960000}"/>
    <cellStyle name="Normal 2 3 8 4 2 2 5 2" xfId="48353" xr:uid="{00000000-0005-0000-0000-000097960000}"/>
    <cellStyle name="Normal 2 3 8 4 2 2 6" xfId="48354" xr:uid="{00000000-0005-0000-0000-000098960000}"/>
    <cellStyle name="Normal 2 3 8 4 2 2 6 2" xfId="48355" xr:uid="{00000000-0005-0000-0000-000099960000}"/>
    <cellStyle name="Normal 2 3 8 4 2 2 7" xfId="48356" xr:uid="{00000000-0005-0000-0000-00009A960000}"/>
    <cellStyle name="Normal 2 3 8 4 2 3" xfId="16125" xr:uid="{00000000-0005-0000-0000-00009B960000}"/>
    <cellStyle name="Normal 2 3 8 4 2 3 2" xfId="16126" xr:uid="{00000000-0005-0000-0000-00009C960000}"/>
    <cellStyle name="Normal 2 3 8 4 2 3 2 2" xfId="48357" xr:uid="{00000000-0005-0000-0000-00009D960000}"/>
    <cellStyle name="Normal 2 3 8 4 2 3 3" xfId="16127" xr:uid="{00000000-0005-0000-0000-00009E960000}"/>
    <cellStyle name="Normal 2 3 8 4 2 3 3 2" xfId="48358" xr:uid="{00000000-0005-0000-0000-00009F960000}"/>
    <cellStyle name="Normal 2 3 8 4 2 3 4" xfId="48359" xr:uid="{00000000-0005-0000-0000-0000A0960000}"/>
    <cellStyle name="Normal 2 3 8 4 2 4" xfId="16128" xr:uid="{00000000-0005-0000-0000-0000A1960000}"/>
    <cellStyle name="Normal 2 3 8 4 2 4 2" xfId="16129" xr:uid="{00000000-0005-0000-0000-0000A2960000}"/>
    <cellStyle name="Normal 2 3 8 4 2 4 2 2" xfId="48360" xr:uid="{00000000-0005-0000-0000-0000A3960000}"/>
    <cellStyle name="Normal 2 3 8 4 2 4 3" xfId="48361" xr:uid="{00000000-0005-0000-0000-0000A4960000}"/>
    <cellStyle name="Normal 2 3 8 4 2 5" xfId="16130" xr:uid="{00000000-0005-0000-0000-0000A5960000}"/>
    <cellStyle name="Normal 2 3 8 4 2 5 2" xfId="48362" xr:uid="{00000000-0005-0000-0000-0000A6960000}"/>
    <cellStyle name="Normal 2 3 8 4 2 6" xfId="16131" xr:uid="{00000000-0005-0000-0000-0000A7960000}"/>
    <cellStyle name="Normal 2 3 8 4 2 6 2" xfId="48363" xr:uid="{00000000-0005-0000-0000-0000A8960000}"/>
    <cellStyle name="Normal 2 3 8 4 2 7" xfId="48364" xr:uid="{00000000-0005-0000-0000-0000A9960000}"/>
    <cellStyle name="Normal 2 3 8 4 2 7 2" xfId="48365" xr:uid="{00000000-0005-0000-0000-0000AA960000}"/>
    <cellStyle name="Normal 2 3 8 4 2 8" xfId="48366" xr:uid="{00000000-0005-0000-0000-0000AB960000}"/>
    <cellStyle name="Normal 2 3 8 4 2 9" xfId="48367" xr:uid="{00000000-0005-0000-0000-0000AC960000}"/>
    <cellStyle name="Normal 2 3 8 4 3" xfId="16132" xr:uid="{00000000-0005-0000-0000-0000AD960000}"/>
    <cellStyle name="Normal 2 3 8 4 3 2" xfId="16133" xr:uid="{00000000-0005-0000-0000-0000AE960000}"/>
    <cellStyle name="Normal 2 3 8 4 3 2 2" xfId="16134" xr:uid="{00000000-0005-0000-0000-0000AF960000}"/>
    <cellStyle name="Normal 2 3 8 4 3 2 2 2" xfId="48368" xr:uid="{00000000-0005-0000-0000-0000B0960000}"/>
    <cellStyle name="Normal 2 3 8 4 3 2 3" xfId="16135" xr:uid="{00000000-0005-0000-0000-0000B1960000}"/>
    <cellStyle name="Normal 2 3 8 4 3 2 3 2" xfId="48369" xr:uid="{00000000-0005-0000-0000-0000B2960000}"/>
    <cellStyle name="Normal 2 3 8 4 3 2 4" xfId="48370" xr:uid="{00000000-0005-0000-0000-0000B3960000}"/>
    <cellStyle name="Normal 2 3 8 4 3 3" xfId="16136" xr:uid="{00000000-0005-0000-0000-0000B4960000}"/>
    <cellStyle name="Normal 2 3 8 4 3 3 2" xfId="48371" xr:uid="{00000000-0005-0000-0000-0000B5960000}"/>
    <cellStyle name="Normal 2 3 8 4 3 4" xfId="16137" xr:uid="{00000000-0005-0000-0000-0000B6960000}"/>
    <cellStyle name="Normal 2 3 8 4 3 4 2" xfId="48372" xr:uid="{00000000-0005-0000-0000-0000B7960000}"/>
    <cellStyle name="Normal 2 3 8 4 3 5" xfId="16138" xr:uid="{00000000-0005-0000-0000-0000B8960000}"/>
    <cellStyle name="Normal 2 3 8 4 3 5 2" xfId="48373" xr:uid="{00000000-0005-0000-0000-0000B9960000}"/>
    <cellStyle name="Normal 2 3 8 4 3 6" xfId="48374" xr:uid="{00000000-0005-0000-0000-0000BA960000}"/>
    <cellStyle name="Normal 2 3 8 4 3 6 2" xfId="48375" xr:uid="{00000000-0005-0000-0000-0000BB960000}"/>
    <cellStyle name="Normal 2 3 8 4 3 7" xfId="48376" xr:uid="{00000000-0005-0000-0000-0000BC960000}"/>
    <cellStyle name="Normal 2 3 8 4 4" xfId="16139" xr:uid="{00000000-0005-0000-0000-0000BD960000}"/>
    <cellStyle name="Normal 2 3 8 4 4 2" xfId="16140" xr:uid="{00000000-0005-0000-0000-0000BE960000}"/>
    <cellStyle name="Normal 2 3 8 4 4 2 2" xfId="48377" xr:uid="{00000000-0005-0000-0000-0000BF960000}"/>
    <cellStyle name="Normal 2 3 8 4 4 3" xfId="16141" xr:uid="{00000000-0005-0000-0000-0000C0960000}"/>
    <cellStyle name="Normal 2 3 8 4 4 3 2" xfId="48378" xr:uid="{00000000-0005-0000-0000-0000C1960000}"/>
    <cellStyle name="Normal 2 3 8 4 4 4" xfId="48379" xr:uid="{00000000-0005-0000-0000-0000C2960000}"/>
    <cellStyle name="Normal 2 3 8 4 5" xfId="16142" xr:uid="{00000000-0005-0000-0000-0000C3960000}"/>
    <cellStyle name="Normal 2 3 8 4 5 2" xfId="16143" xr:uid="{00000000-0005-0000-0000-0000C4960000}"/>
    <cellStyle name="Normal 2 3 8 4 5 2 2" xfId="48380" xr:uid="{00000000-0005-0000-0000-0000C5960000}"/>
    <cellStyle name="Normal 2 3 8 4 5 3" xfId="48381" xr:uid="{00000000-0005-0000-0000-0000C6960000}"/>
    <cellStyle name="Normal 2 3 8 4 6" xfId="16144" xr:uid="{00000000-0005-0000-0000-0000C7960000}"/>
    <cellStyle name="Normal 2 3 8 4 6 2" xfId="48382" xr:uid="{00000000-0005-0000-0000-0000C8960000}"/>
    <cellStyle name="Normal 2 3 8 4 7" xfId="16145" xr:uid="{00000000-0005-0000-0000-0000C9960000}"/>
    <cellStyle name="Normal 2 3 8 4 7 2" xfId="48383" xr:uid="{00000000-0005-0000-0000-0000CA960000}"/>
    <cellStyle name="Normal 2 3 8 4 8" xfId="48384" xr:uid="{00000000-0005-0000-0000-0000CB960000}"/>
    <cellStyle name="Normal 2 3 8 4 8 2" xfId="48385" xr:uid="{00000000-0005-0000-0000-0000CC960000}"/>
    <cellStyle name="Normal 2 3 8 4 9" xfId="48386" xr:uid="{00000000-0005-0000-0000-0000CD960000}"/>
    <cellStyle name="Normal 2 3 8 40" xfId="48387" xr:uid="{00000000-0005-0000-0000-0000CE960000}"/>
    <cellStyle name="Normal 2 3 8 5" xfId="16146" xr:uid="{00000000-0005-0000-0000-0000CF960000}"/>
    <cellStyle name="Normal 2 3 8 5 10" xfId="48388" xr:uid="{00000000-0005-0000-0000-0000D0960000}"/>
    <cellStyle name="Normal 2 3 8 5 11" xfId="48389" xr:uid="{00000000-0005-0000-0000-0000D1960000}"/>
    <cellStyle name="Normal 2 3 8 5 2" xfId="16147" xr:uid="{00000000-0005-0000-0000-0000D2960000}"/>
    <cellStyle name="Normal 2 3 8 5 2 10" xfId="48390" xr:uid="{00000000-0005-0000-0000-0000D3960000}"/>
    <cellStyle name="Normal 2 3 8 5 2 2" xfId="16148" xr:uid="{00000000-0005-0000-0000-0000D4960000}"/>
    <cellStyle name="Normal 2 3 8 5 2 2 2" xfId="16149" xr:uid="{00000000-0005-0000-0000-0000D5960000}"/>
    <cellStyle name="Normal 2 3 8 5 2 2 2 2" xfId="16150" xr:uid="{00000000-0005-0000-0000-0000D6960000}"/>
    <cellStyle name="Normal 2 3 8 5 2 2 2 2 2" xfId="48391" xr:uid="{00000000-0005-0000-0000-0000D7960000}"/>
    <cellStyle name="Normal 2 3 8 5 2 2 2 3" xfId="16151" xr:uid="{00000000-0005-0000-0000-0000D8960000}"/>
    <cellStyle name="Normal 2 3 8 5 2 2 2 3 2" xfId="48392" xr:uid="{00000000-0005-0000-0000-0000D9960000}"/>
    <cellStyle name="Normal 2 3 8 5 2 2 2 4" xfId="48393" xr:uid="{00000000-0005-0000-0000-0000DA960000}"/>
    <cellStyle name="Normal 2 3 8 5 2 2 3" xfId="16152" xr:uid="{00000000-0005-0000-0000-0000DB960000}"/>
    <cellStyle name="Normal 2 3 8 5 2 2 3 2" xfId="48394" xr:uid="{00000000-0005-0000-0000-0000DC960000}"/>
    <cellStyle name="Normal 2 3 8 5 2 2 4" xfId="16153" xr:uid="{00000000-0005-0000-0000-0000DD960000}"/>
    <cellStyle name="Normal 2 3 8 5 2 2 4 2" xfId="48395" xr:uid="{00000000-0005-0000-0000-0000DE960000}"/>
    <cellStyle name="Normal 2 3 8 5 2 2 5" xfId="16154" xr:uid="{00000000-0005-0000-0000-0000DF960000}"/>
    <cellStyle name="Normal 2 3 8 5 2 2 5 2" xfId="48396" xr:uid="{00000000-0005-0000-0000-0000E0960000}"/>
    <cellStyle name="Normal 2 3 8 5 2 2 6" xfId="48397" xr:uid="{00000000-0005-0000-0000-0000E1960000}"/>
    <cellStyle name="Normal 2 3 8 5 2 2 6 2" xfId="48398" xr:uid="{00000000-0005-0000-0000-0000E2960000}"/>
    <cellStyle name="Normal 2 3 8 5 2 2 7" xfId="48399" xr:uid="{00000000-0005-0000-0000-0000E3960000}"/>
    <cellStyle name="Normal 2 3 8 5 2 3" xfId="16155" xr:uid="{00000000-0005-0000-0000-0000E4960000}"/>
    <cellStyle name="Normal 2 3 8 5 2 3 2" xfId="16156" xr:uid="{00000000-0005-0000-0000-0000E5960000}"/>
    <cellStyle name="Normal 2 3 8 5 2 3 2 2" xfId="48400" xr:uid="{00000000-0005-0000-0000-0000E6960000}"/>
    <cellStyle name="Normal 2 3 8 5 2 3 3" xfId="16157" xr:uid="{00000000-0005-0000-0000-0000E7960000}"/>
    <cellStyle name="Normal 2 3 8 5 2 3 3 2" xfId="48401" xr:uid="{00000000-0005-0000-0000-0000E8960000}"/>
    <cellStyle name="Normal 2 3 8 5 2 3 4" xfId="48402" xr:uid="{00000000-0005-0000-0000-0000E9960000}"/>
    <cellStyle name="Normal 2 3 8 5 2 4" xfId="16158" xr:uid="{00000000-0005-0000-0000-0000EA960000}"/>
    <cellStyle name="Normal 2 3 8 5 2 4 2" xfId="16159" xr:uid="{00000000-0005-0000-0000-0000EB960000}"/>
    <cellStyle name="Normal 2 3 8 5 2 4 2 2" xfId="48403" xr:uid="{00000000-0005-0000-0000-0000EC960000}"/>
    <cellStyle name="Normal 2 3 8 5 2 4 3" xfId="48404" xr:uid="{00000000-0005-0000-0000-0000ED960000}"/>
    <cellStyle name="Normal 2 3 8 5 2 5" xfId="16160" xr:uid="{00000000-0005-0000-0000-0000EE960000}"/>
    <cellStyle name="Normal 2 3 8 5 2 5 2" xfId="48405" xr:uid="{00000000-0005-0000-0000-0000EF960000}"/>
    <cellStyle name="Normal 2 3 8 5 2 6" xfId="16161" xr:uid="{00000000-0005-0000-0000-0000F0960000}"/>
    <cellStyle name="Normal 2 3 8 5 2 6 2" xfId="48406" xr:uid="{00000000-0005-0000-0000-0000F1960000}"/>
    <cellStyle name="Normal 2 3 8 5 2 7" xfId="48407" xr:uid="{00000000-0005-0000-0000-0000F2960000}"/>
    <cellStyle name="Normal 2 3 8 5 2 7 2" xfId="48408" xr:uid="{00000000-0005-0000-0000-0000F3960000}"/>
    <cellStyle name="Normal 2 3 8 5 2 8" xfId="48409" xr:uid="{00000000-0005-0000-0000-0000F4960000}"/>
    <cellStyle name="Normal 2 3 8 5 2 9" xfId="48410" xr:uid="{00000000-0005-0000-0000-0000F5960000}"/>
    <cellStyle name="Normal 2 3 8 5 3" xfId="16162" xr:uid="{00000000-0005-0000-0000-0000F6960000}"/>
    <cellStyle name="Normal 2 3 8 5 3 2" xfId="16163" xr:uid="{00000000-0005-0000-0000-0000F7960000}"/>
    <cellStyle name="Normal 2 3 8 5 3 2 2" xfId="16164" xr:uid="{00000000-0005-0000-0000-0000F8960000}"/>
    <cellStyle name="Normal 2 3 8 5 3 2 2 2" xfId="48411" xr:uid="{00000000-0005-0000-0000-0000F9960000}"/>
    <cellStyle name="Normal 2 3 8 5 3 2 3" xfId="16165" xr:uid="{00000000-0005-0000-0000-0000FA960000}"/>
    <cellStyle name="Normal 2 3 8 5 3 2 3 2" xfId="48412" xr:uid="{00000000-0005-0000-0000-0000FB960000}"/>
    <cellStyle name="Normal 2 3 8 5 3 2 4" xfId="48413" xr:uid="{00000000-0005-0000-0000-0000FC960000}"/>
    <cellStyle name="Normal 2 3 8 5 3 3" xfId="16166" xr:uid="{00000000-0005-0000-0000-0000FD960000}"/>
    <cellStyle name="Normal 2 3 8 5 3 3 2" xfId="48414" xr:uid="{00000000-0005-0000-0000-0000FE960000}"/>
    <cellStyle name="Normal 2 3 8 5 3 4" xfId="16167" xr:uid="{00000000-0005-0000-0000-0000FF960000}"/>
    <cellStyle name="Normal 2 3 8 5 3 4 2" xfId="48415" xr:uid="{00000000-0005-0000-0000-000000970000}"/>
    <cellStyle name="Normal 2 3 8 5 3 5" xfId="16168" xr:uid="{00000000-0005-0000-0000-000001970000}"/>
    <cellStyle name="Normal 2 3 8 5 3 5 2" xfId="48416" xr:uid="{00000000-0005-0000-0000-000002970000}"/>
    <cellStyle name="Normal 2 3 8 5 3 6" xfId="48417" xr:uid="{00000000-0005-0000-0000-000003970000}"/>
    <cellStyle name="Normal 2 3 8 5 3 6 2" xfId="48418" xr:uid="{00000000-0005-0000-0000-000004970000}"/>
    <cellStyle name="Normal 2 3 8 5 3 7" xfId="48419" xr:uid="{00000000-0005-0000-0000-000005970000}"/>
    <cellStyle name="Normal 2 3 8 5 4" xfId="16169" xr:uid="{00000000-0005-0000-0000-000006970000}"/>
    <cellStyle name="Normal 2 3 8 5 4 2" xfId="16170" xr:uid="{00000000-0005-0000-0000-000007970000}"/>
    <cellStyle name="Normal 2 3 8 5 4 2 2" xfId="48420" xr:uid="{00000000-0005-0000-0000-000008970000}"/>
    <cellStyle name="Normal 2 3 8 5 4 3" xfId="16171" xr:uid="{00000000-0005-0000-0000-000009970000}"/>
    <cellStyle name="Normal 2 3 8 5 4 3 2" xfId="48421" xr:uid="{00000000-0005-0000-0000-00000A970000}"/>
    <cellStyle name="Normal 2 3 8 5 4 4" xfId="48422" xr:uid="{00000000-0005-0000-0000-00000B970000}"/>
    <cellStyle name="Normal 2 3 8 5 5" xfId="16172" xr:uid="{00000000-0005-0000-0000-00000C970000}"/>
    <cellStyle name="Normal 2 3 8 5 5 2" xfId="16173" xr:uid="{00000000-0005-0000-0000-00000D970000}"/>
    <cellStyle name="Normal 2 3 8 5 5 2 2" xfId="48423" xr:uid="{00000000-0005-0000-0000-00000E970000}"/>
    <cellStyle name="Normal 2 3 8 5 5 3" xfId="48424" xr:uid="{00000000-0005-0000-0000-00000F970000}"/>
    <cellStyle name="Normal 2 3 8 5 6" xfId="16174" xr:uid="{00000000-0005-0000-0000-000010970000}"/>
    <cellStyle name="Normal 2 3 8 5 6 2" xfId="48425" xr:uid="{00000000-0005-0000-0000-000011970000}"/>
    <cellStyle name="Normal 2 3 8 5 7" xfId="16175" xr:uid="{00000000-0005-0000-0000-000012970000}"/>
    <cellStyle name="Normal 2 3 8 5 7 2" xfId="48426" xr:uid="{00000000-0005-0000-0000-000013970000}"/>
    <cellStyle name="Normal 2 3 8 5 8" xfId="48427" xr:uid="{00000000-0005-0000-0000-000014970000}"/>
    <cellStyle name="Normal 2 3 8 5 8 2" xfId="48428" xr:uid="{00000000-0005-0000-0000-000015970000}"/>
    <cellStyle name="Normal 2 3 8 5 9" xfId="48429" xr:uid="{00000000-0005-0000-0000-000016970000}"/>
    <cellStyle name="Normal 2 3 8 6" xfId="16176" xr:uid="{00000000-0005-0000-0000-000017970000}"/>
    <cellStyle name="Normal 2 3 8 6 10" xfId="48430" xr:uid="{00000000-0005-0000-0000-000018970000}"/>
    <cellStyle name="Normal 2 3 8 6 11" xfId="48431" xr:uid="{00000000-0005-0000-0000-000019970000}"/>
    <cellStyle name="Normal 2 3 8 6 2" xfId="16177" xr:uid="{00000000-0005-0000-0000-00001A970000}"/>
    <cellStyle name="Normal 2 3 8 6 2 10" xfId="48432" xr:uid="{00000000-0005-0000-0000-00001B970000}"/>
    <cellStyle name="Normal 2 3 8 6 2 2" xfId="16178" xr:uid="{00000000-0005-0000-0000-00001C970000}"/>
    <cellStyle name="Normal 2 3 8 6 2 2 2" xfId="16179" xr:uid="{00000000-0005-0000-0000-00001D970000}"/>
    <cellStyle name="Normal 2 3 8 6 2 2 2 2" xfId="16180" xr:uid="{00000000-0005-0000-0000-00001E970000}"/>
    <cellStyle name="Normal 2 3 8 6 2 2 2 2 2" xfId="48433" xr:uid="{00000000-0005-0000-0000-00001F970000}"/>
    <cellStyle name="Normal 2 3 8 6 2 2 2 3" xfId="16181" xr:uid="{00000000-0005-0000-0000-000020970000}"/>
    <cellStyle name="Normal 2 3 8 6 2 2 2 3 2" xfId="48434" xr:uid="{00000000-0005-0000-0000-000021970000}"/>
    <cellStyle name="Normal 2 3 8 6 2 2 2 4" xfId="48435" xr:uid="{00000000-0005-0000-0000-000022970000}"/>
    <cellStyle name="Normal 2 3 8 6 2 2 3" xfId="16182" xr:uid="{00000000-0005-0000-0000-000023970000}"/>
    <cellStyle name="Normal 2 3 8 6 2 2 3 2" xfId="48436" xr:uid="{00000000-0005-0000-0000-000024970000}"/>
    <cellStyle name="Normal 2 3 8 6 2 2 4" xfId="16183" xr:uid="{00000000-0005-0000-0000-000025970000}"/>
    <cellStyle name="Normal 2 3 8 6 2 2 4 2" xfId="48437" xr:uid="{00000000-0005-0000-0000-000026970000}"/>
    <cellStyle name="Normal 2 3 8 6 2 2 5" xfId="16184" xr:uid="{00000000-0005-0000-0000-000027970000}"/>
    <cellStyle name="Normal 2 3 8 6 2 2 5 2" xfId="48438" xr:uid="{00000000-0005-0000-0000-000028970000}"/>
    <cellStyle name="Normal 2 3 8 6 2 2 6" xfId="48439" xr:uid="{00000000-0005-0000-0000-000029970000}"/>
    <cellStyle name="Normal 2 3 8 6 2 2 6 2" xfId="48440" xr:uid="{00000000-0005-0000-0000-00002A970000}"/>
    <cellStyle name="Normal 2 3 8 6 2 2 7" xfId="48441" xr:uid="{00000000-0005-0000-0000-00002B970000}"/>
    <cellStyle name="Normal 2 3 8 6 2 3" xfId="16185" xr:uid="{00000000-0005-0000-0000-00002C970000}"/>
    <cellStyle name="Normal 2 3 8 6 2 3 2" xfId="16186" xr:uid="{00000000-0005-0000-0000-00002D970000}"/>
    <cellStyle name="Normal 2 3 8 6 2 3 2 2" xfId="48442" xr:uid="{00000000-0005-0000-0000-00002E970000}"/>
    <cellStyle name="Normal 2 3 8 6 2 3 3" xfId="16187" xr:uid="{00000000-0005-0000-0000-00002F970000}"/>
    <cellStyle name="Normal 2 3 8 6 2 3 3 2" xfId="48443" xr:uid="{00000000-0005-0000-0000-000030970000}"/>
    <cellStyle name="Normal 2 3 8 6 2 3 4" xfId="48444" xr:uid="{00000000-0005-0000-0000-000031970000}"/>
    <cellStyle name="Normal 2 3 8 6 2 4" xfId="16188" xr:uid="{00000000-0005-0000-0000-000032970000}"/>
    <cellStyle name="Normal 2 3 8 6 2 4 2" xfId="16189" xr:uid="{00000000-0005-0000-0000-000033970000}"/>
    <cellStyle name="Normal 2 3 8 6 2 4 2 2" xfId="48445" xr:uid="{00000000-0005-0000-0000-000034970000}"/>
    <cellStyle name="Normal 2 3 8 6 2 4 3" xfId="48446" xr:uid="{00000000-0005-0000-0000-000035970000}"/>
    <cellStyle name="Normal 2 3 8 6 2 5" xfId="16190" xr:uid="{00000000-0005-0000-0000-000036970000}"/>
    <cellStyle name="Normal 2 3 8 6 2 5 2" xfId="48447" xr:uid="{00000000-0005-0000-0000-000037970000}"/>
    <cellStyle name="Normal 2 3 8 6 2 6" xfId="16191" xr:uid="{00000000-0005-0000-0000-000038970000}"/>
    <cellStyle name="Normal 2 3 8 6 2 6 2" xfId="48448" xr:uid="{00000000-0005-0000-0000-000039970000}"/>
    <cellStyle name="Normal 2 3 8 6 2 7" xfId="48449" xr:uid="{00000000-0005-0000-0000-00003A970000}"/>
    <cellStyle name="Normal 2 3 8 6 2 7 2" xfId="48450" xr:uid="{00000000-0005-0000-0000-00003B970000}"/>
    <cellStyle name="Normal 2 3 8 6 2 8" xfId="48451" xr:uid="{00000000-0005-0000-0000-00003C970000}"/>
    <cellStyle name="Normal 2 3 8 6 2 9" xfId="48452" xr:uid="{00000000-0005-0000-0000-00003D970000}"/>
    <cellStyle name="Normal 2 3 8 6 3" xfId="16192" xr:uid="{00000000-0005-0000-0000-00003E970000}"/>
    <cellStyle name="Normal 2 3 8 6 3 2" xfId="16193" xr:uid="{00000000-0005-0000-0000-00003F970000}"/>
    <cellStyle name="Normal 2 3 8 6 3 2 2" xfId="16194" xr:uid="{00000000-0005-0000-0000-000040970000}"/>
    <cellStyle name="Normal 2 3 8 6 3 2 2 2" xfId="48453" xr:uid="{00000000-0005-0000-0000-000041970000}"/>
    <cellStyle name="Normal 2 3 8 6 3 2 3" xfId="16195" xr:uid="{00000000-0005-0000-0000-000042970000}"/>
    <cellStyle name="Normal 2 3 8 6 3 2 3 2" xfId="48454" xr:uid="{00000000-0005-0000-0000-000043970000}"/>
    <cellStyle name="Normal 2 3 8 6 3 2 4" xfId="48455" xr:uid="{00000000-0005-0000-0000-000044970000}"/>
    <cellStyle name="Normal 2 3 8 6 3 3" xfId="16196" xr:uid="{00000000-0005-0000-0000-000045970000}"/>
    <cellStyle name="Normal 2 3 8 6 3 3 2" xfId="48456" xr:uid="{00000000-0005-0000-0000-000046970000}"/>
    <cellStyle name="Normal 2 3 8 6 3 4" xfId="16197" xr:uid="{00000000-0005-0000-0000-000047970000}"/>
    <cellStyle name="Normal 2 3 8 6 3 4 2" xfId="48457" xr:uid="{00000000-0005-0000-0000-000048970000}"/>
    <cellStyle name="Normal 2 3 8 6 3 5" xfId="16198" xr:uid="{00000000-0005-0000-0000-000049970000}"/>
    <cellStyle name="Normal 2 3 8 6 3 5 2" xfId="48458" xr:uid="{00000000-0005-0000-0000-00004A970000}"/>
    <cellStyle name="Normal 2 3 8 6 3 6" xfId="48459" xr:uid="{00000000-0005-0000-0000-00004B970000}"/>
    <cellStyle name="Normal 2 3 8 6 3 6 2" xfId="48460" xr:uid="{00000000-0005-0000-0000-00004C970000}"/>
    <cellStyle name="Normal 2 3 8 6 3 7" xfId="48461" xr:uid="{00000000-0005-0000-0000-00004D970000}"/>
    <cellStyle name="Normal 2 3 8 6 4" xfId="16199" xr:uid="{00000000-0005-0000-0000-00004E970000}"/>
    <cellStyle name="Normal 2 3 8 6 4 2" xfId="16200" xr:uid="{00000000-0005-0000-0000-00004F970000}"/>
    <cellStyle name="Normal 2 3 8 6 4 2 2" xfId="48462" xr:uid="{00000000-0005-0000-0000-000050970000}"/>
    <cellStyle name="Normal 2 3 8 6 4 3" xfId="16201" xr:uid="{00000000-0005-0000-0000-000051970000}"/>
    <cellStyle name="Normal 2 3 8 6 4 3 2" xfId="48463" xr:uid="{00000000-0005-0000-0000-000052970000}"/>
    <cellStyle name="Normal 2 3 8 6 4 4" xfId="48464" xr:uid="{00000000-0005-0000-0000-000053970000}"/>
    <cellStyle name="Normal 2 3 8 6 5" xfId="16202" xr:uid="{00000000-0005-0000-0000-000054970000}"/>
    <cellStyle name="Normal 2 3 8 6 5 2" xfId="16203" xr:uid="{00000000-0005-0000-0000-000055970000}"/>
    <cellStyle name="Normal 2 3 8 6 5 2 2" xfId="48465" xr:uid="{00000000-0005-0000-0000-000056970000}"/>
    <cellStyle name="Normal 2 3 8 6 5 3" xfId="48466" xr:uid="{00000000-0005-0000-0000-000057970000}"/>
    <cellStyle name="Normal 2 3 8 6 6" xfId="16204" xr:uid="{00000000-0005-0000-0000-000058970000}"/>
    <cellStyle name="Normal 2 3 8 6 6 2" xfId="48467" xr:uid="{00000000-0005-0000-0000-000059970000}"/>
    <cellStyle name="Normal 2 3 8 6 7" xfId="16205" xr:uid="{00000000-0005-0000-0000-00005A970000}"/>
    <cellStyle name="Normal 2 3 8 6 7 2" xfId="48468" xr:uid="{00000000-0005-0000-0000-00005B970000}"/>
    <cellStyle name="Normal 2 3 8 6 8" xfId="48469" xr:uid="{00000000-0005-0000-0000-00005C970000}"/>
    <cellStyle name="Normal 2 3 8 6 8 2" xfId="48470" xr:uid="{00000000-0005-0000-0000-00005D970000}"/>
    <cellStyle name="Normal 2 3 8 6 9" xfId="48471" xr:uid="{00000000-0005-0000-0000-00005E970000}"/>
    <cellStyle name="Normal 2 3 8 7" xfId="16206" xr:uid="{00000000-0005-0000-0000-00005F970000}"/>
    <cellStyle name="Normal 2 3 8 7 10" xfId="48472" xr:uid="{00000000-0005-0000-0000-000060970000}"/>
    <cellStyle name="Normal 2 3 8 7 11" xfId="48473" xr:uid="{00000000-0005-0000-0000-000061970000}"/>
    <cellStyle name="Normal 2 3 8 7 2" xfId="16207" xr:uid="{00000000-0005-0000-0000-000062970000}"/>
    <cellStyle name="Normal 2 3 8 7 2 10" xfId="48474" xr:uid="{00000000-0005-0000-0000-000063970000}"/>
    <cellStyle name="Normal 2 3 8 7 2 2" xfId="16208" xr:uid="{00000000-0005-0000-0000-000064970000}"/>
    <cellStyle name="Normal 2 3 8 7 2 2 2" xfId="16209" xr:uid="{00000000-0005-0000-0000-000065970000}"/>
    <cellStyle name="Normal 2 3 8 7 2 2 2 2" xfId="16210" xr:uid="{00000000-0005-0000-0000-000066970000}"/>
    <cellStyle name="Normal 2 3 8 7 2 2 2 2 2" xfId="48475" xr:uid="{00000000-0005-0000-0000-000067970000}"/>
    <cellStyle name="Normal 2 3 8 7 2 2 2 3" xfId="16211" xr:uid="{00000000-0005-0000-0000-000068970000}"/>
    <cellStyle name="Normal 2 3 8 7 2 2 2 3 2" xfId="48476" xr:uid="{00000000-0005-0000-0000-000069970000}"/>
    <cellStyle name="Normal 2 3 8 7 2 2 2 4" xfId="48477" xr:uid="{00000000-0005-0000-0000-00006A970000}"/>
    <cellStyle name="Normal 2 3 8 7 2 2 3" xfId="16212" xr:uid="{00000000-0005-0000-0000-00006B970000}"/>
    <cellStyle name="Normal 2 3 8 7 2 2 3 2" xfId="48478" xr:uid="{00000000-0005-0000-0000-00006C970000}"/>
    <cellStyle name="Normal 2 3 8 7 2 2 4" xfId="16213" xr:uid="{00000000-0005-0000-0000-00006D970000}"/>
    <cellStyle name="Normal 2 3 8 7 2 2 4 2" xfId="48479" xr:uid="{00000000-0005-0000-0000-00006E970000}"/>
    <cellStyle name="Normal 2 3 8 7 2 2 5" xfId="16214" xr:uid="{00000000-0005-0000-0000-00006F970000}"/>
    <cellStyle name="Normal 2 3 8 7 2 2 5 2" xfId="48480" xr:uid="{00000000-0005-0000-0000-000070970000}"/>
    <cellStyle name="Normal 2 3 8 7 2 2 6" xfId="48481" xr:uid="{00000000-0005-0000-0000-000071970000}"/>
    <cellStyle name="Normal 2 3 8 7 2 2 6 2" xfId="48482" xr:uid="{00000000-0005-0000-0000-000072970000}"/>
    <cellStyle name="Normal 2 3 8 7 2 2 7" xfId="48483" xr:uid="{00000000-0005-0000-0000-000073970000}"/>
    <cellStyle name="Normal 2 3 8 7 2 3" xfId="16215" xr:uid="{00000000-0005-0000-0000-000074970000}"/>
    <cellStyle name="Normal 2 3 8 7 2 3 2" xfId="16216" xr:uid="{00000000-0005-0000-0000-000075970000}"/>
    <cellStyle name="Normal 2 3 8 7 2 3 2 2" xfId="48484" xr:uid="{00000000-0005-0000-0000-000076970000}"/>
    <cellStyle name="Normal 2 3 8 7 2 3 3" xfId="16217" xr:uid="{00000000-0005-0000-0000-000077970000}"/>
    <cellStyle name="Normal 2 3 8 7 2 3 3 2" xfId="48485" xr:uid="{00000000-0005-0000-0000-000078970000}"/>
    <cellStyle name="Normal 2 3 8 7 2 3 4" xfId="48486" xr:uid="{00000000-0005-0000-0000-000079970000}"/>
    <cellStyle name="Normal 2 3 8 7 2 4" xfId="16218" xr:uid="{00000000-0005-0000-0000-00007A970000}"/>
    <cellStyle name="Normal 2 3 8 7 2 4 2" xfId="16219" xr:uid="{00000000-0005-0000-0000-00007B970000}"/>
    <cellStyle name="Normal 2 3 8 7 2 4 2 2" xfId="48487" xr:uid="{00000000-0005-0000-0000-00007C970000}"/>
    <cellStyle name="Normal 2 3 8 7 2 4 3" xfId="48488" xr:uid="{00000000-0005-0000-0000-00007D970000}"/>
    <cellStyle name="Normal 2 3 8 7 2 5" xfId="16220" xr:uid="{00000000-0005-0000-0000-00007E970000}"/>
    <cellStyle name="Normal 2 3 8 7 2 5 2" xfId="48489" xr:uid="{00000000-0005-0000-0000-00007F970000}"/>
    <cellStyle name="Normal 2 3 8 7 2 6" xfId="16221" xr:uid="{00000000-0005-0000-0000-000080970000}"/>
    <cellStyle name="Normal 2 3 8 7 2 6 2" xfId="48490" xr:uid="{00000000-0005-0000-0000-000081970000}"/>
    <cellStyle name="Normal 2 3 8 7 2 7" xfId="48491" xr:uid="{00000000-0005-0000-0000-000082970000}"/>
    <cellStyle name="Normal 2 3 8 7 2 7 2" xfId="48492" xr:uid="{00000000-0005-0000-0000-000083970000}"/>
    <cellStyle name="Normal 2 3 8 7 2 8" xfId="48493" xr:uid="{00000000-0005-0000-0000-000084970000}"/>
    <cellStyle name="Normal 2 3 8 7 2 9" xfId="48494" xr:uid="{00000000-0005-0000-0000-000085970000}"/>
    <cellStyle name="Normal 2 3 8 7 3" xfId="16222" xr:uid="{00000000-0005-0000-0000-000086970000}"/>
    <cellStyle name="Normal 2 3 8 7 3 2" xfId="16223" xr:uid="{00000000-0005-0000-0000-000087970000}"/>
    <cellStyle name="Normal 2 3 8 7 3 2 2" xfId="16224" xr:uid="{00000000-0005-0000-0000-000088970000}"/>
    <cellStyle name="Normal 2 3 8 7 3 2 2 2" xfId="48495" xr:uid="{00000000-0005-0000-0000-000089970000}"/>
    <cellStyle name="Normal 2 3 8 7 3 2 3" xfId="16225" xr:uid="{00000000-0005-0000-0000-00008A970000}"/>
    <cellStyle name="Normal 2 3 8 7 3 2 3 2" xfId="48496" xr:uid="{00000000-0005-0000-0000-00008B970000}"/>
    <cellStyle name="Normal 2 3 8 7 3 2 4" xfId="48497" xr:uid="{00000000-0005-0000-0000-00008C970000}"/>
    <cellStyle name="Normal 2 3 8 7 3 3" xfId="16226" xr:uid="{00000000-0005-0000-0000-00008D970000}"/>
    <cellStyle name="Normal 2 3 8 7 3 3 2" xfId="48498" xr:uid="{00000000-0005-0000-0000-00008E970000}"/>
    <cellStyle name="Normal 2 3 8 7 3 4" xfId="16227" xr:uid="{00000000-0005-0000-0000-00008F970000}"/>
    <cellStyle name="Normal 2 3 8 7 3 4 2" xfId="48499" xr:uid="{00000000-0005-0000-0000-000090970000}"/>
    <cellStyle name="Normal 2 3 8 7 3 5" xfId="16228" xr:uid="{00000000-0005-0000-0000-000091970000}"/>
    <cellStyle name="Normal 2 3 8 7 3 5 2" xfId="48500" xr:uid="{00000000-0005-0000-0000-000092970000}"/>
    <cellStyle name="Normal 2 3 8 7 3 6" xfId="48501" xr:uid="{00000000-0005-0000-0000-000093970000}"/>
    <cellStyle name="Normal 2 3 8 7 3 6 2" xfId="48502" xr:uid="{00000000-0005-0000-0000-000094970000}"/>
    <cellStyle name="Normal 2 3 8 7 3 7" xfId="48503" xr:uid="{00000000-0005-0000-0000-000095970000}"/>
    <cellStyle name="Normal 2 3 8 7 4" xfId="16229" xr:uid="{00000000-0005-0000-0000-000096970000}"/>
    <cellStyle name="Normal 2 3 8 7 4 2" xfId="16230" xr:uid="{00000000-0005-0000-0000-000097970000}"/>
    <cellStyle name="Normal 2 3 8 7 4 2 2" xfId="48504" xr:uid="{00000000-0005-0000-0000-000098970000}"/>
    <cellStyle name="Normal 2 3 8 7 4 3" xfId="16231" xr:uid="{00000000-0005-0000-0000-000099970000}"/>
    <cellStyle name="Normal 2 3 8 7 4 3 2" xfId="48505" xr:uid="{00000000-0005-0000-0000-00009A970000}"/>
    <cellStyle name="Normal 2 3 8 7 4 4" xfId="48506" xr:uid="{00000000-0005-0000-0000-00009B970000}"/>
    <cellStyle name="Normal 2 3 8 7 5" xfId="16232" xr:uid="{00000000-0005-0000-0000-00009C970000}"/>
    <cellStyle name="Normal 2 3 8 7 5 2" xfId="16233" xr:uid="{00000000-0005-0000-0000-00009D970000}"/>
    <cellStyle name="Normal 2 3 8 7 5 2 2" xfId="48507" xr:uid="{00000000-0005-0000-0000-00009E970000}"/>
    <cellStyle name="Normal 2 3 8 7 5 3" xfId="48508" xr:uid="{00000000-0005-0000-0000-00009F970000}"/>
    <cellStyle name="Normal 2 3 8 7 6" xfId="16234" xr:uid="{00000000-0005-0000-0000-0000A0970000}"/>
    <cellStyle name="Normal 2 3 8 7 6 2" xfId="48509" xr:uid="{00000000-0005-0000-0000-0000A1970000}"/>
    <cellStyle name="Normal 2 3 8 7 7" xfId="16235" xr:uid="{00000000-0005-0000-0000-0000A2970000}"/>
    <cellStyle name="Normal 2 3 8 7 7 2" xfId="48510" xr:uid="{00000000-0005-0000-0000-0000A3970000}"/>
    <cellStyle name="Normal 2 3 8 7 8" xfId="48511" xr:uid="{00000000-0005-0000-0000-0000A4970000}"/>
    <cellStyle name="Normal 2 3 8 7 8 2" xfId="48512" xr:uid="{00000000-0005-0000-0000-0000A5970000}"/>
    <cellStyle name="Normal 2 3 8 7 9" xfId="48513" xr:uid="{00000000-0005-0000-0000-0000A6970000}"/>
    <cellStyle name="Normal 2 3 8 8" xfId="16236" xr:uid="{00000000-0005-0000-0000-0000A7970000}"/>
    <cellStyle name="Normal 2 3 8 8 10" xfId="48514" xr:uid="{00000000-0005-0000-0000-0000A8970000}"/>
    <cellStyle name="Normal 2 3 8 8 11" xfId="48515" xr:uid="{00000000-0005-0000-0000-0000A9970000}"/>
    <cellStyle name="Normal 2 3 8 8 2" xfId="16237" xr:uid="{00000000-0005-0000-0000-0000AA970000}"/>
    <cellStyle name="Normal 2 3 8 8 2 10" xfId="48516" xr:uid="{00000000-0005-0000-0000-0000AB970000}"/>
    <cellStyle name="Normal 2 3 8 8 2 2" xfId="16238" xr:uid="{00000000-0005-0000-0000-0000AC970000}"/>
    <cellStyle name="Normal 2 3 8 8 2 2 2" xfId="16239" xr:uid="{00000000-0005-0000-0000-0000AD970000}"/>
    <cellStyle name="Normal 2 3 8 8 2 2 2 2" xfId="16240" xr:uid="{00000000-0005-0000-0000-0000AE970000}"/>
    <cellStyle name="Normal 2 3 8 8 2 2 2 2 2" xfId="48517" xr:uid="{00000000-0005-0000-0000-0000AF970000}"/>
    <cellStyle name="Normal 2 3 8 8 2 2 2 3" xfId="16241" xr:uid="{00000000-0005-0000-0000-0000B0970000}"/>
    <cellStyle name="Normal 2 3 8 8 2 2 2 3 2" xfId="48518" xr:uid="{00000000-0005-0000-0000-0000B1970000}"/>
    <cellStyle name="Normal 2 3 8 8 2 2 2 4" xfId="48519" xr:uid="{00000000-0005-0000-0000-0000B2970000}"/>
    <cellStyle name="Normal 2 3 8 8 2 2 3" xfId="16242" xr:uid="{00000000-0005-0000-0000-0000B3970000}"/>
    <cellStyle name="Normal 2 3 8 8 2 2 3 2" xfId="48520" xr:uid="{00000000-0005-0000-0000-0000B4970000}"/>
    <cellStyle name="Normal 2 3 8 8 2 2 4" xfId="16243" xr:uid="{00000000-0005-0000-0000-0000B5970000}"/>
    <cellStyle name="Normal 2 3 8 8 2 2 4 2" xfId="48521" xr:uid="{00000000-0005-0000-0000-0000B6970000}"/>
    <cellStyle name="Normal 2 3 8 8 2 2 5" xfId="16244" xr:uid="{00000000-0005-0000-0000-0000B7970000}"/>
    <cellStyle name="Normal 2 3 8 8 2 2 5 2" xfId="48522" xr:uid="{00000000-0005-0000-0000-0000B8970000}"/>
    <cellStyle name="Normal 2 3 8 8 2 2 6" xfId="48523" xr:uid="{00000000-0005-0000-0000-0000B9970000}"/>
    <cellStyle name="Normal 2 3 8 8 2 2 6 2" xfId="48524" xr:uid="{00000000-0005-0000-0000-0000BA970000}"/>
    <cellStyle name="Normal 2 3 8 8 2 2 7" xfId="48525" xr:uid="{00000000-0005-0000-0000-0000BB970000}"/>
    <cellStyle name="Normal 2 3 8 8 2 3" xfId="16245" xr:uid="{00000000-0005-0000-0000-0000BC970000}"/>
    <cellStyle name="Normal 2 3 8 8 2 3 2" xfId="16246" xr:uid="{00000000-0005-0000-0000-0000BD970000}"/>
    <cellStyle name="Normal 2 3 8 8 2 3 2 2" xfId="48526" xr:uid="{00000000-0005-0000-0000-0000BE970000}"/>
    <cellStyle name="Normal 2 3 8 8 2 3 3" xfId="16247" xr:uid="{00000000-0005-0000-0000-0000BF970000}"/>
    <cellStyle name="Normal 2 3 8 8 2 3 3 2" xfId="48527" xr:uid="{00000000-0005-0000-0000-0000C0970000}"/>
    <cellStyle name="Normal 2 3 8 8 2 3 4" xfId="48528" xr:uid="{00000000-0005-0000-0000-0000C1970000}"/>
    <cellStyle name="Normal 2 3 8 8 2 4" xfId="16248" xr:uid="{00000000-0005-0000-0000-0000C2970000}"/>
    <cellStyle name="Normal 2 3 8 8 2 4 2" xfId="16249" xr:uid="{00000000-0005-0000-0000-0000C3970000}"/>
    <cellStyle name="Normal 2 3 8 8 2 4 2 2" xfId="48529" xr:uid="{00000000-0005-0000-0000-0000C4970000}"/>
    <cellStyle name="Normal 2 3 8 8 2 4 3" xfId="48530" xr:uid="{00000000-0005-0000-0000-0000C5970000}"/>
    <cellStyle name="Normal 2 3 8 8 2 5" xfId="16250" xr:uid="{00000000-0005-0000-0000-0000C6970000}"/>
    <cellStyle name="Normal 2 3 8 8 2 5 2" xfId="48531" xr:uid="{00000000-0005-0000-0000-0000C7970000}"/>
    <cellStyle name="Normal 2 3 8 8 2 6" xfId="16251" xr:uid="{00000000-0005-0000-0000-0000C8970000}"/>
    <cellStyle name="Normal 2 3 8 8 2 6 2" xfId="48532" xr:uid="{00000000-0005-0000-0000-0000C9970000}"/>
    <cellStyle name="Normal 2 3 8 8 2 7" xfId="48533" xr:uid="{00000000-0005-0000-0000-0000CA970000}"/>
    <cellStyle name="Normal 2 3 8 8 2 7 2" xfId="48534" xr:uid="{00000000-0005-0000-0000-0000CB970000}"/>
    <cellStyle name="Normal 2 3 8 8 2 8" xfId="48535" xr:uid="{00000000-0005-0000-0000-0000CC970000}"/>
    <cellStyle name="Normal 2 3 8 8 2 9" xfId="48536" xr:uid="{00000000-0005-0000-0000-0000CD970000}"/>
    <cellStyle name="Normal 2 3 8 8 3" xfId="16252" xr:uid="{00000000-0005-0000-0000-0000CE970000}"/>
    <cellStyle name="Normal 2 3 8 8 3 2" xfId="16253" xr:uid="{00000000-0005-0000-0000-0000CF970000}"/>
    <cellStyle name="Normal 2 3 8 8 3 2 2" xfId="16254" xr:uid="{00000000-0005-0000-0000-0000D0970000}"/>
    <cellStyle name="Normal 2 3 8 8 3 2 2 2" xfId="48537" xr:uid="{00000000-0005-0000-0000-0000D1970000}"/>
    <cellStyle name="Normal 2 3 8 8 3 2 3" xfId="16255" xr:uid="{00000000-0005-0000-0000-0000D2970000}"/>
    <cellStyle name="Normal 2 3 8 8 3 2 3 2" xfId="48538" xr:uid="{00000000-0005-0000-0000-0000D3970000}"/>
    <cellStyle name="Normal 2 3 8 8 3 2 4" xfId="48539" xr:uid="{00000000-0005-0000-0000-0000D4970000}"/>
    <cellStyle name="Normal 2 3 8 8 3 3" xfId="16256" xr:uid="{00000000-0005-0000-0000-0000D5970000}"/>
    <cellStyle name="Normal 2 3 8 8 3 3 2" xfId="48540" xr:uid="{00000000-0005-0000-0000-0000D6970000}"/>
    <cellStyle name="Normal 2 3 8 8 3 4" xfId="16257" xr:uid="{00000000-0005-0000-0000-0000D7970000}"/>
    <cellStyle name="Normal 2 3 8 8 3 4 2" xfId="48541" xr:uid="{00000000-0005-0000-0000-0000D8970000}"/>
    <cellStyle name="Normal 2 3 8 8 3 5" xfId="16258" xr:uid="{00000000-0005-0000-0000-0000D9970000}"/>
    <cellStyle name="Normal 2 3 8 8 3 5 2" xfId="48542" xr:uid="{00000000-0005-0000-0000-0000DA970000}"/>
    <cellStyle name="Normal 2 3 8 8 3 6" xfId="48543" xr:uid="{00000000-0005-0000-0000-0000DB970000}"/>
    <cellStyle name="Normal 2 3 8 8 3 6 2" xfId="48544" xr:uid="{00000000-0005-0000-0000-0000DC970000}"/>
    <cellStyle name="Normal 2 3 8 8 3 7" xfId="48545" xr:uid="{00000000-0005-0000-0000-0000DD970000}"/>
    <cellStyle name="Normal 2 3 8 8 4" xfId="16259" xr:uid="{00000000-0005-0000-0000-0000DE970000}"/>
    <cellStyle name="Normal 2 3 8 8 4 2" xfId="16260" xr:uid="{00000000-0005-0000-0000-0000DF970000}"/>
    <cellStyle name="Normal 2 3 8 8 4 2 2" xfId="48546" xr:uid="{00000000-0005-0000-0000-0000E0970000}"/>
    <cellStyle name="Normal 2 3 8 8 4 3" xfId="16261" xr:uid="{00000000-0005-0000-0000-0000E1970000}"/>
    <cellStyle name="Normal 2 3 8 8 4 3 2" xfId="48547" xr:uid="{00000000-0005-0000-0000-0000E2970000}"/>
    <cellStyle name="Normal 2 3 8 8 4 4" xfId="48548" xr:uid="{00000000-0005-0000-0000-0000E3970000}"/>
    <cellStyle name="Normal 2 3 8 8 5" xfId="16262" xr:uid="{00000000-0005-0000-0000-0000E4970000}"/>
    <cellStyle name="Normal 2 3 8 8 5 2" xfId="16263" xr:uid="{00000000-0005-0000-0000-0000E5970000}"/>
    <cellStyle name="Normal 2 3 8 8 5 2 2" xfId="48549" xr:uid="{00000000-0005-0000-0000-0000E6970000}"/>
    <cellStyle name="Normal 2 3 8 8 5 3" xfId="48550" xr:uid="{00000000-0005-0000-0000-0000E7970000}"/>
    <cellStyle name="Normal 2 3 8 8 6" xfId="16264" xr:uid="{00000000-0005-0000-0000-0000E8970000}"/>
    <cellStyle name="Normal 2 3 8 8 6 2" xfId="48551" xr:uid="{00000000-0005-0000-0000-0000E9970000}"/>
    <cellStyle name="Normal 2 3 8 8 7" xfId="16265" xr:uid="{00000000-0005-0000-0000-0000EA970000}"/>
    <cellStyle name="Normal 2 3 8 8 7 2" xfId="48552" xr:uid="{00000000-0005-0000-0000-0000EB970000}"/>
    <cellStyle name="Normal 2 3 8 8 8" xfId="48553" xr:uid="{00000000-0005-0000-0000-0000EC970000}"/>
    <cellStyle name="Normal 2 3 8 8 8 2" xfId="48554" xr:uid="{00000000-0005-0000-0000-0000ED970000}"/>
    <cellStyle name="Normal 2 3 8 8 9" xfId="48555" xr:uid="{00000000-0005-0000-0000-0000EE970000}"/>
    <cellStyle name="Normal 2 3 8 9" xfId="16266" xr:uid="{00000000-0005-0000-0000-0000EF970000}"/>
    <cellStyle name="Normal 2 3 8 9 10" xfId="48556" xr:uid="{00000000-0005-0000-0000-0000F0970000}"/>
    <cellStyle name="Normal 2 3 8 9 11" xfId="48557" xr:uid="{00000000-0005-0000-0000-0000F1970000}"/>
    <cellStyle name="Normal 2 3 8 9 2" xfId="16267" xr:uid="{00000000-0005-0000-0000-0000F2970000}"/>
    <cellStyle name="Normal 2 3 8 9 2 10" xfId="48558" xr:uid="{00000000-0005-0000-0000-0000F3970000}"/>
    <cellStyle name="Normal 2 3 8 9 2 2" xfId="16268" xr:uid="{00000000-0005-0000-0000-0000F4970000}"/>
    <cellStyle name="Normal 2 3 8 9 2 2 2" xfId="16269" xr:uid="{00000000-0005-0000-0000-0000F5970000}"/>
    <cellStyle name="Normal 2 3 8 9 2 2 2 2" xfId="16270" xr:uid="{00000000-0005-0000-0000-0000F6970000}"/>
    <cellStyle name="Normal 2 3 8 9 2 2 2 2 2" xfId="48559" xr:uid="{00000000-0005-0000-0000-0000F7970000}"/>
    <cellStyle name="Normal 2 3 8 9 2 2 2 3" xfId="16271" xr:uid="{00000000-0005-0000-0000-0000F8970000}"/>
    <cellStyle name="Normal 2 3 8 9 2 2 2 3 2" xfId="48560" xr:uid="{00000000-0005-0000-0000-0000F9970000}"/>
    <cellStyle name="Normal 2 3 8 9 2 2 2 4" xfId="48561" xr:uid="{00000000-0005-0000-0000-0000FA970000}"/>
    <cellStyle name="Normal 2 3 8 9 2 2 3" xfId="16272" xr:uid="{00000000-0005-0000-0000-0000FB970000}"/>
    <cellStyle name="Normal 2 3 8 9 2 2 3 2" xfId="48562" xr:uid="{00000000-0005-0000-0000-0000FC970000}"/>
    <cellStyle name="Normal 2 3 8 9 2 2 4" xfId="16273" xr:uid="{00000000-0005-0000-0000-0000FD970000}"/>
    <cellStyle name="Normal 2 3 8 9 2 2 4 2" xfId="48563" xr:uid="{00000000-0005-0000-0000-0000FE970000}"/>
    <cellStyle name="Normal 2 3 8 9 2 2 5" xfId="16274" xr:uid="{00000000-0005-0000-0000-0000FF970000}"/>
    <cellStyle name="Normal 2 3 8 9 2 2 5 2" xfId="48564" xr:uid="{00000000-0005-0000-0000-000000980000}"/>
    <cellStyle name="Normal 2 3 8 9 2 2 6" xfId="48565" xr:uid="{00000000-0005-0000-0000-000001980000}"/>
    <cellStyle name="Normal 2 3 8 9 2 2 6 2" xfId="48566" xr:uid="{00000000-0005-0000-0000-000002980000}"/>
    <cellStyle name="Normal 2 3 8 9 2 2 7" xfId="48567" xr:uid="{00000000-0005-0000-0000-000003980000}"/>
    <cellStyle name="Normal 2 3 8 9 2 3" xfId="16275" xr:uid="{00000000-0005-0000-0000-000004980000}"/>
    <cellStyle name="Normal 2 3 8 9 2 3 2" xfId="16276" xr:uid="{00000000-0005-0000-0000-000005980000}"/>
    <cellStyle name="Normal 2 3 8 9 2 3 2 2" xfId="48568" xr:uid="{00000000-0005-0000-0000-000006980000}"/>
    <cellStyle name="Normal 2 3 8 9 2 3 3" xfId="16277" xr:uid="{00000000-0005-0000-0000-000007980000}"/>
    <cellStyle name="Normal 2 3 8 9 2 3 3 2" xfId="48569" xr:uid="{00000000-0005-0000-0000-000008980000}"/>
    <cellStyle name="Normal 2 3 8 9 2 3 4" xfId="48570" xr:uid="{00000000-0005-0000-0000-000009980000}"/>
    <cellStyle name="Normal 2 3 8 9 2 4" xfId="16278" xr:uid="{00000000-0005-0000-0000-00000A980000}"/>
    <cellStyle name="Normal 2 3 8 9 2 4 2" xfId="16279" xr:uid="{00000000-0005-0000-0000-00000B980000}"/>
    <cellStyle name="Normal 2 3 8 9 2 4 2 2" xfId="48571" xr:uid="{00000000-0005-0000-0000-00000C980000}"/>
    <cellStyle name="Normal 2 3 8 9 2 4 3" xfId="48572" xr:uid="{00000000-0005-0000-0000-00000D980000}"/>
    <cellStyle name="Normal 2 3 8 9 2 5" xfId="16280" xr:uid="{00000000-0005-0000-0000-00000E980000}"/>
    <cellStyle name="Normal 2 3 8 9 2 5 2" xfId="48573" xr:uid="{00000000-0005-0000-0000-00000F980000}"/>
    <cellStyle name="Normal 2 3 8 9 2 6" xfId="16281" xr:uid="{00000000-0005-0000-0000-000010980000}"/>
    <cellStyle name="Normal 2 3 8 9 2 6 2" xfId="48574" xr:uid="{00000000-0005-0000-0000-000011980000}"/>
    <cellStyle name="Normal 2 3 8 9 2 7" xfId="48575" xr:uid="{00000000-0005-0000-0000-000012980000}"/>
    <cellStyle name="Normal 2 3 8 9 2 7 2" xfId="48576" xr:uid="{00000000-0005-0000-0000-000013980000}"/>
    <cellStyle name="Normal 2 3 8 9 2 8" xfId="48577" xr:uid="{00000000-0005-0000-0000-000014980000}"/>
    <cellStyle name="Normal 2 3 8 9 2 9" xfId="48578" xr:uid="{00000000-0005-0000-0000-000015980000}"/>
    <cellStyle name="Normal 2 3 8 9 3" xfId="16282" xr:uid="{00000000-0005-0000-0000-000016980000}"/>
    <cellStyle name="Normal 2 3 8 9 3 2" xfId="16283" xr:uid="{00000000-0005-0000-0000-000017980000}"/>
    <cellStyle name="Normal 2 3 8 9 3 2 2" xfId="16284" xr:uid="{00000000-0005-0000-0000-000018980000}"/>
    <cellStyle name="Normal 2 3 8 9 3 2 2 2" xfId="48579" xr:uid="{00000000-0005-0000-0000-000019980000}"/>
    <cellStyle name="Normal 2 3 8 9 3 2 3" xfId="16285" xr:uid="{00000000-0005-0000-0000-00001A980000}"/>
    <cellStyle name="Normal 2 3 8 9 3 2 3 2" xfId="48580" xr:uid="{00000000-0005-0000-0000-00001B980000}"/>
    <cellStyle name="Normal 2 3 8 9 3 2 4" xfId="48581" xr:uid="{00000000-0005-0000-0000-00001C980000}"/>
    <cellStyle name="Normal 2 3 8 9 3 3" xfId="16286" xr:uid="{00000000-0005-0000-0000-00001D980000}"/>
    <cellStyle name="Normal 2 3 8 9 3 3 2" xfId="48582" xr:uid="{00000000-0005-0000-0000-00001E980000}"/>
    <cellStyle name="Normal 2 3 8 9 3 4" xfId="16287" xr:uid="{00000000-0005-0000-0000-00001F980000}"/>
    <cellStyle name="Normal 2 3 8 9 3 4 2" xfId="48583" xr:uid="{00000000-0005-0000-0000-000020980000}"/>
    <cellStyle name="Normal 2 3 8 9 3 5" xfId="16288" xr:uid="{00000000-0005-0000-0000-000021980000}"/>
    <cellStyle name="Normal 2 3 8 9 3 5 2" xfId="48584" xr:uid="{00000000-0005-0000-0000-000022980000}"/>
    <cellStyle name="Normal 2 3 8 9 3 6" xfId="48585" xr:uid="{00000000-0005-0000-0000-000023980000}"/>
    <cellStyle name="Normal 2 3 8 9 3 6 2" xfId="48586" xr:uid="{00000000-0005-0000-0000-000024980000}"/>
    <cellStyle name="Normal 2 3 8 9 3 7" xfId="48587" xr:uid="{00000000-0005-0000-0000-000025980000}"/>
    <cellStyle name="Normal 2 3 8 9 4" xfId="16289" xr:uid="{00000000-0005-0000-0000-000026980000}"/>
    <cellStyle name="Normal 2 3 8 9 4 2" xfId="16290" xr:uid="{00000000-0005-0000-0000-000027980000}"/>
    <cellStyle name="Normal 2 3 8 9 4 2 2" xfId="48588" xr:uid="{00000000-0005-0000-0000-000028980000}"/>
    <cellStyle name="Normal 2 3 8 9 4 3" xfId="16291" xr:uid="{00000000-0005-0000-0000-000029980000}"/>
    <cellStyle name="Normal 2 3 8 9 4 3 2" xfId="48589" xr:uid="{00000000-0005-0000-0000-00002A980000}"/>
    <cellStyle name="Normal 2 3 8 9 4 4" xfId="48590" xr:uid="{00000000-0005-0000-0000-00002B980000}"/>
    <cellStyle name="Normal 2 3 8 9 5" xfId="16292" xr:uid="{00000000-0005-0000-0000-00002C980000}"/>
    <cellStyle name="Normal 2 3 8 9 5 2" xfId="16293" xr:uid="{00000000-0005-0000-0000-00002D980000}"/>
    <cellStyle name="Normal 2 3 8 9 5 2 2" xfId="48591" xr:uid="{00000000-0005-0000-0000-00002E980000}"/>
    <cellStyle name="Normal 2 3 8 9 5 3" xfId="48592" xr:uid="{00000000-0005-0000-0000-00002F980000}"/>
    <cellStyle name="Normal 2 3 8 9 6" xfId="16294" xr:uid="{00000000-0005-0000-0000-000030980000}"/>
    <cellStyle name="Normal 2 3 8 9 6 2" xfId="48593" xr:uid="{00000000-0005-0000-0000-000031980000}"/>
    <cellStyle name="Normal 2 3 8 9 7" xfId="16295" xr:uid="{00000000-0005-0000-0000-000032980000}"/>
    <cellStyle name="Normal 2 3 8 9 7 2" xfId="48594" xr:uid="{00000000-0005-0000-0000-000033980000}"/>
    <cellStyle name="Normal 2 3 8 9 8" xfId="48595" xr:uid="{00000000-0005-0000-0000-000034980000}"/>
    <cellStyle name="Normal 2 3 8 9 8 2" xfId="48596" xr:uid="{00000000-0005-0000-0000-000035980000}"/>
    <cellStyle name="Normal 2 3 8 9 9" xfId="48597" xr:uid="{00000000-0005-0000-0000-000036980000}"/>
    <cellStyle name="Normal 2 3 9" xfId="16296" xr:uid="{00000000-0005-0000-0000-000037980000}"/>
    <cellStyle name="Normal 2 3 9 10" xfId="16297" xr:uid="{00000000-0005-0000-0000-000038980000}"/>
    <cellStyle name="Normal 2 3 9 10 10" xfId="48598" xr:uid="{00000000-0005-0000-0000-000039980000}"/>
    <cellStyle name="Normal 2 3 9 10 11" xfId="48599" xr:uid="{00000000-0005-0000-0000-00003A980000}"/>
    <cellStyle name="Normal 2 3 9 10 2" xfId="16298" xr:uid="{00000000-0005-0000-0000-00003B980000}"/>
    <cellStyle name="Normal 2 3 9 10 2 10" xfId="48600" xr:uid="{00000000-0005-0000-0000-00003C980000}"/>
    <cellStyle name="Normal 2 3 9 10 2 2" xfId="16299" xr:uid="{00000000-0005-0000-0000-00003D980000}"/>
    <cellStyle name="Normal 2 3 9 10 2 2 2" xfId="16300" xr:uid="{00000000-0005-0000-0000-00003E980000}"/>
    <cellStyle name="Normal 2 3 9 10 2 2 2 2" xfId="16301" xr:uid="{00000000-0005-0000-0000-00003F980000}"/>
    <cellStyle name="Normal 2 3 9 10 2 2 2 2 2" xfId="48601" xr:uid="{00000000-0005-0000-0000-000040980000}"/>
    <cellStyle name="Normal 2 3 9 10 2 2 2 3" xfId="16302" xr:uid="{00000000-0005-0000-0000-000041980000}"/>
    <cellStyle name="Normal 2 3 9 10 2 2 2 3 2" xfId="48602" xr:uid="{00000000-0005-0000-0000-000042980000}"/>
    <cellStyle name="Normal 2 3 9 10 2 2 2 4" xfId="48603" xr:uid="{00000000-0005-0000-0000-000043980000}"/>
    <cellStyle name="Normal 2 3 9 10 2 2 3" xfId="16303" xr:uid="{00000000-0005-0000-0000-000044980000}"/>
    <cellStyle name="Normal 2 3 9 10 2 2 3 2" xfId="48604" xr:uid="{00000000-0005-0000-0000-000045980000}"/>
    <cellStyle name="Normal 2 3 9 10 2 2 4" xfId="16304" xr:uid="{00000000-0005-0000-0000-000046980000}"/>
    <cellStyle name="Normal 2 3 9 10 2 2 4 2" xfId="48605" xr:uid="{00000000-0005-0000-0000-000047980000}"/>
    <cellStyle name="Normal 2 3 9 10 2 2 5" xfId="16305" xr:uid="{00000000-0005-0000-0000-000048980000}"/>
    <cellStyle name="Normal 2 3 9 10 2 2 5 2" xfId="48606" xr:uid="{00000000-0005-0000-0000-000049980000}"/>
    <cellStyle name="Normal 2 3 9 10 2 2 6" xfId="48607" xr:uid="{00000000-0005-0000-0000-00004A980000}"/>
    <cellStyle name="Normal 2 3 9 10 2 2 6 2" xfId="48608" xr:uid="{00000000-0005-0000-0000-00004B980000}"/>
    <cellStyle name="Normal 2 3 9 10 2 2 7" xfId="48609" xr:uid="{00000000-0005-0000-0000-00004C980000}"/>
    <cellStyle name="Normal 2 3 9 10 2 3" xfId="16306" xr:uid="{00000000-0005-0000-0000-00004D980000}"/>
    <cellStyle name="Normal 2 3 9 10 2 3 2" xfId="16307" xr:uid="{00000000-0005-0000-0000-00004E980000}"/>
    <cellStyle name="Normal 2 3 9 10 2 3 2 2" xfId="48610" xr:uid="{00000000-0005-0000-0000-00004F980000}"/>
    <cellStyle name="Normal 2 3 9 10 2 3 3" xfId="16308" xr:uid="{00000000-0005-0000-0000-000050980000}"/>
    <cellStyle name="Normal 2 3 9 10 2 3 3 2" xfId="48611" xr:uid="{00000000-0005-0000-0000-000051980000}"/>
    <cellStyle name="Normal 2 3 9 10 2 3 4" xfId="48612" xr:uid="{00000000-0005-0000-0000-000052980000}"/>
    <cellStyle name="Normal 2 3 9 10 2 4" xfId="16309" xr:uid="{00000000-0005-0000-0000-000053980000}"/>
    <cellStyle name="Normal 2 3 9 10 2 4 2" xfId="16310" xr:uid="{00000000-0005-0000-0000-000054980000}"/>
    <cellStyle name="Normal 2 3 9 10 2 4 2 2" xfId="48613" xr:uid="{00000000-0005-0000-0000-000055980000}"/>
    <cellStyle name="Normal 2 3 9 10 2 4 3" xfId="48614" xr:uid="{00000000-0005-0000-0000-000056980000}"/>
    <cellStyle name="Normal 2 3 9 10 2 5" xfId="16311" xr:uid="{00000000-0005-0000-0000-000057980000}"/>
    <cellStyle name="Normal 2 3 9 10 2 5 2" xfId="48615" xr:uid="{00000000-0005-0000-0000-000058980000}"/>
    <cellStyle name="Normal 2 3 9 10 2 6" xfId="16312" xr:uid="{00000000-0005-0000-0000-000059980000}"/>
    <cellStyle name="Normal 2 3 9 10 2 6 2" xfId="48616" xr:uid="{00000000-0005-0000-0000-00005A980000}"/>
    <cellStyle name="Normal 2 3 9 10 2 7" xfId="48617" xr:uid="{00000000-0005-0000-0000-00005B980000}"/>
    <cellStyle name="Normal 2 3 9 10 2 7 2" xfId="48618" xr:uid="{00000000-0005-0000-0000-00005C980000}"/>
    <cellStyle name="Normal 2 3 9 10 2 8" xfId="48619" xr:uid="{00000000-0005-0000-0000-00005D980000}"/>
    <cellStyle name="Normal 2 3 9 10 2 9" xfId="48620" xr:uid="{00000000-0005-0000-0000-00005E980000}"/>
    <cellStyle name="Normal 2 3 9 10 3" xfId="16313" xr:uid="{00000000-0005-0000-0000-00005F980000}"/>
    <cellStyle name="Normal 2 3 9 10 3 2" xfId="16314" xr:uid="{00000000-0005-0000-0000-000060980000}"/>
    <cellStyle name="Normal 2 3 9 10 3 2 2" xfId="16315" xr:uid="{00000000-0005-0000-0000-000061980000}"/>
    <cellStyle name="Normal 2 3 9 10 3 2 2 2" xfId="48621" xr:uid="{00000000-0005-0000-0000-000062980000}"/>
    <cellStyle name="Normal 2 3 9 10 3 2 3" xfId="16316" xr:uid="{00000000-0005-0000-0000-000063980000}"/>
    <cellStyle name="Normal 2 3 9 10 3 2 3 2" xfId="48622" xr:uid="{00000000-0005-0000-0000-000064980000}"/>
    <cellStyle name="Normal 2 3 9 10 3 2 4" xfId="48623" xr:uid="{00000000-0005-0000-0000-000065980000}"/>
    <cellStyle name="Normal 2 3 9 10 3 3" xfId="16317" xr:uid="{00000000-0005-0000-0000-000066980000}"/>
    <cellStyle name="Normal 2 3 9 10 3 3 2" xfId="48624" xr:uid="{00000000-0005-0000-0000-000067980000}"/>
    <cellStyle name="Normal 2 3 9 10 3 4" xfId="16318" xr:uid="{00000000-0005-0000-0000-000068980000}"/>
    <cellStyle name="Normal 2 3 9 10 3 4 2" xfId="48625" xr:uid="{00000000-0005-0000-0000-000069980000}"/>
    <cellStyle name="Normal 2 3 9 10 3 5" xfId="16319" xr:uid="{00000000-0005-0000-0000-00006A980000}"/>
    <cellStyle name="Normal 2 3 9 10 3 5 2" xfId="48626" xr:uid="{00000000-0005-0000-0000-00006B980000}"/>
    <cellStyle name="Normal 2 3 9 10 3 6" xfId="48627" xr:uid="{00000000-0005-0000-0000-00006C980000}"/>
    <cellStyle name="Normal 2 3 9 10 3 6 2" xfId="48628" xr:uid="{00000000-0005-0000-0000-00006D980000}"/>
    <cellStyle name="Normal 2 3 9 10 3 7" xfId="48629" xr:uid="{00000000-0005-0000-0000-00006E980000}"/>
    <cellStyle name="Normal 2 3 9 10 4" xfId="16320" xr:uid="{00000000-0005-0000-0000-00006F980000}"/>
    <cellStyle name="Normal 2 3 9 10 4 2" xfId="16321" xr:uid="{00000000-0005-0000-0000-000070980000}"/>
    <cellStyle name="Normal 2 3 9 10 4 2 2" xfId="48630" xr:uid="{00000000-0005-0000-0000-000071980000}"/>
    <cellStyle name="Normal 2 3 9 10 4 3" xfId="16322" xr:uid="{00000000-0005-0000-0000-000072980000}"/>
    <cellStyle name="Normal 2 3 9 10 4 3 2" xfId="48631" xr:uid="{00000000-0005-0000-0000-000073980000}"/>
    <cellStyle name="Normal 2 3 9 10 4 4" xfId="48632" xr:uid="{00000000-0005-0000-0000-000074980000}"/>
    <cellStyle name="Normal 2 3 9 10 5" xfId="16323" xr:uid="{00000000-0005-0000-0000-000075980000}"/>
    <cellStyle name="Normal 2 3 9 10 5 2" xfId="16324" xr:uid="{00000000-0005-0000-0000-000076980000}"/>
    <cellStyle name="Normal 2 3 9 10 5 2 2" xfId="48633" xr:uid="{00000000-0005-0000-0000-000077980000}"/>
    <cellStyle name="Normal 2 3 9 10 5 3" xfId="48634" xr:uid="{00000000-0005-0000-0000-000078980000}"/>
    <cellStyle name="Normal 2 3 9 10 6" xfId="16325" xr:uid="{00000000-0005-0000-0000-000079980000}"/>
    <cellStyle name="Normal 2 3 9 10 6 2" xfId="48635" xr:uid="{00000000-0005-0000-0000-00007A980000}"/>
    <cellStyle name="Normal 2 3 9 10 7" xfId="16326" xr:uid="{00000000-0005-0000-0000-00007B980000}"/>
    <cellStyle name="Normal 2 3 9 10 7 2" xfId="48636" xr:uid="{00000000-0005-0000-0000-00007C980000}"/>
    <cellStyle name="Normal 2 3 9 10 8" xfId="48637" xr:uid="{00000000-0005-0000-0000-00007D980000}"/>
    <cellStyle name="Normal 2 3 9 10 8 2" xfId="48638" xr:uid="{00000000-0005-0000-0000-00007E980000}"/>
    <cellStyle name="Normal 2 3 9 10 9" xfId="48639" xr:uid="{00000000-0005-0000-0000-00007F980000}"/>
    <cellStyle name="Normal 2 3 9 11" xfId="16327" xr:uid="{00000000-0005-0000-0000-000080980000}"/>
    <cellStyle name="Normal 2 3 9 11 10" xfId="48640" xr:uid="{00000000-0005-0000-0000-000081980000}"/>
    <cellStyle name="Normal 2 3 9 11 11" xfId="48641" xr:uid="{00000000-0005-0000-0000-000082980000}"/>
    <cellStyle name="Normal 2 3 9 11 2" xfId="16328" xr:uid="{00000000-0005-0000-0000-000083980000}"/>
    <cellStyle name="Normal 2 3 9 11 2 10" xfId="48642" xr:uid="{00000000-0005-0000-0000-000084980000}"/>
    <cellStyle name="Normal 2 3 9 11 2 2" xfId="16329" xr:uid="{00000000-0005-0000-0000-000085980000}"/>
    <cellStyle name="Normal 2 3 9 11 2 2 2" xfId="16330" xr:uid="{00000000-0005-0000-0000-000086980000}"/>
    <cellStyle name="Normal 2 3 9 11 2 2 2 2" xfId="16331" xr:uid="{00000000-0005-0000-0000-000087980000}"/>
    <cellStyle name="Normal 2 3 9 11 2 2 2 2 2" xfId="48643" xr:uid="{00000000-0005-0000-0000-000088980000}"/>
    <cellStyle name="Normal 2 3 9 11 2 2 2 3" xfId="16332" xr:uid="{00000000-0005-0000-0000-000089980000}"/>
    <cellStyle name="Normal 2 3 9 11 2 2 2 3 2" xfId="48644" xr:uid="{00000000-0005-0000-0000-00008A980000}"/>
    <cellStyle name="Normal 2 3 9 11 2 2 2 4" xfId="48645" xr:uid="{00000000-0005-0000-0000-00008B980000}"/>
    <cellStyle name="Normal 2 3 9 11 2 2 3" xfId="16333" xr:uid="{00000000-0005-0000-0000-00008C980000}"/>
    <cellStyle name="Normal 2 3 9 11 2 2 3 2" xfId="48646" xr:uid="{00000000-0005-0000-0000-00008D980000}"/>
    <cellStyle name="Normal 2 3 9 11 2 2 4" xfId="16334" xr:uid="{00000000-0005-0000-0000-00008E980000}"/>
    <cellStyle name="Normal 2 3 9 11 2 2 4 2" xfId="48647" xr:uid="{00000000-0005-0000-0000-00008F980000}"/>
    <cellStyle name="Normal 2 3 9 11 2 2 5" xfId="16335" xr:uid="{00000000-0005-0000-0000-000090980000}"/>
    <cellStyle name="Normal 2 3 9 11 2 2 5 2" xfId="48648" xr:uid="{00000000-0005-0000-0000-000091980000}"/>
    <cellStyle name="Normal 2 3 9 11 2 2 6" xfId="48649" xr:uid="{00000000-0005-0000-0000-000092980000}"/>
    <cellStyle name="Normal 2 3 9 11 2 2 6 2" xfId="48650" xr:uid="{00000000-0005-0000-0000-000093980000}"/>
    <cellStyle name="Normal 2 3 9 11 2 2 7" xfId="48651" xr:uid="{00000000-0005-0000-0000-000094980000}"/>
    <cellStyle name="Normal 2 3 9 11 2 3" xfId="16336" xr:uid="{00000000-0005-0000-0000-000095980000}"/>
    <cellStyle name="Normal 2 3 9 11 2 3 2" xfId="16337" xr:uid="{00000000-0005-0000-0000-000096980000}"/>
    <cellStyle name="Normal 2 3 9 11 2 3 2 2" xfId="48652" xr:uid="{00000000-0005-0000-0000-000097980000}"/>
    <cellStyle name="Normal 2 3 9 11 2 3 3" xfId="16338" xr:uid="{00000000-0005-0000-0000-000098980000}"/>
    <cellStyle name="Normal 2 3 9 11 2 3 3 2" xfId="48653" xr:uid="{00000000-0005-0000-0000-000099980000}"/>
    <cellStyle name="Normal 2 3 9 11 2 3 4" xfId="48654" xr:uid="{00000000-0005-0000-0000-00009A980000}"/>
    <cellStyle name="Normal 2 3 9 11 2 4" xfId="16339" xr:uid="{00000000-0005-0000-0000-00009B980000}"/>
    <cellStyle name="Normal 2 3 9 11 2 4 2" xfId="16340" xr:uid="{00000000-0005-0000-0000-00009C980000}"/>
    <cellStyle name="Normal 2 3 9 11 2 4 2 2" xfId="48655" xr:uid="{00000000-0005-0000-0000-00009D980000}"/>
    <cellStyle name="Normal 2 3 9 11 2 4 3" xfId="48656" xr:uid="{00000000-0005-0000-0000-00009E980000}"/>
    <cellStyle name="Normal 2 3 9 11 2 5" xfId="16341" xr:uid="{00000000-0005-0000-0000-00009F980000}"/>
    <cellStyle name="Normal 2 3 9 11 2 5 2" xfId="48657" xr:uid="{00000000-0005-0000-0000-0000A0980000}"/>
    <cellStyle name="Normal 2 3 9 11 2 6" xfId="16342" xr:uid="{00000000-0005-0000-0000-0000A1980000}"/>
    <cellStyle name="Normal 2 3 9 11 2 6 2" xfId="48658" xr:uid="{00000000-0005-0000-0000-0000A2980000}"/>
    <cellStyle name="Normal 2 3 9 11 2 7" xfId="48659" xr:uid="{00000000-0005-0000-0000-0000A3980000}"/>
    <cellStyle name="Normal 2 3 9 11 2 7 2" xfId="48660" xr:uid="{00000000-0005-0000-0000-0000A4980000}"/>
    <cellStyle name="Normal 2 3 9 11 2 8" xfId="48661" xr:uid="{00000000-0005-0000-0000-0000A5980000}"/>
    <cellStyle name="Normal 2 3 9 11 2 9" xfId="48662" xr:uid="{00000000-0005-0000-0000-0000A6980000}"/>
    <cellStyle name="Normal 2 3 9 11 3" xfId="16343" xr:uid="{00000000-0005-0000-0000-0000A7980000}"/>
    <cellStyle name="Normal 2 3 9 11 3 2" xfId="16344" xr:uid="{00000000-0005-0000-0000-0000A8980000}"/>
    <cellStyle name="Normal 2 3 9 11 3 2 2" xfId="16345" xr:uid="{00000000-0005-0000-0000-0000A9980000}"/>
    <cellStyle name="Normal 2 3 9 11 3 2 2 2" xfId="48663" xr:uid="{00000000-0005-0000-0000-0000AA980000}"/>
    <cellStyle name="Normal 2 3 9 11 3 2 3" xfId="16346" xr:uid="{00000000-0005-0000-0000-0000AB980000}"/>
    <cellStyle name="Normal 2 3 9 11 3 2 3 2" xfId="48664" xr:uid="{00000000-0005-0000-0000-0000AC980000}"/>
    <cellStyle name="Normal 2 3 9 11 3 2 4" xfId="48665" xr:uid="{00000000-0005-0000-0000-0000AD980000}"/>
    <cellStyle name="Normal 2 3 9 11 3 3" xfId="16347" xr:uid="{00000000-0005-0000-0000-0000AE980000}"/>
    <cellStyle name="Normal 2 3 9 11 3 3 2" xfId="48666" xr:uid="{00000000-0005-0000-0000-0000AF980000}"/>
    <cellStyle name="Normal 2 3 9 11 3 4" xfId="16348" xr:uid="{00000000-0005-0000-0000-0000B0980000}"/>
    <cellStyle name="Normal 2 3 9 11 3 4 2" xfId="48667" xr:uid="{00000000-0005-0000-0000-0000B1980000}"/>
    <cellStyle name="Normal 2 3 9 11 3 5" xfId="16349" xr:uid="{00000000-0005-0000-0000-0000B2980000}"/>
    <cellStyle name="Normal 2 3 9 11 3 5 2" xfId="48668" xr:uid="{00000000-0005-0000-0000-0000B3980000}"/>
    <cellStyle name="Normal 2 3 9 11 3 6" xfId="48669" xr:uid="{00000000-0005-0000-0000-0000B4980000}"/>
    <cellStyle name="Normal 2 3 9 11 3 6 2" xfId="48670" xr:uid="{00000000-0005-0000-0000-0000B5980000}"/>
    <cellStyle name="Normal 2 3 9 11 3 7" xfId="48671" xr:uid="{00000000-0005-0000-0000-0000B6980000}"/>
    <cellStyle name="Normal 2 3 9 11 4" xfId="16350" xr:uid="{00000000-0005-0000-0000-0000B7980000}"/>
    <cellStyle name="Normal 2 3 9 11 4 2" xfId="16351" xr:uid="{00000000-0005-0000-0000-0000B8980000}"/>
    <cellStyle name="Normal 2 3 9 11 4 2 2" xfId="48672" xr:uid="{00000000-0005-0000-0000-0000B9980000}"/>
    <cellStyle name="Normal 2 3 9 11 4 3" xfId="16352" xr:uid="{00000000-0005-0000-0000-0000BA980000}"/>
    <cellStyle name="Normal 2 3 9 11 4 3 2" xfId="48673" xr:uid="{00000000-0005-0000-0000-0000BB980000}"/>
    <cellStyle name="Normal 2 3 9 11 4 4" xfId="48674" xr:uid="{00000000-0005-0000-0000-0000BC980000}"/>
    <cellStyle name="Normal 2 3 9 11 5" xfId="16353" xr:uid="{00000000-0005-0000-0000-0000BD980000}"/>
    <cellStyle name="Normal 2 3 9 11 5 2" xfId="16354" xr:uid="{00000000-0005-0000-0000-0000BE980000}"/>
    <cellStyle name="Normal 2 3 9 11 5 2 2" xfId="48675" xr:uid="{00000000-0005-0000-0000-0000BF980000}"/>
    <cellStyle name="Normal 2 3 9 11 5 3" xfId="48676" xr:uid="{00000000-0005-0000-0000-0000C0980000}"/>
    <cellStyle name="Normal 2 3 9 11 6" xfId="16355" xr:uid="{00000000-0005-0000-0000-0000C1980000}"/>
    <cellStyle name="Normal 2 3 9 11 6 2" xfId="48677" xr:uid="{00000000-0005-0000-0000-0000C2980000}"/>
    <cellStyle name="Normal 2 3 9 11 7" xfId="16356" xr:uid="{00000000-0005-0000-0000-0000C3980000}"/>
    <cellStyle name="Normal 2 3 9 11 7 2" xfId="48678" xr:uid="{00000000-0005-0000-0000-0000C4980000}"/>
    <cellStyle name="Normal 2 3 9 11 8" xfId="48679" xr:uid="{00000000-0005-0000-0000-0000C5980000}"/>
    <cellStyle name="Normal 2 3 9 11 8 2" xfId="48680" xr:uid="{00000000-0005-0000-0000-0000C6980000}"/>
    <cellStyle name="Normal 2 3 9 11 9" xfId="48681" xr:uid="{00000000-0005-0000-0000-0000C7980000}"/>
    <cellStyle name="Normal 2 3 9 12" xfId="16357" xr:uid="{00000000-0005-0000-0000-0000C8980000}"/>
    <cellStyle name="Normal 2 3 9 12 10" xfId="48682" xr:uid="{00000000-0005-0000-0000-0000C9980000}"/>
    <cellStyle name="Normal 2 3 9 12 11" xfId="48683" xr:uid="{00000000-0005-0000-0000-0000CA980000}"/>
    <cellStyle name="Normal 2 3 9 12 2" xfId="16358" xr:uid="{00000000-0005-0000-0000-0000CB980000}"/>
    <cellStyle name="Normal 2 3 9 12 2 10" xfId="48684" xr:uid="{00000000-0005-0000-0000-0000CC980000}"/>
    <cellStyle name="Normal 2 3 9 12 2 2" xfId="16359" xr:uid="{00000000-0005-0000-0000-0000CD980000}"/>
    <cellStyle name="Normal 2 3 9 12 2 2 2" xfId="16360" xr:uid="{00000000-0005-0000-0000-0000CE980000}"/>
    <cellStyle name="Normal 2 3 9 12 2 2 2 2" xfId="16361" xr:uid="{00000000-0005-0000-0000-0000CF980000}"/>
    <cellStyle name="Normal 2 3 9 12 2 2 2 2 2" xfId="48685" xr:uid="{00000000-0005-0000-0000-0000D0980000}"/>
    <cellStyle name="Normal 2 3 9 12 2 2 2 3" xfId="16362" xr:uid="{00000000-0005-0000-0000-0000D1980000}"/>
    <cellStyle name="Normal 2 3 9 12 2 2 2 3 2" xfId="48686" xr:uid="{00000000-0005-0000-0000-0000D2980000}"/>
    <cellStyle name="Normal 2 3 9 12 2 2 2 4" xfId="48687" xr:uid="{00000000-0005-0000-0000-0000D3980000}"/>
    <cellStyle name="Normal 2 3 9 12 2 2 3" xfId="16363" xr:uid="{00000000-0005-0000-0000-0000D4980000}"/>
    <cellStyle name="Normal 2 3 9 12 2 2 3 2" xfId="48688" xr:uid="{00000000-0005-0000-0000-0000D5980000}"/>
    <cellStyle name="Normal 2 3 9 12 2 2 4" xfId="16364" xr:uid="{00000000-0005-0000-0000-0000D6980000}"/>
    <cellStyle name="Normal 2 3 9 12 2 2 4 2" xfId="48689" xr:uid="{00000000-0005-0000-0000-0000D7980000}"/>
    <cellStyle name="Normal 2 3 9 12 2 2 5" xfId="16365" xr:uid="{00000000-0005-0000-0000-0000D8980000}"/>
    <cellStyle name="Normal 2 3 9 12 2 2 5 2" xfId="48690" xr:uid="{00000000-0005-0000-0000-0000D9980000}"/>
    <cellStyle name="Normal 2 3 9 12 2 2 6" xfId="48691" xr:uid="{00000000-0005-0000-0000-0000DA980000}"/>
    <cellStyle name="Normal 2 3 9 12 2 2 6 2" xfId="48692" xr:uid="{00000000-0005-0000-0000-0000DB980000}"/>
    <cellStyle name="Normal 2 3 9 12 2 2 7" xfId="48693" xr:uid="{00000000-0005-0000-0000-0000DC980000}"/>
    <cellStyle name="Normal 2 3 9 12 2 3" xfId="16366" xr:uid="{00000000-0005-0000-0000-0000DD980000}"/>
    <cellStyle name="Normal 2 3 9 12 2 3 2" xfId="16367" xr:uid="{00000000-0005-0000-0000-0000DE980000}"/>
    <cellStyle name="Normal 2 3 9 12 2 3 2 2" xfId="48694" xr:uid="{00000000-0005-0000-0000-0000DF980000}"/>
    <cellStyle name="Normal 2 3 9 12 2 3 3" xfId="16368" xr:uid="{00000000-0005-0000-0000-0000E0980000}"/>
    <cellStyle name="Normal 2 3 9 12 2 3 3 2" xfId="48695" xr:uid="{00000000-0005-0000-0000-0000E1980000}"/>
    <cellStyle name="Normal 2 3 9 12 2 3 4" xfId="48696" xr:uid="{00000000-0005-0000-0000-0000E2980000}"/>
    <cellStyle name="Normal 2 3 9 12 2 4" xfId="16369" xr:uid="{00000000-0005-0000-0000-0000E3980000}"/>
    <cellStyle name="Normal 2 3 9 12 2 4 2" xfId="16370" xr:uid="{00000000-0005-0000-0000-0000E4980000}"/>
    <cellStyle name="Normal 2 3 9 12 2 4 2 2" xfId="48697" xr:uid="{00000000-0005-0000-0000-0000E5980000}"/>
    <cellStyle name="Normal 2 3 9 12 2 4 3" xfId="48698" xr:uid="{00000000-0005-0000-0000-0000E6980000}"/>
    <cellStyle name="Normal 2 3 9 12 2 5" xfId="16371" xr:uid="{00000000-0005-0000-0000-0000E7980000}"/>
    <cellStyle name="Normal 2 3 9 12 2 5 2" xfId="48699" xr:uid="{00000000-0005-0000-0000-0000E8980000}"/>
    <cellStyle name="Normal 2 3 9 12 2 6" xfId="16372" xr:uid="{00000000-0005-0000-0000-0000E9980000}"/>
    <cellStyle name="Normal 2 3 9 12 2 6 2" xfId="48700" xr:uid="{00000000-0005-0000-0000-0000EA980000}"/>
    <cellStyle name="Normal 2 3 9 12 2 7" xfId="48701" xr:uid="{00000000-0005-0000-0000-0000EB980000}"/>
    <cellStyle name="Normal 2 3 9 12 2 7 2" xfId="48702" xr:uid="{00000000-0005-0000-0000-0000EC980000}"/>
    <cellStyle name="Normal 2 3 9 12 2 8" xfId="48703" xr:uid="{00000000-0005-0000-0000-0000ED980000}"/>
    <cellStyle name="Normal 2 3 9 12 2 9" xfId="48704" xr:uid="{00000000-0005-0000-0000-0000EE980000}"/>
    <cellStyle name="Normal 2 3 9 12 3" xfId="16373" xr:uid="{00000000-0005-0000-0000-0000EF980000}"/>
    <cellStyle name="Normal 2 3 9 12 3 2" xfId="16374" xr:uid="{00000000-0005-0000-0000-0000F0980000}"/>
    <cellStyle name="Normal 2 3 9 12 3 2 2" xfId="16375" xr:uid="{00000000-0005-0000-0000-0000F1980000}"/>
    <cellStyle name="Normal 2 3 9 12 3 2 2 2" xfId="48705" xr:uid="{00000000-0005-0000-0000-0000F2980000}"/>
    <cellStyle name="Normal 2 3 9 12 3 2 3" xfId="16376" xr:uid="{00000000-0005-0000-0000-0000F3980000}"/>
    <cellStyle name="Normal 2 3 9 12 3 2 3 2" xfId="48706" xr:uid="{00000000-0005-0000-0000-0000F4980000}"/>
    <cellStyle name="Normal 2 3 9 12 3 2 4" xfId="48707" xr:uid="{00000000-0005-0000-0000-0000F5980000}"/>
    <cellStyle name="Normal 2 3 9 12 3 3" xfId="16377" xr:uid="{00000000-0005-0000-0000-0000F6980000}"/>
    <cellStyle name="Normal 2 3 9 12 3 3 2" xfId="48708" xr:uid="{00000000-0005-0000-0000-0000F7980000}"/>
    <cellStyle name="Normal 2 3 9 12 3 4" xfId="16378" xr:uid="{00000000-0005-0000-0000-0000F8980000}"/>
    <cellStyle name="Normal 2 3 9 12 3 4 2" xfId="48709" xr:uid="{00000000-0005-0000-0000-0000F9980000}"/>
    <cellStyle name="Normal 2 3 9 12 3 5" xfId="16379" xr:uid="{00000000-0005-0000-0000-0000FA980000}"/>
    <cellStyle name="Normal 2 3 9 12 3 5 2" xfId="48710" xr:uid="{00000000-0005-0000-0000-0000FB980000}"/>
    <cellStyle name="Normal 2 3 9 12 3 6" xfId="48711" xr:uid="{00000000-0005-0000-0000-0000FC980000}"/>
    <cellStyle name="Normal 2 3 9 12 3 6 2" xfId="48712" xr:uid="{00000000-0005-0000-0000-0000FD980000}"/>
    <cellStyle name="Normal 2 3 9 12 3 7" xfId="48713" xr:uid="{00000000-0005-0000-0000-0000FE980000}"/>
    <cellStyle name="Normal 2 3 9 12 4" xfId="16380" xr:uid="{00000000-0005-0000-0000-0000FF980000}"/>
    <cellStyle name="Normal 2 3 9 12 4 2" xfId="16381" xr:uid="{00000000-0005-0000-0000-000000990000}"/>
    <cellStyle name="Normal 2 3 9 12 4 2 2" xfId="48714" xr:uid="{00000000-0005-0000-0000-000001990000}"/>
    <cellStyle name="Normal 2 3 9 12 4 3" xfId="16382" xr:uid="{00000000-0005-0000-0000-000002990000}"/>
    <cellStyle name="Normal 2 3 9 12 4 3 2" xfId="48715" xr:uid="{00000000-0005-0000-0000-000003990000}"/>
    <cellStyle name="Normal 2 3 9 12 4 4" xfId="48716" xr:uid="{00000000-0005-0000-0000-000004990000}"/>
    <cellStyle name="Normal 2 3 9 12 5" xfId="16383" xr:uid="{00000000-0005-0000-0000-000005990000}"/>
    <cellStyle name="Normal 2 3 9 12 5 2" xfId="16384" xr:uid="{00000000-0005-0000-0000-000006990000}"/>
    <cellStyle name="Normal 2 3 9 12 5 2 2" xfId="48717" xr:uid="{00000000-0005-0000-0000-000007990000}"/>
    <cellStyle name="Normal 2 3 9 12 5 3" xfId="48718" xr:uid="{00000000-0005-0000-0000-000008990000}"/>
    <cellStyle name="Normal 2 3 9 12 6" xfId="16385" xr:uid="{00000000-0005-0000-0000-000009990000}"/>
    <cellStyle name="Normal 2 3 9 12 6 2" xfId="48719" xr:uid="{00000000-0005-0000-0000-00000A990000}"/>
    <cellStyle name="Normal 2 3 9 12 7" xfId="16386" xr:uid="{00000000-0005-0000-0000-00000B990000}"/>
    <cellStyle name="Normal 2 3 9 12 7 2" xfId="48720" xr:uid="{00000000-0005-0000-0000-00000C990000}"/>
    <cellStyle name="Normal 2 3 9 12 8" xfId="48721" xr:uid="{00000000-0005-0000-0000-00000D990000}"/>
    <cellStyle name="Normal 2 3 9 12 8 2" xfId="48722" xr:uid="{00000000-0005-0000-0000-00000E990000}"/>
    <cellStyle name="Normal 2 3 9 12 9" xfId="48723" xr:uid="{00000000-0005-0000-0000-00000F990000}"/>
    <cellStyle name="Normal 2 3 9 13" xfId="16387" xr:uid="{00000000-0005-0000-0000-000010990000}"/>
    <cellStyle name="Normal 2 3 9 13 10" xfId="48724" xr:uid="{00000000-0005-0000-0000-000011990000}"/>
    <cellStyle name="Normal 2 3 9 13 11" xfId="48725" xr:uid="{00000000-0005-0000-0000-000012990000}"/>
    <cellStyle name="Normal 2 3 9 13 2" xfId="16388" xr:uid="{00000000-0005-0000-0000-000013990000}"/>
    <cellStyle name="Normal 2 3 9 13 2 10" xfId="48726" xr:uid="{00000000-0005-0000-0000-000014990000}"/>
    <cellStyle name="Normal 2 3 9 13 2 2" xfId="16389" xr:uid="{00000000-0005-0000-0000-000015990000}"/>
    <cellStyle name="Normal 2 3 9 13 2 2 2" xfId="16390" xr:uid="{00000000-0005-0000-0000-000016990000}"/>
    <cellStyle name="Normal 2 3 9 13 2 2 2 2" xfId="16391" xr:uid="{00000000-0005-0000-0000-000017990000}"/>
    <cellStyle name="Normal 2 3 9 13 2 2 2 2 2" xfId="48727" xr:uid="{00000000-0005-0000-0000-000018990000}"/>
    <cellStyle name="Normal 2 3 9 13 2 2 2 3" xfId="16392" xr:uid="{00000000-0005-0000-0000-000019990000}"/>
    <cellStyle name="Normal 2 3 9 13 2 2 2 3 2" xfId="48728" xr:uid="{00000000-0005-0000-0000-00001A990000}"/>
    <cellStyle name="Normal 2 3 9 13 2 2 2 4" xfId="48729" xr:uid="{00000000-0005-0000-0000-00001B990000}"/>
    <cellStyle name="Normal 2 3 9 13 2 2 3" xfId="16393" xr:uid="{00000000-0005-0000-0000-00001C990000}"/>
    <cellStyle name="Normal 2 3 9 13 2 2 3 2" xfId="48730" xr:uid="{00000000-0005-0000-0000-00001D990000}"/>
    <cellStyle name="Normal 2 3 9 13 2 2 4" xfId="16394" xr:uid="{00000000-0005-0000-0000-00001E990000}"/>
    <cellStyle name="Normal 2 3 9 13 2 2 4 2" xfId="48731" xr:uid="{00000000-0005-0000-0000-00001F990000}"/>
    <cellStyle name="Normal 2 3 9 13 2 2 5" xfId="16395" xr:uid="{00000000-0005-0000-0000-000020990000}"/>
    <cellStyle name="Normal 2 3 9 13 2 2 5 2" xfId="48732" xr:uid="{00000000-0005-0000-0000-000021990000}"/>
    <cellStyle name="Normal 2 3 9 13 2 2 6" xfId="48733" xr:uid="{00000000-0005-0000-0000-000022990000}"/>
    <cellStyle name="Normal 2 3 9 13 2 2 6 2" xfId="48734" xr:uid="{00000000-0005-0000-0000-000023990000}"/>
    <cellStyle name="Normal 2 3 9 13 2 2 7" xfId="48735" xr:uid="{00000000-0005-0000-0000-000024990000}"/>
    <cellStyle name="Normal 2 3 9 13 2 3" xfId="16396" xr:uid="{00000000-0005-0000-0000-000025990000}"/>
    <cellStyle name="Normal 2 3 9 13 2 3 2" xfId="16397" xr:uid="{00000000-0005-0000-0000-000026990000}"/>
    <cellStyle name="Normal 2 3 9 13 2 3 2 2" xfId="48736" xr:uid="{00000000-0005-0000-0000-000027990000}"/>
    <cellStyle name="Normal 2 3 9 13 2 3 3" xfId="16398" xr:uid="{00000000-0005-0000-0000-000028990000}"/>
    <cellStyle name="Normal 2 3 9 13 2 3 3 2" xfId="48737" xr:uid="{00000000-0005-0000-0000-000029990000}"/>
    <cellStyle name="Normal 2 3 9 13 2 3 4" xfId="48738" xr:uid="{00000000-0005-0000-0000-00002A990000}"/>
    <cellStyle name="Normal 2 3 9 13 2 4" xfId="16399" xr:uid="{00000000-0005-0000-0000-00002B990000}"/>
    <cellStyle name="Normal 2 3 9 13 2 4 2" xfId="16400" xr:uid="{00000000-0005-0000-0000-00002C990000}"/>
    <cellStyle name="Normal 2 3 9 13 2 4 2 2" xfId="48739" xr:uid="{00000000-0005-0000-0000-00002D990000}"/>
    <cellStyle name="Normal 2 3 9 13 2 4 3" xfId="48740" xr:uid="{00000000-0005-0000-0000-00002E990000}"/>
    <cellStyle name="Normal 2 3 9 13 2 5" xfId="16401" xr:uid="{00000000-0005-0000-0000-00002F990000}"/>
    <cellStyle name="Normal 2 3 9 13 2 5 2" xfId="48741" xr:uid="{00000000-0005-0000-0000-000030990000}"/>
    <cellStyle name="Normal 2 3 9 13 2 6" xfId="16402" xr:uid="{00000000-0005-0000-0000-000031990000}"/>
    <cellStyle name="Normal 2 3 9 13 2 6 2" xfId="48742" xr:uid="{00000000-0005-0000-0000-000032990000}"/>
    <cellStyle name="Normal 2 3 9 13 2 7" xfId="48743" xr:uid="{00000000-0005-0000-0000-000033990000}"/>
    <cellStyle name="Normal 2 3 9 13 2 7 2" xfId="48744" xr:uid="{00000000-0005-0000-0000-000034990000}"/>
    <cellStyle name="Normal 2 3 9 13 2 8" xfId="48745" xr:uid="{00000000-0005-0000-0000-000035990000}"/>
    <cellStyle name="Normal 2 3 9 13 2 9" xfId="48746" xr:uid="{00000000-0005-0000-0000-000036990000}"/>
    <cellStyle name="Normal 2 3 9 13 3" xfId="16403" xr:uid="{00000000-0005-0000-0000-000037990000}"/>
    <cellStyle name="Normal 2 3 9 13 3 2" xfId="16404" xr:uid="{00000000-0005-0000-0000-000038990000}"/>
    <cellStyle name="Normal 2 3 9 13 3 2 2" xfId="16405" xr:uid="{00000000-0005-0000-0000-000039990000}"/>
    <cellStyle name="Normal 2 3 9 13 3 2 2 2" xfId="48747" xr:uid="{00000000-0005-0000-0000-00003A990000}"/>
    <cellStyle name="Normal 2 3 9 13 3 2 3" xfId="16406" xr:uid="{00000000-0005-0000-0000-00003B990000}"/>
    <cellStyle name="Normal 2 3 9 13 3 2 3 2" xfId="48748" xr:uid="{00000000-0005-0000-0000-00003C990000}"/>
    <cellStyle name="Normal 2 3 9 13 3 2 4" xfId="48749" xr:uid="{00000000-0005-0000-0000-00003D990000}"/>
    <cellStyle name="Normal 2 3 9 13 3 3" xfId="16407" xr:uid="{00000000-0005-0000-0000-00003E990000}"/>
    <cellStyle name="Normal 2 3 9 13 3 3 2" xfId="48750" xr:uid="{00000000-0005-0000-0000-00003F990000}"/>
    <cellStyle name="Normal 2 3 9 13 3 4" xfId="16408" xr:uid="{00000000-0005-0000-0000-000040990000}"/>
    <cellStyle name="Normal 2 3 9 13 3 4 2" xfId="48751" xr:uid="{00000000-0005-0000-0000-000041990000}"/>
    <cellStyle name="Normal 2 3 9 13 3 5" xfId="16409" xr:uid="{00000000-0005-0000-0000-000042990000}"/>
    <cellStyle name="Normal 2 3 9 13 3 5 2" xfId="48752" xr:uid="{00000000-0005-0000-0000-000043990000}"/>
    <cellStyle name="Normal 2 3 9 13 3 6" xfId="48753" xr:uid="{00000000-0005-0000-0000-000044990000}"/>
    <cellStyle name="Normal 2 3 9 13 3 6 2" xfId="48754" xr:uid="{00000000-0005-0000-0000-000045990000}"/>
    <cellStyle name="Normal 2 3 9 13 3 7" xfId="48755" xr:uid="{00000000-0005-0000-0000-000046990000}"/>
    <cellStyle name="Normal 2 3 9 13 4" xfId="16410" xr:uid="{00000000-0005-0000-0000-000047990000}"/>
    <cellStyle name="Normal 2 3 9 13 4 2" xfId="16411" xr:uid="{00000000-0005-0000-0000-000048990000}"/>
    <cellStyle name="Normal 2 3 9 13 4 2 2" xfId="48756" xr:uid="{00000000-0005-0000-0000-000049990000}"/>
    <cellStyle name="Normal 2 3 9 13 4 3" xfId="16412" xr:uid="{00000000-0005-0000-0000-00004A990000}"/>
    <cellStyle name="Normal 2 3 9 13 4 3 2" xfId="48757" xr:uid="{00000000-0005-0000-0000-00004B990000}"/>
    <cellStyle name="Normal 2 3 9 13 4 4" xfId="48758" xr:uid="{00000000-0005-0000-0000-00004C990000}"/>
    <cellStyle name="Normal 2 3 9 13 5" xfId="16413" xr:uid="{00000000-0005-0000-0000-00004D990000}"/>
    <cellStyle name="Normal 2 3 9 13 5 2" xfId="16414" xr:uid="{00000000-0005-0000-0000-00004E990000}"/>
    <cellStyle name="Normal 2 3 9 13 5 2 2" xfId="48759" xr:uid="{00000000-0005-0000-0000-00004F990000}"/>
    <cellStyle name="Normal 2 3 9 13 5 3" xfId="48760" xr:uid="{00000000-0005-0000-0000-000050990000}"/>
    <cellStyle name="Normal 2 3 9 13 6" xfId="16415" xr:uid="{00000000-0005-0000-0000-000051990000}"/>
    <cellStyle name="Normal 2 3 9 13 6 2" xfId="48761" xr:uid="{00000000-0005-0000-0000-000052990000}"/>
    <cellStyle name="Normal 2 3 9 13 7" xfId="16416" xr:uid="{00000000-0005-0000-0000-000053990000}"/>
    <cellStyle name="Normal 2 3 9 13 7 2" xfId="48762" xr:uid="{00000000-0005-0000-0000-000054990000}"/>
    <cellStyle name="Normal 2 3 9 13 8" xfId="48763" xr:uid="{00000000-0005-0000-0000-000055990000}"/>
    <cellStyle name="Normal 2 3 9 13 8 2" xfId="48764" xr:uid="{00000000-0005-0000-0000-000056990000}"/>
    <cellStyle name="Normal 2 3 9 13 9" xfId="48765" xr:uid="{00000000-0005-0000-0000-000057990000}"/>
    <cellStyle name="Normal 2 3 9 14" xfId="16417" xr:uid="{00000000-0005-0000-0000-000058990000}"/>
    <cellStyle name="Normal 2 3 9 14 10" xfId="48766" xr:uid="{00000000-0005-0000-0000-000059990000}"/>
    <cellStyle name="Normal 2 3 9 14 11" xfId="48767" xr:uid="{00000000-0005-0000-0000-00005A990000}"/>
    <cellStyle name="Normal 2 3 9 14 2" xfId="16418" xr:uid="{00000000-0005-0000-0000-00005B990000}"/>
    <cellStyle name="Normal 2 3 9 14 2 10" xfId="48768" xr:uid="{00000000-0005-0000-0000-00005C990000}"/>
    <cellStyle name="Normal 2 3 9 14 2 2" xfId="16419" xr:uid="{00000000-0005-0000-0000-00005D990000}"/>
    <cellStyle name="Normal 2 3 9 14 2 2 2" xfId="16420" xr:uid="{00000000-0005-0000-0000-00005E990000}"/>
    <cellStyle name="Normal 2 3 9 14 2 2 2 2" xfId="16421" xr:uid="{00000000-0005-0000-0000-00005F990000}"/>
    <cellStyle name="Normal 2 3 9 14 2 2 2 2 2" xfId="48769" xr:uid="{00000000-0005-0000-0000-000060990000}"/>
    <cellStyle name="Normal 2 3 9 14 2 2 2 3" xfId="16422" xr:uid="{00000000-0005-0000-0000-000061990000}"/>
    <cellStyle name="Normal 2 3 9 14 2 2 2 3 2" xfId="48770" xr:uid="{00000000-0005-0000-0000-000062990000}"/>
    <cellStyle name="Normal 2 3 9 14 2 2 2 4" xfId="48771" xr:uid="{00000000-0005-0000-0000-000063990000}"/>
    <cellStyle name="Normal 2 3 9 14 2 2 3" xfId="16423" xr:uid="{00000000-0005-0000-0000-000064990000}"/>
    <cellStyle name="Normal 2 3 9 14 2 2 3 2" xfId="48772" xr:uid="{00000000-0005-0000-0000-000065990000}"/>
    <cellStyle name="Normal 2 3 9 14 2 2 4" xfId="16424" xr:uid="{00000000-0005-0000-0000-000066990000}"/>
    <cellStyle name="Normal 2 3 9 14 2 2 4 2" xfId="48773" xr:uid="{00000000-0005-0000-0000-000067990000}"/>
    <cellStyle name="Normal 2 3 9 14 2 2 5" xfId="16425" xr:uid="{00000000-0005-0000-0000-000068990000}"/>
    <cellStyle name="Normal 2 3 9 14 2 2 5 2" xfId="48774" xr:uid="{00000000-0005-0000-0000-000069990000}"/>
    <cellStyle name="Normal 2 3 9 14 2 2 6" xfId="48775" xr:uid="{00000000-0005-0000-0000-00006A990000}"/>
    <cellStyle name="Normal 2 3 9 14 2 2 6 2" xfId="48776" xr:uid="{00000000-0005-0000-0000-00006B990000}"/>
    <cellStyle name="Normal 2 3 9 14 2 2 7" xfId="48777" xr:uid="{00000000-0005-0000-0000-00006C990000}"/>
    <cellStyle name="Normal 2 3 9 14 2 3" xfId="16426" xr:uid="{00000000-0005-0000-0000-00006D990000}"/>
    <cellStyle name="Normal 2 3 9 14 2 3 2" xfId="16427" xr:uid="{00000000-0005-0000-0000-00006E990000}"/>
    <cellStyle name="Normal 2 3 9 14 2 3 2 2" xfId="48778" xr:uid="{00000000-0005-0000-0000-00006F990000}"/>
    <cellStyle name="Normal 2 3 9 14 2 3 3" xfId="16428" xr:uid="{00000000-0005-0000-0000-000070990000}"/>
    <cellStyle name="Normal 2 3 9 14 2 3 3 2" xfId="48779" xr:uid="{00000000-0005-0000-0000-000071990000}"/>
    <cellStyle name="Normal 2 3 9 14 2 3 4" xfId="48780" xr:uid="{00000000-0005-0000-0000-000072990000}"/>
    <cellStyle name="Normal 2 3 9 14 2 4" xfId="16429" xr:uid="{00000000-0005-0000-0000-000073990000}"/>
    <cellStyle name="Normal 2 3 9 14 2 4 2" xfId="16430" xr:uid="{00000000-0005-0000-0000-000074990000}"/>
    <cellStyle name="Normal 2 3 9 14 2 4 2 2" xfId="48781" xr:uid="{00000000-0005-0000-0000-000075990000}"/>
    <cellStyle name="Normal 2 3 9 14 2 4 3" xfId="48782" xr:uid="{00000000-0005-0000-0000-000076990000}"/>
    <cellStyle name="Normal 2 3 9 14 2 5" xfId="16431" xr:uid="{00000000-0005-0000-0000-000077990000}"/>
    <cellStyle name="Normal 2 3 9 14 2 5 2" xfId="48783" xr:uid="{00000000-0005-0000-0000-000078990000}"/>
    <cellStyle name="Normal 2 3 9 14 2 6" xfId="16432" xr:uid="{00000000-0005-0000-0000-000079990000}"/>
    <cellStyle name="Normal 2 3 9 14 2 6 2" xfId="48784" xr:uid="{00000000-0005-0000-0000-00007A990000}"/>
    <cellStyle name="Normal 2 3 9 14 2 7" xfId="48785" xr:uid="{00000000-0005-0000-0000-00007B990000}"/>
    <cellStyle name="Normal 2 3 9 14 2 7 2" xfId="48786" xr:uid="{00000000-0005-0000-0000-00007C990000}"/>
    <cellStyle name="Normal 2 3 9 14 2 8" xfId="48787" xr:uid="{00000000-0005-0000-0000-00007D990000}"/>
    <cellStyle name="Normal 2 3 9 14 2 9" xfId="48788" xr:uid="{00000000-0005-0000-0000-00007E990000}"/>
    <cellStyle name="Normal 2 3 9 14 3" xfId="16433" xr:uid="{00000000-0005-0000-0000-00007F990000}"/>
    <cellStyle name="Normal 2 3 9 14 3 2" xfId="16434" xr:uid="{00000000-0005-0000-0000-000080990000}"/>
    <cellStyle name="Normal 2 3 9 14 3 2 2" xfId="16435" xr:uid="{00000000-0005-0000-0000-000081990000}"/>
    <cellStyle name="Normal 2 3 9 14 3 2 2 2" xfId="48789" xr:uid="{00000000-0005-0000-0000-000082990000}"/>
    <cellStyle name="Normal 2 3 9 14 3 2 3" xfId="16436" xr:uid="{00000000-0005-0000-0000-000083990000}"/>
    <cellStyle name="Normal 2 3 9 14 3 2 3 2" xfId="48790" xr:uid="{00000000-0005-0000-0000-000084990000}"/>
    <cellStyle name="Normal 2 3 9 14 3 2 4" xfId="48791" xr:uid="{00000000-0005-0000-0000-000085990000}"/>
    <cellStyle name="Normal 2 3 9 14 3 3" xfId="16437" xr:uid="{00000000-0005-0000-0000-000086990000}"/>
    <cellStyle name="Normal 2 3 9 14 3 3 2" xfId="48792" xr:uid="{00000000-0005-0000-0000-000087990000}"/>
    <cellStyle name="Normal 2 3 9 14 3 4" xfId="16438" xr:uid="{00000000-0005-0000-0000-000088990000}"/>
    <cellStyle name="Normal 2 3 9 14 3 4 2" xfId="48793" xr:uid="{00000000-0005-0000-0000-000089990000}"/>
    <cellStyle name="Normal 2 3 9 14 3 5" xfId="16439" xr:uid="{00000000-0005-0000-0000-00008A990000}"/>
    <cellStyle name="Normal 2 3 9 14 3 5 2" xfId="48794" xr:uid="{00000000-0005-0000-0000-00008B990000}"/>
    <cellStyle name="Normal 2 3 9 14 3 6" xfId="48795" xr:uid="{00000000-0005-0000-0000-00008C990000}"/>
    <cellStyle name="Normal 2 3 9 14 3 6 2" xfId="48796" xr:uid="{00000000-0005-0000-0000-00008D990000}"/>
    <cellStyle name="Normal 2 3 9 14 3 7" xfId="48797" xr:uid="{00000000-0005-0000-0000-00008E990000}"/>
    <cellStyle name="Normal 2 3 9 14 4" xfId="16440" xr:uid="{00000000-0005-0000-0000-00008F990000}"/>
    <cellStyle name="Normal 2 3 9 14 4 2" xfId="16441" xr:uid="{00000000-0005-0000-0000-000090990000}"/>
    <cellStyle name="Normal 2 3 9 14 4 2 2" xfId="48798" xr:uid="{00000000-0005-0000-0000-000091990000}"/>
    <cellStyle name="Normal 2 3 9 14 4 3" xfId="16442" xr:uid="{00000000-0005-0000-0000-000092990000}"/>
    <cellStyle name="Normal 2 3 9 14 4 3 2" xfId="48799" xr:uid="{00000000-0005-0000-0000-000093990000}"/>
    <cellStyle name="Normal 2 3 9 14 4 4" xfId="48800" xr:uid="{00000000-0005-0000-0000-000094990000}"/>
    <cellStyle name="Normal 2 3 9 14 5" xfId="16443" xr:uid="{00000000-0005-0000-0000-000095990000}"/>
    <cellStyle name="Normal 2 3 9 14 5 2" xfId="16444" xr:uid="{00000000-0005-0000-0000-000096990000}"/>
    <cellStyle name="Normal 2 3 9 14 5 2 2" xfId="48801" xr:uid="{00000000-0005-0000-0000-000097990000}"/>
    <cellStyle name="Normal 2 3 9 14 5 3" xfId="48802" xr:uid="{00000000-0005-0000-0000-000098990000}"/>
    <cellStyle name="Normal 2 3 9 14 6" xfId="16445" xr:uid="{00000000-0005-0000-0000-000099990000}"/>
    <cellStyle name="Normal 2 3 9 14 6 2" xfId="48803" xr:uid="{00000000-0005-0000-0000-00009A990000}"/>
    <cellStyle name="Normal 2 3 9 14 7" xfId="16446" xr:uid="{00000000-0005-0000-0000-00009B990000}"/>
    <cellStyle name="Normal 2 3 9 14 7 2" xfId="48804" xr:uid="{00000000-0005-0000-0000-00009C990000}"/>
    <cellStyle name="Normal 2 3 9 14 8" xfId="48805" xr:uid="{00000000-0005-0000-0000-00009D990000}"/>
    <cellStyle name="Normal 2 3 9 14 8 2" xfId="48806" xr:uid="{00000000-0005-0000-0000-00009E990000}"/>
    <cellStyle name="Normal 2 3 9 14 9" xfId="48807" xr:uid="{00000000-0005-0000-0000-00009F990000}"/>
    <cellStyle name="Normal 2 3 9 15" xfId="16447" xr:uid="{00000000-0005-0000-0000-0000A0990000}"/>
    <cellStyle name="Normal 2 3 9 15 10" xfId="48808" xr:uid="{00000000-0005-0000-0000-0000A1990000}"/>
    <cellStyle name="Normal 2 3 9 15 11" xfId="48809" xr:uid="{00000000-0005-0000-0000-0000A2990000}"/>
    <cellStyle name="Normal 2 3 9 15 2" xfId="16448" xr:uid="{00000000-0005-0000-0000-0000A3990000}"/>
    <cellStyle name="Normal 2 3 9 15 2 10" xfId="48810" xr:uid="{00000000-0005-0000-0000-0000A4990000}"/>
    <cellStyle name="Normal 2 3 9 15 2 2" xfId="16449" xr:uid="{00000000-0005-0000-0000-0000A5990000}"/>
    <cellStyle name="Normal 2 3 9 15 2 2 2" xfId="16450" xr:uid="{00000000-0005-0000-0000-0000A6990000}"/>
    <cellStyle name="Normal 2 3 9 15 2 2 2 2" xfId="16451" xr:uid="{00000000-0005-0000-0000-0000A7990000}"/>
    <cellStyle name="Normal 2 3 9 15 2 2 2 2 2" xfId="48811" xr:uid="{00000000-0005-0000-0000-0000A8990000}"/>
    <cellStyle name="Normal 2 3 9 15 2 2 2 3" xfId="16452" xr:uid="{00000000-0005-0000-0000-0000A9990000}"/>
    <cellStyle name="Normal 2 3 9 15 2 2 2 3 2" xfId="48812" xr:uid="{00000000-0005-0000-0000-0000AA990000}"/>
    <cellStyle name="Normal 2 3 9 15 2 2 2 4" xfId="48813" xr:uid="{00000000-0005-0000-0000-0000AB990000}"/>
    <cellStyle name="Normal 2 3 9 15 2 2 3" xfId="16453" xr:uid="{00000000-0005-0000-0000-0000AC990000}"/>
    <cellStyle name="Normal 2 3 9 15 2 2 3 2" xfId="48814" xr:uid="{00000000-0005-0000-0000-0000AD990000}"/>
    <cellStyle name="Normal 2 3 9 15 2 2 4" xfId="16454" xr:uid="{00000000-0005-0000-0000-0000AE990000}"/>
    <cellStyle name="Normal 2 3 9 15 2 2 4 2" xfId="48815" xr:uid="{00000000-0005-0000-0000-0000AF990000}"/>
    <cellStyle name="Normal 2 3 9 15 2 2 5" xfId="16455" xr:uid="{00000000-0005-0000-0000-0000B0990000}"/>
    <cellStyle name="Normal 2 3 9 15 2 2 5 2" xfId="48816" xr:uid="{00000000-0005-0000-0000-0000B1990000}"/>
    <cellStyle name="Normal 2 3 9 15 2 2 6" xfId="48817" xr:uid="{00000000-0005-0000-0000-0000B2990000}"/>
    <cellStyle name="Normal 2 3 9 15 2 2 6 2" xfId="48818" xr:uid="{00000000-0005-0000-0000-0000B3990000}"/>
    <cellStyle name="Normal 2 3 9 15 2 2 7" xfId="48819" xr:uid="{00000000-0005-0000-0000-0000B4990000}"/>
    <cellStyle name="Normal 2 3 9 15 2 3" xfId="16456" xr:uid="{00000000-0005-0000-0000-0000B5990000}"/>
    <cellStyle name="Normal 2 3 9 15 2 3 2" xfId="16457" xr:uid="{00000000-0005-0000-0000-0000B6990000}"/>
    <cellStyle name="Normal 2 3 9 15 2 3 2 2" xfId="48820" xr:uid="{00000000-0005-0000-0000-0000B7990000}"/>
    <cellStyle name="Normal 2 3 9 15 2 3 3" xfId="16458" xr:uid="{00000000-0005-0000-0000-0000B8990000}"/>
    <cellStyle name="Normal 2 3 9 15 2 3 3 2" xfId="48821" xr:uid="{00000000-0005-0000-0000-0000B9990000}"/>
    <cellStyle name="Normal 2 3 9 15 2 3 4" xfId="48822" xr:uid="{00000000-0005-0000-0000-0000BA990000}"/>
    <cellStyle name="Normal 2 3 9 15 2 4" xfId="16459" xr:uid="{00000000-0005-0000-0000-0000BB990000}"/>
    <cellStyle name="Normal 2 3 9 15 2 4 2" xfId="16460" xr:uid="{00000000-0005-0000-0000-0000BC990000}"/>
    <cellStyle name="Normal 2 3 9 15 2 4 2 2" xfId="48823" xr:uid="{00000000-0005-0000-0000-0000BD990000}"/>
    <cellStyle name="Normal 2 3 9 15 2 4 3" xfId="48824" xr:uid="{00000000-0005-0000-0000-0000BE990000}"/>
    <cellStyle name="Normal 2 3 9 15 2 5" xfId="16461" xr:uid="{00000000-0005-0000-0000-0000BF990000}"/>
    <cellStyle name="Normal 2 3 9 15 2 5 2" xfId="48825" xr:uid="{00000000-0005-0000-0000-0000C0990000}"/>
    <cellStyle name="Normal 2 3 9 15 2 6" xfId="16462" xr:uid="{00000000-0005-0000-0000-0000C1990000}"/>
    <cellStyle name="Normal 2 3 9 15 2 6 2" xfId="48826" xr:uid="{00000000-0005-0000-0000-0000C2990000}"/>
    <cellStyle name="Normal 2 3 9 15 2 7" xfId="48827" xr:uid="{00000000-0005-0000-0000-0000C3990000}"/>
    <cellStyle name="Normal 2 3 9 15 2 7 2" xfId="48828" xr:uid="{00000000-0005-0000-0000-0000C4990000}"/>
    <cellStyle name="Normal 2 3 9 15 2 8" xfId="48829" xr:uid="{00000000-0005-0000-0000-0000C5990000}"/>
    <cellStyle name="Normal 2 3 9 15 2 9" xfId="48830" xr:uid="{00000000-0005-0000-0000-0000C6990000}"/>
    <cellStyle name="Normal 2 3 9 15 3" xfId="16463" xr:uid="{00000000-0005-0000-0000-0000C7990000}"/>
    <cellStyle name="Normal 2 3 9 15 3 2" xfId="16464" xr:uid="{00000000-0005-0000-0000-0000C8990000}"/>
    <cellStyle name="Normal 2 3 9 15 3 2 2" xfId="16465" xr:uid="{00000000-0005-0000-0000-0000C9990000}"/>
    <cellStyle name="Normal 2 3 9 15 3 2 2 2" xfId="48831" xr:uid="{00000000-0005-0000-0000-0000CA990000}"/>
    <cellStyle name="Normal 2 3 9 15 3 2 3" xfId="16466" xr:uid="{00000000-0005-0000-0000-0000CB990000}"/>
    <cellStyle name="Normal 2 3 9 15 3 2 3 2" xfId="48832" xr:uid="{00000000-0005-0000-0000-0000CC990000}"/>
    <cellStyle name="Normal 2 3 9 15 3 2 4" xfId="48833" xr:uid="{00000000-0005-0000-0000-0000CD990000}"/>
    <cellStyle name="Normal 2 3 9 15 3 3" xfId="16467" xr:uid="{00000000-0005-0000-0000-0000CE990000}"/>
    <cellStyle name="Normal 2 3 9 15 3 3 2" xfId="48834" xr:uid="{00000000-0005-0000-0000-0000CF990000}"/>
    <cellStyle name="Normal 2 3 9 15 3 4" xfId="16468" xr:uid="{00000000-0005-0000-0000-0000D0990000}"/>
    <cellStyle name="Normal 2 3 9 15 3 4 2" xfId="48835" xr:uid="{00000000-0005-0000-0000-0000D1990000}"/>
    <cellStyle name="Normal 2 3 9 15 3 5" xfId="16469" xr:uid="{00000000-0005-0000-0000-0000D2990000}"/>
    <cellStyle name="Normal 2 3 9 15 3 5 2" xfId="48836" xr:uid="{00000000-0005-0000-0000-0000D3990000}"/>
    <cellStyle name="Normal 2 3 9 15 3 6" xfId="48837" xr:uid="{00000000-0005-0000-0000-0000D4990000}"/>
    <cellStyle name="Normal 2 3 9 15 3 6 2" xfId="48838" xr:uid="{00000000-0005-0000-0000-0000D5990000}"/>
    <cellStyle name="Normal 2 3 9 15 3 7" xfId="48839" xr:uid="{00000000-0005-0000-0000-0000D6990000}"/>
    <cellStyle name="Normal 2 3 9 15 4" xfId="16470" xr:uid="{00000000-0005-0000-0000-0000D7990000}"/>
    <cellStyle name="Normal 2 3 9 15 4 2" xfId="16471" xr:uid="{00000000-0005-0000-0000-0000D8990000}"/>
    <cellStyle name="Normal 2 3 9 15 4 2 2" xfId="48840" xr:uid="{00000000-0005-0000-0000-0000D9990000}"/>
    <cellStyle name="Normal 2 3 9 15 4 3" xfId="16472" xr:uid="{00000000-0005-0000-0000-0000DA990000}"/>
    <cellStyle name="Normal 2 3 9 15 4 3 2" xfId="48841" xr:uid="{00000000-0005-0000-0000-0000DB990000}"/>
    <cellStyle name="Normal 2 3 9 15 4 4" xfId="48842" xr:uid="{00000000-0005-0000-0000-0000DC990000}"/>
    <cellStyle name="Normal 2 3 9 15 5" xfId="16473" xr:uid="{00000000-0005-0000-0000-0000DD990000}"/>
    <cellStyle name="Normal 2 3 9 15 5 2" xfId="16474" xr:uid="{00000000-0005-0000-0000-0000DE990000}"/>
    <cellStyle name="Normal 2 3 9 15 5 2 2" xfId="48843" xr:uid="{00000000-0005-0000-0000-0000DF990000}"/>
    <cellStyle name="Normal 2 3 9 15 5 3" xfId="48844" xr:uid="{00000000-0005-0000-0000-0000E0990000}"/>
    <cellStyle name="Normal 2 3 9 15 6" xfId="16475" xr:uid="{00000000-0005-0000-0000-0000E1990000}"/>
    <cellStyle name="Normal 2 3 9 15 6 2" xfId="48845" xr:uid="{00000000-0005-0000-0000-0000E2990000}"/>
    <cellStyle name="Normal 2 3 9 15 7" xfId="16476" xr:uid="{00000000-0005-0000-0000-0000E3990000}"/>
    <cellStyle name="Normal 2 3 9 15 7 2" xfId="48846" xr:uid="{00000000-0005-0000-0000-0000E4990000}"/>
    <cellStyle name="Normal 2 3 9 15 8" xfId="48847" xr:uid="{00000000-0005-0000-0000-0000E5990000}"/>
    <cellStyle name="Normal 2 3 9 15 8 2" xfId="48848" xr:uid="{00000000-0005-0000-0000-0000E6990000}"/>
    <cellStyle name="Normal 2 3 9 15 9" xfId="48849" xr:uid="{00000000-0005-0000-0000-0000E7990000}"/>
    <cellStyle name="Normal 2 3 9 16" xfId="16477" xr:uid="{00000000-0005-0000-0000-0000E8990000}"/>
    <cellStyle name="Normal 2 3 9 16 10" xfId="48850" xr:uid="{00000000-0005-0000-0000-0000E9990000}"/>
    <cellStyle name="Normal 2 3 9 16 11" xfId="48851" xr:uid="{00000000-0005-0000-0000-0000EA990000}"/>
    <cellStyle name="Normal 2 3 9 16 2" xfId="16478" xr:uid="{00000000-0005-0000-0000-0000EB990000}"/>
    <cellStyle name="Normal 2 3 9 16 2 10" xfId="48852" xr:uid="{00000000-0005-0000-0000-0000EC990000}"/>
    <cellStyle name="Normal 2 3 9 16 2 2" xfId="16479" xr:uid="{00000000-0005-0000-0000-0000ED990000}"/>
    <cellStyle name="Normal 2 3 9 16 2 2 2" xfId="16480" xr:uid="{00000000-0005-0000-0000-0000EE990000}"/>
    <cellStyle name="Normal 2 3 9 16 2 2 2 2" xfId="16481" xr:uid="{00000000-0005-0000-0000-0000EF990000}"/>
    <cellStyle name="Normal 2 3 9 16 2 2 2 2 2" xfId="48853" xr:uid="{00000000-0005-0000-0000-0000F0990000}"/>
    <cellStyle name="Normal 2 3 9 16 2 2 2 3" xfId="16482" xr:uid="{00000000-0005-0000-0000-0000F1990000}"/>
    <cellStyle name="Normal 2 3 9 16 2 2 2 3 2" xfId="48854" xr:uid="{00000000-0005-0000-0000-0000F2990000}"/>
    <cellStyle name="Normal 2 3 9 16 2 2 2 4" xfId="48855" xr:uid="{00000000-0005-0000-0000-0000F3990000}"/>
    <cellStyle name="Normal 2 3 9 16 2 2 3" xfId="16483" xr:uid="{00000000-0005-0000-0000-0000F4990000}"/>
    <cellStyle name="Normal 2 3 9 16 2 2 3 2" xfId="48856" xr:uid="{00000000-0005-0000-0000-0000F5990000}"/>
    <cellStyle name="Normal 2 3 9 16 2 2 4" xfId="16484" xr:uid="{00000000-0005-0000-0000-0000F6990000}"/>
    <cellStyle name="Normal 2 3 9 16 2 2 4 2" xfId="48857" xr:uid="{00000000-0005-0000-0000-0000F7990000}"/>
    <cellStyle name="Normal 2 3 9 16 2 2 5" xfId="16485" xr:uid="{00000000-0005-0000-0000-0000F8990000}"/>
    <cellStyle name="Normal 2 3 9 16 2 2 5 2" xfId="48858" xr:uid="{00000000-0005-0000-0000-0000F9990000}"/>
    <cellStyle name="Normal 2 3 9 16 2 2 6" xfId="48859" xr:uid="{00000000-0005-0000-0000-0000FA990000}"/>
    <cellStyle name="Normal 2 3 9 16 2 2 6 2" xfId="48860" xr:uid="{00000000-0005-0000-0000-0000FB990000}"/>
    <cellStyle name="Normal 2 3 9 16 2 2 7" xfId="48861" xr:uid="{00000000-0005-0000-0000-0000FC990000}"/>
    <cellStyle name="Normal 2 3 9 16 2 3" xfId="16486" xr:uid="{00000000-0005-0000-0000-0000FD990000}"/>
    <cellStyle name="Normal 2 3 9 16 2 3 2" xfId="16487" xr:uid="{00000000-0005-0000-0000-0000FE990000}"/>
    <cellStyle name="Normal 2 3 9 16 2 3 2 2" xfId="48862" xr:uid="{00000000-0005-0000-0000-0000FF990000}"/>
    <cellStyle name="Normal 2 3 9 16 2 3 3" xfId="16488" xr:uid="{00000000-0005-0000-0000-0000009A0000}"/>
    <cellStyle name="Normal 2 3 9 16 2 3 3 2" xfId="48863" xr:uid="{00000000-0005-0000-0000-0000019A0000}"/>
    <cellStyle name="Normal 2 3 9 16 2 3 4" xfId="48864" xr:uid="{00000000-0005-0000-0000-0000029A0000}"/>
    <cellStyle name="Normal 2 3 9 16 2 4" xfId="16489" xr:uid="{00000000-0005-0000-0000-0000039A0000}"/>
    <cellStyle name="Normal 2 3 9 16 2 4 2" xfId="16490" xr:uid="{00000000-0005-0000-0000-0000049A0000}"/>
    <cellStyle name="Normal 2 3 9 16 2 4 2 2" xfId="48865" xr:uid="{00000000-0005-0000-0000-0000059A0000}"/>
    <cellStyle name="Normal 2 3 9 16 2 4 3" xfId="48866" xr:uid="{00000000-0005-0000-0000-0000069A0000}"/>
    <cellStyle name="Normal 2 3 9 16 2 5" xfId="16491" xr:uid="{00000000-0005-0000-0000-0000079A0000}"/>
    <cellStyle name="Normal 2 3 9 16 2 5 2" xfId="48867" xr:uid="{00000000-0005-0000-0000-0000089A0000}"/>
    <cellStyle name="Normal 2 3 9 16 2 6" xfId="16492" xr:uid="{00000000-0005-0000-0000-0000099A0000}"/>
    <cellStyle name="Normal 2 3 9 16 2 6 2" xfId="48868" xr:uid="{00000000-0005-0000-0000-00000A9A0000}"/>
    <cellStyle name="Normal 2 3 9 16 2 7" xfId="48869" xr:uid="{00000000-0005-0000-0000-00000B9A0000}"/>
    <cellStyle name="Normal 2 3 9 16 2 7 2" xfId="48870" xr:uid="{00000000-0005-0000-0000-00000C9A0000}"/>
    <cellStyle name="Normal 2 3 9 16 2 8" xfId="48871" xr:uid="{00000000-0005-0000-0000-00000D9A0000}"/>
    <cellStyle name="Normal 2 3 9 16 2 9" xfId="48872" xr:uid="{00000000-0005-0000-0000-00000E9A0000}"/>
    <cellStyle name="Normal 2 3 9 16 3" xfId="16493" xr:uid="{00000000-0005-0000-0000-00000F9A0000}"/>
    <cellStyle name="Normal 2 3 9 16 3 2" xfId="16494" xr:uid="{00000000-0005-0000-0000-0000109A0000}"/>
    <cellStyle name="Normal 2 3 9 16 3 2 2" xfId="16495" xr:uid="{00000000-0005-0000-0000-0000119A0000}"/>
    <cellStyle name="Normal 2 3 9 16 3 2 2 2" xfId="48873" xr:uid="{00000000-0005-0000-0000-0000129A0000}"/>
    <cellStyle name="Normal 2 3 9 16 3 2 3" xfId="16496" xr:uid="{00000000-0005-0000-0000-0000139A0000}"/>
    <cellStyle name="Normal 2 3 9 16 3 2 3 2" xfId="48874" xr:uid="{00000000-0005-0000-0000-0000149A0000}"/>
    <cellStyle name="Normal 2 3 9 16 3 2 4" xfId="48875" xr:uid="{00000000-0005-0000-0000-0000159A0000}"/>
    <cellStyle name="Normal 2 3 9 16 3 3" xfId="16497" xr:uid="{00000000-0005-0000-0000-0000169A0000}"/>
    <cellStyle name="Normal 2 3 9 16 3 3 2" xfId="48876" xr:uid="{00000000-0005-0000-0000-0000179A0000}"/>
    <cellStyle name="Normal 2 3 9 16 3 4" xfId="16498" xr:uid="{00000000-0005-0000-0000-0000189A0000}"/>
    <cellStyle name="Normal 2 3 9 16 3 4 2" xfId="48877" xr:uid="{00000000-0005-0000-0000-0000199A0000}"/>
    <cellStyle name="Normal 2 3 9 16 3 5" xfId="16499" xr:uid="{00000000-0005-0000-0000-00001A9A0000}"/>
    <cellStyle name="Normal 2 3 9 16 3 5 2" xfId="48878" xr:uid="{00000000-0005-0000-0000-00001B9A0000}"/>
    <cellStyle name="Normal 2 3 9 16 3 6" xfId="48879" xr:uid="{00000000-0005-0000-0000-00001C9A0000}"/>
    <cellStyle name="Normal 2 3 9 16 3 6 2" xfId="48880" xr:uid="{00000000-0005-0000-0000-00001D9A0000}"/>
    <cellStyle name="Normal 2 3 9 16 3 7" xfId="48881" xr:uid="{00000000-0005-0000-0000-00001E9A0000}"/>
    <cellStyle name="Normal 2 3 9 16 4" xfId="16500" xr:uid="{00000000-0005-0000-0000-00001F9A0000}"/>
    <cellStyle name="Normal 2 3 9 16 4 2" xfId="16501" xr:uid="{00000000-0005-0000-0000-0000209A0000}"/>
    <cellStyle name="Normal 2 3 9 16 4 2 2" xfId="48882" xr:uid="{00000000-0005-0000-0000-0000219A0000}"/>
    <cellStyle name="Normal 2 3 9 16 4 3" xfId="16502" xr:uid="{00000000-0005-0000-0000-0000229A0000}"/>
    <cellStyle name="Normal 2 3 9 16 4 3 2" xfId="48883" xr:uid="{00000000-0005-0000-0000-0000239A0000}"/>
    <cellStyle name="Normal 2 3 9 16 4 4" xfId="48884" xr:uid="{00000000-0005-0000-0000-0000249A0000}"/>
    <cellStyle name="Normal 2 3 9 16 5" xfId="16503" xr:uid="{00000000-0005-0000-0000-0000259A0000}"/>
    <cellStyle name="Normal 2 3 9 16 5 2" xfId="16504" xr:uid="{00000000-0005-0000-0000-0000269A0000}"/>
    <cellStyle name="Normal 2 3 9 16 5 2 2" xfId="48885" xr:uid="{00000000-0005-0000-0000-0000279A0000}"/>
    <cellStyle name="Normal 2 3 9 16 5 3" xfId="48886" xr:uid="{00000000-0005-0000-0000-0000289A0000}"/>
    <cellStyle name="Normal 2 3 9 16 6" xfId="16505" xr:uid="{00000000-0005-0000-0000-0000299A0000}"/>
    <cellStyle name="Normal 2 3 9 16 6 2" xfId="48887" xr:uid="{00000000-0005-0000-0000-00002A9A0000}"/>
    <cellStyle name="Normal 2 3 9 16 7" xfId="16506" xr:uid="{00000000-0005-0000-0000-00002B9A0000}"/>
    <cellStyle name="Normal 2 3 9 16 7 2" xfId="48888" xr:uid="{00000000-0005-0000-0000-00002C9A0000}"/>
    <cellStyle name="Normal 2 3 9 16 8" xfId="48889" xr:uid="{00000000-0005-0000-0000-00002D9A0000}"/>
    <cellStyle name="Normal 2 3 9 16 8 2" xfId="48890" xr:uid="{00000000-0005-0000-0000-00002E9A0000}"/>
    <cellStyle name="Normal 2 3 9 16 9" xfId="48891" xr:uid="{00000000-0005-0000-0000-00002F9A0000}"/>
    <cellStyle name="Normal 2 3 9 17" xfId="16507" xr:uid="{00000000-0005-0000-0000-0000309A0000}"/>
    <cellStyle name="Normal 2 3 9 17 10" xfId="48892" xr:uid="{00000000-0005-0000-0000-0000319A0000}"/>
    <cellStyle name="Normal 2 3 9 17 11" xfId="48893" xr:uid="{00000000-0005-0000-0000-0000329A0000}"/>
    <cellStyle name="Normal 2 3 9 17 2" xfId="16508" xr:uid="{00000000-0005-0000-0000-0000339A0000}"/>
    <cellStyle name="Normal 2 3 9 17 2 10" xfId="48894" xr:uid="{00000000-0005-0000-0000-0000349A0000}"/>
    <cellStyle name="Normal 2 3 9 17 2 2" xfId="16509" xr:uid="{00000000-0005-0000-0000-0000359A0000}"/>
    <cellStyle name="Normal 2 3 9 17 2 2 2" xfId="16510" xr:uid="{00000000-0005-0000-0000-0000369A0000}"/>
    <cellStyle name="Normal 2 3 9 17 2 2 2 2" xfId="16511" xr:uid="{00000000-0005-0000-0000-0000379A0000}"/>
    <cellStyle name="Normal 2 3 9 17 2 2 2 2 2" xfId="48895" xr:uid="{00000000-0005-0000-0000-0000389A0000}"/>
    <cellStyle name="Normal 2 3 9 17 2 2 2 3" xfId="16512" xr:uid="{00000000-0005-0000-0000-0000399A0000}"/>
    <cellStyle name="Normal 2 3 9 17 2 2 2 3 2" xfId="48896" xr:uid="{00000000-0005-0000-0000-00003A9A0000}"/>
    <cellStyle name="Normal 2 3 9 17 2 2 2 4" xfId="48897" xr:uid="{00000000-0005-0000-0000-00003B9A0000}"/>
    <cellStyle name="Normal 2 3 9 17 2 2 3" xfId="16513" xr:uid="{00000000-0005-0000-0000-00003C9A0000}"/>
    <cellStyle name="Normal 2 3 9 17 2 2 3 2" xfId="48898" xr:uid="{00000000-0005-0000-0000-00003D9A0000}"/>
    <cellStyle name="Normal 2 3 9 17 2 2 4" xfId="16514" xr:uid="{00000000-0005-0000-0000-00003E9A0000}"/>
    <cellStyle name="Normal 2 3 9 17 2 2 4 2" xfId="48899" xr:uid="{00000000-0005-0000-0000-00003F9A0000}"/>
    <cellStyle name="Normal 2 3 9 17 2 2 5" xfId="16515" xr:uid="{00000000-0005-0000-0000-0000409A0000}"/>
    <cellStyle name="Normal 2 3 9 17 2 2 5 2" xfId="48900" xr:uid="{00000000-0005-0000-0000-0000419A0000}"/>
    <cellStyle name="Normal 2 3 9 17 2 2 6" xfId="48901" xr:uid="{00000000-0005-0000-0000-0000429A0000}"/>
    <cellStyle name="Normal 2 3 9 17 2 2 6 2" xfId="48902" xr:uid="{00000000-0005-0000-0000-0000439A0000}"/>
    <cellStyle name="Normal 2 3 9 17 2 2 7" xfId="48903" xr:uid="{00000000-0005-0000-0000-0000449A0000}"/>
    <cellStyle name="Normal 2 3 9 17 2 3" xfId="16516" xr:uid="{00000000-0005-0000-0000-0000459A0000}"/>
    <cellStyle name="Normal 2 3 9 17 2 3 2" xfId="16517" xr:uid="{00000000-0005-0000-0000-0000469A0000}"/>
    <cellStyle name="Normal 2 3 9 17 2 3 2 2" xfId="48904" xr:uid="{00000000-0005-0000-0000-0000479A0000}"/>
    <cellStyle name="Normal 2 3 9 17 2 3 3" xfId="16518" xr:uid="{00000000-0005-0000-0000-0000489A0000}"/>
    <cellStyle name="Normal 2 3 9 17 2 3 3 2" xfId="48905" xr:uid="{00000000-0005-0000-0000-0000499A0000}"/>
    <cellStyle name="Normal 2 3 9 17 2 3 4" xfId="48906" xr:uid="{00000000-0005-0000-0000-00004A9A0000}"/>
    <cellStyle name="Normal 2 3 9 17 2 4" xfId="16519" xr:uid="{00000000-0005-0000-0000-00004B9A0000}"/>
    <cellStyle name="Normal 2 3 9 17 2 4 2" xfId="16520" xr:uid="{00000000-0005-0000-0000-00004C9A0000}"/>
    <cellStyle name="Normal 2 3 9 17 2 4 2 2" xfId="48907" xr:uid="{00000000-0005-0000-0000-00004D9A0000}"/>
    <cellStyle name="Normal 2 3 9 17 2 4 3" xfId="48908" xr:uid="{00000000-0005-0000-0000-00004E9A0000}"/>
    <cellStyle name="Normal 2 3 9 17 2 5" xfId="16521" xr:uid="{00000000-0005-0000-0000-00004F9A0000}"/>
    <cellStyle name="Normal 2 3 9 17 2 5 2" xfId="48909" xr:uid="{00000000-0005-0000-0000-0000509A0000}"/>
    <cellStyle name="Normal 2 3 9 17 2 6" xfId="16522" xr:uid="{00000000-0005-0000-0000-0000519A0000}"/>
    <cellStyle name="Normal 2 3 9 17 2 6 2" xfId="48910" xr:uid="{00000000-0005-0000-0000-0000529A0000}"/>
    <cellStyle name="Normal 2 3 9 17 2 7" xfId="48911" xr:uid="{00000000-0005-0000-0000-0000539A0000}"/>
    <cellStyle name="Normal 2 3 9 17 2 7 2" xfId="48912" xr:uid="{00000000-0005-0000-0000-0000549A0000}"/>
    <cellStyle name="Normal 2 3 9 17 2 8" xfId="48913" xr:uid="{00000000-0005-0000-0000-0000559A0000}"/>
    <cellStyle name="Normal 2 3 9 17 2 9" xfId="48914" xr:uid="{00000000-0005-0000-0000-0000569A0000}"/>
    <cellStyle name="Normal 2 3 9 17 3" xfId="16523" xr:uid="{00000000-0005-0000-0000-0000579A0000}"/>
    <cellStyle name="Normal 2 3 9 17 3 2" xfId="16524" xr:uid="{00000000-0005-0000-0000-0000589A0000}"/>
    <cellStyle name="Normal 2 3 9 17 3 2 2" xfId="16525" xr:uid="{00000000-0005-0000-0000-0000599A0000}"/>
    <cellStyle name="Normal 2 3 9 17 3 2 2 2" xfId="48915" xr:uid="{00000000-0005-0000-0000-00005A9A0000}"/>
    <cellStyle name="Normal 2 3 9 17 3 2 3" xfId="16526" xr:uid="{00000000-0005-0000-0000-00005B9A0000}"/>
    <cellStyle name="Normal 2 3 9 17 3 2 3 2" xfId="48916" xr:uid="{00000000-0005-0000-0000-00005C9A0000}"/>
    <cellStyle name="Normal 2 3 9 17 3 2 4" xfId="48917" xr:uid="{00000000-0005-0000-0000-00005D9A0000}"/>
    <cellStyle name="Normal 2 3 9 17 3 3" xfId="16527" xr:uid="{00000000-0005-0000-0000-00005E9A0000}"/>
    <cellStyle name="Normal 2 3 9 17 3 3 2" xfId="48918" xr:uid="{00000000-0005-0000-0000-00005F9A0000}"/>
    <cellStyle name="Normal 2 3 9 17 3 4" xfId="16528" xr:uid="{00000000-0005-0000-0000-0000609A0000}"/>
    <cellStyle name="Normal 2 3 9 17 3 4 2" xfId="48919" xr:uid="{00000000-0005-0000-0000-0000619A0000}"/>
    <cellStyle name="Normal 2 3 9 17 3 5" xfId="16529" xr:uid="{00000000-0005-0000-0000-0000629A0000}"/>
    <cellStyle name="Normal 2 3 9 17 3 5 2" xfId="48920" xr:uid="{00000000-0005-0000-0000-0000639A0000}"/>
    <cellStyle name="Normal 2 3 9 17 3 6" xfId="48921" xr:uid="{00000000-0005-0000-0000-0000649A0000}"/>
    <cellStyle name="Normal 2 3 9 17 3 6 2" xfId="48922" xr:uid="{00000000-0005-0000-0000-0000659A0000}"/>
    <cellStyle name="Normal 2 3 9 17 3 7" xfId="48923" xr:uid="{00000000-0005-0000-0000-0000669A0000}"/>
    <cellStyle name="Normal 2 3 9 17 4" xfId="16530" xr:uid="{00000000-0005-0000-0000-0000679A0000}"/>
    <cellStyle name="Normal 2 3 9 17 4 2" xfId="16531" xr:uid="{00000000-0005-0000-0000-0000689A0000}"/>
    <cellStyle name="Normal 2 3 9 17 4 2 2" xfId="48924" xr:uid="{00000000-0005-0000-0000-0000699A0000}"/>
    <cellStyle name="Normal 2 3 9 17 4 3" xfId="16532" xr:uid="{00000000-0005-0000-0000-00006A9A0000}"/>
    <cellStyle name="Normal 2 3 9 17 4 3 2" xfId="48925" xr:uid="{00000000-0005-0000-0000-00006B9A0000}"/>
    <cellStyle name="Normal 2 3 9 17 4 4" xfId="48926" xr:uid="{00000000-0005-0000-0000-00006C9A0000}"/>
    <cellStyle name="Normal 2 3 9 17 5" xfId="16533" xr:uid="{00000000-0005-0000-0000-00006D9A0000}"/>
    <cellStyle name="Normal 2 3 9 17 5 2" xfId="16534" xr:uid="{00000000-0005-0000-0000-00006E9A0000}"/>
    <cellStyle name="Normal 2 3 9 17 5 2 2" xfId="48927" xr:uid="{00000000-0005-0000-0000-00006F9A0000}"/>
    <cellStyle name="Normal 2 3 9 17 5 3" xfId="48928" xr:uid="{00000000-0005-0000-0000-0000709A0000}"/>
    <cellStyle name="Normal 2 3 9 17 6" xfId="16535" xr:uid="{00000000-0005-0000-0000-0000719A0000}"/>
    <cellStyle name="Normal 2 3 9 17 6 2" xfId="48929" xr:uid="{00000000-0005-0000-0000-0000729A0000}"/>
    <cellStyle name="Normal 2 3 9 17 7" xfId="16536" xr:uid="{00000000-0005-0000-0000-0000739A0000}"/>
    <cellStyle name="Normal 2 3 9 17 7 2" xfId="48930" xr:uid="{00000000-0005-0000-0000-0000749A0000}"/>
    <cellStyle name="Normal 2 3 9 17 8" xfId="48931" xr:uid="{00000000-0005-0000-0000-0000759A0000}"/>
    <cellStyle name="Normal 2 3 9 17 8 2" xfId="48932" xr:uid="{00000000-0005-0000-0000-0000769A0000}"/>
    <cellStyle name="Normal 2 3 9 17 9" xfId="48933" xr:uid="{00000000-0005-0000-0000-0000779A0000}"/>
    <cellStyle name="Normal 2 3 9 18" xfId="16537" xr:uid="{00000000-0005-0000-0000-0000789A0000}"/>
    <cellStyle name="Normal 2 3 9 18 10" xfId="48934" xr:uid="{00000000-0005-0000-0000-0000799A0000}"/>
    <cellStyle name="Normal 2 3 9 18 11" xfId="48935" xr:uid="{00000000-0005-0000-0000-00007A9A0000}"/>
    <cellStyle name="Normal 2 3 9 18 2" xfId="16538" xr:uid="{00000000-0005-0000-0000-00007B9A0000}"/>
    <cellStyle name="Normal 2 3 9 18 2 10" xfId="48936" xr:uid="{00000000-0005-0000-0000-00007C9A0000}"/>
    <cellStyle name="Normal 2 3 9 18 2 2" xfId="16539" xr:uid="{00000000-0005-0000-0000-00007D9A0000}"/>
    <cellStyle name="Normal 2 3 9 18 2 2 2" xfId="16540" xr:uid="{00000000-0005-0000-0000-00007E9A0000}"/>
    <cellStyle name="Normal 2 3 9 18 2 2 2 2" xfId="16541" xr:uid="{00000000-0005-0000-0000-00007F9A0000}"/>
    <cellStyle name="Normal 2 3 9 18 2 2 2 2 2" xfId="48937" xr:uid="{00000000-0005-0000-0000-0000809A0000}"/>
    <cellStyle name="Normal 2 3 9 18 2 2 2 3" xfId="16542" xr:uid="{00000000-0005-0000-0000-0000819A0000}"/>
    <cellStyle name="Normal 2 3 9 18 2 2 2 3 2" xfId="48938" xr:uid="{00000000-0005-0000-0000-0000829A0000}"/>
    <cellStyle name="Normal 2 3 9 18 2 2 2 4" xfId="48939" xr:uid="{00000000-0005-0000-0000-0000839A0000}"/>
    <cellStyle name="Normal 2 3 9 18 2 2 3" xfId="16543" xr:uid="{00000000-0005-0000-0000-0000849A0000}"/>
    <cellStyle name="Normal 2 3 9 18 2 2 3 2" xfId="48940" xr:uid="{00000000-0005-0000-0000-0000859A0000}"/>
    <cellStyle name="Normal 2 3 9 18 2 2 4" xfId="16544" xr:uid="{00000000-0005-0000-0000-0000869A0000}"/>
    <cellStyle name="Normal 2 3 9 18 2 2 4 2" xfId="48941" xr:uid="{00000000-0005-0000-0000-0000879A0000}"/>
    <cellStyle name="Normal 2 3 9 18 2 2 5" xfId="16545" xr:uid="{00000000-0005-0000-0000-0000889A0000}"/>
    <cellStyle name="Normal 2 3 9 18 2 2 5 2" xfId="48942" xr:uid="{00000000-0005-0000-0000-0000899A0000}"/>
    <cellStyle name="Normal 2 3 9 18 2 2 6" xfId="48943" xr:uid="{00000000-0005-0000-0000-00008A9A0000}"/>
    <cellStyle name="Normal 2 3 9 18 2 2 6 2" xfId="48944" xr:uid="{00000000-0005-0000-0000-00008B9A0000}"/>
    <cellStyle name="Normal 2 3 9 18 2 2 7" xfId="48945" xr:uid="{00000000-0005-0000-0000-00008C9A0000}"/>
    <cellStyle name="Normal 2 3 9 18 2 3" xfId="16546" xr:uid="{00000000-0005-0000-0000-00008D9A0000}"/>
    <cellStyle name="Normal 2 3 9 18 2 3 2" xfId="16547" xr:uid="{00000000-0005-0000-0000-00008E9A0000}"/>
    <cellStyle name="Normal 2 3 9 18 2 3 2 2" xfId="48946" xr:uid="{00000000-0005-0000-0000-00008F9A0000}"/>
    <cellStyle name="Normal 2 3 9 18 2 3 3" xfId="16548" xr:uid="{00000000-0005-0000-0000-0000909A0000}"/>
    <cellStyle name="Normal 2 3 9 18 2 3 3 2" xfId="48947" xr:uid="{00000000-0005-0000-0000-0000919A0000}"/>
    <cellStyle name="Normal 2 3 9 18 2 3 4" xfId="48948" xr:uid="{00000000-0005-0000-0000-0000929A0000}"/>
    <cellStyle name="Normal 2 3 9 18 2 4" xfId="16549" xr:uid="{00000000-0005-0000-0000-0000939A0000}"/>
    <cellStyle name="Normal 2 3 9 18 2 4 2" xfId="16550" xr:uid="{00000000-0005-0000-0000-0000949A0000}"/>
    <cellStyle name="Normal 2 3 9 18 2 4 2 2" xfId="48949" xr:uid="{00000000-0005-0000-0000-0000959A0000}"/>
    <cellStyle name="Normal 2 3 9 18 2 4 3" xfId="48950" xr:uid="{00000000-0005-0000-0000-0000969A0000}"/>
    <cellStyle name="Normal 2 3 9 18 2 5" xfId="16551" xr:uid="{00000000-0005-0000-0000-0000979A0000}"/>
    <cellStyle name="Normal 2 3 9 18 2 5 2" xfId="48951" xr:uid="{00000000-0005-0000-0000-0000989A0000}"/>
    <cellStyle name="Normal 2 3 9 18 2 6" xfId="16552" xr:uid="{00000000-0005-0000-0000-0000999A0000}"/>
    <cellStyle name="Normal 2 3 9 18 2 6 2" xfId="48952" xr:uid="{00000000-0005-0000-0000-00009A9A0000}"/>
    <cellStyle name="Normal 2 3 9 18 2 7" xfId="48953" xr:uid="{00000000-0005-0000-0000-00009B9A0000}"/>
    <cellStyle name="Normal 2 3 9 18 2 7 2" xfId="48954" xr:uid="{00000000-0005-0000-0000-00009C9A0000}"/>
    <cellStyle name="Normal 2 3 9 18 2 8" xfId="48955" xr:uid="{00000000-0005-0000-0000-00009D9A0000}"/>
    <cellStyle name="Normal 2 3 9 18 2 9" xfId="48956" xr:uid="{00000000-0005-0000-0000-00009E9A0000}"/>
    <cellStyle name="Normal 2 3 9 18 3" xfId="16553" xr:uid="{00000000-0005-0000-0000-00009F9A0000}"/>
    <cellStyle name="Normal 2 3 9 18 3 2" xfId="16554" xr:uid="{00000000-0005-0000-0000-0000A09A0000}"/>
    <cellStyle name="Normal 2 3 9 18 3 2 2" xfId="16555" xr:uid="{00000000-0005-0000-0000-0000A19A0000}"/>
    <cellStyle name="Normal 2 3 9 18 3 2 2 2" xfId="48957" xr:uid="{00000000-0005-0000-0000-0000A29A0000}"/>
    <cellStyle name="Normal 2 3 9 18 3 2 3" xfId="16556" xr:uid="{00000000-0005-0000-0000-0000A39A0000}"/>
    <cellStyle name="Normal 2 3 9 18 3 2 3 2" xfId="48958" xr:uid="{00000000-0005-0000-0000-0000A49A0000}"/>
    <cellStyle name="Normal 2 3 9 18 3 2 4" xfId="48959" xr:uid="{00000000-0005-0000-0000-0000A59A0000}"/>
    <cellStyle name="Normal 2 3 9 18 3 3" xfId="16557" xr:uid="{00000000-0005-0000-0000-0000A69A0000}"/>
    <cellStyle name="Normal 2 3 9 18 3 3 2" xfId="48960" xr:uid="{00000000-0005-0000-0000-0000A79A0000}"/>
    <cellStyle name="Normal 2 3 9 18 3 4" xfId="16558" xr:uid="{00000000-0005-0000-0000-0000A89A0000}"/>
    <cellStyle name="Normal 2 3 9 18 3 4 2" xfId="48961" xr:uid="{00000000-0005-0000-0000-0000A99A0000}"/>
    <cellStyle name="Normal 2 3 9 18 3 5" xfId="16559" xr:uid="{00000000-0005-0000-0000-0000AA9A0000}"/>
    <cellStyle name="Normal 2 3 9 18 3 5 2" xfId="48962" xr:uid="{00000000-0005-0000-0000-0000AB9A0000}"/>
    <cellStyle name="Normal 2 3 9 18 3 6" xfId="48963" xr:uid="{00000000-0005-0000-0000-0000AC9A0000}"/>
    <cellStyle name="Normal 2 3 9 18 3 6 2" xfId="48964" xr:uid="{00000000-0005-0000-0000-0000AD9A0000}"/>
    <cellStyle name="Normal 2 3 9 18 3 7" xfId="48965" xr:uid="{00000000-0005-0000-0000-0000AE9A0000}"/>
    <cellStyle name="Normal 2 3 9 18 4" xfId="16560" xr:uid="{00000000-0005-0000-0000-0000AF9A0000}"/>
    <cellStyle name="Normal 2 3 9 18 4 2" xfId="16561" xr:uid="{00000000-0005-0000-0000-0000B09A0000}"/>
    <cellStyle name="Normal 2 3 9 18 4 2 2" xfId="48966" xr:uid="{00000000-0005-0000-0000-0000B19A0000}"/>
    <cellStyle name="Normal 2 3 9 18 4 3" xfId="16562" xr:uid="{00000000-0005-0000-0000-0000B29A0000}"/>
    <cellStyle name="Normal 2 3 9 18 4 3 2" xfId="48967" xr:uid="{00000000-0005-0000-0000-0000B39A0000}"/>
    <cellStyle name="Normal 2 3 9 18 4 4" xfId="48968" xr:uid="{00000000-0005-0000-0000-0000B49A0000}"/>
    <cellStyle name="Normal 2 3 9 18 5" xfId="16563" xr:uid="{00000000-0005-0000-0000-0000B59A0000}"/>
    <cellStyle name="Normal 2 3 9 18 5 2" xfId="16564" xr:uid="{00000000-0005-0000-0000-0000B69A0000}"/>
    <cellStyle name="Normal 2 3 9 18 5 2 2" xfId="48969" xr:uid="{00000000-0005-0000-0000-0000B79A0000}"/>
    <cellStyle name="Normal 2 3 9 18 5 3" xfId="48970" xr:uid="{00000000-0005-0000-0000-0000B89A0000}"/>
    <cellStyle name="Normal 2 3 9 18 6" xfId="16565" xr:uid="{00000000-0005-0000-0000-0000B99A0000}"/>
    <cellStyle name="Normal 2 3 9 18 6 2" xfId="48971" xr:uid="{00000000-0005-0000-0000-0000BA9A0000}"/>
    <cellStyle name="Normal 2 3 9 18 7" xfId="16566" xr:uid="{00000000-0005-0000-0000-0000BB9A0000}"/>
    <cellStyle name="Normal 2 3 9 18 7 2" xfId="48972" xr:uid="{00000000-0005-0000-0000-0000BC9A0000}"/>
    <cellStyle name="Normal 2 3 9 18 8" xfId="48973" xr:uid="{00000000-0005-0000-0000-0000BD9A0000}"/>
    <cellStyle name="Normal 2 3 9 18 8 2" xfId="48974" xr:uid="{00000000-0005-0000-0000-0000BE9A0000}"/>
    <cellStyle name="Normal 2 3 9 18 9" xfId="48975" xr:uid="{00000000-0005-0000-0000-0000BF9A0000}"/>
    <cellStyle name="Normal 2 3 9 19" xfId="16567" xr:uid="{00000000-0005-0000-0000-0000C09A0000}"/>
    <cellStyle name="Normal 2 3 9 19 10" xfId="48976" xr:uid="{00000000-0005-0000-0000-0000C19A0000}"/>
    <cellStyle name="Normal 2 3 9 19 11" xfId="48977" xr:uid="{00000000-0005-0000-0000-0000C29A0000}"/>
    <cellStyle name="Normal 2 3 9 19 2" xfId="16568" xr:uid="{00000000-0005-0000-0000-0000C39A0000}"/>
    <cellStyle name="Normal 2 3 9 19 2 10" xfId="48978" xr:uid="{00000000-0005-0000-0000-0000C49A0000}"/>
    <cellStyle name="Normal 2 3 9 19 2 2" xfId="16569" xr:uid="{00000000-0005-0000-0000-0000C59A0000}"/>
    <cellStyle name="Normal 2 3 9 19 2 2 2" xfId="16570" xr:uid="{00000000-0005-0000-0000-0000C69A0000}"/>
    <cellStyle name="Normal 2 3 9 19 2 2 2 2" xfId="16571" xr:uid="{00000000-0005-0000-0000-0000C79A0000}"/>
    <cellStyle name="Normal 2 3 9 19 2 2 2 2 2" xfId="48979" xr:uid="{00000000-0005-0000-0000-0000C89A0000}"/>
    <cellStyle name="Normal 2 3 9 19 2 2 2 3" xfId="16572" xr:uid="{00000000-0005-0000-0000-0000C99A0000}"/>
    <cellStyle name="Normal 2 3 9 19 2 2 2 3 2" xfId="48980" xr:uid="{00000000-0005-0000-0000-0000CA9A0000}"/>
    <cellStyle name="Normal 2 3 9 19 2 2 2 4" xfId="48981" xr:uid="{00000000-0005-0000-0000-0000CB9A0000}"/>
    <cellStyle name="Normal 2 3 9 19 2 2 3" xfId="16573" xr:uid="{00000000-0005-0000-0000-0000CC9A0000}"/>
    <cellStyle name="Normal 2 3 9 19 2 2 3 2" xfId="48982" xr:uid="{00000000-0005-0000-0000-0000CD9A0000}"/>
    <cellStyle name="Normal 2 3 9 19 2 2 4" xfId="16574" xr:uid="{00000000-0005-0000-0000-0000CE9A0000}"/>
    <cellStyle name="Normal 2 3 9 19 2 2 4 2" xfId="48983" xr:uid="{00000000-0005-0000-0000-0000CF9A0000}"/>
    <cellStyle name="Normal 2 3 9 19 2 2 5" xfId="16575" xr:uid="{00000000-0005-0000-0000-0000D09A0000}"/>
    <cellStyle name="Normal 2 3 9 19 2 2 5 2" xfId="48984" xr:uid="{00000000-0005-0000-0000-0000D19A0000}"/>
    <cellStyle name="Normal 2 3 9 19 2 2 6" xfId="48985" xr:uid="{00000000-0005-0000-0000-0000D29A0000}"/>
    <cellStyle name="Normal 2 3 9 19 2 2 6 2" xfId="48986" xr:uid="{00000000-0005-0000-0000-0000D39A0000}"/>
    <cellStyle name="Normal 2 3 9 19 2 2 7" xfId="48987" xr:uid="{00000000-0005-0000-0000-0000D49A0000}"/>
    <cellStyle name="Normal 2 3 9 19 2 3" xfId="16576" xr:uid="{00000000-0005-0000-0000-0000D59A0000}"/>
    <cellStyle name="Normal 2 3 9 19 2 3 2" xfId="16577" xr:uid="{00000000-0005-0000-0000-0000D69A0000}"/>
    <cellStyle name="Normal 2 3 9 19 2 3 2 2" xfId="48988" xr:uid="{00000000-0005-0000-0000-0000D79A0000}"/>
    <cellStyle name="Normal 2 3 9 19 2 3 3" xfId="16578" xr:uid="{00000000-0005-0000-0000-0000D89A0000}"/>
    <cellStyle name="Normal 2 3 9 19 2 3 3 2" xfId="48989" xr:uid="{00000000-0005-0000-0000-0000D99A0000}"/>
    <cellStyle name="Normal 2 3 9 19 2 3 4" xfId="48990" xr:uid="{00000000-0005-0000-0000-0000DA9A0000}"/>
    <cellStyle name="Normal 2 3 9 19 2 4" xfId="16579" xr:uid="{00000000-0005-0000-0000-0000DB9A0000}"/>
    <cellStyle name="Normal 2 3 9 19 2 4 2" xfId="16580" xr:uid="{00000000-0005-0000-0000-0000DC9A0000}"/>
    <cellStyle name="Normal 2 3 9 19 2 4 2 2" xfId="48991" xr:uid="{00000000-0005-0000-0000-0000DD9A0000}"/>
    <cellStyle name="Normal 2 3 9 19 2 4 3" xfId="48992" xr:uid="{00000000-0005-0000-0000-0000DE9A0000}"/>
    <cellStyle name="Normal 2 3 9 19 2 5" xfId="16581" xr:uid="{00000000-0005-0000-0000-0000DF9A0000}"/>
    <cellStyle name="Normal 2 3 9 19 2 5 2" xfId="48993" xr:uid="{00000000-0005-0000-0000-0000E09A0000}"/>
    <cellStyle name="Normal 2 3 9 19 2 6" xfId="16582" xr:uid="{00000000-0005-0000-0000-0000E19A0000}"/>
    <cellStyle name="Normal 2 3 9 19 2 6 2" xfId="48994" xr:uid="{00000000-0005-0000-0000-0000E29A0000}"/>
    <cellStyle name="Normal 2 3 9 19 2 7" xfId="48995" xr:uid="{00000000-0005-0000-0000-0000E39A0000}"/>
    <cellStyle name="Normal 2 3 9 19 2 7 2" xfId="48996" xr:uid="{00000000-0005-0000-0000-0000E49A0000}"/>
    <cellStyle name="Normal 2 3 9 19 2 8" xfId="48997" xr:uid="{00000000-0005-0000-0000-0000E59A0000}"/>
    <cellStyle name="Normal 2 3 9 19 2 9" xfId="48998" xr:uid="{00000000-0005-0000-0000-0000E69A0000}"/>
    <cellStyle name="Normal 2 3 9 19 3" xfId="16583" xr:uid="{00000000-0005-0000-0000-0000E79A0000}"/>
    <cellStyle name="Normal 2 3 9 19 3 2" xfId="16584" xr:uid="{00000000-0005-0000-0000-0000E89A0000}"/>
    <cellStyle name="Normal 2 3 9 19 3 2 2" xfId="16585" xr:uid="{00000000-0005-0000-0000-0000E99A0000}"/>
    <cellStyle name="Normal 2 3 9 19 3 2 2 2" xfId="48999" xr:uid="{00000000-0005-0000-0000-0000EA9A0000}"/>
    <cellStyle name="Normal 2 3 9 19 3 2 3" xfId="16586" xr:uid="{00000000-0005-0000-0000-0000EB9A0000}"/>
    <cellStyle name="Normal 2 3 9 19 3 2 3 2" xfId="49000" xr:uid="{00000000-0005-0000-0000-0000EC9A0000}"/>
    <cellStyle name="Normal 2 3 9 19 3 2 4" xfId="49001" xr:uid="{00000000-0005-0000-0000-0000ED9A0000}"/>
    <cellStyle name="Normal 2 3 9 19 3 3" xfId="16587" xr:uid="{00000000-0005-0000-0000-0000EE9A0000}"/>
    <cellStyle name="Normal 2 3 9 19 3 3 2" xfId="49002" xr:uid="{00000000-0005-0000-0000-0000EF9A0000}"/>
    <cellStyle name="Normal 2 3 9 19 3 4" xfId="16588" xr:uid="{00000000-0005-0000-0000-0000F09A0000}"/>
    <cellStyle name="Normal 2 3 9 19 3 4 2" xfId="49003" xr:uid="{00000000-0005-0000-0000-0000F19A0000}"/>
    <cellStyle name="Normal 2 3 9 19 3 5" xfId="16589" xr:uid="{00000000-0005-0000-0000-0000F29A0000}"/>
    <cellStyle name="Normal 2 3 9 19 3 5 2" xfId="49004" xr:uid="{00000000-0005-0000-0000-0000F39A0000}"/>
    <cellStyle name="Normal 2 3 9 19 3 6" xfId="49005" xr:uid="{00000000-0005-0000-0000-0000F49A0000}"/>
    <cellStyle name="Normal 2 3 9 19 3 6 2" xfId="49006" xr:uid="{00000000-0005-0000-0000-0000F59A0000}"/>
    <cellStyle name="Normal 2 3 9 19 3 7" xfId="49007" xr:uid="{00000000-0005-0000-0000-0000F69A0000}"/>
    <cellStyle name="Normal 2 3 9 19 4" xfId="16590" xr:uid="{00000000-0005-0000-0000-0000F79A0000}"/>
    <cellStyle name="Normal 2 3 9 19 4 2" xfId="16591" xr:uid="{00000000-0005-0000-0000-0000F89A0000}"/>
    <cellStyle name="Normal 2 3 9 19 4 2 2" xfId="49008" xr:uid="{00000000-0005-0000-0000-0000F99A0000}"/>
    <cellStyle name="Normal 2 3 9 19 4 3" xfId="16592" xr:uid="{00000000-0005-0000-0000-0000FA9A0000}"/>
    <cellStyle name="Normal 2 3 9 19 4 3 2" xfId="49009" xr:uid="{00000000-0005-0000-0000-0000FB9A0000}"/>
    <cellStyle name="Normal 2 3 9 19 4 4" xfId="49010" xr:uid="{00000000-0005-0000-0000-0000FC9A0000}"/>
    <cellStyle name="Normal 2 3 9 19 5" xfId="16593" xr:uid="{00000000-0005-0000-0000-0000FD9A0000}"/>
    <cellStyle name="Normal 2 3 9 19 5 2" xfId="16594" xr:uid="{00000000-0005-0000-0000-0000FE9A0000}"/>
    <cellStyle name="Normal 2 3 9 19 5 2 2" xfId="49011" xr:uid="{00000000-0005-0000-0000-0000FF9A0000}"/>
    <cellStyle name="Normal 2 3 9 19 5 3" xfId="49012" xr:uid="{00000000-0005-0000-0000-0000009B0000}"/>
    <cellStyle name="Normal 2 3 9 19 6" xfId="16595" xr:uid="{00000000-0005-0000-0000-0000019B0000}"/>
    <cellStyle name="Normal 2 3 9 19 6 2" xfId="49013" xr:uid="{00000000-0005-0000-0000-0000029B0000}"/>
    <cellStyle name="Normal 2 3 9 19 7" xfId="16596" xr:uid="{00000000-0005-0000-0000-0000039B0000}"/>
    <cellStyle name="Normal 2 3 9 19 7 2" xfId="49014" xr:uid="{00000000-0005-0000-0000-0000049B0000}"/>
    <cellStyle name="Normal 2 3 9 19 8" xfId="49015" xr:uid="{00000000-0005-0000-0000-0000059B0000}"/>
    <cellStyle name="Normal 2 3 9 19 8 2" xfId="49016" xr:uid="{00000000-0005-0000-0000-0000069B0000}"/>
    <cellStyle name="Normal 2 3 9 19 9" xfId="49017" xr:uid="{00000000-0005-0000-0000-0000079B0000}"/>
    <cellStyle name="Normal 2 3 9 2" xfId="16597" xr:uid="{00000000-0005-0000-0000-0000089B0000}"/>
    <cellStyle name="Normal 2 3 9 2 10" xfId="49018" xr:uid="{00000000-0005-0000-0000-0000099B0000}"/>
    <cellStyle name="Normal 2 3 9 2 11" xfId="49019" xr:uid="{00000000-0005-0000-0000-00000A9B0000}"/>
    <cellStyle name="Normal 2 3 9 2 2" xfId="16598" xr:uid="{00000000-0005-0000-0000-00000B9B0000}"/>
    <cellStyle name="Normal 2 3 9 2 2 10" xfId="49020" xr:uid="{00000000-0005-0000-0000-00000C9B0000}"/>
    <cellStyle name="Normal 2 3 9 2 2 2" xfId="16599" xr:uid="{00000000-0005-0000-0000-00000D9B0000}"/>
    <cellStyle name="Normal 2 3 9 2 2 2 2" xfId="16600" xr:uid="{00000000-0005-0000-0000-00000E9B0000}"/>
    <cellStyle name="Normal 2 3 9 2 2 2 2 2" xfId="16601" xr:uid="{00000000-0005-0000-0000-00000F9B0000}"/>
    <cellStyle name="Normal 2 3 9 2 2 2 2 2 2" xfId="49021" xr:uid="{00000000-0005-0000-0000-0000109B0000}"/>
    <cellStyle name="Normal 2 3 9 2 2 2 2 3" xfId="16602" xr:uid="{00000000-0005-0000-0000-0000119B0000}"/>
    <cellStyle name="Normal 2 3 9 2 2 2 2 3 2" xfId="49022" xr:uid="{00000000-0005-0000-0000-0000129B0000}"/>
    <cellStyle name="Normal 2 3 9 2 2 2 2 4" xfId="49023" xr:uid="{00000000-0005-0000-0000-0000139B0000}"/>
    <cellStyle name="Normal 2 3 9 2 2 2 3" xfId="16603" xr:uid="{00000000-0005-0000-0000-0000149B0000}"/>
    <cellStyle name="Normal 2 3 9 2 2 2 3 2" xfId="49024" xr:uid="{00000000-0005-0000-0000-0000159B0000}"/>
    <cellStyle name="Normal 2 3 9 2 2 2 4" xfId="16604" xr:uid="{00000000-0005-0000-0000-0000169B0000}"/>
    <cellStyle name="Normal 2 3 9 2 2 2 4 2" xfId="49025" xr:uid="{00000000-0005-0000-0000-0000179B0000}"/>
    <cellStyle name="Normal 2 3 9 2 2 2 5" xfId="16605" xr:uid="{00000000-0005-0000-0000-0000189B0000}"/>
    <cellStyle name="Normal 2 3 9 2 2 2 5 2" xfId="49026" xr:uid="{00000000-0005-0000-0000-0000199B0000}"/>
    <cellStyle name="Normal 2 3 9 2 2 2 6" xfId="49027" xr:uid="{00000000-0005-0000-0000-00001A9B0000}"/>
    <cellStyle name="Normal 2 3 9 2 2 2 6 2" xfId="49028" xr:uid="{00000000-0005-0000-0000-00001B9B0000}"/>
    <cellStyle name="Normal 2 3 9 2 2 2 7" xfId="49029" xr:uid="{00000000-0005-0000-0000-00001C9B0000}"/>
    <cellStyle name="Normal 2 3 9 2 2 3" xfId="16606" xr:uid="{00000000-0005-0000-0000-00001D9B0000}"/>
    <cellStyle name="Normal 2 3 9 2 2 3 2" xfId="16607" xr:uid="{00000000-0005-0000-0000-00001E9B0000}"/>
    <cellStyle name="Normal 2 3 9 2 2 3 2 2" xfId="49030" xr:uid="{00000000-0005-0000-0000-00001F9B0000}"/>
    <cellStyle name="Normal 2 3 9 2 2 3 3" xfId="16608" xr:uid="{00000000-0005-0000-0000-0000209B0000}"/>
    <cellStyle name="Normal 2 3 9 2 2 3 3 2" xfId="49031" xr:uid="{00000000-0005-0000-0000-0000219B0000}"/>
    <cellStyle name="Normal 2 3 9 2 2 3 4" xfId="49032" xr:uid="{00000000-0005-0000-0000-0000229B0000}"/>
    <cellStyle name="Normal 2 3 9 2 2 4" xfId="16609" xr:uid="{00000000-0005-0000-0000-0000239B0000}"/>
    <cellStyle name="Normal 2 3 9 2 2 4 2" xfId="16610" xr:uid="{00000000-0005-0000-0000-0000249B0000}"/>
    <cellStyle name="Normal 2 3 9 2 2 4 2 2" xfId="49033" xr:uid="{00000000-0005-0000-0000-0000259B0000}"/>
    <cellStyle name="Normal 2 3 9 2 2 4 3" xfId="49034" xr:uid="{00000000-0005-0000-0000-0000269B0000}"/>
    <cellStyle name="Normal 2 3 9 2 2 5" xfId="16611" xr:uid="{00000000-0005-0000-0000-0000279B0000}"/>
    <cellStyle name="Normal 2 3 9 2 2 5 2" xfId="49035" xr:uid="{00000000-0005-0000-0000-0000289B0000}"/>
    <cellStyle name="Normal 2 3 9 2 2 6" xfId="16612" xr:uid="{00000000-0005-0000-0000-0000299B0000}"/>
    <cellStyle name="Normal 2 3 9 2 2 6 2" xfId="49036" xr:uid="{00000000-0005-0000-0000-00002A9B0000}"/>
    <cellStyle name="Normal 2 3 9 2 2 7" xfId="49037" xr:uid="{00000000-0005-0000-0000-00002B9B0000}"/>
    <cellStyle name="Normal 2 3 9 2 2 7 2" xfId="49038" xr:uid="{00000000-0005-0000-0000-00002C9B0000}"/>
    <cellStyle name="Normal 2 3 9 2 2 8" xfId="49039" xr:uid="{00000000-0005-0000-0000-00002D9B0000}"/>
    <cellStyle name="Normal 2 3 9 2 2 9" xfId="49040" xr:uid="{00000000-0005-0000-0000-00002E9B0000}"/>
    <cellStyle name="Normal 2 3 9 2 3" xfId="16613" xr:uid="{00000000-0005-0000-0000-00002F9B0000}"/>
    <cellStyle name="Normal 2 3 9 2 3 2" xfId="16614" xr:uid="{00000000-0005-0000-0000-0000309B0000}"/>
    <cellStyle name="Normal 2 3 9 2 3 2 2" xfId="16615" xr:uid="{00000000-0005-0000-0000-0000319B0000}"/>
    <cellStyle name="Normal 2 3 9 2 3 2 2 2" xfId="49041" xr:uid="{00000000-0005-0000-0000-0000329B0000}"/>
    <cellStyle name="Normal 2 3 9 2 3 2 3" xfId="16616" xr:uid="{00000000-0005-0000-0000-0000339B0000}"/>
    <cellStyle name="Normal 2 3 9 2 3 2 3 2" xfId="49042" xr:uid="{00000000-0005-0000-0000-0000349B0000}"/>
    <cellStyle name="Normal 2 3 9 2 3 2 4" xfId="49043" xr:uid="{00000000-0005-0000-0000-0000359B0000}"/>
    <cellStyle name="Normal 2 3 9 2 3 3" xfId="16617" xr:uid="{00000000-0005-0000-0000-0000369B0000}"/>
    <cellStyle name="Normal 2 3 9 2 3 3 2" xfId="49044" xr:uid="{00000000-0005-0000-0000-0000379B0000}"/>
    <cellStyle name="Normal 2 3 9 2 3 4" xfId="16618" xr:uid="{00000000-0005-0000-0000-0000389B0000}"/>
    <cellStyle name="Normal 2 3 9 2 3 4 2" xfId="49045" xr:uid="{00000000-0005-0000-0000-0000399B0000}"/>
    <cellStyle name="Normal 2 3 9 2 3 5" xfId="16619" xr:uid="{00000000-0005-0000-0000-00003A9B0000}"/>
    <cellStyle name="Normal 2 3 9 2 3 5 2" xfId="49046" xr:uid="{00000000-0005-0000-0000-00003B9B0000}"/>
    <cellStyle name="Normal 2 3 9 2 3 6" xfId="49047" xr:uid="{00000000-0005-0000-0000-00003C9B0000}"/>
    <cellStyle name="Normal 2 3 9 2 3 6 2" xfId="49048" xr:uid="{00000000-0005-0000-0000-00003D9B0000}"/>
    <cellStyle name="Normal 2 3 9 2 3 7" xfId="49049" xr:uid="{00000000-0005-0000-0000-00003E9B0000}"/>
    <cellStyle name="Normal 2 3 9 2 4" xfId="16620" xr:uid="{00000000-0005-0000-0000-00003F9B0000}"/>
    <cellStyle name="Normal 2 3 9 2 4 2" xfId="16621" xr:uid="{00000000-0005-0000-0000-0000409B0000}"/>
    <cellStyle name="Normal 2 3 9 2 4 2 2" xfId="49050" xr:uid="{00000000-0005-0000-0000-0000419B0000}"/>
    <cellStyle name="Normal 2 3 9 2 4 3" xfId="16622" xr:uid="{00000000-0005-0000-0000-0000429B0000}"/>
    <cellStyle name="Normal 2 3 9 2 4 3 2" xfId="49051" xr:uid="{00000000-0005-0000-0000-0000439B0000}"/>
    <cellStyle name="Normal 2 3 9 2 4 4" xfId="49052" xr:uid="{00000000-0005-0000-0000-0000449B0000}"/>
    <cellStyle name="Normal 2 3 9 2 5" xfId="16623" xr:uid="{00000000-0005-0000-0000-0000459B0000}"/>
    <cellStyle name="Normal 2 3 9 2 5 2" xfId="16624" xr:uid="{00000000-0005-0000-0000-0000469B0000}"/>
    <cellStyle name="Normal 2 3 9 2 5 2 2" xfId="49053" xr:uid="{00000000-0005-0000-0000-0000479B0000}"/>
    <cellStyle name="Normal 2 3 9 2 5 3" xfId="49054" xr:uid="{00000000-0005-0000-0000-0000489B0000}"/>
    <cellStyle name="Normal 2 3 9 2 6" xfId="16625" xr:uid="{00000000-0005-0000-0000-0000499B0000}"/>
    <cellStyle name="Normal 2 3 9 2 6 2" xfId="49055" xr:uid="{00000000-0005-0000-0000-00004A9B0000}"/>
    <cellStyle name="Normal 2 3 9 2 7" xfId="16626" xr:uid="{00000000-0005-0000-0000-00004B9B0000}"/>
    <cellStyle name="Normal 2 3 9 2 7 2" xfId="49056" xr:uid="{00000000-0005-0000-0000-00004C9B0000}"/>
    <cellStyle name="Normal 2 3 9 2 8" xfId="49057" xr:uid="{00000000-0005-0000-0000-00004D9B0000}"/>
    <cellStyle name="Normal 2 3 9 2 8 2" xfId="49058" xr:uid="{00000000-0005-0000-0000-00004E9B0000}"/>
    <cellStyle name="Normal 2 3 9 2 9" xfId="49059" xr:uid="{00000000-0005-0000-0000-00004F9B0000}"/>
    <cellStyle name="Normal 2 3 9 20" xfId="16627" xr:uid="{00000000-0005-0000-0000-0000509B0000}"/>
    <cellStyle name="Normal 2 3 9 20 10" xfId="49060" xr:uid="{00000000-0005-0000-0000-0000519B0000}"/>
    <cellStyle name="Normal 2 3 9 20 11" xfId="49061" xr:uid="{00000000-0005-0000-0000-0000529B0000}"/>
    <cellStyle name="Normal 2 3 9 20 2" xfId="16628" xr:uid="{00000000-0005-0000-0000-0000539B0000}"/>
    <cellStyle name="Normal 2 3 9 20 2 10" xfId="49062" xr:uid="{00000000-0005-0000-0000-0000549B0000}"/>
    <cellStyle name="Normal 2 3 9 20 2 2" xfId="16629" xr:uid="{00000000-0005-0000-0000-0000559B0000}"/>
    <cellStyle name="Normal 2 3 9 20 2 2 2" xfId="16630" xr:uid="{00000000-0005-0000-0000-0000569B0000}"/>
    <cellStyle name="Normal 2 3 9 20 2 2 2 2" xfId="16631" xr:uid="{00000000-0005-0000-0000-0000579B0000}"/>
    <cellStyle name="Normal 2 3 9 20 2 2 2 2 2" xfId="49063" xr:uid="{00000000-0005-0000-0000-0000589B0000}"/>
    <cellStyle name="Normal 2 3 9 20 2 2 2 3" xfId="16632" xr:uid="{00000000-0005-0000-0000-0000599B0000}"/>
    <cellStyle name="Normal 2 3 9 20 2 2 2 3 2" xfId="49064" xr:uid="{00000000-0005-0000-0000-00005A9B0000}"/>
    <cellStyle name="Normal 2 3 9 20 2 2 2 4" xfId="49065" xr:uid="{00000000-0005-0000-0000-00005B9B0000}"/>
    <cellStyle name="Normal 2 3 9 20 2 2 3" xfId="16633" xr:uid="{00000000-0005-0000-0000-00005C9B0000}"/>
    <cellStyle name="Normal 2 3 9 20 2 2 3 2" xfId="49066" xr:uid="{00000000-0005-0000-0000-00005D9B0000}"/>
    <cellStyle name="Normal 2 3 9 20 2 2 4" xfId="16634" xr:uid="{00000000-0005-0000-0000-00005E9B0000}"/>
    <cellStyle name="Normal 2 3 9 20 2 2 4 2" xfId="49067" xr:uid="{00000000-0005-0000-0000-00005F9B0000}"/>
    <cellStyle name="Normal 2 3 9 20 2 2 5" xfId="16635" xr:uid="{00000000-0005-0000-0000-0000609B0000}"/>
    <cellStyle name="Normal 2 3 9 20 2 2 5 2" xfId="49068" xr:uid="{00000000-0005-0000-0000-0000619B0000}"/>
    <cellStyle name="Normal 2 3 9 20 2 2 6" xfId="49069" xr:uid="{00000000-0005-0000-0000-0000629B0000}"/>
    <cellStyle name="Normal 2 3 9 20 2 2 6 2" xfId="49070" xr:uid="{00000000-0005-0000-0000-0000639B0000}"/>
    <cellStyle name="Normal 2 3 9 20 2 2 7" xfId="49071" xr:uid="{00000000-0005-0000-0000-0000649B0000}"/>
    <cellStyle name="Normal 2 3 9 20 2 3" xfId="16636" xr:uid="{00000000-0005-0000-0000-0000659B0000}"/>
    <cellStyle name="Normal 2 3 9 20 2 3 2" xfId="16637" xr:uid="{00000000-0005-0000-0000-0000669B0000}"/>
    <cellStyle name="Normal 2 3 9 20 2 3 2 2" xfId="49072" xr:uid="{00000000-0005-0000-0000-0000679B0000}"/>
    <cellStyle name="Normal 2 3 9 20 2 3 3" xfId="16638" xr:uid="{00000000-0005-0000-0000-0000689B0000}"/>
    <cellStyle name="Normal 2 3 9 20 2 3 3 2" xfId="49073" xr:uid="{00000000-0005-0000-0000-0000699B0000}"/>
    <cellStyle name="Normal 2 3 9 20 2 3 4" xfId="49074" xr:uid="{00000000-0005-0000-0000-00006A9B0000}"/>
    <cellStyle name="Normal 2 3 9 20 2 4" xfId="16639" xr:uid="{00000000-0005-0000-0000-00006B9B0000}"/>
    <cellStyle name="Normal 2 3 9 20 2 4 2" xfId="16640" xr:uid="{00000000-0005-0000-0000-00006C9B0000}"/>
    <cellStyle name="Normal 2 3 9 20 2 4 2 2" xfId="49075" xr:uid="{00000000-0005-0000-0000-00006D9B0000}"/>
    <cellStyle name="Normal 2 3 9 20 2 4 3" xfId="49076" xr:uid="{00000000-0005-0000-0000-00006E9B0000}"/>
    <cellStyle name="Normal 2 3 9 20 2 5" xfId="16641" xr:uid="{00000000-0005-0000-0000-00006F9B0000}"/>
    <cellStyle name="Normal 2 3 9 20 2 5 2" xfId="49077" xr:uid="{00000000-0005-0000-0000-0000709B0000}"/>
    <cellStyle name="Normal 2 3 9 20 2 6" xfId="16642" xr:uid="{00000000-0005-0000-0000-0000719B0000}"/>
    <cellStyle name="Normal 2 3 9 20 2 6 2" xfId="49078" xr:uid="{00000000-0005-0000-0000-0000729B0000}"/>
    <cellStyle name="Normal 2 3 9 20 2 7" xfId="49079" xr:uid="{00000000-0005-0000-0000-0000739B0000}"/>
    <cellStyle name="Normal 2 3 9 20 2 7 2" xfId="49080" xr:uid="{00000000-0005-0000-0000-0000749B0000}"/>
    <cellStyle name="Normal 2 3 9 20 2 8" xfId="49081" xr:uid="{00000000-0005-0000-0000-0000759B0000}"/>
    <cellStyle name="Normal 2 3 9 20 2 9" xfId="49082" xr:uid="{00000000-0005-0000-0000-0000769B0000}"/>
    <cellStyle name="Normal 2 3 9 20 3" xfId="16643" xr:uid="{00000000-0005-0000-0000-0000779B0000}"/>
    <cellStyle name="Normal 2 3 9 20 3 2" xfId="16644" xr:uid="{00000000-0005-0000-0000-0000789B0000}"/>
    <cellStyle name="Normal 2 3 9 20 3 2 2" xfId="16645" xr:uid="{00000000-0005-0000-0000-0000799B0000}"/>
    <cellStyle name="Normal 2 3 9 20 3 2 2 2" xfId="49083" xr:uid="{00000000-0005-0000-0000-00007A9B0000}"/>
    <cellStyle name="Normal 2 3 9 20 3 2 3" xfId="16646" xr:uid="{00000000-0005-0000-0000-00007B9B0000}"/>
    <cellStyle name="Normal 2 3 9 20 3 2 3 2" xfId="49084" xr:uid="{00000000-0005-0000-0000-00007C9B0000}"/>
    <cellStyle name="Normal 2 3 9 20 3 2 4" xfId="49085" xr:uid="{00000000-0005-0000-0000-00007D9B0000}"/>
    <cellStyle name="Normal 2 3 9 20 3 3" xfId="16647" xr:uid="{00000000-0005-0000-0000-00007E9B0000}"/>
    <cellStyle name="Normal 2 3 9 20 3 3 2" xfId="49086" xr:uid="{00000000-0005-0000-0000-00007F9B0000}"/>
    <cellStyle name="Normal 2 3 9 20 3 4" xfId="16648" xr:uid="{00000000-0005-0000-0000-0000809B0000}"/>
    <cellStyle name="Normal 2 3 9 20 3 4 2" xfId="49087" xr:uid="{00000000-0005-0000-0000-0000819B0000}"/>
    <cellStyle name="Normal 2 3 9 20 3 5" xfId="16649" xr:uid="{00000000-0005-0000-0000-0000829B0000}"/>
    <cellStyle name="Normal 2 3 9 20 3 5 2" xfId="49088" xr:uid="{00000000-0005-0000-0000-0000839B0000}"/>
    <cellStyle name="Normal 2 3 9 20 3 6" xfId="49089" xr:uid="{00000000-0005-0000-0000-0000849B0000}"/>
    <cellStyle name="Normal 2 3 9 20 3 6 2" xfId="49090" xr:uid="{00000000-0005-0000-0000-0000859B0000}"/>
    <cellStyle name="Normal 2 3 9 20 3 7" xfId="49091" xr:uid="{00000000-0005-0000-0000-0000869B0000}"/>
    <cellStyle name="Normal 2 3 9 20 4" xfId="16650" xr:uid="{00000000-0005-0000-0000-0000879B0000}"/>
    <cellStyle name="Normal 2 3 9 20 4 2" xfId="16651" xr:uid="{00000000-0005-0000-0000-0000889B0000}"/>
    <cellStyle name="Normal 2 3 9 20 4 2 2" xfId="49092" xr:uid="{00000000-0005-0000-0000-0000899B0000}"/>
    <cellStyle name="Normal 2 3 9 20 4 3" xfId="16652" xr:uid="{00000000-0005-0000-0000-00008A9B0000}"/>
    <cellStyle name="Normal 2 3 9 20 4 3 2" xfId="49093" xr:uid="{00000000-0005-0000-0000-00008B9B0000}"/>
    <cellStyle name="Normal 2 3 9 20 4 4" xfId="49094" xr:uid="{00000000-0005-0000-0000-00008C9B0000}"/>
    <cellStyle name="Normal 2 3 9 20 5" xfId="16653" xr:uid="{00000000-0005-0000-0000-00008D9B0000}"/>
    <cellStyle name="Normal 2 3 9 20 5 2" xfId="16654" xr:uid="{00000000-0005-0000-0000-00008E9B0000}"/>
    <cellStyle name="Normal 2 3 9 20 5 2 2" xfId="49095" xr:uid="{00000000-0005-0000-0000-00008F9B0000}"/>
    <cellStyle name="Normal 2 3 9 20 5 3" xfId="49096" xr:uid="{00000000-0005-0000-0000-0000909B0000}"/>
    <cellStyle name="Normal 2 3 9 20 6" xfId="16655" xr:uid="{00000000-0005-0000-0000-0000919B0000}"/>
    <cellStyle name="Normal 2 3 9 20 6 2" xfId="49097" xr:uid="{00000000-0005-0000-0000-0000929B0000}"/>
    <cellStyle name="Normal 2 3 9 20 7" xfId="16656" xr:uid="{00000000-0005-0000-0000-0000939B0000}"/>
    <cellStyle name="Normal 2 3 9 20 7 2" xfId="49098" xr:uid="{00000000-0005-0000-0000-0000949B0000}"/>
    <cellStyle name="Normal 2 3 9 20 8" xfId="49099" xr:uid="{00000000-0005-0000-0000-0000959B0000}"/>
    <cellStyle name="Normal 2 3 9 20 8 2" xfId="49100" xr:uid="{00000000-0005-0000-0000-0000969B0000}"/>
    <cellStyle name="Normal 2 3 9 20 9" xfId="49101" xr:uid="{00000000-0005-0000-0000-0000979B0000}"/>
    <cellStyle name="Normal 2 3 9 21" xfId="16657" xr:uid="{00000000-0005-0000-0000-0000989B0000}"/>
    <cellStyle name="Normal 2 3 9 21 10" xfId="49102" xr:uid="{00000000-0005-0000-0000-0000999B0000}"/>
    <cellStyle name="Normal 2 3 9 21 11" xfId="49103" xr:uid="{00000000-0005-0000-0000-00009A9B0000}"/>
    <cellStyle name="Normal 2 3 9 21 2" xfId="16658" xr:uid="{00000000-0005-0000-0000-00009B9B0000}"/>
    <cellStyle name="Normal 2 3 9 21 2 10" xfId="49104" xr:uid="{00000000-0005-0000-0000-00009C9B0000}"/>
    <cellStyle name="Normal 2 3 9 21 2 2" xfId="16659" xr:uid="{00000000-0005-0000-0000-00009D9B0000}"/>
    <cellStyle name="Normal 2 3 9 21 2 2 2" xfId="16660" xr:uid="{00000000-0005-0000-0000-00009E9B0000}"/>
    <cellStyle name="Normal 2 3 9 21 2 2 2 2" xfId="16661" xr:uid="{00000000-0005-0000-0000-00009F9B0000}"/>
    <cellStyle name="Normal 2 3 9 21 2 2 2 2 2" xfId="49105" xr:uid="{00000000-0005-0000-0000-0000A09B0000}"/>
    <cellStyle name="Normal 2 3 9 21 2 2 2 3" xfId="16662" xr:uid="{00000000-0005-0000-0000-0000A19B0000}"/>
    <cellStyle name="Normal 2 3 9 21 2 2 2 3 2" xfId="49106" xr:uid="{00000000-0005-0000-0000-0000A29B0000}"/>
    <cellStyle name="Normal 2 3 9 21 2 2 2 4" xfId="49107" xr:uid="{00000000-0005-0000-0000-0000A39B0000}"/>
    <cellStyle name="Normal 2 3 9 21 2 2 3" xfId="16663" xr:uid="{00000000-0005-0000-0000-0000A49B0000}"/>
    <cellStyle name="Normal 2 3 9 21 2 2 3 2" xfId="49108" xr:uid="{00000000-0005-0000-0000-0000A59B0000}"/>
    <cellStyle name="Normal 2 3 9 21 2 2 4" xfId="16664" xr:uid="{00000000-0005-0000-0000-0000A69B0000}"/>
    <cellStyle name="Normal 2 3 9 21 2 2 4 2" xfId="49109" xr:uid="{00000000-0005-0000-0000-0000A79B0000}"/>
    <cellStyle name="Normal 2 3 9 21 2 2 5" xfId="16665" xr:uid="{00000000-0005-0000-0000-0000A89B0000}"/>
    <cellStyle name="Normal 2 3 9 21 2 2 5 2" xfId="49110" xr:uid="{00000000-0005-0000-0000-0000A99B0000}"/>
    <cellStyle name="Normal 2 3 9 21 2 2 6" xfId="49111" xr:uid="{00000000-0005-0000-0000-0000AA9B0000}"/>
    <cellStyle name="Normal 2 3 9 21 2 2 6 2" xfId="49112" xr:uid="{00000000-0005-0000-0000-0000AB9B0000}"/>
    <cellStyle name="Normal 2 3 9 21 2 2 7" xfId="49113" xr:uid="{00000000-0005-0000-0000-0000AC9B0000}"/>
    <cellStyle name="Normal 2 3 9 21 2 3" xfId="16666" xr:uid="{00000000-0005-0000-0000-0000AD9B0000}"/>
    <cellStyle name="Normal 2 3 9 21 2 3 2" xfId="16667" xr:uid="{00000000-0005-0000-0000-0000AE9B0000}"/>
    <cellStyle name="Normal 2 3 9 21 2 3 2 2" xfId="49114" xr:uid="{00000000-0005-0000-0000-0000AF9B0000}"/>
    <cellStyle name="Normal 2 3 9 21 2 3 3" xfId="16668" xr:uid="{00000000-0005-0000-0000-0000B09B0000}"/>
    <cellStyle name="Normal 2 3 9 21 2 3 3 2" xfId="49115" xr:uid="{00000000-0005-0000-0000-0000B19B0000}"/>
    <cellStyle name="Normal 2 3 9 21 2 3 4" xfId="49116" xr:uid="{00000000-0005-0000-0000-0000B29B0000}"/>
    <cellStyle name="Normal 2 3 9 21 2 4" xfId="16669" xr:uid="{00000000-0005-0000-0000-0000B39B0000}"/>
    <cellStyle name="Normal 2 3 9 21 2 4 2" xfId="16670" xr:uid="{00000000-0005-0000-0000-0000B49B0000}"/>
    <cellStyle name="Normal 2 3 9 21 2 4 2 2" xfId="49117" xr:uid="{00000000-0005-0000-0000-0000B59B0000}"/>
    <cellStyle name="Normal 2 3 9 21 2 4 3" xfId="49118" xr:uid="{00000000-0005-0000-0000-0000B69B0000}"/>
    <cellStyle name="Normal 2 3 9 21 2 5" xfId="16671" xr:uid="{00000000-0005-0000-0000-0000B79B0000}"/>
    <cellStyle name="Normal 2 3 9 21 2 5 2" xfId="49119" xr:uid="{00000000-0005-0000-0000-0000B89B0000}"/>
    <cellStyle name="Normal 2 3 9 21 2 6" xfId="16672" xr:uid="{00000000-0005-0000-0000-0000B99B0000}"/>
    <cellStyle name="Normal 2 3 9 21 2 6 2" xfId="49120" xr:uid="{00000000-0005-0000-0000-0000BA9B0000}"/>
    <cellStyle name="Normal 2 3 9 21 2 7" xfId="49121" xr:uid="{00000000-0005-0000-0000-0000BB9B0000}"/>
    <cellStyle name="Normal 2 3 9 21 2 7 2" xfId="49122" xr:uid="{00000000-0005-0000-0000-0000BC9B0000}"/>
    <cellStyle name="Normal 2 3 9 21 2 8" xfId="49123" xr:uid="{00000000-0005-0000-0000-0000BD9B0000}"/>
    <cellStyle name="Normal 2 3 9 21 2 9" xfId="49124" xr:uid="{00000000-0005-0000-0000-0000BE9B0000}"/>
    <cellStyle name="Normal 2 3 9 21 3" xfId="16673" xr:uid="{00000000-0005-0000-0000-0000BF9B0000}"/>
    <cellStyle name="Normal 2 3 9 21 3 2" xfId="16674" xr:uid="{00000000-0005-0000-0000-0000C09B0000}"/>
    <cellStyle name="Normal 2 3 9 21 3 2 2" xfId="16675" xr:uid="{00000000-0005-0000-0000-0000C19B0000}"/>
    <cellStyle name="Normal 2 3 9 21 3 2 2 2" xfId="49125" xr:uid="{00000000-0005-0000-0000-0000C29B0000}"/>
    <cellStyle name="Normal 2 3 9 21 3 2 3" xfId="16676" xr:uid="{00000000-0005-0000-0000-0000C39B0000}"/>
    <cellStyle name="Normal 2 3 9 21 3 2 3 2" xfId="49126" xr:uid="{00000000-0005-0000-0000-0000C49B0000}"/>
    <cellStyle name="Normal 2 3 9 21 3 2 4" xfId="49127" xr:uid="{00000000-0005-0000-0000-0000C59B0000}"/>
    <cellStyle name="Normal 2 3 9 21 3 3" xfId="16677" xr:uid="{00000000-0005-0000-0000-0000C69B0000}"/>
    <cellStyle name="Normal 2 3 9 21 3 3 2" xfId="49128" xr:uid="{00000000-0005-0000-0000-0000C79B0000}"/>
    <cellStyle name="Normal 2 3 9 21 3 4" xfId="16678" xr:uid="{00000000-0005-0000-0000-0000C89B0000}"/>
    <cellStyle name="Normal 2 3 9 21 3 4 2" xfId="49129" xr:uid="{00000000-0005-0000-0000-0000C99B0000}"/>
    <cellStyle name="Normal 2 3 9 21 3 5" xfId="16679" xr:uid="{00000000-0005-0000-0000-0000CA9B0000}"/>
    <cellStyle name="Normal 2 3 9 21 3 5 2" xfId="49130" xr:uid="{00000000-0005-0000-0000-0000CB9B0000}"/>
    <cellStyle name="Normal 2 3 9 21 3 6" xfId="49131" xr:uid="{00000000-0005-0000-0000-0000CC9B0000}"/>
    <cellStyle name="Normal 2 3 9 21 3 6 2" xfId="49132" xr:uid="{00000000-0005-0000-0000-0000CD9B0000}"/>
    <cellStyle name="Normal 2 3 9 21 3 7" xfId="49133" xr:uid="{00000000-0005-0000-0000-0000CE9B0000}"/>
    <cellStyle name="Normal 2 3 9 21 4" xfId="16680" xr:uid="{00000000-0005-0000-0000-0000CF9B0000}"/>
    <cellStyle name="Normal 2 3 9 21 4 2" xfId="16681" xr:uid="{00000000-0005-0000-0000-0000D09B0000}"/>
    <cellStyle name="Normal 2 3 9 21 4 2 2" xfId="49134" xr:uid="{00000000-0005-0000-0000-0000D19B0000}"/>
    <cellStyle name="Normal 2 3 9 21 4 3" xfId="16682" xr:uid="{00000000-0005-0000-0000-0000D29B0000}"/>
    <cellStyle name="Normal 2 3 9 21 4 3 2" xfId="49135" xr:uid="{00000000-0005-0000-0000-0000D39B0000}"/>
    <cellStyle name="Normal 2 3 9 21 4 4" xfId="49136" xr:uid="{00000000-0005-0000-0000-0000D49B0000}"/>
    <cellStyle name="Normal 2 3 9 21 5" xfId="16683" xr:uid="{00000000-0005-0000-0000-0000D59B0000}"/>
    <cellStyle name="Normal 2 3 9 21 5 2" xfId="16684" xr:uid="{00000000-0005-0000-0000-0000D69B0000}"/>
    <cellStyle name="Normal 2 3 9 21 5 2 2" xfId="49137" xr:uid="{00000000-0005-0000-0000-0000D79B0000}"/>
    <cellStyle name="Normal 2 3 9 21 5 3" xfId="49138" xr:uid="{00000000-0005-0000-0000-0000D89B0000}"/>
    <cellStyle name="Normal 2 3 9 21 6" xfId="16685" xr:uid="{00000000-0005-0000-0000-0000D99B0000}"/>
    <cellStyle name="Normal 2 3 9 21 6 2" xfId="49139" xr:uid="{00000000-0005-0000-0000-0000DA9B0000}"/>
    <cellStyle name="Normal 2 3 9 21 7" xfId="16686" xr:uid="{00000000-0005-0000-0000-0000DB9B0000}"/>
    <cellStyle name="Normal 2 3 9 21 7 2" xfId="49140" xr:uid="{00000000-0005-0000-0000-0000DC9B0000}"/>
    <cellStyle name="Normal 2 3 9 21 8" xfId="49141" xr:uid="{00000000-0005-0000-0000-0000DD9B0000}"/>
    <cellStyle name="Normal 2 3 9 21 8 2" xfId="49142" xr:uid="{00000000-0005-0000-0000-0000DE9B0000}"/>
    <cellStyle name="Normal 2 3 9 21 9" xfId="49143" xr:uid="{00000000-0005-0000-0000-0000DF9B0000}"/>
    <cellStyle name="Normal 2 3 9 22" xfId="16687" xr:uid="{00000000-0005-0000-0000-0000E09B0000}"/>
    <cellStyle name="Normal 2 3 9 22 10" xfId="49144" xr:uid="{00000000-0005-0000-0000-0000E19B0000}"/>
    <cellStyle name="Normal 2 3 9 22 11" xfId="49145" xr:uid="{00000000-0005-0000-0000-0000E29B0000}"/>
    <cellStyle name="Normal 2 3 9 22 2" xfId="16688" xr:uid="{00000000-0005-0000-0000-0000E39B0000}"/>
    <cellStyle name="Normal 2 3 9 22 2 10" xfId="49146" xr:uid="{00000000-0005-0000-0000-0000E49B0000}"/>
    <cellStyle name="Normal 2 3 9 22 2 2" xfId="16689" xr:uid="{00000000-0005-0000-0000-0000E59B0000}"/>
    <cellStyle name="Normal 2 3 9 22 2 2 2" xfId="16690" xr:uid="{00000000-0005-0000-0000-0000E69B0000}"/>
    <cellStyle name="Normal 2 3 9 22 2 2 2 2" xfId="16691" xr:uid="{00000000-0005-0000-0000-0000E79B0000}"/>
    <cellStyle name="Normal 2 3 9 22 2 2 2 2 2" xfId="49147" xr:uid="{00000000-0005-0000-0000-0000E89B0000}"/>
    <cellStyle name="Normal 2 3 9 22 2 2 2 3" xfId="16692" xr:uid="{00000000-0005-0000-0000-0000E99B0000}"/>
    <cellStyle name="Normal 2 3 9 22 2 2 2 3 2" xfId="49148" xr:uid="{00000000-0005-0000-0000-0000EA9B0000}"/>
    <cellStyle name="Normal 2 3 9 22 2 2 2 4" xfId="49149" xr:uid="{00000000-0005-0000-0000-0000EB9B0000}"/>
    <cellStyle name="Normal 2 3 9 22 2 2 3" xfId="16693" xr:uid="{00000000-0005-0000-0000-0000EC9B0000}"/>
    <cellStyle name="Normal 2 3 9 22 2 2 3 2" xfId="49150" xr:uid="{00000000-0005-0000-0000-0000ED9B0000}"/>
    <cellStyle name="Normal 2 3 9 22 2 2 4" xfId="16694" xr:uid="{00000000-0005-0000-0000-0000EE9B0000}"/>
    <cellStyle name="Normal 2 3 9 22 2 2 4 2" xfId="49151" xr:uid="{00000000-0005-0000-0000-0000EF9B0000}"/>
    <cellStyle name="Normal 2 3 9 22 2 2 5" xfId="16695" xr:uid="{00000000-0005-0000-0000-0000F09B0000}"/>
    <cellStyle name="Normal 2 3 9 22 2 2 5 2" xfId="49152" xr:uid="{00000000-0005-0000-0000-0000F19B0000}"/>
    <cellStyle name="Normal 2 3 9 22 2 2 6" xfId="49153" xr:uid="{00000000-0005-0000-0000-0000F29B0000}"/>
    <cellStyle name="Normal 2 3 9 22 2 2 6 2" xfId="49154" xr:uid="{00000000-0005-0000-0000-0000F39B0000}"/>
    <cellStyle name="Normal 2 3 9 22 2 2 7" xfId="49155" xr:uid="{00000000-0005-0000-0000-0000F49B0000}"/>
    <cellStyle name="Normal 2 3 9 22 2 3" xfId="16696" xr:uid="{00000000-0005-0000-0000-0000F59B0000}"/>
    <cellStyle name="Normal 2 3 9 22 2 3 2" xfId="16697" xr:uid="{00000000-0005-0000-0000-0000F69B0000}"/>
    <cellStyle name="Normal 2 3 9 22 2 3 2 2" xfId="49156" xr:uid="{00000000-0005-0000-0000-0000F79B0000}"/>
    <cellStyle name="Normal 2 3 9 22 2 3 3" xfId="16698" xr:uid="{00000000-0005-0000-0000-0000F89B0000}"/>
    <cellStyle name="Normal 2 3 9 22 2 3 3 2" xfId="49157" xr:uid="{00000000-0005-0000-0000-0000F99B0000}"/>
    <cellStyle name="Normal 2 3 9 22 2 3 4" xfId="49158" xr:uid="{00000000-0005-0000-0000-0000FA9B0000}"/>
    <cellStyle name="Normal 2 3 9 22 2 4" xfId="16699" xr:uid="{00000000-0005-0000-0000-0000FB9B0000}"/>
    <cellStyle name="Normal 2 3 9 22 2 4 2" xfId="16700" xr:uid="{00000000-0005-0000-0000-0000FC9B0000}"/>
    <cellStyle name="Normal 2 3 9 22 2 4 2 2" xfId="49159" xr:uid="{00000000-0005-0000-0000-0000FD9B0000}"/>
    <cellStyle name="Normal 2 3 9 22 2 4 3" xfId="49160" xr:uid="{00000000-0005-0000-0000-0000FE9B0000}"/>
    <cellStyle name="Normal 2 3 9 22 2 5" xfId="16701" xr:uid="{00000000-0005-0000-0000-0000FF9B0000}"/>
    <cellStyle name="Normal 2 3 9 22 2 5 2" xfId="49161" xr:uid="{00000000-0005-0000-0000-0000009C0000}"/>
    <cellStyle name="Normal 2 3 9 22 2 6" xfId="16702" xr:uid="{00000000-0005-0000-0000-0000019C0000}"/>
    <cellStyle name="Normal 2 3 9 22 2 6 2" xfId="49162" xr:uid="{00000000-0005-0000-0000-0000029C0000}"/>
    <cellStyle name="Normal 2 3 9 22 2 7" xfId="49163" xr:uid="{00000000-0005-0000-0000-0000039C0000}"/>
    <cellStyle name="Normal 2 3 9 22 2 7 2" xfId="49164" xr:uid="{00000000-0005-0000-0000-0000049C0000}"/>
    <cellStyle name="Normal 2 3 9 22 2 8" xfId="49165" xr:uid="{00000000-0005-0000-0000-0000059C0000}"/>
    <cellStyle name="Normal 2 3 9 22 2 9" xfId="49166" xr:uid="{00000000-0005-0000-0000-0000069C0000}"/>
    <cellStyle name="Normal 2 3 9 22 3" xfId="16703" xr:uid="{00000000-0005-0000-0000-0000079C0000}"/>
    <cellStyle name="Normal 2 3 9 22 3 2" xfId="16704" xr:uid="{00000000-0005-0000-0000-0000089C0000}"/>
    <cellStyle name="Normal 2 3 9 22 3 2 2" xfId="16705" xr:uid="{00000000-0005-0000-0000-0000099C0000}"/>
    <cellStyle name="Normal 2 3 9 22 3 2 2 2" xfId="49167" xr:uid="{00000000-0005-0000-0000-00000A9C0000}"/>
    <cellStyle name="Normal 2 3 9 22 3 2 3" xfId="16706" xr:uid="{00000000-0005-0000-0000-00000B9C0000}"/>
    <cellStyle name="Normal 2 3 9 22 3 2 3 2" xfId="49168" xr:uid="{00000000-0005-0000-0000-00000C9C0000}"/>
    <cellStyle name="Normal 2 3 9 22 3 2 4" xfId="49169" xr:uid="{00000000-0005-0000-0000-00000D9C0000}"/>
    <cellStyle name="Normal 2 3 9 22 3 3" xfId="16707" xr:uid="{00000000-0005-0000-0000-00000E9C0000}"/>
    <cellStyle name="Normal 2 3 9 22 3 3 2" xfId="49170" xr:uid="{00000000-0005-0000-0000-00000F9C0000}"/>
    <cellStyle name="Normal 2 3 9 22 3 4" xfId="16708" xr:uid="{00000000-0005-0000-0000-0000109C0000}"/>
    <cellStyle name="Normal 2 3 9 22 3 4 2" xfId="49171" xr:uid="{00000000-0005-0000-0000-0000119C0000}"/>
    <cellStyle name="Normal 2 3 9 22 3 5" xfId="16709" xr:uid="{00000000-0005-0000-0000-0000129C0000}"/>
    <cellStyle name="Normal 2 3 9 22 3 5 2" xfId="49172" xr:uid="{00000000-0005-0000-0000-0000139C0000}"/>
    <cellStyle name="Normal 2 3 9 22 3 6" xfId="49173" xr:uid="{00000000-0005-0000-0000-0000149C0000}"/>
    <cellStyle name="Normal 2 3 9 22 3 6 2" xfId="49174" xr:uid="{00000000-0005-0000-0000-0000159C0000}"/>
    <cellStyle name="Normal 2 3 9 22 3 7" xfId="49175" xr:uid="{00000000-0005-0000-0000-0000169C0000}"/>
    <cellStyle name="Normal 2 3 9 22 4" xfId="16710" xr:uid="{00000000-0005-0000-0000-0000179C0000}"/>
    <cellStyle name="Normal 2 3 9 22 4 2" xfId="16711" xr:uid="{00000000-0005-0000-0000-0000189C0000}"/>
    <cellStyle name="Normal 2 3 9 22 4 2 2" xfId="49176" xr:uid="{00000000-0005-0000-0000-0000199C0000}"/>
    <cellStyle name="Normal 2 3 9 22 4 3" xfId="16712" xr:uid="{00000000-0005-0000-0000-00001A9C0000}"/>
    <cellStyle name="Normal 2 3 9 22 4 3 2" xfId="49177" xr:uid="{00000000-0005-0000-0000-00001B9C0000}"/>
    <cellStyle name="Normal 2 3 9 22 4 4" xfId="49178" xr:uid="{00000000-0005-0000-0000-00001C9C0000}"/>
    <cellStyle name="Normal 2 3 9 22 5" xfId="16713" xr:uid="{00000000-0005-0000-0000-00001D9C0000}"/>
    <cellStyle name="Normal 2 3 9 22 5 2" xfId="16714" xr:uid="{00000000-0005-0000-0000-00001E9C0000}"/>
    <cellStyle name="Normal 2 3 9 22 5 2 2" xfId="49179" xr:uid="{00000000-0005-0000-0000-00001F9C0000}"/>
    <cellStyle name="Normal 2 3 9 22 5 3" xfId="49180" xr:uid="{00000000-0005-0000-0000-0000209C0000}"/>
    <cellStyle name="Normal 2 3 9 22 6" xfId="16715" xr:uid="{00000000-0005-0000-0000-0000219C0000}"/>
    <cellStyle name="Normal 2 3 9 22 6 2" xfId="49181" xr:uid="{00000000-0005-0000-0000-0000229C0000}"/>
    <cellStyle name="Normal 2 3 9 22 7" xfId="16716" xr:uid="{00000000-0005-0000-0000-0000239C0000}"/>
    <cellStyle name="Normal 2 3 9 22 7 2" xfId="49182" xr:uid="{00000000-0005-0000-0000-0000249C0000}"/>
    <cellStyle name="Normal 2 3 9 22 8" xfId="49183" xr:uid="{00000000-0005-0000-0000-0000259C0000}"/>
    <cellStyle name="Normal 2 3 9 22 8 2" xfId="49184" xr:uid="{00000000-0005-0000-0000-0000269C0000}"/>
    <cellStyle name="Normal 2 3 9 22 9" xfId="49185" xr:uid="{00000000-0005-0000-0000-0000279C0000}"/>
    <cellStyle name="Normal 2 3 9 23" xfId="16717" xr:uid="{00000000-0005-0000-0000-0000289C0000}"/>
    <cellStyle name="Normal 2 3 9 23 10" xfId="49186" xr:uid="{00000000-0005-0000-0000-0000299C0000}"/>
    <cellStyle name="Normal 2 3 9 23 11" xfId="49187" xr:uid="{00000000-0005-0000-0000-00002A9C0000}"/>
    <cellStyle name="Normal 2 3 9 23 2" xfId="16718" xr:uid="{00000000-0005-0000-0000-00002B9C0000}"/>
    <cellStyle name="Normal 2 3 9 23 2 10" xfId="49188" xr:uid="{00000000-0005-0000-0000-00002C9C0000}"/>
    <cellStyle name="Normal 2 3 9 23 2 2" xfId="16719" xr:uid="{00000000-0005-0000-0000-00002D9C0000}"/>
    <cellStyle name="Normal 2 3 9 23 2 2 2" xfId="16720" xr:uid="{00000000-0005-0000-0000-00002E9C0000}"/>
    <cellStyle name="Normal 2 3 9 23 2 2 2 2" xfId="16721" xr:uid="{00000000-0005-0000-0000-00002F9C0000}"/>
    <cellStyle name="Normal 2 3 9 23 2 2 2 2 2" xfId="49189" xr:uid="{00000000-0005-0000-0000-0000309C0000}"/>
    <cellStyle name="Normal 2 3 9 23 2 2 2 3" xfId="16722" xr:uid="{00000000-0005-0000-0000-0000319C0000}"/>
    <cellStyle name="Normal 2 3 9 23 2 2 2 3 2" xfId="49190" xr:uid="{00000000-0005-0000-0000-0000329C0000}"/>
    <cellStyle name="Normal 2 3 9 23 2 2 2 4" xfId="49191" xr:uid="{00000000-0005-0000-0000-0000339C0000}"/>
    <cellStyle name="Normal 2 3 9 23 2 2 3" xfId="16723" xr:uid="{00000000-0005-0000-0000-0000349C0000}"/>
    <cellStyle name="Normal 2 3 9 23 2 2 3 2" xfId="49192" xr:uid="{00000000-0005-0000-0000-0000359C0000}"/>
    <cellStyle name="Normal 2 3 9 23 2 2 4" xfId="16724" xr:uid="{00000000-0005-0000-0000-0000369C0000}"/>
    <cellStyle name="Normal 2 3 9 23 2 2 4 2" xfId="49193" xr:uid="{00000000-0005-0000-0000-0000379C0000}"/>
    <cellStyle name="Normal 2 3 9 23 2 2 5" xfId="16725" xr:uid="{00000000-0005-0000-0000-0000389C0000}"/>
    <cellStyle name="Normal 2 3 9 23 2 2 5 2" xfId="49194" xr:uid="{00000000-0005-0000-0000-0000399C0000}"/>
    <cellStyle name="Normal 2 3 9 23 2 2 6" xfId="49195" xr:uid="{00000000-0005-0000-0000-00003A9C0000}"/>
    <cellStyle name="Normal 2 3 9 23 2 2 6 2" xfId="49196" xr:uid="{00000000-0005-0000-0000-00003B9C0000}"/>
    <cellStyle name="Normal 2 3 9 23 2 2 7" xfId="49197" xr:uid="{00000000-0005-0000-0000-00003C9C0000}"/>
    <cellStyle name="Normal 2 3 9 23 2 3" xfId="16726" xr:uid="{00000000-0005-0000-0000-00003D9C0000}"/>
    <cellStyle name="Normal 2 3 9 23 2 3 2" xfId="16727" xr:uid="{00000000-0005-0000-0000-00003E9C0000}"/>
    <cellStyle name="Normal 2 3 9 23 2 3 2 2" xfId="49198" xr:uid="{00000000-0005-0000-0000-00003F9C0000}"/>
    <cellStyle name="Normal 2 3 9 23 2 3 3" xfId="16728" xr:uid="{00000000-0005-0000-0000-0000409C0000}"/>
    <cellStyle name="Normal 2 3 9 23 2 3 3 2" xfId="49199" xr:uid="{00000000-0005-0000-0000-0000419C0000}"/>
    <cellStyle name="Normal 2 3 9 23 2 3 4" xfId="49200" xr:uid="{00000000-0005-0000-0000-0000429C0000}"/>
    <cellStyle name="Normal 2 3 9 23 2 4" xfId="16729" xr:uid="{00000000-0005-0000-0000-0000439C0000}"/>
    <cellStyle name="Normal 2 3 9 23 2 4 2" xfId="16730" xr:uid="{00000000-0005-0000-0000-0000449C0000}"/>
    <cellStyle name="Normal 2 3 9 23 2 4 2 2" xfId="49201" xr:uid="{00000000-0005-0000-0000-0000459C0000}"/>
    <cellStyle name="Normal 2 3 9 23 2 4 3" xfId="49202" xr:uid="{00000000-0005-0000-0000-0000469C0000}"/>
    <cellStyle name="Normal 2 3 9 23 2 5" xfId="16731" xr:uid="{00000000-0005-0000-0000-0000479C0000}"/>
    <cellStyle name="Normal 2 3 9 23 2 5 2" xfId="49203" xr:uid="{00000000-0005-0000-0000-0000489C0000}"/>
    <cellStyle name="Normal 2 3 9 23 2 6" xfId="16732" xr:uid="{00000000-0005-0000-0000-0000499C0000}"/>
    <cellStyle name="Normal 2 3 9 23 2 6 2" xfId="49204" xr:uid="{00000000-0005-0000-0000-00004A9C0000}"/>
    <cellStyle name="Normal 2 3 9 23 2 7" xfId="49205" xr:uid="{00000000-0005-0000-0000-00004B9C0000}"/>
    <cellStyle name="Normal 2 3 9 23 2 7 2" xfId="49206" xr:uid="{00000000-0005-0000-0000-00004C9C0000}"/>
    <cellStyle name="Normal 2 3 9 23 2 8" xfId="49207" xr:uid="{00000000-0005-0000-0000-00004D9C0000}"/>
    <cellStyle name="Normal 2 3 9 23 2 9" xfId="49208" xr:uid="{00000000-0005-0000-0000-00004E9C0000}"/>
    <cellStyle name="Normal 2 3 9 23 3" xfId="16733" xr:uid="{00000000-0005-0000-0000-00004F9C0000}"/>
    <cellStyle name="Normal 2 3 9 23 3 2" xfId="16734" xr:uid="{00000000-0005-0000-0000-0000509C0000}"/>
    <cellStyle name="Normal 2 3 9 23 3 2 2" xfId="16735" xr:uid="{00000000-0005-0000-0000-0000519C0000}"/>
    <cellStyle name="Normal 2 3 9 23 3 2 2 2" xfId="49209" xr:uid="{00000000-0005-0000-0000-0000529C0000}"/>
    <cellStyle name="Normal 2 3 9 23 3 2 3" xfId="16736" xr:uid="{00000000-0005-0000-0000-0000539C0000}"/>
    <cellStyle name="Normal 2 3 9 23 3 2 3 2" xfId="49210" xr:uid="{00000000-0005-0000-0000-0000549C0000}"/>
    <cellStyle name="Normal 2 3 9 23 3 2 4" xfId="49211" xr:uid="{00000000-0005-0000-0000-0000559C0000}"/>
    <cellStyle name="Normal 2 3 9 23 3 3" xfId="16737" xr:uid="{00000000-0005-0000-0000-0000569C0000}"/>
    <cellStyle name="Normal 2 3 9 23 3 3 2" xfId="49212" xr:uid="{00000000-0005-0000-0000-0000579C0000}"/>
    <cellStyle name="Normal 2 3 9 23 3 4" xfId="16738" xr:uid="{00000000-0005-0000-0000-0000589C0000}"/>
    <cellStyle name="Normal 2 3 9 23 3 4 2" xfId="49213" xr:uid="{00000000-0005-0000-0000-0000599C0000}"/>
    <cellStyle name="Normal 2 3 9 23 3 5" xfId="16739" xr:uid="{00000000-0005-0000-0000-00005A9C0000}"/>
    <cellStyle name="Normal 2 3 9 23 3 5 2" xfId="49214" xr:uid="{00000000-0005-0000-0000-00005B9C0000}"/>
    <cellStyle name="Normal 2 3 9 23 3 6" xfId="49215" xr:uid="{00000000-0005-0000-0000-00005C9C0000}"/>
    <cellStyle name="Normal 2 3 9 23 3 6 2" xfId="49216" xr:uid="{00000000-0005-0000-0000-00005D9C0000}"/>
    <cellStyle name="Normal 2 3 9 23 3 7" xfId="49217" xr:uid="{00000000-0005-0000-0000-00005E9C0000}"/>
    <cellStyle name="Normal 2 3 9 23 4" xfId="16740" xr:uid="{00000000-0005-0000-0000-00005F9C0000}"/>
    <cellStyle name="Normal 2 3 9 23 4 2" xfId="16741" xr:uid="{00000000-0005-0000-0000-0000609C0000}"/>
    <cellStyle name="Normal 2 3 9 23 4 2 2" xfId="49218" xr:uid="{00000000-0005-0000-0000-0000619C0000}"/>
    <cellStyle name="Normal 2 3 9 23 4 3" xfId="16742" xr:uid="{00000000-0005-0000-0000-0000629C0000}"/>
    <cellStyle name="Normal 2 3 9 23 4 3 2" xfId="49219" xr:uid="{00000000-0005-0000-0000-0000639C0000}"/>
    <cellStyle name="Normal 2 3 9 23 4 4" xfId="49220" xr:uid="{00000000-0005-0000-0000-0000649C0000}"/>
    <cellStyle name="Normal 2 3 9 23 5" xfId="16743" xr:uid="{00000000-0005-0000-0000-0000659C0000}"/>
    <cellStyle name="Normal 2 3 9 23 5 2" xfId="16744" xr:uid="{00000000-0005-0000-0000-0000669C0000}"/>
    <cellStyle name="Normal 2 3 9 23 5 2 2" xfId="49221" xr:uid="{00000000-0005-0000-0000-0000679C0000}"/>
    <cellStyle name="Normal 2 3 9 23 5 3" xfId="49222" xr:uid="{00000000-0005-0000-0000-0000689C0000}"/>
    <cellStyle name="Normal 2 3 9 23 6" xfId="16745" xr:uid="{00000000-0005-0000-0000-0000699C0000}"/>
    <cellStyle name="Normal 2 3 9 23 6 2" xfId="49223" xr:uid="{00000000-0005-0000-0000-00006A9C0000}"/>
    <cellStyle name="Normal 2 3 9 23 7" xfId="16746" xr:uid="{00000000-0005-0000-0000-00006B9C0000}"/>
    <cellStyle name="Normal 2 3 9 23 7 2" xfId="49224" xr:uid="{00000000-0005-0000-0000-00006C9C0000}"/>
    <cellStyle name="Normal 2 3 9 23 8" xfId="49225" xr:uid="{00000000-0005-0000-0000-00006D9C0000}"/>
    <cellStyle name="Normal 2 3 9 23 8 2" xfId="49226" xr:uid="{00000000-0005-0000-0000-00006E9C0000}"/>
    <cellStyle name="Normal 2 3 9 23 9" xfId="49227" xr:uid="{00000000-0005-0000-0000-00006F9C0000}"/>
    <cellStyle name="Normal 2 3 9 24" xfId="16747" xr:uid="{00000000-0005-0000-0000-0000709C0000}"/>
    <cellStyle name="Normal 2 3 9 24 10" xfId="49228" xr:uid="{00000000-0005-0000-0000-0000719C0000}"/>
    <cellStyle name="Normal 2 3 9 24 11" xfId="49229" xr:uid="{00000000-0005-0000-0000-0000729C0000}"/>
    <cellStyle name="Normal 2 3 9 24 2" xfId="16748" xr:uid="{00000000-0005-0000-0000-0000739C0000}"/>
    <cellStyle name="Normal 2 3 9 24 2 10" xfId="49230" xr:uid="{00000000-0005-0000-0000-0000749C0000}"/>
    <cellStyle name="Normal 2 3 9 24 2 2" xfId="16749" xr:uid="{00000000-0005-0000-0000-0000759C0000}"/>
    <cellStyle name="Normal 2 3 9 24 2 2 2" xfId="16750" xr:uid="{00000000-0005-0000-0000-0000769C0000}"/>
    <cellStyle name="Normal 2 3 9 24 2 2 2 2" xfId="16751" xr:uid="{00000000-0005-0000-0000-0000779C0000}"/>
    <cellStyle name="Normal 2 3 9 24 2 2 2 2 2" xfId="49231" xr:uid="{00000000-0005-0000-0000-0000789C0000}"/>
    <cellStyle name="Normal 2 3 9 24 2 2 2 3" xfId="16752" xr:uid="{00000000-0005-0000-0000-0000799C0000}"/>
    <cellStyle name="Normal 2 3 9 24 2 2 2 3 2" xfId="49232" xr:uid="{00000000-0005-0000-0000-00007A9C0000}"/>
    <cellStyle name="Normal 2 3 9 24 2 2 2 4" xfId="49233" xr:uid="{00000000-0005-0000-0000-00007B9C0000}"/>
    <cellStyle name="Normal 2 3 9 24 2 2 3" xfId="16753" xr:uid="{00000000-0005-0000-0000-00007C9C0000}"/>
    <cellStyle name="Normal 2 3 9 24 2 2 3 2" xfId="49234" xr:uid="{00000000-0005-0000-0000-00007D9C0000}"/>
    <cellStyle name="Normal 2 3 9 24 2 2 4" xfId="16754" xr:uid="{00000000-0005-0000-0000-00007E9C0000}"/>
    <cellStyle name="Normal 2 3 9 24 2 2 4 2" xfId="49235" xr:uid="{00000000-0005-0000-0000-00007F9C0000}"/>
    <cellStyle name="Normal 2 3 9 24 2 2 5" xfId="16755" xr:uid="{00000000-0005-0000-0000-0000809C0000}"/>
    <cellStyle name="Normal 2 3 9 24 2 2 5 2" xfId="49236" xr:uid="{00000000-0005-0000-0000-0000819C0000}"/>
    <cellStyle name="Normal 2 3 9 24 2 2 6" xfId="49237" xr:uid="{00000000-0005-0000-0000-0000829C0000}"/>
    <cellStyle name="Normal 2 3 9 24 2 2 6 2" xfId="49238" xr:uid="{00000000-0005-0000-0000-0000839C0000}"/>
    <cellStyle name="Normal 2 3 9 24 2 2 7" xfId="49239" xr:uid="{00000000-0005-0000-0000-0000849C0000}"/>
    <cellStyle name="Normal 2 3 9 24 2 3" xfId="16756" xr:uid="{00000000-0005-0000-0000-0000859C0000}"/>
    <cellStyle name="Normal 2 3 9 24 2 3 2" xfId="16757" xr:uid="{00000000-0005-0000-0000-0000869C0000}"/>
    <cellStyle name="Normal 2 3 9 24 2 3 2 2" xfId="49240" xr:uid="{00000000-0005-0000-0000-0000879C0000}"/>
    <cellStyle name="Normal 2 3 9 24 2 3 3" xfId="16758" xr:uid="{00000000-0005-0000-0000-0000889C0000}"/>
    <cellStyle name="Normal 2 3 9 24 2 3 3 2" xfId="49241" xr:uid="{00000000-0005-0000-0000-0000899C0000}"/>
    <cellStyle name="Normal 2 3 9 24 2 3 4" xfId="49242" xr:uid="{00000000-0005-0000-0000-00008A9C0000}"/>
    <cellStyle name="Normal 2 3 9 24 2 4" xfId="16759" xr:uid="{00000000-0005-0000-0000-00008B9C0000}"/>
    <cellStyle name="Normal 2 3 9 24 2 4 2" xfId="16760" xr:uid="{00000000-0005-0000-0000-00008C9C0000}"/>
    <cellStyle name="Normal 2 3 9 24 2 4 2 2" xfId="49243" xr:uid="{00000000-0005-0000-0000-00008D9C0000}"/>
    <cellStyle name="Normal 2 3 9 24 2 4 3" xfId="49244" xr:uid="{00000000-0005-0000-0000-00008E9C0000}"/>
    <cellStyle name="Normal 2 3 9 24 2 5" xfId="16761" xr:uid="{00000000-0005-0000-0000-00008F9C0000}"/>
    <cellStyle name="Normal 2 3 9 24 2 5 2" xfId="49245" xr:uid="{00000000-0005-0000-0000-0000909C0000}"/>
    <cellStyle name="Normal 2 3 9 24 2 6" xfId="16762" xr:uid="{00000000-0005-0000-0000-0000919C0000}"/>
    <cellStyle name="Normal 2 3 9 24 2 6 2" xfId="49246" xr:uid="{00000000-0005-0000-0000-0000929C0000}"/>
    <cellStyle name="Normal 2 3 9 24 2 7" xfId="49247" xr:uid="{00000000-0005-0000-0000-0000939C0000}"/>
    <cellStyle name="Normal 2 3 9 24 2 7 2" xfId="49248" xr:uid="{00000000-0005-0000-0000-0000949C0000}"/>
    <cellStyle name="Normal 2 3 9 24 2 8" xfId="49249" xr:uid="{00000000-0005-0000-0000-0000959C0000}"/>
    <cellStyle name="Normal 2 3 9 24 2 9" xfId="49250" xr:uid="{00000000-0005-0000-0000-0000969C0000}"/>
    <cellStyle name="Normal 2 3 9 24 3" xfId="16763" xr:uid="{00000000-0005-0000-0000-0000979C0000}"/>
    <cellStyle name="Normal 2 3 9 24 3 2" xfId="16764" xr:uid="{00000000-0005-0000-0000-0000989C0000}"/>
    <cellStyle name="Normal 2 3 9 24 3 2 2" xfId="16765" xr:uid="{00000000-0005-0000-0000-0000999C0000}"/>
    <cellStyle name="Normal 2 3 9 24 3 2 2 2" xfId="49251" xr:uid="{00000000-0005-0000-0000-00009A9C0000}"/>
    <cellStyle name="Normal 2 3 9 24 3 2 3" xfId="16766" xr:uid="{00000000-0005-0000-0000-00009B9C0000}"/>
    <cellStyle name="Normal 2 3 9 24 3 2 3 2" xfId="49252" xr:uid="{00000000-0005-0000-0000-00009C9C0000}"/>
    <cellStyle name="Normal 2 3 9 24 3 2 4" xfId="49253" xr:uid="{00000000-0005-0000-0000-00009D9C0000}"/>
    <cellStyle name="Normal 2 3 9 24 3 3" xfId="16767" xr:uid="{00000000-0005-0000-0000-00009E9C0000}"/>
    <cellStyle name="Normal 2 3 9 24 3 3 2" xfId="49254" xr:uid="{00000000-0005-0000-0000-00009F9C0000}"/>
    <cellStyle name="Normal 2 3 9 24 3 4" xfId="16768" xr:uid="{00000000-0005-0000-0000-0000A09C0000}"/>
    <cellStyle name="Normal 2 3 9 24 3 4 2" xfId="49255" xr:uid="{00000000-0005-0000-0000-0000A19C0000}"/>
    <cellStyle name="Normal 2 3 9 24 3 5" xfId="16769" xr:uid="{00000000-0005-0000-0000-0000A29C0000}"/>
    <cellStyle name="Normal 2 3 9 24 3 5 2" xfId="49256" xr:uid="{00000000-0005-0000-0000-0000A39C0000}"/>
    <cellStyle name="Normal 2 3 9 24 3 6" xfId="49257" xr:uid="{00000000-0005-0000-0000-0000A49C0000}"/>
    <cellStyle name="Normal 2 3 9 24 3 6 2" xfId="49258" xr:uid="{00000000-0005-0000-0000-0000A59C0000}"/>
    <cellStyle name="Normal 2 3 9 24 3 7" xfId="49259" xr:uid="{00000000-0005-0000-0000-0000A69C0000}"/>
    <cellStyle name="Normal 2 3 9 24 4" xfId="16770" xr:uid="{00000000-0005-0000-0000-0000A79C0000}"/>
    <cellStyle name="Normal 2 3 9 24 4 2" xfId="16771" xr:uid="{00000000-0005-0000-0000-0000A89C0000}"/>
    <cellStyle name="Normal 2 3 9 24 4 2 2" xfId="49260" xr:uid="{00000000-0005-0000-0000-0000A99C0000}"/>
    <cellStyle name="Normal 2 3 9 24 4 3" xfId="16772" xr:uid="{00000000-0005-0000-0000-0000AA9C0000}"/>
    <cellStyle name="Normal 2 3 9 24 4 3 2" xfId="49261" xr:uid="{00000000-0005-0000-0000-0000AB9C0000}"/>
    <cellStyle name="Normal 2 3 9 24 4 4" xfId="49262" xr:uid="{00000000-0005-0000-0000-0000AC9C0000}"/>
    <cellStyle name="Normal 2 3 9 24 5" xfId="16773" xr:uid="{00000000-0005-0000-0000-0000AD9C0000}"/>
    <cellStyle name="Normal 2 3 9 24 5 2" xfId="16774" xr:uid="{00000000-0005-0000-0000-0000AE9C0000}"/>
    <cellStyle name="Normal 2 3 9 24 5 2 2" xfId="49263" xr:uid="{00000000-0005-0000-0000-0000AF9C0000}"/>
    <cellStyle name="Normal 2 3 9 24 5 3" xfId="49264" xr:uid="{00000000-0005-0000-0000-0000B09C0000}"/>
    <cellStyle name="Normal 2 3 9 24 6" xfId="16775" xr:uid="{00000000-0005-0000-0000-0000B19C0000}"/>
    <cellStyle name="Normal 2 3 9 24 6 2" xfId="49265" xr:uid="{00000000-0005-0000-0000-0000B29C0000}"/>
    <cellStyle name="Normal 2 3 9 24 7" xfId="16776" xr:uid="{00000000-0005-0000-0000-0000B39C0000}"/>
    <cellStyle name="Normal 2 3 9 24 7 2" xfId="49266" xr:uid="{00000000-0005-0000-0000-0000B49C0000}"/>
    <cellStyle name="Normal 2 3 9 24 8" xfId="49267" xr:uid="{00000000-0005-0000-0000-0000B59C0000}"/>
    <cellStyle name="Normal 2 3 9 24 8 2" xfId="49268" xr:uid="{00000000-0005-0000-0000-0000B69C0000}"/>
    <cellStyle name="Normal 2 3 9 24 9" xfId="49269" xr:uid="{00000000-0005-0000-0000-0000B79C0000}"/>
    <cellStyle name="Normal 2 3 9 25" xfId="16777" xr:uid="{00000000-0005-0000-0000-0000B89C0000}"/>
    <cellStyle name="Normal 2 3 9 25 10" xfId="49270" xr:uid="{00000000-0005-0000-0000-0000B99C0000}"/>
    <cellStyle name="Normal 2 3 9 25 11" xfId="49271" xr:uid="{00000000-0005-0000-0000-0000BA9C0000}"/>
    <cellStyle name="Normal 2 3 9 25 2" xfId="16778" xr:uid="{00000000-0005-0000-0000-0000BB9C0000}"/>
    <cellStyle name="Normal 2 3 9 25 2 10" xfId="49272" xr:uid="{00000000-0005-0000-0000-0000BC9C0000}"/>
    <cellStyle name="Normal 2 3 9 25 2 2" xfId="16779" xr:uid="{00000000-0005-0000-0000-0000BD9C0000}"/>
    <cellStyle name="Normal 2 3 9 25 2 2 2" xfId="16780" xr:uid="{00000000-0005-0000-0000-0000BE9C0000}"/>
    <cellStyle name="Normal 2 3 9 25 2 2 2 2" xfId="16781" xr:uid="{00000000-0005-0000-0000-0000BF9C0000}"/>
    <cellStyle name="Normal 2 3 9 25 2 2 2 2 2" xfId="49273" xr:uid="{00000000-0005-0000-0000-0000C09C0000}"/>
    <cellStyle name="Normal 2 3 9 25 2 2 2 3" xfId="16782" xr:uid="{00000000-0005-0000-0000-0000C19C0000}"/>
    <cellStyle name="Normal 2 3 9 25 2 2 2 3 2" xfId="49274" xr:uid="{00000000-0005-0000-0000-0000C29C0000}"/>
    <cellStyle name="Normal 2 3 9 25 2 2 2 4" xfId="49275" xr:uid="{00000000-0005-0000-0000-0000C39C0000}"/>
    <cellStyle name="Normal 2 3 9 25 2 2 3" xfId="16783" xr:uid="{00000000-0005-0000-0000-0000C49C0000}"/>
    <cellStyle name="Normal 2 3 9 25 2 2 3 2" xfId="49276" xr:uid="{00000000-0005-0000-0000-0000C59C0000}"/>
    <cellStyle name="Normal 2 3 9 25 2 2 4" xfId="16784" xr:uid="{00000000-0005-0000-0000-0000C69C0000}"/>
    <cellStyle name="Normal 2 3 9 25 2 2 4 2" xfId="49277" xr:uid="{00000000-0005-0000-0000-0000C79C0000}"/>
    <cellStyle name="Normal 2 3 9 25 2 2 5" xfId="16785" xr:uid="{00000000-0005-0000-0000-0000C89C0000}"/>
    <cellStyle name="Normal 2 3 9 25 2 2 5 2" xfId="49278" xr:uid="{00000000-0005-0000-0000-0000C99C0000}"/>
    <cellStyle name="Normal 2 3 9 25 2 2 6" xfId="49279" xr:uid="{00000000-0005-0000-0000-0000CA9C0000}"/>
    <cellStyle name="Normal 2 3 9 25 2 2 6 2" xfId="49280" xr:uid="{00000000-0005-0000-0000-0000CB9C0000}"/>
    <cellStyle name="Normal 2 3 9 25 2 2 7" xfId="49281" xr:uid="{00000000-0005-0000-0000-0000CC9C0000}"/>
    <cellStyle name="Normal 2 3 9 25 2 3" xfId="16786" xr:uid="{00000000-0005-0000-0000-0000CD9C0000}"/>
    <cellStyle name="Normal 2 3 9 25 2 3 2" xfId="16787" xr:uid="{00000000-0005-0000-0000-0000CE9C0000}"/>
    <cellStyle name="Normal 2 3 9 25 2 3 2 2" xfId="49282" xr:uid="{00000000-0005-0000-0000-0000CF9C0000}"/>
    <cellStyle name="Normal 2 3 9 25 2 3 3" xfId="16788" xr:uid="{00000000-0005-0000-0000-0000D09C0000}"/>
    <cellStyle name="Normal 2 3 9 25 2 3 3 2" xfId="49283" xr:uid="{00000000-0005-0000-0000-0000D19C0000}"/>
    <cellStyle name="Normal 2 3 9 25 2 3 4" xfId="49284" xr:uid="{00000000-0005-0000-0000-0000D29C0000}"/>
    <cellStyle name="Normal 2 3 9 25 2 4" xfId="16789" xr:uid="{00000000-0005-0000-0000-0000D39C0000}"/>
    <cellStyle name="Normal 2 3 9 25 2 4 2" xfId="16790" xr:uid="{00000000-0005-0000-0000-0000D49C0000}"/>
    <cellStyle name="Normal 2 3 9 25 2 4 2 2" xfId="49285" xr:uid="{00000000-0005-0000-0000-0000D59C0000}"/>
    <cellStyle name="Normal 2 3 9 25 2 4 3" xfId="49286" xr:uid="{00000000-0005-0000-0000-0000D69C0000}"/>
    <cellStyle name="Normal 2 3 9 25 2 5" xfId="16791" xr:uid="{00000000-0005-0000-0000-0000D79C0000}"/>
    <cellStyle name="Normal 2 3 9 25 2 5 2" xfId="49287" xr:uid="{00000000-0005-0000-0000-0000D89C0000}"/>
    <cellStyle name="Normal 2 3 9 25 2 6" xfId="16792" xr:uid="{00000000-0005-0000-0000-0000D99C0000}"/>
    <cellStyle name="Normal 2 3 9 25 2 6 2" xfId="49288" xr:uid="{00000000-0005-0000-0000-0000DA9C0000}"/>
    <cellStyle name="Normal 2 3 9 25 2 7" xfId="49289" xr:uid="{00000000-0005-0000-0000-0000DB9C0000}"/>
    <cellStyle name="Normal 2 3 9 25 2 7 2" xfId="49290" xr:uid="{00000000-0005-0000-0000-0000DC9C0000}"/>
    <cellStyle name="Normal 2 3 9 25 2 8" xfId="49291" xr:uid="{00000000-0005-0000-0000-0000DD9C0000}"/>
    <cellStyle name="Normal 2 3 9 25 2 9" xfId="49292" xr:uid="{00000000-0005-0000-0000-0000DE9C0000}"/>
    <cellStyle name="Normal 2 3 9 25 3" xfId="16793" xr:uid="{00000000-0005-0000-0000-0000DF9C0000}"/>
    <cellStyle name="Normal 2 3 9 25 3 2" xfId="16794" xr:uid="{00000000-0005-0000-0000-0000E09C0000}"/>
    <cellStyle name="Normal 2 3 9 25 3 2 2" xfId="16795" xr:uid="{00000000-0005-0000-0000-0000E19C0000}"/>
    <cellStyle name="Normal 2 3 9 25 3 2 2 2" xfId="49293" xr:uid="{00000000-0005-0000-0000-0000E29C0000}"/>
    <cellStyle name="Normal 2 3 9 25 3 2 3" xfId="16796" xr:uid="{00000000-0005-0000-0000-0000E39C0000}"/>
    <cellStyle name="Normal 2 3 9 25 3 2 3 2" xfId="49294" xr:uid="{00000000-0005-0000-0000-0000E49C0000}"/>
    <cellStyle name="Normal 2 3 9 25 3 2 4" xfId="49295" xr:uid="{00000000-0005-0000-0000-0000E59C0000}"/>
    <cellStyle name="Normal 2 3 9 25 3 3" xfId="16797" xr:uid="{00000000-0005-0000-0000-0000E69C0000}"/>
    <cellStyle name="Normal 2 3 9 25 3 3 2" xfId="49296" xr:uid="{00000000-0005-0000-0000-0000E79C0000}"/>
    <cellStyle name="Normal 2 3 9 25 3 4" xfId="16798" xr:uid="{00000000-0005-0000-0000-0000E89C0000}"/>
    <cellStyle name="Normal 2 3 9 25 3 4 2" xfId="49297" xr:uid="{00000000-0005-0000-0000-0000E99C0000}"/>
    <cellStyle name="Normal 2 3 9 25 3 5" xfId="16799" xr:uid="{00000000-0005-0000-0000-0000EA9C0000}"/>
    <cellStyle name="Normal 2 3 9 25 3 5 2" xfId="49298" xr:uid="{00000000-0005-0000-0000-0000EB9C0000}"/>
    <cellStyle name="Normal 2 3 9 25 3 6" xfId="49299" xr:uid="{00000000-0005-0000-0000-0000EC9C0000}"/>
    <cellStyle name="Normal 2 3 9 25 3 6 2" xfId="49300" xr:uid="{00000000-0005-0000-0000-0000ED9C0000}"/>
    <cellStyle name="Normal 2 3 9 25 3 7" xfId="49301" xr:uid="{00000000-0005-0000-0000-0000EE9C0000}"/>
    <cellStyle name="Normal 2 3 9 25 4" xfId="16800" xr:uid="{00000000-0005-0000-0000-0000EF9C0000}"/>
    <cellStyle name="Normal 2 3 9 25 4 2" xfId="16801" xr:uid="{00000000-0005-0000-0000-0000F09C0000}"/>
    <cellStyle name="Normal 2 3 9 25 4 2 2" xfId="49302" xr:uid="{00000000-0005-0000-0000-0000F19C0000}"/>
    <cellStyle name="Normal 2 3 9 25 4 3" xfId="16802" xr:uid="{00000000-0005-0000-0000-0000F29C0000}"/>
    <cellStyle name="Normal 2 3 9 25 4 3 2" xfId="49303" xr:uid="{00000000-0005-0000-0000-0000F39C0000}"/>
    <cellStyle name="Normal 2 3 9 25 4 4" xfId="49304" xr:uid="{00000000-0005-0000-0000-0000F49C0000}"/>
    <cellStyle name="Normal 2 3 9 25 5" xfId="16803" xr:uid="{00000000-0005-0000-0000-0000F59C0000}"/>
    <cellStyle name="Normal 2 3 9 25 5 2" xfId="16804" xr:uid="{00000000-0005-0000-0000-0000F69C0000}"/>
    <cellStyle name="Normal 2 3 9 25 5 2 2" xfId="49305" xr:uid="{00000000-0005-0000-0000-0000F79C0000}"/>
    <cellStyle name="Normal 2 3 9 25 5 3" xfId="49306" xr:uid="{00000000-0005-0000-0000-0000F89C0000}"/>
    <cellStyle name="Normal 2 3 9 25 6" xfId="16805" xr:uid="{00000000-0005-0000-0000-0000F99C0000}"/>
    <cellStyle name="Normal 2 3 9 25 6 2" xfId="49307" xr:uid="{00000000-0005-0000-0000-0000FA9C0000}"/>
    <cellStyle name="Normal 2 3 9 25 7" xfId="16806" xr:uid="{00000000-0005-0000-0000-0000FB9C0000}"/>
    <cellStyle name="Normal 2 3 9 25 7 2" xfId="49308" xr:uid="{00000000-0005-0000-0000-0000FC9C0000}"/>
    <cellStyle name="Normal 2 3 9 25 8" xfId="49309" xr:uid="{00000000-0005-0000-0000-0000FD9C0000}"/>
    <cellStyle name="Normal 2 3 9 25 8 2" xfId="49310" xr:uid="{00000000-0005-0000-0000-0000FE9C0000}"/>
    <cellStyle name="Normal 2 3 9 25 9" xfId="49311" xr:uid="{00000000-0005-0000-0000-0000FF9C0000}"/>
    <cellStyle name="Normal 2 3 9 26" xfId="16807" xr:uid="{00000000-0005-0000-0000-0000009D0000}"/>
    <cellStyle name="Normal 2 3 9 26 10" xfId="49312" xr:uid="{00000000-0005-0000-0000-0000019D0000}"/>
    <cellStyle name="Normal 2 3 9 26 11" xfId="49313" xr:uid="{00000000-0005-0000-0000-0000029D0000}"/>
    <cellStyle name="Normal 2 3 9 26 2" xfId="16808" xr:uid="{00000000-0005-0000-0000-0000039D0000}"/>
    <cellStyle name="Normal 2 3 9 26 2 10" xfId="49314" xr:uid="{00000000-0005-0000-0000-0000049D0000}"/>
    <cellStyle name="Normal 2 3 9 26 2 2" xfId="16809" xr:uid="{00000000-0005-0000-0000-0000059D0000}"/>
    <cellStyle name="Normal 2 3 9 26 2 2 2" xfId="16810" xr:uid="{00000000-0005-0000-0000-0000069D0000}"/>
    <cellStyle name="Normal 2 3 9 26 2 2 2 2" xfId="16811" xr:uid="{00000000-0005-0000-0000-0000079D0000}"/>
    <cellStyle name="Normal 2 3 9 26 2 2 2 2 2" xfId="49315" xr:uid="{00000000-0005-0000-0000-0000089D0000}"/>
    <cellStyle name="Normal 2 3 9 26 2 2 2 3" xfId="16812" xr:uid="{00000000-0005-0000-0000-0000099D0000}"/>
    <cellStyle name="Normal 2 3 9 26 2 2 2 3 2" xfId="49316" xr:uid="{00000000-0005-0000-0000-00000A9D0000}"/>
    <cellStyle name="Normal 2 3 9 26 2 2 2 4" xfId="49317" xr:uid="{00000000-0005-0000-0000-00000B9D0000}"/>
    <cellStyle name="Normal 2 3 9 26 2 2 3" xfId="16813" xr:uid="{00000000-0005-0000-0000-00000C9D0000}"/>
    <cellStyle name="Normal 2 3 9 26 2 2 3 2" xfId="49318" xr:uid="{00000000-0005-0000-0000-00000D9D0000}"/>
    <cellStyle name="Normal 2 3 9 26 2 2 4" xfId="16814" xr:uid="{00000000-0005-0000-0000-00000E9D0000}"/>
    <cellStyle name="Normal 2 3 9 26 2 2 4 2" xfId="49319" xr:uid="{00000000-0005-0000-0000-00000F9D0000}"/>
    <cellStyle name="Normal 2 3 9 26 2 2 5" xfId="16815" xr:uid="{00000000-0005-0000-0000-0000109D0000}"/>
    <cellStyle name="Normal 2 3 9 26 2 2 5 2" xfId="49320" xr:uid="{00000000-0005-0000-0000-0000119D0000}"/>
    <cellStyle name="Normal 2 3 9 26 2 2 6" xfId="49321" xr:uid="{00000000-0005-0000-0000-0000129D0000}"/>
    <cellStyle name="Normal 2 3 9 26 2 2 6 2" xfId="49322" xr:uid="{00000000-0005-0000-0000-0000139D0000}"/>
    <cellStyle name="Normal 2 3 9 26 2 2 7" xfId="49323" xr:uid="{00000000-0005-0000-0000-0000149D0000}"/>
    <cellStyle name="Normal 2 3 9 26 2 3" xfId="16816" xr:uid="{00000000-0005-0000-0000-0000159D0000}"/>
    <cellStyle name="Normal 2 3 9 26 2 3 2" xfId="16817" xr:uid="{00000000-0005-0000-0000-0000169D0000}"/>
    <cellStyle name="Normal 2 3 9 26 2 3 2 2" xfId="49324" xr:uid="{00000000-0005-0000-0000-0000179D0000}"/>
    <cellStyle name="Normal 2 3 9 26 2 3 3" xfId="16818" xr:uid="{00000000-0005-0000-0000-0000189D0000}"/>
    <cellStyle name="Normal 2 3 9 26 2 3 3 2" xfId="49325" xr:uid="{00000000-0005-0000-0000-0000199D0000}"/>
    <cellStyle name="Normal 2 3 9 26 2 3 4" xfId="49326" xr:uid="{00000000-0005-0000-0000-00001A9D0000}"/>
    <cellStyle name="Normal 2 3 9 26 2 4" xfId="16819" xr:uid="{00000000-0005-0000-0000-00001B9D0000}"/>
    <cellStyle name="Normal 2 3 9 26 2 4 2" xfId="16820" xr:uid="{00000000-0005-0000-0000-00001C9D0000}"/>
    <cellStyle name="Normal 2 3 9 26 2 4 2 2" xfId="49327" xr:uid="{00000000-0005-0000-0000-00001D9D0000}"/>
    <cellStyle name="Normal 2 3 9 26 2 4 3" xfId="49328" xr:uid="{00000000-0005-0000-0000-00001E9D0000}"/>
    <cellStyle name="Normal 2 3 9 26 2 5" xfId="16821" xr:uid="{00000000-0005-0000-0000-00001F9D0000}"/>
    <cellStyle name="Normal 2 3 9 26 2 5 2" xfId="49329" xr:uid="{00000000-0005-0000-0000-0000209D0000}"/>
    <cellStyle name="Normal 2 3 9 26 2 6" xfId="16822" xr:uid="{00000000-0005-0000-0000-0000219D0000}"/>
    <cellStyle name="Normal 2 3 9 26 2 6 2" xfId="49330" xr:uid="{00000000-0005-0000-0000-0000229D0000}"/>
    <cellStyle name="Normal 2 3 9 26 2 7" xfId="49331" xr:uid="{00000000-0005-0000-0000-0000239D0000}"/>
    <cellStyle name="Normal 2 3 9 26 2 7 2" xfId="49332" xr:uid="{00000000-0005-0000-0000-0000249D0000}"/>
    <cellStyle name="Normal 2 3 9 26 2 8" xfId="49333" xr:uid="{00000000-0005-0000-0000-0000259D0000}"/>
    <cellStyle name="Normal 2 3 9 26 2 9" xfId="49334" xr:uid="{00000000-0005-0000-0000-0000269D0000}"/>
    <cellStyle name="Normal 2 3 9 26 3" xfId="16823" xr:uid="{00000000-0005-0000-0000-0000279D0000}"/>
    <cellStyle name="Normal 2 3 9 26 3 2" xfId="16824" xr:uid="{00000000-0005-0000-0000-0000289D0000}"/>
    <cellStyle name="Normal 2 3 9 26 3 2 2" xfId="16825" xr:uid="{00000000-0005-0000-0000-0000299D0000}"/>
    <cellStyle name="Normal 2 3 9 26 3 2 2 2" xfId="49335" xr:uid="{00000000-0005-0000-0000-00002A9D0000}"/>
    <cellStyle name="Normal 2 3 9 26 3 2 3" xfId="16826" xr:uid="{00000000-0005-0000-0000-00002B9D0000}"/>
    <cellStyle name="Normal 2 3 9 26 3 2 3 2" xfId="49336" xr:uid="{00000000-0005-0000-0000-00002C9D0000}"/>
    <cellStyle name="Normal 2 3 9 26 3 2 4" xfId="49337" xr:uid="{00000000-0005-0000-0000-00002D9D0000}"/>
    <cellStyle name="Normal 2 3 9 26 3 3" xfId="16827" xr:uid="{00000000-0005-0000-0000-00002E9D0000}"/>
    <cellStyle name="Normal 2 3 9 26 3 3 2" xfId="49338" xr:uid="{00000000-0005-0000-0000-00002F9D0000}"/>
    <cellStyle name="Normal 2 3 9 26 3 4" xfId="16828" xr:uid="{00000000-0005-0000-0000-0000309D0000}"/>
    <cellStyle name="Normal 2 3 9 26 3 4 2" xfId="49339" xr:uid="{00000000-0005-0000-0000-0000319D0000}"/>
    <cellStyle name="Normal 2 3 9 26 3 5" xfId="16829" xr:uid="{00000000-0005-0000-0000-0000329D0000}"/>
    <cellStyle name="Normal 2 3 9 26 3 5 2" xfId="49340" xr:uid="{00000000-0005-0000-0000-0000339D0000}"/>
    <cellStyle name="Normal 2 3 9 26 3 6" xfId="49341" xr:uid="{00000000-0005-0000-0000-0000349D0000}"/>
    <cellStyle name="Normal 2 3 9 26 3 6 2" xfId="49342" xr:uid="{00000000-0005-0000-0000-0000359D0000}"/>
    <cellStyle name="Normal 2 3 9 26 3 7" xfId="49343" xr:uid="{00000000-0005-0000-0000-0000369D0000}"/>
    <cellStyle name="Normal 2 3 9 26 4" xfId="16830" xr:uid="{00000000-0005-0000-0000-0000379D0000}"/>
    <cellStyle name="Normal 2 3 9 26 4 2" xfId="16831" xr:uid="{00000000-0005-0000-0000-0000389D0000}"/>
    <cellStyle name="Normal 2 3 9 26 4 2 2" xfId="49344" xr:uid="{00000000-0005-0000-0000-0000399D0000}"/>
    <cellStyle name="Normal 2 3 9 26 4 3" xfId="16832" xr:uid="{00000000-0005-0000-0000-00003A9D0000}"/>
    <cellStyle name="Normal 2 3 9 26 4 3 2" xfId="49345" xr:uid="{00000000-0005-0000-0000-00003B9D0000}"/>
    <cellStyle name="Normal 2 3 9 26 4 4" xfId="49346" xr:uid="{00000000-0005-0000-0000-00003C9D0000}"/>
    <cellStyle name="Normal 2 3 9 26 5" xfId="16833" xr:uid="{00000000-0005-0000-0000-00003D9D0000}"/>
    <cellStyle name="Normal 2 3 9 26 5 2" xfId="16834" xr:uid="{00000000-0005-0000-0000-00003E9D0000}"/>
    <cellStyle name="Normal 2 3 9 26 5 2 2" xfId="49347" xr:uid="{00000000-0005-0000-0000-00003F9D0000}"/>
    <cellStyle name="Normal 2 3 9 26 5 3" xfId="49348" xr:uid="{00000000-0005-0000-0000-0000409D0000}"/>
    <cellStyle name="Normal 2 3 9 26 6" xfId="16835" xr:uid="{00000000-0005-0000-0000-0000419D0000}"/>
    <cellStyle name="Normal 2 3 9 26 6 2" xfId="49349" xr:uid="{00000000-0005-0000-0000-0000429D0000}"/>
    <cellStyle name="Normal 2 3 9 26 7" xfId="16836" xr:uid="{00000000-0005-0000-0000-0000439D0000}"/>
    <cellStyle name="Normal 2 3 9 26 7 2" xfId="49350" xr:uid="{00000000-0005-0000-0000-0000449D0000}"/>
    <cellStyle name="Normal 2 3 9 26 8" xfId="49351" xr:uid="{00000000-0005-0000-0000-0000459D0000}"/>
    <cellStyle name="Normal 2 3 9 26 8 2" xfId="49352" xr:uid="{00000000-0005-0000-0000-0000469D0000}"/>
    <cellStyle name="Normal 2 3 9 26 9" xfId="49353" xr:uid="{00000000-0005-0000-0000-0000479D0000}"/>
    <cellStyle name="Normal 2 3 9 27" xfId="16837" xr:uid="{00000000-0005-0000-0000-0000489D0000}"/>
    <cellStyle name="Normal 2 3 9 27 10" xfId="49354" xr:uid="{00000000-0005-0000-0000-0000499D0000}"/>
    <cellStyle name="Normal 2 3 9 27 11" xfId="49355" xr:uid="{00000000-0005-0000-0000-00004A9D0000}"/>
    <cellStyle name="Normal 2 3 9 27 2" xfId="16838" xr:uid="{00000000-0005-0000-0000-00004B9D0000}"/>
    <cellStyle name="Normal 2 3 9 27 2 10" xfId="49356" xr:uid="{00000000-0005-0000-0000-00004C9D0000}"/>
    <cellStyle name="Normal 2 3 9 27 2 2" xfId="16839" xr:uid="{00000000-0005-0000-0000-00004D9D0000}"/>
    <cellStyle name="Normal 2 3 9 27 2 2 2" xfId="16840" xr:uid="{00000000-0005-0000-0000-00004E9D0000}"/>
    <cellStyle name="Normal 2 3 9 27 2 2 2 2" xfId="16841" xr:uid="{00000000-0005-0000-0000-00004F9D0000}"/>
    <cellStyle name="Normal 2 3 9 27 2 2 2 2 2" xfId="49357" xr:uid="{00000000-0005-0000-0000-0000509D0000}"/>
    <cellStyle name="Normal 2 3 9 27 2 2 2 3" xfId="16842" xr:uid="{00000000-0005-0000-0000-0000519D0000}"/>
    <cellStyle name="Normal 2 3 9 27 2 2 2 3 2" xfId="49358" xr:uid="{00000000-0005-0000-0000-0000529D0000}"/>
    <cellStyle name="Normal 2 3 9 27 2 2 2 4" xfId="49359" xr:uid="{00000000-0005-0000-0000-0000539D0000}"/>
    <cellStyle name="Normal 2 3 9 27 2 2 3" xfId="16843" xr:uid="{00000000-0005-0000-0000-0000549D0000}"/>
    <cellStyle name="Normal 2 3 9 27 2 2 3 2" xfId="49360" xr:uid="{00000000-0005-0000-0000-0000559D0000}"/>
    <cellStyle name="Normal 2 3 9 27 2 2 4" xfId="16844" xr:uid="{00000000-0005-0000-0000-0000569D0000}"/>
    <cellStyle name="Normal 2 3 9 27 2 2 4 2" xfId="49361" xr:uid="{00000000-0005-0000-0000-0000579D0000}"/>
    <cellStyle name="Normal 2 3 9 27 2 2 5" xfId="16845" xr:uid="{00000000-0005-0000-0000-0000589D0000}"/>
    <cellStyle name="Normal 2 3 9 27 2 2 5 2" xfId="49362" xr:uid="{00000000-0005-0000-0000-0000599D0000}"/>
    <cellStyle name="Normal 2 3 9 27 2 2 6" xfId="49363" xr:uid="{00000000-0005-0000-0000-00005A9D0000}"/>
    <cellStyle name="Normal 2 3 9 27 2 2 6 2" xfId="49364" xr:uid="{00000000-0005-0000-0000-00005B9D0000}"/>
    <cellStyle name="Normal 2 3 9 27 2 2 7" xfId="49365" xr:uid="{00000000-0005-0000-0000-00005C9D0000}"/>
    <cellStyle name="Normal 2 3 9 27 2 3" xfId="16846" xr:uid="{00000000-0005-0000-0000-00005D9D0000}"/>
    <cellStyle name="Normal 2 3 9 27 2 3 2" xfId="16847" xr:uid="{00000000-0005-0000-0000-00005E9D0000}"/>
    <cellStyle name="Normal 2 3 9 27 2 3 2 2" xfId="49366" xr:uid="{00000000-0005-0000-0000-00005F9D0000}"/>
    <cellStyle name="Normal 2 3 9 27 2 3 3" xfId="16848" xr:uid="{00000000-0005-0000-0000-0000609D0000}"/>
    <cellStyle name="Normal 2 3 9 27 2 3 3 2" xfId="49367" xr:uid="{00000000-0005-0000-0000-0000619D0000}"/>
    <cellStyle name="Normal 2 3 9 27 2 3 4" xfId="49368" xr:uid="{00000000-0005-0000-0000-0000629D0000}"/>
    <cellStyle name="Normal 2 3 9 27 2 4" xfId="16849" xr:uid="{00000000-0005-0000-0000-0000639D0000}"/>
    <cellStyle name="Normal 2 3 9 27 2 4 2" xfId="16850" xr:uid="{00000000-0005-0000-0000-0000649D0000}"/>
    <cellStyle name="Normal 2 3 9 27 2 4 2 2" xfId="49369" xr:uid="{00000000-0005-0000-0000-0000659D0000}"/>
    <cellStyle name="Normal 2 3 9 27 2 4 3" xfId="49370" xr:uid="{00000000-0005-0000-0000-0000669D0000}"/>
    <cellStyle name="Normal 2 3 9 27 2 5" xfId="16851" xr:uid="{00000000-0005-0000-0000-0000679D0000}"/>
    <cellStyle name="Normal 2 3 9 27 2 5 2" xfId="49371" xr:uid="{00000000-0005-0000-0000-0000689D0000}"/>
    <cellStyle name="Normal 2 3 9 27 2 6" xfId="16852" xr:uid="{00000000-0005-0000-0000-0000699D0000}"/>
    <cellStyle name="Normal 2 3 9 27 2 6 2" xfId="49372" xr:uid="{00000000-0005-0000-0000-00006A9D0000}"/>
    <cellStyle name="Normal 2 3 9 27 2 7" xfId="49373" xr:uid="{00000000-0005-0000-0000-00006B9D0000}"/>
    <cellStyle name="Normal 2 3 9 27 2 7 2" xfId="49374" xr:uid="{00000000-0005-0000-0000-00006C9D0000}"/>
    <cellStyle name="Normal 2 3 9 27 2 8" xfId="49375" xr:uid="{00000000-0005-0000-0000-00006D9D0000}"/>
    <cellStyle name="Normal 2 3 9 27 2 9" xfId="49376" xr:uid="{00000000-0005-0000-0000-00006E9D0000}"/>
    <cellStyle name="Normal 2 3 9 27 3" xfId="16853" xr:uid="{00000000-0005-0000-0000-00006F9D0000}"/>
    <cellStyle name="Normal 2 3 9 27 3 2" xfId="16854" xr:uid="{00000000-0005-0000-0000-0000709D0000}"/>
    <cellStyle name="Normal 2 3 9 27 3 2 2" xfId="16855" xr:uid="{00000000-0005-0000-0000-0000719D0000}"/>
    <cellStyle name="Normal 2 3 9 27 3 2 2 2" xfId="49377" xr:uid="{00000000-0005-0000-0000-0000729D0000}"/>
    <cellStyle name="Normal 2 3 9 27 3 2 3" xfId="16856" xr:uid="{00000000-0005-0000-0000-0000739D0000}"/>
    <cellStyle name="Normal 2 3 9 27 3 2 3 2" xfId="49378" xr:uid="{00000000-0005-0000-0000-0000749D0000}"/>
    <cellStyle name="Normal 2 3 9 27 3 2 4" xfId="49379" xr:uid="{00000000-0005-0000-0000-0000759D0000}"/>
    <cellStyle name="Normal 2 3 9 27 3 3" xfId="16857" xr:uid="{00000000-0005-0000-0000-0000769D0000}"/>
    <cellStyle name="Normal 2 3 9 27 3 3 2" xfId="49380" xr:uid="{00000000-0005-0000-0000-0000779D0000}"/>
    <cellStyle name="Normal 2 3 9 27 3 4" xfId="16858" xr:uid="{00000000-0005-0000-0000-0000789D0000}"/>
    <cellStyle name="Normal 2 3 9 27 3 4 2" xfId="49381" xr:uid="{00000000-0005-0000-0000-0000799D0000}"/>
    <cellStyle name="Normal 2 3 9 27 3 5" xfId="16859" xr:uid="{00000000-0005-0000-0000-00007A9D0000}"/>
    <cellStyle name="Normal 2 3 9 27 3 5 2" xfId="49382" xr:uid="{00000000-0005-0000-0000-00007B9D0000}"/>
    <cellStyle name="Normal 2 3 9 27 3 6" xfId="49383" xr:uid="{00000000-0005-0000-0000-00007C9D0000}"/>
    <cellStyle name="Normal 2 3 9 27 3 6 2" xfId="49384" xr:uid="{00000000-0005-0000-0000-00007D9D0000}"/>
    <cellStyle name="Normal 2 3 9 27 3 7" xfId="49385" xr:uid="{00000000-0005-0000-0000-00007E9D0000}"/>
    <cellStyle name="Normal 2 3 9 27 4" xfId="16860" xr:uid="{00000000-0005-0000-0000-00007F9D0000}"/>
    <cellStyle name="Normal 2 3 9 27 4 2" xfId="16861" xr:uid="{00000000-0005-0000-0000-0000809D0000}"/>
    <cellStyle name="Normal 2 3 9 27 4 2 2" xfId="49386" xr:uid="{00000000-0005-0000-0000-0000819D0000}"/>
    <cellStyle name="Normal 2 3 9 27 4 3" xfId="16862" xr:uid="{00000000-0005-0000-0000-0000829D0000}"/>
    <cellStyle name="Normal 2 3 9 27 4 3 2" xfId="49387" xr:uid="{00000000-0005-0000-0000-0000839D0000}"/>
    <cellStyle name="Normal 2 3 9 27 4 4" xfId="49388" xr:uid="{00000000-0005-0000-0000-0000849D0000}"/>
    <cellStyle name="Normal 2 3 9 27 5" xfId="16863" xr:uid="{00000000-0005-0000-0000-0000859D0000}"/>
    <cellStyle name="Normal 2 3 9 27 5 2" xfId="16864" xr:uid="{00000000-0005-0000-0000-0000869D0000}"/>
    <cellStyle name="Normal 2 3 9 27 5 2 2" xfId="49389" xr:uid="{00000000-0005-0000-0000-0000879D0000}"/>
    <cellStyle name="Normal 2 3 9 27 5 3" xfId="49390" xr:uid="{00000000-0005-0000-0000-0000889D0000}"/>
    <cellStyle name="Normal 2 3 9 27 6" xfId="16865" xr:uid="{00000000-0005-0000-0000-0000899D0000}"/>
    <cellStyle name="Normal 2 3 9 27 6 2" xfId="49391" xr:uid="{00000000-0005-0000-0000-00008A9D0000}"/>
    <cellStyle name="Normal 2 3 9 27 7" xfId="16866" xr:uid="{00000000-0005-0000-0000-00008B9D0000}"/>
    <cellStyle name="Normal 2 3 9 27 7 2" xfId="49392" xr:uid="{00000000-0005-0000-0000-00008C9D0000}"/>
    <cellStyle name="Normal 2 3 9 27 8" xfId="49393" xr:uid="{00000000-0005-0000-0000-00008D9D0000}"/>
    <cellStyle name="Normal 2 3 9 27 8 2" xfId="49394" xr:uid="{00000000-0005-0000-0000-00008E9D0000}"/>
    <cellStyle name="Normal 2 3 9 27 9" xfId="49395" xr:uid="{00000000-0005-0000-0000-00008F9D0000}"/>
    <cellStyle name="Normal 2 3 9 28" xfId="16867" xr:uid="{00000000-0005-0000-0000-0000909D0000}"/>
    <cellStyle name="Normal 2 3 9 28 10" xfId="49396" xr:uid="{00000000-0005-0000-0000-0000919D0000}"/>
    <cellStyle name="Normal 2 3 9 28 11" xfId="49397" xr:uid="{00000000-0005-0000-0000-0000929D0000}"/>
    <cellStyle name="Normal 2 3 9 28 2" xfId="16868" xr:uid="{00000000-0005-0000-0000-0000939D0000}"/>
    <cellStyle name="Normal 2 3 9 28 2 10" xfId="49398" xr:uid="{00000000-0005-0000-0000-0000949D0000}"/>
    <cellStyle name="Normal 2 3 9 28 2 2" xfId="16869" xr:uid="{00000000-0005-0000-0000-0000959D0000}"/>
    <cellStyle name="Normal 2 3 9 28 2 2 2" xfId="16870" xr:uid="{00000000-0005-0000-0000-0000969D0000}"/>
    <cellStyle name="Normal 2 3 9 28 2 2 2 2" xfId="16871" xr:uid="{00000000-0005-0000-0000-0000979D0000}"/>
    <cellStyle name="Normal 2 3 9 28 2 2 2 2 2" xfId="49399" xr:uid="{00000000-0005-0000-0000-0000989D0000}"/>
    <cellStyle name="Normal 2 3 9 28 2 2 2 3" xfId="16872" xr:uid="{00000000-0005-0000-0000-0000999D0000}"/>
    <cellStyle name="Normal 2 3 9 28 2 2 2 3 2" xfId="49400" xr:uid="{00000000-0005-0000-0000-00009A9D0000}"/>
    <cellStyle name="Normal 2 3 9 28 2 2 2 4" xfId="49401" xr:uid="{00000000-0005-0000-0000-00009B9D0000}"/>
    <cellStyle name="Normal 2 3 9 28 2 2 3" xfId="16873" xr:uid="{00000000-0005-0000-0000-00009C9D0000}"/>
    <cellStyle name="Normal 2 3 9 28 2 2 3 2" xfId="49402" xr:uid="{00000000-0005-0000-0000-00009D9D0000}"/>
    <cellStyle name="Normal 2 3 9 28 2 2 4" xfId="16874" xr:uid="{00000000-0005-0000-0000-00009E9D0000}"/>
    <cellStyle name="Normal 2 3 9 28 2 2 4 2" xfId="49403" xr:uid="{00000000-0005-0000-0000-00009F9D0000}"/>
    <cellStyle name="Normal 2 3 9 28 2 2 5" xfId="16875" xr:uid="{00000000-0005-0000-0000-0000A09D0000}"/>
    <cellStyle name="Normal 2 3 9 28 2 2 5 2" xfId="49404" xr:uid="{00000000-0005-0000-0000-0000A19D0000}"/>
    <cellStyle name="Normal 2 3 9 28 2 2 6" xfId="49405" xr:uid="{00000000-0005-0000-0000-0000A29D0000}"/>
    <cellStyle name="Normal 2 3 9 28 2 2 6 2" xfId="49406" xr:uid="{00000000-0005-0000-0000-0000A39D0000}"/>
    <cellStyle name="Normal 2 3 9 28 2 2 7" xfId="49407" xr:uid="{00000000-0005-0000-0000-0000A49D0000}"/>
    <cellStyle name="Normal 2 3 9 28 2 3" xfId="16876" xr:uid="{00000000-0005-0000-0000-0000A59D0000}"/>
    <cellStyle name="Normal 2 3 9 28 2 3 2" xfId="16877" xr:uid="{00000000-0005-0000-0000-0000A69D0000}"/>
    <cellStyle name="Normal 2 3 9 28 2 3 2 2" xfId="49408" xr:uid="{00000000-0005-0000-0000-0000A79D0000}"/>
    <cellStyle name="Normal 2 3 9 28 2 3 3" xfId="16878" xr:uid="{00000000-0005-0000-0000-0000A89D0000}"/>
    <cellStyle name="Normal 2 3 9 28 2 3 3 2" xfId="49409" xr:uid="{00000000-0005-0000-0000-0000A99D0000}"/>
    <cellStyle name="Normal 2 3 9 28 2 3 4" xfId="49410" xr:uid="{00000000-0005-0000-0000-0000AA9D0000}"/>
    <cellStyle name="Normal 2 3 9 28 2 4" xfId="16879" xr:uid="{00000000-0005-0000-0000-0000AB9D0000}"/>
    <cellStyle name="Normal 2 3 9 28 2 4 2" xfId="16880" xr:uid="{00000000-0005-0000-0000-0000AC9D0000}"/>
    <cellStyle name="Normal 2 3 9 28 2 4 2 2" xfId="49411" xr:uid="{00000000-0005-0000-0000-0000AD9D0000}"/>
    <cellStyle name="Normal 2 3 9 28 2 4 3" xfId="49412" xr:uid="{00000000-0005-0000-0000-0000AE9D0000}"/>
    <cellStyle name="Normal 2 3 9 28 2 5" xfId="16881" xr:uid="{00000000-0005-0000-0000-0000AF9D0000}"/>
    <cellStyle name="Normal 2 3 9 28 2 5 2" xfId="49413" xr:uid="{00000000-0005-0000-0000-0000B09D0000}"/>
    <cellStyle name="Normal 2 3 9 28 2 6" xfId="16882" xr:uid="{00000000-0005-0000-0000-0000B19D0000}"/>
    <cellStyle name="Normal 2 3 9 28 2 6 2" xfId="49414" xr:uid="{00000000-0005-0000-0000-0000B29D0000}"/>
    <cellStyle name="Normal 2 3 9 28 2 7" xfId="49415" xr:uid="{00000000-0005-0000-0000-0000B39D0000}"/>
    <cellStyle name="Normal 2 3 9 28 2 7 2" xfId="49416" xr:uid="{00000000-0005-0000-0000-0000B49D0000}"/>
    <cellStyle name="Normal 2 3 9 28 2 8" xfId="49417" xr:uid="{00000000-0005-0000-0000-0000B59D0000}"/>
    <cellStyle name="Normal 2 3 9 28 2 9" xfId="49418" xr:uid="{00000000-0005-0000-0000-0000B69D0000}"/>
    <cellStyle name="Normal 2 3 9 28 3" xfId="16883" xr:uid="{00000000-0005-0000-0000-0000B79D0000}"/>
    <cellStyle name="Normal 2 3 9 28 3 2" xfId="16884" xr:uid="{00000000-0005-0000-0000-0000B89D0000}"/>
    <cellStyle name="Normal 2 3 9 28 3 2 2" xfId="16885" xr:uid="{00000000-0005-0000-0000-0000B99D0000}"/>
    <cellStyle name="Normal 2 3 9 28 3 2 2 2" xfId="49419" xr:uid="{00000000-0005-0000-0000-0000BA9D0000}"/>
    <cellStyle name="Normal 2 3 9 28 3 2 3" xfId="16886" xr:uid="{00000000-0005-0000-0000-0000BB9D0000}"/>
    <cellStyle name="Normal 2 3 9 28 3 2 3 2" xfId="49420" xr:uid="{00000000-0005-0000-0000-0000BC9D0000}"/>
    <cellStyle name="Normal 2 3 9 28 3 2 4" xfId="49421" xr:uid="{00000000-0005-0000-0000-0000BD9D0000}"/>
    <cellStyle name="Normal 2 3 9 28 3 3" xfId="16887" xr:uid="{00000000-0005-0000-0000-0000BE9D0000}"/>
    <cellStyle name="Normal 2 3 9 28 3 3 2" xfId="49422" xr:uid="{00000000-0005-0000-0000-0000BF9D0000}"/>
    <cellStyle name="Normal 2 3 9 28 3 4" xfId="16888" xr:uid="{00000000-0005-0000-0000-0000C09D0000}"/>
    <cellStyle name="Normal 2 3 9 28 3 4 2" xfId="49423" xr:uid="{00000000-0005-0000-0000-0000C19D0000}"/>
    <cellStyle name="Normal 2 3 9 28 3 5" xfId="16889" xr:uid="{00000000-0005-0000-0000-0000C29D0000}"/>
    <cellStyle name="Normal 2 3 9 28 3 5 2" xfId="49424" xr:uid="{00000000-0005-0000-0000-0000C39D0000}"/>
    <cellStyle name="Normal 2 3 9 28 3 6" xfId="49425" xr:uid="{00000000-0005-0000-0000-0000C49D0000}"/>
    <cellStyle name="Normal 2 3 9 28 3 6 2" xfId="49426" xr:uid="{00000000-0005-0000-0000-0000C59D0000}"/>
    <cellStyle name="Normal 2 3 9 28 3 7" xfId="49427" xr:uid="{00000000-0005-0000-0000-0000C69D0000}"/>
    <cellStyle name="Normal 2 3 9 28 4" xfId="16890" xr:uid="{00000000-0005-0000-0000-0000C79D0000}"/>
    <cellStyle name="Normal 2 3 9 28 4 2" xfId="16891" xr:uid="{00000000-0005-0000-0000-0000C89D0000}"/>
    <cellStyle name="Normal 2 3 9 28 4 2 2" xfId="49428" xr:uid="{00000000-0005-0000-0000-0000C99D0000}"/>
    <cellStyle name="Normal 2 3 9 28 4 3" xfId="16892" xr:uid="{00000000-0005-0000-0000-0000CA9D0000}"/>
    <cellStyle name="Normal 2 3 9 28 4 3 2" xfId="49429" xr:uid="{00000000-0005-0000-0000-0000CB9D0000}"/>
    <cellStyle name="Normal 2 3 9 28 4 4" xfId="49430" xr:uid="{00000000-0005-0000-0000-0000CC9D0000}"/>
    <cellStyle name="Normal 2 3 9 28 5" xfId="16893" xr:uid="{00000000-0005-0000-0000-0000CD9D0000}"/>
    <cellStyle name="Normal 2 3 9 28 5 2" xfId="16894" xr:uid="{00000000-0005-0000-0000-0000CE9D0000}"/>
    <cellStyle name="Normal 2 3 9 28 5 2 2" xfId="49431" xr:uid="{00000000-0005-0000-0000-0000CF9D0000}"/>
    <cellStyle name="Normal 2 3 9 28 5 3" xfId="49432" xr:uid="{00000000-0005-0000-0000-0000D09D0000}"/>
    <cellStyle name="Normal 2 3 9 28 6" xfId="16895" xr:uid="{00000000-0005-0000-0000-0000D19D0000}"/>
    <cellStyle name="Normal 2 3 9 28 6 2" xfId="49433" xr:uid="{00000000-0005-0000-0000-0000D29D0000}"/>
    <cellStyle name="Normal 2 3 9 28 7" xfId="16896" xr:uid="{00000000-0005-0000-0000-0000D39D0000}"/>
    <cellStyle name="Normal 2 3 9 28 7 2" xfId="49434" xr:uid="{00000000-0005-0000-0000-0000D49D0000}"/>
    <cellStyle name="Normal 2 3 9 28 8" xfId="49435" xr:uid="{00000000-0005-0000-0000-0000D59D0000}"/>
    <cellStyle name="Normal 2 3 9 28 8 2" xfId="49436" xr:uid="{00000000-0005-0000-0000-0000D69D0000}"/>
    <cellStyle name="Normal 2 3 9 28 9" xfId="49437" xr:uid="{00000000-0005-0000-0000-0000D79D0000}"/>
    <cellStyle name="Normal 2 3 9 29" xfId="16897" xr:uid="{00000000-0005-0000-0000-0000D89D0000}"/>
    <cellStyle name="Normal 2 3 9 29 10" xfId="49438" xr:uid="{00000000-0005-0000-0000-0000D99D0000}"/>
    <cellStyle name="Normal 2 3 9 29 11" xfId="49439" xr:uid="{00000000-0005-0000-0000-0000DA9D0000}"/>
    <cellStyle name="Normal 2 3 9 29 2" xfId="16898" xr:uid="{00000000-0005-0000-0000-0000DB9D0000}"/>
    <cellStyle name="Normal 2 3 9 29 2 10" xfId="49440" xr:uid="{00000000-0005-0000-0000-0000DC9D0000}"/>
    <cellStyle name="Normal 2 3 9 29 2 2" xfId="16899" xr:uid="{00000000-0005-0000-0000-0000DD9D0000}"/>
    <cellStyle name="Normal 2 3 9 29 2 2 2" xfId="16900" xr:uid="{00000000-0005-0000-0000-0000DE9D0000}"/>
    <cellStyle name="Normal 2 3 9 29 2 2 2 2" xfId="16901" xr:uid="{00000000-0005-0000-0000-0000DF9D0000}"/>
    <cellStyle name="Normal 2 3 9 29 2 2 2 2 2" xfId="49441" xr:uid="{00000000-0005-0000-0000-0000E09D0000}"/>
    <cellStyle name="Normal 2 3 9 29 2 2 2 3" xfId="16902" xr:uid="{00000000-0005-0000-0000-0000E19D0000}"/>
    <cellStyle name="Normal 2 3 9 29 2 2 2 3 2" xfId="49442" xr:uid="{00000000-0005-0000-0000-0000E29D0000}"/>
    <cellStyle name="Normal 2 3 9 29 2 2 2 4" xfId="49443" xr:uid="{00000000-0005-0000-0000-0000E39D0000}"/>
    <cellStyle name="Normal 2 3 9 29 2 2 3" xfId="16903" xr:uid="{00000000-0005-0000-0000-0000E49D0000}"/>
    <cellStyle name="Normal 2 3 9 29 2 2 3 2" xfId="49444" xr:uid="{00000000-0005-0000-0000-0000E59D0000}"/>
    <cellStyle name="Normal 2 3 9 29 2 2 4" xfId="16904" xr:uid="{00000000-0005-0000-0000-0000E69D0000}"/>
    <cellStyle name="Normal 2 3 9 29 2 2 4 2" xfId="49445" xr:uid="{00000000-0005-0000-0000-0000E79D0000}"/>
    <cellStyle name="Normal 2 3 9 29 2 2 5" xfId="16905" xr:uid="{00000000-0005-0000-0000-0000E89D0000}"/>
    <cellStyle name="Normal 2 3 9 29 2 2 5 2" xfId="49446" xr:uid="{00000000-0005-0000-0000-0000E99D0000}"/>
    <cellStyle name="Normal 2 3 9 29 2 2 6" xfId="49447" xr:uid="{00000000-0005-0000-0000-0000EA9D0000}"/>
    <cellStyle name="Normal 2 3 9 29 2 2 6 2" xfId="49448" xr:uid="{00000000-0005-0000-0000-0000EB9D0000}"/>
    <cellStyle name="Normal 2 3 9 29 2 2 7" xfId="49449" xr:uid="{00000000-0005-0000-0000-0000EC9D0000}"/>
    <cellStyle name="Normal 2 3 9 29 2 3" xfId="16906" xr:uid="{00000000-0005-0000-0000-0000ED9D0000}"/>
    <cellStyle name="Normal 2 3 9 29 2 3 2" xfId="16907" xr:uid="{00000000-0005-0000-0000-0000EE9D0000}"/>
    <cellStyle name="Normal 2 3 9 29 2 3 2 2" xfId="49450" xr:uid="{00000000-0005-0000-0000-0000EF9D0000}"/>
    <cellStyle name="Normal 2 3 9 29 2 3 3" xfId="16908" xr:uid="{00000000-0005-0000-0000-0000F09D0000}"/>
    <cellStyle name="Normal 2 3 9 29 2 3 3 2" xfId="49451" xr:uid="{00000000-0005-0000-0000-0000F19D0000}"/>
    <cellStyle name="Normal 2 3 9 29 2 3 4" xfId="49452" xr:uid="{00000000-0005-0000-0000-0000F29D0000}"/>
    <cellStyle name="Normal 2 3 9 29 2 4" xfId="16909" xr:uid="{00000000-0005-0000-0000-0000F39D0000}"/>
    <cellStyle name="Normal 2 3 9 29 2 4 2" xfId="16910" xr:uid="{00000000-0005-0000-0000-0000F49D0000}"/>
    <cellStyle name="Normal 2 3 9 29 2 4 2 2" xfId="49453" xr:uid="{00000000-0005-0000-0000-0000F59D0000}"/>
    <cellStyle name="Normal 2 3 9 29 2 4 3" xfId="49454" xr:uid="{00000000-0005-0000-0000-0000F69D0000}"/>
    <cellStyle name="Normal 2 3 9 29 2 5" xfId="16911" xr:uid="{00000000-0005-0000-0000-0000F79D0000}"/>
    <cellStyle name="Normal 2 3 9 29 2 5 2" xfId="49455" xr:uid="{00000000-0005-0000-0000-0000F89D0000}"/>
    <cellStyle name="Normal 2 3 9 29 2 6" xfId="16912" xr:uid="{00000000-0005-0000-0000-0000F99D0000}"/>
    <cellStyle name="Normal 2 3 9 29 2 6 2" xfId="49456" xr:uid="{00000000-0005-0000-0000-0000FA9D0000}"/>
    <cellStyle name="Normal 2 3 9 29 2 7" xfId="49457" xr:uid="{00000000-0005-0000-0000-0000FB9D0000}"/>
    <cellStyle name="Normal 2 3 9 29 2 7 2" xfId="49458" xr:uid="{00000000-0005-0000-0000-0000FC9D0000}"/>
    <cellStyle name="Normal 2 3 9 29 2 8" xfId="49459" xr:uid="{00000000-0005-0000-0000-0000FD9D0000}"/>
    <cellStyle name="Normal 2 3 9 29 2 9" xfId="49460" xr:uid="{00000000-0005-0000-0000-0000FE9D0000}"/>
    <cellStyle name="Normal 2 3 9 29 3" xfId="16913" xr:uid="{00000000-0005-0000-0000-0000FF9D0000}"/>
    <cellStyle name="Normal 2 3 9 29 3 2" xfId="16914" xr:uid="{00000000-0005-0000-0000-0000009E0000}"/>
    <cellStyle name="Normal 2 3 9 29 3 2 2" xfId="16915" xr:uid="{00000000-0005-0000-0000-0000019E0000}"/>
    <cellStyle name="Normal 2 3 9 29 3 2 2 2" xfId="49461" xr:uid="{00000000-0005-0000-0000-0000029E0000}"/>
    <cellStyle name="Normal 2 3 9 29 3 2 3" xfId="16916" xr:uid="{00000000-0005-0000-0000-0000039E0000}"/>
    <cellStyle name="Normal 2 3 9 29 3 2 3 2" xfId="49462" xr:uid="{00000000-0005-0000-0000-0000049E0000}"/>
    <cellStyle name="Normal 2 3 9 29 3 2 4" xfId="49463" xr:uid="{00000000-0005-0000-0000-0000059E0000}"/>
    <cellStyle name="Normal 2 3 9 29 3 3" xfId="16917" xr:uid="{00000000-0005-0000-0000-0000069E0000}"/>
    <cellStyle name="Normal 2 3 9 29 3 3 2" xfId="49464" xr:uid="{00000000-0005-0000-0000-0000079E0000}"/>
    <cellStyle name="Normal 2 3 9 29 3 4" xfId="16918" xr:uid="{00000000-0005-0000-0000-0000089E0000}"/>
    <cellStyle name="Normal 2 3 9 29 3 4 2" xfId="49465" xr:uid="{00000000-0005-0000-0000-0000099E0000}"/>
    <cellStyle name="Normal 2 3 9 29 3 5" xfId="16919" xr:uid="{00000000-0005-0000-0000-00000A9E0000}"/>
    <cellStyle name="Normal 2 3 9 29 3 5 2" xfId="49466" xr:uid="{00000000-0005-0000-0000-00000B9E0000}"/>
    <cellStyle name="Normal 2 3 9 29 3 6" xfId="49467" xr:uid="{00000000-0005-0000-0000-00000C9E0000}"/>
    <cellStyle name="Normal 2 3 9 29 3 6 2" xfId="49468" xr:uid="{00000000-0005-0000-0000-00000D9E0000}"/>
    <cellStyle name="Normal 2 3 9 29 3 7" xfId="49469" xr:uid="{00000000-0005-0000-0000-00000E9E0000}"/>
    <cellStyle name="Normal 2 3 9 29 4" xfId="16920" xr:uid="{00000000-0005-0000-0000-00000F9E0000}"/>
    <cellStyle name="Normal 2 3 9 29 4 2" xfId="16921" xr:uid="{00000000-0005-0000-0000-0000109E0000}"/>
    <cellStyle name="Normal 2 3 9 29 4 2 2" xfId="49470" xr:uid="{00000000-0005-0000-0000-0000119E0000}"/>
    <cellStyle name="Normal 2 3 9 29 4 3" xfId="16922" xr:uid="{00000000-0005-0000-0000-0000129E0000}"/>
    <cellStyle name="Normal 2 3 9 29 4 3 2" xfId="49471" xr:uid="{00000000-0005-0000-0000-0000139E0000}"/>
    <cellStyle name="Normal 2 3 9 29 4 4" xfId="49472" xr:uid="{00000000-0005-0000-0000-0000149E0000}"/>
    <cellStyle name="Normal 2 3 9 29 5" xfId="16923" xr:uid="{00000000-0005-0000-0000-0000159E0000}"/>
    <cellStyle name="Normal 2 3 9 29 5 2" xfId="16924" xr:uid="{00000000-0005-0000-0000-0000169E0000}"/>
    <cellStyle name="Normal 2 3 9 29 5 2 2" xfId="49473" xr:uid="{00000000-0005-0000-0000-0000179E0000}"/>
    <cellStyle name="Normal 2 3 9 29 5 3" xfId="49474" xr:uid="{00000000-0005-0000-0000-0000189E0000}"/>
    <cellStyle name="Normal 2 3 9 29 6" xfId="16925" xr:uid="{00000000-0005-0000-0000-0000199E0000}"/>
    <cellStyle name="Normal 2 3 9 29 6 2" xfId="49475" xr:uid="{00000000-0005-0000-0000-00001A9E0000}"/>
    <cellStyle name="Normal 2 3 9 29 7" xfId="16926" xr:uid="{00000000-0005-0000-0000-00001B9E0000}"/>
    <cellStyle name="Normal 2 3 9 29 7 2" xfId="49476" xr:uid="{00000000-0005-0000-0000-00001C9E0000}"/>
    <cellStyle name="Normal 2 3 9 29 8" xfId="49477" xr:uid="{00000000-0005-0000-0000-00001D9E0000}"/>
    <cellStyle name="Normal 2 3 9 29 8 2" xfId="49478" xr:uid="{00000000-0005-0000-0000-00001E9E0000}"/>
    <cellStyle name="Normal 2 3 9 29 9" xfId="49479" xr:uid="{00000000-0005-0000-0000-00001F9E0000}"/>
    <cellStyle name="Normal 2 3 9 3" xfId="16927" xr:uid="{00000000-0005-0000-0000-0000209E0000}"/>
    <cellStyle name="Normal 2 3 9 3 10" xfId="49480" xr:uid="{00000000-0005-0000-0000-0000219E0000}"/>
    <cellStyle name="Normal 2 3 9 3 11" xfId="49481" xr:uid="{00000000-0005-0000-0000-0000229E0000}"/>
    <cellStyle name="Normal 2 3 9 3 2" xfId="16928" xr:uid="{00000000-0005-0000-0000-0000239E0000}"/>
    <cellStyle name="Normal 2 3 9 3 2 10" xfId="49482" xr:uid="{00000000-0005-0000-0000-0000249E0000}"/>
    <cellStyle name="Normal 2 3 9 3 2 2" xfId="16929" xr:uid="{00000000-0005-0000-0000-0000259E0000}"/>
    <cellStyle name="Normal 2 3 9 3 2 2 2" xfId="16930" xr:uid="{00000000-0005-0000-0000-0000269E0000}"/>
    <cellStyle name="Normal 2 3 9 3 2 2 2 2" xfId="16931" xr:uid="{00000000-0005-0000-0000-0000279E0000}"/>
    <cellStyle name="Normal 2 3 9 3 2 2 2 2 2" xfId="49483" xr:uid="{00000000-0005-0000-0000-0000289E0000}"/>
    <cellStyle name="Normal 2 3 9 3 2 2 2 3" xfId="16932" xr:uid="{00000000-0005-0000-0000-0000299E0000}"/>
    <cellStyle name="Normal 2 3 9 3 2 2 2 3 2" xfId="49484" xr:uid="{00000000-0005-0000-0000-00002A9E0000}"/>
    <cellStyle name="Normal 2 3 9 3 2 2 2 4" xfId="49485" xr:uid="{00000000-0005-0000-0000-00002B9E0000}"/>
    <cellStyle name="Normal 2 3 9 3 2 2 3" xfId="16933" xr:uid="{00000000-0005-0000-0000-00002C9E0000}"/>
    <cellStyle name="Normal 2 3 9 3 2 2 3 2" xfId="49486" xr:uid="{00000000-0005-0000-0000-00002D9E0000}"/>
    <cellStyle name="Normal 2 3 9 3 2 2 4" xfId="16934" xr:uid="{00000000-0005-0000-0000-00002E9E0000}"/>
    <cellStyle name="Normal 2 3 9 3 2 2 4 2" xfId="49487" xr:uid="{00000000-0005-0000-0000-00002F9E0000}"/>
    <cellStyle name="Normal 2 3 9 3 2 2 5" xfId="16935" xr:uid="{00000000-0005-0000-0000-0000309E0000}"/>
    <cellStyle name="Normal 2 3 9 3 2 2 5 2" xfId="49488" xr:uid="{00000000-0005-0000-0000-0000319E0000}"/>
    <cellStyle name="Normal 2 3 9 3 2 2 6" xfId="49489" xr:uid="{00000000-0005-0000-0000-0000329E0000}"/>
    <cellStyle name="Normal 2 3 9 3 2 2 6 2" xfId="49490" xr:uid="{00000000-0005-0000-0000-0000339E0000}"/>
    <cellStyle name="Normal 2 3 9 3 2 2 7" xfId="49491" xr:uid="{00000000-0005-0000-0000-0000349E0000}"/>
    <cellStyle name="Normal 2 3 9 3 2 3" xfId="16936" xr:uid="{00000000-0005-0000-0000-0000359E0000}"/>
    <cellStyle name="Normal 2 3 9 3 2 3 2" xfId="16937" xr:uid="{00000000-0005-0000-0000-0000369E0000}"/>
    <cellStyle name="Normal 2 3 9 3 2 3 2 2" xfId="49492" xr:uid="{00000000-0005-0000-0000-0000379E0000}"/>
    <cellStyle name="Normal 2 3 9 3 2 3 3" xfId="16938" xr:uid="{00000000-0005-0000-0000-0000389E0000}"/>
    <cellStyle name="Normal 2 3 9 3 2 3 3 2" xfId="49493" xr:uid="{00000000-0005-0000-0000-0000399E0000}"/>
    <cellStyle name="Normal 2 3 9 3 2 3 4" xfId="49494" xr:uid="{00000000-0005-0000-0000-00003A9E0000}"/>
    <cellStyle name="Normal 2 3 9 3 2 4" xfId="16939" xr:uid="{00000000-0005-0000-0000-00003B9E0000}"/>
    <cellStyle name="Normal 2 3 9 3 2 4 2" xfId="16940" xr:uid="{00000000-0005-0000-0000-00003C9E0000}"/>
    <cellStyle name="Normal 2 3 9 3 2 4 2 2" xfId="49495" xr:uid="{00000000-0005-0000-0000-00003D9E0000}"/>
    <cellStyle name="Normal 2 3 9 3 2 4 3" xfId="49496" xr:uid="{00000000-0005-0000-0000-00003E9E0000}"/>
    <cellStyle name="Normal 2 3 9 3 2 5" xfId="16941" xr:uid="{00000000-0005-0000-0000-00003F9E0000}"/>
    <cellStyle name="Normal 2 3 9 3 2 5 2" xfId="49497" xr:uid="{00000000-0005-0000-0000-0000409E0000}"/>
    <cellStyle name="Normal 2 3 9 3 2 6" xfId="16942" xr:uid="{00000000-0005-0000-0000-0000419E0000}"/>
    <cellStyle name="Normal 2 3 9 3 2 6 2" xfId="49498" xr:uid="{00000000-0005-0000-0000-0000429E0000}"/>
    <cellStyle name="Normal 2 3 9 3 2 7" xfId="49499" xr:uid="{00000000-0005-0000-0000-0000439E0000}"/>
    <cellStyle name="Normal 2 3 9 3 2 7 2" xfId="49500" xr:uid="{00000000-0005-0000-0000-0000449E0000}"/>
    <cellStyle name="Normal 2 3 9 3 2 8" xfId="49501" xr:uid="{00000000-0005-0000-0000-0000459E0000}"/>
    <cellStyle name="Normal 2 3 9 3 2 9" xfId="49502" xr:uid="{00000000-0005-0000-0000-0000469E0000}"/>
    <cellStyle name="Normal 2 3 9 3 3" xfId="16943" xr:uid="{00000000-0005-0000-0000-0000479E0000}"/>
    <cellStyle name="Normal 2 3 9 3 3 2" xfId="16944" xr:uid="{00000000-0005-0000-0000-0000489E0000}"/>
    <cellStyle name="Normal 2 3 9 3 3 2 2" xfId="16945" xr:uid="{00000000-0005-0000-0000-0000499E0000}"/>
    <cellStyle name="Normal 2 3 9 3 3 2 2 2" xfId="49503" xr:uid="{00000000-0005-0000-0000-00004A9E0000}"/>
    <cellStyle name="Normal 2 3 9 3 3 2 3" xfId="16946" xr:uid="{00000000-0005-0000-0000-00004B9E0000}"/>
    <cellStyle name="Normal 2 3 9 3 3 2 3 2" xfId="49504" xr:uid="{00000000-0005-0000-0000-00004C9E0000}"/>
    <cellStyle name="Normal 2 3 9 3 3 2 4" xfId="49505" xr:uid="{00000000-0005-0000-0000-00004D9E0000}"/>
    <cellStyle name="Normal 2 3 9 3 3 3" xfId="16947" xr:uid="{00000000-0005-0000-0000-00004E9E0000}"/>
    <cellStyle name="Normal 2 3 9 3 3 3 2" xfId="49506" xr:uid="{00000000-0005-0000-0000-00004F9E0000}"/>
    <cellStyle name="Normal 2 3 9 3 3 4" xfId="16948" xr:uid="{00000000-0005-0000-0000-0000509E0000}"/>
    <cellStyle name="Normal 2 3 9 3 3 4 2" xfId="49507" xr:uid="{00000000-0005-0000-0000-0000519E0000}"/>
    <cellStyle name="Normal 2 3 9 3 3 5" xfId="16949" xr:uid="{00000000-0005-0000-0000-0000529E0000}"/>
    <cellStyle name="Normal 2 3 9 3 3 5 2" xfId="49508" xr:uid="{00000000-0005-0000-0000-0000539E0000}"/>
    <cellStyle name="Normal 2 3 9 3 3 6" xfId="49509" xr:uid="{00000000-0005-0000-0000-0000549E0000}"/>
    <cellStyle name="Normal 2 3 9 3 3 6 2" xfId="49510" xr:uid="{00000000-0005-0000-0000-0000559E0000}"/>
    <cellStyle name="Normal 2 3 9 3 3 7" xfId="49511" xr:uid="{00000000-0005-0000-0000-0000569E0000}"/>
    <cellStyle name="Normal 2 3 9 3 4" xfId="16950" xr:uid="{00000000-0005-0000-0000-0000579E0000}"/>
    <cellStyle name="Normal 2 3 9 3 4 2" xfId="16951" xr:uid="{00000000-0005-0000-0000-0000589E0000}"/>
    <cellStyle name="Normal 2 3 9 3 4 2 2" xfId="49512" xr:uid="{00000000-0005-0000-0000-0000599E0000}"/>
    <cellStyle name="Normal 2 3 9 3 4 3" xfId="16952" xr:uid="{00000000-0005-0000-0000-00005A9E0000}"/>
    <cellStyle name="Normal 2 3 9 3 4 3 2" xfId="49513" xr:uid="{00000000-0005-0000-0000-00005B9E0000}"/>
    <cellStyle name="Normal 2 3 9 3 4 4" xfId="49514" xr:uid="{00000000-0005-0000-0000-00005C9E0000}"/>
    <cellStyle name="Normal 2 3 9 3 5" xfId="16953" xr:uid="{00000000-0005-0000-0000-00005D9E0000}"/>
    <cellStyle name="Normal 2 3 9 3 5 2" xfId="16954" xr:uid="{00000000-0005-0000-0000-00005E9E0000}"/>
    <cellStyle name="Normal 2 3 9 3 5 2 2" xfId="49515" xr:uid="{00000000-0005-0000-0000-00005F9E0000}"/>
    <cellStyle name="Normal 2 3 9 3 5 3" xfId="49516" xr:uid="{00000000-0005-0000-0000-0000609E0000}"/>
    <cellStyle name="Normal 2 3 9 3 6" xfId="16955" xr:uid="{00000000-0005-0000-0000-0000619E0000}"/>
    <cellStyle name="Normal 2 3 9 3 6 2" xfId="49517" xr:uid="{00000000-0005-0000-0000-0000629E0000}"/>
    <cellStyle name="Normal 2 3 9 3 7" xfId="16956" xr:uid="{00000000-0005-0000-0000-0000639E0000}"/>
    <cellStyle name="Normal 2 3 9 3 7 2" xfId="49518" xr:uid="{00000000-0005-0000-0000-0000649E0000}"/>
    <cellStyle name="Normal 2 3 9 3 8" xfId="49519" xr:uid="{00000000-0005-0000-0000-0000659E0000}"/>
    <cellStyle name="Normal 2 3 9 3 8 2" xfId="49520" xr:uid="{00000000-0005-0000-0000-0000669E0000}"/>
    <cellStyle name="Normal 2 3 9 3 9" xfId="49521" xr:uid="{00000000-0005-0000-0000-0000679E0000}"/>
    <cellStyle name="Normal 2 3 9 30" xfId="16957" xr:uid="{00000000-0005-0000-0000-0000689E0000}"/>
    <cellStyle name="Normal 2 3 9 30 10" xfId="49522" xr:uid="{00000000-0005-0000-0000-0000699E0000}"/>
    <cellStyle name="Normal 2 3 9 30 11" xfId="49523" xr:uid="{00000000-0005-0000-0000-00006A9E0000}"/>
    <cellStyle name="Normal 2 3 9 30 2" xfId="16958" xr:uid="{00000000-0005-0000-0000-00006B9E0000}"/>
    <cellStyle name="Normal 2 3 9 30 2 10" xfId="49524" xr:uid="{00000000-0005-0000-0000-00006C9E0000}"/>
    <cellStyle name="Normal 2 3 9 30 2 2" xfId="16959" xr:uid="{00000000-0005-0000-0000-00006D9E0000}"/>
    <cellStyle name="Normal 2 3 9 30 2 2 2" xfId="16960" xr:uid="{00000000-0005-0000-0000-00006E9E0000}"/>
    <cellStyle name="Normal 2 3 9 30 2 2 2 2" xfId="16961" xr:uid="{00000000-0005-0000-0000-00006F9E0000}"/>
    <cellStyle name="Normal 2 3 9 30 2 2 2 2 2" xfId="49525" xr:uid="{00000000-0005-0000-0000-0000709E0000}"/>
    <cellStyle name="Normal 2 3 9 30 2 2 2 3" xfId="16962" xr:uid="{00000000-0005-0000-0000-0000719E0000}"/>
    <cellStyle name="Normal 2 3 9 30 2 2 2 3 2" xfId="49526" xr:uid="{00000000-0005-0000-0000-0000729E0000}"/>
    <cellStyle name="Normal 2 3 9 30 2 2 2 4" xfId="49527" xr:uid="{00000000-0005-0000-0000-0000739E0000}"/>
    <cellStyle name="Normal 2 3 9 30 2 2 3" xfId="16963" xr:uid="{00000000-0005-0000-0000-0000749E0000}"/>
    <cellStyle name="Normal 2 3 9 30 2 2 3 2" xfId="49528" xr:uid="{00000000-0005-0000-0000-0000759E0000}"/>
    <cellStyle name="Normal 2 3 9 30 2 2 4" xfId="16964" xr:uid="{00000000-0005-0000-0000-0000769E0000}"/>
    <cellStyle name="Normal 2 3 9 30 2 2 4 2" xfId="49529" xr:uid="{00000000-0005-0000-0000-0000779E0000}"/>
    <cellStyle name="Normal 2 3 9 30 2 2 5" xfId="16965" xr:uid="{00000000-0005-0000-0000-0000789E0000}"/>
    <cellStyle name="Normal 2 3 9 30 2 2 5 2" xfId="49530" xr:uid="{00000000-0005-0000-0000-0000799E0000}"/>
    <cellStyle name="Normal 2 3 9 30 2 2 6" xfId="49531" xr:uid="{00000000-0005-0000-0000-00007A9E0000}"/>
    <cellStyle name="Normal 2 3 9 30 2 2 6 2" xfId="49532" xr:uid="{00000000-0005-0000-0000-00007B9E0000}"/>
    <cellStyle name="Normal 2 3 9 30 2 2 7" xfId="49533" xr:uid="{00000000-0005-0000-0000-00007C9E0000}"/>
    <cellStyle name="Normal 2 3 9 30 2 3" xfId="16966" xr:uid="{00000000-0005-0000-0000-00007D9E0000}"/>
    <cellStyle name="Normal 2 3 9 30 2 3 2" xfId="16967" xr:uid="{00000000-0005-0000-0000-00007E9E0000}"/>
    <cellStyle name="Normal 2 3 9 30 2 3 2 2" xfId="49534" xr:uid="{00000000-0005-0000-0000-00007F9E0000}"/>
    <cellStyle name="Normal 2 3 9 30 2 3 3" xfId="16968" xr:uid="{00000000-0005-0000-0000-0000809E0000}"/>
    <cellStyle name="Normal 2 3 9 30 2 3 3 2" xfId="49535" xr:uid="{00000000-0005-0000-0000-0000819E0000}"/>
    <cellStyle name="Normal 2 3 9 30 2 3 4" xfId="49536" xr:uid="{00000000-0005-0000-0000-0000829E0000}"/>
    <cellStyle name="Normal 2 3 9 30 2 4" xfId="16969" xr:uid="{00000000-0005-0000-0000-0000839E0000}"/>
    <cellStyle name="Normal 2 3 9 30 2 4 2" xfId="16970" xr:uid="{00000000-0005-0000-0000-0000849E0000}"/>
    <cellStyle name="Normal 2 3 9 30 2 4 2 2" xfId="49537" xr:uid="{00000000-0005-0000-0000-0000859E0000}"/>
    <cellStyle name="Normal 2 3 9 30 2 4 3" xfId="49538" xr:uid="{00000000-0005-0000-0000-0000869E0000}"/>
    <cellStyle name="Normal 2 3 9 30 2 5" xfId="16971" xr:uid="{00000000-0005-0000-0000-0000879E0000}"/>
    <cellStyle name="Normal 2 3 9 30 2 5 2" xfId="49539" xr:uid="{00000000-0005-0000-0000-0000889E0000}"/>
    <cellStyle name="Normal 2 3 9 30 2 6" xfId="16972" xr:uid="{00000000-0005-0000-0000-0000899E0000}"/>
    <cellStyle name="Normal 2 3 9 30 2 6 2" xfId="49540" xr:uid="{00000000-0005-0000-0000-00008A9E0000}"/>
    <cellStyle name="Normal 2 3 9 30 2 7" xfId="49541" xr:uid="{00000000-0005-0000-0000-00008B9E0000}"/>
    <cellStyle name="Normal 2 3 9 30 2 7 2" xfId="49542" xr:uid="{00000000-0005-0000-0000-00008C9E0000}"/>
    <cellStyle name="Normal 2 3 9 30 2 8" xfId="49543" xr:uid="{00000000-0005-0000-0000-00008D9E0000}"/>
    <cellStyle name="Normal 2 3 9 30 2 9" xfId="49544" xr:uid="{00000000-0005-0000-0000-00008E9E0000}"/>
    <cellStyle name="Normal 2 3 9 30 3" xfId="16973" xr:uid="{00000000-0005-0000-0000-00008F9E0000}"/>
    <cellStyle name="Normal 2 3 9 30 3 2" xfId="16974" xr:uid="{00000000-0005-0000-0000-0000909E0000}"/>
    <cellStyle name="Normal 2 3 9 30 3 2 2" xfId="16975" xr:uid="{00000000-0005-0000-0000-0000919E0000}"/>
    <cellStyle name="Normal 2 3 9 30 3 2 2 2" xfId="49545" xr:uid="{00000000-0005-0000-0000-0000929E0000}"/>
    <cellStyle name="Normal 2 3 9 30 3 2 3" xfId="16976" xr:uid="{00000000-0005-0000-0000-0000939E0000}"/>
    <cellStyle name="Normal 2 3 9 30 3 2 3 2" xfId="49546" xr:uid="{00000000-0005-0000-0000-0000949E0000}"/>
    <cellStyle name="Normal 2 3 9 30 3 2 4" xfId="49547" xr:uid="{00000000-0005-0000-0000-0000959E0000}"/>
    <cellStyle name="Normal 2 3 9 30 3 3" xfId="16977" xr:uid="{00000000-0005-0000-0000-0000969E0000}"/>
    <cellStyle name="Normal 2 3 9 30 3 3 2" xfId="49548" xr:uid="{00000000-0005-0000-0000-0000979E0000}"/>
    <cellStyle name="Normal 2 3 9 30 3 4" xfId="16978" xr:uid="{00000000-0005-0000-0000-0000989E0000}"/>
    <cellStyle name="Normal 2 3 9 30 3 4 2" xfId="49549" xr:uid="{00000000-0005-0000-0000-0000999E0000}"/>
    <cellStyle name="Normal 2 3 9 30 3 5" xfId="16979" xr:uid="{00000000-0005-0000-0000-00009A9E0000}"/>
    <cellStyle name="Normal 2 3 9 30 3 5 2" xfId="49550" xr:uid="{00000000-0005-0000-0000-00009B9E0000}"/>
    <cellStyle name="Normal 2 3 9 30 3 6" xfId="49551" xr:uid="{00000000-0005-0000-0000-00009C9E0000}"/>
    <cellStyle name="Normal 2 3 9 30 3 6 2" xfId="49552" xr:uid="{00000000-0005-0000-0000-00009D9E0000}"/>
    <cellStyle name="Normal 2 3 9 30 3 7" xfId="49553" xr:uid="{00000000-0005-0000-0000-00009E9E0000}"/>
    <cellStyle name="Normal 2 3 9 30 4" xfId="16980" xr:uid="{00000000-0005-0000-0000-00009F9E0000}"/>
    <cellStyle name="Normal 2 3 9 30 4 2" xfId="16981" xr:uid="{00000000-0005-0000-0000-0000A09E0000}"/>
    <cellStyle name="Normal 2 3 9 30 4 2 2" xfId="49554" xr:uid="{00000000-0005-0000-0000-0000A19E0000}"/>
    <cellStyle name="Normal 2 3 9 30 4 3" xfId="16982" xr:uid="{00000000-0005-0000-0000-0000A29E0000}"/>
    <cellStyle name="Normal 2 3 9 30 4 3 2" xfId="49555" xr:uid="{00000000-0005-0000-0000-0000A39E0000}"/>
    <cellStyle name="Normal 2 3 9 30 4 4" xfId="49556" xr:uid="{00000000-0005-0000-0000-0000A49E0000}"/>
    <cellStyle name="Normal 2 3 9 30 5" xfId="16983" xr:uid="{00000000-0005-0000-0000-0000A59E0000}"/>
    <cellStyle name="Normal 2 3 9 30 5 2" xfId="16984" xr:uid="{00000000-0005-0000-0000-0000A69E0000}"/>
    <cellStyle name="Normal 2 3 9 30 5 2 2" xfId="49557" xr:uid="{00000000-0005-0000-0000-0000A79E0000}"/>
    <cellStyle name="Normal 2 3 9 30 5 3" xfId="49558" xr:uid="{00000000-0005-0000-0000-0000A89E0000}"/>
    <cellStyle name="Normal 2 3 9 30 6" xfId="16985" xr:uid="{00000000-0005-0000-0000-0000A99E0000}"/>
    <cellStyle name="Normal 2 3 9 30 6 2" xfId="49559" xr:uid="{00000000-0005-0000-0000-0000AA9E0000}"/>
    <cellStyle name="Normal 2 3 9 30 7" xfId="16986" xr:uid="{00000000-0005-0000-0000-0000AB9E0000}"/>
    <cellStyle name="Normal 2 3 9 30 7 2" xfId="49560" xr:uid="{00000000-0005-0000-0000-0000AC9E0000}"/>
    <cellStyle name="Normal 2 3 9 30 8" xfId="49561" xr:uid="{00000000-0005-0000-0000-0000AD9E0000}"/>
    <cellStyle name="Normal 2 3 9 30 8 2" xfId="49562" xr:uid="{00000000-0005-0000-0000-0000AE9E0000}"/>
    <cellStyle name="Normal 2 3 9 30 9" xfId="49563" xr:uid="{00000000-0005-0000-0000-0000AF9E0000}"/>
    <cellStyle name="Normal 2 3 9 31" xfId="16987" xr:uid="{00000000-0005-0000-0000-0000B09E0000}"/>
    <cellStyle name="Normal 2 3 9 31 10" xfId="49564" xr:uid="{00000000-0005-0000-0000-0000B19E0000}"/>
    <cellStyle name="Normal 2 3 9 31 2" xfId="16988" xr:uid="{00000000-0005-0000-0000-0000B29E0000}"/>
    <cellStyle name="Normal 2 3 9 31 2 2" xfId="16989" xr:uid="{00000000-0005-0000-0000-0000B39E0000}"/>
    <cellStyle name="Normal 2 3 9 31 2 2 2" xfId="16990" xr:uid="{00000000-0005-0000-0000-0000B49E0000}"/>
    <cellStyle name="Normal 2 3 9 31 2 2 2 2" xfId="49565" xr:uid="{00000000-0005-0000-0000-0000B59E0000}"/>
    <cellStyle name="Normal 2 3 9 31 2 2 3" xfId="16991" xr:uid="{00000000-0005-0000-0000-0000B69E0000}"/>
    <cellStyle name="Normal 2 3 9 31 2 2 3 2" xfId="49566" xr:uid="{00000000-0005-0000-0000-0000B79E0000}"/>
    <cellStyle name="Normal 2 3 9 31 2 2 4" xfId="49567" xr:uid="{00000000-0005-0000-0000-0000B89E0000}"/>
    <cellStyle name="Normal 2 3 9 31 2 3" xfId="16992" xr:uid="{00000000-0005-0000-0000-0000B99E0000}"/>
    <cellStyle name="Normal 2 3 9 31 2 3 2" xfId="49568" xr:uid="{00000000-0005-0000-0000-0000BA9E0000}"/>
    <cellStyle name="Normal 2 3 9 31 2 4" xfId="16993" xr:uid="{00000000-0005-0000-0000-0000BB9E0000}"/>
    <cellStyle name="Normal 2 3 9 31 2 4 2" xfId="49569" xr:uid="{00000000-0005-0000-0000-0000BC9E0000}"/>
    <cellStyle name="Normal 2 3 9 31 2 5" xfId="16994" xr:uid="{00000000-0005-0000-0000-0000BD9E0000}"/>
    <cellStyle name="Normal 2 3 9 31 2 5 2" xfId="49570" xr:uid="{00000000-0005-0000-0000-0000BE9E0000}"/>
    <cellStyle name="Normal 2 3 9 31 2 6" xfId="49571" xr:uid="{00000000-0005-0000-0000-0000BF9E0000}"/>
    <cellStyle name="Normal 2 3 9 31 2 6 2" xfId="49572" xr:uid="{00000000-0005-0000-0000-0000C09E0000}"/>
    <cellStyle name="Normal 2 3 9 31 2 7" xfId="49573" xr:uid="{00000000-0005-0000-0000-0000C19E0000}"/>
    <cellStyle name="Normal 2 3 9 31 3" xfId="16995" xr:uid="{00000000-0005-0000-0000-0000C29E0000}"/>
    <cellStyle name="Normal 2 3 9 31 3 2" xfId="16996" xr:uid="{00000000-0005-0000-0000-0000C39E0000}"/>
    <cellStyle name="Normal 2 3 9 31 3 2 2" xfId="49574" xr:uid="{00000000-0005-0000-0000-0000C49E0000}"/>
    <cellStyle name="Normal 2 3 9 31 3 3" xfId="16997" xr:uid="{00000000-0005-0000-0000-0000C59E0000}"/>
    <cellStyle name="Normal 2 3 9 31 3 3 2" xfId="49575" xr:uid="{00000000-0005-0000-0000-0000C69E0000}"/>
    <cellStyle name="Normal 2 3 9 31 3 4" xfId="49576" xr:uid="{00000000-0005-0000-0000-0000C79E0000}"/>
    <cellStyle name="Normal 2 3 9 31 4" xfId="16998" xr:uid="{00000000-0005-0000-0000-0000C89E0000}"/>
    <cellStyle name="Normal 2 3 9 31 4 2" xfId="16999" xr:uid="{00000000-0005-0000-0000-0000C99E0000}"/>
    <cellStyle name="Normal 2 3 9 31 4 2 2" xfId="49577" xr:uid="{00000000-0005-0000-0000-0000CA9E0000}"/>
    <cellStyle name="Normal 2 3 9 31 4 3" xfId="49578" xr:uid="{00000000-0005-0000-0000-0000CB9E0000}"/>
    <cellStyle name="Normal 2 3 9 31 5" xfId="17000" xr:uid="{00000000-0005-0000-0000-0000CC9E0000}"/>
    <cellStyle name="Normal 2 3 9 31 5 2" xfId="49579" xr:uid="{00000000-0005-0000-0000-0000CD9E0000}"/>
    <cellStyle name="Normal 2 3 9 31 6" xfId="17001" xr:uid="{00000000-0005-0000-0000-0000CE9E0000}"/>
    <cellStyle name="Normal 2 3 9 31 6 2" xfId="49580" xr:uid="{00000000-0005-0000-0000-0000CF9E0000}"/>
    <cellStyle name="Normal 2 3 9 31 7" xfId="49581" xr:uid="{00000000-0005-0000-0000-0000D09E0000}"/>
    <cellStyle name="Normal 2 3 9 31 7 2" xfId="49582" xr:uid="{00000000-0005-0000-0000-0000D19E0000}"/>
    <cellStyle name="Normal 2 3 9 31 8" xfId="49583" xr:uid="{00000000-0005-0000-0000-0000D29E0000}"/>
    <cellStyle name="Normal 2 3 9 31 9" xfId="49584" xr:uid="{00000000-0005-0000-0000-0000D39E0000}"/>
    <cellStyle name="Normal 2 3 9 32" xfId="17002" xr:uid="{00000000-0005-0000-0000-0000D49E0000}"/>
    <cellStyle name="Normal 2 3 9 32 2" xfId="17003" xr:uid="{00000000-0005-0000-0000-0000D59E0000}"/>
    <cellStyle name="Normal 2 3 9 32 2 2" xfId="17004" xr:uid="{00000000-0005-0000-0000-0000D69E0000}"/>
    <cellStyle name="Normal 2 3 9 32 2 2 2" xfId="49585" xr:uid="{00000000-0005-0000-0000-0000D79E0000}"/>
    <cellStyle name="Normal 2 3 9 32 2 3" xfId="17005" xr:uid="{00000000-0005-0000-0000-0000D89E0000}"/>
    <cellStyle name="Normal 2 3 9 32 2 3 2" xfId="49586" xr:uid="{00000000-0005-0000-0000-0000D99E0000}"/>
    <cellStyle name="Normal 2 3 9 32 2 4" xfId="49587" xr:uid="{00000000-0005-0000-0000-0000DA9E0000}"/>
    <cellStyle name="Normal 2 3 9 32 3" xfId="17006" xr:uid="{00000000-0005-0000-0000-0000DB9E0000}"/>
    <cellStyle name="Normal 2 3 9 32 3 2" xfId="49588" xr:uid="{00000000-0005-0000-0000-0000DC9E0000}"/>
    <cellStyle name="Normal 2 3 9 32 4" xfId="17007" xr:uid="{00000000-0005-0000-0000-0000DD9E0000}"/>
    <cellStyle name="Normal 2 3 9 32 4 2" xfId="49589" xr:uid="{00000000-0005-0000-0000-0000DE9E0000}"/>
    <cellStyle name="Normal 2 3 9 32 5" xfId="17008" xr:uid="{00000000-0005-0000-0000-0000DF9E0000}"/>
    <cellStyle name="Normal 2 3 9 32 5 2" xfId="49590" xr:uid="{00000000-0005-0000-0000-0000E09E0000}"/>
    <cellStyle name="Normal 2 3 9 32 6" xfId="49591" xr:uid="{00000000-0005-0000-0000-0000E19E0000}"/>
    <cellStyle name="Normal 2 3 9 32 6 2" xfId="49592" xr:uid="{00000000-0005-0000-0000-0000E29E0000}"/>
    <cellStyle name="Normal 2 3 9 32 7" xfId="49593" xr:uid="{00000000-0005-0000-0000-0000E39E0000}"/>
    <cellStyle name="Normal 2 3 9 33" xfId="17009" xr:uid="{00000000-0005-0000-0000-0000E49E0000}"/>
    <cellStyle name="Normal 2 3 9 33 2" xfId="17010" xr:uid="{00000000-0005-0000-0000-0000E59E0000}"/>
    <cellStyle name="Normal 2 3 9 33 2 2" xfId="49594" xr:uid="{00000000-0005-0000-0000-0000E69E0000}"/>
    <cellStyle name="Normal 2 3 9 33 3" xfId="17011" xr:uid="{00000000-0005-0000-0000-0000E79E0000}"/>
    <cellStyle name="Normal 2 3 9 33 3 2" xfId="49595" xr:uid="{00000000-0005-0000-0000-0000E89E0000}"/>
    <cellStyle name="Normal 2 3 9 33 4" xfId="49596" xr:uid="{00000000-0005-0000-0000-0000E99E0000}"/>
    <cellStyle name="Normal 2 3 9 34" xfId="17012" xr:uid="{00000000-0005-0000-0000-0000EA9E0000}"/>
    <cellStyle name="Normal 2 3 9 34 2" xfId="17013" xr:uid="{00000000-0005-0000-0000-0000EB9E0000}"/>
    <cellStyle name="Normal 2 3 9 34 2 2" xfId="49597" xr:uid="{00000000-0005-0000-0000-0000EC9E0000}"/>
    <cellStyle name="Normal 2 3 9 34 3" xfId="49598" xr:uid="{00000000-0005-0000-0000-0000ED9E0000}"/>
    <cellStyle name="Normal 2 3 9 35" xfId="17014" xr:uid="{00000000-0005-0000-0000-0000EE9E0000}"/>
    <cellStyle name="Normal 2 3 9 35 2" xfId="49599" xr:uid="{00000000-0005-0000-0000-0000EF9E0000}"/>
    <cellStyle name="Normal 2 3 9 36" xfId="17015" xr:uid="{00000000-0005-0000-0000-0000F09E0000}"/>
    <cellStyle name="Normal 2 3 9 36 2" xfId="49600" xr:uid="{00000000-0005-0000-0000-0000F19E0000}"/>
    <cellStyle name="Normal 2 3 9 37" xfId="49601" xr:uid="{00000000-0005-0000-0000-0000F29E0000}"/>
    <cellStyle name="Normal 2 3 9 37 2" xfId="49602" xr:uid="{00000000-0005-0000-0000-0000F39E0000}"/>
    <cellStyle name="Normal 2 3 9 38" xfId="49603" xr:uid="{00000000-0005-0000-0000-0000F49E0000}"/>
    <cellStyle name="Normal 2 3 9 39" xfId="49604" xr:uid="{00000000-0005-0000-0000-0000F59E0000}"/>
    <cellStyle name="Normal 2 3 9 4" xfId="17016" xr:uid="{00000000-0005-0000-0000-0000F69E0000}"/>
    <cellStyle name="Normal 2 3 9 4 10" xfId="49605" xr:uid="{00000000-0005-0000-0000-0000F79E0000}"/>
    <cellStyle name="Normal 2 3 9 4 11" xfId="49606" xr:uid="{00000000-0005-0000-0000-0000F89E0000}"/>
    <cellStyle name="Normal 2 3 9 4 2" xfId="17017" xr:uid="{00000000-0005-0000-0000-0000F99E0000}"/>
    <cellStyle name="Normal 2 3 9 4 2 10" xfId="49607" xr:uid="{00000000-0005-0000-0000-0000FA9E0000}"/>
    <cellStyle name="Normal 2 3 9 4 2 2" xfId="17018" xr:uid="{00000000-0005-0000-0000-0000FB9E0000}"/>
    <cellStyle name="Normal 2 3 9 4 2 2 2" xfId="17019" xr:uid="{00000000-0005-0000-0000-0000FC9E0000}"/>
    <cellStyle name="Normal 2 3 9 4 2 2 2 2" xfId="17020" xr:uid="{00000000-0005-0000-0000-0000FD9E0000}"/>
    <cellStyle name="Normal 2 3 9 4 2 2 2 2 2" xfId="49608" xr:uid="{00000000-0005-0000-0000-0000FE9E0000}"/>
    <cellStyle name="Normal 2 3 9 4 2 2 2 3" xfId="17021" xr:uid="{00000000-0005-0000-0000-0000FF9E0000}"/>
    <cellStyle name="Normal 2 3 9 4 2 2 2 3 2" xfId="49609" xr:uid="{00000000-0005-0000-0000-0000009F0000}"/>
    <cellStyle name="Normal 2 3 9 4 2 2 2 4" xfId="49610" xr:uid="{00000000-0005-0000-0000-0000019F0000}"/>
    <cellStyle name="Normal 2 3 9 4 2 2 3" xfId="17022" xr:uid="{00000000-0005-0000-0000-0000029F0000}"/>
    <cellStyle name="Normal 2 3 9 4 2 2 3 2" xfId="49611" xr:uid="{00000000-0005-0000-0000-0000039F0000}"/>
    <cellStyle name="Normal 2 3 9 4 2 2 4" xfId="17023" xr:uid="{00000000-0005-0000-0000-0000049F0000}"/>
    <cellStyle name="Normal 2 3 9 4 2 2 4 2" xfId="49612" xr:uid="{00000000-0005-0000-0000-0000059F0000}"/>
    <cellStyle name="Normal 2 3 9 4 2 2 5" xfId="17024" xr:uid="{00000000-0005-0000-0000-0000069F0000}"/>
    <cellStyle name="Normal 2 3 9 4 2 2 5 2" xfId="49613" xr:uid="{00000000-0005-0000-0000-0000079F0000}"/>
    <cellStyle name="Normal 2 3 9 4 2 2 6" xfId="49614" xr:uid="{00000000-0005-0000-0000-0000089F0000}"/>
    <cellStyle name="Normal 2 3 9 4 2 2 6 2" xfId="49615" xr:uid="{00000000-0005-0000-0000-0000099F0000}"/>
    <cellStyle name="Normal 2 3 9 4 2 2 7" xfId="49616" xr:uid="{00000000-0005-0000-0000-00000A9F0000}"/>
    <cellStyle name="Normal 2 3 9 4 2 3" xfId="17025" xr:uid="{00000000-0005-0000-0000-00000B9F0000}"/>
    <cellStyle name="Normal 2 3 9 4 2 3 2" xfId="17026" xr:uid="{00000000-0005-0000-0000-00000C9F0000}"/>
    <cellStyle name="Normal 2 3 9 4 2 3 2 2" xfId="49617" xr:uid="{00000000-0005-0000-0000-00000D9F0000}"/>
    <cellStyle name="Normal 2 3 9 4 2 3 3" xfId="17027" xr:uid="{00000000-0005-0000-0000-00000E9F0000}"/>
    <cellStyle name="Normal 2 3 9 4 2 3 3 2" xfId="49618" xr:uid="{00000000-0005-0000-0000-00000F9F0000}"/>
    <cellStyle name="Normal 2 3 9 4 2 3 4" xfId="49619" xr:uid="{00000000-0005-0000-0000-0000109F0000}"/>
    <cellStyle name="Normal 2 3 9 4 2 4" xfId="17028" xr:uid="{00000000-0005-0000-0000-0000119F0000}"/>
    <cellStyle name="Normal 2 3 9 4 2 4 2" xfId="17029" xr:uid="{00000000-0005-0000-0000-0000129F0000}"/>
    <cellStyle name="Normal 2 3 9 4 2 4 2 2" xfId="49620" xr:uid="{00000000-0005-0000-0000-0000139F0000}"/>
    <cellStyle name="Normal 2 3 9 4 2 4 3" xfId="49621" xr:uid="{00000000-0005-0000-0000-0000149F0000}"/>
    <cellStyle name="Normal 2 3 9 4 2 5" xfId="17030" xr:uid="{00000000-0005-0000-0000-0000159F0000}"/>
    <cellStyle name="Normal 2 3 9 4 2 5 2" xfId="49622" xr:uid="{00000000-0005-0000-0000-0000169F0000}"/>
    <cellStyle name="Normal 2 3 9 4 2 6" xfId="17031" xr:uid="{00000000-0005-0000-0000-0000179F0000}"/>
    <cellStyle name="Normal 2 3 9 4 2 6 2" xfId="49623" xr:uid="{00000000-0005-0000-0000-0000189F0000}"/>
    <cellStyle name="Normal 2 3 9 4 2 7" xfId="49624" xr:uid="{00000000-0005-0000-0000-0000199F0000}"/>
    <cellStyle name="Normal 2 3 9 4 2 7 2" xfId="49625" xr:uid="{00000000-0005-0000-0000-00001A9F0000}"/>
    <cellStyle name="Normal 2 3 9 4 2 8" xfId="49626" xr:uid="{00000000-0005-0000-0000-00001B9F0000}"/>
    <cellStyle name="Normal 2 3 9 4 2 9" xfId="49627" xr:uid="{00000000-0005-0000-0000-00001C9F0000}"/>
    <cellStyle name="Normal 2 3 9 4 3" xfId="17032" xr:uid="{00000000-0005-0000-0000-00001D9F0000}"/>
    <cellStyle name="Normal 2 3 9 4 3 2" xfId="17033" xr:uid="{00000000-0005-0000-0000-00001E9F0000}"/>
    <cellStyle name="Normal 2 3 9 4 3 2 2" xfId="17034" xr:uid="{00000000-0005-0000-0000-00001F9F0000}"/>
    <cellStyle name="Normal 2 3 9 4 3 2 2 2" xfId="49628" xr:uid="{00000000-0005-0000-0000-0000209F0000}"/>
    <cellStyle name="Normal 2 3 9 4 3 2 3" xfId="17035" xr:uid="{00000000-0005-0000-0000-0000219F0000}"/>
    <cellStyle name="Normal 2 3 9 4 3 2 3 2" xfId="49629" xr:uid="{00000000-0005-0000-0000-0000229F0000}"/>
    <cellStyle name="Normal 2 3 9 4 3 2 4" xfId="49630" xr:uid="{00000000-0005-0000-0000-0000239F0000}"/>
    <cellStyle name="Normal 2 3 9 4 3 3" xfId="17036" xr:uid="{00000000-0005-0000-0000-0000249F0000}"/>
    <cellStyle name="Normal 2 3 9 4 3 3 2" xfId="49631" xr:uid="{00000000-0005-0000-0000-0000259F0000}"/>
    <cellStyle name="Normal 2 3 9 4 3 4" xfId="17037" xr:uid="{00000000-0005-0000-0000-0000269F0000}"/>
    <cellStyle name="Normal 2 3 9 4 3 4 2" xfId="49632" xr:uid="{00000000-0005-0000-0000-0000279F0000}"/>
    <cellStyle name="Normal 2 3 9 4 3 5" xfId="17038" xr:uid="{00000000-0005-0000-0000-0000289F0000}"/>
    <cellStyle name="Normal 2 3 9 4 3 5 2" xfId="49633" xr:uid="{00000000-0005-0000-0000-0000299F0000}"/>
    <cellStyle name="Normal 2 3 9 4 3 6" xfId="49634" xr:uid="{00000000-0005-0000-0000-00002A9F0000}"/>
    <cellStyle name="Normal 2 3 9 4 3 6 2" xfId="49635" xr:uid="{00000000-0005-0000-0000-00002B9F0000}"/>
    <cellStyle name="Normal 2 3 9 4 3 7" xfId="49636" xr:uid="{00000000-0005-0000-0000-00002C9F0000}"/>
    <cellStyle name="Normal 2 3 9 4 4" xfId="17039" xr:uid="{00000000-0005-0000-0000-00002D9F0000}"/>
    <cellStyle name="Normal 2 3 9 4 4 2" xfId="17040" xr:uid="{00000000-0005-0000-0000-00002E9F0000}"/>
    <cellStyle name="Normal 2 3 9 4 4 2 2" xfId="49637" xr:uid="{00000000-0005-0000-0000-00002F9F0000}"/>
    <cellStyle name="Normal 2 3 9 4 4 3" xfId="17041" xr:uid="{00000000-0005-0000-0000-0000309F0000}"/>
    <cellStyle name="Normal 2 3 9 4 4 3 2" xfId="49638" xr:uid="{00000000-0005-0000-0000-0000319F0000}"/>
    <cellStyle name="Normal 2 3 9 4 4 4" xfId="49639" xr:uid="{00000000-0005-0000-0000-0000329F0000}"/>
    <cellStyle name="Normal 2 3 9 4 5" xfId="17042" xr:uid="{00000000-0005-0000-0000-0000339F0000}"/>
    <cellStyle name="Normal 2 3 9 4 5 2" xfId="17043" xr:uid="{00000000-0005-0000-0000-0000349F0000}"/>
    <cellStyle name="Normal 2 3 9 4 5 2 2" xfId="49640" xr:uid="{00000000-0005-0000-0000-0000359F0000}"/>
    <cellStyle name="Normal 2 3 9 4 5 3" xfId="49641" xr:uid="{00000000-0005-0000-0000-0000369F0000}"/>
    <cellStyle name="Normal 2 3 9 4 6" xfId="17044" xr:uid="{00000000-0005-0000-0000-0000379F0000}"/>
    <cellStyle name="Normal 2 3 9 4 6 2" xfId="49642" xr:uid="{00000000-0005-0000-0000-0000389F0000}"/>
    <cellStyle name="Normal 2 3 9 4 7" xfId="17045" xr:uid="{00000000-0005-0000-0000-0000399F0000}"/>
    <cellStyle name="Normal 2 3 9 4 7 2" xfId="49643" xr:uid="{00000000-0005-0000-0000-00003A9F0000}"/>
    <cellStyle name="Normal 2 3 9 4 8" xfId="49644" xr:uid="{00000000-0005-0000-0000-00003B9F0000}"/>
    <cellStyle name="Normal 2 3 9 4 8 2" xfId="49645" xr:uid="{00000000-0005-0000-0000-00003C9F0000}"/>
    <cellStyle name="Normal 2 3 9 4 9" xfId="49646" xr:uid="{00000000-0005-0000-0000-00003D9F0000}"/>
    <cellStyle name="Normal 2 3 9 40" xfId="49647" xr:uid="{00000000-0005-0000-0000-00003E9F0000}"/>
    <cellStyle name="Normal 2 3 9 5" xfId="17046" xr:uid="{00000000-0005-0000-0000-00003F9F0000}"/>
    <cellStyle name="Normal 2 3 9 5 10" xfId="49648" xr:uid="{00000000-0005-0000-0000-0000409F0000}"/>
    <cellStyle name="Normal 2 3 9 5 11" xfId="49649" xr:uid="{00000000-0005-0000-0000-0000419F0000}"/>
    <cellStyle name="Normal 2 3 9 5 2" xfId="17047" xr:uid="{00000000-0005-0000-0000-0000429F0000}"/>
    <cellStyle name="Normal 2 3 9 5 2 10" xfId="49650" xr:uid="{00000000-0005-0000-0000-0000439F0000}"/>
    <cellStyle name="Normal 2 3 9 5 2 2" xfId="17048" xr:uid="{00000000-0005-0000-0000-0000449F0000}"/>
    <cellStyle name="Normal 2 3 9 5 2 2 2" xfId="17049" xr:uid="{00000000-0005-0000-0000-0000459F0000}"/>
    <cellStyle name="Normal 2 3 9 5 2 2 2 2" xfId="17050" xr:uid="{00000000-0005-0000-0000-0000469F0000}"/>
    <cellStyle name="Normal 2 3 9 5 2 2 2 2 2" xfId="49651" xr:uid="{00000000-0005-0000-0000-0000479F0000}"/>
    <cellStyle name="Normal 2 3 9 5 2 2 2 3" xfId="17051" xr:uid="{00000000-0005-0000-0000-0000489F0000}"/>
    <cellStyle name="Normal 2 3 9 5 2 2 2 3 2" xfId="49652" xr:uid="{00000000-0005-0000-0000-0000499F0000}"/>
    <cellStyle name="Normal 2 3 9 5 2 2 2 4" xfId="49653" xr:uid="{00000000-0005-0000-0000-00004A9F0000}"/>
    <cellStyle name="Normal 2 3 9 5 2 2 3" xfId="17052" xr:uid="{00000000-0005-0000-0000-00004B9F0000}"/>
    <cellStyle name="Normal 2 3 9 5 2 2 3 2" xfId="49654" xr:uid="{00000000-0005-0000-0000-00004C9F0000}"/>
    <cellStyle name="Normal 2 3 9 5 2 2 4" xfId="17053" xr:uid="{00000000-0005-0000-0000-00004D9F0000}"/>
    <cellStyle name="Normal 2 3 9 5 2 2 4 2" xfId="49655" xr:uid="{00000000-0005-0000-0000-00004E9F0000}"/>
    <cellStyle name="Normal 2 3 9 5 2 2 5" xfId="17054" xr:uid="{00000000-0005-0000-0000-00004F9F0000}"/>
    <cellStyle name="Normal 2 3 9 5 2 2 5 2" xfId="49656" xr:uid="{00000000-0005-0000-0000-0000509F0000}"/>
    <cellStyle name="Normal 2 3 9 5 2 2 6" xfId="49657" xr:uid="{00000000-0005-0000-0000-0000519F0000}"/>
    <cellStyle name="Normal 2 3 9 5 2 2 6 2" xfId="49658" xr:uid="{00000000-0005-0000-0000-0000529F0000}"/>
    <cellStyle name="Normal 2 3 9 5 2 2 7" xfId="49659" xr:uid="{00000000-0005-0000-0000-0000539F0000}"/>
    <cellStyle name="Normal 2 3 9 5 2 3" xfId="17055" xr:uid="{00000000-0005-0000-0000-0000549F0000}"/>
    <cellStyle name="Normal 2 3 9 5 2 3 2" xfId="17056" xr:uid="{00000000-0005-0000-0000-0000559F0000}"/>
    <cellStyle name="Normal 2 3 9 5 2 3 2 2" xfId="49660" xr:uid="{00000000-0005-0000-0000-0000569F0000}"/>
    <cellStyle name="Normal 2 3 9 5 2 3 3" xfId="17057" xr:uid="{00000000-0005-0000-0000-0000579F0000}"/>
    <cellStyle name="Normal 2 3 9 5 2 3 3 2" xfId="49661" xr:uid="{00000000-0005-0000-0000-0000589F0000}"/>
    <cellStyle name="Normal 2 3 9 5 2 3 4" xfId="49662" xr:uid="{00000000-0005-0000-0000-0000599F0000}"/>
    <cellStyle name="Normal 2 3 9 5 2 4" xfId="17058" xr:uid="{00000000-0005-0000-0000-00005A9F0000}"/>
    <cellStyle name="Normal 2 3 9 5 2 4 2" xfId="17059" xr:uid="{00000000-0005-0000-0000-00005B9F0000}"/>
    <cellStyle name="Normal 2 3 9 5 2 4 2 2" xfId="49663" xr:uid="{00000000-0005-0000-0000-00005C9F0000}"/>
    <cellStyle name="Normal 2 3 9 5 2 4 3" xfId="49664" xr:uid="{00000000-0005-0000-0000-00005D9F0000}"/>
    <cellStyle name="Normal 2 3 9 5 2 5" xfId="17060" xr:uid="{00000000-0005-0000-0000-00005E9F0000}"/>
    <cellStyle name="Normal 2 3 9 5 2 5 2" xfId="49665" xr:uid="{00000000-0005-0000-0000-00005F9F0000}"/>
    <cellStyle name="Normal 2 3 9 5 2 6" xfId="17061" xr:uid="{00000000-0005-0000-0000-0000609F0000}"/>
    <cellStyle name="Normal 2 3 9 5 2 6 2" xfId="49666" xr:uid="{00000000-0005-0000-0000-0000619F0000}"/>
    <cellStyle name="Normal 2 3 9 5 2 7" xfId="49667" xr:uid="{00000000-0005-0000-0000-0000629F0000}"/>
    <cellStyle name="Normal 2 3 9 5 2 7 2" xfId="49668" xr:uid="{00000000-0005-0000-0000-0000639F0000}"/>
    <cellStyle name="Normal 2 3 9 5 2 8" xfId="49669" xr:uid="{00000000-0005-0000-0000-0000649F0000}"/>
    <cellStyle name="Normal 2 3 9 5 2 9" xfId="49670" xr:uid="{00000000-0005-0000-0000-0000659F0000}"/>
    <cellStyle name="Normal 2 3 9 5 3" xfId="17062" xr:uid="{00000000-0005-0000-0000-0000669F0000}"/>
    <cellStyle name="Normal 2 3 9 5 3 2" xfId="17063" xr:uid="{00000000-0005-0000-0000-0000679F0000}"/>
    <cellStyle name="Normal 2 3 9 5 3 2 2" xfId="17064" xr:uid="{00000000-0005-0000-0000-0000689F0000}"/>
    <cellStyle name="Normal 2 3 9 5 3 2 2 2" xfId="49671" xr:uid="{00000000-0005-0000-0000-0000699F0000}"/>
    <cellStyle name="Normal 2 3 9 5 3 2 3" xfId="17065" xr:uid="{00000000-0005-0000-0000-00006A9F0000}"/>
    <cellStyle name="Normal 2 3 9 5 3 2 3 2" xfId="49672" xr:uid="{00000000-0005-0000-0000-00006B9F0000}"/>
    <cellStyle name="Normal 2 3 9 5 3 2 4" xfId="49673" xr:uid="{00000000-0005-0000-0000-00006C9F0000}"/>
    <cellStyle name="Normal 2 3 9 5 3 3" xfId="17066" xr:uid="{00000000-0005-0000-0000-00006D9F0000}"/>
    <cellStyle name="Normal 2 3 9 5 3 3 2" xfId="49674" xr:uid="{00000000-0005-0000-0000-00006E9F0000}"/>
    <cellStyle name="Normal 2 3 9 5 3 4" xfId="17067" xr:uid="{00000000-0005-0000-0000-00006F9F0000}"/>
    <cellStyle name="Normal 2 3 9 5 3 4 2" xfId="49675" xr:uid="{00000000-0005-0000-0000-0000709F0000}"/>
    <cellStyle name="Normal 2 3 9 5 3 5" xfId="17068" xr:uid="{00000000-0005-0000-0000-0000719F0000}"/>
    <cellStyle name="Normal 2 3 9 5 3 5 2" xfId="49676" xr:uid="{00000000-0005-0000-0000-0000729F0000}"/>
    <cellStyle name="Normal 2 3 9 5 3 6" xfId="49677" xr:uid="{00000000-0005-0000-0000-0000739F0000}"/>
    <cellStyle name="Normal 2 3 9 5 3 6 2" xfId="49678" xr:uid="{00000000-0005-0000-0000-0000749F0000}"/>
    <cellStyle name="Normal 2 3 9 5 3 7" xfId="49679" xr:uid="{00000000-0005-0000-0000-0000759F0000}"/>
    <cellStyle name="Normal 2 3 9 5 4" xfId="17069" xr:uid="{00000000-0005-0000-0000-0000769F0000}"/>
    <cellStyle name="Normal 2 3 9 5 4 2" xfId="17070" xr:uid="{00000000-0005-0000-0000-0000779F0000}"/>
    <cellStyle name="Normal 2 3 9 5 4 2 2" xfId="49680" xr:uid="{00000000-0005-0000-0000-0000789F0000}"/>
    <cellStyle name="Normal 2 3 9 5 4 3" xfId="17071" xr:uid="{00000000-0005-0000-0000-0000799F0000}"/>
    <cellStyle name="Normal 2 3 9 5 4 3 2" xfId="49681" xr:uid="{00000000-0005-0000-0000-00007A9F0000}"/>
    <cellStyle name="Normal 2 3 9 5 4 4" xfId="49682" xr:uid="{00000000-0005-0000-0000-00007B9F0000}"/>
    <cellStyle name="Normal 2 3 9 5 5" xfId="17072" xr:uid="{00000000-0005-0000-0000-00007C9F0000}"/>
    <cellStyle name="Normal 2 3 9 5 5 2" xfId="17073" xr:uid="{00000000-0005-0000-0000-00007D9F0000}"/>
    <cellStyle name="Normal 2 3 9 5 5 2 2" xfId="49683" xr:uid="{00000000-0005-0000-0000-00007E9F0000}"/>
    <cellStyle name="Normal 2 3 9 5 5 3" xfId="49684" xr:uid="{00000000-0005-0000-0000-00007F9F0000}"/>
    <cellStyle name="Normal 2 3 9 5 6" xfId="17074" xr:uid="{00000000-0005-0000-0000-0000809F0000}"/>
    <cellStyle name="Normal 2 3 9 5 6 2" xfId="49685" xr:uid="{00000000-0005-0000-0000-0000819F0000}"/>
    <cellStyle name="Normal 2 3 9 5 7" xfId="17075" xr:uid="{00000000-0005-0000-0000-0000829F0000}"/>
    <cellStyle name="Normal 2 3 9 5 7 2" xfId="49686" xr:uid="{00000000-0005-0000-0000-0000839F0000}"/>
    <cellStyle name="Normal 2 3 9 5 8" xfId="49687" xr:uid="{00000000-0005-0000-0000-0000849F0000}"/>
    <cellStyle name="Normal 2 3 9 5 8 2" xfId="49688" xr:uid="{00000000-0005-0000-0000-0000859F0000}"/>
    <cellStyle name="Normal 2 3 9 5 9" xfId="49689" xr:uid="{00000000-0005-0000-0000-0000869F0000}"/>
    <cellStyle name="Normal 2 3 9 6" xfId="17076" xr:uid="{00000000-0005-0000-0000-0000879F0000}"/>
    <cellStyle name="Normal 2 3 9 6 10" xfId="49690" xr:uid="{00000000-0005-0000-0000-0000889F0000}"/>
    <cellStyle name="Normal 2 3 9 6 11" xfId="49691" xr:uid="{00000000-0005-0000-0000-0000899F0000}"/>
    <cellStyle name="Normal 2 3 9 6 2" xfId="17077" xr:uid="{00000000-0005-0000-0000-00008A9F0000}"/>
    <cellStyle name="Normal 2 3 9 6 2 10" xfId="49692" xr:uid="{00000000-0005-0000-0000-00008B9F0000}"/>
    <cellStyle name="Normal 2 3 9 6 2 2" xfId="17078" xr:uid="{00000000-0005-0000-0000-00008C9F0000}"/>
    <cellStyle name="Normal 2 3 9 6 2 2 2" xfId="17079" xr:uid="{00000000-0005-0000-0000-00008D9F0000}"/>
    <cellStyle name="Normal 2 3 9 6 2 2 2 2" xfId="17080" xr:uid="{00000000-0005-0000-0000-00008E9F0000}"/>
    <cellStyle name="Normal 2 3 9 6 2 2 2 2 2" xfId="49693" xr:uid="{00000000-0005-0000-0000-00008F9F0000}"/>
    <cellStyle name="Normal 2 3 9 6 2 2 2 3" xfId="17081" xr:uid="{00000000-0005-0000-0000-0000909F0000}"/>
    <cellStyle name="Normal 2 3 9 6 2 2 2 3 2" xfId="49694" xr:uid="{00000000-0005-0000-0000-0000919F0000}"/>
    <cellStyle name="Normal 2 3 9 6 2 2 2 4" xfId="49695" xr:uid="{00000000-0005-0000-0000-0000929F0000}"/>
    <cellStyle name="Normal 2 3 9 6 2 2 3" xfId="17082" xr:uid="{00000000-0005-0000-0000-0000939F0000}"/>
    <cellStyle name="Normal 2 3 9 6 2 2 3 2" xfId="49696" xr:uid="{00000000-0005-0000-0000-0000949F0000}"/>
    <cellStyle name="Normal 2 3 9 6 2 2 4" xfId="17083" xr:uid="{00000000-0005-0000-0000-0000959F0000}"/>
    <cellStyle name="Normal 2 3 9 6 2 2 4 2" xfId="49697" xr:uid="{00000000-0005-0000-0000-0000969F0000}"/>
    <cellStyle name="Normal 2 3 9 6 2 2 5" xfId="17084" xr:uid="{00000000-0005-0000-0000-0000979F0000}"/>
    <cellStyle name="Normal 2 3 9 6 2 2 5 2" xfId="49698" xr:uid="{00000000-0005-0000-0000-0000989F0000}"/>
    <cellStyle name="Normal 2 3 9 6 2 2 6" xfId="49699" xr:uid="{00000000-0005-0000-0000-0000999F0000}"/>
    <cellStyle name="Normal 2 3 9 6 2 2 6 2" xfId="49700" xr:uid="{00000000-0005-0000-0000-00009A9F0000}"/>
    <cellStyle name="Normal 2 3 9 6 2 2 7" xfId="49701" xr:uid="{00000000-0005-0000-0000-00009B9F0000}"/>
    <cellStyle name="Normal 2 3 9 6 2 3" xfId="17085" xr:uid="{00000000-0005-0000-0000-00009C9F0000}"/>
    <cellStyle name="Normal 2 3 9 6 2 3 2" xfId="17086" xr:uid="{00000000-0005-0000-0000-00009D9F0000}"/>
    <cellStyle name="Normal 2 3 9 6 2 3 2 2" xfId="49702" xr:uid="{00000000-0005-0000-0000-00009E9F0000}"/>
    <cellStyle name="Normal 2 3 9 6 2 3 3" xfId="17087" xr:uid="{00000000-0005-0000-0000-00009F9F0000}"/>
    <cellStyle name="Normal 2 3 9 6 2 3 3 2" xfId="49703" xr:uid="{00000000-0005-0000-0000-0000A09F0000}"/>
    <cellStyle name="Normal 2 3 9 6 2 3 4" xfId="49704" xr:uid="{00000000-0005-0000-0000-0000A19F0000}"/>
    <cellStyle name="Normal 2 3 9 6 2 4" xfId="17088" xr:uid="{00000000-0005-0000-0000-0000A29F0000}"/>
    <cellStyle name="Normal 2 3 9 6 2 4 2" xfId="17089" xr:uid="{00000000-0005-0000-0000-0000A39F0000}"/>
    <cellStyle name="Normal 2 3 9 6 2 4 2 2" xfId="49705" xr:uid="{00000000-0005-0000-0000-0000A49F0000}"/>
    <cellStyle name="Normal 2 3 9 6 2 4 3" xfId="49706" xr:uid="{00000000-0005-0000-0000-0000A59F0000}"/>
    <cellStyle name="Normal 2 3 9 6 2 5" xfId="17090" xr:uid="{00000000-0005-0000-0000-0000A69F0000}"/>
    <cellStyle name="Normal 2 3 9 6 2 5 2" xfId="49707" xr:uid="{00000000-0005-0000-0000-0000A79F0000}"/>
    <cellStyle name="Normal 2 3 9 6 2 6" xfId="17091" xr:uid="{00000000-0005-0000-0000-0000A89F0000}"/>
    <cellStyle name="Normal 2 3 9 6 2 6 2" xfId="49708" xr:uid="{00000000-0005-0000-0000-0000A99F0000}"/>
    <cellStyle name="Normal 2 3 9 6 2 7" xfId="49709" xr:uid="{00000000-0005-0000-0000-0000AA9F0000}"/>
    <cellStyle name="Normal 2 3 9 6 2 7 2" xfId="49710" xr:uid="{00000000-0005-0000-0000-0000AB9F0000}"/>
    <cellStyle name="Normal 2 3 9 6 2 8" xfId="49711" xr:uid="{00000000-0005-0000-0000-0000AC9F0000}"/>
    <cellStyle name="Normal 2 3 9 6 2 9" xfId="49712" xr:uid="{00000000-0005-0000-0000-0000AD9F0000}"/>
    <cellStyle name="Normal 2 3 9 6 3" xfId="17092" xr:uid="{00000000-0005-0000-0000-0000AE9F0000}"/>
    <cellStyle name="Normal 2 3 9 6 3 2" xfId="17093" xr:uid="{00000000-0005-0000-0000-0000AF9F0000}"/>
    <cellStyle name="Normal 2 3 9 6 3 2 2" xfId="17094" xr:uid="{00000000-0005-0000-0000-0000B09F0000}"/>
    <cellStyle name="Normal 2 3 9 6 3 2 2 2" xfId="49713" xr:uid="{00000000-0005-0000-0000-0000B19F0000}"/>
    <cellStyle name="Normal 2 3 9 6 3 2 3" xfId="17095" xr:uid="{00000000-0005-0000-0000-0000B29F0000}"/>
    <cellStyle name="Normal 2 3 9 6 3 2 3 2" xfId="49714" xr:uid="{00000000-0005-0000-0000-0000B39F0000}"/>
    <cellStyle name="Normal 2 3 9 6 3 2 4" xfId="49715" xr:uid="{00000000-0005-0000-0000-0000B49F0000}"/>
    <cellStyle name="Normal 2 3 9 6 3 3" xfId="17096" xr:uid="{00000000-0005-0000-0000-0000B59F0000}"/>
    <cellStyle name="Normal 2 3 9 6 3 3 2" xfId="49716" xr:uid="{00000000-0005-0000-0000-0000B69F0000}"/>
    <cellStyle name="Normal 2 3 9 6 3 4" xfId="17097" xr:uid="{00000000-0005-0000-0000-0000B79F0000}"/>
    <cellStyle name="Normal 2 3 9 6 3 4 2" xfId="49717" xr:uid="{00000000-0005-0000-0000-0000B89F0000}"/>
    <cellStyle name="Normal 2 3 9 6 3 5" xfId="17098" xr:uid="{00000000-0005-0000-0000-0000B99F0000}"/>
    <cellStyle name="Normal 2 3 9 6 3 5 2" xfId="49718" xr:uid="{00000000-0005-0000-0000-0000BA9F0000}"/>
    <cellStyle name="Normal 2 3 9 6 3 6" xfId="49719" xr:uid="{00000000-0005-0000-0000-0000BB9F0000}"/>
    <cellStyle name="Normal 2 3 9 6 3 6 2" xfId="49720" xr:uid="{00000000-0005-0000-0000-0000BC9F0000}"/>
    <cellStyle name="Normal 2 3 9 6 3 7" xfId="49721" xr:uid="{00000000-0005-0000-0000-0000BD9F0000}"/>
    <cellStyle name="Normal 2 3 9 6 4" xfId="17099" xr:uid="{00000000-0005-0000-0000-0000BE9F0000}"/>
    <cellStyle name="Normal 2 3 9 6 4 2" xfId="17100" xr:uid="{00000000-0005-0000-0000-0000BF9F0000}"/>
    <cellStyle name="Normal 2 3 9 6 4 2 2" xfId="49722" xr:uid="{00000000-0005-0000-0000-0000C09F0000}"/>
    <cellStyle name="Normal 2 3 9 6 4 3" xfId="17101" xr:uid="{00000000-0005-0000-0000-0000C19F0000}"/>
    <cellStyle name="Normal 2 3 9 6 4 3 2" xfId="49723" xr:uid="{00000000-0005-0000-0000-0000C29F0000}"/>
    <cellStyle name="Normal 2 3 9 6 4 4" xfId="49724" xr:uid="{00000000-0005-0000-0000-0000C39F0000}"/>
    <cellStyle name="Normal 2 3 9 6 5" xfId="17102" xr:uid="{00000000-0005-0000-0000-0000C49F0000}"/>
    <cellStyle name="Normal 2 3 9 6 5 2" xfId="17103" xr:uid="{00000000-0005-0000-0000-0000C59F0000}"/>
    <cellStyle name="Normal 2 3 9 6 5 2 2" xfId="49725" xr:uid="{00000000-0005-0000-0000-0000C69F0000}"/>
    <cellStyle name="Normal 2 3 9 6 5 3" xfId="49726" xr:uid="{00000000-0005-0000-0000-0000C79F0000}"/>
    <cellStyle name="Normal 2 3 9 6 6" xfId="17104" xr:uid="{00000000-0005-0000-0000-0000C89F0000}"/>
    <cellStyle name="Normal 2 3 9 6 6 2" xfId="49727" xr:uid="{00000000-0005-0000-0000-0000C99F0000}"/>
    <cellStyle name="Normal 2 3 9 6 7" xfId="17105" xr:uid="{00000000-0005-0000-0000-0000CA9F0000}"/>
    <cellStyle name="Normal 2 3 9 6 7 2" xfId="49728" xr:uid="{00000000-0005-0000-0000-0000CB9F0000}"/>
    <cellStyle name="Normal 2 3 9 6 8" xfId="49729" xr:uid="{00000000-0005-0000-0000-0000CC9F0000}"/>
    <cellStyle name="Normal 2 3 9 6 8 2" xfId="49730" xr:uid="{00000000-0005-0000-0000-0000CD9F0000}"/>
    <cellStyle name="Normal 2 3 9 6 9" xfId="49731" xr:uid="{00000000-0005-0000-0000-0000CE9F0000}"/>
    <cellStyle name="Normal 2 3 9 7" xfId="17106" xr:uid="{00000000-0005-0000-0000-0000CF9F0000}"/>
    <cellStyle name="Normal 2 3 9 7 10" xfId="49732" xr:uid="{00000000-0005-0000-0000-0000D09F0000}"/>
    <cellStyle name="Normal 2 3 9 7 11" xfId="49733" xr:uid="{00000000-0005-0000-0000-0000D19F0000}"/>
    <cellStyle name="Normal 2 3 9 7 2" xfId="17107" xr:uid="{00000000-0005-0000-0000-0000D29F0000}"/>
    <cellStyle name="Normal 2 3 9 7 2 10" xfId="49734" xr:uid="{00000000-0005-0000-0000-0000D39F0000}"/>
    <cellStyle name="Normal 2 3 9 7 2 2" xfId="17108" xr:uid="{00000000-0005-0000-0000-0000D49F0000}"/>
    <cellStyle name="Normal 2 3 9 7 2 2 2" xfId="17109" xr:uid="{00000000-0005-0000-0000-0000D59F0000}"/>
    <cellStyle name="Normal 2 3 9 7 2 2 2 2" xfId="17110" xr:uid="{00000000-0005-0000-0000-0000D69F0000}"/>
    <cellStyle name="Normal 2 3 9 7 2 2 2 2 2" xfId="49735" xr:uid="{00000000-0005-0000-0000-0000D79F0000}"/>
    <cellStyle name="Normal 2 3 9 7 2 2 2 3" xfId="17111" xr:uid="{00000000-0005-0000-0000-0000D89F0000}"/>
    <cellStyle name="Normal 2 3 9 7 2 2 2 3 2" xfId="49736" xr:uid="{00000000-0005-0000-0000-0000D99F0000}"/>
    <cellStyle name="Normal 2 3 9 7 2 2 2 4" xfId="49737" xr:uid="{00000000-0005-0000-0000-0000DA9F0000}"/>
    <cellStyle name="Normal 2 3 9 7 2 2 3" xfId="17112" xr:uid="{00000000-0005-0000-0000-0000DB9F0000}"/>
    <cellStyle name="Normal 2 3 9 7 2 2 3 2" xfId="49738" xr:uid="{00000000-0005-0000-0000-0000DC9F0000}"/>
    <cellStyle name="Normal 2 3 9 7 2 2 4" xfId="17113" xr:uid="{00000000-0005-0000-0000-0000DD9F0000}"/>
    <cellStyle name="Normal 2 3 9 7 2 2 4 2" xfId="49739" xr:uid="{00000000-0005-0000-0000-0000DE9F0000}"/>
    <cellStyle name="Normal 2 3 9 7 2 2 5" xfId="17114" xr:uid="{00000000-0005-0000-0000-0000DF9F0000}"/>
    <cellStyle name="Normal 2 3 9 7 2 2 5 2" xfId="49740" xr:uid="{00000000-0005-0000-0000-0000E09F0000}"/>
    <cellStyle name="Normal 2 3 9 7 2 2 6" xfId="49741" xr:uid="{00000000-0005-0000-0000-0000E19F0000}"/>
    <cellStyle name="Normal 2 3 9 7 2 2 6 2" xfId="49742" xr:uid="{00000000-0005-0000-0000-0000E29F0000}"/>
    <cellStyle name="Normal 2 3 9 7 2 2 7" xfId="49743" xr:uid="{00000000-0005-0000-0000-0000E39F0000}"/>
    <cellStyle name="Normal 2 3 9 7 2 3" xfId="17115" xr:uid="{00000000-0005-0000-0000-0000E49F0000}"/>
    <cellStyle name="Normal 2 3 9 7 2 3 2" xfId="17116" xr:uid="{00000000-0005-0000-0000-0000E59F0000}"/>
    <cellStyle name="Normal 2 3 9 7 2 3 2 2" xfId="49744" xr:uid="{00000000-0005-0000-0000-0000E69F0000}"/>
    <cellStyle name="Normal 2 3 9 7 2 3 3" xfId="17117" xr:uid="{00000000-0005-0000-0000-0000E79F0000}"/>
    <cellStyle name="Normal 2 3 9 7 2 3 3 2" xfId="49745" xr:uid="{00000000-0005-0000-0000-0000E89F0000}"/>
    <cellStyle name="Normal 2 3 9 7 2 3 4" xfId="49746" xr:uid="{00000000-0005-0000-0000-0000E99F0000}"/>
    <cellStyle name="Normal 2 3 9 7 2 4" xfId="17118" xr:uid="{00000000-0005-0000-0000-0000EA9F0000}"/>
    <cellStyle name="Normal 2 3 9 7 2 4 2" xfId="17119" xr:uid="{00000000-0005-0000-0000-0000EB9F0000}"/>
    <cellStyle name="Normal 2 3 9 7 2 4 2 2" xfId="49747" xr:uid="{00000000-0005-0000-0000-0000EC9F0000}"/>
    <cellStyle name="Normal 2 3 9 7 2 4 3" xfId="49748" xr:uid="{00000000-0005-0000-0000-0000ED9F0000}"/>
    <cellStyle name="Normal 2 3 9 7 2 5" xfId="17120" xr:uid="{00000000-0005-0000-0000-0000EE9F0000}"/>
    <cellStyle name="Normal 2 3 9 7 2 5 2" xfId="49749" xr:uid="{00000000-0005-0000-0000-0000EF9F0000}"/>
    <cellStyle name="Normal 2 3 9 7 2 6" xfId="17121" xr:uid="{00000000-0005-0000-0000-0000F09F0000}"/>
    <cellStyle name="Normal 2 3 9 7 2 6 2" xfId="49750" xr:uid="{00000000-0005-0000-0000-0000F19F0000}"/>
    <cellStyle name="Normal 2 3 9 7 2 7" xfId="49751" xr:uid="{00000000-0005-0000-0000-0000F29F0000}"/>
    <cellStyle name="Normal 2 3 9 7 2 7 2" xfId="49752" xr:uid="{00000000-0005-0000-0000-0000F39F0000}"/>
    <cellStyle name="Normal 2 3 9 7 2 8" xfId="49753" xr:uid="{00000000-0005-0000-0000-0000F49F0000}"/>
    <cellStyle name="Normal 2 3 9 7 2 9" xfId="49754" xr:uid="{00000000-0005-0000-0000-0000F59F0000}"/>
    <cellStyle name="Normal 2 3 9 7 3" xfId="17122" xr:uid="{00000000-0005-0000-0000-0000F69F0000}"/>
    <cellStyle name="Normal 2 3 9 7 3 2" xfId="17123" xr:uid="{00000000-0005-0000-0000-0000F79F0000}"/>
    <cellStyle name="Normal 2 3 9 7 3 2 2" xfId="17124" xr:uid="{00000000-0005-0000-0000-0000F89F0000}"/>
    <cellStyle name="Normal 2 3 9 7 3 2 2 2" xfId="49755" xr:uid="{00000000-0005-0000-0000-0000F99F0000}"/>
    <cellStyle name="Normal 2 3 9 7 3 2 3" xfId="17125" xr:uid="{00000000-0005-0000-0000-0000FA9F0000}"/>
    <cellStyle name="Normal 2 3 9 7 3 2 3 2" xfId="49756" xr:uid="{00000000-0005-0000-0000-0000FB9F0000}"/>
    <cellStyle name="Normal 2 3 9 7 3 2 4" xfId="49757" xr:uid="{00000000-0005-0000-0000-0000FC9F0000}"/>
    <cellStyle name="Normal 2 3 9 7 3 3" xfId="17126" xr:uid="{00000000-0005-0000-0000-0000FD9F0000}"/>
    <cellStyle name="Normal 2 3 9 7 3 3 2" xfId="49758" xr:uid="{00000000-0005-0000-0000-0000FE9F0000}"/>
    <cellStyle name="Normal 2 3 9 7 3 4" xfId="17127" xr:uid="{00000000-0005-0000-0000-0000FF9F0000}"/>
    <cellStyle name="Normal 2 3 9 7 3 4 2" xfId="49759" xr:uid="{00000000-0005-0000-0000-000000A00000}"/>
    <cellStyle name="Normal 2 3 9 7 3 5" xfId="17128" xr:uid="{00000000-0005-0000-0000-000001A00000}"/>
    <cellStyle name="Normal 2 3 9 7 3 5 2" xfId="49760" xr:uid="{00000000-0005-0000-0000-000002A00000}"/>
    <cellStyle name="Normal 2 3 9 7 3 6" xfId="49761" xr:uid="{00000000-0005-0000-0000-000003A00000}"/>
    <cellStyle name="Normal 2 3 9 7 3 6 2" xfId="49762" xr:uid="{00000000-0005-0000-0000-000004A00000}"/>
    <cellStyle name="Normal 2 3 9 7 3 7" xfId="49763" xr:uid="{00000000-0005-0000-0000-000005A00000}"/>
    <cellStyle name="Normal 2 3 9 7 4" xfId="17129" xr:uid="{00000000-0005-0000-0000-000006A00000}"/>
    <cellStyle name="Normal 2 3 9 7 4 2" xfId="17130" xr:uid="{00000000-0005-0000-0000-000007A00000}"/>
    <cellStyle name="Normal 2 3 9 7 4 2 2" xfId="49764" xr:uid="{00000000-0005-0000-0000-000008A00000}"/>
    <cellStyle name="Normal 2 3 9 7 4 3" xfId="17131" xr:uid="{00000000-0005-0000-0000-000009A00000}"/>
    <cellStyle name="Normal 2 3 9 7 4 3 2" xfId="49765" xr:uid="{00000000-0005-0000-0000-00000AA00000}"/>
    <cellStyle name="Normal 2 3 9 7 4 4" xfId="49766" xr:uid="{00000000-0005-0000-0000-00000BA00000}"/>
    <cellStyle name="Normal 2 3 9 7 5" xfId="17132" xr:uid="{00000000-0005-0000-0000-00000CA00000}"/>
    <cellStyle name="Normal 2 3 9 7 5 2" xfId="17133" xr:uid="{00000000-0005-0000-0000-00000DA00000}"/>
    <cellStyle name="Normal 2 3 9 7 5 2 2" xfId="49767" xr:uid="{00000000-0005-0000-0000-00000EA00000}"/>
    <cellStyle name="Normal 2 3 9 7 5 3" xfId="49768" xr:uid="{00000000-0005-0000-0000-00000FA00000}"/>
    <cellStyle name="Normal 2 3 9 7 6" xfId="17134" xr:uid="{00000000-0005-0000-0000-000010A00000}"/>
    <cellStyle name="Normal 2 3 9 7 6 2" xfId="49769" xr:uid="{00000000-0005-0000-0000-000011A00000}"/>
    <cellStyle name="Normal 2 3 9 7 7" xfId="17135" xr:uid="{00000000-0005-0000-0000-000012A00000}"/>
    <cellStyle name="Normal 2 3 9 7 7 2" xfId="49770" xr:uid="{00000000-0005-0000-0000-000013A00000}"/>
    <cellStyle name="Normal 2 3 9 7 8" xfId="49771" xr:uid="{00000000-0005-0000-0000-000014A00000}"/>
    <cellStyle name="Normal 2 3 9 7 8 2" xfId="49772" xr:uid="{00000000-0005-0000-0000-000015A00000}"/>
    <cellStyle name="Normal 2 3 9 7 9" xfId="49773" xr:uid="{00000000-0005-0000-0000-000016A00000}"/>
    <cellStyle name="Normal 2 3 9 8" xfId="17136" xr:uid="{00000000-0005-0000-0000-000017A00000}"/>
    <cellStyle name="Normal 2 3 9 8 10" xfId="49774" xr:uid="{00000000-0005-0000-0000-000018A00000}"/>
    <cellStyle name="Normal 2 3 9 8 11" xfId="49775" xr:uid="{00000000-0005-0000-0000-000019A00000}"/>
    <cellStyle name="Normal 2 3 9 8 2" xfId="17137" xr:uid="{00000000-0005-0000-0000-00001AA00000}"/>
    <cellStyle name="Normal 2 3 9 8 2 10" xfId="49776" xr:uid="{00000000-0005-0000-0000-00001BA00000}"/>
    <cellStyle name="Normal 2 3 9 8 2 2" xfId="17138" xr:uid="{00000000-0005-0000-0000-00001CA00000}"/>
    <cellStyle name="Normal 2 3 9 8 2 2 2" xfId="17139" xr:uid="{00000000-0005-0000-0000-00001DA00000}"/>
    <cellStyle name="Normal 2 3 9 8 2 2 2 2" xfId="17140" xr:uid="{00000000-0005-0000-0000-00001EA00000}"/>
    <cellStyle name="Normal 2 3 9 8 2 2 2 2 2" xfId="49777" xr:uid="{00000000-0005-0000-0000-00001FA00000}"/>
    <cellStyle name="Normal 2 3 9 8 2 2 2 3" xfId="17141" xr:uid="{00000000-0005-0000-0000-000020A00000}"/>
    <cellStyle name="Normal 2 3 9 8 2 2 2 3 2" xfId="49778" xr:uid="{00000000-0005-0000-0000-000021A00000}"/>
    <cellStyle name="Normal 2 3 9 8 2 2 2 4" xfId="49779" xr:uid="{00000000-0005-0000-0000-000022A00000}"/>
    <cellStyle name="Normal 2 3 9 8 2 2 3" xfId="17142" xr:uid="{00000000-0005-0000-0000-000023A00000}"/>
    <cellStyle name="Normal 2 3 9 8 2 2 3 2" xfId="49780" xr:uid="{00000000-0005-0000-0000-000024A00000}"/>
    <cellStyle name="Normal 2 3 9 8 2 2 4" xfId="17143" xr:uid="{00000000-0005-0000-0000-000025A00000}"/>
    <cellStyle name="Normal 2 3 9 8 2 2 4 2" xfId="49781" xr:uid="{00000000-0005-0000-0000-000026A00000}"/>
    <cellStyle name="Normal 2 3 9 8 2 2 5" xfId="17144" xr:uid="{00000000-0005-0000-0000-000027A00000}"/>
    <cellStyle name="Normal 2 3 9 8 2 2 5 2" xfId="49782" xr:uid="{00000000-0005-0000-0000-000028A00000}"/>
    <cellStyle name="Normal 2 3 9 8 2 2 6" xfId="49783" xr:uid="{00000000-0005-0000-0000-000029A00000}"/>
    <cellStyle name="Normal 2 3 9 8 2 2 6 2" xfId="49784" xr:uid="{00000000-0005-0000-0000-00002AA00000}"/>
    <cellStyle name="Normal 2 3 9 8 2 2 7" xfId="49785" xr:uid="{00000000-0005-0000-0000-00002BA00000}"/>
    <cellStyle name="Normal 2 3 9 8 2 3" xfId="17145" xr:uid="{00000000-0005-0000-0000-00002CA00000}"/>
    <cellStyle name="Normal 2 3 9 8 2 3 2" xfId="17146" xr:uid="{00000000-0005-0000-0000-00002DA00000}"/>
    <cellStyle name="Normal 2 3 9 8 2 3 2 2" xfId="49786" xr:uid="{00000000-0005-0000-0000-00002EA00000}"/>
    <cellStyle name="Normal 2 3 9 8 2 3 3" xfId="17147" xr:uid="{00000000-0005-0000-0000-00002FA00000}"/>
    <cellStyle name="Normal 2 3 9 8 2 3 3 2" xfId="49787" xr:uid="{00000000-0005-0000-0000-000030A00000}"/>
    <cellStyle name="Normal 2 3 9 8 2 3 4" xfId="49788" xr:uid="{00000000-0005-0000-0000-000031A00000}"/>
    <cellStyle name="Normal 2 3 9 8 2 4" xfId="17148" xr:uid="{00000000-0005-0000-0000-000032A00000}"/>
    <cellStyle name="Normal 2 3 9 8 2 4 2" xfId="17149" xr:uid="{00000000-0005-0000-0000-000033A00000}"/>
    <cellStyle name="Normal 2 3 9 8 2 4 2 2" xfId="49789" xr:uid="{00000000-0005-0000-0000-000034A00000}"/>
    <cellStyle name="Normal 2 3 9 8 2 4 3" xfId="49790" xr:uid="{00000000-0005-0000-0000-000035A00000}"/>
    <cellStyle name="Normal 2 3 9 8 2 5" xfId="17150" xr:uid="{00000000-0005-0000-0000-000036A00000}"/>
    <cellStyle name="Normal 2 3 9 8 2 5 2" xfId="49791" xr:uid="{00000000-0005-0000-0000-000037A00000}"/>
    <cellStyle name="Normal 2 3 9 8 2 6" xfId="17151" xr:uid="{00000000-0005-0000-0000-000038A00000}"/>
    <cellStyle name="Normal 2 3 9 8 2 6 2" xfId="49792" xr:uid="{00000000-0005-0000-0000-000039A00000}"/>
    <cellStyle name="Normal 2 3 9 8 2 7" xfId="49793" xr:uid="{00000000-0005-0000-0000-00003AA00000}"/>
    <cellStyle name="Normal 2 3 9 8 2 7 2" xfId="49794" xr:uid="{00000000-0005-0000-0000-00003BA00000}"/>
    <cellStyle name="Normal 2 3 9 8 2 8" xfId="49795" xr:uid="{00000000-0005-0000-0000-00003CA00000}"/>
    <cellStyle name="Normal 2 3 9 8 2 9" xfId="49796" xr:uid="{00000000-0005-0000-0000-00003DA00000}"/>
    <cellStyle name="Normal 2 3 9 8 3" xfId="17152" xr:uid="{00000000-0005-0000-0000-00003EA00000}"/>
    <cellStyle name="Normal 2 3 9 8 3 2" xfId="17153" xr:uid="{00000000-0005-0000-0000-00003FA00000}"/>
    <cellStyle name="Normal 2 3 9 8 3 2 2" xfId="17154" xr:uid="{00000000-0005-0000-0000-000040A00000}"/>
    <cellStyle name="Normal 2 3 9 8 3 2 2 2" xfId="49797" xr:uid="{00000000-0005-0000-0000-000041A00000}"/>
    <cellStyle name="Normal 2 3 9 8 3 2 3" xfId="17155" xr:uid="{00000000-0005-0000-0000-000042A00000}"/>
    <cellStyle name="Normal 2 3 9 8 3 2 3 2" xfId="49798" xr:uid="{00000000-0005-0000-0000-000043A00000}"/>
    <cellStyle name="Normal 2 3 9 8 3 2 4" xfId="49799" xr:uid="{00000000-0005-0000-0000-000044A00000}"/>
    <cellStyle name="Normal 2 3 9 8 3 3" xfId="17156" xr:uid="{00000000-0005-0000-0000-000045A00000}"/>
    <cellStyle name="Normal 2 3 9 8 3 3 2" xfId="49800" xr:uid="{00000000-0005-0000-0000-000046A00000}"/>
    <cellStyle name="Normal 2 3 9 8 3 4" xfId="17157" xr:uid="{00000000-0005-0000-0000-000047A00000}"/>
    <cellStyle name="Normal 2 3 9 8 3 4 2" xfId="49801" xr:uid="{00000000-0005-0000-0000-000048A00000}"/>
    <cellStyle name="Normal 2 3 9 8 3 5" xfId="17158" xr:uid="{00000000-0005-0000-0000-000049A00000}"/>
    <cellStyle name="Normal 2 3 9 8 3 5 2" xfId="49802" xr:uid="{00000000-0005-0000-0000-00004AA00000}"/>
    <cellStyle name="Normal 2 3 9 8 3 6" xfId="49803" xr:uid="{00000000-0005-0000-0000-00004BA00000}"/>
    <cellStyle name="Normal 2 3 9 8 3 6 2" xfId="49804" xr:uid="{00000000-0005-0000-0000-00004CA00000}"/>
    <cellStyle name="Normal 2 3 9 8 3 7" xfId="49805" xr:uid="{00000000-0005-0000-0000-00004DA00000}"/>
    <cellStyle name="Normal 2 3 9 8 4" xfId="17159" xr:uid="{00000000-0005-0000-0000-00004EA00000}"/>
    <cellStyle name="Normal 2 3 9 8 4 2" xfId="17160" xr:uid="{00000000-0005-0000-0000-00004FA00000}"/>
    <cellStyle name="Normal 2 3 9 8 4 2 2" xfId="49806" xr:uid="{00000000-0005-0000-0000-000050A00000}"/>
    <cellStyle name="Normal 2 3 9 8 4 3" xfId="17161" xr:uid="{00000000-0005-0000-0000-000051A00000}"/>
    <cellStyle name="Normal 2 3 9 8 4 3 2" xfId="49807" xr:uid="{00000000-0005-0000-0000-000052A00000}"/>
    <cellStyle name="Normal 2 3 9 8 4 4" xfId="49808" xr:uid="{00000000-0005-0000-0000-000053A00000}"/>
    <cellStyle name="Normal 2 3 9 8 5" xfId="17162" xr:uid="{00000000-0005-0000-0000-000054A00000}"/>
    <cellStyle name="Normal 2 3 9 8 5 2" xfId="17163" xr:uid="{00000000-0005-0000-0000-000055A00000}"/>
    <cellStyle name="Normal 2 3 9 8 5 2 2" xfId="49809" xr:uid="{00000000-0005-0000-0000-000056A00000}"/>
    <cellStyle name="Normal 2 3 9 8 5 3" xfId="49810" xr:uid="{00000000-0005-0000-0000-000057A00000}"/>
    <cellStyle name="Normal 2 3 9 8 6" xfId="17164" xr:uid="{00000000-0005-0000-0000-000058A00000}"/>
    <cellStyle name="Normal 2 3 9 8 6 2" xfId="49811" xr:uid="{00000000-0005-0000-0000-000059A00000}"/>
    <cellStyle name="Normal 2 3 9 8 7" xfId="17165" xr:uid="{00000000-0005-0000-0000-00005AA00000}"/>
    <cellStyle name="Normal 2 3 9 8 7 2" xfId="49812" xr:uid="{00000000-0005-0000-0000-00005BA00000}"/>
    <cellStyle name="Normal 2 3 9 8 8" xfId="49813" xr:uid="{00000000-0005-0000-0000-00005CA00000}"/>
    <cellStyle name="Normal 2 3 9 8 8 2" xfId="49814" xr:uid="{00000000-0005-0000-0000-00005DA00000}"/>
    <cellStyle name="Normal 2 3 9 8 9" xfId="49815" xr:uid="{00000000-0005-0000-0000-00005EA00000}"/>
    <cellStyle name="Normal 2 3 9 9" xfId="17166" xr:uid="{00000000-0005-0000-0000-00005FA00000}"/>
    <cellStyle name="Normal 2 3 9 9 10" xfId="49816" xr:uid="{00000000-0005-0000-0000-000060A00000}"/>
    <cellStyle name="Normal 2 3 9 9 11" xfId="49817" xr:uid="{00000000-0005-0000-0000-000061A00000}"/>
    <cellStyle name="Normal 2 3 9 9 2" xfId="17167" xr:uid="{00000000-0005-0000-0000-000062A00000}"/>
    <cellStyle name="Normal 2 3 9 9 2 10" xfId="49818" xr:uid="{00000000-0005-0000-0000-000063A00000}"/>
    <cellStyle name="Normal 2 3 9 9 2 2" xfId="17168" xr:uid="{00000000-0005-0000-0000-000064A00000}"/>
    <cellStyle name="Normal 2 3 9 9 2 2 2" xfId="17169" xr:uid="{00000000-0005-0000-0000-000065A00000}"/>
    <cellStyle name="Normal 2 3 9 9 2 2 2 2" xfId="17170" xr:uid="{00000000-0005-0000-0000-000066A00000}"/>
    <cellStyle name="Normal 2 3 9 9 2 2 2 2 2" xfId="49819" xr:uid="{00000000-0005-0000-0000-000067A00000}"/>
    <cellStyle name="Normal 2 3 9 9 2 2 2 3" xfId="17171" xr:uid="{00000000-0005-0000-0000-000068A00000}"/>
    <cellStyle name="Normal 2 3 9 9 2 2 2 3 2" xfId="49820" xr:uid="{00000000-0005-0000-0000-000069A00000}"/>
    <cellStyle name="Normal 2 3 9 9 2 2 2 4" xfId="49821" xr:uid="{00000000-0005-0000-0000-00006AA00000}"/>
    <cellStyle name="Normal 2 3 9 9 2 2 3" xfId="17172" xr:uid="{00000000-0005-0000-0000-00006BA00000}"/>
    <cellStyle name="Normal 2 3 9 9 2 2 3 2" xfId="49822" xr:uid="{00000000-0005-0000-0000-00006CA00000}"/>
    <cellStyle name="Normal 2 3 9 9 2 2 4" xfId="17173" xr:uid="{00000000-0005-0000-0000-00006DA00000}"/>
    <cellStyle name="Normal 2 3 9 9 2 2 4 2" xfId="49823" xr:uid="{00000000-0005-0000-0000-00006EA00000}"/>
    <cellStyle name="Normal 2 3 9 9 2 2 5" xfId="17174" xr:uid="{00000000-0005-0000-0000-00006FA00000}"/>
    <cellStyle name="Normal 2 3 9 9 2 2 5 2" xfId="49824" xr:uid="{00000000-0005-0000-0000-000070A00000}"/>
    <cellStyle name="Normal 2 3 9 9 2 2 6" xfId="49825" xr:uid="{00000000-0005-0000-0000-000071A00000}"/>
    <cellStyle name="Normal 2 3 9 9 2 2 6 2" xfId="49826" xr:uid="{00000000-0005-0000-0000-000072A00000}"/>
    <cellStyle name="Normal 2 3 9 9 2 2 7" xfId="49827" xr:uid="{00000000-0005-0000-0000-000073A00000}"/>
    <cellStyle name="Normal 2 3 9 9 2 3" xfId="17175" xr:uid="{00000000-0005-0000-0000-000074A00000}"/>
    <cellStyle name="Normal 2 3 9 9 2 3 2" xfId="17176" xr:uid="{00000000-0005-0000-0000-000075A00000}"/>
    <cellStyle name="Normal 2 3 9 9 2 3 2 2" xfId="49828" xr:uid="{00000000-0005-0000-0000-000076A00000}"/>
    <cellStyle name="Normal 2 3 9 9 2 3 3" xfId="17177" xr:uid="{00000000-0005-0000-0000-000077A00000}"/>
    <cellStyle name="Normal 2 3 9 9 2 3 3 2" xfId="49829" xr:uid="{00000000-0005-0000-0000-000078A00000}"/>
    <cellStyle name="Normal 2 3 9 9 2 3 4" xfId="49830" xr:uid="{00000000-0005-0000-0000-000079A00000}"/>
    <cellStyle name="Normal 2 3 9 9 2 4" xfId="17178" xr:uid="{00000000-0005-0000-0000-00007AA00000}"/>
    <cellStyle name="Normal 2 3 9 9 2 4 2" xfId="17179" xr:uid="{00000000-0005-0000-0000-00007BA00000}"/>
    <cellStyle name="Normal 2 3 9 9 2 4 2 2" xfId="49831" xr:uid="{00000000-0005-0000-0000-00007CA00000}"/>
    <cellStyle name="Normal 2 3 9 9 2 4 3" xfId="49832" xr:uid="{00000000-0005-0000-0000-00007DA00000}"/>
    <cellStyle name="Normal 2 3 9 9 2 5" xfId="17180" xr:uid="{00000000-0005-0000-0000-00007EA00000}"/>
    <cellStyle name="Normal 2 3 9 9 2 5 2" xfId="49833" xr:uid="{00000000-0005-0000-0000-00007FA00000}"/>
    <cellStyle name="Normal 2 3 9 9 2 6" xfId="17181" xr:uid="{00000000-0005-0000-0000-000080A00000}"/>
    <cellStyle name="Normal 2 3 9 9 2 6 2" xfId="49834" xr:uid="{00000000-0005-0000-0000-000081A00000}"/>
    <cellStyle name="Normal 2 3 9 9 2 7" xfId="49835" xr:uid="{00000000-0005-0000-0000-000082A00000}"/>
    <cellStyle name="Normal 2 3 9 9 2 7 2" xfId="49836" xr:uid="{00000000-0005-0000-0000-000083A00000}"/>
    <cellStyle name="Normal 2 3 9 9 2 8" xfId="49837" xr:uid="{00000000-0005-0000-0000-000084A00000}"/>
    <cellStyle name="Normal 2 3 9 9 2 9" xfId="49838" xr:uid="{00000000-0005-0000-0000-000085A00000}"/>
    <cellStyle name="Normal 2 3 9 9 3" xfId="17182" xr:uid="{00000000-0005-0000-0000-000086A00000}"/>
    <cellStyle name="Normal 2 3 9 9 3 2" xfId="17183" xr:uid="{00000000-0005-0000-0000-000087A00000}"/>
    <cellStyle name="Normal 2 3 9 9 3 2 2" xfId="17184" xr:uid="{00000000-0005-0000-0000-000088A00000}"/>
    <cellStyle name="Normal 2 3 9 9 3 2 2 2" xfId="49839" xr:uid="{00000000-0005-0000-0000-000089A00000}"/>
    <cellStyle name="Normal 2 3 9 9 3 2 3" xfId="17185" xr:uid="{00000000-0005-0000-0000-00008AA00000}"/>
    <cellStyle name="Normal 2 3 9 9 3 2 3 2" xfId="49840" xr:uid="{00000000-0005-0000-0000-00008BA00000}"/>
    <cellStyle name="Normal 2 3 9 9 3 2 4" xfId="49841" xr:uid="{00000000-0005-0000-0000-00008CA00000}"/>
    <cellStyle name="Normal 2 3 9 9 3 3" xfId="17186" xr:uid="{00000000-0005-0000-0000-00008DA00000}"/>
    <cellStyle name="Normal 2 3 9 9 3 3 2" xfId="49842" xr:uid="{00000000-0005-0000-0000-00008EA00000}"/>
    <cellStyle name="Normal 2 3 9 9 3 4" xfId="17187" xr:uid="{00000000-0005-0000-0000-00008FA00000}"/>
    <cellStyle name="Normal 2 3 9 9 3 4 2" xfId="49843" xr:uid="{00000000-0005-0000-0000-000090A00000}"/>
    <cellStyle name="Normal 2 3 9 9 3 5" xfId="17188" xr:uid="{00000000-0005-0000-0000-000091A00000}"/>
    <cellStyle name="Normal 2 3 9 9 3 5 2" xfId="49844" xr:uid="{00000000-0005-0000-0000-000092A00000}"/>
    <cellStyle name="Normal 2 3 9 9 3 6" xfId="49845" xr:uid="{00000000-0005-0000-0000-000093A00000}"/>
    <cellStyle name="Normal 2 3 9 9 3 6 2" xfId="49846" xr:uid="{00000000-0005-0000-0000-000094A00000}"/>
    <cellStyle name="Normal 2 3 9 9 3 7" xfId="49847" xr:uid="{00000000-0005-0000-0000-000095A00000}"/>
    <cellStyle name="Normal 2 3 9 9 4" xfId="17189" xr:uid="{00000000-0005-0000-0000-000096A00000}"/>
    <cellStyle name="Normal 2 3 9 9 4 2" xfId="17190" xr:uid="{00000000-0005-0000-0000-000097A00000}"/>
    <cellStyle name="Normal 2 3 9 9 4 2 2" xfId="49848" xr:uid="{00000000-0005-0000-0000-000098A00000}"/>
    <cellStyle name="Normal 2 3 9 9 4 3" xfId="17191" xr:uid="{00000000-0005-0000-0000-000099A00000}"/>
    <cellStyle name="Normal 2 3 9 9 4 3 2" xfId="49849" xr:uid="{00000000-0005-0000-0000-00009AA00000}"/>
    <cellStyle name="Normal 2 3 9 9 4 4" xfId="49850" xr:uid="{00000000-0005-0000-0000-00009BA00000}"/>
    <cellStyle name="Normal 2 3 9 9 5" xfId="17192" xr:uid="{00000000-0005-0000-0000-00009CA00000}"/>
    <cellStyle name="Normal 2 3 9 9 5 2" xfId="17193" xr:uid="{00000000-0005-0000-0000-00009DA00000}"/>
    <cellStyle name="Normal 2 3 9 9 5 2 2" xfId="49851" xr:uid="{00000000-0005-0000-0000-00009EA00000}"/>
    <cellStyle name="Normal 2 3 9 9 5 3" xfId="49852" xr:uid="{00000000-0005-0000-0000-00009FA00000}"/>
    <cellStyle name="Normal 2 3 9 9 6" xfId="17194" xr:uid="{00000000-0005-0000-0000-0000A0A00000}"/>
    <cellStyle name="Normal 2 3 9 9 6 2" xfId="49853" xr:uid="{00000000-0005-0000-0000-0000A1A00000}"/>
    <cellStyle name="Normal 2 3 9 9 7" xfId="17195" xr:uid="{00000000-0005-0000-0000-0000A2A00000}"/>
    <cellStyle name="Normal 2 3 9 9 7 2" xfId="49854" xr:uid="{00000000-0005-0000-0000-0000A3A00000}"/>
    <cellStyle name="Normal 2 3 9 9 8" xfId="49855" xr:uid="{00000000-0005-0000-0000-0000A4A00000}"/>
    <cellStyle name="Normal 2 3 9 9 8 2" xfId="49856" xr:uid="{00000000-0005-0000-0000-0000A5A00000}"/>
    <cellStyle name="Normal 2 3 9 9 9" xfId="49857" xr:uid="{00000000-0005-0000-0000-0000A6A00000}"/>
    <cellStyle name="Normal 2 4" xfId="17196" xr:uid="{00000000-0005-0000-0000-0000A7A00000}"/>
    <cellStyle name="Normal 2 4 10" xfId="17197" xr:uid="{00000000-0005-0000-0000-0000A8A00000}"/>
    <cellStyle name="Normal 2 4 10 10" xfId="49858" xr:uid="{00000000-0005-0000-0000-0000A9A00000}"/>
    <cellStyle name="Normal 2 4 10 11" xfId="49859" xr:uid="{00000000-0005-0000-0000-0000AAA00000}"/>
    <cellStyle name="Normal 2 4 10 2" xfId="17198" xr:uid="{00000000-0005-0000-0000-0000ABA00000}"/>
    <cellStyle name="Normal 2 4 10 2 10" xfId="49860" xr:uid="{00000000-0005-0000-0000-0000ACA00000}"/>
    <cellStyle name="Normal 2 4 10 2 2" xfId="17199" xr:uid="{00000000-0005-0000-0000-0000ADA00000}"/>
    <cellStyle name="Normal 2 4 10 2 2 2" xfId="17200" xr:uid="{00000000-0005-0000-0000-0000AEA00000}"/>
    <cellStyle name="Normal 2 4 10 2 2 2 2" xfId="17201" xr:uid="{00000000-0005-0000-0000-0000AFA00000}"/>
    <cellStyle name="Normal 2 4 10 2 2 2 2 2" xfId="49861" xr:uid="{00000000-0005-0000-0000-0000B0A00000}"/>
    <cellStyle name="Normal 2 4 10 2 2 2 3" xfId="17202" xr:uid="{00000000-0005-0000-0000-0000B1A00000}"/>
    <cellStyle name="Normal 2 4 10 2 2 2 3 2" xfId="49862" xr:uid="{00000000-0005-0000-0000-0000B2A00000}"/>
    <cellStyle name="Normal 2 4 10 2 2 2 4" xfId="49863" xr:uid="{00000000-0005-0000-0000-0000B3A00000}"/>
    <cellStyle name="Normal 2 4 10 2 2 3" xfId="17203" xr:uid="{00000000-0005-0000-0000-0000B4A00000}"/>
    <cellStyle name="Normal 2 4 10 2 2 3 2" xfId="49864" xr:uid="{00000000-0005-0000-0000-0000B5A00000}"/>
    <cellStyle name="Normal 2 4 10 2 2 4" xfId="17204" xr:uid="{00000000-0005-0000-0000-0000B6A00000}"/>
    <cellStyle name="Normal 2 4 10 2 2 4 2" xfId="49865" xr:uid="{00000000-0005-0000-0000-0000B7A00000}"/>
    <cellStyle name="Normal 2 4 10 2 2 5" xfId="17205" xr:uid="{00000000-0005-0000-0000-0000B8A00000}"/>
    <cellStyle name="Normal 2 4 10 2 2 5 2" xfId="49866" xr:uid="{00000000-0005-0000-0000-0000B9A00000}"/>
    <cellStyle name="Normal 2 4 10 2 2 6" xfId="49867" xr:uid="{00000000-0005-0000-0000-0000BAA00000}"/>
    <cellStyle name="Normal 2 4 10 2 2 6 2" xfId="49868" xr:uid="{00000000-0005-0000-0000-0000BBA00000}"/>
    <cellStyle name="Normal 2 4 10 2 2 7" xfId="49869" xr:uid="{00000000-0005-0000-0000-0000BCA00000}"/>
    <cellStyle name="Normal 2 4 10 2 3" xfId="17206" xr:uid="{00000000-0005-0000-0000-0000BDA00000}"/>
    <cellStyle name="Normal 2 4 10 2 3 2" xfId="17207" xr:uid="{00000000-0005-0000-0000-0000BEA00000}"/>
    <cellStyle name="Normal 2 4 10 2 3 2 2" xfId="49870" xr:uid="{00000000-0005-0000-0000-0000BFA00000}"/>
    <cellStyle name="Normal 2 4 10 2 3 3" xfId="17208" xr:uid="{00000000-0005-0000-0000-0000C0A00000}"/>
    <cellStyle name="Normal 2 4 10 2 3 3 2" xfId="49871" xr:uid="{00000000-0005-0000-0000-0000C1A00000}"/>
    <cellStyle name="Normal 2 4 10 2 3 4" xfId="49872" xr:uid="{00000000-0005-0000-0000-0000C2A00000}"/>
    <cellStyle name="Normal 2 4 10 2 4" xfId="17209" xr:uid="{00000000-0005-0000-0000-0000C3A00000}"/>
    <cellStyle name="Normal 2 4 10 2 4 2" xfId="17210" xr:uid="{00000000-0005-0000-0000-0000C4A00000}"/>
    <cellStyle name="Normal 2 4 10 2 4 2 2" xfId="49873" xr:uid="{00000000-0005-0000-0000-0000C5A00000}"/>
    <cellStyle name="Normal 2 4 10 2 4 3" xfId="49874" xr:uid="{00000000-0005-0000-0000-0000C6A00000}"/>
    <cellStyle name="Normal 2 4 10 2 5" xfId="17211" xr:uid="{00000000-0005-0000-0000-0000C7A00000}"/>
    <cellStyle name="Normal 2 4 10 2 5 2" xfId="49875" xr:uid="{00000000-0005-0000-0000-0000C8A00000}"/>
    <cellStyle name="Normal 2 4 10 2 6" xfId="17212" xr:uid="{00000000-0005-0000-0000-0000C9A00000}"/>
    <cellStyle name="Normal 2 4 10 2 6 2" xfId="49876" xr:uid="{00000000-0005-0000-0000-0000CAA00000}"/>
    <cellStyle name="Normal 2 4 10 2 7" xfId="49877" xr:uid="{00000000-0005-0000-0000-0000CBA00000}"/>
    <cellStyle name="Normal 2 4 10 2 7 2" xfId="49878" xr:uid="{00000000-0005-0000-0000-0000CCA00000}"/>
    <cellStyle name="Normal 2 4 10 2 8" xfId="49879" xr:uid="{00000000-0005-0000-0000-0000CDA00000}"/>
    <cellStyle name="Normal 2 4 10 2 9" xfId="49880" xr:uid="{00000000-0005-0000-0000-0000CEA00000}"/>
    <cellStyle name="Normal 2 4 10 3" xfId="17213" xr:uid="{00000000-0005-0000-0000-0000CFA00000}"/>
    <cellStyle name="Normal 2 4 10 3 2" xfId="17214" xr:uid="{00000000-0005-0000-0000-0000D0A00000}"/>
    <cellStyle name="Normal 2 4 10 3 2 2" xfId="17215" xr:uid="{00000000-0005-0000-0000-0000D1A00000}"/>
    <cellStyle name="Normal 2 4 10 3 2 2 2" xfId="49881" xr:uid="{00000000-0005-0000-0000-0000D2A00000}"/>
    <cellStyle name="Normal 2 4 10 3 2 3" xfId="17216" xr:uid="{00000000-0005-0000-0000-0000D3A00000}"/>
    <cellStyle name="Normal 2 4 10 3 2 3 2" xfId="49882" xr:uid="{00000000-0005-0000-0000-0000D4A00000}"/>
    <cellStyle name="Normal 2 4 10 3 2 4" xfId="49883" xr:uid="{00000000-0005-0000-0000-0000D5A00000}"/>
    <cellStyle name="Normal 2 4 10 3 3" xfId="17217" xr:uid="{00000000-0005-0000-0000-0000D6A00000}"/>
    <cellStyle name="Normal 2 4 10 3 3 2" xfId="49884" xr:uid="{00000000-0005-0000-0000-0000D7A00000}"/>
    <cellStyle name="Normal 2 4 10 3 4" xfId="17218" xr:uid="{00000000-0005-0000-0000-0000D8A00000}"/>
    <cellStyle name="Normal 2 4 10 3 4 2" xfId="49885" xr:uid="{00000000-0005-0000-0000-0000D9A00000}"/>
    <cellStyle name="Normal 2 4 10 3 5" xfId="17219" xr:uid="{00000000-0005-0000-0000-0000DAA00000}"/>
    <cellStyle name="Normal 2 4 10 3 5 2" xfId="49886" xr:uid="{00000000-0005-0000-0000-0000DBA00000}"/>
    <cellStyle name="Normal 2 4 10 3 6" xfId="49887" xr:uid="{00000000-0005-0000-0000-0000DCA00000}"/>
    <cellStyle name="Normal 2 4 10 3 6 2" xfId="49888" xr:uid="{00000000-0005-0000-0000-0000DDA00000}"/>
    <cellStyle name="Normal 2 4 10 3 7" xfId="49889" xr:uid="{00000000-0005-0000-0000-0000DEA00000}"/>
    <cellStyle name="Normal 2 4 10 4" xfId="17220" xr:uid="{00000000-0005-0000-0000-0000DFA00000}"/>
    <cellStyle name="Normal 2 4 10 4 2" xfId="17221" xr:uid="{00000000-0005-0000-0000-0000E0A00000}"/>
    <cellStyle name="Normal 2 4 10 4 2 2" xfId="49890" xr:uid="{00000000-0005-0000-0000-0000E1A00000}"/>
    <cellStyle name="Normal 2 4 10 4 3" xfId="17222" xr:uid="{00000000-0005-0000-0000-0000E2A00000}"/>
    <cellStyle name="Normal 2 4 10 4 3 2" xfId="49891" xr:uid="{00000000-0005-0000-0000-0000E3A00000}"/>
    <cellStyle name="Normal 2 4 10 4 4" xfId="49892" xr:uid="{00000000-0005-0000-0000-0000E4A00000}"/>
    <cellStyle name="Normal 2 4 10 5" xfId="17223" xr:uid="{00000000-0005-0000-0000-0000E5A00000}"/>
    <cellStyle name="Normal 2 4 10 5 2" xfId="17224" xr:uid="{00000000-0005-0000-0000-0000E6A00000}"/>
    <cellStyle name="Normal 2 4 10 5 2 2" xfId="49893" xr:uid="{00000000-0005-0000-0000-0000E7A00000}"/>
    <cellStyle name="Normal 2 4 10 5 3" xfId="49894" xr:uid="{00000000-0005-0000-0000-0000E8A00000}"/>
    <cellStyle name="Normal 2 4 10 6" xfId="17225" xr:uid="{00000000-0005-0000-0000-0000E9A00000}"/>
    <cellStyle name="Normal 2 4 10 6 2" xfId="49895" xr:uid="{00000000-0005-0000-0000-0000EAA00000}"/>
    <cellStyle name="Normal 2 4 10 7" xfId="17226" xr:uid="{00000000-0005-0000-0000-0000EBA00000}"/>
    <cellStyle name="Normal 2 4 10 7 2" xfId="49896" xr:uid="{00000000-0005-0000-0000-0000ECA00000}"/>
    <cellStyle name="Normal 2 4 10 8" xfId="49897" xr:uid="{00000000-0005-0000-0000-0000EDA00000}"/>
    <cellStyle name="Normal 2 4 10 8 2" xfId="49898" xr:uid="{00000000-0005-0000-0000-0000EEA00000}"/>
    <cellStyle name="Normal 2 4 10 9" xfId="49899" xr:uid="{00000000-0005-0000-0000-0000EFA00000}"/>
    <cellStyle name="Normal 2 4 11" xfId="17227" xr:uid="{00000000-0005-0000-0000-0000F0A00000}"/>
    <cellStyle name="Normal 2 4 11 10" xfId="49900" xr:uid="{00000000-0005-0000-0000-0000F1A00000}"/>
    <cellStyle name="Normal 2 4 11 11" xfId="49901" xr:uid="{00000000-0005-0000-0000-0000F2A00000}"/>
    <cellStyle name="Normal 2 4 11 2" xfId="17228" xr:uid="{00000000-0005-0000-0000-0000F3A00000}"/>
    <cellStyle name="Normal 2 4 11 2 10" xfId="49902" xr:uid="{00000000-0005-0000-0000-0000F4A00000}"/>
    <cellStyle name="Normal 2 4 11 2 2" xfId="17229" xr:uid="{00000000-0005-0000-0000-0000F5A00000}"/>
    <cellStyle name="Normal 2 4 11 2 2 2" xfId="17230" xr:uid="{00000000-0005-0000-0000-0000F6A00000}"/>
    <cellStyle name="Normal 2 4 11 2 2 2 2" xfId="17231" xr:uid="{00000000-0005-0000-0000-0000F7A00000}"/>
    <cellStyle name="Normal 2 4 11 2 2 2 2 2" xfId="49903" xr:uid="{00000000-0005-0000-0000-0000F8A00000}"/>
    <cellStyle name="Normal 2 4 11 2 2 2 3" xfId="17232" xr:uid="{00000000-0005-0000-0000-0000F9A00000}"/>
    <cellStyle name="Normal 2 4 11 2 2 2 3 2" xfId="49904" xr:uid="{00000000-0005-0000-0000-0000FAA00000}"/>
    <cellStyle name="Normal 2 4 11 2 2 2 4" xfId="49905" xr:uid="{00000000-0005-0000-0000-0000FBA00000}"/>
    <cellStyle name="Normal 2 4 11 2 2 3" xfId="17233" xr:uid="{00000000-0005-0000-0000-0000FCA00000}"/>
    <cellStyle name="Normal 2 4 11 2 2 3 2" xfId="49906" xr:uid="{00000000-0005-0000-0000-0000FDA00000}"/>
    <cellStyle name="Normal 2 4 11 2 2 4" xfId="17234" xr:uid="{00000000-0005-0000-0000-0000FEA00000}"/>
    <cellStyle name="Normal 2 4 11 2 2 4 2" xfId="49907" xr:uid="{00000000-0005-0000-0000-0000FFA00000}"/>
    <cellStyle name="Normal 2 4 11 2 2 5" xfId="17235" xr:uid="{00000000-0005-0000-0000-000000A10000}"/>
    <cellStyle name="Normal 2 4 11 2 2 5 2" xfId="49908" xr:uid="{00000000-0005-0000-0000-000001A10000}"/>
    <cellStyle name="Normal 2 4 11 2 2 6" xfId="49909" xr:uid="{00000000-0005-0000-0000-000002A10000}"/>
    <cellStyle name="Normal 2 4 11 2 2 6 2" xfId="49910" xr:uid="{00000000-0005-0000-0000-000003A10000}"/>
    <cellStyle name="Normal 2 4 11 2 2 7" xfId="49911" xr:uid="{00000000-0005-0000-0000-000004A10000}"/>
    <cellStyle name="Normal 2 4 11 2 3" xfId="17236" xr:uid="{00000000-0005-0000-0000-000005A10000}"/>
    <cellStyle name="Normal 2 4 11 2 3 2" xfId="17237" xr:uid="{00000000-0005-0000-0000-000006A10000}"/>
    <cellStyle name="Normal 2 4 11 2 3 2 2" xfId="49912" xr:uid="{00000000-0005-0000-0000-000007A10000}"/>
    <cellStyle name="Normal 2 4 11 2 3 3" xfId="17238" xr:uid="{00000000-0005-0000-0000-000008A10000}"/>
    <cellStyle name="Normal 2 4 11 2 3 3 2" xfId="49913" xr:uid="{00000000-0005-0000-0000-000009A10000}"/>
    <cellStyle name="Normal 2 4 11 2 3 4" xfId="49914" xr:uid="{00000000-0005-0000-0000-00000AA10000}"/>
    <cellStyle name="Normal 2 4 11 2 4" xfId="17239" xr:uid="{00000000-0005-0000-0000-00000BA10000}"/>
    <cellStyle name="Normal 2 4 11 2 4 2" xfId="17240" xr:uid="{00000000-0005-0000-0000-00000CA10000}"/>
    <cellStyle name="Normal 2 4 11 2 4 2 2" xfId="49915" xr:uid="{00000000-0005-0000-0000-00000DA10000}"/>
    <cellStyle name="Normal 2 4 11 2 4 3" xfId="49916" xr:uid="{00000000-0005-0000-0000-00000EA10000}"/>
    <cellStyle name="Normal 2 4 11 2 5" xfId="17241" xr:uid="{00000000-0005-0000-0000-00000FA10000}"/>
    <cellStyle name="Normal 2 4 11 2 5 2" xfId="49917" xr:uid="{00000000-0005-0000-0000-000010A10000}"/>
    <cellStyle name="Normal 2 4 11 2 6" xfId="17242" xr:uid="{00000000-0005-0000-0000-000011A10000}"/>
    <cellStyle name="Normal 2 4 11 2 6 2" xfId="49918" xr:uid="{00000000-0005-0000-0000-000012A10000}"/>
    <cellStyle name="Normal 2 4 11 2 7" xfId="49919" xr:uid="{00000000-0005-0000-0000-000013A10000}"/>
    <cellStyle name="Normal 2 4 11 2 7 2" xfId="49920" xr:uid="{00000000-0005-0000-0000-000014A10000}"/>
    <cellStyle name="Normal 2 4 11 2 8" xfId="49921" xr:uid="{00000000-0005-0000-0000-000015A10000}"/>
    <cellStyle name="Normal 2 4 11 2 9" xfId="49922" xr:uid="{00000000-0005-0000-0000-000016A10000}"/>
    <cellStyle name="Normal 2 4 11 3" xfId="17243" xr:uid="{00000000-0005-0000-0000-000017A10000}"/>
    <cellStyle name="Normal 2 4 11 3 2" xfId="17244" xr:uid="{00000000-0005-0000-0000-000018A10000}"/>
    <cellStyle name="Normal 2 4 11 3 2 2" xfId="17245" xr:uid="{00000000-0005-0000-0000-000019A10000}"/>
    <cellStyle name="Normal 2 4 11 3 2 2 2" xfId="49923" xr:uid="{00000000-0005-0000-0000-00001AA10000}"/>
    <cellStyle name="Normal 2 4 11 3 2 3" xfId="17246" xr:uid="{00000000-0005-0000-0000-00001BA10000}"/>
    <cellStyle name="Normal 2 4 11 3 2 3 2" xfId="49924" xr:uid="{00000000-0005-0000-0000-00001CA10000}"/>
    <cellStyle name="Normal 2 4 11 3 2 4" xfId="49925" xr:uid="{00000000-0005-0000-0000-00001DA10000}"/>
    <cellStyle name="Normal 2 4 11 3 3" xfId="17247" xr:uid="{00000000-0005-0000-0000-00001EA10000}"/>
    <cellStyle name="Normal 2 4 11 3 3 2" xfId="49926" xr:uid="{00000000-0005-0000-0000-00001FA10000}"/>
    <cellStyle name="Normal 2 4 11 3 4" xfId="17248" xr:uid="{00000000-0005-0000-0000-000020A10000}"/>
    <cellStyle name="Normal 2 4 11 3 4 2" xfId="49927" xr:uid="{00000000-0005-0000-0000-000021A10000}"/>
    <cellStyle name="Normal 2 4 11 3 5" xfId="17249" xr:uid="{00000000-0005-0000-0000-000022A10000}"/>
    <cellStyle name="Normal 2 4 11 3 5 2" xfId="49928" xr:uid="{00000000-0005-0000-0000-000023A10000}"/>
    <cellStyle name="Normal 2 4 11 3 6" xfId="49929" xr:uid="{00000000-0005-0000-0000-000024A10000}"/>
    <cellStyle name="Normal 2 4 11 3 6 2" xfId="49930" xr:uid="{00000000-0005-0000-0000-000025A10000}"/>
    <cellStyle name="Normal 2 4 11 3 7" xfId="49931" xr:uid="{00000000-0005-0000-0000-000026A10000}"/>
    <cellStyle name="Normal 2 4 11 4" xfId="17250" xr:uid="{00000000-0005-0000-0000-000027A10000}"/>
    <cellStyle name="Normal 2 4 11 4 2" xfId="17251" xr:uid="{00000000-0005-0000-0000-000028A10000}"/>
    <cellStyle name="Normal 2 4 11 4 2 2" xfId="49932" xr:uid="{00000000-0005-0000-0000-000029A10000}"/>
    <cellStyle name="Normal 2 4 11 4 3" xfId="17252" xr:uid="{00000000-0005-0000-0000-00002AA10000}"/>
    <cellStyle name="Normal 2 4 11 4 3 2" xfId="49933" xr:uid="{00000000-0005-0000-0000-00002BA10000}"/>
    <cellStyle name="Normal 2 4 11 4 4" xfId="49934" xr:uid="{00000000-0005-0000-0000-00002CA10000}"/>
    <cellStyle name="Normal 2 4 11 5" xfId="17253" xr:uid="{00000000-0005-0000-0000-00002DA10000}"/>
    <cellStyle name="Normal 2 4 11 5 2" xfId="17254" xr:uid="{00000000-0005-0000-0000-00002EA10000}"/>
    <cellStyle name="Normal 2 4 11 5 2 2" xfId="49935" xr:uid="{00000000-0005-0000-0000-00002FA10000}"/>
    <cellStyle name="Normal 2 4 11 5 3" xfId="49936" xr:uid="{00000000-0005-0000-0000-000030A10000}"/>
    <cellStyle name="Normal 2 4 11 6" xfId="17255" xr:uid="{00000000-0005-0000-0000-000031A10000}"/>
    <cellStyle name="Normal 2 4 11 6 2" xfId="49937" xr:uid="{00000000-0005-0000-0000-000032A10000}"/>
    <cellStyle name="Normal 2 4 11 7" xfId="17256" xr:uid="{00000000-0005-0000-0000-000033A10000}"/>
    <cellStyle name="Normal 2 4 11 7 2" xfId="49938" xr:uid="{00000000-0005-0000-0000-000034A10000}"/>
    <cellStyle name="Normal 2 4 11 8" xfId="49939" xr:uid="{00000000-0005-0000-0000-000035A10000}"/>
    <cellStyle name="Normal 2 4 11 8 2" xfId="49940" xr:uid="{00000000-0005-0000-0000-000036A10000}"/>
    <cellStyle name="Normal 2 4 11 9" xfId="49941" xr:uid="{00000000-0005-0000-0000-000037A10000}"/>
    <cellStyle name="Normal 2 4 12" xfId="17257" xr:uid="{00000000-0005-0000-0000-000038A10000}"/>
    <cellStyle name="Normal 2 4 12 10" xfId="49942" xr:uid="{00000000-0005-0000-0000-000039A10000}"/>
    <cellStyle name="Normal 2 4 12 11" xfId="49943" xr:uid="{00000000-0005-0000-0000-00003AA10000}"/>
    <cellStyle name="Normal 2 4 12 2" xfId="17258" xr:uid="{00000000-0005-0000-0000-00003BA10000}"/>
    <cellStyle name="Normal 2 4 12 2 10" xfId="49944" xr:uid="{00000000-0005-0000-0000-00003CA10000}"/>
    <cellStyle name="Normal 2 4 12 2 2" xfId="17259" xr:uid="{00000000-0005-0000-0000-00003DA10000}"/>
    <cellStyle name="Normal 2 4 12 2 2 2" xfId="17260" xr:uid="{00000000-0005-0000-0000-00003EA10000}"/>
    <cellStyle name="Normal 2 4 12 2 2 2 2" xfId="17261" xr:uid="{00000000-0005-0000-0000-00003FA10000}"/>
    <cellStyle name="Normal 2 4 12 2 2 2 2 2" xfId="49945" xr:uid="{00000000-0005-0000-0000-000040A10000}"/>
    <cellStyle name="Normal 2 4 12 2 2 2 3" xfId="17262" xr:uid="{00000000-0005-0000-0000-000041A10000}"/>
    <cellStyle name="Normal 2 4 12 2 2 2 3 2" xfId="49946" xr:uid="{00000000-0005-0000-0000-000042A10000}"/>
    <cellStyle name="Normal 2 4 12 2 2 2 4" xfId="49947" xr:uid="{00000000-0005-0000-0000-000043A10000}"/>
    <cellStyle name="Normal 2 4 12 2 2 3" xfId="17263" xr:uid="{00000000-0005-0000-0000-000044A10000}"/>
    <cellStyle name="Normal 2 4 12 2 2 3 2" xfId="49948" xr:uid="{00000000-0005-0000-0000-000045A10000}"/>
    <cellStyle name="Normal 2 4 12 2 2 4" xfId="17264" xr:uid="{00000000-0005-0000-0000-000046A10000}"/>
    <cellStyle name="Normal 2 4 12 2 2 4 2" xfId="49949" xr:uid="{00000000-0005-0000-0000-000047A10000}"/>
    <cellStyle name="Normal 2 4 12 2 2 5" xfId="17265" xr:uid="{00000000-0005-0000-0000-000048A10000}"/>
    <cellStyle name="Normal 2 4 12 2 2 5 2" xfId="49950" xr:uid="{00000000-0005-0000-0000-000049A10000}"/>
    <cellStyle name="Normal 2 4 12 2 2 6" xfId="49951" xr:uid="{00000000-0005-0000-0000-00004AA10000}"/>
    <cellStyle name="Normal 2 4 12 2 2 6 2" xfId="49952" xr:uid="{00000000-0005-0000-0000-00004BA10000}"/>
    <cellStyle name="Normal 2 4 12 2 2 7" xfId="49953" xr:uid="{00000000-0005-0000-0000-00004CA10000}"/>
    <cellStyle name="Normal 2 4 12 2 3" xfId="17266" xr:uid="{00000000-0005-0000-0000-00004DA10000}"/>
    <cellStyle name="Normal 2 4 12 2 3 2" xfId="17267" xr:uid="{00000000-0005-0000-0000-00004EA10000}"/>
    <cellStyle name="Normal 2 4 12 2 3 2 2" xfId="49954" xr:uid="{00000000-0005-0000-0000-00004FA10000}"/>
    <cellStyle name="Normal 2 4 12 2 3 3" xfId="17268" xr:uid="{00000000-0005-0000-0000-000050A10000}"/>
    <cellStyle name="Normal 2 4 12 2 3 3 2" xfId="49955" xr:uid="{00000000-0005-0000-0000-000051A10000}"/>
    <cellStyle name="Normal 2 4 12 2 3 4" xfId="49956" xr:uid="{00000000-0005-0000-0000-000052A10000}"/>
    <cellStyle name="Normal 2 4 12 2 4" xfId="17269" xr:uid="{00000000-0005-0000-0000-000053A10000}"/>
    <cellStyle name="Normal 2 4 12 2 4 2" xfId="17270" xr:uid="{00000000-0005-0000-0000-000054A10000}"/>
    <cellStyle name="Normal 2 4 12 2 4 2 2" xfId="49957" xr:uid="{00000000-0005-0000-0000-000055A10000}"/>
    <cellStyle name="Normal 2 4 12 2 4 3" xfId="49958" xr:uid="{00000000-0005-0000-0000-000056A10000}"/>
    <cellStyle name="Normal 2 4 12 2 5" xfId="17271" xr:uid="{00000000-0005-0000-0000-000057A10000}"/>
    <cellStyle name="Normal 2 4 12 2 5 2" xfId="49959" xr:uid="{00000000-0005-0000-0000-000058A10000}"/>
    <cellStyle name="Normal 2 4 12 2 6" xfId="17272" xr:uid="{00000000-0005-0000-0000-000059A10000}"/>
    <cellStyle name="Normal 2 4 12 2 6 2" xfId="49960" xr:uid="{00000000-0005-0000-0000-00005AA10000}"/>
    <cellStyle name="Normal 2 4 12 2 7" xfId="49961" xr:uid="{00000000-0005-0000-0000-00005BA10000}"/>
    <cellStyle name="Normal 2 4 12 2 7 2" xfId="49962" xr:uid="{00000000-0005-0000-0000-00005CA10000}"/>
    <cellStyle name="Normal 2 4 12 2 8" xfId="49963" xr:uid="{00000000-0005-0000-0000-00005DA10000}"/>
    <cellStyle name="Normal 2 4 12 2 9" xfId="49964" xr:uid="{00000000-0005-0000-0000-00005EA10000}"/>
    <cellStyle name="Normal 2 4 12 3" xfId="17273" xr:uid="{00000000-0005-0000-0000-00005FA10000}"/>
    <cellStyle name="Normal 2 4 12 3 2" xfId="17274" xr:uid="{00000000-0005-0000-0000-000060A10000}"/>
    <cellStyle name="Normal 2 4 12 3 2 2" xfId="17275" xr:uid="{00000000-0005-0000-0000-000061A10000}"/>
    <cellStyle name="Normal 2 4 12 3 2 2 2" xfId="49965" xr:uid="{00000000-0005-0000-0000-000062A10000}"/>
    <cellStyle name="Normal 2 4 12 3 2 3" xfId="17276" xr:uid="{00000000-0005-0000-0000-000063A10000}"/>
    <cellStyle name="Normal 2 4 12 3 2 3 2" xfId="49966" xr:uid="{00000000-0005-0000-0000-000064A10000}"/>
    <cellStyle name="Normal 2 4 12 3 2 4" xfId="49967" xr:uid="{00000000-0005-0000-0000-000065A10000}"/>
    <cellStyle name="Normal 2 4 12 3 3" xfId="17277" xr:uid="{00000000-0005-0000-0000-000066A10000}"/>
    <cellStyle name="Normal 2 4 12 3 3 2" xfId="49968" xr:uid="{00000000-0005-0000-0000-000067A10000}"/>
    <cellStyle name="Normal 2 4 12 3 4" xfId="17278" xr:uid="{00000000-0005-0000-0000-000068A10000}"/>
    <cellStyle name="Normal 2 4 12 3 4 2" xfId="49969" xr:uid="{00000000-0005-0000-0000-000069A10000}"/>
    <cellStyle name="Normal 2 4 12 3 5" xfId="17279" xr:uid="{00000000-0005-0000-0000-00006AA10000}"/>
    <cellStyle name="Normal 2 4 12 3 5 2" xfId="49970" xr:uid="{00000000-0005-0000-0000-00006BA10000}"/>
    <cellStyle name="Normal 2 4 12 3 6" xfId="49971" xr:uid="{00000000-0005-0000-0000-00006CA10000}"/>
    <cellStyle name="Normal 2 4 12 3 6 2" xfId="49972" xr:uid="{00000000-0005-0000-0000-00006DA10000}"/>
    <cellStyle name="Normal 2 4 12 3 7" xfId="49973" xr:uid="{00000000-0005-0000-0000-00006EA10000}"/>
    <cellStyle name="Normal 2 4 12 4" xfId="17280" xr:uid="{00000000-0005-0000-0000-00006FA10000}"/>
    <cellStyle name="Normal 2 4 12 4 2" xfId="17281" xr:uid="{00000000-0005-0000-0000-000070A10000}"/>
    <cellStyle name="Normal 2 4 12 4 2 2" xfId="49974" xr:uid="{00000000-0005-0000-0000-000071A10000}"/>
    <cellStyle name="Normal 2 4 12 4 3" xfId="17282" xr:uid="{00000000-0005-0000-0000-000072A10000}"/>
    <cellStyle name="Normal 2 4 12 4 3 2" xfId="49975" xr:uid="{00000000-0005-0000-0000-000073A10000}"/>
    <cellStyle name="Normal 2 4 12 4 4" xfId="49976" xr:uid="{00000000-0005-0000-0000-000074A10000}"/>
    <cellStyle name="Normal 2 4 12 5" xfId="17283" xr:uid="{00000000-0005-0000-0000-000075A10000}"/>
    <cellStyle name="Normal 2 4 12 5 2" xfId="17284" xr:uid="{00000000-0005-0000-0000-000076A10000}"/>
    <cellStyle name="Normal 2 4 12 5 2 2" xfId="49977" xr:uid="{00000000-0005-0000-0000-000077A10000}"/>
    <cellStyle name="Normal 2 4 12 5 3" xfId="49978" xr:uid="{00000000-0005-0000-0000-000078A10000}"/>
    <cellStyle name="Normal 2 4 12 6" xfId="17285" xr:uid="{00000000-0005-0000-0000-000079A10000}"/>
    <cellStyle name="Normal 2 4 12 6 2" xfId="49979" xr:uid="{00000000-0005-0000-0000-00007AA10000}"/>
    <cellStyle name="Normal 2 4 12 7" xfId="17286" xr:uid="{00000000-0005-0000-0000-00007BA10000}"/>
    <cellStyle name="Normal 2 4 12 7 2" xfId="49980" xr:uid="{00000000-0005-0000-0000-00007CA10000}"/>
    <cellStyle name="Normal 2 4 12 8" xfId="49981" xr:uid="{00000000-0005-0000-0000-00007DA10000}"/>
    <cellStyle name="Normal 2 4 12 8 2" xfId="49982" xr:uid="{00000000-0005-0000-0000-00007EA10000}"/>
    <cellStyle name="Normal 2 4 12 9" xfId="49983" xr:uid="{00000000-0005-0000-0000-00007FA10000}"/>
    <cellStyle name="Normal 2 4 13" xfId="17287" xr:uid="{00000000-0005-0000-0000-000080A10000}"/>
    <cellStyle name="Normal 2 4 13 10" xfId="49984" xr:uid="{00000000-0005-0000-0000-000081A10000}"/>
    <cellStyle name="Normal 2 4 13 11" xfId="49985" xr:uid="{00000000-0005-0000-0000-000082A10000}"/>
    <cellStyle name="Normal 2 4 13 2" xfId="17288" xr:uid="{00000000-0005-0000-0000-000083A10000}"/>
    <cellStyle name="Normal 2 4 13 2 10" xfId="49986" xr:uid="{00000000-0005-0000-0000-000084A10000}"/>
    <cellStyle name="Normal 2 4 13 2 2" xfId="17289" xr:uid="{00000000-0005-0000-0000-000085A10000}"/>
    <cellStyle name="Normal 2 4 13 2 2 2" xfId="17290" xr:uid="{00000000-0005-0000-0000-000086A10000}"/>
    <cellStyle name="Normal 2 4 13 2 2 2 2" xfId="17291" xr:uid="{00000000-0005-0000-0000-000087A10000}"/>
    <cellStyle name="Normal 2 4 13 2 2 2 2 2" xfId="49987" xr:uid="{00000000-0005-0000-0000-000088A10000}"/>
    <cellStyle name="Normal 2 4 13 2 2 2 3" xfId="17292" xr:uid="{00000000-0005-0000-0000-000089A10000}"/>
    <cellStyle name="Normal 2 4 13 2 2 2 3 2" xfId="49988" xr:uid="{00000000-0005-0000-0000-00008AA10000}"/>
    <cellStyle name="Normal 2 4 13 2 2 2 4" xfId="49989" xr:uid="{00000000-0005-0000-0000-00008BA10000}"/>
    <cellStyle name="Normal 2 4 13 2 2 3" xfId="17293" xr:uid="{00000000-0005-0000-0000-00008CA10000}"/>
    <cellStyle name="Normal 2 4 13 2 2 3 2" xfId="49990" xr:uid="{00000000-0005-0000-0000-00008DA10000}"/>
    <cellStyle name="Normal 2 4 13 2 2 4" xfId="17294" xr:uid="{00000000-0005-0000-0000-00008EA10000}"/>
    <cellStyle name="Normal 2 4 13 2 2 4 2" xfId="49991" xr:uid="{00000000-0005-0000-0000-00008FA10000}"/>
    <cellStyle name="Normal 2 4 13 2 2 5" xfId="17295" xr:uid="{00000000-0005-0000-0000-000090A10000}"/>
    <cellStyle name="Normal 2 4 13 2 2 5 2" xfId="49992" xr:uid="{00000000-0005-0000-0000-000091A10000}"/>
    <cellStyle name="Normal 2 4 13 2 2 6" xfId="49993" xr:uid="{00000000-0005-0000-0000-000092A10000}"/>
    <cellStyle name="Normal 2 4 13 2 2 6 2" xfId="49994" xr:uid="{00000000-0005-0000-0000-000093A10000}"/>
    <cellStyle name="Normal 2 4 13 2 2 7" xfId="49995" xr:uid="{00000000-0005-0000-0000-000094A10000}"/>
    <cellStyle name="Normal 2 4 13 2 3" xfId="17296" xr:uid="{00000000-0005-0000-0000-000095A10000}"/>
    <cellStyle name="Normal 2 4 13 2 3 2" xfId="17297" xr:uid="{00000000-0005-0000-0000-000096A10000}"/>
    <cellStyle name="Normal 2 4 13 2 3 2 2" xfId="49996" xr:uid="{00000000-0005-0000-0000-000097A10000}"/>
    <cellStyle name="Normal 2 4 13 2 3 3" xfId="17298" xr:uid="{00000000-0005-0000-0000-000098A10000}"/>
    <cellStyle name="Normal 2 4 13 2 3 3 2" xfId="49997" xr:uid="{00000000-0005-0000-0000-000099A10000}"/>
    <cellStyle name="Normal 2 4 13 2 3 4" xfId="49998" xr:uid="{00000000-0005-0000-0000-00009AA10000}"/>
    <cellStyle name="Normal 2 4 13 2 4" xfId="17299" xr:uid="{00000000-0005-0000-0000-00009BA10000}"/>
    <cellStyle name="Normal 2 4 13 2 4 2" xfId="17300" xr:uid="{00000000-0005-0000-0000-00009CA10000}"/>
    <cellStyle name="Normal 2 4 13 2 4 2 2" xfId="49999" xr:uid="{00000000-0005-0000-0000-00009DA10000}"/>
    <cellStyle name="Normal 2 4 13 2 4 3" xfId="50000" xr:uid="{00000000-0005-0000-0000-00009EA10000}"/>
    <cellStyle name="Normal 2 4 13 2 5" xfId="17301" xr:uid="{00000000-0005-0000-0000-00009FA10000}"/>
    <cellStyle name="Normal 2 4 13 2 5 2" xfId="50001" xr:uid="{00000000-0005-0000-0000-0000A0A10000}"/>
    <cellStyle name="Normal 2 4 13 2 6" xfId="17302" xr:uid="{00000000-0005-0000-0000-0000A1A10000}"/>
    <cellStyle name="Normal 2 4 13 2 6 2" xfId="50002" xr:uid="{00000000-0005-0000-0000-0000A2A10000}"/>
    <cellStyle name="Normal 2 4 13 2 7" xfId="50003" xr:uid="{00000000-0005-0000-0000-0000A3A10000}"/>
    <cellStyle name="Normal 2 4 13 2 7 2" xfId="50004" xr:uid="{00000000-0005-0000-0000-0000A4A10000}"/>
    <cellStyle name="Normal 2 4 13 2 8" xfId="50005" xr:uid="{00000000-0005-0000-0000-0000A5A10000}"/>
    <cellStyle name="Normal 2 4 13 2 9" xfId="50006" xr:uid="{00000000-0005-0000-0000-0000A6A10000}"/>
    <cellStyle name="Normal 2 4 13 3" xfId="17303" xr:uid="{00000000-0005-0000-0000-0000A7A10000}"/>
    <cellStyle name="Normal 2 4 13 3 2" xfId="17304" xr:uid="{00000000-0005-0000-0000-0000A8A10000}"/>
    <cellStyle name="Normal 2 4 13 3 2 2" xfId="17305" xr:uid="{00000000-0005-0000-0000-0000A9A10000}"/>
    <cellStyle name="Normal 2 4 13 3 2 2 2" xfId="50007" xr:uid="{00000000-0005-0000-0000-0000AAA10000}"/>
    <cellStyle name="Normal 2 4 13 3 2 3" xfId="17306" xr:uid="{00000000-0005-0000-0000-0000ABA10000}"/>
    <cellStyle name="Normal 2 4 13 3 2 3 2" xfId="50008" xr:uid="{00000000-0005-0000-0000-0000ACA10000}"/>
    <cellStyle name="Normal 2 4 13 3 2 4" xfId="50009" xr:uid="{00000000-0005-0000-0000-0000ADA10000}"/>
    <cellStyle name="Normal 2 4 13 3 3" xfId="17307" xr:uid="{00000000-0005-0000-0000-0000AEA10000}"/>
    <cellStyle name="Normal 2 4 13 3 3 2" xfId="50010" xr:uid="{00000000-0005-0000-0000-0000AFA10000}"/>
    <cellStyle name="Normal 2 4 13 3 4" xfId="17308" xr:uid="{00000000-0005-0000-0000-0000B0A10000}"/>
    <cellStyle name="Normal 2 4 13 3 4 2" xfId="50011" xr:uid="{00000000-0005-0000-0000-0000B1A10000}"/>
    <cellStyle name="Normal 2 4 13 3 5" xfId="17309" xr:uid="{00000000-0005-0000-0000-0000B2A10000}"/>
    <cellStyle name="Normal 2 4 13 3 5 2" xfId="50012" xr:uid="{00000000-0005-0000-0000-0000B3A10000}"/>
    <cellStyle name="Normal 2 4 13 3 6" xfId="50013" xr:uid="{00000000-0005-0000-0000-0000B4A10000}"/>
    <cellStyle name="Normal 2 4 13 3 6 2" xfId="50014" xr:uid="{00000000-0005-0000-0000-0000B5A10000}"/>
    <cellStyle name="Normal 2 4 13 3 7" xfId="50015" xr:uid="{00000000-0005-0000-0000-0000B6A10000}"/>
    <cellStyle name="Normal 2 4 13 4" xfId="17310" xr:uid="{00000000-0005-0000-0000-0000B7A10000}"/>
    <cellStyle name="Normal 2 4 13 4 2" xfId="17311" xr:uid="{00000000-0005-0000-0000-0000B8A10000}"/>
    <cellStyle name="Normal 2 4 13 4 2 2" xfId="50016" xr:uid="{00000000-0005-0000-0000-0000B9A10000}"/>
    <cellStyle name="Normal 2 4 13 4 3" xfId="17312" xr:uid="{00000000-0005-0000-0000-0000BAA10000}"/>
    <cellStyle name="Normal 2 4 13 4 3 2" xfId="50017" xr:uid="{00000000-0005-0000-0000-0000BBA10000}"/>
    <cellStyle name="Normal 2 4 13 4 4" xfId="50018" xr:uid="{00000000-0005-0000-0000-0000BCA10000}"/>
    <cellStyle name="Normal 2 4 13 5" xfId="17313" xr:uid="{00000000-0005-0000-0000-0000BDA10000}"/>
    <cellStyle name="Normal 2 4 13 5 2" xfId="17314" xr:uid="{00000000-0005-0000-0000-0000BEA10000}"/>
    <cellStyle name="Normal 2 4 13 5 2 2" xfId="50019" xr:uid="{00000000-0005-0000-0000-0000BFA10000}"/>
    <cellStyle name="Normal 2 4 13 5 3" xfId="50020" xr:uid="{00000000-0005-0000-0000-0000C0A10000}"/>
    <cellStyle name="Normal 2 4 13 6" xfId="17315" xr:uid="{00000000-0005-0000-0000-0000C1A10000}"/>
    <cellStyle name="Normal 2 4 13 6 2" xfId="50021" xr:uid="{00000000-0005-0000-0000-0000C2A10000}"/>
    <cellStyle name="Normal 2 4 13 7" xfId="17316" xr:uid="{00000000-0005-0000-0000-0000C3A10000}"/>
    <cellStyle name="Normal 2 4 13 7 2" xfId="50022" xr:uid="{00000000-0005-0000-0000-0000C4A10000}"/>
    <cellStyle name="Normal 2 4 13 8" xfId="50023" xr:uid="{00000000-0005-0000-0000-0000C5A10000}"/>
    <cellStyle name="Normal 2 4 13 8 2" xfId="50024" xr:uid="{00000000-0005-0000-0000-0000C6A10000}"/>
    <cellStyle name="Normal 2 4 13 9" xfId="50025" xr:uid="{00000000-0005-0000-0000-0000C7A10000}"/>
    <cellStyle name="Normal 2 4 14" xfId="17317" xr:uid="{00000000-0005-0000-0000-0000C8A10000}"/>
    <cellStyle name="Normal 2 4 14 10" xfId="50026" xr:uid="{00000000-0005-0000-0000-0000C9A10000}"/>
    <cellStyle name="Normal 2 4 14 11" xfId="50027" xr:uid="{00000000-0005-0000-0000-0000CAA10000}"/>
    <cellStyle name="Normal 2 4 14 2" xfId="17318" xr:uid="{00000000-0005-0000-0000-0000CBA10000}"/>
    <cellStyle name="Normal 2 4 14 2 10" xfId="50028" xr:uid="{00000000-0005-0000-0000-0000CCA10000}"/>
    <cellStyle name="Normal 2 4 14 2 2" xfId="17319" xr:uid="{00000000-0005-0000-0000-0000CDA10000}"/>
    <cellStyle name="Normal 2 4 14 2 2 2" xfId="17320" xr:uid="{00000000-0005-0000-0000-0000CEA10000}"/>
    <cellStyle name="Normal 2 4 14 2 2 2 2" xfId="17321" xr:uid="{00000000-0005-0000-0000-0000CFA10000}"/>
    <cellStyle name="Normal 2 4 14 2 2 2 2 2" xfId="50029" xr:uid="{00000000-0005-0000-0000-0000D0A10000}"/>
    <cellStyle name="Normal 2 4 14 2 2 2 3" xfId="17322" xr:uid="{00000000-0005-0000-0000-0000D1A10000}"/>
    <cellStyle name="Normal 2 4 14 2 2 2 3 2" xfId="50030" xr:uid="{00000000-0005-0000-0000-0000D2A10000}"/>
    <cellStyle name="Normal 2 4 14 2 2 2 4" xfId="50031" xr:uid="{00000000-0005-0000-0000-0000D3A10000}"/>
    <cellStyle name="Normal 2 4 14 2 2 3" xfId="17323" xr:uid="{00000000-0005-0000-0000-0000D4A10000}"/>
    <cellStyle name="Normal 2 4 14 2 2 3 2" xfId="50032" xr:uid="{00000000-0005-0000-0000-0000D5A10000}"/>
    <cellStyle name="Normal 2 4 14 2 2 4" xfId="17324" xr:uid="{00000000-0005-0000-0000-0000D6A10000}"/>
    <cellStyle name="Normal 2 4 14 2 2 4 2" xfId="50033" xr:uid="{00000000-0005-0000-0000-0000D7A10000}"/>
    <cellStyle name="Normal 2 4 14 2 2 5" xfId="17325" xr:uid="{00000000-0005-0000-0000-0000D8A10000}"/>
    <cellStyle name="Normal 2 4 14 2 2 5 2" xfId="50034" xr:uid="{00000000-0005-0000-0000-0000D9A10000}"/>
    <cellStyle name="Normal 2 4 14 2 2 6" xfId="50035" xr:uid="{00000000-0005-0000-0000-0000DAA10000}"/>
    <cellStyle name="Normal 2 4 14 2 2 6 2" xfId="50036" xr:uid="{00000000-0005-0000-0000-0000DBA10000}"/>
    <cellStyle name="Normal 2 4 14 2 2 7" xfId="50037" xr:uid="{00000000-0005-0000-0000-0000DCA10000}"/>
    <cellStyle name="Normal 2 4 14 2 3" xfId="17326" xr:uid="{00000000-0005-0000-0000-0000DDA10000}"/>
    <cellStyle name="Normal 2 4 14 2 3 2" xfId="17327" xr:uid="{00000000-0005-0000-0000-0000DEA10000}"/>
    <cellStyle name="Normal 2 4 14 2 3 2 2" xfId="50038" xr:uid="{00000000-0005-0000-0000-0000DFA10000}"/>
    <cellStyle name="Normal 2 4 14 2 3 3" xfId="17328" xr:uid="{00000000-0005-0000-0000-0000E0A10000}"/>
    <cellStyle name="Normal 2 4 14 2 3 3 2" xfId="50039" xr:uid="{00000000-0005-0000-0000-0000E1A10000}"/>
    <cellStyle name="Normal 2 4 14 2 3 4" xfId="50040" xr:uid="{00000000-0005-0000-0000-0000E2A10000}"/>
    <cellStyle name="Normal 2 4 14 2 4" xfId="17329" xr:uid="{00000000-0005-0000-0000-0000E3A10000}"/>
    <cellStyle name="Normal 2 4 14 2 4 2" xfId="17330" xr:uid="{00000000-0005-0000-0000-0000E4A10000}"/>
    <cellStyle name="Normal 2 4 14 2 4 2 2" xfId="50041" xr:uid="{00000000-0005-0000-0000-0000E5A10000}"/>
    <cellStyle name="Normal 2 4 14 2 4 3" xfId="50042" xr:uid="{00000000-0005-0000-0000-0000E6A10000}"/>
    <cellStyle name="Normal 2 4 14 2 5" xfId="17331" xr:uid="{00000000-0005-0000-0000-0000E7A10000}"/>
    <cellStyle name="Normal 2 4 14 2 5 2" xfId="50043" xr:uid="{00000000-0005-0000-0000-0000E8A10000}"/>
    <cellStyle name="Normal 2 4 14 2 6" xfId="17332" xr:uid="{00000000-0005-0000-0000-0000E9A10000}"/>
    <cellStyle name="Normal 2 4 14 2 6 2" xfId="50044" xr:uid="{00000000-0005-0000-0000-0000EAA10000}"/>
    <cellStyle name="Normal 2 4 14 2 7" xfId="50045" xr:uid="{00000000-0005-0000-0000-0000EBA10000}"/>
    <cellStyle name="Normal 2 4 14 2 7 2" xfId="50046" xr:uid="{00000000-0005-0000-0000-0000ECA10000}"/>
    <cellStyle name="Normal 2 4 14 2 8" xfId="50047" xr:uid="{00000000-0005-0000-0000-0000EDA10000}"/>
    <cellStyle name="Normal 2 4 14 2 9" xfId="50048" xr:uid="{00000000-0005-0000-0000-0000EEA10000}"/>
    <cellStyle name="Normal 2 4 14 3" xfId="17333" xr:uid="{00000000-0005-0000-0000-0000EFA10000}"/>
    <cellStyle name="Normal 2 4 14 3 2" xfId="17334" xr:uid="{00000000-0005-0000-0000-0000F0A10000}"/>
    <cellStyle name="Normal 2 4 14 3 2 2" xfId="17335" xr:uid="{00000000-0005-0000-0000-0000F1A10000}"/>
    <cellStyle name="Normal 2 4 14 3 2 2 2" xfId="50049" xr:uid="{00000000-0005-0000-0000-0000F2A10000}"/>
    <cellStyle name="Normal 2 4 14 3 2 3" xfId="17336" xr:uid="{00000000-0005-0000-0000-0000F3A10000}"/>
    <cellStyle name="Normal 2 4 14 3 2 3 2" xfId="50050" xr:uid="{00000000-0005-0000-0000-0000F4A10000}"/>
    <cellStyle name="Normal 2 4 14 3 2 4" xfId="50051" xr:uid="{00000000-0005-0000-0000-0000F5A10000}"/>
    <cellStyle name="Normal 2 4 14 3 3" xfId="17337" xr:uid="{00000000-0005-0000-0000-0000F6A10000}"/>
    <cellStyle name="Normal 2 4 14 3 3 2" xfId="50052" xr:uid="{00000000-0005-0000-0000-0000F7A10000}"/>
    <cellStyle name="Normal 2 4 14 3 4" xfId="17338" xr:uid="{00000000-0005-0000-0000-0000F8A10000}"/>
    <cellStyle name="Normal 2 4 14 3 4 2" xfId="50053" xr:uid="{00000000-0005-0000-0000-0000F9A10000}"/>
    <cellStyle name="Normal 2 4 14 3 5" xfId="17339" xr:uid="{00000000-0005-0000-0000-0000FAA10000}"/>
    <cellStyle name="Normal 2 4 14 3 5 2" xfId="50054" xr:uid="{00000000-0005-0000-0000-0000FBA10000}"/>
    <cellStyle name="Normal 2 4 14 3 6" xfId="50055" xr:uid="{00000000-0005-0000-0000-0000FCA10000}"/>
    <cellStyle name="Normal 2 4 14 3 6 2" xfId="50056" xr:uid="{00000000-0005-0000-0000-0000FDA10000}"/>
    <cellStyle name="Normal 2 4 14 3 7" xfId="50057" xr:uid="{00000000-0005-0000-0000-0000FEA10000}"/>
    <cellStyle name="Normal 2 4 14 4" xfId="17340" xr:uid="{00000000-0005-0000-0000-0000FFA10000}"/>
    <cellStyle name="Normal 2 4 14 4 2" xfId="17341" xr:uid="{00000000-0005-0000-0000-000000A20000}"/>
    <cellStyle name="Normal 2 4 14 4 2 2" xfId="50058" xr:uid="{00000000-0005-0000-0000-000001A20000}"/>
    <cellStyle name="Normal 2 4 14 4 3" xfId="17342" xr:uid="{00000000-0005-0000-0000-000002A20000}"/>
    <cellStyle name="Normal 2 4 14 4 3 2" xfId="50059" xr:uid="{00000000-0005-0000-0000-000003A20000}"/>
    <cellStyle name="Normal 2 4 14 4 4" xfId="50060" xr:uid="{00000000-0005-0000-0000-000004A20000}"/>
    <cellStyle name="Normal 2 4 14 5" xfId="17343" xr:uid="{00000000-0005-0000-0000-000005A20000}"/>
    <cellStyle name="Normal 2 4 14 5 2" xfId="17344" xr:uid="{00000000-0005-0000-0000-000006A20000}"/>
    <cellStyle name="Normal 2 4 14 5 2 2" xfId="50061" xr:uid="{00000000-0005-0000-0000-000007A20000}"/>
    <cellStyle name="Normal 2 4 14 5 3" xfId="50062" xr:uid="{00000000-0005-0000-0000-000008A20000}"/>
    <cellStyle name="Normal 2 4 14 6" xfId="17345" xr:uid="{00000000-0005-0000-0000-000009A20000}"/>
    <cellStyle name="Normal 2 4 14 6 2" xfId="50063" xr:uid="{00000000-0005-0000-0000-00000AA20000}"/>
    <cellStyle name="Normal 2 4 14 7" xfId="17346" xr:uid="{00000000-0005-0000-0000-00000BA20000}"/>
    <cellStyle name="Normal 2 4 14 7 2" xfId="50064" xr:uid="{00000000-0005-0000-0000-00000CA20000}"/>
    <cellStyle name="Normal 2 4 14 8" xfId="50065" xr:uid="{00000000-0005-0000-0000-00000DA20000}"/>
    <cellStyle name="Normal 2 4 14 8 2" xfId="50066" xr:uid="{00000000-0005-0000-0000-00000EA20000}"/>
    <cellStyle name="Normal 2 4 14 9" xfId="50067" xr:uid="{00000000-0005-0000-0000-00000FA20000}"/>
    <cellStyle name="Normal 2 4 15" xfId="17347" xr:uid="{00000000-0005-0000-0000-000010A20000}"/>
    <cellStyle name="Normal 2 4 15 10" xfId="50068" xr:uid="{00000000-0005-0000-0000-000011A20000}"/>
    <cellStyle name="Normal 2 4 15 11" xfId="50069" xr:uid="{00000000-0005-0000-0000-000012A20000}"/>
    <cellStyle name="Normal 2 4 15 2" xfId="17348" xr:uid="{00000000-0005-0000-0000-000013A20000}"/>
    <cellStyle name="Normal 2 4 15 2 10" xfId="50070" xr:uid="{00000000-0005-0000-0000-000014A20000}"/>
    <cellStyle name="Normal 2 4 15 2 2" xfId="17349" xr:uid="{00000000-0005-0000-0000-000015A20000}"/>
    <cellStyle name="Normal 2 4 15 2 2 2" xfId="17350" xr:uid="{00000000-0005-0000-0000-000016A20000}"/>
    <cellStyle name="Normal 2 4 15 2 2 2 2" xfId="17351" xr:uid="{00000000-0005-0000-0000-000017A20000}"/>
    <cellStyle name="Normal 2 4 15 2 2 2 2 2" xfId="50071" xr:uid="{00000000-0005-0000-0000-000018A20000}"/>
    <cellStyle name="Normal 2 4 15 2 2 2 3" xfId="17352" xr:uid="{00000000-0005-0000-0000-000019A20000}"/>
    <cellStyle name="Normal 2 4 15 2 2 2 3 2" xfId="50072" xr:uid="{00000000-0005-0000-0000-00001AA20000}"/>
    <cellStyle name="Normal 2 4 15 2 2 2 4" xfId="50073" xr:uid="{00000000-0005-0000-0000-00001BA20000}"/>
    <cellStyle name="Normal 2 4 15 2 2 3" xfId="17353" xr:uid="{00000000-0005-0000-0000-00001CA20000}"/>
    <cellStyle name="Normal 2 4 15 2 2 3 2" xfId="50074" xr:uid="{00000000-0005-0000-0000-00001DA20000}"/>
    <cellStyle name="Normal 2 4 15 2 2 4" xfId="17354" xr:uid="{00000000-0005-0000-0000-00001EA20000}"/>
    <cellStyle name="Normal 2 4 15 2 2 4 2" xfId="50075" xr:uid="{00000000-0005-0000-0000-00001FA20000}"/>
    <cellStyle name="Normal 2 4 15 2 2 5" xfId="17355" xr:uid="{00000000-0005-0000-0000-000020A20000}"/>
    <cellStyle name="Normal 2 4 15 2 2 5 2" xfId="50076" xr:uid="{00000000-0005-0000-0000-000021A20000}"/>
    <cellStyle name="Normal 2 4 15 2 2 6" xfId="50077" xr:uid="{00000000-0005-0000-0000-000022A20000}"/>
    <cellStyle name="Normal 2 4 15 2 2 6 2" xfId="50078" xr:uid="{00000000-0005-0000-0000-000023A20000}"/>
    <cellStyle name="Normal 2 4 15 2 2 7" xfId="50079" xr:uid="{00000000-0005-0000-0000-000024A20000}"/>
    <cellStyle name="Normal 2 4 15 2 3" xfId="17356" xr:uid="{00000000-0005-0000-0000-000025A20000}"/>
    <cellStyle name="Normal 2 4 15 2 3 2" xfId="17357" xr:uid="{00000000-0005-0000-0000-000026A20000}"/>
    <cellStyle name="Normal 2 4 15 2 3 2 2" xfId="50080" xr:uid="{00000000-0005-0000-0000-000027A20000}"/>
    <cellStyle name="Normal 2 4 15 2 3 3" xfId="17358" xr:uid="{00000000-0005-0000-0000-000028A20000}"/>
    <cellStyle name="Normal 2 4 15 2 3 3 2" xfId="50081" xr:uid="{00000000-0005-0000-0000-000029A20000}"/>
    <cellStyle name="Normal 2 4 15 2 3 4" xfId="50082" xr:uid="{00000000-0005-0000-0000-00002AA20000}"/>
    <cellStyle name="Normal 2 4 15 2 4" xfId="17359" xr:uid="{00000000-0005-0000-0000-00002BA20000}"/>
    <cellStyle name="Normal 2 4 15 2 4 2" xfId="17360" xr:uid="{00000000-0005-0000-0000-00002CA20000}"/>
    <cellStyle name="Normal 2 4 15 2 4 2 2" xfId="50083" xr:uid="{00000000-0005-0000-0000-00002DA20000}"/>
    <cellStyle name="Normal 2 4 15 2 4 3" xfId="50084" xr:uid="{00000000-0005-0000-0000-00002EA20000}"/>
    <cellStyle name="Normal 2 4 15 2 5" xfId="17361" xr:uid="{00000000-0005-0000-0000-00002FA20000}"/>
    <cellStyle name="Normal 2 4 15 2 5 2" xfId="50085" xr:uid="{00000000-0005-0000-0000-000030A20000}"/>
    <cellStyle name="Normal 2 4 15 2 6" xfId="17362" xr:uid="{00000000-0005-0000-0000-000031A20000}"/>
    <cellStyle name="Normal 2 4 15 2 6 2" xfId="50086" xr:uid="{00000000-0005-0000-0000-000032A20000}"/>
    <cellStyle name="Normal 2 4 15 2 7" xfId="50087" xr:uid="{00000000-0005-0000-0000-000033A20000}"/>
    <cellStyle name="Normal 2 4 15 2 7 2" xfId="50088" xr:uid="{00000000-0005-0000-0000-000034A20000}"/>
    <cellStyle name="Normal 2 4 15 2 8" xfId="50089" xr:uid="{00000000-0005-0000-0000-000035A20000}"/>
    <cellStyle name="Normal 2 4 15 2 9" xfId="50090" xr:uid="{00000000-0005-0000-0000-000036A20000}"/>
    <cellStyle name="Normal 2 4 15 3" xfId="17363" xr:uid="{00000000-0005-0000-0000-000037A20000}"/>
    <cellStyle name="Normal 2 4 15 3 2" xfId="17364" xr:uid="{00000000-0005-0000-0000-000038A20000}"/>
    <cellStyle name="Normal 2 4 15 3 2 2" xfId="17365" xr:uid="{00000000-0005-0000-0000-000039A20000}"/>
    <cellStyle name="Normal 2 4 15 3 2 2 2" xfId="50091" xr:uid="{00000000-0005-0000-0000-00003AA20000}"/>
    <cellStyle name="Normal 2 4 15 3 2 3" xfId="17366" xr:uid="{00000000-0005-0000-0000-00003BA20000}"/>
    <cellStyle name="Normal 2 4 15 3 2 3 2" xfId="50092" xr:uid="{00000000-0005-0000-0000-00003CA20000}"/>
    <cellStyle name="Normal 2 4 15 3 2 4" xfId="50093" xr:uid="{00000000-0005-0000-0000-00003DA20000}"/>
    <cellStyle name="Normal 2 4 15 3 3" xfId="17367" xr:uid="{00000000-0005-0000-0000-00003EA20000}"/>
    <cellStyle name="Normal 2 4 15 3 3 2" xfId="50094" xr:uid="{00000000-0005-0000-0000-00003FA20000}"/>
    <cellStyle name="Normal 2 4 15 3 4" xfId="17368" xr:uid="{00000000-0005-0000-0000-000040A20000}"/>
    <cellStyle name="Normal 2 4 15 3 4 2" xfId="50095" xr:uid="{00000000-0005-0000-0000-000041A20000}"/>
    <cellStyle name="Normal 2 4 15 3 5" xfId="17369" xr:uid="{00000000-0005-0000-0000-000042A20000}"/>
    <cellStyle name="Normal 2 4 15 3 5 2" xfId="50096" xr:uid="{00000000-0005-0000-0000-000043A20000}"/>
    <cellStyle name="Normal 2 4 15 3 6" xfId="50097" xr:uid="{00000000-0005-0000-0000-000044A20000}"/>
    <cellStyle name="Normal 2 4 15 3 6 2" xfId="50098" xr:uid="{00000000-0005-0000-0000-000045A20000}"/>
    <cellStyle name="Normal 2 4 15 3 7" xfId="50099" xr:uid="{00000000-0005-0000-0000-000046A20000}"/>
    <cellStyle name="Normal 2 4 15 4" xfId="17370" xr:uid="{00000000-0005-0000-0000-000047A20000}"/>
    <cellStyle name="Normal 2 4 15 4 2" xfId="17371" xr:uid="{00000000-0005-0000-0000-000048A20000}"/>
    <cellStyle name="Normal 2 4 15 4 2 2" xfId="50100" xr:uid="{00000000-0005-0000-0000-000049A20000}"/>
    <cellStyle name="Normal 2 4 15 4 3" xfId="17372" xr:uid="{00000000-0005-0000-0000-00004AA20000}"/>
    <cellStyle name="Normal 2 4 15 4 3 2" xfId="50101" xr:uid="{00000000-0005-0000-0000-00004BA20000}"/>
    <cellStyle name="Normal 2 4 15 4 4" xfId="50102" xr:uid="{00000000-0005-0000-0000-00004CA20000}"/>
    <cellStyle name="Normal 2 4 15 5" xfId="17373" xr:uid="{00000000-0005-0000-0000-00004DA20000}"/>
    <cellStyle name="Normal 2 4 15 5 2" xfId="17374" xr:uid="{00000000-0005-0000-0000-00004EA20000}"/>
    <cellStyle name="Normal 2 4 15 5 2 2" xfId="50103" xr:uid="{00000000-0005-0000-0000-00004FA20000}"/>
    <cellStyle name="Normal 2 4 15 5 3" xfId="50104" xr:uid="{00000000-0005-0000-0000-000050A20000}"/>
    <cellStyle name="Normal 2 4 15 6" xfId="17375" xr:uid="{00000000-0005-0000-0000-000051A20000}"/>
    <cellStyle name="Normal 2 4 15 6 2" xfId="50105" xr:uid="{00000000-0005-0000-0000-000052A20000}"/>
    <cellStyle name="Normal 2 4 15 7" xfId="17376" xr:uid="{00000000-0005-0000-0000-000053A20000}"/>
    <cellStyle name="Normal 2 4 15 7 2" xfId="50106" xr:uid="{00000000-0005-0000-0000-000054A20000}"/>
    <cellStyle name="Normal 2 4 15 8" xfId="50107" xr:uid="{00000000-0005-0000-0000-000055A20000}"/>
    <cellStyle name="Normal 2 4 15 8 2" xfId="50108" xr:uid="{00000000-0005-0000-0000-000056A20000}"/>
    <cellStyle name="Normal 2 4 15 9" xfId="50109" xr:uid="{00000000-0005-0000-0000-000057A20000}"/>
    <cellStyle name="Normal 2 4 16" xfId="17377" xr:uid="{00000000-0005-0000-0000-000058A20000}"/>
    <cellStyle name="Normal 2 4 16 10" xfId="50110" xr:uid="{00000000-0005-0000-0000-000059A20000}"/>
    <cellStyle name="Normal 2 4 16 11" xfId="50111" xr:uid="{00000000-0005-0000-0000-00005AA20000}"/>
    <cellStyle name="Normal 2 4 16 2" xfId="17378" xr:uid="{00000000-0005-0000-0000-00005BA20000}"/>
    <cellStyle name="Normal 2 4 16 2 10" xfId="50112" xr:uid="{00000000-0005-0000-0000-00005CA20000}"/>
    <cellStyle name="Normal 2 4 16 2 2" xfId="17379" xr:uid="{00000000-0005-0000-0000-00005DA20000}"/>
    <cellStyle name="Normal 2 4 16 2 2 2" xfId="17380" xr:uid="{00000000-0005-0000-0000-00005EA20000}"/>
    <cellStyle name="Normal 2 4 16 2 2 2 2" xfId="17381" xr:uid="{00000000-0005-0000-0000-00005FA20000}"/>
    <cellStyle name="Normal 2 4 16 2 2 2 2 2" xfId="50113" xr:uid="{00000000-0005-0000-0000-000060A20000}"/>
    <cellStyle name="Normal 2 4 16 2 2 2 3" xfId="17382" xr:uid="{00000000-0005-0000-0000-000061A20000}"/>
    <cellStyle name="Normal 2 4 16 2 2 2 3 2" xfId="50114" xr:uid="{00000000-0005-0000-0000-000062A20000}"/>
    <cellStyle name="Normal 2 4 16 2 2 2 4" xfId="50115" xr:uid="{00000000-0005-0000-0000-000063A20000}"/>
    <cellStyle name="Normal 2 4 16 2 2 3" xfId="17383" xr:uid="{00000000-0005-0000-0000-000064A20000}"/>
    <cellStyle name="Normal 2 4 16 2 2 3 2" xfId="50116" xr:uid="{00000000-0005-0000-0000-000065A20000}"/>
    <cellStyle name="Normal 2 4 16 2 2 4" xfId="17384" xr:uid="{00000000-0005-0000-0000-000066A20000}"/>
    <cellStyle name="Normal 2 4 16 2 2 4 2" xfId="50117" xr:uid="{00000000-0005-0000-0000-000067A20000}"/>
    <cellStyle name="Normal 2 4 16 2 2 5" xfId="17385" xr:uid="{00000000-0005-0000-0000-000068A20000}"/>
    <cellStyle name="Normal 2 4 16 2 2 5 2" xfId="50118" xr:uid="{00000000-0005-0000-0000-000069A20000}"/>
    <cellStyle name="Normal 2 4 16 2 2 6" xfId="50119" xr:uid="{00000000-0005-0000-0000-00006AA20000}"/>
    <cellStyle name="Normal 2 4 16 2 2 6 2" xfId="50120" xr:uid="{00000000-0005-0000-0000-00006BA20000}"/>
    <cellStyle name="Normal 2 4 16 2 2 7" xfId="50121" xr:uid="{00000000-0005-0000-0000-00006CA20000}"/>
    <cellStyle name="Normal 2 4 16 2 3" xfId="17386" xr:uid="{00000000-0005-0000-0000-00006DA20000}"/>
    <cellStyle name="Normal 2 4 16 2 3 2" xfId="17387" xr:uid="{00000000-0005-0000-0000-00006EA20000}"/>
    <cellStyle name="Normal 2 4 16 2 3 2 2" xfId="50122" xr:uid="{00000000-0005-0000-0000-00006FA20000}"/>
    <cellStyle name="Normal 2 4 16 2 3 3" xfId="17388" xr:uid="{00000000-0005-0000-0000-000070A20000}"/>
    <cellStyle name="Normal 2 4 16 2 3 3 2" xfId="50123" xr:uid="{00000000-0005-0000-0000-000071A20000}"/>
    <cellStyle name="Normal 2 4 16 2 3 4" xfId="50124" xr:uid="{00000000-0005-0000-0000-000072A20000}"/>
    <cellStyle name="Normal 2 4 16 2 4" xfId="17389" xr:uid="{00000000-0005-0000-0000-000073A20000}"/>
    <cellStyle name="Normal 2 4 16 2 4 2" xfId="17390" xr:uid="{00000000-0005-0000-0000-000074A20000}"/>
    <cellStyle name="Normal 2 4 16 2 4 2 2" xfId="50125" xr:uid="{00000000-0005-0000-0000-000075A20000}"/>
    <cellStyle name="Normal 2 4 16 2 4 3" xfId="50126" xr:uid="{00000000-0005-0000-0000-000076A20000}"/>
    <cellStyle name="Normal 2 4 16 2 5" xfId="17391" xr:uid="{00000000-0005-0000-0000-000077A20000}"/>
    <cellStyle name="Normal 2 4 16 2 5 2" xfId="50127" xr:uid="{00000000-0005-0000-0000-000078A20000}"/>
    <cellStyle name="Normal 2 4 16 2 6" xfId="17392" xr:uid="{00000000-0005-0000-0000-000079A20000}"/>
    <cellStyle name="Normal 2 4 16 2 6 2" xfId="50128" xr:uid="{00000000-0005-0000-0000-00007AA20000}"/>
    <cellStyle name="Normal 2 4 16 2 7" xfId="50129" xr:uid="{00000000-0005-0000-0000-00007BA20000}"/>
    <cellStyle name="Normal 2 4 16 2 7 2" xfId="50130" xr:uid="{00000000-0005-0000-0000-00007CA20000}"/>
    <cellStyle name="Normal 2 4 16 2 8" xfId="50131" xr:uid="{00000000-0005-0000-0000-00007DA20000}"/>
    <cellStyle name="Normal 2 4 16 2 9" xfId="50132" xr:uid="{00000000-0005-0000-0000-00007EA20000}"/>
    <cellStyle name="Normal 2 4 16 3" xfId="17393" xr:uid="{00000000-0005-0000-0000-00007FA20000}"/>
    <cellStyle name="Normal 2 4 16 3 2" xfId="17394" xr:uid="{00000000-0005-0000-0000-000080A20000}"/>
    <cellStyle name="Normal 2 4 16 3 2 2" xfId="17395" xr:uid="{00000000-0005-0000-0000-000081A20000}"/>
    <cellStyle name="Normal 2 4 16 3 2 2 2" xfId="50133" xr:uid="{00000000-0005-0000-0000-000082A20000}"/>
    <cellStyle name="Normal 2 4 16 3 2 3" xfId="17396" xr:uid="{00000000-0005-0000-0000-000083A20000}"/>
    <cellStyle name="Normal 2 4 16 3 2 3 2" xfId="50134" xr:uid="{00000000-0005-0000-0000-000084A20000}"/>
    <cellStyle name="Normal 2 4 16 3 2 4" xfId="50135" xr:uid="{00000000-0005-0000-0000-000085A20000}"/>
    <cellStyle name="Normal 2 4 16 3 3" xfId="17397" xr:uid="{00000000-0005-0000-0000-000086A20000}"/>
    <cellStyle name="Normal 2 4 16 3 3 2" xfId="50136" xr:uid="{00000000-0005-0000-0000-000087A20000}"/>
    <cellStyle name="Normal 2 4 16 3 4" xfId="17398" xr:uid="{00000000-0005-0000-0000-000088A20000}"/>
    <cellStyle name="Normal 2 4 16 3 4 2" xfId="50137" xr:uid="{00000000-0005-0000-0000-000089A20000}"/>
    <cellStyle name="Normal 2 4 16 3 5" xfId="17399" xr:uid="{00000000-0005-0000-0000-00008AA20000}"/>
    <cellStyle name="Normal 2 4 16 3 5 2" xfId="50138" xr:uid="{00000000-0005-0000-0000-00008BA20000}"/>
    <cellStyle name="Normal 2 4 16 3 6" xfId="50139" xr:uid="{00000000-0005-0000-0000-00008CA20000}"/>
    <cellStyle name="Normal 2 4 16 3 6 2" xfId="50140" xr:uid="{00000000-0005-0000-0000-00008DA20000}"/>
    <cellStyle name="Normal 2 4 16 3 7" xfId="50141" xr:uid="{00000000-0005-0000-0000-00008EA20000}"/>
    <cellStyle name="Normal 2 4 16 4" xfId="17400" xr:uid="{00000000-0005-0000-0000-00008FA20000}"/>
    <cellStyle name="Normal 2 4 16 4 2" xfId="17401" xr:uid="{00000000-0005-0000-0000-000090A20000}"/>
    <cellStyle name="Normal 2 4 16 4 2 2" xfId="50142" xr:uid="{00000000-0005-0000-0000-000091A20000}"/>
    <cellStyle name="Normal 2 4 16 4 3" xfId="17402" xr:uid="{00000000-0005-0000-0000-000092A20000}"/>
    <cellStyle name="Normal 2 4 16 4 3 2" xfId="50143" xr:uid="{00000000-0005-0000-0000-000093A20000}"/>
    <cellStyle name="Normal 2 4 16 4 4" xfId="50144" xr:uid="{00000000-0005-0000-0000-000094A20000}"/>
    <cellStyle name="Normal 2 4 16 5" xfId="17403" xr:uid="{00000000-0005-0000-0000-000095A20000}"/>
    <cellStyle name="Normal 2 4 16 5 2" xfId="17404" xr:uid="{00000000-0005-0000-0000-000096A20000}"/>
    <cellStyle name="Normal 2 4 16 5 2 2" xfId="50145" xr:uid="{00000000-0005-0000-0000-000097A20000}"/>
    <cellStyle name="Normal 2 4 16 5 3" xfId="50146" xr:uid="{00000000-0005-0000-0000-000098A20000}"/>
    <cellStyle name="Normal 2 4 16 6" xfId="17405" xr:uid="{00000000-0005-0000-0000-000099A20000}"/>
    <cellStyle name="Normal 2 4 16 6 2" xfId="50147" xr:uid="{00000000-0005-0000-0000-00009AA20000}"/>
    <cellStyle name="Normal 2 4 16 7" xfId="17406" xr:uid="{00000000-0005-0000-0000-00009BA20000}"/>
    <cellStyle name="Normal 2 4 16 7 2" xfId="50148" xr:uid="{00000000-0005-0000-0000-00009CA20000}"/>
    <cellStyle name="Normal 2 4 16 8" xfId="50149" xr:uid="{00000000-0005-0000-0000-00009DA20000}"/>
    <cellStyle name="Normal 2 4 16 8 2" xfId="50150" xr:uid="{00000000-0005-0000-0000-00009EA20000}"/>
    <cellStyle name="Normal 2 4 16 9" xfId="50151" xr:uid="{00000000-0005-0000-0000-00009FA20000}"/>
    <cellStyle name="Normal 2 4 17" xfId="17407" xr:uid="{00000000-0005-0000-0000-0000A0A20000}"/>
    <cellStyle name="Normal 2 4 17 10" xfId="50152" xr:uid="{00000000-0005-0000-0000-0000A1A20000}"/>
    <cellStyle name="Normal 2 4 17 11" xfId="50153" xr:uid="{00000000-0005-0000-0000-0000A2A20000}"/>
    <cellStyle name="Normal 2 4 17 2" xfId="17408" xr:uid="{00000000-0005-0000-0000-0000A3A20000}"/>
    <cellStyle name="Normal 2 4 17 2 10" xfId="50154" xr:uid="{00000000-0005-0000-0000-0000A4A20000}"/>
    <cellStyle name="Normal 2 4 17 2 2" xfId="17409" xr:uid="{00000000-0005-0000-0000-0000A5A20000}"/>
    <cellStyle name="Normal 2 4 17 2 2 2" xfId="17410" xr:uid="{00000000-0005-0000-0000-0000A6A20000}"/>
    <cellStyle name="Normal 2 4 17 2 2 2 2" xfId="17411" xr:uid="{00000000-0005-0000-0000-0000A7A20000}"/>
    <cellStyle name="Normal 2 4 17 2 2 2 2 2" xfId="50155" xr:uid="{00000000-0005-0000-0000-0000A8A20000}"/>
    <cellStyle name="Normal 2 4 17 2 2 2 3" xfId="17412" xr:uid="{00000000-0005-0000-0000-0000A9A20000}"/>
    <cellStyle name="Normal 2 4 17 2 2 2 3 2" xfId="50156" xr:uid="{00000000-0005-0000-0000-0000AAA20000}"/>
    <cellStyle name="Normal 2 4 17 2 2 2 4" xfId="50157" xr:uid="{00000000-0005-0000-0000-0000ABA20000}"/>
    <cellStyle name="Normal 2 4 17 2 2 3" xfId="17413" xr:uid="{00000000-0005-0000-0000-0000ACA20000}"/>
    <cellStyle name="Normal 2 4 17 2 2 3 2" xfId="50158" xr:uid="{00000000-0005-0000-0000-0000ADA20000}"/>
    <cellStyle name="Normal 2 4 17 2 2 4" xfId="17414" xr:uid="{00000000-0005-0000-0000-0000AEA20000}"/>
    <cellStyle name="Normal 2 4 17 2 2 4 2" xfId="50159" xr:uid="{00000000-0005-0000-0000-0000AFA20000}"/>
    <cellStyle name="Normal 2 4 17 2 2 5" xfId="17415" xr:uid="{00000000-0005-0000-0000-0000B0A20000}"/>
    <cellStyle name="Normal 2 4 17 2 2 5 2" xfId="50160" xr:uid="{00000000-0005-0000-0000-0000B1A20000}"/>
    <cellStyle name="Normal 2 4 17 2 2 6" xfId="50161" xr:uid="{00000000-0005-0000-0000-0000B2A20000}"/>
    <cellStyle name="Normal 2 4 17 2 2 6 2" xfId="50162" xr:uid="{00000000-0005-0000-0000-0000B3A20000}"/>
    <cellStyle name="Normal 2 4 17 2 2 7" xfId="50163" xr:uid="{00000000-0005-0000-0000-0000B4A20000}"/>
    <cellStyle name="Normal 2 4 17 2 3" xfId="17416" xr:uid="{00000000-0005-0000-0000-0000B5A20000}"/>
    <cellStyle name="Normal 2 4 17 2 3 2" xfId="17417" xr:uid="{00000000-0005-0000-0000-0000B6A20000}"/>
    <cellStyle name="Normal 2 4 17 2 3 2 2" xfId="50164" xr:uid="{00000000-0005-0000-0000-0000B7A20000}"/>
    <cellStyle name="Normal 2 4 17 2 3 3" xfId="17418" xr:uid="{00000000-0005-0000-0000-0000B8A20000}"/>
    <cellStyle name="Normal 2 4 17 2 3 3 2" xfId="50165" xr:uid="{00000000-0005-0000-0000-0000B9A20000}"/>
    <cellStyle name="Normal 2 4 17 2 3 4" xfId="50166" xr:uid="{00000000-0005-0000-0000-0000BAA20000}"/>
    <cellStyle name="Normal 2 4 17 2 4" xfId="17419" xr:uid="{00000000-0005-0000-0000-0000BBA20000}"/>
    <cellStyle name="Normal 2 4 17 2 4 2" xfId="17420" xr:uid="{00000000-0005-0000-0000-0000BCA20000}"/>
    <cellStyle name="Normal 2 4 17 2 4 2 2" xfId="50167" xr:uid="{00000000-0005-0000-0000-0000BDA20000}"/>
    <cellStyle name="Normal 2 4 17 2 4 3" xfId="50168" xr:uid="{00000000-0005-0000-0000-0000BEA20000}"/>
    <cellStyle name="Normal 2 4 17 2 5" xfId="17421" xr:uid="{00000000-0005-0000-0000-0000BFA20000}"/>
    <cellStyle name="Normal 2 4 17 2 5 2" xfId="50169" xr:uid="{00000000-0005-0000-0000-0000C0A20000}"/>
    <cellStyle name="Normal 2 4 17 2 6" xfId="17422" xr:uid="{00000000-0005-0000-0000-0000C1A20000}"/>
    <cellStyle name="Normal 2 4 17 2 6 2" xfId="50170" xr:uid="{00000000-0005-0000-0000-0000C2A20000}"/>
    <cellStyle name="Normal 2 4 17 2 7" xfId="50171" xr:uid="{00000000-0005-0000-0000-0000C3A20000}"/>
    <cellStyle name="Normal 2 4 17 2 7 2" xfId="50172" xr:uid="{00000000-0005-0000-0000-0000C4A20000}"/>
    <cellStyle name="Normal 2 4 17 2 8" xfId="50173" xr:uid="{00000000-0005-0000-0000-0000C5A20000}"/>
    <cellStyle name="Normal 2 4 17 2 9" xfId="50174" xr:uid="{00000000-0005-0000-0000-0000C6A20000}"/>
    <cellStyle name="Normal 2 4 17 3" xfId="17423" xr:uid="{00000000-0005-0000-0000-0000C7A20000}"/>
    <cellStyle name="Normal 2 4 17 3 2" xfId="17424" xr:uid="{00000000-0005-0000-0000-0000C8A20000}"/>
    <cellStyle name="Normal 2 4 17 3 2 2" xfId="17425" xr:uid="{00000000-0005-0000-0000-0000C9A20000}"/>
    <cellStyle name="Normal 2 4 17 3 2 2 2" xfId="50175" xr:uid="{00000000-0005-0000-0000-0000CAA20000}"/>
    <cellStyle name="Normal 2 4 17 3 2 3" xfId="17426" xr:uid="{00000000-0005-0000-0000-0000CBA20000}"/>
    <cellStyle name="Normal 2 4 17 3 2 3 2" xfId="50176" xr:uid="{00000000-0005-0000-0000-0000CCA20000}"/>
    <cellStyle name="Normal 2 4 17 3 2 4" xfId="50177" xr:uid="{00000000-0005-0000-0000-0000CDA20000}"/>
    <cellStyle name="Normal 2 4 17 3 3" xfId="17427" xr:uid="{00000000-0005-0000-0000-0000CEA20000}"/>
    <cellStyle name="Normal 2 4 17 3 3 2" xfId="50178" xr:uid="{00000000-0005-0000-0000-0000CFA20000}"/>
    <cellStyle name="Normal 2 4 17 3 4" xfId="17428" xr:uid="{00000000-0005-0000-0000-0000D0A20000}"/>
    <cellStyle name="Normal 2 4 17 3 4 2" xfId="50179" xr:uid="{00000000-0005-0000-0000-0000D1A20000}"/>
    <cellStyle name="Normal 2 4 17 3 5" xfId="17429" xr:uid="{00000000-0005-0000-0000-0000D2A20000}"/>
    <cellStyle name="Normal 2 4 17 3 5 2" xfId="50180" xr:uid="{00000000-0005-0000-0000-0000D3A20000}"/>
    <cellStyle name="Normal 2 4 17 3 6" xfId="50181" xr:uid="{00000000-0005-0000-0000-0000D4A20000}"/>
    <cellStyle name="Normal 2 4 17 3 6 2" xfId="50182" xr:uid="{00000000-0005-0000-0000-0000D5A20000}"/>
    <cellStyle name="Normal 2 4 17 3 7" xfId="50183" xr:uid="{00000000-0005-0000-0000-0000D6A20000}"/>
    <cellStyle name="Normal 2 4 17 4" xfId="17430" xr:uid="{00000000-0005-0000-0000-0000D7A20000}"/>
    <cellStyle name="Normal 2 4 17 4 2" xfId="17431" xr:uid="{00000000-0005-0000-0000-0000D8A20000}"/>
    <cellStyle name="Normal 2 4 17 4 2 2" xfId="50184" xr:uid="{00000000-0005-0000-0000-0000D9A20000}"/>
    <cellStyle name="Normal 2 4 17 4 3" xfId="17432" xr:uid="{00000000-0005-0000-0000-0000DAA20000}"/>
    <cellStyle name="Normal 2 4 17 4 3 2" xfId="50185" xr:uid="{00000000-0005-0000-0000-0000DBA20000}"/>
    <cellStyle name="Normal 2 4 17 4 4" xfId="50186" xr:uid="{00000000-0005-0000-0000-0000DCA20000}"/>
    <cellStyle name="Normal 2 4 17 5" xfId="17433" xr:uid="{00000000-0005-0000-0000-0000DDA20000}"/>
    <cellStyle name="Normal 2 4 17 5 2" xfId="17434" xr:uid="{00000000-0005-0000-0000-0000DEA20000}"/>
    <cellStyle name="Normal 2 4 17 5 2 2" xfId="50187" xr:uid="{00000000-0005-0000-0000-0000DFA20000}"/>
    <cellStyle name="Normal 2 4 17 5 3" xfId="50188" xr:uid="{00000000-0005-0000-0000-0000E0A20000}"/>
    <cellStyle name="Normal 2 4 17 6" xfId="17435" xr:uid="{00000000-0005-0000-0000-0000E1A20000}"/>
    <cellStyle name="Normal 2 4 17 6 2" xfId="50189" xr:uid="{00000000-0005-0000-0000-0000E2A20000}"/>
    <cellStyle name="Normal 2 4 17 7" xfId="17436" xr:uid="{00000000-0005-0000-0000-0000E3A20000}"/>
    <cellStyle name="Normal 2 4 17 7 2" xfId="50190" xr:uid="{00000000-0005-0000-0000-0000E4A20000}"/>
    <cellStyle name="Normal 2 4 17 8" xfId="50191" xr:uid="{00000000-0005-0000-0000-0000E5A20000}"/>
    <cellStyle name="Normal 2 4 17 8 2" xfId="50192" xr:uid="{00000000-0005-0000-0000-0000E6A20000}"/>
    <cellStyle name="Normal 2 4 17 9" xfId="50193" xr:uid="{00000000-0005-0000-0000-0000E7A20000}"/>
    <cellStyle name="Normal 2 4 18" xfId="17437" xr:uid="{00000000-0005-0000-0000-0000E8A20000}"/>
    <cellStyle name="Normal 2 4 18 10" xfId="50194" xr:uid="{00000000-0005-0000-0000-0000E9A20000}"/>
    <cellStyle name="Normal 2 4 18 11" xfId="50195" xr:uid="{00000000-0005-0000-0000-0000EAA20000}"/>
    <cellStyle name="Normal 2 4 18 2" xfId="17438" xr:uid="{00000000-0005-0000-0000-0000EBA20000}"/>
    <cellStyle name="Normal 2 4 18 2 10" xfId="50196" xr:uid="{00000000-0005-0000-0000-0000ECA20000}"/>
    <cellStyle name="Normal 2 4 18 2 2" xfId="17439" xr:uid="{00000000-0005-0000-0000-0000EDA20000}"/>
    <cellStyle name="Normal 2 4 18 2 2 2" xfId="17440" xr:uid="{00000000-0005-0000-0000-0000EEA20000}"/>
    <cellStyle name="Normal 2 4 18 2 2 2 2" xfId="17441" xr:uid="{00000000-0005-0000-0000-0000EFA20000}"/>
    <cellStyle name="Normal 2 4 18 2 2 2 2 2" xfId="50197" xr:uid="{00000000-0005-0000-0000-0000F0A20000}"/>
    <cellStyle name="Normal 2 4 18 2 2 2 3" xfId="17442" xr:uid="{00000000-0005-0000-0000-0000F1A20000}"/>
    <cellStyle name="Normal 2 4 18 2 2 2 3 2" xfId="50198" xr:uid="{00000000-0005-0000-0000-0000F2A20000}"/>
    <cellStyle name="Normal 2 4 18 2 2 2 4" xfId="50199" xr:uid="{00000000-0005-0000-0000-0000F3A20000}"/>
    <cellStyle name="Normal 2 4 18 2 2 3" xfId="17443" xr:uid="{00000000-0005-0000-0000-0000F4A20000}"/>
    <cellStyle name="Normal 2 4 18 2 2 3 2" xfId="50200" xr:uid="{00000000-0005-0000-0000-0000F5A20000}"/>
    <cellStyle name="Normal 2 4 18 2 2 4" xfId="17444" xr:uid="{00000000-0005-0000-0000-0000F6A20000}"/>
    <cellStyle name="Normal 2 4 18 2 2 4 2" xfId="50201" xr:uid="{00000000-0005-0000-0000-0000F7A20000}"/>
    <cellStyle name="Normal 2 4 18 2 2 5" xfId="17445" xr:uid="{00000000-0005-0000-0000-0000F8A20000}"/>
    <cellStyle name="Normal 2 4 18 2 2 5 2" xfId="50202" xr:uid="{00000000-0005-0000-0000-0000F9A20000}"/>
    <cellStyle name="Normal 2 4 18 2 2 6" xfId="50203" xr:uid="{00000000-0005-0000-0000-0000FAA20000}"/>
    <cellStyle name="Normal 2 4 18 2 2 6 2" xfId="50204" xr:uid="{00000000-0005-0000-0000-0000FBA20000}"/>
    <cellStyle name="Normal 2 4 18 2 2 7" xfId="50205" xr:uid="{00000000-0005-0000-0000-0000FCA20000}"/>
    <cellStyle name="Normal 2 4 18 2 3" xfId="17446" xr:uid="{00000000-0005-0000-0000-0000FDA20000}"/>
    <cellStyle name="Normal 2 4 18 2 3 2" xfId="17447" xr:uid="{00000000-0005-0000-0000-0000FEA20000}"/>
    <cellStyle name="Normal 2 4 18 2 3 2 2" xfId="50206" xr:uid="{00000000-0005-0000-0000-0000FFA20000}"/>
    <cellStyle name="Normal 2 4 18 2 3 3" xfId="17448" xr:uid="{00000000-0005-0000-0000-000000A30000}"/>
    <cellStyle name="Normal 2 4 18 2 3 3 2" xfId="50207" xr:uid="{00000000-0005-0000-0000-000001A30000}"/>
    <cellStyle name="Normal 2 4 18 2 3 4" xfId="50208" xr:uid="{00000000-0005-0000-0000-000002A30000}"/>
    <cellStyle name="Normal 2 4 18 2 4" xfId="17449" xr:uid="{00000000-0005-0000-0000-000003A30000}"/>
    <cellStyle name="Normal 2 4 18 2 4 2" xfId="17450" xr:uid="{00000000-0005-0000-0000-000004A30000}"/>
    <cellStyle name="Normal 2 4 18 2 4 2 2" xfId="50209" xr:uid="{00000000-0005-0000-0000-000005A30000}"/>
    <cellStyle name="Normal 2 4 18 2 4 3" xfId="50210" xr:uid="{00000000-0005-0000-0000-000006A30000}"/>
    <cellStyle name="Normal 2 4 18 2 5" xfId="17451" xr:uid="{00000000-0005-0000-0000-000007A30000}"/>
    <cellStyle name="Normal 2 4 18 2 5 2" xfId="50211" xr:uid="{00000000-0005-0000-0000-000008A30000}"/>
    <cellStyle name="Normal 2 4 18 2 6" xfId="17452" xr:uid="{00000000-0005-0000-0000-000009A30000}"/>
    <cellStyle name="Normal 2 4 18 2 6 2" xfId="50212" xr:uid="{00000000-0005-0000-0000-00000AA30000}"/>
    <cellStyle name="Normal 2 4 18 2 7" xfId="50213" xr:uid="{00000000-0005-0000-0000-00000BA30000}"/>
    <cellStyle name="Normal 2 4 18 2 7 2" xfId="50214" xr:uid="{00000000-0005-0000-0000-00000CA30000}"/>
    <cellStyle name="Normal 2 4 18 2 8" xfId="50215" xr:uid="{00000000-0005-0000-0000-00000DA30000}"/>
    <cellStyle name="Normal 2 4 18 2 9" xfId="50216" xr:uid="{00000000-0005-0000-0000-00000EA30000}"/>
    <cellStyle name="Normal 2 4 18 3" xfId="17453" xr:uid="{00000000-0005-0000-0000-00000FA30000}"/>
    <cellStyle name="Normal 2 4 18 3 2" xfId="17454" xr:uid="{00000000-0005-0000-0000-000010A30000}"/>
    <cellStyle name="Normal 2 4 18 3 2 2" xfId="17455" xr:uid="{00000000-0005-0000-0000-000011A30000}"/>
    <cellStyle name="Normal 2 4 18 3 2 2 2" xfId="50217" xr:uid="{00000000-0005-0000-0000-000012A30000}"/>
    <cellStyle name="Normal 2 4 18 3 2 3" xfId="17456" xr:uid="{00000000-0005-0000-0000-000013A30000}"/>
    <cellStyle name="Normal 2 4 18 3 2 3 2" xfId="50218" xr:uid="{00000000-0005-0000-0000-000014A30000}"/>
    <cellStyle name="Normal 2 4 18 3 2 4" xfId="50219" xr:uid="{00000000-0005-0000-0000-000015A30000}"/>
    <cellStyle name="Normal 2 4 18 3 3" xfId="17457" xr:uid="{00000000-0005-0000-0000-000016A30000}"/>
    <cellStyle name="Normal 2 4 18 3 3 2" xfId="50220" xr:uid="{00000000-0005-0000-0000-000017A30000}"/>
    <cellStyle name="Normal 2 4 18 3 4" xfId="17458" xr:uid="{00000000-0005-0000-0000-000018A30000}"/>
    <cellStyle name="Normal 2 4 18 3 4 2" xfId="50221" xr:uid="{00000000-0005-0000-0000-000019A30000}"/>
    <cellStyle name="Normal 2 4 18 3 5" xfId="17459" xr:uid="{00000000-0005-0000-0000-00001AA30000}"/>
    <cellStyle name="Normal 2 4 18 3 5 2" xfId="50222" xr:uid="{00000000-0005-0000-0000-00001BA30000}"/>
    <cellStyle name="Normal 2 4 18 3 6" xfId="50223" xr:uid="{00000000-0005-0000-0000-00001CA30000}"/>
    <cellStyle name="Normal 2 4 18 3 6 2" xfId="50224" xr:uid="{00000000-0005-0000-0000-00001DA30000}"/>
    <cellStyle name="Normal 2 4 18 3 7" xfId="50225" xr:uid="{00000000-0005-0000-0000-00001EA30000}"/>
    <cellStyle name="Normal 2 4 18 4" xfId="17460" xr:uid="{00000000-0005-0000-0000-00001FA30000}"/>
    <cellStyle name="Normal 2 4 18 4 2" xfId="17461" xr:uid="{00000000-0005-0000-0000-000020A30000}"/>
    <cellStyle name="Normal 2 4 18 4 2 2" xfId="50226" xr:uid="{00000000-0005-0000-0000-000021A30000}"/>
    <cellStyle name="Normal 2 4 18 4 3" xfId="17462" xr:uid="{00000000-0005-0000-0000-000022A30000}"/>
    <cellStyle name="Normal 2 4 18 4 3 2" xfId="50227" xr:uid="{00000000-0005-0000-0000-000023A30000}"/>
    <cellStyle name="Normal 2 4 18 4 4" xfId="50228" xr:uid="{00000000-0005-0000-0000-000024A30000}"/>
    <cellStyle name="Normal 2 4 18 5" xfId="17463" xr:uid="{00000000-0005-0000-0000-000025A30000}"/>
    <cellStyle name="Normal 2 4 18 5 2" xfId="17464" xr:uid="{00000000-0005-0000-0000-000026A30000}"/>
    <cellStyle name="Normal 2 4 18 5 2 2" xfId="50229" xr:uid="{00000000-0005-0000-0000-000027A30000}"/>
    <cellStyle name="Normal 2 4 18 5 3" xfId="50230" xr:uid="{00000000-0005-0000-0000-000028A30000}"/>
    <cellStyle name="Normal 2 4 18 6" xfId="17465" xr:uid="{00000000-0005-0000-0000-000029A30000}"/>
    <cellStyle name="Normal 2 4 18 6 2" xfId="50231" xr:uid="{00000000-0005-0000-0000-00002AA30000}"/>
    <cellStyle name="Normal 2 4 18 7" xfId="17466" xr:uid="{00000000-0005-0000-0000-00002BA30000}"/>
    <cellStyle name="Normal 2 4 18 7 2" xfId="50232" xr:uid="{00000000-0005-0000-0000-00002CA30000}"/>
    <cellStyle name="Normal 2 4 18 8" xfId="50233" xr:uid="{00000000-0005-0000-0000-00002DA30000}"/>
    <cellStyle name="Normal 2 4 18 8 2" xfId="50234" xr:uid="{00000000-0005-0000-0000-00002EA30000}"/>
    <cellStyle name="Normal 2 4 18 9" xfId="50235" xr:uid="{00000000-0005-0000-0000-00002FA30000}"/>
    <cellStyle name="Normal 2 4 19" xfId="17467" xr:uid="{00000000-0005-0000-0000-000030A30000}"/>
    <cellStyle name="Normal 2 4 19 10" xfId="50236" xr:uid="{00000000-0005-0000-0000-000031A30000}"/>
    <cellStyle name="Normal 2 4 19 11" xfId="50237" xr:uid="{00000000-0005-0000-0000-000032A30000}"/>
    <cellStyle name="Normal 2 4 19 2" xfId="17468" xr:uid="{00000000-0005-0000-0000-000033A30000}"/>
    <cellStyle name="Normal 2 4 19 2 10" xfId="50238" xr:uid="{00000000-0005-0000-0000-000034A30000}"/>
    <cellStyle name="Normal 2 4 19 2 2" xfId="17469" xr:uid="{00000000-0005-0000-0000-000035A30000}"/>
    <cellStyle name="Normal 2 4 19 2 2 2" xfId="17470" xr:uid="{00000000-0005-0000-0000-000036A30000}"/>
    <cellStyle name="Normal 2 4 19 2 2 2 2" xfId="17471" xr:uid="{00000000-0005-0000-0000-000037A30000}"/>
    <cellStyle name="Normal 2 4 19 2 2 2 2 2" xfId="50239" xr:uid="{00000000-0005-0000-0000-000038A30000}"/>
    <cellStyle name="Normal 2 4 19 2 2 2 3" xfId="17472" xr:uid="{00000000-0005-0000-0000-000039A30000}"/>
    <cellStyle name="Normal 2 4 19 2 2 2 3 2" xfId="50240" xr:uid="{00000000-0005-0000-0000-00003AA30000}"/>
    <cellStyle name="Normal 2 4 19 2 2 2 4" xfId="50241" xr:uid="{00000000-0005-0000-0000-00003BA30000}"/>
    <cellStyle name="Normal 2 4 19 2 2 3" xfId="17473" xr:uid="{00000000-0005-0000-0000-00003CA30000}"/>
    <cellStyle name="Normal 2 4 19 2 2 3 2" xfId="50242" xr:uid="{00000000-0005-0000-0000-00003DA30000}"/>
    <cellStyle name="Normal 2 4 19 2 2 4" xfId="17474" xr:uid="{00000000-0005-0000-0000-00003EA30000}"/>
    <cellStyle name="Normal 2 4 19 2 2 4 2" xfId="50243" xr:uid="{00000000-0005-0000-0000-00003FA30000}"/>
    <cellStyle name="Normal 2 4 19 2 2 5" xfId="17475" xr:uid="{00000000-0005-0000-0000-000040A30000}"/>
    <cellStyle name="Normal 2 4 19 2 2 5 2" xfId="50244" xr:uid="{00000000-0005-0000-0000-000041A30000}"/>
    <cellStyle name="Normal 2 4 19 2 2 6" xfId="50245" xr:uid="{00000000-0005-0000-0000-000042A30000}"/>
    <cellStyle name="Normal 2 4 19 2 2 6 2" xfId="50246" xr:uid="{00000000-0005-0000-0000-000043A30000}"/>
    <cellStyle name="Normal 2 4 19 2 2 7" xfId="50247" xr:uid="{00000000-0005-0000-0000-000044A30000}"/>
    <cellStyle name="Normal 2 4 19 2 3" xfId="17476" xr:uid="{00000000-0005-0000-0000-000045A30000}"/>
    <cellStyle name="Normal 2 4 19 2 3 2" xfId="17477" xr:uid="{00000000-0005-0000-0000-000046A30000}"/>
    <cellStyle name="Normal 2 4 19 2 3 2 2" xfId="50248" xr:uid="{00000000-0005-0000-0000-000047A30000}"/>
    <cellStyle name="Normal 2 4 19 2 3 3" xfId="17478" xr:uid="{00000000-0005-0000-0000-000048A30000}"/>
    <cellStyle name="Normal 2 4 19 2 3 3 2" xfId="50249" xr:uid="{00000000-0005-0000-0000-000049A30000}"/>
    <cellStyle name="Normal 2 4 19 2 3 4" xfId="50250" xr:uid="{00000000-0005-0000-0000-00004AA30000}"/>
    <cellStyle name="Normal 2 4 19 2 4" xfId="17479" xr:uid="{00000000-0005-0000-0000-00004BA30000}"/>
    <cellStyle name="Normal 2 4 19 2 4 2" xfId="17480" xr:uid="{00000000-0005-0000-0000-00004CA30000}"/>
    <cellStyle name="Normal 2 4 19 2 4 2 2" xfId="50251" xr:uid="{00000000-0005-0000-0000-00004DA30000}"/>
    <cellStyle name="Normal 2 4 19 2 4 3" xfId="50252" xr:uid="{00000000-0005-0000-0000-00004EA30000}"/>
    <cellStyle name="Normal 2 4 19 2 5" xfId="17481" xr:uid="{00000000-0005-0000-0000-00004FA30000}"/>
    <cellStyle name="Normal 2 4 19 2 5 2" xfId="50253" xr:uid="{00000000-0005-0000-0000-000050A30000}"/>
    <cellStyle name="Normal 2 4 19 2 6" xfId="17482" xr:uid="{00000000-0005-0000-0000-000051A30000}"/>
    <cellStyle name="Normal 2 4 19 2 6 2" xfId="50254" xr:uid="{00000000-0005-0000-0000-000052A30000}"/>
    <cellStyle name="Normal 2 4 19 2 7" xfId="50255" xr:uid="{00000000-0005-0000-0000-000053A30000}"/>
    <cellStyle name="Normal 2 4 19 2 7 2" xfId="50256" xr:uid="{00000000-0005-0000-0000-000054A30000}"/>
    <cellStyle name="Normal 2 4 19 2 8" xfId="50257" xr:uid="{00000000-0005-0000-0000-000055A30000}"/>
    <cellStyle name="Normal 2 4 19 2 9" xfId="50258" xr:uid="{00000000-0005-0000-0000-000056A30000}"/>
    <cellStyle name="Normal 2 4 19 3" xfId="17483" xr:uid="{00000000-0005-0000-0000-000057A30000}"/>
    <cellStyle name="Normal 2 4 19 3 2" xfId="17484" xr:uid="{00000000-0005-0000-0000-000058A30000}"/>
    <cellStyle name="Normal 2 4 19 3 2 2" xfId="17485" xr:uid="{00000000-0005-0000-0000-000059A30000}"/>
    <cellStyle name="Normal 2 4 19 3 2 2 2" xfId="50259" xr:uid="{00000000-0005-0000-0000-00005AA30000}"/>
    <cellStyle name="Normal 2 4 19 3 2 3" xfId="17486" xr:uid="{00000000-0005-0000-0000-00005BA30000}"/>
    <cellStyle name="Normal 2 4 19 3 2 3 2" xfId="50260" xr:uid="{00000000-0005-0000-0000-00005CA30000}"/>
    <cellStyle name="Normal 2 4 19 3 2 4" xfId="50261" xr:uid="{00000000-0005-0000-0000-00005DA30000}"/>
    <cellStyle name="Normal 2 4 19 3 3" xfId="17487" xr:uid="{00000000-0005-0000-0000-00005EA30000}"/>
    <cellStyle name="Normal 2 4 19 3 3 2" xfId="50262" xr:uid="{00000000-0005-0000-0000-00005FA30000}"/>
    <cellStyle name="Normal 2 4 19 3 4" xfId="17488" xr:uid="{00000000-0005-0000-0000-000060A30000}"/>
    <cellStyle name="Normal 2 4 19 3 4 2" xfId="50263" xr:uid="{00000000-0005-0000-0000-000061A30000}"/>
    <cellStyle name="Normal 2 4 19 3 5" xfId="17489" xr:uid="{00000000-0005-0000-0000-000062A30000}"/>
    <cellStyle name="Normal 2 4 19 3 5 2" xfId="50264" xr:uid="{00000000-0005-0000-0000-000063A30000}"/>
    <cellStyle name="Normal 2 4 19 3 6" xfId="50265" xr:uid="{00000000-0005-0000-0000-000064A30000}"/>
    <cellStyle name="Normal 2 4 19 3 6 2" xfId="50266" xr:uid="{00000000-0005-0000-0000-000065A30000}"/>
    <cellStyle name="Normal 2 4 19 3 7" xfId="50267" xr:uid="{00000000-0005-0000-0000-000066A30000}"/>
    <cellStyle name="Normal 2 4 19 4" xfId="17490" xr:uid="{00000000-0005-0000-0000-000067A30000}"/>
    <cellStyle name="Normal 2 4 19 4 2" xfId="17491" xr:uid="{00000000-0005-0000-0000-000068A30000}"/>
    <cellStyle name="Normal 2 4 19 4 2 2" xfId="50268" xr:uid="{00000000-0005-0000-0000-000069A30000}"/>
    <cellStyle name="Normal 2 4 19 4 3" xfId="17492" xr:uid="{00000000-0005-0000-0000-00006AA30000}"/>
    <cellStyle name="Normal 2 4 19 4 3 2" xfId="50269" xr:uid="{00000000-0005-0000-0000-00006BA30000}"/>
    <cellStyle name="Normal 2 4 19 4 4" xfId="50270" xr:uid="{00000000-0005-0000-0000-00006CA30000}"/>
    <cellStyle name="Normal 2 4 19 5" xfId="17493" xr:uid="{00000000-0005-0000-0000-00006DA30000}"/>
    <cellStyle name="Normal 2 4 19 5 2" xfId="17494" xr:uid="{00000000-0005-0000-0000-00006EA30000}"/>
    <cellStyle name="Normal 2 4 19 5 2 2" xfId="50271" xr:uid="{00000000-0005-0000-0000-00006FA30000}"/>
    <cellStyle name="Normal 2 4 19 5 3" xfId="50272" xr:uid="{00000000-0005-0000-0000-000070A30000}"/>
    <cellStyle name="Normal 2 4 19 6" xfId="17495" xr:uid="{00000000-0005-0000-0000-000071A30000}"/>
    <cellStyle name="Normal 2 4 19 6 2" xfId="50273" xr:uid="{00000000-0005-0000-0000-000072A30000}"/>
    <cellStyle name="Normal 2 4 19 7" xfId="17496" xr:uid="{00000000-0005-0000-0000-000073A30000}"/>
    <cellStyle name="Normal 2 4 19 7 2" xfId="50274" xr:uid="{00000000-0005-0000-0000-000074A30000}"/>
    <cellStyle name="Normal 2 4 19 8" xfId="50275" xr:uid="{00000000-0005-0000-0000-000075A30000}"/>
    <cellStyle name="Normal 2 4 19 8 2" xfId="50276" xr:uid="{00000000-0005-0000-0000-000076A30000}"/>
    <cellStyle name="Normal 2 4 19 9" xfId="50277" xr:uid="{00000000-0005-0000-0000-000077A30000}"/>
    <cellStyle name="Normal 2 4 2" xfId="17497" xr:uid="{00000000-0005-0000-0000-000078A30000}"/>
    <cellStyle name="Normal 2 4 2 10" xfId="17498" xr:uid="{00000000-0005-0000-0000-000079A30000}"/>
    <cellStyle name="Normal 2 4 2 10 10" xfId="50278" xr:uid="{00000000-0005-0000-0000-00007AA30000}"/>
    <cellStyle name="Normal 2 4 2 10 11" xfId="50279" xr:uid="{00000000-0005-0000-0000-00007BA30000}"/>
    <cellStyle name="Normal 2 4 2 10 2" xfId="17499" xr:uid="{00000000-0005-0000-0000-00007CA30000}"/>
    <cellStyle name="Normal 2 4 2 10 2 10" xfId="50280" xr:uid="{00000000-0005-0000-0000-00007DA30000}"/>
    <cellStyle name="Normal 2 4 2 10 2 2" xfId="17500" xr:uid="{00000000-0005-0000-0000-00007EA30000}"/>
    <cellStyle name="Normal 2 4 2 10 2 2 2" xfId="17501" xr:uid="{00000000-0005-0000-0000-00007FA30000}"/>
    <cellStyle name="Normal 2 4 2 10 2 2 2 2" xfId="17502" xr:uid="{00000000-0005-0000-0000-000080A30000}"/>
    <cellStyle name="Normal 2 4 2 10 2 2 2 2 2" xfId="50281" xr:uid="{00000000-0005-0000-0000-000081A30000}"/>
    <cellStyle name="Normal 2 4 2 10 2 2 2 3" xfId="17503" xr:uid="{00000000-0005-0000-0000-000082A30000}"/>
    <cellStyle name="Normal 2 4 2 10 2 2 2 3 2" xfId="50282" xr:uid="{00000000-0005-0000-0000-000083A30000}"/>
    <cellStyle name="Normal 2 4 2 10 2 2 2 4" xfId="50283" xr:uid="{00000000-0005-0000-0000-000084A30000}"/>
    <cellStyle name="Normal 2 4 2 10 2 2 3" xfId="17504" xr:uid="{00000000-0005-0000-0000-000085A30000}"/>
    <cellStyle name="Normal 2 4 2 10 2 2 3 2" xfId="50284" xr:uid="{00000000-0005-0000-0000-000086A30000}"/>
    <cellStyle name="Normal 2 4 2 10 2 2 4" xfId="17505" xr:uid="{00000000-0005-0000-0000-000087A30000}"/>
    <cellStyle name="Normal 2 4 2 10 2 2 4 2" xfId="50285" xr:uid="{00000000-0005-0000-0000-000088A30000}"/>
    <cellStyle name="Normal 2 4 2 10 2 2 5" xfId="17506" xr:uid="{00000000-0005-0000-0000-000089A30000}"/>
    <cellStyle name="Normal 2 4 2 10 2 2 5 2" xfId="50286" xr:uid="{00000000-0005-0000-0000-00008AA30000}"/>
    <cellStyle name="Normal 2 4 2 10 2 2 6" xfId="50287" xr:uid="{00000000-0005-0000-0000-00008BA30000}"/>
    <cellStyle name="Normal 2 4 2 10 2 2 6 2" xfId="50288" xr:uid="{00000000-0005-0000-0000-00008CA30000}"/>
    <cellStyle name="Normal 2 4 2 10 2 2 7" xfId="50289" xr:uid="{00000000-0005-0000-0000-00008DA30000}"/>
    <cellStyle name="Normal 2 4 2 10 2 3" xfId="17507" xr:uid="{00000000-0005-0000-0000-00008EA30000}"/>
    <cellStyle name="Normal 2 4 2 10 2 3 2" xfId="17508" xr:uid="{00000000-0005-0000-0000-00008FA30000}"/>
    <cellStyle name="Normal 2 4 2 10 2 3 2 2" xfId="50290" xr:uid="{00000000-0005-0000-0000-000090A30000}"/>
    <cellStyle name="Normal 2 4 2 10 2 3 3" xfId="17509" xr:uid="{00000000-0005-0000-0000-000091A30000}"/>
    <cellStyle name="Normal 2 4 2 10 2 3 3 2" xfId="50291" xr:uid="{00000000-0005-0000-0000-000092A30000}"/>
    <cellStyle name="Normal 2 4 2 10 2 3 4" xfId="50292" xr:uid="{00000000-0005-0000-0000-000093A30000}"/>
    <cellStyle name="Normal 2 4 2 10 2 4" xfId="17510" xr:uid="{00000000-0005-0000-0000-000094A30000}"/>
    <cellStyle name="Normal 2 4 2 10 2 4 2" xfId="17511" xr:uid="{00000000-0005-0000-0000-000095A30000}"/>
    <cellStyle name="Normal 2 4 2 10 2 4 2 2" xfId="50293" xr:uid="{00000000-0005-0000-0000-000096A30000}"/>
    <cellStyle name="Normal 2 4 2 10 2 4 3" xfId="50294" xr:uid="{00000000-0005-0000-0000-000097A30000}"/>
    <cellStyle name="Normal 2 4 2 10 2 5" xfId="17512" xr:uid="{00000000-0005-0000-0000-000098A30000}"/>
    <cellStyle name="Normal 2 4 2 10 2 5 2" xfId="50295" xr:uid="{00000000-0005-0000-0000-000099A30000}"/>
    <cellStyle name="Normal 2 4 2 10 2 6" xfId="17513" xr:uid="{00000000-0005-0000-0000-00009AA30000}"/>
    <cellStyle name="Normal 2 4 2 10 2 6 2" xfId="50296" xr:uid="{00000000-0005-0000-0000-00009BA30000}"/>
    <cellStyle name="Normal 2 4 2 10 2 7" xfId="50297" xr:uid="{00000000-0005-0000-0000-00009CA30000}"/>
    <cellStyle name="Normal 2 4 2 10 2 7 2" xfId="50298" xr:uid="{00000000-0005-0000-0000-00009DA30000}"/>
    <cellStyle name="Normal 2 4 2 10 2 8" xfId="50299" xr:uid="{00000000-0005-0000-0000-00009EA30000}"/>
    <cellStyle name="Normal 2 4 2 10 2 9" xfId="50300" xr:uid="{00000000-0005-0000-0000-00009FA30000}"/>
    <cellStyle name="Normal 2 4 2 10 3" xfId="17514" xr:uid="{00000000-0005-0000-0000-0000A0A30000}"/>
    <cellStyle name="Normal 2 4 2 10 3 2" xfId="17515" xr:uid="{00000000-0005-0000-0000-0000A1A30000}"/>
    <cellStyle name="Normal 2 4 2 10 3 2 2" xfId="17516" xr:uid="{00000000-0005-0000-0000-0000A2A30000}"/>
    <cellStyle name="Normal 2 4 2 10 3 2 2 2" xfId="50301" xr:uid="{00000000-0005-0000-0000-0000A3A30000}"/>
    <cellStyle name="Normal 2 4 2 10 3 2 3" xfId="17517" xr:uid="{00000000-0005-0000-0000-0000A4A30000}"/>
    <cellStyle name="Normal 2 4 2 10 3 2 3 2" xfId="50302" xr:uid="{00000000-0005-0000-0000-0000A5A30000}"/>
    <cellStyle name="Normal 2 4 2 10 3 2 4" xfId="50303" xr:uid="{00000000-0005-0000-0000-0000A6A30000}"/>
    <cellStyle name="Normal 2 4 2 10 3 3" xfId="17518" xr:uid="{00000000-0005-0000-0000-0000A7A30000}"/>
    <cellStyle name="Normal 2 4 2 10 3 3 2" xfId="50304" xr:uid="{00000000-0005-0000-0000-0000A8A30000}"/>
    <cellStyle name="Normal 2 4 2 10 3 4" xfId="17519" xr:uid="{00000000-0005-0000-0000-0000A9A30000}"/>
    <cellStyle name="Normal 2 4 2 10 3 4 2" xfId="50305" xr:uid="{00000000-0005-0000-0000-0000AAA30000}"/>
    <cellStyle name="Normal 2 4 2 10 3 5" xfId="17520" xr:uid="{00000000-0005-0000-0000-0000ABA30000}"/>
    <cellStyle name="Normal 2 4 2 10 3 5 2" xfId="50306" xr:uid="{00000000-0005-0000-0000-0000ACA30000}"/>
    <cellStyle name="Normal 2 4 2 10 3 6" xfId="50307" xr:uid="{00000000-0005-0000-0000-0000ADA30000}"/>
    <cellStyle name="Normal 2 4 2 10 3 6 2" xfId="50308" xr:uid="{00000000-0005-0000-0000-0000AEA30000}"/>
    <cellStyle name="Normal 2 4 2 10 3 7" xfId="50309" xr:uid="{00000000-0005-0000-0000-0000AFA30000}"/>
    <cellStyle name="Normal 2 4 2 10 4" xfId="17521" xr:uid="{00000000-0005-0000-0000-0000B0A30000}"/>
    <cellStyle name="Normal 2 4 2 10 4 2" xfId="17522" xr:uid="{00000000-0005-0000-0000-0000B1A30000}"/>
    <cellStyle name="Normal 2 4 2 10 4 2 2" xfId="50310" xr:uid="{00000000-0005-0000-0000-0000B2A30000}"/>
    <cellStyle name="Normal 2 4 2 10 4 3" xfId="17523" xr:uid="{00000000-0005-0000-0000-0000B3A30000}"/>
    <cellStyle name="Normal 2 4 2 10 4 3 2" xfId="50311" xr:uid="{00000000-0005-0000-0000-0000B4A30000}"/>
    <cellStyle name="Normal 2 4 2 10 4 4" xfId="50312" xr:uid="{00000000-0005-0000-0000-0000B5A30000}"/>
    <cellStyle name="Normal 2 4 2 10 5" xfId="17524" xr:uid="{00000000-0005-0000-0000-0000B6A30000}"/>
    <cellStyle name="Normal 2 4 2 10 5 2" xfId="17525" xr:uid="{00000000-0005-0000-0000-0000B7A30000}"/>
    <cellStyle name="Normal 2 4 2 10 5 2 2" xfId="50313" xr:uid="{00000000-0005-0000-0000-0000B8A30000}"/>
    <cellStyle name="Normal 2 4 2 10 5 3" xfId="50314" xr:uid="{00000000-0005-0000-0000-0000B9A30000}"/>
    <cellStyle name="Normal 2 4 2 10 6" xfId="17526" xr:uid="{00000000-0005-0000-0000-0000BAA30000}"/>
    <cellStyle name="Normal 2 4 2 10 6 2" xfId="50315" xr:uid="{00000000-0005-0000-0000-0000BBA30000}"/>
    <cellStyle name="Normal 2 4 2 10 7" xfId="17527" xr:uid="{00000000-0005-0000-0000-0000BCA30000}"/>
    <cellStyle name="Normal 2 4 2 10 7 2" xfId="50316" xr:uid="{00000000-0005-0000-0000-0000BDA30000}"/>
    <cellStyle name="Normal 2 4 2 10 8" xfId="50317" xr:uid="{00000000-0005-0000-0000-0000BEA30000}"/>
    <cellStyle name="Normal 2 4 2 10 8 2" xfId="50318" xr:uid="{00000000-0005-0000-0000-0000BFA30000}"/>
    <cellStyle name="Normal 2 4 2 10 9" xfId="50319" xr:uid="{00000000-0005-0000-0000-0000C0A30000}"/>
    <cellStyle name="Normal 2 4 2 11" xfId="17528" xr:uid="{00000000-0005-0000-0000-0000C1A30000}"/>
    <cellStyle name="Normal 2 4 2 11 10" xfId="50320" xr:uid="{00000000-0005-0000-0000-0000C2A30000}"/>
    <cellStyle name="Normal 2 4 2 11 11" xfId="50321" xr:uid="{00000000-0005-0000-0000-0000C3A30000}"/>
    <cellStyle name="Normal 2 4 2 11 2" xfId="17529" xr:uid="{00000000-0005-0000-0000-0000C4A30000}"/>
    <cellStyle name="Normal 2 4 2 11 2 10" xfId="50322" xr:uid="{00000000-0005-0000-0000-0000C5A30000}"/>
    <cellStyle name="Normal 2 4 2 11 2 2" xfId="17530" xr:uid="{00000000-0005-0000-0000-0000C6A30000}"/>
    <cellStyle name="Normal 2 4 2 11 2 2 2" xfId="17531" xr:uid="{00000000-0005-0000-0000-0000C7A30000}"/>
    <cellStyle name="Normal 2 4 2 11 2 2 2 2" xfId="17532" xr:uid="{00000000-0005-0000-0000-0000C8A30000}"/>
    <cellStyle name="Normal 2 4 2 11 2 2 2 2 2" xfId="50323" xr:uid="{00000000-0005-0000-0000-0000C9A30000}"/>
    <cellStyle name="Normal 2 4 2 11 2 2 2 3" xfId="17533" xr:uid="{00000000-0005-0000-0000-0000CAA30000}"/>
    <cellStyle name="Normal 2 4 2 11 2 2 2 3 2" xfId="50324" xr:uid="{00000000-0005-0000-0000-0000CBA30000}"/>
    <cellStyle name="Normal 2 4 2 11 2 2 2 4" xfId="50325" xr:uid="{00000000-0005-0000-0000-0000CCA30000}"/>
    <cellStyle name="Normal 2 4 2 11 2 2 3" xfId="17534" xr:uid="{00000000-0005-0000-0000-0000CDA30000}"/>
    <cellStyle name="Normal 2 4 2 11 2 2 3 2" xfId="50326" xr:uid="{00000000-0005-0000-0000-0000CEA30000}"/>
    <cellStyle name="Normal 2 4 2 11 2 2 4" xfId="17535" xr:uid="{00000000-0005-0000-0000-0000CFA30000}"/>
    <cellStyle name="Normal 2 4 2 11 2 2 4 2" xfId="50327" xr:uid="{00000000-0005-0000-0000-0000D0A30000}"/>
    <cellStyle name="Normal 2 4 2 11 2 2 5" xfId="17536" xr:uid="{00000000-0005-0000-0000-0000D1A30000}"/>
    <cellStyle name="Normal 2 4 2 11 2 2 5 2" xfId="50328" xr:uid="{00000000-0005-0000-0000-0000D2A30000}"/>
    <cellStyle name="Normal 2 4 2 11 2 2 6" xfId="50329" xr:uid="{00000000-0005-0000-0000-0000D3A30000}"/>
    <cellStyle name="Normal 2 4 2 11 2 2 6 2" xfId="50330" xr:uid="{00000000-0005-0000-0000-0000D4A30000}"/>
    <cellStyle name="Normal 2 4 2 11 2 2 7" xfId="50331" xr:uid="{00000000-0005-0000-0000-0000D5A30000}"/>
    <cellStyle name="Normal 2 4 2 11 2 3" xfId="17537" xr:uid="{00000000-0005-0000-0000-0000D6A30000}"/>
    <cellStyle name="Normal 2 4 2 11 2 3 2" xfId="17538" xr:uid="{00000000-0005-0000-0000-0000D7A30000}"/>
    <cellStyle name="Normal 2 4 2 11 2 3 2 2" xfId="50332" xr:uid="{00000000-0005-0000-0000-0000D8A30000}"/>
    <cellStyle name="Normal 2 4 2 11 2 3 3" xfId="17539" xr:uid="{00000000-0005-0000-0000-0000D9A30000}"/>
    <cellStyle name="Normal 2 4 2 11 2 3 3 2" xfId="50333" xr:uid="{00000000-0005-0000-0000-0000DAA30000}"/>
    <cellStyle name="Normal 2 4 2 11 2 3 4" xfId="50334" xr:uid="{00000000-0005-0000-0000-0000DBA30000}"/>
    <cellStyle name="Normal 2 4 2 11 2 4" xfId="17540" xr:uid="{00000000-0005-0000-0000-0000DCA30000}"/>
    <cellStyle name="Normal 2 4 2 11 2 4 2" xfId="17541" xr:uid="{00000000-0005-0000-0000-0000DDA30000}"/>
    <cellStyle name="Normal 2 4 2 11 2 4 2 2" xfId="50335" xr:uid="{00000000-0005-0000-0000-0000DEA30000}"/>
    <cellStyle name="Normal 2 4 2 11 2 4 3" xfId="50336" xr:uid="{00000000-0005-0000-0000-0000DFA30000}"/>
    <cellStyle name="Normal 2 4 2 11 2 5" xfId="17542" xr:uid="{00000000-0005-0000-0000-0000E0A30000}"/>
    <cellStyle name="Normal 2 4 2 11 2 5 2" xfId="50337" xr:uid="{00000000-0005-0000-0000-0000E1A30000}"/>
    <cellStyle name="Normal 2 4 2 11 2 6" xfId="17543" xr:uid="{00000000-0005-0000-0000-0000E2A30000}"/>
    <cellStyle name="Normal 2 4 2 11 2 6 2" xfId="50338" xr:uid="{00000000-0005-0000-0000-0000E3A30000}"/>
    <cellStyle name="Normal 2 4 2 11 2 7" xfId="50339" xr:uid="{00000000-0005-0000-0000-0000E4A30000}"/>
    <cellStyle name="Normal 2 4 2 11 2 7 2" xfId="50340" xr:uid="{00000000-0005-0000-0000-0000E5A30000}"/>
    <cellStyle name="Normal 2 4 2 11 2 8" xfId="50341" xr:uid="{00000000-0005-0000-0000-0000E6A30000}"/>
    <cellStyle name="Normal 2 4 2 11 2 9" xfId="50342" xr:uid="{00000000-0005-0000-0000-0000E7A30000}"/>
    <cellStyle name="Normal 2 4 2 11 3" xfId="17544" xr:uid="{00000000-0005-0000-0000-0000E8A30000}"/>
    <cellStyle name="Normal 2 4 2 11 3 2" xfId="17545" xr:uid="{00000000-0005-0000-0000-0000E9A30000}"/>
    <cellStyle name="Normal 2 4 2 11 3 2 2" xfId="17546" xr:uid="{00000000-0005-0000-0000-0000EAA30000}"/>
    <cellStyle name="Normal 2 4 2 11 3 2 2 2" xfId="50343" xr:uid="{00000000-0005-0000-0000-0000EBA30000}"/>
    <cellStyle name="Normal 2 4 2 11 3 2 3" xfId="17547" xr:uid="{00000000-0005-0000-0000-0000ECA30000}"/>
    <cellStyle name="Normal 2 4 2 11 3 2 3 2" xfId="50344" xr:uid="{00000000-0005-0000-0000-0000EDA30000}"/>
    <cellStyle name="Normal 2 4 2 11 3 2 4" xfId="50345" xr:uid="{00000000-0005-0000-0000-0000EEA30000}"/>
    <cellStyle name="Normal 2 4 2 11 3 3" xfId="17548" xr:uid="{00000000-0005-0000-0000-0000EFA30000}"/>
    <cellStyle name="Normal 2 4 2 11 3 3 2" xfId="50346" xr:uid="{00000000-0005-0000-0000-0000F0A30000}"/>
    <cellStyle name="Normal 2 4 2 11 3 4" xfId="17549" xr:uid="{00000000-0005-0000-0000-0000F1A30000}"/>
    <cellStyle name="Normal 2 4 2 11 3 4 2" xfId="50347" xr:uid="{00000000-0005-0000-0000-0000F2A30000}"/>
    <cellStyle name="Normal 2 4 2 11 3 5" xfId="17550" xr:uid="{00000000-0005-0000-0000-0000F3A30000}"/>
    <cellStyle name="Normal 2 4 2 11 3 5 2" xfId="50348" xr:uid="{00000000-0005-0000-0000-0000F4A30000}"/>
    <cellStyle name="Normal 2 4 2 11 3 6" xfId="50349" xr:uid="{00000000-0005-0000-0000-0000F5A30000}"/>
    <cellStyle name="Normal 2 4 2 11 3 6 2" xfId="50350" xr:uid="{00000000-0005-0000-0000-0000F6A30000}"/>
    <cellStyle name="Normal 2 4 2 11 3 7" xfId="50351" xr:uid="{00000000-0005-0000-0000-0000F7A30000}"/>
    <cellStyle name="Normal 2 4 2 11 4" xfId="17551" xr:uid="{00000000-0005-0000-0000-0000F8A30000}"/>
    <cellStyle name="Normal 2 4 2 11 4 2" xfId="17552" xr:uid="{00000000-0005-0000-0000-0000F9A30000}"/>
    <cellStyle name="Normal 2 4 2 11 4 2 2" xfId="50352" xr:uid="{00000000-0005-0000-0000-0000FAA30000}"/>
    <cellStyle name="Normal 2 4 2 11 4 3" xfId="17553" xr:uid="{00000000-0005-0000-0000-0000FBA30000}"/>
    <cellStyle name="Normal 2 4 2 11 4 3 2" xfId="50353" xr:uid="{00000000-0005-0000-0000-0000FCA30000}"/>
    <cellStyle name="Normal 2 4 2 11 4 4" xfId="50354" xr:uid="{00000000-0005-0000-0000-0000FDA30000}"/>
    <cellStyle name="Normal 2 4 2 11 5" xfId="17554" xr:uid="{00000000-0005-0000-0000-0000FEA30000}"/>
    <cellStyle name="Normal 2 4 2 11 5 2" xfId="17555" xr:uid="{00000000-0005-0000-0000-0000FFA30000}"/>
    <cellStyle name="Normal 2 4 2 11 5 2 2" xfId="50355" xr:uid="{00000000-0005-0000-0000-000000A40000}"/>
    <cellStyle name="Normal 2 4 2 11 5 3" xfId="50356" xr:uid="{00000000-0005-0000-0000-000001A40000}"/>
    <cellStyle name="Normal 2 4 2 11 6" xfId="17556" xr:uid="{00000000-0005-0000-0000-000002A40000}"/>
    <cellStyle name="Normal 2 4 2 11 6 2" xfId="50357" xr:uid="{00000000-0005-0000-0000-000003A40000}"/>
    <cellStyle name="Normal 2 4 2 11 7" xfId="17557" xr:uid="{00000000-0005-0000-0000-000004A40000}"/>
    <cellStyle name="Normal 2 4 2 11 7 2" xfId="50358" xr:uid="{00000000-0005-0000-0000-000005A40000}"/>
    <cellStyle name="Normal 2 4 2 11 8" xfId="50359" xr:uid="{00000000-0005-0000-0000-000006A40000}"/>
    <cellStyle name="Normal 2 4 2 11 8 2" xfId="50360" xr:uid="{00000000-0005-0000-0000-000007A40000}"/>
    <cellStyle name="Normal 2 4 2 11 9" xfId="50361" xr:uid="{00000000-0005-0000-0000-000008A40000}"/>
    <cellStyle name="Normal 2 4 2 12" xfId="17558" xr:uid="{00000000-0005-0000-0000-000009A40000}"/>
    <cellStyle name="Normal 2 4 2 12 10" xfId="50362" xr:uid="{00000000-0005-0000-0000-00000AA40000}"/>
    <cellStyle name="Normal 2 4 2 12 11" xfId="50363" xr:uid="{00000000-0005-0000-0000-00000BA40000}"/>
    <cellStyle name="Normal 2 4 2 12 2" xfId="17559" xr:uid="{00000000-0005-0000-0000-00000CA40000}"/>
    <cellStyle name="Normal 2 4 2 12 2 10" xfId="50364" xr:uid="{00000000-0005-0000-0000-00000DA40000}"/>
    <cellStyle name="Normal 2 4 2 12 2 2" xfId="17560" xr:uid="{00000000-0005-0000-0000-00000EA40000}"/>
    <cellStyle name="Normal 2 4 2 12 2 2 2" xfId="17561" xr:uid="{00000000-0005-0000-0000-00000FA40000}"/>
    <cellStyle name="Normal 2 4 2 12 2 2 2 2" xfId="17562" xr:uid="{00000000-0005-0000-0000-000010A40000}"/>
    <cellStyle name="Normal 2 4 2 12 2 2 2 2 2" xfId="50365" xr:uid="{00000000-0005-0000-0000-000011A40000}"/>
    <cellStyle name="Normal 2 4 2 12 2 2 2 3" xfId="17563" xr:uid="{00000000-0005-0000-0000-000012A40000}"/>
    <cellStyle name="Normal 2 4 2 12 2 2 2 3 2" xfId="50366" xr:uid="{00000000-0005-0000-0000-000013A40000}"/>
    <cellStyle name="Normal 2 4 2 12 2 2 2 4" xfId="50367" xr:uid="{00000000-0005-0000-0000-000014A40000}"/>
    <cellStyle name="Normal 2 4 2 12 2 2 3" xfId="17564" xr:uid="{00000000-0005-0000-0000-000015A40000}"/>
    <cellStyle name="Normal 2 4 2 12 2 2 3 2" xfId="50368" xr:uid="{00000000-0005-0000-0000-000016A40000}"/>
    <cellStyle name="Normal 2 4 2 12 2 2 4" xfId="17565" xr:uid="{00000000-0005-0000-0000-000017A40000}"/>
    <cellStyle name="Normal 2 4 2 12 2 2 4 2" xfId="50369" xr:uid="{00000000-0005-0000-0000-000018A40000}"/>
    <cellStyle name="Normal 2 4 2 12 2 2 5" xfId="17566" xr:uid="{00000000-0005-0000-0000-000019A40000}"/>
    <cellStyle name="Normal 2 4 2 12 2 2 5 2" xfId="50370" xr:uid="{00000000-0005-0000-0000-00001AA40000}"/>
    <cellStyle name="Normal 2 4 2 12 2 2 6" xfId="50371" xr:uid="{00000000-0005-0000-0000-00001BA40000}"/>
    <cellStyle name="Normal 2 4 2 12 2 2 6 2" xfId="50372" xr:uid="{00000000-0005-0000-0000-00001CA40000}"/>
    <cellStyle name="Normal 2 4 2 12 2 2 7" xfId="50373" xr:uid="{00000000-0005-0000-0000-00001DA40000}"/>
    <cellStyle name="Normal 2 4 2 12 2 3" xfId="17567" xr:uid="{00000000-0005-0000-0000-00001EA40000}"/>
    <cellStyle name="Normal 2 4 2 12 2 3 2" xfId="17568" xr:uid="{00000000-0005-0000-0000-00001FA40000}"/>
    <cellStyle name="Normal 2 4 2 12 2 3 2 2" xfId="50374" xr:uid="{00000000-0005-0000-0000-000020A40000}"/>
    <cellStyle name="Normal 2 4 2 12 2 3 3" xfId="17569" xr:uid="{00000000-0005-0000-0000-000021A40000}"/>
    <cellStyle name="Normal 2 4 2 12 2 3 3 2" xfId="50375" xr:uid="{00000000-0005-0000-0000-000022A40000}"/>
    <cellStyle name="Normal 2 4 2 12 2 3 4" xfId="50376" xr:uid="{00000000-0005-0000-0000-000023A40000}"/>
    <cellStyle name="Normal 2 4 2 12 2 4" xfId="17570" xr:uid="{00000000-0005-0000-0000-000024A40000}"/>
    <cellStyle name="Normal 2 4 2 12 2 4 2" xfId="17571" xr:uid="{00000000-0005-0000-0000-000025A40000}"/>
    <cellStyle name="Normal 2 4 2 12 2 4 2 2" xfId="50377" xr:uid="{00000000-0005-0000-0000-000026A40000}"/>
    <cellStyle name="Normal 2 4 2 12 2 4 3" xfId="50378" xr:uid="{00000000-0005-0000-0000-000027A40000}"/>
    <cellStyle name="Normal 2 4 2 12 2 5" xfId="17572" xr:uid="{00000000-0005-0000-0000-000028A40000}"/>
    <cellStyle name="Normal 2 4 2 12 2 5 2" xfId="50379" xr:uid="{00000000-0005-0000-0000-000029A40000}"/>
    <cellStyle name="Normal 2 4 2 12 2 6" xfId="17573" xr:uid="{00000000-0005-0000-0000-00002AA40000}"/>
    <cellStyle name="Normal 2 4 2 12 2 6 2" xfId="50380" xr:uid="{00000000-0005-0000-0000-00002BA40000}"/>
    <cellStyle name="Normal 2 4 2 12 2 7" xfId="50381" xr:uid="{00000000-0005-0000-0000-00002CA40000}"/>
    <cellStyle name="Normal 2 4 2 12 2 7 2" xfId="50382" xr:uid="{00000000-0005-0000-0000-00002DA40000}"/>
    <cellStyle name="Normal 2 4 2 12 2 8" xfId="50383" xr:uid="{00000000-0005-0000-0000-00002EA40000}"/>
    <cellStyle name="Normal 2 4 2 12 2 9" xfId="50384" xr:uid="{00000000-0005-0000-0000-00002FA40000}"/>
    <cellStyle name="Normal 2 4 2 12 3" xfId="17574" xr:uid="{00000000-0005-0000-0000-000030A40000}"/>
    <cellStyle name="Normal 2 4 2 12 3 2" xfId="17575" xr:uid="{00000000-0005-0000-0000-000031A40000}"/>
    <cellStyle name="Normal 2 4 2 12 3 2 2" xfId="17576" xr:uid="{00000000-0005-0000-0000-000032A40000}"/>
    <cellStyle name="Normal 2 4 2 12 3 2 2 2" xfId="50385" xr:uid="{00000000-0005-0000-0000-000033A40000}"/>
    <cellStyle name="Normal 2 4 2 12 3 2 3" xfId="17577" xr:uid="{00000000-0005-0000-0000-000034A40000}"/>
    <cellStyle name="Normal 2 4 2 12 3 2 3 2" xfId="50386" xr:uid="{00000000-0005-0000-0000-000035A40000}"/>
    <cellStyle name="Normal 2 4 2 12 3 2 4" xfId="50387" xr:uid="{00000000-0005-0000-0000-000036A40000}"/>
    <cellStyle name="Normal 2 4 2 12 3 3" xfId="17578" xr:uid="{00000000-0005-0000-0000-000037A40000}"/>
    <cellStyle name="Normal 2 4 2 12 3 3 2" xfId="50388" xr:uid="{00000000-0005-0000-0000-000038A40000}"/>
    <cellStyle name="Normal 2 4 2 12 3 4" xfId="17579" xr:uid="{00000000-0005-0000-0000-000039A40000}"/>
    <cellStyle name="Normal 2 4 2 12 3 4 2" xfId="50389" xr:uid="{00000000-0005-0000-0000-00003AA40000}"/>
    <cellStyle name="Normal 2 4 2 12 3 5" xfId="17580" xr:uid="{00000000-0005-0000-0000-00003BA40000}"/>
    <cellStyle name="Normal 2 4 2 12 3 5 2" xfId="50390" xr:uid="{00000000-0005-0000-0000-00003CA40000}"/>
    <cellStyle name="Normal 2 4 2 12 3 6" xfId="50391" xr:uid="{00000000-0005-0000-0000-00003DA40000}"/>
    <cellStyle name="Normal 2 4 2 12 3 6 2" xfId="50392" xr:uid="{00000000-0005-0000-0000-00003EA40000}"/>
    <cellStyle name="Normal 2 4 2 12 3 7" xfId="50393" xr:uid="{00000000-0005-0000-0000-00003FA40000}"/>
    <cellStyle name="Normal 2 4 2 12 4" xfId="17581" xr:uid="{00000000-0005-0000-0000-000040A40000}"/>
    <cellStyle name="Normal 2 4 2 12 4 2" xfId="17582" xr:uid="{00000000-0005-0000-0000-000041A40000}"/>
    <cellStyle name="Normal 2 4 2 12 4 2 2" xfId="50394" xr:uid="{00000000-0005-0000-0000-000042A40000}"/>
    <cellStyle name="Normal 2 4 2 12 4 3" xfId="17583" xr:uid="{00000000-0005-0000-0000-000043A40000}"/>
    <cellStyle name="Normal 2 4 2 12 4 3 2" xfId="50395" xr:uid="{00000000-0005-0000-0000-000044A40000}"/>
    <cellStyle name="Normal 2 4 2 12 4 4" xfId="50396" xr:uid="{00000000-0005-0000-0000-000045A40000}"/>
    <cellStyle name="Normal 2 4 2 12 5" xfId="17584" xr:uid="{00000000-0005-0000-0000-000046A40000}"/>
    <cellStyle name="Normal 2 4 2 12 5 2" xfId="17585" xr:uid="{00000000-0005-0000-0000-000047A40000}"/>
    <cellStyle name="Normal 2 4 2 12 5 2 2" xfId="50397" xr:uid="{00000000-0005-0000-0000-000048A40000}"/>
    <cellStyle name="Normal 2 4 2 12 5 3" xfId="50398" xr:uid="{00000000-0005-0000-0000-000049A40000}"/>
    <cellStyle name="Normal 2 4 2 12 6" xfId="17586" xr:uid="{00000000-0005-0000-0000-00004AA40000}"/>
    <cellStyle name="Normal 2 4 2 12 6 2" xfId="50399" xr:uid="{00000000-0005-0000-0000-00004BA40000}"/>
    <cellStyle name="Normal 2 4 2 12 7" xfId="17587" xr:uid="{00000000-0005-0000-0000-00004CA40000}"/>
    <cellStyle name="Normal 2 4 2 12 7 2" xfId="50400" xr:uid="{00000000-0005-0000-0000-00004DA40000}"/>
    <cellStyle name="Normal 2 4 2 12 8" xfId="50401" xr:uid="{00000000-0005-0000-0000-00004EA40000}"/>
    <cellStyle name="Normal 2 4 2 12 8 2" xfId="50402" xr:uid="{00000000-0005-0000-0000-00004FA40000}"/>
    <cellStyle name="Normal 2 4 2 12 9" xfId="50403" xr:uid="{00000000-0005-0000-0000-000050A40000}"/>
    <cellStyle name="Normal 2 4 2 13" xfId="17588" xr:uid="{00000000-0005-0000-0000-000051A40000}"/>
    <cellStyle name="Normal 2 4 2 13 10" xfId="50404" xr:uid="{00000000-0005-0000-0000-000052A40000}"/>
    <cellStyle name="Normal 2 4 2 13 11" xfId="50405" xr:uid="{00000000-0005-0000-0000-000053A40000}"/>
    <cellStyle name="Normal 2 4 2 13 2" xfId="17589" xr:uid="{00000000-0005-0000-0000-000054A40000}"/>
    <cellStyle name="Normal 2 4 2 13 2 10" xfId="50406" xr:uid="{00000000-0005-0000-0000-000055A40000}"/>
    <cellStyle name="Normal 2 4 2 13 2 2" xfId="17590" xr:uid="{00000000-0005-0000-0000-000056A40000}"/>
    <cellStyle name="Normal 2 4 2 13 2 2 2" xfId="17591" xr:uid="{00000000-0005-0000-0000-000057A40000}"/>
    <cellStyle name="Normal 2 4 2 13 2 2 2 2" xfId="17592" xr:uid="{00000000-0005-0000-0000-000058A40000}"/>
    <cellStyle name="Normal 2 4 2 13 2 2 2 2 2" xfId="50407" xr:uid="{00000000-0005-0000-0000-000059A40000}"/>
    <cellStyle name="Normal 2 4 2 13 2 2 2 3" xfId="17593" xr:uid="{00000000-0005-0000-0000-00005AA40000}"/>
    <cellStyle name="Normal 2 4 2 13 2 2 2 3 2" xfId="50408" xr:uid="{00000000-0005-0000-0000-00005BA40000}"/>
    <cellStyle name="Normal 2 4 2 13 2 2 2 4" xfId="50409" xr:uid="{00000000-0005-0000-0000-00005CA40000}"/>
    <cellStyle name="Normal 2 4 2 13 2 2 3" xfId="17594" xr:uid="{00000000-0005-0000-0000-00005DA40000}"/>
    <cellStyle name="Normal 2 4 2 13 2 2 3 2" xfId="50410" xr:uid="{00000000-0005-0000-0000-00005EA40000}"/>
    <cellStyle name="Normal 2 4 2 13 2 2 4" xfId="17595" xr:uid="{00000000-0005-0000-0000-00005FA40000}"/>
    <cellStyle name="Normal 2 4 2 13 2 2 4 2" xfId="50411" xr:uid="{00000000-0005-0000-0000-000060A40000}"/>
    <cellStyle name="Normal 2 4 2 13 2 2 5" xfId="17596" xr:uid="{00000000-0005-0000-0000-000061A40000}"/>
    <cellStyle name="Normal 2 4 2 13 2 2 5 2" xfId="50412" xr:uid="{00000000-0005-0000-0000-000062A40000}"/>
    <cellStyle name="Normal 2 4 2 13 2 2 6" xfId="50413" xr:uid="{00000000-0005-0000-0000-000063A40000}"/>
    <cellStyle name="Normal 2 4 2 13 2 2 6 2" xfId="50414" xr:uid="{00000000-0005-0000-0000-000064A40000}"/>
    <cellStyle name="Normal 2 4 2 13 2 2 7" xfId="50415" xr:uid="{00000000-0005-0000-0000-000065A40000}"/>
    <cellStyle name="Normal 2 4 2 13 2 3" xfId="17597" xr:uid="{00000000-0005-0000-0000-000066A40000}"/>
    <cellStyle name="Normal 2 4 2 13 2 3 2" xfId="17598" xr:uid="{00000000-0005-0000-0000-000067A40000}"/>
    <cellStyle name="Normal 2 4 2 13 2 3 2 2" xfId="50416" xr:uid="{00000000-0005-0000-0000-000068A40000}"/>
    <cellStyle name="Normal 2 4 2 13 2 3 3" xfId="17599" xr:uid="{00000000-0005-0000-0000-000069A40000}"/>
    <cellStyle name="Normal 2 4 2 13 2 3 3 2" xfId="50417" xr:uid="{00000000-0005-0000-0000-00006AA40000}"/>
    <cellStyle name="Normal 2 4 2 13 2 3 4" xfId="50418" xr:uid="{00000000-0005-0000-0000-00006BA40000}"/>
    <cellStyle name="Normal 2 4 2 13 2 4" xfId="17600" xr:uid="{00000000-0005-0000-0000-00006CA40000}"/>
    <cellStyle name="Normal 2 4 2 13 2 4 2" xfId="17601" xr:uid="{00000000-0005-0000-0000-00006DA40000}"/>
    <cellStyle name="Normal 2 4 2 13 2 4 2 2" xfId="50419" xr:uid="{00000000-0005-0000-0000-00006EA40000}"/>
    <cellStyle name="Normal 2 4 2 13 2 4 3" xfId="50420" xr:uid="{00000000-0005-0000-0000-00006FA40000}"/>
    <cellStyle name="Normal 2 4 2 13 2 5" xfId="17602" xr:uid="{00000000-0005-0000-0000-000070A40000}"/>
    <cellStyle name="Normal 2 4 2 13 2 5 2" xfId="50421" xr:uid="{00000000-0005-0000-0000-000071A40000}"/>
    <cellStyle name="Normal 2 4 2 13 2 6" xfId="17603" xr:uid="{00000000-0005-0000-0000-000072A40000}"/>
    <cellStyle name="Normal 2 4 2 13 2 6 2" xfId="50422" xr:uid="{00000000-0005-0000-0000-000073A40000}"/>
    <cellStyle name="Normal 2 4 2 13 2 7" xfId="50423" xr:uid="{00000000-0005-0000-0000-000074A40000}"/>
    <cellStyle name="Normal 2 4 2 13 2 7 2" xfId="50424" xr:uid="{00000000-0005-0000-0000-000075A40000}"/>
    <cellStyle name="Normal 2 4 2 13 2 8" xfId="50425" xr:uid="{00000000-0005-0000-0000-000076A40000}"/>
    <cellStyle name="Normal 2 4 2 13 2 9" xfId="50426" xr:uid="{00000000-0005-0000-0000-000077A40000}"/>
    <cellStyle name="Normal 2 4 2 13 3" xfId="17604" xr:uid="{00000000-0005-0000-0000-000078A40000}"/>
    <cellStyle name="Normal 2 4 2 13 3 2" xfId="17605" xr:uid="{00000000-0005-0000-0000-000079A40000}"/>
    <cellStyle name="Normal 2 4 2 13 3 2 2" xfId="17606" xr:uid="{00000000-0005-0000-0000-00007AA40000}"/>
    <cellStyle name="Normal 2 4 2 13 3 2 2 2" xfId="50427" xr:uid="{00000000-0005-0000-0000-00007BA40000}"/>
    <cellStyle name="Normal 2 4 2 13 3 2 3" xfId="17607" xr:uid="{00000000-0005-0000-0000-00007CA40000}"/>
    <cellStyle name="Normal 2 4 2 13 3 2 3 2" xfId="50428" xr:uid="{00000000-0005-0000-0000-00007DA40000}"/>
    <cellStyle name="Normal 2 4 2 13 3 2 4" xfId="50429" xr:uid="{00000000-0005-0000-0000-00007EA40000}"/>
    <cellStyle name="Normal 2 4 2 13 3 3" xfId="17608" xr:uid="{00000000-0005-0000-0000-00007FA40000}"/>
    <cellStyle name="Normal 2 4 2 13 3 3 2" xfId="50430" xr:uid="{00000000-0005-0000-0000-000080A40000}"/>
    <cellStyle name="Normal 2 4 2 13 3 4" xfId="17609" xr:uid="{00000000-0005-0000-0000-000081A40000}"/>
    <cellStyle name="Normal 2 4 2 13 3 4 2" xfId="50431" xr:uid="{00000000-0005-0000-0000-000082A40000}"/>
    <cellStyle name="Normal 2 4 2 13 3 5" xfId="17610" xr:uid="{00000000-0005-0000-0000-000083A40000}"/>
    <cellStyle name="Normal 2 4 2 13 3 5 2" xfId="50432" xr:uid="{00000000-0005-0000-0000-000084A40000}"/>
    <cellStyle name="Normal 2 4 2 13 3 6" xfId="50433" xr:uid="{00000000-0005-0000-0000-000085A40000}"/>
    <cellStyle name="Normal 2 4 2 13 3 6 2" xfId="50434" xr:uid="{00000000-0005-0000-0000-000086A40000}"/>
    <cellStyle name="Normal 2 4 2 13 3 7" xfId="50435" xr:uid="{00000000-0005-0000-0000-000087A40000}"/>
    <cellStyle name="Normal 2 4 2 13 4" xfId="17611" xr:uid="{00000000-0005-0000-0000-000088A40000}"/>
    <cellStyle name="Normal 2 4 2 13 4 2" xfId="17612" xr:uid="{00000000-0005-0000-0000-000089A40000}"/>
    <cellStyle name="Normal 2 4 2 13 4 2 2" xfId="50436" xr:uid="{00000000-0005-0000-0000-00008AA40000}"/>
    <cellStyle name="Normal 2 4 2 13 4 3" xfId="17613" xr:uid="{00000000-0005-0000-0000-00008BA40000}"/>
    <cellStyle name="Normal 2 4 2 13 4 3 2" xfId="50437" xr:uid="{00000000-0005-0000-0000-00008CA40000}"/>
    <cellStyle name="Normal 2 4 2 13 4 4" xfId="50438" xr:uid="{00000000-0005-0000-0000-00008DA40000}"/>
    <cellStyle name="Normal 2 4 2 13 5" xfId="17614" xr:uid="{00000000-0005-0000-0000-00008EA40000}"/>
    <cellStyle name="Normal 2 4 2 13 5 2" xfId="17615" xr:uid="{00000000-0005-0000-0000-00008FA40000}"/>
    <cellStyle name="Normal 2 4 2 13 5 2 2" xfId="50439" xr:uid="{00000000-0005-0000-0000-000090A40000}"/>
    <cellStyle name="Normal 2 4 2 13 5 3" xfId="50440" xr:uid="{00000000-0005-0000-0000-000091A40000}"/>
    <cellStyle name="Normal 2 4 2 13 6" xfId="17616" xr:uid="{00000000-0005-0000-0000-000092A40000}"/>
    <cellStyle name="Normal 2 4 2 13 6 2" xfId="50441" xr:uid="{00000000-0005-0000-0000-000093A40000}"/>
    <cellStyle name="Normal 2 4 2 13 7" xfId="17617" xr:uid="{00000000-0005-0000-0000-000094A40000}"/>
    <cellStyle name="Normal 2 4 2 13 7 2" xfId="50442" xr:uid="{00000000-0005-0000-0000-000095A40000}"/>
    <cellStyle name="Normal 2 4 2 13 8" xfId="50443" xr:uid="{00000000-0005-0000-0000-000096A40000}"/>
    <cellStyle name="Normal 2 4 2 13 8 2" xfId="50444" xr:uid="{00000000-0005-0000-0000-000097A40000}"/>
    <cellStyle name="Normal 2 4 2 13 9" xfId="50445" xr:uid="{00000000-0005-0000-0000-000098A40000}"/>
    <cellStyle name="Normal 2 4 2 14" xfId="17618" xr:uid="{00000000-0005-0000-0000-000099A40000}"/>
    <cellStyle name="Normal 2 4 2 14 10" xfId="50446" xr:uid="{00000000-0005-0000-0000-00009AA40000}"/>
    <cellStyle name="Normal 2 4 2 14 11" xfId="50447" xr:uid="{00000000-0005-0000-0000-00009BA40000}"/>
    <cellStyle name="Normal 2 4 2 14 2" xfId="17619" xr:uid="{00000000-0005-0000-0000-00009CA40000}"/>
    <cellStyle name="Normal 2 4 2 14 2 10" xfId="50448" xr:uid="{00000000-0005-0000-0000-00009DA40000}"/>
    <cellStyle name="Normal 2 4 2 14 2 2" xfId="17620" xr:uid="{00000000-0005-0000-0000-00009EA40000}"/>
    <cellStyle name="Normal 2 4 2 14 2 2 2" xfId="17621" xr:uid="{00000000-0005-0000-0000-00009FA40000}"/>
    <cellStyle name="Normal 2 4 2 14 2 2 2 2" xfId="17622" xr:uid="{00000000-0005-0000-0000-0000A0A40000}"/>
    <cellStyle name="Normal 2 4 2 14 2 2 2 2 2" xfId="50449" xr:uid="{00000000-0005-0000-0000-0000A1A40000}"/>
    <cellStyle name="Normal 2 4 2 14 2 2 2 3" xfId="17623" xr:uid="{00000000-0005-0000-0000-0000A2A40000}"/>
    <cellStyle name="Normal 2 4 2 14 2 2 2 3 2" xfId="50450" xr:uid="{00000000-0005-0000-0000-0000A3A40000}"/>
    <cellStyle name="Normal 2 4 2 14 2 2 2 4" xfId="50451" xr:uid="{00000000-0005-0000-0000-0000A4A40000}"/>
    <cellStyle name="Normal 2 4 2 14 2 2 3" xfId="17624" xr:uid="{00000000-0005-0000-0000-0000A5A40000}"/>
    <cellStyle name="Normal 2 4 2 14 2 2 3 2" xfId="50452" xr:uid="{00000000-0005-0000-0000-0000A6A40000}"/>
    <cellStyle name="Normal 2 4 2 14 2 2 4" xfId="17625" xr:uid="{00000000-0005-0000-0000-0000A7A40000}"/>
    <cellStyle name="Normal 2 4 2 14 2 2 4 2" xfId="50453" xr:uid="{00000000-0005-0000-0000-0000A8A40000}"/>
    <cellStyle name="Normal 2 4 2 14 2 2 5" xfId="17626" xr:uid="{00000000-0005-0000-0000-0000A9A40000}"/>
    <cellStyle name="Normal 2 4 2 14 2 2 5 2" xfId="50454" xr:uid="{00000000-0005-0000-0000-0000AAA40000}"/>
    <cellStyle name="Normal 2 4 2 14 2 2 6" xfId="50455" xr:uid="{00000000-0005-0000-0000-0000ABA40000}"/>
    <cellStyle name="Normal 2 4 2 14 2 2 6 2" xfId="50456" xr:uid="{00000000-0005-0000-0000-0000ACA40000}"/>
    <cellStyle name="Normal 2 4 2 14 2 2 7" xfId="50457" xr:uid="{00000000-0005-0000-0000-0000ADA40000}"/>
    <cellStyle name="Normal 2 4 2 14 2 3" xfId="17627" xr:uid="{00000000-0005-0000-0000-0000AEA40000}"/>
    <cellStyle name="Normal 2 4 2 14 2 3 2" xfId="17628" xr:uid="{00000000-0005-0000-0000-0000AFA40000}"/>
    <cellStyle name="Normal 2 4 2 14 2 3 2 2" xfId="50458" xr:uid="{00000000-0005-0000-0000-0000B0A40000}"/>
    <cellStyle name="Normal 2 4 2 14 2 3 3" xfId="17629" xr:uid="{00000000-0005-0000-0000-0000B1A40000}"/>
    <cellStyle name="Normal 2 4 2 14 2 3 3 2" xfId="50459" xr:uid="{00000000-0005-0000-0000-0000B2A40000}"/>
    <cellStyle name="Normal 2 4 2 14 2 3 4" xfId="50460" xr:uid="{00000000-0005-0000-0000-0000B3A40000}"/>
    <cellStyle name="Normal 2 4 2 14 2 4" xfId="17630" xr:uid="{00000000-0005-0000-0000-0000B4A40000}"/>
    <cellStyle name="Normal 2 4 2 14 2 4 2" xfId="17631" xr:uid="{00000000-0005-0000-0000-0000B5A40000}"/>
    <cellStyle name="Normal 2 4 2 14 2 4 2 2" xfId="50461" xr:uid="{00000000-0005-0000-0000-0000B6A40000}"/>
    <cellStyle name="Normal 2 4 2 14 2 4 3" xfId="50462" xr:uid="{00000000-0005-0000-0000-0000B7A40000}"/>
    <cellStyle name="Normal 2 4 2 14 2 5" xfId="17632" xr:uid="{00000000-0005-0000-0000-0000B8A40000}"/>
    <cellStyle name="Normal 2 4 2 14 2 5 2" xfId="50463" xr:uid="{00000000-0005-0000-0000-0000B9A40000}"/>
    <cellStyle name="Normal 2 4 2 14 2 6" xfId="17633" xr:uid="{00000000-0005-0000-0000-0000BAA40000}"/>
    <cellStyle name="Normal 2 4 2 14 2 6 2" xfId="50464" xr:uid="{00000000-0005-0000-0000-0000BBA40000}"/>
    <cellStyle name="Normal 2 4 2 14 2 7" xfId="50465" xr:uid="{00000000-0005-0000-0000-0000BCA40000}"/>
    <cellStyle name="Normal 2 4 2 14 2 7 2" xfId="50466" xr:uid="{00000000-0005-0000-0000-0000BDA40000}"/>
    <cellStyle name="Normal 2 4 2 14 2 8" xfId="50467" xr:uid="{00000000-0005-0000-0000-0000BEA40000}"/>
    <cellStyle name="Normal 2 4 2 14 2 9" xfId="50468" xr:uid="{00000000-0005-0000-0000-0000BFA40000}"/>
    <cellStyle name="Normal 2 4 2 14 3" xfId="17634" xr:uid="{00000000-0005-0000-0000-0000C0A40000}"/>
    <cellStyle name="Normal 2 4 2 14 3 2" xfId="17635" xr:uid="{00000000-0005-0000-0000-0000C1A40000}"/>
    <cellStyle name="Normal 2 4 2 14 3 2 2" xfId="17636" xr:uid="{00000000-0005-0000-0000-0000C2A40000}"/>
    <cellStyle name="Normal 2 4 2 14 3 2 2 2" xfId="50469" xr:uid="{00000000-0005-0000-0000-0000C3A40000}"/>
    <cellStyle name="Normal 2 4 2 14 3 2 3" xfId="17637" xr:uid="{00000000-0005-0000-0000-0000C4A40000}"/>
    <cellStyle name="Normal 2 4 2 14 3 2 3 2" xfId="50470" xr:uid="{00000000-0005-0000-0000-0000C5A40000}"/>
    <cellStyle name="Normal 2 4 2 14 3 2 4" xfId="50471" xr:uid="{00000000-0005-0000-0000-0000C6A40000}"/>
    <cellStyle name="Normal 2 4 2 14 3 3" xfId="17638" xr:uid="{00000000-0005-0000-0000-0000C7A40000}"/>
    <cellStyle name="Normal 2 4 2 14 3 3 2" xfId="50472" xr:uid="{00000000-0005-0000-0000-0000C8A40000}"/>
    <cellStyle name="Normal 2 4 2 14 3 4" xfId="17639" xr:uid="{00000000-0005-0000-0000-0000C9A40000}"/>
    <cellStyle name="Normal 2 4 2 14 3 4 2" xfId="50473" xr:uid="{00000000-0005-0000-0000-0000CAA40000}"/>
    <cellStyle name="Normal 2 4 2 14 3 5" xfId="17640" xr:uid="{00000000-0005-0000-0000-0000CBA40000}"/>
    <cellStyle name="Normal 2 4 2 14 3 5 2" xfId="50474" xr:uid="{00000000-0005-0000-0000-0000CCA40000}"/>
    <cellStyle name="Normal 2 4 2 14 3 6" xfId="50475" xr:uid="{00000000-0005-0000-0000-0000CDA40000}"/>
    <cellStyle name="Normal 2 4 2 14 3 6 2" xfId="50476" xr:uid="{00000000-0005-0000-0000-0000CEA40000}"/>
    <cellStyle name="Normal 2 4 2 14 3 7" xfId="50477" xr:uid="{00000000-0005-0000-0000-0000CFA40000}"/>
    <cellStyle name="Normal 2 4 2 14 4" xfId="17641" xr:uid="{00000000-0005-0000-0000-0000D0A40000}"/>
    <cellStyle name="Normal 2 4 2 14 4 2" xfId="17642" xr:uid="{00000000-0005-0000-0000-0000D1A40000}"/>
    <cellStyle name="Normal 2 4 2 14 4 2 2" xfId="50478" xr:uid="{00000000-0005-0000-0000-0000D2A40000}"/>
    <cellStyle name="Normal 2 4 2 14 4 3" xfId="17643" xr:uid="{00000000-0005-0000-0000-0000D3A40000}"/>
    <cellStyle name="Normal 2 4 2 14 4 3 2" xfId="50479" xr:uid="{00000000-0005-0000-0000-0000D4A40000}"/>
    <cellStyle name="Normal 2 4 2 14 4 4" xfId="50480" xr:uid="{00000000-0005-0000-0000-0000D5A40000}"/>
    <cellStyle name="Normal 2 4 2 14 5" xfId="17644" xr:uid="{00000000-0005-0000-0000-0000D6A40000}"/>
    <cellStyle name="Normal 2 4 2 14 5 2" xfId="17645" xr:uid="{00000000-0005-0000-0000-0000D7A40000}"/>
    <cellStyle name="Normal 2 4 2 14 5 2 2" xfId="50481" xr:uid="{00000000-0005-0000-0000-0000D8A40000}"/>
    <cellStyle name="Normal 2 4 2 14 5 3" xfId="50482" xr:uid="{00000000-0005-0000-0000-0000D9A40000}"/>
    <cellStyle name="Normal 2 4 2 14 6" xfId="17646" xr:uid="{00000000-0005-0000-0000-0000DAA40000}"/>
    <cellStyle name="Normal 2 4 2 14 6 2" xfId="50483" xr:uid="{00000000-0005-0000-0000-0000DBA40000}"/>
    <cellStyle name="Normal 2 4 2 14 7" xfId="17647" xr:uid="{00000000-0005-0000-0000-0000DCA40000}"/>
    <cellStyle name="Normal 2 4 2 14 7 2" xfId="50484" xr:uid="{00000000-0005-0000-0000-0000DDA40000}"/>
    <cellStyle name="Normal 2 4 2 14 8" xfId="50485" xr:uid="{00000000-0005-0000-0000-0000DEA40000}"/>
    <cellStyle name="Normal 2 4 2 14 8 2" xfId="50486" xr:uid="{00000000-0005-0000-0000-0000DFA40000}"/>
    <cellStyle name="Normal 2 4 2 14 9" xfId="50487" xr:uid="{00000000-0005-0000-0000-0000E0A40000}"/>
    <cellStyle name="Normal 2 4 2 15" xfId="17648" xr:uid="{00000000-0005-0000-0000-0000E1A40000}"/>
    <cellStyle name="Normal 2 4 2 15 10" xfId="50488" xr:uid="{00000000-0005-0000-0000-0000E2A40000}"/>
    <cellStyle name="Normal 2 4 2 15 11" xfId="50489" xr:uid="{00000000-0005-0000-0000-0000E3A40000}"/>
    <cellStyle name="Normal 2 4 2 15 2" xfId="17649" xr:uid="{00000000-0005-0000-0000-0000E4A40000}"/>
    <cellStyle name="Normal 2 4 2 15 2 10" xfId="50490" xr:uid="{00000000-0005-0000-0000-0000E5A40000}"/>
    <cellStyle name="Normal 2 4 2 15 2 2" xfId="17650" xr:uid="{00000000-0005-0000-0000-0000E6A40000}"/>
    <cellStyle name="Normal 2 4 2 15 2 2 2" xfId="17651" xr:uid="{00000000-0005-0000-0000-0000E7A40000}"/>
    <cellStyle name="Normal 2 4 2 15 2 2 2 2" xfId="17652" xr:uid="{00000000-0005-0000-0000-0000E8A40000}"/>
    <cellStyle name="Normal 2 4 2 15 2 2 2 2 2" xfId="50491" xr:uid="{00000000-0005-0000-0000-0000E9A40000}"/>
    <cellStyle name="Normal 2 4 2 15 2 2 2 3" xfId="17653" xr:uid="{00000000-0005-0000-0000-0000EAA40000}"/>
    <cellStyle name="Normal 2 4 2 15 2 2 2 3 2" xfId="50492" xr:uid="{00000000-0005-0000-0000-0000EBA40000}"/>
    <cellStyle name="Normal 2 4 2 15 2 2 2 4" xfId="50493" xr:uid="{00000000-0005-0000-0000-0000ECA40000}"/>
    <cellStyle name="Normal 2 4 2 15 2 2 3" xfId="17654" xr:uid="{00000000-0005-0000-0000-0000EDA40000}"/>
    <cellStyle name="Normal 2 4 2 15 2 2 3 2" xfId="50494" xr:uid="{00000000-0005-0000-0000-0000EEA40000}"/>
    <cellStyle name="Normal 2 4 2 15 2 2 4" xfId="17655" xr:uid="{00000000-0005-0000-0000-0000EFA40000}"/>
    <cellStyle name="Normal 2 4 2 15 2 2 4 2" xfId="50495" xr:uid="{00000000-0005-0000-0000-0000F0A40000}"/>
    <cellStyle name="Normal 2 4 2 15 2 2 5" xfId="17656" xr:uid="{00000000-0005-0000-0000-0000F1A40000}"/>
    <cellStyle name="Normal 2 4 2 15 2 2 5 2" xfId="50496" xr:uid="{00000000-0005-0000-0000-0000F2A40000}"/>
    <cellStyle name="Normal 2 4 2 15 2 2 6" xfId="50497" xr:uid="{00000000-0005-0000-0000-0000F3A40000}"/>
    <cellStyle name="Normal 2 4 2 15 2 2 6 2" xfId="50498" xr:uid="{00000000-0005-0000-0000-0000F4A40000}"/>
    <cellStyle name="Normal 2 4 2 15 2 2 7" xfId="50499" xr:uid="{00000000-0005-0000-0000-0000F5A40000}"/>
    <cellStyle name="Normal 2 4 2 15 2 3" xfId="17657" xr:uid="{00000000-0005-0000-0000-0000F6A40000}"/>
    <cellStyle name="Normal 2 4 2 15 2 3 2" xfId="17658" xr:uid="{00000000-0005-0000-0000-0000F7A40000}"/>
    <cellStyle name="Normal 2 4 2 15 2 3 2 2" xfId="50500" xr:uid="{00000000-0005-0000-0000-0000F8A40000}"/>
    <cellStyle name="Normal 2 4 2 15 2 3 3" xfId="17659" xr:uid="{00000000-0005-0000-0000-0000F9A40000}"/>
    <cellStyle name="Normal 2 4 2 15 2 3 3 2" xfId="50501" xr:uid="{00000000-0005-0000-0000-0000FAA40000}"/>
    <cellStyle name="Normal 2 4 2 15 2 3 4" xfId="50502" xr:uid="{00000000-0005-0000-0000-0000FBA40000}"/>
    <cellStyle name="Normal 2 4 2 15 2 4" xfId="17660" xr:uid="{00000000-0005-0000-0000-0000FCA40000}"/>
    <cellStyle name="Normal 2 4 2 15 2 4 2" xfId="17661" xr:uid="{00000000-0005-0000-0000-0000FDA40000}"/>
    <cellStyle name="Normal 2 4 2 15 2 4 2 2" xfId="50503" xr:uid="{00000000-0005-0000-0000-0000FEA40000}"/>
    <cellStyle name="Normal 2 4 2 15 2 4 3" xfId="50504" xr:uid="{00000000-0005-0000-0000-0000FFA40000}"/>
    <cellStyle name="Normal 2 4 2 15 2 5" xfId="17662" xr:uid="{00000000-0005-0000-0000-000000A50000}"/>
    <cellStyle name="Normal 2 4 2 15 2 5 2" xfId="50505" xr:uid="{00000000-0005-0000-0000-000001A50000}"/>
    <cellStyle name="Normal 2 4 2 15 2 6" xfId="17663" xr:uid="{00000000-0005-0000-0000-000002A50000}"/>
    <cellStyle name="Normal 2 4 2 15 2 6 2" xfId="50506" xr:uid="{00000000-0005-0000-0000-000003A50000}"/>
    <cellStyle name="Normal 2 4 2 15 2 7" xfId="50507" xr:uid="{00000000-0005-0000-0000-000004A50000}"/>
    <cellStyle name="Normal 2 4 2 15 2 7 2" xfId="50508" xr:uid="{00000000-0005-0000-0000-000005A50000}"/>
    <cellStyle name="Normal 2 4 2 15 2 8" xfId="50509" xr:uid="{00000000-0005-0000-0000-000006A50000}"/>
    <cellStyle name="Normal 2 4 2 15 2 9" xfId="50510" xr:uid="{00000000-0005-0000-0000-000007A50000}"/>
    <cellStyle name="Normal 2 4 2 15 3" xfId="17664" xr:uid="{00000000-0005-0000-0000-000008A50000}"/>
    <cellStyle name="Normal 2 4 2 15 3 2" xfId="17665" xr:uid="{00000000-0005-0000-0000-000009A50000}"/>
    <cellStyle name="Normal 2 4 2 15 3 2 2" xfId="17666" xr:uid="{00000000-0005-0000-0000-00000AA50000}"/>
    <cellStyle name="Normal 2 4 2 15 3 2 2 2" xfId="50511" xr:uid="{00000000-0005-0000-0000-00000BA50000}"/>
    <cellStyle name="Normal 2 4 2 15 3 2 3" xfId="17667" xr:uid="{00000000-0005-0000-0000-00000CA50000}"/>
    <cellStyle name="Normal 2 4 2 15 3 2 3 2" xfId="50512" xr:uid="{00000000-0005-0000-0000-00000DA50000}"/>
    <cellStyle name="Normal 2 4 2 15 3 2 4" xfId="50513" xr:uid="{00000000-0005-0000-0000-00000EA50000}"/>
    <cellStyle name="Normal 2 4 2 15 3 3" xfId="17668" xr:uid="{00000000-0005-0000-0000-00000FA50000}"/>
    <cellStyle name="Normal 2 4 2 15 3 3 2" xfId="50514" xr:uid="{00000000-0005-0000-0000-000010A50000}"/>
    <cellStyle name="Normal 2 4 2 15 3 4" xfId="17669" xr:uid="{00000000-0005-0000-0000-000011A50000}"/>
    <cellStyle name="Normal 2 4 2 15 3 4 2" xfId="50515" xr:uid="{00000000-0005-0000-0000-000012A50000}"/>
    <cellStyle name="Normal 2 4 2 15 3 5" xfId="17670" xr:uid="{00000000-0005-0000-0000-000013A50000}"/>
    <cellStyle name="Normal 2 4 2 15 3 5 2" xfId="50516" xr:uid="{00000000-0005-0000-0000-000014A50000}"/>
    <cellStyle name="Normal 2 4 2 15 3 6" xfId="50517" xr:uid="{00000000-0005-0000-0000-000015A50000}"/>
    <cellStyle name="Normal 2 4 2 15 3 6 2" xfId="50518" xr:uid="{00000000-0005-0000-0000-000016A50000}"/>
    <cellStyle name="Normal 2 4 2 15 3 7" xfId="50519" xr:uid="{00000000-0005-0000-0000-000017A50000}"/>
    <cellStyle name="Normal 2 4 2 15 4" xfId="17671" xr:uid="{00000000-0005-0000-0000-000018A50000}"/>
    <cellStyle name="Normal 2 4 2 15 4 2" xfId="17672" xr:uid="{00000000-0005-0000-0000-000019A50000}"/>
    <cellStyle name="Normal 2 4 2 15 4 2 2" xfId="50520" xr:uid="{00000000-0005-0000-0000-00001AA50000}"/>
    <cellStyle name="Normal 2 4 2 15 4 3" xfId="17673" xr:uid="{00000000-0005-0000-0000-00001BA50000}"/>
    <cellStyle name="Normal 2 4 2 15 4 3 2" xfId="50521" xr:uid="{00000000-0005-0000-0000-00001CA50000}"/>
    <cellStyle name="Normal 2 4 2 15 4 4" xfId="50522" xr:uid="{00000000-0005-0000-0000-00001DA50000}"/>
    <cellStyle name="Normal 2 4 2 15 5" xfId="17674" xr:uid="{00000000-0005-0000-0000-00001EA50000}"/>
    <cellStyle name="Normal 2 4 2 15 5 2" xfId="17675" xr:uid="{00000000-0005-0000-0000-00001FA50000}"/>
    <cellStyle name="Normal 2 4 2 15 5 2 2" xfId="50523" xr:uid="{00000000-0005-0000-0000-000020A50000}"/>
    <cellStyle name="Normal 2 4 2 15 5 3" xfId="50524" xr:uid="{00000000-0005-0000-0000-000021A50000}"/>
    <cellStyle name="Normal 2 4 2 15 6" xfId="17676" xr:uid="{00000000-0005-0000-0000-000022A50000}"/>
    <cellStyle name="Normal 2 4 2 15 6 2" xfId="50525" xr:uid="{00000000-0005-0000-0000-000023A50000}"/>
    <cellStyle name="Normal 2 4 2 15 7" xfId="17677" xr:uid="{00000000-0005-0000-0000-000024A50000}"/>
    <cellStyle name="Normal 2 4 2 15 7 2" xfId="50526" xr:uid="{00000000-0005-0000-0000-000025A50000}"/>
    <cellStyle name="Normal 2 4 2 15 8" xfId="50527" xr:uid="{00000000-0005-0000-0000-000026A50000}"/>
    <cellStyle name="Normal 2 4 2 15 8 2" xfId="50528" xr:uid="{00000000-0005-0000-0000-000027A50000}"/>
    <cellStyle name="Normal 2 4 2 15 9" xfId="50529" xr:uid="{00000000-0005-0000-0000-000028A50000}"/>
    <cellStyle name="Normal 2 4 2 16" xfId="17678" xr:uid="{00000000-0005-0000-0000-000029A50000}"/>
    <cellStyle name="Normal 2 4 2 16 10" xfId="50530" xr:uid="{00000000-0005-0000-0000-00002AA50000}"/>
    <cellStyle name="Normal 2 4 2 16 11" xfId="50531" xr:uid="{00000000-0005-0000-0000-00002BA50000}"/>
    <cellStyle name="Normal 2 4 2 16 2" xfId="17679" xr:uid="{00000000-0005-0000-0000-00002CA50000}"/>
    <cellStyle name="Normal 2 4 2 16 2 10" xfId="50532" xr:uid="{00000000-0005-0000-0000-00002DA50000}"/>
    <cellStyle name="Normal 2 4 2 16 2 2" xfId="17680" xr:uid="{00000000-0005-0000-0000-00002EA50000}"/>
    <cellStyle name="Normal 2 4 2 16 2 2 2" xfId="17681" xr:uid="{00000000-0005-0000-0000-00002FA50000}"/>
    <cellStyle name="Normal 2 4 2 16 2 2 2 2" xfId="17682" xr:uid="{00000000-0005-0000-0000-000030A50000}"/>
    <cellStyle name="Normal 2 4 2 16 2 2 2 2 2" xfId="50533" xr:uid="{00000000-0005-0000-0000-000031A50000}"/>
    <cellStyle name="Normal 2 4 2 16 2 2 2 3" xfId="17683" xr:uid="{00000000-0005-0000-0000-000032A50000}"/>
    <cellStyle name="Normal 2 4 2 16 2 2 2 3 2" xfId="50534" xr:uid="{00000000-0005-0000-0000-000033A50000}"/>
    <cellStyle name="Normal 2 4 2 16 2 2 2 4" xfId="50535" xr:uid="{00000000-0005-0000-0000-000034A50000}"/>
    <cellStyle name="Normal 2 4 2 16 2 2 3" xfId="17684" xr:uid="{00000000-0005-0000-0000-000035A50000}"/>
    <cellStyle name="Normal 2 4 2 16 2 2 3 2" xfId="50536" xr:uid="{00000000-0005-0000-0000-000036A50000}"/>
    <cellStyle name="Normal 2 4 2 16 2 2 4" xfId="17685" xr:uid="{00000000-0005-0000-0000-000037A50000}"/>
    <cellStyle name="Normal 2 4 2 16 2 2 4 2" xfId="50537" xr:uid="{00000000-0005-0000-0000-000038A50000}"/>
    <cellStyle name="Normal 2 4 2 16 2 2 5" xfId="17686" xr:uid="{00000000-0005-0000-0000-000039A50000}"/>
    <cellStyle name="Normal 2 4 2 16 2 2 5 2" xfId="50538" xr:uid="{00000000-0005-0000-0000-00003AA50000}"/>
    <cellStyle name="Normal 2 4 2 16 2 2 6" xfId="50539" xr:uid="{00000000-0005-0000-0000-00003BA50000}"/>
    <cellStyle name="Normal 2 4 2 16 2 2 6 2" xfId="50540" xr:uid="{00000000-0005-0000-0000-00003CA50000}"/>
    <cellStyle name="Normal 2 4 2 16 2 2 7" xfId="50541" xr:uid="{00000000-0005-0000-0000-00003DA50000}"/>
    <cellStyle name="Normal 2 4 2 16 2 3" xfId="17687" xr:uid="{00000000-0005-0000-0000-00003EA50000}"/>
    <cellStyle name="Normal 2 4 2 16 2 3 2" xfId="17688" xr:uid="{00000000-0005-0000-0000-00003FA50000}"/>
    <cellStyle name="Normal 2 4 2 16 2 3 2 2" xfId="50542" xr:uid="{00000000-0005-0000-0000-000040A50000}"/>
    <cellStyle name="Normal 2 4 2 16 2 3 3" xfId="17689" xr:uid="{00000000-0005-0000-0000-000041A50000}"/>
    <cellStyle name="Normal 2 4 2 16 2 3 3 2" xfId="50543" xr:uid="{00000000-0005-0000-0000-000042A50000}"/>
    <cellStyle name="Normal 2 4 2 16 2 3 4" xfId="50544" xr:uid="{00000000-0005-0000-0000-000043A50000}"/>
    <cellStyle name="Normal 2 4 2 16 2 4" xfId="17690" xr:uid="{00000000-0005-0000-0000-000044A50000}"/>
    <cellStyle name="Normal 2 4 2 16 2 4 2" xfId="17691" xr:uid="{00000000-0005-0000-0000-000045A50000}"/>
    <cellStyle name="Normal 2 4 2 16 2 4 2 2" xfId="50545" xr:uid="{00000000-0005-0000-0000-000046A50000}"/>
    <cellStyle name="Normal 2 4 2 16 2 4 3" xfId="50546" xr:uid="{00000000-0005-0000-0000-000047A50000}"/>
    <cellStyle name="Normal 2 4 2 16 2 5" xfId="17692" xr:uid="{00000000-0005-0000-0000-000048A50000}"/>
    <cellStyle name="Normal 2 4 2 16 2 5 2" xfId="50547" xr:uid="{00000000-0005-0000-0000-000049A50000}"/>
    <cellStyle name="Normal 2 4 2 16 2 6" xfId="17693" xr:uid="{00000000-0005-0000-0000-00004AA50000}"/>
    <cellStyle name="Normal 2 4 2 16 2 6 2" xfId="50548" xr:uid="{00000000-0005-0000-0000-00004BA50000}"/>
    <cellStyle name="Normal 2 4 2 16 2 7" xfId="50549" xr:uid="{00000000-0005-0000-0000-00004CA50000}"/>
    <cellStyle name="Normal 2 4 2 16 2 7 2" xfId="50550" xr:uid="{00000000-0005-0000-0000-00004DA50000}"/>
    <cellStyle name="Normal 2 4 2 16 2 8" xfId="50551" xr:uid="{00000000-0005-0000-0000-00004EA50000}"/>
    <cellStyle name="Normal 2 4 2 16 2 9" xfId="50552" xr:uid="{00000000-0005-0000-0000-00004FA50000}"/>
    <cellStyle name="Normal 2 4 2 16 3" xfId="17694" xr:uid="{00000000-0005-0000-0000-000050A50000}"/>
    <cellStyle name="Normal 2 4 2 16 3 2" xfId="17695" xr:uid="{00000000-0005-0000-0000-000051A50000}"/>
    <cellStyle name="Normal 2 4 2 16 3 2 2" xfId="17696" xr:uid="{00000000-0005-0000-0000-000052A50000}"/>
    <cellStyle name="Normal 2 4 2 16 3 2 2 2" xfId="50553" xr:uid="{00000000-0005-0000-0000-000053A50000}"/>
    <cellStyle name="Normal 2 4 2 16 3 2 3" xfId="17697" xr:uid="{00000000-0005-0000-0000-000054A50000}"/>
    <cellStyle name="Normal 2 4 2 16 3 2 3 2" xfId="50554" xr:uid="{00000000-0005-0000-0000-000055A50000}"/>
    <cellStyle name="Normal 2 4 2 16 3 2 4" xfId="50555" xr:uid="{00000000-0005-0000-0000-000056A50000}"/>
    <cellStyle name="Normal 2 4 2 16 3 3" xfId="17698" xr:uid="{00000000-0005-0000-0000-000057A50000}"/>
    <cellStyle name="Normal 2 4 2 16 3 3 2" xfId="50556" xr:uid="{00000000-0005-0000-0000-000058A50000}"/>
    <cellStyle name="Normal 2 4 2 16 3 4" xfId="17699" xr:uid="{00000000-0005-0000-0000-000059A50000}"/>
    <cellStyle name="Normal 2 4 2 16 3 4 2" xfId="50557" xr:uid="{00000000-0005-0000-0000-00005AA50000}"/>
    <cellStyle name="Normal 2 4 2 16 3 5" xfId="17700" xr:uid="{00000000-0005-0000-0000-00005BA50000}"/>
    <cellStyle name="Normal 2 4 2 16 3 5 2" xfId="50558" xr:uid="{00000000-0005-0000-0000-00005CA50000}"/>
    <cellStyle name="Normal 2 4 2 16 3 6" xfId="50559" xr:uid="{00000000-0005-0000-0000-00005DA50000}"/>
    <cellStyle name="Normal 2 4 2 16 3 6 2" xfId="50560" xr:uid="{00000000-0005-0000-0000-00005EA50000}"/>
    <cellStyle name="Normal 2 4 2 16 3 7" xfId="50561" xr:uid="{00000000-0005-0000-0000-00005FA50000}"/>
    <cellStyle name="Normal 2 4 2 16 4" xfId="17701" xr:uid="{00000000-0005-0000-0000-000060A50000}"/>
    <cellStyle name="Normal 2 4 2 16 4 2" xfId="17702" xr:uid="{00000000-0005-0000-0000-000061A50000}"/>
    <cellStyle name="Normal 2 4 2 16 4 2 2" xfId="50562" xr:uid="{00000000-0005-0000-0000-000062A50000}"/>
    <cellStyle name="Normal 2 4 2 16 4 3" xfId="17703" xr:uid="{00000000-0005-0000-0000-000063A50000}"/>
    <cellStyle name="Normal 2 4 2 16 4 3 2" xfId="50563" xr:uid="{00000000-0005-0000-0000-000064A50000}"/>
    <cellStyle name="Normal 2 4 2 16 4 4" xfId="50564" xr:uid="{00000000-0005-0000-0000-000065A50000}"/>
    <cellStyle name="Normal 2 4 2 16 5" xfId="17704" xr:uid="{00000000-0005-0000-0000-000066A50000}"/>
    <cellStyle name="Normal 2 4 2 16 5 2" xfId="17705" xr:uid="{00000000-0005-0000-0000-000067A50000}"/>
    <cellStyle name="Normal 2 4 2 16 5 2 2" xfId="50565" xr:uid="{00000000-0005-0000-0000-000068A50000}"/>
    <cellStyle name="Normal 2 4 2 16 5 3" xfId="50566" xr:uid="{00000000-0005-0000-0000-000069A50000}"/>
    <cellStyle name="Normal 2 4 2 16 6" xfId="17706" xr:uid="{00000000-0005-0000-0000-00006AA50000}"/>
    <cellStyle name="Normal 2 4 2 16 6 2" xfId="50567" xr:uid="{00000000-0005-0000-0000-00006BA50000}"/>
    <cellStyle name="Normal 2 4 2 16 7" xfId="17707" xr:uid="{00000000-0005-0000-0000-00006CA50000}"/>
    <cellStyle name="Normal 2 4 2 16 7 2" xfId="50568" xr:uid="{00000000-0005-0000-0000-00006DA50000}"/>
    <cellStyle name="Normal 2 4 2 16 8" xfId="50569" xr:uid="{00000000-0005-0000-0000-00006EA50000}"/>
    <cellStyle name="Normal 2 4 2 16 8 2" xfId="50570" xr:uid="{00000000-0005-0000-0000-00006FA50000}"/>
    <cellStyle name="Normal 2 4 2 16 9" xfId="50571" xr:uid="{00000000-0005-0000-0000-000070A50000}"/>
    <cellStyle name="Normal 2 4 2 17" xfId="17708" xr:uid="{00000000-0005-0000-0000-000071A50000}"/>
    <cellStyle name="Normal 2 4 2 17 10" xfId="50572" xr:uid="{00000000-0005-0000-0000-000072A50000}"/>
    <cellStyle name="Normal 2 4 2 17 11" xfId="50573" xr:uid="{00000000-0005-0000-0000-000073A50000}"/>
    <cellStyle name="Normal 2 4 2 17 2" xfId="17709" xr:uid="{00000000-0005-0000-0000-000074A50000}"/>
    <cellStyle name="Normal 2 4 2 17 2 10" xfId="50574" xr:uid="{00000000-0005-0000-0000-000075A50000}"/>
    <cellStyle name="Normal 2 4 2 17 2 2" xfId="17710" xr:uid="{00000000-0005-0000-0000-000076A50000}"/>
    <cellStyle name="Normal 2 4 2 17 2 2 2" xfId="17711" xr:uid="{00000000-0005-0000-0000-000077A50000}"/>
    <cellStyle name="Normal 2 4 2 17 2 2 2 2" xfId="17712" xr:uid="{00000000-0005-0000-0000-000078A50000}"/>
    <cellStyle name="Normal 2 4 2 17 2 2 2 2 2" xfId="50575" xr:uid="{00000000-0005-0000-0000-000079A50000}"/>
    <cellStyle name="Normal 2 4 2 17 2 2 2 3" xfId="17713" xr:uid="{00000000-0005-0000-0000-00007AA50000}"/>
    <cellStyle name="Normal 2 4 2 17 2 2 2 3 2" xfId="50576" xr:uid="{00000000-0005-0000-0000-00007BA50000}"/>
    <cellStyle name="Normal 2 4 2 17 2 2 2 4" xfId="50577" xr:uid="{00000000-0005-0000-0000-00007CA50000}"/>
    <cellStyle name="Normal 2 4 2 17 2 2 3" xfId="17714" xr:uid="{00000000-0005-0000-0000-00007DA50000}"/>
    <cellStyle name="Normal 2 4 2 17 2 2 3 2" xfId="50578" xr:uid="{00000000-0005-0000-0000-00007EA50000}"/>
    <cellStyle name="Normal 2 4 2 17 2 2 4" xfId="17715" xr:uid="{00000000-0005-0000-0000-00007FA50000}"/>
    <cellStyle name="Normal 2 4 2 17 2 2 4 2" xfId="50579" xr:uid="{00000000-0005-0000-0000-000080A50000}"/>
    <cellStyle name="Normal 2 4 2 17 2 2 5" xfId="17716" xr:uid="{00000000-0005-0000-0000-000081A50000}"/>
    <cellStyle name="Normal 2 4 2 17 2 2 5 2" xfId="50580" xr:uid="{00000000-0005-0000-0000-000082A50000}"/>
    <cellStyle name="Normal 2 4 2 17 2 2 6" xfId="50581" xr:uid="{00000000-0005-0000-0000-000083A50000}"/>
    <cellStyle name="Normal 2 4 2 17 2 2 6 2" xfId="50582" xr:uid="{00000000-0005-0000-0000-000084A50000}"/>
    <cellStyle name="Normal 2 4 2 17 2 2 7" xfId="50583" xr:uid="{00000000-0005-0000-0000-000085A50000}"/>
    <cellStyle name="Normal 2 4 2 17 2 3" xfId="17717" xr:uid="{00000000-0005-0000-0000-000086A50000}"/>
    <cellStyle name="Normal 2 4 2 17 2 3 2" xfId="17718" xr:uid="{00000000-0005-0000-0000-000087A50000}"/>
    <cellStyle name="Normal 2 4 2 17 2 3 2 2" xfId="50584" xr:uid="{00000000-0005-0000-0000-000088A50000}"/>
    <cellStyle name="Normal 2 4 2 17 2 3 3" xfId="17719" xr:uid="{00000000-0005-0000-0000-000089A50000}"/>
    <cellStyle name="Normal 2 4 2 17 2 3 3 2" xfId="50585" xr:uid="{00000000-0005-0000-0000-00008AA50000}"/>
    <cellStyle name="Normal 2 4 2 17 2 3 4" xfId="50586" xr:uid="{00000000-0005-0000-0000-00008BA50000}"/>
    <cellStyle name="Normal 2 4 2 17 2 4" xfId="17720" xr:uid="{00000000-0005-0000-0000-00008CA50000}"/>
    <cellStyle name="Normal 2 4 2 17 2 4 2" xfId="17721" xr:uid="{00000000-0005-0000-0000-00008DA50000}"/>
    <cellStyle name="Normal 2 4 2 17 2 4 2 2" xfId="50587" xr:uid="{00000000-0005-0000-0000-00008EA50000}"/>
    <cellStyle name="Normal 2 4 2 17 2 4 3" xfId="50588" xr:uid="{00000000-0005-0000-0000-00008FA50000}"/>
    <cellStyle name="Normal 2 4 2 17 2 5" xfId="17722" xr:uid="{00000000-0005-0000-0000-000090A50000}"/>
    <cellStyle name="Normal 2 4 2 17 2 5 2" xfId="50589" xr:uid="{00000000-0005-0000-0000-000091A50000}"/>
    <cellStyle name="Normal 2 4 2 17 2 6" xfId="17723" xr:uid="{00000000-0005-0000-0000-000092A50000}"/>
    <cellStyle name="Normal 2 4 2 17 2 6 2" xfId="50590" xr:uid="{00000000-0005-0000-0000-000093A50000}"/>
    <cellStyle name="Normal 2 4 2 17 2 7" xfId="50591" xr:uid="{00000000-0005-0000-0000-000094A50000}"/>
    <cellStyle name="Normal 2 4 2 17 2 7 2" xfId="50592" xr:uid="{00000000-0005-0000-0000-000095A50000}"/>
    <cellStyle name="Normal 2 4 2 17 2 8" xfId="50593" xr:uid="{00000000-0005-0000-0000-000096A50000}"/>
    <cellStyle name="Normal 2 4 2 17 2 9" xfId="50594" xr:uid="{00000000-0005-0000-0000-000097A50000}"/>
    <cellStyle name="Normal 2 4 2 17 3" xfId="17724" xr:uid="{00000000-0005-0000-0000-000098A50000}"/>
    <cellStyle name="Normal 2 4 2 17 3 2" xfId="17725" xr:uid="{00000000-0005-0000-0000-000099A50000}"/>
    <cellStyle name="Normal 2 4 2 17 3 2 2" xfId="17726" xr:uid="{00000000-0005-0000-0000-00009AA50000}"/>
    <cellStyle name="Normal 2 4 2 17 3 2 2 2" xfId="50595" xr:uid="{00000000-0005-0000-0000-00009BA50000}"/>
    <cellStyle name="Normal 2 4 2 17 3 2 3" xfId="17727" xr:uid="{00000000-0005-0000-0000-00009CA50000}"/>
    <cellStyle name="Normal 2 4 2 17 3 2 3 2" xfId="50596" xr:uid="{00000000-0005-0000-0000-00009DA50000}"/>
    <cellStyle name="Normal 2 4 2 17 3 2 4" xfId="50597" xr:uid="{00000000-0005-0000-0000-00009EA50000}"/>
    <cellStyle name="Normal 2 4 2 17 3 3" xfId="17728" xr:uid="{00000000-0005-0000-0000-00009FA50000}"/>
    <cellStyle name="Normal 2 4 2 17 3 3 2" xfId="50598" xr:uid="{00000000-0005-0000-0000-0000A0A50000}"/>
    <cellStyle name="Normal 2 4 2 17 3 4" xfId="17729" xr:uid="{00000000-0005-0000-0000-0000A1A50000}"/>
    <cellStyle name="Normal 2 4 2 17 3 4 2" xfId="50599" xr:uid="{00000000-0005-0000-0000-0000A2A50000}"/>
    <cellStyle name="Normal 2 4 2 17 3 5" xfId="17730" xr:uid="{00000000-0005-0000-0000-0000A3A50000}"/>
    <cellStyle name="Normal 2 4 2 17 3 5 2" xfId="50600" xr:uid="{00000000-0005-0000-0000-0000A4A50000}"/>
    <cellStyle name="Normal 2 4 2 17 3 6" xfId="50601" xr:uid="{00000000-0005-0000-0000-0000A5A50000}"/>
    <cellStyle name="Normal 2 4 2 17 3 6 2" xfId="50602" xr:uid="{00000000-0005-0000-0000-0000A6A50000}"/>
    <cellStyle name="Normal 2 4 2 17 3 7" xfId="50603" xr:uid="{00000000-0005-0000-0000-0000A7A50000}"/>
    <cellStyle name="Normal 2 4 2 17 4" xfId="17731" xr:uid="{00000000-0005-0000-0000-0000A8A50000}"/>
    <cellStyle name="Normal 2 4 2 17 4 2" xfId="17732" xr:uid="{00000000-0005-0000-0000-0000A9A50000}"/>
    <cellStyle name="Normal 2 4 2 17 4 2 2" xfId="50604" xr:uid="{00000000-0005-0000-0000-0000AAA50000}"/>
    <cellStyle name="Normal 2 4 2 17 4 3" xfId="17733" xr:uid="{00000000-0005-0000-0000-0000ABA50000}"/>
    <cellStyle name="Normal 2 4 2 17 4 3 2" xfId="50605" xr:uid="{00000000-0005-0000-0000-0000ACA50000}"/>
    <cellStyle name="Normal 2 4 2 17 4 4" xfId="50606" xr:uid="{00000000-0005-0000-0000-0000ADA50000}"/>
    <cellStyle name="Normal 2 4 2 17 5" xfId="17734" xr:uid="{00000000-0005-0000-0000-0000AEA50000}"/>
    <cellStyle name="Normal 2 4 2 17 5 2" xfId="17735" xr:uid="{00000000-0005-0000-0000-0000AFA50000}"/>
    <cellStyle name="Normal 2 4 2 17 5 2 2" xfId="50607" xr:uid="{00000000-0005-0000-0000-0000B0A50000}"/>
    <cellStyle name="Normal 2 4 2 17 5 3" xfId="50608" xr:uid="{00000000-0005-0000-0000-0000B1A50000}"/>
    <cellStyle name="Normal 2 4 2 17 6" xfId="17736" xr:uid="{00000000-0005-0000-0000-0000B2A50000}"/>
    <cellStyle name="Normal 2 4 2 17 6 2" xfId="50609" xr:uid="{00000000-0005-0000-0000-0000B3A50000}"/>
    <cellStyle name="Normal 2 4 2 17 7" xfId="17737" xr:uid="{00000000-0005-0000-0000-0000B4A50000}"/>
    <cellStyle name="Normal 2 4 2 17 7 2" xfId="50610" xr:uid="{00000000-0005-0000-0000-0000B5A50000}"/>
    <cellStyle name="Normal 2 4 2 17 8" xfId="50611" xr:uid="{00000000-0005-0000-0000-0000B6A50000}"/>
    <cellStyle name="Normal 2 4 2 17 8 2" xfId="50612" xr:uid="{00000000-0005-0000-0000-0000B7A50000}"/>
    <cellStyle name="Normal 2 4 2 17 9" xfId="50613" xr:uid="{00000000-0005-0000-0000-0000B8A50000}"/>
    <cellStyle name="Normal 2 4 2 18" xfId="17738" xr:uid="{00000000-0005-0000-0000-0000B9A50000}"/>
    <cellStyle name="Normal 2 4 2 18 10" xfId="50614" xr:uid="{00000000-0005-0000-0000-0000BAA50000}"/>
    <cellStyle name="Normal 2 4 2 18 11" xfId="50615" xr:uid="{00000000-0005-0000-0000-0000BBA50000}"/>
    <cellStyle name="Normal 2 4 2 18 2" xfId="17739" xr:uid="{00000000-0005-0000-0000-0000BCA50000}"/>
    <cellStyle name="Normal 2 4 2 18 2 10" xfId="50616" xr:uid="{00000000-0005-0000-0000-0000BDA50000}"/>
    <cellStyle name="Normal 2 4 2 18 2 2" xfId="17740" xr:uid="{00000000-0005-0000-0000-0000BEA50000}"/>
    <cellStyle name="Normal 2 4 2 18 2 2 2" xfId="17741" xr:uid="{00000000-0005-0000-0000-0000BFA50000}"/>
    <cellStyle name="Normal 2 4 2 18 2 2 2 2" xfId="17742" xr:uid="{00000000-0005-0000-0000-0000C0A50000}"/>
    <cellStyle name="Normal 2 4 2 18 2 2 2 2 2" xfId="50617" xr:uid="{00000000-0005-0000-0000-0000C1A50000}"/>
    <cellStyle name="Normal 2 4 2 18 2 2 2 3" xfId="17743" xr:uid="{00000000-0005-0000-0000-0000C2A50000}"/>
    <cellStyle name="Normal 2 4 2 18 2 2 2 3 2" xfId="50618" xr:uid="{00000000-0005-0000-0000-0000C3A50000}"/>
    <cellStyle name="Normal 2 4 2 18 2 2 2 4" xfId="50619" xr:uid="{00000000-0005-0000-0000-0000C4A50000}"/>
    <cellStyle name="Normal 2 4 2 18 2 2 3" xfId="17744" xr:uid="{00000000-0005-0000-0000-0000C5A50000}"/>
    <cellStyle name="Normal 2 4 2 18 2 2 3 2" xfId="50620" xr:uid="{00000000-0005-0000-0000-0000C6A50000}"/>
    <cellStyle name="Normal 2 4 2 18 2 2 4" xfId="17745" xr:uid="{00000000-0005-0000-0000-0000C7A50000}"/>
    <cellStyle name="Normal 2 4 2 18 2 2 4 2" xfId="50621" xr:uid="{00000000-0005-0000-0000-0000C8A50000}"/>
    <cellStyle name="Normal 2 4 2 18 2 2 5" xfId="17746" xr:uid="{00000000-0005-0000-0000-0000C9A50000}"/>
    <cellStyle name="Normal 2 4 2 18 2 2 5 2" xfId="50622" xr:uid="{00000000-0005-0000-0000-0000CAA50000}"/>
    <cellStyle name="Normal 2 4 2 18 2 2 6" xfId="50623" xr:uid="{00000000-0005-0000-0000-0000CBA50000}"/>
    <cellStyle name="Normal 2 4 2 18 2 2 6 2" xfId="50624" xr:uid="{00000000-0005-0000-0000-0000CCA50000}"/>
    <cellStyle name="Normal 2 4 2 18 2 2 7" xfId="50625" xr:uid="{00000000-0005-0000-0000-0000CDA50000}"/>
    <cellStyle name="Normal 2 4 2 18 2 3" xfId="17747" xr:uid="{00000000-0005-0000-0000-0000CEA50000}"/>
    <cellStyle name="Normal 2 4 2 18 2 3 2" xfId="17748" xr:uid="{00000000-0005-0000-0000-0000CFA50000}"/>
    <cellStyle name="Normal 2 4 2 18 2 3 2 2" xfId="50626" xr:uid="{00000000-0005-0000-0000-0000D0A50000}"/>
    <cellStyle name="Normal 2 4 2 18 2 3 3" xfId="17749" xr:uid="{00000000-0005-0000-0000-0000D1A50000}"/>
    <cellStyle name="Normal 2 4 2 18 2 3 3 2" xfId="50627" xr:uid="{00000000-0005-0000-0000-0000D2A50000}"/>
    <cellStyle name="Normal 2 4 2 18 2 3 4" xfId="50628" xr:uid="{00000000-0005-0000-0000-0000D3A50000}"/>
    <cellStyle name="Normal 2 4 2 18 2 4" xfId="17750" xr:uid="{00000000-0005-0000-0000-0000D4A50000}"/>
    <cellStyle name="Normal 2 4 2 18 2 4 2" xfId="17751" xr:uid="{00000000-0005-0000-0000-0000D5A50000}"/>
    <cellStyle name="Normal 2 4 2 18 2 4 2 2" xfId="50629" xr:uid="{00000000-0005-0000-0000-0000D6A50000}"/>
    <cellStyle name="Normal 2 4 2 18 2 4 3" xfId="50630" xr:uid="{00000000-0005-0000-0000-0000D7A50000}"/>
    <cellStyle name="Normal 2 4 2 18 2 5" xfId="17752" xr:uid="{00000000-0005-0000-0000-0000D8A50000}"/>
    <cellStyle name="Normal 2 4 2 18 2 5 2" xfId="50631" xr:uid="{00000000-0005-0000-0000-0000D9A50000}"/>
    <cellStyle name="Normal 2 4 2 18 2 6" xfId="17753" xr:uid="{00000000-0005-0000-0000-0000DAA50000}"/>
    <cellStyle name="Normal 2 4 2 18 2 6 2" xfId="50632" xr:uid="{00000000-0005-0000-0000-0000DBA50000}"/>
    <cellStyle name="Normal 2 4 2 18 2 7" xfId="50633" xr:uid="{00000000-0005-0000-0000-0000DCA50000}"/>
    <cellStyle name="Normal 2 4 2 18 2 7 2" xfId="50634" xr:uid="{00000000-0005-0000-0000-0000DDA50000}"/>
    <cellStyle name="Normal 2 4 2 18 2 8" xfId="50635" xr:uid="{00000000-0005-0000-0000-0000DEA50000}"/>
    <cellStyle name="Normal 2 4 2 18 2 9" xfId="50636" xr:uid="{00000000-0005-0000-0000-0000DFA50000}"/>
    <cellStyle name="Normal 2 4 2 18 3" xfId="17754" xr:uid="{00000000-0005-0000-0000-0000E0A50000}"/>
    <cellStyle name="Normal 2 4 2 18 3 2" xfId="17755" xr:uid="{00000000-0005-0000-0000-0000E1A50000}"/>
    <cellStyle name="Normal 2 4 2 18 3 2 2" xfId="17756" xr:uid="{00000000-0005-0000-0000-0000E2A50000}"/>
    <cellStyle name="Normal 2 4 2 18 3 2 2 2" xfId="50637" xr:uid="{00000000-0005-0000-0000-0000E3A50000}"/>
    <cellStyle name="Normal 2 4 2 18 3 2 3" xfId="17757" xr:uid="{00000000-0005-0000-0000-0000E4A50000}"/>
    <cellStyle name="Normal 2 4 2 18 3 2 3 2" xfId="50638" xr:uid="{00000000-0005-0000-0000-0000E5A50000}"/>
    <cellStyle name="Normal 2 4 2 18 3 2 4" xfId="50639" xr:uid="{00000000-0005-0000-0000-0000E6A50000}"/>
    <cellStyle name="Normal 2 4 2 18 3 3" xfId="17758" xr:uid="{00000000-0005-0000-0000-0000E7A50000}"/>
    <cellStyle name="Normal 2 4 2 18 3 3 2" xfId="50640" xr:uid="{00000000-0005-0000-0000-0000E8A50000}"/>
    <cellStyle name="Normal 2 4 2 18 3 4" xfId="17759" xr:uid="{00000000-0005-0000-0000-0000E9A50000}"/>
    <cellStyle name="Normal 2 4 2 18 3 4 2" xfId="50641" xr:uid="{00000000-0005-0000-0000-0000EAA50000}"/>
    <cellStyle name="Normal 2 4 2 18 3 5" xfId="17760" xr:uid="{00000000-0005-0000-0000-0000EBA50000}"/>
    <cellStyle name="Normal 2 4 2 18 3 5 2" xfId="50642" xr:uid="{00000000-0005-0000-0000-0000ECA50000}"/>
    <cellStyle name="Normal 2 4 2 18 3 6" xfId="50643" xr:uid="{00000000-0005-0000-0000-0000EDA50000}"/>
    <cellStyle name="Normal 2 4 2 18 3 6 2" xfId="50644" xr:uid="{00000000-0005-0000-0000-0000EEA50000}"/>
    <cellStyle name="Normal 2 4 2 18 3 7" xfId="50645" xr:uid="{00000000-0005-0000-0000-0000EFA50000}"/>
    <cellStyle name="Normal 2 4 2 18 4" xfId="17761" xr:uid="{00000000-0005-0000-0000-0000F0A50000}"/>
    <cellStyle name="Normal 2 4 2 18 4 2" xfId="17762" xr:uid="{00000000-0005-0000-0000-0000F1A50000}"/>
    <cellStyle name="Normal 2 4 2 18 4 2 2" xfId="50646" xr:uid="{00000000-0005-0000-0000-0000F2A50000}"/>
    <cellStyle name="Normal 2 4 2 18 4 3" xfId="17763" xr:uid="{00000000-0005-0000-0000-0000F3A50000}"/>
    <cellStyle name="Normal 2 4 2 18 4 3 2" xfId="50647" xr:uid="{00000000-0005-0000-0000-0000F4A50000}"/>
    <cellStyle name="Normal 2 4 2 18 4 4" xfId="50648" xr:uid="{00000000-0005-0000-0000-0000F5A50000}"/>
    <cellStyle name="Normal 2 4 2 18 5" xfId="17764" xr:uid="{00000000-0005-0000-0000-0000F6A50000}"/>
    <cellStyle name="Normal 2 4 2 18 5 2" xfId="17765" xr:uid="{00000000-0005-0000-0000-0000F7A50000}"/>
    <cellStyle name="Normal 2 4 2 18 5 2 2" xfId="50649" xr:uid="{00000000-0005-0000-0000-0000F8A50000}"/>
    <cellStyle name="Normal 2 4 2 18 5 3" xfId="50650" xr:uid="{00000000-0005-0000-0000-0000F9A50000}"/>
    <cellStyle name="Normal 2 4 2 18 6" xfId="17766" xr:uid="{00000000-0005-0000-0000-0000FAA50000}"/>
    <cellStyle name="Normal 2 4 2 18 6 2" xfId="50651" xr:uid="{00000000-0005-0000-0000-0000FBA50000}"/>
    <cellStyle name="Normal 2 4 2 18 7" xfId="17767" xr:uid="{00000000-0005-0000-0000-0000FCA50000}"/>
    <cellStyle name="Normal 2 4 2 18 7 2" xfId="50652" xr:uid="{00000000-0005-0000-0000-0000FDA50000}"/>
    <cellStyle name="Normal 2 4 2 18 8" xfId="50653" xr:uid="{00000000-0005-0000-0000-0000FEA50000}"/>
    <cellStyle name="Normal 2 4 2 18 8 2" xfId="50654" xr:uid="{00000000-0005-0000-0000-0000FFA50000}"/>
    <cellStyle name="Normal 2 4 2 18 9" xfId="50655" xr:uid="{00000000-0005-0000-0000-000000A60000}"/>
    <cellStyle name="Normal 2 4 2 19" xfId="17768" xr:uid="{00000000-0005-0000-0000-000001A60000}"/>
    <cellStyle name="Normal 2 4 2 19 10" xfId="50656" xr:uid="{00000000-0005-0000-0000-000002A60000}"/>
    <cellStyle name="Normal 2 4 2 19 11" xfId="50657" xr:uid="{00000000-0005-0000-0000-000003A60000}"/>
    <cellStyle name="Normal 2 4 2 19 2" xfId="17769" xr:uid="{00000000-0005-0000-0000-000004A60000}"/>
    <cellStyle name="Normal 2 4 2 19 2 10" xfId="50658" xr:uid="{00000000-0005-0000-0000-000005A60000}"/>
    <cellStyle name="Normal 2 4 2 19 2 2" xfId="17770" xr:uid="{00000000-0005-0000-0000-000006A60000}"/>
    <cellStyle name="Normal 2 4 2 19 2 2 2" xfId="17771" xr:uid="{00000000-0005-0000-0000-000007A60000}"/>
    <cellStyle name="Normal 2 4 2 19 2 2 2 2" xfId="17772" xr:uid="{00000000-0005-0000-0000-000008A60000}"/>
    <cellStyle name="Normal 2 4 2 19 2 2 2 2 2" xfId="50659" xr:uid="{00000000-0005-0000-0000-000009A60000}"/>
    <cellStyle name="Normal 2 4 2 19 2 2 2 3" xfId="17773" xr:uid="{00000000-0005-0000-0000-00000AA60000}"/>
    <cellStyle name="Normal 2 4 2 19 2 2 2 3 2" xfId="50660" xr:uid="{00000000-0005-0000-0000-00000BA60000}"/>
    <cellStyle name="Normal 2 4 2 19 2 2 2 4" xfId="50661" xr:uid="{00000000-0005-0000-0000-00000CA60000}"/>
    <cellStyle name="Normal 2 4 2 19 2 2 3" xfId="17774" xr:uid="{00000000-0005-0000-0000-00000DA60000}"/>
    <cellStyle name="Normal 2 4 2 19 2 2 3 2" xfId="50662" xr:uid="{00000000-0005-0000-0000-00000EA60000}"/>
    <cellStyle name="Normal 2 4 2 19 2 2 4" xfId="17775" xr:uid="{00000000-0005-0000-0000-00000FA60000}"/>
    <cellStyle name="Normal 2 4 2 19 2 2 4 2" xfId="50663" xr:uid="{00000000-0005-0000-0000-000010A60000}"/>
    <cellStyle name="Normal 2 4 2 19 2 2 5" xfId="17776" xr:uid="{00000000-0005-0000-0000-000011A60000}"/>
    <cellStyle name="Normal 2 4 2 19 2 2 5 2" xfId="50664" xr:uid="{00000000-0005-0000-0000-000012A60000}"/>
    <cellStyle name="Normal 2 4 2 19 2 2 6" xfId="50665" xr:uid="{00000000-0005-0000-0000-000013A60000}"/>
    <cellStyle name="Normal 2 4 2 19 2 2 6 2" xfId="50666" xr:uid="{00000000-0005-0000-0000-000014A60000}"/>
    <cellStyle name="Normal 2 4 2 19 2 2 7" xfId="50667" xr:uid="{00000000-0005-0000-0000-000015A60000}"/>
    <cellStyle name="Normal 2 4 2 19 2 3" xfId="17777" xr:uid="{00000000-0005-0000-0000-000016A60000}"/>
    <cellStyle name="Normal 2 4 2 19 2 3 2" xfId="17778" xr:uid="{00000000-0005-0000-0000-000017A60000}"/>
    <cellStyle name="Normal 2 4 2 19 2 3 2 2" xfId="50668" xr:uid="{00000000-0005-0000-0000-000018A60000}"/>
    <cellStyle name="Normal 2 4 2 19 2 3 3" xfId="17779" xr:uid="{00000000-0005-0000-0000-000019A60000}"/>
    <cellStyle name="Normal 2 4 2 19 2 3 3 2" xfId="50669" xr:uid="{00000000-0005-0000-0000-00001AA60000}"/>
    <cellStyle name="Normal 2 4 2 19 2 3 4" xfId="50670" xr:uid="{00000000-0005-0000-0000-00001BA60000}"/>
    <cellStyle name="Normal 2 4 2 19 2 4" xfId="17780" xr:uid="{00000000-0005-0000-0000-00001CA60000}"/>
    <cellStyle name="Normal 2 4 2 19 2 4 2" xfId="17781" xr:uid="{00000000-0005-0000-0000-00001DA60000}"/>
    <cellStyle name="Normal 2 4 2 19 2 4 2 2" xfId="50671" xr:uid="{00000000-0005-0000-0000-00001EA60000}"/>
    <cellStyle name="Normal 2 4 2 19 2 4 3" xfId="50672" xr:uid="{00000000-0005-0000-0000-00001FA60000}"/>
    <cellStyle name="Normal 2 4 2 19 2 5" xfId="17782" xr:uid="{00000000-0005-0000-0000-000020A60000}"/>
    <cellStyle name="Normal 2 4 2 19 2 5 2" xfId="50673" xr:uid="{00000000-0005-0000-0000-000021A60000}"/>
    <cellStyle name="Normal 2 4 2 19 2 6" xfId="17783" xr:uid="{00000000-0005-0000-0000-000022A60000}"/>
    <cellStyle name="Normal 2 4 2 19 2 6 2" xfId="50674" xr:uid="{00000000-0005-0000-0000-000023A60000}"/>
    <cellStyle name="Normal 2 4 2 19 2 7" xfId="50675" xr:uid="{00000000-0005-0000-0000-000024A60000}"/>
    <cellStyle name="Normal 2 4 2 19 2 7 2" xfId="50676" xr:uid="{00000000-0005-0000-0000-000025A60000}"/>
    <cellStyle name="Normal 2 4 2 19 2 8" xfId="50677" xr:uid="{00000000-0005-0000-0000-000026A60000}"/>
    <cellStyle name="Normal 2 4 2 19 2 9" xfId="50678" xr:uid="{00000000-0005-0000-0000-000027A60000}"/>
    <cellStyle name="Normal 2 4 2 19 3" xfId="17784" xr:uid="{00000000-0005-0000-0000-000028A60000}"/>
    <cellStyle name="Normal 2 4 2 19 3 2" xfId="17785" xr:uid="{00000000-0005-0000-0000-000029A60000}"/>
    <cellStyle name="Normal 2 4 2 19 3 2 2" xfId="17786" xr:uid="{00000000-0005-0000-0000-00002AA60000}"/>
    <cellStyle name="Normal 2 4 2 19 3 2 2 2" xfId="50679" xr:uid="{00000000-0005-0000-0000-00002BA60000}"/>
    <cellStyle name="Normal 2 4 2 19 3 2 3" xfId="17787" xr:uid="{00000000-0005-0000-0000-00002CA60000}"/>
    <cellStyle name="Normal 2 4 2 19 3 2 3 2" xfId="50680" xr:uid="{00000000-0005-0000-0000-00002DA60000}"/>
    <cellStyle name="Normal 2 4 2 19 3 2 4" xfId="50681" xr:uid="{00000000-0005-0000-0000-00002EA60000}"/>
    <cellStyle name="Normal 2 4 2 19 3 3" xfId="17788" xr:uid="{00000000-0005-0000-0000-00002FA60000}"/>
    <cellStyle name="Normal 2 4 2 19 3 3 2" xfId="50682" xr:uid="{00000000-0005-0000-0000-000030A60000}"/>
    <cellStyle name="Normal 2 4 2 19 3 4" xfId="17789" xr:uid="{00000000-0005-0000-0000-000031A60000}"/>
    <cellStyle name="Normal 2 4 2 19 3 4 2" xfId="50683" xr:uid="{00000000-0005-0000-0000-000032A60000}"/>
    <cellStyle name="Normal 2 4 2 19 3 5" xfId="17790" xr:uid="{00000000-0005-0000-0000-000033A60000}"/>
    <cellStyle name="Normal 2 4 2 19 3 5 2" xfId="50684" xr:uid="{00000000-0005-0000-0000-000034A60000}"/>
    <cellStyle name="Normal 2 4 2 19 3 6" xfId="50685" xr:uid="{00000000-0005-0000-0000-000035A60000}"/>
    <cellStyle name="Normal 2 4 2 19 3 6 2" xfId="50686" xr:uid="{00000000-0005-0000-0000-000036A60000}"/>
    <cellStyle name="Normal 2 4 2 19 3 7" xfId="50687" xr:uid="{00000000-0005-0000-0000-000037A60000}"/>
    <cellStyle name="Normal 2 4 2 19 4" xfId="17791" xr:uid="{00000000-0005-0000-0000-000038A60000}"/>
    <cellStyle name="Normal 2 4 2 19 4 2" xfId="17792" xr:uid="{00000000-0005-0000-0000-000039A60000}"/>
    <cellStyle name="Normal 2 4 2 19 4 2 2" xfId="50688" xr:uid="{00000000-0005-0000-0000-00003AA60000}"/>
    <cellStyle name="Normal 2 4 2 19 4 3" xfId="17793" xr:uid="{00000000-0005-0000-0000-00003BA60000}"/>
    <cellStyle name="Normal 2 4 2 19 4 3 2" xfId="50689" xr:uid="{00000000-0005-0000-0000-00003CA60000}"/>
    <cellStyle name="Normal 2 4 2 19 4 4" xfId="50690" xr:uid="{00000000-0005-0000-0000-00003DA60000}"/>
    <cellStyle name="Normal 2 4 2 19 5" xfId="17794" xr:uid="{00000000-0005-0000-0000-00003EA60000}"/>
    <cellStyle name="Normal 2 4 2 19 5 2" xfId="17795" xr:uid="{00000000-0005-0000-0000-00003FA60000}"/>
    <cellStyle name="Normal 2 4 2 19 5 2 2" xfId="50691" xr:uid="{00000000-0005-0000-0000-000040A60000}"/>
    <cellStyle name="Normal 2 4 2 19 5 3" xfId="50692" xr:uid="{00000000-0005-0000-0000-000041A60000}"/>
    <cellStyle name="Normal 2 4 2 19 6" xfId="17796" xr:uid="{00000000-0005-0000-0000-000042A60000}"/>
    <cellStyle name="Normal 2 4 2 19 6 2" xfId="50693" xr:uid="{00000000-0005-0000-0000-000043A60000}"/>
    <cellStyle name="Normal 2 4 2 19 7" xfId="17797" xr:uid="{00000000-0005-0000-0000-000044A60000}"/>
    <cellStyle name="Normal 2 4 2 19 7 2" xfId="50694" xr:uid="{00000000-0005-0000-0000-000045A60000}"/>
    <cellStyle name="Normal 2 4 2 19 8" xfId="50695" xr:uid="{00000000-0005-0000-0000-000046A60000}"/>
    <cellStyle name="Normal 2 4 2 19 8 2" xfId="50696" xr:uid="{00000000-0005-0000-0000-000047A60000}"/>
    <cellStyle name="Normal 2 4 2 19 9" xfId="50697" xr:uid="{00000000-0005-0000-0000-000048A60000}"/>
    <cellStyle name="Normal 2 4 2 2" xfId="17798" xr:uid="{00000000-0005-0000-0000-000049A60000}"/>
    <cellStyle name="Normal 2 4 2 2 10" xfId="50698" xr:uid="{00000000-0005-0000-0000-00004AA60000}"/>
    <cellStyle name="Normal 2 4 2 2 11" xfId="50699" xr:uid="{00000000-0005-0000-0000-00004BA60000}"/>
    <cellStyle name="Normal 2 4 2 2 2" xfId="17799" xr:uid="{00000000-0005-0000-0000-00004CA60000}"/>
    <cellStyle name="Normal 2 4 2 2 2 10" xfId="50700" xr:uid="{00000000-0005-0000-0000-00004DA60000}"/>
    <cellStyle name="Normal 2 4 2 2 2 2" xfId="17800" xr:uid="{00000000-0005-0000-0000-00004EA60000}"/>
    <cellStyle name="Normal 2 4 2 2 2 2 2" xfId="17801" xr:uid="{00000000-0005-0000-0000-00004FA60000}"/>
    <cellStyle name="Normal 2 4 2 2 2 2 2 2" xfId="17802" xr:uid="{00000000-0005-0000-0000-000050A60000}"/>
    <cellStyle name="Normal 2 4 2 2 2 2 2 2 2" xfId="50701" xr:uid="{00000000-0005-0000-0000-000051A60000}"/>
    <cellStyle name="Normal 2 4 2 2 2 2 2 3" xfId="17803" xr:uid="{00000000-0005-0000-0000-000052A60000}"/>
    <cellStyle name="Normal 2 4 2 2 2 2 2 3 2" xfId="50702" xr:uid="{00000000-0005-0000-0000-000053A60000}"/>
    <cellStyle name="Normal 2 4 2 2 2 2 2 4" xfId="50703" xr:uid="{00000000-0005-0000-0000-000054A60000}"/>
    <cellStyle name="Normal 2 4 2 2 2 2 3" xfId="17804" xr:uid="{00000000-0005-0000-0000-000055A60000}"/>
    <cellStyle name="Normal 2 4 2 2 2 2 3 2" xfId="50704" xr:uid="{00000000-0005-0000-0000-000056A60000}"/>
    <cellStyle name="Normal 2 4 2 2 2 2 4" xfId="17805" xr:uid="{00000000-0005-0000-0000-000057A60000}"/>
    <cellStyle name="Normal 2 4 2 2 2 2 4 2" xfId="50705" xr:uid="{00000000-0005-0000-0000-000058A60000}"/>
    <cellStyle name="Normal 2 4 2 2 2 2 5" xfId="17806" xr:uid="{00000000-0005-0000-0000-000059A60000}"/>
    <cellStyle name="Normal 2 4 2 2 2 2 5 2" xfId="50706" xr:uid="{00000000-0005-0000-0000-00005AA60000}"/>
    <cellStyle name="Normal 2 4 2 2 2 2 6" xfId="50707" xr:uid="{00000000-0005-0000-0000-00005BA60000}"/>
    <cellStyle name="Normal 2 4 2 2 2 2 6 2" xfId="50708" xr:uid="{00000000-0005-0000-0000-00005CA60000}"/>
    <cellStyle name="Normal 2 4 2 2 2 2 7" xfId="50709" xr:uid="{00000000-0005-0000-0000-00005DA60000}"/>
    <cellStyle name="Normal 2 4 2 2 2 3" xfId="17807" xr:uid="{00000000-0005-0000-0000-00005EA60000}"/>
    <cellStyle name="Normal 2 4 2 2 2 3 2" xfId="17808" xr:uid="{00000000-0005-0000-0000-00005FA60000}"/>
    <cellStyle name="Normal 2 4 2 2 2 3 2 2" xfId="50710" xr:uid="{00000000-0005-0000-0000-000060A60000}"/>
    <cellStyle name="Normal 2 4 2 2 2 3 3" xfId="17809" xr:uid="{00000000-0005-0000-0000-000061A60000}"/>
    <cellStyle name="Normal 2 4 2 2 2 3 3 2" xfId="50711" xr:uid="{00000000-0005-0000-0000-000062A60000}"/>
    <cellStyle name="Normal 2 4 2 2 2 3 4" xfId="50712" xr:uid="{00000000-0005-0000-0000-000063A60000}"/>
    <cellStyle name="Normal 2 4 2 2 2 4" xfId="17810" xr:uid="{00000000-0005-0000-0000-000064A60000}"/>
    <cellStyle name="Normal 2 4 2 2 2 4 2" xfId="17811" xr:uid="{00000000-0005-0000-0000-000065A60000}"/>
    <cellStyle name="Normal 2 4 2 2 2 4 2 2" xfId="50713" xr:uid="{00000000-0005-0000-0000-000066A60000}"/>
    <cellStyle name="Normal 2 4 2 2 2 4 3" xfId="50714" xr:uid="{00000000-0005-0000-0000-000067A60000}"/>
    <cellStyle name="Normal 2 4 2 2 2 5" xfId="17812" xr:uid="{00000000-0005-0000-0000-000068A60000}"/>
    <cellStyle name="Normal 2 4 2 2 2 5 2" xfId="50715" xr:uid="{00000000-0005-0000-0000-000069A60000}"/>
    <cellStyle name="Normal 2 4 2 2 2 6" xfId="17813" xr:uid="{00000000-0005-0000-0000-00006AA60000}"/>
    <cellStyle name="Normal 2 4 2 2 2 6 2" xfId="50716" xr:uid="{00000000-0005-0000-0000-00006BA60000}"/>
    <cellStyle name="Normal 2 4 2 2 2 7" xfId="50717" xr:uid="{00000000-0005-0000-0000-00006CA60000}"/>
    <cellStyle name="Normal 2 4 2 2 2 7 2" xfId="50718" xr:uid="{00000000-0005-0000-0000-00006DA60000}"/>
    <cellStyle name="Normal 2 4 2 2 2 8" xfId="50719" xr:uid="{00000000-0005-0000-0000-00006EA60000}"/>
    <cellStyle name="Normal 2 4 2 2 2 9" xfId="50720" xr:uid="{00000000-0005-0000-0000-00006FA60000}"/>
    <cellStyle name="Normal 2 4 2 2 3" xfId="17814" xr:uid="{00000000-0005-0000-0000-000070A60000}"/>
    <cellStyle name="Normal 2 4 2 2 3 2" xfId="17815" xr:uid="{00000000-0005-0000-0000-000071A60000}"/>
    <cellStyle name="Normal 2 4 2 2 3 2 2" xfId="17816" xr:uid="{00000000-0005-0000-0000-000072A60000}"/>
    <cellStyle name="Normal 2 4 2 2 3 2 2 2" xfId="50721" xr:uid="{00000000-0005-0000-0000-000073A60000}"/>
    <cellStyle name="Normal 2 4 2 2 3 2 3" xfId="17817" xr:uid="{00000000-0005-0000-0000-000074A60000}"/>
    <cellStyle name="Normal 2 4 2 2 3 2 3 2" xfId="50722" xr:uid="{00000000-0005-0000-0000-000075A60000}"/>
    <cellStyle name="Normal 2 4 2 2 3 2 4" xfId="50723" xr:uid="{00000000-0005-0000-0000-000076A60000}"/>
    <cellStyle name="Normal 2 4 2 2 3 3" xfId="17818" xr:uid="{00000000-0005-0000-0000-000077A60000}"/>
    <cellStyle name="Normal 2 4 2 2 3 3 2" xfId="50724" xr:uid="{00000000-0005-0000-0000-000078A60000}"/>
    <cellStyle name="Normal 2 4 2 2 3 4" xfId="17819" xr:uid="{00000000-0005-0000-0000-000079A60000}"/>
    <cellStyle name="Normal 2 4 2 2 3 4 2" xfId="50725" xr:uid="{00000000-0005-0000-0000-00007AA60000}"/>
    <cellStyle name="Normal 2 4 2 2 3 5" xfId="17820" xr:uid="{00000000-0005-0000-0000-00007BA60000}"/>
    <cellStyle name="Normal 2 4 2 2 3 5 2" xfId="50726" xr:uid="{00000000-0005-0000-0000-00007CA60000}"/>
    <cellStyle name="Normal 2 4 2 2 3 6" xfId="50727" xr:uid="{00000000-0005-0000-0000-00007DA60000}"/>
    <cellStyle name="Normal 2 4 2 2 3 6 2" xfId="50728" xr:uid="{00000000-0005-0000-0000-00007EA60000}"/>
    <cellStyle name="Normal 2 4 2 2 3 7" xfId="50729" xr:uid="{00000000-0005-0000-0000-00007FA60000}"/>
    <cellStyle name="Normal 2 4 2 2 4" xfId="17821" xr:uid="{00000000-0005-0000-0000-000080A60000}"/>
    <cellStyle name="Normal 2 4 2 2 4 2" xfId="17822" xr:uid="{00000000-0005-0000-0000-000081A60000}"/>
    <cellStyle name="Normal 2 4 2 2 4 2 2" xfId="50730" xr:uid="{00000000-0005-0000-0000-000082A60000}"/>
    <cellStyle name="Normal 2 4 2 2 4 3" xfId="17823" xr:uid="{00000000-0005-0000-0000-000083A60000}"/>
    <cellStyle name="Normal 2 4 2 2 4 3 2" xfId="50731" xr:uid="{00000000-0005-0000-0000-000084A60000}"/>
    <cellStyle name="Normal 2 4 2 2 4 4" xfId="50732" xr:uid="{00000000-0005-0000-0000-000085A60000}"/>
    <cellStyle name="Normal 2 4 2 2 5" xfId="17824" xr:uid="{00000000-0005-0000-0000-000086A60000}"/>
    <cellStyle name="Normal 2 4 2 2 5 2" xfId="17825" xr:uid="{00000000-0005-0000-0000-000087A60000}"/>
    <cellStyle name="Normal 2 4 2 2 5 2 2" xfId="50733" xr:uid="{00000000-0005-0000-0000-000088A60000}"/>
    <cellStyle name="Normal 2 4 2 2 5 3" xfId="50734" xr:uid="{00000000-0005-0000-0000-000089A60000}"/>
    <cellStyle name="Normal 2 4 2 2 6" xfId="17826" xr:uid="{00000000-0005-0000-0000-00008AA60000}"/>
    <cellStyle name="Normal 2 4 2 2 6 2" xfId="50735" xr:uid="{00000000-0005-0000-0000-00008BA60000}"/>
    <cellStyle name="Normal 2 4 2 2 7" xfId="17827" xr:uid="{00000000-0005-0000-0000-00008CA60000}"/>
    <cellStyle name="Normal 2 4 2 2 7 2" xfId="50736" xr:uid="{00000000-0005-0000-0000-00008DA60000}"/>
    <cellStyle name="Normal 2 4 2 2 8" xfId="50737" xr:uid="{00000000-0005-0000-0000-00008EA60000}"/>
    <cellStyle name="Normal 2 4 2 2 8 2" xfId="50738" xr:uid="{00000000-0005-0000-0000-00008FA60000}"/>
    <cellStyle name="Normal 2 4 2 2 9" xfId="50739" xr:uid="{00000000-0005-0000-0000-000090A60000}"/>
    <cellStyle name="Normal 2 4 2 20" xfId="17828" xr:uid="{00000000-0005-0000-0000-000091A60000}"/>
    <cellStyle name="Normal 2 4 2 20 10" xfId="50740" xr:uid="{00000000-0005-0000-0000-000092A60000}"/>
    <cellStyle name="Normal 2 4 2 20 11" xfId="50741" xr:uid="{00000000-0005-0000-0000-000093A60000}"/>
    <cellStyle name="Normal 2 4 2 20 2" xfId="17829" xr:uid="{00000000-0005-0000-0000-000094A60000}"/>
    <cellStyle name="Normal 2 4 2 20 2 10" xfId="50742" xr:uid="{00000000-0005-0000-0000-000095A60000}"/>
    <cellStyle name="Normal 2 4 2 20 2 2" xfId="17830" xr:uid="{00000000-0005-0000-0000-000096A60000}"/>
    <cellStyle name="Normal 2 4 2 20 2 2 2" xfId="17831" xr:uid="{00000000-0005-0000-0000-000097A60000}"/>
    <cellStyle name="Normal 2 4 2 20 2 2 2 2" xfId="17832" xr:uid="{00000000-0005-0000-0000-000098A60000}"/>
    <cellStyle name="Normal 2 4 2 20 2 2 2 2 2" xfId="50743" xr:uid="{00000000-0005-0000-0000-000099A60000}"/>
    <cellStyle name="Normal 2 4 2 20 2 2 2 3" xfId="17833" xr:uid="{00000000-0005-0000-0000-00009AA60000}"/>
    <cellStyle name="Normal 2 4 2 20 2 2 2 3 2" xfId="50744" xr:uid="{00000000-0005-0000-0000-00009BA60000}"/>
    <cellStyle name="Normal 2 4 2 20 2 2 2 4" xfId="50745" xr:uid="{00000000-0005-0000-0000-00009CA60000}"/>
    <cellStyle name="Normal 2 4 2 20 2 2 3" xfId="17834" xr:uid="{00000000-0005-0000-0000-00009DA60000}"/>
    <cellStyle name="Normal 2 4 2 20 2 2 3 2" xfId="50746" xr:uid="{00000000-0005-0000-0000-00009EA60000}"/>
    <cellStyle name="Normal 2 4 2 20 2 2 4" xfId="17835" xr:uid="{00000000-0005-0000-0000-00009FA60000}"/>
    <cellStyle name="Normal 2 4 2 20 2 2 4 2" xfId="50747" xr:uid="{00000000-0005-0000-0000-0000A0A60000}"/>
    <cellStyle name="Normal 2 4 2 20 2 2 5" xfId="17836" xr:uid="{00000000-0005-0000-0000-0000A1A60000}"/>
    <cellStyle name="Normal 2 4 2 20 2 2 5 2" xfId="50748" xr:uid="{00000000-0005-0000-0000-0000A2A60000}"/>
    <cellStyle name="Normal 2 4 2 20 2 2 6" xfId="50749" xr:uid="{00000000-0005-0000-0000-0000A3A60000}"/>
    <cellStyle name="Normal 2 4 2 20 2 2 6 2" xfId="50750" xr:uid="{00000000-0005-0000-0000-0000A4A60000}"/>
    <cellStyle name="Normal 2 4 2 20 2 2 7" xfId="50751" xr:uid="{00000000-0005-0000-0000-0000A5A60000}"/>
    <cellStyle name="Normal 2 4 2 20 2 3" xfId="17837" xr:uid="{00000000-0005-0000-0000-0000A6A60000}"/>
    <cellStyle name="Normal 2 4 2 20 2 3 2" xfId="17838" xr:uid="{00000000-0005-0000-0000-0000A7A60000}"/>
    <cellStyle name="Normal 2 4 2 20 2 3 2 2" xfId="50752" xr:uid="{00000000-0005-0000-0000-0000A8A60000}"/>
    <cellStyle name="Normal 2 4 2 20 2 3 3" xfId="17839" xr:uid="{00000000-0005-0000-0000-0000A9A60000}"/>
    <cellStyle name="Normal 2 4 2 20 2 3 3 2" xfId="50753" xr:uid="{00000000-0005-0000-0000-0000AAA60000}"/>
    <cellStyle name="Normal 2 4 2 20 2 3 4" xfId="50754" xr:uid="{00000000-0005-0000-0000-0000ABA60000}"/>
    <cellStyle name="Normal 2 4 2 20 2 4" xfId="17840" xr:uid="{00000000-0005-0000-0000-0000ACA60000}"/>
    <cellStyle name="Normal 2 4 2 20 2 4 2" xfId="17841" xr:uid="{00000000-0005-0000-0000-0000ADA60000}"/>
    <cellStyle name="Normal 2 4 2 20 2 4 2 2" xfId="50755" xr:uid="{00000000-0005-0000-0000-0000AEA60000}"/>
    <cellStyle name="Normal 2 4 2 20 2 4 3" xfId="50756" xr:uid="{00000000-0005-0000-0000-0000AFA60000}"/>
    <cellStyle name="Normal 2 4 2 20 2 5" xfId="17842" xr:uid="{00000000-0005-0000-0000-0000B0A60000}"/>
    <cellStyle name="Normal 2 4 2 20 2 5 2" xfId="50757" xr:uid="{00000000-0005-0000-0000-0000B1A60000}"/>
    <cellStyle name="Normal 2 4 2 20 2 6" xfId="17843" xr:uid="{00000000-0005-0000-0000-0000B2A60000}"/>
    <cellStyle name="Normal 2 4 2 20 2 6 2" xfId="50758" xr:uid="{00000000-0005-0000-0000-0000B3A60000}"/>
    <cellStyle name="Normal 2 4 2 20 2 7" xfId="50759" xr:uid="{00000000-0005-0000-0000-0000B4A60000}"/>
    <cellStyle name="Normal 2 4 2 20 2 7 2" xfId="50760" xr:uid="{00000000-0005-0000-0000-0000B5A60000}"/>
    <cellStyle name="Normal 2 4 2 20 2 8" xfId="50761" xr:uid="{00000000-0005-0000-0000-0000B6A60000}"/>
    <cellStyle name="Normal 2 4 2 20 2 9" xfId="50762" xr:uid="{00000000-0005-0000-0000-0000B7A60000}"/>
    <cellStyle name="Normal 2 4 2 20 3" xfId="17844" xr:uid="{00000000-0005-0000-0000-0000B8A60000}"/>
    <cellStyle name="Normal 2 4 2 20 3 2" xfId="17845" xr:uid="{00000000-0005-0000-0000-0000B9A60000}"/>
    <cellStyle name="Normal 2 4 2 20 3 2 2" xfId="17846" xr:uid="{00000000-0005-0000-0000-0000BAA60000}"/>
    <cellStyle name="Normal 2 4 2 20 3 2 2 2" xfId="50763" xr:uid="{00000000-0005-0000-0000-0000BBA60000}"/>
    <cellStyle name="Normal 2 4 2 20 3 2 3" xfId="17847" xr:uid="{00000000-0005-0000-0000-0000BCA60000}"/>
    <cellStyle name="Normal 2 4 2 20 3 2 3 2" xfId="50764" xr:uid="{00000000-0005-0000-0000-0000BDA60000}"/>
    <cellStyle name="Normal 2 4 2 20 3 2 4" xfId="50765" xr:uid="{00000000-0005-0000-0000-0000BEA60000}"/>
    <cellStyle name="Normal 2 4 2 20 3 3" xfId="17848" xr:uid="{00000000-0005-0000-0000-0000BFA60000}"/>
    <cellStyle name="Normal 2 4 2 20 3 3 2" xfId="50766" xr:uid="{00000000-0005-0000-0000-0000C0A60000}"/>
    <cellStyle name="Normal 2 4 2 20 3 4" xfId="17849" xr:uid="{00000000-0005-0000-0000-0000C1A60000}"/>
    <cellStyle name="Normal 2 4 2 20 3 4 2" xfId="50767" xr:uid="{00000000-0005-0000-0000-0000C2A60000}"/>
    <cellStyle name="Normal 2 4 2 20 3 5" xfId="17850" xr:uid="{00000000-0005-0000-0000-0000C3A60000}"/>
    <cellStyle name="Normal 2 4 2 20 3 5 2" xfId="50768" xr:uid="{00000000-0005-0000-0000-0000C4A60000}"/>
    <cellStyle name="Normal 2 4 2 20 3 6" xfId="50769" xr:uid="{00000000-0005-0000-0000-0000C5A60000}"/>
    <cellStyle name="Normal 2 4 2 20 3 6 2" xfId="50770" xr:uid="{00000000-0005-0000-0000-0000C6A60000}"/>
    <cellStyle name="Normal 2 4 2 20 3 7" xfId="50771" xr:uid="{00000000-0005-0000-0000-0000C7A60000}"/>
    <cellStyle name="Normal 2 4 2 20 4" xfId="17851" xr:uid="{00000000-0005-0000-0000-0000C8A60000}"/>
    <cellStyle name="Normal 2 4 2 20 4 2" xfId="17852" xr:uid="{00000000-0005-0000-0000-0000C9A60000}"/>
    <cellStyle name="Normal 2 4 2 20 4 2 2" xfId="50772" xr:uid="{00000000-0005-0000-0000-0000CAA60000}"/>
    <cellStyle name="Normal 2 4 2 20 4 3" xfId="17853" xr:uid="{00000000-0005-0000-0000-0000CBA60000}"/>
    <cellStyle name="Normal 2 4 2 20 4 3 2" xfId="50773" xr:uid="{00000000-0005-0000-0000-0000CCA60000}"/>
    <cellStyle name="Normal 2 4 2 20 4 4" xfId="50774" xr:uid="{00000000-0005-0000-0000-0000CDA60000}"/>
    <cellStyle name="Normal 2 4 2 20 5" xfId="17854" xr:uid="{00000000-0005-0000-0000-0000CEA60000}"/>
    <cellStyle name="Normal 2 4 2 20 5 2" xfId="17855" xr:uid="{00000000-0005-0000-0000-0000CFA60000}"/>
    <cellStyle name="Normal 2 4 2 20 5 2 2" xfId="50775" xr:uid="{00000000-0005-0000-0000-0000D0A60000}"/>
    <cellStyle name="Normal 2 4 2 20 5 3" xfId="50776" xr:uid="{00000000-0005-0000-0000-0000D1A60000}"/>
    <cellStyle name="Normal 2 4 2 20 6" xfId="17856" xr:uid="{00000000-0005-0000-0000-0000D2A60000}"/>
    <cellStyle name="Normal 2 4 2 20 6 2" xfId="50777" xr:uid="{00000000-0005-0000-0000-0000D3A60000}"/>
    <cellStyle name="Normal 2 4 2 20 7" xfId="17857" xr:uid="{00000000-0005-0000-0000-0000D4A60000}"/>
    <cellStyle name="Normal 2 4 2 20 7 2" xfId="50778" xr:uid="{00000000-0005-0000-0000-0000D5A60000}"/>
    <cellStyle name="Normal 2 4 2 20 8" xfId="50779" xr:uid="{00000000-0005-0000-0000-0000D6A60000}"/>
    <cellStyle name="Normal 2 4 2 20 8 2" xfId="50780" xr:uid="{00000000-0005-0000-0000-0000D7A60000}"/>
    <cellStyle name="Normal 2 4 2 20 9" xfId="50781" xr:uid="{00000000-0005-0000-0000-0000D8A60000}"/>
    <cellStyle name="Normal 2 4 2 21" xfId="17858" xr:uid="{00000000-0005-0000-0000-0000D9A60000}"/>
    <cellStyle name="Normal 2 4 2 21 10" xfId="50782" xr:uid="{00000000-0005-0000-0000-0000DAA60000}"/>
    <cellStyle name="Normal 2 4 2 21 11" xfId="50783" xr:uid="{00000000-0005-0000-0000-0000DBA60000}"/>
    <cellStyle name="Normal 2 4 2 21 2" xfId="17859" xr:uid="{00000000-0005-0000-0000-0000DCA60000}"/>
    <cellStyle name="Normal 2 4 2 21 2 10" xfId="50784" xr:uid="{00000000-0005-0000-0000-0000DDA60000}"/>
    <cellStyle name="Normal 2 4 2 21 2 2" xfId="17860" xr:uid="{00000000-0005-0000-0000-0000DEA60000}"/>
    <cellStyle name="Normal 2 4 2 21 2 2 2" xfId="17861" xr:uid="{00000000-0005-0000-0000-0000DFA60000}"/>
    <cellStyle name="Normal 2 4 2 21 2 2 2 2" xfId="17862" xr:uid="{00000000-0005-0000-0000-0000E0A60000}"/>
    <cellStyle name="Normal 2 4 2 21 2 2 2 2 2" xfId="50785" xr:uid="{00000000-0005-0000-0000-0000E1A60000}"/>
    <cellStyle name="Normal 2 4 2 21 2 2 2 3" xfId="17863" xr:uid="{00000000-0005-0000-0000-0000E2A60000}"/>
    <cellStyle name="Normal 2 4 2 21 2 2 2 3 2" xfId="50786" xr:uid="{00000000-0005-0000-0000-0000E3A60000}"/>
    <cellStyle name="Normal 2 4 2 21 2 2 2 4" xfId="50787" xr:uid="{00000000-0005-0000-0000-0000E4A60000}"/>
    <cellStyle name="Normal 2 4 2 21 2 2 3" xfId="17864" xr:uid="{00000000-0005-0000-0000-0000E5A60000}"/>
    <cellStyle name="Normal 2 4 2 21 2 2 3 2" xfId="50788" xr:uid="{00000000-0005-0000-0000-0000E6A60000}"/>
    <cellStyle name="Normal 2 4 2 21 2 2 4" xfId="17865" xr:uid="{00000000-0005-0000-0000-0000E7A60000}"/>
    <cellStyle name="Normal 2 4 2 21 2 2 4 2" xfId="50789" xr:uid="{00000000-0005-0000-0000-0000E8A60000}"/>
    <cellStyle name="Normal 2 4 2 21 2 2 5" xfId="17866" xr:uid="{00000000-0005-0000-0000-0000E9A60000}"/>
    <cellStyle name="Normal 2 4 2 21 2 2 5 2" xfId="50790" xr:uid="{00000000-0005-0000-0000-0000EAA60000}"/>
    <cellStyle name="Normal 2 4 2 21 2 2 6" xfId="50791" xr:uid="{00000000-0005-0000-0000-0000EBA60000}"/>
    <cellStyle name="Normal 2 4 2 21 2 2 6 2" xfId="50792" xr:uid="{00000000-0005-0000-0000-0000ECA60000}"/>
    <cellStyle name="Normal 2 4 2 21 2 2 7" xfId="50793" xr:uid="{00000000-0005-0000-0000-0000EDA60000}"/>
    <cellStyle name="Normal 2 4 2 21 2 3" xfId="17867" xr:uid="{00000000-0005-0000-0000-0000EEA60000}"/>
    <cellStyle name="Normal 2 4 2 21 2 3 2" xfId="17868" xr:uid="{00000000-0005-0000-0000-0000EFA60000}"/>
    <cellStyle name="Normal 2 4 2 21 2 3 2 2" xfId="50794" xr:uid="{00000000-0005-0000-0000-0000F0A60000}"/>
    <cellStyle name="Normal 2 4 2 21 2 3 3" xfId="17869" xr:uid="{00000000-0005-0000-0000-0000F1A60000}"/>
    <cellStyle name="Normal 2 4 2 21 2 3 3 2" xfId="50795" xr:uid="{00000000-0005-0000-0000-0000F2A60000}"/>
    <cellStyle name="Normal 2 4 2 21 2 3 4" xfId="50796" xr:uid="{00000000-0005-0000-0000-0000F3A60000}"/>
    <cellStyle name="Normal 2 4 2 21 2 4" xfId="17870" xr:uid="{00000000-0005-0000-0000-0000F4A60000}"/>
    <cellStyle name="Normal 2 4 2 21 2 4 2" xfId="17871" xr:uid="{00000000-0005-0000-0000-0000F5A60000}"/>
    <cellStyle name="Normal 2 4 2 21 2 4 2 2" xfId="50797" xr:uid="{00000000-0005-0000-0000-0000F6A60000}"/>
    <cellStyle name="Normal 2 4 2 21 2 4 3" xfId="50798" xr:uid="{00000000-0005-0000-0000-0000F7A60000}"/>
    <cellStyle name="Normal 2 4 2 21 2 5" xfId="17872" xr:uid="{00000000-0005-0000-0000-0000F8A60000}"/>
    <cellStyle name="Normal 2 4 2 21 2 5 2" xfId="50799" xr:uid="{00000000-0005-0000-0000-0000F9A60000}"/>
    <cellStyle name="Normal 2 4 2 21 2 6" xfId="17873" xr:uid="{00000000-0005-0000-0000-0000FAA60000}"/>
    <cellStyle name="Normal 2 4 2 21 2 6 2" xfId="50800" xr:uid="{00000000-0005-0000-0000-0000FBA60000}"/>
    <cellStyle name="Normal 2 4 2 21 2 7" xfId="50801" xr:uid="{00000000-0005-0000-0000-0000FCA60000}"/>
    <cellStyle name="Normal 2 4 2 21 2 7 2" xfId="50802" xr:uid="{00000000-0005-0000-0000-0000FDA60000}"/>
    <cellStyle name="Normal 2 4 2 21 2 8" xfId="50803" xr:uid="{00000000-0005-0000-0000-0000FEA60000}"/>
    <cellStyle name="Normal 2 4 2 21 2 9" xfId="50804" xr:uid="{00000000-0005-0000-0000-0000FFA60000}"/>
    <cellStyle name="Normal 2 4 2 21 3" xfId="17874" xr:uid="{00000000-0005-0000-0000-000000A70000}"/>
    <cellStyle name="Normal 2 4 2 21 3 2" xfId="17875" xr:uid="{00000000-0005-0000-0000-000001A70000}"/>
    <cellStyle name="Normal 2 4 2 21 3 2 2" xfId="17876" xr:uid="{00000000-0005-0000-0000-000002A70000}"/>
    <cellStyle name="Normal 2 4 2 21 3 2 2 2" xfId="50805" xr:uid="{00000000-0005-0000-0000-000003A70000}"/>
    <cellStyle name="Normal 2 4 2 21 3 2 3" xfId="17877" xr:uid="{00000000-0005-0000-0000-000004A70000}"/>
    <cellStyle name="Normal 2 4 2 21 3 2 3 2" xfId="50806" xr:uid="{00000000-0005-0000-0000-000005A70000}"/>
    <cellStyle name="Normal 2 4 2 21 3 2 4" xfId="50807" xr:uid="{00000000-0005-0000-0000-000006A70000}"/>
    <cellStyle name="Normal 2 4 2 21 3 3" xfId="17878" xr:uid="{00000000-0005-0000-0000-000007A70000}"/>
    <cellStyle name="Normal 2 4 2 21 3 3 2" xfId="50808" xr:uid="{00000000-0005-0000-0000-000008A70000}"/>
    <cellStyle name="Normal 2 4 2 21 3 4" xfId="17879" xr:uid="{00000000-0005-0000-0000-000009A70000}"/>
    <cellStyle name="Normal 2 4 2 21 3 4 2" xfId="50809" xr:uid="{00000000-0005-0000-0000-00000AA70000}"/>
    <cellStyle name="Normal 2 4 2 21 3 5" xfId="17880" xr:uid="{00000000-0005-0000-0000-00000BA70000}"/>
    <cellStyle name="Normal 2 4 2 21 3 5 2" xfId="50810" xr:uid="{00000000-0005-0000-0000-00000CA70000}"/>
    <cellStyle name="Normal 2 4 2 21 3 6" xfId="50811" xr:uid="{00000000-0005-0000-0000-00000DA70000}"/>
    <cellStyle name="Normal 2 4 2 21 3 6 2" xfId="50812" xr:uid="{00000000-0005-0000-0000-00000EA70000}"/>
    <cellStyle name="Normal 2 4 2 21 3 7" xfId="50813" xr:uid="{00000000-0005-0000-0000-00000FA70000}"/>
    <cellStyle name="Normal 2 4 2 21 4" xfId="17881" xr:uid="{00000000-0005-0000-0000-000010A70000}"/>
    <cellStyle name="Normal 2 4 2 21 4 2" xfId="17882" xr:uid="{00000000-0005-0000-0000-000011A70000}"/>
    <cellStyle name="Normal 2 4 2 21 4 2 2" xfId="50814" xr:uid="{00000000-0005-0000-0000-000012A70000}"/>
    <cellStyle name="Normal 2 4 2 21 4 3" xfId="17883" xr:uid="{00000000-0005-0000-0000-000013A70000}"/>
    <cellStyle name="Normal 2 4 2 21 4 3 2" xfId="50815" xr:uid="{00000000-0005-0000-0000-000014A70000}"/>
    <cellStyle name="Normal 2 4 2 21 4 4" xfId="50816" xr:uid="{00000000-0005-0000-0000-000015A70000}"/>
    <cellStyle name="Normal 2 4 2 21 5" xfId="17884" xr:uid="{00000000-0005-0000-0000-000016A70000}"/>
    <cellStyle name="Normal 2 4 2 21 5 2" xfId="17885" xr:uid="{00000000-0005-0000-0000-000017A70000}"/>
    <cellStyle name="Normal 2 4 2 21 5 2 2" xfId="50817" xr:uid="{00000000-0005-0000-0000-000018A70000}"/>
    <cellStyle name="Normal 2 4 2 21 5 3" xfId="50818" xr:uid="{00000000-0005-0000-0000-000019A70000}"/>
    <cellStyle name="Normal 2 4 2 21 6" xfId="17886" xr:uid="{00000000-0005-0000-0000-00001AA70000}"/>
    <cellStyle name="Normal 2 4 2 21 6 2" xfId="50819" xr:uid="{00000000-0005-0000-0000-00001BA70000}"/>
    <cellStyle name="Normal 2 4 2 21 7" xfId="17887" xr:uid="{00000000-0005-0000-0000-00001CA70000}"/>
    <cellStyle name="Normal 2 4 2 21 7 2" xfId="50820" xr:uid="{00000000-0005-0000-0000-00001DA70000}"/>
    <cellStyle name="Normal 2 4 2 21 8" xfId="50821" xr:uid="{00000000-0005-0000-0000-00001EA70000}"/>
    <cellStyle name="Normal 2 4 2 21 8 2" xfId="50822" xr:uid="{00000000-0005-0000-0000-00001FA70000}"/>
    <cellStyle name="Normal 2 4 2 21 9" xfId="50823" xr:uid="{00000000-0005-0000-0000-000020A70000}"/>
    <cellStyle name="Normal 2 4 2 22" xfId="17888" xr:uid="{00000000-0005-0000-0000-000021A70000}"/>
    <cellStyle name="Normal 2 4 2 22 10" xfId="50824" xr:uid="{00000000-0005-0000-0000-000022A70000}"/>
    <cellStyle name="Normal 2 4 2 22 11" xfId="50825" xr:uid="{00000000-0005-0000-0000-000023A70000}"/>
    <cellStyle name="Normal 2 4 2 22 2" xfId="17889" xr:uid="{00000000-0005-0000-0000-000024A70000}"/>
    <cellStyle name="Normal 2 4 2 22 2 10" xfId="50826" xr:uid="{00000000-0005-0000-0000-000025A70000}"/>
    <cellStyle name="Normal 2 4 2 22 2 2" xfId="17890" xr:uid="{00000000-0005-0000-0000-000026A70000}"/>
    <cellStyle name="Normal 2 4 2 22 2 2 2" xfId="17891" xr:uid="{00000000-0005-0000-0000-000027A70000}"/>
    <cellStyle name="Normal 2 4 2 22 2 2 2 2" xfId="17892" xr:uid="{00000000-0005-0000-0000-000028A70000}"/>
    <cellStyle name="Normal 2 4 2 22 2 2 2 2 2" xfId="50827" xr:uid="{00000000-0005-0000-0000-000029A70000}"/>
    <cellStyle name="Normal 2 4 2 22 2 2 2 3" xfId="17893" xr:uid="{00000000-0005-0000-0000-00002AA70000}"/>
    <cellStyle name="Normal 2 4 2 22 2 2 2 3 2" xfId="50828" xr:uid="{00000000-0005-0000-0000-00002BA70000}"/>
    <cellStyle name="Normal 2 4 2 22 2 2 2 4" xfId="50829" xr:uid="{00000000-0005-0000-0000-00002CA70000}"/>
    <cellStyle name="Normal 2 4 2 22 2 2 3" xfId="17894" xr:uid="{00000000-0005-0000-0000-00002DA70000}"/>
    <cellStyle name="Normal 2 4 2 22 2 2 3 2" xfId="50830" xr:uid="{00000000-0005-0000-0000-00002EA70000}"/>
    <cellStyle name="Normal 2 4 2 22 2 2 4" xfId="17895" xr:uid="{00000000-0005-0000-0000-00002FA70000}"/>
    <cellStyle name="Normal 2 4 2 22 2 2 4 2" xfId="50831" xr:uid="{00000000-0005-0000-0000-000030A70000}"/>
    <cellStyle name="Normal 2 4 2 22 2 2 5" xfId="17896" xr:uid="{00000000-0005-0000-0000-000031A70000}"/>
    <cellStyle name="Normal 2 4 2 22 2 2 5 2" xfId="50832" xr:uid="{00000000-0005-0000-0000-000032A70000}"/>
    <cellStyle name="Normal 2 4 2 22 2 2 6" xfId="50833" xr:uid="{00000000-0005-0000-0000-000033A70000}"/>
    <cellStyle name="Normal 2 4 2 22 2 2 6 2" xfId="50834" xr:uid="{00000000-0005-0000-0000-000034A70000}"/>
    <cellStyle name="Normal 2 4 2 22 2 2 7" xfId="50835" xr:uid="{00000000-0005-0000-0000-000035A70000}"/>
    <cellStyle name="Normal 2 4 2 22 2 3" xfId="17897" xr:uid="{00000000-0005-0000-0000-000036A70000}"/>
    <cellStyle name="Normal 2 4 2 22 2 3 2" xfId="17898" xr:uid="{00000000-0005-0000-0000-000037A70000}"/>
    <cellStyle name="Normal 2 4 2 22 2 3 2 2" xfId="50836" xr:uid="{00000000-0005-0000-0000-000038A70000}"/>
    <cellStyle name="Normal 2 4 2 22 2 3 3" xfId="17899" xr:uid="{00000000-0005-0000-0000-000039A70000}"/>
    <cellStyle name="Normal 2 4 2 22 2 3 3 2" xfId="50837" xr:uid="{00000000-0005-0000-0000-00003AA70000}"/>
    <cellStyle name="Normal 2 4 2 22 2 3 4" xfId="50838" xr:uid="{00000000-0005-0000-0000-00003BA70000}"/>
    <cellStyle name="Normal 2 4 2 22 2 4" xfId="17900" xr:uid="{00000000-0005-0000-0000-00003CA70000}"/>
    <cellStyle name="Normal 2 4 2 22 2 4 2" xfId="17901" xr:uid="{00000000-0005-0000-0000-00003DA70000}"/>
    <cellStyle name="Normal 2 4 2 22 2 4 2 2" xfId="50839" xr:uid="{00000000-0005-0000-0000-00003EA70000}"/>
    <cellStyle name="Normal 2 4 2 22 2 4 3" xfId="50840" xr:uid="{00000000-0005-0000-0000-00003FA70000}"/>
    <cellStyle name="Normal 2 4 2 22 2 5" xfId="17902" xr:uid="{00000000-0005-0000-0000-000040A70000}"/>
    <cellStyle name="Normal 2 4 2 22 2 5 2" xfId="50841" xr:uid="{00000000-0005-0000-0000-000041A70000}"/>
    <cellStyle name="Normal 2 4 2 22 2 6" xfId="17903" xr:uid="{00000000-0005-0000-0000-000042A70000}"/>
    <cellStyle name="Normal 2 4 2 22 2 6 2" xfId="50842" xr:uid="{00000000-0005-0000-0000-000043A70000}"/>
    <cellStyle name="Normal 2 4 2 22 2 7" xfId="50843" xr:uid="{00000000-0005-0000-0000-000044A70000}"/>
    <cellStyle name="Normal 2 4 2 22 2 7 2" xfId="50844" xr:uid="{00000000-0005-0000-0000-000045A70000}"/>
    <cellStyle name="Normal 2 4 2 22 2 8" xfId="50845" xr:uid="{00000000-0005-0000-0000-000046A70000}"/>
    <cellStyle name="Normal 2 4 2 22 2 9" xfId="50846" xr:uid="{00000000-0005-0000-0000-000047A70000}"/>
    <cellStyle name="Normal 2 4 2 22 3" xfId="17904" xr:uid="{00000000-0005-0000-0000-000048A70000}"/>
    <cellStyle name="Normal 2 4 2 22 3 2" xfId="17905" xr:uid="{00000000-0005-0000-0000-000049A70000}"/>
    <cellStyle name="Normal 2 4 2 22 3 2 2" xfId="17906" xr:uid="{00000000-0005-0000-0000-00004AA70000}"/>
    <cellStyle name="Normal 2 4 2 22 3 2 2 2" xfId="50847" xr:uid="{00000000-0005-0000-0000-00004BA70000}"/>
    <cellStyle name="Normal 2 4 2 22 3 2 3" xfId="17907" xr:uid="{00000000-0005-0000-0000-00004CA70000}"/>
    <cellStyle name="Normal 2 4 2 22 3 2 3 2" xfId="50848" xr:uid="{00000000-0005-0000-0000-00004DA70000}"/>
    <cellStyle name="Normal 2 4 2 22 3 2 4" xfId="50849" xr:uid="{00000000-0005-0000-0000-00004EA70000}"/>
    <cellStyle name="Normal 2 4 2 22 3 3" xfId="17908" xr:uid="{00000000-0005-0000-0000-00004FA70000}"/>
    <cellStyle name="Normal 2 4 2 22 3 3 2" xfId="50850" xr:uid="{00000000-0005-0000-0000-000050A70000}"/>
    <cellStyle name="Normal 2 4 2 22 3 4" xfId="17909" xr:uid="{00000000-0005-0000-0000-000051A70000}"/>
    <cellStyle name="Normal 2 4 2 22 3 4 2" xfId="50851" xr:uid="{00000000-0005-0000-0000-000052A70000}"/>
    <cellStyle name="Normal 2 4 2 22 3 5" xfId="17910" xr:uid="{00000000-0005-0000-0000-000053A70000}"/>
    <cellStyle name="Normal 2 4 2 22 3 5 2" xfId="50852" xr:uid="{00000000-0005-0000-0000-000054A70000}"/>
    <cellStyle name="Normal 2 4 2 22 3 6" xfId="50853" xr:uid="{00000000-0005-0000-0000-000055A70000}"/>
    <cellStyle name="Normal 2 4 2 22 3 6 2" xfId="50854" xr:uid="{00000000-0005-0000-0000-000056A70000}"/>
    <cellStyle name="Normal 2 4 2 22 3 7" xfId="50855" xr:uid="{00000000-0005-0000-0000-000057A70000}"/>
    <cellStyle name="Normal 2 4 2 22 4" xfId="17911" xr:uid="{00000000-0005-0000-0000-000058A70000}"/>
    <cellStyle name="Normal 2 4 2 22 4 2" xfId="17912" xr:uid="{00000000-0005-0000-0000-000059A70000}"/>
    <cellStyle name="Normal 2 4 2 22 4 2 2" xfId="50856" xr:uid="{00000000-0005-0000-0000-00005AA70000}"/>
    <cellStyle name="Normal 2 4 2 22 4 3" xfId="17913" xr:uid="{00000000-0005-0000-0000-00005BA70000}"/>
    <cellStyle name="Normal 2 4 2 22 4 3 2" xfId="50857" xr:uid="{00000000-0005-0000-0000-00005CA70000}"/>
    <cellStyle name="Normal 2 4 2 22 4 4" xfId="50858" xr:uid="{00000000-0005-0000-0000-00005DA70000}"/>
    <cellStyle name="Normal 2 4 2 22 5" xfId="17914" xr:uid="{00000000-0005-0000-0000-00005EA70000}"/>
    <cellStyle name="Normal 2 4 2 22 5 2" xfId="17915" xr:uid="{00000000-0005-0000-0000-00005FA70000}"/>
    <cellStyle name="Normal 2 4 2 22 5 2 2" xfId="50859" xr:uid="{00000000-0005-0000-0000-000060A70000}"/>
    <cellStyle name="Normal 2 4 2 22 5 3" xfId="50860" xr:uid="{00000000-0005-0000-0000-000061A70000}"/>
    <cellStyle name="Normal 2 4 2 22 6" xfId="17916" xr:uid="{00000000-0005-0000-0000-000062A70000}"/>
    <cellStyle name="Normal 2 4 2 22 6 2" xfId="50861" xr:uid="{00000000-0005-0000-0000-000063A70000}"/>
    <cellStyle name="Normal 2 4 2 22 7" xfId="17917" xr:uid="{00000000-0005-0000-0000-000064A70000}"/>
    <cellStyle name="Normal 2 4 2 22 7 2" xfId="50862" xr:uid="{00000000-0005-0000-0000-000065A70000}"/>
    <cellStyle name="Normal 2 4 2 22 8" xfId="50863" xr:uid="{00000000-0005-0000-0000-000066A70000}"/>
    <cellStyle name="Normal 2 4 2 22 8 2" xfId="50864" xr:uid="{00000000-0005-0000-0000-000067A70000}"/>
    <cellStyle name="Normal 2 4 2 22 9" xfId="50865" xr:uid="{00000000-0005-0000-0000-000068A70000}"/>
    <cellStyle name="Normal 2 4 2 23" xfId="17918" xr:uid="{00000000-0005-0000-0000-000069A70000}"/>
    <cellStyle name="Normal 2 4 2 23 10" xfId="50866" xr:uid="{00000000-0005-0000-0000-00006AA70000}"/>
    <cellStyle name="Normal 2 4 2 23 11" xfId="50867" xr:uid="{00000000-0005-0000-0000-00006BA70000}"/>
    <cellStyle name="Normal 2 4 2 23 2" xfId="17919" xr:uid="{00000000-0005-0000-0000-00006CA70000}"/>
    <cellStyle name="Normal 2 4 2 23 2 10" xfId="50868" xr:uid="{00000000-0005-0000-0000-00006DA70000}"/>
    <cellStyle name="Normal 2 4 2 23 2 2" xfId="17920" xr:uid="{00000000-0005-0000-0000-00006EA70000}"/>
    <cellStyle name="Normal 2 4 2 23 2 2 2" xfId="17921" xr:uid="{00000000-0005-0000-0000-00006FA70000}"/>
    <cellStyle name="Normal 2 4 2 23 2 2 2 2" xfId="17922" xr:uid="{00000000-0005-0000-0000-000070A70000}"/>
    <cellStyle name="Normal 2 4 2 23 2 2 2 2 2" xfId="50869" xr:uid="{00000000-0005-0000-0000-000071A70000}"/>
    <cellStyle name="Normal 2 4 2 23 2 2 2 3" xfId="17923" xr:uid="{00000000-0005-0000-0000-000072A70000}"/>
    <cellStyle name="Normal 2 4 2 23 2 2 2 3 2" xfId="50870" xr:uid="{00000000-0005-0000-0000-000073A70000}"/>
    <cellStyle name="Normal 2 4 2 23 2 2 2 4" xfId="50871" xr:uid="{00000000-0005-0000-0000-000074A70000}"/>
    <cellStyle name="Normal 2 4 2 23 2 2 3" xfId="17924" xr:uid="{00000000-0005-0000-0000-000075A70000}"/>
    <cellStyle name="Normal 2 4 2 23 2 2 3 2" xfId="50872" xr:uid="{00000000-0005-0000-0000-000076A70000}"/>
    <cellStyle name="Normal 2 4 2 23 2 2 4" xfId="17925" xr:uid="{00000000-0005-0000-0000-000077A70000}"/>
    <cellStyle name="Normal 2 4 2 23 2 2 4 2" xfId="50873" xr:uid="{00000000-0005-0000-0000-000078A70000}"/>
    <cellStyle name="Normal 2 4 2 23 2 2 5" xfId="17926" xr:uid="{00000000-0005-0000-0000-000079A70000}"/>
    <cellStyle name="Normal 2 4 2 23 2 2 5 2" xfId="50874" xr:uid="{00000000-0005-0000-0000-00007AA70000}"/>
    <cellStyle name="Normal 2 4 2 23 2 2 6" xfId="50875" xr:uid="{00000000-0005-0000-0000-00007BA70000}"/>
    <cellStyle name="Normal 2 4 2 23 2 2 6 2" xfId="50876" xr:uid="{00000000-0005-0000-0000-00007CA70000}"/>
    <cellStyle name="Normal 2 4 2 23 2 2 7" xfId="50877" xr:uid="{00000000-0005-0000-0000-00007DA70000}"/>
    <cellStyle name="Normal 2 4 2 23 2 3" xfId="17927" xr:uid="{00000000-0005-0000-0000-00007EA70000}"/>
    <cellStyle name="Normal 2 4 2 23 2 3 2" xfId="17928" xr:uid="{00000000-0005-0000-0000-00007FA70000}"/>
    <cellStyle name="Normal 2 4 2 23 2 3 2 2" xfId="50878" xr:uid="{00000000-0005-0000-0000-000080A70000}"/>
    <cellStyle name="Normal 2 4 2 23 2 3 3" xfId="17929" xr:uid="{00000000-0005-0000-0000-000081A70000}"/>
    <cellStyle name="Normal 2 4 2 23 2 3 3 2" xfId="50879" xr:uid="{00000000-0005-0000-0000-000082A70000}"/>
    <cellStyle name="Normal 2 4 2 23 2 3 4" xfId="50880" xr:uid="{00000000-0005-0000-0000-000083A70000}"/>
    <cellStyle name="Normal 2 4 2 23 2 4" xfId="17930" xr:uid="{00000000-0005-0000-0000-000084A70000}"/>
    <cellStyle name="Normal 2 4 2 23 2 4 2" xfId="17931" xr:uid="{00000000-0005-0000-0000-000085A70000}"/>
    <cellStyle name="Normal 2 4 2 23 2 4 2 2" xfId="50881" xr:uid="{00000000-0005-0000-0000-000086A70000}"/>
    <cellStyle name="Normal 2 4 2 23 2 4 3" xfId="50882" xr:uid="{00000000-0005-0000-0000-000087A70000}"/>
    <cellStyle name="Normal 2 4 2 23 2 5" xfId="17932" xr:uid="{00000000-0005-0000-0000-000088A70000}"/>
    <cellStyle name="Normal 2 4 2 23 2 5 2" xfId="50883" xr:uid="{00000000-0005-0000-0000-000089A70000}"/>
    <cellStyle name="Normal 2 4 2 23 2 6" xfId="17933" xr:uid="{00000000-0005-0000-0000-00008AA70000}"/>
    <cellStyle name="Normal 2 4 2 23 2 6 2" xfId="50884" xr:uid="{00000000-0005-0000-0000-00008BA70000}"/>
    <cellStyle name="Normal 2 4 2 23 2 7" xfId="50885" xr:uid="{00000000-0005-0000-0000-00008CA70000}"/>
    <cellStyle name="Normal 2 4 2 23 2 7 2" xfId="50886" xr:uid="{00000000-0005-0000-0000-00008DA70000}"/>
    <cellStyle name="Normal 2 4 2 23 2 8" xfId="50887" xr:uid="{00000000-0005-0000-0000-00008EA70000}"/>
    <cellStyle name="Normal 2 4 2 23 2 9" xfId="50888" xr:uid="{00000000-0005-0000-0000-00008FA70000}"/>
    <cellStyle name="Normal 2 4 2 23 3" xfId="17934" xr:uid="{00000000-0005-0000-0000-000090A70000}"/>
    <cellStyle name="Normal 2 4 2 23 3 2" xfId="17935" xr:uid="{00000000-0005-0000-0000-000091A70000}"/>
    <cellStyle name="Normal 2 4 2 23 3 2 2" xfId="17936" xr:uid="{00000000-0005-0000-0000-000092A70000}"/>
    <cellStyle name="Normal 2 4 2 23 3 2 2 2" xfId="50889" xr:uid="{00000000-0005-0000-0000-000093A70000}"/>
    <cellStyle name="Normal 2 4 2 23 3 2 3" xfId="17937" xr:uid="{00000000-0005-0000-0000-000094A70000}"/>
    <cellStyle name="Normal 2 4 2 23 3 2 3 2" xfId="50890" xr:uid="{00000000-0005-0000-0000-000095A70000}"/>
    <cellStyle name="Normal 2 4 2 23 3 2 4" xfId="50891" xr:uid="{00000000-0005-0000-0000-000096A70000}"/>
    <cellStyle name="Normal 2 4 2 23 3 3" xfId="17938" xr:uid="{00000000-0005-0000-0000-000097A70000}"/>
    <cellStyle name="Normal 2 4 2 23 3 3 2" xfId="50892" xr:uid="{00000000-0005-0000-0000-000098A70000}"/>
    <cellStyle name="Normal 2 4 2 23 3 4" xfId="17939" xr:uid="{00000000-0005-0000-0000-000099A70000}"/>
    <cellStyle name="Normal 2 4 2 23 3 4 2" xfId="50893" xr:uid="{00000000-0005-0000-0000-00009AA70000}"/>
    <cellStyle name="Normal 2 4 2 23 3 5" xfId="17940" xr:uid="{00000000-0005-0000-0000-00009BA70000}"/>
    <cellStyle name="Normal 2 4 2 23 3 5 2" xfId="50894" xr:uid="{00000000-0005-0000-0000-00009CA70000}"/>
    <cellStyle name="Normal 2 4 2 23 3 6" xfId="50895" xr:uid="{00000000-0005-0000-0000-00009DA70000}"/>
    <cellStyle name="Normal 2 4 2 23 3 6 2" xfId="50896" xr:uid="{00000000-0005-0000-0000-00009EA70000}"/>
    <cellStyle name="Normal 2 4 2 23 3 7" xfId="50897" xr:uid="{00000000-0005-0000-0000-00009FA70000}"/>
    <cellStyle name="Normal 2 4 2 23 4" xfId="17941" xr:uid="{00000000-0005-0000-0000-0000A0A70000}"/>
    <cellStyle name="Normal 2 4 2 23 4 2" xfId="17942" xr:uid="{00000000-0005-0000-0000-0000A1A70000}"/>
    <cellStyle name="Normal 2 4 2 23 4 2 2" xfId="50898" xr:uid="{00000000-0005-0000-0000-0000A2A70000}"/>
    <cellStyle name="Normal 2 4 2 23 4 3" xfId="17943" xr:uid="{00000000-0005-0000-0000-0000A3A70000}"/>
    <cellStyle name="Normal 2 4 2 23 4 3 2" xfId="50899" xr:uid="{00000000-0005-0000-0000-0000A4A70000}"/>
    <cellStyle name="Normal 2 4 2 23 4 4" xfId="50900" xr:uid="{00000000-0005-0000-0000-0000A5A70000}"/>
    <cellStyle name="Normal 2 4 2 23 5" xfId="17944" xr:uid="{00000000-0005-0000-0000-0000A6A70000}"/>
    <cellStyle name="Normal 2 4 2 23 5 2" xfId="17945" xr:uid="{00000000-0005-0000-0000-0000A7A70000}"/>
    <cellStyle name="Normal 2 4 2 23 5 2 2" xfId="50901" xr:uid="{00000000-0005-0000-0000-0000A8A70000}"/>
    <cellStyle name="Normal 2 4 2 23 5 3" xfId="50902" xr:uid="{00000000-0005-0000-0000-0000A9A70000}"/>
    <cellStyle name="Normal 2 4 2 23 6" xfId="17946" xr:uid="{00000000-0005-0000-0000-0000AAA70000}"/>
    <cellStyle name="Normal 2 4 2 23 6 2" xfId="50903" xr:uid="{00000000-0005-0000-0000-0000ABA70000}"/>
    <cellStyle name="Normal 2 4 2 23 7" xfId="17947" xr:uid="{00000000-0005-0000-0000-0000ACA70000}"/>
    <cellStyle name="Normal 2 4 2 23 7 2" xfId="50904" xr:uid="{00000000-0005-0000-0000-0000ADA70000}"/>
    <cellStyle name="Normal 2 4 2 23 8" xfId="50905" xr:uid="{00000000-0005-0000-0000-0000AEA70000}"/>
    <cellStyle name="Normal 2 4 2 23 8 2" xfId="50906" xr:uid="{00000000-0005-0000-0000-0000AFA70000}"/>
    <cellStyle name="Normal 2 4 2 23 9" xfId="50907" xr:uid="{00000000-0005-0000-0000-0000B0A70000}"/>
    <cellStyle name="Normal 2 4 2 24" xfId="17948" xr:uid="{00000000-0005-0000-0000-0000B1A70000}"/>
    <cellStyle name="Normal 2 4 2 24 10" xfId="50908" xr:uid="{00000000-0005-0000-0000-0000B2A70000}"/>
    <cellStyle name="Normal 2 4 2 24 11" xfId="50909" xr:uid="{00000000-0005-0000-0000-0000B3A70000}"/>
    <cellStyle name="Normal 2 4 2 24 2" xfId="17949" xr:uid="{00000000-0005-0000-0000-0000B4A70000}"/>
    <cellStyle name="Normal 2 4 2 24 2 10" xfId="50910" xr:uid="{00000000-0005-0000-0000-0000B5A70000}"/>
    <cellStyle name="Normal 2 4 2 24 2 2" xfId="17950" xr:uid="{00000000-0005-0000-0000-0000B6A70000}"/>
    <cellStyle name="Normal 2 4 2 24 2 2 2" xfId="17951" xr:uid="{00000000-0005-0000-0000-0000B7A70000}"/>
    <cellStyle name="Normal 2 4 2 24 2 2 2 2" xfId="17952" xr:uid="{00000000-0005-0000-0000-0000B8A70000}"/>
    <cellStyle name="Normal 2 4 2 24 2 2 2 2 2" xfId="50911" xr:uid="{00000000-0005-0000-0000-0000B9A70000}"/>
    <cellStyle name="Normal 2 4 2 24 2 2 2 3" xfId="17953" xr:uid="{00000000-0005-0000-0000-0000BAA70000}"/>
    <cellStyle name="Normal 2 4 2 24 2 2 2 3 2" xfId="50912" xr:uid="{00000000-0005-0000-0000-0000BBA70000}"/>
    <cellStyle name="Normal 2 4 2 24 2 2 2 4" xfId="50913" xr:uid="{00000000-0005-0000-0000-0000BCA70000}"/>
    <cellStyle name="Normal 2 4 2 24 2 2 3" xfId="17954" xr:uid="{00000000-0005-0000-0000-0000BDA70000}"/>
    <cellStyle name="Normal 2 4 2 24 2 2 3 2" xfId="50914" xr:uid="{00000000-0005-0000-0000-0000BEA70000}"/>
    <cellStyle name="Normal 2 4 2 24 2 2 4" xfId="17955" xr:uid="{00000000-0005-0000-0000-0000BFA70000}"/>
    <cellStyle name="Normal 2 4 2 24 2 2 4 2" xfId="50915" xr:uid="{00000000-0005-0000-0000-0000C0A70000}"/>
    <cellStyle name="Normal 2 4 2 24 2 2 5" xfId="17956" xr:uid="{00000000-0005-0000-0000-0000C1A70000}"/>
    <cellStyle name="Normal 2 4 2 24 2 2 5 2" xfId="50916" xr:uid="{00000000-0005-0000-0000-0000C2A70000}"/>
    <cellStyle name="Normal 2 4 2 24 2 2 6" xfId="50917" xr:uid="{00000000-0005-0000-0000-0000C3A70000}"/>
    <cellStyle name="Normal 2 4 2 24 2 2 6 2" xfId="50918" xr:uid="{00000000-0005-0000-0000-0000C4A70000}"/>
    <cellStyle name="Normal 2 4 2 24 2 2 7" xfId="50919" xr:uid="{00000000-0005-0000-0000-0000C5A70000}"/>
    <cellStyle name="Normal 2 4 2 24 2 3" xfId="17957" xr:uid="{00000000-0005-0000-0000-0000C6A70000}"/>
    <cellStyle name="Normal 2 4 2 24 2 3 2" xfId="17958" xr:uid="{00000000-0005-0000-0000-0000C7A70000}"/>
    <cellStyle name="Normal 2 4 2 24 2 3 2 2" xfId="50920" xr:uid="{00000000-0005-0000-0000-0000C8A70000}"/>
    <cellStyle name="Normal 2 4 2 24 2 3 3" xfId="17959" xr:uid="{00000000-0005-0000-0000-0000C9A70000}"/>
    <cellStyle name="Normal 2 4 2 24 2 3 3 2" xfId="50921" xr:uid="{00000000-0005-0000-0000-0000CAA70000}"/>
    <cellStyle name="Normal 2 4 2 24 2 3 4" xfId="50922" xr:uid="{00000000-0005-0000-0000-0000CBA70000}"/>
    <cellStyle name="Normal 2 4 2 24 2 4" xfId="17960" xr:uid="{00000000-0005-0000-0000-0000CCA70000}"/>
    <cellStyle name="Normal 2 4 2 24 2 4 2" xfId="17961" xr:uid="{00000000-0005-0000-0000-0000CDA70000}"/>
    <cellStyle name="Normal 2 4 2 24 2 4 2 2" xfId="50923" xr:uid="{00000000-0005-0000-0000-0000CEA70000}"/>
    <cellStyle name="Normal 2 4 2 24 2 4 3" xfId="50924" xr:uid="{00000000-0005-0000-0000-0000CFA70000}"/>
    <cellStyle name="Normal 2 4 2 24 2 5" xfId="17962" xr:uid="{00000000-0005-0000-0000-0000D0A70000}"/>
    <cellStyle name="Normal 2 4 2 24 2 5 2" xfId="50925" xr:uid="{00000000-0005-0000-0000-0000D1A70000}"/>
    <cellStyle name="Normal 2 4 2 24 2 6" xfId="17963" xr:uid="{00000000-0005-0000-0000-0000D2A70000}"/>
    <cellStyle name="Normal 2 4 2 24 2 6 2" xfId="50926" xr:uid="{00000000-0005-0000-0000-0000D3A70000}"/>
    <cellStyle name="Normal 2 4 2 24 2 7" xfId="50927" xr:uid="{00000000-0005-0000-0000-0000D4A70000}"/>
    <cellStyle name="Normal 2 4 2 24 2 7 2" xfId="50928" xr:uid="{00000000-0005-0000-0000-0000D5A70000}"/>
    <cellStyle name="Normal 2 4 2 24 2 8" xfId="50929" xr:uid="{00000000-0005-0000-0000-0000D6A70000}"/>
    <cellStyle name="Normal 2 4 2 24 2 9" xfId="50930" xr:uid="{00000000-0005-0000-0000-0000D7A70000}"/>
    <cellStyle name="Normal 2 4 2 24 3" xfId="17964" xr:uid="{00000000-0005-0000-0000-0000D8A70000}"/>
    <cellStyle name="Normal 2 4 2 24 3 2" xfId="17965" xr:uid="{00000000-0005-0000-0000-0000D9A70000}"/>
    <cellStyle name="Normal 2 4 2 24 3 2 2" xfId="17966" xr:uid="{00000000-0005-0000-0000-0000DAA70000}"/>
    <cellStyle name="Normal 2 4 2 24 3 2 2 2" xfId="50931" xr:uid="{00000000-0005-0000-0000-0000DBA70000}"/>
    <cellStyle name="Normal 2 4 2 24 3 2 3" xfId="17967" xr:uid="{00000000-0005-0000-0000-0000DCA70000}"/>
    <cellStyle name="Normal 2 4 2 24 3 2 3 2" xfId="50932" xr:uid="{00000000-0005-0000-0000-0000DDA70000}"/>
    <cellStyle name="Normal 2 4 2 24 3 2 4" xfId="50933" xr:uid="{00000000-0005-0000-0000-0000DEA70000}"/>
    <cellStyle name="Normal 2 4 2 24 3 3" xfId="17968" xr:uid="{00000000-0005-0000-0000-0000DFA70000}"/>
    <cellStyle name="Normal 2 4 2 24 3 3 2" xfId="50934" xr:uid="{00000000-0005-0000-0000-0000E0A70000}"/>
    <cellStyle name="Normal 2 4 2 24 3 4" xfId="17969" xr:uid="{00000000-0005-0000-0000-0000E1A70000}"/>
    <cellStyle name="Normal 2 4 2 24 3 4 2" xfId="50935" xr:uid="{00000000-0005-0000-0000-0000E2A70000}"/>
    <cellStyle name="Normal 2 4 2 24 3 5" xfId="17970" xr:uid="{00000000-0005-0000-0000-0000E3A70000}"/>
    <cellStyle name="Normal 2 4 2 24 3 5 2" xfId="50936" xr:uid="{00000000-0005-0000-0000-0000E4A70000}"/>
    <cellStyle name="Normal 2 4 2 24 3 6" xfId="50937" xr:uid="{00000000-0005-0000-0000-0000E5A70000}"/>
    <cellStyle name="Normal 2 4 2 24 3 6 2" xfId="50938" xr:uid="{00000000-0005-0000-0000-0000E6A70000}"/>
    <cellStyle name="Normal 2 4 2 24 3 7" xfId="50939" xr:uid="{00000000-0005-0000-0000-0000E7A70000}"/>
    <cellStyle name="Normal 2 4 2 24 4" xfId="17971" xr:uid="{00000000-0005-0000-0000-0000E8A70000}"/>
    <cellStyle name="Normal 2 4 2 24 4 2" xfId="17972" xr:uid="{00000000-0005-0000-0000-0000E9A70000}"/>
    <cellStyle name="Normal 2 4 2 24 4 2 2" xfId="50940" xr:uid="{00000000-0005-0000-0000-0000EAA70000}"/>
    <cellStyle name="Normal 2 4 2 24 4 3" xfId="17973" xr:uid="{00000000-0005-0000-0000-0000EBA70000}"/>
    <cellStyle name="Normal 2 4 2 24 4 3 2" xfId="50941" xr:uid="{00000000-0005-0000-0000-0000ECA70000}"/>
    <cellStyle name="Normal 2 4 2 24 4 4" xfId="50942" xr:uid="{00000000-0005-0000-0000-0000EDA70000}"/>
    <cellStyle name="Normal 2 4 2 24 5" xfId="17974" xr:uid="{00000000-0005-0000-0000-0000EEA70000}"/>
    <cellStyle name="Normal 2 4 2 24 5 2" xfId="17975" xr:uid="{00000000-0005-0000-0000-0000EFA70000}"/>
    <cellStyle name="Normal 2 4 2 24 5 2 2" xfId="50943" xr:uid="{00000000-0005-0000-0000-0000F0A70000}"/>
    <cellStyle name="Normal 2 4 2 24 5 3" xfId="50944" xr:uid="{00000000-0005-0000-0000-0000F1A70000}"/>
    <cellStyle name="Normal 2 4 2 24 6" xfId="17976" xr:uid="{00000000-0005-0000-0000-0000F2A70000}"/>
    <cellStyle name="Normal 2 4 2 24 6 2" xfId="50945" xr:uid="{00000000-0005-0000-0000-0000F3A70000}"/>
    <cellStyle name="Normal 2 4 2 24 7" xfId="17977" xr:uid="{00000000-0005-0000-0000-0000F4A70000}"/>
    <cellStyle name="Normal 2 4 2 24 7 2" xfId="50946" xr:uid="{00000000-0005-0000-0000-0000F5A70000}"/>
    <cellStyle name="Normal 2 4 2 24 8" xfId="50947" xr:uid="{00000000-0005-0000-0000-0000F6A70000}"/>
    <cellStyle name="Normal 2 4 2 24 8 2" xfId="50948" xr:uid="{00000000-0005-0000-0000-0000F7A70000}"/>
    <cellStyle name="Normal 2 4 2 24 9" xfId="50949" xr:uid="{00000000-0005-0000-0000-0000F8A70000}"/>
    <cellStyle name="Normal 2 4 2 25" xfId="17978" xr:uid="{00000000-0005-0000-0000-0000F9A70000}"/>
    <cellStyle name="Normal 2 4 2 25 10" xfId="50950" xr:uid="{00000000-0005-0000-0000-0000FAA70000}"/>
    <cellStyle name="Normal 2 4 2 25 11" xfId="50951" xr:uid="{00000000-0005-0000-0000-0000FBA70000}"/>
    <cellStyle name="Normal 2 4 2 25 2" xfId="17979" xr:uid="{00000000-0005-0000-0000-0000FCA70000}"/>
    <cellStyle name="Normal 2 4 2 25 2 10" xfId="50952" xr:uid="{00000000-0005-0000-0000-0000FDA70000}"/>
    <cellStyle name="Normal 2 4 2 25 2 2" xfId="17980" xr:uid="{00000000-0005-0000-0000-0000FEA70000}"/>
    <cellStyle name="Normal 2 4 2 25 2 2 2" xfId="17981" xr:uid="{00000000-0005-0000-0000-0000FFA70000}"/>
    <cellStyle name="Normal 2 4 2 25 2 2 2 2" xfId="17982" xr:uid="{00000000-0005-0000-0000-000000A80000}"/>
    <cellStyle name="Normal 2 4 2 25 2 2 2 2 2" xfId="50953" xr:uid="{00000000-0005-0000-0000-000001A80000}"/>
    <cellStyle name="Normal 2 4 2 25 2 2 2 3" xfId="17983" xr:uid="{00000000-0005-0000-0000-000002A80000}"/>
    <cellStyle name="Normal 2 4 2 25 2 2 2 3 2" xfId="50954" xr:uid="{00000000-0005-0000-0000-000003A80000}"/>
    <cellStyle name="Normal 2 4 2 25 2 2 2 4" xfId="50955" xr:uid="{00000000-0005-0000-0000-000004A80000}"/>
    <cellStyle name="Normal 2 4 2 25 2 2 3" xfId="17984" xr:uid="{00000000-0005-0000-0000-000005A80000}"/>
    <cellStyle name="Normal 2 4 2 25 2 2 3 2" xfId="50956" xr:uid="{00000000-0005-0000-0000-000006A80000}"/>
    <cellStyle name="Normal 2 4 2 25 2 2 4" xfId="17985" xr:uid="{00000000-0005-0000-0000-000007A80000}"/>
    <cellStyle name="Normal 2 4 2 25 2 2 4 2" xfId="50957" xr:uid="{00000000-0005-0000-0000-000008A80000}"/>
    <cellStyle name="Normal 2 4 2 25 2 2 5" xfId="17986" xr:uid="{00000000-0005-0000-0000-000009A80000}"/>
    <cellStyle name="Normal 2 4 2 25 2 2 5 2" xfId="50958" xr:uid="{00000000-0005-0000-0000-00000AA80000}"/>
    <cellStyle name="Normal 2 4 2 25 2 2 6" xfId="50959" xr:uid="{00000000-0005-0000-0000-00000BA80000}"/>
    <cellStyle name="Normal 2 4 2 25 2 2 6 2" xfId="50960" xr:uid="{00000000-0005-0000-0000-00000CA80000}"/>
    <cellStyle name="Normal 2 4 2 25 2 2 7" xfId="50961" xr:uid="{00000000-0005-0000-0000-00000DA80000}"/>
    <cellStyle name="Normal 2 4 2 25 2 3" xfId="17987" xr:uid="{00000000-0005-0000-0000-00000EA80000}"/>
    <cellStyle name="Normal 2 4 2 25 2 3 2" xfId="17988" xr:uid="{00000000-0005-0000-0000-00000FA80000}"/>
    <cellStyle name="Normal 2 4 2 25 2 3 2 2" xfId="50962" xr:uid="{00000000-0005-0000-0000-000010A80000}"/>
    <cellStyle name="Normal 2 4 2 25 2 3 3" xfId="17989" xr:uid="{00000000-0005-0000-0000-000011A80000}"/>
    <cellStyle name="Normal 2 4 2 25 2 3 3 2" xfId="50963" xr:uid="{00000000-0005-0000-0000-000012A80000}"/>
    <cellStyle name="Normal 2 4 2 25 2 3 4" xfId="50964" xr:uid="{00000000-0005-0000-0000-000013A80000}"/>
    <cellStyle name="Normal 2 4 2 25 2 4" xfId="17990" xr:uid="{00000000-0005-0000-0000-000014A80000}"/>
    <cellStyle name="Normal 2 4 2 25 2 4 2" xfId="17991" xr:uid="{00000000-0005-0000-0000-000015A80000}"/>
    <cellStyle name="Normal 2 4 2 25 2 4 2 2" xfId="50965" xr:uid="{00000000-0005-0000-0000-000016A80000}"/>
    <cellStyle name="Normal 2 4 2 25 2 4 3" xfId="50966" xr:uid="{00000000-0005-0000-0000-000017A80000}"/>
    <cellStyle name="Normal 2 4 2 25 2 5" xfId="17992" xr:uid="{00000000-0005-0000-0000-000018A80000}"/>
    <cellStyle name="Normal 2 4 2 25 2 5 2" xfId="50967" xr:uid="{00000000-0005-0000-0000-000019A80000}"/>
    <cellStyle name="Normal 2 4 2 25 2 6" xfId="17993" xr:uid="{00000000-0005-0000-0000-00001AA80000}"/>
    <cellStyle name="Normal 2 4 2 25 2 6 2" xfId="50968" xr:uid="{00000000-0005-0000-0000-00001BA80000}"/>
    <cellStyle name="Normal 2 4 2 25 2 7" xfId="50969" xr:uid="{00000000-0005-0000-0000-00001CA80000}"/>
    <cellStyle name="Normal 2 4 2 25 2 7 2" xfId="50970" xr:uid="{00000000-0005-0000-0000-00001DA80000}"/>
    <cellStyle name="Normal 2 4 2 25 2 8" xfId="50971" xr:uid="{00000000-0005-0000-0000-00001EA80000}"/>
    <cellStyle name="Normal 2 4 2 25 2 9" xfId="50972" xr:uid="{00000000-0005-0000-0000-00001FA80000}"/>
    <cellStyle name="Normal 2 4 2 25 3" xfId="17994" xr:uid="{00000000-0005-0000-0000-000020A80000}"/>
    <cellStyle name="Normal 2 4 2 25 3 2" xfId="17995" xr:uid="{00000000-0005-0000-0000-000021A80000}"/>
    <cellStyle name="Normal 2 4 2 25 3 2 2" xfId="17996" xr:uid="{00000000-0005-0000-0000-000022A80000}"/>
    <cellStyle name="Normal 2 4 2 25 3 2 2 2" xfId="50973" xr:uid="{00000000-0005-0000-0000-000023A80000}"/>
    <cellStyle name="Normal 2 4 2 25 3 2 3" xfId="17997" xr:uid="{00000000-0005-0000-0000-000024A80000}"/>
    <cellStyle name="Normal 2 4 2 25 3 2 3 2" xfId="50974" xr:uid="{00000000-0005-0000-0000-000025A80000}"/>
    <cellStyle name="Normal 2 4 2 25 3 2 4" xfId="50975" xr:uid="{00000000-0005-0000-0000-000026A80000}"/>
    <cellStyle name="Normal 2 4 2 25 3 3" xfId="17998" xr:uid="{00000000-0005-0000-0000-000027A80000}"/>
    <cellStyle name="Normal 2 4 2 25 3 3 2" xfId="50976" xr:uid="{00000000-0005-0000-0000-000028A80000}"/>
    <cellStyle name="Normal 2 4 2 25 3 4" xfId="17999" xr:uid="{00000000-0005-0000-0000-000029A80000}"/>
    <cellStyle name="Normal 2 4 2 25 3 4 2" xfId="50977" xr:uid="{00000000-0005-0000-0000-00002AA80000}"/>
    <cellStyle name="Normal 2 4 2 25 3 5" xfId="18000" xr:uid="{00000000-0005-0000-0000-00002BA80000}"/>
    <cellStyle name="Normal 2 4 2 25 3 5 2" xfId="50978" xr:uid="{00000000-0005-0000-0000-00002CA80000}"/>
    <cellStyle name="Normal 2 4 2 25 3 6" xfId="50979" xr:uid="{00000000-0005-0000-0000-00002DA80000}"/>
    <cellStyle name="Normal 2 4 2 25 3 6 2" xfId="50980" xr:uid="{00000000-0005-0000-0000-00002EA80000}"/>
    <cellStyle name="Normal 2 4 2 25 3 7" xfId="50981" xr:uid="{00000000-0005-0000-0000-00002FA80000}"/>
    <cellStyle name="Normal 2 4 2 25 4" xfId="18001" xr:uid="{00000000-0005-0000-0000-000030A80000}"/>
    <cellStyle name="Normal 2 4 2 25 4 2" xfId="18002" xr:uid="{00000000-0005-0000-0000-000031A80000}"/>
    <cellStyle name="Normal 2 4 2 25 4 2 2" xfId="50982" xr:uid="{00000000-0005-0000-0000-000032A80000}"/>
    <cellStyle name="Normal 2 4 2 25 4 3" xfId="18003" xr:uid="{00000000-0005-0000-0000-000033A80000}"/>
    <cellStyle name="Normal 2 4 2 25 4 3 2" xfId="50983" xr:uid="{00000000-0005-0000-0000-000034A80000}"/>
    <cellStyle name="Normal 2 4 2 25 4 4" xfId="50984" xr:uid="{00000000-0005-0000-0000-000035A80000}"/>
    <cellStyle name="Normal 2 4 2 25 5" xfId="18004" xr:uid="{00000000-0005-0000-0000-000036A80000}"/>
    <cellStyle name="Normal 2 4 2 25 5 2" xfId="18005" xr:uid="{00000000-0005-0000-0000-000037A80000}"/>
    <cellStyle name="Normal 2 4 2 25 5 2 2" xfId="50985" xr:uid="{00000000-0005-0000-0000-000038A80000}"/>
    <cellStyle name="Normal 2 4 2 25 5 3" xfId="50986" xr:uid="{00000000-0005-0000-0000-000039A80000}"/>
    <cellStyle name="Normal 2 4 2 25 6" xfId="18006" xr:uid="{00000000-0005-0000-0000-00003AA80000}"/>
    <cellStyle name="Normal 2 4 2 25 6 2" xfId="50987" xr:uid="{00000000-0005-0000-0000-00003BA80000}"/>
    <cellStyle name="Normal 2 4 2 25 7" xfId="18007" xr:uid="{00000000-0005-0000-0000-00003CA80000}"/>
    <cellStyle name="Normal 2 4 2 25 7 2" xfId="50988" xr:uid="{00000000-0005-0000-0000-00003DA80000}"/>
    <cellStyle name="Normal 2 4 2 25 8" xfId="50989" xr:uid="{00000000-0005-0000-0000-00003EA80000}"/>
    <cellStyle name="Normal 2 4 2 25 8 2" xfId="50990" xr:uid="{00000000-0005-0000-0000-00003FA80000}"/>
    <cellStyle name="Normal 2 4 2 25 9" xfId="50991" xr:uid="{00000000-0005-0000-0000-000040A80000}"/>
    <cellStyle name="Normal 2 4 2 26" xfId="18008" xr:uid="{00000000-0005-0000-0000-000041A80000}"/>
    <cellStyle name="Normal 2 4 2 26 10" xfId="50992" xr:uid="{00000000-0005-0000-0000-000042A80000}"/>
    <cellStyle name="Normal 2 4 2 26 11" xfId="50993" xr:uid="{00000000-0005-0000-0000-000043A80000}"/>
    <cellStyle name="Normal 2 4 2 26 2" xfId="18009" xr:uid="{00000000-0005-0000-0000-000044A80000}"/>
    <cellStyle name="Normal 2 4 2 26 2 10" xfId="50994" xr:uid="{00000000-0005-0000-0000-000045A80000}"/>
    <cellStyle name="Normal 2 4 2 26 2 2" xfId="18010" xr:uid="{00000000-0005-0000-0000-000046A80000}"/>
    <cellStyle name="Normal 2 4 2 26 2 2 2" xfId="18011" xr:uid="{00000000-0005-0000-0000-000047A80000}"/>
    <cellStyle name="Normal 2 4 2 26 2 2 2 2" xfId="18012" xr:uid="{00000000-0005-0000-0000-000048A80000}"/>
    <cellStyle name="Normal 2 4 2 26 2 2 2 2 2" xfId="50995" xr:uid="{00000000-0005-0000-0000-000049A80000}"/>
    <cellStyle name="Normal 2 4 2 26 2 2 2 3" xfId="18013" xr:uid="{00000000-0005-0000-0000-00004AA80000}"/>
    <cellStyle name="Normal 2 4 2 26 2 2 2 3 2" xfId="50996" xr:uid="{00000000-0005-0000-0000-00004BA80000}"/>
    <cellStyle name="Normal 2 4 2 26 2 2 2 4" xfId="50997" xr:uid="{00000000-0005-0000-0000-00004CA80000}"/>
    <cellStyle name="Normal 2 4 2 26 2 2 3" xfId="18014" xr:uid="{00000000-0005-0000-0000-00004DA80000}"/>
    <cellStyle name="Normal 2 4 2 26 2 2 3 2" xfId="50998" xr:uid="{00000000-0005-0000-0000-00004EA80000}"/>
    <cellStyle name="Normal 2 4 2 26 2 2 4" xfId="18015" xr:uid="{00000000-0005-0000-0000-00004FA80000}"/>
    <cellStyle name="Normal 2 4 2 26 2 2 4 2" xfId="50999" xr:uid="{00000000-0005-0000-0000-000050A80000}"/>
    <cellStyle name="Normal 2 4 2 26 2 2 5" xfId="18016" xr:uid="{00000000-0005-0000-0000-000051A80000}"/>
    <cellStyle name="Normal 2 4 2 26 2 2 5 2" xfId="51000" xr:uid="{00000000-0005-0000-0000-000052A80000}"/>
    <cellStyle name="Normal 2 4 2 26 2 2 6" xfId="51001" xr:uid="{00000000-0005-0000-0000-000053A80000}"/>
    <cellStyle name="Normal 2 4 2 26 2 2 6 2" xfId="51002" xr:uid="{00000000-0005-0000-0000-000054A80000}"/>
    <cellStyle name="Normal 2 4 2 26 2 2 7" xfId="51003" xr:uid="{00000000-0005-0000-0000-000055A80000}"/>
    <cellStyle name="Normal 2 4 2 26 2 3" xfId="18017" xr:uid="{00000000-0005-0000-0000-000056A80000}"/>
    <cellStyle name="Normal 2 4 2 26 2 3 2" xfId="18018" xr:uid="{00000000-0005-0000-0000-000057A80000}"/>
    <cellStyle name="Normal 2 4 2 26 2 3 2 2" xfId="51004" xr:uid="{00000000-0005-0000-0000-000058A80000}"/>
    <cellStyle name="Normal 2 4 2 26 2 3 3" xfId="18019" xr:uid="{00000000-0005-0000-0000-000059A80000}"/>
    <cellStyle name="Normal 2 4 2 26 2 3 3 2" xfId="51005" xr:uid="{00000000-0005-0000-0000-00005AA80000}"/>
    <cellStyle name="Normal 2 4 2 26 2 3 4" xfId="51006" xr:uid="{00000000-0005-0000-0000-00005BA80000}"/>
    <cellStyle name="Normal 2 4 2 26 2 4" xfId="18020" xr:uid="{00000000-0005-0000-0000-00005CA80000}"/>
    <cellStyle name="Normal 2 4 2 26 2 4 2" xfId="18021" xr:uid="{00000000-0005-0000-0000-00005DA80000}"/>
    <cellStyle name="Normal 2 4 2 26 2 4 2 2" xfId="51007" xr:uid="{00000000-0005-0000-0000-00005EA80000}"/>
    <cellStyle name="Normal 2 4 2 26 2 4 3" xfId="51008" xr:uid="{00000000-0005-0000-0000-00005FA80000}"/>
    <cellStyle name="Normal 2 4 2 26 2 5" xfId="18022" xr:uid="{00000000-0005-0000-0000-000060A80000}"/>
    <cellStyle name="Normal 2 4 2 26 2 5 2" xfId="51009" xr:uid="{00000000-0005-0000-0000-000061A80000}"/>
    <cellStyle name="Normal 2 4 2 26 2 6" xfId="18023" xr:uid="{00000000-0005-0000-0000-000062A80000}"/>
    <cellStyle name="Normal 2 4 2 26 2 6 2" xfId="51010" xr:uid="{00000000-0005-0000-0000-000063A80000}"/>
    <cellStyle name="Normal 2 4 2 26 2 7" xfId="51011" xr:uid="{00000000-0005-0000-0000-000064A80000}"/>
    <cellStyle name="Normal 2 4 2 26 2 7 2" xfId="51012" xr:uid="{00000000-0005-0000-0000-000065A80000}"/>
    <cellStyle name="Normal 2 4 2 26 2 8" xfId="51013" xr:uid="{00000000-0005-0000-0000-000066A80000}"/>
    <cellStyle name="Normal 2 4 2 26 2 9" xfId="51014" xr:uid="{00000000-0005-0000-0000-000067A80000}"/>
    <cellStyle name="Normal 2 4 2 26 3" xfId="18024" xr:uid="{00000000-0005-0000-0000-000068A80000}"/>
    <cellStyle name="Normal 2 4 2 26 3 2" xfId="18025" xr:uid="{00000000-0005-0000-0000-000069A80000}"/>
    <cellStyle name="Normal 2 4 2 26 3 2 2" xfId="18026" xr:uid="{00000000-0005-0000-0000-00006AA80000}"/>
    <cellStyle name="Normal 2 4 2 26 3 2 2 2" xfId="51015" xr:uid="{00000000-0005-0000-0000-00006BA80000}"/>
    <cellStyle name="Normal 2 4 2 26 3 2 3" xfId="18027" xr:uid="{00000000-0005-0000-0000-00006CA80000}"/>
    <cellStyle name="Normal 2 4 2 26 3 2 3 2" xfId="51016" xr:uid="{00000000-0005-0000-0000-00006DA80000}"/>
    <cellStyle name="Normal 2 4 2 26 3 2 4" xfId="51017" xr:uid="{00000000-0005-0000-0000-00006EA80000}"/>
    <cellStyle name="Normal 2 4 2 26 3 3" xfId="18028" xr:uid="{00000000-0005-0000-0000-00006FA80000}"/>
    <cellStyle name="Normal 2 4 2 26 3 3 2" xfId="51018" xr:uid="{00000000-0005-0000-0000-000070A80000}"/>
    <cellStyle name="Normal 2 4 2 26 3 4" xfId="18029" xr:uid="{00000000-0005-0000-0000-000071A80000}"/>
    <cellStyle name="Normal 2 4 2 26 3 4 2" xfId="51019" xr:uid="{00000000-0005-0000-0000-000072A80000}"/>
    <cellStyle name="Normal 2 4 2 26 3 5" xfId="18030" xr:uid="{00000000-0005-0000-0000-000073A80000}"/>
    <cellStyle name="Normal 2 4 2 26 3 5 2" xfId="51020" xr:uid="{00000000-0005-0000-0000-000074A80000}"/>
    <cellStyle name="Normal 2 4 2 26 3 6" xfId="51021" xr:uid="{00000000-0005-0000-0000-000075A80000}"/>
    <cellStyle name="Normal 2 4 2 26 3 6 2" xfId="51022" xr:uid="{00000000-0005-0000-0000-000076A80000}"/>
    <cellStyle name="Normal 2 4 2 26 3 7" xfId="51023" xr:uid="{00000000-0005-0000-0000-000077A80000}"/>
    <cellStyle name="Normal 2 4 2 26 4" xfId="18031" xr:uid="{00000000-0005-0000-0000-000078A80000}"/>
    <cellStyle name="Normal 2 4 2 26 4 2" xfId="18032" xr:uid="{00000000-0005-0000-0000-000079A80000}"/>
    <cellStyle name="Normal 2 4 2 26 4 2 2" xfId="51024" xr:uid="{00000000-0005-0000-0000-00007AA80000}"/>
    <cellStyle name="Normal 2 4 2 26 4 3" xfId="18033" xr:uid="{00000000-0005-0000-0000-00007BA80000}"/>
    <cellStyle name="Normal 2 4 2 26 4 3 2" xfId="51025" xr:uid="{00000000-0005-0000-0000-00007CA80000}"/>
    <cellStyle name="Normal 2 4 2 26 4 4" xfId="51026" xr:uid="{00000000-0005-0000-0000-00007DA80000}"/>
    <cellStyle name="Normal 2 4 2 26 5" xfId="18034" xr:uid="{00000000-0005-0000-0000-00007EA80000}"/>
    <cellStyle name="Normal 2 4 2 26 5 2" xfId="18035" xr:uid="{00000000-0005-0000-0000-00007FA80000}"/>
    <cellStyle name="Normal 2 4 2 26 5 2 2" xfId="51027" xr:uid="{00000000-0005-0000-0000-000080A80000}"/>
    <cellStyle name="Normal 2 4 2 26 5 3" xfId="51028" xr:uid="{00000000-0005-0000-0000-000081A80000}"/>
    <cellStyle name="Normal 2 4 2 26 6" xfId="18036" xr:uid="{00000000-0005-0000-0000-000082A80000}"/>
    <cellStyle name="Normal 2 4 2 26 6 2" xfId="51029" xr:uid="{00000000-0005-0000-0000-000083A80000}"/>
    <cellStyle name="Normal 2 4 2 26 7" xfId="18037" xr:uid="{00000000-0005-0000-0000-000084A80000}"/>
    <cellStyle name="Normal 2 4 2 26 7 2" xfId="51030" xr:uid="{00000000-0005-0000-0000-000085A80000}"/>
    <cellStyle name="Normal 2 4 2 26 8" xfId="51031" xr:uid="{00000000-0005-0000-0000-000086A80000}"/>
    <cellStyle name="Normal 2 4 2 26 8 2" xfId="51032" xr:uid="{00000000-0005-0000-0000-000087A80000}"/>
    <cellStyle name="Normal 2 4 2 26 9" xfId="51033" xr:uid="{00000000-0005-0000-0000-000088A80000}"/>
    <cellStyle name="Normal 2 4 2 27" xfId="18038" xr:uid="{00000000-0005-0000-0000-000089A80000}"/>
    <cellStyle name="Normal 2 4 2 27 10" xfId="51034" xr:uid="{00000000-0005-0000-0000-00008AA80000}"/>
    <cellStyle name="Normal 2 4 2 27 11" xfId="51035" xr:uid="{00000000-0005-0000-0000-00008BA80000}"/>
    <cellStyle name="Normal 2 4 2 27 2" xfId="18039" xr:uid="{00000000-0005-0000-0000-00008CA80000}"/>
    <cellStyle name="Normal 2 4 2 27 2 10" xfId="51036" xr:uid="{00000000-0005-0000-0000-00008DA80000}"/>
    <cellStyle name="Normal 2 4 2 27 2 2" xfId="18040" xr:uid="{00000000-0005-0000-0000-00008EA80000}"/>
    <cellStyle name="Normal 2 4 2 27 2 2 2" xfId="18041" xr:uid="{00000000-0005-0000-0000-00008FA80000}"/>
    <cellStyle name="Normal 2 4 2 27 2 2 2 2" xfId="18042" xr:uid="{00000000-0005-0000-0000-000090A80000}"/>
    <cellStyle name="Normal 2 4 2 27 2 2 2 2 2" xfId="51037" xr:uid="{00000000-0005-0000-0000-000091A80000}"/>
    <cellStyle name="Normal 2 4 2 27 2 2 2 3" xfId="18043" xr:uid="{00000000-0005-0000-0000-000092A80000}"/>
    <cellStyle name="Normal 2 4 2 27 2 2 2 3 2" xfId="51038" xr:uid="{00000000-0005-0000-0000-000093A80000}"/>
    <cellStyle name="Normal 2 4 2 27 2 2 2 4" xfId="51039" xr:uid="{00000000-0005-0000-0000-000094A80000}"/>
    <cellStyle name="Normal 2 4 2 27 2 2 3" xfId="18044" xr:uid="{00000000-0005-0000-0000-000095A80000}"/>
    <cellStyle name="Normal 2 4 2 27 2 2 3 2" xfId="51040" xr:uid="{00000000-0005-0000-0000-000096A80000}"/>
    <cellStyle name="Normal 2 4 2 27 2 2 4" xfId="18045" xr:uid="{00000000-0005-0000-0000-000097A80000}"/>
    <cellStyle name="Normal 2 4 2 27 2 2 4 2" xfId="51041" xr:uid="{00000000-0005-0000-0000-000098A80000}"/>
    <cellStyle name="Normal 2 4 2 27 2 2 5" xfId="18046" xr:uid="{00000000-0005-0000-0000-000099A80000}"/>
    <cellStyle name="Normal 2 4 2 27 2 2 5 2" xfId="51042" xr:uid="{00000000-0005-0000-0000-00009AA80000}"/>
    <cellStyle name="Normal 2 4 2 27 2 2 6" xfId="51043" xr:uid="{00000000-0005-0000-0000-00009BA80000}"/>
    <cellStyle name="Normal 2 4 2 27 2 2 6 2" xfId="51044" xr:uid="{00000000-0005-0000-0000-00009CA80000}"/>
    <cellStyle name="Normal 2 4 2 27 2 2 7" xfId="51045" xr:uid="{00000000-0005-0000-0000-00009DA80000}"/>
    <cellStyle name="Normal 2 4 2 27 2 3" xfId="18047" xr:uid="{00000000-0005-0000-0000-00009EA80000}"/>
    <cellStyle name="Normal 2 4 2 27 2 3 2" xfId="18048" xr:uid="{00000000-0005-0000-0000-00009FA80000}"/>
    <cellStyle name="Normal 2 4 2 27 2 3 2 2" xfId="51046" xr:uid="{00000000-0005-0000-0000-0000A0A80000}"/>
    <cellStyle name="Normal 2 4 2 27 2 3 3" xfId="18049" xr:uid="{00000000-0005-0000-0000-0000A1A80000}"/>
    <cellStyle name="Normal 2 4 2 27 2 3 3 2" xfId="51047" xr:uid="{00000000-0005-0000-0000-0000A2A80000}"/>
    <cellStyle name="Normal 2 4 2 27 2 3 4" xfId="51048" xr:uid="{00000000-0005-0000-0000-0000A3A80000}"/>
    <cellStyle name="Normal 2 4 2 27 2 4" xfId="18050" xr:uid="{00000000-0005-0000-0000-0000A4A80000}"/>
    <cellStyle name="Normal 2 4 2 27 2 4 2" xfId="18051" xr:uid="{00000000-0005-0000-0000-0000A5A80000}"/>
    <cellStyle name="Normal 2 4 2 27 2 4 2 2" xfId="51049" xr:uid="{00000000-0005-0000-0000-0000A6A80000}"/>
    <cellStyle name="Normal 2 4 2 27 2 4 3" xfId="51050" xr:uid="{00000000-0005-0000-0000-0000A7A80000}"/>
    <cellStyle name="Normal 2 4 2 27 2 5" xfId="18052" xr:uid="{00000000-0005-0000-0000-0000A8A80000}"/>
    <cellStyle name="Normal 2 4 2 27 2 5 2" xfId="51051" xr:uid="{00000000-0005-0000-0000-0000A9A80000}"/>
    <cellStyle name="Normal 2 4 2 27 2 6" xfId="18053" xr:uid="{00000000-0005-0000-0000-0000AAA80000}"/>
    <cellStyle name="Normal 2 4 2 27 2 6 2" xfId="51052" xr:uid="{00000000-0005-0000-0000-0000ABA80000}"/>
    <cellStyle name="Normal 2 4 2 27 2 7" xfId="51053" xr:uid="{00000000-0005-0000-0000-0000ACA80000}"/>
    <cellStyle name="Normal 2 4 2 27 2 7 2" xfId="51054" xr:uid="{00000000-0005-0000-0000-0000ADA80000}"/>
    <cellStyle name="Normal 2 4 2 27 2 8" xfId="51055" xr:uid="{00000000-0005-0000-0000-0000AEA80000}"/>
    <cellStyle name="Normal 2 4 2 27 2 9" xfId="51056" xr:uid="{00000000-0005-0000-0000-0000AFA80000}"/>
    <cellStyle name="Normal 2 4 2 27 3" xfId="18054" xr:uid="{00000000-0005-0000-0000-0000B0A80000}"/>
    <cellStyle name="Normal 2 4 2 27 3 2" xfId="18055" xr:uid="{00000000-0005-0000-0000-0000B1A80000}"/>
    <cellStyle name="Normal 2 4 2 27 3 2 2" xfId="18056" xr:uid="{00000000-0005-0000-0000-0000B2A80000}"/>
    <cellStyle name="Normal 2 4 2 27 3 2 2 2" xfId="51057" xr:uid="{00000000-0005-0000-0000-0000B3A80000}"/>
    <cellStyle name="Normal 2 4 2 27 3 2 3" xfId="18057" xr:uid="{00000000-0005-0000-0000-0000B4A80000}"/>
    <cellStyle name="Normal 2 4 2 27 3 2 3 2" xfId="51058" xr:uid="{00000000-0005-0000-0000-0000B5A80000}"/>
    <cellStyle name="Normal 2 4 2 27 3 2 4" xfId="51059" xr:uid="{00000000-0005-0000-0000-0000B6A80000}"/>
    <cellStyle name="Normal 2 4 2 27 3 3" xfId="18058" xr:uid="{00000000-0005-0000-0000-0000B7A80000}"/>
    <cellStyle name="Normal 2 4 2 27 3 3 2" xfId="51060" xr:uid="{00000000-0005-0000-0000-0000B8A80000}"/>
    <cellStyle name="Normal 2 4 2 27 3 4" xfId="18059" xr:uid="{00000000-0005-0000-0000-0000B9A80000}"/>
    <cellStyle name="Normal 2 4 2 27 3 4 2" xfId="51061" xr:uid="{00000000-0005-0000-0000-0000BAA80000}"/>
    <cellStyle name="Normal 2 4 2 27 3 5" xfId="18060" xr:uid="{00000000-0005-0000-0000-0000BBA80000}"/>
    <cellStyle name="Normal 2 4 2 27 3 5 2" xfId="51062" xr:uid="{00000000-0005-0000-0000-0000BCA80000}"/>
    <cellStyle name="Normal 2 4 2 27 3 6" xfId="51063" xr:uid="{00000000-0005-0000-0000-0000BDA80000}"/>
    <cellStyle name="Normal 2 4 2 27 3 6 2" xfId="51064" xr:uid="{00000000-0005-0000-0000-0000BEA80000}"/>
    <cellStyle name="Normal 2 4 2 27 3 7" xfId="51065" xr:uid="{00000000-0005-0000-0000-0000BFA80000}"/>
    <cellStyle name="Normal 2 4 2 27 4" xfId="18061" xr:uid="{00000000-0005-0000-0000-0000C0A80000}"/>
    <cellStyle name="Normal 2 4 2 27 4 2" xfId="18062" xr:uid="{00000000-0005-0000-0000-0000C1A80000}"/>
    <cellStyle name="Normal 2 4 2 27 4 2 2" xfId="51066" xr:uid="{00000000-0005-0000-0000-0000C2A80000}"/>
    <cellStyle name="Normal 2 4 2 27 4 3" xfId="18063" xr:uid="{00000000-0005-0000-0000-0000C3A80000}"/>
    <cellStyle name="Normal 2 4 2 27 4 3 2" xfId="51067" xr:uid="{00000000-0005-0000-0000-0000C4A80000}"/>
    <cellStyle name="Normal 2 4 2 27 4 4" xfId="51068" xr:uid="{00000000-0005-0000-0000-0000C5A80000}"/>
    <cellStyle name="Normal 2 4 2 27 5" xfId="18064" xr:uid="{00000000-0005-0000-0000-0000C6A80000}"/>
    <cellStyle name="Normal 2 4 2 27 5 2" xfId="18065" xr:uid="{00000000-0005-0000-0000-0000C7A80000}"/>
    <cellStyle name="Normal 2 4 2 27 5 2 2" xfId="51069" xr:uid="{00000000-0005-0000-0000-0000C8A80000}"/>
    <cellStyle name="Normal 2 4 2 27 5 3" xfId="51070" xr:uid="{00000000-0005-0000-0000-0000C9A80000}"/>
    <cellStyle name="Normal 2 4 2 27 6" xfId="18066" xr:uid="{00000000-0005-0000-0000-0000CAA80000}"/>
    <cellStyle name="Normal 2 4 2 27 6 2" xfId="51071" xr:uid="{00000000-0005-0000-0000-0000CBA80000}"/>
    <cellStyle name="Normal 2 4 2 27 7" xfId="18067" xr:uid="{00000000-0005-0000-0000-0000CCA80000}"/>
    <cellStyle name="Normal 2 4 2 27 7 2" xfId="51072" xr:uid="{00000000-0005-0000-0000-0000CDA80000}"/>
    <cellStyle name="Normal 2 4 2 27 8" xfId="51073" xr:uid="{00000000-0005-0000-0000-0000CEA80000}"/>
    <cellStyle name="Normal 2 4 2 27 8 2" xfId="51074" xr:uid="{00000000-0005-0000-0000-0000CFA80000}"/>
    <cellStyle name="Normal 2 4 2 27 9" xfId="51075" xr:uid="{00000000-0005-0000-0000-0000D0A80000}"/>
    <cellStyle name="Normal 2 4 2 28" xfId="18068" xr:uid="{00000000-0005-0000-0000-0000D1A80000}"/>
    <cellStyle name="Normal 2 4 2 28 10" xfId="51076" xr:uid="{00000000-0005-0000-0000-0000D2A80000}"/>
    <cellStyle name="Normal 2 4 2 28 11" xfId="51077" xr:uid="{00000000-0005-0000-0000-0000D3A80000}"/>
    <cellStyle name="Normal 2 4 2 28 2" xfId="18069" xr:uid="{00000000-0005-0000-0000-0000D4A80000}"/>
    <cellStyle name="Normal 2 4 2 28 2 10" xfId="51078" xr:uid="{00000000-0005-0000-0000-0000D5A80000}"/>
    <cellStyle name="Normal 2 4 2 28 2 2" xfId="18070" xr:uid="{00000000-0005-0000-0000-0000D6A80000}"/>
    <cellStyle name="Normal 2 4 2 28 2 2 2" xfId="18071" xr:uid="{00000000-0005-0000-0000-0000D7A80000}"/>
    <cellStyle name="Normal 2 4 2 28 2 2 2 2" xfId="18072" xr:uid="{00000000-0005-0000-0000-0000D8A80000}"/>
    <cellStyle name="Normal 2 4 2 28 2 2 2 2 2" xfId="51079" xr:uid="{00000000-0005-0000-0000-0000D9A80000}"/>
    <cellStyle name="Normal 2 4 2 28 2 2 2 3" xfId="18073" xr:uid="{00000000-0005-0000-0000-0000DAA80000}"/>
    <cellStyle name="Normal 2 4 2 28 2 2 2 3 2" xfId="51080" xr:uid="{00000000-0005-0000-0000-0000DBA80000}"/>
    <cellStyle name="Normal 2 4 2 28 2 2 2 4" xfId="51081" xr:uid="{00000000-0005-0000-0000-0000DCA80000}"/>
    <cellStyle name="Normal 2 4 2 28 2 2 3" xfId="18074" xr:uid="{00000000-0005-0000-0000-0000DDA80000}"/>
    <cellStyle name="Normal 2 4 2 28 2 2 3 2" xfId="51082" xr:uid="{00000000-0005-0000-0000-0000DEA80000}"/>
    <cellStyle name="Normal 2 4 2 28 2 2 4" xfId="18075" xr:uid="{00000000-0005-0000-0000-0000DFA80000}"/>
    <cellStyle name="Normal 2 4 2 28 2 2 4 2" xfId="51083" xr:uid="{00000000-0005-0000-0000-0000E0A80000}"/>
    <cellStyle name="Normal 2 4 2 28 2 2 5" xfId="18076" xr:uid="{00000000-0005-0000-0000-0000E1A80000}"/>
    <cellStyle name="Normal 2 4 2 28 2 2 5 2" xfId="51084" xr:uid="{00000000-0005-0000-0000-0000E2A80000}"/>
    <cellStyle name="Normal 2 4 2 28 2 2 6" xfId="51085" xr:uid="{00000000-0005-0000-0000-0000E3A80000}"/>
    <cellStyle name="Normal 2 4 2 28 2 2 6 2" xfId="51086" xr:uid="{00000000-0005-0000-0000-0000E4A80000}"/>
    <cellStyle name="Normal 2 4 2 28 2 2 7" xfId="51087" xr:uid="{00000000-0005-0000-0000-0000E5A80000}"/>
    <cellStyle name="Normal 2 4 2 28 2 3" xfId="18077" xr:uid="{00000000-0005-0000-0000-0000E6A80000}"/>
    <cellStyle name="Normal 2 4 2 28 2 3 2" xfId="18078" xr:uid="{00000000-0005-0000-0000-0000E7A80000}"/>
    <cellStyle name="Normal 2 4 2 28 2 3 2 2" xfId="51088" xr:uid="{00000000-0005-0000-0000-0000E8A80000}"/>
    <cellStyle name="Normal 2 4 2 28 2 3 3" xfId="18079" xr:uid="{00000000-0005-0000-0000-0000E9A80000}"/>
    <cellStyle name="Normal 2 4 2 28 2 3 3 2" xfId="51089" xr:uid="{00000000-0005-0000-0000-0000EAA80000}"/>
    <cellStyle name="Normal 2 4 2 28 2 3 4" xfId="51090" xr:uid="{00000000-0005-0000-0000-0000EBA80000}"/>
    <cellStyle name="Normal 2 4 2 28 2 4" xfId="18080" xr:uid="{00000000-0005-0000-0000-0000ECA80000}"/>
    <cellStyle name="Normal 2 4 2 28 2 4 2" xfId="18081" xr:uid="{00000000-0005-0000-0000-0000EDA80000}"/>
    <cellStyle name="Normal 2 4 2 28 2 4 2 2" xfId="51091" xr:uid="{00000000-0005-0000-0000-0000EEA80000}"/>
    <cellStyle name="Normal 2 4 2 28 2 4 3" xfId="51092" xr:uid="{00000000-0005-0000-0000-0000EFA80000}"/>
    <cellStyle name="Normal 2 4 2 28 2 5" xfId="18082" xr:uid="{00000000-0005-0000-0000-0000F0A80000}"/>
    <cellStyle name="Normal 2 4 2 28 2 5 2" xfId="51093" xr:uid="{00000000-0005-0000-0000-0000F1A80000}"/>
    <cellStyle name="Normal 2 4 2 28 2 6" xfId="18083" xr:uid="{00000000-0005-0000-0000-0000F2A80000}"/>
    <cellStyle name="Normal 2 4 2 28 2 6 2" xfId="51094" xr:uid="{00000000-0005-0000-0000-0000F3A80000}"/>
    <cellStyle name="Normal 2 4 2 28 2 7" xfId="51095" xr:uid="{00000000-0005-0000-0000-0000F4A80000}"/>
    <cellStyle name="Normal 2 4 2 28 2 7 2" xfId="51096" xr:uid="{00000000-0005-0000-0000-0000F5A80000}"/>
    <cellStyle name="Normal 2 4 2 28 2 8" xfId="51097" xr:uid="{00000000-0005-0000-0000-0000F6A80000}"/>
    <cellStyle name="Normal 2 4 2 28 2 9" xfId="51098" xr:uid="{00000000-0005-0000-0000-0000F7A80000}"/>
    <cellStyle name="Normal 2 4 2 28 3" xfId="18084" xr:uid="{00000000-0005-0000-0000-0000F8A80000}"/>
    <cellStyle name="Normal 2 4 2 28 3 2" xfId="18085" xr:uid="{00000000-0005-0000-0000-0000F9A80000}"/>
    <cellStyle name="Normal 2 4 2 28 3 2 2" xfId="18086" xr:uid="{00000000-0005-0000-0000-0000FAA80000}"/>
    <cellStyle name="Normal 2 4 2 28 3 2 2 2" xfId="51099" xr:uid="{00000000-0005-0000-0000-0000FBA80000}"/>
    <cellStyle name="Normal 2 4 2 28 3 2 3" xfId="18087" xr:uid="{00000000-0005-0000-0000-0000FCA80000}"/>
    <cellStyle name="Normal 2 4 2 28 3 2 3 2" xfId="51100" xr:uid="{00000000-0005-0000-0000-0000FDA80000}"/>
    <cellStyle name="Normal 2 4 2 28 3 2 4" xfId="51101" xr:uid="{00000000-0005-0000-0000-0000FEA80000}"/>
    <cellStyle name="Normal 2 4 2 28 3 3" xfId="18088" xr:uid="{00000000-0005-0000-0000-0000FFA80000}"/>
    <cellStyle name="Normal 2 4 2 28 3 3 2" xfId="51102" xr:uid="{00000000-0005-0000-0000-000000A90000}"/>
    <cellStyle name="Normal 2 4 2 28 3 4" xfId="18089" xr:uid="{00000000-0005-0000-0000-000001A90000}"/>
    <cellStyle name="Normal 2 4 2 28 3 4 2" xfId="51103" xr:uid="{00000000-0005-0000-0000-000002A90000}"/>
    <cellStyle name="Normal 2 4 2 28 3 5" xfId="18090" xr:uid="{00000000-0005-0000-0000-000003A90000}"/>
    <cellStyle name="Normal 2 4 2 28 3 5 2" xfId="51104" xr:uid="{00000000-0005-0000-0000-000004A90000}"/>
    <cellStyle name="Normal 2 4 2 28 3 6" xfId="51105" xr:uid="{00000000-0005-0000-0000-000005A90000}"/>
    <cellStyle name="Normal 2 4 2 28 3 6 2" xfId="51106" xr:uid="{00000000-0005-0000-0000-000006A90000}"/>
    <cellStyle name="Normal 2 4 2 28 3 7" xfId="51107" xr:uid="{00000000-0005-0000-0000-000007A90000}"/>
    <cellStyle name="Normal 2 4 2 28 4" xfId="18091" xr:uid="{00000000-0005-0000-0000-000008A90000}"/>
    <cellStyle name="Normal 2 4 2 28 4 2" xfId="18092" xr:uid="{00000000-0005-0000-0000-000009A90000}"/>
    <cellStyle name="Normal 2 4 2 28 4 2 2" xfId="51108" xr:uid="{00000000-0005-0000-0000-00000AA90000}"/>
    <cellStyle name="Normal 2 4 2 28 4 3" xfId="18093" xr:uid="{00000000-0005-0000-0000-00000BA90000}"/>
    <cellStyle name="Normal 2 4 2 28 4 3 2" xfId="51109" xr:uid="{00000000-0005-0000-0000-00000CA90000}"/>
    <cellStyle name="Normal 2 4 2 28 4 4" xfId="51110" xr:uid="{00000000-0005-0000-0000-00000DA90000}"/>
    <cellStyle name="Normal 2 4 2 28 5" xfId="18094" xr:uid="{00000000-0005-0000-0000-00000EA90000}"/>
    <cellStyle name="Normal 2 4 2 28 5 2" xfId="18095" xr:uid="{00000000-0005-0000-0000-00000FA90000}"/>
    <cellStyle name="Normal 2 4 2 28 5 2 2" xfId="51111" xr:uid="{00000000-0005-0000-0000-000010A90000}"/>
    <cellStyle name="Normal 2 4 2 28 5 3" xfId="51112" xr:uid="{00000000-0005-0000-0000-000011A90000}"/>
    <cellStyle name="Normal 2 4 2 28 6" xfId="18096" xr:uid="{00000000-0005-0000-0000-000012A90000}"/>
    <cellStyle name="Normal 2 4 2 28 6 2" xfId="51113" xr:uid="{00000000-0005-0000-0000-000013A90000}"/>
    <cellStyle name="Normal 2 4 2 28 7" xfId="18097" xr:uid="{00000000-0005-0000-0000-000014A90000}"/>
    <cellStyle name="Normal 2 4 2 28 7 2" xfId="51114" xr:uid="{00000000-0005-0000-0000-000015A90000}"/>
    <cellStyle name="Normal 2 4 2 28 8" xfId="51115" xr:uid="{00000000-0005-0000-0000-000016A90000}"/>
    <cellStyle name="Normal 2 4 2 28 8 2" xfId="51116" xr:uid="{00000000-0005-0000-0000-000017A90000}"/>
    <cellStyle name="Normal 2 4 2 28 9" xfId="51117" xr:uid="{00000000-0005-0000-0000-000018A90000}"/>
    <cellStyle name="Normal 2 4 2 29" xfId="18098" xr:uid="{00000000-0005-0000-0000-000019A90000}"/>
    <cellStyle name="Normal 2 4 2 29 10" xfId="51118" xr:uid="{00000000-0005-0000-0000-00001AA90000}"/>
    <cellStyle name="Normal 2 4 2 29 11" xfId="51119" xr:uid="{00000000-0005-0000-0000-00001BA90000}"/>
    <cellStyle name="Normal 2 4 2 29 2" xfId="18099" xr:uid="{00000000-0005-0000-0000-00001CA90000}"/>
    <cellStyle name="Normal 2 4 2 29 2 10" xfId="51120" xr:uid="{00000000-0005-0000-0000-00001DA90000}"/>
    <cellStyle name="Normal 2 4 2 29 2 2" xfId="18100" xr:uid="{00000000-0005-0000-0000-00001EA90000}"/>
    <cellStyle name="Normal 2 4 2 29 2 2 2" xfId="18101" xr:uid="{00000000-0005-0000-0000-00001FA90000}"/>
    <cellStyle name="Normal 2 4 2 29 2 2 2 2" xfId="18102" xr:uid="{00000000-0005-0000-0000-000020A90000}"/>
    <cellStyle name="Normal 2 4 2 29 2 2 2 2 2" xfId="51121" xr:uid="{00000000-0005-0000-0000-000021A90000}"/>
    <cellStyle name="Normal 2 4 2 29 2 2 2 3" xfId="18103" xr:uid="{00000000-0005-0000-0000-000022A90000}"/>
    <cellStyle name="Normal 2 4 2 29 2 2 2 3 2" xfId="51122" xr:uid="{00000000-0005-0000-0000-000023A90000}"/>
    <cellStyle name="Normal 2 4 2 29 2 2 2 4" xfId="51123" xr:uid="{00000000-0005-0000-0000-000024A90000}"/>
    <cellStyle name="Normal 2 4 2 29 2 2 3" xfId="18104" xr:uid="{00000000-0005-0000-0000-000025A90000}"/>
    <cellStyle name="Normal 2 4 2 29 2 2 3 2" xfId="51124" xr:uid="{00000000-0005-0000-0000-000026A90000}"/>
    <cellStyle name="Normal 2 4 2 29 2 2 4" xfId="18105" xr:uid="{00000000-0005-0000-0000-000027A90000}"/>
    <cellStyle name="Normal 2 4 2 29 2 2 4 2" xfId="51125" xr:uid="{00000000-0005-0000-0000-000028A90000}"/>
    <cellStyle name="Normal 2 4 2 29 2 2 5" xfId="18106" xr:uid="{00000000-0005-0000-0000-000029A90000}"/>
    <cellStyle name="Normal 2 4 2 29 2 2 5 2" xfId="51126" xr:uid="{00000000-0005-0000-0000-00002AA90000}"/>
    <cellStyle name="Normal 2 4 2 29 2 2 6" xfId="51127" xr:uid="{00000000-0005-0000-0000-00002BA90000}"/>
    <cellStyle name="Normal 2 4 2 29 2 2 6 2" xfId="51128" xr:uid="{00000000-0005-0000-0000-00002CA90000}"/>
    <cellStyle name="Normal 2 4 2 29 2 2 7" xfId="51129" xr:uid="{00000000-0005-0000-0000-00002DA90000}"/>
    <cellStyle name="Normal 2 4 2 29 2 3" xfId="18107" xr:uid="{00000000-0005-0000-0000-00002EA90000}"/>
    <cellStyle name="Normal 2 4 2 29 2 3 2" xfId="18108" xr:uid="{00000000-0005-0000-0000-00002FA90000}"/>
    <cellStyle name="Normal 2 4 2 29 2 3 2 2" xfId="51130" xr:uid="{00000000-0005-0000-0000-000030A90000}"/>
    <cellStyle name="Normal 2 4 2 29 2 3 3" xfId="18109" xr:uid="{00000000-0005-0000-0000-000031A90000}"/>
    <cellStyle name="Normal 2 4 2 29 2 3 3 2" xfId="51131" xr:uid="{00000000-0005-0000-0000-000032A90000}"/>
    <cellStyle name="Normal 2 4 2 29 2 3 4" xfId="51132" xr:uid="{00000000-0005-0000-0000-000033A90000}"/>
    <cellStyle name="Normal 2 4 2 29 2 4" xfId="18110" xr:uid="{00000000-0005-0000-0000-000034A90000}"/>
    <cellStyle name="Normal 2 4 2 29 2 4 2" xfId="18111" xr:uid="{00000000-0005-0000-0000-000035A90000}"/>
    <cellStyle name="Normal 2 4 2 29 2 4 2 2" xfId="51133" xr:uid="{00000000-0005-0000-0000-000036A90000}"/>
    <cellStyle name="Normal 2 4 2 29 2 4 3" xfId="51134" xr:uid="{00000000-0005-0000-0000-000037A90000}"/>
    <cellStyle name="Normal 2 4 2 29 2 5" xfId="18112" xr:uid="{00000000-0005-0000-0000-000038A90000}"/>
    <cellStyle name="Normal 2 4 2 29 2 5 2" xfId="51135" xr:uid="{00000000-0005-0000-0000-000039A90000}"/>
    <cellStyle name="Normal 2 4 2 29 2 6" xfId="18113" xr:uid="{00000000-0005-0000-0000-00003AA90000}"/>
    <cellStyle name="Normal 2 4 2 29 2 6 2" xfId="51136" xr:uid="{00000000-0005-0000-0000-00003BA90000}"/>
    <cellStyle name="Normal 2 4 2 29 2 7" xfId="51137" xr:uid="{00000000-0005-0000-0000-00003CA90000}"/>
    <cellStyle name="Normal 2 4 2 29 2 7 2" xfId="51138" xr:uid="{00000000-0005-0000-0000-00003DA90000}"/>
    <cellStyle name="Normal 2 4 2 29 2 8" xfId="51139" xr:uid="{00000000-0005-0000-0000-00003EA90000}"/>
    <cellStyle name="Normal 2 4 2 29 2 9" xfId="51140" xr:uid="{00000000-0005-0000-0000-00003FA90000}"/>
    <cellStyle name="Normal 2 4 2 29 3" xfId="18114" xr:uid="{00000000-0005-0000-0000-000040A90000}"/>
    <cellStyle name="Normal 2 4 2 29 3 2" xfId="18115" xr:uid="{00000000-0005-0000-0000-000041A90000}"/>
    <cellStyle name="Normal 2 4 2 29 3 2 2" xfId="18116" xr:uid="{00000000-0005-0000-0000-000042A90000}"/>
    <cellStyle name="Normal 2 4 2 29 3 2 2 2" xfId="51141" xr:uid="{00000000-0005-0000-0000-000043A90000}"/>
    <cellStyle name="Normal 2 4 2 29 3 2 3" xfId="18117" xr:uid="{00000000-0005-0000-0000-000044A90000}"/>
    <cellStyle name="Normal 2 4 2 29 3 2 3 2" xfId="51142" xr:uid="{00000000-0005-0000-0000-000045A90000}"/>
    <cellStyle name="Normal 2 4 2 29 3 2 4" xfId="51143" xr:uid="{00000000-0005-0000-0000-000046A90000}"/>
    <cellStyle name="Normal 2 4 2 29 3 3" xfId="18118" xr:uid="{00000000-0005-0000-0000-000047A90000}"/>
    <cellStyle name="Normal 2 4 2 29 3 3 2" xfId="51144" xr:uid="{00000000-0005-0000-0000-000048A90000}"/>
    <cellStyle name="Normal 2 4 2 29 3 4" xfId="18119" xr:uid="{00000000-0005-0000-0000-000049A90000}"/>
    <cellStyle name="Normal 2 4 2 29 3 4 2" xfId="51145" xr:uid="{00000000-0005-0000-0000-00004AA90000}"/>
    <cellStyle name="Normal 2 4 2 29 3 5" xfId="18120" xr:uid="{00000000-0005-0000-0000-00004BA90000}"/>
    <cellStyle name="Normal 2 4 2 29 3 5 2" xfId="51146" xr:uid="{00000000-0005-0000-0000-00004CA90000}"/>
    <cellStyle name="Normal 2 4 2 29 3 6" xfId="51147" xr:uid="{00000000-0005-0000-0000-00004DA90000}"/>
    <cellStyle name="Normal 2 4 2 29 3 6 2" xfId="51148" xr:uid="{00000000-0005-0000-0000-00004EA90000}"/>
    <cellStyle name="Normal 2 4 2 29 3 7" xfId="51149" xr:uid="{00000000-0005-0000-0000-00004FA90000}"/>
    <cellStyle name="Normal 2 4 2 29 4" xfId="18121" xr:uid="{00000000-0005-0000-0000-000050A90000}"/>
    <cellStyle name="Normal 2 4 2 29 4 2" xfId="18122" xr:uid="{00000000-0005-0000-0000-000051A90000}"/>
    <cellStyle name="Normal 2 4 2 29 4 2 2" xfId="51150" xr:uid="{00000000-0005-0000-0000-000052A90000}"/>
    <cellStyle name="Normal 2 4 2 29 4 3" xfId="18123" xr:uid="{00000000-0005-0000-0000-000053A90000}"/>
    <cellStyle name="Normal 2 4 2 29 4 3 2" xfId="51151" xr:uid="{00000000-0005-0000-0000-000054A90000}"/>
    <cellStyle name="Normal 2 4 2 29 4 4" xfId="51152" xr:uid="{00000000-0005-0000-0000-000055A90000}"/>
    <cellStyle name="Normal 2 4 2 29 5" xfId="18124" xr:uid="{00000000-0005-0000-0000-000056A90000}"/>
    <cellStyle name="Normal 2 4 2 29 5 2" xfId="18125" xr:uid="{00000000-0005-0000-0000-000057A90000}"/>
    <cellStyle name="Normal 2 4 2 29 5 2 2" xfId="51153" xr:uid="{00000000-0005-0000-0000-000058A90000}"/>
    <cellStyle name="Normal 2 4 2 29 5 3" xfId="51154" xr:uid="{00000000-0005-0000-0000-000059A90000}"/>
    <cellStyle name="Normal 2 4 2 29 6" xfId="18126" xr:uid="{00000000-0005-0000-0000-00005AA90000}"/>
    <cellStyle name="Normal 2 4 2 29 6 2" xfId="51155" xr:uid="{00000000-0005-0000-0000-00005BA90000}"/>
    <cellStyle name="Normal 2 4 2 29 7" xfId="18127" xr:uid="{00000000-0005-0000-0000-00005CA90000}"/>
    <cellStyle name="Normal 2 4 2 29 7 2" xfId="51156" xr:uid="{00000000-0005-0000-0000-00005DA90000}"/>
    <cellStyle name="Normal 2 4 2 29 8" xfId="51157" xr:uid="{00000000-0005-0000-0000-00005EA90000}"/>
    <cellStyle name="Normal 2 4 2 29 8 2" xfId="51158" xr:uid="{00000000-0005-0000-0000-00005FA90000}"/>
    <cellStyle name="Normal 2 4 2 29 9" xfId="51159" xr:uid="{00000000-0005-0000-0000-000060A90000}"/>
    <cellStyle name="Normal 2 4 2 3" xfId="18128" xr:uid="{00000000-0005-0000-0000-000061A90000}"/>
    <cellStyle name="Normal 2 4 2 3 10" xfId="51160" xr:uid="{00000000-0005-0000-0000-000062A90000}"/>
    <cellStyle name="Normal 2 4 2 3 11" xfId="51161" xr:uid="{00000000-0005-0000-0000-000063A90000}"/>
    <cellStyle name="Normal 2 4 2 3 2" xfId="18129" xr:uid="{00000000-0005-0000-0000-000064A90000}"/>
    <cellStyle name="Normal 2 4 2 3 2 10" xfId="51162" xr:uid="{00000000-0005-0000-0000-000065A90000}"/>
    <cellStyle name="Normal 2 4 2 3 2 2" xfId="18130" xr:uid="{00000000-0005-0000-0000-000066A90000}"/>
    <cellStyle name="Normal 2 4 2 3 2 2 2" xfId="18131" xr:uid="{00000000-0005-0000-0000-000067A90000}"/>
    <cellStyle name="Normal 2 4 2 3 2 2 2 2" xfId="18132" xr:uid="{00000000-0005-0000-0000-000068A90000}"/>
    <cellStyle name="Normal 2 4 2 3 2 2 2 2 2" xfId="51163" xr:uid="{00000000-0005-0000-0000-000069A90000}"/>
    <cellStyle name="Normal 2 4 2 3 2 2 2 3" xfId="18133" xr:uid="{00000000-0005-0000-0000-00006AA90000}"/>
    <cellStyle name="Normal 2 4 2 3 2 2 2 3 2" xfId="51164" xr:uid="{00000000-0005-0000-0000-00006BA90000}"/>
    <cellStyle name="Normal 2 4 2 3 2 2 2 4" xfId="51165" xr:uid="{00000000-0005-0000-0000-00006CA90000}"/>
    <cellStyle name="Normal 2 4 2 3 2 2 3" xfId="18134" xr:uid="{00000000-0005-0000-0000-00006DA90000}"/>
    <cellStyle name="Normal 2 4 2 3 2 2 3 2" xfId="51166" xr:uid="{00000000-0005-0000-0000-00006EA90000}"/>
    <cellStyle name="Normal 2 4 2 3 2 2 4" xfId="18135" xr:uid="{00000000-0005-0000-0000-00006FA90000}"/>
    <cellStyle name="Normal 2 4 2 3 2 2 4 2" xfId="51167" xr:uid="{00000000-0005-0000-0000-000070A90000}"/>
    <cellStyle name="Normal 2 4 2 3 2 2 5" xfId="18136" xr:uid="{00000000-0005-0000-0000-000071A90000}"/>
    <cellStyle name="Normal 2 4 2 3 2 2 5 2" xfId="51168" xr:uid="{00000000-0005-0000-0000-000072A90000}"/>
    <cellStyle name="Normal 2 4 2 3 2 2 6" xfId="51169" xr:uid="{00000000-0005-0000-0000-000073A90000}"/>
    <cellStyle name="Normal 2 4 2 3 2 2 6 2" xfId="51170" xr:uid="{00000000-0005-0000-0000-000074A90000}"/>
    <cellStyle name="Normal 2 4 2 3 2 2 7" xfId="51171" xr:uid="{00000000-0005-0000-0000-000075A90000}"/>
    <cellStyle name="Normal 2 4 2 3 2 3" xfId="18137" xr:uid="{00000000-0005-0000-0000-000076A90000}"/>
    <cellStyle name="Normal 2 4 2 3 2 3 2" xfId="18138" xr:uid="{00000000-0005-0000-0000-000077A90000}"/>
    <cellStyle name="Normal 2 4 2 3 2 3 2 2" xfId="51172" xr:uid="{00000000-0005-0000-0000-000078A90000}"/>
    <cellStyle name="Normal 2 4 2 3 2 3 3" xfId="18139" xr:uid="{00000000-0005-0000-0000-000079A90000}"/>
    <cellStyle name="Normal 2 4 2 3 2 3 3 2" xfId="51173" xr:uid="{00000000-0005-0000-0000-00007AA90000}"/>
    <cellStyle name="Normal 2 4 2 3 2 3 4" xfId="51174" xr:uid="{00000000-0005-0000-0000-00007BA90000}"/>
    <cellStyle name="Normal 2 4 2 3 2 4" xfId="18140" xr:uid="{00000000-0005-0000-0000-00007CA90000}"/>
    <cellStyle name="Normal 2 4 2 3 2 4 2" xfId="18141" xr:uid="{00000000-0005-0000-0000-00007DA90000}"/>
    <cellStyle name="Normal 2 4 2 3 2 4 2 2" xfId="51175" xr:uid="{00000000-0005-0000-0000-00007EA90000}"/>
    <cellStyle name="Normal 2 4 2 3 2 4 3" xfId="51176" xr:uid="{00000000-0005-0000-0000-00007FA90000}"/>
    <cellStyle name="Normal 2 4 2 3 2 5" xfId="18142" xr:uid="{00000000-0005-0000-0000-000080A90000}"/>
    <cellStyle name="Normal 2 4 2 3 2 5 2" xfId="51177" xr:uid="{00000000-0005-0000-0000-000081A90000}"/>
    <cellStyle name="Normal 2 4 2 3 2 6" xfId="18143" xr:uid="{00000000-0005-0000-0000-000082A90000}"/>
    <cellStyle name="Normal 2 4 2 3 2 6 2" xfId="51178" xr:uid="{00000000-0005-0000-0000-000083A90000}"/>
    <cellStyle name="Normal 2 4 2 3 2 7" xfId="51179" xr:uid="{00000000-0005-0000-0000-000084A90000}"/>
    <cellStyle name="Normal 2 4 2 3 2 7 2" xfId="51180" xr:uid="{00000000-0005-0000-0000-000085A90000}"/>
    <cellStyle name="Normal 2 4 2 3 2 8" xfId="51181" xr:uid="{00000000-0005-0000-0000-000086A90000}"/>
    <cellStyle name="Normal 2 4 2 3 2 9" xfId="51182" xr:uid="{00000000-0005-0000-0000-000087A90000}"/>
    <cellStyle name="Normal 2 4 2 3 3" xfId="18144" xr:uid="{00000000-0005-0000-0000-000088A90000}"/>
    <cellStyle name="Normal 2 4 2 3 3 2" xfId="18145" xr:uid="{00000000-0005-0000-0000-000089A90000}"/>
    <cellStyle name="Normal 2 4 2 3 3 2 2" xfId="18146" xr:uid="{00000000-0005-0000-0000-00008AA90000}"/>
    <cellStyle name="Normal 2 4 2 3 3 2 2 2" xfId="51183" xr:uid="{00000000-0005-0000-0000-00008BA90000}"/>
    <cellStyle name="Normal 2 4 2 3 3 2 3" xfId="18147" xr:uid="{00000000-0005-0000-0000-00008CA90000}"/>
    <cellStyle name="Normal 2 4 2 3 3 2 3 2" xfId="51184" xr:uid="{00000000-0005-0000-0000-00008DA90000}"/>
    <cellStyle name="Normal 2 4 2 3 3 2 4" xfId="51185" xr:uid="{00000000-0005-0000-0000-00008EA90000}"/>
    <cellStyle name="Normal 2 4 2 3 3 3" xfId="18148" xr:uid="{00000000-0005-0000-0000-00008FA90000}"/>
    <cellStyle name="Normal 2 4 2 3 3 3 2" xfId="51186" xr:uid="{00000000-0005-0000-0000-000090A90000}"/>
    <cellStyle name="Normal 2 4 2 3 3 4" xfId="18149" xr:uid="{00000000-0005-0000-0000-000091A90000}"/>
    <cellStyle name="Normal 2 4 2 3 3 4 2" xfId="51187" xr:uid="{00000000-0005-0000-0000-000092A90000}"/>
    <cellStyle name="Normal 2 4 2 3 3 5" xfId="18150" xr:uid="{00000000-0005-0000-0000-000093A90000}"/>
    <cellStyle name="Normal 2 4 2 3 3 5 2" xfId="51188" xr:uid="{00000000-0005-0000-0000-000094A90000}"/>
    <cellStyle name="Normal 2 4 2 3 3 6" xfId="51189" xr:uid="{00000000-0005-0000-0000-000095A90000}"/>
    <cellStyle name="Normal 2 4 2 3 3 6 2" xfId="51190" xr:uid="{00000000-0005-0000-0000-000096A90000}"/>
    <cellStyle name="Normal 2 4 2 3 3 7" xfId="51191" xr:uid="{00000000-0005-0000-0000-000097A90000}"/>
    <cellStyle name="Normal 2 4 2 3 4" xfId="18151" xr:uid="{00000000-0005-0000-0000-000098A90000}"/>
    <cellStyle name="Normal 2 4 2 3 4 2" xfId="18152" xr:uid="{00000000-0005-0000-0000-000099A90000}"/>
    <cellStyle name="Normal 2 4 2 3 4 2 2" xfId="51192" xr:uid="{00000000-0005-0000-0000-00009AA90000}"/>
    <cellStyle name="Normal 2 4 2 3 4 3" xfId="18153" xr:uid="{00000000-0005-0000-0000-00009BA90000}"/>
    <cellStyle name="Normal 2 4 2 3 4 3 2" xfId="51193" xr:uid="{00000000-0005-0000-0000-00009CA90000}"/>
    <cellStyle name="Normal 2 4 2 3 4 4" xfId="51194" xr:uid="{00000000-0005-0000-0000-00009DA90000}"/>
    <cellStyle name="Normal 2 4 2 3 5" xfId="18154" xr:uid="{00000000-0005-0000-0000-00009EA90000}"/>
    <cellStyle name="Normal 2 4 2 3 5 2" xfId="18155" xr:uid="{00000000-0005-0000-0000-00009FA90000}"/>
    <cellStyle name="Normal 2 4 2 3 5 2 2" xfId="51195" xr:uid="{00000000-0005-0000-0000-0000A0A90000}"/>
    <cellStyle name="Normal 2 4 2 3 5 3" xfId="51196" xr:uid="{00000000-0005-0000-0000-0000A1A90000}"/>
    <cellStyle name="Normal 2 4 2 3 6" xfId="18156" xr:uid="{00000000-0005-0000-0000-0000A2A90000}"/>
    <cellStyle name="Normal 2 4 2 3 6 2" xfId="51197" xr:uid="{00000000-0005-0000-0000-0000A3A90000}"/>
    <cellStyle name="Normal 2 4 2 3 7" xfId="18157" xr:uid="{00000000-0005-0000-0000-0000A4A90000}"/>
    <cellStyle name="Normal 2 4 2 3 7 2" xfId="51198" xr:uid="{00000000-0005-0000-0000-0000A5A90000}"/>
    <cellStyle name="Normal 2 4 2 3 8" xfId="51199" xr:uid="{00000000-0005-0000-0000-0000A6A90000}"/>
    <cellStyle name="Normal 2 4 2 3 8 2" xfId="51200" xr:uid="{00000000-0005-0000-0000-0000A7A90000}"/>
    <cellStyle name="Normal 2 4 2 3 9" xfId="51201" xr:uid="{00000000-0005-0000-0000-0000A8A90000}"/>
    <cellStyle name="Normal 2 4 2 30" xfId="18158" xr:uid="{00000000-0005-0000-0000-0000A9A90000}"/>
    <cellStyle name="Normal 2 4 2 30 10" xfId="51202" xr:uid="{00000000-0005-0000-0000-0000AAA90000}"/>
    <cellStyle name="Normal 2 4 2 30 11" xfId="51203" xr:uid="{00000000-0005-0000-0000-0000ABA90000}"/>
    <cellStyle name="Normal 2 4 2 30 2" xfId="18159" xr:uid="{00000000-0005-0000-0000-0000ACA90000}"/>
    <cellStyle name="Normal 2 4 2 30 2 10" xfId="51204" xr:uid="{00000000-0005-0000-0000-0000ADA90000}"/>
    <cellStyle name="Normal 2 4 2 30 2 2" xfId="18160" xr:uid="{00000000-0005-0000-0000-0000AEA90000}"/>
    <cellStyle name="Normal 2 4 2 30 2 2 2" xfId="18161" xr:uid="{00000000-0005-0000-0000-0000AFA90000}"/>
    <cellStyle name="Normal 2 4 2 30 2 2 2 2" xfId="18162" xr:uid="{00000000-0005-0000-0000-0000B0A90000}"/>
    <cellStyle name="Normal 2 4 2 30 2 2 2 2 2" xfId="51205" xr:uid="{00000000-0005-0000-0000-0000B1A90000}"/>
    <cellStyle name="Normal 2 4 2 30 2 2 2 3" xfId="18163" xr:uid="{00000000-0005-0000-0000-0000B2A90000}"/>
    <cellStyle name="Normal 2 4 2 30 2 2 2 3 2" xfId="51206" xr:uid="{00000000-0005-0000-0000-0000B3A90000}"/>
    <cellStyle name="Normal 2 4 2 30 2 2 2 4" xfId="51207" xr:uid="{00000000-0005-0000-0000-0000B4A90000}"/>
    <cellStyle name="Normal 2 4 2 30 2 2 3" xfId="18164" xr:uid="{00000000-0005-0000-0000-0000B5A90000}"/>
    <cellStyle name="Normal 2 4 2 30 2 2 3 2" xfId="51208" xr:uid="{00000000-0005-0000-0000-0000B6A90000}"/>
    <cellStyle name="Normal 2 4 2 30 2 2 4" xfId="18165" xr:uid="{00000000-0005-0000-0000-0000B7A90000}"/>
    <cellStyle name="Normal 2 4 2 30 2 2 4 2" xfId="51209" xr:uid="{00000000-0005-0000-0000-0000B8A90000}"/>
    <cellStyle name="Normal 2 4 2 30 2 2 5" xfId="18166" xr:uid="{00000000-0005-0000-0000-0000B9A90000}"/>
    <cellStyle name="Normal 2 4 2 30 2 2 5 2" xfId="51210" xr:uid="{00000000-0005-0000-0000-0000BAA90000}"/>
    <cellStyle name="Normal 2 4 2 30 2 2 6" xfId="51211" xr:uid="{00000000-0005-0000-0000-0000BBA90000}"/>
    <cellStyle name="Normal 2 4 2 30 2 2 6 2" xfId="51212" xr:uid="{00000000-0005-0000-0000-0000BCA90000}"/>
    <cellStyle name="Normal 2 4 2 30 2 2 7" xfId="51213" xr:uid="{00000000-0005-0000-0000-0000BDA90000}"/>
    <cellStyle name="Normal 2 4 2 30 2 3" xfId="18167" xr:uid="{00000000-0005-0000-0000-0000BEA90000}"/>
    <cellStyle name="Normal 2 4 2 30 2 3 2" xfId="18168" xr:uid="{00000000-0005-0000-0000-0000BFA90000}"/>
    <cellStyle name="Normal 2 4 2 30 2 3 2 2" xfId="51214" xr:uid="{00000000-0005-0000-0000-0000C0A90000}"/>
    <cellStyle name="Normal 2 4 2 30 2 3 3" xfId="18169" xr:uid="{00000000-0005-0000-0000-0000C1A90000}"/>
    <cellStyle name="Normal 2 4 2 30 2 3 3 2" xfId="51215" xr:uid="{00000000-0005-0000-0000-0000C2A90000}"/>
    <cellStyle name="Normal 2 4 2 30 2 3 4" xfId="51216" xr:uid="{00000000-0005-0000-0000-0000C3A90000}"/>
    <cellStyle name="Normal 2 4 2 30 2 4" xfId="18170" xr:uid="{00000000-0005-0000-0000-0000C4A90000}"/>
    <cellStyle name="Normal 2 4 2 30 2 4 2" xfId="18171" xr:uid="{00000000-0005-0000-0000-0000C5A90000}"/>
    <cellStyle name="Normal 2 4 2 30 2 4 2 2" xfId="51217" xr:uid="{00000000-0005-0000-0000-0000C6A90000}"/>
    <cellStyle name="Normal 2 4 2 30 2 4 3" xfId="51218" xr:uid="{00000000-0005-0000-0000-0000C7A90000}"/>
    <cellStyle name="Normal 2 4 2 30 2 5" xfId="18172" xr:uid="{00000000-0005-0000-0000-0000C8A90000}"/>
    <cellStyle name="Normal 2 4 2 30 2 5 2" xfId="51219" xr:uid="{00000000-0005-0000-0000-0000C9A90000}"/>
    <cellStyle name="Normal 2 4 2 30 2 6" xfId="18173" xr:uid="{00000000-0005-0000-0000-0000CAA90000}"/>
    <cellStyle name="Normal 2 4 2 30 2 6 2" xfId="51220" xr:uid="{00000000-0005-0000-0000-0000CBA90000}"/>
    <cellStyle name="Normal 2 4 2 30 2 7" xfId="51221" xr:uid="{00000000-0005-0000-0000-0000CCA90000}"/>
    <cellStyle name="Normal 2 4 2 30 2 7 2" xfId="51222" xr:uid="{00000000-0005-0000-0000-0000CDA90000}"/>
    <cellStyle name="Normal 2 4 2 30 2 8" xfId="51223" xr:uid="{00000000-0005-0000-0000-0000CEA90000}"/>
    <cellStyle name="Normal 2 4 2 30 2 9" xfId="51224" xr:uid="{00000000-0005-0000-0000-0000CFA90000}"/>
    <cellStyle name="Normal 2 4 2 30 3" xfId="18174" xr:uid="{00000000-0005-0000-0000-0000D0A90000}"/>
    <cellStyle name="Normal 2 4 2 30 3 2" xfId="18175" xr:uid="{00000000-0005-0000-0000-0000D1A90000}"/>
    <cellStyle name="Normal 2 4 2 30 3 2 2" xfId="18176" xr:uid="{00000000-0005-0000-0000-0000D2A90000}"/>
    <cellStyle name="Normal 2 4 2 30 3 2 2 2" xfId="51225" xr:uid="{00000000-0005-0000-0000-0000D3A90000}"/>
    <cellStyle name="Normal 2 4 2 30 3 2 3" xfId="18177" xr:uid="{00000000-0005-0000-0000-0000D4A90000}"/>
    <cellStyle name="Normal 2 4 2 30 3 2 3 2" xfId="51226" xr:uid="{00000000-0005-0000-0000-0000D5A90000}"/>
    <cellStyle name="Normal 2 4 2 30 3 2 4" xfId="51227" xr:uid="{00000000-0005-0000-0000-0000D6A90000}"/>
    <cellStyle name="Normal 2 4 2 30 3 3" xfId="18178" xr:uid="{00000000-0005-0000-0000-0000D7A90000}"/>
    <cellStyle name="Normal 2 4 2 30 3 3 2" xfId="51228" xr:uid="{00000000-0005-0000-0000-0000D8A90000}"/>
    <cellStyle name="Normal 2 4 2 30 3 4" xfId="18179" xr:uid="{00000000-0005-0000-0000-0000D9A90000}"/>
    <cellStyle name="Normal 2 4 2 30 3 4 2" xfId="51229" xr:uid="{00000000-0005-0000-0000-0000DAA90000}"/>
    <cellStyle name="Normal 2 4 2 30 3 5" xfId="18180" xr:uid="{00000000-0005-0000-0000-0000DBA90000}"/>
    <cellStyle name="Normal 2 4 2 30 3 5 2" xfId="51230" xr:uid="{00000000-0005-0000-0000-0000DCA90000}"/>
    <cellStyle name="Normal 2 4 2 30 3 6" xfId="51231" xr:uid="{00000000-0005-0000-0000-0000DDA90000}"/>
    <cellStyle name="Normal 2 4 2 30 3 6 2" xfId="51232" xr:uid="{00000000-0005-0000-0000-0000DEA90000}"/>
    <cellStyle name="Normal 2 4 2 30 3 7" xfId="51233" xr:uid="{00000000-0005-0000-0000-0000DFA90000}"/>
    <cellStyle name="Normal 2 4 2 30 4" xfId="18181" xr:uid="{00000000-0005-0000-0000-0000E0A90000}"/>
    <cellStyle name="Normal 2 4 2 30 4 2" xfId="18182" xr:uid="{00000000-0005-0000-0000-0000E1A90000}"/>
    <cellStyle name="Normal 2 4 2 30 4 2 2" xfId="51234" xr:uid="{00000000-0005-0000-0000-0000E2A90000}"/>
    <cellStyle name="Normal 2 4 2 30 4 3" xfId="18183" xr:uid="{00000000-0005-0000-0000-0000E3A90000}"/>
    <cellStyle name="Normal 2 4 2 30 4 3 2" xfId="51235" xr:uid="{00000000-0005-0000-0000-0000E4A90000}"/>
    <cellStyle name="Normal 2 4 2 30 4 4" xfId="51236" xr:uid="{00000000-0005-0000-0000-0000E5A90000}"/>
    <cellStyle name="Normal 2 4 2 30 5" xfId="18184" xr:uid="{00000000-0005-0000-0000-0000E6A90000}"/>
    <cellStyle name="Normal 2 4 2 30 5 2" xfId="18185" xr:uid="{00000000-0005-0000-0000-0000E7A90000}"/>
    <cellStyle name="Normal 2 4 2 30 5 2 2" xfId="51237" xr:uid="{00000000-0005-0000-0000-0000E8A90000}"/>
    <cellStyle name="Normal 2 4 2 30 5 3" xfId="51238" xr:uid="{00000000-0005-0000-0000-0000E9A90000}"/>
    <cellStyle name="Normal 2 4 2 30 6" xfId="18186" xr:uid="{00000000-0005-0000-0000-0000EAA90000}"/>
    <cellStyle name="Normal 2 4 2 30 6 2" xfId="51239" xr:uid="{00000000-0005-0000-0000-0000EBA90000}"/>
    <cellStyle name="Normal 2 4 2 30 7" xfId="18187" xr:uid="{00000000-0005-0000-0000-0000ECA90000}"/>
    <cellStyle name="Normal 2 4 2 30 7 2" xfId="51240" xr:uid="{00000000-0005-0000-0000-0000EDA90000}"/>
    <cellStyle name="Normal 2 4 2 30 8" xfId="51241" xr:uid="{00000000-0005-0000-0000-0000EEA90000}"/>
    <cellStyle name="Normal 2 4 2 30 8 2" xfId="51242" xr:uid="{00000000-0005-0000-0000-0000EFA90000}"/>
    <cellStyle name="Normal 2 4 2 30 9" xfId="51243" xr:uid="{00000000-0005-0000-0000-0000F0A90000}"/>
    <cellStyle name="Normal 2 4 2 31" xfId="18188" xr:uid="{00000000-0005-0000-0000-0000F1A90000}"/>
    <cellStyle name="Normal 2 4 2 31 10" xfId="51244" xr:uid="{00000000-0005-0000-0000-0000F2A90000}"/>
    <cellStyle name="Normal 2 4 2 31 2" xfId="18189" xr:uid="{00000000-0005-0000-0000-0000F3A90000}"/>
    <cellStyle name="Normal 2 4 2 31 2 2" xfId="18190" xr:uid="{00000000-0005-0000-0000-0000F4A90000}"/>
    <cellStyle name="Normal 2 4 2 31 2 2 2" xfId="18191" xr:uid="{00000000-0005-0000-0000-0000F5A90000}"/>
    <cellStyle name="Normal 2 4 2 31 2 2 2 2" xfId="51245" xr:uid="{00000000-0005-0000-0000-0000F6A90000}"/>
    <cellStyle name="Normal 2 4 2 31 2 2 3" xfId="18192" xr:uid="{00000000-0005-0000-0000-0000F7A90000}"/>
    <cellStyle name="Normal 2 4 2 31 2 2 3 2" xfId="51246" xr:uid="{00000000-0005-0000-0000-0000F8A90000}"/>
    <cellStyle name="Normal 2 4 2 31 2 2 4" xfId="51247" xr:uid="{00000000-0005-0000-0000-0000F9A90000}"/>
    <cellStyle name="Normal 2 4 2 31 2 3" xfId="18193" xr:uid="{00000000-0005-0000-0000-0000FAA90000}"/>
    <cellStyle name="Normal 2 4 2 31 2 3 2" xfId="51248" xr:uid="{00000000-0005-0000-0000-0000FBA90000}"/>
    <cellStyle name="Normal 2 4 2 31 2 4" xfId="18194" xr:uid="{00000000-0005-0000-0000-0000FCA90000}"/>
    <cellStyle name="Normal 2 4 2 31 2 4 2" xfId="51249" xr:uid="{00000000-0005-0000-0000-0000FDA90000}"/>
    <cellStyle name="Normal 2 4 2 31 2 5" xfId="18195" xr:uid="{00000000-0005-0000-0000-0000FEA90000}"/>
    <cellStyle name="Normal 2 4 2 31 2 5 2" xfId="51250" xr:uid="{00000000-0005-0000-0000-0000FFA90000}"/>
    <cellStyle name="Normal 2 4 2 31 2 6" xfId="51251" xr:uid="{00000000-0005-0000-0000-000000AA0000}"/>
    <cellStyle name="Normal 2 4 2 31 2 6 2" xfId="51252" xr:uid="{00000000-0005-0000-0000-000001AA0000}"/>
    <cellStyle name="Normal 2 4 2 31 2 7" xfId="51253" xr:uid="{00000000-0005-0000-0000-000002AA0000}"/>
    <cellStyle name="Normal 2 4 2 31 3" xfId="18196" xr:uid="{00000000-0005-0000-0000-000003AA0000}"/>
    <cellStyle name="Normal 2 4 2 31 3 2" xfId="18197" xr:uid="{00000000-0005-0000-0000-000004AA0000}"/>
    <cellStyle name="Normal 2 4 2 31 3 2 2" xfId="51254" xr:uid="{00000000-0005-0000-0000-000005AA0000}"/>
    <cellStyle name="Normal 2 4 2 31 3 3" xfId="18198" xr:uid="{00000000-0005-0000-0000-000006AA0000}"/>
    <cellStyle name="Normal 2 4 2 31 3 3 2" xfId="51255" xr:uid="{00000000-0005-0000-0000-000007AA0000}"/>
    <cellStyle name="Normal 2 4 2 31 3 4" xfId="51256" xr:uid="{00000000-0005-0000-0000-000008AA0000}"/>
    <cellStyle name="Normal 2 4 2 31 4" xfId="18199" xr:uid="{00000000-0005-0000-0000-000009AA0000}"/>
    <cellStyle name="Normal 2 4 2 31 4 2" xfId="18200" xr:uid="{00000000-0005-0000-0000-00000AAA0000}"/>
    <cellStyle name="Normal 2 4 2 31 4 2 2" xfId="51257" xr:uid="{00000000-0005-0000-0000-00000BAA0000}"/>
    <cellStyle name="Normal 2 4 2 31 4 3" xfId="51258" xr:uid="{00000000-0005-0000-0000-00000CAA0000}"/>
    <cellStyle name="Normal 2 4 2 31 5" xfId="18201" xr:uid="{00000000-0005-0000-0000-00000DAA0000}"/>
    <cellStyle name="Normal 2 4 2 31 5 2" xfId="51259" xr:uid="{00000000-0005-0000-0000-00000EAA0000}"/>
    <cellStyle name="Normal 2 4 2 31 6" xfId="18202" xr:uid="{00000000-0005-0000-0000-00000FAA0000}"/>
    <cellStyle name="Normal 2 4 2 31 6 2" xfId="51260" xr:uid="{00000000-0005-0000-0000-000010AA0000}"/>
    <cellStyle name="Normal 2 4 2 31 7" xfId="51261" xr:uid="{00000000-0005-0000-0000-000011AA0000}"/>
    <cellStyle name="Normal 2 4 2 31 7 2" xfId="51262" xr:uid="{00000000-0005-0000-0000-000012AA0000}"/>
    <cellStyle name="Normal 2 4 2 31 8" xfId="51263" xr:uid="{00000000-0005-0000-0000-000013AA0000}"/>
    <cellStyle name="Normal 2 4 2 31 9" xfId="51264" xr:uid="{00000000-0005-0000-0000-000014AA0000}"/>
    <cellStyle name="Normal 2 4 2 32" xfId="18203" xr:uid="{00000000-0005-0000-0000-000015AA0000}"/>
    <cellStyle name="Normal 2 4 2 32 2" xfId="18204" xr:uid="{00000000-0005-0000-0000-000016AA0000}"/>
    <cellStyle name="Normal 2 4 2 32 2 2" xfId="18205" xr:uid="{00000000-0005-0000-0000-000017AA0000}"/>
    <cellStyle name="Normal 2 4 2 32 2 2 2" xfId="51265" xr:uid="{00000000-0005-0000-0000-000018AA0000}"/>
    <cellStyle name="Normal 2 4 2 32 2 3" xfId="18206" xr:uid="{00000000-0005-0000-0000-000019AA0000}"/>
    <cellStyle name="Normal 2 4 2 32 2 3 2" xfId="51266" xr:uid="{00000000-0005-0000-0000-00001AAA0000}"/>
    <cellStyle name="Normal 2 4 2 32 2 4" xfId="51267" xr:uid="{00000000-0005-0000-0000-00001BAA0000}"/>
    <cellStyle name="Normal 2 4 2 32 3" xfId="18207" xr:uid="{00000000-0005-0000-0000-00001CAA0000}"/>
    <cellStyle name="Normal 2 4 2 32 3 2" xfId="51268" xr:uid="{00000000-0005-0000-0000-00001DAA0000}"/>
    <cellStyle name="Normal 2 4 2 32 4" xfId="18208" xr:uid="{00000000-0005-0000-0000-00001EAA0000}"/>
    <cellStyle name="Normal 2 4 2 32 4 2" xfId="51269" xr:uid="{00000000-0005-0000-0000-00001FAA0000}"/>
    <cellStyle name="Normal 2 4 2 32 5" xfId="18209" xr:uid="{00000000-0005-0000-0000-000020AA0000}"/>
    <cellStyle name="Normal 2 4 2 32 5 2" xfId="51270" xr:uid="{00000000-0005-0000-0000-000021AA0000}"/>
    <cellStyle name="Normal 2 4 2 32 6" xfId="51271" xr:uid="{00000000-0005-0000-0000-000022AA0000}"/>
    <cellStyle name="Normal 2 4 2 32 6 2" xfId="51272" xr:uid="{00000000-0005-0000-0000-000023AA0000}"/>
    <cellStyle name="Normal 2 4 2 32 7" xfId="51273" xr:uid="{00000000-0005-0000-0000-000024AA0000}"/>
    <cellStyle name="Normal 2 4 2 33" xfId="18210" xr:uid="{00000000-0005-0000-0000-000025AA0000}"/>
    <cellStyle name="Normal 2 4 2 33 2" xfId="18211" xr:uid="{00000000-0005-0000-0000-000026AA0000}"/>
    <cellStyle name="Normal 2 4 2 33 2 2" xfId="51274" xr:uid="{00000000-0005-0000-0000-000027AA0000}"/>
    <cellStyle name="Normal 2 4 2 33 3" xfId="18212" xr:uid="{00000000-0005-0000-0000-000028AA0000}"/>
    <cellStyle name="Normal 2 4 2 33 3 2" xfId="51275" xr:uid="{00000000-0005-0000-0000-000029AA0000}"/>
    <cellStyle name="Normal 2 4 2 33 4" xfId="51276" xr:uid="{00000000-0005-0000-0000-00002AAA0000}"/>
    <cellStyle name="Normal 2 4 2 34" xfId="18213" xr:uid="{00000000-0005-0000-0000-00002BAA0000}"/>
    <cellStyle name="Normal 2 4 2 34 2" xfId="18214" xr:uid="{00000000-0005-0000-0000-00002CAA0000}"/>
    <cellStyle name="Normal 2 4 2 34 2 2" xfId="51277" xr:uid="{00000000-0005-0000-0000-00002DAA0000}"/>
    <cellStyle name="Normal 2 4 2 34 3" xfId="51278" xr:uid="{00000000-0005-0000-0000-00002EAA0000}"/>
    <cellStyle name="Normal 2 4 2 35" xfId="18215" xr:uid="{00000000-0005-0000-0000-00002FAA0000}"/>
    <cellStyle name="Normal 2 4 2 35 2" xfId="51279" xr:uid="{00000000-0005-0000-0000-000030AA0000}"/>
    <cellStyle name="Normal 2 4 2 36" xfId="18216" xr:uid="{00000000-0005-0000-0000-000031AA0000}"/>
    <cellStyle name="Normal 2 4 2 36 2" xfId="51280" xr:uid="{00000000-0005-0000-0000-000032AA0000}"/>
    <cellStyle name="Normal 2 4 2 37" xfId="51281" xr:uid="{00000000-0005-0000-0000-000033AA0000}"/>
    <cellStyle name="Normal 2 4 2 37 2" xfId="51282" xr:uid="{00000000-0005-0000-0000-000034AA0000}"/>
    <cellStyle name="Normal 2 4 2 38" xfId="51283" xr:uid="{00000000-0005-0000-0000-000035AA0000}"/>
    <cellStyle name="Normal 2 4 2 39" xfId="51284" xr:uid="{00000000-0005-0000-0000-000036AA0000}"/>
    <cellStyle name="Normal 2 4 2 4" xfId="18217" xr:uid="{00000000-0005-0000-0000-000037AA0000}"/>
    <cellStyle name="Normal 2 4 2 4 10" xfId="51285" xr:uid="{00000000-0005-0000-0000-000038AA0000}"/>
    <cellStyle name="Normal 2 4 2 4 11" xfId="51286" xr:uid="{00000000-0005-0000-0000-000039AA0000}"/>
    <cellStyle name="Normal 2 4 2 4 2" xfId="18218" xr:uid="{00000000-0005-0000-0000-00003AAA0000}"/>
    <cellStyle name="Normal 2 4 2 4 2 10" xfId="51287" xr:uid="{00000000-0005-0000-0000-00003BAA0000}"/>
    <cellStyle name="Normal 2 4 2 4 2 2" xfId="18219" xr:uid="{00000000-0005-0000-0000-00003CAA0000}"/>
    <cellStyle name="Normal 2 4 2 4 2 2 2" xfId="18220" xr:uid="{00000000-0005-0000-0000-00003DAA0000}"/>
    <cellStyle name="Normal 2 4 2 4 2 2 2 2" xfId="18221" xr:uid="{00000000-0005-0000-0000-00003EAA0000}"/>
    <cellStyle name="Normal 2 4 2 4 2 2 2 2 2" xfId="51288" xr:uid="{00000000-0005-0000-0000-00003FAA0000}"/>
    <cellStyle name="Normal 2 4 2 4 2 2 2 3" xfId="18222" xr:uid="{00000000-0005-0000-0000-000040AA0000}"/>
    <cellStyle name="Normal 2 4 2 4 2 2 2 3 2" xfId="51289" xr:uid="{00000000-0005-0000-0000-000041AA0000}"/>
    <cellStyle name="Normal 2 4 2 4 2 2 2 4" xfId="51290" xr:uid="{00000000-0005-0000-0000-000042AA0000}"/>
    <cellStyle name="Normal 2 4 2 4 2 2 3" xfId="18223" xr:uid="{00000000-0005-0000-0000-000043AA0000}"/>
    <cellStyle name="Normal 2 4 2 4 2 2 3 2" xfId="51291" xr:uid="{00000000-0005-0000-0000-000044AA0000}"/>
    <cellStyle name="Normal 2 4 2 4 2 2 4" xfId="18224" xr:uid="{00000000-0005-0000-0000-000045AA0000}"/>
    <cellStyle name="Normal 2 4 2 4 2 2 4 2" xfId="51292" xr:uid="{00000000-0005-0000-0000-000046AA0000}"/>
    <cellStyle name="Normal 2 4 2 4 2 2 5" xfId="18225" xr:uid="{00000000-0005-0000-0000-000047AA0000}"/>
    <cellStyle name="Normal 2 4 2 4 2 2 5 2" xfId="51293" xr:uid="{00000000-0005-0000-0000-000048AA0000}"/>
    <cellStyle name="Normal 2 4 2 4 2 2 6" xfId="51294" xr:uid="{00000000-0005-0000-0000-000049AA0000}"/>
    <cellStyle name="Normal 2 4 2 4 2 2 6 2" xfId="51295" xr:uid="{00000000-0005-0000-0000-00004AAA0000}"/>
    <cellStyle name="Normal 2 4 2 4 2 2 7" xfId="51296" xr:uid="{00000000-0005-0000-0000-00004BAA0000}"/>
    <cellStyle name="Normal 2 4 2 4 2 3" xfId="18226" xr:uid="{00000000-0005-0000-0000-00004CAA0000}"/>
    <cellStyle name="Normal 2 4 2 4 2 3 2" xfId="18227" xr:uid="{00000000-0005-0000-0000-00004DAA0000}"/>
    <cellStyle name="Normal 2 4 2 4 2 3 2 2" xfId="51297" xr:uid="{00000000-0005-0000-0000-00004EAA0000}"/>
    <cellStyle name="Normal 2 4 2 4 2 3 3" xfId="18228" xr:uid="{00000000-0005-0000-0000-00004FAA0000}"/>
    <cellStyle name="Normal 2 4 2 4 2 3 3 2" xfId="51298" xr:uid="{00000000-0005-0000-0000-000050AA0000}"/>
    <cellStyle name="Normal 2 4 2 4 2 3 4" xfId="51299" xr:uid="{00000000-0005-0000-0000-000051AA0000}"/>
    <cellStyle name="Normal 2 4 2 4 2 4" xfId="18229" xr:uid="{00000000-0005-0000-0000-000052AA0000}"/>
    <cellStyle name="Normal 2 4 2 4 2 4 2" xfId="18230" xr:uid="{00000000-0005-0000-0000-000053AA0000}"/>
    <cellStyle name="Normal 2 4 2 4 2 4 2 2" xfId="51300" xr:uid="{00000000-0005-0000-0000-000054AA0000}"/>
    <cellStyle name="Normal 2 4 2 4 2 4 3" xfId="51301" xr:uid="{00000000-0005-0000-0000-000055AA0000}"/>
    <cellStyle name="Normal 2 4 2 4 2 5" xfId="18231" xr:uid="{00000000-0005-0000-0000-000056AA0000}"/>
    <cellStyle name="Normal 2 4 2 4 2 5 2" xfId="51302" xr:uid="{00000000-0005-0000-0000-000057AA0000}"/>
    <cellStyle name="Normal 2 4 2 4 2 6" xfId="18232" xr:uid="{00000000-0005-0000-0000-000058AA0000}"/>
    <cellStyle name="Normal 2 4 2 4 2 6 2" xfId="51303" xr:uid="{00000000-0005-0000-0000-000059AA0000}"/>
    <cellStyle name="Normal 2 4 2 4 2 7" xfId="51304" xr:uid="{00000000-0005-0000-0000-00005AAA0000}"/>
    <cellStyle name="Normal 2 4 2 4 2 7 2" xfId="51305" xr:uid="{00000000-0005-0000-0000-00005BAA0000}"/>
    <cellStyle name="Normal 2 4 2 4 2 8" xfId="51306" xr:uid="{00000000-0005-0000-0000-00005CAA0000}"/>
    <cellStyle name="Normal 2 4 2 4 2 9" xfId="51307" xr:uid="{00000000-0005-0000-0000-00005DAA0000}"/>
    <cellStyle name="Normal 2 4 2 4 3" xfId="18233" xr:uid="{00000000-0005-0000-0000-00005EAA0000}"/>
    <cellStyle name="Normal 2 4 2 4 3 2" xfId="18234" xr:uid="{00000000-0005-0000-0000-00005FAA0000}"/>
    <cellStyle name="Normal 2 4 2 4 3 2 2" xfId="18235" xr:uid="{00000000-0005-0000-0000-000060AA0000}"/>
    <cellStyle name="Normal 2 4 2 4 3 2 2 2" xfId="51308" xr:uid="{00000000-0005-0000-0000-000061AA0000}"/>
    <cellStyle name="Normal 2 4 2 4 3 2 3" xfId="18236" xr:uid="{00000000-0005-0000-0000-000062AA0000}"/>
    <cellStyle name="Normal 2 4 2 4 3 2 3 2" xfId="51309" xr:uid="{00000000-0005-0000-0000-000063AA0000}"/>
    <cellStyle name="Normal 2 4 2 4 3 2 4" xfId="51310" xr:uid="{00000000-0005-0000-0000-000064AA0000}"/>
    <cellStyle name="Normal 2 4 2 4 3 3" xfId="18237" xr:uid="{00000000-0005-0000-0000-000065AA0000}"/>
    <cellStyle name="Normal 2 4 2 4 3 3 2" xfId="51311" xr:uid="{00000000-0005-0000-0000-000066AA0000}"/>
    <cellStyle name="Normal 2 4 2 4 3 4" xfId="18238" xr:uid="{00000000-0005-0000-0000-000067AA0000}"/>
    <cellStyle name="Normal 2 4 2 4 3 4 2" xfId="51312" xr:uid="{00000000-0005-0000-0000-000068AA0000}"/>
    <cellStyle name="Normal 2 4 2 4 3 5" xfId="18239" xr:uid="{00000000-0005-0000-0000-000069AA0000}"/>
    <cellStyle name="Normal 2 4 2 4 3 5 2" xfId="51313" xr:uid="{00000000-0005-0000-0000-00006AAA0000}"/>
    <cellStyle name="Normal 2 4 2 4 3 6" xfId="51314" xr:uid="{00000000-0005-0000-0000-00006BAA0000}"/>
    <cellStyle name="Normal 2 4 2 4 3 6 2" xfId="51315" xr:uid="{00000000-0005-0000-0000-00006CAA0000}"/>
    <cellStyle name="Normal 2 4 2 4 3 7" xfId="51316" xr:uid="{00000000-0005-0000-0000-00006DAA0000}"/>
    <cellStyle name="Normal 2 4 2 4 4" xfId="18240" xr:uid="{00000000-0005-0000-0000-00006EAA0000}"/>
    <cellStyle name="Normal 2 4 2 4 4 2" xfId="18241" xr:uid="{00000000-0005-0000-0000-00006FAA0000}"/>
    <cellStyle name="Normal 2 4 2 4 4 2 2" xfId="51317" xr:uid="{00000000-0005-0000-0000-000070AA0000}"/>
    <cellStyle name="Normal 2 4 2 4 4 3" xfId="18242" xr:uid="{00000000-0005-0000-0000-000071AA0000}"/>
    <cellStyle name="Normal 2 4 2 4 4 3 2" xfId="51318" xr:uid="{00000000-0005-0000-0000-000072AA0000}"/>
    <cellStyle name="Normal 2 4 2 4 4 4" xfId="51319" xr:uid="{00000000-0005-0000-0000-000073AA0000}"/>
    <cellStyle name="Normal 2 4 2 4 5" xfId="18243" xr:uid="{00000000-0005-0000-0000-000074AA0000}"/>
    <cellStyle name="Normal 2 4 2 4 5 2" xfId="18244" xr:uid="{00000000-0005-0000-0000-000075AA0000}"/>
    <cellStyle name="Normal 2 4 2 4 5 2 2" xfId="51320" xr:uid="{00000000-0005-0000-0000-000076AA0000}"/>
    <cellStyle name="Normal 2 4 2 4 5 3" xfId="51321" xr:uid="{00000000-0005-0000-0000-000077AA0000}"/>
    <cellStyle name="Normal 2 4 2 4 6" xfId="18245" xr:uid="{00000000-0005-0000-0000-000078AA0000}"/>
    <cellStyle name="Normal 2 4 2 4 6 2" xfId="51322" xr:uid="{00000000-0005-0000-0000-000079AA0000}"/>
    <cellStyle name="Normal 2 4 2 4 7" xfId="18246" xr:uid="{00000000-0005-0000-0000-00007AAA0000}"/>
    <cellStyle name="Normal 2 4 2 4 7 2" xfId="51323" xr:uid="{00000000-0005-0000-0000-00007BAA0000}"/>
    <cellStyle name="Normal 2 4 2 4 8" xfId="51324" xr:uid="{00000000-0005-0000-0000-00007CAA0000}"/>
    <cellStyle name="Normal 2 4 2 4 8 2" xfId="51325" xr:uid="{00000000-0005-0000-0000-00007DAA0000}"/>
    <cellStyle name="Normal 2 4 2 4 9" xfId="51326" xr:uid="{00000000-0005-0000-0000-00007EAA0000}"/>
    <cellStyle name="Normal 2 4 2 40" xfId="51327" xr:uid="{00000000-0005-0000-0000-00007FAA0000}"/>
    <cellStyle name="Normal 2 4 2 5" xfId="18247" xr:uid="{00000000-0005-0000-0000-000080AA0000}"/>
    <cellStyle name="Normal 2 4 2 5 10" xfId="51328" xr:uid="{00000000-0005-0000-0000-000081AA0000}"/>
    <cellStyle name="Normal 2 4 2 5 11" xfId="51329" xr:uid="{00000000-0005-0000-0000-000082AA0000}"/>
    <cellStyle name="Normal 2 4 2 5 2" xfId="18248" xr:uid="{00000000-0005-0000-0000-000083AA0000}"/>
    <cellStyle name="Normal 2 4 2 5 2 10" xfId="51330" xr:uid="{00000000-0005-0000-0000-000084AA0000}"/>
    <cellStyle name="Normal 2 4 2 5 2 2" xfId="18249" xr:uid="{00000000-0005-0000-0000-000085AA0000}"/>
    <cellStyle name="Normal 2 4 2 5 2 2 2" xfId="18250" xr:uid="{00000000-0005-0000-0000-000086AA0000}"/>
    <cellStyle name="Normal 2 4 2 5 2 2 2 2" xfId="18251" xr:uid="{00000000-0005-0000-0000-000087AA0000}"/>
    <cellStyle name="Normal 2 4 2 5 2 2 2 2 2" xfId="51331" xr:uid="{00000000-0005-0000-0000-000088AA0000}"/>
    <cellStyle name="Normal 2 4 2 5 2 2 2 3" xfId="18252" xr:uid="{00000000-0005-0000-0000-000089AA0000}"/>
    <cellStyle name="Normal 2 4 2 5 2 2 2 3 2" xfId="51332" xr:uid="{00000000-0005-0000-0000-00008AAA0000}"/>
    <cellStyle name="Normal 2 4 2 5 2 2 2 4" xfId="51333" xr:uid="{00000000-0005-0000-0000-00008BAA0000}"/>
    <cellStyle name="Normal 2 4 2 5 2 2 3" xfId="18253" xr:uid="{00000000-0005-0000-0000-00008CAA0000}"/>
    <cellStyle name="Normal 2 4 2 5 2 2 3 2" xfId="51334" xr:uid="{00000000-0005-0000-0000-00008DAA0000}"/>
    <cellStyle name="Normal 2 4 2 5 2 2 4" xfId="18254" xr:uid="{00000000-0005-0000-0000-00008EAA0000}"/>
    <cellStyle name="Normal 2 4 2 5 2 2 4 2" xfId="51335" xr:uid="{00000000-0005-0000-0000-00008FAA0000}"/>
    <cellStyle name="Normal 2 4 2 5 2 2 5" xfId="18255" xr:uid="{00000000-0005-0000-0000-000090AA0000}"/>
    <cellStyle name="Normal 2 4 2 5 2 2 5 2" xfId="51336" xr:uid="{00000000-0005-0000-0000-000091AA0000}"/>
    <cellStyle name="Normal 2 4 2 5 2 2 6" xfId="51337" xr:uid="{00000000-0005-0000-0000-000092AA0000}"/>
    <cellStyle name="Normal 2 4 2 5 2 2 6 2" xfId="51338" xr:uid="{00000000-0005-0000-0000-000093AA0000}"/>
    <cellStyle name="Normal 2 4 2 5 2 2 7" xfId="51339" xr:uid="{00000000-0005-0000-0000-000094AA0000}"/>
    <cellStyle name="Normal 2 4 2 5 2 3" xfId="18256" xr:uid="{00000000-0005-0000-0000-000095AA0000}"/>
    <cellStyle name="Normal 2 4 2 5 2 3 2" xfId="18257" xr:uid="{00000000-0005-0000-0000-000096AA0000}"/>
    <cellStyle name="Normal 2 4 2 5 2 3 2 2" xfId="51340" xr:uid="{00000000-0005-0000-0000-000097AA0000}"/>
    <cellStyle name="Normal 2 4 2 5 2 3 3" xfId="18258" xr:uid="{00000000-0005-0000-0000-000098AA0000}"/>
    <cellStyle name="Normal 2 4 2 5 2 3 3 2" xfId="51341" xr:uid="{00000000-0005-0000-0000-000099AA0000}"/>
    <cellStyle name="Normal 2 4 2 5 2 3 4" xfId="51342" xr:uid="{00000000-0005-0000-0000-00009AAA0000}"/>
    <cellStyle name="Normal 2 4 2 5 2 4" xfId="18259" xr:uid="{00000000-0005-0000-0000-00009BAA0000}"/>
    <cellStyle name="Normal 2 4 2 5 2 4 2" xfId="18260" xr:uid="{00000000-0005-0000-0000-00009CAA0000}"/>
    <cellStyle name="Normal 2 4 2 5 2 4 2 2" xfId="51343" xr:uid="{00000000-0005-0000-0000-00009DAA0000}"/>
    <cellStyle name="Normal 2 4 2 5 2 4 3" xfId="51344" xr:uid="{00000000-0005-0000-0000-00009EAA0000}"/>
    <cellStyle name="Normal 2 4 2 5 2 5" xfId="18261" xr:uid="{00000000-0005-0000-0000-00009FAA0000}"/>
    <cellStyle name="Normal 2 4 2 5 2 5 2" xfId="51345" xr:uid="{00000000-0005-0000-0000-0000A0AA0000}"/>
    <cellStyle name="Normal 2 4 2 5 2 6" xfId="18262" xr:uid="{00000000-0005-0000-0000-0000A1AA0000}"/>
    <cellStyle name="Normal 2 4 2 5 2 6 2" xfId="51346" xr:uid="{00000000-0005-0000-0000-0000A2AA0000}"/>
    <cellStyle name="Normal 2 4 2 5 2 7" xfId="51347" xr:uid="{00000000-0005-0000-0000-0000A3AA0000}"/>
    <cellStyle name="Normal 2 4 2 5 2 7 2" xfId="51348" xr:uid="{00000000-0005-0000-0000-0000A4AA0000}"/>
    <cellStyle name="Normal 2 4 2 5 2 8" xfId="51349" xr:uid="{00000000-0005-0000-0000-0000A5AA0000}"/>
    <cellStyle name="Normal 2 4 2 5 2 9" xfId="51350" xr:uid="{00000000-0005-0000-0000-0000A6AA0000}"/>
    <cellStyle name="Normal 2 4 2 5 3" xfId="18263" xr:uid="{00000000-0005-0000-0000-0000A7AA0000}"/>
    <cellStyle name="Normal 2 4 2 5 3 2" xfId="18264" xr:uid="{00000000-0005-0000-0000-0000A8AA0000}"/>
    <cellStyle name="Normal 2 4 2 5 3 2 2" xfId="18265" xr:uid="{00000000-0005-0000-0000-0000A9AA0000}"/>
    <cellStyle name="Normal 2 4 2 5 3 2 2 2" xfId="51351" xr:uid="{00000000-0005-0000-0000-0000AAAA0000}"/>
    <cellStyle name="Normal 2 4 2 5 3 2 3" xfId="18266" xr:uid="{00000000-0005-0000-0000-0000ABAA0000}"/>
    <cellStyle name="Normal 2 4 2 5 3 2 3 2" xfId="51352" xr:uid="{00000000-0005-0000-0000-0000ACAA0000}"/>
    <cellStyle name="Normal 2 4 2 5 3 2 4" xfId="51353" xr:uid="{00000000-0005-0000-0000-0000ADAA0000}"/>
    <cellStyle name="Normal 2 4 2 5 3 3" xfId="18267" xr:uid="{00000000-0005-0000-0000-0000AEAA0000}"/>
    <cellStyle name="Normal 2 4 2 5 3 3 2" xfId="51354" xr:uid="{00000000-0005-0000-0000-0000AFAA0000}"/>
    <cellStyle name="Normal 2 4 2 5 3 4" xfId="18268" xr:uid="{00000000-0005-0000-0000-0000B0AA0000}"/>
    <cellStyle name="Normal 2 4 2 5 3 4 2" xfId="51355" xr:uid="{00000000-0005-0000-0000-0000B1AA0000}"/>
    <cellStyle name="Normal 2 4 2 5 3 5" xfId="18269" xr:uid="{00000000-0005-0000-0000-0000B2AA0000}"/>
    <cellStyle name="Normal 2 4 2 5 3 5 2" xfId="51356" xr:uid="{00000000-0005-0000-0000-0000B3AA0000}"/>
    <cellStyle name="Normal 2 4 2 5 3 6" xfId="51357" xr:uid="{00000000-0005-0000-0000-0000B4AA0000}"/>
    <cellStyle name="Normal 2 4 2 5 3 6 2" xfId="51358" xr:uid="{00000000-0005-0000-0000-0000B5AA0000}"/>
    <cellStyle name="Normal 2 4 2 5 3 7" xfId="51359" xr:uid="{00000000-0005-0000-0000-0000B6AA0000}"/>
    <cellStyle name="Normal 2 4 2 5 4" xfId="18270" xr:uid="{00000000-0005-0000-0000-0000B7AA0000}"/>
    <cellStyle name="Normal 2 4 2 5 4 2" xfId="18271" xr:uid="{00000000-0005-0000-0000-0000B8AA0000}"/>
    <cellStyle name="Normal 2 4 2 5 4 2 2" xfId="51360" xr:uid="{00000000-0005-0000-0000-0000B9AA0000}"/>
    <cellStyle name="Normal 2 4 2 5 4 3" xfId="18272" xr:uid="{00000000-0005-0000-0000-0000BAAA0000}"/>
    <cellStyle name="Normal 2 4 2 5 4 3 2" xfId="51361" xr:uid="{00000000-0005-0000-0000-0000BBAA0000}"/>
    <cellStyle name="Normal 2 4 2 5 4 4" xfId="51362" xr:uid="{00000000-0005-0000-0000-0000BCAA0000}"/>
    <cellStyle name="Normal 2 4 2 5 5" xfId="18273" xr:uid="{00000000-0005-0000-0000-0000BDAA0000}"/>
    <cellStyle name="Normal 2 4 2 5 5 2" xfId="18274" xr:uid="{00000000-0005-0000-0000-0000BEAA0000}"/>
    <cellStyle name="Normal 2 4 2 5 5 2 2" xfId="51363" xr:uid="{00000000-0005-0000-0000-0000BFAA0000}"/>
    <cellStyle name="Normal 2 4 2 5 5 3" xfId="51364" xr:uid="{00000000-0005-0000-0000-0000C0AA0000}"/>
    <cellStyle name="Normal 2 4 2 5 6" xfId="18275" xr:uid="{00000000-0005-0000-0000-0000C1AA0000}"/>
    <cellStyle name="Normal 2 4 2 5 6 2" xfId="51365" xr:uid="{00000000-0005-0000-0000-0000C2AA0000}"/>
    <cellStyle name="Normal 2 4 2 5 7" xfId="18276" xr:uid="{00000000-0005-0000-0000-0000C3AA0000}"/>
    <cellStyle name="Normal 2 4 2 5 7 2" xfId="51366" xr:uid="{00000000-0005-0000-0000-0000C4AA0000}"/>
    <cellStyle name="Normal 2 4 2 5 8" xfId="51367" xr:uid="{00000000-0005-0000-0000-0000C5AA0000}"/>
    <cellStyle name="Normal 2 4 2 5 8 2" xfId="51368" xr:uid="{00000000-0005-0000-0000-0000C6AA0000}"/>
    <cellStyle name="Normal 2 4 2 5 9" xfId="51369" xr:uid="{00000000-0005-0000-0000-0000C7AA0000}"/>
    <cellStyle name="Normal 2 4 2 6" xfId="18277" xr:uid="{00000000-0005-0000-0000-0000C8AA0000}"/>
    <cellStyle name="Normal 2 4 2 6 10" xfId="51370" xr:uid="{00000000-0005-0000-0000-0000C9AA0000}"/>
    <cellStyle name="Normal 2 4 2 6 11" xfId="51371" xr:uid="{00000000-0005-0000-0000-0000CAAA0000}"/>
    <cellStyle name="Normal 2 4 2 6 2" xfId="18278" xr:uid="{00000000-0005-0000-0000-0000CBAA0000}"/>
    <cellStyle name="Normal 2 4 2 6 2 10" xfId="51372" xr:uid="{00000000-0005-0000-0000-0000CCAA0000}"/>
    <cellStyle name="Normal 2 4 2 6 2 2" xfId="18279" xr:uid="{00000000-0005-0000-0000-0000CDAA0000}"/>
    <cellStyle name="Normal 2 4 2 6 2 2 2" xfId="18280" xr:uid="{00000000-0005-0000-0000-0000CEAA0000}"/>
    <cellStyle name="Normal 2 4 2 6 2 2 2 2" xfId="18281" xr:uid="{00000000-0005-0000-0000-0000CFAA0000}"/>
    <cellStyle name="Normal 2 4 2 6 2 2 2 2 2" xfId="51373" xr:uid="{00000000-0005-0000-0000-0000D0AA0000}"/>
    <cellStyle name="Normal 2 4 2 6 2 2 2 3" xfId="18282" xr:uid="{00000000-0005-0000-0000-0000D1AA0000}"/>
    <cellStyle name="Normal 2 4 2 6 2 2 2 3 2" xfId="51374" xr:uid="{00000000-0005-0000-0000-0000D2AA0000}"/>
    <cellStyle name="Normal 2 4 2 6 2 2 2 4" xfId="51375" xr:uid="{00000000-0005-0000-0000-0000D3AA0000}"/>
    <cellStyle name="Normal 2 4 2 6 2 2 3" xfId="18283" xr:uid="{00000000-0005-0000-0000-0000D4AA0000}"/>
    <cellStyle name="Normal 2 4 2 6 2 2 3 2" xfId="51376" xr:uid="{00000000-0005-0000-0000-0000D5AA0000}"/>
    <cellStyle name="Normal 2 4 2 6 2 2 4" xfId="18284" xr:uid="{00000000-0005-0000-0000-0000D6AA0000}"/>
    <cellStyle name="Normal 2 4 2 6 2 2 4 2" xfId="51377" xr:uid="{00000000-0005-0000-0000-0000D7AA0000}"/>
    <cellStyle name="Normal 2 4 2 6 2 2 5" xfId="18285" xr:uid="{00000000-0005-0000-0000-0000D8AA0000}"/>
    <cellStyle name="Normal 2 4 2 6 2 2 5 2" xfId="51378" xr:uid="{00000000-0005-0000-0000-0000D9AA0000}"/>
    <cellStyle name="Normal 2 4 2 6 2 2 6" xfId="51379" xr:uid="{00000000-0005-0000-0000-0000DAAA0000}"/>
    <cellStyle name="Normal 2 4 2 6 2 2 6 2" xfId="51380" xr:uid="{00000000-0005-0000-0000-0000DBAA0000}"/>
    <cellStyle name="Normal 2 4 2 6 2 2 7" xfId="51381" xr:uid="{00000000-0005-0000-0000-0000DCAA0000}"/>
    <cellStyle name="Normal 2 4 2 6 2 3" xfId="18286" xr:uid="{00000000-0005-0000-0000-0000DDAA0000}"/>
    <cellStyle name="Normal 2 4 2 6 2 3 2" xfId="18287" xr:uid="{00000000-0005-0000-0000-0000DEAA0000}"/>
    <cellStyle name="Normal 2 4 2 6 2 3 2 2" xfId="51382" xr:uid="{00000000-0005-0000-0000-0000DFAA0000}"/>
    <cellStyle name="Normal 2 4 2 6 2 3 3" xfId="18288" xr:uid="{00000000-0005-0000-0000-0000E0AA0000}"/>
    <cellStyle name="Normal 2 4 2 6 2 3 3 2" xfId="51383" xr:uid="{00000000-0005-0000-0000-0000E1AA0000}"/>
    <cellStyle name="Normal 2 4 2 6 2 3 4" xfId="51384" xr:uid="{00000000-0005-0000-0000-0000E2AA0000}"/>
    <cellStyle name="Normal 2 4 2 6 2 4" xfId="18289" xr:uid="{00000000-0005-0000-0000-0000E3AA0000}"/>
    <cellStyle name="Normal 2 4 2 6 2 4 2" xfId="18290" xr:uid="{00000000-0005-0000-0000-0000E4AA0000}"/>
    <cellStyle name="Normal 2 4 2 6 2 4 2 2" xfId="51385" xr:uid="{00000000-0005-0000-0000-0000E5AA0000}"/>
    <cellStyle name="Normal 2 4 2 6 2 4 3" xfId="51386" xr:uid="{00000000-0005-0000-0000-0000E6AA0000}"/>
    <cellStyle name="Normal 2 4 2 6 2 5" xfId="18291" xr:uid="{00000000-0005-0000-0000-0000E7AA0000}"/>
    <cellStyle name="Normal 2 4 2 6 2 5 2" xfId="51387" xr:uid="{00000000-0005-0000-0000-0000E8AA0000}"/>
    <cellStyle name="Normal 2 4 2 6 2 6" xfId="18292" xr:uid="{00000000-0005-0000-0000-0000E9AA0000}"/>
    <cellStyle name="Normal 2 4 2 6 2 6 2" xfId="51388" xr:uid="{00000000-0005-0000-0000-0000EAAA0000}"/>
    <cellStyle name="Normal 2 4 2 6 2 7" xfId="51389" xr:uid="{00000000-0005-0000-0000-0000EBAA0000}"/>
    <cellStyle name="Normal 2 4 2 6 2 7 2" xfId="51390" xr:uid="{00000000-0005-0000-0000-0000ECAA0000}"/>
    <cellStyle name="Normal 2 4 2 6 2 8" xfId="51391" xr:uid="{00000000-0005-0000-0000-0000EDAA0000}"/>
    <cellStyle name="Normal 2 4 2 6 2 9" xfId="51392" xr:uid="{00000000-0005-0000-0000-0000EEAA0000}"/>
    <cellStyle name="Normal 2 4 2 6 3" xfId="18293" xr:uid="{00000000-0005-0000-0000-0000EFAA0000}"/>
    <cellStyle name="Normal 2 4 2 6 3 2" xfId="18294" xr:uid="{00000000-0005-0000-0000-0000F0AA0000}"/>
    <cellStyle name="Normal 2 4 2 6 3 2 2" xfId="18295" xr:uid="{00000000-0005-0000-0000-0000F1AA0000}"/>
    <cellStyle name="Normal 2 4 2 6 3 2 2 2" xfId="51393" xr:uid="{00000000-0005-0000-0000-0000F2AA0000}"/>
    <cellStyle name="Normal 2 4 2 6 3 2 3" xfId="18296" xr:uid="{00000000-0005-0000-0000-0000F3AA0000}"/>
    <cellStyle name="Normal 2 4 2 6 3 2 3 2" xfId="51394" xr:uid="{00000000-0005-0000-0000-0000F4AA0000}"/>
    <cellStyle name="Normal 2 4 2 6 3 2 4" xfId="51395" xr:uid="{00000000-0005-0000-0000-0000F5AA0000}"/>
    <cellStyle name="Normal 2 4 2 6 3 3" xfId="18297" xr:uid="{00000000-0005-0000-0000-0000F6AA0000}"/>
    <cellStyle name="Normal 2 4 2 6 3 3 2" xfId="51396" xr:uid="{00000000-0005-0000-0000-0000F7AA0000}"/>
    <cellStyle name="Normal 2 4 2 6 3 4" xfId="18298" xr:uid="{00000000-0005-0000-0000-0000F8AA0000}"/>
    <cellStyle name="Normal 2 4 2 6 3 4 2" xfId="51397" xr:uid="{00000000-0005-0000-0000-0000F9AA0000}"/>
    <cellStyle name="Normal 2 4 2 6 3 5" xfId="18299" xr:uid="{00000000-0005-0000-0000-0000FAAA0000}"/>
    <cellStyle name="Normal 2 4 2 6 3 5 2" xfId="51398" xr:uid="{00000000-0005-0000-0000-0000FBAA0000}"/>
    <cellStyle name="Normal 2 4 2 6 3 6" xfId="51399" xr:uid="{00000000-0005-0000-0000-0000FCAA0000}"/>
    <cellStyle name="Normal 2 4 2 6 3 6 2" xfId="51400" xr:uid="{00000000-0005-0000-0000-0000FDAA0000}"/>
    <cellStyle name="Normal 2 4 2 6 3 7" xfId="51401" xr:uid="{00000000-0005-0000-0000-0000FEAA0000}"/>
    <cellStyle name="Normal 2 4 2 6 4" xfId="18300" xr:uid="{00000000-0005-0000-0000-0000FFAA0000}"/>
    <cellStyle name="Normal 2 4 2 6 4 2" xfId="18301" xr:uid="{00000000-0005-0000-0000-000000AB0000}"/>
    <cellStyle name="Normal 2 4 2 6 4 2 2" xfId="51402" xr:uid="{00000000-0005-0000-0000-000001AB0000}"/>
    <cellStyle name="Normal 2 4 2 6 4 3" xfId="18302" xr:uid="{00000000-0005-0000-0000-000002AB0000}"/>
    <cellStyle name="Normal 2 4 2 6 4 3 2" xfId="51403" xr:uid="{00000000-0005-0000-0000-000003AB0000}"/>
    <cellStyle name="Normal 2 4 2 6 4 4" xfId="51404" xr:uid="{00000000-0005-0000-0000-000004AB0000}"/>
    <cellStyle name="Normal 2 4 2 6 5" xfId="18303" xr:uid="{00000000-0005-0000-0000-000005AB0000}"/>
    <cellStyle name="Normal 2 4 2 6 5 2" xfId="18304" xr:uid="{00000000-0005-0000-0000-000006AB0000}"/>
    <cellStyle name="Normal 2 4 2 6 5 2 2" xfId="51405" xr:uid="{00000000-0005-0000-0000-000007AB0000}"/>
    <cellStyle name="Normal 2 4 2 6 5 3" xfId="51406" xr:uid="{00000000-0005-0000-0000-000008AB0000}"/>
    <cellStyle name="Normal 2 4 2 6 6" xfId="18305" xr:uid="{00000000-0005-0000-0000-000009AB0000}"/>
    <cellStyle name="Normal 2 4 2 6 6 2" xfId="51407" xr:uid="{00000000-0005-0000-0000-00000AAB0000}"/>
    <cellStyle name="Normal 2 4 2 6 7" xfId="18306" xr:uid="{00000000-0005-0000-0000-00000BAB0000}"/>
    <cellStyle name="Normal 2 4 2 6 7 2" xfId="51408" xr:uid="{00000000-0005-0000-0000-00000CAB0000}"/>
    <cellStyle name="Normal 2 4 2 6 8" xfId="51409" xr:uid="{00000000-0005-0000-0000-00000DAB0000}"/>
    <cellStyle name="Normal 2 4 2 6 8 2" xfId="51410" xr:uid="{00000000-0005-0000-0000-00000EAB0000}"/>
    <cellStyle name="Normal 2 4 2 6 9" xfId="51411" xr:uid="{00000000-0005-0000-0000-00000FAB0000}"/>
    <cellStyle name="Normal 2 4 2 7" xfId="18307" xr:uid="{00000000-0005-0000-0000-000010AB0000}"/>
    <cellStyle name="Normal 2 4 2 7 10" xfId="51412" xr:uid="{00000000-0005-0000-0000-000011AB0000}"/>
    <cellStyle name="Normal 2 4 2 7 11" xfId="51413" xr:uid="{00000000-0005-0000-0000-000012AB0000}"/>
    <cellStyle name="Normal 2 4 2 7 2" xfId="18308" xr:uid="{00000000-0005-0000-0000-000013AB0000}"/>
    <cellStyle name="Normal 2 4 2 7 2 10" xfId="51414" xr:uid="{00000000-0005-0000-0000-000014AB0000}"/>
    <cellStyle name="Normal 2 4 2 7 2 2" xfId="18309" xr:uid="{00000000-0005-0000-0000-000015AB0000}"/>
    <cellStyle name="Normal 2 4 2 7 2 2 2" xfId="18310" xr:uid="{00000000-0005-0000-0000-000016AB0000}"/>
    <cellStyle name="Normal 2 4 2 7 2 2 2 2" xfId="18311" xr:uid="{00000000-0005-0000-0000-000017AB0000}"/>
    <cellStyle name="Normal 2 4 2 7 2 2 2 2 2" xfId="51415" xr:uid="{00000000-0005-0000-0000-000018AB0000}"/>
    <cellStyle name="Normal 2 4 2 7 2 2 2 3" xfId="18312" xr:uid="{00000000-0005-0000-0000-000019AB0000}"/>
    <cellStyle name="Normal 2 4 2 7 2 2 2 3 2" xfId="51416" xr:uid="{00000000-0005-0000-0000-00001AAB0000}"/>
    <cellStyle name="Normal 2 4 2 7 2 2 2 4" xfId="51417" xr:uid="{00000000-0005-0000-0000-00001BAB0000}"/>
    <cellStyle name="Normal 2 4 2 7 2 2 3" xfId="18313" xr:uid="{00000000-0005-0000-0000-00001CAB0000}"/>
    <cellStyle name="Normal 2 4 2 7 2 2 3 2" xfId="51418" xr:uid="{00000000-0005-0000-0000-00001DAB0000}"/>
    <cellStyle name="Normal 2 4 2 7 2 2 4" xfId="18314" xr:uid="{00000000-0005-0000-0000-00001EAB0000}"/>
    <cellStyle name="Normal 2 4 2 7 2 2 4 2" xfId="51419" xr:uid="{00000000-0005-0000-0000-00001FAB0000}"/>
    <cellStyle name="Normal 2 4 2 7 2 2 5" xfId="18315" xr:uid="{00000000-0005-0000-0000-000020AB0000}"/>
    <cellStyle name="Normal 2 4 2 7 2 2 5 2" xfId="51420" xr:uid="{00000000-0005-0000-0000-000021AB0000}"/>
    <cellStyle name="Normal 2 4 2 7 2 2 6" xfId="51421" xr:uid="{00000000-0005-0000-0000-000022AB0000}"/>
    <cellStyle name="Normal 2 4 2 7 2 2 6 2" xfId="51422" xr:uid="{00000000-0005-0000-0000-000023AB0000}"/>
    <cellStyle name="Normal 2 4 2 7 2 2 7" xfId="51423" xr:uid="{00000000-0005-0000-0000-000024AB0000}"/>
    <cellStyle name="Normal 2 4 2 7 2 3" xfId="18316" xr:uid="{00000000-0005-0000-0000-000025AB0000}"/>
    <cellStyle name="Normal 2 4 2 7 2 3 2" xfId="18317" xr:uid="{00000000-0005-0000-0000-000026AB0000}"/>
    <cellStyle name="Normal 2 4 2 7 2 3 2 2" xfId="51424" xr:uid="{00000000-0005-0000-0000-000027AB0000}"/>
    <cellStyle name="Normal 2 4 2 7 2 3 3" xfId="18318" xr:uid="{00000000-0005-0000-0000-000028AB0000}"/>
    <cellStyle name="Normal 2 4 2 7 2 3 3 2" xfId="51425" xr:uid="{00000000-0005-0000-0000-000029AB0000}"/>
    <cellStyle name="Normal 2 4 2 7 2 3 4" xfId="51426" xr:uid="{00000000-0005-0000-0000-00002AAB0000}"/>
    <cellStyle name="Normal 2 4 2 7 2 4" xfId="18319" xr:uid="{00000000-0005-0000-0000-00002BAB0000}"/>
    <cellStyle name="Normal 2 4 2 7 2 4 2" xfId="18320" xr:uid="{00000000-0005-0000-0000-00002CAB0000}"/>
    <cellStyle name="Normal 2 4 2 7 2 4 2 2" xfId="51427" xr:uid="{00000000-0005-0000-0000-00002DAB0000}"/>
    <cellStyle name="Normal 2 4 2 7 2 4 3" xfId="51428" xr:uid="{00000000-0005-0000-0000-00002EAB0000}"/>
    <cellStyle name="Normal 2 4 2 7 2 5" xfId="18321" xr:uid="{00000000-0005-0000-0000-00002FAB0000}"/>
    <cellStyle name="Normal 2 4 2 7 2 5 2" xfId="51429" xr:uid="{00000000-0005-0000-0000-000030AB0000}"/>
    <cellStyle name="Normal 2 4 2 7 2 6" xfId="18322" xr:uid="{00000000-0005-0000-0000-000031AB0000}"/>
    <cellStyle name="Normal 2 4 2 7 2 6 2" xfId="51430" xr:uid="{00000000-0005-0000-0000-000032AB0000}"/>
    <cellStyle name="Normal 2 4 2 7 2 7" xfId="51431" xr:uid="{00000000-0005-0000-0000-000033AB0000}"/>
    <cellStyle name="Normal 2 4 2 7 2 7 2" xfId="51432" xr:uid="{00000000-0005-0000-0000-000034AB0000}"/>
    <cellStyle name="Normal 2 4 2 7 2 8" xfId="51433" xr:uid="{00000000-0005-0000-0000-000035AB0000}"/>
    <cellStyle name="Normal 2 4 2 7 2 9" xfId="51434" xr:uid="{00000000-0005-0000-0000-000036AB0000}"/>
    <cellStyle name="Normal 2 4 2 7 3" xfId="18323" xr:uid="{00000000-0005-0000-0000-000037AB0000}"/>
    <cellStyle name="Normal 2 4 2 7 3 2" xfId="18324" xr:uid="{00000000-0005-0000-0000-000038AB0000}"/>
    <cellStyle name="Normal 2 4 2 7 3 2 2" xfId="18325" xr:uid="{00000000-0005-0000-0000-000039AB0000}"/>
    <cellStyle name="Normal 2 4 2 7 3 2 2 2" xfId="51435" xr:uid="{00000000-0005-0000-0000-00003AAB0000}"/>
    <cellStyle name="Normal 2 4 2 7 3 2 3" xfId="18326" xr:uid="{00000000-0005-0000-0000-00003BAB0000}"/>
    <cellStyle name="Normal 2 4 2 7 3 2 3 2" xfId="51436" xr:uid="{00000000-0005-0000-0000-00003CAB0000}"/>
    <cellStyle name="Normal 2 4 2 7 3 2 4" xfId="51437" xr:uid="{00000000-0005-0000-0000-00003DAB0000}"/>
    <cellStyle name="Normal 2 4 2 7 3 3" xfId="18327" xr:uid="{00000000-0005-0000-0000-00003EAB0000}"/>
    <cellStyle name="Normal 2 4 2 7 3 3 2" xfId="51438" xr:uid="{00000000-0005-0000-0000-00003FAB0000}"/>
    <cellStyle name="Normal 2 4 2 7 3 4" xfId="18328" xr:uid="{00000000-0005-0000-0000-000040AB0000}"/>
    <cellStyle name="Normal 2 4 2 7 3 4 2" xfId="51439" xr:uid="{00000000-0005-0000-0000-000041AB0000}"/>
    <cellStyle name="Normal 2 4 2 7 3 5" xfId="18329" xr:uid="{00000000-0005-0000-0000-000042AB0000}"/>
    <cellStyle name="Normal 2 4 2 7 3 5 2" xfId="51440" xr:uid="{00000000-0005-0000-0000-000043AB0000}"/>
    <cellStyle name="Normal 2 4 2 7 3 6" xfId="51441" xr:uid="{00000000-0005-0000-0000-000044AB0000}"/>
    <cellStyle name="Normal 2 4 2 7 3 6 2" xfId="51442" xr:uid="{00000000-0005-0000-0000-000045AB0000}"/>
    <cellStyle name="Normal 2 4 2 7 3 7" xfId="51443" xr:uid="{00000000-0005-0000-0000-000046AB0000}"/>
    <cellStyle name="Normal 2 4 2 7 4" xfId="18330" xr:uid="{00000000-0005-0000-0000-000047AB0000}"/>
    <cellStyle name="Normal 2 4 2 7 4 2" xfId="18331" xr:uid="{00000000-0005-0000-0000-000048AB0000}"/>
    <cellStyle name="Normal 2 4 2 7 4 2 2" xfId="51444" xr:uid="{00000000-0005-0000-0000-000049AB0000}"/>
    <cellStyle name="Normal 2 4 2 7 4 3" xfId="18332" xr:uid="{00000000-0005-0000-0000-00004AAB0000}"/>
    <cellStyle name="Normal 2 4 2 7 4 3 2" xfId="51445" xr:uid="{00000000-0005-0000-0000-00004BAB0000}"/>
    <cellStyle name="Normal 2 4 2 7 4 4" xfId="51446" xr:uid="{00000000-0005-0000-0000-00004CAB0000}"/>
    <cellStyle name="Normal 2 4 2 7 5" xfId="18333" xr:uid="{00000000-0005-0000-0000-00004DAB0000}"/>
    <cellStyle name="Normal 2 4 2 7 5 2" xfId="18334" xr:uid="{00000000-0005-0000-0000-00004EAB0000}"/>
    <cellStyle name="Normal 2 4 2 7 5 2 2" xfId="51447" xr:uid="{00000000-0005-0000-0000-00004FAB0000}"/>
    <cellStyle name="Normal 2 4 2 7 5 3" xfId="51448" xr:uid="{00000000-0005-0000-0000-000050AB0000}"/>
    <cellStyle name="Normal 2 4 2 7 6" xfId="18335" xr:uid="{00000000-0005-0000-0000-000051AB0000}"/>
    <cellStyle name="Normal 2 4 2 7 6 2" xfId="51449" xr:uid="{00000000-0005-0000-0000-000052AB0000}"/>
    <cellStyle name="Normal 2 4 2 7 7" xfId="18336" xr:uid="{00000000-0005-0000-0000-000053AB0000}"/>
    <cellStyle name="Normal 2 4 2 7 7 2" xfId="51450" xr:uid="{00000000-0005-0000-0000-000054AB0000}"/>
    <cellStyle name="Normal 2 4 2 7 8" xfId="51451" xr:uid="{00000000-0005-0000-0000-000055AB0000}"/>
    <cellStyle name="Normal 2 4 2 7 8 2" xfId="51452" xr:uid="{00000000-0005-0000-0000-000056AB0000}"/>
    <cellStyle name="Normal 2 4 2 7 9" xfId="51453" xr:uid="{00000000-0005-0000-0000-000057AB0000}"/>
    <cellStyle name="Normal 2 4 2 8" xfId="18337" xr:uid="{00000000-0005-0000-0000-000058AB0000}"/>
    <cellStyle name="Normal 2 4 2 8 10" xfId="51454" xr:uid="{00000000-0005-0000-0000-000059AB0000}"/>
    <cellStyle name="Normal 2 4 2 8 11" xfId="51455" xr:uid="{00000000-0005-0000-0000-00005AAB0000}"/>
    <cellStyle name="Normal 2 4 2 8 2" xfId="18338" xr:uid="{00000000-0005-0000-0000-00005BAB0000}"/>
    <cellStyle name="Normal 2 4 2 8 2 10" xfId="51456" xr:uid="{00000000-0005-0000-0000-00005CAB0000}"/>
    <cellStyle name="Normal 2 4 2 8 2 2" xfId="18339" xr:uid="{00000000-0005-0000-0000-00005DAB0000}"/>
    <cellStyle name="Normal 2 4 2 8 2 2 2" xfId="18340" xr:uid="{00000000-0005-0000-0000-00005EAB0000}"/>
    <cellStyle name="Normal 2 4 2 8 2 2 2 2" xfId="18341" xr:uid="{00000000-0005-0000-0000-00005FAB0000}"/>
    <cellStyle name="Normal 2 4 2 8 2 2 2 2 2" xfId="51457" xr:uid="{00000000-0005-0000-0000-000060AB0000}"/>
    <cellStyle name="Normal 2 4 2 8 2 2 2 3" xfId="18342" xr:uid="{00000000-0005-0000-0000-000061AB0000}"/>
    <cellStyle name="Normal 2 4 2 8 2 2 2 3 2" xfId="51458" xr:uid="{00000000-0005-0000-0000-000062AB0000}"/>
    <cellStyle name="Normal 2 4 2 8 2 2 2 4" xfId="51459" xr:uid="{00000000-0005-0000-0000-000063AB0000}"/>
    <cellStyle name="Normal 2 4 2 8 2 2 3" xfId="18343" xr:uid="{00000000-0005-0000-0000-000064AB0000}"/>
    <cellStyle name="Normal 2 4 2 8 2 2 3 2" xfId="51460" xr:uid="{00000000-0005-0000-0000-000065AB0000}"/>
    <cellStyle name="Normal 2 4 2 8 2 2 4" xfId="18344" xr:uid="{00000000-0005-0000-0000-000066AB0000}"/>
    <cellStyle name="Normal 2 4 2 8 2 2 4 2" xfId="51461" xr:uid="{00000000-0005-0000-0000-000067AB0000}"/>
    <cellStyle name="Normal 2 4 2 8 2 2 5" xfId="18345" xr:uid="{00000000-0005-0000-0000-000068AB0000}"/>
    <cellStyle name="Normal 2 4 2 8 2 2 5 2" xfId="51462" xr:uid="{00000000-0005-0000-0000-000069AB0000}"/>
    <cellStyle name="Normal 2 4 2 8 2 2 6" xfId="51463" xr:uid="{00000000-0005-0000-0000-00006AAB0000}"/>
    <cellStyle name="Normal 2 4 2 8 2 2 6 2" xfId="51464" xr:uid="{00000000-0005-0000-0000-00006BAB0000}"/>
    <cellStyle name="Normal 2 4 2 8 2 2 7" xfId="51465" xr:uid="{00000000-0005-0000-0000-00006CAB0000}"/>
    <cellStyle name="Normal 2 4 2 8 2 3" xfId="18346" xr:uid="{00000000-0005-0000-0000-00006DAB0000}"/>
    <cellStyle name="Normal 2 4 2 8 2 3 2" xfId="18347" xr:uid="{00000000-0005-0000-0000-00006EAB0000}"/>
    <cellStyle name="Normal 2 4 2 8 2 3 2 2" xfId="51466" xr:uid="{00000000-0005-0000-0000-00006FAB0000}"/>
    <cellStyle name="Normal 2 4 2 8 2 3 3" xfId="18348" xr:uid="{00000000-0005-0000-0000-000070AB0000}"/>
    <cellStyle name="Normal 2 4 2 8 2 3 3 2" xfId="51467" xr:uid="{00000000-0005-0000-0000-000071AB0000}"/>
    <cellStyle name="Normal 2 4 2 8 2 3 4" xfId="51468" xr:uid="{00000000-0005-0000-0000-000072AB0000}"/>
    <cellStyle name="Normal 2 4 2 8 2 4" xfId="18349" xr:uid="{00000000-0005-0000-0000-000073AB0000}"/>
    <cellStyle name="Normal 2 4 2 8 2 4 2" xfId="18350" xr:uid="{00000000-0005-0000-0000-000074AB0000}"/>
    <cellStyle name="Normal 2 4 2 8 2 4 2 2" xfId="51469" xr:uid="{00000000-0005-0000-0000-000075AB0000}"/>
    <cellStyle name="Normal 2 4 2 8 2 4 3" xfId="51470" xr:uid="{00000000-0005-0000-0000-000076AB0000}"/>
    <cellStyle name="Normal 2 4 2 8 2 5" xfId="18351" xr:uid="{00000000-0005-0000-0000-000077AB0000}"/>
    <cellStyle name="Normal 2 4 2 8 2 5 2" xfId="51471" xr:uid="{00000000-0005-0000-0000-000078AB0000}"/>
    <cellStyle name="Normal 2 4 2 8 2 6" xfId="18352" xr:uid="{00000000-0005-0000-0000-000079AB0000}"/>
    <cellStyle name="Normal 2 4 2 8 2 6 2" xfId="51472" xr:uid="{00000000-0005-0000-0000-00007AAB0000}"/>
    <cellStyle name="Normal 2 4 2 8 2 7" xfId="51473" xr:uid="{00000000-0005-0000-0000-00007BAB0000}"/>
    <cellStyle name="Normal 2 4 2 8 2 7 2" xfId="51474" xr:uid="{00000000-0005-0000-0000-00007CAB0000}"/>
    <cellStyle name="Normal 2 4 2 8 2 8" xfId="51475" xr:uid="{00000000-0005-0000-0000-00007DAB0000}"/>
    <cellStyle name="Normal 2 4 2 8 2 9" xfId="51476" xr:uid="{00000000-0005-0000-0000-00007EAB0000}"/>
    <cellStyle name="Normal 2 4 2 8 3" xfId="18353" xr:uid="{00000000-0005-0000-0000-00007FAB0000}"/>
    <cellStyle name="Normal 2 4 2 8 3 2" xfId="18354" xr:uid="{00000000-0005-0000-0000-000080AB0000}"/>
    <cellStyle name="Normal 2 4 2 8 3 2 2" xfId="18355" xr:uid="{00000000-0005-0000-0000-000081AB0000}"/>
    <cellStyle name="Normal 2 4 2 8 3 2 2 2" xfId="51477" xr:uid="{00000000-0005-0000-0000-000082AB0000}"/>
    <cellStyle name="Normal 2 4 2 8 3 2 3" xfId="18356" xr:uid="{00000000-0005-0000-0000-000083AB0000}"/>
    <cellStyle name="Normal 2 4 2 8 3 2 3 2" xfId="51478" xr:uid="{00000000-0005-0000-0000-000084AB0000}"/>
    <cellStyle name="Normal 2 4 2 8 3 2 4" xfId="51479" xr:uid="{00000000-0005-0000-0000-000085AB0000}"/>
    <cellStyle name="Normal 2 4 2 8 3 3" xfId="18357" xr:uid="{00000000-0005-0000-0000-000086AB0000}"/>
    <cellStyle name="Normal 2 4 2 8 3 3 2" xfId="51480" xr:uid="{00000000-0005-0000-0000-000087AB0000}"/>
    <cellStyle name="Normal 2 4 2 8 3 4" xfId="18358" xr:uid="{00000000-0005-0000-0000-000088AB0000}"/>
    <cellStyle name="Normal 2 4 2 8 3 4 2" xfId="51481" xr:uid="{00000000-0005-0000-0000-000089AB0000}"/>
    <cellStyle name="Normal 2 4 2 8 3 5" xfId="18359" xr:uid="{00000000-0005-0000-0000-00008AAB0000}"/>
    <cellStyle name="Normal 2 4 2 8 3 5 2" xfId="51482" xr:uid="{00000000-0005-0000-0000-00008BAB0000}"/>
    <cellStyle name="Normal 2 4 2 8 3 6" xfId="51483" xr:uid="{00000000-0005-0000-0000-00008CAB0000}"/>
    <cellStyle name="Normal 2 4 2 8 3 6 2" xfId="51484" xr:uid="{00000000-0005-0000-0000-00008DAB0000}"/>
    <cellStyle name="Normal 2 4 2 8 3 7" xfId="51485" xr:uid="{00000000-0005-0000-0000-00008EAB0000}"/>
    <cellStyle name="Normal 2 4 2 8 4" xfId="18360" xr:uid="{00000000-0005-0000-0000-00008FAB0000}"/>
    <cellStyle name="Normal 2 4 2 8 4 2" xfId="18361" xr:uid="{00000000-0005-0000-0000-000090AB0000}"/>
    <cellStyle name="Normal 2 4 2 8 4 2 2" xfId="51486" xr:uid="{00000000-0005-0000-0000-000091AB0000}"/>
    <cellStyle name="Normal 2 4 2 8 4 3" xfId="18362" xr:uid="{00000000-0005-0000-0000-000092AB0000}"/>
    <cellStyle name="Normal 2 4 2 8 4 3 2" xfId="51487" xr:uid="{00000000-0005-0000-0000-000093AB0000}"/>
    <cellStyle name="Normal 2 4 2 8 4 4" xfId="51488" xr:uid="{00000000-0005-0000-0000-000094AB0000}"/>
    <cellStyle name="Normal 2 4 2 8 5" xfId="18363" xr:uid="{00000000-0005-0000-0000-000095AB0000}"/>
    <cellStyle name="Normal 2 4 2 8 5 2" xfId="18364" xr:uid="{00000000-0005-0000-0000-000096AB0000}"/>
    <cellStyle name="Normal 2 4 2 8 5 2 2" xfId="51489" xr:uid="{00000000-0005-0000-0000-000097AB0000}"/>
    <cellStyle name="Normal 2 4 2 8 5 3" xfId="51490" xr:uid="{00000000-0005-0000-0000-000098AB0000}"/>
    <cellStyle name="Normal 2 4 2 8 6" xfId="18365" xr:uid="{00000000-0005-0000-0000-000099AB0000}"/>
    <cellStyle name="Normal 2 4 2 8 6 2" xfId="51491" xr:uid="{00000000-0005-0000-0000-00009AAB0000}"/>
    <cellStyle name="Normal 2 4 2 8 7" xfId="18366" xr:uid="{00000000-0005-0000-0000-00009BAB0000}"/>
    <cellStyle name="Normal 2 4 2 8 7 2" xfId="51492" xr:uid="{00000000-0005-0000-0000-00009CAB0000}"/>
    <cellStyle name="Normal 2 4 2 8 8" xfId="51493" xr:uid="{00000000-0005-0000-0000-00009DAB0000}"/>
    <cellStyle name="Normal 2 4 2 8 8 2" xfId="51494" xr:uid="{00000000-0005-0000-0000-00009EAB0000}"/>
    <cellStyle name="Normal 2 4 2 8 9" xfId="51495" xr:uid="{00000000-0005-0000-0000-00009FAB0000}"/>
    <cellStyle name="Normal 2 4 2 9" xfId="18367" xr:uid="{00000000-0005-0000-0000-0000A0AB0000}"/>
    <cellStyle name="Normal 2 4 2 9 10" xfId="51496" xr:uid="{00000000-0005-0000-0000-0000A1AB0000}"/>
    <cellStyle name="Normal 2 4 2 9 11" xfId="51497" xr:uid="{00000000-0005-0000-0000-0000A2AB0000}"/>
    <cellStyle name="Normal 2 4 2 9 2" xfId="18368" xr:uid="{00000000-0005-0000-0000-0000A3AB0000}"/>
    <cellStyle name="Normal 2 4 2 9 2 10" xfId="51498" xr:uid="{00000000-0005-0000-0000-0000A4AB0000}"/>
    <cellStyle name="Normal 2 4 2 9 2 2" xfId="18369" xr:uid="{00000000-0005-0000-0000-0000A5AB0000}"/>
    <cellStyle name="Normal 2 4 2 9 2 2 2" xfId="18370" xr:uid="{00000000-0005-0000-0000-0000A6AB0000}"/>
    <cellStyle name="Normal 2 4 2 9 2 2 2 2" xfId="18371" xr:uid="{00000000-0005-0000-0000-0000A7AB0000}"/>
    <cellStyle name="Normal 2 4 2 9 2 2 2 2 2" xfId="51499" xr:uid="{00000000-0005-0000-0000-0000A8AB0000}"/>
    <cellStyle name="Normal 2 4 2 9 2 2 2 3" xfId="18372" xr:uid="{00000000-0005-0000-0000-0000A9AB0000}"/>
    <cellStyle name="Normal 2 4 2 9 2 2 2 3 2" xfId="51500" xr:uid="{00000000-0005-0000-0000-0000AAAB0000}"/>
    <cellStyle name="Normal 2 4 2 9 2 2 2 4" xfId="51501" xr:uid="{00000000-0005-0000-0000-0000ABAB0000}"/>
    <cellStyle name="Normal 2 4 2 9 2 2 3" xfId="18373" xr:uid="{00000000-0005-0000-0000-0000ACAB0000}"/>
    <cellStyle name="Normal 2 4 2 9 2 2 3 2" xfId="51502" xr:uid="{00000000-0005-0000-0000-0000ADAB0000}"/>
    <cellStyle name="Normal 2 4 2 9 2 2 4" xfId="18374" xr:uid="{00000000-0005-0000-0000-0000AEAB0000}"/>
    <cellStyle name="Normal 2 4 2 9 2 2 4 2" xfId="51503" xr:uid="{00000000-0005-0000-0000-0000AFAB0000}"/>
    <cellStyle name="Normal 2 4 2 9 2 2 5" xfId="18375" xr:uid="{00000000-0005-0000-0000-0000B0AB0000}"/>
    <cellStyle name="Normal 2 4 2 9 2 2 5 2" xfId="51504" xr:uid="{00000000-0005-0000-0000-0000B1AB0000}"/>
    <cellStyle name="Normal 2 4 2 9 2 2 6" xfId="51505" xr:uid="{00000000-0005-0000-0000-0000B2AB0000}"/>
    <cellStyle name="Normal 2 4 2 9 2 2 6 2" xfId="51506" xr:uid="{00000000-0005-0000-0000-0000B3AB0000}"/>
    <cellStyle name="Normal 2 4 2 9 2 2 7" xfId="51507" xr:uid="{00000000-0005-0000-0000-0000B4AB0000}"/>
    <cellStyle name="Normal 2 4 2 9 2 3" xfId="18376" xr:uid="{00000000-0005-0000-0000-0000B5AB0000}"/>
    <cellStyle name="Normal 2 4 2 9 2 3 2" xfId="18377" xr:uid="{00000000-0005-0000-0000-0000B6AB0000}"/>
    <cellStyle name="Normal 2 4 2 9 2 3 2 2" xfId="51508" xr:uid="{00000000-0005-0000-0000-0000B7AB0000}"/>
    <cellStyle name="Normal 2 4 2 9 2 3 3" xfId="18378" xr:uid="{00000000-0005-0000-0000-0000B8AB0000}"/>
    <cellStyle name="Normal 2 4 2 9 2 3 3 2" xfId="51509" xr:uid="{00000000-0005-0000-0000-0000B9AB0000}"/>
    <cellStyle name="Normal 2 4 2 9 2 3 4" xfId="51510" xr:uid="{00000000-0005-0000-0000-0000BAAB0000}"/>
    <cellStyle name="Normal 2 4 2 9 2 4" xfId="18379" xr:uid="{00000000-0005-0000-0000-0000BBAB0000}"/>
    <cellStyle name="Normal 2 4 2 9 2 4 2" xfId="18380" xr:uid="{00000000-0005-0000-0000-0000BCAB0000}"/>
    <cellStyle name="Normal 2 4 2 9 2 4 2 2" xfId="51511" xr:uid="{00000000-0005-0000-0000-0000BDAB0000}"/>
    <cellStyle name="Normal 2 4 2 9 2 4 3" xfId="51512" xr:uid="{00000000-0005-0000-0000-0000BEAB0000}"/>
    <cellStyle name="Normal 2 4 2 9 2 5" xfId="18381" xr:uid="{00000000-0005-0000-0000-0000BFAB0000}"/>
    <cellStyle name="Normal 2 4 2 9 2 5 2" xfId="51513" xr:uid="{00000000-0005-0000-0000-0000C0AB0000}"/>
    <cellStyle name="Normal 2 4 2 9 2 6" xfId="18382" xr:uid="{00000000-0005-0000-0000-0000C1AB0000}"/>
    <cellStyle name="Normal 2 4 2 9 2 6 2" xfId="51514" xr:uid="{00000000-0005-0000-0000-0000C2AB0000}"/>
    <cellStyle name="Normal 2 4 2 9 2 7" xfId="51515" xr:uid="{00000000-0005-0000-0000-0000C3AB0000}"/>
    <cellStyle name="Normal 2 4 2 9 2 7 2" xfId="51516" xr:uid="{00000000-0005-0000-0000-0000C4AB0000}"/>
    <cellStyle name="Normal 2 4 2 9 2 8" xfId="51517" xr:uid="{00000000-0005-0000-0000-0000C5AB0000}"/>
    <cellStyle name="Normal 2 4 2 9 2 9" xfId="51518" xr:uid="{00000000-0005-0000-0000-0000C6AB0000}"/>
    <cellStyle name="Normal 2 4 2 9 3" xfId="18383" xr:uid="{00000000-0005-0000-0000-0000C7AB0000}"/>
    <cellStyle name="Normal 2 4 2 9 3 2" xfId="18384" xr:uid="{00000000-0005-0000-0000-0000C8AB0000}"/>
    <cellStyle name="Normal 2 4 2 9 3 2 2" xfId="18385" xr:uid="{00000000-0005-0000-0000-0000C9AB0000}"/>
    <cellStyle name="Normal 2 4 2 9 3 2 2 2" xfId="51519" xr:uid="{00000000-0005-0000-0000-0000CAAB0000}"/>
    <cellStyle name="Normal 2 4 2 9 3 2 3" xfId="18386" xr:uid="{00000000-0005-0000-0000-0000CBAB0000}"/>
    <cellStyle name="Normal 2 4 2 9 3 2 3 2" xfId="51520" xr:uid="{00000000-0005-0000-0000-0000CCAB0000}"/>
    <cellStyle name="Normal 2 4 2 9 3 2 4" xfId="51521" xr:uid="{00000000-0005-0000-0000-0000CDAB0000}"/>
    <cellStyle name="Normal 2 4 2 9 3 3" xfId="18387" xr:uid="{00000000-0005-0000-0000-0000CEAB0000}"/>
    <cellStyle name="Normal 2 4 2 9 3 3 2" xfId="51522" xr:uid="{00000000-0005-0000-0000-0000CFAB0000}"/>
    <cellStyle name="Normal 2 4 2 9 3 4" xfId="18388" xr:uid="{00000000-0005-0000-0000-0000D0AB0000}"/>
    <cellStyle name="Normal 2 4 2 9 3 4 2" xfId="51523" xr:uid="{00000000-0005-0000-0000-0000D1AB0000}"/>
    <cellStyle name="Normal 2 4 2 9 3 5" xfId="18389" xr:uid="{00000000-0005-0000-0000-0000D2AB0000}"/>
    <cellStyle name="Normal 2 4 2 9 3 5 2" xfId="51524" xr:uid="{00000000-0005-0000-0000-0000D3AB0000}"/>
    <cellStyle name="Normal 2 4 2 9 3 6" xfId="51525" xr:uid="{00000000-0005-0000-0000-0000D4AB0000}"/>
    <cellStyle name="Normal 2 4 2 9 3 6 2" xfId="51526" xr:uid="{00000000-0005-0000-0000-0000D5AB0000}"/>
    <cellStyle name="Normal 2 4 2 9 3 7" xfId="51527" xr:uid="{00000000-0005-0000-0000-0000D6AB0000}"/>
    <cellStyle name="Normal 2 4 2 9 4" xfId="18390" xr:uid="{00000000-0005-0000-0000-0000D7AB0000}"/>
    <cellStyle name="Normal 2 4 2 9 4 2" xfId="18391" xr:uid="{00000000-0005-0000-0000-0000D8AB0000}"/>
    <cellStyle name="Normal 2 4 2 9 4 2 2" xfId="51528" xr:uid="{00000000-0005-0000-0000-0000D9AB0000}"/>
    <cellStyle name="Normal 2 4 2 9 4 3" xfId="18392" xr:uid="{00000000-0005-0000-0000-0000DAAB0000}"/>
    <cellStyle name="Normal 2 4 2 9 4 3 2" xfId="51529" xr:uid="{00000000-0005-0000-0000-0000DBAB0000}"/>
    <cellStyle name="Normal 2 4 2 9 4 4" xfId="51530" xr:uid="{00000000-0005-0000-0000-0000DCAB0000}"/>
    <cellStyle name="Normal 2 4 2 9 5" xfId="18393" xr:uid="{00000000-0005-0000-0000-0000DDAB0000}"/>
    <cellStyle name="Normal 2 4 2 9 5 2" xfId="18394" xr:uid="{00000000-0005-0000-0000-0000DEAB0000}"/>
    <cellStyle name="Normal 2 4 2 9 5 2 2" xfId="51531" xr:uid="{00000000-0005-0000-0000-0000DFAB0000}"/>
    <cellStyle name="Normal 2 4 2 9 5 3" xfId="51532" xr:uid="{00000000-0005-0000-0000-0000E0AB0000}"/>
    <cellStyle name="Normal 2 4 2 9 6" xfId="18395" xr:uid="{00000000-0005-0000-0000-0000E1AB0000}"/>
    <cellStyle name="Normal 2 4 2 9 6 2" xfId="51533" xr:uid="{00000000-0005-0000-0000-0000E2AB0000}"/>
    <cellStyle name="Normal 2 4 2 9 7" xfId="18396" xr:uid="{00000000-0005-0000-0000-0000E3AB0000}"/>
    <cellStyle name="Normal 2 4 2 9 7 2" xfId="51534" xr:uid="{00000000-0005-0000-0000-0000E4AB0000}"/>
    <cellStyle name="Normal 2 4 2 9 8" xfId="51535" xr:uid="{00000000-0005-0000-0000-0000E5AB0000}"/>
    <cellStyle name="Normal 2 4 2 9 8 2" xfId="51536" xr:uid="{00000000-0005-0000-0000-0000E6AB0000}"/>
    <cellStyle name="Normal 2 4 2 9 9" xfId="51537" xr:uid="{00000000-0005-0000-0000-0000E7AB0000}"/>
    <cellStyle name="Normal 2 4 20" xfId="18397" xr:uid="{00000000-0005-0000-0000-0000E8AB0000}"/>
    <cellStyle name="Normal 2 4 20 10" xfId="51538" xr:uid="{00000000-0005-0000-0000-0000E9AB0000}"/>
    <cellStyle name="Normal 2 4 20 11" xfId="51539" xr:uid="{00000000-0005-0000-0000-0000EAAB0000}"/>
    <cellStyle name="Normal 2 4 20 2" xfId="18398" xr:uid="{00000000-0005-0000-0000-0000EBAB0000}"/>
    <cellStyle name="Normal 2 4 20 2 10" xfId="51540" xr:uid="{00000000-0005-0000-0000-0000ECAB0000}"/>
    <cellStyle name="Normal 2 4 20 2 2" xfId="18399" xr:uid="{00000000-0005-0000-0000-0000EDAB0000}"/>
    <cellStyle name="Normal 2 4 20 2 2 2" xfId="18400" xr:uid="{00000000-0005-0000-0000-0000EEAB0000}"/>
    <cellStyle name="Normal 2 4 20 2 2 2 2" xfId="18401" xr:uid="{00000000-0005-0000-0000-0000EFAB0000}"/>
    <cellStyle name="Normal 2 4 20 2 2 2 2 2" xfId="51541" xr:uid="{00000000-0005-0000-0000-0000F0AB0000}"/>
    <cellStyle name="Normal 2 4 20 2 2 2 3" xfId="18402" xr:uid="{00000000-0005-0000-0000-0000F1AB0000}"/>
    <cellStyle name="Normal 2 4 20 2 2 2 3 2" xfId="51542" xr:uid="{00000000-0005-0000-0000-0000F2AB0000}"/>
    <cellStyle name="Normal 2 4 20 2 2 2 4" xfId="51543" xr:uid="{00000000-0005-0000-0000-0000F3AB0000}"/>
    <cellStyle name="Normal 2 4 20 2 2 3" xfId="18403" xr:uid="{00000000-0005-0000-0000-0000F4AB0000}"/>
    <cellStyle name="Normal 2 4 20 2 2 3 2" xfId="51544" xr:uid="{00000000-0005-0000-0000-0000F5AB0000}"/>
    <cellStyle name="Normal 2 4 20 2 2 4" xfId="18404" xr:uid="{00000000-0005-0000-0000-0000F6AB0000}"/>
    <cellStyle name="Normal 2 4 20 2 2 4 2" xfId="51545" xr:uid="{00000000-0005-0000-0000-0000F7AB0000}"/>
    <cellStyle name="Normal 2 4 20 2 2 5" xfId="18405" xr:uid="{00000000-0005-0000-0000-0000F8AB0000}"/>
    <cellStyle name="Normal 2 4 20 2 2 5 2" xfId="51546" xr:uid="{00000000-0005-0000-0000-0000F9AB0000}"/>
    <cellStyle name="Normal 2 4 20 2 2 6" xfId="51547" xr:uid="{00000000-0005-0000-0000-0000FAAB0000}"/>
    <cellStyle name="Normal 2 4 20 2 2 6 2" xfId="51548" xr:uid="{00000000-0005-0000-0000-0000FBAB0000}"/>
    <cellStyle name="Normal 2 4 20 2 2 7" xfId="51549" xr:uid="{00000000-0005-0000-0000-0000FCAB0000}"/>
    <cellStyle name="Normal 2 4 20 2 3" xfId="18406" xr:uid="{00000000-0005-0000-0000-0000FDAB0000}"/>
    <cellStyle name="Normal 2 4 20 2 3 2" xfId="18407" xr:uid="{00000000-0005-0000-0000-0000FEAB0000}"/>
    <cellStyle name="Normal 2 4 20 2 3 2 2" xfId="51550" xr:uid="{00000000-0005-0000-0000-0000FFAB0000}"/>
    <cellStyle name="Normal 2 4 20 2 3 3" xfId="18408" xr:uid="{00000000-0005-0000-0000-000000AC0000}"/>
    <cellStyle name="Normal 2 4 20 2 3 3 2" xfId="51551" xr:uid="{00000000-0005-0000-0000-000001AC0000}"/>
    <cellStyle name="Normal 2 4 20 2 3 4" xfId="51552" xr:uid="{00000000-0005-0000-0000-000002AC0000}"/>
    <cellStyle name="Normal 2 4 20 2 4" xfId="18409" xr:uid="{00000000-0005-0000-0000-000003AC0000}"/>
    <cellStyle name="Normal 2 4 20 2 4 2" xfId="18410" xr:uid="{00000000-0005-0000-0000-000004AC0000}"/>
    <cellStyle name="Normal 2 4 20 2 4 2 2" xfId="51553" xr:uid="{00000000-0005-0000-0000-000005AC0000}"/>
    <cellStyle name="Normal 2 4 20 2 4 3" xfId="51554" xr:uid="{00000000-0005-0000-0000-000006AC0000}"/>
    <cellStyle name="Normal 2 4 20 2 5" xfId="18411" xr:uid="{00000000-0005-0000-0000-000007AC0000}"/>
    <cellStyle name="Normal 2 4 20 2 5 2" xfId="51555" xr:uid="{00000000-0005-0000-0000-000008AC0000}"/>
    <cellStyle name="Normal 2 4 20 2 6" xfId="18412" xr:uid="{00000000-0005-0000-0000-000009AC0000}"/>
    <cellStyle name="Normal 2 4 20 2 6 2" xfId="51556" xr:uid="{00000000-0005-0000-0000-00000AAC0000}"/>
    <cellStyle name="Normal 2 4 20 2 7" xfId="51557" xr:uid="{00000000-0005-0000-0000-00000BAC0000}"/>
    <cellStyle name="Normal 2 4 20 2 7 2" xfId="51558" xr:uid="{00000000-0005-0000-0000-00000CAC0000}"/>
    <cellStyle name="Normal 2 4 20 2 8" xfId="51559" xr:uid="{00000000-0005-0000-0000-00000DAC0000}"/>
    <cellStyle name="Normal 2 4 20 2 9" xfId="51560" xr:uid="{00000000-0005-0000-0000-00000EAC0000}"/>
    <cellStyle name="Normal 2 4 20 3" xfId="18413" xr:uid="{00000000-0005-0000-0000-00000FAC0000}"/>
    <cellStyle name="Normal 2 4 20 3 2" xfId="18414" xr:uid="{00000000-0005-0000-0000-000010AC0000}"/>
    <cellStyle name="Normal 2 4 20 3 2 2" xfId="18415" xr:uid="{00000000-0005-0000-0000-000011AC0000}"/>
    <cellStyle name="Normal 2 4 20 3 2 2 2" xfId="51561" xr:uid="{00000000-0005-0000-0000-000012AC0000}"/>
    <cellStyle name="Normal 2 4 20 3 2 3" xfId="18416" xr:uid="{00000000-0005-0000-0000-000013AC0000}"/>
    <cellStyle name="Normal 2 4 20 3 2 3 2" xfId="51562" xr:uid="{00000000-0005-0000-0000-000014AC0000}"/>
    <cellStyle name="Normal 2 4 20 3 2 4" xfId="51563" xr:uid="{00000000-0005-0000-0000-000015AC0000}"/>
    <cellStyle name="Normal 2 4 20 3 3" xfId="18417" xr:uid="{00000000-0005-0000-0000-000016AC0000}"/>
    <cellStyle name="Normal 2 4 20 3 3 2" xfId="51564" xr:uid="{00000000-0005-0000-0000-000017AC0000}"/>
    <cellStyle name="Normal 2 4 20 3 4" xfId="18418" xr:uid="{00000000-0005-0000-0000-000018AC0000}"/>
    <cellStyle name="Normal 2 4 20 3 4 2" xfId="51565" xr:uid="{00000000-0005-0000-0000-000019AC0000}"/>
    <cellStyle name="Normal 2 4 20 3 5" xfId="18419" xr:uid="{00000000-0005-0000-0000-00001AAC0000}"/>
    <cellStyle name="Normal 2 4 20 3 5 2" xfId="51566" xr:uid="{00000000-0005-0000-0000-00001BAC0000}"/>
    <cellStyle name="Normal 2 4 20 3 6" xfId="51567" xr:uid="{00000000-0005-0000-0000-00001CAC0000}"/>
    <cellStyle name="Normal 2 4 20 3 6 2" xfId="51568" xr:uid="{00000000-0005-0000-0000-00001DAC0000}"/>
    <cellStyle name="Normal 2 4 20 3 7" xfId="51569" xr:uid="{00000000-0005-0000-0000-00001EAC0000}"/>
    <cellStyle name="Normal 2 4 20 4" xfId="18420" xr:uid="{00000000-0005-0000-0000-00001FAC0000}"/>
    <cellStyle name="Normal 2 4 20 4 2" xfId="18421" xr:uid="{00000000-0005-0000-0000-000020AC0000}"/>
    <cellStyle name="Normal 2 4 20 4 2 2" xfId="51570" xr:uid="{00000000-0005-0000-0000-000021AC0000}"/>
    <cellStyle name="Normal 2 4 20 4 3" xfId="18422" xr:uid="{00000000-0005-0000-0000-000022AC0000}"/>
    <cellStyle name="Normal 2 4 20 4 3 2" xfId="51571" xr:uid="{00000000-0005-0000-0000-000023AC0000}"/>
    <cellStyle name="Normal 2 4 20 4 4" xfId="51572" xr:uid="{00000000-0005-0000-0000-000024AC0000}"/>
    <cellStyle name="Normal 2 4 20 5" xfId="18423" xr:uid="{00000000-0005-0000-0000-000025AC0000}"/>
    <cellStyle name="Normal 2 4 20 5 2" xfId="18424" xr:uid="{00000000-0005-0000-0000-000026AC0000}"/>
    <cellStyle name="Normal 2 4 20 5 2 2" xfId="51573" xr:uid="{00000000-0005-0000-0000-000027AC0000}"/>
    <cellStyle name="Normal 2 4 20 5 3" xfId="51574" xr:uid="{00000000-0005-0000-0000-000028AC0000}"/>
    <cellStyle name="Normal 2 4 20 6" xfId="18425" xr:uid="{00000000-0005-0000-0000-000029AC0000}"/>
    <cellStyle name="Normal 2 4 20 6 2" xfId="51575" xr:uid="{00000000-0005-0000-0000-00002AAC0000}"/>
    <cellStyle name="Normal 2 4 20 7" xfId="18426" xr:uid="{00000000-0005-0000-0000-00002BAC0000}"/>
    <cellStyle name="Normal 2 4 20 7 2" xfId="51576" xr:uid="{00000000-0005-0000-0000-00002CAC0000}"/>
    <cellStyle name="Normal 2 4 20 8" xfId="51577" xr:uid="{00000000-0005-0000-0000-00002DAC0000}"/>
    <cellStyle name="Normal 2 4 20 8 2" xfId="51578" xr:uid="{00000000-0005-0000-0000-00002EAC0000}"/>
    <cellStyle name="Normal 2 4 20 9" xfId="51579" xr:uid="{00000000-0005-0000-0000-00002FAC0000}"/>
    <cellStyle name="Normal 2 4 21" xfId="18427" xr:uid="{00000000-0005-0000-0000-000030AC0000}"/>
    <cellStyle name="Normal 2 4 21 10" xfId="51580" xr:uid="{00000000-0005-0000-0000-000031AC0000}"/>
    <cellStyle name="Normal 2 4 21 11" xfId="51581" xr:uid="{00000000-0005-0000-0000-000032AC0000}"/>
    <cellStyle name="Normal 2 4 21 2" xfId="18428" xr:uid="{00000000-0005-0000-0000-000033AC0000}"/>
    <cellStyle name="Normal 2 4 21 2 10" xfId="51582" xr:uid="{00000000-0005-0000-0000-000034AC0000}"/>
    <cellStyle name="Normal 2 4 21 2 2" xfId="18429" xr:uid="{00000000-0005-0000-0000-000035AC0000}"/>
    <cellStyle name="Normal 2 4 21 2 2 2" xfId="18430" xr:uid="{00000000-0005-0000-0000-000036AC0000}"/>
    <cellStyle name="Normal 2 4 21 2 2 2 2" xfId="18431" xr:uid="{00000000-0005-0000-0000-000037AC0000}"/>
    <cellStyle name="Normal 2 4 21 2 2 2 2 2" xfId="51583" xr:uid="{00000000-0005-0000-0000-000038AC0000}"/>
    <cellStyle name="Normal 2 4 21 2 2 2 3" xfId="18432" xr:uid="{00000000-0005-0000-0000-000039AC0000}"/>
    <cellStyle name="Normal 2 4 21 2 2 2 3 2" xfId="51584" xr:uid="{00000000-0005-0000-0000-00003AAC0000}"/>
    <cellStyle name="Normal 2 4 21 2 2 2 4" xfId="51585" xr:uid="{00000000-0005-0000-0000-00003BAC0000}"/>
    <cellStyle name="Normal 2 4 21 2 2 3" xfId="18433" xr:uid="{00000000-0005-0000-0000-00003CAC0000}"/>
    <cellStyle name="Normal 2 4 21 2 2 3 2" xfId="51586" xr:uid="{00000000-0005-0000-0000-00003DAC0000}"/>
    <cellStyle name="Normal 2 4 21 2 2 4" xfId="18434" xr:uid="{00000000-0005-0000-0000-00003EAC0000}"/>
    <cellStyle name="Normal 2 4 21 2 2 4 2" xfId="51587" xr:uid="{00000000-0005-0000-0000-00003FAC0000}"/>
    <cellStyle name="Normal 2 4 21 2 2 5" xfId="18435" xr:uid="{00000000-0005-0000-0000-000040AC0000}"/>
    <cellStyle name="Normal 2 4 21 2 2 5 2" xfId="51588" xr:uid="{00000000-0005-0000-0000-000041AC0000}"/>
    <cellStyle name="Normal 2 4 21 2 2 6" xfId="51589" xr:uid="{00000000-0005-0000-0000-000042AC0000}"/>
    <cellStyle name="Normal 2 4 21 2 2 6 2" xfId="51590" xr:uid="{00000000-0005-0000-0000-000043AC0000}"/>
    <cellStyle name="Normal 2 4 21 2 2 7" xfId="51591" xr:uid="{00000000-0005-0000-0000-000044AC0000}"/>
    <cellStyle name="Normal 2 4 21 2 3" xfId="18436" xr:uid="{00000000-0005-0000-0000-000045AC0000}"/>
    <cellStyle name="Normal 2 4 21 2 3 2" xfId="18437" xr:uid="{00000000-0005-0000-0000-000046AC0000}"/>
    <cellStyle name="Normal 2 4 21 2 3 2 2" xfId="51592" xr:uid="{00000000-0005-0000-0000-000047AC0000}"/>
    <cellStyle name="Normal 2 4 21 2 3 3" xfId="18438" xr:uid="{00000000-0005-0000-0000-000048AC0000}"/>
    <cellStyle name="Normal 2 4 21 2 3 3 2" xfId="51593" xr:uid="{00000000-0005-0000-0000-000049AC0000}"/>
    <cellStyle name="Normal 2 4 21 2 3 4" xfId="51594" xr:uid="{00000000-0005-0000-0000-00004AAC0000}"/>
    <cellStyle name="Normal 2 4 21 2 4" xfId="18439" xr:uid="{00000000-0005-0000-0000-00004BAC0000}"/>
    <cellStyle name="Normal 2 4 21 2 4 2" xfId="18440" xr:uid="{00000000-0005-0000-0000-00004CAC0000}"/>
    <cellStyle name="Normal 2 4 21 2 4 2 2" xfId="51595" xr:uid="{00000000-0005-0000-0000-00004DAC0000}"/>
    <cellStyle name="Normal 2 4 21 2 4 3" xfId="51596" xr:uid="{00000000-0005-0000-0000-00004EAC0000}"/>
    <cellStyle name="Normal 2 4 21 2 5" xfId="18441" xr:uid="{00000000-0005-0000-0000-00004FAC0000}"/>
    <cellStyle name="Normal 2 4 21 2 5 2" xfId="51597" xr:uid="{00000000-0005-0000-0000-000050AC0000}"/>
    <cellStyle name="Normal 2 4 21 2 6" xfId="18442" xr:uid="{00000000-0005-0000-0000-000051AC0000}"/>
    <cellStyle name="Normal 2 4 21 2 6 2" xfId="51598" xr:uid="{00000000-0005-0000-0000-000052AC0000}"/>
    <cellStyle name="Normal 2 4 21 2 7" xfId="51599" xr:uid="{00000000-0005-0000-0000-000053AC0000}"/>
    <cellStyle name="Normal 2 4 21 2 7 2" xfId="51600" xr:uid="{00000000-0005-0000-0000-000054AC0000}"/>
    <cellStyle name="Normal 2 4 21 2 8" xfId="51601" xr:uid="{00000000-0005-0000-0000-000055AC0000}"/>
    <cellStyle name="Normal 2 4 21 2 9" xfId="51602" xr:uid="{00000000-0005-0000-0000-000056AC0000}"/>
    <cellStyle name="Normal 2 4 21 3" xfId="18443" xr:uid="{00000000-0005-0000-0000-000057AC0000}"/>
    <cellStyle name="Normal 2 4 21 3 2" xfId="18444" xr:uid="{00000000-0005-0000-0000-000058AC0000}"/>
    <cellStyle name="Normal 2 4 21 3 2 2" xfId="18445" xr:uid="{00000000-0005-0000-0000-000059AC0000}"/>
    <cellStyle name="Normal 2 4 21 3 2 2 2" xfId="51603" xr:uid="{00000000-0005-0000-0000-00005AAC0000}"/>
    <cellStyle name="Normal 2 4 21 3 2 3" xfId="18446" xr:uid="{00000000-0005-0000-0000-00005BAC0000}"/>
    <cellStyle name="Normal 2 4 21 3 2 3 2" xfId="51604" xr:uid="{00000000-0005-0000-0000-00005CAC0000}"/>
    <cellStyle name="Normal 2 4 21 3 2 4" xfId="51605" xr:uid="{00000000-0005-0000-0000-00005DAC0000}"/>
    <cellStyle name="Normal 2 4 21 3 3" xfId="18447" xr:uid="{00000000-0005-0000-0000-00005EAC0000}"/>
    <cellStyle name="Normal 2 4 21 3 3 2" xfId="51606" xr:uid="{00000000-0005-0000-0000-00005FAC0000}"/>
    <cellStyle name="Normal 2 4 21 3 4" xfId="18448" xr:uid="{00000000-0005-0000-0000-000060AC0000}"/>
    <cellStyle name="Normal 2 4 21 3 4 2" xfId="51607" xr:uid="{00000000-0005-0000-0000-000061AC0000}"/>
    <cellStyle name="Normal 2 4 21 3 5" xfId="18449" xr:uid="{00000000-0005-0000-0000-000062AC0000}"/>
    <cellStyle name="Normal 2 4 21 3 5 2" xfId="51608" xr:uid="{00000000-0005-0000-0000-000063AC0000}"/>
    <cellStyle name="Normal 2 4 21 3 6" xfId="51609" xr:uid="{00000000-0005-0000-0000-000064AC0000}"/>
    <cellStyle name="Normal 2 4 21 3 6 2" xfId="51610" xr:uid="{00000000-0005-0000-0000-000065AC0000}"/>
    <cellStyle name="Normal 2 4 21 3 7" xfId="51611" xr:uid="{00000000-0005-0000-0000-000066AC0000}"/>
    <cellStyle name="Normal 2 4 21 4" xfId="18450" xr:uid="{00000000-0005-0000-0000-000067AC0000}"/>
    <cellStyle name="Normal 2 4 21 4 2" xfId="18451" xr:uid="{00000000-0005-0000-0000-000068AC0000}"/>
    <cellStyle name="Normal 2 4 21 4 2 2" xfId="51612" xr:uid="{00000000-0005-0000-0000-000069AC0000}"/>
    <cellStyle name="Normal 2 4 21 4 3" xfId="18452" xr:uid="{00000000-0005-0000-0000-00006AAC0000}"/>
    <cellStyle name="Normal 2 4 21 4 3 2" xfId="51613" xr:uid="{00000000-0005-0000-0000-00006BAC0000}"/>
    <cellStyle name="Normal 2 4 21 4 4" xfId="51614" xr:uid="{00000000-0005-0000-0000-00006CAC0000}"/>
    <cellStyle name="Normal 2 4 21 5" xfId="18453" xr:uid="{00000000-0005-0000-0000-00006DAC0000}"/>
    <cellStyle name="Normal 2 4 21 5 2" xfId="18454" xr:uid="{00000000-0005-0000-0000-00006EAC0000}"/>
    <cellStyle name="Normal 2 4 21 5 2 2" xfId="51615" xr:uid="{00000000-0005-0000-0000-00006FAC0000}"/>
    <cellStyle name="Normal 2 4 21 5 3" xfId="51616" xr:uid="{00000000-0005-0000-0000-000070AC0000}"/>
    <cellStyle name="Normal 2 4 21 6" xfId="18455" xr:uid="{00000000-0005-0000-0000-000071AC0000}"/>
    <cellStyle name="Normal 2 4 21 6 2" xfId="51617" xr:uid="{00000000-0005-0000-0000-000072AC0000}"/>
    <cellStyle name="Normal 2 4 21 7" xfId="18456" xr:uid="{00000000-0005-0000-0000-000073AC0000}"/>
    <cellStyle name="Normal 2 4 21 7 2" xfId="51618" xr:uid="{00000000-0005-0000-0000-000074AC0000}"/>
    <cellStyle name="Normal 2 4 21 8" xfId="51619" xr:uid="{00000000-0005-0000-0000-000075AC0000}"/>
    <cellStyle name="Normal 2 4 21 8 2" xfId="51620" xr:uid="{00000000-0005-0000-0000-000076AC0000}"/>
    <cellStyle name="Normal 2 4 21 9" xfId="51621" xr:uid="{00000000-0005-0000-0000-000077AC0000}"/>
    <cellStyle name="Normal 2 4 22" xfId="18457" xr:uid="{00000000-0005-0000-0000-000078AC0000}"/>
    <cellStyle name="Normal 2 4 22 10" xfId="51622" xr:uid="{00000000-0005-0000-0000-000079AC0000}"/>
    <cellStyle name="Normal 2 4 22 11" xfId="51623" xr:uid="{00000000-0005-0000-0000-00007AAC0000}"/>
    <cellStyle name="Normal 2 4 22 2" xfId="18458" xr:uid="{00000000-0005-0000-0000-00007BAC0000}"/>
    <cellStyle name="Normal 2 4 22 2 10" xfId="51624" xr:uid="{00000000-0005-0000-0000-00007CAC0000}"/>
    <cellStyle name="Normal 2 4 22 2 2" xfId="18459" xr:uid="{00000000-0005-0000-0000-00007DAC0000}"/>
    <cellStyle name="Normal 2 4 22 2 2 2" xfId="18460" xr:uid="{00000000-0005-0000-0000-00007EAC0000}"/>
    <cellStyle name="Normal 2 4 22 2 2 2 2" xfId="18461" xr:uid="{00000000-0005-0000-0000-00007FAC0000}"/>
    <cellStyle name="Normal 2 4 22 2 2 2 2 2" xfId="51625" xr:uid="{00000000-0005-0000-0000-000080AC0000}"/>
    <cellStyle name="Normal 2 4 22 2 2 2 3" xfId="18462" xr:uid="{00000000-0005-0000-0000-000081AC0000}"/>
    <cellStyle name="Normal 2 4 22 2 2 2 3 2" xfId="51626" xr:uid="{00000000-0005-0000-0000-000082AC0000}"/>
    <cellStyle name="Normal 2 4 22 2 2 2 4" xfId="51627" xr:uid="{00000000-0005-0000-0000-000083AC0000}"/>
    <cellStyle name="Normal 2 4 22 2 2 3" xfId="18463" xr:uid="{00000000-0005-0000-0000-000084AC0000}"/>
    <cellStyle name="Normal 2 4 22 2 2 3 2" xfId="51628" xr:uid="{00000000-0005-0000-0000-000085AC0000}"/>
    <cellStyle name="Normal 2 4 22 2 2 4" xfId="18464" xr:uid="{00000000-0005-0000-0000-000086AC0000}"/>
    <cellStyle name="Normal 2 4 22 2 2 4 2" xfId="51629" xr:uid="{00000000-0005-0000-0000-000087AC0000}"/>
    <cellStyle name="Normal 2 4 22 2 2 5" xfId="18465" xr:uid="{00000000-0005-0000-0000-000088AC0000}"/>
    <cellStyle name="Normal 2 4 22 2 2 5 2" xfId="51630" xr:uid="{00000000-0005-0000-0000-000089AC0000}"/>
    <cellStyle name="Normal 2 4 22 2 2 6" xfId="51631" xr:uid="{00000000-0005-0000-0000-00008AAC0000}"/>
    <cellStyle name="Normal 2 4 22 2 2 6 2" xfId="51632" xr:uid="{00000000-0005-0000-0000-00008BAC0000}"/>
    <cellStyle name="Normal 2 4 22 2 2 7" xfId="51633" xr:uid="{00000000-0005-0000-0000-00008CAC0000}"/>
    <cellStyle name="Normal 2 4 22 2 3" xfId="18466" xr:uid="{00000000-0005-0000-0000-00008DAC0000}"/>
    <cellStyle name="Normal 2 4 22 2 3 2" xfId="18467" xr:uid="{00000000-0005-0000-0000-00008EAC0000}"/>
    <cellStyle name="Normal 2 4 22 2 3 2 2" xfId="51634" xr:uid="{00000000-0005-0000-0000-00008FAC0000}"/>
    <cellStyle name="Normal 2 4 22 2 3 3" xfId="18468" xr:uid="{00000000-0005-0000-0000-000090AC0000}"/>
    <cellStyle name="Normal 2 4 22 2 3 3 2" xfId="51635" xr:uid="{00000000-0005-0000-0000-000091AC0000}"/>
    <cellStyle name="Normal 2 4 22 2 3 4" xfId="51636" xr:uid="{00000000-0005-0000-0000-000092AC0000}"/>
    <cellStyle name="Normal 2 4 22 2 4" xfId="18469" xr:uid="{00000000-0005-0000-0000-000093AC0000}"/>
    <cellStyle name="Normal 2 4 22 2 4 2" xfId="18470" xr:uid="{00000000-0005-0000-0000-000094AC0000}"/>
    <cellStyle name="Normal 2 4 22 2 4 2 2" xfId="51637" xr:uid="{00000000-0005-0000-0000-000095AC0000}"/>
    <cellStyle name="Normal 2 4 22 2 4 3" xfId="51638" xr:uid="{00000000-0005-0000-0000-000096AC0000}"/>
    <cellStyle name="Normal 2 4 22 2 5" xfId="18471" xr:uid="{00000000-0005-0000-0000-000097AC0000}"/>
    <cellStyle name="Normal 2 4 22 2 5 2" xfId="51639" xr:uid="{00000000-0005-0000-0000-000098AC0000}"/>
    <cellStyle name="Normal 2 4 22 2 6" xfId="18472" xr:uid="{00000000-0005-0000-0000-000099AC0000}"/>
    <cellStyle name="Normal 2 4 22 2 6 2" xfId="51640" xr:uid="{00000000-0005-0000-0000-00009AAC0000}"/>
    <cellStyle name="Normal 2 4 22 2 7" xfId="51641" xr:uid="{00000000-0005-0000-0000-00009BAC0000}"/>
    <cellStyle name="Normal 2 4 22 2 7 2" xfId="51642" xr:uid="{00000000-0005-0000-0000-00009CAC0000}"/>
    <cellStyle name="Normal 2 4 22 2 8" xfId="51643" xr:uid="{00000000-0005-0000-0000-00009DAC0000}"/>
    <cellStyle name="Normal 2 4 22 2 9" xfId="51644" xr:uid="{00000000-0005-0000-0000-00009EAC0000}"/>
    <cellStyle name="Normal 2 4 22 3" xfId="18473" xr:uid="{00000000-0005-0000-0000-00009FAC0000}"/>
    <cellStyle name="Normal 2 4 22 3 2" xfId="18474" xr:uid="{00000000-0005-0000-0000-0000A0AC0000}"/>
    <cellStyle name="Normal 2 4 22 3 2 2" xfId="18475" xr:uid="{00000000-0005-0000-0000-0000A1AC0000}"/>
    <cellStyle name="Normal 2 4 22 3 2 2 2" xfId="51645" xr:uid="{00000000-0005-0000-0000-0000A2AC0000}"/>
    <cellStyle name="Normal 2 4 22 3 2 3" xfId="18476" xr:uid="{00000000-0005-0000-0000-0000A3AC0000}"/>
    <cellStyle name="Normal 2 4 22 3 2 3 2" xfId="51646" xr:uid="{00000000-0005-0000-0000-0000A4AC0000}"/>
    <cellStyle name="Normal 2 4 22 3 2 4" xfId="51647" xr:uid="{00000000-0005-0000-0000-0000A5AC0000}"/>
    <cellStyle name="Normal 2 4 22 3 3" xfId="18477" xr:uid="{00000000-0005-0000-0000-0000A6AC0000}"/>
    <cellStyle name="Normal 2 4 22 3 3 2" xfId="51648" xr:uid="{00000000-0005-0000-0000-0000A7AC0000}"/>
    <cellStyle name="Normal 2 4 22 3 4" xfId="18478" xr:uid="{00000000-0005-0000-0000-0000A8AC0000}"/>
    <cellStyle name="Normal 2 4 22 3 4 2" xfId="51649" xr:uid="{00000000-0005-0000-0000-0000A9AC0000}"/>
    <cellStyle name="Normal 2 4 22 3 5" xfId="18479" xr:uid="{00000000-0005-0000-0000-0000AAAC0000}"/>
    <cellStyle name="Normal 2 4 22 3 5 2" xfId="51650" xr:uid="{00000000-0005-0000-0000-0000ABAC0000}"/>
    <cellStyle name="Normal 2 4 22 3 6" xfId="51651" xr:uid="{00000000-0005-0000-0000-0000ACAC0000}"/>
    <cellStyle name="Normal 2 4 22 3 6 2" xfId="51652" xr:uid="{00000000-0005-0000-0000-0000ADAC0000}"/>
    <cellStyle name="Normal 2 4 22 3 7" xfId="51653" xr:uid="{00000000-0005-0000-0000-0000AEAC0000}"/>
    <cellStyle name="Normal 2 4 22 4" xfId="18480" xr:uid="{00000000-0005-0000-0000-0000AFAC0000}"/>
    <cellStyle name="Normal 2 4 22 4 2" xfId="18481" xr:uid="{00000000-0005-0000-0000-0000B0AC0000}"/>
    <cellStyle name="Normal 2 4 22 4 2 2" xfId="51654" xr:uid="{00000000-0005-0000-0000-0000B1AC0000}"/>
    <cellStyle name="Normal 2 4 22 4 3" xfId="18482" xr:uid="{00000000-0005-0000-0000-0000B2AC0000}"/>
    <cellStyle name="Normal 2 4 22 4 3 2" xfId="51655" xr:uid="{00000000-0005-0000-0000-0000B3AC0000}"/>
    <cellStyle name="Normal 2 4 22 4 4" xfId="51656" xr:uid="{00000000-0005-0000-0000-0000B4AC0000}"/>
    <cellStyle name="Normal 2 4 22 5" xfId="18483" xr:uid="{00000000-0005-0000-0000-0000B5AC0000}"/>
    <cellStyle name="Normal 2 4 22 5 2" xfId="18484" xr:uid="{00000000-0005-0000-0000-0000B6AC0000}"/>
    <cellStyle name="Normal 2 4 22 5 2 2" xfId="51657" xr:uid="{00000000-0005-0000-0000-0000B7AC0000}"/>
    <cellStyle name="Normal 2 4 22 5 3" xfId="51658" xr:uid="{00000000-0005-0000-0000-0000B8AC0000}"/>
    <cellStyle name="Normal 2 4 22 6" xfId="18485" xr:uid="{00000000-0005-0000-0000-0000B9AC0000}"/>
    <cellStyle name="Normal 2 4 22 6 2" xfId="51659" xr:uid="{00000000-0005-0000-0000-0000BAAC0000}"/>
    <cellStyle name="Normal 2 4 22 7" xfId="18486" xr:uid="{00000000-0005-0000-0000-0000BBAC0000}"/>
    <cellStyle name="Normal 2 4 22 7 2" xfId="51660" xr:uid="{00000000-0005-0000-0000-0000BCAC0000}"/>
    <cellStyle name="Normal 2 4 22 8" xfId="51661" xr:uid="{00000000-0005-0000-0000-0000BDAC0000}"/>
    <cellStyle name="Normal 2 4 22 8 2" xfId="51662" xr:uid="{00000000-0005-0000-0000-0000BEAC0000}"/>
    <cellStyle name="Normal 2 4 22 9" xfId="51663" xr:uid="{00000000-0005-0000-0000-0000BFAC0000}"/>
    <cellStyle name="Normal 2 4 23" xfId="18487" xr:uid="{00000000-0005-0000-0000-0000C0AC0000}"/>
    <cellStyle name="Normal 2 4 23 10" xfId="51664" xr:uid="{00000000-0005-0000-0000-0000C1AC0000}"/>
    <cellStyle name="Normal 2 4 23 11" xfId="51665" xr:uid="{00000000-0005-0000-0000-0000C2AC0000}"/>
    <cellStyle name="Normal 2 4 23 2" xfId="18488" xr:uid="{00000000-0005-0000-0000-0000C3AC0000}"/>
    <cellStyle name="Normal 2 4 23 2 10" xfId="51666" xr:uid="{00000000-0005-0000-0000-0000C4AC0000}"/>
    <cellStyle name="Normal 2 4 23 2 2" xfId="18489" xr:uid="{00000000-0005-0000-0000-0000C5AC0000}"/>
    <cellStyle name="Normal 2 4 23 2 2 2" xfId="18490" xr:uid="{00000000-0005-0000-0000-0000C6AC0000}"/>
    <cellStyle name="Normal 2 4 23 2 2 2 2" xfId="18491" xr:uid="{00000000-0005-0000-0000-0000C7AC0000}"/>
    <cellStyle name="Normal 2 4 23 2 2 2 2 2" xfId="51667" xr:uid="{00000000-0005-0000-0000-0000C8AC0000}"/>
    <cellStyle name="Normal 2 4 23 2 2 2 3" xfId="18492" xr:uid="{00000000-0005-0000-0000-0000C9AC0000}"/>
    <cellStyle name="Normal 2 4 23 2 2 2 3 2" xfId="51668" xr:uid="{00000000-0005-0000-0000-0000CAAC0000}"/>
    <cellStyle name="Normal 2 4 23 2 2 2 4" xfId="51669" xr:uid="{00000000-0005-0000-0000-0000CBAC0000}"/>
    <cellStyle name="Normal 2 4 23 2 2 3" xfId="18493" xr:uid="{00000000-0005-0000-0000-0000CCAC0000}"/>
    <cellStyle name="Normal 2 4 23 2 2 3 2" xfId="51670" xr:uid="{00000000-0005-0000-0000-0000CDAC0000}"/>
    <cellStyle name="Normal 2 4 23 2 2 4" xfId="18494" xr:uid="{00000000-0005-0000-0000-0000CEAC0000}"/>
    <cellStyle name="Normal 2 4 23 2 2 4 2" xfId="51671" xr:uid="{00000000-0005-0000-0000-0000CFAC0000}"/>
    <cellStyle name="Normal 2 4 23 2 2 5" xfId="18495" xr:uid="{00000000-0005-0000-0000-0000D0AC0000}"/>
    <cellStyle name="Normal 2 4 23 2 2 5 2" xfId="51672" xr:uid="{00000000-0005-0000-0000-0000D1AC0000}"/>
    <cellStyle name="Normal 2 4 23 2 2 6" xfId="51673" xr:uid="{00000000-0005-0000-0000-0000D2AC0000}"/>
    <cellStyle name="Normal 2 4 23 2 2 6 2" xfId="51674" xr:uid="{00000000-0005-0000-0000-0000D3AC0000}"/>
    <cellStyle name="Normal 2 4 23 2 2 7" xfId="51675" xr:uid="{00000000-0005-0000-0000-0000D4AC0000}"/>
    <cellStyle name="Normal 2 4 23 2 3" xfId="18496" xr:uid="{00000000-0005-0000-0000-0000D5AC0000}"/>
    <cellStyle name="Normal 2 4 23 2 3 2" xfId="18497" xr:uid="{00000000-0005-0000-0000-0000D6AC0000}"/>
    <cellStyle name="Normal 2 4 23 2 3 2 2" xfId="51676" xr:uid="{00000000-0005-0000-0000-0000D7AC0000}"/>
    <cellStyle name="Normal 2 4 23 2 3 3" xfId="18498" xr:uid="{00000000-0005-0000-0000-0000D8AC0000}"/>
    <cellStyle name="Normal 2 4 23 2 3 3 2" xfId="51677" xr:uid="{00000000-0005-0000-0000-0000D9AC0000}"/>
    <cellStyle name="Normal 2 4 23 2 3 4" xfId="51678" xr:uid="{00000000-0005-0000-0000-0000DAAC0000}"/>
    <cellStyle name="Normal 2 4 23 2 4" xfId="18499" xr:uid="{00000000-0005-0000-0000-0000DBAC0000}"/>
    <cellStyle name="Normal 2 4 23 2 4 2" xfId="18500" xr:uid="{00000000-0005-0000-0000-0000DCAC0000}"/>
    <cellStyle name="Normal 2 4 23 2 4 2 2" xfId="51679" xr:uid="{00000000-0005-0000-0000-0000DDAC0000}"/>
    <cellStyle name="Normal 2 4 23 2 4 3" xfId="51680" xr:uid="{00000000-0005-0000-0000-0000DEAC0000}"/>
    <cellStyle name="Normal 2 4 23 2 5" xfId="18501" xr:uid="{00000000-0005-0000-0000-0000DFAC0000}"/>
    <cellStyle name="Normal 2 4 23 2 5 2" xfId="51681" xr:uid="{00000000-0005-0000-0000-0000E0AC0000}"/>
    <cellStyle name="Normal 2 4 23 2 6" xfId="18502" xr:uid="{00000000-0005-0000-0000-0000E1AC0000}"/>
    <cellStyle name="Normal 2 4 23 2 6 2" xfId="51682" xr:uid="{00000000-0005-0000-0000-0000E2AC0000}"/>
    <cellStyle name="Normal 2 4 23 2 7" xfId="51683" xr:uid="{00000000-0005-0000-0000-0000E3AC0000}"/>
    <cellStyle name="Normal 2 4 23 2 7 2" xfId="51684" xr:uid="{00000000-0005-0000-0000-0000E4AC0000}"/>
    <cellStyle name="Normal 2 4 23 2 8" xfId="51685" xr:uid="{00000000-0005-0000-0000-0000E5AC0000}"/>
    <cellStyle name="Normal 2 4 23 2 9" xfId="51686" xr:uid="{00000000-0005-0000-0000-0000E6AC0000}"/>
    <cellStyle name="Normal 2 4 23 3" xfId="18503" xr:uid="{00000000-0005-0000-0000-0000E7AC0000}"/>
    <cellStyle name="Normal 2 4 23 3 2" xfId="18504" xr:uid="{00000000-0005-0000-0000-0000E8AC0000}"/>
    <cellStyle name="Normal 2 4 23 3 2 2" xfId="18505" xr:uid="{00000000-0005-0000-0000-0000E9AC0000}"/>
    <cellStyle name="Normal 2 4 23 3 2 2 2" xfId="51687" xr:uid="{00000000-0005-0000-0000-0000EAAC0000}"/>
    <cellStyle name="Normal 2 4 23 3 2 3" xfId="18506" xr:uid="{00000000-0005-0000-0000-0000EBAC0000}"/>
    <cellStyle name="Normal 2 4 23 3 2 3 2" xfId="51688" xr:uid="{00000000-0005-0000-0000-0000ECAC0000}"/>
    <cellStyle name="Normal 2 4 23 3 2 4" xfId="51689" xr:uid="{00000000-0005-0000-0000-0000EDAC0000}"/>
    <cellStyle name="Normal 2 4 23 3 3" xfId="18507" xr:uid="{00000000-0005-0000-0000-0000EEAC0000}"/>
    <cellStyle name="Normal 2 4 23 3 3 2" xfId="51690" xr:uid="{00000000-0005-0000-0000-0000EFAC0000}"/>
    <cellStyle name="Normal 2 4 23 3 4" xfId="18508" xr:uid="{00000000-0005-0000-0000-0000F0AC0000}"/>
    <cellStyle name="Normal 2 4 23 3 4 2" xfId="51691" xr:uid="{00000000-0005-0000-0000-0000F1AC0000}"/>
    <cellStyle name="Normal 2 4 23 3 5" xfId="18509" xr:uid="{00000000-0005-0000-0000-0000F2AC0000}"/>
    <cellStyle name="Normal 2 4 23 3 5 2" xfId="51692" xr:uid="{00000000-0005-0000-0000-0000F3AC0000}"/>
    <cellStyle name="Normal 2 4 23 3 6" xfId="51693" xr:uid="{00000000-0005-0000-0000-0000F4AC0000}"/>
    <cellStyle name="Normal 2 4 23 3 6 2" xfId="51694" xr:uid="{00000000-0005-0000-0000-0000F5AC0000}"/>
    <cellStyle name="Normal 2 4 23 3 7" xfId="51695" xr:uid="{00000000-0005-0000-0000-0000F6AC0000}"/>
    <cellStyle name="Normal 2 4 23 4" xfId="18510" xr:uid="{00000000-0005-0000-0000-0000F7AC0000}"/>
    <cellStyle name="Normal 2 4 23 4 2" xfId="18511" xr:uid="{00000000-0005-0000-0000-0000F8AC0000}"/>
    <cellStyle name="Normal 2 4 23 4 2 2" xfId="51696" xr:uid="{00000000-0005-0000-0000-0000F9AC0000}"/>
    <cellStyle name="Normal 2 4 23 4 3" xfId="18512" xr:uid="{00000000-0005-0000-0000-0000FAAC0000}"/>
    <cellStyle name="Normal 2 4 23 4 3 2" xfId="51697" xr:uid="{00000000-0005-0000-0000-0000FBAC0000}"/>
    <cellStyle name="Normal 2 4 23 4 4" xfId="51698" xr:uid="{00000000-0005-0000-0000-0000FCAC0000}"/>
    <cellStyle name="Normal 2 4 23 5" xfId="18513" xr:uid="{00000000-0005-0000-0000-0000FDAC0000}"/>
    <cellStyle name="Normal 2 4 23 5 2" xfId="18514" xr:uid="{00000000-0005-0000-0000-0000FEAC0000}"/>
    <cellStyle name="Normal 2 4 23 5 2 2" xfId="51699" xr:uid="{00000000-0005-0000-0000-0000FFAC0000}"/>
    <cellStyle name="Normal 2 4 23 5 3" xfId="51700" xr:uid="{00000000-0005-0000-0000-000000AD0000}"/>
    <cellStyle name="Normal 2 4 23 6" xfId="18515" xr:uid="{00000000-0005-0000-0000-000001AD0000}"/>
    <cellStyle name="Normal 2 4 23 6 2" xfId="51701" xr:uid="{00000000-0005-0000-0000-000002AD0000}"/>
    <cellStyle name="Normal 2 4 23 7" xfId="18516" xr:uid="{00000000-0005-0000-0000-000003AD0000}"/>
    <cellStyle name="Normal 2 4 23 7 2" xfId="51702" xr:uid="{00000000-0005-0000-0000-000004AD0000}"/>
    <cellStyle name="Normal 2 4 23 8" xfId="51703" xr:uid="{00000000-0005-0000-0000-000005AD0000}"/>
    <cellStyle name="Normal 2 4 23 8 2" xfId="51704" xr:uid="{00000000-0005-0000-0000-000006AD0000}"/>
    <cellStyle name="Normal 2 4 23 9" xfId="51705" xr:uid="{00000000-0005-0000-0000-000007AD0000}"/>
    <cellStyle name="Normal 2 4 24" xfId="18517" xr:uid="{00000000-0005-0000-0000-000008AD0000}"/>
    <cellStyle name="Normal 2 4 24 10" xfId="51706" xr:uid="{00000000-0005-0000-0000-000009AD0000}"/>
    <cellStyle name="Normal 2 4 24 11" xfId="51707" xr:uid="{00000000-0005-0000-0000-00000AAD0000}"/>
    <cellStyle name="Normal 2 4 24 2" xfId="18518" xr:uid="{00000000-0005-0000-0000-00000BAD0000}"/>
    <cellStyle name="Normal 2 4 24 2 10" xfId="51708" xr:uid="{00000000-0005-0000-0000-00000CAD0000}"/>
    <cellStyle name="Normal 2 4 24 2 2" xfId="18519" xr:uid="{00000000-0005-0000-0000-00000DAD0000}"/>
    <cellStyle name="Normal 2 4 24 2 2 2" xfId="18520" xr:uid="{00000000-0005-0000-0000-00000EAD0000}"/>
    <cellStyle name="Normal 2 4 24 2 2 2 2" xfId="18521" xr:uid="{00000000-0005-0000-0000-00000FAD0000}"/>
    <cellStyle name="Normal 2 4 24 2 2 2 2 2" xfId="51709" xr:uid="{00000000-0005-0000-0000-000010AD0000}"/>
    <cellStyle name="Normal 2 4 24 2 2 2 3" xfId="18522" xr:uid="{00000000-0005-0000-0000-000011AD0000}"/>
    <cellStyle name="Normal 2 4 24 2 2 2 3 2" xfId="51710" xr:uid="{00000000-0005-0000-0000-000012AD0000}"/>
    <cellStyle name="Normal 2 4 24 2 2 2 4" xfId="51711" xr:uid="{00000000-0005-0000-0000-000013AD0000}"/>
    <cellStyle name="Normal 2 4 24 2 2 3" xfId="18523" xr:uid="{00000000-0005-0000-0000-000014AD0000}"/>
    <cellStyle name="Normal 2 4 24 2 2 3 2" xfId="51712" xr:uid="{00000000-0005-0000-0000-000015AD0000}"/>
    <cellStyle name="Normal 2 4 24 2 2 4" xfId="18524" xr:uid="{00000000-0005-0000-0000-000016AD0000}"/>
    <cellStyle name="Normal 2 4 24 2 2 4 2" xfId="51713" xr:uid="{00000000-0005-0000-0000-000017AD0000}"/>
    <cellStyle name="Normal 2 4 24 2 2 5" xfId="18525" xr:uid="{00000000-0005-0000-0000-000018AD0000}"/>
    <cellStyle name="Normal 2 4 24 2 2 5 2" xfId="51714" xr:uid="{00000000-0005-0000-0000-000019AD0000}"/>
    <cellStyle name="Normal 2 4 24 2 2 6" xfId="51715" xr:uid="{00000000-0005-0000-0000-00001AAD0000}"/>
    <cellStyle name="Normal 2 4 24 2 2 6 2" xfId="51716" xr:uid="{00000000-0005-0000-0000-00001BAD0000}"/>
    <cellStyle name="Normal 2 4 24 2 2 7" xfId="51717" xr:uid="{00000000-0005-0000-0000-00001CAD0000}"/>
    <cellStyle name="Normal 2 4 24 2 3" xfId="18526" xr:uid="{00000000-0005-0000-0000-00001DAD0000}"/>
    <cellStyle name="Normal 2 4 24 2 3 2" xfId="18527" xr:uid="{00000000-0005-0000-0000-00001EAD0000}"/>
    <cellStyle name="Normal 2 4 24 2 3 2 2" xfId="51718" xr:uid="{00000000-0005-0000-0000-00001FAD0000}"/>
    <cellStyle name="Normal 2 4 24 2 3 3" xfId="18528" xr:uid="{00000000-0005-0000-0000-000020AD0000}"/>
    <cellStyle name="Normal 2 4 24 2 3 3 2" xfId="51719" xr:uid="{00000000-0005-0000-0000-000021AD0000}"/>
    <cellStyle name="Normal 2 4 24 2 3 4" xfId="51720" xr:uid="{00000000-0005-0000-0000-000022AD0000}"/>
    <cellStyle name="Normal 2 4 24 2 4" xfId="18529" xr:uid="{00000000-0005-0000-0000-000023AD0000}"/>
    <cellStyle name="Normal 2 4 24 2 4 2" xfId="18530" xr:uid="{00000000-0005-0000-0000-000024AD0000}"/>
    <cellStyle name="Normal 2 4 24 2 4 2 2" xfId="51721" xr:uid="{00000000-0005-0000-0000-000025AD0000}"/>
    <cellStyle name="Normal 2 4 24 2 4 3" xfId="51722" xr:uid="{00000000-0005-0000-0000-000026AD0000}"/>
    <cellStyle name="Normal 2 4 24 2 5" xfId="18531" xr:uid="{00000000-0005-0000-0000-000027AD0000}"/>
    <cellStyle name="Normal 2 4 24 2 5 2" xfId="51723" xr:uid="{00000000-0005-0000-0000-000028AD0000}"/>
    <cellStyle name="Normal 2 4 24 2 6" xfId="18532" xr:uid="{00000000-0005-0000-0000-000029AD0000}"/>
    <cellStyle name="Normal 2 4 24 2 6 2" xfId="51724" xr:uid="{00000000-0005-0000-0000-00002AAD0000}"/>
    <cellStyle name="Normal 2 4 24 2 7" xfId="51725" xr:uid="{00000000-0005-0000-0000-00002BAD0000}"/>
    <cellStyle name="Normal 2 4 24 2 7 2" xfId="51726" xr:uid="{00000000-0005-0000-0000-00002CAD0000}"/>
    <cellStyle name="Normal 2 4 24 2 8" xfId="51727" xr:uid="{00000000-0005-0000-0000-00002DAD0000}"/>
    <cellStyle name="Normal 2 4 24 2 9" xfId="51728" xr:uid="{00000000-0005-0000-0000-00002EAD0000}"/>
    <cellStyle name="Normal 2 4 24 3" xfId="18533" xr:uid="{00000000-0005-0000-0000-00002FAD0000}"/>
    <cellStyle name="Normal 2 4 24 3 2" xfId="18534" xr:uid="{00000000-0005-0000-0000-000030AD0000}"/>
    <cellStyle name="Normal 2 4 24 3 2 2" xfId="18535" xr:uid="{00000000-0005-0000-0000-000031AD0000}"/>
    <cellStyle name="Normal 2 4 24 3 2 2 2" xfId="51729" xr:uid="{00000000-0005-0000-0000-000032AD0000}"/>
    <cellStyle name="Normal 2 4 24 3 2 3" xfId="18536" xr:uid="{00000000-0005-0000-0000-000033AD0000}"/>
    <cellStyle name="Normal 2 4 24 3 2 3 2" xfId="51730" xr:uid="{00000000-0005-0000-0000-000034AD0000}"/>
    <cellStyle name="Normal 2 4 24 3 2 4" xfId="51731" xr:uid="{00000000-0005-0000-0000-000035AD0000}"/>
    <cellStyle name="Normal 2 4 24 3 3" xfId="18537" xr:uid="{00000000-0005-0000-0000-000036AD0000}"/>
    <cellStyle name="Normal 2 4 24 3 3 2" xfId="51732" xr:uid="{00000000-0005-0000-0000-000037AD0000}"/>
    <cellStyle name="Normal 2 4 24 3 4" xfId="18538" xr:uid="{00000000-0005-0000-0000-000038AD0000}"/>
    <cellStyle name="Normal 2 4 24 3 4 2" xfId="51733" xr:uid="{00000000-0005-0000-0000-000039AD0000}"/>
    <cellStyle name="Normal 2 4 24 3 5" xfId="18539" xr:uid="{00000000-0005-0000-0000-00003AAD0000}"/>
    <cellStyle name="Normal 2 4 24 3 5 2" xfId="51734" xr:uid="{00000000-0005-0000-0000-00003BAD0000}"/>
    <cellStyle name="Normal 2 4 24 3 6" xfId="51735" xr:uid="{00000000-0005-0000-0000-00003CAD0000}"/>
    <cellStyle name="Normal 2 4 24 3 6 2" xfId="51736" xr:uid="{00000000-0005-0000-0000-00003DAD0000}"/>
    <cellStyle name="Normal 2 4 24 3 7" xfId="51737" xr:uid="{00000000-0005-0000-0000-00003EAD0000}"/>
    <cellStyle name="Normal 2 4 24 4" xfId="18540" xr:uid="{00000000-0005-0000-0000-00003FAD0000}"/>
    <cellStyle name="Normal 2 4 24 4 2" xfId="18541" xr:uid="{00000000-0005-0000-0000-000040AD0000}"/>
    <cellStyle name="Normal 2 4 24 4 2 2" xfId="51738" xr:uid="{00000000-0005-0000-0000-000041AD0000}"/>
    <cellStyle name="Normal 2 4 24 4 3" xfId="18542" xr:uid="{00000000-0005-0000-0000-000042AD0000}"/>
    <cellStyle name="Normal 2 4 24 4 3 2" xfId="51739" xr:uid="{00000000-0005-0000-0000-000043AD0000}"/>
    <cellStyle name="Normal 2 4 24 4 4" xfId="51740" xr:uid="{00000000-0005-0000-0000-000044AD0000}"/>
    <cellStyle name="Normal 2 4 24 5" xfId="18543" xr:uid="{00000000-0005-0000-0000-000045AD0000}"/>
    <cellStyle name="Normal 2 4 24 5 2" xfId="18544" xr:uid="{00000000-0005-0000-0000-000046AD0000}"/>
    <cellStyle name="Normal 2 4 24 5 2 2" xfId="51741" xr:uid="{00000000-0005-0000-0000-000047AD0000}"/>
    <cellStyle name="Normal 2 4 24 5 3" xfId="51742" xr:uid="{00000000-0005-0000-0000-000048AD0000}"/>
    <cellStyle name="Normal 2 4 24 6" xfId="18545" xr:uid="{00000000-0005-0000-0000-000049AD0000}"/>
    <cellStyle name="Normal 2 4 24 6 2" xfId="51743" xr:uid="{00000000-0005-0000-0000-00004AAD0000}"/>
    <cellStyle name="Normal 2 4 24 7" xfId="18546" xr:uid="{00000000-0005-0000-0000-00004BAD0000}"/>
    <cellStyle name="Normal 2 4 24 7 2" xfId="51744" xr:uid="{00000000-0005-0000-0000-00004CAD0000}"/>
    <cellStyle name="Normal 2 4 24 8" xfId="51745" xr:uid="{00000000-0005-0000-0000-00004DAD0000}"/>
    <cellStyle name="Normal 2 4 24 8 2" xfId="51746" xr:uid="{00000000-0005-0000-0000-00004EAD0000}"/>
    <cellStyle name="Normal 2 4 24 9" xfId="51747" xr:uid="{00000000-0005-0000-0000-00004FAD0000}"/>
    <cellStyle name="Normal 2 4 25" xfId="18547" xr:uid="{00000000-0005-0000-0000-000050AD0000}"/>
    <cellStyle name="Normal 2 4 25 10" xfId="51748" xr:uid="{00000000-0005-0000-0000-000051AD0000}"/>
    <cellStyle name="Normal 2 4 25 11" xfId="51749" xr:uid="{00000000-0005-0000-0000-000052AD0000}"/>
    <cellStyle name="Normal 2 4 25 2" xfId="18548" xr:uid="{00000000-0005-0000-0000-000053AD0000}"/>
    <cellStyle name="Normal 2 4 25 2 10" xfId="51750" xr:uid="{00000000-0005-0000-0000-000054AD0000}"/>
    <cellStyle name="Normal 2 4 25 2 2" xfId="18549" xr:uid="{00000000-0005-0000-0000-000055AD0000}"/>
    <cellStyle name="Normal 2 4 25 2 2 2" xfId="18550" xr:uid="{00000000-0005-0000-0000-000056AD0000}"/>
    <cellStyle name="Normal 2 4 25 2 2 2 2" xfId="18551" xr:uid="{00000000-0005-0000-0000-000057AD0000}"/>
    <cellStyle name="Normal 2 4 25 2 2 2 2 2" xfId="51751" xr:uid="{00000000-0005-0000-0000-000058AD0000}"/>
    <cellStyle name="Normal 2 4 25 2 2 2 3" xfId="18552" xr:uid="{00000000-0005-0000-0000-000059AD0000}"/>
    <cellStyle name="Normal 2 4 25 2 2 2 3 2" xfId="51752" xr:uid="{00000000-0005-0000-0000-00005AAD0000}"/>
    <cellStyle name="Normal 2 4 25 2 2 2 4" xfId="51753" xr:uid="{00000000-0005-0000-0000-00005BAD0000}"/>
    <cellStyle name="Normal 2 4 25 2 2 3" xfId="18553" xr:uid="{00000000-0005-0000-0000-00005CAD0000}"/>
    <cellStyle name="Normal 2 4 25 2 2 3 2" xfId="51754" xr:uid="{00000000-0005-0000-0000-00005DAD0000}"/>
    <cellStyle name="Normal 2 4 25 2 2 4" xfId="18554" xr:uid="{00000000-0005-0000-0000-00005EAD0000}"/>
    <cellStyle name="Normal 2 4 25 2 2 4 2" xfId="51755" xr:uid="{00000000-0005-0000-0000-00005FAD0000}"/>
    <cellStyle name="Normal 2 4 25 2 2 5" xfId="18555" xr:uid="{00000000-0005-0000-0000-000060AD0000}"/>
    <cellStyle name="Normal 2 4 25 2 2 5 2" xfId="51756" xr:uid="{00000000-0005-0000-0000-000061AD0000}"/>
    <cellStyle name="Normal 2 4 25 2 2 6" xfId="51757" xr:uid="{00000000-0005-0000-0000-000062AD0000}"/>
    <cellStyle name="Normal 2 4 25 2 2 6 2" xfId="51758" xr:uid="{00000000-0005-0000-0000-000063AD0000}"/>
    <cellStyle name="Normal 2 4 25 2 2 7" xfId="51759" xr:uid="{00000000-0005-0000-0000-000064AD0000}"/>
    <cellStyle name="Normal 2 4 25 2 3" xfId="18556" xr:uid="{00000000-0005-0000-0000-000065AD0000}"/>
    <cellStyle name="Normal 2 4 25 2 3 2" xfId="18557" xr:uid="{00000000-0005-0000-0000-000066AD0000}"/>
    <cellStyle name="Normal 2 4 25 2 3 2 2" xfId="51760" xr:uid="{00000000-0005-0000-0000-000067AD0000}"/>
    <cellStyle name="Normal 2 4 25 2 3 3" xfId="18558" xr:uid="{00000000-0005-0000-0000-000068AD0000}"/>
    <cellStyle name="Normal 2 4 25 2 3 3 2" xfId="51761" xr:uid="{00000000-0005-0000-0000-000069AD0000}"/>
    <cellStyle name="Normal 2 4 25 2 3 4" xfId="51762" xr:uid="{00000000-0005-0000-0000-00006AAD0000}"/>
    <cellStyle name="Normal 2 4 25 2 4" xfId="18559" xr:uid="{00000000-0005-0000-0000-00006BAD0000}"/>
    <cellStyle name="Normal 2 4 25 2 4 2" xfId="18560" xr:uid="{00000000-0005-0000-0000-00006CAD0000}"/>
    <cellStyle name="Normal 2 4 25 2 4 2 2" xfId="51763" xr:uid="{00000000-0005-0000-0000-00006DAD0000}"/>
    <cellStyle name="Normal 2 4 25 2 4 3" xfId="51764" xr:uid="{00000000-0005-0000-0000-00006EAD0000}"/>
    <cellStyle name="Normal 2 4 25 2 5" xfId="18561" xr:uid="{00000000-0005-0000-0000-00006FAD0000}"/>
    <cellStyle name="Normal 2 4 25 2 5 2" xfId="51765" xr:uid="{00000000-0005-0000-0000-000070AD0000}"/>
    <cellStyle name="Normal 2 4 25 2 6" xfId="18562" xr:uid="{00000000-0005-0000-0000-000071AD0000}"/>
    <cellStyle name="Normal 2 4 25 2 6 2" xfId="51766" xr:uid="{00000000-0005-0000-0000-000072AD0000}"/>
    <cellStyle name="Normal 2 4 25 2 7" xfId="51767" xr:uid="{00000000-0005-0000-0000-000073AD0000}"/>
    <cellStyle name="Normal 2 4 25 2 7 2" xfId="51768" xr:uid="{00000000-0005-0000-0000-000074AD0000}"/>
    <cellStyle name="Normal 2 4 25 2 8" xfId="51769" xr:uid="{00000000-0005-0000-0000-000075AD0000}"/>
    <cellStyle name="Normal 2 4 25 2 9" xfId="51770" xr:uid="{00000000-0005-0000-0000-000076AD0000}"/>
    <cellStyle name="Normal 2 4 25 3" xfId="18563" xr:uid="{00000000-0005-0000-0000-000077AD0000}"/>
    <cellStyle name="Normal 2 4 25 3 2" xfId="18564" xr:uid="{00000000-0005-0000-0000-000078AD0000}"/>
    <cellStyle name="Normal 2 4 25 3 2 2" xfId="18565" xr:uid="{00000000-0005-0000-0000-000079AD0000}"/>
    <cellStyle name="Normal 2 4 25 3 2 2 2" xfId="51771" xr:uid="{00000000-0005-0000-0000-00007AAD0000}"/>
    <cellStyle name="Normal 2 4 25 3 2 3" xfId="18566" xr:uid="{00000000-0005-0000-0000-00007BAD0000}"/>
    <cellStyle name="Normal 2 4 25 3 2 3 2" xfId="51772" xr:uid="{00000000-0005-0000-0000-00007CAD0000}"/>
    <cellStyle name="Normal 2 4 25 3 2 4" xfId="51773" xr:uid="{00000000-0005-0000-0000-00007DAD0000}"/>
    <cellStyle name="Normal 2 4 25 3 3" xfId="18567" xr:uid="{00000000-0005-0000-0000-00007EAD0000}"/>
    <cellStyle name="Normal 2 4 25 3 3 2" xfId="51774" xr:uid="{00000000-0005-0000-0000-00007FAD0000}"/>
    <cellStyle name="Normal 2 4 25 3 4" xfId="18568" xr:uid="{00000000-0005-0000-0000-000080AD0000}"/>
    <cellStyle name="Normal 2 4 25 3 4 2" xfId="51775" xr:uid="{00000000-0005-0000-0000-000081AD0000}"/>
    <cellStyle name="Normal 2 4 25 3 5" xfId="18569" xr:uid="{00000000-0005-0000-0000-000082AD0000}"/>
    <cellStyle name="Normal 2 4 25 3 5 2" xfId="51776" xr:uid="{00000000-0005-0000-0000-000083AD0000}"/>
    <cellStyle name="Normal 2 4 25 3 6" xfId="51777" xr:uid="{00000000-0005-0000-0000-000084AD0000}"/>
    <cellStyle name="Normal 2 4 25 3 6 2" xfId="51778" xr:uid="{00000000-0005-0000-0000-000085AD0000}"/>
    <cellStyle name="Normal 2 4 25 3 7" xfId="51779" xr:uid="{00000000-0005-0000-0000-000086AD0000}"/>
    <cellStyle name="Normal 2 4 25 4" xfId="18570" xr:uid="{00000000-0005-0000-0000-000087AD0000}"/>
    <cellStyle name="Normal 2 4 25 4 2" xfId="18571" xr:uid="{00000000-0005-0000-0000-000088AD0000}"/>
    <cellStyle name="Normal 2 4 25 4 2 2" xfId="51780" xr:uid="{00000000-0005-0000-0000-000089AD0000}"/>
    <cellStyle name="Normal 2 4 25 4 3" xfId="18572" xr:uid="{00000000-0005-0000-0000-00008AAD0000}"/>
    <cellStyle name="Normal 2 4 25 4 3 2" xfId="51781" xr:uid="{00000000-0005-0000-0000-00008BAD0000}"/>
    <cellStyle name="Normal 2 4 25 4 4" xfId="51782" xr:uid="{00000000-0005-0000-0000-00008CAD0000}"/>
    <cellStyle name="Normal 2 4 25 5" xfId="18573" xr:uid="{00000000-0005-0000-0000-00008DAD0000}"/>
    <cellStyle name="Normal 2 4 25 5 2" xfId="18574" xr:uid="{00000000-0005-0000-0000-00008EAD0000}"/>
    <cellStyle name="Normal 2 4 25 5 2 2" xfId="51783" xr:uid="{00000000-0005-0000-0000-00008FAD0000}"/>
    <cellStyle name="Normal 2 4 25 5 3" xfId="51784" xr:uid="{00000000-0005-0000-0000-000090AD0000}"/>
    <cellStyle name="Normal 2 4 25 6" xfId="18575" xr:uid="{00000000-0005-0000-0000-000091AD0000}"/>
    <cellStyle name="Normal 2 4 25 6 2" xfId="51785" xr:uid="{00000000-0005-0000-0000-000092AD0000}"/>
    <cellStyle name="Normal 2 4 25 7" xfId="18576" xr:uid="{00000000-0005-0000-0000-000093AD0000}"/>
    <cellStyle name="Normal 2 4 25 7 2" xfId="51786" xr:uid="{00000000-0005-0000-0000-000094AD0000}"/>
    <cellStyle name="Normal 2 4 25 8" xfId="51787" xr:uid="{00000000-0005-0000-0000-000095AD0000}"/>
    <cellStyle name="Normal 2 4 25 8 2" xfId="51788" xr:uid="{00000000-0005-0000-0000-000096AD0000}"/>
    <cellStyle name="Normal 2 4 25 9" xfId="51789" xr:uid="{00000000-0005-0000-0000-000097AD0000}"/>
    <cellStyle name="Normal 2 4 26" xfId="18577" xr:uid="{00000000-0005-0000-0000-000098AD0000}"/>
    <cellStyle name="Normal 2 4 26 10" xfId="51790" xr:uid="{00000000-0005-0000-0000-000099AD0000}"/>
    <cellStyle name="Normal 2 4 26 11" xfId="51791" xr:uid="{00000000-0005-0000-0000-00009AAD0000}"/>
    <cellStyle name="Normal 2 4 26 2" xfId="18578" xr:uid="{00000000-0005-0000-0000-00009BAD0000}"/>
    <cellStyle name="Normal 2 4 26 2 10" xfId="51792" xr:uid="{00000000-0005-0000-0000-00009CAD0000}"/>
    <cellStyle name="Normal 2 4 26 2 2" xfId="18579" xr:uid="{00000000-0005-0000-0000-00009DAD0000}"/>
    <cellStyle name="Normal 2 4 26 2 2 2" xfId="18580" xr:uid="{00000000-0005-0000-0000-00009EAD0000}"/>
    <cellStyle name="Normal 2 4 26 2 2 2 2" xfId="18581" xr:uid="{00000000-0005-0000-0000-00009FAD0000}"/>
    <cellStyle name="Normal 2 4 26 2 2 2 2 2" xfId="51793" xr:uid="{00000000-0005-0000-0000-0000A0AD0000}"/>
    <cellStyle name="Normal 2 4 26 2 2 2 3" xfId="18582" xr:uid="{00000000-0005-0000-0000-0000A1AD0000}"/>
    <cellStyle name="Normal 2 4 26 2 2 2 3 2" xfId="51794" xr:uid="{00000000-0005-0000-0000-0000A2AD0000}"/>
    <cellStyle name="Normal 2 4 26 2 2 2 4" xfId="51795" xr:uid="{00000000-0005-0000-0000-0000A3AD0000}"/>
    <cellStyle name="Normal 2 4 26 2 2 3" xfId="18583" xr:uid="{00000000-0005-0000-0000-0000A4AD0000}"/>
    <cellStyle name="Normal 2 4 26 2 2 3 2" xfId="51796" xr:uid="{00000000-0005-0000-0000-0000A5AD0000}"/>
    <cellStyle name="Normal 2 4 26 2 2 4" xfId="18584" xr:uid="{00000000-0005-0000-0000-0000A6AD0000}"/>
    <cellStyle name="Normal 2 4 26 2 2 4 2" xfId="51797" xr:uid="{00000000-0005-0000-0000-0000A7AD0000}"/>
    <cellStyle name="Normal 2 4 26 2 2 5" xfId="18585" xr:uid="{00000000-0005-0000-0000-0000A8AD0000}"/>
    <cellStyle name="Normal 2 4 26 2 2 5 2" xfId="51798" xr:uid="{00000000-0005-0000-0000-0000A9AD0000}"/>
    <cellStyle name="Normal 2 4 26 2 2 6" xfId="51799" xr:uid="{00000000-0005-0000-0000-0000AAAD0000}"/>
    <cellStyle name="Normal 2 4 26 2 2 6 2" xfId="51800" xr:uid="{00000000-0005-0000-0000-0000ABAD0000}"/>
    <cellStyle name="Normal 2 4 26 2 2 7" xfId="51801" xr:uid="{00000000-0005-0000-0000-0000ACAD0000}"/>
    <cellStyle name="Normal 2 4 26 2 3" xfId="18586" xr:uid="{00000000-0005-0000-0000-0000ADAD0000}"/>
    <cellStyle name="Normal 2 4 26 2 3 2" xfId="18587" xr:uid="{00000000-0005-0000-0000-0000AEAD0000}"/>
    <cellStyle name="Normal 2 4 26 2 3 2 2" xfId="51802" xr:uid="{00000000-0005-0000-0000-0000AFAD0000}"/>
    <cellStyle name="Normal 2 4 26 2 3 3" xfId="18588" xr:uid="{00000000-0005-0000-0000-0000B0AD0000}"/>
    <cellStyle name="Normal 2 4 26 2 3 3 2" xfId="51803" xr:uid="{00000000-0005-0000-0000-0000B1AD0000}"/>
    <cellStyle name="Normal 2 4 26 2 3 4" xfId="51804" xr:uid="{00000000-0005-0000-0000-0000B2AD0000}"/>
    <cellStyle name="Normal 2 4 26 2 4" xfId="18589" xr:uid="{00000000-0005-0000-0000-0000B3AD0000}"/>
    <cellStyle name="Normal 2 4 26 2 4 2" xfId="18590" xr:uid="{00000000-0005-0000-0000-0000B4AD0000}"/>
    <cellStyle name="Normal 2 4 26 2 4 2 2" xfId="51805" xr:uid="{00000000-0005-0000-0000-0000B5AD0000}"/>
    <cellStyle name="Normal 2 4 26 2 4 3" xfId="51806" xr:uid="{00000000-0005-0000-0000-0000B6AD0000}"/>
    <cellStyle name="Normal 2 4 26 2 5" xfId="18591" xr:uid="{00000000-0005-0000-0000-0000B7AD0000}"/>
    <cellStyle name="Normal 2 4 26 2 5 2" xfId="51807" xr:uid="{00000000-0005-0000-0000-0000B8AD0000}"/>
    <cellStyle name="Normal 2 4 26 2 6" xfId="18592" xr:uid="{00000000-0005-0000-0000-0000B9AD0000}"/>
    <cellStyle name="Normal 2 4 26 2 6 2" xfId="51808" xr:uid="{00000000-0005-0000-0000-0000BAAD0000}"/>
    <cellStyle name="Normal 2 4 26 2 7" xfId="51809" xr:uid="{00000000-0005-0000-0000-0000BBAD0000}"/>
    <cellStyle name="Normal 2 4 26 2 7 2" xfId="51810" xr:uid="{00000000-0005-0000-0000-0000BCAD0000}"/>
    <cellStyle name="Normal 2 4 26 2 8" xfId="51811" xr:uid="{00000000-0005-0000-0000-0000BDAD0000}"/>
    <cellStyle name="Normal 2 4 26 2 9" xfId="51812" xr:uid="{00000000-0005-0000-0000-0000BEAD0000}"/>
    <cellStyle name="Normal 2 4 26 3" xfId="18593" xr:uid="{00000000-0005-0000-0000-0000BFAD0000}"/>
    <cellStyle name="Normal 2 4 26 3 2" xfId="18594" xr:uid="{00000000-0005-0000-0000-0000C0AD0000}"/>
    <cellStyle name="Normal 2 4 26 3 2 2" xfId="18595" xr:uid="{00000000-0005-0000-0000-0000C1AD0000}"/>
    <cellStyle name="Normal 2 4 26 3 2 2 2" xfId="51813" xr:uid="{00000000-0005-0000-0000-0000C2AD0000}"/>
    <cellStyle name="Normal 2 4 26 3 2 3" xfId="18596" xr:uid="{00000000-0005-0000-0000-0000C3AD0000}"/>
    <cellStyle name="Normal 2 4 26 3 2 3 2" xfId="51814" xr:uid="{00000000-0005-0000-0000-0000C4AD0000}"/>
    <cellStyle name="Normal 2 4 26 3 2 4" xfId="51815" xr:uid="{00000000-0005-0000-0000-0000C5AD0000}"/>
    <cellStyle name="Normal 2 4 26 3 3" xfId="18597" xr:uid="{00000000-0005-0000-0000-0000C6AD0000}"/>
    <cellStyle name="Normal 2 4 26 3 3 2" xfId="51816" xr:uid="{00000000-0005-0000-0000-0000C7AD0000}"/>
    <cellStyle name="Normal 2 4 26 3 4" xfId="18598" xr:uid="{00000000-0005-0000-0000-0000C8AD0000}"/>
    <cellStyle name="Normal 2 4 26 3 4 2" xfId="51817" xr:uid="{00000000-0005-0000-0000-0000C9AD0000}"/>
    <cellStyle name="Normal 2 4 26 3 5" xfId="18599" xr:uid="{00000000-0005-0000-0000-0000CAAD0000}"/>
    <cellStyle name="Normal 2 4 26 3 5 2" xfId="51818" xr:uid="{00000000-0005-0000-0000-0000CBAD0000}"/>
    <cellStyle name="Normal 2 4 26 3 6" xfId="51819" xr:uid="{00000000-0005-0000-0000-0000CCAD0000}"/>
    <cellStyle name="Normal 2 4 26 3 6 2" xfId="51820" xr:uid="{00000000-0005-0000-0000-0000CDAD0000}"/>
    <cellStyle name="Normal 2 4 26 3 7" xfId="51821" xr:uid="{00000000-0005-0000-0000-0000CEAD0000}"/>
    <cellStyle name="Normal 2 4 26 4" xfId="18600" xr:uid="{00000000-0005-0000-0000-0000CFAD0000}"/>
    <cellStyle name="Normal 2 4 26 4 2" xfId="18601" xr:uid="{00000000-0005-0000-0000-0000D0AD0000}"/>
    <cellStyle name="Normal 2 4 26 4 2 2" xfId="51822" xr:uid="{00000000-0005-0000-0000-0000D1AD0000}"/>
    <cellStyle name="Normal 2 4 26 4 3" xfId="18602" xr:uid="{00000000-0005-0000-0000-0000D2AD0000}"/>
    <cellStyle name="Normal 2 4 26 4 3 2" xfId="51823" xr:uid="{00000000-0005-0000-0000-0000D3AD0000}"/>
    <cellStyle name="Normal 2 4 26 4 4" xfId="51824" xr:uid="{00000000-0005-0000-0000-0000D4AD0000}"/>
    <cellStyle name="Normal 2 4 26 5" xfId="18603" xr:uid="{00000000-0005-0000-0000-0000D5AD0000}"/>
    <cellStyle name="Normal 2 4 26 5 2" xfId="18604" xr:uid="{00000000-0005-0000-0000-0000D6AD0000}"/>
    <cellStyle name="Normal 2 4 26 5 2 2" xfId="51825" xr:uid="{00000000-0005-0000-0000-0000D7AD0000}"/>
    <cellStyle name="Normal 2 4 26 5 3" xfId="51826" xr:uid="{00000000-0005-0000-0000-0000D8AD0000}"/>
    <cellStyle name="Normal 2 4 26 6" xfId="18605" xr:uid="{00000000-0005-0000-0000-0000D9AD0000}"/>
    <cellStyle name="Normal 2 4 26 6 2" xfId="51827" xr:uid="{00000000-0005-0000-0000-0000DAAD0000}"/>
    <cellStyle name="Normal 2 4 26 7" xfId="18606" xr:uid="{00000000-0005-0000-0000-0000DBAD0000}"/>
    <cellStyle name="Normal 2 4 26 7 2" xfId="51828" xr:uid="{00000000-0005-0000-0000-0000DCAD0000}"/>
    <cellStyle name="Normal 2 4 26 8" xfId="51829" xr:uid="{00000000-0005-0000-0000-0000DDAD0000}"/>
    <cellStyle name="Normal 2 4 26 8 2" xfId="51830" xr:uid="{00000000-0005-0000-0000-0000DEAD0000}"/>
    <cellStyle name="Normal 2 4 26 9" xfId="51831" xr:uid="{00000000-0005-0000-0000-0000DFAD0000}"/>
    <cellStyle name="Normal 2 4 27" xfId="18607" xr:uid="{00000000-0005-0000-0000-0000E0AD0000}"/>
    <cellStyle name="Normal 2 4 27 10" xfId="51832" xr:uid="{00000000-0005-0000-0000-0000E1AD0000}"/>
    <cellStyle name="Normal 2 4 27 11" xfId="51833" xr:uid="{00000000-0005-0000-0000-0000E2AD0000}"/>
    <cellStyle name="Normal 2 4 27 2" xfId="18608" xr:uid="{00000000-0005-0000-0000-0000E3AD0000}"/>
    <cellStyle name="Normal 2 4 27 2 10" xfId="51834" xr:uid="{00000000-0005-0000-0000-0000E4AD0000}"/>
    <cellStyle name="Normal 2 4 27 2 2" xfId="18609" xr:uid="{00000000-0005-0000-0000-0000E5AD0000}"/>
    <cellStyle name="Normal 2 4 27 2 2 2" xfId="18610" xr:uid="{00000000-0005-0000-0000-0000E6AD0000}"/>
    <cellStyle name="Normal 2 4 27 2 2 2 2" xfId="18611" xr:uid="{00000000-0005-0000-0000-0000E7AD0000}"/>
    <cellStyle name="Normal 2 4 27 2 2 2 2 2" xfId="51835" xr:uid="{00000000-0005-0000-0000-0000E8AD0000}"/>
    <cellStyle name="Normal 2 4 27 2 2 2 3" xfId="18612" xr:uid="{00000000-0005-0000-0000-0000E9AD0000}"/>
    <cellStyle name="Normal 2 4 27 2 2 2 3 2" xfId="51836" xr:uid="{00000000-0005-0000-0000-0000EAAD0000}"/>
    <cellStyle name="Normal 2 4 27 2 2 2 4" xfId="51837" xr:uid="{00000000-0005-0000-0000-0000EBAD0000}"/>
    <cellStyle name="Normal 2 4 27 2 2 3" xfId="18613" xr:uid="{00000000-0005-0000-0000-0000ECAD0000}"/>
    <cellStyle name="Normal 2 4 27 2 2 3 2" xfId="51838" xr:uid="{00000000-0005-0000-0000-0000EDAD0000}"/>
    <cellStyle name="Normal 2 4 27 2 2 4" xfId="18614" xr:uid="{00000000-0005-0000-0000-0000EEAD0000}"/>
    <cellStyle name="Normal 2 4 27 2 2 4 2" xfId="51839" xr:uid="{00000000-0005-0000-0000-0000EFAD0000}"/>
    <cellStyle name="Normal 2 4 27 2 2 5" xfId="18615" xr:uid="{00000000-0005-0000-0000-0000F0AD0000}"/>
    <cellStyle name="Normal 2 4 27 2 2 5 2" xfId="51840" xr:uid="{00000000-0005-0000-0000-0000F1AD0000}"/>
    <cellStyle name="Normal 2 4 27 2 2 6" xfId="51841" xr:uid="{00000000-0005-0000-0000-0000F2AD0000}"/>
    <cellStyle name="Normal 2 4 27 2 2 6 2" xfId="51842" xr:uid="{00000000-0005-0000-0000-0000F3AD0000}"/>
    <cellStyle name="Normal 2 4 27 2 2 7" xfId="51843" xr:uid="{00000000-0005-0000-0000-0000F4AD0000}"/>
    <cellStyle name="Normal 2 4 27 2 3" xfId="18616" xr:uid="{00000000-0005-0000-0000-0000F5AD0000}"/>
    <cellStyle name="Normal 2 4 27 2 3 2" xfId="18617" xr:uid="{00000000-0005-0000-0000-0000F6AD0000}"/>
    <cellStyle name="Normal 2 4 27 2 3 2 2" xfId="51844" xr:uid="{00000000-0005-0000-0000-0000F7AD0000}"/>
    <cellStyle name="Normal 2 4 27 2 3 3" xfId="18618" xr:uid="{00000000-0005-0000-0000-0000F8AD0000}"/>
    <cellStyle name="Normal 2 4 27 2 3 3 2" xfId="51845" xr:uid="{00000000-0005-0000-0000-0000F9AD0000}"/>
    <cellStyle name="Normal 2 4 27 2 3 4" xfId="51846" xr:uid="{00000000-0005-0000-0000-0000FAAD0000}"/>
    <cellStyle name="Normal 2 4 27 2 4" xfId="18619" xr:uid="{00000000-0005-0000-0000-0000FBAD0000}"/>
    <cellStyle name="Normal 2 4 27 2 4 2" xfId="18620" xr:uid="{00000000-0005-0000-0000-0000FCAD0000}"/>
    <cellStyle name="Normal 2 4 27 2 4 2 2" xfId="51847" xr:uid="{00000000-0005-0000-0000-0000FDAD0000}"/>
    <cellStyle name="Normal 2 4 27 2 4 3" xfId="51848" xr:uid="{00000000-0005-0000-0000-0000FEAD0000}"/>
    <cellStyle name="Normal 2 4 27 2 5" xfId="18621" xr:uid="{00000000-0005-0000-0000-0000FFAD0000}"/>
    <cellStyle name="Normal 2 4 27 2 5 2" xfId="51849" xr:uid="{00000000-0005-0000-0000-000000AE0000}"/>
    <cellStyle name="Normal 2 4 27 2 6" xfId="18622" xr:uid="{00000000-0005-0000-0000-000001AE0000}"/>
    <cellStyle name="Normal 2 4 27 2 6 2" xfId="51850" xr:uid="{00000000-0005-0000-0000-000002AE0000}"/>
    <cellStyle name="Normal 2 4 27 2 7" xfId="51851" xr:uid="{00000000-0005-0000-0000-000003AE0000}"/>
    <cellStyle name="Normal 2 4 27 2 7 2" xfId="51852" xr:uid="{00000000-0005-0000-0000-000004AE0000}"/>
    <cellStyle name="Normal 2 4 27 2 8" xfId="51853" xr:uid="{00000000-0005-0000-0000-000005AE0000}"/>
    <cellStyle name="Normal 2 4 27 2 9" xfId="51854" xr:uid="{00000000-0005-0000-0000-000006AE0000}"/>
    <cellStyle name="Normal 2 4 27 3" xfId="18623" xr:uid="{00000000-0005-0000-0000-000007AE0000}"/>
    <cellStyle name="Normal 2 4 27 3 2" xfId="18624" xr:uid="{00000000-0005-0000-0000-000008AE0000}"/>
    <cellStyle name="Normal 2 4 27 3 2 2" xfId="18625" xr:uid="{00000000-0005-0000-0000-000009AE0000}"/>
    <cellStyle name="Normal 2 4 27 3 2 2 2" xfId="51855" xr:uid="{00000000-0005-0000-0000-00000AAE0000}"/>
    <cellStyle name="Normal 2 4 27 3 2 3" xfId="18626" xr:uid="{00000000-0005-0000-0000-00000BAE0000}"/>
    <cellStyle name="Normal 2 4 27 3 2 3 2" xfId="51856" xr:uid="{00000000-0005-0000-0000-00000CAE0000}"/>
    <cellStyle name="Normal 2 4 27 3 2 4" xfId="51857" xr:uid="{00000000-0005-0000-0000-00000DAE0000}"/>
    <cellStyle name="Normal 2 4 27 3 3" xfId="18627" xr:uid="{00000000-0005-0000-0000-00000EAE0000}"/>
    <cellStyle name="Normal 2 4 27 3 3 2" xfId="51858" xr:uid="{00000000-0005-0000-0000-00000FAE0000}"/>
    <cellStyle name="Normal 2 4 27 3 4" xfId="18628" xr:uid="{00000000-0005-0000-0000-000010AE0000}"/>
    <cellStyle name="Normal 2 4 27 3 4 2" xfId="51859" xr:uid="{00000000-0005-0000-0000-000011AE0000}"/>
    <cellStyle name="Normal 2 4 27 3 5" xfId="18629" xr:uid="{00000000-0005-0000-0000-000012AE0000}"/>
    <cellStyle name="Normal 2 4 27 3 5 2" xfId="51860" xr:uid="{00000000-0005-0000-0000-000013AE0000}"/>
    <cellStyle name="Normal 2 4 27 3 6" xfId="51861" xr:uid="{00000000-0005-0000-0000-000014AE0000}"/>
    <cellStyle name="Normal 2 4 27 3 6 2" xfId="51862" xr:uid="{00000000-0005-0000-0000-000015AE0000}"/>
    <cellStyle name="Normal 2 4 27 3 7" xfId="51863" xr:uid="{00000000-0005-0000-0000-000016AE0000}"/>
    <cellStyle name="Normal 2 4 27 4" xfId="18630" xr:uid="{00000000-0005-0000-0000-000017AE0000}"/>
    <cellStyle name="Normal 2 4 27 4 2" xfId="18631" xr:uid="{00000000-0005-0000-0000-000018AE0000}"/>
    <cellStyle name="Normal 2 4 27 4 2 2" xfId="51864" xr:uid="{00000000-0005-0000-0000-000019AE0000}"/>
    <cellStyle name="Normal 2 4 27 4 3" xfId="18632" xr:uid="{00000000-0005-0000-0000-00001AAE0000}"/>
    <cellStyle name="Normal 2 4 27 4 3 2" xfId="51865" xr:uid="{00000000-0005-0000-0000-00001BAE0000}"/>
    <cellStyle name="Normal 2 4 27 4 4" xfId="51866" xr:uid="{00000000-0005-0000-0000-00001CAE0000}"/>
    <cellStyle name="Normal 2 4 27 5" xfId="18633" xr:uid="{00000000-0005-0000-0000-00001DAE0000}"/>
    <cellStyle name="Normal 2 4 27 5 2" xfId="18634" xr:uid="{00000000-0005-0000-0000-00001EAE0000}"/>
    <cellStyle name="Normal 2 4 27 5 2 2" xfId="51867" xr:uid="{00000000-0005-0000-0000-00001FAE0000}"/>
    <cellStyle name="Normal 2 4 27 5 3" xfId="51868" xr:uid="{00000000-0005-0000-0000-000020AE0000}"/>
    <cellStyle name="Normal 2 4 27 6" xfId="18635" xr:uid="{00000000-0005-0000-0000-000021AE0000}"/>
    <cellStyle name="Normal 2 4 27 6 2" xfId="51869" xr:uid="{00000000-0005-0000-0000-000022AE0000}"/>
    <cellStyle name="Normal 2 4 27 7" xfId="18636" xr:uid="{00000000-0005-0000-0000-000023AE0000}"/>
    <cellStyle name="Normal 2 4 27 7 2" xfId="51870" xr:uid="{00000000-0005-0000-0000-000024AE0000}"/>
    <cellStyle name="Normal 2 4 27 8" xfId="51871" xr:uid="{00000000-0005-0000-0000-000025AE0000}"/>
    <cellStyle name="Normal 2 4 27 8 2" xfId="51872" xr:uid="{00000000-0005-0000-0000-000026AE0000}"/>
    <cellStyle name="Normal 2 4 27 9" xfId="51873" xr:uid="{00000000-0005-0000-0000-000027AE0000}"/>
    <cellStyle name="Normal 2 4 28" xfId="18637" xr:uid="{00000000-0005-0000-0000-000028AE0000}"/>
    <cellStyle name="Normal 2 4 28 10" xfId="51874" xr:uid="{00000000-0005-0000-0000-000029AE0000}"/>
    <cellStyle name="Normal 2 4 28 11" xfId="51875" xr:uid="{00000000-0005-0000-0000-00002AAE0000}"/>
    <cellStyle name="Normal 2 4 28 2" xfId="18638" xr:uid="{00000000-0005-0000-0000-00002BAE0000}"/>
    <cellStyle name="Normal 2 4 28 2 10" xfId="51876" xr:uid="{00000000-0005-0000-0000-00002CAE0000}"/>
    <cellStyle name="Normal 2 4 28 2 2" xfId="18639" xr:uid="{00000000-0005-0000-0000-00002DAE0000}"/>
    <cellStyle name="Normal 2 4 28 2 2 2" xfId="18640" xr:uid="{00000000-0005-0000-0000-00002EAE0000}"/>
    <cellStyle name="Normal 2 4 28 2 2 2 2" xfId="18641" xr:uid="{00000000-0005-0000-0000-00002FAE0000}"/>
    <cellStyle name="Normal 2 4 28 2 2 2 2 2" xfId="51877" xr:uid="{00000000-0005-0000-0000-000030AE0000}"/>
    <cellStyle name="Normal 2 4 28 2 2 2 3" xfId="18642" xr:uid="{00000000-0005-0000-0000-000031AE0000}"/>
    <cellStyle name="Normal 2 4 28 2 2 2 3 2" xfId="51878" xr:uid="{00000000-0005-0000-0000-000032AE0000}"/>
    <cellStyle name="Normal 2 4 28 2 2 2 4" xfId="51879" xr:uid="{00000000-0005-0000-0000-000033AE0000}"/>
    <cellStyle name="Normal 2 4 28 2 2 3" xfId="18643" xr:uid="{00000000-0005-0000-0000-000034AE0000}"/>
    <cellStyle name="Normal 2 4 28 2 2 3 2" xfId="51880" xr:uid="{00000000-0005-0000-0000-000035AE0000}"/>
    <cellStyle name="Normal 2 4 28 2 2 4" xfId="18644" xr:uid="{00000000-0005-0000-0000-000036AE0000}"/>
    <cellStyle name="Normal 2 4 28 2 2 4 2" xfId="51881" xr:uid="{00000000-0005-0000-0000-000037AE0000}"/>
    <cellStyle name="Normal 2 4 28 2 2 5" xfId="18645" xr:uid="{00000000-0005-0000-0000-000038AE0000}"/>
    <cellStyle name="Normal 2 4 28 2 2 5 2" xfId="51882" xr:uid="{00000000-0005-0000-0000-000039AE0000}"/>
    <cellStyle name="Normal 2 4 28 2 2 6" xfId="51883" xr:uid="{00000000-0005-0000-0000-00003AAE0000}"/>
    <cellStyle name="Normal 2 4 28 2 2 6 2" xfId="51884" xr:uid="{00000000-0005-0000-0000-00003BAE0000}"/>
    <cellStyle name="Normal 2 4 28 2 2 7" xfId="51885" xr:uid="{00000000-0005-0000-0000-00003CAE0000}"/>
    <cellStyle name="Normal 2 4 28 2 3" xfId="18646" xr:uid="{00000000-0005-0000-0000-00003DAE0000}"/>
    <cellStyle name="Normal 2 4 28 2 3 2" xfId="18647" xr:uid="{00000000-0005-0000-0000-00003EAE0000}"/>
    <cellStyle name="Normal 2 4 28 2 3 2 2" xfId="51886" xr:uid="{00000000-0005-0000-0000-00003FAE0000}"/>
    <cellStyle name="Normal 2 4 28 2 3 3" xfId="18648" xr:uid="{00000000-0005-0000-0000-000040AE0000}"/>
    <cellStyle name="Normal 2 4 28 2 3 3 2" xfId="51887" xr:uid="{00000000-0005-0000-0000-000041AE0000}"/>
    <cellStyle name="Normal 2 4 28 2 3 4" xfId="51888" xr:uid="{00000000-0005-0000-0000-000042AE0000}"/>
    <cellStyle name="Normal 2 4 28 2 4" xfId="18649" xr:uid="{00000000-0005-0000-0000-000043AE0000}"/>
    <cellStyle name="Normal 2 4 28 2 4 2" xfId="18650" xr:uid="{00000000-0005-0000-0000-000044AE0000}"/>
    <cellStyle name="Normal 2 4 28 2 4 2 2" xfId="51889" xr:uid="{00000000-0005-0000-0000-000045AE0000}"/>
    <cellStyle name="Normal 2 4 28 2 4 3" xfId="51890" xr:uid="{00000000-0005-0000-0000-000046AE0000}"/>
    <cellStyle name="Normal 2 4 28 2 5" xfId="18651" xr:uid="{00000000-0005-0000-0000-000047AE0000}"/>
    <cellStyle name="Normal 2 4 28 2 5 2" xfId="51891" xr:uid="{00000000-0005-0000-0000-000048AE0000}"/>
    <cellStyle name="Normal 2 4 28 2 6" xfId="18652" xr:uid="{00000000-0005-0000-0000-000049AE0000}"/>
    <cellStyle name="Normal 2 4 28 2 6 2" xfId="51892" xr:uid="{00000000-0005-0000-0000-00004AAE0000}"/>
    <cellStyle name="Normal 2 4 28 2 7" xfId="51893" xr:uid="{00000000-0005-0000-0000-00004BAE0000}"/>
    <cellStyle name="Normal 2 4 28 2 7 2" xfId="51894" xr:uid="{00000000-0005-0000-0000-00004CAE0000}"/>
    <cellStyle name="Normal 2 4 28 2 8" xfId="51895" xr:uid="{00000000-0005-0000-0000-00004DAE0000}"/>
    <cellStyle name="Normal 2 4 28 2 9" xfId="51896" xr:uid="{00000000-0005-0000-0000-00004EAE0000}"/>
    <cellStyle name="Normal 2 4 28 3" xfId="18653" xr:uid="{00000000-0005-0000-0000-00004FAE0000}"/>
    <cellStyle name="Normal 2 4 28 3 2" xfId="18654" xr:uid="{00000000-0005-0000-0000-000050AE0000}"/>
    <cellStyle name="Normal 2 4 28 3 2 2" xfId="18655" xr:uid="{00000000-0005-0000-0000-000051AE0000}"/>
    <cellStyle name="Normal 2 4 28 3 2 2 2" xfId="51897" xr:uid="{00000000-0005-0000-0000-000052AE0000}"/>
    <cellStyle name="Normal 2 4 28 3 2 3" xfId="18656" xr:uid="{00000000-0005-0000-0000-000053AE0000}"/>
    <cellStyle name="Normal 2 4 28 3 2 3 2" xfId="51898" xr:uid="{00000000-0005-0000-0000-000054AE0000}"/>
    <cellStyle name="Normal 2 4 28 3 2 4" xfId="51899" xr:uid="{00000000-0005-0000-0000-000055AE0000}"/>
    <cellStyle name="Normal 2 4 28 3 3" xfId="18657" xr:uid="{00000000-0005-0000-0000-000056AE0000}"/>
    <cellStyle name="Normal 2 4 28 3 3 2" xfId="51900" xr:uid="{00000000-0005-0000-0000-000057AE0000}"/>
    <cellStyle name="Normal 2 4 28 3 4" xfId="18658" xr:uid="{00000000-0005-0000-0000-000058AE0000}"/>
    <cellStyle name="Normal 2 4 28 3 4 2" xfId="51901" xr:uid="{00000000-0005-0000-0000-000059AE0000}"/>
    <cellStyle name="Normal 2 4 28 3 5" xfId="18659" xr:uid="{00000000-0005-0000-0000-00005AAE0000}"/>
    <cellStyle name="Normal 2 4 28 3 5 2" xfId="51902" xr:uid="{00000000-0005-0000-0000-00005BAE0000}"/>
    <cellStyle name="Normal 2 4 28 3 6" xfId="51903" xr:uid="{00000000-0005-0000-0000-00005CAE0000}"/>
    <cellStyle name="Normal 2 4 28 3 6 2" xfId="51904" xr:uid="{00000000-0005-0000-0000-00005DAE0000}"/>
    <cellStyle name="Normal 2 4 28 3 7" xfId="51905" xr:uid="{00000000-0005-0000-0000-00005EAE0000}"/>
    <cellStyle name="Normal 2 4 28 4" xfId="18660" xr:uid="{00000000-0005-0000-0000-00005FAE0000}"/>
    <cellStyle name="Normal 2 4 28 4 2" xfId="18661" xr:uid="{00000000-0005-0000-0000-000060AE0000}"/>
    <cellStyle name="Normal 2 4 28 4 2 2" xfId="51906" xr:uid="{00000000-0005-0000-0000-000061AE0000}"/>
    <cellStyle name="Normal 2 4 28 4 3" xfId="18662" xr:uid="{00000000-0005-0000-0000-000062AE0000}"/>
    <cellStyle name="Normal 2 4 28 4 3 2" xfId="51907" xr:uid="{00000000-0005-0000-0000-000063AE0000}"/>
    <cellStyle name="Normal 2 4 28 4 4" xfId="51908" xr:uid="{00000000-0005-0000-0000-000064AE0000}"/>
    <cellStyle name="Normal 2 4 28 5" xfId="18663" xr:uid="{00000000-0005-0000-0000-000065AE0000}"/>
    <cellStyle name="Normal 2 4 28 5 2" xfId="18664" xr:uid="{00000000-0005-0000-0000-000066AE0000}"/>
    <cellStyle name="Normal 2 4 28 5 2 2" xfId="51909" xr:uid="{00000000-0005-0000-0000-000067AE0000}"/>
    <cellStyle name="Normal 2 4 28 5 3" xfId="51910" xr:uid="{00000000-0005-0000-0000-000068AE0000}"/>
    <cellStyle name="Normal 2 4 28 6" xfId="18665" xr:uid="{00000000-0005-0000-0000-000069AE0000}"/>
    <cellStyle name="Normal 2 4 28 6 2" xfId="51911" xr:uid="{00000000-0005-0000-0000-00006AAE0000}"/>
    <cellStyle name="Normal 2 4 28 7" xfId="18666" xr:uid="{00000000-0005-0000-0000-00006BAE0000}"/>
    <cellStyle name="Normal 2 4 28 7 2" xfId="51912" xr:uid="{00000000-0005-0000-0000-00006CAE0000}"/>
    <cellStyle name="Normal 2 4 28 8" xfId="51913" xr:uid="{00000000-0005-0000-0000-00006DAE0000}"/>
    <cellStyle name="Normal 2 4 28 8 2" xfId="51914" xr:uid="{00000000-0005-0000-0000-00006EAE0000}"/>
    <cellStyle name="Normal 2 4 28 9" xfId="51915" xr:uid="{00000000-0005-0000-0000-00006FAE0000}"/>
    <cellStyle name="Normal 2 4 29" xfId="18667" xr:uid="{00000000-0005-0000-0000-000070AE0000}"/>
    <cellStyle name="Normal 2 4 29 10" xfId="51916" xr:uid="{00000000-0005-0000-0000-000071AE0000}"/>
    <cellStyle name="Normal 2 4 29 11" xfId="51917" xr:uid="{00000000-0005-0000-0000-000072AE0000}"/>
    <cellStyle name="Normal 2 4 29 2" xfId="18668" xr:uid="{00000000-0005-0000-0000-000073AE0000}"/>
    <cellStyle name="Normal 2 4 29 2 10" xfId="51918" xr:uid="{00000000-0005-0000-0000-000074AE0000}"/>
    <cellStyle name="Normal 2 4 29 2 2" xfId="18669" xr:uid="{00000000-0005-0000-0000-000075AE0000}"/>
    <cellStyle name="Normal 2 4 29 2 2 2" xfId="18670" xr:uid="{00000000-0005-0000-0000-000076AE0000}"/>
    <cellStyle name="Normal 2 4 29 2 2 2 2" xfId="18671" xr:uid="{00000000-0005-0000-0000-000077AE0000}"/>
    <cellStyle name="Normal 2 4 29 2 2 2 2 2" xfId="51919" xr:uid="{00000000-0005-0000-0000-000078AE0000}"/>
    <cellStyle name="Normal 2 4 29 2 2 2 3" xfId="18672" xr:uid="{00000000-0005-0000-0000-000079AE0000}"/>
    <cellStyle name="Normal 2 4 29 2 2 2 3 2" xfId="51920" xr:uid="{00000000-0005-0000-0000-00007AAE0000}"/>
    <cellStyle name="Normal 2 4 29 2 2 2 4" xfId="51921" xr:uid="{00000000-0005-0000-0000-00007BAE0000}"/>
    <cellStyle name="Normal 2 4 29 2 2 3" xfId="18673" xr:uid="{00000000-0005-0000-0000-00007CAE0000}"/>
    <cellStyle name="Normal 2 4 29 2 2 3 2" xfId="51922" xr:uid="{00000000-0005-0000-0000-00007DAE0000}"/>
    <cellStyle name="Normal 2 4 29 2 2 4" xfId="18674" xr:uid="{00000000-0005-0000-0000-00007EAE0000}"/>
    <cellStyle name="Normal 2 4 29 2 2 4 2" xfId="51923" xr:uid="{00000000-0005-0000-0000-00007FAE0000}"/>
    <cellStyle name="Normal 2 4 29 2 2 5" xfId="18675" xr:uid="{00000000-0005-0000-0000-000080AE0000}"/>
    <cellStyle name="Normal 2 4 29 2 2 5 2" xfId="51924" xr:uid="{00000000-0005-0000-0000-000081AE0000}"/>
    <cellStyle name="Normal 2 4 29 2 2 6" xfId="51925" xr:uid="{00000000-0005-0000-0000-000082AE0000}"/>
    <cellStyle name="Normal 2 4 29 2 2 6 2" xfId="51926" xr:uid="{00000000-0005-0000-0000-000083AE0000}"/>
    <cellStyle name="Normal 2 4 29 2 2 7" xfId="51927" xr:uid="{00000000-0005-0000-0000-000084AE0000}"/>
    <cellStyle name="Normal 2 4 29 2 3" xfId="18676" xr:uid="{00000000-0005-0000-0000-000085AE0000}"/>
    <cellStyle name="Normal 2 4 29 2 3 2" xfId="18677" xr:uid="{00000000-0005-0000-0000-000086AE0000}"/>
    <cellStyle name="Normal 2 4 29 2 3 2 2" xfId="51928" xr:uid="{00000000-0005-0000-0000-000087AE0000}"/>
    <cellStyle name="Normal 2 4 29 2 3 3" xfId="18678" xr:uid="{00000000-0005-0000-0000-000088AE0000}"/>
    <cellStyle name="Normal 2 4 29 2 3 3 2" xfId="51929" xr:uid="{00000000-0005-0000-0000-000089AE0000}"/>
    <cellStyle name="Normal 2 4 29 2 3 4" xfId="51930" xr:uid="{00000000-0005-0000-0000-00008AAE0000}"/>
    <cellStyle name="Normal 2 4 29 2 4" xfId="18679" xr:uid="{00000000-0005-0000-0000-00008BAE0000}"/>
    <cellStyle name="Normal 2 4 29 2 4 2" xfId="18680" xr:uid="{00000000-0005-0000-0000-00008CAE0000}"/>
    <cellStyle name="Normal 2 4 29 2 4 2 2" xfId="51931" xr:uid="{00000000-0005-0000-0000-00008DAE0000}"/>
    <cellStyle name="Normal 2 4 29 2 4 3" xfId="51932" xr:uid="{00000000-0005-0000-0000-00008EAE0000}"/>
    <cellStyle name="Normal 2 4 29 2 5" xfId="18681" xr:uid="{00000000-0005-0000-0000-00008FAE0000}"/>
    <cellStyle name="Normal 2 4 29 2 5 2" xfId="51933" xr:uid="{00000000-0005-0000-0000-000090AE0000}"/>
    <cellStyle name="Normal 2 4 29 2 6" xfId="18682" xr:uid="{00000000-0005-0000-0000-000091AE0000}"/>
    <cellStyle name="Normal 2 4 29 2 6 2" xfId="51934" xr:uid="{00000000-0005-0000-0000-000092AE0000}"/>
    <cellStyle name="Normal 2 4 29 2 7" xfId="51935" xr:uid="{00000000-0005-0000-0000-000093AE0000}"/>
    <cellStyle name="Normal 2 4 29 2 7 2" xfId="51936" xr:uid="{00000000-0005-0000-0000-000094AE0000}"/>
    <cellStyle name="Normal 2 4 29 2 8" xfId="51937" xr:uid="{00000000-0005-0000-0000-000095AE0000}"/>
    <cellStyle name="Normal 2 4 29 2 9" xfId="51938" xr:uid="{00000000-0005-0000-0000-000096AE0000}"/>
    <cellStyle name="Normal 2 4 29 3" xfId="18683" xr:uid="{00000000-0005-0000-0000-000097AE0000}"/>
    <cellStyle name="Normal 2 4 29 3 2" xfId="18684" xr:uid="{00000000-0005-0000-0000-000098AE0000}"/>
    <cellStyle name="Normal 2 4 29 3 2 2" xfId="18685" xr:uid="{00000000-0005-0000-0000-000099AE0000}"/>
    <cellStyle name="Normal 2 4 29 3 2 2 2" xfId="51939" xr:uid="{00000000-0005-0000-0000-00009AAE0000}"/>
    <cellStyle name="Normal 2 4 29 3 2 3" xfId="18686" xr:uid="{00000000-0005-0000-0000-00009BAE0000}"/>
    <cellStyle name="Normal 2 4 29 3 2 3 2" xfId="51940" xr:uid="{00000000-0005-0000-0000-00009CAE0000}"/>
    <cellStyle name="Normal 2 4 29 3 2 4" xfId="51941" xr:uid="{00000000-0005-0000-0000-00009DAE0000}"/>
    <cellStyle name="Normal 2 4 29 3 3" xfId="18687" xr:uid="{00000000-0005-0000-0000-00009EAE0000}"/>
    <cellStyle name="Normal 2 4 29 3 3 2" xfId="51942" xr:uid="{00000000-0005-0000-0000-00009FAE0000}"/>
    <cellStyle name="Normal 2 4 29 3 4" xfId="18688" xr:uid="{00000000-0005-0000-0000-0000A0AE0000}"/>
    <cellStyle name="Normal 2 4 29 3 4 2" xfId="51943" xr:uid="{00000000-0005-0000-0000-0000A1AE0000}"/>
    <cellStyle name="Normal 2 4 29 3 5" xfId="18689" xr:uid="{00000000-0005-0000-0000-0000A2AE0000}"/>
    <cellStyle name="Normal 2 4 29 3 5 2" xfId="51944" xr:uid="{00000000-0005-0000-0000-0000A3AE0000}"/>
    <cellStyle name="Normal 2 4 29 3 6" xfId="51945" xr:uid="{00000000-0005-0000-0000-0000A4AE0000}"/>
    <cellStyle name="Normal 2 4 29 3 6 2" xfId="51946" xr:uid="{00000000-0005-0000-0000-0000A5AE0000}"/>
    <cellStyle name="Normal 2 4 29 3 7" xfId="51947" xr:uid="{00000000-0005-0000-0000-0000A6AE0000}"/>
    <cellStyle name="Normal 2 4 29 4" xfId="18690" xr:uid="{00000000-0005-0000-0000-0000A7AE0000}"/>
    <cellStyle name="Normal 2 4 29 4 2" xfId="18691" xr:uid="{00000000-0005-0000-0000-0000A8AE0000}"/>
    <cellStyle name="Normal 2 4 29 4 2 2" xfId="51948" xr:uid="{00000000-0005-0000-0000-0000A9AE0000}"/>
    <cellStyle name="Normal 2 4 29 4 3" xfId="18692" xr:uid="{00000000-0005-0000-0000-0000AAAE0000}"/>
    <cellStyle name="Normal 2 4 29 4 3 2" xfId="51949" xr:uid="{00000000-0005-0000-0000-0000ABAE0000}"/>
    <cellStyle name="Normal 2 4 29 4 4" xfId="51950" xr:uid="{00000000-0005-0000-0000-0000ACAE0000}"/>
    <cellStyle name="Normal 2 4 29 5" xfId="18693" xr:uid="{00000000-0005-0000-0000-0000ADAE0000}"/>
    <cellStyle name="Normal 2 4 29 5 2" xfId="18694" xr:uid="{00000000-0005-0000-0000-0000AEAE0000}"/>
    <cellStyle name="Normal 2 4 29 5 2 2" xfId="51951" xr:uid="{00000000-0005-0000-0000-0000AFAE0000}"/>
    <cellStyle name="Normal 2 4 29 5 3" xfId="51952" xr:uid="{00000000-0005-0000-0000-0000B0AE0000}"/>
    <cellStyle name="Normal 2 4 29 6" xfId="18695" xr:uid="{00000000-0005-0000-0000-0000B1AE0000}"/>
    <cellStyle name="Normal 2 4 29 6 2" xfId="51953" xr:uid="{00000000-0005-0000-0000-0000B2AE0000}"/>
    <cellStyle name="Normal 2 4 29 7" xfId="18696" xr:uid="{00000000-0005-0000-0000-0000B3AE0000}"/>
    <cellStyle name="Normal 2 4 29 7 2" xfId="51954" xr:uid="{00000000-0005-0000-0000-0000B4AE0000}"/>
    <cellStyle name="Normal 2 4 29 8" xfId="51955" xr:uid="{00000000-0005-0000-0000-0000B5AE0000}"/>
    <cellStyle name="Normal 2 4 29 8 2" xfId="51956" xr:uid="{00000000-0005-0000-0000-0000B6AE0000}"/>
    <cellStyle name="Normal 2 4 29 9" xfId="51957" xr:uid="{00000000-0005-0000-0000-0000B7AE0000}"/>
    <cellStyle name="Normal 2 4 3" xfId="18697" xr:uid="{00000000-0005-0000-0000-0000B8AE0000}"/>
    <cellStyle name="Normal 2 4 3 10" xfId="18698" xr:uid="{00000000-0005-0000-0000-0000B9AE0000}"/>
    <cellStyle name="Normal 2 4 3 10 10" xfId="51958" xr:uid="{00000000-0005-0000-0000-0000BAAE0000}"/>
    <cellStyle name="Normal 2 4 3 10 11" xfId="51959" xr:uid="{00000000-0005-0000-0000-0000BBAE0000}"/>
    <cellStyle name="Normal 2 4 3 10 2" xfId="18699" xr:uid="{00000000-0005-0000-0000-0000BCAE0000}"/>
    <cellStyle name="Normal 2 4 3 10 2 10" xfId="51960" xr:uid="{00000000-0005-0000-0000-0000BDAE0000}"/>
    <cellStyle name="Normal 2 4 3 10 2 2" xfId="18700" xr:uid="{00000000-0005-0000-0000-0000BEAE0000}"/>
    <cellStyle name="Normal 2 4 3 10 2 2 2" xfId="18701" xr:uid="{00000000-0005-0000-0000-0000BFAE0000}"/>
    <cellStyle name="Normal 2 4 3 10 2 2 2 2" xfId="18702" xr:uid="{00000000-0005-0000-0000-0000C0AE0000}"/>
    <cellStyle name="Normal 2 4 3 10 2 2 2 2 2" xfId="51961" xr:uid="{00000000-0005-0000-0000-0000C1AE0000}"/>
    <cellStyle name="Normal 2 4 3 10 2 2 2 3" xfId="18703" xr:uid="{00000000-0005-0000-0000-0000C2AE0000}"/>
    <cellStyle name="Normal 2 4 3 10 2 2 2 3 2" xfId="51962" xr:uid="{00000000-0005-0000-0000-0000C3AE0000}"/>
    <cellStyle name="Normal 2 4 3 10 2 2 2 4" xfId="51963" xr:uid="{00000000-0005-0000-0000-0000C4AE0000}"/>
    <cellStyle name="Normal 2 4 3 10 2 2 3" xfId="18704" xr:uid="{00000000-0005-0000-0000-0000C5AE0000}"/>
    <cellStyle name="Normal 2 4 3 10 2 2 3 2" xfId="51964" xr:uid="{00000000-0005-0000-0000-0000C6AE0000}"/>
    <cellStyle name="Normal 2 4 3 10 2 2 4" xfId="18705" xr:uid="{00000000-0005-0000-0000-0000C7AE0000}"/>
    <cellStyle name="Normal 2 4 3 10 2 2 4 2" xfId="51965" xr:uid="{00000000-0005-0000-0000-0000C8AE0000}"/>
    <cellStyle name="Normal 2 4 3 10 2 2 5" xfId="18706" xr:uid="{00000000-0005-0000-0000-0000C9AE0000}"/>
    <cellStyle name="Normal 2 4 3 10 2 2 5 2" xfId="51966" xr:uid="{00000000-0005-0000-0000-0000CAAE0000}"/>
    <cellStyle name="Normal 2 4 3 10 2 2 6" xfId="51967" xr:uid="{00000000-0005-0000-0000-0000CBAE0000}"/>
    <cellStyle name="Normal 2 4 3 10 2 2 6 2" xfId="51968" xr:uid="{00000000-0005-0000-0000-0000CCAE0000}"/>
    <cellStyle name="Normal 2 4 3 10 2 2 7" xfId="51969" xr:uid="{00000000-0005-0000-0000-0000CDAE0000}"/>
    <cellStyle name="Normal 2 4 3 10 2 3" xfId="18707" xr:uid="{00000000-0005-0000-0000-0000CEAE0000}"/>
    <cellStyle name="Normal 2 4 3 10 2 3 2" xfId="18708" xr:uid="{00000000-0005-0000-0000-0000CFAE0000}"/>
    <cellStyle name="Normal 2 4 3 10 2 3 2 2" xfId="51970" xr:uid="{00000000-0005-0000-0000-0000D0AE0000}"/>
    <cellStyle name="Normal 2 4 3 10 2 3 3" xfId="18709" xr:uid="{00000000-0005-0000-0000-0000D1AE0000}"/>
    <cellStyle name="Normal 2 4 3 10 2 3 3 2" xfId="51971" xr:uid="{00000000-0005-0000-0000-0000D2AE0000}"/>
    <cellStyle name="Normal 2 4 3 10 2 3 4" xfId="51972" xr:uid="{00000000-0005-0000-0000-0000D3AE0000}"/>
    <cellStyle name="Normal 2 4 3 10 2 4" xfId="18710" xr:uid="{00000000-0005-0000-0000-0000D4AE0000}"/>
    <cellStyle name="Normal 2 4 3 10 2 4 2" xfId="18711" xr:uid="{00000000-0005-0000-0000-0000D5AE0000}"/>
    <cellStyle name="Normal 2 4 3 10 2 4 2 2" xfId="51973" xr:uid="{00000000-0005-0000-0000-0000D6AE0000}"/>
    <cellStyle name="Normal 2 4 3 10 2 4 3" xfId="51974" xr:uid="{00000000-0005-0000-0000-0000D7AE0000}"/>
    <cellStyle name="Normal 2 4 3 10 2 5" xfId="18712" xr:uid="{00000000-0005-0000-0000-0000D8AE0000}"/>
    <cellStyle name="Normal 2 4 3 10 2 5 2" xfId="51975" xr:uid="{00000000-0005-0000-0000-0000D9AE0000}"/>
    <cellStyle name="Normal 2 4 3 10 2 6" xfId="18713" xr:uid="{00000000-0005-0000-0000-0000DAAE0000}"/>
    <cellStyle name="Normal 2 4 3 10 2 6 2" xfId="51976" xr:uid="{00000000-0005-0000-0000-0000DBAE0000}"/>
    <cellStyle name="Normal 2 4 3 10 2 7" xfId="51977" xr:uid="{00000000-0005-0000-0000-0000DCAE0000}"/>
    <cellStyle name="Normal 2 4 3 10 2 7 2" xfId="51978" xr:uid="{00000000-0005-0000-0000-0000DDAE0000}"/>
    <cellStyle name="Normal 2 4 3 10 2 8" xfId="51979" xr:uid="{00000000-0005-0000-0000-0000DEAE0000}"/>
    <cellStyle name="Normal 2 4 3 10 2 9" xfId="51980" xr:uid="{00000000-0005-0000-0000-0000DFAE0000}"/>
    <cellStyle name="Normal 2 4 3 10 3" xfId="18714" xr:uid="{00000000-0005-0000-0000-0000E0AE0000}"/>
    <cellStyle name="Normal 2 4 3 10 3 2" xfId="18715" xr:uid="{00000000-0005-0000-0000-0000E1AE0000}"/>
    <cellStyle name="Normal 2 4 3 10 3 2 2" xfId="18716" xr:uid="{00000000-0005-0000-0000-0000E2AE0000}"/>
    <cellStyle name="Normal 2 4 3 10 3 2 2 2" xfId="51981" xr:uid="{00000000-0005-0000-0000-0000E3AE0000}"/>
    <cellStyle name="Normal 2 4 3 10 3 2 3" xfId="18717" xr:uid="{00000000-0005-0000-0000-0000E4AE0000}"/>
    <cellStyle name="Normal 2 4 3 10 3 2 3 2" xfId="51982" xr:uid="{00000000-0005-0000-0000-0000E5AE0000}"/>
    <cellStyle name="Normal 2 4 3 10 3 2 4" xfId="51983" xr:uid="{00000000-0005-0000-0000-0000E6AE0000}"/>
    <cellStyle name="Normal 2 4 3 10 3 3" xfId="18718" xr:uid="{00000000-0005-0000-0000-0000E7AE0000}"/>
    <cellStyle name="Normal 2 4 3 10 3 3 2" xfId="51984" xr:uid="{00000000-0005-0000-0000-0000E8AE0000}"/>
    <cellStyle name="Normal 2 4 3 10 3 4" xfId="18719" xr:uid="{00000000-0005-0000-0000-0000E9AE0000}"/>
    <cellStyle name="Normal 2 4 3 10 3 4 2" xfId="51985" xr:uid="{00000000-0005-0000-0000-0000EAAE0000}"/>
    <cellStyle name="Normal 2 4 3 10 3 5" xfId="18720" xr:uid="{00000000-0005-0000-0000-0000EBAE0000}"/>
    <cellStyle name="Normal 2 4 3 10 3 5 2" xfId="51986" xr:uid="{00000000-0005-0000-0000-0000ECAE0000}"/>
    <cellStyle name="Normal 2 4 3 10 3 6" xfId="51987" xr:uid="{00000000-0005-0000-0000-0000EDAE0000}"/>
    <cellStyle name="Normal 2 4 3 10 3 6 2" xfId="51988" xr:uid="{00000000-0005-0000-0000-0000EEAE0000}"/>
    <cellStyle name="Normal 2 4 3 10 3 7" xfId="51989" xr:uid="{00000000-0005-0000-0000-0000EFAE0000}"/>
    <cellStyle name="Normal 2 4 3 10 4" xfId="18721" xr:uid="{00000000-0005-0000-0000-0000F0AE0000}"/>
    <cellStyle name="Normal 2 4 3 10 4 2" xfId="18722" xr:uid="{00000000-0005-0000-0000-0000F1AE0000}"/>
    <cellStyle name="Normal 2 4 3 10 4 2 2" xfId="51990" xr:uid="{00000000-0005-0000-0000-0000F2AE0000}"/>
    <cellStyle name="Normal 2 4 3 10 4 3" xfId="18723" xr:uid="{00000000-0005-0000-0000-0000F3AE0000}"/>
    <cellStyle name="Normal 2 4 3 10 4 3 2" xfId="51991" xr:uid="{00000000-0005-0000-0000-0000F4AE0000}"/>
    <cellStyle name="Normal 2 4 3 10 4 4" xfId="51992" xr:uid="{00000000-0005-0000-0000-0000F5AE0000}"/>
    <cellStyle name="Normal 2 4 3 10 5" xfId="18724" xr:uid="{00000000-0005-0000-0000-0000F6AE0000}"/>
    <cellStyle name="Normal 2 4 3 10 5 2" xfId="18725" xr:uid="{00000000-0005-0000-0000-0000F7AE0000}"/>
    <cellStyle name="Normal 2 4 3 10 5 2 2" xfId="51993" xr:uid="{00000000-0005-0000-0000-0000F8AE0000}"/>
    <cellStyle name="Normal 2 4 3 10 5 3" xfId="51994" xr:uid="{00000000-0005-0000-0000-0000F9AE0000}"/>
    <cellStyle name="Normal 2 4 3 10 6" xfId="18726" xr:uid="{00000000-0005-0000-0000-0000FAAE0000}"/>
    <cellStyle name="Normal 2 4 3 10 6 2" xfId="51995" xr:uid="{00000000-0005-0000-0000-0000FBAE0000}"/>
    <cellStyle name="Normal 2 4 3 10 7" xfId="18727" xr:uid="{00000000-0005-0000-0000-0000FCAE0000}"/>
    <cellStyle name="Normal 2 4 3 10 7 2" xfId="51996" xr:uid="{00000000-0005-0000-0000-0000FDAE0000}"/>
    <cellStyle name="Normal 2 4 3 10 8" xfId="51997" xr:uid="{00000000-0005-0000-0000-0000FEAE0000}"/>
    <cellStyle name="Normal 2 4 3 10 8 2" xfId="51998" xr:uid="{00000000-0005-0000-0000-0000FFAE0000}"/>
    <cellStyle name="Normal 2 4 3 10 9" xfId="51999" xr:uid="{00000000-0005-0000-0000-000000AF0000}"/>
    <cellStyle name="Normal 2 4 3 11" xfId="18728" xr:uid="{00000000-0005-0000-0000-000001AF0000}"/>
    <cellStyle name="Normal 2 4 3 11 10" xfId="52000" xr:uid="{00000000-0005-0000-0000-000002AF0000}"/>
    <cellStyle name="Normal 2 4 3 11 11" xfId="52001" xr:uid="{00000000-0005-0000-0000-000003AF0000}"/>
    <cellStyle name="Normal 2 4 3 11 2" xfId="18729" xr:uid="{00000000-0005-0000-0000-000004AF0000}"/>
    <cellStyle name="Normal 2 4 3 11 2 10" xfId="52002" xr:uid="{00000000-0005-0000-0000-000005AF0000}"/>
    <cellStyle name="Normal 2 4 3 11 2 2" xfId="18730" xr:uid="{00000000-0005-0000-0000-000006AF0000}"/>
    <cellStyle name="Normal 2 4 3 11 2 2 2" xfId="18731" xr:uid="{00000000-0005-0000-0000-000007AF0000}"/>
    <cellStyle name="Normal 2 4 3 11 2 2 2 2" xfId="18732" xr:uid="{00000000-0005-0000-0000-000008AF0000}"/>
    <cellStyle name="Normal 2 4 3 11 2 2 2 2 2" xfId="52003" xr:uid="{00000000-0005-0000-0000-000009AF0000}"/>
    <cellStyle name="Normal 2 4 3 11 2 2 2 3" xfId="18733" xr:uid="{00000000-0005-0000-0000-00000AAF0000}"/>
    <cellStyle name="Normal 2 4 3 11 2 2 2 3 2" xfId="52004" xr:uid="{00000000-0005-0000-0000-00000BAF0000}"/>
    <cellStyle name="Normal 2 4 3 11 2 2 2 4" xfId="52005" xr:uid="{00000000-0005-0000-0000-00000CAF0000}"/>
    <cellStyle name="Normal 2 4 3 11 2 2 3" xfId="18734" xr:uid="{00000000-0005-0000-0000-00000DAF0000}"/>
    <cellStyle name="Normal 2 4 3 11 2 2 3 2" xfId="52006" xr:uid="{00000000-0005-0000-0000-00000EAF0000}"/>
    <cellStyle name="Normal 2 4 3 11 2 2 4" xfId="18735" xr:uid="{00000000-0005-0000-0000-00000FAF0000}"/>
    <cellStyle name="Normal 2 4 3 11 2 2 4 2" xfId="52007" xr:uid="{00000000-0005-0000-0000-000010AF0000}"/>
    <cellStyle name="Normal 2 4 3 11 2 2 5" xfId="18736" xr:uid="{00000000-0005-0000-0000-000011AF0000}"/>
    <cellStyle name="Normal 2 4 3 11 2 2 5 2" xfId="52008" xr:uid="{00000000-0005-0000-0000-000012AF0000}"/>
    <cellStyle name="Normal 2 4 3 11 2 2 6" xfId="52009" xr:uid="{00000000-0005-0000-0000-000013AF0000}"/>
    <cellStyle name="Normal 2 4 3 11 2 2 6 2" xfId="52010" xr:uid="{00000000-0005-0000-0000-000014AF0000}"/>
    <cellStyle name="Normal 2 4 3 11 2 2 7" xfId="52011" xr:uid="{00000000-0005-0000-0000-000015AF0000}"/>
    <cellStyle name="Normal 2 4 3 11 2 3" xfId="18737" xr:uid="{00000000-0005-0000-0000-000016AF0000}"/>
    <cellStyle name="Normal 2 4 3 11 2 3 2" xfId="18738" xr:uid="{00000000-0005-0000-0000-000017AF0000}"/>
    <cellStyle name="Normal 2 4 3 11 2 3 2 2" xfId="52012" xr:uid="{00000000-0005-0000-0000-000018AF0000}"/>
    <cellStyle name="Normal 2 4 3 11 2 3 3" xfId="18739" xr:uid="{00000000-0005-0000-0000-000019AF0000}"/>
    <cellStyle name="Normal 2 4 3 11 2 3 3 2" xfId="52013" xr:uid="{00000000-0005-0000-0000-00001AAF0000}"/>
    <cellStyle name="Normal 2 4 3 11 2 3 4" xfId="52014" xr:uid="{00000000-0005-0000-0000-00001BAF0000}"/>
    <cellStyle name="Normal 2 4 3 11 2 4" xfId="18740" xr:uid="{00000000-0005-0000-0000-00001CAF0000}"/>
    <cellStyle name="Normal 2 4 3 11 2 4 2" xfId="18741" xr:uid="{00000000-0005-0000-0000-00001DAF0000}"/>
    <cellStyle name="Normal 2 4 3 11 2 4 2 2" xfId="52015" xr:uid="{00000000-0005-0000-0000-00001EAF0000}"/>
    <cellStyle name="Normal 2 4 3 11 2 4 3" xfId="52016" xr:uid="{00000000-0005-0000-0000-00001FAF0000}"/>
    <cellStyle name="Normal 2 4 3 11 2 5" xfId="18742" xr:uid="{00000000-0005-0000-0000-000020AF0000}"/>
    <cellStyle name="Normal 2 4 3 11 2 5 2" xfId="52017" xr:uid="{00000000-0005-0000-0000-000021AF0000}"/>
    <cellStyle name="Normal 2 4 3 11 2 6" xfId="18743" xr:uid="{00000000-0005-0000-0000-000022AF0000}"/>
    <cellStyle name="Normal 2 4 3 11 2 6 2" xfId="52018" xr:uid="{00000000-0005-0000-0000-000023AF0000}"/>
    <cellStyle name="Normal 2 4 3 11 2 7" xfId="52019" xr:uid="{00000000-0005-0000-0000-000024AF0000}"/>
    <cellStyle name="Normal 2 4 3 11 2 7 2" xfId="52020" xr:uid="{00000000-0005-0000-0000-000025AF0000}"/>
    <cellStyle name="Normal 2 4 3 11 2 8" xfId="52021" xr:uid="{00000000-0005-0000-0000-000026AF0000}"/>
    <cellStyle name="Normal 2 4 3 11 2 9" xfId="52022" xr:uid="{00000000-0005-0000-0000-000027AF0000}"/>
    <cellStyle name="Normal 2 4 3 11 3" xfId="18744" xr:uid="{00000000-0005-0000-0000-000028AF0000}"/>
    <cellStyle name="Normal 2 4 3 11 3 2" xfId="18745" xr:uid="{00000000-0005-0000-0000-000029AF0000}"/>
    <cellStyle name="Normal 2 4 3 11 3 2 2" xfId="18746" xr:uid="{00000000-0005-0000-0000-00002AAF0000}"/>
    <cellStyle name="Normal 2 4 3 11 3 2 2 2" xfId="52023" xr:uid="{00000000-0005-0000-0000-00002BAF0000}"/>
    <cellStyle name="Normal 2 4 3 11 3 2 3" xfId="18747" xr:uid="{00000000-0005-0000-0000-00002CAF0000}"/>
    <cellStyle name="Normal 2 4 3 11 3 2 3 2" xfId="52024" xr:uid="{00000000-0005-0000-0000-00002DAF0000}"/>
    <cellStyle name="Normal 2 4 3 11 3 2 4" xfId="52025" xr:uid="{00000000-0005-0000-0000-00002EAF0000}"/>
    <cellStyle name="Normal 2 4 3 11 3 3" xfId="18748" xr:uid="{00000000-0005-0000-0000-00002FAF0000}"/>
    <cellStyle name="Normal 2 4 3 11 3 3 2" xfId="52026" xr:uid="{00000000-0005-0000-0000-000030AF0000}"/>
    <cellStyle name="Normal 2 4 3 11 3 4" xfId="18749" xr:uid="{00000000-0005-0000-0000-000031AF0000}"/>
    <cellStyle name="Normal 2 4 3 11 3 4 2" xfId="52027" xr:uid="{00000000-0005-0000-0000-000032AF0000}"/>
    <cellStyle name="Normal 2 4 3 11 3 5" xfId="18750" xr:uid="{00000000-0005-0000-0000-000033AF0000}"/>
    <cellStyle name="Normal 2 4 3 11 3 5 2" xfId="52028" xr:uid="{00000000-0005-0000-0000-000034AF0000}"/>
    <cellStyle name="Normal 2 4 3 11 3 6" xfId="52029" xr:uid="{00000000-0005-0000-0000-000035AF0000}"/>
    <cellStyle name="Normal 2 4 3 11 3 6 2" xfId="52030" xr:uid="{00000000-0005-0000-0000-000036AF0000}"/>
    <cellStyle name="Normal 2 4 3 11 3 7" xfId="52031" xr:uid="{00000000-0005-0000-0000-000037AF0000}"/>
    <cellStyle name="Normal 2 4 3 11 4" xfId="18751" xr:uid="{00000000-0005-0000-0000-000038AF0000}"/>
    <cellStyle name="Normal 2 4 3 11 4 2" xfId="18752" xr:uid="{00000000-0005-0000-0000-000039AF0000}"/>
    <cellStyle name="Normal 2 4 3 11 4 2 2" xfId="52032" xr:uid="{00000000-0005-0000-0000-00003AAF0000}"/>
    <cellStyle name="Normal 2 4 3 11 4 3" xfId="18753" xr:uid="{00000000-0005-0000-0000-00003BAF0000}"/>
    <cellStyle name="Normal 2 4 3 11 4 3 2" xfId="52033" xr:uid="{00000000-0005-0000-0000-00003CAF0000}"/>
    <cellStyle name="Normal 2 4 3 11 4 4" xfId="52034" xr:uid="{00000000-0005-0000-0000-00003DAF0000}"/>
    <cellStyle name="Normal 2 4 3 11 5" xfId="18754" xr:uid="{00000000-0005-0000-0000-00003EAF0000}"/>
    <cellStyle name="Normal 2 4 3 11 5 2" xfId="18755" xr:uid="{00000000-0005-0000-0000-00003FAF0000}"/>
    <cellStyle name="Normal 2 4 3 11 5 2 2" xfId="52035" xr:uid="{00000000-0005-0000-0000-000040AF0000}"/>
    <cellStyle name="Normal 2 4 3 11 5 3" xfId="52036" xr:uid="{00000000-0005-0000-0000-000041AF0000}"/>
    <cellStyle name="Normal 2 4 3 11 6" xfId="18756" xr:uid="{00000000-0005-0000-0000-000042AF0000}"/>
    <cellStyle name="Normal 2 4 3 11 6 2" xfId="52037" xr:uid="{00000000-0005-0000-0000-000043AF0000}"/>
    <cellStyle name="Normal 2 4 3 11 7" xfId="18757" xr:uid="{00000000-0005-0000-0000-000044AF0000}"/>
    <cellStyle name="Normal 2 4 3 11 7 2" xfId="52038" xr:uid="{00000000-0005-0000-0000-000045AF0000}"/>
    <cellStyle name="Normal 2 4 3 11 8" xfId="52039" xr:uid="{00000000-0005-0000-0000-000046AF0000}"/>
    <cellStyle name="Normal 2 4 3 11 8 2" xfId="52040" xr:uid="{00000000-0005-0000-0000-000047AF0000}"/>
    <cellStyle name="Normal 2 4 3 11 9" xfId="52041" xr:uid="{00000000-0005-0000-0000-000048AF0000}"/>
    <cellStyle name="Normal 2 4 3 12" xfId="18758" xr:uid="{00000000-0005-0000-0000-000049AF0000}"/>
    <cellStyle name="Normal 2 4 3 12 10" xfId="52042" xr:uid="{00000000-0005-0000-0000-00004AAF0000}"/>
    <cellStyle name="Normal 2 4 3 12 11" xfId="52043" xr:uid="{00000000-0005-0000-0000-00004BAF0000}"/>
    <cellStyle name="Normal 2 4 3 12 2" xfId="18759" xr:uid="{00000000-0005-0000-0000-00004CAF0000}"/>
    <cellStyle name="Normal 2 4 3 12 2 10" xfId="52044" xr:uid="{00000000-0005-0000-0000-00004DAF0000}"/>
    <cellStyle name="Normal 2 4 3 12 2 2" xfId="18760" xr:uid="{00000000-0005-0000-0000-00004EAF0000}"/>
    <cellStyle name="Normal 2 4 3 12 2 2 2" xfId="18761" xr:uid="{00000000-0005-0000-0000-00004FAF0000}"/>
    <cellStyle name="Normal 2 4 3 12 2 2 2 2" xfId="18762" xr:uid="{00000000-0005-0000-0000-000050AF0000}"/>
    <cellStyle name="Normal 2 4 3 12 2 2 2 2 2" xfId="52045" xr:uid="{00000000-0005-0000-0000-000051AF0000}"/>
    <cellStyle name="Normal 2 4 3 12 2 2 2 3" xfId="18763" xr:uid="{00000000-0005-0000-0000-000052AF0000}"/>
    <cellStyle name="Normal 2 4 3 12 2 2 2 3 2" xfId="52046" xr:uid="{00000000-0005-0000-0000-000053AF0000}"/>
    <cellStyle name="Normal 2 4 3 12 2 2 2 4" xfId="52047" xr:uid="{00000000-0005-0000-0000-000054AF0000}"/>
    <cellStyle name="Normal 2 4 3 12 2 2 3" xfId="18764" xr:uid="{00000000-0005-0000-0000-000055AF0000}"/>
    <cellStyle name="Normal 2 4 3 12 2 2 3 2" xfId="52048" xr:uid="{00000000-0005-0000-0000-000056AF0000}"/>
    <cellStyle name="Normal 2 4 3 12 2 2 4" xfId="18765" xr:uid="{00000000-0005-0000-0000-000057AF0000}"/>
    <cellStyle name="Normal 2 4 3 12 2 2 4 2" xfId="52049" xr:uid="{00000000-0005-0000-0000-000058AF0000}"/>
    <cellStyle name="Normal 2 4 3 12 2 2 5" xfId="18766" xr:uid="{00000000-0005-0000-0000-000059AF0000}"/>
    <cellStyle name="Normal 2 4 3 12 2 2 5 2" xfId="52050" xr:uid="{00000000-0005-0000-0000-00005AAF0000}"/>
    <cellStyle name="Normal 2 4 3 12 2 2 6" xfId="52051" xr:uid="{00000000-0005-0000-0000-00005BAF0000}"/>
    <cellStyle name="Normal 2 4 3 12 2 2 6 2" xfId="52052" xr:uid="{00000000-0005-0000-0000-00005CAF0000}"/>
    <cellStyle name="Normal 2 4 3 12 2 2 7" xfId="52053" xr:uid="{00000000-0005-0000-0000-00005DAF0000}"/>
    <cellStyle name="Normal 2 4 3 12 2 3" xfId="18767" xr:uid="{00000000-0005-0000-0000-00005EAF0000}"/>
    <cellStyle name="Normal 2 4 3 12 2 3 2" xfId="18768" xr:uid="{00000000-0005-0000-0000-00005FAF0000}"/>
    <cellStyle name="Normal 2 4 3 12 2 3 2 2" xfId="52054" xr:uid="{00000000-0005-0000-0000-000060AF0000}"/>
    <cellStyle name="Normal 2 4 3 12 2 3 3" xfId="18769" xr:uid="{00000000-0005-0000-0000-000061AF0000}"/>
    <cellStyle name="Normal 2 4 3 12 2 3 3 2" xfId="52055" xr:uid="{00000000-0005-0000-0000-000062AF0000}"/>
    <cellStyle name="Normal 2 4 3 12 2 3 4" xfId="52056" xr:uid="{00000000-0005-0000-0000-000063AF0000}"/>
    <cellStyle name="Normal 2 4 3 12 2 4" xfId="18770" xr:uid="{00000000-0005-0000-0000-000064AF0000}"/>
    <cellStyle name="Normal 2 4 3 12 2 4 2" xfId="18771" xr:uid="{00000000-0005-0000-0000-000065AF0000}"/>
    <cellStyle name="Normal 2 4 3 12 2 4 2 2" xfId="52057" xr:uid="{00000000-0005-0000-0000-000066AF0000}"/>
    <cellStyle name="Normal 2 4 3 12 2 4 3" xfId="52058" xr:uid="{00000000-0005-0000-0000-000067AF0000}"/>
    <cellStyle name="Normal 2 4 3 12 2 5" xfId="18772" xr:uid="{00000000-0005-0000-0000-000068AF0000}"/>
    <cellStyle name="Normal 2 4 3 12 2 5 2" xfId="52059" xr:uid="{00000000-0005-0000-0000-000069AF0000}"/>
    <cellStyle name="Normal 2 4 3 12 2 6" xfId="18773" xr:uid="{00000000-0005-0000-0000-00006AAF0000}"/>
    <cellStyle name="Normal 2 4 3 12 2 6 2" xfId="52060" xr:uid="{00000000-0005-0000-0000-00006BAF0000}"/>
    <cellStyle name="Normal 2 4 3 12 2 7" xfId="52061" xr:uid="{00000000-0005-0000-0000-00006CAF0000}"/>
    <cellStyle name="Normal 2 4 3 12 2 7 2" xfId="52062" xr:uid="{00000000-0005-0000-0000-00006DAF0000}"/>
    <cellStyle name="Normal 2 4 3 12 2 8" xfId="52063" xr:uid="{00000000-0005-0000-0000-00006EAF0000}"/>
    <cellStyle name="Normal 2 4 3 12 2 9" xfId="52064" xr:uid="{00000000-0005-0000-0000-00006FAF0000}"/>
    <cellStyle name="Normal 2 4 3 12 3" xfId="18774" xr:uid="{00000000-0005-0000-0000-000070AF0000}"/>
    <cellStyle name="Normal 2 4 3 12 3 2" xfId="18775" xr:uid="{00000000-0005-0000-0000-000071AF0000}"/>
    <cellStyle name="Normal 2 4 3 12 3 2 2" xfId="18776" xr:uid="{00000000-0005-0000-0000-000072AF0000}"/>
    <cellStyle name="Normal 2 4 3 12 3 2 2 2" xfId="52065" xr:uid="{00000000-0005-0000-0000-000073AF0000}"/>
    <cellStyle name="Normal 2 4 3 12 3 2 3" xfId="18777" xr:uid="{00000000-0005-0000-0000-000074AF0000}"/>
    <cellStyle name="Normal 2 4 3 12 3 2 3 2" xfId="52066" xr:uid="{00000000-0005-0000-0000-000075AF0000}"/>
    <cellStyle name="Normal 2 4 3 12 3 2 4" xfId="52067" xr:uid="{00000000-0005-0000-0000-000076AF0000}"/>
    <cellStyle name="Normal 2 4 3 12 3 3" xfId="18778" xr:uid="{00000000-0005-0000-0000-000077AF0000}"/>
    <cellStyle name="Normal 2 4 3 12 3 3 2" xfId="52068" xr:uid="{00000000-0005-0000-0000-000078AF0000}"/>
    <cellStyle name="Normal 2 4 3 12 3 4" xfId="18779" xr:uid="{00000000-0005-0000-0000-000079AF0000}"/>
    <cellStyle name="Normal 2 4 3 12 3 4 2" xfId="52069" xr:uid="{00000000-0005-0000-0000-00007AAF0000}"/>
    <cellStyle name="Normal 2 4 3 12 3 5" xfId="18780" xr:uid="{00000000-0005-0000-0000-00007BAF0000}"/>
    <cellStyle name="Normal 2 4 3 12 3 5 2" xfId="52070" xr:uid="{00000000-0005-0000-0000-00007CAF0000}"/>
    <cellStyle name="Normal 2 4 3 12 3 6" xfId="52071" xr:uid="{00000000-0005-0000-0000-00007DAF0000}"/>
    <cellStyle name="Normal 2 4 3 12 3 6 2" xfId="52072" xr:uid="{00000000-0005-0000-0000-00007EAF0000}"/>
    <cellStyle name="Normal 2 4 3 12 3 7" xfId="52073" xr:uid="{00000000-0005-0000-0000-00007FAF0000}"/>
    <cellStyle name="Normal 2 4 3 12 4" xfId="18781" xr:uid="{00000000-0005-0000-0000-000080AF0000}"/>
    <cellStyle name="Normal 2 4 3 12 4 2" xfId="18782" xr:uid="{00000000-0005-0000-0000-000081AF0000}"/>
    <cellStyle name="Normal 2 4 3 12 4 2 2" xfId="52074" xr:uid="{00000000-0005-0000-0000-000082AF0000}"/>
    <cellStyle name="Normal 2 4 3 12 4 3" xfId="18783" xr:uid="{00000000-0005-0000-0000-000083AF0000}"/>
    <cellStyle name="Normal 2 4 3 12 4 3 2" xfId="52075" xr:uid="{00000000-0005-0000-0000-000084AF0000}"/>
    <cellStyle name="Normal 2 4 3 12 4 4" xfId="52076" xr:uid="{00000000-0005-0000-0000-000085AF0000}"/>
    <cellStyle name="Normal 2 4 3 12 5" xfId="18784" xr:uid="{00000000-0005-0000-0000-000086AF0000}"/>
    <cellStyle name="Normal 2 4 3 12 5 2" xfId="18785" xr:uid="{00000000-0005-0000-0000-000087AF0000}"/>
    <cellStyle name="Normal 2 4 3 12 5 2 2" xfId="52077" xr:uid="{00000000-0005-0000-0000-000088AF0000}"/>
    <cellStyle name="Normal 2 4 3 12 5 3" xfId="52078" xr:uid="{00000000-0005-0000-0000-000089AF0000}"/>
    <cellStyle name="Normal 2 4 3 12 6" xfId="18786" xr:uid="{00000000-0005-0000-0000-00008AAF0000}"/>
    <cellStyle name="Normal 2 4 3 12 6 2" xfId="52079" xr:uid="{00000000-0005-0000-0000-00008BAF0000}"/>
    <cellStyle name="Normal 2 4 3 12 7" xfId="18787" xr:uid="{00000000-0005-0000-0000-00008CAF0000}"/>
    <cellStyle name="Normal 2 4 3 12 7 2" xfId="52080" xr:uid="{00000000-0005-0000-0000-00008DAF0000}"/>
    <cellStyle name="Normal 2 4 3 12 8" xfId="52081" xr:uid="{00000000-0005-0000-0000-00008EAF0000}"/>
    <cellStyle name="Normal 2 4 3 12 8 2" xfId="52082" xr:uid="{00000000-0005-0000-0000-00008FAF0000}"/>
    <cellStyle name="Normal 2 4 3 12 9" xfId="52083" xr:uid="{00000000-0005-0000-0000-000090AF0000}"/>
    <cellStyle name="Normal 2 4 3 13" xfId="18788" xr:uid="{00000000-0005-0000-0000-000091AF0000}"/>
    <cellStyle name="Normal 2 4 3 13 10" xfId="52084" xr:uid="{00000000-0005-0000-0000-000092AF0000}"/>
    <cellStyle name="Normal 2 4 3 13 11" xfId="52085" xr:uid="{00000000-0005-0000-0000-000093AF0000}"/>
    <cellStyle name="Normal 2 4 3 13 2" xfId="18789" xr:uid="{00000000-0005-0000-0000-000094AF0000}"/>
    <cellStyle name="Normal 2 4 3 13 2 10" xfId="52086" xr:uid="{00000000-0005-0000-0000-000095AF0000}"/>
    <cellStyle name="Normal 2 4 3 13 2 2" xfId="18790" xr:uid="{00000000-0005-0000-0000-000096AF0000}"/>
    <cellStyle name="Normal 2 4 3 13 2 2 2" xfId="18791" xr:uid="{00000000-0005-0000-0000-000097AF0000}"/>
    <cellStyle name="Normal 2 4 3 13 2 2 2 2" xfId="18792" xr:uid="{00000000-0005-0000-0000-000098AF0000}"/>
    <cellStyle name="Normal 2 4 3 13 2 2 2 2 2" xfId="52087" xr:uid="{00000000-0005-0000-0000-000099AF0000}"/>
    <cellStyle name="Normal 2 4 3 13 2 2 2 3" xfId="18793" xr:uid="{00000000-0005-0000-0000-00009AAF0000}"/>
    <cellStyle name="Normal 2 4 3 13 2 2 2 3 2" xfId="52088" xr:uid="{00000000-0005-0000-0000-00009BAF0000}"/>
    <cellStyle name="Normal 2 4 3 13 2 2 2 4" xfId="52089" xr:uid="{00000000-0005-0000-0000-00009CAF0000}"/>
    <cellStyle name="Normal 2 4 3 13 2 2 3" xfId="18794" xr:uid="{00000000-0005-0000-0000-00009DAF0000}"/>
    <cellStyle name="Normal 2 4 3 13 2 2 3 2" xfId="52090" xr:uid="{00000000-0005-0000-0000-00009EAF0000}"/>
    <cellStyle name="Normal 2 4 3 13 2 2 4" xfId="18795" xr:uid="{00000000-0005-0000-0000-00009FAF0000}"/>
    <cellStyle name="Normal 2 4 3 13 2 2 4 2" xfId="52091" xr:uid="{00000000-0005-0000-0000-0000A0AF0000}"/>
    <cellStyle name="Normal 2 4 3 13 2 2 5" xfId="18796" xr:uid="{00000000-0005-0000-0000-0000A1AF0000}"/>
    <cellStyle name="Normal 2 4 3 13 2 2 5 2" xfId="52092" xr:uid="{00000000-0005-0000-0000-0000A2AF0000}"/>
    <cellStyle name="Normal 2 4 3 13 2 2 6" xfId="52093" xr:uid="{00000000-0005-0000-0000-0000A3AF0000}"/>
    <cellStyle name="Normal 2 4 3 13 2 2 6 2" xfId="52094" xr:uid="{00000000-0005-0000-0000-0000A4AF0000}"/>
    <cellStyle name="Normal 2 4 3 13 2 2 7" xfId="52095" xr:uid="{00000000-0005-0000-0000-0000A5AF0000}"/>
    <cellStyle name="Normal 2 4 3 13 2 3" xfId="18797" xr:uid="{00000000-0005-0000-0000-0000A6AF0000}"/>
    <cellStyle name="Normal 2 4 3 13 2 3 2" xfId="18798" xr:uid="{00000000-0005-0000-0000-0000A7AF0000}"/>
    <cellStyle name="Normal 2 4 3 13 2 3 2 2" xfId="52096" xr:uid="{00000000-0005-0000-0000-0000A8AF0000}"/>
    <cellStyle name="Normal 2 4 3 13 2 3 3" xfId="18799" xr:uid="{00000000-0005-0000-0000-0000A9AF0000}"/>
    <cellStyle name="Normal 2 4 3 13 2 3 3 2" xfId="52097" xr:uid="{00000000-0005-0000-0000-0000AAAF0000}"/>
    <cellStyle name="Normal 2 4 3 13 2 3 4" xfId="52098" xr:uid="{00000000-0005-0000-0000-0000ABAF0000}"/>
    <cellStyle name="Normal 2 4 3 13 2 4" xfId="18800" xr:uid="{00000000-0005-0000-0000-0000ACAF0000}"/>
    <cellStyle name="Normal 2 4 3 13 2 4 2" xfId="18801" xr:uid="{00000000-0005-0000-0000-0000ADAF0000}"/>
    <cellStyle name="Normal 2 4 3 13 2 4 2 2" xfId="52099" xr:uid="{00000000-0005-0000-0000-0000AEAF0000}"/>
    <cellStyle name="Normal 2 4 3 13 2 4 3" xfId="52100" xr:uid="{00000000-0005-0000-0000-0000AFAF0000}"/>
    <cellStyle name="Normal 2 4 3 13 2 5" xfId="18802" xr:uid="{00000000-0005-0000-0000-0000B0AF0000}"/>
    <cellStyle name="Normal 2 4 3 13 2 5 2" xfId="52101" xr:uid="{00000000-0005-0000-0000-0000B1AF0000}"/>
    <cellStyle name="Normal 2 4 3 13 2 6" xfId="18803" xr:uid="{00000000-0005-0000-0000-0000B2AF0000}"/>
    <cellStyle name="Normal 2 4 3 13 2 6 2" xfId="52102" xr:uid="{00000000-0005-0000-0000-0000B3AF0000}"/>
    <cellStyle name="Normal 2 4 3 13 2 7" xfId="52103" xr:uid="{00000000-0005-0000-0000-0000B4AF0000}"/>
    <cellStyle name="Normal 2 4 3 13 2 7 2" xfId="52104" xr:uid="{00000000-0005-0000-0000-0000B5AF0000}"/>
    <cellStyle name="Normal 2 4 3 13 2 8" xfId="52105" xr:uid="{00000000-0005-0000-0000-0000B6AF0000}"/>
    <cellStyle name="Normal 2 4 3 13 2 9" xfId="52106" xr:uid="{00000000-0005-0000-0000-0000B7AF0000}"/>
    <cellStyle name="Normal 2 4 3 13 3" xfId="18804" xr:uid="{00000000-0005-0000-0000-0000B8AF0000}"/>
    <cellStyle name="Normal 2 4 3 13 3 2" xfId="18805" xr:uid="{00000000-0005-0000-0000-0000B9AF0000}"/>
    <cellStyle name="Normal 2 4 3 13 3 2 2" xfId="18806" xr:uid="{00000000-0005-0000-0000-0000BAAF0000}"/>
    <cellStyle name="Normal 2 4 3 13 3 2 2 2" xfId="52107" xr:uid="{00000000-0005-0000-0000-0000BBAF0000}"/>
    <cellStyle name="Normal 2 4 3 13 3 2 3" xfId="18807" xr:uid="{00000000-0005-0000-0000-0000BCAF0000}"/>
    <cellStyle name="Normal 2 4 3 13 3 2 3 2" xfId="52108" xr:uid="{00000000-0005-0000-0000-0000BDAF0000}"/>
    <cellStyle name="Normal 2 4 3 13 3 2 4" xfId="52109" xr:uid="{00000000-0005-0000-0000-0000BEAF0000}"/>
    <cellStyle name="Normal 2 4 3 13 3 3" xfId="18808" xr:uid="{00000000-0005-0000-0000-0000BFAF0000}"/>
    <cellStyle name="Normal 2 4 3 13 3 3 2" xfId="52110" xr:uid="{00000000-0005-0000-0000-0000C0AF0000}"/>
    <cellStyle name="Normal 2 4 3 13 3 4" xfId="18809" xr:uid="{00000000-0005-0000-0000-0000C1AF0000}"/>
    <cellStyle name="Normal 2 4 3 13 3 4 2" xfId="52111" xr:uid="{00000000-0005-0000-0000-0000C2AF0000}"/>
    <cellStyle name="Normal 2 4 3 13 3 5" xfId="18810" xr:uid="{00000000-0005-0000-0000-0000C3AF0000}"/>
    <cellStyle name="Normal 2 4 3 13 3 5 2" xfId="52112" xr:uid="{00000000-0005-0000-0000-0000C4AF0000}"/>
    <cellStyle name="Normal 2 4 3 13 3 6" xfId="52113" xr:uid="{00000000-0005-0000-0000-0000C5AF0000}"/>
    <cellStyle name="Normal 2 4 3 13 3 6 2" xfId="52114" xr:uid="{00000000-0005-0000-0000-0000C6AF0000}"/>
    <cellStyle name="Normal 2 4 3 13 3 7" xfId="52115" xr:uid="{00000000-0005-0000-0000-0000C7AF0000}"/>
    <cellStyle name="Normal 2 4 3 13 4" xfId="18811" xr:uid="{00000000-0005-0000-0000-0000C8AF0000}"/>
    <cellStyle name="Normal 2 4 3 13 4 2" xfId="18812" xr:uid="{00000000-0005-0000-0000-0000C9AF0000}"/>
    <cellStyle name="Normal 2 4 3 13 4 2 2" xfId="52116" xr:uid="{00000000-0005-0000-0000-0000CAAF0000}"/>
    <cellStyle name="Normal 2 4 3 13 4 3" xfId="18813" xr:uid="{00000000-0005-0000-0000-0000CBAF0000}"/>
    <cellStyle name="Normal 2 4 3 13 4 3 2" xfId="52117" xr:uid="{00000000-0005-0000-0000-0000CCAF0000}"/>
    <cellStyle name="Normal 2 4 3 13 4 4" xfId="52118" xr:uid="{00000000-0005-0000-0000-0000CDAF0000}"/>
    <cellStyle name="Normal 2 4 3 13 5" xfId="18814" xr:uid="{00000000-0005-0000-0000-0000CEAF0000}"/>
    <cellStyle name="Normal 2 4 3 13 5 2" xfId="18815" xr:uid="{00000000-0005-0000-0000-0000CFAF0000}"/>
    <cellStyle name="Normal 2 4 3 13 5 2 2" xfId="52119" xr:uid="{00000000-0005-0000-0000-0000D0AF0000}"/>
    <cellStyle name="Normal 2 4 3 13 5 3" xfId="52120" xr:uid="{00000000-0005-0000-0000-0000D1AF0000}"/>
    <cellStyle name="Normal 2 4 3 13 6" xfId="18816" xr:uid="{00000000-0005-0000-0000-0000D2AF0000}"/>
    <cellStyle name="Normal 2 4 3 13 6 2" xfId="52121" xr:uid="{00000000-0005-0000-0000-0000D3AF0000}"/>
    <cellStyle name="Normal 2 4 3 13 7" xfId="18817" xr:uid="{00000000-0005-0000-0000-0000D4AF0000}"/>
    <cellStyle name="Normal 2 4 3 13 7 2" xfId="52122" xr:uid="{00000000-0005-0000-0000-0000D5AF0000}"/>
    <cellStyle name="Normal 2 4 3 13 8" xfId="52123" xr:uid="{00000000-0005-0000-0000-0000D6AF0000}"/>
    <cellStyle name="Normal 2 4 3 13 8 2" xfId="52124" xr:uid="{00000000-0005-0000-0000-0000D7AF0000}"/>
    <cellStyle name="Normal 2 4 3 13 9" xfId="52125" xr:uid="{00000000-0005-0000-0000-0000D8AF0000}"/>
    <cellStyle name="Normal 2 4 3 14" xfId="18818" xr:uid="{00000000-0005-0000-0000-0000D9AF0000}"/>
    <cellStyle name="Normal 2 4 3 14 10" xfId="52126" xr:uid="{00000000-0005-0000-0000-0000DAAF0000}"/>
    <cellStyle name="Normal 2 4 3 14 11" xfId="52127" xr:uid="{00000000-0005-0000-0000-0000DBAF0000}"/>
    <cellStyle name="Normal 2 4 3 14 2" xfId="18819" xr:uid="{00000000-0005-0000-0000-0000DCAF0000}"/>
    <cellStyle name="Normal 2 4 3 14 2 10" xfId="52128" xr:uid="{00000000-0005-0000-0000-0000DDAF0000}"/>
    <cellStyle name="Normal 2 4 3 14 2 2" xfId="18820" xr:uid="{00000000-0005-0000-0000-0000DEAF0000}"/>
    <cellStyle name="Normal 2 4 3 14 2 2 2" xfId="18821" xr:uid="{00000000-0005-0000-0000-0000DFAF0000}"/>
    <cellStyle name="Normal 2 4 3 14 2 2 2 2" xfId="18822" xr:uid="{00000000-0005-0000-0000-0000E0AF0000}"/>
    <cellStyle name="Normal 2 4 3 14 2 2 2 2 2" xfId="52129" xr:uid="{00000000-0005-0000-0000-0000E1AF0000}"/>
    <cellStyle name="Normal 2 4 3 14 2 2 2 3" xfId="18823" xr:uid="{00000000-0005-0000-0000-0000E2AF0000}"/>
    <cellStyle name="Normal 2 4 3 14 2 2 2 3 2" xfId="52130" xr:uid="{00000000-0005-0000-0000-0000E3AF0000}"/>
    <cellStyle name="Normal 2 4 3 14 2 2 2 4" xfId="52131" xr:uid="{00000000-0005-0000-0000-0000E4AF0000}"/>
    <cellStyle name="Normal 2 4 3 14 2 2 3" xfId="18824" xr:uid="{00000000-0005-0000-0000-0000E5AF0000}"/>
    <cellStyle name="Normal 2 4 3 14 2 2 3 2" xfId="52132" xr:uid="{00000000-0005-0000-0000-0000E6AF0000}"/>
    <cellStyle name="Normal 2 4 3 14 2 2 4" xfId="18825" xr:uid="{00000000-0005-0000-0000-0000E7AF0000}"/>
    <cellStyle name="Normal 2 4 3 14 2 2 4 2" xfId="52133" xr:uid="{00000000-0005-0000-0000-0000E8AF0000}"/>
    <cellStyle name="Normal 2 4 3 14 2 2 5" xfId="18826" xr:uid="{00000000-0005-0000-0000-0000E9AF0000}"/>
    <cellStyle name="Normal 2 4 3 14 2 2 5 2" xfId="52134" xr:uid="{00000000-0005-0000-0000-0000EAAF0000}"/>
    <cellStyle name="Normal 2 4 3 14 2 2 6" xfId="52135" xr:uid="{00000000-0005-0000-0000-0000EBAF0000}"/>
    <cellStyle name="Normal 2 4 3 14 2 2 6 2" xfId="52136" xr:uid="{00000000-0005-0000-0000-0000ECAF0000}"/>
    <cellStyle name="Normal 2 4 3 14 2 2 7" xfId="52137" xr:uid="{00000000-0005-0000-0000-0000EDAF0000}"/>
    <cellStyle name="Normal 2 4 3 14 2 3" xfId="18827" xr:uid="{00000000-0005-0000-0000-0000EEAF0000}"/>
    <cellStyle name="Normal 2 4 3 14 2 3 2" xfId="18828" xr:uid="{00000000-0005-0000-0000-0000EFAF0000}"/>
    <cellStyle name="Normal 2 4 3 14 2 3 2 2" xfId="52138" xr:uid="{00000000-0005-0000-0000-0000F0AF0000}"/>
    <cellStyle name="Normal 2 4 3 14 2 3 3" xfId="18829" xr:uid="{00000000-0005-0000-0000-0000F1AF0000}"/>
    <cellStyle name="Normal 2 4 3 14 2 3 3 2" xfId="52139" xr:uid="{00000000-0005-0000-0000-0000F2AF0000}"/>
    <cellStyle name="Normal 2 4 3 14 2 3 4" xfId="52140" xr:uid="{00000000-0005-0000-0000-0000F3AF0000}"/>
    <cellStyle name="Normal 2 4 3 14 2 4" xfId="18830" xr:uid="{00000000-0005-0000-0000-0000F4AF0000}"/>
    <cellStyle name="Normal 2 4 3 14 2 4 2" xfId="18831" xr:uid="{00000000-0005-0000-0000-0000F5AF0000}"/>
    <cellStyle name="Normal 2 4 3 14 2 4 2 2" xfId="52141" xr:uid="{00000000-0005-0000-0000-0000F6AF0000}"/>
    <cellStyle name="Normal 2 4 3 14 2 4 3" xfId="52142" xr:uid="{00000000-0005-0000-0000-0000F7AF0000}"/>
    <cellStyle name="Normal 2 4 3 14 2 5" xfId="18832" xr:uid="{00000000-0005-0000-0000-0000F8AF0000}"/>
    <cellStyle name="Normal 2 4 3 14 2 5 2" xfId="52143" xr:uid="{00000000-0005-0000-0000-0000F9AF0000}"/>
    <cellStyle name="Normal 2 4 3 14 2 6" xfId="18833" xr:uid="{00000000-0005-0000-0000-0000FAAF0000}"/>
    <cellStyle name="Normal 2 4 3 14 2 6 2" xfId="52144" xr:uid="{00000000-0005-0000-0000-0000FBAF0000}"/>
    <cellStyle name="Normal 2 4 3 14 2 7" xfId="52145" xr:uid="{00000000-0005-0000-0000-0000FCAF0000}"/>
    <cellStyle name="Normal 2 4 3 14 2 7 2" xfId="52146" xr:uid="{00000000-0005-0000-0000-0000FDAF0000}"/>
    <cellStyle name="Normal 2 4 3 14 2 8" xfId="52147" xr:uid="{00000000-0005-0000-0000-0000FEAF0000}"/>
    <cellStyle name="Normal 2 4 3 14 2 9" xfId="52148" xr:uid="{00000000-0005-0000-0000-0000FFAF0000}"/>
    <cellStyle name="Normal 2 4 3 14 3" xfId="18834" xr:uid="{00000000-0005-0000-0000-000000B00000}"/>
    <cellStyle name="Normal 2 4 3 14 3 2" xfId="18835" xr:uid="{00000000-0005-0000-0000-000001B00000}"/>
    <cellStyle name="Normal 2 4 3 14 3 2 2" xfId="18836" xr:uid="{00000000-0005-0000-0000-000002B00000}"/>
    <cellStyle name="Normal 2 4 3 14 3 2 2 2" xfId="52149" xr:uid="{00000000-0005-0000-0000-000003B00000}"/>
    <cellStyle name="Normal 2 4 3 14 3 2 3" xfId="18837" xr:uid="{00000000-0005-0000-0000-000004B00000}"/>
    <cellStyle name="Normal 2 4 3 14 3 2 3 2" xfId="52150" xr:uid="{00000000-0005-0000-0000-000005B00000}"/>
    <cellStyle name="Normal 2 4 3 14 3 2 4" xfId="52151" xr:uid="{00000000-0005-0000-0000-000006B00000}"/>
    <cellStyle name="Normal 2 4 3 14 3 3" xfId="18838" xr:uid="{00000000-0005-0000-0000-000007B00000}"/>
    <cellStyle name="Normal 2 4 3 14 3 3 2" xfId="52152" xr:uid="{00000000-0005-0000-0000-000008B00000}"/>
    <cellStyle name="Normal 2 4 3 14 3 4" xfId="18839" xr:uid="{00000000-0005-0000-0000-000009B00000}"/>
    <cellStyle name="Normal 2 4 3 14 3 4 2" xfId="52153" xr:uid="{00000000-0005-0000-0000-00000AB00000}"/>
    <cellStyle name="Normal 2 4 3 14 3 5" xfId="18840" xr:uid="{00000000-0005-0000-0000-00000BB00000}"/>
    <cellStyle name="Normal 2 4 3 14 3 5 2" xfId="52154" xr:uid="{00000000-0005-0000-0000-00000CB00000}"/>
    <cellStyle name="Normal 2 4 3 14 3 6" xfId="52155" xr:uid="{00000000-0005-0000-0000-00000DB00000}"/>
    <cellStyle name="Normal 2 4 3 14 3 6 2" xfId="52156" xr:uid="{00000000-0005-0000-0000-00000EB00000}"/>
    <cellStyle name="Normal 2 4 3 14 3 7" xfId="52157" xr:uid="{00000000-0005-0000-0000-00000FB00000}"/>
    <cellStyle name="Normal 2 4 3 14 4" xfId="18841" xr:uid="{00000000-0005-0000-0000-000010B00000}"/>
    <cellStyle name="Normal 2 4 3 14 4 2" xfId="18842" xr:uid="{00000000-0005-0000-0000-000011B00000}"/>
    <cellStyle name="Normal 2 4 3 14 4 2 2" xfId="52158" xr:uid="{00000000-0005-0000-0000-000012B00000}"/>
    <cellStyle name="Normal 2 4 3 14 4 3" xfId="18843" xr:uid="{00000000-0005-0000-0000-000013B00000}"/>
    <cellStyle name="Normal 2 4 3 14 4 3 2" xfId="52159" xr:uid="{00000000-0005-0000-0000-000014B00000}"/>
    <cellStyle name="Normal 2 4 3 14 4 4" xfId="52160" xr:uid="{00000000-0005-0000-0000-000015B00000}"/>
    <cellStyle name="Normal 2 4 3 14 5" xfId="18844" xr:uid="{00000000-0005-0000-0000-000016B00000}"/>
    <cellStyle name="Normal 2 4 3 14 5 2" xfId="18845" xr:uid="{00000000-0005-0000-0000-000017B00000}"/>
    <cellStyle name="Normal 2 4 3 14 5 2 2" xfId="52161" xr:uid="{00000000-0005-0000-0000-000018B00000}"/>
    <cellStyle name="Normal 2 4 3 14 5 3" xfId="52162" xr:uid="{00000000-0005-0000-0000-000019B00000}"/>
    <cellStyle name="Normal 2 4 3 14 6" xfId="18846" xr:uid="{00000000-0005-0000-0000-00001AB00000}"/>
    <cellStyle name="Normal 2 4 3 14 6 2" xfId="52163" xr:uid="{00000000-0005-0000-0000-00001BB00000}"/>
    <cellStyle name="Normal 2 4 3 14 7" xfId="18847" xr:uid="{00000000-0005-0000-0000-00001CB00000}"/>
    <cellStyle name="Normal 2 4 3 14 7 2" xfId="52164" xr:uid="{00000000-0005-0000-0000-00001DB00000}"/>
    <cellStyle name="Normal 2 4 3 14 8" xfId="52165" xr:uid="{00000000-0005-0000-0000-00001EB00000}"/>
    <cellStyle name="Normal 2 4 3 14 8 2" xfId="52166" xr:uid="{00000000-0005-0000-0000-00001FB00000}"/>
    <cellStyle name="Normal 2 4 3 14 9" xfId="52167" xr:uid="{00000000-0005-0000-0000-000020B00000}"/>
    <cellStyle name="Normal 2 4 3 15" xfId="18848" xr:uid="{00000000-0005-0000-0000-000021B00000}"/>
    <cellStyle name="Normal 2 4 3 15 10" xfId="52168" xr:uid="{00000000-0005-0000-0000-000022B00000}"/>
    <cellStyle name="Normal 2 4 3 15 11" xfId="52169" xr:uid="{00000000-0005-0000-0000-000023B00000}"/>
    <cellStyle name="Normal 2 4 3 15 2" xfId="18849" xr:uid="{00000000-0005-0000-0000-000024B00000}"/>
    <cellStyle name="Normal 2 4 3 15 2 10" xfId="52170" xr:uid="{00000000-0005-0000-0000-000025B00000}"/>
    <cellStyle name="Normal 2 4 3 15 2 2" xfId="18850" xr:uid="{00000000-0005-0000-0000-000026B00000}"/>
    <cellStyle name="Normal 2 4 3 15 2 2 2" xfId="18851" xr:uid="{00000000-0005-0000-0000-000027B00000}"/>
    <cellStyle name="Normal 2 4 3 15 2 2 2 2" xfId="18852" xr:uid="{00000000-0005-0000-0000-000028B00000}"/>
    <cellStyle name="Normal 2 4 3 15 2 2 2 2 2" xfId="52171" xr:uid="{00000000-0005-0000-0000-000029B00000}"/>
    <cellStyle name="Normal 2 4 3 15 2 2 2 3" xfId="18853" xr:uid="{00000000-0005-0000-0000-00002AB00000}"/>
    <cellStyle name="Normal 2 4 3 15 2 2 2 3 2" xfId="52172" xr:uid="{00000000-0005-0000-0000-00002BB00000}"/>
    <cellStyle name="Normal 2 4 3 15 2 2 2 4" xfId="52173" xr:uid="{00000000-0005-0000-0000-00002CB00000}"/>
    <cellStyle name="Normal 2 4 3 15 2 2 3" xfId="18854" xr:uid="{00000000-0005-0000-0000-00002DB00000}"/>
    <cellStyle name="Normal 2 4 3 15 2 2 3 2" xfId="52174" xr:uid="{00000000-0005-0000-0000-00002EB00000}"/>
    <cellStyle name="Normal 2 4 3 15 2 2 4" xfId="18855" xr:uid="{00000000-0005-0000-0000-00002FB00000}"/>
    <cellStyle name="Normal 2 4 3 15 2 2 4 2" xfId="52175" xr:uid="{00000000-0005-0000-0000-000030B00000}"/>
    <cellStyle name="Normal 2 4 3 15 2 2 5" xfId="18856" xr:uid="{00000000-0005-0000-0000-000031B00000}"/>
    <cellStyle name="Normal 2 4 3 15 2 2 5 2" xfId="52176" xr:uid="{00000000-0005-0000-0000-000032B00000}"/>
    <cellStyle name="Normal 2 4 3 15 2 2 6" xfId="52177" xr:uid="{00000000-0005-0000-0000-000033B00000}"/>
    <cellStyle name="Normal 2 4 3 15 2 2 6 2" xfId="52178" xr:uid="{00000000-0005-0000-0000-000034B00000}"/>
    <cellStyle name="Normal 2 4 3 15 2 2 7" xfId="52179" xr:uid="{00000000-0005-0000-0000-000035B00000}"/>
    <cellStyle name="Normal 2 4 3 15 2 3" xfId="18857" xr:uid="{00000000-0005-0000-0000-000036B00000}"/>
    <cellStyle name="Normal 2 4 3 15 2 3 2" xfId="18858" xr:uid="{00000000-0005-0000-0000-000037B00000}"/>
    <cellStyle name="Normal 2 4 3 15 2 3 2 2" xfId="52180" xr:uid="{00000000-0005-0000-0000-000038B00000}"/>
    <cellStyle name="Normal 2 4 3 15 2 3 3" xfId="18859" xr:uid="{00000000-0005-0000-0000-000039B00000}"/>
    <cellStyle name="Normal 2 4 3 15 2 3 3 2" xfId="52181" xr:uid="{00000000-0005-0000-0000-00003AB00000}"/>
    <cellStyle name="Normal 2 4 3 15 2 3 4" xfId="52182" xr:uid="{00000000-0005-0000-0000-00003BB00000}"/>
    <cellStyle name="Normal 2 4 3 15 2 4" xfId="18860" xr:uid="{00000000-0005-0000-0000-00003CB00000}"/>
    <cellStyle name="Normal 2 4 3 15 2 4 2" xfId="18861" xr:uid="{00000000-0005-0000-0000-00003DB00000}"/>
    <cellStyle name="Normal 2 4 3 15 2 4 2 2" xfId="52183" xr:uid="{00000000-0005-0000-0000-00003EB00000}"/>
    <cellStyle name="Normal 2 4 3 15 2 4 3" xfId="52184" xr:uid="{00000000-0005-0000-0000-00003FB00000}"/>
    <cellStyle name="Normal 2 4 3 15 2 5" xfId="18862" xr:uid="{00000000-0005-0000-0000-000040B00000}"/>
    <cellStyle name="Normal 2 4 3 15 2 5 2" xfId="52185" xr:uid="{00000000-0005-0000-0000-000041B00000}"/>
    <cellStyle name="Normal 2 4 3 15 2 6" xfId="18863" xr:uid="{00000000-0005-0000-0000-000042B00000}"/>
    <cellStyle name="Normal 2 4 3 15 2 6 2" xfId="52186" xr:uid="{00000000-0005-0000-0000-000043B00000}"/>
    <cellStyle name="Normal 2 4 3 15 2 7" xfId="52187" xr:uid="{00000000-0005-0000-0000-000044B00000}"/>
    <cellStyle name="Normal 2 4 3 15 2 7 2" xfId="52188" xr:uid="{00000000-0005-0000-0000-000045B00000}"/>
    <cellStyle name="Normal 2 4 3 15 2 8" xfId="52189" xr:uid="{00000000-0005-0000-0000-000046B00000}"/>
    <cellStyle name="Normal 2 4 3 15 2 9" xfId="52190" xr:uid="{00000000-0005-0000-0000-000047B00000}"/>
    <cellStyle name="Normal 2 4 3 15 3" xfId="18864" xr:uid="{00000000-0005-0000-0000-000048B00000}"/>
    <cellStyle name="Normal 2 4 3 15 3 2" xfId="18865" xr:uid="{00000000-0005-0000-0000-000049B00000}"/>
    <cellStyle name="Normal 2 4 3 15 3 2 2" xfId="18866" xr:uid="{00000000-0005-0000-0000-00004AB00000}"/>
    <cellStyle name="Normal 2 4 3 15 3 2 2 2" xfId="52191" xr:uid="{00000000-0005-0000-0000-00004BB00000}"/>
    <cellStyle name="Normal 2 4 3 15 3 2 3" xfId="18867" xr:uid="{00000000-0005-0000-0000-00004CB00000}"/>
    <cellStyle name="Normal 2 4 3 15 3 2 3 2" xfId="52192" xr:uid="{00000000-0005-0000-0000-00004DB00000}"/>
    <cellStyle name="Normal 2 4 3 15 3 2 4" xfId="52193" xr:uid="{00000000-0005-0000-0000-00004EB00000}"/>
    <cellStyle name="Normal 2 4 3 15 3 3" xfId="18868" xr:uid="{00000000-0005-0000-0000-00004FB00000}"/>
    <cellStyle name="Normal 2 4 3 15 3 3 2" xfId="52194" xr:uid="{00000000-0005-0000-0000-000050B00000}"/>
    <cellStyle name="Normal 2 4 3 15 3 4" xfId="18869" xr:uid="{00000000-0005-0000-0000-000051B00000}"/>
    <cellStyle name="Normal 2 4 3 15 3 4 2" xfId="52195" xr:uid="{00000000-0005-0000-0000-000052B00000}"/>
    <cellStyle name="Normal 2 4 3 15 3 5" xfId="18870" xr:uid="{00000000-0005-0000-0000-000053B00000}"/>
    <cellStyle name="Normal 2 4 3 15 3 5 2" xfId="52196" xr:uid="{00000000-0005-0000-0000-000054B00000}"/>
    <cellStyle name="Normal 2 4 3 15 3 6" xfId="52197" xr:uid="{00000000-0005-0000-0000-000055B00000}"/>
    <cellStyle name="Normal 2 4 3 15 3 6 2" xfId="52198" xr:uid="{00000000-0005-0000-0000-000056B00000}"/>
    <cellStyle name="Normal 2 4 3 15 3 7" xfId="52199" xr:uid="{00000000-0005-0000-0000-000057B00000}"/>
    <cellStyle name="Normal 2 4 3 15 4" xfId="18871" xr:uid="{00000000-0005-0000-0000-000058B00000}"/>
    <cellStyle name="Normal 2 4 3 15 4 2" xfId="18872" xr:uid="{00000000-0005-0000-0000-000059B00000}"/>
    <cellStyle name="Normal 2 4 3 15 4 2 2" xfId="52200" xr:uid="{00000000-0005-0000-0000-00005AB00000}"/>
    <cellStyle name="Normal 2 4 3 15 4 3" xfId="18873" xr:uid="{00000000-0005-0000-0000-00005BB00000}"/>
    <cellStyle name="Normal 2 4 3 15 4 3 2" xfId="52201" xr:uid="{00000000-0005-0000-0000-00005CB00000}"/>
    <cellStyle name="Normal 2 4 3 15 4 4" xfId="52202" xr:uid="{00000000-0005-0000-0000-00005DB00000}"/>
    <cellStyle name="Normal 2 4 3 15 5" xfId="18874" xr:uid="{00000000-0005-0000-0000-00005EB00000}"/>
    <cellStyle name="Normal 2 4 3 15 5 2" xfId="18875" xr:uid="{00000000-0005-0000-0000-00005FB00000}"/>
    <cellStyle name="Normal 2 4 3 15 5 2 2" xfId="52203" xr:uid="{00000000-0005-0000-0000-000060B00000}"/>
    <cellStyle name="Normal 2 4 3 15 5 3" xfId="52204" xr:uid="{00000000-0005-0000-0000-000061B00000}"/>
    <cellStyle name="Normal 2 4 3 15 6" xfId="18876" xr:uid="{00000000-0005-0000-0000-000062B00000}"/>
    <cellStyle name="Normal 2 4 3 15 6 2" xfId="52205" xr:uid="{00000000-0005-0000-0000-000063B00000}"/>
    <cellStyle name="Normal 2 4 3 15 7" xfId="18877" xr:uid="{00000000-0005-0000-0000-000064B00000}"/>
    <cellStyle name="Normal 2 4 3 15 7 2" xfId="52206" xr:uid="{00000000-0005-0000-0000-000065B00000}"/>
    <cellStyle name="Normal 2 4 3 15 8" xfId="52207" xr:uid="{00000000-0005-0000-0000-000066B00000}"/>
    <cellStyle name="Normal 2 4 3 15 8 2" xfId="52208" xr:uid="{00000000-0005-0000-0000-000067B00000}"/>
    <cellStyle name="Normal 2 4 3 15 9" xfId="52209" xr:uid="{00000000-0005-0000-0000-000068B00000}"/>
    <cellStyle name="Normal 2 4 3 16" xfId="18878" xr:uid="{00000000-0005-0000-0000-000069B00000}"/>
    <cellStyle name="Normal 2 4 3 16 10" xfId="52210" xr:uid="{00000000-0005-0000-0000-00006AB00000}"/>
    <cellStyle name="Normal 2 4 3 16 11" xfId="52211" xr:uid="{00000000-0005-0000-0000-00006BB00000}"/>
    <cellStyle name="Normal 2 4 3 16 2" xfId="18879" xr:uid="{00000000-0005-0000-0000-00006CB00000}"/>
    <cellStyle name="Normal 2 4 3 16 2 10" xfId="52212" xr:uid="{00000000-0005-0000-0000-00006DB00000}"/>
    <cellStyle name="Normal 2 4 3 16 2 2" xfId="18880" xr:uid="{00000000-0005-0000-0000-00006EB00000}"/>
    <cellStyle name="Normal 2 4 3 16 2 2 2" xfId="18881" xr:uid="{00000000-0005-0000-0000-00006FB00000}"/>
    <cellStyle name="Normal 2 4 3 16 2 2 2 2" xfId="18882" xr:uid="{00000000-0005-0000-0000-000070B00000}"/>
    <cellStyle name="Normal 2 4 3 16 2 2 2 2 2" xfId="52213" xr:uid="{00000000-0005-0000-0000-000071B00000}"/>
    <cellStyle name="Normal 2 4 3 16 2 2 2 3" xfId="18883" xr:uid="{00000000-0005-0000-0000-000072B00000}"/>
    <cellStyle name="Normal 2 4 3 16 2 2 2 3 2" xfId="52214" xr:uid="{00000000-0005-0000-0000-000073B00000}"/>
    <cellStyle name="Normal 2 4 3 16 2 2 2 4" xfId="52215" xr:uid="{00000000-0005-0000-0000-000074B00000}"/>
    <cellStyle name="Normal 2 4 3 16 2 2 3" xfId="18884" xr:uid="{00000000-0005-0000-0000-000075B00000}"/>
    <cellStyle name="Normal 2 4 3 16 2 2 3 2" xfId="52216" xr:uid="{00000000-0005-0000-0000-000076B00000}"/>
    <cellStyle name="Normal 2 4 3 16 2 2 4" xfId="18885" xr:uid="{00000000-0005-0000-0000-000077B00000}"/>
    <cellStyle name="Normal 2 4 3 16 2 2 4 2" xfId="52217" xr:uid="{00000000-0005-0000-0000-000078B00000}"/>
    <cellStyle name="Normal 2 4 3 16 2 2 5" xfId="18886" xr:uid="{00000000-0005-0000-0000-000079B00000}"/>
    <cellStyle name="Normal 2 4 3 16 2 2 5 2" xfId="52218" xr:uid="{00000000-0005-0000-0000-00007AB00000}"/>
    <cellStyle name="Normal 2 4 3 16 2 2 6" xfId="52219" xr:uid="{00000000-0005-0000-0000-00007BB00000}"/>
    <cellStyle name="Normal 2 4 3 16 2 2 6 2" xfId="52220" xr:uid="{00000000-0005-0000-0000-00007CB00000}"/>
    <cellStyle name="Normal 2 4 3 16 2 2 7" xfId="52221" xr:uid="{00000000-0005-0000-0000-00007DB00000}"/>
    <cellStyle name="Normal 2 4 3 16 2 3" xfId="18887" xr:uid="{00000000-0005-0000-0000-00007EB00000}"/>
    <cellStyle name="Normal 2 4 3 16 2 3 2" xfId="18888" xr:uid="{00000000-0005-0000-0000-00007FB00000}"/>
    <cellStyle name="Normal 2 4 3 16 2 3 2 2" xfId="52222" xr:uid="{00000000-0005-0000-0000-000080B00000}"/>
    <cellStyle name="Normal 2 4 3 16 2 3 3" xfId="18889" xr:uid="{00000000-0005-0000-0000-000081B00000}"/>
    <cellStyle name="Normal 2 4 3 16 2 3 3 2" xfId="52223" xr:uid="{00000000-0005-0000-0000-000082B00000}"/>
    <cellStyle name="Normal 2 4 3 16 2 3 4" xfId="52224" xr:uid="{00000000-0005-0000-0000-000083B00000}"/>
    <cellStyle name="Normal 2 4 3 16 2 4" xfId="18890" xr:uid="{00000000-0005-0000-0000-000084B00000}"/>
    <cellStyle name="Normal 2 4 3 16 2 4 2" xfId="18891" xr:uid="{00000000-0005-0000-0000-000085B00000}"/>
    <cellStyle name="Normal 2 4 3 16 2 4 2 2" xfId="52225" xr:uid="{00000000-0005-0000-0000-000086B00000}"/>
    <cellStyle name="Normal 2 4 3 16 2 4 3" xfId="52226" xr:uid="{00000000-0005-0000-0000-000087B00000}"/>
    <cellStyle name="Normal 2 4 3 16 2 5" xfId="18892" xr:uid="{00000000-0005-0000-0000-000088B00000}"/>
    <cellStyle name="Normal 2 4 3 16 2 5 2" xfId="52227" xr:uid="{00000000-0005-0000-0000-000089B00000}"/>
    <cellStyle name="Normal 2 4 3 16 2 6" xfId="18893" xr:uid="{00000000-0005-0000-0000-00008AB00000}"/>
    <cellStyle name="Normal 2 4 3 16 2 6 2" xfId="52228" xr:uid="{00000000-0005-0000-0000-00008BB00000}"/>
    <cellStyle name="Normal 2 4 3 16 2 7" xfId="52229" xr:uid="{00000000-0005-0000-0000-00008CB00000}"/>
    <cellStyle name="Normal 2 4 3 16 2 7 2" xfId="52230" xr:uid="{00000000-0005-0000-0000-00008DB00000}"/>
    <cellStyle name="Normal 2 4 3 16 2 8" xfId="52231" xr:uid="{00000000-0005-0000-0000-00008EB00000}"/>
    <cellStyle name="Normal 2 4 3 16 2 9" xfId="52232" xr:uid="{00000000-0005-0000-0000-00008FB00000}"/>
    <cellStyle name="Normal 2 4 3 16 3" xfId="18894" xr:uid="{00000000-0005-0000-0000-000090B00000}"/>
    <cellStyle name="Normal 2 4 3 16 3 2" xfId="18895" xr:uid="{00000000-0005-0000-0000-000091B00000}"/>
    <cellStyle name="Normal 2 4 3 16 3 2 2" xfId="18896" xr:uid="{00000000-0005-0000-0000-000092B00000}"/>
    <cellStyle name="Normal 2 4 3 16 3 2 2 2" xfId="52233" xr:uid="{00000000-0005-0000-0000-000093B00000}"/>
    <cellStyle name="Normal 2 4 3 16 3 2 3" xfId="18897" xr:uid="{00000000-0005-0000-0000-000094B00000}"/>
    <cellStyle name="Normal 2 4 3 16 3 2 3 2" xfId="52234" xr:uid="{00000000-0005-0000-0000-000095B00000}"/>
    <cellStyle name="Normal 2 4 3 16 3 2 4" xfId="52235" xr:uid="{00000000-0005-0000-0000-000096B00000}"/>
    <cellStyle name="Normal 2 4 3 16 3 3" xfId="18898" xr:uid="{00000000-0005-0000-0000-000097B00000}"/>
    <cellStyle name="Normal 2 4 3 16 3 3 2" xfId="52236" xr:uid="{00000000-0005-0000-0000-000098B00000}"/>
    <cellStyle name="Normal 2 4 3 16 3 4" xfId="18899" xr:uid="{00000000-0005-0000-0000-000099B00000}"/>
    <cellStyle name="Normal 2 4 3 16 3 4 2" xfId="52237" xr:uid="{00000000-0005-0000-0000-00009AB00000}"/>
    <cellStyle name="Normal 2 4 3 16 3 5" xfId="18900" xr:uid="{00000000-0005-0000-0000-00009BB00000}"/>
    <cellStyle name="Normal 2 4 3 16 3 5 2" xfId="52238" xr:uid="{00000000-0005-0000-0000-00009CB00000}"/>
    <cellStyle name="Normal 2 4 3 16 3 6" xfId="52239" xr:uid="{00000000-0005-0000-0000-00009DB00000}"/>
    <cellStyle name="Normal 2 4 3 16 3 6 2" xfId="52240" xr:uid="{00000000-0005-0000-0000-00009EB00000}"/>
    <cellStyle name="Normal 2 4 3 16 3 7" xfId="52241" xr:uid="{00000000-0005-0000-0000-00009FB00000}"/>
    <cellStyle name="Normal 2 4 3 16 4" xfId="18901" xr:uid="{00000000-0005-0000-0000-0000A0B00000}"/>
    <cellStyle name="Normal 2 4 3 16 4 2" xfId="18902" xr:uid="{00000000-0005-0000-0000-0000A1B00000}"/>
    <cellStyle name="Normal 2 4 3 16 4 2 2" xfId="52242" xr:uid="{00000000-0005-0000-0000-0000A2B00000}"/>
    <cellStyle name="Normal 2 4 3 16 4 3" xfId="18903" xr:uid="{00000000-0005-0000-0000-0000A3B00000}"/>
    <cellStyle name="Normal 2 4 3 16 4 3 2" xfId="52243" xr:uid="{00000000-0005-0000-0000-0000A4B00000}"/>
    <cellStyle name="Normal 2 4 3 16 4 4" xfId="52244" xr:uid="{00000000-0005-0000-0000-0000A5B00000}"/>
    <cellStyle name="Normal 2 4 3 16 5" xfId="18904" xr:uid="{00000000-0005-0000-0000-0000A6B00000}"/>
    <cellStyle name="Normal 2 4 3 16 5 2" xfId="18905" xr:uid="{00000000-0005-0000-0000-0000A7B00000}"/>
    <cellStyle name="Normal 2 4 3 16 5 2 2" xfId="52245" xr:uid="{00000000-0005-0000-0000-0000A8B00000}"/>
    <cellStyle name="Normal 2 4 3 16 5 3" xfId="52246" xr:uid="{00000000-0005-0000-0000-0000A9B00000}"/>
    <cellStyle name="Normal 2 4 3 16 6" xfId="18906" xr:uid="{00000000-0005-0000-0000-0000AAB00000}"/>
    <cellStyle name="Normal 2 4 3 16 6 2" xfId="52247" xr:uid="{00000000-0005-0000-0000-0000ABB00000}"/>
    <cellStyle name="Normal 2 4 3 16 7" xfId="18907" xr:uid="{00000000-0005-0000-0000-0000ACB00000}"/>
    <cellStyle name="Normal 2 4 3 16 7 2" xfId="52248" xr:uid="{00000000-0005-0000-0000-0000ADB00000}"/>
    <cellStyle name="Normal 2 4 3 16 8" xfId="52249" xr:uid="{00000000-0005-0000-0000-0000AEB00000}"/>
    <cellStyle name="Normal 2 4 3 16 8 2" xfId="52250" xr:uid="{00000000-0005-0000-0000-0000AFB00000}"/>
    <cellStyle name="Normal 2 4 3 16 9" xfId="52251" xr:uid="{00000000-0005-0000-0000-0000B0B00000}"/>
    <cellStyle name="Normal 2 4 3 17" xfId="18908" xr:uid="{00000000-0005-0000-0000-0000B1B00000}"/>
    <cellStyle name="Normal 2 4 3 17 10" xfId="52252" xr:uid="{00000000-0005-0000-0000-0000B2B00000}"/>
    <cellStyle name="Normal 2 4 3 17 11" xfId="52253" xr:uid="{00000000-0005-0000-0000-0000B3B00000}"/>
    <cellStyle name="Normal 2 4 3 17 2" xfId="18909" xr:uid="{00000000-0005-0000-0000-0000B4B00000}"/>
    <cellStyle name="Normal 2 4 3 17 2 10" xfId="52254" xr:uid="{00000000-0005-0000-0000-0000B5B00000}"/>
    <cellStyle name="Normal 2 4 3 17 2 2" xfId="18910" xr:uid="{00000000-0005-0000-0000-0000B6B00000}"/>
    <cellStyle name="Normal 2 4 3 17 2 2 2" xfId="18911" xr:uid="{00000000-0005-0000-0000-0000B7B00000}"/>
    <cellStyle name="Normal 2 4 3 17 2 2 2 2" xfId="18912" xr:uid="{00000000-0005-0000-0000-0000B8B00000}"/>
    <cellStyle name="Normal 2 4 3 17 2 2 2 2 2" xfId="52255" xr:uid="{00000000-0005-0000-0000-0000B9B00000}"/>
    <cellStyle name="Normal 2 4 3 17 2 2 2 3" xfId="18913" xr:uid="{00000000-0005-0000-0000-0000BAB00000}"/>
    <cellStyle name="Normal 2 4 3 17 2 2 2 3 2" xfId="52256" xr:uid="{00000000-0005-0000-0000-0000BBB00000}"/>
    <cellStyle name="Normal 2 4 3 17 2 2 2 4" xfId="52257" xr:uid="{00000000-0005-0000-0000-0000BCB00000}"/>
    <cellStyle name="Normal 2 4 3 17 2 2 3" xfId="18914" xr:uid="{00000000-0005-0000-0000-0000BDB00000}"/>
    <cellStyle name="Normal 2 4 3 17 2 2 3 2" xfId="52258" xr:uid="{00000000-0005-0000-0000-0000BEB00000}"/>
    <cellStyle name="Normal 2 4 3 17 2 2 4" xfId="18915" xr:uid="{00000000-0005-0000-0000-0000BFB00000}"/>
    <cellStyle name="Normal 2 4 3 17 2 2 4 2" xfId="52259" xr:uid="{00000000-0005-0000-0000-0000C0B00000}"/>
    <cellStyle name="Normal 2 4 3 17 2 2 5" xfId="18916" xr:uid="{00000000-0005-0000-0000-0000C1B00000}"/>
    <cellStyle name="Normal 2 4 3 17 2 2 5 2" xfId="52260" xr:uid="{00000000-0005-0000-0000-0000C2B00000}"/>
    <cellStyle name="Normal 2 4 3 17 2 2 6" xfId="52261" xr:uid="{00000000-0005-0000-0000-0000C3B00000}"/>
    <cellStyle name="Normal 2 4 3 17 2 2 6 2" xfId="52262" xr:uid="{00000000-0005-0000-0000-0000C4B00000}"/>
    <cellStyle name="Normal 2 4 3 17 2 2 7" xfId="52263" xr:uid="{00000000-0005-0000-0000-0000C5B00000}"/>
    <cellStyle name="Normal 2 4 3 17 2 3" xfId="18917" xr:uid="{00000000-0005-0000-0000-0000C6B00000}"/>
    <cellStyle name="Normal 2 4 3 17 2 3 2" xfId="18918" xr:uid="{00000000-0005-0000-0000-0000C7B00000}"/>
    <cellStyle name="Normal 2 4 3 17 2 3 2 2" xfId="52264" xr:uid="{00000000-0005-0000-0000-0000C8B00000}"/>
    <cellStyle name="Normal 2 4 3 17 2 3 3" xfId="18919" xr:uid="{00000000-0005-0000-0000-0000C9B00000}"/>
    <cellStyle name="Normal 2 4 3 17 2 3 3 2" xfId="52265" xr:uid="{00000000-0005-0000-0000-0000CAB00000}"/>
    <cellStyle name="Normal 2 4 3 17 2 3 4" xfId="52266" xr:uid="{00000000-0005-0000-0000-0000CBB00000}"/>
    <cellStyle name="Normal 2 4 3 17 2 4" xfId="18920" xr:uid="{00000000-0005-0000-0000-0000CCB00000}"/>
    <cellStyle name="Normal 2 4 3 17 2 4 2" xfId="18921" xr:uid="{00000000-0005-0000-0000-0000CDB00000}"/>
    <cellStyle name="Normal 2 4 3 17 2 4 2 2" xfId="52267" xr:uid="{00000000-0005-0000-0000-0000CEB00000}"/>
    <cellStyle name="Normal 2 4 3 17 2 4 3" xfId="52268" xr:uid="{00000000-0005-0000-0000-0000CFB00000}"/>
    <cellStyle name="Normal 2 4 3 17 2 5" xfId="18922" xr:uid="{00000000-0005-0000-0000-0000D0B00000}"/>
    <cellStyle name="Normal 2 4 3 17 2 5 2" xfId="52269" xr:uid="{00000000-0005-0000-0000-0000D1B00000}"/>
    <cellStyle name="Normal 2 4 3 17 2 6" xfId="18923" xr:uid="{00000000-0005-0000-0000-0000D2B00000}"/>
    <cellStyle name="Normal 2 4 3 17 2 6 2" xfId="52270" xr:uid="{00000000-0005-0000-0000-0000D3B00000}"/>
    <cellStyle name="Normal 2 4 3 17 2 7" xfId="52271" xr:uid="{00000000-0005-0000-0000-0000D4B00000}"/>
    <cellStyle name="Normal 2 4 3 17 2 7 2" xfId="52272" xr:uid="{00000000-0005-0000-0000-0000D5B00000}"/>
    <cellStyle name="Normal 2 4 3 17 2 8" xfId="52273" xr:uid="{00000000-0005-0000-0000-0000D6B00000}"/>
    <cellStyle name="Normal 2 4 3 17 2 9" xfId="52274" xr:uid="{00000000-0005-0000-0000-0000D7B00000}"/>
    <cellStyle name="Normal 2 4 3 17 3" xfId="18924" xr:uid="{00000000-0005-0000-0000-0000D8B00000}"/>
    <cellStyle name="Normal 2 4 3 17 3 2" xfId="18925" xr:uid="{00000000-0005-0000-0000-0000D9B00000}"/>
    <cellStyle name="Normal 2 4 3 17 3 2 2" xfId="18926" xr:uid="{00000000-0005-0000-0000-0000DAB00000}"/>
    <cellStyle name="Normal 2 4 3 17 3 2 2 2" xfId="52275" xr:uid="{00000000-0005-0000-0000-0000DBB00000}"/>
    <cellStyle name="Normal 2 4 3 17 3 2 3" xfId="18927" xr:uid="{00000000-0005-0000-0000-0000DCB00000}"/>
    <cellStyle name="Normal 2 4 3 17 3 2 3 2" xfId="52276" xr:uid="{00000000-0005-0000-0000-0000DDB00000}"/>
    <cellStyle name="Normal 2 4 3 17 3 2 4" xfId="52277" xr:uid="{00000000-0005-0000-0000-0000DEB00000}"/>
    <cellStyle name="Normal 2 4 3 17 3 3" xfId="18928" xr:uid="{00000000-0005-0000-0000-0000DFB00000}"/>
    <cellStyle name="Normal 2 4 3 17 3 3 2" xfId="52278" xr:uid="{00000000-0005-0000-0000-0000E0B00000}"/>
    <cellStyle name="Normal 2 4 3 17 3 4" xfId="18929" xr:uid="{00000000-0005-0000-0000-0000E1B00000}"/>
    <cellStyle name="Normal 2 4 3 17 3 4 2" xfId="52279" xr:uid="{00000000-0005-0000-0000-0000E2B00000}"/>
    <cellStyle name="Normal 2 4 3 17 3 5" xfId="18930" xr:uid="{00000000-0005-0000-0000-0000E3B00000}"/>
    <cellStyle name="Normal 2 4 3 17 3 5 2" xfId="52280" xr:uid="{00000000-0005-0000-0000-0000E4B00000}"/>
    <cellStyle name="Normal 2 4 3 17 3 6" xfId="52281" xr:uid="{00000000-0005-0000-0000-0000E5B00000}"/>
    <cellStyle name="Normal 2 4 3 17 3 6 2" xfId="52282" xr:uid="{00000000-0005-0000-0000-0000E6B00000}"/>
    <cellStyle name="Normal 2 4 3 17 3 7" xfId="52283" xr:uid="{00000000-0005-0000-0000-0000E7B00000}"/>
    <cellStyle name="Normal 2 4 3 17 4" xfId="18931" xr:uid="{00000000-0005-0000-0000-0000E8B00000}"/>
    <cellStyle name="Normal 2 4 3 17 4 2" xfId="18932" xr:uid="{00000000-0005-0000-0000-0000E9B00000}"/>
    <cellStyle name="Normal 2 4 3 17 4 2 2" xfId="52284" xr:uid="{00000000-0005-0000-0000-0000EAB00000}"/>
    <cellStyle name="Normal 2 4 3 17 4 3" xfId="18933" xr:uid="{00000000-0005-0000-0000-0000EBB00000}"/>
    <cellStyle name="Normal 2 4 3 17 4 3 2" xfId="52285" xr:uid="{00000000-0005-0000-0000-0000ECB00000}"/>
    <cellStyle name="Normal 2 4 3 17 4 4" xfId="52286" xr:uid="{00000000-0005-0000-0000-0000EDB00000}"/>
    <cellStyle name="Normal 2 4 3 17 5" xfId="18934" xr:uid="{00000000-0005-0000-0000-0000EEB00000}"/>
    <cellStyle name="Normal 2 4 3 17 5 2" xfId="18935" xr:uid="{00000000-0005-0000-0000-0000EFB00000}"/>
    <cellStyle name="Normal 2 4 3 17 5 2 2" xfId="52287" xr:uid="{00000000-0005-0000-0000-0000F0B00000}"/>
    <cellStyle name="Normal 2 4 3 17 5 3" xfId="52288" xr:uid="{00000000-0005-0000-0000-0000F1B00000}"/>
    <cellStyle name="Normal 2 4 3 17 6" xfId="18936" xr:uid="{00000000-0005-0000-0000-0000F2B00000}"/>
    <cellStyle name="Normal 2 4 3 17 6 2" xfId="52289" xr:uid="{00000000-0005-0000-0000-0000F3B00000}"/>
    <cellStyle name="Normal 2 4 3 17 7" xfId="18937" xr:uid="{00000000-0005-0000-0000-0000F4B00000}"/>
    <cellStyle name="Normal 2 4 3 17 7 2" xfId="52290" xr:uid="{00000000-0005-0000-0000-0000F5B00000}"/>
    <cellStyle name="Normal 2 4 3 17 8" xfId="52291" xr:uid="{00000000-0005-0000-0000-0000F6B00000}"/>
    <cellStyle name="Normal 2 4 3 17 8 2" xfId="52292" xr:uid="{00000000-0005-0000-0000-0000F7B00000}"/>
    <cellStyle name="Normal 2 4 3 17 9" xfId="52293" xr:uid="{00000000-0005-0000-0000-0000F8B00000}"/>
    <cellStyle name="Normal 2 4 3 18" xfId="18938" xr:uid="{00000000-0005-0000-0000-0000F9B00000}"/>
    <cellStyle name="Normal 2 4 3 18 10" xfId="52294" xr:uid="{00000000-0005-0000-0000-0000FAB00000}"/>
    <cellStyle name="Normal 2 4 3 18 11" xfId="52295" xr:uid="{00000000-0005-0000-0000-0000FBB00000}"/>
    <cellStyle name="Normal 2 4 3 18 2" xfId="18939" xr:uid="{00000000-0005-0000-0000-0000FCB00000}"/>
    <cellStyle name="Normal 2 4 3 18 2 10" xfId="52296" xr:uid="{00000000-0005-0000-0000-0000FDB00000}"/>
    <cellStyle name="Normal 2 4 3 18 2 2" xfId="18940" xr:uid="{00000000-0005-0000-0000-0000FEB00000}"/>
    <cellStyle name="Normal 2 4 3 18 2 2 2" xfId="18941" xr:uid="{00000000-0005-0000-0000-0000FFB00000}"/>
    <cellStyle name="Normal 2 4 3 18 2 2 2 2" xfId="18942" xr:uid="{00000000-0005-0000-0000-000000B10000}"/>
    <cellStyle name="Normal 2 4 3 18 2 2 2 2 2" xfId="52297" xr:uid="{00000000-0005-0000-0000-000001B10000}"/>
    <cellStyle name="Normal 2 4 3 18 2 2 2 3" xfId="18943" xr:uid="{00000000-0005-0000-0000-000002B10000}"/>
    <cellStyle name="Normal 2 4 3 18 2 2 2 3 2" xfId="52298" xr:uid="{00000000-0005-0000-0000-000003B10000}"/>
    <cellStyle name="Normal 2 4 3 18 2 2 2 4" xfId="52299" xr:uid="{00000000-0005-0000-0000-000004B10000}"/>
    <cellStyle name="Normal 2 4 3 18 2 2 3" xfId="18944" xr:uid="{00000000-0005-0000-0000-000005B10000}"/>
    <cellStyle name="Normal 2 4 3 18 2 2 3 2" xfId="52300" xr:uid="{00000000-0005-0000-0000-000006B10000}"/>
    <cellStyle name="Normal 2 4 3 18 2 2 4" xfId="18945" xr:uid="{00000000-0005-0000-0000-000007B10000}"/>
    <cellStyle name="Normal 2 4 3 18 2 2 4 2" xfId="52301" xr:uid="{00000000-0005-0000-0000-000008B10000}"/>
    <cellStyle name="Normal 2 4 3 18 2 2 5" xfId="18946" xr:uid="{00000000-0005-0000-0000-000009B10000}"/>
    <cellStyle name="Normal 2 4 3 18 2 2 5 2" xfId="52302" xr:uid="{00000000-0005-0000-0000-00000AB10000}"/>
    <cellStyle name="Normal 2 4 3 18 2 2 6" xfId="52303" xr:uid="{00000000-0005-0000-0000-00000BB10000}"/>
    <cellStyle name="Normal 2 4 3 18 2 2 6 2" xfId="52304" xr:uid="{00000000-0005-0000-0000-00000CB10000}"/>
    <cellStyle name="Normal 2 4 3 18 2 2 7" xfId="52305" xr:uid="{00000000-0005-0000-0000-00000DB10000}"/>
    <cellStyle name="Normal 2 4 3 18 2 3" xfId="18947" xr:uid="{00000000-0005-0000-0000-00000EB10000}"/>
    <cellStyle name="Normal 2 4 3 18 2 3 2" xfId="18948" xr:uid="{00000000-0005-0000-0000-00000FB10000}"/>
    <cellStyle name="Normal 2 4 3 18 2 3 2 2" xfId="52306" xr:uid="{00000000-0005-0000-0000-000010B10000}"/>
    <cellStyle name="Normal 2 4 3 18 2 3 3" xfId="18949" xr:uid="{00000000-0005-0000-0000-000011B10000}"/>
    <cellStyle name="Normal 2 4 3 18 2 3 3 2" xfId="52307" xr:uid="{00000000-0005-0000-0000-000012B10000}"/>
    <cellStyle name="Normal 2 4 3 18 2 3 4" xfId="52308" xr:uid="{00000000-0005-0000-0000-000013B10000}"/>
    <cellStyle name="Normal 2 4 3 18 2 4" xfId="18950" xr:uid="{00000000-0005-0000-0000-000014B10000}"/>
    <cellStyle name="Normal 2 4 3 18 2 4 2" xfId="18951" xr:uid="{00000000-0005-0000-0000-000015B10000}"/>
    <cellStyle name="Normal 2 4 3 18 2 4 2 2" xfId="52309" xr:uid="{00000000-0005-0000-0000-000016B10000}"/>
    <cellStyle name="Normal 2 4 3 18 2 4 3" xfId="52310" xr:uid="{00000000-0005-0000-0000-000017B10000}"/>
    <cellStyle name="Normal 2 4 3 18 2 5" xfId="18952" xr:uid="{00000000-0005-0000-0000-000018B10000}"/>
    <cellStyle name="Normal 2 4 3 18 2 5 2" xfId="52311" xr:uid="{00000000-0005-0000-0000-000019B10000}"/>
    <cellStyle name="Normal 2 4 3 18 2 6" xfId="18953" xr:uid="{00000000-0005-0000-0000-00001AB10000}"/>
    <cellStyle name="Normal 2 4 3 18 2 6 2" xfId="52312" xr:uid="{00000000-0005-0000-0000-00001BB10000}"/>
    <cellStyle name="Normal 2 4 3 18 2 7" xfId="52313" xr:uid="{00000000-0005-0000-0000-00001CB10000}"/>
    <cellStyle name="Normal 2 4 3 18 2 7 2" xfId="52314" xr:uid="{00000000-0005-0000-0000-00001DB10000}"/>
    <cellStyle name="Normal 2 4 3 18 2 8" xfId="52315" xr:uid="{00000000-0005-0000-0000-00001EB10000}"/>
    <cellStyle name="Normal 2 4 3 18 2 9" xfId="52316" xr:uid="{00000000-0005-0000-0000-00001FB10000}"/>
    <cellStyle name="Normal 2 4 3 18 3" xfId="18954" xr:uid="{00000000-0005-0000-0000-000020B10000}"/>
    <cellStyle name="Normal 2 4 3 18 3 2" xfId="18955" xr:uid="{00000000-0005-0000-0000-000021B10000}"/>
    <cellStyle name="Normal 2 4 3 18 3 2 2" xfId="18956" xr:uid="{00000000-0005-0000-0000-000022B10000}"/>
    <cellStyle name="Normal 2 4 3 18 3 2 2 2" xfId="52317" xr:uid="{00000000-0005-0000-0000-000023B10000}"/>
    <cellStyle name="Normal 2 4 3 18 3 2 3" xfId="18957" xr:uid="{00000000-0005-0000-0000-000024B10000}"/>
    <cellStyle name="Normal 2 4 3 18 3 2 3 2" xfId="52318" xr:uid="{00000000-0005-0000-0000-000025B10000}"/>
    <cellStyle name="Normal 2 4 3 18 3 2 4" xfId="52319" xr:uid="{00000000-0005-0000-0000-000026B10000}"/>
    <cellStyle name="Normal 2 4 3 18 3 3" xfId="18958" xr:uid="{00000000-0005-0000-0000-000027B10000}"/>
    <cellStyle name="Normal 2 4 3 18 3 3 2" xfId="52320" xr:uid="{00000000-0005-0000-0000-000028B10000}"/>
    <cellStyle name="Normal 2 4 3 18 3 4" xfId="18959" xr:uid="{00000000-0005-0000-0000-000029B10000}"/>
    <cellStyle name="Normal 2 4 3 18 3 4 2" xfId="52321" xr:uid="{00000000-0005-0000-0000-00002AB10000}"/>
    <cellStyle name="Normal 2 4 3 18 3 5" xfId="18960" xr:uid="{00000000-0005-0000-0000-00002BB10000}"/>
    <cellStyle name="Normal 2 4 3 18 3 5 2" xfId="52322" xr:uid="{00000000-0005-0000-0000-00002CB10000}"/>
    <cellStyle name="Normal 2 4 3 18 3 6" xfId="52323" xr:uid="{00000000-0005-0000-0000-00002DB10000}"/>
    <cellStyle name="Normal 2 4 3 18 3 6 2" xfId="52324" xr:uid="{00000000-0005-0000-0000-00002EB10000}"/>
    <cellStyle name="Normal 2 4 3 18 3 7" xfId="52325" xr:uid="{00000000-0005-0000-0000-00002FB10000}"/>
    <cellStyle name="Normal 2 4 3 18 4" xfId="18961" xr:uid="{00000000-0005-0000-0000-000030B10000}"/>
    <cellStyle name="Normal 2 4 3 18 4 2" xfId="18962" xr:uid="{00000000-0005-0000-0000-000031B10000}"/>
    <cellStyle name="Normal 2 4 3 18 4 2 2" xfId="52326" xr:uid="{00000000-0005-0000-0000-000032B10000}"/>
    <cellStyle name="Normal 2 4 3 18 4 3" xfId="18963" xr:uid="{00000000-0005-0000-0000-000033B10000}"/>
    <cellStyle name="Normal 2 4 3 18 4 3 2" xfId="52327" xr:uid="{00000000-0005-0000-0000-000034B10000}"/>
    <cellStyle name="Normal 2 4 3 18 4 4" xfId="52328" xr:uid="{00000000-0005-0000-0000-000035B10000}"/>
    <cellStyle name="Normal 2 4 3 18 5" xfId="18964" xr:uid="{00000000-0005-0000-0000-000036B10000}"/>
    <cellStyle name="Normal 2 4 3 18 5 2" xfId="18965" xr:uid="{00000000-0005-0000-0000-000037B10000}"/>
    <cellStyle name="Normal 2 4 3 18 5 2 2" xfId="52329" xr:uid="{00000000-0005-0000-0000-000038B10000}"/>
    <cellStyle name="Normal 2 4 3 18 5 3" xfId="52330" xr:uid="{00000000-0005-0000-0000-000039B10000}"/>
    <cellStyle name="Normal 2 4 3 18 6" xfId="18966" xr:uid="{00000000-0005-0000-0000-00003AB10000}"/>
    <cellStyle name="Normal 2 4 3 18 6 2" xfId="52331" xr:uid="{00000000-0005-0000-0000-00003BB10000}"/>
    <cellStyle name="Normal 2 4 3 18 7" xfId="18967" xr:uid="{00000000-0005-0000-0000-00003CB10000}"/>
    <cellStyle name="Normal 2 4 3 18 7 2" xfId="52332" xr:uid="{00000000-0005-0000-0000-00003DB10000}"/>
    <cellStyle name="Normal 2 4 3 18 8" xfId="52333" xr:uid="{00000000-0005-0000-0000-00003EB10000}"/>
    <cellStyle name="Normal 2 4 3 18 8 2" xfId="52334" xr:uid="{00000000-0005-0000-0000-00003FB10000}"/>
    <cellStyle name="Normal 2 4 3 18 9" xfId="52335" xr:uid="{00000000-0005-0000-0000-000040B10000}"/>
    <cellStyle name="Normal 2 4 3 19" xfId="18968" xr:uid="{00000000-0005-0000-0000-000041B10000}"/>
    <cellStyle name="Normal 2 4 3 19 10" xfId="52336" xr:uid="{00000000-0005-0000-0000-000042B10000}"/>
    <cellStyle name="Normal 2 4 3 19 11" xfId="52337" xr:uid="{00000000-0005-0000-0000-000043B10000}"/>
    <cellStyle name="Normal 2 4 3 19 2" xfId="18969" xr:uid="{00000000-0005-0000-0000-000044B10000}"/>
    <cellStyle name="Normal 2 4 3 19 2 10" xfId="52338" xr:uid="{00000000-0005-0000-0000-000045B10000}"/>
    <cellStyle name="Normal 2 4 3 19 2 2" xfId="18970" xr:uid="{00000000-0005-0000-0000-000046B10000}"/>
    <cellStyle name="Normal 2 4 3 19 2 2 2" xfId="18971" xr:uid="{00000000-0005-0000-0000-000047B10000}"/>
    <cellStyle name="Normal 2 4 3 19 2 2 2 2" xfId="18972" xr:uid="{00000000-0005-0000-0000-000048B10000}"/>
    <cellStyle name="Normal 2 4 3 19 2 2 2 2 2" xfId="52339" xr:uid="{00000000-0005-0000-0000-000049B10000}"/>
    <cellStyle name="Normal 2 4 3 19 2 2 2 3" xfId="18973" xr:uid="{00000000-0005-0000-0000-00004AB10000}"/>
    <cellStyle name="Normal 2 4 3 19 2 2 2 3 2" xfId="52340" xr:uid="{00000000-0005-0000-0000-00004BB10000}"/>
    <cellStyle name="Normal 2 4 3 19 2 2 2 4" xfId="52341" xr:uid="{00000000-0005-0000-0000-00004CB10000}"/>
    <cellStyle name="Normal 2 4 3 19 2 2 3" xfId="18974" xr:uid="{00000000-0005-0000-0000-00004DB10000}"/>
    <cellStyle name="Normal 2 4 3 19 2 2 3 2" xfId="52342" xr:uid="{00000000-0005-0000-0000-00004EB10000}"/>
    <cellStyle name="Normal 2 4 3 19 2 2 4" xfId="18975" xr:uid="{00000000-0005-0000-0000-00004FB10000}"/>
    <cellStyle name="Normal 2 4 3 19 2 2 4 2" xfId="52343" xr:uid="{00000000-0005-0000-0000-000050B10000}"/>
    <cellStyle name="Normal 2 4 3 19 2 2 5" xfId="18976" xr:uid="{00000000-0005-0000-0000-000051B10000}"/>
    <cellStyle name="Normal 2 4 3 19 2 2 5 2" xfId="52344" xr:uid="{00000000-0005-0000-0000-000052B10000}"/>
    <cellStyle name="Normal 2 4 3 19 2 2 6" xfId="52345" xr:uid="{00000000-0005-0000-0000-000053B10000}"/>
    <cellStyle name="Normal 2 4 3 19 2 2 6 2" xfId="52346" xr:uid="{00000000-0005-0000-0000-000054B10000}"/>
    <cellStyle name="Normal 2 4 3 19 2 2 7" xfId="52347" xr:uid="{00000000-0005-0000-0000-000055B10000}"/>
    <cellStyle name="Normal 2 4 3 19 2 3" xfId="18977" xr:uid="{00000000-0005-0000-0000-000056B10000}"/>
    <cellStyle name="Normal 2 4 3 19 2 3 2" xfId="18978" xr:uid="{00000000-0005-0000-0000-000057B10000}"/>
    <cellStyle name="Normal 2 4 3 19 2 3 2 2" xfId="52348" xr:uid="{00000000-0005-0000-0000-000058B10000}"/>
    <cellStyle name="Normal 2 4 3 19 2 3 3" xfId="18979" xr:uid="{00000000-0005-0000-0000-000059B10000}"/>
    <cellStyle name="Normal 2 4 3 19 2 3 3 2" xfId="52349" xr:uid="{00000000-0005-0000-0000-00005AB10000}"/>
    <cellStyle name="Normal 2 4 3 19 2 3 4" xfId="52350" xr:uid="{00000000-0005-0000-0000-00005BB10000}"/>
    <cellStyle name="Normal 2 4 3 19 2 4" xfId="18980" xr:uid="{00000000-0005-0000-0000-00005CB10000}"/>
    <cellStyle name="Normal 2 4 3 19 2 4 2" xfId="18981" xr:uid="{00000000-0005-0000-0000-00005DB10000}"/>
    <cellStyle name="Normal 2 4 3 19 2 4 2 2" xfId="52351" xr:uid="{00000000-0005-0000-0000-00005EB10000}"/>
    <cellStyle name="Normal 2 4 3 19 2 4 3" xfId="52352" xr:uid="{00000000-0005-0000-0000-00005FB10000}"/>
    <cellStyle name="Normal 2 4 3 19 2 5" xfId="18982" xr:uid="{00000000-0005-0000-0000-000060B10000}"/>
    <cellStyle name="Normal 2 4 3 19 2 5 2" xfId="52353" xr:uid="{00000000-0005-0000-0000-000061B10000}"/>
    <cellStyle name="Normal 2 4 3 19 2 6" xfId="18983" xr:uid="{00000000-0005-0000-0000-000062B10000}"/>
    <cellStyle name="Normal 2 4 3 19 2 6 2" xfId="52354" xr:uid="{00000000-0005-0000-0000-000063B10000}"/>
    <cellStyle name="Normal 2 4 3 19 2 7" xfId="52355" xr:uid="{00000000-0005-0000-0000-000064B10000}"/>
    <cellStyle name="Normal 2 4 3 19 2 7 2" xfId="52356" xr:uid="{00000000-0005-0000-0000-000065B10000}"/>
    <cellStyle name="Normal 2 4 3 19 2 8" xfId="52357" xr:uid="{00000000-0005-0000-0000-000066B10000}"/>
    <cellStyle name="Normal 2 4 3 19 2 9" xfId="52358" xr:uid="{00000000-0005-0000-0000-000067B10000}"/>
    <cellStyle name="Normal 2 4 3 19 3" xfId="18984" xr:uid="{00000000-0005-0000-0000-000068B10000}"/>
    <cellStyle name="Normal 2 4 3 19 3 2" xfId="18985" xr:uid="{00000000-0005-0000-0000-000069B10000}"/>
    <cellStyle name="Normal 2 4 3 19 3 2 2" xfId="18986" xr:uid="{00000000-0005-0000-0000-00006AB10000}"/>
    <cellStyle name="Normal 2 4 3 19 3 2 2 2" xfId="52359" xr:uid="{00000000-0005-0000-0000-00006BB10000}"/>
    <cellStyle name="Normal 2 4 3 19 3 2 3" xfId="18987" xr:uid="{00000000-0005-0000-0000-00006CB10000}"/>
    <cellStyle name="Normal 2 4 3 19 3 2 3 2" xfId="52360" xr:uid="{00000000-0005-0000-0000-00006DB10000}"/>
    <cellStyle name="Normal 2 4 3 19 3 2 4" xfId="52361" xr:uid="{00000000-0005-0000-0000-00006EB10000}"/>
    <cellStyle name="Normal 2 4 3 19 3 3" xfId="18988" xr:uid="{00000000-0005-0000-0000-00006FB10000}"/>
    <cellStyle name="Normal 2 4 3 19 3 3 2" xfId="52362" xr:uid="{00000000-0005-0000-0000-000070B10000}"/>
    <cellStyle name="Normal 2 4 3 19 3 4" xfId="18989" xr:uid="{00000000-0005-0000-0000-000071B10000}"/>
    <cellStyle name="Normal 2 4 3 19 3 4 2" xfId="52363" xr:uid="{00000000-0005-0000-0000-000072B10000}"/>
    <cellStyle name="Normal 2 4 3 19 3 5" xfId="18990" xr:uid="{00000000-0005-0000-0000-000073B10000}"/>
    <cellStyle name="Normal 2 4 3 19 3 5 2" xfId="52364" xr:uid="{00000000-0005-0000-0000-000074B10000}"/>
    <cellStyle name="Normal 2 4 3 19 3 6" xfId="52365" xr:uid="{00000000-0005-0000-0000-000075B10000}"/>
    <cellStyle name="Normal 2 4 3 19 3 6 2" xfId="52366" xr:uid="{00000000-0005-0000-0000-000076B10000}"/>
    <cellStyle name="Normal 2 4 3 19 3 7" xfId="52367" xr:uid="{00000000-0005-0000-0000-000077B10000}"/>
    <cellStyle name="Normal 2 4 3 19 4" xfId="18991" xr:uid="{00000000-0005-0000-0000-000078B10000}"/>
    <cellStyle name="Normal 2 4 3 19 4 2" xfId="18992" xr:uid="{00000000-0005-0000-0000-000079B10000}"/>
    <cellStyle name="Normal 2 4 3 19 4 2 2" xfId="52368" xr:uid="{00000000-0005-0000-0000-00007AB10000}"/>
    <cellStyle name="Normal 2 4 3 19 4 3" xfId="18993" xr:uid="{00000000-0005-0000-0000-00007BB10000}"/>
    <cellStyle name="Normal 2 4 3 19 4 3 2" xfId="52369" xr:uid="{00000000-0005-0000-0000-00007CB10000}"/>
    <cellStyle name="Normal 2 4 3 19 4 4" xfId="52370" xr:uid="{00000000-0005-0000-0000-00007DB10000}"/>
    <cellStyle name="Normal 2 4 3 19 5" xfId="18994" xr:uid="{00000000-0005-0000-0000-00007EB10000}"/>
    <cellStyle name="Normal 2 4 3 19 5 2" xfId="18995" xr:uid="{00000000-0005-0000-0000-00007FB10000}"/>
    <cellStyle name="Normal 2 4 3 19 5 2 2" xfId="52371" xr:uid="{00000000-0005-0000-0000-000080B10000}"/>
    <cellStyle name="Normal 2 4 3 19 5 3" xfId="52372" xr:uid="{00000000-0005-0000-0000-000081B10000}"/>
    <cellStyle name="Normal 2 4 3 19 6" xfId="18996" xr:uid="{00000000-0005-0000-0000-000082B10000}"/>
    <cellStyle name="Normal 2 4 3 19 6 2" xfId="52373" xr:uid="{00000000-0005-0000-0000-000083B10000}"/>
    <cellStyle name="Normal 2 4 3 19 7" xfId="18997" xr:uid="{00000000-0005-0000-0000-000084B10000}"/>
    <cellStyle name="Normal 2 4 3 19 7 2" xfId="52374" xr:uid="{00000000-0005-0000-0000-000085B10000}"/>
    <cellStyle name="Normal 2 4 3 19 8" xfId="52375" xr:uid="{00000000-0005-0000-0000-000086B10000}"/>
    <cellStyle name="Normal 2 4 3 19 8 2" xfId="52376" xr:uid="{00000000-0005-0000-0000-000087B10000}"/>
    <cellStyle name="Normal 2 4 3 19 9" xfId="52377" xr:uid="{00000000-0005-0000-0000-000088B10000}"/>
    <cellStyle name="Normal 2 4 3 2" xfId="18998" xr:uid="{00000000-0005-0000-0000-000089B10000}"/>
    <cellStyle name="Normal 2 4 3 2 10" xfId="52378" xr:uid="{00000000-0005-0000-0000-00008AB10000}"/>
    <cellStyle name="Normal 2 4 3 2 11" xfId="52379" xr:uid="{00000000-0005-0000-0000-00008BB10000}"/>
    <cellStyle name="Normal 2 4 3 2 2" xfId="18999" xr:uid="{00000000-0005-0000-0000-00008CB10000}"/>
    <cellStyle name="Normal 2 4 3 2 2 10" xfId="52380" xr:uid="{00000000-0005-0000-0000-00008DB10000}"/>
    <cellStyle name="Normal 2 4 3 2 2 2" xfId="19000" xr:uid="{00000000-0005-0000-0000-00008EB10000}"/>
    <cellStyle name="Normal 2 4 3 2 2 2 2" xfId="19001" xr:uid="{00000000-0005-0000-0000-00008FB10000}"/>
    <cellStyle name="Normal 2 4 3 2 2 2 2 2" xfId="19002" xr:uid="{00000000-0005-0000-0000-000090B10000}"/>
    <cellStyle name="Normal 2 4 3 2 2 2 2 2 2" xfId="52381" xr:uid="{00000000-0005-0000-0000-000091B10000}"/>
    <cellStyle name="Normal 2 4 3 2 2 2 2 3" xfId="19003" xr:uid="{00000000-0005-0000-0000-000092B10000}"/>
    <cellStyle name="Normal 2 4 3 2 2 2 2 3 2" xfId="52382" xr:uid="{00000000-0005-0000-0000-000093B10000}"/>
    <cellStyle name="Normal 2 4 3 2 2 2 2 4" xfId="52383" xr:uid="{00000000-0005-0000-0000-000094B10000}"/>
    <cellStyle name="Normal 2 4 3 2 2 2 3" xfId="19004" xr:uid="{00000000-0005-0000-0000-000095B10000}"/>
    <cellStyle name="Normal 2 4 3 2 2 2 3 2" xfId="52384" xr:uid="{00000000-0005-0000-0000-000096B10000}"/>
    <cellStyle name="Normal 2 4 3 2 2 2 4" xfId="19005" xr:uid="{00000000-0005-0000-0000-000097B10000}"/>
    <cellStyle name="Normal 2 4 3 2 2 2 4 2" xfId="52385" xr:uid="{00000000-0005-0000-0000-000098B10000}"/>
    <cellStyle name="Normal 2 4 3 2 2 2 5" xfId="19006" xr:uid="{00000000-0005-0000-0000-000099B10000}"/>
    <cellStyle name="Normal 2 4 3 2 2 2 5 2" xfId="52386" xr:uid="{00000000-0005-0000-0000-00009AB10000}"/>
    <cellStyle name="Normal 2 4 3 2 2 2 6" xfId="52387" xr:uid="{00000000-0005-0000-0000-00009BB10000}"/>
    <cellStyle name="Normal 2 4 3 2 2 2 6 2" xfId="52388" xr:uid="{00000000-0005-0000-0000-00009CB10000}"/>
    <cellStyle name="Normal 2 4 3 2 2 2 7" xfId="52389" xr:uid="{00000000-0005-0000-0000-00009DB10000}"/>
    <cellStyle name="Normal 2 4 3 2 2 3" xfId="19007" xr:uid="{00000000-0005-0000-0000-00009EB10000}"/>
    <cellStyle name="Normal 2 4 3 2 2 3 2" xfId="19008" xr:uid="{00000000-0005-0000-0000-00009FB10000}"/>
    <cellStyle name="Normal 2 4 3 2 2 3 2 2" xfId="52390" xr:uid="{00000000-0005-0000-0000-0000A0B10000}"/>
    <cellStyle name="Normal 2 4 3 2 2 3 3" xfId="19009" xr:uid="{00000000-0005-0000-0000-0000A1B10000}"/>
    <cellStyle name="Normal 2 4 3 2 2 3 3 2" xfId="52391" xr:uid="{00000000-0005-0000-0000-0000A2B10000}"/>
    <cellStyle name="Normal 2 4 3 2 2 3 4" xfId="52392" xr:uid="{00000000-0005-0000-0000-0000A3B10000}"/>
    <cellStyle name="Normal 2 4 3 2 2 4" xfId="19010" xr:uid="{00000000-0005-0000-0000-0000A4B10000}"/>
    <cellStyle name="Normal 2 4 3 2 2 4 2" xfId="19011" xr:uid="{00000000-0005-0000-0000-0000A5B10000}"/>
    <cellStyle name="Normal 2 4 3 2 2 4 2 2" xfId="52393" xr:uid="{00000000-0005-0000-0000-0000A6B10000}"/>
    <cellStyle name="Normal 2 4 3 2 2 4 3" xfId="52394" xr:uid="{00000000-0005-0000-0000-0000A7B10000}"/>
    <cellStyle name="Normal 2 4 3 2 2 5" xfId="19012" xr:uid="{00000000-0005-0000-0000-0000A8B10000}"/>
    <cellStyle name="Normal 2 4 3 2 2 5 2" xfId="52395" xr:uid="{00000000-0005-0000-0000-0000A9B10000}"/>
    <cellStyle name="Normal 2 4 3 2 2 6" xfId="19013" xr:uid="{00000000-0005-0000-0000-0000AAB10000}"/>
    <cellStyle name="Normal 2 4 3 2 2 6 2" xfId="52396" xr:uid="{00000000-0005-0000-0000-0000ABB10000}"/>
    <cellStyle name="Normal 2 4 3 2 2 7" xfId="52397" xr:uid="{00000000-0005-0000-0000-0000ACB10000}"/>
    <cellStyle name="Normal 2 4 3 2 2 7 2" xfId="52398" xr:uid="{00000000-0005-0000-0000-0000ADB10000}"/>
    <cellStyle name="Normal 2 4 3 2 2 8" xfId="52399" xr:uid="{00000000-0005-0000-0000-0000AEB10000}"/>
    <cellStyle name="Normal 2 4 3 2 2 9" xfId="52400" xr:uid="{00000000-0005-0000-0000-0000AFB10000}"/>
    <cellStyle name="Normal 2 4 3 2 3" xfId="19014" xr:uid="{00000000-0005-0000-0000-0000B0B10000}"/>
    <cellStyle name="Normal 2 4 3 2 3 2" xfId="19015" xr:uid="{00000000-0005-0000-0000-0000B1B10000}"/>
    <cellStyle name="Normal 2 4 3 2 3 2 2" xfId="19016" xr:uid="{00000000-0005-0000-0000-0000B2B10000}"/>
    <cellStyle name="Normal 2 4 3 2 3 2 2 2" xfId="52401" xr:uid="{00000000-0005-0000-0000-0000B3B10000}"/>
    <cellStyle name="Normal 2 4 3 2 3 2 3" xfId="19017" xr:uid="{00000000-0005-0000-0000-0000B4B10000}"/>
    <cellStyle name="Normal 2 4 3 2 3 2 3 2" xfId="52402" xr:uid="{00000000-0005-0000-0000-0000B5B10000}"/>
    <cellStyle name="Normal 2 4 3 2 3 2 4" xfId="52403" xr:uid="{00000000-0005-0000-0000-0000B6B10000}"/>
    <cellStyle name="Normal 2 4 3 2 3 3" xfId="19018" xr:uid="{00000000-0005-0000-0000-0000B7B10000}"/>
    <cellStyle name="Normal 2 4 3 2 3 3 2" xfId="52404" xr:uid="{00000000-0005-0000-0000-0000B8B10000}"/>
    <cellStyle name="Normal 2 4 3 2 3 4" xfId="19019" xr:uid="{00000000-0005-0000-0000-0000B9B10000}"/>
    <cellStyle name="Normal 2 4 3 2 3 4 2" xfId="52405" xr:uid="{00000000-0005-0000-0000-0000BAB10000}"/>
    <cellStyle name="Normal 2 4 3 2 3 5" xfId="19020" xr:uid="{00000000-0005-0000-0000-0000BBB10000}"/>
    <cellStyle name="Normal 2 4 3 2 3 5 2" xfId="52406" xr:uid="{00000000-0005-0000-0000-0000BCB10000}"/>
    <cellStyle name="Normal 2 4 3 2 3 6" xfId="52407" xr:uid="{00000000-0005-0000-0000-0000BDB10000}"/>
    <cellStyle name="Normal 2 4 3 2 3 6 2" xfId="52408" xr:uid="{00000000-0005-0000-0000-0000BEB10000}"/>
    <cellStyle name="Normal 2 4 3 2 3 7" xfId="52409" xr:uid="{00000000-0005-0000-0000-0000BFB10000}"/>
    <cellStyle name="Normal 2 4 3 2 4" xfId="19021" xr:uid="{00000000-0005-0000-0000-0000C0B10000}"/>
    <cellStyle name="Normal 2 4 3 2 4 2" xfId="19022" xr:uid="{00000000-0005-0000-0000-0000C1B10000}"/>
    <cellStyle name="Normal 2 4 3 2 4 2 2" xfId="52410" xr:uid="{00000000-0005-0000-0000-0000C2B10000}"/>
    <cellStyle name="Normal 2 4 3 2 4 3" xfId="19023" xr:uid="{00000000-0005-0000-0000-0000C3B10000}"/>
    <cellStyle name="Normal 2 4 3 2 4 3 2" xfId="52411" xr:uid="{00000000-0005-0000-0000-0000C4B10000}"/>
    <cellStyle name="Normal 2 4 3 2 4 4" xfId="52412" xr:uid="{00000000-0005-0000-0000-0000C5B10000}"/>
    <cellStyle name="Normal 2 4 3 2 5" xfId="19024" xr:uid="{00000000-0005-0000-0000-0000C6B10000}"/>
    <cellStyle name="Normal 2 4 3 2 5 2" xfId="19025" xr:uid="{00000000-0005-0000-0000-0000C7B10000}"/>
    <cellStyle name="Normal 2 4 3 2 5 2 2" xfId="52413" xr:uid="{00000000-0005-0000-0000-0000C8B10000}"/>
    <cellStyle name="Normal 2 4 3 2 5 3" xfId="52414" xr:uid="{00000000-0005-0000-0000-0000C9B10000}"/>
    <cellStyle name="Normal 2 4 3 2 6" xfId="19026" xr:uid="{00000000-0005-0000-0000-0000CAB10000}"/>
    <cellStyle name="Normal 2 4 3 2 6 2" xfId="52415" xr:uid="{00000000-0005-0000-0000-0000CBB10000}"/>
    <cellStyle name="Normal 2 4 3 2 7" xfId="19027" xr:uid="{00000000-0005-0000-0000-0000CCB10000}"/>
    <cellStyle name="Normal 2 4 3 2 7 2" xfId="52416" xr:uid="{00000000-0005-0000-0000-0000CDB10000}"/>
    <cellStyle name="Normal 2 4 3 2 8" xfId="52417" xr:uid="{00000000-0005-0000-0000-0000CEB10000}"/>
    <cellStyle name="Normal 2 4 3 2 8 2" xfId="52418" xr:uid="{00000000-0005-0000-0000-0000CFB10000}"/>
    <cellStyle name="Normal 2 4 3 2 9" xfId="52419" xr:uid="{00000000-0005-0000-0000-0000D0B10000}"/>
    <cellStyle name="Normal 2 4 3 20" xfId="19028" xr:uid="{00000000-0005-0000-0000-0000D1B10000}"/>
    <cellStyle name="Normal 2 4 3 20 10" xfId="52420" xr:uid="{00000000-0005-0000-0000-0000D2B10000}"/>
    <cellStyle name="Normal 2 4 3 20 11" xfId="52421" xr:uid="{00000000-0005-0000-0000-0000D3B10000}"/>
    <cellStyle name="Normal 2 4 3 20 2" xfId="19029" xr:uid="{00000000-0005-0000-0000-0000D4B10000}"/>
    <cellStyle name="Normal 2 4 3 20 2 10" xfId="52422" xr:uid="{00000000-0005-0000-0000-0000D5B10000}"/>
    <cellStyle name="Normal 2 4 3 20 2 2" xfId="19030" xr:uid="{00000000-0005-0000-0000-0000D6B10000}"/>
    <cellStyle name="Normal 2 4 3 20 2 2 2" xfId="19031" xr:uid="{00000000-0005-0000-0000-0000D7B10000}"/>
    <cellStyle name="Normal 2 4 3 20 2 2 2 2" xfId="19032" xr:uid="{00000000-0005-0000-0000-0000D8B10000}"/>
    <cellStyle name="Normal 2 4 3 20 2 2 2 2 2" xfId="52423" xr:uid="{00000000-0005-0000-0000-0000D9B10000}"/>
    <cellStyle name="Normal 2 4 3 20 2 2 2 3" xfId="19033" xr:uid="{00000000-0005-0000-0000-0000DAB10000}"/>
    <cellStyle name="Normal 2 4 3 20 2 2 2 3 2" xfId="52424" xr:uid="{00000000-0005-0000-0000-0000DBB10000}"/>
    <cellStyle name="Normal 2 4 3 20 2 2 2 4" xfId="52425" xr:uid="{00000000-0005-0000-0000-0000DCB10000}"/>
    <cellStyle name="Normal 2 4 3 20 2 2 3" xfId="19034" xr:uid="{00000000-0005-0000-0000-0000DDB10000}"/>
    <cellStyle name="Normal 2 4 3 20 2 2 3 2" xfId="52426" xr:uid="{00000000-0005-0000-0000-0000DEB10000}"/>
    <cellStyle name="Normal 2 4 3 20 2 2 4" xfId="19035" xr:uid="{00000000-0005-0000-0000-0000DFB10000}"/>
    <cellStyle name="Normal 2 4 3 20 2 2 4 2" xfId="52427" xr:uid="{00000000-0005-0000-0000-0000E0B10000}"/>
    <cellStyle name="Normal 2 4 3 20 2 2 5" xfId="19036" xr:uid="{00000000-0005-0000-0000-0000E1B10000}"/>
    <cellStyle name="Normal 2 4 3 20 2 2 5 2" xfId="52428" xr:uid="{00000000-0005-0000-0000-0000E2B10000}"/>
    <cellStyle name="Normal 2 4 3 20 2 2 6" xfId="52429" xr:uid="{00000000-0005-0000-0000-0000E3B10000}"/>
    <cellStyle name="Normal 2 4 3 20 2 2 6 2" xfId="52430" xr:uid="{00000000-0005-0000-0000-0000E4B10000}"/>
    <cellStyle name="Normal 2 4 3 20 2 2 7" xfId="52431" xr:uid="{00000000-0005-0000-0000-0000E5B10000}"/>
    <cellStyle name="Normal 2 4 3 20 2 3" xfId="19037" xr:uid="{00000000-0005-0000-0000-0000E6B10000}"/>
    <cellStyle name="Normal 2 4 3 20 2 3 2" xfId="19038" xr:uid="{00000000-0005-0000-0000-0000E7B10000}"/>
    <cellStyle name="Normal 2 4 3 20 2 3 2 2" xfId="52432" xr:uid="{00000000-0005-0000-0000-0000E8B10000}"/>
    <cellStyle name="Normal 2 4 3 20 2 3 3" xfId="19039" xr:uid="{00000000-0005-0000-0000-0000E9B10000}"/>
    <cellStyle name="Normal 2 4 3 20 2 3 3 2" xfId="52433" xr:uid="{00000000-0005-0000-0000-0000EAB10000}"/>
    <cellStyle name="Normal 2 4 3 20 2 3 4" xfId="52434" xr:uid="{00000000-0005-0000-0000-0000EBB10000}"/>
    <cellStyle name="Normal 2 4 3 20 2 4" xfId="19040" xr:uid="{00000000-0005-0000-0000-0000ECB10000}"/>
    <cellStyle name="Normal 2 4 3 20 2 4 2" xfId="19041" xr:uid="{00000000-0005-0000-0000-0000EDB10000}"/>
    <cellStyle name="Normal 2 4 3 20 2 4 2 2" xfId="52435" xr:uid="{00000000-0005-0000-0000-0000EEB10000}"/>
    <cellStyle name="Normal 2 4 3 20 2 4 3" xfId="52436" xr:uid="{00000000-0005-0000-0000-0000EFB10000}"/>
    <cellStyle name="Normal 2 4 3 20 2 5" xfId="19042" xr:uid="{00000000-0005-0000-0000-0000F0B10000}"/>
    <cellStyle name="Normal 2 4 3 20 2 5 2" xfId="52437" xr:uid="{00000000-0005-0000-0000-0000F1B10000}"/>
    <cellStyle name="Normal 2 4 3 20 2 6" xfId="19043" xr:uid="{00000000-0005-0000-0000-0000F2B10000}"/>
    <cellStyle name="Normal 2 4 3 20 2 6 2" xfId="52438" xr:uid="{00000000-0005-0000-0000-0000F3B10000}"/>
    <cellStyle name="Normal 2 4 3 20 2 7" xfId="52439" xr:uid="{00000000-0005-0000-0000-0000F4B10000}"/>
    <cellStyle name="Normal 2 4 3 20 2 7 2" xfId="52440" xr:uid="{00000000-0005-0000-0000-0000F5B10000}"/>
    <cellStyle name="Normal 2 4 3 20 2 8" xfId="52441" xr:uid="{00000000-0005-0000-0000-0000F6B10000}"/>
    <cellStyle name="Normal 2 4 3 20 2 9" xfId="52442" xr:uid="{00000000-0005-0000-0000-0000F7B10000}"/>
    <cellStyle name="Normal 2 4 3 20 3" xfId="19044" xr:uid="{00000000-0005-0000-0000-0000F8B10000}"/>
    <cellStyle name="Normal 2 4 3 20 3 2" xfId="19045" xr:uid="{00000000-0005-0000-0000-0000F9B10000}"/>
    <cellStyle name="Normal 2 4 3 20 3 2 2" xfId="19046" xr:uid="{00000000-0005-0000-0000-0000FAB10000}"/>
    <cellStyle name="Normal 2 4 3 20 3 2 2 2" xfId="52443" xr:uid="{00000000-0005-0000-0000-0000FBB10000}"/>
    <cellStyle name="Normal 2 4 3 20 3 2 3" xfId="19047" xr:uid="{00000000-0005-0000-0000-0000FCB10000}"/>
    <cellStyle name="Normal 2 4 3 20 3 2 3 2" xfId="52444" xr:uid="{00000000-0005-0000-0000-0000FDB10000}"/>
    <cellStyle name="Normal 2 4 3 20 3 2 4" xfId="52445" xr:uid="{00000000-0005-0000-0000-0000FEB10000}"/>
    <cellStyle name="Normal 2 4 3 20 3 3" xfId="19048" xr:uid="{00000000-0005-0000-0000-0000FFB10000}"/>
    <cellStyle name="Normal 2 4 3 20 3 3 2" xfId="52446" xr:uid="{00000000-0005-0000-0000-000000B20000}"/>
    <cellStyle name="Normal 2 4 3 20 3 4" xfId="19049" xr:uid="{00000000-0005-0000-0000-000001B20000}"/>
    <cellStyle name="Normal 2 4 3 20 3 4 2" xfId="52447" xr:uid="{00000000-0005-0000-0000-000002B20000}"/>
    <cellStyle name="Normal 2 4 3 20 3 5" xfId="19050" xr:uid="{00000000-0005-0000-0000-000003B20000}"/>
    <cellStyle name="Normal 2 4 3 20 3 5 2" xfId="52448" xr:uid="{00000000-0005-0000-0000-000004B20000}"/>
    <cellStyle name="Normal 2 4 3 20 3 6" xfId="52449" xr:uid="{00000000-0005-0000-0000-000005B20000}"/>
    <cellStyle name="Normal 2 4 3 20 3 6 2" xfId="52450" xr:uid="{00000000-0005-0000-0000-000006B20000}"/>
    <cellStyle name="Normal 2 4 3 20 3 7" xfId="52451" xr:uid="{00000000-0005-0000-0000-000007B20000}"/>
    <cellStyle name="Normal 2 4 3 20 4" xfId="19051" xr:uid="{00000000-0005-0000-0000-000008B20000}"/>
    <cellStyle name="Normal 2 4 3 20 4 2" xfId="19052" xr:uid="{00000000-0005-0000-0000-000009B20000}"/>
    <cellStyle name="Normal 2 4 3 20 4 2 2" xfId="52452" xr:uid="{00000000-0005-0000-0000-00000AB20000}"/>
    <cellStyle name="Normal 2 4 3 20 4 3" xfId="19053" xr:uid="{00000000-0005-0000-0000-00000BB20000}"/>
    <cellStyle name="Normal 2 4 3 20 4 3 2" xfId="52453" xr:uid="{00000000-0005-0000-0000-00000CB20000}"/>
    <cellStyle name="Normal 2 4 3 20 4 4" xfId="52454" xr:uid="{00000000-0005-0000-0000-00000DB20000}"/>
    <cellStyle name="Normal 2 4 3 20 5" xfId="19054" xr:uid="{00000000-0005-0000-0000-00000EB20000}"/>
    <cellStyle name="Normal 2 4 3 20 5 2" xfId="19055" xr:uid="{00000000-0005-0000-0000-00000FB20000}"/>
    <cellStyle name="Normal 2 4 3 20 5 2 2" xfId="52455" xr:uid="{00000000-0005-0000-0000-000010B20000}"/>
    <cellStyle name="Normal 2 4 3 20 5 3" xfId="52456" xr:uid="{00000000-0005-0000-0000-000011B20000}"/>
    <cellStyle name="Normal 2 4 3 20 6" xfId="19056" xr:uid="{00000000-0005-0000-0000-000012B20000}"/>
    <cellStyle name="Normal 2 4 3 20 6 2" xfId="52457" xr:uid="{00000000-0005-0000-0000-000013B20000}"/>
    <cellStyle name="Normal 2 4 3 20 7" xfId="19057" xr:uid="{00000000-0005-0000-0000-000014B20000}"/>
    <cellStyle name="Normal 2 4 3 20 7 2" xfId="52458" xr:uid="{00000000-0005-0000-0000-000015B20000}"/>
    <cellStyle name="Normal 2 4 3 20 8" xfId="52459" xr:uid="{00000000-0005-0000-0000-000016B20000}"/>
    <cellStyle name="Normal 2 4 3 20 8 2" xfId="52460" xr:uid="{00000000-0005-0000-0000-000017B20000}"/>
    <cellStyle name="Normal 2 4 3 20 9" xfId="52461" xr:uid="{00000000-0005-0000-0000-000018B20000}"/>
    <cellStyle name="Normal 2 4 3 21" xfId="19058" xr:uid="{00000000-0005-0000-0000-000019B20000}"/>
    <cellStyle name="Normal 2 4 3 21 10" xfId="52462" xr:uid="{00000000-0005-0000-0000-00001AB20000}"/>
    <cellStyle name="Normal 2 4 3 21 11" xfId="52463" xr:uid="{00000000-0005-0000-0000-00001BB20000}"/>
    <cellStyle name="Normal 2 4 3 21 2" xfId="19059" xr:uid="{00000000-0005-0000-0000-00001CB20000}"/>
    <cellStyle name="Normal 2 4 3 21 2 10" xfId="52464" xr:uid="{00000000-0005-0000-0000-00001DB20000}"/>
    <cellStyle name="Normal 2 4 3 21 2 2" xfId="19060" xr:uid="{00000000-0005-0000-0000-00001EB20000}"/>
    <cellStyle name="Normal 2 4 3 21 2 2 2" xfId="19061" xr:uid="{00000000-0005-0000-0000-00001FB20000}"/>
    <cellStyle name="Normal 2 4 3 21 2 2 2 2" xfId="19062" xr:uid="{00000000-0005-0000-0000-000020B20000}"/>
    <cellStyle name="Normal 2 4 3 21 2 2 2 2 2" xfId="52465" xr:uid="{00000000-0005-0000-0000-000021B20000}"/>
    <cellStyle name="Normal 2 4 3 21 2 2 2 3" xfId="19063" xr:uid="{00000000-0005-0000-0000-000022B20000}"/>
    <cellStyle name="Normal 2 4 3 21 2 2 2 3 2" xfId="52466" xr:uid="{00000000-0005-0000-0000-000023B20000}"/>
    <cellStyle name="Normal 2 4 3 21 2 2 2 4" xfId="52467" xr:uid="{00000000-0005-0000-0000-000024B20000}"/>
    <cellStyle name="Normal 2 4 3 21 2 2 3" xfId="19064" xr:uid="{00000000-0005-0000-0000-000025B20000}"/>
    <cellStyle name="Normal 2 4 3 21 2 2 3 2" xfId="52468" xr:uid="{00000000-0005-0000-0000-000026B20000}"/>
    <cellStyle name="Normal 2 4 3 21 2 2 4" xfId="19065" xr:uid="{00000000-0005-0000-0000-000027B20000}"/>
    <cellStyle name="Normal 2 4 3 21 2 2 4 2" xfId="52469" xr:uid="{00000000-0005-0000-0000-000028B20000}"/>
    <cellStyle name="Normal 2 4 3 21 2 2 5" xfId="19066" xr:uid="{00000000-0005-0000-0000-000029B20000}"/>
    <cellStyle name="Normal 2 4 3 21 2 2 5 2" xfId="52470" xr:uid="{00000000-0005-0000-0000-00002AB20000}"/>
    <cellStyle name="Normal 2 4 3 21 2 2 6" xfId="52471" xr:uid="{00000000-0005-0000-0000-00002BB20000}"/>
    <cellStyle name="Normal 2 4 3 21 2 2 6 2" xfId="52472" xr:uid="{00000000-0005-0000-0000-00002CB20000}"/>
    <cellStyle name="Normal 2 4 3 21 2 2 7" xfId="52473" xr:uid="{00000000-0005-0000-0000-00002DB20000}"/>
    <cellStyle name="Normal 2 4 3 21 2 3" xfId="19067" xr:uid="{00000000-0005-0000-0000-00002EB20000}"/>
    <cellStyle name="Normal 2 4 3 21 2 3 2" xfId="19068" xr:uid="{00000000-0005-0000-0000-00002FB20000}"/>
    <cellStyle name="Normal 2 4 3 21 2 3 2 2" xfId="52474" xr:uid="{00000000-0005-0000-0000-000030B20000}"/>
    <cellStyle name="Normal 2 4 3 21 2 3 3" xfId="19069" xr:uid="{00000000-0005-0000-0000-000031B20000}"/>
    <cellStyle name="Normal 2 4 3 21 2 3 3 2" xfId="52475" xr:uid="{00000000-0005-0000-0000-000032B20000}"/>
    <cellStyle name="Normal 2 4 3 21 2 3 4" xfId="52476" xr:uid="{00000000-0005-0000-0000-000033B20000}"/>
    <cellStyle name="Normal 2 4 3 21 2 4" xfId="19070" xr:uid="{00000000-0005-0000-0000-000034B20000}"/>
    <cellStyle name="Normal 2 4 3 21 2 4 2" xfId="19071" xr:uid="{00000000-0005-0000-0000-000035B20000}"/>
    <cellStyle name="Normal 2 4 3 21 2 4 2 2" xfId="52477" xr:uid="{00000000-0005-0000-0000-000036B20000}"/>
    <cellStyle name="Normal 2 4 3 21 2 4 3" xfId="52478" xr:uid="{00000000-0005-0000-0000-000037B20000}"/>
    <cellStyle name="Normal 2 4 3 21 2 5" xfId="19072" xr:uid="{00000000-0005-0000-0000-000038B20000}"/>
    <cellStyle name="Normal 2 4 3 21 2 5 2" xfId="52479" xr:uid="{00000000-0005-0000-0000-000039B20000}"/>
    <cellStyle name="Normal 2 4 3 21 2 6" xfId="19073" xr:uid="{00000000-0005-0000-0000-00003AB20000}"/>
    <cellStyle name="Normal 2 4 3 21 2 6 2" xfId="52480" xr:uid="{00000000-0005-0000-0000-00003BB20000}"/>
    <cellStyle name="Normal 2 4 3 21 2 7" xfId="52481" xr:uid="{00000000-0005-0000-0000-00003CB20000}"/>
    <cellStyle name="Normal 2 4 3 21 2 7 2" xfId="52482" xr:uid="{00000000-0005-0000-0000-00003DB20000}"/>
    <cellStyle name="Normal 2 4 3 21 2 8" xfId="52483" xr:uid="{00000000-0005-0000-0000-00003EB20000}"/>
    <cellStyle name="Normal 2 4 3 21 2 9" xfId="52484" xr:uid="{00000000-0005-0000-0000-00003FB20000}"/>
    <cellStyle name="Normal 2 4 3 21 3" xfId="19074" xr:uid="{00000000-0005-0000-0000-000040B20000}"/>
    <cellStyle name="Normal 2 4 3 21 3 2" xfId="19075" xr:uid="{00000000-0005-0000-0000-000041B20000}"/>
    <cellStyle name="Normal 2 4 3 21 3 2 2" xfId="19076" xr:uid="{00000000-0005-0000-0000-000042B20000}"/>
    <cellStyle name="Normal 2 4 3 21 3 2 2 2" xfId="52485" xr:uid="{00000000-0005-0000-0000-000043B20000}"/>
    <cellStyle name="Normal 2 4 3 21 3 2 3" xfId="19077" xr:uid="{00000000-0005-0000-0000-000044B20000}"/>
    <cellStyle name="Normal 2 4 3 21 3 2 3 2" xfId="52486" xr:uid="{00000000-0005-0000-0000-000045B20000}"/>
    <cellStyle name="Normal 2 4 3 21 3 2 4" xfId="52487" xr:uid="{00000000-0005-0000-0000-000046B20000}"/>
    <cellStyle name="Normal 2 4 3 21 3 3" xfId="19078" xr:uid="{00000000-0005-0000-0000-000047B20000}"/>
    <cellStyle name="Normal 2 4 3 21 3 3 2" xfId="52488" xr:uid="{00000000-0005-0000-0000-000048B20000}"/>
    <cellStyle name="Normal 2 4 3 21 3 4" xfId="19079" xr:uid="{00000000-0005-0000-0000-000049B20000}"/>
    <cellStyle name="Normal 2 4 3 21 3 4 2" xfId="52489" xr:uid="{00000000-0005-0000-0000-00004AB20000}"/>
    <cellStyle name="Normal 2 4 3 21 3 5" xfId="19080" xr:uid="{00000000-0005-0000-0000-00004BB20000}"/>
    <cellStyle name="Normal 2 4 3 21 3 5 2" xfId="52490" xr:uid="{00000000-0005-0000-0000-00004CB20000}"/>
    <cellStyle name="Normal 2 4 3 21 3 6" xfId="52491" xr:uid="{00000000-0005-0000-0000-00004DB20000}"/>
    <cellStyle name="Normal 2 4 3 21 3 6 2" xfId="52492" xr:uid="{00000000-0005-0000-0000-00004EB20000}"/>
    <cellStyle name="Normal 2 4 3 21 3 7" xfId="52493" xr:uid="{00000000-0005-0000-0000-00004FB20000}"/>
    <cellStyle name="Normal 2 4 3 21 4" xfId="19081" xr:uid="{00000000-0005-0000-0000-000050B20000}"/>
    <cellStyle name="Normal 2 4 3 21 4 2" xfId="19082" xr:uid="{00000000-0005-0000-0000-000051B20000}"/>
    <cellStyle name="Normal 2 4 3 21 4 2 2" xfId="52494" xr:uid="{00000000-0005-0000-0000-000052B20000}"/>
    <cellStyle name="Normal 2 4 3 21 4 3" xfId="19083" xr:uid="{00000000-0005-0000-0000-000053B20000}"/>
    <cellStyle name="Normal 2 4 3 21 4 3 2" xfId="52495" xr:uid="{00000000-0005-0000-0000-000054B20000}"/>
    <cellStyle name="Normal 2 4 3 21 4 4" xfId="52496" xr:uid="{00000000-0005-0000-0000-000055B20000}"/>
    <cellStyle name="Normal 2 4 3 21 5" xfId="19084" xr:uid="{00000000-0005-0000-0000-000056B20000}"/>
    <cellStyle name="Normal 2 4 3 21 5 2" xfId="19085" xr:uid="{00000000-0005-0000-0000-000057B20000}"/>
    <cellStyle name="Normal 2 4 3 21 5 2 2" xfId="52497" xr:uid="{00000000-0005-0000-0000-000058B20000}"/>
    <cellStyle name="Normal 2 4 3 21 5 3" xfId="52498" xr:uid="{00000000-0005-0000-0000-000059B20000}"/>
    <cellStyle name="Normal 2 4 3 21 6" xfId="19086" xr:uid="{00000000-0005-0000-0000-00005AB20000}"/>
    <cellStyle name="Normal 2 4 3 21 6 2" xfId="52499" xr:uid="{00000000-0005-0000-0000-00005BB20000}"/>
    <cellStyle name="Normal 2 4 3 21 7" xfId="19087" xr:uid="{00000000-0005-0000-0000-00005CB20000}"/>
    <cellStyle name="Normal 2 4 3 21 7 2" xfId="52500" xr:uid="{00000000-0005-0000-0000-00005DB20000}"/>
    <cellStyle name="Normal 2 4 3 21 8" xfId="52501" xr:uid="{00000000-0005-0000-0000-00005EB20000}"/>
    <cellStyle name="Normal 2 4 3 21 8 2" xfId="52502" xr:uid="{00000000-0005-0000-0000-00005FB20000}"/>
    <cellStyle name="Normal 2 4 3 21 9" xfId="52503" xr:uid="{00000000-0005-0000-0000-000060B20000}"/>
    <cellStyle name="Normal 2 4 3 22" xfId="19088" xr:uid="{00000000-0005-0000-0000-000061B20000}"/>
    <cellStyle name="Normal 2 4 3 22 10" xfId="52504" xr:uid="{00000000-0005-0000-0000-000062B20000}"/>
    <cellStyle name="Normal 2 4 3 22 11" xfId="52505" xr:uid="{00000000-0005-0000-0000-000063B20000}"/>
    <cellStyle name="Normal 2 4 3 22 2" xfId="19089" xr:uid="{00000000-0005-0000-0000-000064B20000}"/>
    <cellStyle name="Normal 2 4 3 22 2 10" xfId="52506" xr:uid="{00000000-0005-0000-0000-000065B20000}"/>
    <cellStyle name="Normal 2 4 3 22 2 2" xfId="19090" xr:uid="{00000000-0005-0000-0000-000066B20000}"/>
    <cellStyle name="Normal 2 4 3 22 2 2 2" xfId="19091" xr:uid="{00000000-0005-0000-0000-000067B20000}"/>
    <cellStyle name="Normal 2 4 3 22 2 2 2 2" xfId="19092" xr:uid="{00000000-0005-0000-0000-000068B20000}"/>
    <cellStyle name="Normal 2 4 3 22 2 2 2 2 2" xfId="52507" xr:uid="{00000000-0005-0000-0000-000069B20000}"/>
    <cellStyle name="Normal 2 4 3 22 2 2 2 3" xfId="19093" xr:uid="{00000000-0005-0000-0000-00006AB20000}"/>
    <cellStyle name="Normal 2 4 3 22 2 2 2 3 2" xfId="52508" xr:uid="{00000000-0005-0000-0000-00006BB20000}"/>
    <cellStyle name="Normal 2 4 3 22 2 2 2 4" xfId="52509" xr:uid="{00000000-0005-0000-0000-00006CB20000}"/>
    <cellStyle name="Normal 2 4 3 22 2 2 3" xfId="19094" xr:uid="{00000000-0005-0000-0000-00006DB20000}"/>
    <cellStyle name="Normal 2 4 3 22 2 2 3 2" xfId="52510" xr:uid="{00000000-0005-0000-0000-00006EB20000}"/>
    <cellStyle name="Normal 2 4 3 22 2 2 4" xfId="19095" xr:uid="{00000000-0005-0000-0000-00006FB20000}"/>
    <cellStyle name="Normal 2 4 3 22 2 2 4 2" xfId="52511" xr:uid="{00000000-0005-0000-0000-000070B20000}"/>
    <cellStyle name="Normal 2 4 3 22 2 2 5" xfId="19096" xr:uid="{00000000-0005-0000-0000-000071B20000}"/>
    <cellStyle name="Normal 2 4 3 22 2 2 5 2" xfId="52512" xr:uid="{00000000-0005-0000-0000-000072B20000}"/>
    <cellStyle name="Normal 2 4 3 22 2 2 6" xfId="52513" xr:uid="{00000000-0005-0000-0000-000073B20000}"/>
    <cellStyle name="Normal 2 4 3 22 2 2 6 2" xfId="52514" xr:uid="{00000000-0005-0000-0000-000074B20000}"/>
    <cellStyle name="Normal 2 4 3 22 2 2 7" xfId="52515" xr:uid="{00000000-0005-0000-0000-000075B20000}"/>
    <cellStyle name="Normal 2 4 3 22 2 3" xfId="19097" xr:uid="{00000000-0005-0000-0000-000076B20000}"/>
    <cellStyle name="Normal 2 4 3 22 2 3 2" xfId="19098" xr:uid="{00000000-0005-0000-0000-000077B20000}"/>
    <cellStyle name="Normal 2 4 3 22 2 3 2 2" xfId="52516" xr:uid="{00000000-0005-0000-0000-000078B20000}"/>
    <cellStyle name="Normal 2 4 3 22 2 3 3" xfId="19099" xr:uid="{00000000-0005-0000-0000-000079B20000}"/>
    <cellStyle name="Normal 2 4 3 22 2 3 3 2" xfId="52517" xr:uid="{00000000-0005-0000-0000-00007AB20000}"/>
    <cellStyle name="Normal 2 4 3 22 2 3 4" xfId="52518" xr:uid="{00000000-0005-0000-0000-00007BB20000}"/>
    <cellStyle name="Normal 2 4 3 22 2 4" xfId="19100" xr:uid="{00000000-0005-0000-0000-00007CB20000}"/>
    <cellStyle name="Normal 2 4 3 22 2 4 2" xfId="19101" xr:uid="{00000000-0005-0000-0000-00007DB20000}"/>
    <cellStyle name="Normal 2 4 3 22 2 4 2 2" xfId="52519" xr:uid="{00000000-0005-0000-0000-00007EB20000}"/>
    <cellStyle name="Normal 2 4 3 22 2 4 3" xfId="52520" xr:uid="{00000000-0005-0000-0000-00007FB20000}"/>
    <cellStyle name="Normal 2 4 3 22 2 5" xfId="19102" xr:uid="{00000000-0005-0000-0000-000080B20000}"/>
    <cellStyle name="Normal 2 4 3 22 2 5 2" xfId="52521" xr:uid="{00000000-0005-0000-0000-000081B20000}"/>
    <cellStyle name="Normal 2 4 3 22 2 6" xfId="19103" xr:uid="{00000000-0005-0000-0000-000082B20000}"/>
    <cellStyle name="Normal 2 4 3 22 2 6 2" xfId="52522" xr:uid="{00000000-0005-0000-0000-000083B20000}"/>
    <cellStyle name="Normal 2 4 3 22 2 7" xfId="52523" xr:uid="{00000000-0005-0000-0000-000084B20000}"/>
    <cellStyle name="Normal 2 4 3 22 2 7 2" xfId="52524" xr:uid="{00000000-0005-0000-0000-000085B20000}"/>
    <cellStyle name="Normal 2 4 3 22 2 8" xfId="52525" xr:uid="{00000000-0005-0000-0000-000086B20000}"/>
    <cellStyle name="Normal 2 4 3 22 2 9" xfId="52526" xr:uid="{00000000-0005-0000-0000-000087B20000}"/>
    <cellStyle name="Normal 2 4 3 22 3" xfId="19104" xr:uid="{00000000-0005-0000-0000-000088B20000}"/>
    <cellStyle name="Normal 2 4 3 22 3 2" xfId="19105" xr:uid="{00000000-0005-0000-0000-000089B20000}"/>
    <cellStyle name="Normal 2 4 3 22 3 2 2" xfId="19106" xr:uid="{00000000-0005-0000-0000-00008AB20000}"/>
    <cellStyle name="Normal 2 4 3 22 3 2 2 2" xfId="52527" xr:uid="{00000000-0005-0000-0000-00008BB20000}"/>
    <cellStyle name="Normal 2 4 3 22 3 2 3" xfId="19107" xr:uid="{00000000-0005-0000-0000-00008CB20000}"/>
    <cellStyle name="Normal 2 4 3 22 3 2 3 2" xfId="52528" xr:uid="{00000000-0005-0000-0000-00008DB20000}"/>
    <cellStyle name="Normal 2 4 3 22 3 2 4" xfId="52529" xr:uid="{00000000-0005-0000-0000-00008EB20000}"/>
    <cellStyle name="Normal 2 4 3 22 3 3" xfId="19108" xr:uid="{00000000-0005-0000-0000-00008FB20000}"/>
    <cellStyle name="Normal 2 4 3 22 3 3 2" xfId="52530" xr:uid="{00000000-0005-0000-0000-000090B20000}"/>
    <cellStyle name="Normal 2 4 3 22 3 4" xfId="19109" xr:uid="{00000000-0005-0000-0000-000091B20000}"/>
    <cellStyle name="Normal 2 4 3 22 3 4 2" xfId="52531" xr:uid="{00000000-0005-0000-0000-000092B20000}"/>
    <cellStyle name="Normal 2 4 3 22 3 5" xfId="19110" xr:uid="{00000000-0005-0000-0000-000093B20000}"/>
    <cellStyle name="Normal 2 4 3 22 3 5 2" xfId="52532" xr:uid="{00000000-0005-0000-0000-000094B20000}"/>
    <cellStyle name="Normal 2 4 3 22 3 6" xfId="52533" xr:uid="{00000000-0005-0000-0000-000095B20000}"/>
    <cellStyle name="Normal 2 4 3 22 3 6 2" xfId="52534" xr:uid="{00000000-0005-0000-0000-000096B20000}"/>
    <cellStyle name="Normal 2 4 3 22 3 7" xfId="52535" xr:uid="{00000000-0005-0000-0000-000097B20000}"/>
    <cellStyle name="Normal 2 4 3 22 4" xfId="19111" xr:uid="{00000000-0005-0000-0000-000098B20000}"/>
    <cellStyle name="Normal 2 4 3 22 4 2" xfId="19112" xr:uid="{00000000-0005-0000-0000-000099B20000}"/>
    <cellStyle name="Normal 2 4 3 22 4 2 2" xfId="52536" xr:uid="{00000000-0005-0000-0000-00009AB20000}"/>
    <cellStyle name="Normal 2 4 3 22 4 3" xfId="19113" xr:uid="{00000000-0005-0000-0000-00009BB20000}"/>
    <cellStyle name="Normal 2 4 3 22 4 3 2" xfId="52537" xr:uid="{00000000-0005-0000-0000-00009CB20000}"/>
    <cellStyle name="Normal 2 4 3 22 4 4" xfId="52538" xr:uid="{00000000-0005-0000-0000-00009DB20000}"/>
    <cellStyle name="Normal 2 4 3 22 5" xfId="19114" xr:uid="{00000000-0005-0000-0000-00009EB20000}"/>
    <cellStyle name="Normal 2 4 3 22 5 2" xfId="19115" xr:uid="{00000000-0005-0000-0000-00009FB20000}"/>
    <cellStyle name="Normal 2 4 3 22 5 2 2" xfId="52539" xr:uid="{00000000-0005-0000-0000-0000A0B20000}"/>
    <cellStyle name="Normal 2 4 3 22 5 3" xfId="52540" xr:uid="{00000000-0005-0000-0000-0000A1B20000}"/>
    <cellStyle name="Normal 2 4 3 22 6" xfId="19116" xr:uid="{00000000-0005-0000-0000-0000A2B20000}"/>
    <cellStyle name="Normal 2 4 3 22 6 2" xfId="52541" xr:uid="{00000000-0005-0000-0000-0000A3B20000}"/>
    <cellStyle name="Normal 2 4 3 22 7" xfId="19117" xr:uid="{00000000-0005-0000-0000-0000A4B20000}"/>
    <cellStyle name="Normal 2 4 3 22 7 2" xfId="52542" xr:uid="{00000000-0005-0000-0000-0000A5B20000}"/>
    <cellStyle name="Normal 2 4 3 22 8" xfId="52543" xr:uid="{00000000-0005-0000-0000-0000A6B20000}"/>
    <cellStyle name="Normal 2 4 3 22 8 2" xfId="52544" xr:uid="{00000000-0005-0000-0000-0000A7B20000}"/>
    <cellStyle name="Normal 2 4 3 22 9" xfId="52545" xr:uid="{00000000-0005-0000-0000-0000A8B20000}"/>
    <cellStyle name="Normal 2 4 3 23" xfId="19118" xr:uid="{00000000-0005-0000-0000-0000A9B20000}"/>
    <cellStyle name="Normal 2 4 3 23 10" xfId="52546" xr:uid="{00000000-0005-0000-0000-0000AAB20000}"/>
    <cellStyle name="Normal 2 4 3 23 11" xfId="52547" xr:uid="{00000000-0005-0000-0000-0000ABB20000}"/>
    <cellStyle name="Normal 2 4 3 23 2" xfId="19119" xr:uid="{00000000-0005-0000-0000-0000ACB20000}"/>
    <cellStyle name="Normal 2 4 3 23 2 10" xfId="52548" xr:uid="{00000000-0005-0000-0000-0000ADB20000}"/>
    <cellStyle name="Normal 2 4 3 23 2 2" xfId="19120" xr:uid="{00000000-0005-0000-0000-0000AEB20000}"/>
    <cellStyle name="Normal 2 4 3 23 2 2 2" xfId="19121" xr:uid="{00000000-0005-0000-0000-0000AFB20000}"/>
    <cellStyle name="Normal 2 4 3 23 2 2 2 2" xfId="19122" xr:uid="{00000000-0005-0000-0000-0000B0B20000}"/>
    <cellStyle name="Normal 2 4 3 23 2 2 2 2 2" xfId="52549" xr:uid="{00000000-0005-0000-0000-0000B1B20000}"/>
    <cellStyle name="Normal 2 4 3 23 2 2 2 3" xfId="19123" xr:uid="{00000000-0005-0000-0000-0000B2B20000}"/>
    <cellStyle name="Normal 2 4 3 23 2 2 2 3 2" xfId="52550" xr:uid="{00000000-0005-0000-0000-0000B3B20000}"/>
    <cellStyle name="Normal 2 4 3 23 2 2 2 4" xfId="52551" xr:uid="{00000000-0005-0000-0000-0000B4B20000}"/>
    <cellStyle name="Normal 2 4 3 23 2 2 3" xfId="19124" xr:uid="{00000000-0005-0000-0000-0000B5B20000}"/>
    <cellStyle name="Normal 2 4 3 23 2 2 3 2" xfId="52552" xr:uid="{00000000-0005-0000-0000-0000B6B20000}"/>
    <cellStyle name="Normal 2 4 3 23 2 2 4" xfId="19125" xr:uid="{00000000-0005-0000-0000-0000B7B20000}"/>
    <cellStyle name="Normal 2 4 3 23 2 2 4 2" xfId="52553" xr:uid="{00000000-0005-0000-0000-0000B8B20000}"/>
    <cellStyle name="Normal 2 4 3 23 2 2 5" xfId="19126" xr:uid="{00000000-0005-0000-0000-0000B9B20000}"/>
    <cellStyle name="Normal 2 4 3 23 2 2 5 2" xfId="52554" xr:uid="{00000000-0005-0000-0000-0000BAB20000}"/>
    <cellStyle name="Normal 2 4 3 23 2 2 6" xfId="52555" xr:uid="{00000000-0005-0000-0000-0000BBB20000}"/>
    <cellStyle name="Normal 2 4 3 23 2 2 6 2" xfId="52556" xr:uid="{00000000-0005-0000-0000-0000BCB20000}"/>
    <cellStyle name="Normal 2 4 3 23 2 2 7" xfId="52557" xr:uid="{00000000-0005-0000-0000-0000BDB20000}"/>
    <cellStyle name="Normal 2 4 3 23 2 3" xfId="19127" xr:uid="{00000000-0005-0000-0000-0000BEB20000}"/>
    <cellStyle name="Normal 2 4 3 23 2 3 2" xfId="19128" xr:uid="{00000000-0005-0000-0000-0000BFB20000}"/>
    <cellStyle name="Normal 2 4 3 23 2 3 2 2" xfId="52558" xr:uid="{00000000-0005-0000-0000-0000C0B20000}"/>
    <cellStyle name="Normal 2 4 3 23 2 3 3" xfId="19129" xr:uid="{00000000-0005-0000-0000-0000C1B20000}"/>
    <cellStyle name="Normal 2 4 3 23 2 3 3 2" xfId="52559" xr:uid="{00000000-0005-0000-0000-0000C2B20000}"/>
    <cellStyle name="Normal 2 4 3 23 2 3 4" xfId="52560" xr:uid="{00000000-0005-0000-0000-0000C3B20000}"/>
    <cellStyle name="Normal 2 4 3 23 2 4" xfId="19130" xr:uid="{00000000-0005-0000-0000-0000C4B20000}"/>
    <cellStyle name="Normal 2 4 3 23 2 4 2" xfId="19131" xr:uid="{00000000-0005-0000-0000-0000C5B20000}"/>
    <cellStyle name="Normal 2 4 3 23 2 4 2 2" xfId="52561" xr:uid="{00000000-0005-0000-0000-0000C6B20000}"/>
    <cellStyle name="Normal 2 4 3 23 2 4 3" xfId="52562" xr:uid="{00000000-0005-0000-0000-0000C7B20000}"/>
    <cellStyle name="Normal 2 4 3 23 2 5" xfId="19132" xr:uid="{00000000-0005-0000-0000-0000C8B20000}"/>
    <cellStyle name="Normal 2 4 3 23 2 5 2" xfId="52563" xr:uid="{00000000-0005-0000-0000-0000C9B20000}"/>
    <cellStyle name="Normal 2 4 3 23 2 6" xfId="19133" xr:uid="{00000000-0005-0000-0000-0000CAB20000}"/>
    <cellStyle name="Normal 2 4 3 23 2 6 2" xfId="52564" xr:uid="{00000000-0005-0000-0000-0000CBB20000}"/>
    <cellStyle name="Normal 2 4 3 23 2 7" xfId="52565" xr:uid="{00000000-0005-0000-0000-0000CCB20000}"/>
    <cellStyle name="Normal 2 4 3 23 2 7 2" xfId="52566" xr:uid="{00000000-0005-0000-0000-0000CDB20000}"/>
    <cellStyle name="Normal 2 4 3 23 2 8" xfId="52567" xr:uid="{00000000-0005-0000-0000-0000CEB20000}"/>
    <cellStyle name="Normal 2 4 3 23 2 9" xfId="52568" xr:uid="{00000000-0005-0000-0000-0000CFB20000}"/>
    <cellStyle name="Normal 2 4 3 23 3" xfId="19134" xr:uid="{00000000-0005-0000-0000-0000D0B20000}"/>
    <cellStyle name="Normal 2 4 3 23 3 2" xfId="19135" xr:uid="{00000000-0005-0000-0000-0000D1B20000}"/>
    <cellStyle name="Normal 2 4 3 23 3 2 2" xfId="19136" xr:uid="{00000000-0005-0000-0000-0000D2B20000}"/>
    <cellStyle name="Normal 2 4 3 23 3 2 2 2" xfId="52569" xr:uid="{00000000-0005-0000-0000-0000D3B20000}"/>
    <cellStyle name="Normal 2 4 3 23 3 2 3" xfId="19137" xr:uid="{00000000-0005-0000-0000-0000D4B20000}"/>
    <cellStyle name="Normal 2 4 3 23 3 2 3 2" xfId="52570" xr:uid="{00000000-0005-0000-0000-0000D5B20000}"/>
    <cellStyle name="Normal 2 4 3 23 3 2 4" xfId="52571" xr:uid="{00000000-0005-0000-0000-0000D6B20000}"/>
    <cellStyle name="Normal 2 4 3 23 3 3" xfId="19138" xr:uid="{00000000-0005-0000-0000-0000D7B20000}"/>
    <cellStyle name="Normal 2 4 3 23 3 3 2" xfId="52572" xr:uid="{00000000-0005-0000-0000-0000D8B20000}"/>
    <cellStyle name="Normal 2 4 3 23 3 4" xfId="19139" xr:uid="{00000000-0005-0000-0000-0000D9B20000}"/>
    <cellStyle name="Normal 2 4 3 23 3 4 2" xfId="52573" xr:uid="{00000000-0005-0000-0000-0000DAB20000}"/>
    <cellStyle name="Normal 2 4 3 23 3 5" xfId="19140" xr:uid="{00000000-0005-0000-0000-0000DBB20000}"/>
    <cellStyle name="Normal 2 4 3 23 3 5 2" xfId="52574" xr:uid="{00000000-0005-0000-0000-0000DCB20000}"/>
    <cellStyle name="Normal 2 4 3 23 3 6" xfId="52575" xr:uid="{00000000-0005-0000-0000-0000DDB20000}"/>
    <cellStyle name="Normal 2 4 3 23 3 6 2" xfId="52576" xr:uid="{00000000-0005-0000-0000-0000DEB20000}"/>
    <cellStyle name="Normal 2 4 3 23 3 7" xfId="52577" xr:uid="{00000000-0005-0000-0000-0000DFB20000}"/>
    <cellStyle name="Normal 2 4 3 23 4" xfId="19141" xr:uid="{00000000-0005-0000-0000-0000E0B20000}"/>
    <cellStyle name="Normal 2 4 3 23 4 2" xfId="19142" xr:uid="{00000000-0005-0000-0000-0000E1B20000}"/>
    <cellStyle name="Normal 2 4 3 23 4 2 2" xfId="52578" xr:uid="{00000000-0005-0000-0000-0000E2B20000}"/>
    <cellStyle name="Normal 2 4 3 23 4 3" xfId="19143" xr:uid="{00000000-0005-0000-0000-0000E3B20000}"/>
    <cellStyle name="Normal 2 4 3 23 4 3 2" xfId="52579" xr:uid="{00000000-0005-0000-0000-0000E4B20000}"/>
    <cellStyle name="Normal 2 4 3 23 4 4" xfId="52580" xr:uid="{00000000-0005-0000-0000-0000E5B20000}"/>
    <cellStyle name="Normal 2 4 3 23 5" xfId="19144" xr:uid="{00000000-0005-0000-0000-0000E6B20000}"/>
    <cellStyle name="Normal 2 4 3 23 5 2" xfId="19145" xr:uid="{00000000-0005-0000-0000-0000E7B20000}"/>
    <cellStyle name="Normal 2 4 3 23 5 2 2" xfId="52581" xr:uid="{00000000-0005-0000-0000-0000E8B20000}"/>
    <cellStyle name="Normal 2 4 3 23 5 3" xfId="52582" xr:uid="{00000000-0005-0000-0000-0000E9B20000}"/>
    <cellStyle name="Normal 2 4 3 23 6" xfId="19146" xr:uid="{00000000-0005-0000-0000-0000EAB20000}"/>
    <cellStyle name="Normal 2 4 3 23 6 2" xfId="52583" xr:uid="{00000000-0005-0000-0000-0000EBB20000}"/>
    <cellStyle name="Normal 2 4 3 23 7" xfId="19147" xr:uid="{00000000-0005-0000-0000-0000ECB20000}"/>
    <cellStyle name="Normal 2 4 3 23 7 2" xfId="52584" xr:uid="{00000000-0005-0000-0000-0000EDB20000}"/>
    <cellStyle name="Normal 2 4 3 23 8" xfId="52585" xr:uid="{00000000-0005-0000-0000-0000EEB20000}"/>
    <cellStyle name="Normal 2 4 3 23 8 2" xfId="52586" xr:uid="{00000000-0005-0000-0000-0000EFB20000}"/>
    <cellStyle name="Normal 2 4 3 23 9" xfId="52587" xr:uid="{00000000-0005-0000-0000-0000F0B20000}"/>
    <cellStyle name="Normal 2 4 3 24" xfId="19148" xr:uid="{00000000-0005-0000-0000-0000F1B20000}"/>
    <cellStyle name="Normal 2 4 3 24 10" xfId="52588" xr:uid="{00000000-0005-0000-0000-0000F2B20000}"/>
    <cellStyle name="Normal 2 4 3 24 11" xfId="52589" xr:uid="{00000000-0005-0000-0000-0000F3B20000}"/>
    <cellStyle name="Normal 2 4 3 24 2" xfId="19149" xr:uid="{00000000-0005-0000-0000-0000F4B20000}"/>
    <cellStyle name="Normal 2 4 3 24 2 10" xfId="52590" xr:uid="{00000000-0005-0000-0000-0000F5B20000}"/>
    <cellStyle name="Normal 2 4 3 24 2 2" xfId="19150" xr:uid="{00000000-0005-0000-0000-0000F6B20000}"/>
    <cellStyle name="Normal 2 4 3 24 2 2 2" xfId="19151" xr:uid="{00000000-0005-0000-0000-0000F7B20000}"/>
    <cellStyle name="Normal 2 4 3 24 2 2 2 2" xfId="19152" xr:uid="{00000000-0005-0000-0000-0000F8B20000}"/>
    <cellStyle name="Normal 2 4 3 24 2 2 2 2 2" xfId="52591" xr:uid="{00000000-0005-0000-0000-0000F9B20000}"/>
    <cellStyle name="Normal 2 4 3 24 2 2 2 3" xfId="19153" xr:uid="{00000000-0005-0000-0000-0000FAB20000}"/>
    <cellStyle name="Normal 2 4 3 24 2 2 2 3 2" xfId="52592" xr:uid="{00000000-0005-0000-0000-0000FBB20000}"/>
    <cellStyle name="Normal 2 4 3 24 2 2 2 4" xfId="52593" xr:uid="{00000000-0005-0000-0000-0000FCB20000}"/>
    <cellStyle name="Normal 2 4 3 24 2 2 3" xfId="19154" xr:uid="{00000000-0005-0000-0000-0000FDB20000}"/>
    <cellStyle name="Normal 2 4 3 24 2 2 3 2" xfId="52594" xr:uid="{00000000-0005-0000-0000-0000FEB20000}"/>
    <cellStyle name="Normal 2 4 3 24 2 2 4" xfId="19155" xr:uid="{00000000-0005-0000-0000-0000FFB20000}"/>
    <cellStyle name="Normal 2 4 3 24 2 2 4 2" xfId="52595" xr:uid="{00000000-0005-0000-0000-000000B30000}"/>
    <cellStyle name="Normal 2 4 3 24 2 2 5" xfId="19156" xr:uid="{00000000-0005-0000-0000-000001B30000}"/>
    <cellStyle name="Normal 2 4 3 24 2 2 5 2" xfId="52596" xr:uid="{00000000-0005-0000-0000-000002B30000}"/>
    <cellStyle name="Normal 2 4 3 24 2 2 6" xfId="52597" xr:uid="{00000000-0005-0000-0000-000003B30000}"/>
    <cellStyle name="Normal 2 4 3 24 2 2 6 2" xfId="52598" xr:uid="{00000000-0005-0000-0000-000004B30000}"/>
    <cellStyle name="Normal 2 4 3 24 2 2 7" xfId="52599" xr:uid="{00000000-0005-0000-0000-000005B30000}"/>
    <cellStyle name="Normal 2 4 3 24 2 3" xfId="19157" xr:uid="{00000000-0005-0000-0000-000006B30000}"/>
    <cellStyle name="Normal 2 4 3 24 2 3 2" xfId="19158" xr:uid="{00000000-0005-0000-0000-000007B30000}"/>
    <cellStyle name="Normal 2 4 3 24 2 3 2 2" xfId="52600" xr:uid="{00000000-0005-0000-0000-000008B30000}"/>
    <cellStyle name="Normal 2 4 3 24 2 3 3" xfId="19159" xr:uid="{00000000-0005-0000-0000-000009B30000}"/>
    <cellStyle name="Normal 2 4 3 24 2 3 3 2" xfId="52601" xr:uid="{00000000-0005-0000-0000-00000AB30000}"/>
    <cellStyle name="Normal 2 4 3 24 2 3 4" xfId="52602" xr:uid="{00000000-0005-0000-0000-00000BB30000}"/>
    <cellStyle name="Normal 2 4 3 24 2 4" xfId="19160" xr:uid="{00000000-0005-0000-0000-00000CB30000}"/>
    <cellStyle name="Normal 2 4 3 24 2 4 2" xfId="19161" xr:uid="{00000000-0005-0000-0000-00000DB30000}"/>
    <cellStyle name="Normal 2 4 3 24 2 4 2 2" xfId="52603" xr:uid="{00000000-0005-0000-0000-00000EB30000}"/>
    <cellStyle name="Normal 2 4 3 24 2 4 3" xfId="52604" xr:uid="{00000000-0005-0000-0000-00000FB30000}"/>
    <cellStyle name="Normal 2 4 3 24 2 5" xfId="19162" xr:uid="{00000000-0005-0000-0000-000010B30000}"/>
    <cellStyle name="Normal 2 4 3 24 2 5 2" xfId="52605" xr:uid="{00000000-0005-0000-0000-000011B30000}"/>
    <cellStyle name="Normal 2 4 3 24 2 6" xfId="19163" xr:uid="{00000000-0005-0000-0000-000012B30000}"/>
    <cellStyle name="Normal 2 4 3 24 2 6 2" xfId="52606" xr:uid="{00000000-0005-0000-0000-000013B30000}"/>
    <cellStyle name="Normal 2 4 3 24 2 7" xfId="52607" xr:uid="{00000000-0005-0000-0000-000014B30000}"/>
    <cellStyle name="Normal 2 4 3 24 2 7 2" xfId="52608" xr:uid="{00000000-0005-0000-0000-000015B30000}"/>
    <cellStyle name="Normal 2 4 3 24 2 8" xfId="52609" xr:uid="{00000000-0005-0000-0000-000016B30000}"/>
    <cellStyle name="Normal 2 4 3 24 2 9" xfId="52610" xr:uid="{00000000-0005-0000-0000-000017B30000}"/>
    <cellStyle name="Normal 2 4 3 24 3" xfId="19164" xr:uid="{00000000-0005-0000-0000-000018B30000}"/>
    <cellStyle name="Normal 2 4 3 24 3 2" xfId="19165" xr:uid="{00000000-0005-0000-0000-000019B30000}"/>
    <cellStyle name="Normal 2 4 3 24 3 2 2" xfId="19166" xr:uid="{00000000-0005-0000-0000-00001AB30000}"/>
    <cellStyle name="Normal 2 4 3 24 3 2 2 2" xfId="52611" xr:uid="{00000000-0005-0000-0000-00001BB30000}"/>
    <cellStyle name="Normal 2 4 3 24 3 2 3" xfId="19167" xr:uid="{00000000-0005-0000-0000-00001CB30000}"/>
    <cellStyle name="Normal 2 4 3 24 3 2 3 2" xfId="52612" xr:uid="{00000000-0005-0000-0000-00001DB30000}"/>
    <cellStyle name="Normal 2 4 3 24 3 2 4" xfId="52613" xr:uid="{00000000-0005-0000-0000-00001EB30000}"/>
    <cellStyle name="Normal 2 4 3 24 3 3" xfId="19168" xr:uid="{00000000-0005-0000-0000-00001FB30000}"/>
    <cellStyle name="Normal 2 4 3 24 3 3 2" xfId="52614" xr:uid="{00000000-0005-0000-0000-000020B30000}"/>
    <cellStyle name="Normal 2 4 3 24 3 4" xfId="19169" xr:uid="{00000000-0005-0000-0000-000021B30000}"/>
    <cellStyle name="Normal 2 4 3 24 3 4 2" xfId="52615" xr:uid="{00000000-0005-0000-0000-000022B30000}"/>
    <cellStyle name="Normal 2 4 3 24 3 5" xfId="19170" xr:uid="{00000000-0005-0000-0000-000023B30000}"/>
    <cellStyle name="Normal 2 4 3 24 3 5 2" xfId="52616" xr:uid="{00000000-0005-0000-0000-000024B30000}"/>
    <cellStyle name="Normal 2 4 3 24 3 6" xfId="52617" xr:uid="{00000000-0005-0000-0000-000025B30000}"/>
    <cellStyle name="Normal 2 4 3 24 3 6 2" xfId="52618" xr:uid="{00000000-0005-0000-0000-000026B30000}"/>
    <cellStyle name="Normal 2 4 3 24 3 7" xfId="52619" xr:uid="{00000000-0005-0000-0000-000027B30000}"/>
    <cellStyle name="Normal 2 4 3 24 4" xfId="19171" xr:uid="{00000000-0005-0000-0000-000028B30000}"/>
    <cellStyle name="Normal 2 4 3 24 4 2" xfId="19172" xr:uid="{00000000-0005-0000-0000-000029B30000}"/>
    <cellStyle name="Normal 2 4 3 24 4 2 2" xfId="52620" xr:uid="{00000000-0005-0000-0000-00002AB30000}"/>
    <cellStyle name="Normal 2 4 3 24 4 3" xfId="19173" xr:uid="{00000000-0005-0000-0000-00002BB30000}"/>
    <cellStyle name="Normal 2 4 3 24 4 3 2" xfId="52621" xr:uid="{00000000-0005-0000-0000-00002CB30000}"/>
    <cellStyle name="Normal 2 4 3 24 4 4" xfId="52622" xr:uid="{00000000-0005-0000-0000-00002DB30000}"/>
    <cellStyle name="Normal 2 4 3 24 5" xfId="19174" xr:uid="{00000000-0005-0000-0000-00002EB30000}"/>
    <cellStyle name="Normal 2 4 3 24 5 2" xfId="19175" xr:uid="{00000000-0005-0000-0000-00002FB30000}"/>
    <cellStyle name="Normal 2 4 3 24 5 2 2" xfId="52623" xr:uid="{00000000-0005-0000-0000-000030B30000}"/>
    <cellStyle name="Normal 2 4 3 24 5 3" xfId="52624" xr:uid="{00000000-0005-0000-0000-000031B30000}"/>
    <cellStyle name="Normal 2 4 3 24 6" xfId="19176" xr:uid="{00000000-0005-0000-0000-000032B30000}"/>
    <cellStyle name="Normal 2 4 3 24 6 2" xfId="52625" xr:uid="{00000000-0005-0000-0000-000033B30000}"/>
    <cellStyle name="Normal 2 4 3 24 7" xfId="19177" xr:uid="{00000000-0005-0000-0000-000034B30000}"/>
    <cellStyle name="Normal 2 4 3 24 7 2" xfId="52626" xr:uid="{00000000-0005-0000-0000-000035B30000}"/>
    <cellStyle name="Normal 2 4 3 24 8" xfId="52627" xr:uid="{00000000-0005-0000-0000-000036B30000}"/>
    <cellStyle name="Normal 2 4 3 24 8 2" xfId="52628" xr:uid="{00000000-0005-0000-0000-000037B30000}"/>
    <cellStyle name="Normal 2 4 3 24 9" xfId="52629" xr:uid="{00000000-0005-0000-0000-000038B30000}"/>
    <cellStyle name="Normal 2 4 3 25" xfId="19178" xr:uid="{00000000-0005-0000-0000-000039B30000}"/>
    <cellStyle name="Normal 2 4 3 25 10" xfId="52630" xr:uid="{00000000-0005-0000-0000-00003AB30000}"/>
    <cellStyle name="Normal 2 4 3 25 11" xfId="52631" xr:uid="{00000000-0005-0000-0000-00003BB30000}"/>
    <cellStyle name="Normal 2 4 3 25 2" xfId="19179" xr:uid="{00000000-0005-0000-0000-00003CB30000}"/>
    <cellStyle name="Normal 2 4 3 25 2 10" xfId="52632" xr:uid="{00000000-0005-0000-0000-00003DB30000}"/>
    <cellStyle name="Normal 2 4 3 25 2 2" xfId="19180" xr:uid="{00000000-0005-0000-0000-00003EB30000}"/>
    <cellStyle name="Normal 2 4 3 25 2 2 2" xfId="19181" xr:uid="{00000000-0005-0000-0000-00003FB30000}"/>
    <cellStyle name="Normal 2 4 3 25 2 2 2 2" xfId="19182" xr:uid="{00000000-0005-0000-0000-000040B30000}"/>
    <cellStyle name="Normal 2 4 3 25 2 2 2 2 2" xfId="52633" xr:uid="{00000000-0005-0000-0000-000041B30000}"/>
    <cellStyle name="Normal 2 4 3 25 2 2 2 3" xfId="19183" xr:uid="{00000000-0005-0000-0000-000042B30000}"/>
    <cellStyle name="Normal 2 4 3 25 2 2 2 3 2" xfId="52634" xr:uid="{00000000-0005-0000-0000-000043B30000}"/>
    <cellStyle name="Normal 2 4 3 25 2 2 2 4" xfId="52635" xr:uid="{00000000-0005-0000-0000-000044B30000}"/>
    <cellStyle name="Normal 2 4 3 25 2 2 3" xfId="19184" xr:uid="{00000000-0005-0000-0000-000045B30000}"/>
    <cellStyle name="Normal 2 4 3 25 2 2 3 2" xfId="52636" xr:uid="{00000000-0005-0000-0000-000046B30000}"/>
    <cellStyle name="Normal 2 4 3 25 2 2 4" xfId="19185" xr:uid="{00000000-0005-0000-0000-000047B30000}"/>
    <cellStyle name="Normal 2 4 3 25 2 2 4 2" xfId="52637" xr:uid="{00000000-0005-0000-0000-000048B30000}"/>
    <cellStyle name="Normal 2 4 3 25 2 2 5" xfId="19186" xr:uid="{00000000-0005-0000-0000-000049B30000}"/>
    <cellStyle name="Normal 2 4 3 25 2 2 5 2" xfId="52638" xr:uid="{00000000-0005-0000-0000-00004AB30000}"/>
    <cellStyle name="Normal 2 4 3 25 2 2 6" xfId="52639" xr:uid="{00000000-0005-0000-0000-00004BB30000}"/>
    <cellStyle name="Normal 2 4 3 25 2 2 6 2" xfId="52640" xr:uid="{00000000-0005-0000-0000-00004CB30000}"/>
    <cellStyle name="Normal 2 4 3 25 2 2 7" xfId="52641" xr:uid="{00000000-0005-0000-0000-00004DB30000}"/>
    <cellStyle name="Normal 2 4 3 25 2 3" xfId="19187" xr:uid="{00000000-0005-0000-0000-00004EB30000}"/>
    <cellStyle name="Normal 2 4 3 25 2 3 2" xfId="19188" xr:uid="{00000000-0005-0000-0000-00004FB30000}"/>
    <cellStyle name="Normal 2 4 3 25 2 3 2 2" xfId="52642" xr:uid="{00000000-0005-0000-0000-000050B30000}"/>
    <cellStyle name="Normal 2 4 3 25 2 3 3" xfId="19189" xr:uid="{00000000-0005-0000-0000-000051B30000}"/>
    <cellStyle name="Normal 2 4 3 25 2 3 3 2" xfId="52643" xr:uid="{00000000-0005-0000-0000-000052B30000}"/>
    <cellStyle name="Normal 2 4 3 25 2 3 4" xfId="52644" xr:uid="{00000000-0005-0000-0000-000053B30000}"/>
    <cellStyle name="Normal 2 4 3 25 2 4" xfId="19190" xr:uid="{00000000-0005-0000-0000-000054B30000}"/>
    <cellStyle name="Normal 2 4 3 25 2 4 2" xfId="19191" xr:uid="{00000000-0005-0000-0000-000055B30000}"/>
    <cellStyle name="Normal 2 4 3 25 2 4 2 2" xfId="52645" xr:uid="{00000000-0005-0000-0000-000056B30000}"/>
    <cellStyle name="Normal 2 4 3 25 2 4 3" xfId="52646" xr:uid="{00000000-0005-0000-0000-000057B30000}"/>
    <cellStyle name="Normal 2 4 3 25 2 5" xfId="19192" xr:uid="{00000000-0005-0000-0000-000058B30000}"/>
    <cellStyle name="Normal 2 4 3 25 2 5 2" xfId="52647" xr:uid="{00000000-0005-0000-0000-000059B30000}"/>
    <cellStyle name="Normal 2 4 3 25 2 6" xfId="19193" xr:uid="{00000000-0005-0000-0000-00005AB30000}"/>
    <cellStyle name="Normal 2 4 3 25 2 6 2" xfId="52648" xr:uid="{00000000-0005-0000-0000-00005BB30000}"/>
    <cellStyle name="Normal 2 4 3 25 2 7" xfId="52649" xr:uid="{00000000-0005-0000-0000-00005CB30000}"/>
    <cellStyle name="Normal 2 4 3 25 2 7 2" xfId="52650" xr:uid="{00000000-0005-0000-0000-00005DB30000}"/>
    <cellStyle name="Normal 2 4 3 25 2 8" xfId="52651" xr:uid="{00000000-0005-0000-0000-00005EB30000}"/>
    <cellStyle name="Normal 2 4 3 25 2 9" xfId="52652" xr:uid="{00000000-0005-0000-0000-00005FB30000}"/>
    <cellStyle name="Normal 2 4 3 25 3" xfId="19194" xr:uid="{00000000-0005-0000-0000-000060B30000}"/>
    <cellStyle name="Normal 2 4 3 25 3 2" xfId="19195" xr:uid="{00000000-0005-0000-0000-000061B30000}"/>
    <cellStyle name="Normal 2 4 3 25 3 2 2" xfId="19196" xr:uid="{00000000-0005-0000-0000-000062B30000}"/>
    <cellStyle name="Normal 2 4 3 25 3 2 2 2" xfId="52653" xr:uid="{00000000-0005-0000-0000-000063B30000}"/>
    <cellStyle name="Normal 2 4 3 25 3 2 3" xfId="19197" xr:uid="{00000000-0005-0000-0000-000064B30000}"/>
    <cellStyle name="Normal 2 4 3 25 3 2 3 2" xfId="52654" xr:uid="{00000000-0005-0000-0000-000065B30000}"/>
    <cellStyle name="Normal 2 4 3 25 3 2 4" xfId="52655" xr:uid="{00000000-0005-0000-0000-000066B30000}"/>
    <cellStyle name="Normal 2 4 3 25 3 3" xfId="19198" xr:uid="{00000000-0005-0000-0000-000067B30000}"/>
    <cellStyle name="Normal 2 4 3 25 3 3 2" xfId="52656" xr:uid="{00000000-0005-0000-0000-000068B30000}"/>
    <cellStyle name="Normal 2 4 3 25 3 4" xfId="19199" xr:uid="{00000000-0005-0000-0000-000069B30000}"/>
    <cellStyle name="Normal 2 4 3 25 3 4 2" xfId="52657" xr:uid="{00000000-0005-0000-0000-00006AB30000}"/>
    <cellStyle name="Normal 2 4 3 25 3 5" xfId="19200" xr:uid="{00000000-0005-0000-0000-00006BB30000}"/>
    <cellStyle name="Normal 2 4 3 25 3 5 2" xfId="52658" xr:uid="{00000000-0005-0000-0000-00006CB30000}"/>
    <cellStyle name="Normal 2 4 3 25 3 6" xfId="52659" xr:uid="{00000000-0005-0000-0000-00006DB30000}"/>
    <cellStyle name="Normal 2 4 3 25 3 6 2" xfId="52660" xr:uid="{00000000-0005-0000-0000-00006EB30000}"/>
    <cellStyle name="Normal 2 4 3 25 3 7" xfId="52661" xr:uid="{00000000-0005-0000-0000-00006FB30000}"/>
    <cellStyle name="Normal 2 4 3 25 4" xfId="19201" xr:uid="{00000000-0005-0000-0000-000070B30000}"/>
    <cellStyle name="Normal 2 4 3 25 4 2" xfId="19202" xr:uid="{00000000-0005-0000-0000-000071B30000}"/>
    <cellStyle name="Normal 2 4 3 25 4 2 2" xfId="52662" xr:uid="{00000000-0005-0000-0000-000072B30000}"/>
    <cellStyle name="Normal 2 4 3 25 4 3" xfId="19203" xr:uid="{00000000-0005-0000-0000-000073B30000}"/>
    <cellStyle name="Normal 2 4 3 25 4 3 2" xfId="52663" xr:uid="{00000000-0005-0000-0000-000074B30000}"/>
    <cellStyle name="Normal 2 4 3 25 4 4" xfId="52664" xr:uid="{00000000-0005-0000-0000-000075B30000}"/>
    <cellStyle name="Normal 2 4 3 25 5" xfId="19204" xr:uid="{00000000-0005-0000-0000-000076B30000}"/>
    <cellStyle name="Normal 2 4 3 25 5 2" xfId="19205" xr:uid="{00000000-0005-0000-0000-000077B30000}"/>
    <cellStyle name="Normal 2 4 3 25 5 2 2" xfId="52665" xr:uid="{00000000-0005-0000-0000-000078B30000}"/>
    <cellStyle name="Normal 2 4 3 25 5 3" xfId="52666" xr:uid="{00000000-0005-0000-0000-000079B30000}"/>
    <cellStyle name="Normal 2 4 3 25 6" xfId="19206" xr:uid="{00000000-0005-0000-0000-00007AB30000}"/>
    <cellStyle name="Normal 2 4 3 25 6 2" xfId="52667" xr:uid="{00000000-0005-0000-0000-00007BB30000}"/>
    <cellStyle name="Normal 2 4 3 25 7" xfId="19207" xr:uid="{00000000-0005-0000-0000-00007CB30000}"/>
    <cellStyle name="Normal 2 4 3 25 7 2" xfId="52668" xr:uid="{00000000-0005-0000-0000-00007DB30000}"/>
    <cellStyle name="Normal 2 4 3 25 8" xfId="52669" xr:uid="{00000000-0005-0000-0000-00007EB30000}"/>
    <cellStyle name="Normal 2 4 3 25 8 2" xfId="52670" xr:uid="{00000000-0005-0000-0000-00007FB30000}"/>
    <cellStyle name="Normal 2 4 3 25 9" xfId="52671" xr:uid="{00000000-0005-0000-0000-000080B30000}"/>
    <cellStyle name="Normal 2 4 3 26" xfId="19208" xr:uid="{00000000-0005-0000-0000-000081B30000}"/>
    <cellStyle name="Normal 2 4 3 26 10" xfId="52672" xr:uid="{00000000-0005-0000-0000-000082B30000}"/>
    <cellStyle name="Normal 2 4 3 26 11" xfId="52673" xr:uid="{00000000-0005-0000-0000-000083B30000}"/>
    <cellStyle name="Normal 2 4 3 26 2" xfId="19209" xr:uid="{00000000-0005-0000-0000-000084B30000}"/>
    <cellStyle name="Normal 2 4 3 26 2 10" xfId="52674" xr:uid="{00000000-0005-0000-0000-000085B30000}"/>
    <cellStyle name="Normal 2 4 3 26 2 2" xfId="19210" xr:uid="{00000000-0005-0000-0000-000086B30000}"/>
    <cellStyle name="Normal 2 4 3 26 2 2 2" xfId="19211" xr:uid="{00000000-0005-0000-0000-000087B30000}"/>
    <cellStyle name="Normal 2 4 3 26 2 2 2 2" xfId="19212" xr:uid="{00000000-0005-0000-0000-000088B30000}"/>
    <cellStyle name="Normal 2 4 3 26 2 2 2 2 2" xfId="52675" xr:uid="{00000000-0005-0000-0000-000089B30000}"/>
    <cellStyle name="Normal 2 4 3 26 2 2 2 3" xfId="19213" xr:uid="{00000000-0005-0000-0000-00008AB30000}"/>
    <cellStyle name="Normal 2 4 3 26 2 2 2 3 2" xfId="52676" xr:uid="{00000000-0005-0000-0000-00008BB30000}"/>
    <cellStyle name="Normal 2 4 3 26 2 2 2 4" xfId="52677" xr:uid="{00000000-0005-0000-0000-00008CB30000}"/>
    <cellStyle name="Normal 2 4 3 26 2 2 3" xfId="19214" xr:uid="{00000000-0005-0000-0000-00008DB30000}"/>
    <cellStyle name="Normal 2 4 3 26 2 2 3 2" xfId="52678" xr:uid="{00000000-0005-0000-0000-00008EB30000}"/>
    <cellStyle name="Normal 2 4 3 26 2 2 4" xfId="19215" xr:uid="{00000000-0005-0000-0000-00008FB30000}"/>
    <cellStyle name="Normal 2 4 3 26 2 2 4 2" xfId="52679" xr:uid="{00000000-0005-0000-0000-000090B30000}"/>
    <cellStyle name="Normal 2 4 3 26 2 2 5" xfId="19216" xr:uid="{00000000-0005-0000-0000-000091B30000}"/>
    <cellStyle name="Normal 2 4 3 26 2 2 5 2" xfId="52680" xr:uid="{00000000-0005-0000-0000-000092B30000}"/>
    <cellStyle name="Normal 2 4 3 26 2 2 6" xfId="52681" xr:uid="{00000000-0005-0000-0000-000093B30000}"/>
    <cellStyle name="Normal 2 4 3 26 2 2 6 2" xfId="52682" xr:uid="{00000000-0005-0000-0000-000094B30000}"/>
    <cellStyle name="Normal 2 4 3 26 2 2 7" xfId="52683" xr:uid="{00000000-0005-0000-0000-000095B30000}"/>
    <cellStyle name="Normal 2 4 3 26 2 3" xfId="19217" xr:uid="{00000000-0005-0000-0000-000096B30000}"/>
    <cellStyle name="Normal 2 4 3 26 2 3 2" xfId="19218" xr:uid="{00000000-0005-0000-0000-000097B30000}"/>
    <cellStyle name="Normal 2 4 3 26 2 3 2 2" xfId="52684" xr:uid="{00000000-0005-0000-0000-000098B30000}"/>
    <cellStyle name="Normal 2 4 3 26 2 3 3" xfId="19219" xr:uid="{00000000-0005-0000-0000-000099B30000}"/>
    <cellStyle name="Normal 2 4 3 26 2 3 3 2" xfId="52685" xr:uid="{00000000-0005-0000-0000-00009AB30000}"/>
    <cellStyle name="Normal 2 4 3 26 2 3 4" xfId="52686" xr:uid="{00000000-0005-0000-0000-00009BB30000}"/>
    <cellStyle name="Normal 2 4 3 26 2 4" xfId="19220" xr:uid="{00000000-0005-0000-0000-00009CB30000}"/>
    <cellStyle name="Normal 2 4 3 26 2 4 2" xfId="19221" xr:uid="{00000000-0005-0000-0000-00009DB30000}"/>
    <cellStyle name="Normal 2 4 3 26 2 4 2 2" xfId="52687" xr:uid="{00000000-0005-0000-0000-00009EB30000}"/>
    <cellStyle name="Normal 2 4 3 26 2 4 3" xfId="52688" xr:uid="{00000000-0005-0000-0000-00009FB30000}"/>
    <cellStyle name="Normal 2 4 3 26 2 5" xfId="19222" xr:uid="{00000000-0005-0000-0000-0000A0B30000}"/>
    <cellStyle name="Normal 2 4 3 26 2 5 2" xfId="52689" xr:uid="{00000000-0005-0000-0000-0000A1B30000}"/>
    <cellStyle name="Normal 2 4 3 26 2 6" xfId="19223" xr:uid="{00000000-0005-0000-0000-0000A2B30000}"/>
    <cellStyle name="Normal 2 4 3 26 2 6 2" xfId="52690" xr:uid="{00000000-0005-0000-0000-0000A3B30000}"/>
    <cellStyle name="Normal 2 4 3 26 2 7" xfId="52691" xr:uid="{00000000-0005-0000-0000-0000A4B30000}"/>
    <cellStyle name="Normal 2 4 3 26 2 7 2" xfId="52692" xr:uid="{00000000-0005-0000-0000-0000A5B30000}"/>
    <cellStyle name="Normal 2 4 3 26 2 8" xfId="52693" xr:uid="{00000000-0005-0000-0000-0000A6B30000}"/>
    <cellStyle name="Normal 2 4 3 26 2 9" xfId="52694" xr:uid="{00000000-0005-0000-0000-0000A7B30000}"/>
    <cellStyle name="Normal 2 4 3 26 3" xfId="19224" xr:uid="{00000000-0005-0000-0000-0000A8B30000}"/>
    <cellStyle name="Normal 2 4 3 26 3 2" xfId="19225" xr:uid="{00000000-0005-0000-0000-0000A9B30000}"/>
    <cellStyle name="Normal 2 4 3 26 3 2 2" xfId="19226" xr:uid="{00000000-0005-0000-0000-0000AAB30000}"/>
    <cellStyle name="Normal 2 4 3 26 3 2 2 2" xfId="52695" xr:uid="{00000000-0005-0000-0000-0000ABB30000}"/>
    <cellStyle name="Normal 2 4 3 26 3 2 3" xfId="19227" xr:uid="{00000000-0005-0000-0000-0000ACB30000}"/>
    <cellStyle name="Normal 2 4 3 26 3 2 3 2" xfId="52696" xr:uid="{00000000-0005-0000-0000-0000ADB30000}"/>
    <cellStyle name="Normal 2 4 3 26 3 2 4" xfId="52697" xr:uid="{00000000-0005-0000-0000-0000AEB30000}"/>
    <cellStyle name="Normal 2 4 3 26 3 3" xfId="19228" xr:uid="{00000000-0005-0000-0000-0000AFB30000}"/>
    <cellStyle name="Normal 2 4 3 26 3 3 2" xfId="52698" xr:uid="{00000000-0005-0000-0000-0000B0B30000}"/>
    <cellStyle name="Normal 2 4 3 26 3 4" xfId="19229" xr:uid="{00000000-0005-0000-0000-0000B1B30000}"/>
    <cellStyle name="Normal 2 4 3 26 3 4 2" xfId="52699" xr:uid="{00000000-0005-0000-0000-0000B2B30000}"/>
    <cellStyle name="Normal 2 4 3 26 3 5" xfId="19230" xr:uid="{00000000-0005-0000-0000-0000B3B30000}"/>
    <cellStyle name="Normal 2 4 3 26 3 5 2" xfId="52700" xr:uid="{00000000-0005-0000-0000-0000B4B30000}"/>
    <cellStyle name="Normal 2 4 3 26 3 6" xfId="52701" xr:uid="{00000000-0005-0000-0000-0000B5B30000}"/>
    <cellStyle name="Normal 2 4 3 26 3 6 2" xfId="52702" xr:uid="{00000000-0005-0000-0000-0000B6B30000}"/>
    <cellStyle name="Normal 2 4 3 26 3 7" xfId="52703" xr:uid="{00000000-0005-0000-0000-0000B7B30000}"/>
    <cellStyle name="Normal 2 4 3 26 4" xfId="19231" xr:uid="{00000000-0005-0000-0000-0000B8B30000}"/>
    <cellStyle name="Normal 2 4 3 26 4 2" xfId="19232" xr:uid="{00000000-0005-0000-0000-0000B9B30000}"/>
    <cellStyle name="Normal 2 4 3 26 4 2 2" xfId="52704" xr:uid="{00000000-0005-0000-0000-0000BAB30000}"/>
    <cellStyle name="Normal 2 4 3 26 4 3" xfId="19233" xr:uid="{00000000-0005-0000-0000-0000BBB30000}"/>
    <cellStyle name="Normal 2 4 3 26 4 3 2" xfId="52705" xr:uid="{00000000-0005-0000-0000-0000BCB30000}"/>
    <cellStyle name="Normal 2 4 3 26 4 4" xfId="52706" xr:uid="{00000000-0005-0000-0000-0000BDB30000}"/>
    <cellStyle name="Normal 2 4 3 26 5" xfId="19234" xr:uid="{00000000-0005-0000-0000-0000BEB30000}"/>
    <cellStyle name="Normal 2 4 3 26 5 2" xfId="19235" xr:uid="{00000000-0005-0000-0000-0000BFB30000}"/>
    <cellStyle name="Normal 2 4 3 26 5 2 2" xfId="52707" xr:uid="{00000000-0005-0000-0000-0000C0B30000}"/>
    <cellStyle name="Normal 2 4 3 26 5 3" xfId="52708" xr:uid="{00000000-0005-0000-0000-0000C1B30000}"/>
    <cellStyle name="Normal 2 4 3 26 6" xfId="19236" xr:uid="{00000000-0005-0000-0000-0000C2B30000}"/>
    <cellStyle name="Normal 2 4 3 26 6 2" xfId="52709" xr:uid="{00000000-0005-0000-0000-0000C3B30000}"/>
    <cellStyle name="Normal 2 4 3 26 7" xfId="19237" xr:uid="{00000000-0005-0000-0000-0000C4B30000}"/>
    <cellStyle name="Normal 2 4 3 26 7 2" xfId="52710" xr:uid="{00000000-0005-0000-0000-0000C5B30000}"/>
    <cellStyle name="Normal 2 4 3 26 8" xfId="52711" xr:uid="{00000000-0005-0000-0000-0000C6B30000}"/>
    <cellStyle name="Normal 2 4 3 26 8 2" xfId="52712" xr:uid="{00000000-0005-0000-0000-0000C7B30000}"/>
    <cellStyle name="Normal 2 4 3 26 9" xfId="52713" xr:uid="{00000000-0005-0000-0000-0000C8B30000}"/>
    <cellStyle name="Normal 2 4 3 27" xfId="19238" xr:uid="{00000000-0005-0000-0000-0000C9B30000}"/>
    <cellStyle name="Normal 2 4 3 27 10" xfId="52714" xr:uid="{00000000-0005-0000-0000-0000CAB30000}"/>
    <cellStyle name="Normal 2 4 3 27 11" xfId="52715" xr:uid="{00000000-0005-0000-0000-0000CBB30000}"/>
    <cellStyle name="Normal 2 4 3 27 2" xfId="19239" xr:uid="{00000000-0005-0000-0000-0000CCB30000}"/>
    <cellStyle name="Normal 2 4 3 27 2 10" xfId="52716" xr:uid="{00000000-0005-0000-0000-0000CDB30000}"/>
    <cellStyle name="Normal 2 4 3 27 2 2" xfId="19240" xr:uid="{00000000-0005-0000-0000-0000CEB30000}"/>
    <cellStyle name="Normal 2 4 3 27 2 2 2" xfId="19241" xr:uid="{00000000-0005-0000-0000-0000CFB30000}"/>
    <cellStyle name="Normal 2 4 3 27 2 2 2 2" xfId="19242" xr:uid="{00000000-0005-0000-0000-0000D0B30000}"/>
    <cellStyle name="Normal 2 4 3 27 2 2 2 2 2" xfId="52717" xr:uid="{00000000-0005-0000-0000-0000D1B30000}"/>
    <cellStyle name="Normal 2 4 3 27 2 2 2 3" xfId="19243" xr:uid="{00000000-0005-0000-0000-0000D2B30000}"/>
    <cellStyle name="Normal 2 4 3 27 2 2 2 3 2" xfId="52718" xr:uid="{00000000-0005-0000-0000-0000D3B30000}"/>
    <cellStyle name="Normal 2 4 3 27 2 2 2 4" xfId="52719" xr:uid="{00000000-0005-0000-0000-0000D4B30000}"/>
    <cellStyle name="Normal 2 4 3 27 2 2 3" xfId="19244" xr:uid="{00000000-0005-0000-0000-0000D5B30000}"/>
    <cellStyle name="Normal 2 4 3 27 2 2 3 2" xfId="52720" xr:uid="{00000000-0005-0000-0000-0000D6B30000}"/>
    <cellStyle name="Normal 2 4 3 27 2 2 4" xfId="19245" xr:uid="{00000000-0005-0000-0000-0000D7B30000}"/>
    <cellStyle name="Normal 2 4 3 27 2 2 4 2" xfId="52721" xr:uid="{00000000-0005-0000-0000-0000D8B30000}"/>
    <cellStyle name="Normal 2 4 3 27 2 2 5" xfId="19246" xr:uid="{00000000-0005-0000-0000-0000D9B30000}"/>
    <cellStyle name="Normal 2 4 3 27 2 2 5 2" xfId="52722" xr:uid="{00000000-0005-0000-0000-0000DAB30000}"/>
    <cellStyle name="Normal 2 4 3 27 2 2 6" xfId="52723" xr:uid="{00000000-0005-0000-0000-0000DBB30000}"/>
    <cellStyle name="Normal 2 4 3 27 2 2 6 2" xfId="52724" xr:uid="{00000000-0005-0000-0000-0000DCB30000}"/>
    <cellStyle name="Normal 2 4 3 27 2 2 7" xfId="52725" xr:uid="{00000000-0005-0000-0000-0000DDB30000}"/>
    <cellStyle name="Normal 2 4 3 27 2 3" xfId="19247" xr:uid="{00000000-0005-0000-0000-0000DEB30000}"/>
    <cellStyle name="Normal 2 4 3 27 2 3 2" xfId="19248" xr:uid="{00000000-0005-0000-0000-0000DFB30000}"/>
    <cellStyle name="Normal 2 4 3 27 2 3 2 2" xfId="52726" xr:uid="{00000000-0005-0000-0000-0000E0B30000}"/>
    <cellStyle name="Normal 2 4 3 27 2 3 3" xfId="19249" xr:uid="{00000000-0005-0000-0000-0000E1B30000}"/>
    <cellStyle name="Normal 2 4 3 27 2 3 3 2" xfId="52727" xr:uid="{00000000-0005-0000-0000-0000E2B30000}"/>
    <cellStyle name="Normal 2 4 3 27 2 3 4" xfId="52728" xr:uid="{00000000-0005-0000-0000-0000E3B30000}"/>
    <cellStyle name="Normal 2 4 3 27 2 4" xfId="19250" xr:uid="{00000000-0005-0000-0000-0000E4B30000}"/>
    <cellStyle name="Normal 2 4 3 27 2 4 2" xfId="19251" xr:uid="{00000000-0005-0000-0000-0000E5B30000}"/>
    <cellStyle name="Normal 2 4 3 27 2 4 2 2" xfId="52729" xr:uid="{00000000-0005-0000-0000-0000E6B30000}"/>
    <cellStyle name="Normal 2 4 3 27 2 4 3" xfId="52730" xr:uid="{00000000-0005-0000-0000-0000E7B30000}"/>
    <cellStyle name="Normal 2 4 3 27 2 5" xfId="19252" xr:uid="{00000000-0005-0000-0000-0000E8B30000}"/>
    <cellStyle name="Normal 2 4 3 27 2 5 2" xfId="52731" xr:uid="{00000000-0005-0000-0000-0000E9B30000}"/>
    <cellStyle name="Normal 2 4 3 27 2 6" xfId="19253" xr:uid="{00000000-0005-0000-0000-0000EAB30000}"/>
    <cellStyle name="Normal 2 4 3 27 2 6 2" xfId="52732" xr:uid="{00000000-0005-0000-0000-0000EBB30000}"/>
    <cellStyle name="Normal 2 4 3 27 2 7" xfId="52733" xr:uid="{00000000-0005-0000-0000-0000ECB30000}"/>
    <cellStyle name="Normal 2 4 3 27 2 7 2" xfId="52734" xr:uid="{00000000-0005-0000-0000-0000EDB30000}"/>
    <cellStyle name="Normal 2 4 3 27 2 8" xfId="52735" xr:uid="{00000000-0005-0000-0000-0000EEB30000}"/>
    <cellStyle name="Normal 2 4 3 27 2 9" xfId="52736" xr:uid="{00000000-0005-0000-0000-0000EFB30000}"/>
    <cellStyle name="Normal 2 4 3 27 3" xfId="19254" xr:uid="{00000000-0005-0000-0000-0000F0B30000}"/>
    <cellStyle name="Normal 2 4 3 27 3 2" xfId="19255" xr:uid="{00000000-0005-0000-0000-0000F1B30000}"/>
    <cellStyle name="Normal 2 4 3 27 3 2 2" xfId="19256" xr:uid="{00000000-0005-0000-0000-0000F2B30000}"/>
    <cellStyle name="Normal 2 4 3 27 3 2 2 2" xfId="52737" xr:uid="{00000000-0005-0000-0000-0000F3B30000}"/>
    <cellStyle name="Normal 2 4 3 27 3 2 3" xfId="19257" xr:uid="{00000000-0005-0000-0000-0000F4B30000}"/>
    <cellStyle name="Normal 2 4 3 27 3 2 3 2" xfId="52738" xr:uid="{00000000-0005-0000-0000-0000F5B30000}"/>
    <cellStyle name="Normal 2 4 3 27 3 2 4" xfId="52739" xr:uid="{00000000-0005-0000-0000-0000F6B30000}"/>
    <cellStyle name="Normal 2 4 3 27 3 3" xfId="19258" xr:uid="{00000000-0005-0000-0000-0000F7B30000}"/>
    <cellStyle name="Normal 2 4 3 27 3 3 2" xfId="52740" xr:uid="{00000000-0005-0000-0000-0000F8B30000}"/>
    <cellStyle name="Normal 2 4 3 27 3 4" xfId="19259" xr:uid="{00000000-0005-0000-0000-0000F9B30000}"/>
    <cellStyle name="Normal 2 4 3 27 3 4 2" xfId="52741" xr:uid="{00000000-0005-0000-0000-0000FAB30000}"/>
    <cellStyle name="Normal 2 4 3 27 3 5" xfId="19260" xr:uid="{00000000-0005-0000-0000-0000FBB30000}"/>
    <cellStyle name="Normal 2 4 3 27 3 5 2" xfId="52742" xr:uid="{00000000-0005-0000-0000-0000FCB30000}"/>
    <cellStyle name="Normal 2 4 3 27 3 6" xfId="52743" xr:uid="{00000000-0005-0000-0000-0000FDB30000}"/>
    <cellStyle name="Normal 2 4 3 27 3 6 2" xfId="52744" xr:uid="{00000000-0005-0000-0000-0000FEB30000}"/>
    <cellStyle name="Normal 2 4 3 27 3 7" xfId="52745" xr:uid="{00000000-0005-0000-0000-0000FFB30000}"/>
    <cellStyle name="Normal 2 4 3 27 4" xfId="19261" xr:uid="{00000000-0005-0000-0000-000000B40000}"/>
    <cellStyle name="Normal 2 4 3 27 4 2" xfId="19262" xr:uid="{00000000-0005-0000-0000-000001B40000}"/>
    <cellStyle name="Normal 2 4 3 27 4 2 2" xfId="52746" xr:uid="{00000000-0005-0000-0000-000002B40000}"/>
    <cellStyle name="Normal 2 4 3 27 4 3" xfId="19263" xr:uid="{00000000-0005-0000-0000-000003B40000}"/>
    <cellStyle name="Normal 2 4 3 27 4 3 2" xfId="52747" xr:uid="{00000000-0005-0000-0000-000004B40000}"/>
    <cellStyle name="Normal 2 4 3 27 4 4" xfId="52748" xr:uid="{00000000-0005-0000-0000-000005B40000}"/>
    <cellStyle name="Normal 2 4 3 27 5" xfId="19264" xr:uid="{00000000-0005-0000-0000-000006B40000}"/>
    <cellStyle name="Normal 2 4 3 27 5 2" xfId="19265" xr:uid="{00000000-0005-0000-0000-000007B40000}"/>
    <cellStyle name="Normal 2 4 3 27 5 2 2" xfId="52749" xr:uid="{00000000-0005-0000-0000-000008B40000}"/>
    <cellStyle name="Normal 2 4 3 27 5 3" xfId="52750" xr:uid="{00000000-0005-0000-0000-000009B40000}"/>
    <cellStyle name="Normal 2 4 3 27 6" xfId="19266" xr:uid="{00000000-0005-0000-0000-00000AB40000}"/>
    <cellStyle name="Normal 2 4 3 27 6 2" xfId="52751" xr:uid="{00000000-0005-0000-0000-00000BB40000}"/>
    <cellStyle name="Normal 2 4 3 27 7" xfId="19267" xr:uid="{00000000-0005-0000-0000-00000CB40000}"/>
    <cellStyle name="Normal 2 4 3 27 7 2" xfId="52752" xr:uid="{00000000-0005-0000-0000-00000DB40000}"/>
    <cellStyle name="Normal 2 4 3 27 8" xfId="52753" xr:uid="{00000000-0005-0000-0000-00000EB40000}"/>
    <cellStyle name="Normal 2 4 3 27 8 2" xfId="52754" xr:uid="{00000000-0005-0000-0000-00000FB40000}"/>
    <cellStyle name="Normal 2 4 3 27 9" xfId="52755" xr:uid="{00000000-0005-0000-0000-000010B40000}"/>
    <cellStyle name="Normal 2 4 3 28" xfId="19268" xr:uid="{00000000-0005-0000-0000-000011B40000}"/>
    <cellStyle name="Normal 2 4 3 28 10" xfId="52756" xr:uid="{00000000-0005-0000-0000-000012B40000}"/>
    <cellStyle name="Normal 2 4 3 28 11" xfId="52757" xr:uid="{00000000-0005-0000-0000-000013B40000}"/>
    <cellStyle name="Normal 2 4 3 28 2" xfId="19269" xr:uid="{00000000-0005-0000-0000-000014B40000}"/>
    <cellStyle name="Normal 2 4 3 28 2 10" xfId="52758" xr:uid="{00000000-0005-0000-0000-000015B40000}"/>
    <cellStyle name="Normal 2 4 3 28 2 2" xfId="19270" xr:uid="{00000000-0005-0000-0000-000016B40000}"/>
    <cellStyle name="Normal 2 4 3 28 2 2 2" xfId="19271" xr:uid="{00000000-0005-0000-0000-000017B40000}"/>
    <cellStyle name="Normal 2 4 3 28 2 2 2 2" xfId="19272" xr:uid="{00000000-0005-0000-0000-000018B40000}"/>
    <cellStyle name="Normal 2 4 3 28 2 2 2 2 2" xfId="52759" xr:uid="{00000000-0005-0000-0000-000019B40000}"/>
    <cellStyle name="Normal 2 4 3 28 2 2 2 3" xfId="19273" xr:uid="{00000000-0005-0000-0000-00001AB40000}"/>
    <cellStyle name="Normal 2 4 3 28 2 2 2 3 2" xfId="52760" xr:uid="{00000000-0005-0000-0000-00001BB40000}"/>
    <cellStyle name="Normal 2 4 3 28 2 2 2 4" xfId="52761" xr:uid="{00000000-0005-0000-0000-00001CB40000}"/>
    <cellStyle name="Normal 2 4 3 28 2 2 3" xfId="19274" xr:uid="{00000000-0005-0000-0000-00001DB40000}"/>
    <cellStyle name="Normal 2 4 3 28 2 2 3 2" xfId="52762" xr:uid="{00000000-0005-0000-0000-00001EB40000}"/>
    <cellStyle name="Normal 2 4 3 28 2 2 4" xfId="19275" xr:uid="{00000000-0005-0000-0000-00001FB40000}"/>
    <cellStyle name="Normal 2 4 3 28 2 2 4 2" xfId="52763" xr:uid="{00000000-0005-0000-0000-000020B40000}"/>
    <cellStyle name="Normal 2 4 3 28 2 2 5" xfId="19276" xr:uid="{00000000-0005-0000-0000-000021B40000}"/>
    <cellStyle name="Normal 2 4 3 28 2 2 5 2" xfId="52764" xr:uid="{00000000-0005-0000-0000-000022B40000}"/>
    <cellStyle name="Normal 2 4 3 28 2 2 6" xfId="52765" xr:uid="{00000000-0005-0000-0000-000023B40000}"/>
    <cellStyle name="Normal 2 4 3 28 2 2 6 2" xfId="52766" xr:uid="{00000000-0005-0000-0000-000024B40000}"/>
    <cellStyle name="Normal 2 4 3 28 2 2 7" xfId="52767" xr:uid="{00000000-0005-0000-0000-000025B40000}"/>
    <cellStyle name="Normal 2 4 3 28 2 3" xfId="19277" xr:uid="{00000000-0005-0000-0000-000026B40000}"/>
    <cellStyle name="Normal 2 4 3 28 2 3 2" xfId="19278" xr:uid="{00000000-0005-0000-0000-000027B40000}"/>
    <cellStyle name="Normal 2 4 3 28 2 3 2 2" xfId="52768" xr:uid="{00000000-0005-0000-0000-000028B40000}"/>
    <cellStyle name="Normal 2 4 3 28 2 3 3" xfId="19279" xr:uid="{00000000-0005-0000-0000-000029B40000}"/>
    <cellStyle name="Normal 2 4 3 28 2 3 3 2" xfId="52769" xr:uid="{00000000-0005-0000-0000-00002AB40000}"/>
    <cellStyle name="Normal 2 4 3 28 2 3 4" xfId="52770" xr:uid="{00000000-0005-0000-0000-00002BB40000}"/>
    <cellStyle name="Normal 2 4 3 28 2 4" xfId="19280" xr:uid="{00000000-0005-0000-0000-00002CB40000}"/>
    <cellStyle name="Normal 2 4 3 28 2 4 2" xfId="19281" xr:uid="{00000000-0005-0000-0000-00002DB40000}"/>
    <cellStyle name="Normal 2 4 3 28 2 4 2 2" xfId="52771" xr:uid="{00000000-0005-0000-0000-00002EB40000}"/>
    <cellStyle name="Normal 2 4 3 28 2 4 3" xfId="52772" xr:uid="{00000000-0005-0000-0000-00002FB40000}"/>
    <cellStyle name="Normal 2 4 3 28 2 5" xfId="19282" xr:uid="{00000000-0005-0000-0000-000030B40000}"/>
    <cellStyle name="Normal 2 4 3 28 2 5 2" xfId="52773" xr:uid="{00000000-0005-0000-0000-000031B40000}"/>
    <cellStyle name="Normal 2 4 3 28 2 6" xfId="19283" xr:uid="{00000000-0005-0000-0000-000032B40000}"/>
    <cellStyle name="Normal 2 4 3 28 2 6 2" xfId="52774" xr:uid="{00000000-0005-0000-0000-000033B40000}"/>
    <cellStyle name="Normal 2 4 3 28 2 7" xfId="52775" xr:uid="{00000000-0005-0000-0000-000034B40000}"/>
    <cellStyle name="Normal 2 4 3 28 2 7 2" xfId="52776" xr:uid="{00000000-0005-0000-0000-000035B40000}"/>
    <cellStyle name="Normal 2 4 3 28 2 8" xfId="52777" xr:uid="{00000000-0005-0000-0000-000036B40000}"/>
    <cellStyle name="Normal 2 4 3 28 2 9" xfId="52778" xr:uid="{00000000-0005-0000-0000-000037B40000}"/>
    <cellStyle name="Normal 2 4 3 28 3" xfId="19284" xr:uid="{00000000-0005-0000-0000-000038B40000}"/>
    <cellStyle name="Normal 2 4 3 28 3 2" xfId="19285" xr:uid="{00000000-0005-0000-0000-000039B40000}"/>
    <cellStyle name="Normal 2 4 3 28 3 2 2" xfId="19286" xr:uid="{00000000-0005-0000-0000-00003AB40000}"/>
    <cellStyle name="Normal 2 4 3 28 3 2 2 2" xfId="52779" xr:uid="{00000000-0005-0000-0000-00003BB40000}"/>
    <cellStyle name="Normal 2 4 3 28 3 2 3" xfId="19287" xr:uid="{00000000-0005-0000-0000-00003CB40000}"/>
    <cellStyle name="Normal 2 4 3 28 3 2 3 2" xfId="52780" xr:uid="{00000000-0005-0000-0000-00003DB40000}"/>
    <cellStyle name="Normal 2 4 3 28 3 2 4" xfId="52781" xr:uid="{00000000-0005-0000-0000-00003EB40000}"/>
    <cellStyle name="Normal 2 4 3 28 3 3" xfId="19288" xr:uid="{00000000-0005-0000-0000-00003FB40000}"/>
    <cellStyle name="Normal 2 4 3 28 3 3 2" xfId="52782" xr:uid="{00000000-0005-0000-0000-000040B40000}"/>
    <cellStyle name="Normal 2 4 3 28 3 4" xfId="19289" xr:uid="{00000000-0005-0000-0000-000041B40000}"/>
    <cellStyle name="Normal 2 4 3 28 3 4 2" xfId="52783" xr:uid="{00000000-0005-0000-0000-000042B40000}"/>
    <cellStyle name="Normal 2 4 3 28 3 5" xfId="19290" xr:uid="{00000000-0005-0000-0000-000043B40000}"/>
    <cellStyle name="Normal 2 4 3 28 3 5 2" xfId="52784" xr:uid="{00000000-0005-0000-0000-000044B40000}"/>
    <cellStyle name="Normal 2 4 3 28 3 6" xfId="52785" xr:uid="{00000000-0005-0000-0000-000045B40000}"/>
    <cellStyle name="Normal 2 4 3 28 3 6 2" xfId="52786" xr:uid="{00000000-0005-0000-0000-000046B40000}"/>
    <cellStyle name="Normal 2 4 3 28 3 7" xfId="52787" xr:uid="{00000000-0005-0000-0000-000047B40000}"/>
    <cellStyle name="Normal 2 4 3 28 4" xfId="19291" xr:uid="{00000000-0005-0000-0000-000048B40000}"/>
    <cellStyle name="Normal 2 4 3 28 4 2" xfId="19292" xr:uid="{00000000-0005-0000-0000-000049B40000}"/>
    <cellStyle name="Normal 2 4 3 28 4 2 2" xfId="52788" xr:uid="{00000000-0005-0000-0000-00004AB40000}"/>
    <cellStyle name="Normal 2 4 3 28 4 3" xfId="19293" xr:uid="{00000000-0005-0000-0000-00004BB40000}"/>
    <cellStyle name="Normal 2 4 3 28 4 3 2" xfId="52789" xr:uid="{00000000-0005-0000-0000-00004CB40000}"/>
    <cellStyle name="Normal 2 4 3 28 4 4" xfId="52790" xr:uid="{00000000-0005-0000-0000-00004DB40000}"/>
    <cellStyle name="Normal 2 4 3 28 5" xfId="19294" xr:uid="{00000000-0005-0000-0000-00004EB40000}"/>
    <cellStyle name="Normal 2 4 3 28 5 2" xfId="19295" xr:uid="{00000000-0005-0000-0000-00004FB40000}"/>
    <cellStyle name="Normal 2 4 3 28 5 2 2" xfId="52791" xr:uid="{00000000-0005-0000-0000-000050B40000}"/>
    <cellStyle name="Normal 2 4 3 28 5 3" xfId="52792" xr:uid="{00000000-0005-0000-0000-000051B40000}"/>
    <cellStyle name="Normal 2 4 3 28 6" xfId="19296" xr:uid="{00000000-0005-0000-0000-000052B40000}"/>
    <cellStyle name="Normal 2 4 3 28 6 2" xfId="52793" xr:uid="{00000000-0005-0000-0000-000053B40000}"/>
    <cellStyle name="Normal 2 4 3 28 7" xfId="19297" xr:uid="{00000000-0005-0000-0000-000054B40000}"/>
    <cellStyle name="Normal 2 4 3 28 7 2" xfId="52794" xr:uid="{00000000-0005-0000-0000-000055B40000}"/>
    <cellStyle name="Normal 2 4 3 28 8" xfId="52795" xr:uid="{00000000-0005-0000-0000-000056B40000}"/>
    <cellStyle name="Normal 2 4 3 28 8 2" xfId="52796" xr:uid="{00000000-0005-0000-0000-000057B40000}"/>
    <cellStyle name="Normal 2 4 3 28 9" xfId="52797" xr:uid="{00000000-0005-0000-0000-000058B40000}"/>
    <cellStyle name="Normal 2 4 3 29" xfId="19298" xr:uid="{00000000-0005-0000-0000-000059B40000}"/>
    <cellStyle name="Normal 2 4 3 29 10" xfId="52798" xr:uid="{00000000-0005-0000-0000-00005AB40000}"/>
    <cellStyle name="Normal 2 4 3 29 11" xfId="52799" xr:uid="{00000000-0005-0000-0000-00005BB40000}"/>
    <cellStyle name="Normal 2 4 3 29 2" xfId="19299" xr:uid="{00000000-0005-0000-0000-00005CB40000}"/>
    <cellStyle name="Normal 2 4 3 29 2 10" xfId="52800" xr:uid="{00000000-0005-0000-0000-00005DB40000}"/>
    <cellStyle name="Normal 2 4 3 29 2 2" xfId="19300" xr:uid="{00000000-0005-0000-0000-00005EB40000}"/>
    <cellStyle name="Normal 2 4 3 29 2 2 2" xfId="19301" xr:uid="{00000000-0005-0000-0000-00005FB40000}"/>
    <cellStyle name="Normal 2 4 3 29 2 2 2 2" xfId="19302" xr:uid="{00000000-0005-0000-0000-000060B40000}"/>
    <cellStyle name="Normal 2 4 3 29 2 2 2 2 2" xfId="52801" xr:uid="{00000000-0005-0000-0000-000061B40000}"/>
    <cellStyle name="Normal 2 4 3 29 2 2 2 3" xfId="19303" xr:uid="{00000000-0005-0000-0000-000062B40000}"/>
    <cellStyle name="Normal 2 4 3 29 2 2 2 3 2" xfId="52802" xr:uid="{00000000-0005-0000-0000-000063B40000}"/>
    <cellStyle name="Normal 2 4 3 29 2 2 2 4" xfId="52803" xr:uid="{00000000-0005-0000-0000-000064B40000}"/>
    <cellStyle name="Normal 2 4 3 29 2 2 3" xfId="19304" xr:uid="{00000000-0005-0000-0000-000065B40000}"/>
    <cellStyle name="Normal 2 4 3 29 2 2 3 2" xfId="52804" xr:uid="{00000000-0005-0000-0000-000066B40000}"/>
    <cellStyle name="Normal 2 4 3 29 2 2 4" xfId="19305" xr:uid="{00000000-0005-0000-0000-000067B40000}"/>
    <cellStyle name="Normal 2 4 3 29 2 2 4 2" xfId="52805" xr:uid="{00000000-0005-0000-0000-000068B40000}"/>
    <cellStyle name="Normal 2 4 3 29 2 2 5" xfId="19306" xr:uid="{00000000-0005-0000-0000-000069B40000}"/>
    <cellStyle name="Normal 2 4 3 29 2 2 5 2" xfId="52806" xr:uid="{00000000-0005-0000-0000-00006AB40000}"/>
    <cellStyle name="Normal 2 4 3 29 2 2 6" xfId="52807" xr:uid="{00000000-0005-0000-0000-00006BB40000}"/>
    <cellStyle name="Normal 2 4 3 29 2 2 6 2" xfId="52808" xr:uid="{00000000-0005-0000-0000-00006CB40000}"/>
    <cellStyle name="Normal 2 4 3 29 2 2 7" xfId="52809" xr:uid="{00000000-0005-0000-0000-00006DB40000}"/>
    <cellStyle name="Normal 2 4 3 29 2 3" xfId="19307" xr:uid="{00000000-0005-0000-0000-00006EB40000}"/>
    <cellStyle name="Normal 2 4 3 29 2 3 2" xfId="19308" xr:uid="{00000000-0005-0000-0000-00006FB40000}"/>
    <cellStyle name="Normal 2 4 3 29 2 3 2 2" xfId="52810" xr:uid="{00000000-0005-0000-0000-000070B40000}"/>
    <cellStyle name="Normal 2 4 3 29 2 3 3" xfId="19309" xr:uid="{00000000-0005-0000-0000-000071B40000}"/>
    <cellStyle name="Normal 2 4 3 29 2 3 3 2" xfId="52811" xr:uid="{00000000-0005-0000-0000-000072B40000}"/>
    <cellStyle name="Normal 2 4 3 29 2 3 4" xfId="52812" xr:uid="{00000000-0005-0000-0000-000073B40000}"/>
    <cellStyle name="Normal 2 4 3 29 2 4" xfId="19310" xr:uid="{00000000-0005-0000-0000-000074B40000}"/>
    <cellStyle name="Normal 2 4 3 29 2 4 2" xfId="19311" xr:uid="{00000000-0005-0000-0000-000075B40000}"/>
    <cellStyle name="Normal 2 4 3 29 2 4 2 2" xfId="52813" xr:uid="{00000000-0005-0000-0000-000076B40000}"/>
    <cellStyle name="Normal 2 4 3 29 2 4 3" xfId="52814" xr:uid="{00000000-0005-0000-0000-000077B40000}"/>
    <cellStyle name="Normal 2 4 3 29 2 5" xfId="19312" xr:uid="{00000000-0005-0000-0000-000078B40000}"/>
    <cellStyle name="Normal 2 4 3 29 2 5 2" xfId="52815" xr:uid="{00000000-0005-0000-0000-000079B40000}"/>
    <cellStyle name="Normal 2 4 3 29 2 6" xfId="19313" xr:uid="{00000000-0005-0000-0000-00007AB40000}"/>
    <cellStyle name="Normal 2 4 3 29 2 6 2" xfId="52816" xr:uid="{00000000-0005-0000-0000-00007BB40000}"/>
    <cellStyle name="Normal 2 4 3 29 2 7" xfId="52817" xr:uid="{00000000-0005-0000-0000-00007CB40000}"/>
    <cellStyle name="Normal 2 4 3 29 2 7 2" xfId="52818" xr:uid="{00000000-0005-0000-0000-00007DB40000}"/>
    <cellStyle name="Normal 2 4 3 29 2 8" xfId="52819" xr:uid="{00000000-0005-0000-0000-00007EB40000}"/>
    <cellStyle name="Normal 2 4 3 29 2 9" xfId="52820" xr:uid="{00000000-0005-0000-0000-00007FB40000}"/>
    <cellStyle name="Normal 2 4 3 29 3" xfId="19314" xr:uid="{00000000-0005-0000-0000-000080B40000}"/>
    <cellStyle name="Normal 2 4 3 29 3 2" xfId="19315" xr:uid="{00000000-0005-0000-0000-000081B40000}"/>
    <cellStyle name="Normal 2 4 3 29 3 2 2" xfId="19316" xr:uid="{00000000-0005-0000-0000-000082B40000}"/>
    <cellStyle name="Normal 2 4 3 29 3 2 2 2" xfId="52821" xr:uid="{00000000-0005-0000-0000-000083B40000}"/>
    <cellStyle name="Normal 2 4 3 29 3 2 3" xfId="19317" xr:uid="{00000000-0005-0000-0000-000084B40000}"/>
    <cellStyle name="Normal 2 4 3 29 3 2 3 2" xfId="52822" xr:uid="{00000000-0005-0000-0000-000085B40000}"/>
    <cellStyle name="Normal 2 4 3 29 3 2 4" xfId="52823" xr:uid="{00000000-0005-0000-0000-000086B40000}"/>
    <cellStyle name="Normal 2 4 3 29 3 3" xfId="19318" xr:uid="{00000000-0005-0000-0000-000087B40000}"/>
    <cellStyle name="Normal 2 4 3 29 3 3 2" xfId="52824" xr:uid="{00000000-0005-0000-0000-000088B40000}"/>
    <cellStyle name="Normal 2 4 3 29 3 4" xfId="19319" xr:uid="{00000000-0005-0000-0000-000089B40000}"/>
    <cellStyle name="Normal 2 4 3 29 3 4 2" xfId="52825" xr:uid="{00000000-0005-0000-0000-00008AB40000}"/>
    <cellStyle name="Normal 2 4 3 29 3 5" xfId="19320" xr:uid="{00000000-0005-0000-0000-00008BB40000}"/>
    <cellStyle name="Normal 2 4 3 29 3 5 2" xfId="52826" xr:uid="{00000000-0005-0000-0000-00008CB40000}"/>
    <cellStyle name="Normal 2 4 3 29 3 6" xfId="52827" xr:uid="{00000000-0005-0000-0000-00008DB40000}"/>
    <cellStyle name="Normal 2 4 3 29 3 6 2" xfId="52828" xr:uid="{00000000-0005-0000-0000-00008EB40000}"/>
    <cellStyle name="Normal 2 4 3 29 3 7" xfId="52829" xr:uid="{00000000-0005-0000-0000-00008FB40000}"/>
    <cellStyle name="Normal 2 4 3 29 4" xfId="19321" xr:uid="{00000000-0005-0000-0000-000090B40000}"/>
    <cellStyle name="Normal 2 4 3 29 4 2" xfId="19322" xr:uid="{00000000-0005-0000-0000-000091B40000}"/>
    <cellStyle name="Normal 2 4 3 29 4 2 2" xfId="52830" xr:uid="{00000000-0005-0000-0000-000092B40000}"/>
    <cellStyle name="Normal 2 4 3 29 4 3" xfId="19323" xr:uid="{00000000-0005-0000-0000-000093B40000}"/>
    <cellStyle name="Normal 2 4 3 29 4 3 2" xfId="52831" xr:uid="{00000000-0005-0000-0000-000094B40000}"/>
    <cellStyle name="Normal 2 4 3 29 4 4" xfId="52832" xr:uid="{00000000-0005-0000-0000-000095B40000}"/>
    <cellStyle name="Normal 2 4 3 29 5" xfId="19324" xr:uid="{00000000-0005-0000-0000-000096B40000}"/>
    <cellStyle name="Normal 2 4 3 29 5 2" xfId="19325" xr:uid="{00000000-0005-0000-0000-000097B40000}"/>
    <cellStyle name="Normal 2 4 3 29 5 2 2" xfId="52833" xr:uid="{00000000-0005-0000-0000-000098B40000}"/>
    <cellStyle name="Normal 2 4 3 29 5 3" xfId="52834" xr:uid="{00000000-0005-0000-0000-000099B40000}"/>
    <cellStyle name="Normal 2 4 3 29 6" xfId="19326" xr:uid="{00000000-0005-0000-0000-00009AB40000}"/>
    <cellStyle name="Normal 2 4 3 29 6 2" xfId="52835" xr:uid="{00000000-0005-0000-0000-00009BB40000}"/>
    <cellStyle name="Normal 2 4 3 29 7" xfId="19327" xr:uid="{00000000-0005-0000-0000-00009CB40000}"/>
    <cellStyle name="Normal 2 4 3 29 7 2" xfId="52836" xr:uid="{00000000-0005-0000-0000-00009DB40000}"/>
    <cellStyle name="Normal 2 4 3 29 8" xfId="52837" xr:uid="{00000000-0005-0000-0000-00009EB40000}"/>
    <cellStyle name="Normal 2 4 3 29 8 2" xfId="52838" xr:uid="{00000000-0005-0000-0000-00009FB40000}"/>
    <cellStyle name="Normal 2 4 3 29 9" xfId="52839" xr:uid="{00000000-0005-0000-0000-0000A0B40000}"/>
    <cellStyle name="Normal 2 4 3 3" xfId="19328" xr:uid="{00000000-0005-0000-0000-0000A1B40000}"/>
    <cellStyle name="Normal 2 4 3 3 10" xfId="52840" xr:uid="{00000000-0005-0000-0000-0000A2B40000}"/>
    <cellStyle name="Normal 2 4 3 3 11" xfId="52841" xr:uid="{00000000-0005-0000-0000-0000A3B40000}"/>
    <cellStyle name="Normal 2 4 3 3 2" xfId="19329" xr:uid="{00000000-0005-0000-0000-0000A4B40000}"/>
    <cellStyle name="Normal 2 4 3 3 2 10" xfId="52842" xr:uid="{00000000-0005-0000-0000-0000A5B40000}"/>
    <cellStyle name="Normal 2 4 3 3 2 2" xfId="19330" xr:uid="{00000000-0005-0000-0000-0000A6B40000}"/>
    <cellStyle name="Normal 2 4 3 3 2 2 2" xfId="19331" xr:uid="{00000000-0005-0000-0000-0000A7B40000}"/>
    <cellStyle name="Normal 2 4 3 3 2 2 2 2" xfId="19332" xr:uid="{00000000-0005-0000-0000-0000A8B40000}"/>
    <cellStyle name="Normal 2 4 3 3 2 2 2 2 2" xfId="52843" xr:uid="{00000000-0005-0000-0000-0000A9B40000}"/>
    <cellStyle name="Normal 2 4 3 3 2 2 2 3" xfId="19333" xr:uid="{00000000-0005-0000-0000-0000AAB40000}"/>
    <cellStyle name="Normal 2 4 3 3 2 2 2 3 2" xfId="52844" xr:uid="{00000000-0005-0000-0000-0000ABB40000}"/>
    <cellStyle name="Normal 2 4 3 3 2 2 2 4" xfId="52845" xr:uid="{00000000-0005-0000-0000-0000ACB40000}"/>
    <cellStyle name="Normal 2 4 3 3 2 2 3" xfId="19334" xr:uid="{00000000-0005-0000-0000-0000ADB40000}"/>
    <cellStyle name="Normal 2 4 3 3 2 2 3 2" xfId="52846" xr:uid="{00000000-0005-0000-0000-0000AEB40000}"/>
    <cellStyle name="Normal 2 4 3 3 2 2 4" xfId="19335" xr:uid="{00000000-0005-0000-0000-0000AFB40000}"/>
    <cellStyle name="Normal 2 4 3 3 2 2 4 2" xfId="52847" xr:uid="{00000000-0005-0000-0000-0000B0B40000}"/>
    <cellStyle name="Normal 2 4 3 3 2 2 5" xfId="19336" xr:uid="{00000000-0005-0000-0000-0000B1B40000}"/>
    <cellStyle name="Normal 2 4 3 3 2 2 5 2" xfId="52848" xr:uid="{00000000-0005-0000-0000-0000B2B40000}"/>
    <cellStyle name="Normal 2 4 3 3 2 2 6" xfId="52849" xr:uid="{00000000-0005-0000-0000-0000B3B40000}"/>
    <cellStyle name="Normal 2 4 3 3 2 2 6 2" xfId="52850" xr:uid="{00000000-0005-0000-0000-0000B4B40000}"/>
    <cellStyle name="Normal 2 4 3 3 2 2 7" xfId="52851" xr:uid="{00000000-0005-0000-0000-0000B5B40000}"/>
    <cellStyle name="Normal 2 4 3 3 2 3" xfId="19337" xr:uid="{00000000-0005-0000-0000-0000B6B40000}"/>
    <cellStyle name="Normal 2 4 3 3 2 3 2" xfId="19338" xr:uid="{00000000-0005-0000-0000-0000B7B40000}"/>
    <cellStyle name="Normal 2 4 3 3 2 3 2 2" xfId="52852" xr:uid="{00000000-0005-0000-0000-0000B8B40000}"/>
    <cellStyle name="Normal 2 4 3 3 2 3 3" xfId="19339" xr:uid="{00000000-0005-0000-0000-0000B9B40000}"/>
    <cellStyle name="Normal 2 4 3 3 2 3 3 2" xfId="52853" xr:uid="{00000000-0005-0000-0000-0000BAB40000}"/>
    <cellStyle name="Normal 2 4 3 3 2 3 4" xfId="52854" xr:uid="{00000000-0005-0000-0000-0000BBB40000}"/>
    <cellStyle name="Normal 2 4 3 3 2 4" xfId="19340" xr:uid="{00000000-0005-0000-0000-0000BCB40000}"/>
    <cellStyle name="Normal 2 4 3 3 2 4 2" xfId="19341" xr:uid="{00000000-0005-0000-0000-0000BDB40000}"/>
    <cellStyle name="Normal 2 4 3 3 2 4 2 2" xfId="52855" xr:uid="{00000000-0005-0000-0000-0000BEB40000}"/>
    <cellStyle name="Normal 2 4 3 3 2 4 3" xfId="52856" xr:uid="{00000000-0005-0000-0000-0000BFB40000}"/>
    <cellStyle name="Normal 2 4 3 3 2 5" xfId="19342" xr:uid="{00000000-0005-0000-0000-0000C0B40000}"/>
    <cellStyle name="Normal 2 4 3 3 2 5 2" xfId="52857" xr:uid="{00000000-0005-0000-0000-0000C1B40000}"/>
    <cellStyle name="Normal 2 4 3 3 2 6" xfId="19343" xr:uid="{00000000-0005-0000-0000-0000C2B40000}"/>
    <cellStyle name="Normal 2 4 3 3 2 6 2" xfId="52858" xr:uid="{00000000-0005-0000-0000-0000C3B40000}"/>
    <cellStyle name="Normal 2 4 3 3 2 7" xfId="52859" xr:uid="{00000000-0005-0000-0000-0000C4B40000}"/>
    <cellStyle name="Normal 2 4 3 3 2 7 2" xfId="52860" xr:uid="{00000000-0005-0000-0000-0000C5B40000}"/>
    <cellStyle name="Normal 2 4 3 3 2 8" xfId="52861" xr:uid="{00000000-0005-0000-0000-0000C6B40000}"/>
    <cellStyle name="Normal 2 4 3 3 2 9" xfId="52862" xr:uid="{00000000-0005-0000-0000-0000C7B40000}"/>
    <cellStyle name="Normal 2 4 3 3 3" xfId="19344" xr:uid="{00000000-0005-0000-0000-0000C8B40000}"/>
    <cellStyle name="Normal 2 4 3 3 3 2" xfId="19345" xr:uid="{00000000-0005-0000-0000-0000C9B40000}"/>
    <cellStyle name="Normal 2 4 3 3 3 2 2" xfId="19346" xr:uid="{00000000-0005-0000-0000-0000CAB40000}"/>
    <cellStyle name="Normal 2 4 3 3 3 2 2 2" xfId="52863" xr:uid="{00000000-0005-0000-0000-0000CBB40000}"/>
    <cellStyle name="Normal 2 4 3 3 3 2 3" xfId="19347" xr:uid="{00000000-0005-0000-0000-0000CCB40000}"/>
    <cellStyle name="Normal 2 4 3 3 3 2 3 2" xfId="52864" xr:uid="{00000000-0005-0000-0000-0000CDB40000}"/>
    <cellStyle name="Normal 2 4 3 3 3 2 4" xfId="52865" xr:uid="{00000000-0005-0000-0000-0000CEB40000}"/>
    <cellStyle name="Normal 2 4 3 3 3 3" xfId="19348" xr:uid="{00000000-0005-0000-0000-0000CFB40000}"/>
    <cellStyle name="Normal 2 4 3 3 3 3 2" xfId="52866" xr:uid="{00000000-0005-0000-0000-0000D0B40000}"/>
    <cellStyle name="Normal 2 4 3 3 3 4" xfId="19349" xr:uid="{00000000-0005-0000-0000-0000D1B40000}"/>
    <cellStyle name="Normal 2 4 3 3 3 4 2" xfId="52867" xr:uid="{00000000-0005-0000-0000-0000D2B40000}"/>
    <cellStyle name="Normal 2 4 3 3 3 5" xfId="19350" xr:uid="{00000000-0005-0000-0000-0000D3B40000}"/>
    <cellStyle name="Normal 2 4 3 3 3 5 2" xfId="52868" xr:uid="{00000000-0005-0000-0000-0000D4B40000}"/>
    <cellStyle name="Normal 2 4 3 3 3 6" xfId="52869" xr:uid="{00000000-0005-0000-0000-0000D5B40000}"/>
    <cellStyle name="Normal 2 4 3 3 3 6 2" xfId="52870" xr:uid="{00000000-0005-0000-0000-0000D6B40000}"/>
    <cellStyle name="Normal 2 4 3 3 3 7" xfId="52871" xr:uid="{00000000-0005-0000-0000-0000D7B40000}"/>
    <cellStyle name="Normal 2 4 3 3 4" xfId="19351" xr:uid="{00000000-0005-0000-0000-0000D8B40000}"/>
    <cellStyle name="Normal 2 4 3 3 4 2" xfId="19352" xr:uid="{00000000-0005-0000-0000-0000D9B40000}"/>
    <cellStyle name="Normal 2 4 3 3 4 2 2" xfId="52872" xr:uid="{00000000-0005-0000-0000-0000DAB40000}"/>
    <cellStyle name="Normal 2 4 3 3 4 3" xfId="19353" xr:uid="{00000000-0005-0000-0000-0000DBB40000}"/>
    <cellStyle name="Normal 2 4 3 3 4 3 2" xfId="52873" xr:uid="{00000000-0005-0000-0000-0000DCB40000}"/>
    <cellStyle name="Normal 2 4 3 3 4 4" xfId="52874" xr:uid="{00000000-0005-0000-0000-0000DDB40000}"/>
    <cellStyle name="Normal 2 4 3 3 5" xfId="19354" xr:uid="{00000000-0005-0000-0000-0000DEB40000}"/>
    <cellStyle name="Normal 2 4 3 3 5 2" xfId="19355" xr:uid="{00000000-0005-0000-0000-0000DFB40000}"/>
    <cellStyle name="Normal 2 4 3 3 5 2 2" xfId="52875" xr:uid="{00000000-0005-0000-0000-0000E0B40000}"/>
    <cellStyle name="Normal 2 4 3 3 5 3" xfId="52876" xr:uid="{00000000-0005-0000-0000-0000E1B40000}"/>
    <cellStyle name="Normal 2 4 3 3 6" xfId="19356" xr:uid="{00000000-0005-0000-0000-0000E2B40000}"/>
    <cellStyle name="Normal 2 4 3 3 6 2" xfId="52877" xr:uid="{00000000-0005-0000-0000-0000E3B40000}"/>
    <cellStyle name="Normal 2 4 3 3 7" xfId="19357" xr:uid="{00000000-0005-0000-0000-0000E4B40000}"/>
    <cellStyle name="Normal 2 4 3 3 7 2" xfId="52878" xr:uid="{00000000-0005-0000-0000-0000E5B40000}"/>
    <cellStyle name="Normal 2 4 3 3 8" xfId="52879" xr:uid="{00000000-0005-0000-0000-0000E6B40000}"/>
    <cellStyle name="Normal 2 4 3 3 8 2" xfId="52880" xr:uid="{00000000-0005-0000-0000-0000E7B40000}"/>
    <cellStyle name="Normal 2 4 3 3 9" xfId="52881" xr:uid="{00000000-0005-0000-0000-0000E8B40000}"/>
    <cellStyle name="Normal 2 4 3 30" xfId="19358" xr:uid="{00000000-0005-0000-0000-0000E9B40000}"/>
    <cellStyle name="Normal 2 4 3 30 10" xfId="52882" xr:uid="{00000000-0005-0000-0000-0000EAB40000}"/>
    <cellStyle name="Normal 2 4 3 30 11" xfId="52883" xr:uid="{00000000-0005-0000-0000-0000EBB40000}"/>
    <cellStyle name="Normal 2 4 3 30 2" xfId="19359" xr:uid="{00000000-0005-0000-0000-0000ECB40000}"/>
    <cellStyle name="Normal 2 4 3 30 2 10" xfId="52884" xr:uid="{00000000-0005-0000-0000-0000EDB40000}"/>
    <cellStyle name="Normal 2 4 3 30 2 2" xfId="19360" xr:uid="{00000000-0005-0000-0000-0000EEB40000}"/>
    <cellStyle name="Normal 2 4 3 30 2 2 2" xfId="19361" xr:uid="{00000000-0005-0000-0000-0000EFB40000}"/>
    <cellStyle name="Normal 2 4 3 30 2 2 2 2" xfId="19362" xr:uid="{00000000-0005-0000-0000-0000F0B40000}"/>
    <cellStyle name="Normal 2 4 3 30 2 2 2 2 2" xfId="52885" xr:uid="{00000000-0005-0000-0000-0000F1B40000}"/>
    <cellStyle name="Normal 2 4 3 30 2 2 2 3" xfId="19363" xr:uid="{00000000-0005-0000-0000-0000F2B40000}"/>
    <cellStyle name="Normal 2 4 3 30 2 2 2 3 2" xfId="52886" xr:uid="{00000000-0005-0000-0000-0000F3B40000}"/>
    <cellStyle name="Normal 2 4 3 30 2 2 2 4" xfId="52887" xr:uid="{00000000-0005-0000-0000-0000F4B40000}"/>
    <cellStyle name="Normal 2 4 3 30 2 2 3" xfId="19364" xr:uid="{00000000-0005-0000-0000-0000F5B40000}"/>
    <cellStyle name="Normal 2 4 3 30 2 2 3 2" xfId="52888" xr:uid="{00000000-0005-0000-0000-0000F6B40000}"/>
    <cellStyle name="Normal 2 4 3 30 2 2 4" xfId="19365" xr:uid="{00000000-0005-0000-0000-0000F7B40000}"/>
    <cellStyle name="Normal 2 4 3 30 2 2 4 2" xfId="52889" xr:uid="{00000000-0005-0000-0000-0000F8B40000}"/>
    <cellStyle name="Normal 2 4 3 30 2 2 5" xfId="19366" xr:uid="{00000000-0005-0000-0000-0000F9B40000}"/>
    <cellStyle name="Normal 2 4 3 30 2 2 5 2" xfId="52890" xr:uid="{00000000-0005-0000-0000-0000FAB40000}"/>
    <cellStyle name="Normal 2 4 3 30 2 2 6" xfId="52891" xr:uid="{00000000-0005-0000-0000-0000FBB40000}"/>
    <cellStyle name="Normal 2 4 3 30 2 2 6 2" xfId="52892" xr:uid="{00000000-0005-0000-0000-0000FCB40000}"/>
    <cellStyle name="Normal 2 4 3 30 2 2 7" xfId="52893" xr:uid="{00000000-0005-0000-0000-0000FDB40000}"/>
    <cellStyle name="Normal 2 4 3 30 2 3" xfId="19367" xr:uid="{00000000-0005-0000-0000-0000FEB40000}"/>
    <cellStyle name="Normal 2 4 3 30 2 3 2" xfId="19368" xr:uid="{00000000-0005-0000-0000-0000FFB40000}"/>
    <cellStyle name="Normal 2 4 3 30 2 3 2 2" xfId="52894" xr:uid="{00000000-0005-0000-0000-000000B50000}"/>
    <cellStyle name="Normal 2 4 3 30 2 3 3" xfId="19369" xr:uid="{00000000-0005-0000-0000-000001B50000}"/>
    <cellStyle name="Normal 2 4 3 30 2 3 3 2" xfId="52895" xr:uid="{00000000-0005-0000-0000-000002B50000}"/>
    <cellStyle name="Normal 2 4 3 30 2 3 4" xfId="52896" xr:uid="{00000000-0005-0000-0000-000003B50000}"/>
    <cellStyle name="Normal 2 4 3 30 2 4" xfId="19370" xr:uid="{00000000-0005-0000-0000-000004B50000}"/>
    <cellStyle name="Normal 2 4 3 30 2 4 2" xfId="19371" xr:uid="{00000000-0005-0000-0000-000005B50000}"/>
    <cellStyle name="Normal 2 4 3 30 2 4 2 2" xfId="52897" xr:uid="{00000000-0005-0000-0000-000006B50000}"/>
    <cellStyle name="Normal 2 4 3 30 2 4 3" xfId="52898" xr:uid="{00000000-0005-0000-0000-000007B50000}"/>
    <cellStyle name="Normal 2 4 3 30 2 5" xfId="19372" xr:uid="{00000000-0005-0000-0000-000008B50000}"/>
    <cellStyle name="Normal 2 4 3 30 2 5 2" xfId="52899" xr:uid="{00000000-0005-0000-0000-000009B50000}"/>
    <cellStyle name="Normal 2 4 3 30 2 6" xfId="19373" xr:uid="{00000000-0005-0000-0000-00000AB50000}"/>
    <cellStyle name="Normal 2 4 3 30 2 6 2" xfId="52900" xr:uid="{00000000-0005-0000-0000-00000BB50000}"/>
    <cellStyle name="Normal 2 4 3 30 2 7" xfId="52901" xr:uid="{00000000-0005-0000-0000-00000CB50000}"/>
    <cellStyle name="Normal 2 4 3 30 2 7 2" xfId="52902" xr:uid="{00000000-0005-0000-0000-00000DB50000}"/>
    <cellStyle name="Normal 2 4 3 30 2 8" xfId="52903" xr:uid="{00000000-0005-0000-0000-00000EB50000}"/>
    <cellStyle name="Normal 2 4 3 30 2 9" xfId="52904" xr:uid="{00000000-0005-0000-0000-00000FB50000}"/>
    <cellStyle name="Normal 2 4 3 30 3" xfId="19374" xr:uid="{00000000-0005-0000-0000-000010B50000}"/>
    <cellStyle name="Normal 2 4 3 30 3 2" xfId="19375" xr:uid="{00000000-0005-0000-0000-000011B50000}"/>
    <cellStyle name="Normal 2 4 3 30 3 2 2" xfId="19376" xr:uid="{00000000-0005-0000-0000-000012B50000}"/>
    <cellStyle name="Normal 2 4 3 30 3 2 2 2" xfId="52905" xr:uid="{00000000-0005-0000-0000-000013B50000}"/>
    <cellStyle name="Normal 2 4 3 30 3 2 3" xfId="19377" xr:uid="{00000000-0005-0000-0000-000014B50000}"/>
    <cellStyle name="Normal 2 4 3 30 3 2 3 2" xfId="52906" xr:uid="{00000000-0005-0000-0000-000015B50000}"/>
    <cellStyle name="Normal 2 4 3 30 3 2 4" xfId="52907" xr:uid="{00000000-0005-0000-0000-000016B50000}"/>
    <cellStyle name="Normal 2 4 3 30 3 3" xfId="19378" xr:uid="{00000000-0005-0000-0000-000017B50000}"/>
    <cellStyle name="Normal 2 4 3 30 3 3 2" xfId="52908" xr:uid="{00000000-0005-0000-0000-000018B50000}"/>
    <cellStyle name="Normal 2 4 3 30 3 4" xfId="19379" xr:uid="{00000000-0005-0000-0000-000019B50000}"/>
    <cellStyle name="Normal 2 4 3 30 3 4 2" xfId="52909" xr:uid="{00000000-0005-0000-0000-00001AB50000}"/>
    <cellStyle name="Normal 2 4 3 30 3 5" xfId="19380" xr:uid="{00000000-0005-0000-0000-00001BB50000}"/>
    <cellStyle name="Normal 2 4 3 30 3 5 2" xfId="52910" xr:uid="{00000000-0005-0000-0000-00001CB50000}"/>
    <cellStyle name="Normal 2 4 3 30 3 6" xfId="52911" xr:uid="{00000000-0005-0000-0000-00001DB50000}"/>
    <cellStyle name="Normal 2 4 3 30 3 6 2" xfId="52912" xr:uid="{00000000-0005-0000-0000-00001EB50000}"/>
    <cellStyle name="Normal 2 4 3 30 3 7" xfId="52913" xr:uid="{00000000-0005-0000-0000-00001FB50000}"/>
    <cellStyle name="Normal 2 4 3 30 4" xfId="19381" xr:uid="{00000000-0005-0000-0000-000020B50000}"/>
    <cellStyle name="Normal 2 4 3 30 4 2" xfId="19382" xr:uid="{00000000-0005-0000-0000-000021B50000}"/>
    <cellStyle name="Normal 2 4 3 30 4 2 2" xfId="52914" xr:uid="{00000000-0005-0000-0000-000022B50000}"/>
    <cellStyle name="Normal 2 4 3 30 4 3" xfId="19383" xr:uid="{00000000-0005-0000-0000-000023B50000}"/>
    <cellStyle name="Normal 2 4 3 30 4 3 2" xfId="52915" xr:uid="{00000000-0005-0000-0000-000024B50000}"/>
    <cellStyle name="Normal 2 4 3 30 4 4" xfId="52916" xr:uid="{00000000-0005-0000-0000-000025B50000}"/>
    <cellStyle name="Normal 2 4 3 30 5" xfId="19384" xr:uid="{00000000-0005-0000-0000-000026B50000}"/>
    <cellStyle name="Normal 2 4 3 30 5 2" xfId="19385" xr:uid="{00000000-0005-0000-0000-000027B50000}"/>
    <cellStyle name="Normal 2 4 3 30 5 2 2" xfId="52917" xr:uid="{00000000-0005-0000-0000-000028B50000}"/>
    <cellStyle name="Normal 2 4 3 30 5 3" xfId="52918" xr:uid="{00000000-0005-0000-0000-000029B50000}"/>
    <cellStyle name="Normal 2 4 3 30 6" xfId="19386" xr:uid="{00000000-0005-0000-0000-00002AB50000}"/>
    <cellStyle name="Normal 2 4 3 30 6 2" xfId="52919" xr:uid="{00000000-0005-0000-0000-00002BB50000}"/>
    <cellStyle name="Normal 2 4 3 30 7" xfId="19387" xr:uid="{00000000-0005-0000-0000-00002CB50000}"/>
    <cellStyle name="Normal 2 4 3 30 7 2" xfId="52920" xr:uid="{00000000-0005-0000-0000-00002DB50000}"/>
    <cellStyle name="Normal 2 4 3 30 8" xfId="52921" xr:uid="{00000000-0005-0000-0000-00002EB50000}"/>
    <cellStyle name="Normal 2 4 3 30 8 2" xfId="52922" xr:uid="{00000000-0005-0000-0000-00002FB50000}"/>
    <cellStyle name="Normal 2 4 3 30 9" xfId="52923" xr:uid="{00000000-0005-0000-0000-000030B50000}"/>
    <cellStyle name="Normal 2 4 3 31" xfId="19388" xr:uid="{00000000-0005-0000-0000-000031B50000}"/>
    <cellStyle name="Normal 2 4 3 31 10" xfId="52924" xr:uid="{00000000-0005-0000-0000-000032B50000}"/>
    <cellStyle name="Normal 2 4 3 31 2" xfId="19389" xr:uid="{00000000-0005-0000-0000-000033B50000}"/>
    <cellStyle name="Normal 2 4 3 31 2 2" xfId="19390" xr:uid="{00000000-0005-0000-0000-000034B50000}"/>
    <cellStyle name="Normal 2 4 3 31 2 2 2" xfId="19391" xr:uid="{00000000-0005-0000-0000-000035B50000}"/>
    <cellStyle name="Normal 2 4 3 31 2 2 2 2" xfId="52925" xr:uid="{00000000-0005-0000-0000-000036B50000}"/>
    <cellStyle name="Normal 2 4 3 31 2 2 3" xfId="19392" xr:uid="{00000000-0005-0000-0000-000037B50000}"/>
    <cellStyle name="Normal 2 4 3 31 2 2 3 2" xfId="52926" xr:uid="{00000000-0005-0000-0000-000038B50000}"/>
    <cellStyle name="Normal 2 4 3 31 2 2 4" xfId="52927" xr:uid="{00000000-0005-0000-0000-000039B50000}"/>
    <cellStyle name="Normal 2 4 3 31 2 3" xfId="19393" xr:uid="{00000000-0005-0000-0000-00003AB50000}"/>
    <cellStyle name="Normal 2 4 3 31 2 3 2" xfId="52928" xr:uid="{00000000-0005-0000-0000-00003BB50000}"/>
    <cellStyle name="Normal 2 4 3 31 2 4" xfId="19394" xr:uid="{00000000-0005-0000-0000-00003CB50000}"/>
    <cellStyle name="Normal 2 4 3 31 2 4 2" xfId="52929" xr:uid="{00000000-0005-0000-0000-00003DB50000}"/>
    <cellStyle name="Normal 2 4 3 31 2 5" xfId="19395" xr:uid="{00000000-0005-0000-0000-00003EB50000}"/>
    <cellStyle name="Normal 2 4 3 31 2 5 2" xfId="52930" xr:uid="{00000000-0005-0000-0000-00003FB50000}"/>
    <cellStyle name="Normal 2 4 3 31 2 6" xfId="52931" xr:uid="{00000000-0005-0000-0000-000040B50000}"/>
    <cellStyle name="Normal 2 4 3 31 2 6 2" xfId="52932" xr:uid="{00000000-0005-0000-0000-000041B50000}"/>
    <cellStyle name="Normal 2 4 3 31 2 7" xfId="52933" xr:uid="{00000000-0005-0000-0000-000042B50000}"/>
    <cellStyle name="Normal 2 4 3 31 3" xfId="19396" xr:uid="{00000000-0005-0000-0000-000043B50000}"/>
    <cellStyle name="Normal 2 4 3 31 3 2" xfId="19397" xr:uid="{00000000-0005-0000-0000-000044B50000}"/>
    <cellStyle name="Normal 2 4 3 31 3 2 2" xfId="52934" xr:uid="{00000000-0005-0000-0000-000045B50000}"/>
    <cellStyle name="Normal 2 4 3 31 3 3" xfId="19398" xr:uid="{00000000-0005-0000-0000-000046B50000}"/>
    <cellStyle name="Normal 2 4 3 31 3 3 2" xfId="52935" xr:uid="{00000000-0005-0000-0000-000047B50000}"/>
    <cellStyle name="Normal 2 4 3 31 3 4" xfId="52936" xr:uid="{00000000-0005-0000-0000-000048B50000}"/>
    <cellStyle name="Normal 2 4 3 31 4" xfId="19399" xr:uid="{00000000-0005-0000-0000-000049B50000}"/>
    <cellStyle name="Normal 2 4 3 31 4 2" xfId="19400" xr:uid="{00000000-0005-0000-0000-00004AB50000}"/>
    <cellStyle name="Normal 2 4 3 31 4 2 2" xfId="52937" xr:uid="{00000000-0005-0000-0000-00004BB50000}"/>
    <cellStyle name="Normal 2 4 3 31 4 3" xfId="52938" xr:uid="{00000000-0005-0000-0000-00004CB50000}"/>
    <cellStyle name="Normal 2 4 3 31 5" xfId="19401" xr:uid="{00000000-0005-0000-0000-00004DB50000}"/>
    <cellStyle name="Normal 2 4 3 31 5 2" xfId="52939" xr:uid="{00000000-0005-0000-0000-00004EB50000}"/>
    <cellStyle name="Normal 2 4 3 31 6" xfId="19402" xr:uid="{00000000-0005-0000-0000-00004FB50000}"/>
    <cellStyle name="Normal 2 4 3 31 6 2" xfId="52940" xr:uid="{00000000-0005-0000-0000-000050B50000}"/>
    <cellStyle name="Normal 2 4 3 31 7" xfId="52941" xr:uid="{00000000-0005-0000-0000-000051B50000}"/>
    <cellStyle name="Normal 2 4 3 31 7 2" xfId="52942" xr:uid="{00000000-0005-0000-0000-000052B50000}"/>
    <cellStyle name="Normal 2 4 3 31 8" xfId="52943" xr:uid="{00000000-0005-0000-0000-000053B50000}"/>
    <cellStyle name="Normal 2 4 3 31 9" xfId="52944" xr:uid="{00000000-0005-0000-0000-000054B50000}"/>
    <cellStyle name="Normal 2 4 3 32" xfId="19403" xr:uid="{00000000-0005-0000-0000-000055B50000}"/>
    <cellStyle name="Normal 2 4 3 32 2" xfId="19404" xr:uid="{00000000-0005-0000-0000-000056B50000}"/>
    <cellStyle name="Normal 2 4 3 32 2 2" xfId="19405" xr:uid="{00000000-0005-0000-0000-000057B50000}"/>
    <cellStyle name="Normal 2 4 3 32 2 2 2" xfId="52945" xr:uid="{00000000-0005-0000-0000-000058B50000}"/>
    <cellStyle name="Normal 2 4 3 32 2 3" xfId="19406" xr:uid="{00000000-0005-0000-0000-000059B50000}"/>
    <cellStyle name="Normal 2 4 3 32 2 3 2" xfId="52946" xr:uid="{00000000-0005-0000-0000-00005AB50000}"/>
    <cellStyle name="Normal 2 4 3 32 2 4" xfId="52947" xr:uid="{00000000-0005-0000-0000-00005BB50000}"/>
    <cellStyle name="Normal 2 4 3 32 3" xfId="19407" xr:uid="{00000000-0005-0000-0000-00005CB50000}"/>
    <cellStyle name="Normal 2 4 3 32 3 2" xfId="52948" xr:uid="{00000000-0005-0000-0000-00005DB50000}"/>
    <cellStyle name="Normal 2 4 3 32 4" xfId="19408" xr:uid="{00000000-0005-0000-0000-00005EB50000}"/>
    <cellStyle name="Normal 2 4 3 32 4 2" xfId="52949" xr:uid="{00000000-0005-0000-0000-00005FB50000}"/>
    <cellStyle name="Normal 2 4 3 32 5" xfId="19409" xr:uid="{00000000-0005-0000-0000-000060B50000}"/>
    <cellStyle name="Normal 2 4 3 32 5 2" xfId="52950" xr:uid="{00000000-0005-0000-0000-000061B50000}"/>
    <cellStyle name="Normal 2 4 3 32 6" xfId="52951" xr:uid="{00000000-0005-0000-0000-000062B50000}"/>
    <cellStyle name="Normal 2 4 3 32 6 2" xfId="52952" xr:uid="{00000000-0005-0000-0000-000063B50000}"/>
    <cellStyle name="Normal 2 4 3 32 7" xfId="52953" xr:uid="{00000000-0005-0000-0000-000064B50000}"/>
    <cellStyle name="Normal 2 4 3 33" xfId="19410" xr:uid="{00000000-0005-0000-0000-000065B50000}"/>
    <cellStyle name="Normal 2 4 3 33 2" xfId="19411" xr:uid="{00000000-0005-0000-0000-000066B50000}"/>
    <cellStyle name="Normal 2 4 3 33 2 2" xfId="52954" xr:uid="{00000000-0005-0000-0000-000067B50000}"/>
    <cellStyle name="Normal 2 4 3 33 3" xfId="19412" xr:uid="{00000000-0005-0000-0000-000068B50000}"/>
    <cellStyle name="Normal 2 4 3 33 3 2" xfId="52955" xr:uid="{00000000-0005-0000-0000-000069B50000}"/>
    <cellStyle name="Normal 2 4 3 33 4" xfId="52956" xr:uid="{00000000-0005-0000-0000-00006AB50000}"/>
    <cellStyle name="Normal 2 4 3 34" xfId="19413" xr:uid="{00000000-0005-0000-0000-00006BB50000}"/>
    <cellStyle name="Normal 2 4 3 34 2" xfId="19414" xr:uid="{00000000-0005-0000-0000-00006CB50000}"/>
    <cellStyle name="Normal 2 4 3 34 2 2" xfId="52957" xr:uid="{00000000-0005-0000-0000-00006DB50000}"/>
    <cellStyle name="Normal 2 4 3 34 3" xfId="52958" xr:uid="{00000000-0005-0000-0000-00006EB50000}"/>
    <cellStyle name="Normal 2 4 3 35" xfId="19415" xr:uid="{00000000-0005-0000-0000-00006FB50000}"/>
    <cellStyle name="Normal 2 4 3 35 2" xfId="52959" xr:uid="{00000000-0005-0000-0000-000070B50000}"/>
    <cellStyle name="Normal 2 4 3 36" xfId="19416" xr:uid="{00000000-0005-0000-0000-000071B50000}"/>
    <cellStyle name="Normal 2 4 3 36 2" xfId="52960" xr:uid="{00000000-0005-0000-0000-000072B50000}"/>
    <cellStyle name="Normal 2 4 3 37" xfId="52961" xr:uid="{00000000-0005-0000-0000-000073B50000}"/>
    <cellStyle name="Normal 2 4 3 37 2" xfId="52962" xr:uid="{00000000-0005-0000-0000-000074B50000}"/>
    <cellStyle name="Normal 2 4 3 38" xfId="52963" xr:uid="{00000000-0005-0000-0000-000075B50000}"/>
    <cellStyle name="Normal 2 4 3 39" xfId="52964" xr:uid="{00000000-0005-0000-0000-000076B50000}"/>
    <cellStyle name="Normal 2 4 3 4" xfId="19417" xr:uid="{00000000-0005-0000-0000-000077B50000}"/>
    <cellStyle name="Normal 2 4 3 4 10" xfId="52965" xr:uid="{00000000-0005-0000-0000-000078B50000}"/>
    <cellStyle name="Normal 2 4 3 4 11" xfId="52966" xr:uid="{00000000-0005-0000-0000-000079B50000}"/>
    <cellStyle name="Normal 2 4 3 4 2" xfId="19418" xr:uid="{00000000-0005-0000-0000-00007AB50000}"/>
    <cellStyle name="Normal 2 4 3 4 2 10" xfId="52967" xr:uid="{00000000-0005-0000-0000-00007BB50000}"/>
    <cellStyle name="Normal 2 4 3 4 2 2" xfId="19419" xr:uid="{00000000-0005-0000-0000-00007CB50000}"/>
    <cellStyle name="Normal 2 4 3 4 2 2 2" xfId="19420" xr:uid="{00000000-0005-0000-0000-00007DB50000}"/>
    <cellStyle name="Normal 2 4 3 4 2 2 2 2" xfId="19421" xr:uid="{00000000-0005-0000-0000-00007EB50000}"/>
    <cellStyle name="Normal 2 4 3 4 2 2 2 2 2" xfId="52968" xr:uid="{00000000-0005-0000-0000-00007FB50000}"/>
    <cellStyle name="Normal 2 4 3 4 2 2 2 3" xfId="19422" xr:uid="{00000000-0005-0000-0000-000080B50000}"/>
    <cellStyle name="Normal 2 4 3 4 2 2 2 3 2" xfId="52969" xr:uid="{00000000-0005-0000-0000-000081B50000}"/>
    <cellStyle name="Normal 2 4 3 4 2 2 2 4" xfId="52970" xr:uid="{00000000-0005-0000-0000-000082B50000}"/>
    <cellStyle name="Normal 2 4 3 4 2 2 3" xfId="19423" xr:uid="{00000000-0005-0000-0000-000083B50000}"/>
    <cellStyle name="Normal 2 4 3 4 2 2 3 2" xfId="52971" xr:uid="{00000000-0005-0000-0000-000084B50000}"/>
    <cellStyle name="Normal 2 4 3 4 2 2 4" xfId="19424" xr:uid="{00000000-0005-0000-0000-000085B50000}"/>
    <cellStyle name="Normal 2 4 3 4 2 2 4 2" xfId="52972" xr:uid="{00000000-0005-0000-0000-000086B50000}"/>
    <cellStyle name="Normal 2 4 3 4 2 2 5" xfId="19425" xr:uid="{00000000-0005-0000-0000-000087B50000}"/>
    <cellStyle name="Normal 2 4 3 4 2 2 5 2" xfId="52973" xr:uid="{00000000-0005-0000-0000-000088B50000}"/>
    <cellStyle name="Normal 2 4 3 4 2 2 6" xfId="52974" xr:uid="{00000000-0005-0000-0000-000089B50000}"/>
    <cellStyle name="Normal 2 4 3 4 2 2 6 2" xfId="52975" xr:uid="{00000000-0005-0000-0000-00008AB50000}"/>
    <cellStyle name="Normal 2 4 3 4 2 2 7" xfId="52976" xr:uid="{00000000-0005-0000-0000-00008BB50000}"/>
    <cellStyle name="Normal 2 4 3 4 2 3" xfId="19426" xr:uid="{00000000-0005-0000-0000-00008CB50000}"/>
    <cellStyle name="Normal 2 4 3 4 2 3 2" xfId="19427" xr:uid="{00000000-0005-0000-0000-00008DB50000}"/>
    <cellStyle name="Normal 2 4 3 4 2 3 2 2" xfId="52977" xr:uid="{00000000-0005-0000-0000-00008EB50000}"/>
    <cellStyle name="Normal 2 4 3 4 2 3 3" xfId="19428" xr:uid="{00000000-0005-0000-0000-00008FB50000}"/>
    <cellStyle name="Normal 2 4 3 4 2 3 3 2" xfId="52978" xr:uid="{00000000-0005-0000-0000-000090B50000}"/>
    <cellStyle name="Normal 2 4 3 4 2 3 4" xfId="52979" xr:uid="{00000000-0005-0000-0000-000091B50000}"/>
    <cellStyle name="Normal 2 4 3 4 2 4" xfId="19429" xr:uid="{00000000-0005-0000-0000-000092B50000}"/>
    <cellStyle name="Normal 2 4 3 4 2 4 2" xfId="19430" xr:uid="{00000000-0005-0000-0000-000093B50000}"/>
    <cellStyle name="Normal 2 4 3 4 2 4 2 2" xfId="52980" xr:uid="{00000000-0005-0000-0000-000094B50000}"/>
    <cellStyle name="Normal 2 4 3 4 2 4 3" xfId="52981" xr:uid="{00000000-0005-0000-0000-000095B50000}"/>
    <cellStyle name="Normal 2 4 3 4 2 5" xfId="19431" xr:uid="{00000000-0005-0000-0000-000096B50000}"/>
    <cellStyle name="Normal 2 4 3 4 2 5 2" xfId="52982" xr:uid="{00000000-0005-0000-0000-000097B50000}"/>
    <cellStyle name="Normal 2 4 3 4 2 6" xfId="19432" xr:uid="{00000000-0005-0000-0000-000098B50000}"/>
    <cellStyle name="Normal 2 4 3 4 2 6 2" xfId="52983" xr:uid="{00000000-0005-0000-0000-000099B50000}"/>
    <cellStyle name="Normal 2 4 3 4 2 7" xfId="52984" xr:uid="{00000000-0005-0000-0000-00009AB50000}"/>
    <cellStyle name="Normal 2 4 3 4 2 7 2" xfId="52985" xr:uid="{00000000-0005-0000-0000-00009BB50000}"/>
    <cellStyle name="Normal 2 4 3 4 2 8" xfId="52986" xr:uid="{00000000-0005-0000-0000-00009CB50000}"/>
    <cellStyle name="Normal 2 4 3 4 2 9" xfId="52987" xr:uid="{00000000-0005-0000-0000-00009DB50000}"/>
    <cellStyle name="Normal 2 4 3 4 3" xfId="19433" xr:uid="{00000000-0005-0000-0000-00009EB50000}"/>
    <cellStyle name="Normal 2 4 3 4 3 2" xfId="19434" xr:uid="{00000000-0005-0000-0000-00009FB50000}"/>
    <cellStyle name="Normal 2 4 3 4 3 2 2" xfId="19435" xr:uid="{00000000-0005-0000-0000-0000A0B50000}"/>
    <cellStyle name="Normal 2 4 3 4 3 2 2 2" xfId="52988" xr:uid="{00000000-0005-0000-0000-0000A1B50000}"/>
    <cellStyle name="Normal 2 4 3 4 3 2 3" xfId="19436" xr:uid="{00000000-0005-0000-0000-0000A2B50000}"/>
    <cellStyle name="Normal 2 4 3 4 3 2 3 2" xfId="52989" xr:uid="{00000000-0005-0000-0000-0000A3B50000}"/>
    <cellStyle name="Normal 2 4 3 4 3 2 4" xfId="52990" xr:uid="{00000000-0005-0000-0000-0000A4B50000}"/>
    <cellStyle name="Normal 2 4 3 4 3 3" xfId="19437" xr:uid="{00000000-0005-0000-0000-0000A5B50000}"/>
    <cellStyle name="Normal 2 4 3 4 3 3 2" xfId="52991" xr:uid="{00000000-0005-0000-0000-0000A6B50000}"/>
    <cellStyle name="Normal 2 4 3 4 3 4" xfId="19438" xr:uid="{00000000-0005-0000-0000-0000A7B50000}"/>
    <cellStyle name="Normal 2 4 3 4 3 4 2" xfId="52992" xr:uid="{00000000-0005-0000-0000-0000A8B50000}"/>
    <cellStyle name="Normal 2 4 3 4 3 5" xfId="19439" xr:uid="{00000000-0005-0000-0000-0000A9B50000}"/>
    <cellStyle name="Normal 2 4 3 4 3 5 2" xfId="52993" xr:uid="{00000000-0005-0000-0000-0000AAB50000}"/>
    <cellStyle name="Normal 2 4 3 4 3 6" xfId="52994" xr:uid="{00000000-0005-0000-0000-0000ABB50000}"/>
    <cellStyle name="Normal 2 4 3 4 3 6 2" xfId="52995" xr:uid="{00000000-0005-0000-0000-0000ACB50000}"/>
    <cellStyle name="Normal 2 4 3 4 3 7" xfId="52996" xr:uid="{00000000-0005-0000-0000-0000ADB50000}"/>
    <cellStyle name="Normal 2 4 3 4 4" xfId="19440" xr:uid="{00000000-0005-0000-0000-0000AEB50000}"/>
    <cellStyle name="Normal 2 4 3 4 4 2" xfId="19441" xr:uid="{00000000-0005-0000-0000-0000AFB50000}"/>
    <cellStyle name="Normal 2 4 3 4 4 2 2" xfId="52997" xr:uid="{00000000-0005-0000-0000-0000B0B50000}"/>
    <cellStyle name="Normal 2 4 3 4 4 3" xfId="19442" xr:uid="{00000000-0005-0000-0000-0000B1B50000}"/>
    <cellStyle name="Normal 2 4 3 4 4 3 2" xfId="52998" xr:uid="{00000000-0005-0000-0000-0000B2B50000}"/>
    <cellStyle name="Normal 2 4 3 4 4 4" xfId="52999" xr:uid="{00000000-0005-0000-0000-0000B3B50000}"/>
    <cellStyle name="Normal 2 4 3 4 5" xfId="19443" xr:uid="{00000000-0005-0000-0000-0000B4B50000}"/>
    <cellStyle name="Normal 2 4 3 4 5 2" xfId="19444" xr:uid="{00000000-0005-0000-0000-0000B5B50000}"/>
    <cellStyle name="Normal 2 4 3 4 5 2 2" xfId="53000" xr:uid="{00000000-0005-0000-0000-0000B6B50000}"/>
    <cellStyle name="Normal 2 4 3 4 5 3" xfId="53001" xr:uid="{00000000-0005-0000-0000-0000B7B50000}"/>
    <cellStyle name="Normal 2 4 3 4 6" xfId="19445" xr:uid="{00000000-0005-0000-0000-0000B8B50000}"/>
    <cellStyle name="Normal 2 4 3 4 6 2" xfId="53002" xr:uid="{00000000-0005-0000-0000-0000B9B50000}"/>
    <cellStyle name="Normal 2 4 3 4 7" xfId="19446" xr:uid="{00000000-0005-0000-0000-0000BAB50000}"/>
    <cellStyle name="Normal 2 4 3 4 7 2" xfId="53003" xr:uid="{00000000-0005-0000-0000-0000BBB50000}"/>
    <cellStyle name="Normal 2 4 3 4 8" xfId="53004" xr:uid="{00000000-0005-0000-0000-0000BCB50000}"/>
    <cellStyle name="Normal 2 4 3 4 8 2" xfId="53005" xr:uid="{00000000-0005-0000-0000-0000BDB50000}"/>
    <cellStyle name="Normal 2 4 3 4 9" xfId="53006" xr:uid="{00000000-0005-0000-0000-0000BEB50000}"/>
    <cellStyle name="Normal 2 4 3 40" xfId="53007" xr:uid="{00000000-0005-0000-0000-0000BFB50000}"/>
    <cellStyle name="Normal 2 4 3 5" xfId="19447" xr:uid="{00000000-0005-0000-0000-0000C0B50000}"/>
    <cellStyle name="Normal 2 4 3 5 10" xfId="53008" xr:uid="{00000000-0005-0000-0000-0000C1B50000}"/>
    <cellStyle name="Normal 2 4 3 5 11" xfId="53009" xr:uid="{00000000-0005-0000-0000-0000C2B50000}"/>
    <cellStyle name="Normal 2 4 3 5 2" xfId="19448" xr:uid="{00000000-0005-0000-0000-0000C3B50000}"/>
    <cellStyle name="Normal 2 4 3 5 2 10" xfId="53010" xr:uid="{00000000-0005-0000-0000-0000C4B50000}"/>
    <cellStyle name="Normal 2 4 3 5 2 2" xfId="19449" xr:uid="{00000000-0005-0000-0000-0000C5B50000}"/>
    <cellStyle name="Normal 2 4 3 5 2 2 2" xfId="19450" xr:uid="{00000000-0005-0000-0000-0000C6B50000}"/>
    <cellStyle name="Normal 2 4 3 5 2 2 2 2" xfId="19451" xr:uid="{00000000-0005-0000-0000-0000C7B50000}"/>
    <cellStyle name="Normal 2 4 3 5 2 2 2 2 2" xfId="53011" xr:uid="{00000000-0005-0000-0000-0000C8B50000}"/>
    <cellStyle name="Normal 2 4 3 5 2 2 2 3" xfId="19452" xr:uid="{00000000-0005-0000-0000-0000C9B50000}"/>
    <cellStyle name="Normal 2 4 3 5 2 2 2 3 2" xfId="53012" xr:uid="{00000000-0005-0000-0000-0000CAB50000}"/>
    <cellStyle name="Normal 2 4 3 5 2 2 2 4" xfId="53013" xr:uid="{00000000-0005-0000-0000-0000CBB50000}"/>
    <cellStyle name="Normal 2 4 3 5 2 2 3" xfId="19453" xr:uid="{00000000-0005-0000-0000-0000CCB50000}"/>
    <cellStyle name="Normal 2 4 3 5 2 2 3 2" xfId="53014" xr:uid="{00000000-0005-0000-0000-0000CDB50000}"/>
    <cellStyle name="Normal 2 4 3 5 2 2 4" xfId="19454" xr:uid="{00000000-0005-0000-0000-0000CEB50000}"/>
    <cellStyle name="Normal 2 4 3 5 2 2 4 2" xfId="53015" xr:uid="{00000000-0005-0000-0000-0000CFB50000}"/>
    <cellStyle name="Normal 2 4 3 5 2 2 5" xfId="19455" xr:uid="{00000000-0005-0000-0000-0000D0B50000}"/>
    <cellStyle name="Normal 2 4 3 5 2 2 5 2" xfId="53016" xr:uid="{00000000-0005-0000-0000-0000D1B50000}"/>
    <cellStyle name="Normal 2 4 3 5 2 2 6" xfId="53017" xr:uid="{00000000-0005-0000-0000-0000D2B50000}"/>
    <cellStyle name="Normal 2 4 3 5 2 2 6 2" xfId="53018" xr:uid="{00000000-0005-0000-0000-0000D3B50000}"/>
    <cellStyle name="Normal 2 4 3 5 2 2 7" xfId="53019" xr:uid="{00000000-0005-0000-0000-0000D4B50000}"/>
    <cellStyle name="Normal 2 4 3 5 2 3" xfId="19456" xr:uid="{00000000-0005-0000-0000-0000D5B50000}"/>
    <cellStyle name="Normal 2 4 3 5 2 3 2" xfId="19457" xr:uid="{00000000-0005-0000-0000-0000D6B50000}"/>
    <cellStyle name="Normal 2 4 3 5 2 3 2 2" xfId="53020" xr:uid="{00000000-0005-0000-0000-0000D7B50000}"/>
    <cellStyle name="Normal 2 4 3 5 2 3 3" xfId="19458" xr:uid="{00000000-0005-0000-0000-0000D8B50000}"/>
    <cellStyle name="Normal 2 4 3 5 2 3 3 2" xfId="53021" xr:uid="{00000000-0005-0000-0000-0000D9B50000}"/>
    <cellStyle name="Normal 2 4 3 5 2 3 4" xfId="53022" xr:uid="{00000000-0005-0000-0000-0000DAB50000}"/>
    <cellStyle name="Normal 2 4 3 5 2 4" xfId="19459" xr:uid="{00000000-0005-0000-0000-0000DBB50000}"/>
    <cellStyle name="Normal 2 4 3 5 2 4 2" xfId="19460" xr:uid="{00000000-0005-0000-0000-0000DCB50000}"/>
    <cellStyle name="Normal 2 4 3 5 2 4 2 2" xfId="53023" xr:uid="{00000000-0005-0000-0000-0000DDB50000}"/>
    <cellStyle name="Normal 2 4 3 5 2 4 3" xfId="53024" xr:uid="{00000000-0005-0000-0000-0000DEB50000}"/>
    <cellStyle name="Normal 2 4 3 5 2 5" xfId="19461" xr:uid="{00000000-0005-0000-0000-0000DFB50000}"/>
    <cellStyle name="Normal 2 4 3 5 2 5 2" xfId="53025" xr:uid="{00000000-0005-0000-0000-0000E0B50000}"/>
    <cellStyle name="Normal 2 4 3 5 2 6" xfId="19462" xr:uid="{00000000-0005-0000-0000-0000E1B50000}"/>
    <cellStyle name="Normal 2 4 3 5 2 6 2" xfId="53026" xr:uid="{00000000-0005-0000-0000-0000E2B50000}"/>
    <cellStyle name="Normal 2 4 3 5 2 7" xfId="53027" xr:uid="{00000000-0005-0000-0000-0000E3B50000}"/>
    <cellStyle name="Normal 2 4 3 5 2 7 2" xfId="53028" xr:uid="{00000000-0005-0000-0000-0000E4B50000}"/>
    <cellStyle name="Normal 2 4 3 5 2 8" xfId="53029" xr:uid="{00000000-0005-0000-0000-0000E5B50000}"/>
    <cellStyle name="Normal 2 4 3 5 2 9" xfId="53030" xr:uid="{00000000-0005-0000-0000-0000E6B50000}"/>
    <cellStyle name="Normal 2 4 3 5 3" xfId="19463" xr:uid="{00000000-0005-0000-0000-0000E7B50000}"/>
    <cellStyle name="Normal 2 4 3 5 3 2" xfId="19464" xr:uid="{00000000-0005-0000-0000-0000E8B50000}"/>
    <cellStyle name="Normal 2 4 3 5 3 2 2" xfId="19465" xr:uid="{00000000-0005-0000-0000-0000E9B50000}"/>
    <cellStyle name="Normal 2 4 3 5 3 2 2 2" xfId="53031" xr:uid="{00000000-0005-0000-0000-0000EAB50000}"/>
    <cellStyle name="Normal 2 4 3 5 3 2 3" xfId="19466" xr:uid="{00000000-0005-0000-0000-0000EBB50000}"/>
    <cellStyle name="Normal 2 4 3 5 3 2 3 2" xfId="53032" xr:uid="{00000000-0005-0000-0000-0000ECB50000}"/>
    <cellStyle name="Normal 2 4 3 5 3 2 4" xfId="53033" xr:uid="{00000000-0005-0000-0000-0000EDB50000}"/>
    <cellStyle name="Normal 2 4 3 5 3 3" xfId="19467" xr:uid="{00000000-0005-0000-0000-0000EEB50000}"/>
    <cellStyle name="Normal 2 4 3 5 3 3 2" xfId="53034" xr:uid="{00000000-0005-0000-0000-0000EFB50000}"/>
    <cellStyle name="Normal 2 4 3 5 3 4" xfId="19468" xr:uid="{00000000-0005-0000-0000-0000F0B50000}"/>
    <cellStyle name="Normal 2 4 3 5 3 4 2" xfId="53035" xr:uid="{00000000-0005-0000-0000-0000F1B50000}"/>
    <cellStyle name="Normal 2 4 3 5 3 5" xfId="19469" xr:uid="{00000000-0005-0000-0000-0000F2B50000}"/>
    <cellStyle name="Normal 2 4 3 5 3 5 2" xfId="53036" xr:uid="{00000000-0005-0000-0000-0000F3B50000}"/>
    <cellStyle name="Normal 2 4 3 5 3 6" xfId="53037" xr:uid="{00000000-0005-0000-0000-0000F4B50000}"/>
    <cellStyle name="Normal 2 4 3 5 3 6 2" xfId="53038" xr:uid="{00000000-0005-0000-0000-0000F5B50000}"/>
    <cellStyle name="Normal 2 4 3 5 3 7" xfId="53039" xr:uid="{00000000-0005-0000-0000-0000F6B50000}"/>
    <cellStyle name="Normal 2 4 3 5 4" xfId="19470" xr:uid="{00000000-0005-0000-0000-0000F7B50000}"/>
    <cellStyle name="Normal 2 4 3 5 4 2" xfId="19471" xr:uid="{00000000-0005-0000-0000-0000F8B50000}"/>
    <cellStyle name="Normal 2 4 3 5 4 2 2" xfId="53040" xr:uid="{00000000-0005-0000-0000-0000F9B50000}"/>
    <cellStyle name="Normal 2 4 3 5 4 3" xfId="19472" xr:uid="{00000000-0005-0000-0000-0000FAB50000}"/>
    <cellStyle name="Normal 2 4 3 5 4 3 2" xfId="53041" xr:uid="{00000000-0005-0000-0000-0000FBB50000}"/>
    <cellStyle name="Normal 2 4 3 5 4 4" xfId="53042" xr:uid="{00000000-0005-0000-0000-0000FCB50000}"/>
    <cellStyle name="Normal 2 4 3 5 5" xfId="19473" xr:uid="{00000000-0005-0000-0000-0000FDB50000}"/>
    <cellStyle name="Normal 2 4 3 5 5 2" xfId="19474" xr:uid="{00000000-0005-0000-0000-0000FEB50000}"/>
    <cellStyle name="Normal 2 4 3 5 5 2 2" xfId="53043" xr:uid="{00000000-0005-0000-0000-0000FFB50000}"/>
    <cellStyle name="Normal 2 4 3 5 5 3" xfId="53044" xr:uid="{00000000-0005-0000-0000-000000B60000}"/>
    <cellStyle name="Normal 2 4 3 5 6" xfId="19475" xr:uid="{00000000-0005-0000-0000-000001B60000}"/>
    <cellStyle name="Normal 2 4 3 5 6 2" xfId="53045" xr:uid="{00000000-0005-0000-0000-000002B60000}"/>
    <cellStyle name="Normal 2 4 3 5 7" xfId="19476" xr:uid="{00000000-0005-0000-0000-000003B60000}"/>
    <cellStyle name="Normal 2 4 3 5 7 2" xfId="53046" xr:uid="{00000000-0005-0000-0000-000004B60000}"/>
    <cellStyle name="Normal 2 4 3 5 8" xfId="53047" xr:uid="{00000000-0005-0000-0000-000005B60000}"/>
    <cellStyle name="Normal 2 4 3 5 8 2" xfId="53048" xr:uid="{00000000-0005-0000-0000-000006B60000}"/>
    <cellStyle name="Normal 2 4 3 5 9" xfId="53049" xr:uid="{00000000-0005-0000-0000-000007B60000}"/>
    <cellStyle name="Normal 2 4 3 6" xfId="19477" xr:uid="{00000000-0005-0000-0000-000008B60000}"/>
    <cellStyle name="Normal 2 4 3 6 10" xfId="53050" xr:uid="{00000000-0005-0000-0000-000009B60000}"/>
    <cellStyle name="Normal 2 4 3 6 11" xfId="53051" xr:uid="{00000000-0005-0000-0000-00000AB60000}"/>
    <cellStyle name="Normal 2 4 3 6 2" xfId="19478" xr:uid="{00000000-0005-0000-0000-00000BB60000}"/>
    <cellStyle name="Normal 2 4 3 6 2 10" xfId="53052" xr:uid="{00000000-0005-0000-0000-00000CB60000}"/>
    <cellStyle name="Normal 2 4 3 6 2 2" xfId="19479" xr:uid="{00000000-0005-0000-0000-00000DB60000}"/>
    <cellStyle name="Normal 2 4 3 6 2 2 2" xfId="19480" xr:uid="{00000000-0005-0000-0000-00000EB60000}"/>
    <cellStyle name="Normal 2 4 3 6 2 2 2 2" xfId="19481" xr:uid="{00000000-0005-0000-0000-00000FB60000}"/>
    <cellStyle name="Normal 2 4 3 6 2 2 2 2 2" xfId="53053" xr:uid="{00000000-0005-0000-0000-000010B60000}"/>
    <cellStyle name="Normal 2 4 3 6 2 2 2 3" xfId="19482" xr:uid="{00000000-0005-0000-0000-000011B60000}"/>
    <cellStyle name="Normal 2 4 3 6 2 2 2 3 2" xfId="53054" xr:uid="{00000000-0005-0000-0000-000012B60000}"/>
    <cellStyle name="Normal 2 4 3 6 2 2 2 4" xfId="53055" xr:uid="{00000000-0005-0000-0000-000013B60000}"/>
    <cellStyle name="Normal 2 4 3 6 2 2 3" xfId="19483" xr:uid="{00000000-0005-0000-0000-000014B60000}"/>
    <cellStyle name="Normal 2 4 3 6 2 2 3 2" xfId="53056" xr:uid="{00000000-0005-0000-0000-000015B60000}"/>
    <cellStyle name="Normal 2 4 3 6 2 2 4" xfId="19484" xr:uid="{00000000-0005-0000-0000-000016B60000}"/>
    <cellStyle name="Normal 2 4 3 6 2 2 4 2" xfId="53057" xr:uid="{00000000-0005-0000-0000-000017B60000}"/>
    <cellStyle name="Normal 2 4 3 6 2 2 5" xfId="19485" xr:uid="{00000000-0005-0000-0000-000018B60000}"/>
    <cellStyle name="Normal 2 4 3 6 2 2 5 2" xfId="53058" xr:uid="{00000000-0005-0000-0000-000019B60000}"/>
    <cellStyle name="Normal 2 4 3 6 2 2 6" xfId="53059" xr:uid="{00000000-0005-0000-0000-00001AB60000}"/>
    <cellStyle name="Normal 2 4 3 6 2 2 6 2" xfId="53060" xr:uid="{00000000-0005-0000-0000-00001BB60000}"/>
    <cellStyle name="Normal 2 4 3 6 2 2 7" xfId="53061" xr:uid="{00000000-0005-0000-0000-00001CB60000}"/>
    <cellStyle name="Normal 2 4 3 6 2 3" xfId="19486" xr:uid="{00000000-0005-0000-0000-00001DB60000}"/>
    <cellStyle name="Normal 2 4 3 6 2 3 2" xfId="19487" xr:uid="{00000000-0005-0000-0000-00001EB60000}"/>
    <cellStyle name="Normal 2 4 3 6 2 3 2 2" xfId="53062" xr:uid="{00000000-0005-0000-0000-00001FB60000}"/>
    <cellStyle name="Normal 2 4 3 6 2 3 3" xfId="19488" xr:uid="{00000000-0005-0000-0000-000020B60000}"/>
    <cellStyle name="Normal 2 4 3 6 2 3 3 2" xfId="53063" xr:uid="{00000000-0005-0000-0000-000021B60000}"/>
    <cellStyle name="Normal 2 4 3 6 2 3 4" xfId="53064" xr:uid="{00000000-0005-0000-0000-000022B60000}"/>
    <cellStyle name="Normal 2 4 3 6 2 4" xfId="19489" xr:uid="{00000000-0005-0000-0000-000023B60000}"/>
    <cellStyle name="Normal 2 4 3 6 2 4 2" xfId="19490" xr:uid="{00000000-0005-0000-0000-000024B60000}"/>
    <cellStyle name="Normal 2 4 3 6 2 4 2 2" xfId="53065" xr:uid="{00000000-0005-0000-0000-000025B60000}"/>
    <cellStyle name="Normal 2 4 3 6 2 4 3" xfId="53066" xr:uid="{00000000-0005-0000-0000-000026B60000}"/>
    <cellStyle name="Normal 2 4 3 6 2 5" xfId="19491" xr:uid="{00000000-0005-0000-0000-000027B60000}"/>
    <cellStyle name="Normal 2 4 3 6 2 5 2" xfId="53067" xr:uid="{00000000-0005-0000-0000-000028B60000}"/>
    <cellStyle name="Normal 2 4 3 6 2 6" xfId="19492" xr:uid="{00000000-0005-0000-0000-000029B60000}"/>
    <cellStyle name="Normal 2 4 3 6 2 6 2" xfId="53068" xr:uid="{00000000-0005-0000-0000-00002AB60000}"/>
    <cellStyle name="Normal 2 4 3 6 2 7" xfId="53069" xr:uid="{00000000-0005-0000-0000-00002BB60000}"/>
    <cellStyle name="Normal 2 4 3 6 2 7 2" xfId="53070" xr:uid="{00000000-0005-0000-0000-00002CB60000}"/>
    <cellStyle name="Normal 2 4 3 6 2 8" xfId="53071" xr:uid="{00000000-0005-0000-0000-00002DB60000}"/>
    <cellStyle name="Normal 2 4 3 6 2 9" xfId="53072" xr:uid="{00000000-0005-0000-0000-00002EB60000}"/>
    <cellStyle name="Normal 2 4 3 6 3" xfId="19493" xr:uid="{00000000-0005-0000-0000-00002FB60000}"/>
    <cellStyle name="Normal 2 4 3 6 3 2" xfId="19494" xr:uid="{00000000-0005-0000-0000-000030B60000}"/>
    <cellStyle name="Normal 2 4 3 6 3 2 2" xfId="19495" xr:uid="{00000000-0005-0000-0000-000031B60000}"/>
    <cellStyle name="Normal 2 4 3 6 3 2 2 2" xfId="53073" xr:uid="{00000000-0005-0000-0000-000032B60000}"/>
    <cellStyle name="Normal 2 4 3 6 3 2 3" xfId="19496" xr:uid="{00000000-0005-0000-0000-000033B60000}"/>
    <cellStyle name="Normal 2 4 3 6 3 2 3 2" xfId="53074" xr:uid="{00000000-0005-0000-0000-000034B60000}"/>
    <cellStyle name="Normal 2 4 3 6 3 2 4" xfId="53075" xr:uid="{00000000-0005-0000-0000-000035B60000}"/>
    <cellStyle name="Normal 2 4 3 6 3 3" xfId="19497" xr:uid="{00000000-0005-0000-0000-000036B60000}"/>
    <cellStyle name="Normal 2 4 3 6 3 3 2" xfId="53076" xr:uid="{00000000-0005-0000-0000-000037B60000}"/>
    <cellStyle name="Normal 2 4 3 6 3 4" xfId="19498" xr:uid="{00000000-0005-0000-0000-000038B60000}"/>
    <cellStyle name="Normal 2 4 3 6 3 4 2" xfId="53077" xr:uid="{00000000-0005-0000-0000-000039B60000}"/>
    <cellStyle name="Normal 2 4 3 6 3 5" xfId="19499" xr:uid="{00000000-0005-0000-0000-00003AB60000}"/>
    <cellStyle name="Normal 2 4 3 6 3 5 2" xfId="53078" xr:uid="{00000000-0005-0000-0000-00003BB60000}"/>
    <cellStyle name="Normal 2 4 3 6 3 6" xfId="53079" xr:uid="{00000000-0005-0000-0000-00003CB60000}"/>
    <cellStyle name="Normal 2 4 3 6 3 6 2" xfId="53080" xr:uid="{00000000-0005-0000-0000-00003DB60000}"/>
    <cellStyle name="Normal 2 4 3 6 3 7" xfId="53081" xr:uid="{00000000-0005-0000-0000-00003EB60000}"/>
    <cellStyle name="Normal 2 4 3 6 4" xfId="19500" xr:uid="{00000000-0005-0000-0000-00003FB60000}"/>
    <cellStyle name="Normal 2 4 3 6 4 2" xfId="19501" xr:uid="{00000000-0005-0000-0000-000040B60000}"/>
    <cellStyle name="Normal 2 4 3 6 4 2 2" xfId="53082" xr:uid="{00000000-0005-0000-0000-000041B60000}"/>
    <cellStyle name="Normal 2 4 3 6 4 3" xfId="19502" xr:uid="{00000000-0005-0000-0000-000042B60000}"/>
    <cellStyle name="Normal 2 4 3 6 4 3 2" xfId="53083" xr:uid="{00000000-0005-0000-0000-000043B60000}"/>
    <cellStyle name="Normal 2 4 3 6 4 4" xfId="53084" xr:uid="{00000000-0005-0000-0000-000044B60000}"/>
    <cellStyle name="Normal 2 4 3 6 5" xfId="19503" xr:uid="{00000000-0005-0000-0000-000045B60000}"/>
    <cellStyle name="Normal 2 4 3 6 5 2" xfId="19504" xr:uid="{00000000-0005-0000-0000-000046B60000}"/>
    <cellStyle name="Normal 2 4 3 6 5 2 2" xfId="53085" xr:uid="{00000000-0005-0000-0000-000047B60000}"/>
    <cellStyle name="Normal 2 4 3 6 5 3" xfId="53086" xr:uid="{00000000-0005-0000-0000-000048B60000}"/>
    <cellStyle name="Normal 2 4 3 6 6" xfId="19505" xr:uid="{00000000-0005-0000-0000-000049B60000}"/>
    <cellStyle name="Normal 2 4 3 6 6 2" xfId="53087" xr:uid="{00000000-0005-0000-0000-00004AB60000}"/>
    <cellStyle name="Normal 2 4 3 6 7" xfId="19506" xr:uid="{00000000-0005-0000-0000-00004BB60000}"/>
    <cellStyle name="Normal 2 4 3 6 7 2" xfId="53088" xr:uid="{00000000-0005-0000-0000-00004CB60000}"/>
    <cellStyle name="Normal 2 4 3 6 8" xfId="53089" xr:uid="{00000000-0005-0000-0000-00004DB60000}"/>
    <cellStyle name="Normal 2 4 3 6 8 2" xfId="53090" xr:uid="{00000000-0005-0000-0000-00004EB60000}"/>
    <cellStyle name="Normal 2 4 3 6 9" xfId="53091" xr:uid="{00000000-0005-0000-0000-00004FB60000}"/>
    <cellStyle name="Normal 2 4 3 7" xfId="19507" xr:uid="{00000000-0005-0000-0000-000050B60000}"/>
    <cellStyle name="Normal 2 4 3 7 10" xfId="53092" xr:uid="{00000000-0005-0000-0000-000051B60000}"/>
    <cellStyle name="Normal 2 4 3 7 11" xfId="53093" xr:uid="{00000000-0005-0000-0000-000052B60000}"/>
    <cellStyle name="Normal 2 4 3 7 2" xfId="19508" xr:uid="{00000000-0005-0000-0000-000053B60000}"/>
    <cellStyle name="Normal 2 4 3 7 2 10" xfId="53094" xr:uid="{00000000-0005-0000-0000-000054B60000}"/>
    <cellStyle name="Normal 2 4 3 7 2 2" xfId="19509" xr:uid="{00000000-0005-0000-0000-000055B60000}"/>
    <cellStyle name="Normal 2 4 3 7 2 2 2" xfId="19510" xr:uid="{00000000-0005-0000-0000-000056B60000}"/>
    <cellStyle name="Normal 2 4 3 7 2 2 2 2" xfId="19511" xr:uid="{00000000-0005-0000-0000-000057B60000}"/>
    <cellStyle name="Normal 2 4 3 7 2 2 2 2 2" xfId="53095" xr:uid="{00000000-0005-0000-0000-000058B60000}"/>
    <cellStyle name="Normal 2 4 3 7 2 2 2 3" xfId="19512" xr:uid="{00000000-0005-0000-0000-000059B60000}"/>
    <cellStyle name="Normal 2 4 3 7 2 2 2 3 2" xfId="53096" xr:uid="{00000000-0005-0000-0000-00005AB60000}"/>
    <cellStyle name="Normal 2 4 3 7 2 2 2 4" xfId="53097" xr:uid="{00000000-0005-0000-0000-00005BB60000}"/>
    <cellStyle name="Normal 2 4 3 7 2 2 3" xfId="19513" xr:uid="{00000000-0005-0000-0000-00005CB60000}"/>
    <cellStyle name="Normal 2 4 3 7 2 2 3 2" xfId="53098" xr:uid="{00000000-0005-0000-0000-00005DB60000}"/>
    <cellStyle name="Normal 2 4 3 7 2 2 4" xfId="19514" xr:uid="{00000000-0005-0000-0000-00005EB60000}"/>
    <cellStyle name="Normal 2 4 3 7 2 2 4 2" xfId="53099" xr:uid="{00000000-0005-0000-0000-00005FB60000}"/>
    <cellStyle name="Normal 2 4 3 7 2 2 5" xfId="19515" xr:uid="{00000000-0005-0000-0000-000060B60000}"/>
    <cellStyle name="Normal 2 4 3 7 2 2 5 2" xfId="53100" xr:uid="{00000000-0005-0000-0000-000061B60000}"/>
    <cellStyle name="Normal 2 4 3 7 2 2 6" xfId="53101" xr:uid="{00000000-0005-0000-0000-000062B60000}"/>
    <cellStyle name="Normal 2 4 3 7 2 2 6 2" xfId="53102" xr:uid="{00000000-0005-0000-0000-000063B60000}"/>
    <cellStyle name="Normal 2 4 3 7 2 2 7" xfId="53103" xr:uid="{00000000-0005-0000-0000-000064B60000}"/>
    <cellStyle name="Normal 2 4 3 7 2 3" xfId="19516" xr:uid="{00000000-0005-0000-0000-000065B60000}"/>
    <cellStyle name="Normal 2 4 3 7 2 3 2" xfId="19517" xr:uid="{00000000-0005-0000-0000-000066B60000}"/>
    <cellStyle name="Normal 2 4 3 7 2 3 2 2" xfId="53104" xr:uid="{00000000-0005-0000-0000-000067B60000}"/>
    <cellStyle name="Normal 2 4 3 7 2 3 3" xfId="19518" xr:uid="{00000000-0005-0000-0000-000068B60000}"/>
    <cellStyle name="Normal 2 4 3 7 2 3 3 2" xfId="53105" xr:uid="{00000000-0005-0000-0000-000069B60000}"/>
    <cellStyle name="Normal 2 4 3 7 2 3 4" xfId="53106" xr:uid="{00000000-0005-0000-0000-00006AB60000}"/>
    <cellStyle name="Normal 2 4 3 7 2 4" xfId="19519" xr:uid="{00000000-0005-0000-0000-00006BB60000}"/>
    <cellStyle name="Normal 2 4 3 7 2 4 2" xfId="19520" xr:uid="{00000000-0005-0000-0000-00006CB60000}"/>
    <cellStyle name="Normal 2 4 3 7 2 4 2 2" xfId="53107" xr:uid="{00000000-0005-0000-0000-00006DB60000}"/>
    <cellStyle name="Normal 2 4 3 7 2 4 3" xfId="53108" xr:uid="{00000000-0005-0000-0000-00006EB60000}"/>
    <cellStyle name="Normal 2 4 3 7 2 5" xfId="19521" xr:uid="{00000000-0005-0000-0000-00006FB60000}"/>
    <cellStyle name="Normal 2 4 3 7 2 5 2" xfId="53109" xr:uid="{00000000-0005-0000-0000-000070B60000}"/>
    <cellStyle name="Normal 2 4 3 7 2 6" xfId="19522" xr:uid="{00000000-0005-0000-0000-000071B60000}"/>
    <cellStyle name="Normal 2 4 3 7 2 6 2" xfId="53110" xr:uid="{00000000-0005-0000-0000-000072B60000}"/>
    <cellStyle name="Normal 2 4 3 7 2 7" xfId="53111" xr:uid="{00000000-0005-0000-0000-000073B60000}"/>
    <cellStyle name="Normal 2 4 3 7 2 7 2" xfId="53112" xr:uid="{00000000-0005-0000-0000-000074B60000}"/>
    <cellStyle name="Normal 2 4 3 7 2 8" xfId="53113" xr:uid="{00000000-0005-0000-0000-000075B60000}"/>
    <cellStyle name="Normal 2 4 3 7 2 9" xfId="53114" xr:uid="{00000000-0005-0000-0000-000076B60000}"/>
    <cellStyle name="Normal 2 4 3 7 3" xfId="19523" xr:uid="{00000000-0005-0000-0000-000077B60000}"/>
    <cellStyle name="Normal 2 4 3 7 3 2" xfId="19524" xr:uid="{00000000-0005-0000-0000-000078B60000}"/>
    <cellStyle name="Normal 2 4 3 7 3 2 2" xfId="19525" xr:uid="{00000000-0005-0000-0000-000079B60000}"/>
    <cellStyle name="Normal 2 4 3 7 3 2 2 2" xfId="53115" xr:uid="{00000000-0005-0000-0000-00007AB60000}"/>
    <cellStyle name="Normal 2 4 3 7 3 2 3" xfId="19526" xr:uid="{00000000-0005-0000-0000-00007BB60000}"/>
    <cellStyle name="Normal 2 4 3 7 3 2 3 2" xfId="53116" xr:uid="{00000000-0005-0000-0000-00007CB60000}"/>
    <cellStyle name="Normal 2 4 3 7 3 2 4" xfId="53117" xr:uid="{00000000-0005-0000-0000-00007DB60000}"/>
    <cellStyle name="Normal 2 4 3 7 3 3" xfId="19527" xr:uid="{00000000-0005-0000-0000-00007EB60000}"/>
    <cellStyle name="Normal 2 4 3 7 3 3 2" xfId="53118" xr:uid="{00000000-0005-0000-0000-00007FB60000}"/>
    <cellStyle name="Normal 2 4 3 7 3 4" xfId="19528" xr:uid="{00000000-0005-0000-0000-000080B60000}"/>
    <cellStyle name="Normal 2 4 3 7 3 4 2" xfId="53119" xr:uid="{00000000-0005-0000-0000-000081B60000}"/>
    <cellStyle name="Normal 2 4 3 7 3 5" xfId="19529" xr:uid="{00000000-0005-0000-0000-000082B60000}"/>
    <cellStyle name="Normal 2 4 3 7 3 5 2" xfId="53120" xr:uid="{00000000-0005-0000-0000-000083B60000}"/>
    <cellStyle name="Normal 2 4 3 7 3 6" xfId="53121" xr:uid="{00000000-0005-0000-0000-000084B60000}"/>
    <cellStyle name="Normal 2 4 3 7 3 6 2" xfId="53122" xr:uid="{00000000-0005-0000-0000-000085B60000}"/>
    <cellStyle name="Normal 2 4 3 7 3 7" xfId="53123" xr:uid="{00000000-0005-0000-0000-000086B60000}"/>
    <cellStyle name="Normal 2 4 3 7 4" xfId="19530" xr:uid="{00000000-0005-0000-0000-000087B60000}"/>
    <cellStyle name="Normal 2 4 3 7 4 2" xfId="19531" xr:uid="{00000000-0005-0000-0000-000088B60000}"/>
    <cellStyle name="Normal 2 4 3 7 4 2 2" xfId="53124" xr:uid="{00000000-0005-0000-0000-000089B60000}"/>
    <cellStyle name="Normal 2 4 3 7 4 3" xfId="19532" xr:uid="{00000000-0005-0000-0000-00008AB60000}"/>
    <cellStyle name="Normal 2 4 3 7 4 3 2" xfId="53125" xr:uid="{00000000-0005-0000-0000-00008BB60000}"/>
    <cellStyle name="Normal 2 4 3 7 4 4" xfId="53126" xr:uid="{00000000-0005-0000-0000-00008CB60000}"/>
    <cellStyle name="Normal 2 4 3 7 5" xfId="19533" xr:uid="{00000000-0005-0000-0000-00008DB60000}"/>
    <cellStyle name="Normal 2 4 3 7 5 2" xfId="19534" xr:uid="{00000000-0005-0000-0000-00008EB60000}"/>
    <cellStyle name="Normal 2 4 3 7 5 2 2" xfId="53127" xr:uid="{00000000-0005-0000-0000-00008FB60000}"/>
    <cellStyle name="Normal 2 4 3 7 5 3" xfId="53128" xr:uid="{00000000-0005-0000-0000-000090B60000}"/>
    <cellStyle name="Normal 2 4 3 7 6" xfId="19535" xr:uid="{00000000-0005-0000-0000-000091B60000}"/>
    <cellStyle name="Normal 2 4 3 7 6 2" xfId="53129" xr:uid="{00000000-0005-0000-0000-000092B60000}"/>
    <cellStyle name="Normal 2 4 3 7 7" xfId="19536" xr:uid="{00000000-0005-0000-0000-000093B60000}"/>
    <cellStyle name="Normal 2 4 3 7 7 2" xfId="53130" xr:uid="{00000000-0005-0000-0000-000094B60000}"/>
    <cellStyle name="Normal 2 4 3 7 8" xfId="53131" xr:uid="{00000000-0005-0000-0000-000095B60000}"/>
    <cellStyle name="Normal 2 4 3 7 8 2" xfId="53132" xr:uid="{00000000-0005-0000-0000-000096B60000}"/>
    <cellStyle name="Normal 2 4 3 7 9" xfId="53133" xr:uid="{00000000-0005-0000-0000-000097B60000}"/>
    <cellStyle name="Normal 2 4 3 8" xfId="19537" xr:uid="{00000000-0005-0000-0000-000098B60000}"/>
    <cellStyle name="Normal 2 4 3 8 10" xfId="53134" xr:uid="{00000000-0005-0000-0000-000099B60000}"/>
    <cellStyle name="Normal 2 4 3 8 11" xfId="53135" xr:uid="{00000000-0005-0000-0000-00009AB60000}"/>
    <cellStyle name="Normal 2 4 3 8 2" xfId="19538" xr:uid="{00000000-0005-0000-0000-00009BB60000}"/>
    <cellStyle name="Normal 2 4 3 8 2 10" xfId="53136" xr:uid="{00000000-0005-0000-0000-00009CB60000}"/>
    <cellStyle name="Normal 2 4 3 8 2 2" xfId="19539" xr:uid="{00000000-0005-0000-0000-00009DB60000}"/>
    <cellStyle name="Normal 2 4 3 8 2 2 2" xfId="19540" xr:uid="{00000000-0005-0000-0000-00009EB60000}"/>
    <cellStyle name="Normal 2 4 3 8 2 2 2 2" xfId="19541" xr:uid="{00000000-0005-0000-0000-00009FB60000}"/>
    <cellStyle name="Normal 2 4 3 8 2 2 2 2 2" xfId="53137" xr:uid="{00000000-0005-0000-0000-0000A0B60000}"/>
    <cellStyle name="Normal 2 4 3 8 2 2 2 3" xfId="19542" xr:uid="{00000000-0005-0000-0000-0000A1B60000}"/>
    <cellStyle name="Normal 2 4 3 8 2 2 2 3 2" xfId="53138" xr:uid="{00000000-0005-0000-0000-0000A2B60000}"/>
    <cellStyle name="Normal 2 4 3 8 2 2 2 4" xfId="53139" xr:uid="{00000000-0005-0000-0000-0000A3B60000}"/>
    <cellStyle name="Normal 2 4 3 8 2 2 3" xfId="19543" xr:uid="{00000000-0005-0000-0000-0000A4B60000}"/>
    <cellStyle name="Normal 2 4 3 8 2 2 3 2" xfId="53140" xr:uid="{00000000-0005-0000-0000-0000A5B60000}"/>
    <cellStyle name="Normal 2 4 3 8 2 2 4" xfId="19544" xr:uid="{00000000-0005-0000-0000-0000A6B60000}"/>
    <cellStyle name="Normal 2 4 3 8 2 2 4 2" xfId="53141" xr:uid="{00000000-0005-0000-0000-0000A7B60000}"/>
    <cellStyle name="Normal 2 4 3 8 2 2 5" xfId="19545" xr:uid="{00000000-0005-0000-0000-0000A8B60000}"/>
    <cellStyle name="Normal 2 4 3 8 2 2 5 2" xfId="53142" xr:uid="{00000000-0005-0000-0000-0000A9B60000}"/>
    <cellStyle name="Normal 2 4 3 8 2 2 6" xfId="53143" xr:uid="{00000000-0005-0000-0000-0000AAB60000}"/>
    <cellStyle name="Normal 2 4 3 8 2 2 6 2" xfId="53144" xr:uid="{00000000-0005-0000-0000-0000ABB60000}"/>
    <cellStyle name="Normal 2 4 3 8 2 2 7" xfId="53145" xr:uid="{00000000-0005-0000-0000-0000ACB60000}"/>
    <cellStyle name="Normal 2 4 3 8 2 3" xfId="19546" xr:uid="{00000000-0005-0000-0000-0000ADB60000}"/>
    <cellStyle name="Normal 2 4 3 8 2 3 2" xfId="19547" xr:uid="{00000000-0005-0000-0000-0000AEB60000}"/>
    <cellStyle name="Normal 2 4 3 8 2 3 2 2" xfId="53146" xr:uid="{00000000-0005-0000-0000-0000AFB60000}"/>
    <cellStyle name="Normal 2 4 3 8 2 3 3" xfId="19548" xr:uid="{00000000-0005-0000-0000-0000B0B60000}"/>
    <cellStyle name="Normal 2 4 3 8 2 3 3 2" xfId="53147" xr:uid="{00000000-0005-0000-0000-0000B1B60000}"/>
    <cellStyle name="Normal 2 4 3 8 2 3 4" xfId="53148" xr:uid="{00000000-0005-0000-0000-0000B2B60000}"/>
    <cellStyle name="Normal 2 4 3 8 2 4" xfId="19549" xr:uid="{00000000-0005-0000-0000-0000B3B60000}"/>
    <cellStyle name="Normal 2 4 3 8 2 4 2" xfId="19550" xr:uid="{00000000-0005-0000-0000-0000B4B60000}"/>
    <cellStyle name="Normal 2 4 3 8 2 4 2 2" xfId="53149" xr:uid="{00000000-0005-0000-0000-0000B5B60000}"/>
    <cellStyle name="Normal 2 4 3 8 2 4 3" xfId="53150" xr:uid="{00000000-0005-0000-0000-0000B6B60000}"/>
    <cellStyle name="Normal 2 4 3 8 2 5" xfId="19551" xr:uid="{00000000-0005-0000-0000-0000B7B60000}"/>
    <cellStyle name="Normal 2 4 3 8 2 5 2" xfId="53151" xr:uid="{00000000-0005-0000-0000-0000B8B60000}"/>
    <cellStyle name="Normal 2 4 3 8 2 6" xfId="19552" xr:uid="{00000000-0005-0000-0000-0000B9B60000}"/>
    <cellStyle name="Normal 2 4 3 8 2 6 2" xfId="53152" xr:uid="{00000000-0005-0000-0000-0000BAB60000}"/>
    <cellStyle name="Normal 2 4 3 8 2 7" xfId="53153" xr:uid="{00000000-0005-0000-0000-0000BBB60000}"/>
    <cellStyle name="Normal 2 4 3 8 2 7 2" xfId="53154" xr:uid="{00000000-0005-0000-0000-0000BCB60000}"/>
    <cellStyle name="Normal 2 4 3 8 2 8" xfId="53155" xr:uid="{00000000-0005-0000-0000-0000BDB60000}"/>
    <cellStyle name="Normal 2 4 3 8 2 9" xfId="53156" xr:uid="{00000000-0005-0000-0000-0000BEB60000}"/>
    <cellStyle name="Normal 2 4 3 8 3" xfId="19553" xr:uid="{00000000-0005-0000-0000-0000BFB60000}"/>
    <cellStyle name="Normal 2 4 3 8 3 2" xfId="19554" xr:uid="{00000000-0005-0000-0000-0000C0B60000}"/>
    <cellStyle name="Normal 2 4 3 8 3 2 2" xfId="19555" xr:uid="{00000000-0005-0000-0000-0000C1B60000}"/>
    <cellStyle name="Normal 2 4 3 8 3 2 2 2" xfId="53157" xr:uid="{00000000-0005-0000-0000-0000C2B60000}"/>
    <cellStyle name="Normal 2 4 3 8 3 2 3" xfId="19556" xr:uid="{00000000-0005-0000-0000-0000C3B60000}"/>
    <cellStyle name="Normal 2 4 3 8 3 2 3 2" xfId="53158" xr:uid="{00000000-0005-0000-0000-0000C4B60000}"/>
    <cellStyle name="Normal 2 4 3 8 3 2 4" xfId="53159" xr:uid="{00000000-0005-0000-0000-0000C5B60000}"/>
    <cellStyle name="Normal 2 4 3 8 3 3" xfId="19557" xr:uid="{00000000-0005-0000-0000-0000C6B60000}"/>
    <cellStyle name="Normal 2 4 3 8 3 3 2" xfId="53160" xr:uid="{00000000-0005-0000-0000-0000C7B60000}"/>
    <cellStyle name="Normal 2 4 3 8 3 4" xfId="19558" xr:uid="{00000000-0005-0000-0000-0000C8B60000}"/>
    <cellStyle name="Normal 2 4 3 8 3 4 2" xfId="53161" xr:uid="{00000000-0005-0000-0000-0000C9B60000}"/>
    <cellStyle name="Normal 2 4 3 8 3 5" xfId="19559" xr:uid="{00000000-0005-0000-0000-0000CAB60000}"/>
    <cellStyle name="Normal 2 4 3 8 3 5 2" xfId="53162" xr:uid="{00000000-0005-0000-0000-0000CBB60000}"/>
    <cellStyle name="Normal 2 4 3 8 3 6" xfId="53163" xr:uid="{00000000-0005-0000-0000-0000CCB60000}"/>
    <cellStyle name="Normal 2 4 3 8 3 6 2" xfId="53164" xr:uid="{00000000-0005-0000-0000-0000CDB60000}"/>
    <cellStyle name="Normal 2 4 3 8 3 7" xfId="53165" xr:uid="{00000000-0005-0000-0000-0000CEB60000}"/>
    <cellStyle name="Normal 2 4 3 8 4" xfId="19560" xr:uid="{00000000-0005-0000-0000-0000CFB60000}"/>
    <cellStyle name="Normal 2 4 3 8 4 2" xfId="19561" xr:uid="{00000000-0005-0000-0000-0000D0B60000}"/>
    <cellStyle name="Normal 2 4 3 8 4 2 2" xfId="53166" xr:uid="{00000000-0005-0000-0000-0000D1B60000}"/>
    <cellStyle name="Normal 2 4 3 8 4 3" xfId="19562" xr:uid="{00000000-0005-0000-0000-0000D2B60000}"/>
    <cellStyle name="Normal 2 4 3 8 4 3 2" xfId="53167" xr:uid="{00000000-0005-0000-0000-0000D3B60000}"/>
    <cellStyle name="Normal 2 4 3 8 4 4" xfId="53168" xr:uid="{00000000-0005-0000-0000-0000D4B60000}"/>
    <cellStyle name="Normal 2 4 3 8 5" xfId="19563" xr:uid="{00000000-0005-0000-0000-0000D5B60000}"/>
    <cellStyle name="Normal 2 4 3 8 5 2" xfId="19564" xr:uid="{00000000-0005-0000-0000-0000D6B60000}"/>
    <cellStyle name="Normal 2 4 3 8 5 2 2" xfId="53169" xr:uid="{00000000-0005-0000-0000-0000D7B60000}"/>
    <cellStyle name="Normal 2 4 3 8 5 3" xfId="53170" xr:uid="{00000000-0005-0000-0000-0000D8B60000}"/>
    <cellStyle name="Normal 2 4 3 8 6" xfId="19565" xr:uid="{00000000-0005-0000-0000-0000D9B60000}"/>
    <cellStyle name="Normal 2 4 3 8 6 2" xfId="53171" xr:uid="{00000000-0005-0000-0000-0000DAB60000}"/>
    <cellStyle name="Normal 2 4 3 8 7" xfId="19566" xr:uid="{00000000-0005-0000-0000-0000DBB60000}"/>
    <cellStyle name="Normal 2 4 3 8 7 2" xfId="53172" xr:uid="{00000000-0005-0000-0000-0000DCB60000}"/>
    <cellStyle name="Normal 2 4 3 8 8" xfId="53173" xr:uid="{00000000-0005-0000-0000-0000DDB60000}"/>
    <cellStyle name="Normal 2 4 3 8 8 2" xfId="53174" xr:uid="{00000000-0005-0000-0000-0000DEB60000}"/>
    <cellStyle name="Normal 2 4 3 8 9" xfId="53175" xr:uid="{00000000-0005-0000-0000-0000DFB60000}"/>
    <cellStyle name="Normal 2 4 3 9" xfId="19567" xr:uid="{00000000-0005-0000-0000-0000E0B60000}"/>
    <cellStyle name="Normal 2 4 3 9 10" xfId="53176" xr:uid="{00000000-0005-0000-0000-0000E1B60000}"/>
    <cellStyle name="Normal 2 4 3 9 11" xfId="53177" xr:uid="{00000000-0005-0000-0000-0000E2B60000}"/>
    <cellStyle name="Normal 2 4 3 9 2" xfId="19568" xr:uid="{00000000-0005-0000-0000-0000E3B60000}"/>
    <cellStyle name="Normal 2 4 3 9 2 10" xfId="53178" xr:uid="{00000000-0005-0000-0000-0000E4B60000}"/>
    <cellStyle name="Normal 2 4 3 9 2 2" xfId="19569" xr:uid="{00000000-0005-0000-0000-0000E5B60000}"/>
    <cellStyle name="Normal 2 4 3 9 2 2 2" xfId="19570" xr:uid="{00000000-0005-0000-0000-0000E6B60000}"/>
    <cellStyle name="Normal 2 4 3 9 2 2 2 2" xfId="19571" xr:uid="{00000000-0005-0000-0000-0000E7B60000}"/>
    <cellStyle name="Normal 2 4 3 9 2 2 2 2 2" xfId="53179" xr:uid="{00000000-0005-0000-0000-0000E8B60000}"/>
    <cellStyle name="Normal 2 4 3 9 2 2 2 3" xfId="19572" xr:uid="{00000000-0005-0000-0000-0000E9B60000}"/>
    <cellStyle name="Normal 2 4 3 9 2 2 2 3 2" xfId="53180" xr:uid="{00000000-0005-0000-0000-0000EAB60000}"/>
    <cellStyle name="Normal 2 4 3 9 2 2 2 4" xfId="53181" xr:uid="{00000000-0005-0000-0000-0000EBB60000}"/>
    <cellStyle name="Normal 2 4 3 9 2 2 3" xfId="19573" xr:uid="{00000000-0005-0000-0000-0000ECB60000}"/>
    <cellStyle name="Normal 2 4 3 9 2 2 3 2" xfId="53182" xr:uid="{00000000-0005-0000-0000-0000EDB60000}"/>
    <cellStyle name="Normal 2 4 3 9 2 2 4" xfId="19574" xr:uid="{00000000-0005-0000-0000-0000EEB60000}"/>
    <cellStyle name="Normal 2 4 3 9 2 2 4 2" xfId="53183" xr:uid="{00000000-0005-0000-0000-0000EFB60000}"/>
    <cellStyle name="Normal 2 4 3 9 2 2 5" xfId="19575" xr:uid="{00000000-0005-0000-0000-0000F0B60000}"/>
    <cellStyle name="Normal 2 4 3 9 2 2 5 2" xfId="53184" xr:uid="{00000000-0005-0000-0000-0000F1B60000}"/>
    <cellStyle name="Normal 2 4 3 9 2 2 6" xfId="53185" xr:uid="{00000000-0005-0000-0000-0000F2B60000}"/>
    <cellStyle name="Normal 2 4 3 9 2 2 6 2" xfId="53186" xr:uid="{00000000-0005-0000-0000-0000F3B60000}"/>
    <cellStyle name="Normal 2 4 3 9 2 2 7" xfId="53187" xr:uid="{00000000-0005-0000-0000-0000F4B60000}"/>
    <cellStyle name="Normal 2 4 3 9 2 3" xfId="19576" xr:uid="{00000000-0005-0000-0000-0000F5B60000}"/>
    <cellStyle name="Normal 2 4 3 9 2 3 2" xfId="19577" xr:uid="{00000000-0005-0000-0000-0000F6B60000}"/>
    <cellStyle name="Normal 2 4 3 9 2 3 2 2" xfId="53188" xr:uid="{00000000-0005-0000-0000-0000F7B60000}"/>
    <cellStyle name="Normal 2 4 3 9 2 3 3" xfId="19578" xr:uid="{00000000-0005-0000-0000-0000F8B60000}"/>
    <cellStyle name="Normal 2 4 3 9 2 3 3 2" xfId="53189" xr:uid="{00000000-0005-0000-0000-0000F9B60000}"/>
    <cellStyle name="Normal 2 4 3 9 2 3 4" xfId="53190" xr:uid="{00000000-0005-0000-0000-0000FAB60000}"/>
    <cellStyle name="Normal 2 4 3 9 2 4" xfId="19579" xr:uid="{00000000-0005-0000-0000-0000FBB60000}"/>
    <cellStyle name="Normal 2 4 3 9 2 4 2" xfId="19580" xr:uid="{00000000-0005-0000-0000-0000FCB60000}"/>
    <cellStyle name="Normal 2 4 3 9 2 4 2 2" xfId="53191" xr:uid="{00000000-0005-0000-0000-0000FDB60000}"/>
    <cellStyle name="Normal 2 4 3 9 2 4 3" xfId="53192" xr:uid="{00000000-0005-0000-0000-0000FEB60000}"/>
    <cellStyle name="Normal 2 4 3 9 2 5" xfId="19581" xr:uid="{00000000-0005-0000-0000-0000FFB60000}"/>
    <cellStyle name="Normal 2 4 3 9 2 5 2" xfId="53193" xr:uid="{00000000-0005-0000-0000-000000B70000}"/>
    <cellStyle name="Normal 2 4 3 9 2 6" xfId="19582" xr:uid="{00000000-0005-0000-0000-000001B70000}"/>
    <cellStyle name="Normal 2 4 3 9 2 6 2" xfId="53194" xr:uid="{00000000-0005-0000-0000-000002B70000}"/>
    <cellStyle name="Normal 2 4 3 9 2 7" xfId="53195" xr:uid="{00000000-0005-0000-0000-000003B70000}"/>
    <cellStyle name="Normal 2 4 3 9 2 7 2" xfId="53196" xr:uid="{00000000-0005-0000-0000-000004B70000}"/>
    <cellStyle name="Normal 2 4 3 9 2 8" xfId="53197" xr:uid="{00000000-0005-0000-0000-000005B70000}"/>
    <cellStyle name="Normal 2 4 3 9 2 9" xfId="53198" xr:uid="{00000000-0005-0000-0000-000006B70000}"/>
    <cellStyle name="Normal 2 4 3 9 3" xfId="19583" xr:uid="{00000000-0005-0000-0000-000007B70000}"/>
    <cellStyle name="Normal 2 4 3 9 3 2" xfId="19584" xr:uid="{00000000-0005-0000-0000-000008B70000}"/>
    <cellStyle name="Normal 2 4 3 9 3 2 2" xfId="19585" xr:uid="{00000000-0005-0000-0000-000009B70000}"/>
    <cellStyle name="Normal 2 4 3 9 3 2 2 2" xfId="53199" xr:uid="{00000000-0005-0000-0000-00000AB70000}"/>
    <cellStyle name="Normal 2 4 3 9 3 2 3" xfId="19586" xr:uid="{00000000-0005-0000-0000-00000BB70000}"/>
    <cellStyle name="Normal 2 4 3 9 3 2 3 2" xfId="53200" xr:uid="{00000000-0005-0000-0000-00000CB70000}"/>
    <cellStyle name="Normal 2 4 3 9 3 2 4" xfId="53201" xr:uid="{00000000-0005-0000-0000-00000DB70000}"/>
    <cellStyle name="Normal 2 4 3 9 3 3" xfId="19587" xr:uid="{00000000-0005-0000-0000-00000EB70000}"/>
    <cellStyle name="Normal 2 4 3 9 3 3 2" xfId="53202" xr:uid="{00000000-0005-0000-0000-00000FB70000}"/>
    <cellStyle name="Normal 2 4 3 9 3 4" xfId="19588" xr:uid="{00000000-0005-0000-0000-000010B70000}"/>
    <cellStyle name="Normal 2 4 3 9 3 4 2" xfId="53203" xr:uid="{00000000-0005-0000-0000-000011B70000}"/>
    <cellStyle name="Normal 2 4 3 9 3 5" xfId="19589" xr:uid="{00000000-0005-0000-0000-000012B70000}"/>
    <cellStyle name="Normal 2 4 3 9 3 5 2" xfId="53204" xr:uid="{00000000-0005-0000-0000-000013B70000}"/>
    <cellStyle name="Normal 2 4 3 9 3 6" xfId="53205" xr:uid="{00000000-0005-0000-0000-000014B70000}"/>
    <cellStyle name="Normal 2 4 3 9 3 6 2" xfId="53206" xr:uid="{00000000-0005-0000-0000-000015B70000}"/>
    <cellStyle name="Normal 2 4 3 9 3 7" xfId="53207" xr:uid="{00000000-0005-0000-0000-000016B70000}"/>
    <cellStyle name="Normal 2 4 3 9 4" xfId="19590" xr:uid="{00000000-0005-0000-0000-000017B70000}"/>
    <cellStyle name="Normal 2 4 3 9 4 2" xfId="19591" xr:uid="{00000000-0005-0000-0000-000018B70000}"/>
    <cellStyle name="Normal 2 4 3 9 4 2 2" xfId="53208" xr:uid="{00000000-0005-0000-0000-000019B70000}"/>
    <cellStyle name="Normal 2 4 3 9 4 3" xfId="19592" xr:uid="{00000000-0005-0000-0000-00001AB70000}"/>
    <cellStyle name="Normal 2 4 3 9 4 3 2" xfId="53209" xr:uid="{00000000-0005-0000-0000-00001BB70000}"/>
    <cellStyle name="Normal 2 4 3 9 4 4" xfId="53210" xr:uid="{00000000-0005-0000-0000-00001CB70000}"/>
    <cellStyle name="Normal 2 4 3 9 5" xfId="19593" xr:uid="{00000000-0005-0000-0000-00001DB70000}"/>
    <cellStyle name="Normal 2 4 3 9 5 2" xfId="19594" xr:uid="{00000000-0005-0000-0000-00001EB70000}"/>
    <cellStyle name="Normal 2 4 3 9 5 2 2" xfId="53211" xr:uid="{00000000-0005-0000-0000-00001FB70000}"/>
    <cellStyle name="Normal 2 4 3 9 5 3" xfId="53212" xr:uid="{00000000-0005-0000-0000-000020B70000}"/>
    <cellStyle name="Normal 2 4 3 9 6" xfId="19595" xr:uid="{00000000-0005-0000-0000-000021B70000}"/>
    <cellStyle name="Normal 2 4 3 9 6 2" xfId="53213" xr:uid="{00000000-0005-0000-0000-000022B70000}"/>
    <cellStyle name="Normal 2 4 3 9 7" xfId="19596" xr:uid="{00000000-0005-0000-0000-000023B70000}"/>
    <cellStyle name="Normal 2 4 3 9 7 2" xfId="53214" xr:uid="{00000000-0005-0000-0000-000024B70000}"/>
    <cellStyle name="Normal 2 4 3 9 8" xfId="53215" xr:uid="{00000000-0005-0000-0000-000025B70000}"/>
    <cellStyle name="Normal 2 4 3 9 8 2" xfId="53216" xr:uid="{00000000-0005-0000-0000-000026B70000}"/>
    <cellStyle name="Normal 2 4 3 9 9" xfId="53217" xr:uid="{00000000-0005-0000-0000-000027B70000}"/>
    <cellStyle name="Normal 2 4 30" xfId="19597" xr:uid="{00000000-0005-0000-0000-000028B70000}"/>
    <cellStyle name="Normal 2 4 30 10" xfId="53218" xr:uid="{00000000-0005-0000-0000-000029B70000}"/>
    <cellStyle name="Normal 2 4 30 11" xfId="53219" xr:uid="{00000000-0005-0000-0000-00002AB70000}"/>
    <cellStyle name="Normal 2 4 30 2" xfId="19598" xr:uid="{00000000-0005-0000-0000-00002BB70000}"/>
    <cellStyle name="Normal 2 4 30 2 10" xfId="53220" xr:uid="{00000000-0005-0000-0000-00002CB70000}"/>
    <cellStyle name="Normal 2 4 30 2 2" xfId="19599" xr:uid="{00000000-0005-0000-0000-00002DB70000}"/>
    <cellStyle name="Normal 2 4 30 2 2 2" xfId="19600" xr:uid="{00000000-0005-0000-0000-00002EB70000}"/>
    <cellStyle name="Normal 2 4 30 2 2 2 2" xfId="19601" xr:uid="{00000000-0005-0000-0000-00002FB70000}"/>
    <cellStyle name="Normal 2 4 30 2 2 2 2 2" xfId="53221" xr:uid="{00000000-0005-0000-0000-000030B70000}"/>
    <cellStyle name="Normal 2 4 30 2 2 2 3" xfId="19602" xr:uid="{00000000-0005-0000-0000-000031B70000}"/>
    <cellStyle name="Normal 2 4 30 2 2 2 3 2" xfId="53222" xr:uid="{00000000-0005-0000-0000-000032B70000}"/>
    <cellStyle name="Normal 2 4 30 2 2 2 4" xfId="53223" xr:uid="{00000000-0005-0000-0000-000033B70000}"/>
    <cellStyle name="Normal 2 4 30 2 2 3" xfId="19603" xr:uid="{00000000-0005-0000-0000-000034B70000}"/>
    <cellStyle name="Normal 2 4 30 2 2 3 2" xfId="53224" xr:uid="{00000000-0005-0000-0000-000035B70000}"/>
    <cellStyle name="Normal 2 4 30 2 2 4" xfId="19604" xr:uid="{00000000-0005-0000-0000-000036B70000}"/>
    <cellStyle name="Normal 2 4 30 2 2 4 2" xfId="53225" xr:uid="{00000000-0005-0000-0000-000037B70000}"/>
    <cellStyle name="Normal 2 4 30 2 2 5" xfId="19605" xr:uid="{00000000-0005-0000-0000-000038B70000}"/>
    <cellStyle name="Normal 2 4 30 2 2 5 2" xfId="53226" xr:uid="{00000000-0005-0000-0000-000039B70000}"/>
    <cellStyle name="Normal 2 4 30 2 2 6" xfId="53227" xr:uid="{00000000-0005-0000-0000-00003AB70000}"/>
    <cellStyle name="Normal 2 4 30 2 2 6 2" xfId="53228" xr:uid="{00000000-0005-0000-0000-00003BB70000}"/>
    <cellStyle name="Normal 2 4 30 2 2 7" xfId="53229" xr:uid="{00000000-0005-0000-0000-00003CB70000}"/>
    <cellStyle name="Normal 2 4 30 2 3" xfId="19606" xr:uid="{00000000-0005-0000-0000-00003DB70000}"/>
    <cellStyle name="Normal 2 4 30 2 3 2" xfId="19607" xr:uid="{00000000-0005-0000-0000-00003EB70000}"/>
    <cellStyle name="Normal 2 4 30 2 3 2 2" xfId="53230" xr:uid="{00000000-0005-0000-0000-00003FB70000}"/>
    <cellStyle name="Normal 2 4 30 2 3 3" xfId="19608" xr:uid="{00000000-0005-0000-0000-000040B70000}"/>
    <cellStyle name="Normal 2 4 30 2 3 3 2" xfId="53231" xr:uid="{00000000-0005-0000-0000-000041B70000}"/>
    <cellStyle name="Normal 2 4 30 2 3 4" xfId="53232" xr:uid="{00000000-0005-0000-0000-000042B70000}"/>
    <cellStyle name="Normal 2 4 30 2 4" xfId="19609" xr:uid="{00000000-0005-0000-0000-000043B70000}"/>
    <cellStyle name="Normal 2 4 30 2 4 2" xfId="19610" xr:uid="{00000000-0005-0000-0000-000044B70000}"/>
    <cellStyle name="Normal 2 4 30 2 4 2 2" xfId="53233" xr:uid="{00000000-0005-0000-0000-000045B70000}"/>
    <cellStyle name="Normal 2 4 30 2 4 3" xfId="53234" xr:uid="{00000000-0005-0000-0000-000046B70000}"/>
    <cellStyle name="Normal 2 4 30 2 5" xfId="19611" xr:uid="{00000000-0005-0000-0000-000047B70000}"/>
    <cellStyle name="Normal 2 4 30 2 5 2" xfId="53235" xr:uid="{00000000-0005-0000-0000-000048B70000}"/>
    <cellStyle name="Normal 2 4 30 2 6" xfId="19612" xr:uid="{00000000-0005-0000-0000-000049B70000}"/>
    <cellStyle name="Normal 2 4 30 2 6 2" xfId="53236" xr:uid="{00000000-0005-0000-0000-00004AB70000}"/>
    <cellStyle name="Normal 2 4 30 2 7" xfId="53237" xr:uid="{00000000-0005-0000-0000-00004BB70000}"/>
    <cellStyle name="Normal 2 4 30 2 7 2" xfId="53238" xr:uid="{00000000-0005-0000-0000-00004CB70000}"/>
    <cellStyle name="Normal 2 4 30 2 8" xfId="53239" xr:uid="{00000000-0005-0000-0000-00004DB70000}"/>
    <cellStyle name="Normal 2 4 30 2 9" xfId="53240" xr:uid="{00000000-0005-0000-0000-00004EB70000}"/>
    <cellStyle name="Normal 2 4 30 3" xfId="19613" xr:uid="{00000000-0005-0000-0000-00004FB70000}"/>
    <cellStyle name="Normal 2 4 30 3 2" xfId="19614" xr:uid="{00000000-0005-0000-0000-000050B70000}"/>
    <cellStyle name="Normal 2 4 30 3 2 2" xfId="19615" xr:uid="{00000000-0005-0000-0000-000051B70000}"/>
    <cellStyle name="Normal 2 4 30 3 2 2 2" xfId="53241" xr:uid="{00000000-0005-0000-0000-000052B70000}"/>
    <cellStyle name="Normal 2 4 30 3 2 3" xfId="19616" xr:uid="{00000000-0005-0000-0000-000053B70000}"/>
    <cellStyle name="Normal 2 4 30 3 2 3 2" xfId="53242" xr:uid="{00000000-0005-0000-0000-000054B70000}"/>
    <cellStyle name="Normal 2 4 30 3 2 4" xfId="53243" xr:uid="{00000000-0005-0000-0000-000055B70000}"/>
    <cellStyle name="Normal 2 4 30 3 3" xfId="19617" xr:uid="{00000000-0005-0000-0000-000056B70000}"/>
    <cellStyle name="Normal 2 4 30 3 3 2" xfId="53244" xr:uid="{00000000-0005-0000-0000-000057B70000}"/>
    <cellStyle name="Normal 2 4 30 3 4" xfId="19618" xr:uid="{00000000-0005-0000-0000-000058B70000}"/>
    <cellStyle name="Normal 2 4 30 3 4 2" xfId="53245" xr:uid="{00000000-0005-0000-0000-000059B70000}"/>
    <cellStyle name="Normal 2 4 30 3 5" xfId="19619" xr:uid="{00000000-0005-0000-0000-00005AB70000}"/>
    <cellStyle name="Normal 2 4 30 3 5 2" xfId="53246" xr:uid="{00000000-0005-0000-0000-00005BB70000}"/>
    <cellStyle name="Normal 2 4 30 3 6" xfId="53247" xr:uid="{00000000-0005-0000-0000-00005CB70000}"/>
    <cellStyle name="Normal 2 4 30 3 6 2" xfId="53248" xr:uid="{00000000-0005-0000-0000-00005DB70000}"/>
    <cellStyle name="Normal 2 4 30 3 7" xfId="53249" xr:uid="{00000000-0005-0000-0000-00005EB70000}"/>
    <cellStyle name="Normal 2 4 30 4" xfId="19620" xr:uid="{00000000-0005-0000-0000-00005FB70000}"/>
    <cellStyle name="Normal 2 4 30 4 2" xfId="19621" xr:uid="{00000000-0005-0000-0000-000060B70000}"/>
    <cellStyle name="Normal 2 4 30 4 2 2" xfId="53250" xr:uid="{00000000-0005-0000-0000-000061B70000}"/>
    <cellStyle name="Normal 2 4 30 4 3" xfId="19622" xr:uid="{00000000-0005-0000-0000-000062B70000}"/>
    <cellStyle name="Normal 2 4 30 4 3 2" xfId="53251" xr:uid="{00000000-0005-0000-0000-000063B70000}"/>
    <cellStyle name="Normal 2 4 30 4 4" xfId="53252" xr:uid="{00000000-0005-0000-0000-000064B70000}"/>
    <cellStyle name="Normal 2 4 30 5" xfId="19623" xr:uid="{00000000-0005-0000-0000-000065B70000}"/>
    <cellStyle name="Normal 2 4 30 5 2" xfId="19624" xr:uid="{00000000-0005-0000-0000-000066B70000}"/>
    <cellStyle name="Normal 2 4 30 5 2 2" xfId="53253" xr:uid="{00000000-0005-0000-0000-000067B70000}"/>
    <cellStyle name="Normal 2 4 30 5 3" xfId="53254" xr:uid="{00000000-0005-0000-0000-000068B70000}"/>
    <cellStyle name="Normal 2 4 30 6" xfId="19625" xr:uid="{00000000-0005-0000-0000-000069B70000}"/>
    <cellStyle name="Normal 2 4 30 6 2" xfId="53255" xr:uid="{00000000-0005-0000-0000-00006AB70000}"/>
    <cellStyle name="Normal 2 4 30 7" xfId="19626" xr:uid="{00000000-0005-0000-0000-00006BB70000}"/>
    <cellStyle name="Normal 2 4 30 7 2" xfId="53256" xr:uid="{00000000-0005-0000-0000-00006CB70000}"/>
    <cellStyle name="Normal 2 4 30 8" xfId="53257" xr:uid="{00000000-0005-0000-0000-00006DB70000}"/>
    <cellStyle name="Normal 2 4 30 8 2" xfId="53258" xr:uid="{00000000-0005-0000-0000-00006EB70000}"/>
    <cellStyle name="Normal 2 4 30 9" xfId="53259" xr:uid="{00000000-0005-0000-0000-00006FB70000}"/>
    <cellStyle name="Normal 2 4 31" xfId="19627" xr:uid="{00000000-0005-0000-0000-000070B70000}"/>
    <cellStyle name="Normal 2 4 31 10" xfId="53260" xr:uid="{00000000-0005-0000-0000-000071B70000}"/>
    <cellStyle name="Normal 2 4 31 11" xfId="53261" xr:uid="{00000000-0005-0000-0000-000072B70000}"/>
    <cellStyle name="Normal 2 4 31 2" xfId="19628" xr:uid="{00000000-0005-0000-0000-000073B70000}"/>
    <cellStyle name="Normal 2 4 31 2 10" xfId="53262" xr:uid="{00000000-0005-0000-0000-000074B70000}"/>
    <cellStyle name="Normal 2 4 31 2 2" xfId="19629" xr:uid="{00000000-0005-0000-0000-000075B70000}"/>
    <cellStyle name="Normal 2 4 31 2 2 2" xfId="19630" xr:uid="{00000000-0005-0000-0000-000076B70000}"/>
    <cellStyle name="Normal 2 4 31 2 2 2 2" xfId="19631" xr:uid="{00000000-0005-0000-0000-000077B70000}"/>
    <cellStyle name="Normal 2 4 31 2 2 2 2 2" xfId="53263" xr:uid="{00000000-0005-0000-0000-000078B70000}"/>
    <cellStyle name="Normal 2 4 31 2 2 2 3" xfId="19632" xr:uid="{00000000-0005-0000-0000-000079B70000}"/>
    <cellStyle name="Normal 2 4 31 2 2 2 3 2" xfId="53264" xr:uid="{00000000-0005-0000-0000-00007AB70000}"/>
    <cellStyle name="Normal 2 4 31 2 2 2 4" xfId="53265" xr:uid="{00000000-0005-0000-0000-00007BB70000}"/>
    <cellStyle name="Normal 2 4 31 2 2 3" xfId="19633" xr:uid="{00000000-0005-0000-0000-00007CB70000}"/>
    <cellStyle name="Normal 2 4 31 2 2 3 2" xfId="53266" xr:uid="{00000000-0005-0000-0000-00007DB70000}"/>
    <cellStyle name="Normal 2 4 31 2 2 4" xfId="19634" xr:uid="{00000000-0005-0000-0000-00007EB70000}"/>
    <cellStyle name="Normal 2 4 31 2 2 4 2" xfId="53267" xr:uid="{00000000-0005-0000-0000-00007FB70000}"/>
    <cellStyle name="Normal 2 4 31 2 2 5" xfId="19635" xr:uid="{00000000-0005-0000-0000-000080B70000}"/>
    <cellStyle name="Normal 2 4 31 2 2 5 2" xfId="53268" xr:uid="{00000000-0005-0000-0000-000081B70000}"/>
    <cellStyle name="Normal 2 4 31 2 2 6" xfId="53269" xr:uid="{00000000-0005-0000-0000-000082B70000}"/>
    <cellStyle name="Normal 2 4 31 2 2 6 2" xfId="53270" xr:uid="{00000000-0005-0000-0000-000083B70000}"/>
    <cellStyle name="Normal 2 4 31 2 2 7" xfId="53271" xr:uid="{00000000-0005-0000-0000-000084B70000}"/>
    <cellStyle name="Normal 2 4 31 2 3" xfId="19636" xr:uid="{00000000-0005-0000-0000-000085B70000}"/>
    <cellStyle name="Normal 2 4 31 2 3 2" xfId="19637" xr:uid="{00000000-0005-0000-0000-000086B70000}"/>
    <cellStyle name="Normal 2 4 31 2 3 2 2" xfId="53272" xr:uid="{00000000-0005-0000-0000-000087B70000}"/>
    <cellStyle name="Normal 2 4 31 2 3 3" xfId="19638" xr:uid="{00000000-0005-0000-0000-000088B70000}"/>
    <cellStyle name="Normal 2 4 31 2 3 3 2" xfId="53273" xr:uid="{00000000-0005-0000-0000-000089B70000}"/>
    <cellStyle name="Normal 2 4 31 2 3 4" xfId="53274" xr:uid="{00000000-0005-0000-0000-00008AB70000}"/>
    <cellStyle name="Normal 2 4 31 2 4" xfId="19639" xr:uid="{00000000-0005-0000-0000-00008BB70000}"/>
    <cellStyle name="Normal 2 4 31 2 4 2" xfId="19640" xr:uid="{00000000-0005-0000-0000-00008CB70000}"/>
    <cellStyle name="Normal 2 4 31 2 4 2 2" xfId="53275" xr:uid="{00000000-0005-0000-0000-00008DB70000}"/>
    <cellStyle name="Normal 2 4 31 2 4 3" xfId="53276" xr:uid="{00000000-0005-0000-0000-00008EB70000}"/>
    <cellStyle name="Normal 2 4 31 2 5" xfId="19641" xr:uid="{00000000-0005-0000-0000-00008FB70000}"/>
    <cellStyle name="Normal 2 4 31 2 5 2" xfId="53277" xr:uid="{00000000-0005-0000-0000-000090B70000}"/>
    <cellStyle name="Normal 2 4 31 2 6" xfId="19642" xr:uid="{00000000-0005-0000-0000-000091B70000}"/>
    <cellStyle name="Normal 2 4 31 2 6 2" xfId="53278" xr:uid="{00000000-0005-0000-0000-000092B70000}"/>
    <cellStyle name="Normal 2 4 31 2 7" xfId="53279" xr:uid="{00000000-0005-0000-0000-000093B70000}"/>
    <cellStyle name="Normal 2 4 31 2 7 2" xfId="53280" xr:uid="{00000000-0005-0000-0000-000094B70000}"/>
    <cellStyle name="Normal 2 4 31 2 8" xfId="53281" xr:uid="{00000000-0005-0000-0000-000095B70000}"/>
    <cellStyle name="Normal 2 4 31 2 9" xfId="53282" xr:uid="{00000000-0005-0000-0000-000096B70000}"/>
    <cellStyle name="Normal 2 4 31 3" xfId="19643" xr:uid="{00000000-0005-0000-0000-000097B70000}"/>
    <cellStyle name="Normal 2 4 31 3 2" xfId="19644" xr:uid="{00000000-0005-0000-0000-000098B70000}"/>
    <cellStyle name="Normal 2 4 31 3 2 2" xfId="19645" xr:uid="{00000000-0005-0000-0000-000099B70000}"/>
    <cellStyle name="Normal 2 4 31 3 2 2 2" xfId="53283" xr:uid="{00000000-0005-0000-0000-00009AB70000}"/>
    <cellStyle name="Normal 2 4 31 3 2 3" xfId="19646" xr:uid="{00000000-0005-0000-0000-00009BB70000}"/>
    <cellStyle name="Normal 2 4 31 3 2 3 2" xfId="53284" xr:uid="{00000000-0005-0000-0000-00009CB70000}"/>
    <cellStyle name="Normal 2 4 31 3 2 4" xfId="53285" xr:uid="{00000000-0005-0000-0000-00009DB70000}"/>
    <cellStyle name="Normal 2 4 31 3 3" xfId="19647" xr:uid="{00000000-0005-0000-0000-00009EB70000}"/>
    <cellStyle name="Normal 2 4 31 3 3 2" xfId="53286" xr:uid="{00000000-0005-0000-0000-00009FB70000}"/>
    <cellStyle name="Normal 2 4 31 3 4" xfId="19648" xr:uid="{00000000-0005-0000-0000-0000A0B70000}"/>
    <cellStyle name="Normal 2 4 31 3 4 2" xfId="53287" xr:uid="{00000000-0005-0000-0000-0000A1B70000}"/>
    <cellStyle name="Normal 2 4 31 3 5" xfId="19649" xr:uid="{00000000-0005-0000-0000-0000A2B70000}"/>
    <cellStyle name="Normal 2 4 31 3 5 2" xfId="53288" xr:uid="{00000000-0005-0000-0000-0000A3B70000}"/>
    <cellStyle name="Normal 2 4 31 3 6" xfId="53289" xr:uid="{00000000-0005-0000-0000-0000A4B70000}"/>
    <cellStyle name="Normal 2 4 31 3 6 2" xfId="53290" xr:uid="{00000000-0005-0000-0000-0000A5B70000}"/>
    <cellStyle name="Normal 2 4 31 3 7" xfId="53291" xr:uid="{00000000-0005-0000-0000-0000A6B70000}"/>
    <cellStyle name="Normal 2 4 31 4" xfId="19650" xr:uid="{00000000-0005-0000-0000-0000A7B70000}"/>
    <cellStyle name="Normal 2 4 31 4 2" xfId="19651" xr:uid="{00000000-0005-0000-0000-0000A8B70000}"/>
    <cellStyle name="Normal 2 4 31 4 2 2" xfId="53292" xr:uid="{00000000-0005-0000-0000-0000A9B70000}"/>
    <cellStyle name="Normal 2 4 31 4 3" xfId="19652" xr:uid="{00000000-0005-0000-0000-0000AAB70000}"/>
    <cellStyle name="Normal 2 4 31 4 3 2" xfId="53293" xr:uid="{00000000-0005-0000-0000-0000ABB70000}"/>
    <cellStyle name="Normal 2 4 31 4 4" xfId="53294" xr:uid="{00000000-0005-0000-0000-0000ACB70000}"/>
    <cellStyle name="Normal 2 4 31 5" xfId="19653" xr:uid="{00000000-0005-0000-0000-0000ADB70000}"/>
    <cellStyle name="Normal 2 4 31 5 2" xfId="19654" xr:uid="{00000000-0005-0000-0000-0000AEB70000}"/>
    <cellStyle name="Normal 2 4 31 5 2 2" xfId="53295" xr:uid="{00000000-0005-0000-0000-0000AFB70000}"/>
    <cellStyle name="Normal 2 4 31 5 3" xfId="53296" xr:uid="{00000000-0005-0000-0000-0000B0B70000}"/>
    <cellStyle name="Normal 2 4 31 6" xfId="19655" xr:uid="{00000000-0005-0000-0000-0000B1B70000}"/>
    <cellStyle name="Normal 2 4 31 6 2" xfId="53297" xr:uid="{00000000-0005-0000-0000-0000B2B70000}"/>
    <cellStyle name="Normal 2 4 31 7" xfId="19656" xr:uid="{00000000-0005-0000-0000-0000B3B70000}"/>
    <cellStyle name="Normal 2 4 31 7 2" xfId="53298" xr:uid="{00000000-0005-0000-0000-0000B4B70000}"/>
    <cellStyle name="Normal 2 4 31 8" xfId="53299" xr:uid="{00000000-0005-0000-0000-0000B5B70000}"/>
    <cellStyle name="Normal 2 4 31 8 2" xfId="53300" xr:uid="{00000000-0005-0000-0000-0000B6B70000}"/>
    <cellStyle name="Normal 2 4 31 9" xfId="53301" xr:uid="{00000000-0005-0000-0000-0000B7B70000}"/>
    <cellStyle name="Normal 2 4 32" xfId="19657" xr:uid="{00000000-0005-0000-0000-0000B8B70000}"/>
    <cellStyle name="Normal 2 4 32 10" xfId="53302" xr:uid="{00000000-0005-0000-0000-0000B9B70000}"/>
    <cellStyle name="Normal 2 4 32 11" xfId="53303" xr:uid="{00000000-0005-0000-0000-0000BAB70000}"/>
    <cellStyle name="Normal 2 4 32 2" xfId="19658" xr:uid="{00000000-0005-0000-0000-0000BBB70000}"/>
    <cellStyle name="Normal 2 4 32 2 10" xfId="53304" xr:uid="{00000000-0005-0000-0000-0000BCB70000}"/>
    <cellStyle name="Normal 2 4 32 2 2" xfId="19659" xr:uid="{00000000-0005-0000-0000-0000BDB70000}"/>
    <cellStyle name="Normal 2 4 32 2 2 2" xfId="19660" xr:uid="{00000000-0005-0000-0000-0000BEB70000}"/>
    <cellStyle name="Normal 2 4 32 2 2 2 2" xfId="19661" xr:uid="{00000000-0005-0000-0000-0000BFB70000}"/>
    <cellStyle name="Normal 2 4 32 2 2 2 2 2" xfId="53305" xr:uid="{00000000-0005-0000-0000-0000C0B70000}"/>
    <cellStyle name="Normal 2 4 32 2 2 2 3" xfId="19662" xr:uid="{00000000-0005-0000-0000-0000C1B70000}"/>
    <cellStyle name="Normal 2 4 32 2 2 2 3 2" xfId="53306" xr:uid="{00000000-0005-0000-0000-0000C2B70000}"/>
    <cellStyle name="Normal 2 4 32 2 2 2 4" xfId="53307" xr:uid="{00000000-0005-0000-0000-0000C3B70000}"/>
    <cellStyle name="Normal 2 4 32 2 2 3" xfId="19663" xr:uid="{00000000-0005-0000-0000-0000C4B70000}"/>
    <cellStyle name="Normal 2 4 32 2 2 3 2" xfId="53308" xr:uid="{00000000-0005-0000-0000-0000C5B70000}"/>
    <cellStyle name="Normal 2 4 32 2 2 4" xfId="19664" xr:uid="{00000000-0005-0000-0000-0000C6B70000}"/>
    <cellStyle name="Normal 2 4 32 2 2 4 2" xfId="53309" xr:uid="{00000000-0005-0000-0000-0000C7B70000}"/>
    <cellStyle name="Normal 2 4 32 2 2 5" xfId="19665" xr:uid="{00000000-0005-0000-0000-0000C8B70000}"/>
    <cellStyle name="Normal 2 4 32 2 2 5 2" xfId="53310" xr:uid="{00000000-0005-0000-0000-0000C9B70000}"/>
    <cellStyle name="Normal 2 4 32 2 2 6" xfId="53311" xr:uid="{00000000-0005-0000-0000-0000CAB70000}"/>
    <cellStyle name="Normal 2 4 32 2 2 6 2" xfId="53312" xr:uid="{00000000-0005-0000-0000-0000CBB70000}"/>
    <cellStyle name="Normal 2 4 32 2 2 7" xfId="53313" xr:uid="{00000000-0005-0000-0000-0000CCB70000}"/>
    <cellStyle name="Normal 2 4 32 2 3" xfId="19666" xr:uid="{00000000-0005-0000-0000-0000CDB70000}"/>
    <cellStyle name="Normal 2 4 32 2 3 2" xfId="19667" xr:uid="{00000000-0005-0000-0000-0000CEB70000}"/>
    <cellStyle name="Normal 2 4 32 2 3 2 2" xfId="53314" xr:uid="{00000000-0005-0000-0000-0000CFB70000}"/>
    <cellStyle name="Normal 2 4 32 2 3 3" xfId="19668" xr:uid="{00000000-0005-0000-0000-0000D0B70000}"/>
    <cellStyle name="Normal 2 4 32 2 3 3 2" xfId="53315" xr:uid="{00000000-0005-0000-0000-0000D1B70000}"/>
    <cellStyle name="Normal 2 4 32 2 3 4" xfId="53316" xr:uid="{00000000-0005-0000-0000-0000D2B70000}"/>
    <cellStyle name="Normal 2 4 32 2 4" xfId="19669" xr:uid="{00000000-0005-0000-0000-0000D3B70000}"/>
    <cellStyle name="Normal 2 4 32 2 4 2" xfId="19670" xr:uid="{00000000-0005-0000-0000-0000D4B70000}"/>
    <cellStyle name="Normal 2 4 32 2 4 2 2" xfId="53317" xr:uid="{00000000-0005-0000-0000-0000D5B70000}"/>
    <cellStyle name="Normal 2 4 32 2 4 3" xfId="53318" xr:uid="{00000000-0005-0000-0000-0000D6B70000}"/>
    <cellStyle name="Normal 2 4 32 2 5" xfId="19671" xr:uid="{00000000-0005-0000-0000-0000D7B70000}"/>
    <cellStyle name="Normal 2 4 32 2 5 2" xfId="53319" xr:uid="{00000000-0005-0000-0000-0000D8B70000}"/>
    <cellStyle name="Normal 2 4 32 2 6" xfId="19672" xr:uid="{00000000-0005-0000-0000-0000D9B70000}"/>
    <cellStyle name="Normal 2 4 32 2 6 2" xfId="53320" xr:uid="{00000000-0005-0000-0000-0000DAB70000}"/>
    <cellStyle name="Normal 2 4 32 2 7" xfId="53321" xr:uid="{00000000-0005-0000-0000-0000DBB70000}"/>
    <cellStyle name="Normal 2 4 32 2 7 2" xfId="53322" xr:uid="{00000000-0005-0000-0000-0000DCB70000}"/>
    <cellStyle name="Normal 2 4 32 2 8" xfId="53323" xr:uid="{00000000-0005-0000-0000-0000DDB70000}"/>
    <cellStyle name="Normal 2 4 32 2 9" xfId="53324" xr:uid="{00000000-0005-0000-0000-0000DEB70000}"/>
    <cellStyle name="Normal 2 4 32 3" xfId="19673" xr:uid="{00000000-0005-0000-0000-0000DFB70000}"/>
    <cellStyle name="Normal 2 4 32 3 2" xfId="19674" xr:uid="{00000000-0005-0000-0000-0000E0B70000}"/>
    <cellStyle name="Normal 2 4 32 3 2 2" xfId="19675" xr:uid="{00000000-0005-0000-0000-0000E1B70000}"/>
    <cellStyle name="Normal 2 4 32 3 2 2 2" xfId="53325" xr:uid="{00000000-0005-0000-0000-0000E2B70000}"/>
    <cellStyle name="Normal 2 4 32 3 2 3" xfId="19676" xr:uid="{00000000-0005-0000-0000-0000E3B70000}"/>
    <cellStyle name="Normal 2 4 32 3 2 3 2" xfId="53326" xr:uid="{00000000-0005-0000-0000-0000E4B70000}"/>
    <cellStyle name="Normal 2 4 32 3 2 4" xfId="53327" xr:uid="{00000000-0005-0000-0000-0000E5B70000}"/>
    <cellStyle name="Normal 2 4 32 3 3" xfId="19677" xr:uid="{00000000-0005-0000-0000-0000E6B70000}"/>
    <cellStyle name="Normal 2 4 32 3 3 2" xfId="53328" xr:uid="{00000000-0005-0000-0000-0000E7B70000}"/>
    <cellStyle name="Normal 2 4 32 3 4" xfId="19678" xr:uid="{00000000-0005-0000-0000-0000E8B70000}"/>
    <cellStyle name="Normal 2 4 32 3 4 2" xfId="53329" xr:uid="{00000000-0005-0000-0000-0000E9B70000}"/>
    <cellStyle name="Normal 2 4 32 3 5" xfId="19679" xr:uid="{00000000-0005-0000-0000-0000EAB70000}"/>
    <cellStyle name="Normal 2 4 32 3 5 2" xfId="53330" xr:uid="{00000000-0005-0000-0000-0000EBB70000}"/>
    <cellStyle name="Normal 2 4 32 3 6" xfId="53331" xr:uid="{00000000-0005-0000-0000-0000ECB70000}"/>
    <cellStyle name="Normal 2 4 32 3 6 2" xfId="53332" xr:uid="{00000000-0005-0000-0000-0000EDB70000}"/>
    <cellStyle name="Normal 2 4 32 3 7" xfId="53333" xr:uid="{00000000-0005-0000-0000-0000EEB70000}"/>
    <cellStyle name="Normal 2 4 32 4" xfId="19680" xr:uid="{00000000-0005-0000-0000-0000EFB70000}"/>
    <cellStyle name="Normal 2 4 32 4 2" xfId="19681" xr:uid="{00000000-0005-0000-0000-0000F0B70000}"/>
    <cellStyle name="Normal 2 4 32 4 2 2" xfId="53334" xr:uid="{00000000-0005-0000-0000-0000F1B70000}"/>
    <cellStyle name="Normal 2 4 32 4 3" xfId="19682" xr:uid="{00000000-0005-0000-0000-0000F2B70000}"/>
    <cellStyle name="Normal 2 4 32 4 3 2" xfId="53335" xr:uid="{00000000-0005-0000-0000-0000F3B70000}"/>
    <cellStyle name="Normal 2 4 32 4 4" xfId="53336" xr:uid="{00000000-0005-0000-0000-0000F4B70000}"/>
    <cellStyle name="Normal 2 4 32 5" xfId="19683" xr:uid="{00000000-0005-0000-0000-0000F5B70000}"/>
    <cellStyle name="Normal 2 4 32 5 2" xfId="19684" xr:uid="{00000000-0005-0000-0000-0000F6B70000}"/>
    <cellStyle name="Normal 2 4 32 5 2 2" xfId="53337" xr:uid="{00000000-0005-0000-0000-0000F7B70000}"/>
    <cellStyle name="Normal 2 4 32 5 3" xfId="53338" xr:uid="{00000000-0005-0000-0000-0000F8B70000}"/>
    <cellStyle name="Normal 2 4 32 6" xfId="19685" xr:uid="{00000000-0005-0000-0000-0000F9B70000}"/>
    <cellStyle name="Normal 2 4 32 6 2" xfId="53339" xr:uid="{00000000-0005-0000-0000-0000FAB70000}"/>
    <cellStyle name="Normal 2 4 32 7" xfId="19686" xr:uid="{00000000-0005-0000-0000-0000FBB70000}"/>
    <cellStyle name="Normal 2 4 32 7 2" xfId="53340" xr:uid="{00000000-0005-0000-0000-0000FCB70000}"/>
    <cellStyle name="Normal 2 4 32 8" xfId="53341" xr:uid="{00000000-0005-0000-0000-0000FDB70000}"/>
    <cellStyle name="Normal 2 4 32 8 2" xfId="53342" xr:uid="{00000000-0005-0000-0000-0000FEB70000}"/>
    <cellStyle name="Normal 2 4 32 9" xfId="53343" xr:uid="{00000000-0005-0000-0000-0000FFB70000}"/>
    <cellStyle name="Normal 2 4 33" xfId="19687" xr:uid="{00000000-0005-0000-0000-000000B80000}"/>
    <cellStyle name="Normal 2 4 33 10" xfId="53344" xr:uid="{00000000-0005-0000-0000-000001B80000}"/>
    <cellStyle name="Normal 2 4 33 11" xfId="53345" xr:uid="{00000000-0005-0000-0000-000002B80000}"/>
    <cellStyle name="Normal 2 4 33 2" xfId="19688" xr:uid="{00000000-0005-0000-0000-000003B80000}"/>
    <cellStyle name="Normal 2 4 33 2 10" xfId="53346" xr:uid="{00000000-0005-0000-0000-000004B80000}"/>
    <cellStyle name="Normal 2 4 33 2 2" xfId="19689" xr:uid="{00000000-0005-0000-0000-000005B80000}"/>
    <cellStyle name="Normal 2 4 33 2 2 2" xfId="19690" xr:uid="{00000000-0005-0000-0000-000006B80000}"/>
    <cellStyle name="Normal 2 4 33 2 2 2 2" xfId="19691" xr:uid="{00000000-0005-0000-0000-000007B80000}"/>
    <cellStyle name="Normal 2 4 33 2 2 2 2 2" xfId="53347" xr:uid="{00000000-0005-0000-0000-000008B80000}"/>
    <cellStyle name="Normal 2 4 33 2 2 2 3" xfId="19692" xr:uid="{00000000-0005-0000-0000-000009B80000}"/>
    <cellStyle name="Normal 2 4 33 2 2 2 3 2" xfId="53348" xr:uid="{00000000-0005-0000-0000-00000AB80000}"/>
    <cellStyle name="Normal 2 4 33 2 2 2 4" xfId="53349" xr:uid="{00000000-0005-0000-0000-00000BB80000}"/>
    <cellStyle name="Normal 2 4 33 2 2 3" xfId="19693" xr:uid="{00000000-0005-0000-0000-00000CB80000}"/>
    <cellStyle name="Normal 2 4 33 2 2 3 2" xfId="53350" xr:uid="{00000000-0005-0000-0000-00000DB80000}"/>
    <cellStyle name="Normal 2 4 33 2 2 4" xfId="19694" xr:uid="{00000000-0005-0000-0000-00000EB80000}"/>
    <cellStyle name="Normal 2 4 33 2 2 4 2" xfId="53351" xr:uid="{00000000-0005-0000-0000-00000FB80000}"/>
    <cellStyle name="Normal 2 4 33 2 2 5" xfId="19695" xr:uid="{00000000-0005-0000-0000-000010B80000}"/>
    <cellStyle name="Normal 2 4 33 2 2 5 2" xfId="53352" xr:uid="{00000000-0005-0000-0000-000011B80000}"/>
    <cellStyle name="Normal 2 4 33 2 2 6" xfId="53353" xr:uid="{00000000-0005-0000-0000-000012B80000}"/>
    <cellStyle name="Normal 2 4 33 2 2 6 2" xfId="53354" xr:uid="{00000000-0005-0000-0000-000013B80000}"/>
    <cellStyle name="Normal 2 4 33 2 2 7" xfId="53355" xr:uid="{00000000-0005-0000-0000-000014B80000}"/>
    <cellStyle name="Normal 2 4 33 2 3" xfId="19696" xr:uid="{00000000-0005-0000-0000-000015B80000}"/>
    <cellStyle name="Normal 2 4 33 2 3 2" xfId="19697" xr:uid="{00000000-0005-0000-0000-000016B80000}"/>
    <cellStyle name="Normal 2 4 33 2 3 2 2" xfId="53356" xr:uid="{00000000-0005-0000-0000-000017B80000}"/>
    <cellStyle name="Normal 2 4 33 2 3 3" xfId="19698" xr:uid="{00000000-0005-0000-0000-000018B80000}"/>
    <cellStyle name="Normal 2 4 33 2 3 3 2" xfId="53357" xr:uid="{00000000-0005-0000-0000-000019B80000}"/>
    <cellStyle name="Normal 2 4 33 2 3 4" xfId="53358" xr:uid="{00000000-0005-0000-0000-00001AB80000}"/>
    <cellStyle name="Normal 2 4 33 2 4" xfId="19699" xr:uid="{00000000-0005-0000-0000-00001BB80000}"/>
    <cellStyle name="Normal 2 4 33 2 4 2" xfId="19700" xr:uid="{00000000-0005-0000-0000-00001CB80000}"/>
    <cellStyle name="Normal 2 4 33 2 4 2 2" xfId="53359" xr:uid="{00000000-0005-0000-0000-00001DB80000}"/>
    <cellStyle name="Normal 2 4 33 2 4 3" xfId="53360" xr:uid="{00000000-0005-0000-0000-00001EB80000}"/>
    <cellStyle name="Normal 2 4 33 2 5" xfId="19701" xr:uid="{00000000-0005-0000-0000-00001FB80000}"/>
    <cellStyle name="Normal 2 4 33 2 5 2" xfId="53361" xr:uid="{00000000-0005-0000-0000-000020B80000}"/>
    <cellStyle name="Normal 2 4 33 2 6" xfId="19702" xr:uid="{00000000-0005-0000-0000-000021B80000}"/>
    <cellStyle name="Normal 2 4 33 2 6 2" xfId="53362" xr:uid="{00000000-0005-0000-0000-000022B80000}"/>
    <cellStyle name="Normal 2 4 33 2 7" xfId="53363" xr:uid="{00000000-0005-0000-0000-000023B80000}"/>
    <cellStyle name="Normal 2 4 33 2 7 2" xfId="53364" xr:uid="{00000000-0005-0000-0000-000024B80000}"/>
    <cellStyle name="Normal 2 4 33 2 8" xfId="53365" xr:uid="{00000000-0005-0000-0000-000025B80000}"/>
    <cellStyle name="Normal 2 4 33 2 9" xfId="53366" xr:uid="{00000000-0005-0000-0000-000026B80000}"/>
    <cellStyle name="Normal 2 4 33 3" xfId="19703" xr:uid="{00000000-0005-0000-0000-000027B80000}"/>
    <cellStyle name="Normal 2 4 33 3 2" xfId="19704" xr:uid="{00000000-0005-0000-0000-000028B80000}"/>
    <cellStyle name="Normal 2 4 33 3 2 2" xfId="19705" xr:uid="{00000000-0005-0000-0000-000029B80000}"/>
    <cellStyle name="Normal 2 4 33 3 2 2 2" xfId="53367" xr:uid="{00000000-0005-0000-0000-00002AB80000}"/>
    <cellStyle name="Normal 2 4 33 3 2 3" xfId="19706" xr:uid="{00000000-0005-0000-0000-00002BB80000}"/>
    <cellStyle name="Normal 2 4 33 3 2 3 2" xfId="53368" xr:uid="{00000000-0005-0000-0000-00002CB80000}"/>
    <cellStyle name="Normal 2 4 33 3 2 4" xfId="53369" xr:uid="{00000000-0005-0000-0000-00002DB80000}"/>
    <cellStyle name="Normal 2 4 33 3 3" xfId="19707" xr:uid="{00000000-0005-0000-0000-00002EB80000}"/>
    <cellStyle name="Normal 2 4 33 3 3 2" xfId="53370" xr:uid="{00000000-0005-0000-0000-00002FB80000}"/>
    <cellStyle name="Normal 2 4 33 3 4" xfId="19708" xr:uid="{00000000-0005-0000-0000-000030B80000}"/>
    <cellStyle name="Normal 2 4 33 3 4 2" xfId="53371" xr:uid="{00000000-0005-0000-0000-000031B80000}"/>
    <cellStyle name="Normal 2 4 33 3 5" xfId="19709" xr:uid="{00000000-0005-0000-0000-000032B80000}"/>
    <cellStyle name="Normal 2 4 33 3 5 2" xfId="53372" xr:uid="{00000000-0005-0000-0000-000033B80000}"/>
    <cellStyle name="Normal 2 4 33 3 6" xfId="53373" xr:uid="{00000000-0005-0000-0000-000034B80000}"/>
    <cellStyle name="Normal 2 4 33 3 6 2" xfId="53374" xr:uid="{00000000-0005-0000-0000-000035B80000}"/>
    <cellStyle name="Normal 2 4 33 3 7" xfId="53375" xr:uid="{00000000-0005-0000-0000-000036B80000}"/>
    <cellStyle name="Normal 2 4 33 4" xfId="19710" xr:uid="{00000000-0005-0000-0000-000037B80000}"/>
    <cellStyle name="Normal 2 4 33 4 2" xfId="19711" xr:uid="{00000000-0005-0000-0000-000038B80000}"/>
    <cellStyle name="Normal 2 4 33 4 2 2" xfId="53376" xr:uid="{00000000-0005-0000-0000-000039B80000}"/>
    <cellStyle name="Normal 2 4 33 4 3" xfId="19712" xr:uid="{00000000-0005-0000-0000-00003AB80000}"/>
    <cellStyle name="Normal 2 4 33 4 3 2" xfId="53377" xr:uid="{00000000-0005-0000-0000-00003BB80000}"/>
    <cellStyle name="Normal 2 4 33 4 4" xfId="53378" xr:uid="{00000000-0005-0000-0000-00003CB80000}"/>
    <cellStyle name="Normal 2 4 33 5" xfId="19713" xr:uid="{00000000-0005-0000-0000-00003DB80000}"/>
    <cellStyle name="Normal 2 4 33 5 2" xfId="19714" xr:uid="{00000000-0005-0000-0000-00003EB80000}"/>
    <cellStyle name="Normal 2 4 33 5 2 2" xfId="53379" xr:uid="{00000000-0005-0000-0000-00003FB80000}"/>
    <cellStyle name="Normal 2 4 33 5 3" xfId="53380" xr:uid="{00000000-0005-0000-0000-000040B80000}"/>
    <cellStyle name="Normal 2 4 33 6" xfId="19715" xr:uid="{00000000-0005-0000-0000-000041B80000}"/>
    <cellStyle name="Normal 2 4 33 6 2" xfId="53381" xr:uid="{00000000-0005-0000-0000-000042B80000}"/>
    <cellStyle name="Normal 2 4 33 7" xfId="19716" xr:uid="{00000000-0005-0000-0000-000043B80000}"/>
    <cellStyle name="Normal 2 4 33 7 2" xfId="53382" xr:uid="{00000000-0005-0000-0000-000044B80000}"/>
    <cellStyle name="Normal 2 4 33 8" xfId="53383" xr:uid="{00000000-0005-0000-0000-000045B80000}"/>
    <cellStyle name="Normal 2 4 33 8 2" xfId="53384" xr:uid="{00000000-0005-0000-0000-000046B80000}"/>
    <cellStyle name="Normal 2 4 33 9" xfId="53385" xr:uid="{00000000-0005-0000-0000-000047B80000}"/>
    <cellStyle name="Normal 2 4 34" xfId="19717" xr:uid="{00000000-0005-0000-0000-000048B80000}"/>
    <cellStyle name="Normal 2 4 34 10" xfId="53386" xr:uid="{00000000-0005-0000-0000-000049B80000}"/>
    <cellStyle name="Normal 2 4 34 11" xfId="53387" xr:uid="{00000000-0005-0000-0000-00004AB80000}"/>
    <cellStyle name="Normal 2 4 34 2" xfId="19718" xr:uid="{00000000-0005-0000-0000-00004BB80000}"/>
    <cellStyle name="Normal 2 4 34 2 10" xfId="53388" xr:uid="{00000000-0005-0000-0000-00004CB80000}"/>
    <cellStyle name="Normal 2 4 34 2 2" xfId="19719" xr:uid="{00000000-0005-0000-0000-00004DB80000}"/>
    <cellStyle name="Normal 2 4 34 2 2 2" xfId="19720" xr:uid="{00000000-0005-0000-0000-00004EB80000}"/>
    <cellStyle name="Normal 2 4 34 2 2 2 2" xfId="19721" xr:uid="{00000000-0005-0000-0000-00004FB80000}"/>
    <cellStyle name="Normal 2 4 34 2 2 2 2 2" xfId="53389" xr:uid="{00000000-0005-0000-0000-000050B80000}"/>
    <cellStyle name="Normal 2 4 34 2 2 2 3" xfId="19722" xr:uid="{00000000-0005-0000-0000-000051B80000}"/>
    <cellStyle name="Normal 2 4 34 2 2 2 3 2" xfId="53390" xr:uid="{00000000-0005-0000-0000-000052B80000}"/>
    <cellStyle name="Normal 2 4 34 2 2 2 4" xfId="53391" xr:uid="{00000000-0005-0000-0000-000053B80000}"/>
    <cellStyle name="Normal 2 4 34 2 2 3" xfId="19723" xr:uid="{00000000-0005-0000-0000-000054B80000}"/>
    <cellStyle name="Normal 2 4 34 2 2 3 2" xfId="53392" xr:uid="{00000000-0005-0000-0000-000055B80000}"/>
    <cellStyle name="Normal 2 4 34 2 2 4" xfId="19724" xr:uid="{00000000-0005-0000-0000-000056B80000}"/>
    <cellStyle name="Normal 2 4 34 2 2 4 2" xfId="53393" xr:uid="{00000000-0005-0000-0000-000057B80000}"/>
    <cellStyle name="Normal 2 4 34 2 2 5" xfId="19725" xr:uid="{00000000-0005-0000-0000-000058B80000}"/>
    <cellStyle name="Normal 2 4 34 2 2 5 2" xfId="53394" xr:uid="{00000000-0005-0000-0000-000059B80000}"/>
    <cellStyle name="Normal 2 4 34 2 2 6" xfId="53395" xr:uid="{00000000-0005-0000-0000-00005AB80000}"/>
    <cellStyle name="Normal 2 4 34 2 2 6 2" xfId="53396" xr:uid="{00000000-0005-0000-0000-00005BB80000}"/>
    <cellStyle name="Normal 2 4 34 2 2 7" xfId="53397" xr:uid="{00000000-0005-0000-0000-00005CB80000}"/>
    <cellStyle name="Normal 2 4 34 2 3" xfId="19726" xr:uid="{00000000-0005-0000-0000-00005DB80000}"/>
    <cellStyle name="Normal 2 4 34 2 3 2" xfId="19727" xr:uid="{00000000-0005-0000-0000-00005EB80000}"/>
    <cellStyle name="Normal 2 4 34 2 3 2 2" xfId="53398" xr:uid="{00000000-0005-0000-0000-00005FB80000}"/>
    <cellStyle name="Normal 2 4 34 2 3 3" xfId="19728" xr:uid="{00000000-0005-0000-0000-000060B80000}"/>
    <cellStyle name="Normal 2 4 34 2 3 3 2" xfId="53399" xr:uid="{00000000-0005-0000-0000-000061B80000}"/>
    <cellStyle name="Normal 2 4 34 2 3 4" xfId="53400" xr:uid="{00000000-0005-0000-0000-000062B80000}"/>
    <cellStyle name="Normal 2 4 34 2 4" xfId="19729" xr:uid="{00000000-0005-0000-0000-000063B80000}"/>
    <cellStyle name="Normal 2 4 34 2 4 2" xfId="19730" xr:uid="{00000000-0005-0000-0000-000064B80000}"/>
    <cellStyle name="Normal 2 4 34 2 4 2 2" xfId="53401" xr:uid="{00000000-0005-0000-0000-000065B80000}"/>
    <cellStyle name="Normal 2 4 34 2 4 3" xfId="53402" xr:uid="{00000000-0005-0000-0000-000066B80000}"/>
    <cellStyle name="Normal 2 4 34 2 5" xfId="19731" xr:uid="{00000000-0005-0000-0000-000067B80000}"/>
    <cellStyle name="Normal 2 4 34 2 5 2" xfId="53403" xr:uid="{00000000-0005-0000-0000-000068B80000}"/>
    <cellStyle name="Normal 2 4 34 2 6" xfId="19732" xr:uid="{00000000-0005-0000-0000-000069B80000}"/>
    <cellStyle name="Normal 2 4 34 2 6 2" xfId="53404" xr:uid="{00000000-0005-0000-0000-00006AB80000}"/>
    <cellStyle name="Normal 2 4 34 2 7" xfId="53405" xr:uid="{00000000-0005-0000-0000-00006BB80000}"/>
    <cellStyle name="Normal 2 4 34 2 7 2" xfId="53406" xr:uid="{00000000-0005-0000-0000-00006CB80000}"/>
    <cellStyle name="Normal 2 4 34 2 8" xfId="53407" xr:uid="{00000000-0005-0000-0000-00006DB80000}"/>
    <cellStyle name="Normal 2 4 34 2 9" xfId="53408" xr:uid="{00000000-0005-0000-0000-00006EB80000}"/>
    <cellStyle name="Normal 2 4 34 3" xfId="19733" xr:uid="{00000000-0005-0000-0000-00006FB80000}"/>
    <cellStyle name="Normal 2 4 34 3 2" xfId="19734" xr:uid="{00000000-0005-0000-0000-000070B80000}"/>
    <cellStyle name="Normal 2 4 34 3 2 2" xfId="19735" xr:uid="{00000000-0005-0000-0000-000071B80000}"/>
    <cellStyle name="Normal 2 4 34 3 2 2 2" xfId="53409" xr:uid="{00000000-0005-0000-0000-000072B80000}"/>
    <cellStyle name="Normal 2 4 34 3 2 3" xfId="19736" xr:uid="{00000000-0005-0000-0000-000073B80000}"/>
    <cellStyle name="Normal 2 4 34 3 2 3 2" xfId="53410" xr:uid="{00000000-0005-0000-0000-000074B80000}"/>
    <cellStyle name="Normal 2 4 34 3 2 4" xfId="53411" xr:uid="{00000000-0005-0000-0000-000075B80000}"/>
    <cellStyle name="Normal 2 4 34 3 3" xfId="19737" xr:uid="{00000000-0005-0000-0000-000076B80000}"/>
    <cellStyle name="Normal 2 4 34 3 3 2" xfId="53412" xr:uid="{00000000-0005-0000-0000-000077B80000}"/>
    <cellStyle name="Normal 2 4 34 3 4" xfId="19738" xr:uid="{00000000-0005-0000-0000-000078B80000}"/>
    <cellStyle name="Normal 2 4 34 3 4 2" xfId="53413" xr:uid="{00000000-0005-0000-0000-000079B80000}"/>
    <cellStyle name="Normal 2 4 34 3 5" xfId="19739" xr:uid="{00000000-0005-0000-0000-00007AB80000}"/>
    <cellStyle name="Normal 2 4 34 3 5 2" xfId="53414" xr:uid="{00000000-0005-0000-0000-00007BB80000}"/>
    <cellStyle name="Normal 2 4 34 3 6" xfId="53415" xr:uid="{00000000-0005-0000-0000-00007CB80000}"/>
    <cellStyle name="Normal 2 4 34 3 6 2" xfId="53416" xr:uid="{00000000-0005-0000-0000-00007DB80000}"/>
    <cellStyle name="Normal 2 4 34 3 7" xfId="53417" xr:uid="{00000000-0005-0000-0000-00007EB80000}"/>
    <cellStyle name="Normal 2 4 34 4" xfId="19740" xr:uid="{00000000-0005-0000-0000-00007FB80000}"/>
    <cellStyle name="Normal 2 4 34 4 2" xfId="19741" xr:uid="{00000000-0005-0000-0000-000080B80000}"/>
    <cellStyle name="Normal 2 4 34 4 2 2" xfId="53418" xr:uid="{00000000-0005-0000-0000-000081B80000}"/>
    <cellStyle name="Normal 2 4 34 4 3" xfId="19742" xr:uid="{00000000-0005-0000-0000-000082B80000}"/>
    <cellStyle name="Normal 2 4 34 4 3 2" xfId="53419" xr:uid="{00000000-0005-0000-0000-000083B80000}"/>
    <cellStyle name="Normal 2 4 34 4 4" xfId="53420" xr:uid="{00000000-0005-0000-0000-000084B80000}"/>
    <cellStyle name="Normal 2 4 34 5" xfId="19743" xr:uid="{00000000-0005-0000-0000-000085B80000}"/>
    <cellStyle name="Normal 2 4 34 5 2" xfId="19744" xr:uid="{00000000-0005-0000-0000-000086B80000}"/>
    <cellStyle name="Normal 2 4 34 5 2 2" xfId="53421" xr:uid="{00000000-0005-0000-0000-000087B80000}"/>
    <cellStyle name="Normal 2 4 34 5 3" xfId="53422" xr:uid="{00000000-0005-0000-0000-000088B80000}"/>
    <cellStyle name="Normal 2 4 34 6" xfId="19745" xr:uid="{00000000-0005-0000-0000-000089B80000}"/>
    <cellStyle name="Normal 2 4 34 6 2" xfId="53423" xr:uid="{00000000-0005-0000-0000-00008AB80000}"/>
    <cellStyle name="Normal 2 4 34 7" xfId="19746" xr:uid="{00000000-0005-0000-0000-00008BB80000}"/>
    <cellStyle name="Normal 2 4 34 7 2" xfId="53424" xr:uid="{00000000-0005-0000-0000-00008CB80000}"/>
    <cellStyle name="Normal 2 4 34 8" xfId="53425" xr:uid="{00000000-0005-0000-0000-00008DB80000}"/>
    <cellStyle name="Normal 2 4 34 8 2" xfId="53426" xr:uid="{00000000-0005-0000-0000-00008EB80000}"/>
    <cellStyle name="Normal 2 4 34 9" xfId="53427" xr:uid="{00000000-0005-0000-0000-00008FB80000}"/>
    <cellStyle name="Normal 2 4 35" xfId="19747" xr:uid="{00000000-0005-0000-0000-000090B80000}"/>
    <cellStyle name="Normal 2 4 35 10" xfId="53428" xr:uid="{00000000-0005-0000-0000-000091B80000}"/>
    <cellStyle name="Normal 2 4 35 11" xfId="53429" xr:uid="{00000000-0005-0000-0000-000092B80000}"/>
    <cellStyle name="Normal 2 4 35 2" xfId="19748" xr:uid="{00000000-0005-0000-0000-000093B80000}"/>
    <cellStyle name="Normal 2 4 35 2 10" xfId="53430" xr:uid="{00000000-0005-0000-0000-000094B80000}"/>
    <cellStyle name="Normal 2 4 35 2 2" xfId="19749" xr:uid="{00000000-0005-0000-0000-000095B80000}"/>
    <cellStyle name="Normal 2 4 35 2 2 2" xfId="19750" xr:uid="{00000000-0005-0000-0000-000096B80000}"/>
    <cellStyle name="Normal 2 4 35 2 2 2 2" xfId="19751" xr:uid="{00000000-0005-0000-0000-000097B80000}"/>
    <cellStyle name="Normal 2 4 35 2 2 2 2 2" xfId="53431" xr:uid="{00000000-0005-0000-0000-000098B80000}"/>
    <cellStyle name="Normal 2 4 35 2 2 2 3" xfId="19752" xr:uid="{00000000-0005-0000-0000-000099B80000}"/>
    <cellStyle name="Normal 2 4 35 2 2 2 3 2" xfId="53432" xr:uid="{00000000-0005-0000-0000-00009AB80000}"/>
    <cellStyle name="Normal 2 4 35 2 2 2 4" xfId="53433" xr:uid="{00000000-0005-0000-0000-00009BB80000}"/>
    <cellStyle name="Normal 2 4 35 2 2 3" xfId="19753" xr:uid="{00000000-0005-0000-0000-00009CB80000}"/>
    <cellStyle name="Normal 2 4 35 2 2 3 2" xfId="53434" xr:uid="{00000000-0005-0000-0000-00009DB80000}"/>
    <cellStyle name="Normal 2 4 35 2 2 4" xfId="19754" xr:uid="{00000000-0005-0000-0000-00009EB80000}"/>
    <cellStyle name="Normal 2 4 35 2 2 4 2" xfId="53435" xr:uid="{00000000-0005-0000-0000-00009FB80000}"/>
    <cellStyle name="Normal 2 4 35 2 2 5" xfId="19755" xr:uid="{00000000-0005-0000-0000-0000A0B80000}"/>
    <cellStyle name="Normal 2 4 35 2 2 5 2" xfId="53436" xr:uid="{00000000-0005-0000-0000-0000A1B80000}"/>
    <cellStyle name="Normal 2 4 35 2 2 6" xfId="53437" xr:uid="{00000000-0005-0000-0000-0000A2B80000}"/>
    <cellStyle name="Normal 2 4 35 2 2 6 2" xfId="53438" xr:uid="{00000000-0005-0000-0000-0000A3B80000}"/>
    <cellStyle name="Normal 2 4 35 2 2 7" xfId="53439" xr:uid="{00000000-0005-0000-0000-0000A4B80000}"/>
    <cellStyle name="Normal 2 4 35 2 3" xfId="19756" xr:uid="{00000000-0005-0000-0000-0000A5B80000}"/>
    <cellStyle name="Normal 2 4 35 2 3 2" xfId="19757" xr:uid="{00000000-0005-0000-0000-0000A6B80000}"/>
    <cellStyle name="Normal 2 4 35 2 3 2 2" xfId="53440" xr:uid="{00000000-0005-0000-0000-0000A7B80000}"/>
    <cellStyle name="Normal 2 4 35 2 3 3" xfId="19758" xr:uid="{00000000-0005-0000-0000-0000A8B80000}"/>
    <cellStyle name="Normal 2 4 35 2 3 3 2" xfId="53441" xr:uid="{00000000-0005-0000-0000-0000A9B80000}"/>
    <cellStyle name="Normal 2 4 35 2 3 4" xfId="53442" xr:uid="{00000000-0005-0000-0000-0000AAB80000}"/>
    <cellStyle name="Normal 2 4 35 2 4" xfId="19759" xr:uid="{00000000-0005-0000-0000-0000ABB80000}"/>
    <cellStyle name="Normal 2 4 35 2 4 2" xfId="19760" xr:uid="{00000000-0005-0000-0000-0000ACB80000}"/>
    <cellStyle name="Normal 2 4 35 2 4 2 2" xfId="53443" xr:uid="{00000000-0005-0000-0000-0000ADB80000}"/>
    <cellStyle name="Normal 2 4 35 2 4 3" xfId="53444" xr:uid="{00000000-0005-0000-0000-0000AEB80000}"/>
    <cellStyle name="Normal 2 4 35 2 5" xfId="19761" xr:uid="{00000000-0005-0000-0000-0000AFB80000}"/>
    <cellStyle name="Normal 2 4 35 2 5 2" xfId="53445" xr:uid="{00000000-0005-0000-0000-0000B0B80000}"/>
    <cellStyle name="Normal 2 4 35 2 6" xfId="19762" xr:uid="{00000000-0005-0000-0000-0000B1B80000}"/>
    <cellStyle name="Normal 2 4 35 2 6 2" xfId="53446" xr:uid="{00000000-0005-0000-0000-0000B2B80000}"/>
    <cellStyle name="Normal 2 4 35 2 7" xfId="53447" xr:uid="{00000000-0005-0000-0000-0000B3B80000}"/>
    <cellStyle name="Normal 2 4 35 2 7 2" xfId="53448" xr:uid="{00000000-0005-0000-0000-0000B4B80000}"/>
    <cellStyle name="Normal 2 4 35 2 8" xfId="53449" xr:uid="{00000000-0005-0000-0000-0000B5B80000}"/>
    <cellStyle name="Normal 2 4 35 2 9" xfId="53450" xr:uid="{00000000-0005-0000-0000-0000B6B80000}"/>
    <cellStyle name="Normal 2 4 35 3" xfId="19763" xr:uid="{00000000-0005-0000-0000-0000B7B80000}"/>
    <cellStyle name="Normal 2 4 35 3 2" xfId="19764" xr:uid="{00000000-0005-0000-0000-0000B8B80000}"/>
    <cellStyle name="Normal 2 4 35 3 2 2" xfId="19765" xr:uid="{00000000-0005-0000-0000-0000B9B80000}"/>
    <cellStyle name="Normal 2 4 35 3 2 2 2" xfId="53451" xr:uid="{00000000-0005-0000-0000-0000BAB80000}"/>
    <cellStyle name="Normal 2 4 35 3 2 3" xfId="19766" xr:uid="{00000000-0005-0000-0000-0000BBB80000}"/>
    <cellStyle name="Normal 2 4 35 3 2 3 2" xfId="53452" xr:uid="{00000000-0005-0000-0000-0000BCB80000}"/>
    <cellStyle name="Normal 2 4 35 3 2 4" xfId="53453" xr:uid="{00000000-0005-0000-0000-0000BDB80000}"/>
    <cellStyle name="Normal 2 4 35 3 3" xfId="19767" xr:uid="{00000000-0005-0000-0000-0000BEB80000}"/>
    <cellStyle name="Normal 2 4 35 3 3 2" xfId="53454" xr:uid="{00000000-0005-0000-0000-0000BFB80000}"/>
    <cellStyle name="Normal 2 4 35 3 4" xfId="19768" xr:uid="{00000000-0005-0000-0000-0000C0B80000}"/>
    <cellStyle name="Normal 2 4 35 3 4 2" xfId="53455" xr:uid="{00000000-0005-0000-0000-0000C1B80000}"/>
    <cellStyle name="Normal 2 4 35 3 5" xfId="19769" xr:uid="{00000000-0005-0000-0000-0000C2B80000}"/>
    <cellStyle name="Normal 2 4 35 3 5 2" xfId="53456" xr:uid="{00000000-0005-0000-0000-0000C3B80000}"/>
    <cellStyle name="Normal 2 4 35 3 6" xfId="53457" xr:uid="{00000000-0005-0000-0000-0000C4B80000}"/>
    <cellStyle name="Normal 2 4 35 3 6 2" xfId="53458" xr:uid="{00000000-0005-0000-0000-0000C5B80000}"/>
    <cellStyle name="Normal 2 4 35 3 7" xfId="53459" xr:uid="{00000000-0005-0000-0000-0000C6B80000}"/>
    <cellStyle name="Normal 2 4 35 4" xfId="19770" xr:uid="{00000000-0005-0000-0000-0000C7B80000}"/>
    <cellStyle name="Normal 2 4 35 4 2" xfId="19771" xr:uid="{00000000-0005-0000-0000-0000C8B80000}"/>
    <cellStyle name="Normal 2 4 35 4 2 2" xfId="53460" xr:uid="{00000000-0005-0000-0000-0000C9B80000}"/>
    <cellStyle name="Normal 2 4 35 4 3" xfId="19772" xr:uid="{00000000-0005-0000-0000-0000CAB80000}"/>
    <cellStyle name="Normal 2 4 35 4 3 2" xfId="53461" xr:uid="{00000000-0005-0000-0000-0000CBB80000}"/>
    <cellStyle name="Normal 2 4 35 4 4" xfId="53462" xr:uid="{00000000-0005-0000-0000-0000CCB80000}"/>
    <cellStyle name="Normal 2 4 35 5" xfId="19773" xr:uid="{00000000-0005-0000-0000-0000CDB80000}"/>
    <cellStyle name="Normal 2 4 35 5 2" xfId="19774" xr:uid="{00000000-0005-0000-0000-0000CEB80000}"/>
    <cellStyle name="Normal 2 4 35 5 2 2" xfId="53463" xr:uid="{00000000-0005-0000-0000-0000CFB80000}"/>
    <cellStyle name="Normal 2 4 35 5 3" xfId="53464" xr:uid="{00000000-0005-0000-0000-0000D0B80000}"/>
    <cellStyle name="Normal 2 4 35 6" xfId="19775" xr:uid="{00000000-0005-0000-0000-0000D1B80000}"/>
    <cellStyle name="Normal 2 4 35 6 2" xfId="53465" xr:uid="{00000000-0005-0000-0000-0000D2B80000}"/>
    <cellStyle name="Normal 2 4 35 7" xfId="19776" xr:uid="{00000000-0005-0000-0000-0000D3B80000}"/>
    <cellStyle name="Normal 2 4 35 7 2" xfId="53466" xr:uid="{00000000-0005-0000-0000-0000D4B80000}"/>
    <cellStyle name="Normal 2 4 35 8" xfId="53467" xr:uid="{00000000-0005-0000-0000-0000D5B80000}"/>
    <cellStyle name="Normal 2 4 35 8 2" xfId="53468" xr:uid="{00000000-0005-0000-0000-0000D6B80000}"/>
    <cellStyle name="Normal 2 4 35 9" xfId="53469" xr:uid="{00000000-0005-0000-0000-0000D7B80000}"/>
    <cellStyle name="Normal 2 4 36" xfId="19777" xr:uid="{00000000-0005-0000-0000-0000D8B80000}"/>
    <cellStyle name="Normal 2 4 36 10" xfId="53470" xr:uid="{00000000-0005-0000-0000-0000D9B80000}"/>
    <cellStyle name="Normal 2 4 36 11" xfId="53471" xr:uid="{00000000-0005-0000-0000-0000DAB80000}"/>
    <cellStyle name="Normal 2 4 36 2" xfId="19778" xr:uid="{00000000-0005-0000-0000-0000DBB80000}"/>
    <cellStyle name="Normal 2 4 36 2 10" xfId="53472" xr:uid="{00000000-0005-0000-0000-0000DCB80000}"/>
    <cellStyle name="Normal 2 4 36 2 2" xfId="19779" xr:uid="{00000000-0005-0000-0000-0000DDB80000}"/>
    <cellStyle name="Normal 2 4 36 2 2 2" xfId="19780" xr:uid="{00000000-0005-0000-0000-0000DEB80000}"/>
    <cellStyle name="Normal 2 4 36 2 2 2 2" xfId="19781" xr:uid="{00000000-0005-0000-0000-0000DFB80000}"/>
    <cellStyle name="Normal 2 4 36 2 2 2 2 2" xfId="53473" xr:uid="{00000000-0005-0000-0000-0000E0B80000}"/>
    <cellStyle name="Normal 2 4 36 2 2 2 3" xfId="19782" xr:uid="{00000000-0005-0000-0000-0000E1B80000}"/>
    <cellStyle name="Normal 2 4 36 2 2 2 3 2" xfId="53474" xr:uid="{00000000-0005-0000-0000-0000E2B80000}"/>
    <cellStyle name="Normal 2 4 36 2 2 2 4" xfId="53475" xr:uid="{00000000-0005-0000-0000-0000E3B80000}"/>
    <cellStyle name="Normal 2 4 36 2 2 3" xfId="19783" xr:uid="{00000000-0005-0000-0000-0000E4B80000}"/>
    <cellStyle name="Normal 2 4 36 2 2 3 2" xfId="53476" xr:uid="{00000000-0005-0000-0000-0000E5B80000}"/>
    <cellStyle name="Normal 2 4 36 2 2 4" xfId="19784" xr:uid="{00000000-0005-0000-0000-0000E6B80000}"/>
    <cellStyle name="Normal 2 4 36 2 2 4 2" xfId="53477" xr:uid="{00000000-0005-0000-0000-0000E7B80000}"/>
    <cellStyle name="Normal 2 4 36 2 2 5" xfId="19785" xr:uid="{00000000-0005-0000-0000-0000E8B80000}"/>
    <cellStyle name="Normal 2 4 36 2 2 5 2" xfId="53478" xr:uid="{00000000-0005-0000-0000-0000E9B80000}"/>
    <cellStyle name="Normal 2 4 36 2 2 6" xfId="53479" xr:uid="{00000000-0005-0000-0000-0000EAB80000}"/>
    <cellStyle name="Normal 2 4 36 2 2 6 2" xfId="53480" xr:uid="{00000000-0005-0000-0000-0000EBB80000}"/>
    <cellStyle name="Normal 2 4 36 2 2 7" xfId="53481" xr:uid="{00000000-0005-0000-0000-0000ECB80000}"/>
    <cellStyle name="Normal 2 4 36 2 3" xfId="19786" xr:uid="{00000000-0005-0000-0000-0000EDB80000}"/>
    <cellStyle name="Normal 2 4 36 2 3 2" xfId="19787" xr:uid="{00000000-0005-0000-0000-0000EEB80000}"/>
    <cellStyle name="Normal 2 4 36 2 3 2 2" xfId="53482" xr:uid="{00000000-0005-0000-0000-0000EFB80000}"/>
    <cellStyle name="Normal 2 4 36 2 3 3" xfId="19788" xr:uid="{00000000-0005-0000-0000-0000F0B80000}"/>
    <cellStyle name="Normal 2 4 36 2 3 3 2" xfId="53483" xr:uid="{00000000-0005-0000-0000-0000F1B80000}"/>
    <cellStyle name="Normal 2 4 36 2 3 4" xfId="53484" xr:uid="{00000000-0005-0000-0000-0000F2B80000}"/>
    <cellStyle name="Normal 2 4 36 2 4" xfId="19789" xr:uid="{00000000-0005-0000-0000-0000F3B80000}"/>
    <cellStyle name="Normal 2 4 36 2 4 2" xfId="19790" xr:uid="{00000000-0005-0000-0000-0000F4B80000}"/>
    <cellStyle name="Normal 2 4 36 2 4 2 2" xfId="53485" xr:uid="{00000000-0005-0000-0000-0000F5B80000}"/>
    <cellStyle name="Normal 2 4 36 2 4 3" xfId="53486" xr:uid="{00000000-0005-0000-0000-0000F6B80000}"/>
    <cellStyle name="Normal 2 4 36 2 5" xfId="19791" xr:uid="{00000000-0005-0000-0000-0000F7B80000}"/>
    <cellStyle name="Normal 2 4 36 2 5 2" xfId="53487" xr:uid="{00000000-0005-0000-0000-0000F8B80000}"/>
    <cellStyle name="Normal 2 4 36 2 6" xfId="19792" xr:uid="{00000000-0005-0000-0000-0000F9B80000}"/>
    <cellStyle name="Normal 2 4 36 2 6 2" xfId="53488" xr:uid="{00000000-0005-0000-0000-0000FAB80000}"/>
    <cellStyle name="Normal 2 4 36 2 7" xfId="53489" xr:uid="{00000000-0005-0000-0000-0000FBB80000}"/>
    <cellStyle name="Normal 2 4 36 2 7 2" xfId="53490" xr:uid="{00000000-0005-0000-0000-0000FCB80000}"/>
    <cellStyle name="Normal 2 4 36 2 8" xfId="53491" xr:uid="{00000000-0005-0000-0000-0000FDB80000}"/>
    <cellStyle name="Normal 2 4 36 2 9" xfId="53492" xr:uid="{00000000-0005-0000-0000-0000FEB80000}"/>
    <cellStyle name="Normal 2 4 36 3" xfId="19793" xr:uid="{00000000-0005-0000-0000-0000FFB80000}"/>
    <cellStyle name="Normal 2 4 36 3 2" xfId="19794" xr:uid="{00000000-0005-0000-0000-000000B90000}"/>
    <cellStyle name="Normal 2 4 36 3 2 2" xfId="19795" xr:uid="{00000000-0005-0000-0000-000001B90000}"/>
    <cellStyle name="Normal 2 4 36 3 2 2 2" xfId="53493" xr:uid="{00000000-0005-0000-0000-000002B90000}"/>
    <cellStyle name="Normal 2 4 36 3 2 3" xfId="19796" xr:uid="{00000000-0005-0000-0000-000003B90000}"/>
    <cellStyle name="Normal 2 4 36 3 2 3 2" xfId="53494" xr:uid="{00000000-0005-0000-0000-000004B90000}"/>
    <cellStyle name="Normal 2 4 36 3 2 4" xfId="53495" xr:uid="{00000000-0005-0000-0000-000005B90000}"/>
    <cellStyle name="Normal 2 4 36 3 3" xfId="19797" xr:uid="{00000000-0005-0000-0000-000006B90000}"/>
    <cellStyle name="Normal 2 4 36 3 3 2" xfId="53496" xr:uid="{00000000-0005-0000-0000-000007B90000}"/>
    <cellStyle name="Normal 2 4 36 3 4" xfId="19798" xr:uid="{00000000-0005-0000-0000-000008B90000}"/>
    <cellStyle name="Normal 2 4 36 3 4 2" xfId="53497" xr:uid="{00000000-0005-0000-0000-000009B90000}"/>
    <cellStyle name="Normal 2 4 36 3 5" xfId="19799" xr:uid="{00000000-0005-0000-0000-00000AB90000}"/>
    <cellStyle name="Normal 2 4 36 3 5 2" xfId="53498" xr:uid="{00000000-0005-0000-0000-00000BB90000}"/>
    <cellStyle name="Normal 2 4 36 3 6" xfId="53499" xr:uid="{00000000-0005-0000-0000-00000CB90000}"/>
    <cellStyle name="Normal 2 4 36 3 6 2" xfId="53500" xr:uid="{00000000-0005-0000-0000-00000DB90000}"/>
    <cellStyle name="Normal 2 4 36 3 7" xfId="53501" xr:uid="{00000000-0005-0000-0000-00000EB90000}"/>
    <cellStyle name="Normal 2 4 36 4" xfId="19800" xr:uid="{00000000-0005-0000-0000-00000FB90000}"/>
    <cellStyle name="Normal 2 4 36 4 2" xfId="19801" xr:uid="{00000000-0005-0000-0000-000010B90000}"/>
    <cellStyle name="Normal 2 4 36 4 2 2" xfId="53502" xr:uid="{00000000-0005-0000-0000-000011B90000}"/>
    <cellStyle name="Normal 2 4 36 4 3" xfId="19802" xr:uid="{00000000-0005-0000-0000-000012B90000}"/>
    <cellStyle name="Normal 2 4 36 4 3 2" xfId="53503" xr:uid="{00000000-0005-0000-0000-000013B90000}"/>
    <cellStyle name="Normal 2 4 36 4 4" xfId="53504" xr:uid="{00000000-0005-0000-0000-000014B90000}"/>
    <cellStyle name="Normal 2 4 36 5" xfId="19803" xr:uid="{00000000-0005-0000-0000-000015B90000}"/>
    <cellStyle name="Normal 2 4 36 5 2" xfId="19804" xr:uid="{00000000-0005-0000-0000-000016B90000}"/>
    <cellStyle name="Normal 2 4 36 5 2 2" xfId="53505" xr:uid="{00000000-0005-0000-0000-000017B90000}"/>
    <cellStyle name="Normal 2 4 36 5 3" xfId="53506" xr:uid="{00000000-0005-0000-0000-000018B90000}"/>
    <cellStyle name="Normal 2 4 36 6" xfId="19805" xr:uid="{00000000-0005-0000-0000-000019B90000}"/>
    <cellStyle name="Normal 2 4 36 6 2" xfId="53507" xr:uid="{00000000-0005-0000-0000-00001AB90000}"/>
    <cellStyle name="Normal 2 4 36 7" xfId="19806" xr:uid="{00000000-0005-0000-0000-00001BB90000}"/>
    <cellStyle name="Normal 2 4 36 7 2" xfId="53508" xr:uid="{00000000-0005-0000-0000-00001CB90000}"/>
    <cellStyle name="Normal 2 4 36 8" xfId="53509" xr:uid="{00000000-0005-0000-0000-00001DB90000}"/>
    <cellStyle name="Normal 2 4 36 8 2" xfId="53510" xr:uid="{00000000-0005-0000-0000-00001EB90000}"/>
    <cellStyle name="Normal 2 4 36 9" xfId="53511" xr:uid="{00000000-0005-0000-0000-00001FB90000}"/>
    <cellStyle name="Normal 2 4 37" xfId="19807" xr:uid="{00000000-0005-0000-0000-000020B90000}"/>
    <cellStyle name="Normal 2 4 37 10" xfId="53512" xr:uid="{00000000-0005-0000-0000-000021B90000}"/>
    <cellStyle name="Normal 2 4 37 11" xfId="53513" xr:uid="{00000000-0005-0000-0000-000022B90000}"/>
    <cellStyle name="Normal 2 4 37 2" xfId="19808" xr:uid="{00000000-0005-0000-0000-000023B90000}"/>
    <cellStyle name="Normal 2 4 37 2 10" xfId="53514" xr:uid="{00000000-0005-0000-0000-000024B90000}"/>
    <cellStyle name="Normal 2 4 37 2 2" xfId="19809" xr:uid="{00000000-0005-0000-0000-000025B90000}"/>
    <cellStyle name="Normal 2 4 37 2 2 2" xfId="19810" xr:uid="{00000000-0005-0000-0000-000026B90000}"/>
    <cellStyle name="Normal 2 4 37 2 2 2 2" xfId="19811" xr:uid="{00000000-0005-0000-0000-000027B90000}"/>
    <cellStyle name="Normal 2 4 37 2 2 2 2 2" xfId="53515" xr:uid="{00000000-0005-0000-0000-000028B90000}"/>
    <cellStyle name="Normal 2 4 37 2 2 2 3" xfId="19812" xr:uid="{00000000-0005-0000-0000-000029B90000}"/>
    <cellStyle name="Normal 2 4 37 2 2 2 3 2" xfId="53516" xr:uid="{00000000-0005-0000-0000-00002AB90000}"/>
    <cellStyle name="Normal 2 4 37 2 2 2 4" xfId="53517" xr:uid="{00000000-0005-0000-0000-00002BB90000}"/>
    <cellStyle name="Normal 2 4 37 2 2 3" xfId="19813" xr:uid="{00000000-0005-0000-0000-00002CB90000}"/>
    <cellStyle name="Normal 2 4 37 2 2 3 2" xfId="53518" xr:uid="{00000000-0005-0000-0000-00002DB90000}"/>
    <cellStyle name="Normal 2 4 37 2 2 4" xfId="19814" xr:uid="{00000000-0005-0000-0000-00002EB90000}"/>
    <cellStyle name="Normal 2 4 37 2 2 4 2" xfId="53519" xr:uid="{00000000-0005-0000-0000-00002FB90000}"/>
    <cellStyle name="Normal 2 4 37 2 2 5" xfId="19815" xr:uid="{00000000-0005-0000-0000-000030B90000}"/>
    <cellStyle name="Normal 2 4 37 2 2 5 2" xfId="53520" xr:uid="{00000000-0005-0000-0000-000031B90000}"/>
    <cellStyle name="Normal 2 4 37 2 2 6" xfId="53521" xr:uid="{00000000-0005-0000-0000-000032B90000}"/>
    <cellStyle name="Normal 2 4 37 2 2 6 2" xfId="53522" xr:uid="{00000000-0005-0000-0000-000033B90000}"/>
    <cellStyle name="Normal 2 4 37 2 2 7" xfId="53523" xr:uid="{00000000-0005-0000-0000-000034B90000}"/>
    <cellStyle name="Normal 2 4 37 2 3" xfId="19816" xr:uid="{00000000-0005-0000-0000-000035B90000}"/>
    <cellStyle name="Normal 2 4 37 2 3 2" xfId="19817" xr:uid="{00000000-0005-0000-0000-000036B90000}"/>
    <cellStyle name="Normal 2 4 37 2 3 2 2" xfId="53524" xr:uid="{00000000-0005-0000-0000-000037B90000}"/>
    <cellStyle name="Normal 2 4 37 2 3 3" xfId="19818" xr:uid="{00000000-0005-0000-0000-000038B90000}"/>
    <cellStyle name="Normal 2 4 37 2 3 3 2" xfId="53525" xr:uid="{00000000-0005-0000-0000-000039B90000}"/>
    <cellStyle name="Normal 2 4 37 2 3 4" xfId="53526" xr:uid="{00000000-0005-0000-0000-00003AB90000}"/>
    <cellStyle name="Normal 2 4 37 2 4" xfId="19819" xr:uid="{00000000-0005-0000-0000-00003BB90000}"/>
    <cellStyle name="Normal 2 4 37 2 4 2" xfId="19820" xr:uid="{00000000-0005-0000-0000-00003CB90000}"/>
    <cellStyle name="Normal 2 4 37 2 4 2 2" xfId="53527" xr:uid="{00000000-0005-0000-0000-00003DB90000}"/>
    <cellStyle name="Normal 2 4 37 2 4 3" xfId="53528" xr:uid="{00000000-0005-0000-0000-00003EB90000}"/>
    <cellStyle name="Normal 2 4 37 2 5" xfId="19821" xr:uid="{00000000-0005-0000-0000-00003FB90000}"/>
    <cellStyle name="Normal 2 4 37 2 5 2" xfId="53529" xr:uid="{00000000-0005-0000-0000-000040B90000}"/>
    <cellStyle name="Normal 2 4 37 2 6" xfId="19822" xr:uid="{00000000-0005-0000-0000-000041B90000}"/>
    <cellStyle name="Normal 2 4 37 2 6 2" xfId="53530" xr:uid="{00000000-0005-0000-0000-000042B90000}"/>
    <cellStyle name="Normal 2 4 37 2 7" xfId="53531" xr:uid="{00000000-0005-0000-0000-000043B90000}"/>
    <cellStyle name="Normal 2 4 37 2 7 2" xfId="53532" xr:uid="{00000000-0005-0000-0000-000044B90000}"/>
    <cellStyle name="Normal 2 4 37 2 8" xfId="53533" xr:uid="{00000000-0005-0000-0000-000045B90000}"/>
    <cellStyle name="Normal 2 4 37 2 9" xfId="53534" xr:uid="{00000000-0005-0000-0000-000046B90000}"/>
    <cellStyle name="Normal 2 4 37 3" xfId="19823" xr:uid="{00000000-0005-0000-0000-000047B90000}"/>
    <cellStyle name="Normal 2 4 37 3 2" xfId="19824" xr:uid="{00000000-0005-0000-0000-000048B90000}"/>
    <cellStyle name="Normal 2 4 37 3 2 2" xfId="19825" xr:uid="{00000000-0005-0000-0000-000049B90000}"/>
    <cellStyle name="Normal 2 4 37 3 2 2 2" xfId="53535" xr:uid="{00000000-0005-0000-0000-00004AB90000}"/>
    <cellStyle name="Normal 2 4 37 3 2 3" xfId="19826" xr:uid="{00000000-0005-0000-0000-00004BB90000}"/>
    <cellStyle name="Normal 2 4 37 3 2 3 2" xfId="53536" xr:uid="{00000000-0005-0000-0000-00004CB90000}"/>
    <cellStyle name="Normal 2 4 37 3 2 4" xfId="53537" xr:uid="{00000000-0005-0000-0000-00004DB90000}"/>
    <cellStyle name="Normal 2 4 37 3 3" xfId="19827" xr:uid="{00000000-0005-0000-0000-00004EB90000}"/>
    <cellStyle name="Normal 2 4 37 3 3 2" xfId="53538" xr:uid="{00000000-0005-0000-0000-00004FB90000}"/>
    <cellStyle name="Normal 2 4 37 3 4" xfId="19828" xr:uid="{00000000-0005-0000-0000-000050B90000}"/>
    <cellStyle name="Normal 2 4 37 3 4 2" xfId="53539" xr:uid="{00000000-0005-0000-0000-000051B90000}"/>
    <cellStyle name="Normal 2 4 37 3 5" xfId="19829" xr:uid="{00000000-0005-0000-0000-000052B90000}"/>
    <cellStyle name="Normal 2 4 37 3 5 2" xfId="53540" xr:uid="{00000000-0005-0000-0000-000053B90000}"/>
    <cellStyle name="Normal 2 4 37 3 6" xfId="53541" xr:uid="{00000000-0005-0000-0000-000054B90000}"/>
    <cellStyle name="Normal 2 4 37 3 6 2" xfId="53542" xr:uid="{00000000-0005-0000-0000-000055B90000}"/>
    <cellStyle name="Normal 2 4 37 3 7" xfId="53543" xr:uid="{00000000-0005-0000-0000-000056B90000}"/>
    <cellStyle name="Normal 2 4 37 4" xfId="19830" xr:uid="{00000000-0005-0000-0000-000057B90000}"/>
    <cellStyle name="Normal 2 4 37 4 2" xfId="19831" xr:uid="{00000000-0005-0000-0000-000058B90000}"/>
    <cellStyle name="Normal 2 4 37 4 2 2" xfId="53544" xr:uid="{00000000-0005-0000-0000-000059B90000}"/>
    <cellStyle name="Normal 2 4 37 4 3" xfId="19832" xr:uid="{00000000-0005-0000-0000-00005AB90000}"/>
    <cellStyle name="Normal 2 4 37 4 3 2" xfId="53545" xr:uid="{00000000-0005-0000-0000-00005BB90000}"/>
    <cellStyle name="Normal 2 4 37 4 4" xfId="53546" xr:uid="{00000000-0005-0000-0000-00005CB90000}"/>
    <cellStyle name="Normal 2 4 37 5" xfId="19833" xr:uid="{00000000-0005-0000-0000-00005DB90000}"/>
    <cellStyle name="Normal 2 4 37 5 2" xfId="19834" xr:uid="{00000000-0005-0000-0000-00005EB90000}"/>
    <cellStyle name="Normal 2 4 37 5 2 2" xfId="53547" xr:uid="{00000000-0005-0000-0000-00005FB90000}"/>
    <cellStyle name="Normal 2 4 37 5 3" xfId="53548" xr:uid="{00000000-0005-0000-0000-000060B90000}"/>
    <cellStyle name="Normal 2 4 37 6" xfId="19835" xr:uid="{00000000-0005-0000-0000-000061B90000}"/>
    <cellStyle name="Normal 2 4 37 6 2" xfId="53549" xr:uid="{00000000-0005-0000-0000-000062B90000}"/>
    <cellStyle name="Normal 2 4 37 7" xfId="19836" xr:uid="{00000000-0005-0000-0000-000063B90000}"/>
    <cellStyle name="Normal 2 4 37 7 2" xfId="53550" xr:uid="{00000000-0005-0000-0000-000064B90000}"/>
    <cellStyle name="Normal 2 4 37 8" xfId="53551" xr:uid="{00000000-0005-0000-0000-000065B90000}"/>
    <cellStyle name="Normal 2 4 37 8 2" xfId="53552" xr:uid="{00000000-0005-0000-0000-000066B90000}"/>
    <cellStyle name="Normal 2 4 37 9" xfId="53553" xr:uid="{00000000-0005-0000-0000-000067B90000}"/>
    <cellStyle name="Normal 2 4 38" xfId="19837" xr:uid="{00000000-0005-0000-0000-000068B90000}"/>
    <cellStyle name="Normal 2 4 38 10" xfId="53554" xr:uid="{00000000-0005-0000-0000-000069B90000}"/>
    <cellStyle name="Normal 2 4 38 11" xfId="53555" xr:uid="{00000000-0005-0000-0000-00006AB90000}"/>
    <cellStyle name="Normal 2 4 38 2" xfId="19838" xr:uid="{00000000-0005-0000-0000-00006BB90000}"/>
    <cellStyle name="Normal 2 4 38 2 10" xfId="53556" xr:uid="{00000000-0005-0000-0000-00006CB90000}"/>
    <cellStyle name="Normal 2 4 38 2 2" xfId="19839" xr:uid="{00000000-0005-0000-0000-00006DB90000}"/>
    <cellStyle name="Normal 2 4 38 2 2 2" xfId="19840" xr:uid="{00000000-0005-0000-0000-00006EB90000}"/>
    <cellStyle name="Normal 2 4 38 2 2 2 2" xfId="19841" xr:uid="{00000000-0005-0000-0000-00006FB90000}"/>
    <cellStyle name="Normal 2 4 38 2 2 2 2 2" xfId="53557" xr:uid="{00000000-0005-0000-0000-000070B90000}"/>
    <cellStyle name="Normal 2 4 38 2 2 2 3" xfId="19842" xr:uid="{00000000-0005-0000-0000-000071B90000}"/>
    <cellStyle name="Normal 2 4 38 2 2 2 3 2" xfId="53558" xr:uid="{00000000-0005-0000-0000-000072B90000}"/>
    <cellStyle name="Normal 2 4 38 2 2 2 4" xfId="53559" xr:uid="{00000000-0005-0000-0000-000073B90000}"/>
    <cellStyle name="Normal 2 4 38 2 2 3" xfId="19843" xr:uid="{00000000-0005-0000-0000-000074B90000}"/>
    <cellStyle name="Normal 2 4 38 2 2 3 2" xfId="53560" xr:uid="{00000000-0005-0000-0000-000075B90000}"/>
    <cellStyle name="Normal 2 4 38 2 2 4" xfId="19844" xr:uid="{00000000-0005-0000-0000-000076B90000}"/>
    <cellStyle name="Normal 2 4 38 2 2 4 2" xfId="53561" xr:uid="{00000000-0005-0000-0000-000077B90000}"/>
    <cellStyle name="Normal 2 4 38 2 2 5" xfId="19845" xr:uid="{00000000-0005-0000-0000-000078B90000}"/>
    <cellStyle name="Normal 2 4 38 2 2 5 2" xfId="53562" xr:uid="{00000000-0005-0000-0000-000079B90000}"/>
    <cellStyle name="Normal 2 4 38 2 2 6" xfId="53563" xr:uid="{00000000-0005-0000-0000-00007AB90000}"/>
    <cellStyle name="Normal 2 4 38 2 2 6 2" xfId="53564" xr:uid="{00000000-0005-0000-0000-00007BB90000}"/>
    <cellStyle name="Normal 2 4 38 2 2 7" xfId="53565" xr:uid="{00000000-0005-0000-0000-00007CB90000}"/>
    <cellStyle name="Normal 2 4 38 2 3" xfId="19846" xr:uid="{00000000-0005-0000-0000-00007DB90000}"/>
    <cellStyle name="Normal 2 4 38 2 3 2" xfId="19847" xr:uid="{00000000-0005-0000-0000-00007EB90000}"/>
    <cellStyle name="Normal 2 4 38 2 3 2 2" xfId="53566" xr:uid="{00000000-0005-0000-0000-00007FB90000}"/>
    <cellStyle name="Normal 2 4 38 2 3 3" xfId="19848" xr:uid="{00000000-0005-0000-0000-000080B90000}"/>
    <cellStyle name="Normal 2 4 38 2 3 3 2" xfId="53567" xr:uid="{00000000-0005-0000-0000-000081B90000}"/>
    <cellStyle name="Normal 2 4 38 2 3 4" xfId="53568" xr:uid="{00000000-0005-0000-0000-000082B90000}"/>
    <cellStyle name="Normal 2 4 38 2 4" xfId="19849" xr:uid="{00000000-0005-0000-0000-000083B90000}"/>
    <cellStyle name="Normal 2 4 38 2 4 2" xfId="19850" xr:uid="{00000000-0005-0000-0000-000084B90000}"/>
    <cellStyle name="Normal 2 4 38 2 4 2 2" xfId="53569" xr:uid="{00000000-0005-0000-0000-000085B90000}"/>
    <cellStyle name="Normal 2 4 38 2 4 3" xfId="53570" xr:uid="{00000000-0005-0000-0000-000086B90000}"/>
    <cellStyle name="Normal 2 4 38 2 5" xfId="19851" xr:uid="{00000000-0005-0000-0000-000087B90000}"/>
    <cellStyle name="Normal 2 4 38 2 5 2" xfId="53571" xr:uid="{00000000-0005-0000-0000-000088B90000}"/>
    <cellStyle name="Normal 2 4 38 2 6" xfId="19852" xr:uid="{00000000-0005-0000-0000-000089B90000}"/>
    <cellStyle name="Normal 2 4 38 2 6 2" xfId="53572" xr:uid="{00000000-0005-0000-0000-00008AB90000}"/>
    <cellStyle name="Normal 2 4 38 2 7" xfId="53573" xr:uid="{00000000-0005-0000-0000-00008BB90000}"/>
    <cellStyle name="Normal 2 4 38 2 7 2" xfId="53574" xr:uid="{00000000-0005-0000-0000-00008CB90000}"/>
    <cellStyle name="Normal 2 4 38 2 8" xfId="53575" xr:uid="{00000000-0005-0000-0000-00008DB90000}"/>
    <cellStyle name="Normal 2 4 38 2 9" xfId="53576" xr:uid="{00000000-0005-0000-0000-00008EB90000}"/>
    <cellStyle name="Normal 2 4 38 3" xfId="19853" xr:uid="{00000000-0005-0000-0000-00008FB90000}"/>
    <cellStyle name="Normal 2 4 38 3 2" xfId="19854" xr:uid="{00000000-0005-0000-0000-000090B90000}"/>
    <cellStyle name="Normal 2 4 38 3 2 2" xfId="19855" xr:uid="{00000000-0005-0000-0000-000091B90000}"/>
    <cellStyle name="Normal 2 4 38 3 2 2 2" xfId="53577" xr:uid="{00000000-0005-0000-0000-000092B90000}"/>
    <cellStyle name="Normal 2 4 38 3 2 3" xfId="19856" xr:uid="{00000000-0005-0000-0000-000093B90000}"/>
    <cellStyle name="Normal 2 4 38 3 2 3 2" xfId="53578" xr:uid="{00000000-0005-0000-0000-000094B90000}"/>
    <cellStyle name="Normal 2 4 38 3 2 4" xfId="53579" xr:uid="{00000000-0005-0000-0000-000095B90000}"/>
    <cellStyle name="Normal 2 4 38 3 3" xfId="19857" xr:uid="{00000000-0005-0000-0000-000096B90000}"/>
    <cellStyle name="Normal 2 4 38 3 3 2" xfId="53580" xr:uid="{00000000-0005-0000-0000-000097B90000}"/>
    <cellStyle name="Normal 2 4 38 3 4" xfId="19858" xr:uid="{00000000-0005-0000-0000-000098B90000}"/>
    <cellStyle name="Normal 2 4 38 3 4 2" xfId="53581" xr:uid="{00000000-0005-0000-0000-000099B90000}"/>
    <cellStyle name="Normal 2 4 38 3 5" xfId="19859" xr:uid="{00000000-0005-0000-0000-00009AB90000}"/>
    <cellStyle name="Normal 2 4 38 3 5 2" xfId="53582" xr:uid="{00000000-0005-0000-0000-00009BB90000}"/>
    <cellStyle name="Normal 2 4 38 3 6" xfId="53583" xr:uid="{00000000-0005-0000-0000-00009CB90000}"/>
    <cellStyle name="Normal 2 4 38 3 6 2" xfId="53584" xr:uid="{00000000-0005-0000-0000-00009DB90000}"/>
    <cellStyle name="Normal 2 4 38 3 7" xfId="53585" xr:uid="{00000000-0005-0000-0000-00009EB90000}"/>
    <cellStyle name="Normal 2 4 38 4" xfId="19860" xr:uid="{00000000-0005-0000-0000-00009FB90000}"/>
    <cellStyle name="Normal 2 4 38 4 2" xfId="19861" xr:uid="{00000000-0005-0000-0000-0000A0B90000}"/>
    <cellStyle name="Normal 2 4 38 4 2 2" xfId="53586" xr:uid="{00000000-0005-0000-0000-0000A1B90000}"/>
    <cellStyle name="Normal 2 4 38 4 3" xfId="19862" xr:uid="{00000000-0005-0000-0000-0000A2B90000}"/>
    <cellStyle name="Normal 2 4 38 4 3 2" xfId="53587" xr:uid="{00000000-0005-0000-0000-0000A3B90000}"/>
    <cellStyle name="Normal 2 4 38 4 4" xfId="53588" xr:uid="{00000000-0005-0000-0000-0000A4B90000}"/>
    <cellStyle name="Normal 2 4 38 5" xfId="19863" xr:uid="{00000000-0005-0000-0000-0000A5B90000}"/>
    <cellStyle name="Normal 2 4 38 5 2" xfId="19864" xr:uid="{00000000-0005-0000-0000-0000A6B90000}"/>
    <cellStyle name="Normal 2 4 38 5 2 2" xfId="53589" xr:uid="{00000000-0005-0000-0000-0000A7B90000}"/>
    <cellStyle name="Normal 2 4 38 5 3" xfId="53590" xr:uid="{00000000-0005-0000-0000-0000A8B90000}"/>
    <cellStyle name="Normal 2 4 38 6" xfId="19865" xr:uid="{00000000-0005-0000-0000-0000A9B90000}"/>
    <cellStyle name="Normal 2 4 38 6 2" xfId="53591" xr:uid="{00000000-0005-0000-0000-0000AAB90000}"/>
    <cellStyle name="Normal 2 4 38 7" xfId="19866" xr:uid="{00000000-0005-0000-0000-0000ABB90000}"/>
    <cellStyle name="Normal 2 4 38 7 2" xfId="53592" xr:uid="{00000000-0005-0000-0000-0000ACB90000}"/>
    <cellStyle name="Normal 2 4 38 8" xfId="53593" xr:uid="{00000000-0005-0000-0000-0000ADB90000}"/>
    <cellStyle name="Normal 2 4 38 8 2" xfId="53594" xr:uid="{00000000-0005-0000-0000-0000AEB90000}"/>
    <cellStyle name="Normal 2 4 38 9" xfId="53595" xr:uid="{00000000-0005-0000-0000-0000AFB90000}"/>
    <cellStyle name="Normal 2 4 39" xfId="19867" xr:uid="{00000000-0005-0000-0000-0000B0B90000}"/>
    <cellStyle name="Normal 2 4 39 10" xfId="53596" xr:uid="{00000000-0005-0000-0000-0000B1B90000}"/>
    <cellStyle name="Normal 2 4 39 2" xfId="19868" xr:uid="{00000000-0005-0000-0000-0000B2B90000}"/>
    <cellStyle name="Normal 2 4 39 2 2" xfId="19869" xr:uid="{00000000-0005-0000-0000-0000B3B90000}"/>
    <cellStyle name="Normal 2 4 39 2 2 2" xfId="19870" xr:uid="{00000000-0005-0000-0000-0000B4B90000}"/>
    <cellStyle name="Normal 2 4 39 2 2 2 2" xfId="53597" xr:uid="{00000000-0005-0000-0000-0000B5B90000}"/>
    <cellStyle name="Normal 2 4 39 2 2 3" xfId="19871" xr:uid="{00000000-0005-0000-0000-0000B6B90000}"/>
    <cellStyle name="Normal 2 4 39 2 2 3 2" xfId="53598" xr:uid="{00000000-0005-0000-0000-0000B7B90000}"/>
    <cellStyle name="Normal 2 4 39 2 2 4" xfId="53599" xr:uid="{00000000-0005-0000-0000-0000B8B90000}"/>
    <cellStyle name="Normal 2 4 39 2 3" xfId="19872" xr:uid="{00000000-0005-0000-0000-0000B9B90000}"/>
    <cellStyle name="Normal 2 4 39 2 3 2" xfId="53600" xr:uid="{00000000-0005-0000-0000-0000BAB90000}"/>
    <cellStyle name="Normal 2 4 39 2 4" xfId="19873" xr:uid="{00000000-0005-0000-0000-0000BBB90000}"/>
    <cellStyle name="Normal 2 4 39 2 4 2" xfId="53601" xr:uid="{00000000-0005-0000-0000-0000BCB90000}"/>
    <cellStyle name="Normal 2 4 39 2 5" xfId="19874" xr:uid="{00000000-0005-0000-0000-0000BDB90000}"/>
    <cellStyle name="Normal 2 4 39 2 5 2" xfId="53602" xr:uid="{00000000-0005-0000-0000-0000BEB90000}"/>
    <cellStyle name="Normal 2 4 39 2 6" xfId="53603" xr:uid="{00000000-0005-0000-0000-0000BFB90000}"/>
    <cellStyle name="Normal 2 4 39 2 6 2" xfId="53604" xr:uid="{00000000-0005-0000-0000-0000C0B90000}"/>
    <cellStyle name="Normal 2 4 39 2 7" xfId="53605" xr:uid="{00000000-0005-0000-0000-0000C1B90000}"/>
    <cellStyle name="Normal 2 4 39 3" xfId="19875" xr:uid="{00000000-0005-0000-0000-0000C2B90000}"/>
    <cellStyle name="Normal 2 4 39 3 2" xfId="19876" xr:uid="{00000000-0005-0000-0000-0000C3B90000}"/>
    <cellStyle name="Normal 2 4 39 3 2 2" xfId="53606" xr:uid="{00000000-0005-0000-0000-0000C4B90000}"/>
    <cellStyle name="Normal 2 4 39 3 3" xfId="19877" xr:uid="{00000000-0005-0000-0000-0000C5B90000}"/>
    <cellStyle name="Normal 2 4 39 3 3 2" xfId="53607" xr:uid="{00000000-0005-0000-0000-0000C6B90000}"/>
    <cellStyle name="Normal 2 4 39 3 4" xfId="53608" xr:uid="{00000000-0005-0000-0000-0000C7B90000}"/>
    <cellStyle name="Normal 2 4 39 4" xfId="19878" xr:uid="{00000000-0005-0000-0000-0000C8B90000}"/>
    <cellStyle name="Normal 2 4 39 4 2" xfId="19879" xr:uid="{00000000-0005-0000-0000-0000C9B90000}"/>
    <cellStyle name="Normal 2 4 39 4 2 2" xfId="53609" xr:uid="{00000000-0005-0000-0000-0000CAB90000}"/>
    <cellStyle name="Normal 2 4 39 4 3" xfId="53610" xr:uid="{00000000-0005-0000-0000-0000CBB90000}"/>
    <cellStyle name="Normal 2 4 39 5" xfId="19880" xr:uid="{00000000-0005-0000-0000-0000CCB90000}"/>
    <cellStyle name="Normal 2 4 39 5 2" xfId="53611" xr:uid="{00000000-0005-0000-0000-0000CDB90000}"/>
    <cellStyle name="Normal 2 4 39 6" xfId="19881" xr:uid="{00000000-0005-0000-0000-0000CEB90000}"/>
    <cellStyle name="Normal 2 4 39 6 2" xfId="53612" xr:uid="{00000000-0005-0000-0000-0000CFB90000}"/>
    <cellStyle name="Normal 2 4 39 7" xfId="53613" xr:uid="{00000000-0005-0000-0000-0000D0B90000}"/>
    <cellStyle name="Normal 2 4 39 7 2" xfId="53614" xr:uid="{00000000-0005-0000-0000-0000D1B90000}"/>
    <cellStyle name="Normal 2 4 39 8" xfId="53615" xr:uid="{00000000-0005-0000-0000-0000D2B90000}"/>
    <cellStyle name="Normal 2 4 39 9" xfId="53616" xr:uid="{00000000-0005-0000-0000-0000D3B90000}"/>
    <cellStyle name="Normal 2 4 4" xfId="19882" xr:uid="{00000000-0005-0000-0000-0000D4B90000}"/>
    <cellStyle name="Normal 2 4 4 10" xfId="19883" xr:uid="{00000000-0005-0000-0000-0000D5B90000}"/>
    <cellStyle name="Normal 2 4 4 10 10" xfId="53617" xr:uid="{00000000-0005-0000-0000-0000D6B90000}"/>
    <cellStyle name="Normal 2 4 4 10 11" xfId="53618" xr:uid="{00000000-0005-0000-0000-0000D7B90000}"/>
    <cellStyle name="Normal 2 4 4 10 2" xfId="19884" xr:uid="{00000000-0005-0000-0000-0000D8B90000}"/>
    <cellStyle name="Normal 2 4 4 10 2 10" xfId="53619" xr:uid="{00000000-0005-0000-0000-0000D9B90000}"/>
    <cellStyle name="Normal 2 4 4 10 2 2" xfId="19885" xr:uid="{00000000-0005-0000-0000-0000DAB90000}"/>
    <cellStyle name="Normal 2 4 4 10 2 2 2" xfId="19886" xr:uid="{00000000-0005-0000-0000-0000DBB90000}"/>
    <cellStyle name="Normal 2 4 4 10 2 2 2 2" xfId="19887" xr:uid="{00000000-0005-0000-0000-0000DCB90000}"/>
    <cellStyle name="Normal 2 4 4 10 2 2 2 2 2" xfId="53620" xr:uid="{00000000-0005-0000-0000-0000DDB90000}"/>
    <cellStyle name="Normal 2 4 4 10 2 2 2 3" xfId="19888" xr:uid="{00000000-0005-0000-0000-0000DEB90000}"/>
    <cellStyle name="Normal 2 4 4 10 2 2 2 3 2" xfId="53621" xr:uid="{00000000-0005-0000-0000-0000DFB90000}"/>
    <cellStyle name="Normal 2 4 4 10 2 2 2 4" xfId="53622" xr:uid="{00000000-0005-0000-0000-0000E0B90000}"/>
    <cellStyle name="Normal 2 4 4 10 2 2 3" xfId="19889" xr:uid="{00000000-0005-0000-0000-0000E1B90000}"/>
    <cellStyle name="Normal 2 4 4 10 2 2 3 2" xfId="53623" xr:uid="{00000000-0005-0000-0000-0000E2B90000}"/>
    <cellStyle name="Normal 2 4 4 10 2 2 4" xfId="19890" xr:uid="{00000000-0005-0000-0000-0000E3B90000}"/>
    <cellStyle name="Normal 2 4 4 10 2 2 4 2" xfId="53624" xr:uid="{00000000-0005-0000-0000-0000E4B90000}"/>
    <cellStyle name="Normal 2 4 4 10 2 2 5" xfId="19891" xr:uid="{00000000-0005-0000-0000-0000E5B90000}"/>
    <cellStyle name="Normal 2 4 4 10 2 2 5 2" xfId="53625" xr:uid="{00000000-0005-0000-0000-0000E6B90000}"/>
    <cellStyle name="Normal 2 4 4 10 2 2 6" xfId="53626" xr:uid="{00000000-0005-0000-0000-0000E7B90000}"/>
    <cellStyle name="Normal 2 4 4 10 2 2 6 2" xfId="53627" xr:uid="{00000000-0005-0000-0000-0000E8B90000}"/>
    <cellStyle name="Normal 2 4 4 10 2 2 7" xfId="53628" xr:uid="{00000000-0005-0000-0000-0000E9B90000}"/>
    <cellStyle name="Normal 2 4 4 10 2 3" xfId="19892" xr:uid="{00000000-0005-0000-0000-0000EAB90000}"/>
    <cellStyle name="Normal 2 4 4 10 2 3 2" xfId="19893" xr:uid="{00000000-0005-0000-0000-0000EBB90000}"/>
    <cellStyle name="Normal 2 4 4 10 2 3 2 2" xfId="53629" xr:uid="{00000000-0005-0000-0000-0000ECB90000}"/>
    <cellStyle name="Normal 2 4 4 10 2 3 3" xfId="19894" xr:uid="{00000000-0005-0000-0000-0000EDB90000}"/>
    <cellStyle name="Normal 2 4 4 10 2 3 3 2" xfId="53630" xr:uid="{00000000-0005-0000-0000-0000EEB90000}"/>
    <cellStyle name="Normal 2 4 4 10 2 3 4" xfId="53631" xr:uid="{00000000-0005-0000-0000-0000EFB90000}"/>
    <cellStyle name="Normal 2 4 4 10 2 4" xfId="19895" xr:uid="{00000000-0005-0000-0000-0000F0B90000}"/>
    <cellStyle name="Normal 2 4 4 10 2 4 2" xfId="19896" xr:uid="{00000000-0005-0000-0000-0000F1B90000}"/>
    <cellStyle name="Normal 2 4 4 10 2 4 2 2" xfId="53632" xr:uid="{00000000-0005-0000-0000-0000F2B90000}"/>
    <cellStyle name="Normal 2 4 4 10 2 4 3" xfId="53633" xr:uid="{00000000-0005-0000-0000-0000F3B90000}"/>
    <cellStyle name="Normal 2 4 4 10 2 5" xfId="19897" xr:uid="{00000000-0005-0000-0000-0000F4B90000}"/>
    <cellStyle name="Normal 2 4 4 10 2 5 2" xfId="53634" xr:uid="{00000000-0005-0000-0000-0000F5B90000}"/>
    <cellStyle name="Normal 2 4 4 10 2 6" xfId="19898" xr:uid="{00000000-0005-0000-0000-0000F6B90000}"/>
    <cellStyle name="Normal 2 4 4 10 2 6 2" xfId="53635" xr:uid="{00000000-0005-0000-0000-0000F7B90000}"/>
    <cellStyle name="Normal 2 4 4 10 2 7" xfId="53636" xr:uid="{00000000-0005-0000-0000-0000F8B90000}"/>
    <cellStyle name="Normal 2 4 4 10 2 7 2" xfId="53637" xr:uid="{00000000-0005-0000-0000-0000F9B90000}"/>
    <cellStyle name="Normal 2 4 4 10 2 8" xfId="53638" xr:uid="{00000000-0005-0000-0000-0000FAB90000}"/>
    <cellStyle name="Normal 2 4 4 10 2 9" xfId="53639" xr:uid="{00000000-0005-0000-0000-0000FBB90000}"/>
    <cellStyle name="Normal 2 4 4 10 3" xfId="19899" xr:uid="{00000000-0005-0000-0000-0000FCB90000}"/>
    <cellStyle name="Normal 2 4 4 10 3 2" xfId="19900" xr:uid="{00000000-0005-0000-0000-0000FDB90000}"/>
    <cellStyle name="Normal 2 4 4 10 3 2 2" xfId="19901" xr:uid="{00000000-0005-0000-0000-0000FEB90000}"/>
    <cellStyle name="Normal 2 4 4 10 3 2 2 2" xfId="53640" xr:uid="{00000000-0005-0000-0000-0000FFB90000}"/>
    <cellStyle name="Normal 2 4 4 10 3 2 3" xfId="19902" xr:uid="{00000000-0005-0000-0000-000000BA0000}"/>
    <cellStyle name="Normal 2 4 4 10 3 2 3 2" xfId="53641" xr:uid="{00000000-0005-0000-0000-000001BA0000}"/>
    <cellStyle name="Normal 2 4 4 10 3 2 4" xfId="53642" xr:uid="{00000000-0005-0000-0000-000002BA0000}"/>
    <cellStyle name="Normal 2 4 4 10 3 3" xfId="19903" xr:uid="{00000000-0005-0000-0000-000003BA0000}"/>
    <cellStyle name="Normal 2 4 4 10 3 3 2" xfId="53643" xr:uid="{00000000-0005-0000-0000-000004BA0000}"/>
    <cellStyle name="Normal 2 4 4 10 3 4" xfId="19904" xr:uid="{00000000-0005-0000-0000-000005BA0000}"/>
    <cellStyle name="Normal 2 4 4 10 3 4 2" xfId="53644" xr:uid="{00000000-0005-0000-0000-000006BA0000}"/>
    <cellStyle name="Normal 2 4 4 10 3 5" xfId="19905" xr:uid="{00000000-0005-0000-0000-000007BA0000}"/>
    <cellStyle name="Normal 2 4 4 10 3 5 2" xfId="53645" xr:uid="{00000000-0005-0000-0000-000008BA0000}"/>
    <cellStyle name="Normal 2 4 4 10 3 6" xfId="53646" xr:uid="{00000000-0005-0000-0000-000009BA0000}"/>
    <cellStyle name="Normal 2 4 4 10 3 6 2" xfId="53647" xr:uid="{00000000-0005-0000-0000-00000ABA0000}"/>
    <cellStyle name="Normal 2 4 4 10 3 7" xfId="53648" xr:uid="{00000000-0005-0000-0000-00000BBA0000}"/>
    <cellStyle name="Normal 2 4 4 10 4" xfId="19906" xr:uid="{00000000-0005-0000-0000-00000CBA0000}"/>
    <cellStyle name="Normal 2 4 4 10 4 2" xfId="19907" xr:uid="{00000000-0005-0000-0000-00000DBA0000}"/>
    <cellStyle name="Normal 2 4 4 10 4 2 2" xfId="53649" xr:uid="{00000000-0005-0000-0000-00000EBA0000}"/>
    <cellStyle name="Normal 2 4 4 10 4 3" xfId="19908" xr:uid="{00000000-0005-0000-0000-00000FBA0000}"/>
    <cellStyle name="Normal 2 4 4 10 4 3 2" xfId="53650" xr:uid="{00000000-0005-0000-0000-000010BA0000}"/>
    <cellStyle name="Normal 2 4 4 10 4 4" xfId="53651" xr:uid="{00000000-0005-0000-0000-000011BA0000}"/>
    <cellStyle name="Normal 2 4 4 10 5" xfId="19909" xr:uid="{00000000-0005-0000-0000-000012BA0000}"/>
    <cellStyle name="Normal 2 4 4 10 5 2" xfId="19910" xr:uid="{00000000-0005-0000-0000-000013BA0000}"/>
    <cellStyle name="Normal 2 4 4 10 5 2 2" xfId="53652" xr:uid="{00000000-0005-0000-0000-000014BA0000}"/>
    <cellStyle name="Normal 2 4 4 10 5 3" xfId="53653" xr:uid="{00000000-0005-0000-0000-000015BA0000}"/>
    <cellStyle name="Normal 2 4 4 10 6" xfId="19911" xr:uid="{00000000-0005-0000-0000-000016BA0000}"/>
    <cellStyle name="Normal 2 4 4 10 6 2" xfId="53654" xr:uid="{00000000-0005-0000-0000-000017BA0000}"/>
    <cellStyle name="Normal 2 4 4 10 7" xfId="19912" xr:uid="{00000000-0005-0000-0000-000018BA0000}"/>
    <cellStyle name="Normal 2 4 4 10 7 2" xfId="53655" xr:uid="{00000000-0005-0000-0000-000019BA0000}"/>
    <cellStyle name="Normal 2 4 4 10 8" xfId="53656" xr:uid="{00000000-0005-0000-0000-00001ABA0000}"/>
    <cellStyle name="Normal 2 4 4 10 8 2" xfId="53657" xr:uid="{00000000-0005-0000-0000-00001BBA0000}"/>
    <cellStyle name="Normal 2 4 4 10 9" xfId="53658" xr:uid="{00000000-0005-0000-0000-00001CBA0000}"/>
    <cellStyle name="Normal 2 4 4 11" xfId="19913" xr:uid="{00000000-0005-0000-0000-00001DBA0000}"/>
    <cellStyle name="Normal 2 4 4 11 10" xfId="53659" xr:uid="{00000000-0005-0000-0000-00001EBA0000}"/>
    <cellStyle name="Normal 2 4 4 11 11" xfId="53660" xr:uid="{00000000-0005-0000-0000-00001FBA0000}"/>
    <cellStyle name="Normal 2 4 4 11 2" xfId="19914" xr:uid="{00000000-0005-0000-0000-000020BA0000}"/>
    <cellStyle name="Normal 2 4 4 11 2 10" xfId="53661" xr:uid="{00000000-0005-0000-0000-000021BA0000}"/>
    <cellStyle name="Normal 2 4 4 11 2 2" xfId="19915" xr:uid="{00000000-0005-0000-0000-000022BA0000}"/>
    <cellStyle name="Normal 2 4 4 11 2 2 2" xfId="19916" xr:uid="{00000000-0005-0000-0000-000023BA0000}"/>
    <cellStyle name="Normal 2 4 4 11 2 2 2 2" xfId="19917" xr:uid="{00000000-0005-0000-0000-000024BA0000}"/>
    <cellStyle name="Normal 2 4 4 11 2 2 2 2 2" xfId="53662" xr:uid="{00000000-0005-0000-0000-000025BA0000}"/>
    <cellStyle name="Normal 2 4 4 11 2 2 2 3" xfId="19918" xr:uid="{00000000-0005-0000-0000-000026BA0000}"/>
    <cellStyle name="Normal 2 4 4 11 2 2 2 3 2" xfId="53663" xr:uid="{00000000-0005-0000-0000-000027BA0000}"/>
    <cellStyle name="Normal 2 4 4 11 2 2 2 4" xfId="53664" xr:uid="{00000000-0005-0000-0000-000028BA0000}"/>
    <cellStyle name="Normal 2 4 4 11 2 2 3" xfId="19919" xr:uid="{00000000-0005-0000-0000-000029BA0000}"/>
    <cellStyle name="Normal 2 4 4 11 2 2 3 2" xfId="53665" xr:uid="{00000000-0005-0000-0000-00002ABA0000}"/>
    <cellStyle name="Normal 2 4 4 11 2 2 4" xfId="19920" xr:uid="{00000000-0005-0000-0000-00002BBA0000}"/>
    <cellStyle name="Normal 2 4 4 11 2 2 4 2" xfId="53666" xr:uid="{00000000-0005-0000-0000-00002CBA0000}"/>
    <cellStyle name="Normal 2 4 4 11 2 2 5" xfId="19921" xr:uid="{00000000-0005-0000-0000-00002DBA0000}"/>
    <cellStyle name="Normal 2 4 4 11 2 2 5 2" xfId="53667" xr:uid="{00000000-0005-0000-0000-00002EBA0000}"/>
    <cellStyle name="Normal 2 4 4 11 2 2 6" xfId="53668" xr:uid="{00000000-0005-0000-0000-00002FBA0000}"/>
    <cellStyle name="Normal 2 4 4 11 2 2 6 2" xfId="53669" xr:uid="{00000000-0005-0000-0000-000030BA0000}"/>
    <cellStyle name="Normal 2 4 4 11 2 2 7" xfId="53670" xr:uid="{00000000-0005-0000-0000-000031BA0000}"/>
    <cellStyle name="Normal 2 4 4 11 2 3" xfId="19922" xr:uid="{00000000-0005-0000-0000-000032BA0000}"/>
    <cellStyle name="Normal 2 4 4 11 2 3 2" xfId="19923" xr:uid="{00000000-0005-0000-0000-000033BA0000}"/>
    <cellStyle name="Normal 2 4 4 11 2 3 2 2" xfId="53671" xr:uid="{00000000-0005-0000-0000-000034BA0000}"/>
    <cellStyle name="Normal 2 4 4 11 2 3 3" xfId="19924" xr:uid="{00000000-0005-0000-0000-000035BA0000}"/>
    <cellStyle name="Normal 2 4 4 11 2 3 3 2" xfId="53672" xr:uid="{00000000-0005-0000-0000-000036BA0000}"/>
    <cellStyle name="Normal 2 4 4 11 2 3 4" xfId="53673" xr:uid="{00000000-0005-0000-0000-000037BA0000}"/>
    <cellStyle name="Normal 2 4 4 11 2 4" xfId="19925" xr:uid="{00000000-0005-0000-0000-000038BA0000}"/>
    <cellStyle name="Normal 2 4 4 11 2 4 2" xfId="19926" xr:uid="{00000000-0005-0000-0000-000039BA0000}"/>
    <cellStyle name="Normal 2 4 4 11 2 4 2 2" xfId="53674" xr:uid="{00000000-0005-0000-0000-00003ABA0000}"/>
    <cellStyle name="Normal 2 4 4 11 2 4 3" xfId="53675" xr:uid="{00000000-0005-0000-0000-00003BBA0000}"/>
    <cellStyle name="Normal 2 4 4 11 2 5" xfId="19927" xr:uid="{00000000-0005-0000-0000-00003CBA0000}"/>
    <cellStyle name="Normal 2 4 4 11 2 5 2" xfId="53676" xr:uid="{00000000-0005-0000-0000-00003DBA0000}"/>
    <cellStyle name="Normal 2 4 4 11 2 6" xfId="19928" xr:uid="{00000000-0005-0000-0000-00003EBA0000}"/>
    <cellStyle name="Normal 2 4 4 11 2 6 2" xfId="53677" xr:uid="{00000000-0005-0000-0000-00003FBA0000}"/>
    <cellStyle name="Normal 2 4 4 11 2 7" xfId="53678" xr:uid="{00000000-0005-0000-0000-000040BA0000}"/>
    <cellStyle name="Normal 2 4 4 11 2 7 2" xfId="53679" xr:uid="{00000000-0005-0000-0000-000041BA0000}"/>
    <cellStyle name="Normal 2 4 4 11 2 8" xfId="53680" xr:uid="{00000000-0005-0000-0000-000042BA0000}"/>
    <cellStyle name="Normal 2 4 4 11 2 9" xfId="53681" xr:uid="{00000000-0005-0000-0000-000043BA0000}"/>
    <cellStyle name="Normal 2 4 4 11 3" xfId="19929" xr:uid="{00000000-0005-0000-0000-000044BA0000}"/>
    <cellStyle name="Normal 2 4 4 11 3 2" xfId="19930" xr:uid="{00000000-0005-0000-0000-000045BA0000}"/>
    <cellStyle name="Normal 2 4 4 11 3 2 2" xfId="19931" xr:uid="{00000000-0005-0000-0000-000046BA0000}"/>
    <cellStyle name="Normal 2 4 4 11 3 2 2 2" xfId="53682" xr:uid="{00000000-0005-0000-0000-000047BA0000}"/>
    <cellStyle name="Normal 2 4 4 11 3 2 3" xfId="19932" xr:uid="{00000000-0005-0000-0000-000048BA0000}"/>
    <cellStyle name="Normal 2 4 4 11 3 2 3 2" xfId="53683" xr:uid="{00000000-0005-0000-0000-000049BA0000}"/>
    <cellStyle name="Normal 2 4 4 11 3 2 4" xfId="53684" xr:uid="{00000000-0005-0000-0000-00004ABA0000}"/>
    <cellStyle name="Normal 2 4 4 11 3 3" xfId="19933" xr:uid="{00000000-0005-0000-0000-00004BBA0000}"/>
    <cellStyle name="Normal 2 4 4 11 3 3 2" xfId="53685" xr:uid="{00000000-0005-0000-0000-00004CBA0000}"/>
    <cellStyle name="Normal 2 4 4 11 3 4" xfId="19934" xr:uid="{00000000-0005-0000-0000-00004DBA0000}"/>
    <cellStyle name="Normal 2 4 4 11 3 4 2" xfId="53686" xr:uid="{00000000-0005-0000-0000-00004EBA0000}"/>
    <cellStyle name="Normal 2 4 4 11 3 5" xfId="19935" xr:uid="{00000000-0005-0000-0000-00004FBA0000}"/>
    <cellStyle name="Normal 2 4 4 11 3 5 2" xfId="53687" xr:uid="{00000000-0005-0000-0000-000050BA0000}"/>
    <cellStyle name="Normal 2 4 4 11 3 6" xfId="53688" xr:uid="{00000000-0005-0000-0000-000051BA0000}"/>
    <cellStyle name="Normal 2 4 4 11 3 6 2" xfId="53689" xr:uid="{00000000-0005-0000-0000-000052BA0000}"/>
    <cellStyle name="Normal 2 4 4 11 3 7" xfId="53690" xr:uid="{00000000-0005-0000-0000-000053BA0000}"/>
    <cellStyle name="Normal 2 4 4 11 4" xfId="19936" xr:uid="{00000000-0005-0000-0000-000054BA0000}"/>
    <cellStyle name="Normal 2 4 4 11 4 2" xfId="19937" xr:uid="{00000000-0005-0000-0000-000055BA0000}"/>
    <cellStyle name="Normal 2 4 4 11 4 2 2" xfId="53691" xr:uid="{00000000-0005-0000-0000-000056BA0000}"/>
    <cellStyle name="Normal 2 4 4 11 4 3" xfId="19938" xr:uid="{00000000-0005-0000-0000-000057BA0000}"/>
    <cellStyle name="Normal 2 4 4 11 4 3 2" xfId="53692" xr:uid="{00000000-0005-0000-0000-000058BA0000}"/>
    <cellStyle name="Normal 2 4 4 11 4 4" xfId="53693" xr:uid="{00000000-0005-0000-0000-000059BA0000}"/>
    <cellStyle name="Normal 2 4 4 11 5" xfId="19939" xr:uid="{00000000-0005-0000-0000-00005ABA0000}"/>
    <cellStyle name="Normal 2 4 4 11 5 2" xfId="19940" xr:uid="{00000000-0005-0000-0000-00005BBA0000}"/>
    <cellStyle name="Normal 2 4 4 11 5 2 2" xfId="53694" xr:uid="{00000000-0005-0000-0000-00005CBA0000}"/>
    <cellStyle name="Normal 2 4 4 11 5 3" xfId="53695" xr:uid="{00000000-0005-0000-0000-00005DBA0000}"/>
    <cellStyle name="Normal 2 4 4 11 6" xfId="19941" xr:uid="{00000000-0005-0000-0000-00005EBA0000}"/>
    <cellStyle name="Normal 2 4 4 11 6 2" xfId="53696" xr:uid="{00000000-0005-0000-0000-00005FBA0000}"/>
    <cellStyle name="Normal 2 4 4 11 7" xfId="19942" xr:uid="{00000000-0005-0000-0000-000060BA0000}"/>
    <cellStyle name="Normal 2 4 4 11 7 2" xfId="53697" xr:uid="{00000000-0005-0000-0000-000061BA0000}"/>
    <cellStyle name="Normal 2 4 4 11 8" xfId="53698" xr:uid="{00000000-0005-0000-0000-000062BA0000}"/>
    <cellStyle name="Normal 2 4 4 11 8 2" xfId="53699" xr:uid="{00000000-0005-0000-0000-000063BA0000}"/>
    <cellStyle name="Normal 2 4 4 11 9" xfId="53700" xr:uid="{00000000-0005-0000-0000-000064BA0000}"/>
    <cellStyle name="Normal 2 4 4 12" xfId="19943" xr:uid="{00000000-0005-0000-0000-000065BA0000}"/>
    <cellStyle name="Normal 2 4 4 12 10" xfId="53701" xr:uid="{00000000-0005-0000-0000-000066BA0000}"/>
    <cellStyle name="Normal 2 4 4 12 11" xfId="53702" xr:uid="{00000000-0005-0000-0000-000067BA0000}"/>
    <cellStyle name="Normal 2 4 4 12 2" xfId="19944" xr:uid="{00000000-0005-0000-0000-000068BA0000}"/>
    <cellStyle name="Normal 2 4 4 12 2 10" xfId="53703" xr:uid="{00000000-0005-0000-0000-000069BA0000}"/>
    <cellStyle name="Normal 2 4 4 12 2 2" xfId="19945" xr:uid="{00000000-0005-0000-0000-00006ABA0000}"/>
    <cellStyle name="Normal 2 4 4 12 2 2 2" xfId="19946" xr:uid="{00000000-0005-0000-0000-00006BBA0000}"/>
    <cellStyle name="Normal 2 4 4 12 2 2 2 2" xfId="19947" xr:uid="{00000000-0005-0000-0000-00006CBA0000}"/>
    <cellStyle name="Normal 2 4 4 12 2 2 2 2 2" xfId="53704" xr:uid="{00000000-0005-0000-0000-00006DBA0000}"/>
    <cellStyle name="Normal 2 4 4 12 2 2 2 3" xfId="19948" xr:uid="{00000000-0005-0000-0000-00006EBA0000}"/>
    <cellStyle name="Normal 2 4 4 12 2 2 2 3 2" xfId="53705" xr:uid="{00000000-0005-0000-0000-00006FBA0000}"/>
    <cellStyle name="Normal 2 4 4 12 2 2 2 4" xfId="53706" xr:uid="{00000000-0005-0000-0000-000070BA0000}"/>
    <cellStyle name="Normal 2 4 4 12 2 2 3" xfId="19949" xr:uid="{00000000-0005-0000-0000-000071BA0000}"/>
    <cellStyle name="Normal 2 4 4 12 2 2 3 2" xfId="53707" xr:uid="{00000000-0005-0000-0000-000072BA0000}"/>
    <cellStyle name="Normal 2 4 4 12 2 2 4" xfId="19950" xr:uid="{00000000-0005-0000-0000-000073BA0000}"/>
    <cellStyle name="Normal 2 4 4 12 2 2 4 2" xfId="53708" xr:uid="{00000000-0005-0000-0000-000074BA0000}"/>
    <cellStyle name="Normal 2 4 4 12 2 2 5" xfId="19951" xr:uid="{00000000-0005-0000-0000-000075BA0000}"/>
    <cellStyle name="Normal 2 4 4 12 2 2 5 2" xfId="53709" xr:uid="{00000000-0005-0000-0000-000076BA0000}"/>
    <cellStyle name="Normal 2 4 4 12 2 2 6" xfId="53710" xr:uid="{00000000-0005-0000-0000-000077BA0000}"/>
    <cellStyle name="Normal 2 4 4 12 2 2 6 2" xfId="53711" xr:uid="{00000000-0005-0000-0000-000078BA0000}"/>
    <cellStyle name="Normal 2 4 4 12 2 2 7" xfId="53712" xr:uid="{00000000-0005-0000-0000-000079BA0000}"/>
    <cellStyle name="Normal 2 4 4 12 2 3" xfId="19952" xr:uid="{00000000-0005-0000-0000-00007ABA0000}"/>
    <cellStyle name="Normal 2 4 4 12 2 3 2" xfId="19953" xr:uid="{00000000-0005-0000-0000-00007BBA0000}"/>
    <cellStyle name="Normal 2 4 4 12 2 3 2 2" xfId="53713" xr:uid="{00000000-0005-0000-0000-00007CBA0000}"/>
    <cellStyle name="Normal 2 4 4 12 2 3 3" xfId="19954" xr:uid="{00000000-0005-0000-0000-00007DBA0000}"/>
    <cellStyle name="Normal 2 4 4 12 2 3 3 2" xfId="53714" xr:uid="{00000000-0005-0000-0000-00007EBA0000}"/>
    <cellStyle name="Normal 2 4 4 12 2 3 4" xfId="53715" xr:uid="{00000000-0005-0000-0000-00007FBA0000}"/>
    <cellStyle name="Normal 2 4 4 12 2 4" xfId="19955" xr:uid="{00000000-0005-0000-0000-000080BA0000}"/>
    <cellStyle name="Normal 2 4 4 12 2 4 2" xfId="19956" xr:uid="{00000000-0005-0000-0000-000081BA0000}"/>
    <cellStyle name="Normal 2 4 4 12 2 4 2 2" xfId="53716" xr:uid="{00000000-0005-0000-0000-000082BA0000}"/>
    <cellStyle name="Normal 2 4 4 12 2 4 3" xfId="53717" xr:uid="{00000000-0005-0000-0000-000083BA0000}"/>
    <cellStyle name="Normal 2 4 4 12 2 5" xfId="19957" xr:uid="{00000000-0005-0000-0000-000084BA0000}"/>
    <cellStyle name="Normal 2 4 4 12 2 5 2" xfId="53718" xr:uid="{00000000-0005-0000-0000-000085BA0000}"/>
    <cellStyle name="Normal 2 4 4 12 2 6" xfId="19958" xr:uid="{00000000-0005-0000-0000-000086BA0000}"/>
    <cellStyle name="Normal 2 4 4 12 2 6 2" xfId="53719" xr:uid="{00000000-0005-0000-0000-000087BA0000}"/>
    <cellStyle name="Normal 2 4 4 12 2 7" xfId="53720" xr:uid="{00000000-0005-0000-0000-000088BA0000}"/>
    <cellStyle name="Normal 2 4 4 12 2 7 2" xfId="53721" xr:uid="{00000000-0005-0000-0000-000089BA0000}"/>
    <cellStyle name="Normal 2 4 4 12 2 8" xfId="53722" xr:uid="{00000000-0005-0000-0000-00008ABA0000}"/>
    <cellStyle name="Normal 2 4 4 12 2 9" xfId="53723" xr:uid="{00000000-0005-0000-0000-00008BBA0000}"/>
    <cellStyle name="Normal 2 4 4 12 3" xfId="19959" xr:uid="{00000000-0005-0000-0000-00008CBA0000}"/>
    <cellStyle name="Normal 2 4 4 12 3 2" xfId="19960" xr:uid="{00000000-0005-0000-0000-00008DBA0000}"/>
    <cellStyle name="Normal 2 4 4 12 3 2 2" xfId="19961" xr:uid="{00000000-0005-0000-0000-00008EBA0000}"/>
    <cellStyle name="Normal 2 4 4 12 3 2 2 2" xfId="53724" xr:uid="{00000000-0005-0000-0000-00008FBA0000}"/>
    <cellStyle name="Normal 2 4 4 12 3 2 3" xfId="19962" xr:uid="{00000000-0005-0000-0000-000090BA0000}"/>
    <cellStyle name="Normal 2 4 4 12 3 2 3 2" xfId="53725" xr:uid="{00000000-0005-0000-0000-000091BA0000}"/>
    <cellStyle name="Normal 2 4 4 12 3 2 4" xfId="53726" xr:uid="{00000000-0005-0000-0000-000092BA0000}"/>
    <cellStyle name="Normal 2 4 4 12 3 3" xfId="19963" xr:uid="{00000000-0005-0000-0000-000093BA0000}"/>
    <cellStyle name="Normal 2 4 4 12 3 3 2" xfId="53727" xr:uid="{00000000-0005-0000-0000-000094BA0000}"/>
    <cellStyle name="Normal 2 4 4 12 3 4" xfId="19964" xr:uid="{00000000-0005-0000-0000-000095BA0000}"/>
    <cellStyle name="Normal 2 4 4 12 3 4 2" xfId="53728" xr:uid="{00000000-0005-0000-0000-000096BA0000}"/>
    <cellStyle name="Normal 2 4 4 12 3 5" xfId="19965" xr:uid="{00000000-0005-0000-0000-000097BA0000}"/>
    <cellStyle name="Normal 2 4 4 12 3 5 2" xfId="53729" xr:uid="{00000000-0005-0000-0000-000098BA0000}"/>
    <cellStyle name="Normal 2 4 4 12 3 6" xfId="53730" xr:uid="{00000000-0005-0000-0000-000099BA0000}"/>
    <cellStyle name="Normal 2 4 4 12 3 6 2" xfId="53731" xr:uid="{00000000-0005-0000-0000-00009ABA0000}"/>
    <cellStyle name="Normal 2 4 4 12 3 7" xfId="53732" xr:uid="{00000000-0005-0000-0000-00009BBA0000}"/>
    <cellStyle name="Normal 2 4 4 12 4" xfId="19966" xr:uid="{00000000-0005-0000-0000-00009CBA0000}"/>
    <cellStyle name="Normal 2 4 4 12 4 2" xfId="19967" xr:uid="{00000000-0005-0000-0000-00009DBA0000}"/>
    <cellStyle name="Normal 2 4 4 12 4 2 2" xfId="53733" xr:uid="{00000000-0005-0000-0000-00009EBA0000}"/>
    <cellStyle name="Normal 2 4 4 12 4 3" xfId="19968" xr:uid="{00000000-0005-0000-0000-00009FBA0000}"/>
    <cellStyle name="Normal 2 4 4 12 4 3 2" xfId="53734" xr:uid="{00000000-0005-0000-0000-0000A0BA0000}"/>
    <cellStyle name="Normal 2 4 4 12 4 4" xfId="53735" xr:uid="{00000000-0005-0000-0000-0000A1BA0000}"/>
    <cellStyle name="Normal 2 4 4 12 5" xfId="19969" xr:uid="{00000000-0005-0000-0000-0000A2BA0000}"/>
    <cellStyle name="Normal 2 4 4 12 5 2" xfId="19970" xr:uid="{00000000-0005-0000-0000-0000A3BA0000}"/>
    <cellStyle name="Normal 2 4 4 12 5 2 2" xfId="53736" xr:uid="{00000000-0005-0000-0000-0000A4BA0000}"/>
    <cellStyle name="Normal 2 4 4 12 5 3" xfId="53737" xr:uid="{00000000-0005-0000-0000-0000A5BA0000}"/>
    <cellStyle name="Normal 2 4 4 12 6" xfId="19971" xr:uid="{00000000-0005-0000-0000-0000A6BA0000}"/>
    <cellStyle name="Normal 2 4 4 12 6 2" xfId="53738" xr:uid="{00000000-0005-0000-0000-0000A7BA0000}"/>
    <cellStyle name="Normal 2 4 4 12 7" xfId="19972" xr:uid="{00000000-0005-0000-0000-0000A8BA0000}"/>
    <cellStyle name="Normal 2 4 4 12 7 2" xfId="53739" xr:uid="{00000000-0005-0000-0000-0000A9BA0000}"/>
    <cellStyle name="Normal 2 4 4 12 8" xfId="53740" xr:uid="{00000000-0005-0000-0000-0000AABA0000}"/>
    <cellStyle name="Normal 2 4 4 12 8 2" xfId="53741" xr:uid="{00000000-0005-0000-0000-0000ABBA0000}"/>
    <cellStyle name="Normal 2 4 4 12 9" xfId="53742" xr:uid="{00000000-0005-0000-0000-0000ACBA0000}"/>
    <cellStyle name="Normal 2 4 4 13" xfId="19973" xr:uid="{00000000-0005-0000-0000-0000ADBA0000}"/>
    <cellStyle name="Normal 2 4 4 13 10" xfId="53743" xr:uid="{00000000-0005-0000-0000-0000AEBA0000}"/>
    <cellStyle name="Normal 2 4 4 13 11" xfId="53744" xr:uid="{00000000-0005-0000-0000-0000AFBA0000}"/>
    <cellStyle name="Normal 2 4 4 13 2" xfId="19974" xr:uid="{00000000-0005-0000-0000-0000B0BA0000}"/>
    <cellStyle name="Normal 2 4 4 13 2 10" xfId="53745" xr:uid="{00000000-0005-0000-0000-0000B1BA0000}"/>
    <cellStyle name="Normal 2 4 4 13 2 2" xfId="19975" xr:uid="{00000000-0005-0000-0000-0000B2BA0000}"/>
    <cellStyle name="Normal 2 4 4 13 2 2 2" xfId="19976" xr:uid="{00000000-0005-0000-0000-0000B3BA0000}"/>
    <cellStyle name="Normal 2 4 4 13 2 2 2 2" xfId="19977" xr:uid="{00000000-0005-0000-0000-0000B4BA0000}"/>
    <cellStyle name="Normal 2 4 4 13 2 2 2 2 2" xfId="53746" xr:uid="{00000000-0005-0000-0000-0000B5BA0000}"/>
    <cellStyle name="Normal 2 4 4 13 2 2 2 3" xfId="19978" xr:uid="{00000000-0005-0000-0000-0000B6BA0000}"/>
    <cellStyle name="Normal 2 4 4 13 2 2 2 3 2" xfId="53747" xr:uid="{00000000-0005-0000-0000-0000B7BA0000}"/>
    <cellStyle name="Normal 2 4 4 13 2 2 2 4" xfId="53748" xr:uid="{00000000-0005-0000-0000-0000B8BA0000}"/>
    <cellStyle name="Normal 2 4 4 13 2 2 3" xfId="19979" xr:uid="{00000000-0005-0000-0000-0000B9BA0000}"/>
    <cellStyle name="Normal 2 4 4 13 2 2 3 2" xfId="53749" xr:uid="{00000000-0005-0000-0000-0000BABA0000}"/>
    <cellStyle name="Normal 2 4 4 13 2 2 4" xfId="19980" xr:uid="{00000000-0005-0000-0000-0000BBBA0000}"/>
    <cellStyle name="Normal 2 4 4 13 2 2 4 2" xfId="53750" xr:uid="{00000000-0005-0000-0000-0000BCBA0000}"/>
    <cellStyle name="Normal 2 4 4 13 2 2 5" xfId="19981" xr:uid="{00000000-0005-0000-0000-0000BDBA0000}"/>
    <cellStyle name="Normal 2 4 4 13 2 2 5 2" xfId="53751" xr:uid="{00000000-0005-0000-0000-0000BEBA0000}"/>
    <cellStyle name="Normal 2 4 4 13 2 2 6" xfId="53752" xr:uid="{00000000-0005-0000-0000-0000BFBA0000}"/>
    <cellStyle name="Normal 2 4 4 13 2 2 6 2" xfId="53753" xr:uid="{00000000-0005-0000-0000-0000C0BA0000}"/>
    <cellStyle name="Normal 2 4 4 13 2 2 7" xfId="53754" xr:uid="{00000000-0005-0000-0000-0000C1BA0000}"/>
    <cellStyle name="Normal 2 4 4 13 2 3" xfId="19982" xr:uid="{00000000-0005-0000-0000-0000C2BA0000}"/>
    <cellStyle name="Normal 2 4 4 13 2 3 2" xfId="19983" xr:uid="{00000000-0005-0000-0000-0000C3BA0000}"/>
    <cellStyle name="Normal 2 4 4 13 2 3 2 2" xfId="53755" xr:uid="{00000000-0005-0000-0000-0000C4BA0000}"/>
    <cellStyle name="Normal 2 4 4 13 2 3 3" xfId="19984" xr:uid="{00000000-0005-0000-0000-0000C5BA0000}"/>
    <cellStyle name="Normal 2 4 4 13 2 3 3 2" xfId="53756" xr:uid="{00000000-0005-0000-0000-0000C6BA0000}"/>
    <cellStyle name="Normal 2 4 4 13 2 3 4" xfId="53757" xr:uid="{00000000-0005-0000-0000-0000C7BA0000}"/>
    <cellStyle name="Normal 2 4 4 13 2 4" xfId="19985" xr:uid="{00000000-0005-0000-0000-0000C8BA0000}"/>
    <cellStyle name="Normal 2 4 4 13 2 4 2" xfId="19986" xr:uid="{00000000-0005-0000-0000-0000C9BA0000}"/>
    <cellStyle name="Normal 2 4 4 13 2 4 2 2" xfId="53758" xr:uid="{00000000-0005-0000-0000-0000CABA0000}"/>
    <cellStyle name="Normal 2 4 4 13 2 4 3" xfId="53759" xr:uid="{00000000-0005-0000-0000-0000CBBA0000}"/>
    <cellStyle name="Normal 2 4 4 13 2 5" xfId="19987" xr:uid="{00000000-0005-0000-0000-0000CCBA0000}"/>
    <cellStyle name="Normal 2 4 4 13 2 5 2" xfId="53760" xr:uid="{00000000-0005-0000-0000-0000CDBA0000}"/>
    <cellStyle name="Normal 2 4 4 13 2 6" xfId="19988" xr:uid="{00000000-0005-0000-0000-0000CEBA0000}"/>
    <cellStyle name="Normal 2 4 4 13 2 6 2" xfId="53761" xr:uid="{00000000-0005-0000-0000-0000CFBA0000}"/>
    <cellStyle name="Normal 2 4 4 13 2 7" xfId="53762" xr:uid="{00000000-0005-0000-0000-0000D0BA0000}"/>
    <cellStyle name="Normal 2 4 4 13 2 7 2" xfId="53763" xr:uid="{00000000-0005-0000-0000-0000D1BA0000}"/>
    <cellStyle name="Normal 2 4 4 13 2 8" xfId="53764" xr:uid="{00000000-0005-0000-0000-0000D2BA0000}"/>
    <cellStyle name="Normal 2 4 4 13 2 9" xfId="53765" xr:uid="{00000000-0005-0000-0000-0000D3BA0000}"/>
    <cellStyle name="Normal 2 4 4 13 3" xfId="19989" xr:uid="{00000000-0005-0000-0000-0000D4BA0000}"/>
    <cellStyle name="Normal 2 4 4 13 3 2" xfId="19990" xr:uid="{00000000-0005-0000-0000-0000D5BA0000}"/>
    <cellStyle name="Normal 2 4 4 13 3 2 2" xfId="19991" xr:uid="{00000000-0005-0000-0000-0000D6BA0000}"/>
    <cellStyle name="Normal 2 4 4 13 3 2 2 2" xfId="53766" xr:uid="{00000000-0005-0000-0000-0000D7BA0000}"/>
    <cellStyle name="Normal 2 4 4 13 3 2 3" xfId="19992" xr:uid="{00000000-0005-0000-0000-0000D8BA0000}"/>
    <cellStyle name="Normal 2 4 4 13 3 2 3 2" xfId="53767" xr:uid="{00000000-0005-0000-0000-0000D9BA0000}"/>
    <cellStyle name="Normal 2 4 4 13 3 2 4" xfId="53768" xr:uid="{00000000-0005-0000-0000-0000DABA0000}"/>
    <cellStyle name="Normal 2 4 4 13 3 3" xfId="19993" xr:uid="{00000000-0005-0000-0000-0000DBBA0000}"/>
    <cellStyle name="Normal 2 4 4 13 3 3 2" xfId="53769" xr:uid="{00000000-0005-0000-0000-0000DCBA0000}"/>
    <cellStyle name="Normal 2 4 4 13 3 4" xfId="19994" xr:uid="{00000000-0005-0000-0000-0000DDBA0000}"/>
    <cellStyle name="Normal 2 4 4 13 3 4 2" xfId="53770" xr:uid="{00000000-0005-0000-0000-0000DEBA0000}"/>
    <cellStyle name="Normal 2 4 4 13 3 5" xfId="19995" xr:uid="{00000000-0005-0000-0000-0000DFBA0000}"/>
    <cellStyle name="Normal 2 4 4 13 3 5 2" xfId="53771" xr:uid="{00000000-0005-0000-0000-0000E0BA0000}"/>
    <cellStyle name="Normal 2 4 4 13 3 6" xfId="53772" xr:uid="{00000000-0005-0000-0000-0000E1BA0000}"/>
    <cellStyle name="Normal 2 4 4 13 3 6 2" xfId="53773" xr:uid="{00000000-0005-0000-0000-0000E2BA0000}"/>
    <cellStyle name="Normal 2 4 4 13 3 7" xfId="53774" xr:uid="{00000000-0005-0000-0000-0000E3BA0000}"/>
    <cellStyle name="Normal 2 4 4 13 4" xfId="19996" xr:uid="{00000000-0005-0000-0000-0000E4BA0000}"/>
    <cellStyle name="Normal 2 4 4 13 4 2" xfId="19997" xr:uid="{00000000-0005-0000-0000-0000E5BA0000}"/>
    <cellStyle name="Normal 2 4 4 13 4 2 2" xfId="53775" xr:uid="{00000000-0005-0000-0000-0000E6BA0000}"/>
    <cellStyle name="Normal 2 4 4 13 4 3" xfId="19998" xr:uid="{00000000-0005-0000-0000-0000E7BA0000}"/>
    <cellStyle name="Normal 2 4 4 13 4 3 2" xfId="53776" xr:uid="{00000000-0005-0000-0000-0000E8BA0000}"/>
    <cellStyle name="Normal 2 4 4 13 4 4" xfId="53777" xr:uid="{00000000-0005-0000-0000-0000E9BA0000}"/>
    <cellStyle name="Normal 2 4 4 13 5" xfId="19999" xr:uid="{00000000-0005-0000-0000-0000EABA0000}"/>
    <cellStyle name="Normal 2 4 4 13 5 2" xfId="20000" xr:uid="{00000000-0005-0000-0000-0000EBBA0000}"/>
    <cellStyle name="Normal 2 4 4 13 5 2 2" xfId="53778" xr:uid="{00000000-0005-0000-0000-0000ECBA0000}"/>
    <cellStyle name="Normal 2 4 4 13 5 3" xfId="53779" xr:uid="{00000000-0005-0000-0000-0000EDBA0000}"/>
    <cellStyle name="Normal 2 4 4 13 6" xfId="20001" xr:uid="{00000000-0005-0000-0000-0000EEBA0000}"/>
    <cellStyle name="Normal 2 4 4 13 6 2" xfId="53780" xr:uid="{00000000-0005-0000-0000-0000EFBA0000}"/>
    <cellStyle name="Normal 2 4 4 13 7" xfId="20002" xr:uid="{00000000-0005-0000-0000-0000F0BA0000}"/>
    <cellStyle name="Normal 2 4 4 13 7 2" xfId="53781" xr:uid="{00000000-0005-0000-0000-0000F1BA0000}"/>
    <cellStyle name="Normal 2 4 4 13 8" xfId="53782" xr:uid="{00000000-0005-0000-0000-0000F2BA0000}"/>
    <cellStyle name="Normal 2 4 4 13 8 2" xfId="53783" xr:uid="{00000000-0005-0000-0000-0000F3BA0000}"/>
    <cellStyle name="Normal 2 4 4 13 9" xfId="53784" xr:uid="{00000000-0005-0000-0000-0000F4BA0000}"/>
    <cellStyle name="Normal 2 4 4 14" xfId="20003" xr:uid="{00000000-0005-0000-0000-0000F5BA0000}"/>
    <cellStyle name="Normal 2 4 4 14 10" xfId="53785" xr:uid="{00000000-0005-0000-0000-0000F6BA0000}"/>
    <cellStyle name="Normal 2 4 4 14 11" xfId="53786" xr:uid="{00000000-0005-0000-0000-0000F7BA0000}"/>
    <cellStyle name="Normal 2 4 4 14 2" xfId="20004" xr:uid="{00000000-0005-0000-0000-0000F8BA0000}"/>
    <cellStyle name="Normal 2 4 4 14 2 10" xfId="53787" xr:uid="{00000000-0005-0000-0000-0000F9BA0000}"/>
    <cellStyle name="Normal 2 4 4 14 2 2" xfId="20005" xr:uid="{00000000-0005-0000-0000-0000FABA0000}"/>
    <cellStyle name="Normal 2 4 4 14 2 2 2" xfId="20006" xr:uid="{00000000-0005-0000-0000-0000FBBA0000}"/>
    <cellStyle name="Normal 2 4 4 14 2 2 2 2" xfId="20007" xr:uid="{00000000-0005-0000-0000-0000FCBA0000}"/>
    <cellStyle name="Normal 2 4 4 14 2 2 2 2 2" xfId="53788" xr:uid="{00000000-0005-0000-0000-0000FDBA0000}"/>
    <cellStyle name="Normal 2 4 4 14 2 2 2 3" xfId="20008" xr:uid="{00000000-0005-0000-0000-0000FEBA0000}"/>
    <cellStyle name="Normal 2 4 4 14 2 2 2 3 2" xfId="53789" xr:uid="{00000000-0005-0000-0000-0000FFBA0000}"/>
    <cellStyle name="Normal 2 4 4 14 2 2 2 4" xfId="53790" xr:uid="{00000000-0005-0000-0000-000000BB0000}"/>
    <cellStyle name="Normal 2 4 4 14 2 2 3" xfId="20009" xr:uid="{00000000-0005-0000-0000-000001BB0000}"/>
    <cellStyle name="Normal 2 4 4 14 2 2 3 2" xfId="53791" xr:uid="{00000000-0005-0000-0000-000002BB0000}"/>
    <cellStyle name="Normal 2 4 4 14 2 2 4" xfId="20010" xr:uid="{00000000-0005-0000-0000-000003BB0000}"/>
    <cellStyle name="Normal 2 4 4 14 2 2 4 2" xfId="53792" xr:uid="{00000000-0005-0000-0000-000004BB0000}"/>
    <cellStyle name="Normal 2 4 4 14 2 2 5" xfId="20011" xr:uid="{00000000-0005-0000-0000-000005BB0000}"/>
    <cellStyle name="Normal 2 4 4 14 2 2 5 2" xfId="53793" xr:uid="{00000000-0005-0000-0000-000006BB0000}"/>
    <cellStyle name="Normal 2 4 4 14 2 2 6" xfId="53794" xr:uid="{00000000-0005-0000-0000-000007BB0000}"/>
    <cellStyle name="Normal 2 4 4 14 2 2 6 2" xfId="53795" xr:uid="{00000000-0005-0000-0000-000008BB0000}"/>
    <cellStyle name="Normal 2 4 4 14 2 2 7" xfId="53796" xr:uid="{00000000-0005-0000-0000-000009BB0000}"/>
    <cellStyle name="Normal 2 4 4 14 2 3" xfId="20012" xr:uid="{00000000-0005-0000-0000-00000ABB0000}"/>
    <cellStyle name="Normal 2 4 4 14 2 3 2" xfId="20013" xr:uid="{00000000-0005-0000-0000-00000BBB0000}"/>
    <cellStyle name="Normal 2 4 4 14 2 3 2 2" xfId="53797" xr:uid="{00000000-0005-0000-0000-00000CBB0000}"/>
    <cellStyle name="Normal 2 4 4 14 2 3 3" xfId="20014" xr:uid="{00000000-0005-0000-0000-00000DBB0000}"/>
    <cellStyle name="Normal 2 4 4 14 2 3 3 2" xfId="53798" xr:uid="{00000000-0005-0000-0000-00000EBB0000}"/>
    <cellStyle name="Normal 2 4 4 14 2 3 4" xfId="53799" xr:uid="{00000000-0005-0000-0000-00000FBB0000}"/>
    <cellStyle name="Normal 2 4 4 14 2 4" xfId="20015" xr:uid="{00000000-0005-0000-0000-000010BB0000}"/>
    <cellStyle name="Normal 2 4 4 14 2 4 2" xfId="20016" xr:uid="{00000000-0005-0000-0000-000011BB0000}"/>
    <cellStyle name="Normal 2 4 4 14 2 4 2 2" xfId="53800" xr:uid="{00000000-0005-0000-0000-000012BB0000}"/>
    <cellStyle name="Normal 2 4 4 14 2 4 3" xfId="53801" xr:uid="{00000000-0005-0000-0000-000013BB0000}"/>
    <cellStyle name="Normal 2 4 4 14 2 5" xfId="20017" xr:uid="{00000000-0005-0000-0000-000014BB0000}"/>
    <cellStyle name="Normal 2 4 4 14 2 5 2" xfId="53802" xr:uid="{00000000-0005-0000-0000-000015BB0000}"/>
    <cellStyle name="Normal 2 4 4 14 2 6" xfId="20018" xr:uid="{00000000-0005-0000-0000-000016BB0000}"/>
    <cellStyle name="Normal 2 4 4 14 2 6 2" xfId="53803" xr:uid="{00000000-0005-0000-0000-000017BB0000}"/>
    <cellStyle name="Normal 2 4 4 14 2 7" xfId="53804" xr:uid="{00000000-0005-0000-0000-000018BB0000}"/>
    <cellStyle name="Normal 2 4 4 14 2 7 2" xfId="53805" xr:uid="{00000000-0005-0000-0000-000019BB0000}"/>
    <cellStyle name="Normal 2 4 4 14 2 8" xfId="53806" xr:uid="{00000000-0005-0000-0000-00001ABB0000}"/>
    <cellStyle name="Normal 2 4 4 14 2 9" xfId="53807" xr:uid="{00000000-0005-0000-0000-00001BBB0000}"/>
    <cellStyle name="Normal 2 4 4 14 3" xfId="20019" xr:uid="{00000000-0005-0000-0000-00001CBB0000}"/>
    <cellStyle name="Normal 2 4 4 14 3 2" xfId="20020" xr:uid="{00000000-0005-0000-0000-00001DBB0000}"/>
    <cellStyle name="Normal 2 4 4 14 3 2 2" xfId="20021" xr:uid="{00000000-0005-0000-0000-00001EBB0000}"/>
    <cellStyle name="Normal 2 4 4 14 3 2 2 2" xfId="53808" xr:uid="{00000000-0005-0000-0000-00001FBB0000}"/>
    <cellStyle name="Normal 2 4 4 14 3 2 3" xfId="20022" xr:uid="{00000000-0005-0000-0000-000020BB0000}"/>
    <cellStyle name="Normal 2 4 4 14 3 2 3 2" xfId="53809" xr:uid="{00000000-0005-0000-0000-000021BB0000}"/>
    <cellStyle name="Normal 2 4 4 14 3 2 4" xfId="53810" xr:uid="{00000000-0005-0000-0000-000022BB0000}"/>
    <cellStyle name="Normal 2 4 4 14 3 3" xfId="20023" xr:uid="{00000000-0005-0000-0000-000023BB0000}"/>
    <cellStyle name="Normal 2 4 4 14 3 3 2" xfId="53811" xr:uid="{00000000-0005-0000-0000-000024BB0000}"/>
    <cellStyle name="Normal 2 4 4 14 3 4" xfId="20024" xr:uid="{00000000-0005-0000-0000-000025BB0000}"/>
    <cellStyle name="Normal 2 4 4 14 3 4 2" xfId="53812" xr:uid="{00000000-0005-0000-0000-000026BB0000}"/>
    <cellStyle name="Normal 2 4 4 14 3 5" xfId="20025" xr:uid="{00000000-0005-0000-0000-000027BB0000}"/>
    <cellStyle name="Normal 2 4 4 14 3 5 2" xfId="53813" xr:uid="{00000000-0005-0000-0000-000028BB0000}"/>
    <cellStyle name="Normal 2 4 4 14 3 6" xfId="53814" xr:uid="{00000000-0005-0000-0000-000029BB0000}"/>
    <cellStyle name="Normal 2 4 4 14 3 6 2" xfId="53815" xr:uid="{00000000-0005-0000-0000-00002ABB0000}"/>
    <cellStyle name="Normal 2 4 4 14 3 7" xfId="53816" xr:uid="{00000000-0005-0000-0000-00002BBB0000}"/>
    <cellStyle name="Normal 2 4 4 14 4" xfId="20026" xr:uid="{00000000-0005-0000-0000-00002CBB0000}"/>
    <cellStyle name="Normal 2 4 4 14 4 2" xfId="20027" xr:uid="{00000000-0005-0000-0000-00002DBB0000}"/>
    <cellStyle name="Normal 2 4 4 14 4 2 2" xfId="53817" xr:uid="{00000000-0005-0000-0000-00002EBB0000}"/>
    <cellStyle name="Normal 2 4 4 14 4 3" xfId="20028" xr:uid="{00000000-0005-0000-0000-00002FBB0000}"/>
    <cellStyle name="Normal 2 4 4 14 4 3 2" xfId="53818" xr:uid="{00000000-0005-0000-0000-000030BB0000}"/>
    <cellStyle name="Normal 2 4 4 14 4 4" xfId="53819" xr:uid="{00000000-0005-0000-0000-000031BB0000}"/>
    <cellStyle name="Normal 2 4 4 14 5" xfId="20029" xr:uid="{00000000-0005-0000-0000-000032BB0000}"/>
    <cellStyle name="Normal 2 4 4 14 5 2" xfId="20030" xr:uid="{00000000-0005-0000-0000-000033BB0000}"/>
    <cellStyle name="Normal 2 4 4 14 5 2 2" xfId="53820" xr:uid="{00000000-0005-0000-0000-000034BB0000}"/>
    <cellStyle name="Normal 2 4 4 14 5 3" xfId="53821" xr:uid="{00000000-0005-0000-0000-000035BB0000}"/>
    <cellStyle name="Normal 2 4 4 14 6" xfId="20031" xr:uid="{00000000-0005-0000-0000-000036BB0000}"/>
    <cellStyle name="Normal 2 4 4 14 6 2" xfId="53822" xr:uid="{00000000-0005-0000-0000-000037BB0000}"/>
    <cellStyle name="Normal 2 4 4 14 7" xfId="20032" xr:uid="{00000000-0005-0000-0000-000038BB0000}"/>
    <cellStyle name="Normal 2 4 4 14 7 2" xfId="53823" xr:uid="{00000000-0005-0000-0000-000039BB0000}"/>
    <cellStyle name="Normal 2 4 4 14 8" xfId="53824" xr:uid="{00000000-0005-0000-0000-00003ABB0000}"/>
    <cellStyle name="Normal 2 4 4 14 8 2" xfId="53825" xr:uid="{00000000-0005-0000-0000-00003BBB0000}"/>
    <cellStyle name="Normal 2 4 4 14 9" xfId="53826" xr:uid="{00000000-0005-0000-0000-00003CBB0000}"/>
    <cellStyle name="Normal 2 4 4 15" xfId="20033" xr:uid="{00000000-0005-0000-0000-00003DBB0000}"/>
    <cellStyle name="Normal 2 4 4 15 10" xfId="53827" xr:uid="{00000000-0005-0000-0000-00003EBB0000}"/>
    <cellStyle name="Normal 2 4 4 15 11" xfId="53828" xr:uid="{00000000-0005-0000-0000-00003FBB0000}"/>
    <cellStyle name="Normal 2 4 4 15 2" xfId="20034" xr:uid="{00000000-0005-0000-0000-000040BB0000}"/>
    <cellStyle name="Normal 2 4 4 15 2 10" xfId="53829" xr:uid="{00000000-0005-0000-0000-000041BB0000}"/>
    <cellStyle name="Normal 2 4 4 15 2 2" xfId="20035" xr:uid="{00000000-0005-0000-0000-000042BB0000}"/>
    <cellStyle name="Normal 2 4 4 15 2 2 2" xfId="20036" xr:uid="{00000000-0005-0000-0000-000043BB0000}"/>
    <cellStyle name="Normal 2 4 4 15 2 2 2 2" xfId="20037" xr:uid="{00000000-0005-0000-0000-000044BB0000}"/>
    <cellStyle name="Normal 2 4 4 15 2 2 2 2 2" xfId="53830" xr:uid="{00000000-0005-0000-0000-000045BB0000}"/>
    <cellStyle name="Normal 2 4 4 15 2 2 2 3" xfId="20038" xr:uid="{00000000-0005-0000-0000-000046BB0000}"/>
    <cellStyle name="Normal 2 4 4 15 2 2 2 3 2" xfId="53831" xr:uid="{00000000-0005-0000-0000-000047BB0000}"/>
    <cellStyle name="Normal 2 4 4 15 2 2 2 4" xfId="53832" xr:uid="{00000000-0005-0000-0000-000048BB0000}"/>
    <cellStyle name="Normal 2 4 4 15 2 2 3" xfId="20039" xr:uid="{00000000-0005-0000-0000-000049BB0000}"/>
    <cellStyle name="Normal 2 4 4 15 2 2 3 2" xfId="53833" xr:uid="{00000000-0005-0000-0000-00004ABB0000}"/>
    <cellStyle name="Normal 2 4 4 15 2 2 4" xfId="20040" xr:uid="{00000000-0005-0000-0000-00004BBB0000}"/>
    <cellStyle name="Normal 2 4 4 15 2 2 4 2" xfId="53834" xr:uid="{00000000-0005-0000-0000-00004CBB0000}"/>
    <cellStyle name="Normal 2 4 4 15 2 2 5" xfId="20041" xr:uid="{00000000-0005-0000-0000-00004DBB0000}"/>
    <cellStyle name="Normal 2 4 4 15 2 2 5 2" xfId="53835" xr:uid="{00000000-0005-0000-0000-00004EBB0000}"/>
    <cellStyle name="Normal 2 4 4 15 2 2 6" xfId="53836" xr:uid="{00000000-0005-0000-0000-00004FBB0000}"/>
    <cellStyle name="Normal 2 4 4 15 2 2 6 2" xfId="53837" xr:uid="{00000000-0005-0000-0000-000050BB0000}"/>
    <cellStyle name="Normal 2 4 4 15 2 2 7" xfId="53838" xr:uid="{00000000-0005-0000-0000-000051BB0000}"/>
    <cellStyle name="Normal 2 4 4 15 2 3" xfId="20042" xr:uid="{00000000-0005-0000-0000-000052BB0000}"/>
    <cellStyle name="Normal 2 4 4 15 2 3 2" xfId="20043" xr:uid="{00000000-0005-0000-0000-000053BB0000}"/>
    <cellStyle name="Normal 2 4 4 15 2 3 2 2" xfId="53839" xr:uid="{00000000-0005-0000-0000-000054BB0000}"/>
    <cellStyle name="Normal 2 4 4 15 2 3 3" xfId="20044" xr:uid="{00000000-0005-0000-0000-000055BB0000}"/>
    <cellStyle name="Normal 2 4 4 15 2 3 3 2" xfId="53840" xr:uid="{00000000-0005-0000-0000-000056BB0000}"/>
    <cellStyle name="Normal 2 4 4 15 2 3 4" xfId="53841" xr:uid="{00000000-0005-0000-0000-000057BB0000}"/>
    <cellStyle name="Normal 2 4 4 15 2 4" xfId="20045" xr:uid="{00000000-0005-0000-0000-000058BB0000}"/>
    <cellStyle name="Normal 2 4 4 15 2 4 2" xfId="20046" xr:uid="{00000000-0005-0000-0000-000059BB0000}"/>
    <cellStyle name="Normal 2 4 4 15 2 4 2 2" xfId="53842" xr:uid="{00000000-0005-0000-0000-00005ABB0000}"/>
    <cellStyle name="Normal 2 4 4 15 2 4 3" xfId="53843" xr:uid="{00000000-0005-0000-0000-00005BBB0000}"/>
    <cellStyle name="Normal 2 4 4 15 2 5" xfId="20047" xr:uid="{00000000-0005-0000-0000-00005CBB0000}"/>
    <cellStyle name="Normal 2 4 4 15 2 5 2" xfId="53844" xr:uid="{00000000-0005-0000-0000-00005DBB0000}"/>
    <cellStyle name="Normal 2 4 4 15 2 6" xfId="20048" xr:uid="{00000000-0005-0000-0000-00005EBB0000}"/>
    <cellStyle name="Normal 2 4 4 15 2 6 2" xfId="53845" xr:uid="{00000000-0005-0000-0000-00005FBB0000}"/>
    <cellStyle name="Normal 2 4 4 15 2 7" xfId="53846" xr:uid="{00000000-0005-0000-0000-000060BB0000}"/>
    <cellStyle name="Normal 2 4 4 15 2 7 2" xfId="53847" xr:uid="{00000000-0005-0000-0000-000061BB0000}"/>
    <cellStyle name="Normal 2 4 4 15 2 8" xfId="53848" xr:uid="{00000000-0005-0000-0000-000062BB0000}"/>
    <cellStyle name="Normal 2 4 4 15 2 9" xfId="53849" xr:uid="{00000000-0005-0000-0000-000063BB0000}"/>
    <cellStyle name="Normal 2 4 4 15 3" xfId="20049" xr:uid="{00000000-0005-0000-0000-000064BB0000}"/>
    <cellStyle name="Normal 2 4 4 15 3 2" xfId="20050" xr:uid="{00000000-0005-0000-0000-000065BB0000}"/>
    <cellStyle name="Normal 2 4 4 15 3 2 2" xfId="20051" xr:uid="{00000000-0005-0000-0000-000066BB0000}"/>
    <cellStyle name="Normal 2 4 4 15 3 2 2 2" xfId="53850" xr:uid="{00000000-0005-0000-0000-000067BB0000}"/>
    <cellStyle name="Normal 2 4 4 15 3 2 3" xfId="20052" xr:uid="{00000000-0005-0000-0000-000068BB0000}"/>
    <cellStyle name="Normal 2 4 4 15 3 2 3 2" xfId="53851" xr:uid="{00000000-0005-0000-0000-000069BB0000}"/>
    <cellStyle name="Normal 2 4 4 15 3 2 4" xfId="53852" xr:uid="{00000000-0005-0000-0000-00006ABB0000}"/>
    <cellStyle name="Normal 2 4 4 15 3 3" xfId="20053" xr:uid="{00000000-0005-0000-0000-00006BBB0000}"/>
    <cellStyle name="Normal 2 4 4 15 3 3 2" xfId="53853" xr:uid="{00000000-0005-0000-0000-00006CBB0000}"/>
    <cellStyle name="Normal 2 4 4 15 3 4" xfId="20054" xr:uid="{00000000-0005-0000-0000-00006DBB0000}"/>
    <cellStyle name="Normal 2 4 4 15 3 4 2" xfId="53854" xr:uid="{00000000-0005-0000-0000-00006EBB0000}"/>
    <cellStyle name="Normal 2 4 4 15 3 5" xfId="20055" xr:uid="{00000000-0005-0000-0000-00006FBB0000}"/>
    <cellStyle name="Normal 2 4 4 15 3 5 2" xfId="53855" xr:uid="{00000000-0005-0000-0000-000070BB0000}"/>
    <cellStyle name="Normal 2 4 4 15 3 6" xfId="53856" xr:uid="{00000000-0005-0000-0000-000071BB0000}"/>
    <cellStyle name="Normal 2 4 4 15 3 6 2" xfId="53857" xr:uid="{00000000-0005-0000-0000-000072BB0000}"/>
    <cellStyle name="Normal 2 4 4 15 3 7" xfId="53858" xr:uid="{00000000-0005-0000-0000-000073BB0000}"/>
    <cellStyle name="Normal 2 4 4 15 4" xfId="20056" xr:uid="{00000000-0005-0000-0000-000074BB0000}"/>
    <cellStyle name="Normal 2 4 4 15 4 2" xfId="20057" xr:uid="{00000000-0005-0000-0000-000075BB0000}"/>
    <cellStyle name="Normal 2 4 4 15 4 2 2" xfId="53859" xr:uid="{00000000-0005-0000-0000-000076BB0000}"/>
    <cellStyle name="Normal 2 4 4 15 4 3" xfId="20058" xr:uid="{00000000-0005-0000-0000-000077BB0000}"/>
    <cellStyle name="Normal 2 4 4 15 4 3 2" xfId="53860" xr:uid="{00000000-0005-0000-0000-000078BB0000}"/>
    <cellStyle name="Normal 2 4 4 15 4 4" xfId="53861" xr:uid="{00000000-0005-0000-0000-000079BB0000}"/>
    <cellStyle name="Normal 2 4 4 15 5" xfId="20059" xr:uid="{00000000-0005-0000-0000-00007ABB0000}"/>
    <cellStyle name="Normal 2 4 4 15 5 2" xfId="20060" xr:uid="{00000000-0005-0000-0000-00007BBB0000}"/>
    <cellStyle name="Normal 2 4 4 15 5 2 2" xfId="53862" xr:uid="{00000000-0005-0000-0000-00007CBB0000}"/>
    <cellStyle name="Normal 2 4 4 15 5 3" xfId="53863" xr:uid="{00000000-0005-0000-0000-00007DBB0000}"/>
    <cellStyle name="Normal 2 4 4 15 6" xfId="20061" xr:uid="{00000000-0005-0000-0000-00007EBB0000}"/>
    <cellStyle name="Normal 2 4 4 15 6 2" xfId="53864" xr:uid="{00000000-0005-0000-0000-00007FBB0000}"/>
    <cellStyle name="Normal 2 4 4 15 7" xfId="20062" xr:uid="{00000000-0005-0000-0000-000080BB0000}"/>
    <cellStyle name="Normal 2 4 4 15 7 2" xfId="53865" xr:uid="{00000000-0005-0000-0000-000081BB0000}"/>
    <cellStyle name="Normal 2 4 4 15 8" xfId="53866" xr:uid="{00000000-0005-0000-0000-000082BB0000}"/>
    <cellStyle name="Normal 2 4 4 15 8 2" xfId="53867" xr:uid="{00000000-0005-0000-0000-000083BB0000}"/>
    <cellStyle name="Normal 2 4 4 15 9" xfId="53868" xr:uid="{00000000-0005-0000-0000-000084BB0000}"/>
    <cellStyle name="Normal 2 4 4 16" xfId="20063" xr:uid="{00000000-0005-0000-0000-000085BB0000}"/>
    <cellStyle name="Normal 2 4 4 16 10" xfId="53869" xr:uid="{00000000-0005-0000-0000-000086BB0000}"/>
    <cellStyle name="Normal 2 4 4 16 11" xfId="53870" xr:uid="{00000000-0005-0000-0000-000087BB0000}"/>
    <cellStyle name="Normal 2 4 4 16 2" xfId="20064" xr:uid="{00000000-0005-0000-0000-000088BB0000}"/>
    <cellStyle name="Normal 2 4 4 16 2 10" xfId="53871" xr:uid="{00000000-0005-0000-0000-000089BB0000}"/>
    <cellStyle name="Normal 2 4 4 16 2 2" xfId="20065" xr:uid="{00000000-0005-0000-0000-00008ABB0000}"/>
    <cellStyle name="Normal 2 4 4 16 2 2 2" xfId="20066" xr:uid="{00000000-0005-0000-0000-00008BBB0000}"/>
    <cellStyle name="Normal 2 4 4 16 2 2 2 2" xfId="20067" xr:uid="{00000000-0005-0000-0000-00008CBB0000}"/>
    <cellStyle name="Normal 2 4 4 16 2 2 2 2 2" xfId="53872" xr:uid="{00000000-0005-0000-0000-00008DBB0000}"/>
    <cellStyle name="Normal 2 4 4 16 2 2 2 3" xfId="20068" xr:uid="{00000000-0005-0000-0000-00008EBB0000}"/>
    <cellStyle name="Normal 2 4 4 16 2 2 2 3 2" xfId="53873" xr:uid="{00000000-0005-0000-0000-00008FBB0000}"/>
    <cellStyle name="Normal 2 4 4 16 2 2 2 4" xfId="53874" xr:uid="{00000000-0005-0000-0000-000090BB0000}"/>
    <cellStyle name="Normal 2 4 4 16 2 2 3" xfId="20069" xr:uid="{00000000-0005-0000-0000-000091BB0000}"/>
    <cellStyle name="Normal 2 4 4 16 2 2 3 2" xfId="53875" xr:uid="{00000000-0005-0000-0000-000092BB0000}"/>
    <cellStyle name="Normal 2 4 4 16 2 2 4" xfId="20070" xr:uid="{00000000-0005-0000-0000-000093BB0000}"/>
    <cellStyle name="Normal 2 4 4 16 2 2 4 2" xfId="53876" xr:uid="{00000000-0005-0000-0000-000094BB0000}"/>
    <cellStyle name="Normal 2 4 4 16 2 2 5" xfId="20071" xr:uid="{00000000-0005-0000-0000-000095BB0000}"/>
    <cellStyle name="Normal 2 4 4 16 2 2 5 2" xfId="53877" xr:uid="{00000000-0005-0000-0000-000096BB0000}"/>
    <cellStyle name="Normal 2 4 4 16 2 2 6" xfId="53878" xr:uid="{00000000-0005-0000-0000-000097BB0000}"/>
    <cellStyle name="Normal 2 4 4 16 2 2 6 2" xfId="53879" xr:uid="{00000000-0005-0000-0000-000098BB0000}"/>
    <cellStyle name="Normal 2 4 4 16 2 2 7" xfId="53880" xr:uid="{00000000-0005-0000-0000-000099BB0000}"/>
    <cellStyle name="Normal 2 4 4 16 2 3" xfId="20072" xr:uid="{00000000-0005-0000-0000-00009ABB0000}"/>
    <cellStyle name="Normal 2 4 4 16 2 3 2" xfId="20073" xr:uid="{00000000-0005-0000-0000-00009BBB0000}"/>
    <cellStyle name="Normal 2 4 4 16 2 3 2 2" xfId="53881" xr:uid="{00000000-0005-0000-0000-00009CBB0000}"/>
    <cellStyle name="Normal 2 4 4 16 2 3 3" xfId="20074" xr:uid="{00000000-0005-0000-0000-00009DBB0000}"/>
    <cellStyle name="Normal 2 4 4 16 2 3 3 2" xfId="53882" xr:uid="{00000000-0005-0000-0000-00009EBB0000}"/>
    <cellStyle name="Normal 2 4 4 16 2 3 4" xfId="53883" xr:uid="{00000000-0005-0000-0000-00009FBB0000}"/>
    <cellStyle name="Normal 2 4 4 16 2 4" xfId="20075" xr:uid="{00000000-0005-0000-0000-0000A0BB0000}"/>
    <cellStyle name="Normal 2 4 4 16 2 4 2" xfId="20076" xr:uid="{00000000-0005-0000-0000-0000A1BB0000}"/>
    <cellStyle name="Normal 2 4 4 16 2 4 2 2" xfId="53884" xr:uid="{00000000-0005-0000-0000-0000A2BB0000}"/>
    <cellStyle name="Normal 2 4 4 16 2 4 3" xfId="53885" xr:uid="{00000000-0005-0000-0000-0000A3BB0000}"/>
    <cellStyle name="Normal 2 4 4 16 2 5" xfId="20077" xr:uid="{00000000-0005-0000-0000-0000A4BB0000}"/>
    <cellStyle name="Normal 2 4 4 16 2 5 2" xfId="53886" xr:uid="{00000000-0005-0000-0000-0000A5BB0000}"/>
    <cellStyle name="Normal 2 4 4 16 2 6" xfId="20078" xr:uid="{00000000-0005-0000-0000-0000A6BB0000}"/>
    <cellStyle name="Normal 2 4 4 16 2 6 2" xfId="53887" xr:uid="{00000000-0005-0000-0000-0000A7BB0000}"/>
    <cellStyle name="Normal 2 4 4 16 2 7" xfId="53888" xr:uid="{00000000-0005-0000-0000-0000A8BB0000}"/>
    <cellStyle name="Normal 2 4 4 16 2 7 2" xfId="53889" xr:uid="{00000000-0005-0000-0000-0000A9BB0000}"/>
    <cellStyle name="Normal 2 4 4 16 2 8" xfId="53890" xr:uid="{00000000-0005-0000-0000-0000AABB0000}"/>
    <cellStyle name="Normal 2 4 4 16 2 9" xfId="53891" xr:uid="{00000000-0005-0000-0000-0000ABBB0000}"/>
    <cellStyle name="Normal 2 4 4 16 3" xfId="20079" xr:uid="{00000000-0005-0000-0000-0000ACBB0000}"/>
    <cellStyle name="Normal 2 4 4 16 3 2" xfId="20080" xr:uid="{00000000-0005-0000-0000-0000ADBB0000}"/>
    <cellStyle name="Normal 2 4 4 16 3 2 2" xfId="20081" xr:uid="{00000000-0005-0000-0000-0000AEBB0000}"/>
    <cellStyle name="Normal 2 4 4 16 3 2 2 2" xfId="53892" xr:uid="{00000000-0005-0000-0000-0000AFBB0000}"/>
    <cellStyle name="Normal 2 4 4 16 3 2 3" xfId="20082" xr:uid="{00000000-0005-0000-0000-0000B0BB0000}"/>
    <cellStyle name="Normal 2 4 4 16 3 2 3 2" xfId="53893" xr:uid="{00000000-0005-0000-0000-0000B1BB0000}"/>
    <cellStyle name="Normal 2 4 4 16 3 2 4" xfId="53894" xr:uid="{00000000-0005-0000-0000-0000B2BB0000}"/>
    <cellStyle name="Normal 2 4 4 16 3 3" xfId="20083" xr:uid="{00000000-0005-0000-0000-0000B3BB0000}"/>
    <cellStyle name="Normal 2 4 4 16 3 3 2" xfId="53895" xr:uid="{00000000-0005-0000-0000-0000B4BB0000}"/>
    <cellStyle name="Normal 2 4 4 16 3 4" xfId="20084" xr:uid="{00000000-0005-0000-0000-0000B5BB0000}"/>
    <cellStyle name="Normal 2 4 4 16 3 4 2" xfId="53896" xr:uid="{00000000-0005-0000-0000-0000B6BB0000}"/>
    <cellStyle name="Normal 2 4 4 16 3 5" xfId="20085" xr:uid="{00000000-0005-0000-0000-0000B7BB0000}"/>
    <cellStyle name="Normal 2 4 4 16 3 5 2" xfId="53897" xr:uid="{00000000-0005-0000-0000-0000B8BB0000}"/>
    <cellStyle name="Normal 2 4 4 16 3 6" xfId="53898" xr:uid="{00000000-0005-0000-0000-0000B9BB0000}"/>
    <cellStyle name="Normal 2 4 4 16 3 6 2" xfId="53899" xr:uid="{00000000-0005-0000-0000-0000BABB0000}"/>
    <cellStyle name="Normal 2 4 4 16 3 7" xfId="53900" xr:uid="{00000000-0005-0000-0000-0000BBBB0000}"/>
    <cellStyle name="Normal 2 4 4 16 4" xfId="20086" xr:uid="{00000000-0005-0000-0000-0000BCBB0000}"/>
    <cellStyle name="Normal 2 4 4 16 4 2" xfId="20087" xr:uid="{00000000-0005-0000-0000-0000BDBB0000}"/>
    <cellStyle name="Normal 2 4 4 16 4 2 2" xfId="53901" xr:uid="{00000000-0005-0000-0000-0000BEBB0000}"/>
    <cellStyle name="Normal 2 4 4 16 4 3" xfId="20088" xr:uid="{00000000-0005-0000-0000-0000BFBB0000}"/>
    <cellStyle name="Normal 2 4 4 16 4 3 2" xfId="53902" xr:uid="{00000000-0005-0000-0000-0000C0BB0000}"/>
    <cellStyle name="Normal 2 4 4 16 4 4" xfId="53903" xr:uid="{00000000-0005-0000-0000-0000C1BB0000}"/>
    <cellStyle name="Normal 2 4 4 16 5" xfId="20089" xr:uid="{00000000-0005-0000-0000-0000C2BB0000}"/>
    <cellStyle name="Normal 2 4 4 16 5 2" xfId="20090" xr:uid="{00000000-0005-0000-0000-0000C3BB0000}"/>
    <cellStyle name="Normal 2 4 4 16 5 2 2" xfId="53904" xr:uid="{00000000-0005-0000-0000-0000C4BB0000}"/>
    <cellStyle name="Normal 2 4 4 16 5 3" xfId="53905" xr:uid="{00000000-0005-0000-0000-0000C5BB0000}"/>
    <cellStyle name="Normal 2 4 4 16 6" xfId="20091" xr:uid="{00000000-0005-0000-0000-0000C6BB0000}"/>
    <cellStyle name="Normal 2 4 4 16 6 2" xfId="53906" xr:uid="{00000000-0005-0000-0000-0000C7BB0000}"/>
    <cellStyle name="Normal 2 4 4 16 7" xfId="20092" xr:uid="{00000000-0005-0000-0000-0000C8BB0000}"/>
    <cellStyle name="Normal 2 4 4 16 7 2" xfId="53907" xr:uid="{00000000-0005-0000-0000-0000C9BB0000}"/>
    <cellStyle name="Normal 2 4 4 16 8" xfId="53908" xr:uid="{00000000-0005-0000-0000-0000CABB0000}"/>
    <cellStyle name="Normal 2 4 4 16 8 2" xfId="53909" xr:uid="{00000000-0005-0000-0000-0000CBBB0000}"/>
    <cellStyle name="Normal 2 4 4 16 9" xfId="53910" xr:uid="{00000000-0005-0000-0000-0000CCBB0000}"/>
    <cellStyle name="Normal 2 4 4 17" xfId="20093" xr:uid="{00000000-0005-0000-0000-0000CDBB0000}"/>
    <cellStyle name="Normal 2 4 4 17 10" xfId="53911" xr:uid="{00000000-0005-0000-0000-0000CEBB0000}"/>
    <cellStyle name="Normal 2 4 4 17 11" xfId="53912" xr:uid="{00000000-0005-0000-0000-0000CFBB0000}"/>
    <cellStyle name="Normal 2 4 4 17 2" xfId="20094" xr:uid="{00000000-0005-0000-0000-0000D0BB0000}"/>
    <cellStyle name="Normal 2 4 4 17 2 10" xfId="53913" xr:uid="{00000000-0005-0000-0000-0000D1BB0000}"/>
    <cellStyle name="Normal 2 4 4 17 2 2" xfId="20095" xr:uid="{00000000-0005-0000-0000-0000D2BB0000}"/>
    <cellStyle name="Normal 2 4 4 17 2 2 2" xfId="20096" xr:uid="{00000000-0005-0000-0000-0000D3BB0000}"/>
    <cellStyle name="Normal 2 4 4 17 2 2 2 2" xfId="20097" xr:uid="{00000000-0005-0000-0000-0000D4BB0000}"/>
    <cellStyle name="Normal 2 4 4 17 2 2 2 2 2" xfId="53914" xr:uid="{00000000-0005-0000-0000-0000D5BB0000}"/>
    <cellStyle name="Normal 2 4 4 17 2 2 2 3" xfId="20098" xr:uid="{00000000-0005-0000-0000-0000D6BB0000}"/>
    <cellStyle name="Normal 2 4 4 17 2 2 2 3 2" xfId="53915" xr:uid="{00000000-0005-0000-0000-0000D7BB0000}"/>
    <cellStyle name="Normal 2 4 4 17 2 2 2 4" xfId="53916" xr:uid="{00000000-0005-0000-0000-0000D8BB0000}"/>
    <cellStyle name="Normal 2 4 4 17 2 2 3" xfId="20099" xr:uid="{00000000-0005-0000-0000-0000D9BB0000}"/>
    <cellStyle name="Normal 2 4 4 17 2 2 3 2" xfId="53917" xr:uid="{00000000-0005-0000-0000-0000DABB0000}"/>
    <cellStyle name="Normal 2 4 4 17 2 2 4" xfId="20100" xr:uid="{00000000-0005-0000-0000-0000DBBB0000}"/>
    <cellStyle name="Normal 2 4 4 17 2 2 4 2" xfId="53918" xr:uid="{00000000-0005-0000-0000-0000DCBB0000}"/>
    <cellStyle name="Normal 2 4 4 17 2 2 5" xfId="20101" xr:uid="{00000000-0005-0000-0000-0000DDBB0000}"/>
    <cellStyle name="Normal 2 4 4 17 2 2 5 2" xfId="53919" xr:uid="{00000000-0005-0000-0000-0000DEBB0000}"/>
    <cellStyle name="Normal 2 4 4 17 2 2 6" xfId="53920" xr:uid="{00000000-0005-0000-0000-0000DFBB0000}"/>
    <cellStyle name="Normal 2 4 4 17 2 2 6 2" xfId="53921" xr:uid="{00000000-0005-0000-0000-0000E0BB0000}"/>
    <cellStyle name="Normal 2 4 4 17 2 2 7" xfId="53922" xr:uid="{00000000-0005-0000-0000-0000E1BB0000}"/>
    <cellStyle name="Normal 2 4 4 17 2 3" xfId="20102" xr:uid="{00000000-0005-0000-0000-0000E2BB0000}"/>
    <cellStyle name="Normal 2 4 4 17 2 3 2" xfId="20103" xr:uid="{00000000-0005-0000-0000-0000E3BB0000}"/>
    <cellStyle name="Normal 2 4 4 17 2 3 2 2" xfId="53923" xr:uid="{00000000-0005-0000-0000-0000E4BB0000}"/>
    <cellStyle name="Normal 2 4 4 17 2 3 3" xfId="20104" xr:uid="{00000000-0005-0000-0000-0000E5BB0000}"/>
    <cellStyle name="Normal 2 4 4 17 2 3 3 2" xfId="53924" xr:uid="{00000000-0005-0000-0000-0000E6BB0000}"/>
    <cellStyle name="Normal 2 4 4 17 2 3 4" xfId="53925" xr:uid="{00000000-0005-0000-0000-0000E7BB0000}"/>
    <cellStyle name="Normal 2 4 4 17 2 4" xfId="20105" xr:uid="{00000000-0005-0000-0000-0000E8BB0000}"/>
    <cellStyle name="Normal 2 4 4 17 2 4 2" xfId="20106" xr:uid="{00000000-0005-0000-0000-0000E9BB0000}"/>
    <cellStyle name="Normal 2 4 4 17 2 4 2 2" xfId="53926" xr:uid="{00000000-0005-0000-0000-0000EABB0000}"/>
    <cellStyle name="Normal 2 4 4 17 2 4 3" xfId="53927" xr:uid="{00000000-0005-0000-0000-0000EBBB0000}"/>
    <cellStyle name="Normal 2 4 4 17 2 5" xfId="20107" xr:uid="{00000000-0005-0000-0000-0000ECBB0000}"/>
    <cellStyle name="Normal 2 4 4 17 2 5 2" xfId="53928" xr:uid="{00000000-0005-0000-0000-0000EDBB0000}"/>
    <cellStyle name="Normal 2 4 4 17 2 6" xfId="20108" xr:uid="{00000000-0005-0000-0000-0000EEBB0000}"/>
    <cellStyle name="Normal 2 4 4 17 2 6 2" xfId="53929" xr:uid="{00000000-0005-0000-0000-0000EFBB0000}"/>
    <cellStyle name="Normal 2 4 4 17 2 7" xfId="53930" xr:uid="{00000000-0005-0000-0000-0000F0BB0000}"/>
    <cellStyle name="Normal 2 4 4 17 2 7 2" xfId="53931" xr:uid="{00000000-0005-0000-0000-0000F1BB0000}"/>
    <cellStyle name="Normal 2 4 4 17 2 8" xfId="53932" xr:uid="{00000000-0005-0000-0000-0000F2BB0000}"/>
    <cellStyle name="Normal 2 4 4 17 2 9" xfId="53933" xr:uid="{00000000-0005-0000-0000-0000F3BB0000}"/>
    <cellStyle name="Normal 2 4 4 17 3" xfId="20109" xr:uid="{00000000-0005-0000-0000-0000F4BB0000}"/>
    <cellStyle name="Normal 2 4 4 17 3 2" xfId="20110" xr:uid="{00000000-0005-0000-0000-0000F5BB0000}"/>
    <cellStyle name="Normal 2 4 4 17 3 2 2" xfId="20111" xr:uid="{00000000-0005-0000-0000-0000F6BB0000}"/>
    <cellStyle name="Normal 2 4 4 17 3 2 2 2" xfId="53934" xr:uid="{00000000-0005-0000-0000-0000F7BB0000}"/>
    <cellStyle name="Normal 2 4 4 17 3 2 3" xfId="20112" xr:uid="{00000000-0005-0000-0000-0000F8BB0000}"/>
    <cellStyle name="Normal 2 4 4 17 3 2 3 2" xfId="53935" xr:uid="{00000000-0005-0000-0000-0000F9BB0000}"/>
    <cellStyle name="Normal 2 4 4 17 3 2 4" xfId="53936" xr:uid="{00000000-0005-0000-0000-0000FABB0000}"/>
    <cellStyle name="Normal 2 4 4 17 3 3" xfId="20113" xr:uid="{00000000-0005-0000-0000-0000FBBB0000}"/>
    <cellStyle name="Normal 2 4 4 17 3 3 2" xfId="53937" xr:uid="{00000000-0005-0000-0000-0000FCBB0000}"/>
    <cellStyle name="Normal 2 4 4 17 3 4" xfId="20114" xr:uid="{00000000-0005-0000-0000-0000FDBB0000}"/>
    <cellStyle name="Normal 2 4 4 17 3 4 2" xfId="53938" xr:uid="{00000000-0005-0000-0000-0000FEBB0000}"/>
    <cellStyle name="Normal 2 4 4 17 3 5" xfId="20115" xr:uid="{00000000-0005-0000-0000-0000FFBB0000}"/>
    <cellStyle name="Normal 2 4 4 17 3 5 2" xfId="53939" xr:uid="{00000000-0005-0000-0000-000000BC0000}"/>
    <cellStyle name="Normal 2 4 4 17 3 6" xfId="53940" xr:uid="{00000000-0005-0000-0000-000001BC0000}"/>
    <cellStyle name="Normal 2 4 4 17 3 6 2" xfId="53941" xr:uid="{00000000-0005-0000-0000-000002BC0000}"/>
    <cellStyle name="Normal 2 4 4 17 3 7" xfId="53942" xr:uid="{00000000-0005-0000-0000-000003BC0000}"/>
    <cellStyle name="Normal 2 4 4 17 4" xfId="20116" xr:uid="{00000000-0005-0000-0000-000004BC0000}"/>
    <cellStyle name="Normal 2 4 4 17 4 2" xfId="20117" xr:uid="{00000000-0005-0000-0000-000005BC0000}"/>
    <cellStyle name="Normal 2 4 4 17 4 2 2" xfId="53943" xr:uid="{00000000-0005-0000-0000-000006BC0000}"/>
    <cellStyle name="Normal 2 4 4 17 4 3" xfId="20118" xr:uid="{00000000-0005-0000-0000-000007BC0000}"/>
    <cellStyle name="Normal 2 4 4 17 4 3 2" xfId="53944" xr:uid="{00000000-0005-0000-0000-000008BC0000}"/>
    <cellStyle name="Normal 2 4 4 17 4 4" xfId="53945" xr:uid="{00000000-0005-0000-0000-000009BC0000}"/>
    <cellStyle name="Normal 2 4 4 17 5" xfId="20119" xr:uid="{00000000-0005-0000-0000-00000ABC0000}"/>
    <cellStyle name="Normal 2 4 4 17 5 2" xfId="20120" xr:uid="{00000000-0005-0000-0000-00000BBC0000}"/>
    <cellStyle name="Normal 2 4 4 17 5 2 2" xfId="53946" xr:uid="{00000000-0005-0000-0000-00000CBC0000}"/>
    <cellStyle name="Normal 2 4 4 17 5 3" xfId="53947" xr:uid="{00000000-0005-0000-0000-00000DBC0000}"/>
    <cellStyle name="Normal 2 4 4 17 6" xfId="20121" xr:uid="{00000000-0005-0000-0000-00000EBC0000}"/>
    <cellStyle name="Normal 2 4 4 17 6 2" xfId="53948" xr:uid="{00000000-0005-0000-0000-00000FBC0000}"/>
    <cellStyle name="Normal 2 4 4 17 7" xfId="20122" xr:uid="{00000000-0005-0000-0000-000010BC0000}"/>
    <cellStyle name="Normal 2 4 4 17 7 2" xfId="53949" xr:uid="{00000000-0005-0000-0000-000011BC0000}"/>
    <cellStyle name="Normal 2 4 4 17 8" xfId="53950" xr:uid="{00000000-0005-0000-0000-000012BC0000}"/>
    <cellStyle name="Normal 2 4 4 17 8 2" xfId="53951" xr:uid="{00000000-0005-0000-0000-000013BC0000}"/>
    <cellStyle name="Normal 2 4 4 17 9" xfId="53952" xr:uid="{00000000-0005-0000-0000-000014BC0000}"/>
    <cellStyle name="Normal 2 4 4 18" xfId="20123" xr:uid="{00000000-0005-0000-0000-000015BC0000}"/>
    <cellStyle name="Normal 2 4 4 18 10" xfId="53953" xr:uid="{00000000-0005-0000-0000-000016BC0000}"/>
    <cellStyle name="Normal 2 4 4 18 11" xfId="53954" xr:uid="{00000000-0005-0000-0000-000017BC0000}"/>
    <cellStyle name="Normal 2 4 4 18 2" xfId="20124" xr:uid="{00000000-0005-0000-0000-000018BC0000}"/>
    <cellStyle name="Normal 2 4 4 18 2 10" xfId="53955" xr:uid="{00000000-0005-0000-0000-000019BC0000}"/>
    <cellStyle name="Normal 2 4 4 18 2 2" xfId="20125" xr:uid="{00000000-0005-0000-0000-00001ABC0000}"/>
    <cellStyle name="Normal 2 4 4 18 2 2 2" xfId="20126" xr:uid="{00000000-0005-0000-0000-00001BBC0000}"/>
    <cellStyle name="Normal 2 4 4 18 2 2 2 2" xfId="20127" xr:uid="{00000000-0005-0000-0000-00001CBC0000}"/>
    <cellStyle name="Normal 2 4 4 18 2 2 2 2 2" xfId="53956" xr:uid="{00000000-0005-0000-0000-00001DBC0000}"/>
    <cellStyle name="Normal 2 4 4 18 2 2 2 3" xfId="20128" xr:uid="{00000000-0005-0000-0000-00001EBC0000}"/>
    <cellStyle name="Normal 2 4 4 18 2 2 2 3 2" xfId="53957" xr:uid="{00000000-0005-0000-0000-00001FBC0000}"/>
    <cellStyle name="Normal 2 4 4 18 2 2 2 4" xfId="53958" xr:uid="{00000000-0005-0000-0000-000020BC0000}"/>
    <cellStyle name="Normal 2 4 4 18 2 2 3" xfId="20129" xr:uid="{00000000-0005-0000-0000-000021BC0000}"/>
    <cellStyle name="Normal 2 4 4 18 2 2 3 2" xfId="53959" xr:uid="{00000000-0005-0000-0000-000022BC0000}"/>
    <cellStyle name="Normal 2 4 4 18 2 2 4" xfId="20130" xr:uid="{00000000-0005-0000-0000-000023BC0000}"/>
    <cellStyle name="Normal 2 4 4 18 2 2 4 2" xfId="53960" xr:uid="{00000000-0005-0000-0000-000024BC0000}"/>
    <cellStyle name="Normal 2 4 4 18 2 2 5" xfId="20131" xr:uid="{00000000-0005-0000-0000-000025BC0000}"/>
    <cellStyle name="Normal 2 4 4 18 2 2 5 2" xfId="53961" xr:uid="{00000000-0005-0000-0000-000026BC0000}"/>
    <cellStyle name="Normal 2 4 4 18 2 2 6" xfId="53962" xr:uid="{00000000-0005-0000-0000-000027BC0000}"/>
    <cellStyle name="Normal 2 4 4 18 2 2 6 2" xfId="53963" xr:uid="{00000000-0005-0000-0000-000028BC0000}"/>
    <cellStyle name="Normal 2 4 4 18 2 2 7" xfId="53964" xr:uid="{00000000-0005-0000-0000-000029BC0000}"/>
    <cellStyle name="Normal 2 4 4 18 2 3" xfId="20132" xr:uid="{00000000-0005-0000-0000-00002ABC0000}"/>
    <cellStyle name="Normal 2 4 4 18 2 3 2" xfId="20133" xr:uid="{00000000-0005-0000-0000-00002BBC0000}"/>
    <cellStyle name="Normal 2 4 4 18 2 3 2 2" xfId="53965" xr:uid="{00000000-0005-0000-0000-00002CBC0000}"/>
    <cellStyle name="Normal 2 4 4 18 2 3 3" xfId="20134" xr:uid="{00000000-0005-0000-0000-00002DBC0000}"/>
    <cellStyle name="Normal 2 4 4 18 2 3 3 2" xfId="53966" xr:uid="{00000000-0005-0000-0000-00002EBC0000}"/>
    <cellStyle name="Normal 2 4 4 18 2 3 4" xfId="53967" xr:uid="{00000000-0005-0000-0000-00002FBC0000}"/>
    <cellStyle name="Normal 2 4 4 18 2 4" xfId="20135" xr:uid="{00000000-0005-0000-0000-000030BC0000}"/>
    <cellStyle name="Normal 2 4 4 18 2 4 2" xfId="20136" xr:uid="{00000000-0005-0000-0000-000031BC0000}"/>
    <cellStyle name="Normal 2 4 4 18 2 4 2 2" xfId="53968" xr:uid="{00000000-0005-0000-0000-000032BC0000}"/>
    <cellStyle name="Normal 2 4 4 18 2 4 3" xfId="53969" xr:uid="{00000000-0005-0000-0000-000033BC0000}"/>
    <cellStyle name="Normal 2 4 4 18 2 5" xfId="20137" xr:uid="{00000000-0005-0000-0000-000034BC0000}"/>
    <cellStyle name="Normal 2 4 4 18 2 5 2" xfId="53970" xr:uid="{00000000-0005-0000-0000-000035BC0000}"/>
    <cellStyle name="Normal 2 4 4 18 2 6" xfId="20138" xr:uid="{00000000-0005-0000-0000-000036BC0000}"/>
    <cellStyle name="Normal 2 4 4 18 2 6 2" xfId="53971" xr:uid="{00000000-0005-0000-0000-000037BC0000}"/>
    <cellStyle name="Normal 2 4 4 18 2 7" xfId="53972" xr:uid="{00000000-0005-0000-0000-000038BC0000}"/>
    <cellStyle name="Normal 2 4 4 18 2 7 2" xfId="53973" xr:uid="{00000000-0005-0000-0000-000039BC0000}"/>
    <cellStyle name="Normal 2 4 4 18 2 8" xfId="53974" xr:uid="{00000000-0005-0000-0000-00003ABC0000}"/>
    <cellStyle name="Normal 2 4 4 18 2 9" xfId="53975" xr:uid="{00000000-0005-0000-0000-00003BBC0000}"/>
    <cellStyle name="Normal 2 4 4 18 3" xfId="20139" xr:uid="{00000000-0005-0000-0000-00003CBC0000}"/>
    <cellStyle name="Normal 2 4 4 18 3 2" xfId="20140" xr:uid="{00000000-0005-0000-0000-00003DBC0000}"/>
    <cellStyle name="Normal 2 4 4 18 3 2 2" xfId="20141" xr:uid="{00000000-0005-0000-0000-00003EBC0000}"/>
    <cellStyle name="Normal 2 4 4 18 3 2 2 2" xfId="53976" xr:uid="{00000000-0005-0000-0000-00003FBC0000}"/>
    <cellStyle name="Normal 2 4 4 18 3 2 3" xfId="20142" xr:uid="{00000000-0005-0000-0000-000040BC0000}"/>
    <cellStyle name="Normal 2 4 4 18 3 2 3 2" xfId="53977" xr:uid="{00000000-0005-0000-0000-000041BC0000}"/>
    <cellStyle name="Normal 2 4 4 18 3 2 4" xfId="53978" xr:uid="{00000000-0005-0000-0000-000042BC0000}"/>
    <cellStyle name="Normal 2 4 4 18 3 3" xfId="20143" xr:uid="{00000000-0005-0000-0000-000043BC0000}"/>
    <cellStyle name="Normal 2 4 4 18 3 3 2" xfId="53979" xr:uid="{00000000-0005-0000-0000-000044BC0000}"/>
    <cellStyle name="Normal 2 4 4 18 3 4" xfId="20144" xr:uid="{00000000-0005-0000-0000-000045BC0000}"/>
    <cellStyle name="Normal 2 4 4 18 3 4 2" xfId="53980" xr:uid="{00000000-0005-0000-0000-000046BC0000}"/>
    <cellStyle name="Normal 2 4 4 18 3 5" xfId="20145" xr:uid="{00000000-0005-0000-0000-000047BC0000}"/>
    <cellStyle name="Normal 2 4 4 18 3 5 2" xfId="53981" xr:uid="{00000000-0005-0000-0000-000048BC0000}"/>
    <cellStyle name="Normal 2 4 4 18 3 6" xfId="53982" xr:uid="{00000000-0005-0000-0000-000049BC0000}"/>
    <cellStyle name="Normal 2 4 4 18 3 6 2" xfId="53983" xr:uid="{00000000-0005-0000-0000-00004ABC0000}"/>
    <cellStyle name="Normal 2 4 4 18 3 7" xfId="53984" xr:uid="{00000000-0005-0000-0000-00004BBC0000}"/>
    <cellStyle name="Normal 2 4 4 18 4" xfId="20146" xr:uid="{00000000-0005-0000-0000-00004CBC0000}"/>
    <cellStyle name="Normal 2 4 4 18 4 2" xfId="20147" xr:uid="{00000000-0005-0000-0000-00004DBC0000}"/>
    <cellStyle name="Normal 2 4 4 18 4 2 2" xfId="53985" xr:uid="{00000000-0005-0000-0000-00004EBC0000}"/>
    <cellStyle name="Normal 2 4 4 18 4 3" xfId="20148" xr:uid="{00000000-0005-0000-0000-00004FBC0000}"/>
    <cellStyle name="Normal 2 4 4 18 4 3 2" xfId="53986" xr:uid="{00000000-0005-0000-0000-000050BC0000}"/>
    <cellStyle name="Normal 2 4 4 18 4 4" xfId="53987" xr:uid="{00000000-0005-0000-0000-000051BC0000}"/>
    <cellStyle name="Normal 2 4 4 18 5" xfId="20149" xr:uid="{00000000-0005-0000-0000-000052BC0000}"/>
    <cellStyle name="Normal 2 4 4 18 5 2" xfId="20150" xr:uid="{00000000-0005-0000-0000-000053BC0000}"/>
    <cellStyle name="Normal 2 4 4 18 5 2 2" xfId="53988" xr:uid="{00000000-0005-0000-0000-000054BC0000}"/>
    <cellStyle name="Normal 2 4 4 18 5 3" xfId="53989" xr:uid="{00000000-0005-0000-0000-000055BC0000}"/>
    <cellStyle name="Normal 2 4 4 18 6" xfId="20151" xr:uid="{00000000-0005-0000-0000-000056BC0000}"/>
    <cellStyle name="Normal 2 4 4 18 6 2" xfId="53990" xr:uid="{00000000-0005-0000-0000-000057BC0000}"/>
    <cellStyle name="Normal 2 4 4 18 7" xfId="20152" xr:uid="{00000000-0005-0000-0000-000058BC0000}"/>
    <cellStyle name="Normal 2 4 4 18 7 2" xfId="53991" xr:uid="{00000000-0005-0000-0000-000059BC0000}"/>
    <cellStyle name="Normal 2 4 4 18 8" xfId="53992" xr:uid="{00000000-0005-0000-0000-00005ABC0000}"/>
    <cellStyle name="Normal 2 4 4 18 8 2" xfId="53993" xr:uid="{00000000-0005-0000-0000-00005BBC0000}"/>
    <cellStyle name="Normal 2 4 4 18 9" xfId="53994" xr:uid="{00000000-0005-0000-0000-00005CBC0000}"/>
    <cellStyle name="Normal 2 4 4 19" xfId="20153" xr:uid="{00000000-0005-0000-0000-00005DBC0000}"/>
    <cellStyle name="Normal 2 4 4 19 10" xfId="53995" xr:uid="{00000000-0005-0000-0000-00005EBC0000}"/>
    <cellStyle name="Normal 2 4 4 19 11" xfId="53996" xr:uid="{00000000-0005-0000-0000-00005FBC0000}"/>
    <cellStyle name="Normal 2 4 4 19 2" xfId="20154" xr:uid="{00000000-0005-0000-0000-000060BC0000}"/>
    <cellStyle name="Normal 2 4 4 19 2 10" xfId="53997" xr:uid="{00000000-0005-0000-0000-000061BC0000}"/>
    <cellStyle name="Normal 2 4 4 19 2 2" xfId="20155" xr:uid="{00000000-0005-0000-0000-000062BC0000}"/>
    <cellStyle name="Normal 2 4 4 19 2 2 2" xfId="20156" xr:uid="{00000000-0005-0000-0000-000063BC0000}"/>
    <cellStyle name="Normal 2 4 4 19 2 2 2 2" xfId="20157" xr:uid="{00000000-0005-0000-0000-000064BC0000}"/>
    <cellStyle name="Normal 2 4 4 19 2 2 2 2 2" xfId="53998" xr:uid="{00000000-0005-0000-0000-000065BC0000}"/>
    <cellStyle name="Normal 2 4 4 19 2 2 2 3" xfId="20158" xr:uid="{00000000-0005-0000-0000-000066BC0000}"/>
    <cellStyle name="Normal 2 4 4 19 2 2 2 3 2" xfId="53999" xr:uid="{00000000-0005-0000-0000-000067BC0000}"/>
    <cellStyle name="Normal 2 4 4 19 2 2 2 4" xfId="54000" xr:uid="{00000000-0005-0000-0000-000068BC0000}"/>
    <cellStyle name="Normal 2 4 4 19 2 2 3" xfId="20159" xr:uid="{00000000-0005-0000-0000-000069BC0000}"/>
    <cellStyle name="Normal 2 4 4 19 2 2 3 2" xfId="54001" xr:uid="{00000000-0005-0000-0000-00006ABC0000}"/>
    <cellStyle name="Normal 2 4 4 19 2 2 4" xfId="20160" xr:uid="{00000000-0005-0000-0000-00006BBC0000}"/>
    <cellStyle name="Normal 2 4 4 19 2 2 4 2" xfId="54002" xr:uid="{00000000-0005-0000-0000-00006CBC0000}"/>
    <cellStyle name="Normal 2 4 4 19 2 2 5" xfId="20161" xr:uid="{00000000-0005-0000-0000-00006DBC0000}"/>
    <cellStyle name="Normal 2 4 4 19 2 2 5 2" xfId="54003" xr:uid="{00000000-0005-0000-0000-00006EBC0000}"/>
    <cellStyle name="Normal 2 4 4 19 2 2 6" xfId="54004" xr:uid="{00000000-0005-0000-0000-00006FBC0000}"/>
    <cellStyle name="Normal 2 4 4 19 2 2 6 2" xfId="54005" xr:uid="{00000000-0005-0000-0000-000070BC0000}"/>
    <cellStyle name="Normal 2 4 4 19 2 2 7" xfId="54006" xr:uid="{00000000-0005-0000-0000-000071BC0000}"/>
    <cellStyle name="Normal 2 4 4 19 2 3" xfId="20162" xr:uid="{00000000-0005-0000-0000-000072BC0000}"/>
    <cellStyle name="Normal 2 4 4 19 2 3 2" xfId="20163" xr:uid="{00000000-0005-0000-0000-000073BC0000}"/>
    <cellStyle name="Normal 2 4 4 19 2 3 2 2" xfId="54007" xr:uid="{00000000-0005-0000-0000-000074BC0000}"/>
    <cellStyle name="Normal 2 4 4 19 2 3 3" xfId="20164" xr:uid="{00000000-0005-0000-0000-000075BC0000}"/>
    <cellStyle name="Normal 2 4 4 19 2 3 3 2" xfId="54008" xr:uid="{00000000-0005-0000-0000-000076BC0000}"/>
    <cellStyle name="Normal 2 4 4 19 2 3 4" xfId="54009" xr:uid="{00000000-0005-0000-0000-000077BC0000}"/>
    <cellStyle name="Normal 2 4 4 19 2 4" xfId="20165" xr:uid="{00000000-0005-0000-0000-000078BC0000}"/>
    <cellStyle name="Normal 2 4 4 19 2 4 2" xfId="20166" xr:uid="{00000000-0005-0000-0000-000079BC0000}"/>
    <cellStyle name="Normal 2 4 4 19 2 4 2 2" xfId="54010" xr:uid="{00000000-0005-0000-0000-00007ABC0000}"/>
    <cellStyle name="Normal 2 4 4 19 2 4 3" xfId="54011" xr:uid="{00000000-0005-0000-0000-00007BBC0000}"/>
    <cellStyle name="Normal 2 4 4 19 2 5" xfId="20167" xr:uid="{00000000-0005-0000-0000-00007CBC0000}"/>
    <cellStyle name="Normal 2 4 4 19 2 5 2" xfId="54012" xr:uid="{00000000-0005-0000-0000-00007DBC0000}"/>
    <cellStyle name="Normal 2 4 4 19 2 6" xfId="20168" xr:uid="{00000000-0005-0000-0000-00007EBC0000}"/>
    <cellStyle name="Normal 2 4 4 19 2 6 2" xfId="54013" xr:uid="{00000000-0005-0000-0000-00007FBC0000}"/>
    <cellStyle name="Normal 2 4 4 19 2 7" xfId="54014" xr:uid="{00000000-0005-0000-0000-000080BC0000}"/>
    <cellStyle name="Normal 2 4 4 19 2 7 2" xfId="54015" xr:uid="{00000000-0005-0000-0000-000081BC0000}"/>
    <cellStyle name="Normal 2 4 4 19 2 8" xfId="54016" xr:uid="{00000000-0005-0000-0000-000082BC0000}"/>
    <cellStyle name="Normal 2 4 4 19 2 9" xfId="54017" xr:uid="{00000000-0005-0000-0000-000083BC0000}"/>
    <cellStyle name="Normal 2 4 4 19 3" xfId="20169" xr:uid="{00000000-0005-0000-0000-000084BC0000}"/>
    <cellStyle name="Normal 2 4 4 19 3 2" xfId="20170" xr:uid="{00000000-0005-0000-0000-000085BC0000}"/>
    <cellStyle name="Normal 2 4 4 19 3 2 2" xfId="20171" xr:uid="{00000000-0005-0000-0000-000086BC0000}"/>
    <cellStyle name="Normal 2 4 4 19 3 2 2 2" xfId="54018" xr:uid="{00000000-0005-0000-0000-000087BC0000}"/>
    <cellStyle name="Normal 2 4 4 19 3 2 3" xfId="20172" xr:uid="{00000000-0005-0000-0000-000088BC0000}"/>
    <cellStyle name="Normal 2 4 4 19 3 2 3 2" xfId="54019" xr:uid="{00000000-0005-0000-0000-000089BC0000}"/>
    <cellStyle name="Normal 2 4 4 19 3 2 4" xfId="54020" xr:uid="{00000000-0005-0000-0000-00008ABC0000}"/>
    <cellStyle name="Normal 2 4 4 19 3 3" xfId="20173" xr:uid="{00000000-0005-0000-0000-00008BBC0000}"/>
    <cellStyle name="Normal 2 4 4 19 3 3 2" xfId="54021" xr:uid="{00000000-0005-0000-0000-00008CBC0000}"/>
    <cellStyle name="Normal 2 4 4 19 3 4" xfId="20174" xr:uid="{00000000-0005-0000-0000-00008DBC0000}"/>
    <cellStyle name="Normal 2 4 4 19 3 4 2" xfId="54022" xr:uid="{00000000-0005-0000-0000-00008EBC0000}"/>
    <cellStyle name="Normal 2 4 4 19 3 5" xfId="20175" xr:uid="{00000000-0005-0000-0000-00008FBC0000}"/>
    <cellStyle name="Normal 2 4 4 19 3 5 2" xfId="54023" xr:uid="{00000000-0005-0000-0000-000090BC0000}"/>
    <cellStyle name="Normal 2 4 4 19 3 6" xfId="54024" xr:uid="{00000000-0005-0000-0000-000091BC0000}"/>
    <cellStyle name="Normal 2 4 4 19 3 6 2" xfId="54025" xr:uid="{00000000-0005-0000-0000-000092BC0000}"/>
    <cellStyle name="Normal 2 4 4 19 3 7" xfId="54026" xr:uid="{00000000-0005-0000-0000-000093BC0000}"/>
    <cellStyle name="Normal 2 4 4 19 4" xfId="20176" xr:uid="{00000000-0005-0000-0000-000094BC0000}"/>
    <cellStyle name="Normal 2 4 4 19 4 2" xfId="20177" xr:uid="{00000000-0005-0000-0000-000095BC0000}"/>
    <cellStyle name="Normal 2 4 4 19 4 2 2" xfId="54027" xr:uid="{00000000-0005-0000-0000-000096BC0000}"/>
    <cellStyle name="Normal 2 4 4 19 4 3" xfId="20178" xr:uid="{00000000-0005-0000-0000-000097BC0000}"/>
    <cellStyle name="Normal 2 4 4 19 4 3 2" xfId="54028" xr:uid="{00000000-0005-0000-0000-000098BC0000}"/>
    <cellStyle name="Normal 2 4 4 19 4 4" xfId="54029" xr:uid="{00000000-0005-0000-0000-000099BC0000}"/>
    <cellStyle name="Normal 2 4 4 19 5" xfId="20179" xr:uid="{00000000-0005-0000-0000-00009ABC0000}"/>
    <cellStyle name="Normal 2 4 4 19 5 2" xfId="20180" xr:uid="{00000000-0005-0000-0000-00009BBC0000}"/>
    <cellStyle name="Normal 2 4 4 19 5 2 2" xfId="54030" xr:uid="{00000000-0005-0000-0000-00009CBC0000}"/>
    <cellStyle name="Normal 2 4 4 19 5 3" xfId="54031" xr:uid="{00000000-0005-0000-0000-00009DBC0000}"/>
    <cellStyle name="Normal 2 4 4 19 6" xfId="20181" xr:uid="{00000000-0005-0000-0000-00009EBC0000}"/>
    <cellStyle name="Normal 2 4 4 19 6 2" xfId="54032" xr:uid="{00000000-0005-0000-0000-00009FBC0000}"/>
    <cellStyle name="Normal 2 4 4 19 7" xfId="20182" xr:uid="{00000000-0005-0000-0000-0000A0BC0000}"/>
    <cellStyle name="Normal 2 4 4 19 7 2" xfId="54033" xr:uid="{00000000-0005-0000-0000-0000A1BC0000}"/>
    <cellStyle name="Normal 2 4 4 19 8" xfId="54034" xr:uid="{00000000-0005-0000-0000-0000A2BC0000}"/>
    <cellStyle name="Normal 2 4 4 19 8 2" xfId="54035" xr:uid="{00000000-0005-0000-0000-0000A3BC0000}"/>
    <cellStyle name="Normal 2 4 4 19 9" xfId="54036" xr:uid="{00000000-0005-0000-0000-0000A4BC0000}"/>
    <cellStyle name="Normal 2 4 4 2" xfId="20183" xr:uid="{00000000-0005-0000-0000-0000A5BC0000}"/>
    <cellStyle name="Normal 2 4 4 2 10" xfId="54037" xr:uid="{00000000-0005-0000-0000-0000A6BC0000}"/>
    <cellStyle name="Normal 2 4 4 2 11" xfId="54038" xr:uid="{00000000-0005-0000-0000-0000A7BC0000}"/>
    <cellStyle name="Normal 2 4 4 2 2" xfId="20184" xr:uid="{00000000-0005-0000-0000-0000A8BC0000}"/>
    <cellStyle name="Normal 2 4 4 2 2 10" xfId="54039" xr:uid="{00000000-0005-0000-0000-0000A9BC0000}"/>
    <cellStyle name="Normal 2 4 4 2 2 2" xfId="20185" xr:uid="{00000000-0005-0000-0000-0000AABC0000}"/>
    <cellStyle name="Normal 2 4 4 2 2 2 2" xfId="20186" xr:uid="{00000000-0005-0000-0000-0000ABBC0000}"/>
    <cellStyle name="Normal 2 4 4 2 2 2 2 2" xfId="20187" xr:uid="{00000000-0005-0000-0000-0000ACBC0000}"/>
    <cellStyle name="Normal 2 4 4 2 2 2 2 2 2" xfId="54040" xr:uid="{00000000-0005-0000-0000-0000ADBC0000}"/>
    <cellStyle name="Normal 2 4 4 2 2 2 2 3" xfId="20188" xr:uid="{00000000-0005-0000-0000-0000AEBC0000}"/>
    <cellStyle name="Normal 2 4 4 2 2 2 2 3 2" xfId="54041" xr:uid="{00000000-0005-0000-0000-0000AFBC0000}"/>
    <cellStyle name="Normal 2 4 4 2 2 2 2 4" xfId="54042" xr:uid="{00000000-0005-0000-0000-0000B0BC0000}"/>
    <cellStyle name="Normal 2 4 4 2 2 2 3" xfId="20189" xr:uid="{00000000-0005-0000-0000-0000B1BC0000}"/>
    <cellStyle name="Normal 2 4 4 2 2 2 3 2" xfId="54043" xr:uid="{00000000-0005-0000-0000-0000B2BC0000}"/>
    <cellStyle name="Normal 2 4 4 2 2 2 4" xfId="20190" xr:uid="{00000000-0005-0000-0000-0000B3BC0000}"/>
    <cellStyle name="Normal 2 4 4 2 2 2 4 2" xfId="54044" xr:uid="{00000000-0005-0000-0000-0000B4BC0000}"/>
    <cellStyle name="Normal 2 4 4 2 2 2 5" xfId="20191" xr:uid="{00000000-0005-0000-0000-0000B5BC0000}"/>
    <cellStyle name="Normal 2 4 4 2 2 2 5 2" xfId="54045" xr:uid="{00000000-0005-0000-0000-0000B6BC0000}"/>
    <cellStyle name="Normal 2 4 4 2 2 2 6" xfId="54046" xr:uid="{00000000-0005-0000-0000-0000B7BC0000}"/>
    <cellStyle name="Normal 2 4 4 2 2 2 6 2" xfId="54047" xr:uid="{00000000-0005-0000-0000-0000B8BC0000}"/>
    <cellStyle name="Normal 2 4 4 2 2 2 7" xfId="54048" xr:uid="{00000000-0005-0000-0000-0000B9BC0000}"/>
    <cellStyle name="Normal 2 4 4 2 2 3" xfId="20192" xr:uid="{00000000-0005-0000-0000-0000BABC0000}"/>
    <cellStyle name="Normal 2 4 4 2 2 3 2" xfId="20193" xr:uid="{00000000-0005-0000-0000-0000BBBC0000}"/>
    <cellStyle name="Normal 2 4 4 2 2 3 2 2" xfId="54049" xr:uid="{00000000-0005-0000-0000-0000BCBC0000}"/>
    <cellStyle name="Normal 2 4 4 2 2 3 3" xfId="20194" xr:uid="{00000000-0005-0000-0000-0000BDBC0000}"/>
    <cellStyle name="Normal 2 4 4 2 2 3 3 2" xfId="54050" xr:uid="{00000000-0005-0000-0000-0000BEBC0000}"/>
    <cellStyle name="Normal 2 4 4 2 2 3 4" xfId="54051" xr:uid="{00000000-0005-0000-0000-0000BFBC0000}"/>
    <cellStyle name="Normal 2 4 4 2 2 4" xfId="20195" xr:uid="{00000000-0005-0000-0000-0000C0BC0000}"/>
    <cellStyle name="Normal 2 4 4 2 2 4 2" xfId="20196" xr:uid="{00000000-0005-0000-0000-0000C1BC0000}"/>
    <cellStyle name="Normal 2 4 4 2 2 4 2 2" xfId="54052" xr:uid="{00000000-0005-0000-0000-0000C2BC0000}"/>
    <cellStyle name="Normal 2 4 4 2 2 4 3" xfId="54053" xr:uid="{00000000-0005-0000-0000-0000C3BC0000}"/>
    <cellStyle name="Normal 2 4 4 2 2 5" xfId="20197" xr:uid="{00000000-0005-0000-0000-0000C4BC0000}"/>
    <cellStyle name="Normal 2 4 4 2 2 5 2" xfId="54054" xr:uid="{00000000-0005-0000-0000-0000C5BC0000}"/>
    <cellStyle name="Normal 2 4 4 2 2 6" xfId="20198" xr:uid="{00000000-0005-0000-0000-0000C6BC0000}"/>
    <cellStyle name="Normal 2 4 4 2 2 6 2" xfId="54055" xr:uid="{00000000-0005-0000-0000-0000C7BC0000}"/>
    <cellStyle name="Normal 2 4 4 2 2 7" xfId="54056" xr:uid="{00000000-0005-0000-0000-0000C8BC0000}"/>
    <cellStyle name="Normal 2 4 4 2 2 7 2" xfId="54057" xr:uid="{00000000-0005-0000-0000-0000C9BC0000}"/>
    <cellStyle name="Normal 2 4 4 2 2 8" xfId="54058" xr:uid="{00000000-0005-0000-0000-0000CABC0000}"/>
    <cellStyle name="Normal 2 4 4 2 2 9" xfId="54059" xr:uid="{00000000-0005-0000-0000-0000CBBC0000}"/>
    <cellStyle name="Normal 2 4 4 2 3" xfId="20199" xr:uid="{00000000-0005-0000-0000-0000CCBC0000}"/>
    <cellStyle name="Normal 2 4 4 2 3 2" xfId="20200" xr:uid="{00000000-0005-0000-0000-0000CDBC0000}"/>
    <cellStyle name="Normal 2 4 4 2 3 2 2" xfId="20201" xr:uid="{00000000-0005-0000-0000-0000CEBC0000}"/>
    <cellStyle name="Normal 2 4 4 2 3 2 2 2" xfId="54060" xr:uid="{00000000-0005-0000-0000-0000CFBC0000}"/>
    <cellStyle name="Normal 2 4 4 2 3 2 3" xfId="20202" xr:uid="{00000000-0005-0000-0000-0000D0BC0000}"/>
    <cellStyle name="Normal 2 4 4 2 3 2 3 2" xfId="54061" xr:uid="{00000000-0005-0000-0000-0000D1BC0000}"/>
    <cellStyle name="Normal 2 4 4 2 3 2 4" xfId="54062" xr:uid="{00000000-0005-0000-0000-0000D2BC0000}"/>
    <cellStyle name="Normal 2 4 4 2 3 3" xfId="20203" xr:uid="{00000000-0005-0000-0000-0000D3BC0000}"/>
    <cellStyle name="Normal 2 4 4 2 3 3 2" xfId="54063" xr:uid="{00000000-0005-0000-0000-0000D4BC0000}"/>
    <cellStyle name="Normal 2 4 4 2 3 4" xfId="20204" xr:uid="{00000000-0005-0000-0000-0000D5BC0000}"/>
    <cellStyle name="Normal 2 4 4 2 3 4 2" xfId="54064" xr:uid="{00000000-0005-0000-0000-0000D6BC0000}"/>
    <cellStyle name="Normal 2 4 4 2 3 5" xfId="20205" xr:uid="{00000000-0005-0000-0000-0000D7BC0000}"/>
    <cellStyle name="Normal 2 4 4 2 3 5 2" xfId="54065" xr:uid="{00000000-0005-0000-0000-0000D8BC0000}"/>
    <cellStyle name="Normal 2 4 4 2 3 6" xfId="54066" xr:uid="{00000000-0005-0000-0000-0000D9BC0000}"/>
    <cellStyle name="Normal 2 4 4 2 3 6 2" xfId="54067" xr:uid="{00000000-0005-0000-0000-0000DABC0000}"/>
    <cellStyle name="Normal 2 4 4 2 3 7" xfId="54068" xr:uid="{00000000-0005-0000-0000-0000DBBC0000}"/>
    <cellStyle name="Normal 2 4 4 2 4" xfId="20206" xr:uid="{00000000-0005-0000-0000-0000DCBC0000}"/>
    <cellStyle name="Normal 2 4 4 2 4 2" xfId="20207" xr:uid="{00000000-0005-0000-0000-0000DDBC0000}"/>
    <cellStyle name="Normal 2 4 4 2 4 2 2" xfId="54069" xr:uid="{00000000-0005-0000-0000-0000DEBC0000}"/>
    <cellStyle name="Normal 2 4 4 2 4 3" xfId="20208" xr:uid="{00000000-0005-0000-0000-0000DFBC0000}"/>
    <cellStyle name="Normal 2 4 4 2 4 3 2" xfId="54070" xr:uid="{00000000-0005-0000-0000-0000E0BC0000}"/>
    <cellStyle name="Normal 2 4 4 2 4 4" xfId="54071" xr:uid="{00000000-0005-0000-0000-0000E1BC0000}"/>
    <cellStyle name="Normal 2 4 4 2 5" xfId="20209" xr:uid="{00000000-0005-0000-0000-0000E2BC0000}"/>
    <cellStyle name="Normal 2 4 4 2 5 2" xfId="20210" xr:uid="{00000000-0005-0000-0000-0000E3BC0000}"/>
    <cellStyle name="Normal 2 4 4 2 5 2 2" xfId="54072" xr:uid="{00000000-0005-0000-0000-0000E4BC0000}"/>
    <cellStyle name="Normal 2 4 4 2 5 3" xfId="54073" xr:uid="{00000000-0005-0000-0000-0000E5BC0000}"/>
    <cellStyle name="Normal 2 4 4 2 6" xfId="20211" xr:uid="{00000000-0005-0000-0000-0000E6BC0000}"/>
    <cellStyle name="Normal 2 4 4 2 6 2" xfId="54074" xr:uid="{00000000-0005-0000-0000-0000E7BC0000}"/>
    <cellStyle name="Normal 2 4 4 2 7" xfId="20212" xr:uid="{00000000-0005-0000-0000-0000E8BC0000}"/>
    <cellStyle name="Normal 2 4 4 2 7 2" xfId="54075" xr:uid="{00000000-0005-0000-0000-0000E9BC0000}"/>
    <cellStyle name="Normal 2 4 4 2 8" xfId="54076" xr:uid="{00000000-0005-0000-0000-0000EABC0000}"/>
    <cellStyle name="Normal 2 4 4 2 8 2" xfId="54077" xr:uid="{00000000-0005-0000-0000-0000EBBC0000}"/>
    <cellStyle name="Normal 2 4 4 2 9" xfId="54078" xr:uid="{00000000-0005-0000-0000-0000ECBC0000}"/>
    <cellStyle name="Normal 2 4 4 20" xfId="20213" xr:uid="{00000000-0005-0000-0000-0000EDBC0000}"/>
    <cellStyle name="Normal 2 4 4 20 10" xfId="54079" xr:uid="{00000000-0005-0000-0000-0000EEBC0000}"/>
    <cellStyle name="Normal 2 4 4 20 11" xfId="54080" xr:uid="{00000000-0005-0000-0000-0000EFBC0000}"/>
    <cellStyle name="Normal 2 4 4 20 2" xfId="20214" xr:uid="{00000000-0005-0000-0000-0000F0BC0000}"/>
    <cellStyle name="Normal 2 4 4 20 2 10" xfId="54081" xr:uid="{00000000-0005-0000-0000-0000F1BC0000}"/>
    <cellStyle name="Normal 2 4 4 20 2 2" xfId="20215" xr:uid="{00000000-0005-0000-0000-0000F2BC0000}"/>
    <cellStyle name="Normal 2 4 4 20 2 2 2" xfId="20216" xr:uid="{00000000-0005-0000-0000-0000F3BC0000}"/>
    <cellStyle name="Normal 2 4 4 20 2 2 2 2" xfId="20217" xr:uid="{00000000-0005-0000-0000-0000F4BC0000}"/>
    <cellStyle name="Normal 2 4 4 20 2 2 2 2 2" xfId="54082" xr:uid="{00000000-0005-0000-0000-0000F5BC0000}"/>
    <cellStyle name="Normal 2 4 4 20 2 2 2 3" xfId="20218" xr:uid="{00000000-0005-0000-0000-0000F6BC0000}"/>
    <cellStyle name="Normal 2 4 4 20 2 2 2 3 2" xfId="54083" xr:uid="{00000000-0005-0000-0000-0000F7BC0000}"/>
    <cellStyle name="Normal 2 4 4 20 2 2 2 4" xfId="54084" xr:uid="{00000000-0005-0000-0000-0000F8BC0000}"/>
    <cellStyle name="Normal 2 4 4 20 2 2 3" xfId="20219" xr:uid="{00000000-0005-0000-0000-0000F9BC0000}"/>
    <cellStyle name="Normal 2 4 4 20 2 2 3 2" xfId="54085" xr:uid="{00000000-0005-0000-0000-0000FABC0000}"/>
    <cellStyle name="Normal 2 4 4 20 2 2 4" xfId="20220" xr:uid="{00000000-0005-0000-0000-0000FBBC0000}"/>
    <cellStyle name="Normal 2 4 4 20 2 2 4 2" xfId="54086" xr:uid="{00000000-0005-0000-0000-0000FCBC0000}"/>
    <cellStyle name="Normal 2 4 4 20 2 2 5" xfId="20221" xr:uid="{00000000-0005-0000-0000-0000FDBC0000}"/>
    <cellStyle name="Normal 2 4 4 20 2 2 5 2" xfId="54087" xr:uid="{00000000-0005-0000-0000-0000FEBC0000}"/>
    <cellStyle name="Normal 2 4 4 20 2 2 6" xfId="54088" xr:uid="{00000000-0005-0000-0000-0000FFBC0000}"/>
    <cellStyle name="Normal 2 4 4 20 2 2 6 2" xfId="54089" xr:uid="{00000000-0005-0000-0000-000000BD0000}"/>
    <cellStyle name="Normal 2 4 4 20 2 2 7" xfId="54090" xr:uid="{00000000-0005-0000-0000-000001BD0000}"/>
    <cellStyle name="Normal 2 4 4 20 2 3" xfId="20222" xr:uid="{00000000-0005-0000-0000-000002BD0000}"/>
    <cellStyle name="Normal 2 4 4 20 2 3 2" xfId="20223" xr:uid="{00000000-0005-0000-0000-000003BD0000}"/>
    <cellStyle name="Normal 2 4 4 20 2 3 2 2" xfId="54091" xr:uid="{00000000-0005-0000-0000-000004BD0000}"/>
    <cellStyle name="Normal 2 4 4 20 2 3 3" xfId="20224" xr:uid="{00000000-0005-0000-0000-000005BD0000}"/>
    <cellStyle name="Normal 2 4 4 20 2 3 3 2" xfId="54092" xr:uid="{00000000-0005-0000-0000-000006BD0000}"/>
    <cellStyle name="Normal 2 4 4 20 2 3 4" xfId="54093" xr:uid="{00000000-0005-0000-0000-000007BD0000}"/>
    <cellStyle name="Normal 2 4 4 20 2 4" xfId="20225" xr:uid="{00000000-0005-0000-0000-000008BD0000}"/>
    <cellStyle name="Normal 2 4 4 20 2 4 2" xfId="20226" xr:uid="{00000000-0005-0000-0000-000009BD0000}"/>
    <cellStyle name="Normal 2 4 4 20 2 4 2 2" xfId="54094" xr:uid="{00000000-0005-0000-0000-00000ABD0000}"/>
    <cellStyle name="Normal 2 4 4 20 2 4 3" xfId="54095" xr:uid="{00000000-0005-0000-0000-00000BBD0000}"/>
    <cellStyle name="Normal 2 4 4 20 2 5" xfId="20227" xr:uid="{00000000-0005-0000-0000-00000CBD0000}"/>
    <cellStyle name="Normal 2 4 4 20 2 5 2" xfId="54096" xr:uid="{00000000-0005-0000-0000-00000DBD0000}"/>
    <cellStyle name="Normal 2 4 4 20 2 6" xfId="20228" xr:uid="{00000000-0005-0000-0000-00000EBD0000}"/>
    <cellStyle name="Normal 2 4 4 20 2 6 2" xfId="54097" xr:uid="{00000000-0005-0000-0000-00000FBD0000}"/>
    <cellStyle name="Normal 2 4 4 20 2 7" xfId="54098" xr:uid="{00000000-0005-0000-0000-000010BD0000}"/>
    <cellStyle name="Normal 2 4 4 20 2 7 2" xfId="54099" xr:uid="{00000000-0005-0000-0000-000011BD0000}"/>
    <cellStyle name="Normal 2 4 4 20 2 8" xfId="54100" xr:uid="{00000000-0005-0000-0000-000012BD0000}"/>
    <cellStyle name="Normal 2 4 4 20 2 9" xfId="54101" xr:uid="{00000000-0005-0000-0000-000013BD0000}"/>
    <cellStyle name="Normal 2 4 4 20 3" xfId="20229" xr:uid="{00000000-0005-0000-0000-000014BD0000}"/>
    <cellStyle name="Normal 2 4 4 20 3 2" xfId="20230" xr:uid="{00000000-0005-0000-0000-000015BD0000}"/>
    <cellStyle name="Normal 2 4 4 20 3 2 2" xfId="20231" xr:uid="{00000000-0005-0000-0000-000016BD0000}"/>
    <cellStyle name="Normal 2 4 4 20 3 2 2 2" xfId="54102" xr:uid="{00000000-0005-0000-0000-000017BD0000}"/>
    <cellStyle name="Normal 2 4 4 20 3 2 3" xfId="20232" xr:uid="{00000000-0005-0000-0000-000018BD0000}"/>
    <cellStyle name="Normal 2 4 4 20 3 2 3 2" xfId="54103" xr:uid="{00000000-0005-0000-0000-000019BD0000}"/>
    <cellStyle name="Normal 2 4 4 20 3 2 4" xfId="54104" xr:uid="{00000000-0005-0000-0000-00001ABD0000}"/>
    <cellStyle name="Normal 2 4 4 20 3 3" xfId="20233" xr:uid="{00000000-0005-0000-0000-00001BBD0000}"/>
    <cellStyle name="Normal 2 4 4 20 3 3 2" xfId="54105" xr:uid="{00000000-0005-0000-0000-00001CBD0000}"/>
    <cellStyle name="Normal 2 4 4 20 3 4" xfId="20234" xr:uid="{00000000-0005-0000-0000-00001DBD0000}"/>
    <cellStyle name="Normal 2 4 4 20 3 4 2" xfId="54106" xr:uid="{00000000-0005-0000-0000-00001EBD0000}"/>
    <cellStyle name="Normal 2 4 4 20 3 5" xfId="20235" xr:uid="{00000000-0005-0000-0000-00001FBD0000}"/>
    <cellStyle name="Normal 2 4 4 20 3 5 2" xfId="54107" xr:uid="{00000000-0005-0000-0000-000020BD0000}"/>
    <cellStyle name="Normal 2 4 4 20 3 6" xfId="54108" xr:uid="{00000000-0005-0000-0000-000021BD0000}"/>
    <cellStyle name="Normal 2 4 4 20 3 6 2" xfId="54109" xr:uid="{00000000-0005-0000-0000-000022BD0000}"/>
    <cellStyle name="Normal 2 4 4 20 3 7" xfId="54110" xr:uid="{00000000-0005-0000-0000-000023BD0000}"/>
    <cellStyle name="Normal 2 4 4 20 4" xfId="20236" xr:uid="{00000000-0005-0000-0000-000024BD0000}"/>
    <cellStyle name="Normal 2 4 4 20 4 2" xfId="20237" xr:uid="{00000000-0005-0000-0000-000025BD0000}"/>
    <cellStyle name="Normal 2 4 4 20 4 2 2" xfId="54111" xr:uid="{00000000-0005-0000-0000-000026BD0000}"/>
    <cellStyle name="Normal 2 4 4 20 4 3" xfId="20238" xr:uid="{00000000-0005-0000-0000-000027BD0000}"/>
    <cellStyle name="Normal 2 4 4 20 4 3 2" xfId="54112" xr:uid="{00000000-0005-0000-0000-000028BD0000}"/>
    <cellStyle name="Normal 2 4 4 20 4 4" xfId="54113" xr:uid="{00000000-0005-0000-0000-000029BD0000}"/>
    <cellStyle name="Normal 2 4 4 20 5" xfId="20239" xr:uid="{00000000-0005-0000-0000-00002ABD0000}"/>
    <cellStyle name="Normal 2 4 4 20 5 2" xfId="20240" xr:uid="{00000000-0005-0000-0000-00002BBD0000}"/>
    <cellStyle name="Normal 2 4 4 20 5 2 2" xfId="54114" xr:uid="{00000000-0005-0000-0000-00002CBD0000}"/>
    <cellStyle name="Normal 2 4 4 20 5 3" xfId="54115" xr:uid="{00000000-0005-0000-0000-00002DBD0000}"/>
    <cellStyle name="Normal 2 4 4 20 6" xfId="20241" xr:uid="{00000000-0005-0000-0000-00002EBD0000}"/>
    <cellStyle name="Normal 2 4 4 20 6 2" xfId="54116" xr:uid="{00000000-0005-0000-0000-00002FBD0000}"/>
    <cellStyle name="Normal 2 4 4 20 7" xfId="20242" xr:uid="{00000000-0005-0000-0000-000030BD0000}"/>
    <cellStyle name="Normal 2 4 4 20 7 2" xfId="54117" xr:uid="{00000000-0005-0000-0000-000031BD0000}"/>
    <cellStyle name="Normal 2 4 4 20 8" xfId="54118" xr:uid="{00000000-0005-0000-0000-000032BD0000}"/>
    <cellStyle name="Normal 2 4 4 20 8 2" xfId="54119" xr:uid="{00000000-0005-0000-0000-000033BD0000}"/>
    <cellStyle name="Normal 2 4 4 20 9" xfId="54120" xr:uid="{00000000-0005-0000-0000-000034BD0000}"/>
    <cellStyle name="Normal 2 4 4 21" xfId="20243" xr:uid="{00000000-0005-0000-0000-000035BD0000}"/>
    <cellStyle name="Normal 2 4 4 21 10" xfId="54121" xr:uid="{00000000-0005-0000-0000-000036BD0000}"/>
    <cellStyle name="Normal 2 4 4 21 11" xfId="54122" xr:uid="{00000000-0005-0000-0000-000037BD0000}"/>
    <cellStyle name="Normal 2 4 4 21 2" xfId="20244" xr:uid="{00000000-0005-0000-0000-000038BD0000}"/>
    <cellStyle name="Normal 2 4 4 21 2 10" xfId="54123" xr:uid="{00000000-0005-0000-0000-000039BD0000}"/>
    <cellStyle name="Normal 2 4 4 21 2 2" xfId="20245" xr:uid="{00000000-0005-0000-0000-00003ABD0000}"/>
    <cellStyle name="Normal 2 4 4 21 2 2 2" xfId="20246" xr:uid="{00000000-0005-0000-0000-00003BBD0000}"/>
    <cellStyle name="Normal 2 4 4 21 2 2 2 2" xfId="20247" xr:uid="{00000000-0005-0000-0000-00003CBD0000}"/>
    <cellStyle name="Normal 2 4 4 21 2 2 2 2 2" xfId="54124" xr:uid="{00000000-0005-0000-0000-00003DBD0000}"/>
    <cellStyle name="Normal 2 4 4 21 2 2 2 3" xfId="20248" xr:uid="{00000000-0005-0000-0000-00003EBD0000}"/>
    <cellStyle name="Normal 2 4 4 21 2 2 2 3 2" xfId="54125" xr:uid="{00000000-0005-0000-0000-00003FBD0000}"/>
    <cellStyle name="Normal 2 4 4 21 2 2 2 4" xfId="54126" xr:uid="{00000000-0005-0000-0000-000040BD0000}"/>
    <cellStyle name="Normal 2 4 4 21 2 2 3" xfId="20249" xr:uid="{00000000-0005-0000-0000-000041BD0000}"/>
    <cellStyle name="Normal 2 4 4 21 2 2 3 2" xfId="54127" xr:uid="{00000000-0005-0000-0000-000042BD0000}"/>
    <cellStyle name="Normal 2 4 4 21 2 2 4" xfId="20250" xr:uid="{00000000-0005-0000-0000-000043BD0000}"/>
    <cellStyle name="Normal 2 4 4 21 2 2 4 2" xfId="54128" xr:uid="{00000000-0005-0000-0000-000044BD0000}"/>
    <cellStyle name="Normal 2 4 4 21 2 2 5" xfId="20251" xr:uid="{00000000-0005-0000-0000-000045BD0000}"/>
    <cellStyle name="Normal 2 4 4 21 2 2 5 2" xfId="54129" xr:uid="{00000000-0005-0000-0000-000046BD0000}"/>
    <cellStyle name="Normal 2 4 4 21 2 2 6" xfId="54130" xr:uid="{00000000-0005-0000-0000-000047BD0000}"/>
    <cellStyle name="Normal 2 4 4 21 2 2 6 2" xfId="54131" xr:uid="{00000000-0005-0000-0000-000048BD0000}"/>
    <cellStyle name="Normal 2 4 4 21 2 2 7" xfId="54132" xr:uid="{00000000-0005-0000-0000-000049BD0000}"/>
    <cellStyle name="Normal 2 4 4 21 2 3" xfId="20252" xr:uid="{00000000-0005-0000-0000-00004ABD0000}"/>
    <cellStyle name="Normal 2 4 4 21 2 3 2" xfId="20253" xr:uid="{00000000-0005-0000-0000-00004BBD0000}"/>
    <cellStyle name="Normal 2 4 4 21 2 3 2 2" xfId="54133" xr:uid="{00000000-0005-0000-0000-00004CBD0000}"/>
    <cellStyle name="Normal 2 4 4 21 2 3 3" xfId="20254" xr:uid="{00000000-0005-0000-0000-00004DBD0000}"/>
    <cellStyle name="Normal 2 4 4 21 2 3 3 2" xfId="54134" xr:uid="{00000000-0005-0000-0000-00004EBD0000}"/>
    <cellStyle name="Normal 2 4 4 21 2 3 4" xfId="54135" xr:uid="{00000000-0005-0000-0000-00004FBD0000}"/>
    <cellStyle name="Normal 2 4 4 21 2 4" xfId="20255" xr:uid="{00000000-0005-0000-0000-000050BD0000}"/>
    <cellStyle name="Normal 2 4 4 21 2 4 2" xfId="20256" xr:uid="{00000000-0005-0000-0000-000051BD0000}"/>
    <cellStyle name="Normal 2 4 4 21 2 4 2 2" xfId="54136" xr:uid="{00000000-0005-0000-0000-000052BD0000}"/>
    <cellStyle name="Normal 2 4 4 21 2 4 3" xfId="54137" xr:uid="{00000000-0005-0000-0000-000053BD0000}"/>
    <cellStyle name="Normal 2 4 4 21 2 5" xfId="20257" xr:uid="{00000000-0005-0000-0000-000054BD0000}"/>
    <cellStyle name="Normal 2 4 4 21 2 5 2" xfId="54138" xr:uid="{00000000-0005-0000-0000-000055BD0000}"/>
    <cellStyle name="Normal 2 4 4 21 2 6" xfId="20258" xr:uid="{00000000-0005-0000-0000-000056BD0000}"/>
    <cellStyle name="Normal 2 4 4 21 2 6 2" xfId="54139" xr:uid="{00000000-0005-0000-0000-000057BD0000}"/>
    <cellStyle name="Normal 2 4 4 21 2 7" xfId="54140" xr:uid="{00000000-0005-0000-0000-000058BD0000}"/>
    <cellStyle name="Normal 2 4 4 21 2 7 2" xfId="54141" xr:uid="{00000000-0005-0000-0000-000059BD0000}"/>
    <cellStyle name="Normal 2 4 4 21 2 8" xfId="54142" xr:uid="{00000000-0005-0000-0000-00005ABD0000}"/>
    <cellStyle name="Normal 2 4 4 21 2 9" xfId="54143" xr:uid="{00000000-0005-0000-0000-00005BBD0000}"/>
    <cellStyle name="Normal 2 4 4 21 3" xfId="20259" xr:uid="{00000000-0005-0000-0000-00005CBD0000}"/>
    <cellStyle name="Normal 2 4 4 21 3 2" xfId="20260" xr:uid="{00000000-0005-0000-0000-00005DBD0000}"/>
    <cellStyle name="Normal 2 4 4 21 3 2 2" xfId="20261" xr:uid="{00000000-0005-0000-0000-00005EBD0000}"/>
    <cellStyle name="Normal 2 4 4 21 3 2 2 2" xfId="54144" xr:uid="{00000000-0005-0000-0000-00005FBD0000}"/>
    <cellStyle name="Normal 2 4 4 21 3 2 3" xfId="20262" xr:uid="{00000000-0005-0000-0000-000060BD0000}"/>
    <cellStyle name="Normal 2 4 4 21 3 2 3 2" xfId="54145" xr:uid="{00000000-0005-0000-0000-000061BD0000}"/>
    <cellStyle name="Normal 2 4 4 21 3 2 4" xfId="54146" xr:uid="{00000000-0005-0000-0000-000062BD0000}"/>
    <cellStyle name="Normal 2 4 4 21 3 3" xfId="20263" xr:uid="{00000000-0005-0000-0000-000063BD0000}"/>
    <cellStyle name="Normal 2 4 4 21 3 3 2" xfId="54147" xr:uid="{00000000-0005-0000-0000-000064BD0000}"/>
    <cellStyle name="Normal 2 4 4 21 3 4" xfId="20264" xr:uid="{00000000-0005-0000-0000-000065BD0000}"/>
    <cellStyle name="Normal 2 4 4 21 3 4 2" xfId="54148" xr:uid="{00000000-0005-0000-0000-000066BD0000}"/>
    <cellStyle name="Normal 2 4 4 21 3 5" xfId="20265" xr:uid="{00000000-0005-0000-0000-000067BD0000}"/>
    <cellStyle name="Normal 2 4 4 21 3 5 2" xfId="54149" xr:uid="{00000000-0005-0000-0000-000068BD0000}"/>
    <cellStyle name="Normal 2 4 4 21 3 6" xfId="54150" xr:uid="{00000000-0005-0000-0000-000069BD0000}"/>
    <cellStyle name="Normal 2 4 4 21 3 6 2" xfId="54151" xr:uid="{00000000-0005-0000-0000-00006ABD0000}"/>
    <cellStyle name="Normal 2 4 4 21 3 7" xfId="54152" xr:uid="{00000000-0005-0000-0000-00006BBD0000}"/>
    <cellStyle name="Normal 2 4 4 21 4" xfId="20266" xr:uid="{00000000-0005-0000-0000-00006CBD0000}"/>
    <cellStyle name="Normal 2 4 4 21 4 2" xfId="20267" xr:uid="{00000000-0005-0000-0000-00006DBD0000}"/>
    <cellStyle name="Normal 2 4 4 21 4 2 2" xfId="54153" xr:uid="{00000000-0005-0000-0000-00006EBD0000}"/>
    <cellStyle name="Normal 2 4 4 21 4 3" xfId="20268" xr:uid="{00000000-0005-0000-0000-00006FBD0000}"/>
    <cellStyle name="Normal 2 4 4 21 4 3 2" xfId="54154" xr:uid="{00000000-0005-0000-0000-000070BD0000}"/>
    <cellStyle name="Normal 2 4 4 21 4 4" xfId="54155" xr:uid="{00000000-0005-0000-0000-000071BD0000}"/>
    <cellStyle name="Normal 2 4 4 21 5" xfId="20269" xr:uid="{00000000-0005-0000-0000-000072BD0000}"/>
    <cellStyle name="Normal 2 4 4 21 5 2" xfId="20270" xr:uid="{00000000-0005-0000-0000-000073BD0000}"/>
    <cellStyle name="Normal 2 4 4 21 5 2 2" xfId="54156" xr:uid="{00000000-0005-0000-0000-000074BD0000}"/>
    <cellStyle name="Normal 2 4 4 21 5 3" xfId="54157" xr:uid="{00000000-0005-0000-0000-000075BD0000}"/>
    <cellStyle name="Normal 2 4 4 21 6" xfId="20271" xr:uid="{00000000-0005-0000-0000-000076BD0000}"/>
    <cellStyle name="Normal 2 4 4 21 6 2" xfId="54158" xr:uid="{00000000-0005-0000-0000-000077BD0000}"/>
    <cellStyle name="Normal 2 4 4 21 7" xfId="20272" xr:uid="{00000000-0005-0000-0000-000078BD0000}"/>
    <cellStyle name="Normal 2 4 4 21 7 2" xfId="54159" xr:uid="{00000000-0005-0000-0000-000079BD0000}"/>
    <cellStyle name="Normal 2 4 4 21 8" xfId="54160" xr:uid="{00000000-0005-0000-0000-00007ABD0000}"/>
    <cellStyle name="Normal 2 4 4 21 8 2" xfId="54161" xr:uid="{00000000-0005-0000-0000-00007BBD0000}"/>
    <cellStyle name="Normal 2 4 4 21 9" xfId="54162" xr:uid="{00000000-0005-0000-0000-00007CBD0000}"/>
    <cellStyle name="Normal 2 4 4 22" xfId="20273" xr:uid="{00000000-0005-0000-0000-00007DBD0000}"/>
    <cellStyle name="Normal 2 4 4 22 10" xfId="54163" xr:uid="{00000000-0005-0000-0000-00007EBD0000}"/>
    <cellStyle name="Normal 2 4 4 22 11" xfId="54164" xr:uid="{00000000-0005-0000-0000-00007FBD0000}"/>
    <cellStyle name="Normal 2 4 4 22 2" xfId="20274" xr:uid="{00000000-0005-0000-0000-000080BD0000}"/>
    <cellStyle name="Normal 2 4 4 22 2 10" xfId="54165" xr:uid="{00000000-0005-0000-0000-000081BD0000}"/>
    <cellStyle name="Normal 2 4 4 22 2 2" xfId="20275" xr:uid="{00000000-0005-0000-0000-000082BD0000}"/>
    <cellStyle name="Normal 2 4 4 22 2 2 2" xfId="20276" xr:uid="{00000000-0005-0000-0000-000083BD0000}"/>
    <cellStyle name="Normal 2 4 4 22 2 2 2 2" xfId="20277" xr:uid="{00000000-0005-0000-0000-000084BD0000}"/>
    <cellStyle name="Normal 2 4 4 22 2 2 2 2 2" xfId="54166" xr:uid="{00000000-0005-0000-0000-000085BD0000}"/>
    <cellStyle name="Normal 2 4 4 22 2 2 2 3" xfId="20278" xr:uid="{00000000-0005-0000-0000-000086BD0000}"/>
    <cellStyle name="Normal 2 4 4 22 2 2 2 3 2" xfId="54167" xr:uid="{00000000-0005-0000-0000-000087BD0000}"/>
    <cellStyle name="Normal 2 4 4 22 2 2 2 4" xfId="54168" xr:uid="{00000000-0005-0000-0000-000088BD0000}"/>
    <cellStyle name="Normal 2 4 4 22 2 2 3" xfId="20279" xr:uid="{00000000-0005-0000-0000-000089BD0000}"/>
    <cellStyle name="Normal 2 4 4 22 2 2 3 2" xfId="54169" xr:uid="{00000000-0005-0000-0000-00008ABD0000}"/>
    <cellStyle name="Normal 2 4 4 22 2 2 4" xfId="20280" xr:uid="{00000000-0005-0000-0000-00008BBD0000}"/>
    <cellStyle name="Normal 2 4 4 22 2 2 4 2" xfId="54170" xr:uid="{00000000-0005-0000-0000-00008CBD0000}"/>
    <cellStyle name="Normal 2 4 4 22 2 2 5" xfId="20281" xr:uid="{00000000-0005-0000-0000-00008DBD0000}"/>
    <cellStyle name="Normal 2 4 4 22 2 2 5 2" xfId="54171" xr:uid="{00000000-0005-0000-0000-00008EBD0000}"/>
    <cellStyle name="Normal 2 4 4 22 2 2 6" xfId="54172" xr:uid="{00000000-0005-0000-0000-00008FBD0000}"/>
    <cellStyle name="Normal 2 4 4 22 2 2 6 2" xfId="54173" xr:uid="{00000000-0005-0000-0000-000090BD0000}"/>
    <cellStyle name="Normal 2 4 4 22 2 2 7" xfId="54174" xr:uid="{00000000-0005-0000-0000-000091BD0000}"/>
    <cellStyle name="Normal 2 4 4 22 2 3" xfId="20282" xr:uid="{00000000-0005-0000-0000-000092BD0000}"/>
    <cellStyle name="Normal 2 4 4 22 2 3 2" xfId="20283" xr:uid="{00000000-0005-0000-0000-000093BD0000}"/>
    <cellStyle name="Normal 2 4 4 22 2 3 2 2" xfId="54175" xr:uid="{00000000-0005-0000-0000-000094BD0000}"/>
    <cellStyle name="Normal 2 4 4 22 2 3 3" xfId="20284" xr:uid="{00000000-0005-0000-0000-000095BD0000}"/>
    <cellStyle name="Normal 2 4 4 22 2 3 3 2" xfId="54176" xr:uid="{00000000-0005-0000-0000-000096BD0000}"/>
    <cellStyle name="Normal 2 4 4 22 2 3 4" xfId="54177" xr:uid="{00000000-0005-0000-0000-000097BD0000}"/>
    <cellStyle name="Normal 2 4 4 22 2 4" xfId="20285" xr:uid="{00000000-0005-0000-0000-000098BD0000}"/>
    <cellStyle name="Normal 2 4 4 22 2 4 2" xfId="20286" xr:uid="{00000000-0005-0000-0000-000099BD0000}"/>
    <cellStyle name="Normal 2 4 4 22 2 4 2 2" xfId="54178" xr:uid="{00000000-0005-0000-0000-00009ABD0000}"/>
    <cellStyle name="Normal 2 4 4 22 2 4 3" xfId="54179" xr:uid="{00000000-0005-0000-0000-00009BBD0000}"/>
    <cellStyle name="Normal 2 4 4 22 2 5" xfId="20287" xr:uid="{00000000-0005-0000-0000-00009CBD0000}"/>
    <cellStyle name="Normal 2 4 4 22 2 5 2" xfId="54180" xr:uid="{00000000-0005-0000-0000-00009DBD0000}"/>
    <cellStyle name="Normal 2 4 4 22 2 6" xfId="20288" xr:uid="{00000000-0005-0000-0000-00009EBD0000}"/>
    <cellStyle name="Normal 2 4 4 22 2 6 2" xfId="54181" xr:uid="{00000000-0005-0000-0000-00009FBD0000}"/>
    <cellStyle name="Normal 2 4 4 22 2 7" xfId="54182" xr:uid="{00000000-0005-0000-0000-0000A0BD0000}"/>
    <cellStyle name="Normal 2 4 4 22 2 7 2" xfId="54183" xr:uid="{00000000-0005-0000-0000-0000A1BD0000}"/>
    <cellStyle name="Normal 2 4 4 22 2 8" xfId="54184" xr:uid="{00000000-0005-0000-0000-0000A2BD0000}"/>
    <cellStyle name="Normal 2 4 4 22 2 9" xfId="54185" xr:uid="{00000000-0005-0000-0000-0000A3BD0000}"/>
    <cellStyle name="Normal 2 4 4 22 3" xfId="20289" xr:uid="{00000000-0005-0000-0000-0000A4BD0000}"/>
    <cellStyle name="Normal 2 4 4 22 3 2" xfId="20290" xr:uid="{00000000-0005-0000-0000-0000A5BD0000}"/>
    <cellStyle name="Normal 2 4 4 22 3 2 2" xfId="20291" xr:uid="{00000000-0005-0000-0000-0000A6BD0000}"/>
    <cellStyle name="Normal 2 4 4 22 3 2 2 2" xfId="54186" xr:uid="{00000000-0005-0000-0000-0000A7BD0000}"/>
    <cellStyle name="Normal 2 4 4 22 3 2 3" xfId="20292" xr:uid="{00000000-0005-0000-0000-0000A8BD0000}"/>
    <cellStyle name="Normal 2 4 4 22 3 2 3 2" xfId="54187" xr:uid="{00000000-0005-0000-0000-0000A9BD0000}"/>
    <cellStyle name="Normal 2 4 4 22 3 2 4" xfId="54188" xr:uid="{00000000-0005-0000-0000-0000AABD0000}"/>
    <cellStyle name="Normal 2 4 4 22 3 3" xfId="20293" xr:uid="{00000000-0005-0000-0000-0000ABBD0000}"/>
    <cellStyle name="Normal 2 4 4 22 3 3 2" xfId="54189" xr:uid="{00000000-0005-0000-0000-0000ACBD0000}"/>
    <cellStyle name="Normal 2 4 4 22 3 4" xfId="20294" xr:uid="{00000000-0005-0000-0000-0000ADBD0000}"/>
    <cellStyle name="Normal 2 4 4 22 3 4 2" xfId="54190" xr:uid="{00000000-0005-0000-0000-0000AEBD0000}"/>
    <cellStyle name="Normal 2 4 4 22 3 5" xfId="20295" xr:uid="{00000000-0005-0000-0000-0000AFBD0000}"/>
    <cellStyle name="Normal 2 4 4 22 3 5 2" xfId="54191" xr:uid="{00000000-0005-0000-0000-0000B0BD0000}"/>
    <cellStyle name="Normal 2 4 4 22 3 6" xfId="54192" xr:uid="{00000000-0005-0000-0000-0000B1BD0000}"/>
    <cellStyle name="Normal 2 4 4 22 3 6 2" xfId="54193" xr:uid="{00000000-0005-0000-0000-0000B2BD0000}"/>
    <cellStyle name="Normal 2 4 4 22 3 7" xfId="54194" xr:uid="{00000000-0005-0000-0000-0000B3BD0000}"/>
    <cellStyle name="Normal 2 4 4 22 4" xfId="20296" xr:uid="{00000000-0005-0000-0000-0000B4BD0000}"/>
    <cellStyle name="Normal 2 4 4 22 4 2" xfId="20297" xr:uid="{00000000-0005-0000-0000-0000B5BD0000}"/>
    <cellStyle name="Normal 2 4 4 22 4 2 2" xfId="54195" xr:uid="{00000000-0005-0000-0000-0000B6BD0000}"/>
    <cellStyle name="Normal 2 4 4 22 4 3" xfId="20298" xr:uid="{00000000-0005-0000-0000-0000B7BD0000}"/>
    <cellStyle name="Normal 2 4 4 22 4 3 2" xfId="54196" xr:uid="{00000000-0005-0000-0000-0000B8BD0000}"/>
    <cellStyle name="Normal 2 4 4 22 4 4" xfId="54197" xr:uid="{00000000-0005-0000-0000-0000B9BD0000}"/>
    <cellStyle name="Normal 2 4 4 22 5" xfId="20299" xr:uid="{00000000-0005-0000-0000-0000BABD0000}"/>
    <cellStyle name="Normal 2 4 4 22 5 2" xfId="20300" xr:uid="{00000000-0005-0000-0000-0000BBBD0000}"/>
    <cellStyle name="Normal 2 4 4 22 5 2 2" xfId="54198" xr:uid="{00000000-0005-0000-0000-0000BCBD0000}"/>
    <cellStyle name="Normal 2 4 4 22 5 3" xfId="54199" xr:uid="{00000000-0005-0000-0000-0000BDBD0000}"/>
    <cellStyle name="Normal 2 4 4 22 6" xfId="20301" xr:uid="{00000000-0005-0000-0000-0000BEBD0000}"/>
    <cellStyle name="Normal 2 4 4 22 6 2" xfId="54200" xr:uid="{00000000-0005-0000-0000-0000BFBD0000}"/>
    <cellStyle name="Normal 2 4 4 22 7" xfId="20302" xr:uid="{00000000-0005-0000-0000-0000C0BD0000}"/>
    <cellStyle name="Normal 2 4 4 22 7 2" xfId="54201" xr:uid="{00000000-0005-0000-0000-0000C1BD0000}"/>
    <cellStyle name="Normal 2 4 4 22 8" xfId="54202" xr:uid="{00000000-0005-0000-0000-0000C2BD0000}"/>
    <cellStyle name="Normal 2 4 4 22 8 2" xfId="54203" xr:uid="{00000000-0005-0000-0000-0000C3BD0000}"/>
    <cellStyle name="Normal 2 4 4 22 9" xfId="54204" xr:uid="{00000000-0005-0000-0000-0000C4BD0000}"/>
    <cellStyle name="Normal 2 4 4 23" xfId="20303" xr:uid="{00000000-0005-0000-0000-0000C5BD0000}"/>
    <cellStyle name="Normal 2 4 4 23 10" xfId="54205" xr:uid="{00000000-0005-0000-0000-0000C6BD0000}"/>
    <cellStyle name="Normal 2 4 4 23 11" xfId="54206" xr:uid="{00000000-0005-0000-0000-0000C7BD0000}"/>
    <cellStyle name="Normal 2 4 4 23 2" xfId="20304" xr:uid="{00000000-0005-0000-0000-0000C8BD0000}"/>
    <cellStyle name="Normal 2 4 4 23 2 10" xfId="54207" xr:uid="{00000000-0005-0000-0000-0000C9BD0000}"/>
    <cellStyle name="Normal 2 4 4 23 2 2" xfId="20305" xr:uid="{00000000-0005-0000-0000-0000CABD0000}"/>
    <cellStyle name="Normal 2 4 4 23 2 2 2" xfId="20306" xr:uid="{00000000-0005-0000-0000-0000CBBD0000}"/>
    <cellStyle name="Normal 2 4 4 23 2 2 2 2" xfId="20307" xr:uid="{00000000-0005-0000-0000-0000CCBD0000}"/>
    <cellStyle name="Normal 2 4 4 23 2 2 2 2 2" xfId="54208" xr:uid="{00000000-0005-0000-0000-0000CDBD0000}"/>
    <cellStyle name="Normal 2 4 4 23 2 2 2 3" xfId="20308" xr:uid="{00000000-0005-0000-0000-0000CEBD0000}"/>
    <cellStyle name="Normal 2 4 4 23 2 2 2 3 2" xfId="54209" xr:uid="{00000000-0005-0000-0000-0000CFBD0000}"/>
    <cellStyle name="Normal 2 4 4 23 2 2 2 4" xfId="54210" xr:uid="{00000000-0005-0000-0000-0000D0BD0000}"/>
    <cellStyle name="Normal 2 4 4 23 2 2 3" xfId="20309" xr:uid="{00000000-0005-0000-0000-0000D1BD0000}"/>
    <cellStyle name="Normal 2 4 4 23 2 2 3 2" xfId="54211" xr:uid="{00000000-0005-0000-0000-0000D2BD0000}"/>
    <cellStyle name="Normal 2 4 4 23 2 2 4" xfId="20310" xr:uid="{00000000-0005-0000-0000-0000D3BD0000}"/>
    <cellStyle name="Normal 2 4 4 23 2 2 4 2" xfId="54212" xr:uid="{00000000-0005-0000-0000-0000D4BD0000}"/>
    <cellStyle name="Normal 2 4 4 23 2 2 5" xfId="20311" xr:uid="{00000000-0005-0000-0000-0000D5BD0000}"/>
    <cellStyle name="Normal 2 4 4 23 2 2 5 2" xfId="54213" xr:uid="{00000000-0005-0000-0000-0000D6BD0000}"/>
    <cellStyle name="Normal 2 4 4 23 2 2 6" xfId="54214" xr:uid="{00000000-0005-0000-0000-0000D7BD0000}"/>
    <cellStyle name="Normal 2 4 4 23 2 2 6 2" xfId="54215" xr:uid="{00000000-0005-0000-0000-0000D8BD0000}"/>
    <cellStyle name="Normal 2 4 4 23 2 2 7" xfId="54216" xr:uid="{00000000-0005-0000-0000-0000D9BD0000}"/>
    <cellStyle name="Normal 2 4 4 23 2 3" xfId="20312" xr:uid="{00000000-0005-0000-0000-0000DABD0000}"/>
    <cellStyle name="Normal 2 4 4 23 2 3 2" xfId="20313" xr:uid="{00000000-0005-0000-0000-0000DBBD0000}"/>
    <cellStyle name="Normal 2 4 4 23 2 3 2 2" xfId="54217" xr:uid="{00000000-0005-0000-0000-0000DCBD0000}"/>
    <cellStyle name="Normal 2 4 4 23 2 3 3" xfId="20314" xr:uid="{00000000-0005-0000-0000-0000DDBD0000}"/>
    <cellStyle name="Normal 2 4 4 23 2 3 3 2" xfId="54218" xr:uid="{00000000-0005-0000-0000-0000DEBD0000}"/>
    <cellStyle name="Normal 2 4 4 23 2 3 4" xfId="54219" xr:uid="{00000000-0005-0000-0000-0000DFBD0000}"/>
    <cellStyle name="Normal 2 4 4 23 2 4" xfId="20315" xr:uid="{00000000-0005-0000-0000-0000E0BD0000}"/>
    <cellStyle name="Normal 2 4 4 23 2 4 2" xfId="20316" xr:uid="{00000000-0005-0000-0000-0000E1BD0000}"/>
    <cellStyle name="Normal 2 4 4 23 2 4 2 2" xfId="54220" xr:uid="{00000000-0005-0000-0000-0000E2BD0000}"/>
    <cellStyle name="Normal 2 4 4 23 2 4 3" xfId="54221" xr:uid="{00000000-0005-0000-0000-0000E3BD0000}"/>
    <cellStyle name="Normal 2 4 4 23 2 5" xfId="20317" xr:uid="{00000000-0005-0000-0000-0000E4BD0000}"/>
    <cellStyle name="Normal 2 4 4 23 2 5 2" xfId="54222" xr:uid="{00000000-0005-0000-0000-0000E5BD0000}"/>
    <cellStyle name="Normal 2 4 4 23 2 6" xfId="20318" xr:uid="{00000000-0005-0000-0000-0000E6BD0000}"/>
    <cellStyle name="Normal 2 4 4 23 2 6 2" xfId="54223" xr:uid="{00000000-0005-0000-0000-0000E7BD0000}"/>
    <cellStyle name="Normal 2 4 4 23 2 7" xfId="54224" xr:uid="{00000000-0005-0000-0000-0000E8BD0000}"/>
    <cellStyle name="Normal 2 4 4 23 2 7 2" xfId="54225" xr:uid="{00000000-0005-0000-0000-0000E9BD0000}"/>
    <cellStyle name="Normal 2 4 4 23 2 8" xfId="54226" xr:uid="{00000000-0005-0000-0000-0000EABD0000}"/>
    <cellStyle name="Normal 2 4 4 23 2 9" xfId="54227" xr:uid="{00000000-0005-0000-0000-0000EBBD0000}"/>
    <cellStyle name="Normal 2 4 4 23 3" xfId="20319" xr:uid="{00000000-0005-0000-0000-0000ECBD0000}"/>
    <cellStyle name="Normal 2 4 4 23 3 2" xfId="20320" xr:uid="{00000000-0005-0000-0000-0000EDBD0000}"/>
    <cellStyle name="Normal 2 4 4 23 3 2 2" xfId="20321" xr:uid="{00000000-0005-0000-0000-0000EEBD0000}"/>
    <cellStyle name="Normal 2 4 4 23 3 2 2 2" xfId="54228" xr:uid="{00000000-0005-0000-0000-0000EFBD0000}"/>
    <cellStyle name="Normal 2 4 4 23 3 2 3" xfId="20322" xr:uid="{00000000-0005-0000-0000-0000F0BD0000}"/>
    <cellStyle name="Normal 2 4 4 23 3 2 3 2" xfId="54229" xr:uid="{00000000-0005-0000-0000-0000F1BD0000}"/>
    <cellStyle name="Normal 2 4 4 23 3 2 4" xfId="54230" xr:uid="{00000000-0005-0000-0000-0000F2BD0000}"/>
    <cellStyle name="Normal 2 4 4 23 3 3" xfId="20323" xr:uid="{00000000-0005-0000-0000-0000F3BD0000}"/>
    <cellStyle name="Normal 2 4 4 23 3 3 2" xfId="54231" xr:uid="{00000000-0005-0000-0000-0000F4BD0000}"/>
    <cellStyle name="Normal 2 4 4 23 3 4" xfId="20324" xr:uid="{00000000-0005-0000-0000-0000F5BD0000}"/>
    <cellStyle name="Normal 2 4 4 23 3 4 2" xfId="54232" xr:uid="{00000000-0005-0000-0000-0000F6BD0000}"/>
    <cellStyle name="Normal 2 4 4 23 3 5" xfId="20325" xr:uid="{00000000-0005-0000-0000-0000F7BD0000}"/>
    <cellStyle name="Normal 2 4 4 23 3 5 2" xfId="54233" xr:uid="{00000000-0005-0000-0000-0000F8BD0000}"/>
    <cellStyle name="Normal 2 4 4 23 3 6" xfId="54234" xr:uid="{00000000-0005-0000-0000-0000F9BD0000}"/>
    <cellStyle name="Normal 2 4 4 23 3 6 2" xfId="54235" xr:uid="{00000000-0005-0000-0000-0000FABD0000}"/>
    <cellStyle name="Normal 2 4 4 23 3 7" xfId="54236" xr:uid="{00000000-0005-0000-0000-0000FBBD0000}"/>
    <cellStyle name="Normal 2 4 4 23 4" xfId="20326" xr:uid="{00000000-0005-0000-0000-0000FCBD0000}"/>
    <cellStyle name="Normal 2 4 4 23 4 2" xfId="20327" xr:uid="{00000000-0005-0000-0000-0000FDBD0000}"/>
    <cellStyle name="Normal 2 4 4 23 4 2 2" xfId="54237" xr:uid="{00000000-0005-0000-0000-0000FEBD0000}"/>
    <cellStyle name="Normal 2 4 4 23 4 3" xfId="20328" xr:uid="{00000000-0005-0000-0000-0000FFBD0000}"/>
    <cellStyle name="Normal 2 4 4 23 4 3 2" xfId="54238" xr:uid="{00000000-0005-0000-0000-000000BE0000}"/>
    <cellStyle name="Normal 2 4 4 23 4 4" xfId="54239" xr:uid="{00000000-0005-0000-0000-000001BE0000}"/>
    <cellStyle name="Normal 2 4 4 23 5" xfId="20329" xr:uid="{00000000-0005-0000-0000-000002BE0000}"/>
    <cellStyle name="Normal 2 4 4 23 5 2" xfId="20330" xr:uid="{00000000-0005-0000-0000-000003BE0000}"/>
    <cellStyle name="Normal 2 4 4 23 5 2 2" xfId="54240" xr:uid="{00000000-0005-0000-0000-000004BE0000}"/>
    <cellStyle name="Normal 2 4 4 23 5 3" xfId="54241" xr:uid="{00000000-0005-0000-0000-000005BE0000}"/>
    <cellStyle name="Normal 2 4 4 23 6" xfId="20331" xr:uid="{00000000-0005-0000-0000-000006BE0000}"/>
    <cellStyle name="Normal 2 4 4 23 6 2" xfId="54242" xr:uid="{00000000-0005-0000-0000-000007BE0000}"/>
    <cellStyle name="Normal 2 4 4 23 7" xfId="20332" xr:uid="{00000000-0005-0000-0000-000008BE0000}"/>
    <cellStyle name="Normal 2 4 4 23 7 2" xfId="54243" xr:uid="{00000000-0005-0000-0000-000009BE0000}"/>
    <cellStyle name="Normal 2 4 4 23 8" xfId="54244" xr:uid="{00000000-0005-0000-0000-00000ABE0000}"/>
    <cellStyle name="Normal 2 4 4 23 8 2" xfId="54245" xr:uid="{00000000-0005-0000-0000-00000BBE0000}"/>
    <cellStyle name="Normal 2 4 4 23 9" xfId="54246" xr:uid="{00000000-0005-0000-0000-00000CBE0000}"/>
    <cellStyle name="Normal 2 4 4 24" xfId="20333" xr:uid="{00000000-0005-0000-0000-00000DBE0000}"/>
    <cellStyle name="Normal 2 4 4 24 10" xfId="54247" xr:uid="{00000000-0005-0000-0000-00000EBE0000}"/>
    <cellStyle name="Normal 2 4 4 24 11" xfId="54248" xr:uid="{00000000-0005-0000-0000-00000FBE0000}"/>
    <cellStyle name="Normal 2 4 4 24 2" xfId="20334" xr:uid="{00000000-0005-0000-0000-000010BE0000}"/>
    <cellStyle name="Normal 2 4 4 24 2 10" xfId="54249" xr:uid="{00000000-0005-0000-0000-000011BE0000}"/>
    <cellStyle name="Normal 2 4 4 24 2 2" xfId="20335" xr:uid="{00000000-0005-0000-0000-000012BE0000}"/>
    <cellStyle name="Normal 2 4 4 24 2 2 2" xfId="20336" xr:uid="{00000000-0005-0000-0000-000013BE0000}"/>
    <cellStyle name="Normal 2 4 4 24 2 2 2 2" xfId="20337" xr:uid="{00000000-0005-0000-0000-000014BE0000}"/>
    <cellStyle name="Normal 2 4 4 24 2 2 2 2 2" xfId="54250" xr:uid="{00000000-0005-0000-0000-000015BE0000}"/>
    <cellStyle name="Normal 2 4 4 24 2 2 2 3" xfId="20338" xr:uid="{00000000-0005-0000-0000-000016BE0000}"/>
    <cellStyle name="Normal 2 4 4 24 2 2 2 3 2" xfId="54251" xr:uid="{00000000-0005-0000-0000-000017BE0000}"/>
    <cellStyle name="Normal 2 4 4 24 2 2 2 4" xfId="54252" xr:uid="{00000000-0005-0000-0000-000018BE0000}"/>
    <cellStyle name="Normal 2 4 4 24 2 2 3" xfId="20339" xr:uid="{00000000-0005-0000-0000-000019BE0000}"/>
    <cellStyle name="Normal 2 4 4 24 2 2 3 2" xfId="54253" xr:uid="{00000000-0005-0000-0000-00001ABE0000}"/>
    <cellStyle name="Normal 2 4 4 24 2 2 4" xfId="20340" xr:uid="{00000000-0005-0000-0000-00001BBE0000}"/>
    <cellStyle name="Normal 2 4 4 24 2 2 4 2" xfId="54254" xr:uid="{00000000-0005-0000-0000-00001CBE0000}"/>
    <cellStyle name="Normal 2 4 4 24 2 2 5" xfId="20341" xr:uid="{00000000-0005-0000-0000-00001DBE0000}"/>
    <cellStyle name="Normal 2 4 4 24 2 2 5 2" xfId="54255" xr:uid="{00000000-0005-0000-0000-00001EBE0000}"/>
    <cellStyle name="Normal 2 4 4 24 2 2 6" xfId="54256" xr:uid="{00000000-0005-0000-0000-00001FBE0000}"/>
    <cellStyle name="Normal 2 4 4 24 2 2 6 2" xfId="54257" xr:uid="{00000000-0005-0000-0000-000020BE0000}"/>
    <cellStyle name="Normal 2 4 4 24 2 2 7" xfId="54258" xr:uid="{00000000-0005-0000-0000-000021BE0000}"/>
    <cellStyle name="Normal 2 4 4 24 2 3" xfId="20342" xr:uid="{00000000-0005-0000-0000-000022BE0000}"/>
    <cellStyle name="Normal 2 4 4 24 2 3 2" xfId="20343" xr:uid="{00000000-0005-0000-0000-000023BE0000}"/>
    <cellStyle name="Normal 2 4 4 24 2 3 2 2" xfId="54259" xr:uid="{00000000-0005-0000-0000-000024BE0000}"/>
    <cellStyle name="Normal 2 4 4 24 2 3 3" xfId="20344" xr:uid="{00000000-0005-0000-0000-000025BE0000}"/>
    <cellStyle name="Normal 2 4 4 24 2 3 3 2" xfId="54260" xr:uid="{00000000-0005-0000-0000-000026BE0000}"/>
    <cellStyle name="Normal 2 4 4 24 2 3 4" xfId="54261" xr:uid="{00000000-0005-0000-0000-000027BE0000}"/>
    <cellStyle name="Normal 2 4 4 24 2 4" xfId="20345" xr:uid="{00000000-0005-0000-0000-000028BE0000}"/>
    <cellStyle name="Normal 2 4 4 24 2 4 2" xfId="20346" xr:uid="{00000000-0005-0000-0000-000029BE0000}"/>
    <cellStyle name="Normal 2 4 4 24 2 4 2 2" xfId="54262" xr:uid="{00000000-0005-0000-0000-00002ABE0000}"/>
    <cellStyle name="Normal 2 4 4 24 2 4 3" xfId="54263" xr:uid="{00000000-0005-0000-0000-00002BBE0000}"/>
    <cellStyle name="Normal 2 4 4 24 2 5" xfId="20347" xr:uid="{00000000-0005-0000-0000-00002CBE0000}"/>
    <cellStyle name="Normal 2 4 4 24 2 5 2" xfId="54264" xr:uid="{00000000-0005-0000-0000-00002DBE0000}"/>
    <cellStyle name="Normal 2 4 4 24 2 6" xfId="20348" xr:uid="{00000000-0005-0000-0000-00002EBE0000}"/>
    <cellStyle name="Normal 2 4 4 24 2 6 2" xfId="54265" xr:uid="{00000000-0005-0000-0000-00002FBE0000}"/>
    <cellStyle name="Normal 2 4 4 24 2 7" xfId="54266" xr:uid="{00000000-0005-0000-0000-000030BE0000}"/>
    <cellStyle name="Normal 2 4 4 24 2 7 2" xfId="54267" xr:uid="{00000000-0005-0000-0000-000031BE0000}"/>
    <cellStyle name="Normal 2 4 4 24 2 8" xfId="54268" xr:uid="{00000000-0005-0000-0000-000032BE0000}"/>
    <cellStyle name="Normal 2 4 4 24 2 9" xfId="54269" xr:uid="{00000000-0005-0000-0000-000033BE0000}"/>
    <cellStyle name="Normal 2 4 4 24 3" xfId="20349" xr:uid="{00000000-0005-0000-0000-000034BE0000}"/>
    <cellStyle name="Normal 2 4 4 24 3 2" xfId="20350" xr:uid="{00000000-0005-0000-0000-000035BE0000}"/>
    <cellStyle name="Normal 2 4 4 24 3 2 2" xfId="20351" xr:uid="{00000000-0005-0000-0000-000036BE0000}"/>
    <cellStyle name="Normal 2 4 4 24 3 2 2 2" xfId="54270" xr:uid="{00000000-0005-0000-0000-000037BE0000}"/>
    <cellStyle name="Normal 2 4 4 24 3 2 3" xfId="20352" xr:uid="{00000000-0005-0000-0000-000038BE0000}"/>
    <cellStyle name="Normal 2 4 4 24 3 2 3 2" xfId="54271" xr:uid="{00000000-0005-0000-0000-000039BE0000}"/>
    <cellStyle name="Normal 2 4 4 24 3 2 4" xfId="54272" xr:uid="{00000000-0005-0000-0000-00003ABE0000}"/>
    <cellStyle name="Normal 2 4 4 24 3 3" xfId="20353" xr:uid="{00000000-0005-0000-0000-00003BBE0000}"/>
    <cellStyle name="Normal 2 4 4 24 3 3 2" xfId="54273" xr:uid="{00000000-0005-0000-0000-00003CBE0000}"/>
    <cellStyle name="Normal 2 4 4 24 3 4" xfId="20354" xr:uid="{00000000-0005-0000-0000-00003DBE0000}"/>
    <cellStyle name="Normal 2 4 4 24 3 4 2" xfId="54274" xr:uid="{00000000-0005-0000-0000-00003EBE0000}"/>
    <cellStyle name="Normal 2 4 4 24 3 5" xfId="20355" xr:uid="{00000000-0005-0000-0000-00003FBE0000}"/>
    <cellStyle name="Normal 2 4 4 24 3 5 2" xfId="54275" xr:uid="{00000000-0005-0000-0000-000040BE0000}"/>
    <cellStyle name="Normal 2 4 4 24 3 6" xfId="54276" xr:uid="{00000000-0005-0000-0000-000041BE0000}"/>
    <cellStyle name="Normal 2 4 4 24 3 6 2" xfId="54277" xr:uid="{00000000-0005-0000-0000-000042BE0000}"/>
    <cellStyle name="Normal 2 4 4 24 3 7" xfId="54278" xr:uid="{00000000-0005-0000-0000-000043BE0000}"/>
    <cellStyle name="Normal 2 4 4 24 4" xfId="20356" xr:uid="{00000000-0005-0000-0000-000044BE0000}"/>
    <cellStyle name="Normal 2 4 4 24 4 2" xfId="20357" xr:uid="{00000000-0005-0000-0000-000045BE0000}"/>
    <cellStyle name="Normal 2 4 4 24 4 2 2" xfId="54279" xr:uid="{00000000-0005-0000-0000-000046BE0000}"/>
    <cellStyle name="Normal 2 4 4 24 4 3" xfId="20358" xr:uid="{00000000-0005-0000-0000-000047BE0000}"/>
    <cellStyle name="Normal 2 4 4 24 4 3 2" xfId="54280" xr:uid="{00000000-0005-0000-0000-000048BE0000}"/>
    <cellStyle name="Normal 2 4 4 24 4 4" xfId="54281" xr:uid="{00000000-0005-0000-0000-000049BE0000}"/>
    <cellStyle name="Normal 2 4 4 24 5" xfId="20359" xr:uid="{00000000-0005-0000-0000-00004ABE0000}"/>
    <cellStyle name="Normal 2 4 4 24 5 2" xfId="20360" xr:uid="{00000000-0005-0000-0000-00004BBE0000}"/>
    <cellStyle name="Normal 2 4 4 24 5 2 2" xfId="54282" xr:uid="{00000000-0005-0000-0000-00004CBE0000}"/>
    <cellStyle name="Normal 2 4 4 24 5 3" xfId="54283" xr:uid="{00000000-0005-0000-0000-00004DBE0000}"/>
    <cellStyle name="Normal 2 4 4 24 6" xfId="20361" xr:uid="{00000000-0005-0000-0000-00004EBE0000}"/>
    <cellStyle name="Normal 2 4 4 24 6 2" xfId="54284" xr:uid="{00000000-0005-0000-0000-00004FBE0000}"/>
    <cellStyle name="Normal 2 4 4 24 7" xfId="20362" xr:uid="{00000000-0005-0000-0000-000050BE0000}"/>
    <cellStyle name="Normal 2 4 4 24 7 2" xfId="54285" xr:uid="{00000000-0005-0000-0000-000051BE0000}"/>
    <cellStyle name="Normal 2 4 4 24 8" xfId="54286" xr:uid="{00000000-0005-0000-0000-000052BE0000}"/>
    <cellStyle name="Normal 2 4 4 24 8 2" xfId="54287" xr:uid="{00000000-0005-0000-0000-000053BE0000}"/>
    <cellStyle name="Normal 2 4 4 24 9" xfId="54288" xr:uid="{00000000-0005-0000-0000-000054BE0000}"/>
    <cellStyle name="Normal 2 4 4 25" xfId="20363" xr:uid="{00000000-0005-0000-0000-000055BE0000}"/>
    <cellStyle name="Normal 2 4 4 25 10" xfId="54289" xr:uid="{00000000-0005-0000-0000-000056BE0000}"/>
    <cellStyle name="Normal 2 4 4 25 11" xfId="54290" xr:uid="{00000000-0005-0000-0000-000057BE0000}"/>
    <cellStyle name="Normal 2 4 4 25 2" xfId="20364" xr:uid="{00000000-0005-0000-0000-000058BE0000}"/>
    <cellStyle name="Normal 2 4 4 25 2 10" xfId="54291" xr:uid="{00000000-0005-0000-0000-000059BE0000}"/>
    <cellStyle name="Normal 2 4 4 25 2 2" xfId="20365" xr:uid="{00000000-0005-0000-0000-00005ABE0000}"/>
    <cellStyle name="Normal 2 4 4 25 2 2 2" xfId="20366" xr:uid="{00000000-0005-0000-0000-00005BBE0000}"/>
    <cellStyle name="Normal 2 4 4 25 2 2 2 2" xfId="20367" xr:uid="{00000000-0005-0000-0000-00005CBE0000}"/>
    <cellStyle name="Normal 2 4 4 25 2 2 2 2 2" xfId="54292" xr:uid="{00000000-0005-0000-0000-00005DBE0000}"/>
    <cellStyle name="Normal 2 4 4 25 2 2 2 3" xfId="20368" xr:uid="{00000000-0005-0000-0000-00005EBE0000}"/>
    <cellStyle name="Normal 2 4 4 25 2 2 2 3 2" xfId="54293" xr:uid="{00000000-0005-0000-0000-00005FBE0000}"/>
    <cellStyle name="Normal 2 4 4 25 2 2 2 4" xfId="54294" xr:uid="{00000000-0005-0000-0000-000060BE0000}"/>
    <cellStyle name="Normal 2 4 4 25 2 2 3" xfId="20369" xr:uid="{00000000-0005-0000-0000-000061BE0000}"/>
    <cellStyle name="Normal 2 4 4 25 2 2 3 2" xfId="54295" xr:uid="{00000000-0005-0000-0000-000062BE0000}"/>
    <cellStyle name="Normal 2 4 4 25 2 2 4" xfId="20370" xr:uid="{00000000-0005-0000-0000-000063BE0000}"/>
    <cellStyle name="Normal 2 4 4 25 2 2 4 2" xfId="54296" xr:uid="{00000000-0005-0000-0000-000064BE0000}"/>
    <cellStyle name="Normal 2 4 4 25 2 2 5" xfId="20371" xr:uid="{00000000-0005-0000-0000-000065BE0000}"/>
    <cellStyle name="Normal 2 4 4 25 2 2 5 2" xfId="54297" xr:uid="{00000000-0005-0000-0000-000066BE0000}"/>
    <cellStyle name="Normal 2 4 4 25 2 2 6" xfId="54298" xr:uid="{00000000-0005-0000-0000-000067BE0000}"/>
    <cellStyle name="Normal 2 4 4 25 2 2 6 2" xfId="54299" xr:uid="{00000000-0005-0000-0000-000068BE0000}"/>
    <cellStyle name="Normal 2 4 4 25 2 2 7" xfId="54300" xr:uid="{00000000-0005-0000-0000-000069BE0000}"/>
    <cellStyle name="Normal 2 4 4 25 2 3" xfId="20372" xr:uid="{00000000-0005-0000-0000-00006ABE0000}"/>
    <cellStyle name="Normal 2 4 4 25 2 3 2" xfId="20373" xr:uid="{00000000-0005-0000-0000-00006BBE0000}"/>
    <cellStyle name="Normal 2 4 4 25 2 3 2 2" xfId="54301" xr:uid="{00000000-0005-0000-0000-00006CBE0000}"/>
    <cellStyle name="Normal 2 4 4 25 2 3 3" xfId="20374" xr:uid="{00000000-0005-0000-0000-00006DBE0000}"/>
    <cellStyle name="Normal 2 4 4 25 2 3 3 2" xfId="54302" xr:uid="{00000000-0005-0000-0000-00006EBE0000}"/>
    <cellStyle name="Normal 2 4 4 25 2 3 4" xfId="54303" xr:uid="{00000000-0005-0000-0000-00006FBE0000}"/>
    <cellStyle name="Normal 2 4 4 25 2 4" xfId="20375" xr:uid="{00000000-0005-0000-0000-000070BE0000}"/>
    <cellStyle name="Normal 2 4 4 25 2 4 2" xfId="20376" xr:uid="{00000000-0005-0000-0000-000071BE0000}"/>
    <cellStyle name="Normal 2 4 4 25 2 4 2 2" xfId="54304" xr:uid="{00000000-0005-0000-0000-000072BE0000}"/>
    <cellStyle name="Normal 2 4 4 25 2 4 3" xfId="54305" xr:uid="{00000000-0005-0000-0000-000073BE0000}"/>
    <cellStyle name="Normal 2 4 4 25 2 5" xfId="20377" xr:uid="{00000000-0005-0000-0000-000074BE0000}"/>
    <cellStyle name="Normal 2 4 4 25 2 5 2" xfId="54306" xr:uid="{00000000-0005-0000-0000-000075BE0000}"/>
    <cellStyle name="Normal 2 4 4 25 2 6" xfId="20378" xr:uid="{00000000-0005-0000-0000-000076BE0000}"/>
    <cellStyle name="Normal 2 4 4 25 2 6 2" xfId="54307" xr:uid="{00000000-0005-0000-0000-000077BE0000}"/>
    <cellStyle name="Normal 2 4 4 25 2 7" xfId="54308" xr:uid="{00000000-0005-0000-0000-000078BE0000}"/>
    <cellStyle name="Normal 2 4 4 25 2 7 2" xfId="54309" xr:uid="{00000000-0005-0000-0000-000079BE0000}"/>
    <cellStyle name="Normal 2 4 4 25 2 8" xfId="54310" xr:uid="{00000000-0005-0000-0000-00007ABE0000}"/>
    <cellStyle name="Normal 2 4 4 25 2 9" xfId="54311" xr:uid="{00000000-0005-0000-0000-00007BBE0000}"/>
    <cellStyle name="Normal 2 4 4 25 3" xfId="20379" xr:uid="{00000000-0005-0000-0000-00007CBE0000}"/>
    <cellStyle name="Normal 2 4 4 25 3 2" xfId="20380" xr:uid="{00000000-0005-0000-0000-00007DBE0000}"/>
    <cellStyle name="Normal 2 4 4 25 3 2 2" xfId="20381" xr:uid="{00000000-0005-0000-0000-00007EBE0000}"/>
    <cellStyle name="Normal 2 4 4 25 3 2 2 2" xfId="54312" xr:uid="{00000000-0005-0000-0000-00007FBE0000}"/>
    <cellStyle name="Normal 2 4 4 25 3 2 3" xfId="20382" xr:uid="{00000000-0005-0000-0000-000080BE0000}"/>
    <cellStyle name="Normal 2 4 4 25 3 2 3 2" xfId="54313" xr:uid="{00000000-0005-0000-0000-000081BE0000}"/>
    <cellStyle name="Normal 2 4 4 25 3 2 4" xfId="54314" xr:uid="{00000000-0005-0000-0000-000082BE0000}"/>
    <cellStyle name="Normal 2 4 4 25 3 3" xfId="20383" xr:uid="{00000000-0005-0000-0000-000083BE0000}"/>
    <cellStyle name="Normal 2 4 4 25 3 3 2" xfId="54315" xr:uid="{00000000-0005-0000-0000-000084BE0000}"/>
    <cellStyle name="Normal 2 4 4 25 3 4" xfId="20384" xr:uid="{00000000-0005-0000-0000-000085BE0000}"/>
    <cellStyle name="Normal 2 4 4 25 3 4 2" xfId="54316" xr:uid="{00000000-0005-0000-0000-000086BE0000}"/>
    <cellStyle name="Normal 2 4 4 25 3 5" xfId="20385" xr:uid="{00000000-0005-0000-0000-000087BE0000}"/>
    <cellStyle name="Normal 2 4 4 25 3 5 2" xfId="54317" xr:uid="{00000000-0005-0000-0000-000088BE0000}"/>
    <cellStyle name="Normal 2 4 4 25 3 6" xfId="54318" xr:uid="{00000000-0005-0000-0000-000089BE0000}"/>
    <cellStyle name="Normal 2 4 4 25 3 6 2" xfId="54319" xr:uid="{00000000-0005-0000-0000-00008ABE0000}"/>
    <cellStyle name="Normal 2 4 4 25 3 7" xfId="54320" xr:uid="{00000000-0005-0000-0000-00008BBE0000}"/>
    <cellStyle name="Normal 2 4 4 25 4" xfId="20386" xr:uid="{00000000-0005-0000-0000-00008CBE0000}"/>
    <cellStyle name="Normal 2 4 4 25 4 2" xfId="20387" xr:uid="{00000000-0005-0000-0000-00008DBE0000}"/>
    <cellStyle name="Normal 2 4 4 25 4 2 2" xfId="54321" xr:uid="{00000000-0005-0000-0000-00008EBE0000}"/>
    <cellStyle name="Normal 2 4 4 25 4 3" xfId="20388" xr:uid="{00000000-0005-0000-0000-00008FBE0000}"/>
    <cellStyle name="Normal 2 4 4 25 4 3 2" xfId="54322" xr:uid="{00000000-0005-0000-0000-000090BE0000}"/>
    <cellStyle name="Normal 2 4 4 25 4 4" xfId="54323" xr:uid="{00000000-0005-0000-0000-000091BE0000}"/>
    <cellStyle name="Normal 2 4 4 25 5" xfId="20389" xr:uid="{00000000-0005-0000-0000-000092BE0000}"/>
    <cellStyle name="Normal 2 4 4 25 5 2" xfId="20390" xr:uid="{00000000-0005-0000-0000-000093BE0000}"/>
    <cellStyle name="Normal 2 4 4 25 5 2 2" xfId="54324" xr:uid="{00000000-0005-0000-0000-000094BE0000}"/>
    <cellStyle name="Normal 2 4 4 25 5 3" xfId="54325" xr:uid="{00000000-0005-0000-0000-000095BE0000}"/>
    <cellStyle name="Normal 2 4 4 25 6" xfId="20391" xr:uid="{00000000-0005-0000-0000-000096BE0000}"/>
    <cellStyle name="Normal 2 4 4 25 6 2" xfId="54326" xr:uid="{00000000-0005-0000-0000-000097BE0000}"/>
    <cellStyle name="Normal 2 4 4 25 7" xfId="20392" xr:uid="{00000000-0005-0000-0000-000098BE0000}"/>
    <cellStyle name="Normal 2 4 4 25 7 2" xfId="54327" xr:uid="{00000000-0005-0000-0000-000099BE0000}"/>
    <cellStyle name="Normal 2 4 4 25 8" xfId="54328" xr:uid="{00000000-0005-0000-0000-00009ABE0000}"/>
    <cellStyle name="Normal 2 4 4 25 8 2" xfId="54329" xr:uid="{00000000-0005-0000-0000-00009BBE0000}"/>
    <cellStyle name="Normal 2 4 4 25 9" xfId="54330" xr:uid="{00000000-0005-0000-0000-00009CBE0000}"/>
    <cellStyle name="Normal 2 4 4 26" xfId="20393" xr:uid="{00000000-0005-0000-0000-00009DBE0000}"/>
    <cellStyle name="Normal 2 4 4 26 10" xfId="54331" xr:uid="{00000000-0005-0000-0000-00009EBE0000}"/>
    <cellStyle name="Normal 2 4 4 26 11" xfId="54332" xr:uid="{00000000-0005-0000-0000-00009FBE0000}"/>
    <cellStyle name="Normal 2 4 4 26 2" xfId="20394" xr:uid="{00000000-0005-0000-0000-0000A0BE0000}"/>
    <cellStyle name="Normal 2 4 4 26 2 10" xfId="54333" xr:uid="{00000000-0005-0000-0000-0000A1BE0000}"/>
    <cellStyle name="Normal 2 4 4 26 2 2" xfId="20395" xr:uid="{00000000-0005-0000-0000-0000A2BE0000}"/>
    <cellStyle name="Normal 2 4 4 26 2 2 2" xfId="20396" xr:uid="{00000000-0005-0000-0000-0000A3BE0000}"/>
    <cellStyle name="Normal 2 4 4 26 2 2 2 2" xfId="20397" xr:uid="{00000000-0005-0000-0000-0000A4BE0000}"/>
    <cellStyle name="Normal 2 4 4 26 2 2 2 2 2" xfId="54334" xr:uid="{00000000-0005-0000-0000-0000A5BE0000}"/>
    <cellStyle name="Normal 2 4 4 26 2 2 2 3" xfId="20398" xr:uid="{00000000-0005-0000-0000-0000A6BE0000}"/>
    <cellStyle name="Normal 2 4 4 26 2 2 2 3 2" xfId="54335" xr:uid="{00000000-0005-0000-0000-0000A7BE0000}"/>
    <cellStyle name="Normal 2 4 4 26 2 2 2 4" xfId="54336" xr:uid="{00000000-0005-0000-0000-0000A8BE0000}"/>
    <cellStyle name="Normal 2 4 4 26 2 2 3" xfId="20399" xr:uid="{00000000-0005-0000-0000-0000A9BE0000}"/>
    <cellStyle name="Normal 2 4 4 26 2 2 3 2" xfId="54337" xr:uid="{00000000-0005-0000-0000-0000AABE0000}"/>
    <cellStyle name="Normal 2 4 4 26 2 2 4" xfId="20400" xr:uid="{00000000-0005-0000-0000-0000ABBE0000}"/>
    <cellStyle name="Normal 2 4 4 26 2 2 4 2" xfId="54338" xr:uid="{00000000-0005-0000-0000-0000ACBE0000}"/>
    <cellStyle name="Normal 2 4 4 26 2 2 5" xfId="20401" xr:uid="{00000000-0005-0000-0000-0000ADBE0000}"/>
    <cellStyle name="Normal 2 4 4 26 2 2 5 2" xfId="54339" xr:uid="{00000000-0005-0000-0000-0000AEBE0000}"/>
    <cellStyle name="Normal 2 4 4 26 2 2 6" xfId="54340" xr:uid="{00000000-0005-0000-0000-0000AFBE0000}"/>
    <cellStyle name="Normal 2 4 4 26 2 2 6 2" xfId="54341" xr:uid="{00000000-0005-0000-0000-0000B0BE0000}"/>
    <cellStyle name="Normal 2 4 4 26 2 2 7" xfId="54342" xr:uid="{00000000-0005-0000-0000-0000B1BE0000}"/>
    <cellStyle name="Normal 2 4 4 26 2 3" xfId="20402" xr:uid="{00000000-0005-0000-0000-0000B2BE0000}"/>
    <cellStyle name="Normal 2 4 4 26 2 3 2" xfId="20403" xr:uid="{00000000-0005-0000-0000-0000B3BE0000}"/>
    <cellStyle name="Normal 2 4 4 26 2 3 2 2" xfId="54343" xr:uid="{00000000-0005-0000-0000-0000B4BE0000}"/>
    <cellStyle name="Normal 2 4 4 26 2 3 3" xfId="20404" xr:uid="{00000000-0005-0000-0000-0000B5BE0000}"/>
    <cellStyle name="Normal 2 4 4 26 2 3 3 2" xfId="54344" xr:uid="{00000000-0005-0000-0000-0000B6BE0000}"/>
    <cellStyle name="Normal 2 4 4 26 2 3 4" xfId="54345" xr:uid="{00000000-0005-0000-0000-0000B7BE0000}"/>
    <cellStyle name="Normal 2 4 4 26 2 4" xfId="20405" xr:uid="{00000000-0005-0000-0000-0000B8BE0000}"/>
    <cellStyle name="Normal 2 4 4 26 2 4 2" xfId="20406" xr:uid="{00000000-0005-0000-0000-0000B9BE0000}"/>
    <cellStyle name="Normal 2 4 4 26 2 4 2 2" xfId="54346" xr:uid="{00000000-0005-0000-0000-0000BABE0000}"/>
    <cellStyle name="Normal 2 4 4 26 2 4 3" xfId="54347" xr:uid="{00000000-0005-0000-0000-0000BBBE0000}"/>
    <cellStyle name="Normal 2 4 4 26 2 5" xfId="20407" xr:uid="{00000000-0005-0000-0000-0000BCBE0000}"/>
    <cellStyle name="Normal 2 4 4 26 2 5 2" xfId="54348" xr:uid="{00000000-0005-0000-0000-0000BDBE0000}"/>
    <cellStyle name="Normal 2 4 4 26 2 6" xfId="20408" xr:uid="{00000000-0005-0000-0000-0000BEBE0000}"/>
    <cellStyle name="Normal 2 4 4 26 2 6 2" xfId="54349" xr:uid="{00000000-0005-0000-0000-0000BFBE0000}"/>
    <cellStyle name="Normal 2 4 4 26 2 7" xfId="54350" xr:uid="{00000000-0005-0000-0000-0000C0BE0000}"/>
    <cellStyle name="Normal 2 4 4 26 2 7 2" xfId="54351" xr:uid="{00000000-0005-0000-0000-0000C1BE0000}"/>
    <cellStyle name="Normal 2 4 4 26 2 8" xfId="54352" xr:uid="{00000000-0005-0000-0000-0000C2BE0000}"/>
    <cellStyle name="Normal 2 4 4 26 2 9" xfId="54353" xr:uid="{00000000-0005-0000-0000-0000C3BE0000}"/>
    <cellStyle name="Normal 2 4 4 26 3" xfId="20409" xr:uid="{00000000-0005-0000-0000-0000C4BE0000}"/>
    <cellStyle name="Normal 2 4 4 26 3 2" xfId="20410" xr:uid="{00000000-0005-0000-0000-0000C5BE0000}"/>
    <cellStyle name="Normal 2 4 4 26 3 2 2" xfId="20411" xr:uid="{00000000-0005-0000-0000-0000C6BE0000}"/>
    <cellStyle name="Normal 2 4 4 26 3 2 2 2" xfId="54354" xr:uid="{00000000-0005-0000-0000-0000C7BE0000}"/>
    <cellStyle name="Normal 2 4 4 26 3 2 3" xfId="20412" xr:uid="{00000000-0005-0000-0000-0000C8BE0000}"/>
    <cellStyle name="Normal 2 4 4 26 3 2 3 2" xfId="54355" xr:uid="{00000000-0005-0000-0000-0000C9BE0000}"/>
    <cellStyle name="Normal 2 4 4 26 3 2 4" xfId="54356" xr:uid="{00000000-0005-0000-0000-0000CABE0000}"/>
    <cellStyle name="Normal 2 4 4 26 3 3" xfId="20413" xr:uid="{00000000-0005-0000-0000-0000CBBE0000}"/>
    <cellStyle name="Normal 2 4 4 26 3 3 2" xfId="54357" xr:uid="{00000000-0005-0000-0000-0000CCBE0000}"/>
    <cellStyle name="Normal 2 4 4 26 3 4" xfId="20414" xr:uid="{00000000-0005-0000-0000-0000CDBE0000}"/>
    <cellStyle name="Normal 2 4 4 26 3 4 2" xfId="54358" xr:uid="{00000000-0005-0000-0000-0000CEBE0000}"/>
    <cellStyle name="Normal 2 4 4 26 3 5" xfId="20415" xr:uid="{00000000-0005-0000-0000-0000CFBE0000}"/>
    <cellStyle name="Normal 2 4 4 26 3 5 2" xfId="54359" xr:uid="{00000000-0005-0000-0000-0000D0BE0000}"/>
    <cellStyle name="Normal 2 4 4 26 3 6" xfId="54360" xr:uid="{00000000-0005-0000-0000-0000D1BE0000}"/>
    <cellStyle name="Normal 2 4 4 26 3 6 2" xfId="54361" xr:uid="{00000000-0005-0000-0000-0000D2BE0000}"/>
    <cellStyle name="Normal 2 4 4 26 3 7" xfId="54362" xr:uid="{00000000-0005-0000-0000-0000D3BE0000}"/>
    <cellStyle name="Normal 2 4 4 26 4" xfId="20416" xr:uid="{00000000-0005-0000-0000-0000D4BE0000}"/>
    <cellStyle name="Normal 2 4 4 26 4 2" xfId="20417" xr:uid="{00000000-0005-0000-0000-0000D5BE0000}"/>
    <cellStyle name="Normal 2 4 4 26 4 2 2" xfId="54363" xr:uid="{00000000-0005-0000-0000-0000D6BE0000}"/>
    <cellStyle name="Normal 2 4 4 26 4 3" xfId="20418" xr:uid="{00000000-0005-0000-0000-0000D7BE0000}"/>
    <cellStyle name="Normal 2 4 4 26 4 3 2" xfId="54364" xr:uid="{00000000-0005-0000-0000-0000D8BE0000}"/>
    <cellStyle name="Normal 2 4 4 26 4 4" xfId="54365" xr:uid="{00000000-0005-0000-0000-0000D9BE0000}"/>
    <cellStyle name="Normal 2 4 4 26 5" xfId="20419" xr:uid="{00000000-0005-0000-0000-0000DABE0000}"/>
    <cellStyle name="Normal 2 4 4 26 5 2" xfId="20420" xr:uid="{00000000-0005-0000-0000-0000DBBE0000}"/>
    <cellStyle name="Normal 2 4 4 26 5 2 2" xfId="54366" xr:uid="{00000000-0005-0000-0000-0000DCBE0000}"/>
    <cellStyle name="Normal 2 4 4 26 5 3" xfId="54367" xr:uid="{00000000-0005-0000-0000-0000DDBE0000}"/>
    <cellStyle name="Normal 2 4 4 26 6" xfId="20421" xr:uid="{00000000-0005-0000-0000-0000DEBE0000}"/>
    <cellStyle name="Normal 2 4 4 26 6 2" xfId="54368" xr:uid="{00000000-0005-0000-0000-0000DFBE0000}"/>
    <cellStyle name="Normal 2 4 4 26 7" xfId="20422" xr:uid="{00000000-0005-0000-0000-0000E0BE0000}"/>
    <cellStyle name="Normal 2 4 4 26 7 2" xfId="54369" xr:uid="{00000000-0005-0000-0000-0000E1BE0000}"/>
    <cellStyle name="Normal 2 4 4 26 8" xfId="54370" xr:uid="{00000000-0005-0000-0000-0000E2BE0000}"/>
    <cellStyle name="Normal 2 4 4 26 8 2" xfId="54371" xr:uid="{00000000-0005-0000-0000-0000E3BE0000}"/>
    <cellStyle name="Normal 2 4 4 26 9" xfId="54372" xr:uid="{00000000-0005-0000-0000-0000E4BE0000}"/>
    <cellStyle name="Normal 2 4 4 27" xfId="20423" xr:uid="{00000000-0005-0000-0000-0000E5BE0000}"/>
    <cellStyle name="Normal 2 4 4 27 10" xfId="54373" xr:uid="{00000000-0005-0000-0000-0000E6BE0000}"/>
    <cellStyle name="Normal 2 4 4 27 11" xfId="54374" xr:uid="{00000000-0005-0000-0000-0000E7BE0000}"/>
    <cellStyle name="Normal 2 4 4 27 2" xfId="20424" xr:uid="{00000000-0005-0000-0000-0000E8BE0000}"/>
    <cellStyle name="Normal 2 4 4 27 2 10" xfId="54375" xr:uid="{00000000-0005-0000-0000-0000E9BE0000}"/>
    <cellStyle name="Normal 2 4 4 27 2 2" xfId="20425" xr:uid="{00000000-0005-0000-0000-0000EABE0000}"/>
    <cellStyle name="Normal 2 4 4 27 2 2 2" xfId="20426" xr:uid="{00000000-0005-0000-0000-0000EBBE0000}"/>
    <cellStyle name="Normal 2 4 4 27 2 2 2 2" xfId="20427" xr:uid="{00000000-0005-0000-0000-0000ECBE0000}"/>
    <cellStyle name="Normal 2 4 4 27 2 2 2 2 2" xfId="54376" xr:uid="{00000000-0005-0000-0000-0000EDBE0000}"/>
    <cellStyle name="Normal 2 4 4 27 2 2 2 3" xfId="20428" xr:uid="{00000000-0005-0000-0000-0000EEBE0000}"/>
    <cellStyle name="Normal 2 4 4 27 2 2 2 3 2" xfId="54377" xr:uid="{00000000-0005-0000-0000-0000EFBE0000}"/>
    <cellStyle name="Normal 2 4 4 27 2 2 2 4" xfId="54378" xr:uid="{00000000-0005-0000-0000-0000F0BE0000}"/>
    <cellStyle name="Normal 2 4 4 27 2 2 3" xfId="20429" xr:uid="{00000000-0005-0000-0000-0000F1BE0000}"/>
    <cellStyle name="Normal 2 4 4 27 2 2 3 2" xfId="54379" xr:uid="{00000000-0005-0000-0000-0000F2BE0000}"/>
    <cellStyle name="Normal 2 4 4 27 2 2 4" xfId="20430" xr:uid="{00000000-0005-0000-0000-0000F3BE0000}"/>
    <cellStyle name="Normal 2 4 4 27 2 2 4 2" xfId="54380" xr:uid="{00000000-0005-0000-0000-0000F4BE0000}"/>
    <cellStyle name="Normal 2 4 4 27 2 2 5" xfId="20431" xr:uid="{00000000-0005-0000-0000-0000F5BE0000}"/>
    <cellStyle name="Normal 2 4 4 27 2 2 5 2" xfId="54381" xr:uid="{00000000-0005-0000-0000-0000F6BE0000}"/>
    <cellStyle name="Normal 2 4 4 27 2 2 6" xfId="54382" xr:uid="{00000000-0005-0000-0000-0000F7BE0000}"/>
    <cellStyle name="Normal 2 4 4 27 2 2 6 2" xfId="54383" xr:uid="{00000000-0005-0000-0000-0000F8BE0000}"/>
    <cellStyle name="Normal 2 4 4 27 2 2 7" xfId="54384" xr:uid="{00000000-0005-0000-0000-0000F9BE0000}"/>
    <cellStyle name="Normal 2 4 4 27 2 3" xfId="20432" xr:uid="{00000000-0005-0000-0000-0000FABE0000}"/>
    <cellStyle name="Normal 2 4 4 27 2 3 2" xfId="20433" xr:uid="{00000000-0005-0000-0000-0000FBBE0000}"/>
    <cellStyle name="Normal 2 4 4 27 2 3 2 2" xfId="54385" xr:uid="{00000000-0005-0000-0000-0000FCBE0000}"/>
    <cellStyle name="Normal 2 4 4 27 2 3 3" xfId="20434" xr:uid="{00000000-0005-0000-0000-0000FDBE0000}"/>
    <cellStyle name="Normal 2 4 4 27 2 3 3 2" xfId="54386" xr:uid="{00000000-0005-0000-0000-0000FEBE0000}"/>
    <cellStyle name="Normal 2 4 4 27 2 3 4" xfId="54387" xr:uid="{00000000-0005-0000-0000-0000FFBE0000}"/>
    <cellStyle name="Normal 2 4 4 27 2 4" xfId="20435" xr:uid="{00000000-0005-0000-0000-000000BF0000}"/>
    <cellStyle name="Normal 2 4 4 27 2 4 2" xfId="20436" xr:uid="{00000000-0005-0000-0000-000001BF0000}"/>
    <cellStyle name="Normal 2 4 4 27 2 4 2 2" xfId="54388" xr:uid="{00000000-0005-0000-0000-000002BF0000}"/>
    <cellStyle name="Normal 2 4 4 27 2 4 3" xfId="54389" xr:uid="{00000000-0005-0000-0000-000003BF0000}"/>
    <cellStyle name="Normal 2 4 4 27 2 5" xfId="20437" xr:uid="{00000000-0005-0000-0000-000004BF0000}"/>
    <cellStyle name="Normal 2 4 4 27 2 5 2" xfId="54390" xr:uid="{00000000-0005-0000-0000-000005BF0000}"/>
    <cellStyle name="Normal 2 4 4 27 2 6" xfId="20438" xr:uid="{00000000-0005-0000-0000-000006BF0000}"/>
    <cellStyle name="Normal 2 4 4 27 2 6 2" xfId="54391" xr:uid="{00000000-0005-0000-0000-000007BF0000}"/>
    <cellStyle name="Normal 2 4 4 27 2 7" xfId="54392" xr:uid="{00000000-0005-0000-0000-000008BF0000}"/>
    <cellStyle name="Normal 2 4 4 27 2 7 2" xfId="54393" xr:uid="{00000000-0005-0000-0000-000009BF0000}"/>
    <cellStyle name="Normal 2 4 4 27 2 8" xfId="54394" xr:uid="{00000000-0005-0000-0000-00000ABF0000}"/>
    <cellStyle name="Normal 2 4 4 27 2 9" xfId="54395" xr:uid="{00000000-0005-0000-0000-00000BBF0000}"/>
    <cellStyle name="Normal 2 4 4 27 3" xfId="20439" xr:uid="{00000000-0005-0000-0000-00000CBF0000}"/>
    <cellStyle name="Normal 2 4 4 27 3 2" xfId="20440" xr:uid="{00000000-0005-0000-0000-00000DBF0000}"/>
    <cellStyle name="Normal 2 4 4 27 3 2 2" xfId="20441" xr:uid="{00000000-0005-0000-0000-00000EBF0000}"/>
    <cellStyle name="Normal 2 4 4 27 3 2 2 2" xfId="54396" xr:uid="{00000000-0005-0000-0000-00000FBF0000}"/>
    <cellStyle name="Normal 2 4 4 27 3 2 3" xfId="20442" xr:uid="{00000000-0005-0000-0000-000010BF0000}"/>
    <cellStyle name="Normal 2 4 4 27 3 2 3 2" xfId="54397" xr:uid="{00000000-0005-0000-0000-000011BF0000}"/>
    <cellStyle name="Normal 2 4 4 27 3 2 4" xfId="54398" xr:uid="{00000000-0005-0000-0000-000012BF0000}"/>
    <cellStyle name="Normal 2 4 4 27 3 3" xfId="20443" xr:uid="{00000000-0005-0000-0000-000013BF0000}"/>
    <cellStyle name="Normal 2 4 4 27 3 3 2" xfId="54399" xr:uid="{00000000-0005-0000-0000-000014BF0000}"/>
    <cellStyle name="Normal 2 4 4 27 3 4" xfId="20444" xr:uid="{00000000-0005-0000-0000-000015BF0000}"/>
    <cellStyle name="Normal 2 4 4 27 3 4 2" xfId="54400" xr:uid="{00000000-0005-0000-0000-000016BF0000}"/>
    <cellStyle name="Normal 2 4 4 27 3 5" xfId="20445" xr:uid="{00000000-0005-0000-0000-000017BF0000}"/>
    <cellStyle name="Normal 2 4 4 27 3 5 2" xfId="54401" xr:uid="{00000000-0005-0000-0000-000018BF0000}"/>
    <cellStyle name="Normal 2 4 4 27 3 6" xfId="54402" xr:uid="{00000000-0005-0000-0000-000019BF0000}"/>
    <cellStyle name="Normal 2 4 4 27 3 6 2" xfId="54403" xr:uid="{00000000-0005-0000-0000-00001ABF0000}"/>
    <cellStyle name="Normal 2 4 4 27 3 7" xfId="54404" xr:uid="{00000000-0005-0000-0000-00001BBF0000}"/>
    <cellStyle name="Normal 2 4 4 27 4" xfId="20446" xr:uid="{00000000-0005-0000-0000-00001CBF0000}"/>
    <cellStyle name="Normal 2 4 4 27 4 2" xfId="20447" xr:uid="{00000000-0005-0000-0000-00001DBF0000}"/>
    <cellStyle name="Normal 2 4 4 27 4 2 2" xfId="54405" xr:uid="{00000000-0005-0000-0000-00001EBF0000}"/>
    <cellStyle name="Normal 2 4 4 27 4 3" xfId="20448" xr:uid="{00000000-0005-0000-0000-00001FBF0000}"/>
    <cellStyle name="Normal 2 4 4 27 4 3 2" xfId="54406" xr:uid="{00000000-0005-0000-0000-000020BF0000}"/>
    <cellStyle name="Normal 2 4 4 27 4 4" xfId="54407" xr:uid="{00000000-0005-0000-0000-000021BF0000}"/>
    <cellStyle name="Normal 2 4 4 27 5" xfId="20449" xr:uid="{00000000-0005-0000-0000-000022BF0000}"/>
    <cellStyle name="Normal 2 4 4 27 5 2" xfId="20450" xr:uid="{00000000-0005-0000-0000-000023BF0000}"/>
    <cellStyle name="Normal 2 4 4 27 5 2 2" xfId="54408" xr:uid="{00000000-0005-0000-0000-000024BF0000}"/>
    <cellStyle name="Normal 2 4 4 27 5 3" xfId="54409" xr:uid="{00000000-0005-0000-0000-000025BF0000}"/>
    <cellStyle name="Normal 2 4 4 27 6" xfId="20451" xr:uid="{00000000-0005-0000-0000-000026BF0000}"/>
    <cellStyle name="Normal 2 4 4 27 6 2" xfId="54410" xr:uid="{00000000-0005-0000-0000-000027BF0000}"/>
    <cellStyle name="Normal 2 4 4 27 7" xfId="20452" xr:uid="{00000000-0005-0000-0000-000028BF0000}"/>
    <cellStyle name="Normal 2 4 4 27 7 2" xfId="54411" xr:uid="{00000000-0005-0000-0000-000029BF0000}"/>
    <cellStyle name="Normal 2 4 4 27 8" xfId="54412" xr:uid="{00000000-0005-0000-0000-00002ABF0000}"/>
    <cellStyle name="Normal 2 4 4 27 8 2" xfId="54413" xr:uid="{00000000-0005-0000-0000-00002BBF0000}"/>
    <cellStyle name="Normal 2 4 4 27 9" xfId="54414" xr:uid="{00000000-0005-0000-0000-00002CBF0000}"/>
    <cellStyle name="Normal 2 4 4 28" xfId="20453" xr:uid="{00000000-0005-0000-0000-00002DBF0000}"/>
    <cellStyle name="Normal 2 4 4 28 10" xfId="54415" xr:uid="{00000000-0005-0000-0000-00002EBF0000}"/>
    <cellStyle name="Normal 2 4 4 28 11" xfId="54416" xr:uid="{00000000-0005-0000-0000-00002FBF0000}"/>
    <cellStyle name="Normal 2 4 4 28 2" xfId="20454" xr:uid="{00000000-0005-0000-0000-000030BF0000}"/>
    <cellStyle name="Normal 2 4 4 28 2 10" xfId="54417" xr:uid="{00000000-0005-0000-0000-000031BF0000}"/>
    <cellStyle name="Normal 2 4 4 28 2 2" xfId="20455" xr:uid="{00000000-0005-0000-0000-000032BF0000}"/>
    <cellStyle name="Normal 2 4 4 28 2 2 2" xfId="20456" xr:uid="{00000000-0005-0000-0000-000033BF0000}"/>
    <cellStyle name="Normal 2 4 4 28 2 2 2 2" xfId="20457" xr:uid="{00000000-0005-0000-0000-000034BF0000}"/>
    <cellStyle name="Normal 2 4 4 28 2 2 2 2 2" xfId="54418" xr:uid="{00000000-0005-0000-0000-000035BF0000}"/>
    <cellStyle name="Normal 2 4 4 28 2 2 2 3" xfId="20458" xr:uid="{00000000-0005-0000-0000-000036BF0000}"/>
    <cellStyle name="Normal 2 4 4 28 2 2 2 3 2" xfId="54419" xr:uid="{00000000-0005-0000-0000-000037BF0000}"/>
    <cellStyle name="Normal 2 4 4 28 2 2 2 4" xfId="54420" xr:uid="{00000000-0005-0000-0000-000038BF0000}"/>
    <cellStyle name="Normal 2 4 4 28 2 2 3" xfId="20459" xr:uid="{00000000-0005-0000-0000-000039BF0000}"/>
    <cellStyle name="Normal 2 4 4 28 2 2 3 2" xfId="54421" xr:uid="{00000000-0005-0000-0000-00003ABF0000}"/>
    <cellStyle name="Normal 2 4 4 28 2 2 4" xfId="20460" xr:uid="{00000000-0005-0000-0000-00003BBF0000}"/>
    <cellStyle name="Normal 2 4 4 28 2 2 4 2" xfId="54422" xr:uid="{00000000-0005-0000-0000-00003CBF0000}"/>
    <cellStyle name="Normal 2 4 4 28 2 2 5" xfId="20461" xr:uid="{00000000-0005-0000-0000-00003DBF0000}"/>
    <cellStyle name="Normal 2 4 4 28 2 2 5 2" xfId="54423" xr:uid="{00000000-0005-0000-0000-00003EBF0000}"/>
    <cellStyle name="Normal 2 4 4 28 2 2 6" xfId="54424" xr:uid="{00000000-0005-0000-0000-00003FBF0000}"/>
    <cellStyle name="Normal 2 4 4 28 2 2 6 2" xfId="54425" xr:uid="{00000000-0005-0000-0000-000040BF0000}"/>
    <cellStyle name="Normal 2 4 4 28 2 2 7" xfId="54426" xr:uid="{00000000-0005-0000-0000-000041BF0000}"/>
    <cellStyle name="Normal 2 4 4 28 2 3" xfId="20462" xr:uid="{00000000-0005-0000-0000-000042BF0000}"/>
    <cellStyle name="Normal 2 4 4 28 2 3 2" xfId="20463" xr:uid="{00000000-0005-0000-0000-000043BF0000}"/>
    <cellStyle name="Normal 2 4 4 28 2 3 2 2" xfId="54427" xr:uid="{00000000-0005-0000-0000-000044BF0000}"/>
    <cellStyle name="Normal 2 4 4 28 2 3 3" xfId="20464" xr:uid="{00000000-0005-0000-0000-000045BF0000}"/>
    <cellStyle name="Normal 2 4 4 28 2 3 3 2" xfId="54428" xr:uid="{00000000-0005-0000-0000-000046BF0000}"/>
    <cellStyle name="Normal 2 4 4 28 2 3 4" xfId="54429" xr:uid="{00000000-0005-0000-0000-000047BF0000}"/>
    <cellStyle name="Normal 2 4 4 28 2 4" xfId="20465" xr:uid="{00000000-0005-0000-0000-000048BF0000}"/>
    <cellStyle name="Normal 2 4 4 28 2 4 2" xfId="20466" xr:uid="{00000000-0005-0000-0000-000049BF0000}"/>
    <cellStyle name="Normal 2 4 4 28 2 4 2 2" xfId="54430" xr:uid="{00000000-0005-0000-0000-00004ABF0000}"/>
    <cellStyle name="Normal 2 4 4 28 2 4 3" xfId="54431" xr:uid="{00000000-0005-0000-0000-00004BBF0000}"/>
    <cellStyle name="Normal 2 4 4 28 2 5" xfId="20467" xr:uid="{00000000-0005-0000-0000-00004CBF0000}"/>
    <cellStyle name="Normal 2 4 4 28 2 5 2" xfId="54432" xr:uid="{00000000-0005-0000-0000-00004DBF0000}"/>
    <cellStyle name="Normal 2 4 4 28 2 6" xfId="20468" xr:uid="{00000000-0005-0000-0000-00004EBF0000}"/>
    <cellStyle name="Normal 2 4 4 28 2 6 2" xfId="54433" xr:uid="{00000000-0005-0000-0000-00004FBF0000}"/>
    <cellStyle name="Normal 2 4 4 28 2 7" xfId="54434" xr:uid="{00000000-0005-0000-0000-000050BF0000}"/>
    <cellStyle name="Normal 2 4 4 28 2 7 2" xfId="54435" xr:uid="{00000000-0005-0000-0000-000051BF0000}"/>
    <cellStyle name="Normal 2 4 4 28 2 8" xfId="54436" xr:uid="{00000000-0005-0000-0000-000052BF0000}"/>
    <cellStyle name="Normal 2 4 4 28 2 9" xfId="54437" xr:uid="{00000000-0005-0000-0000-000053BF0000}"/>
    <cellStyle name="Normal 2 4 4 28 3" xfId="20469" xr:uid="{00000000-0005-0000-0000-000054BF0000}"/>
    <cellStyle name="Normal 2 4 4 28 3 2" xfId="20470" xr:uid="{00000000-0005-0000-0000-000055BF0000}"/>
    <cellStyle name="Normal 2 4 4 28 3 2 2" xfId="20471" xr:uid="{00000000-0005-0000-0000-000056BF0000}"/>
    <cellStyle name="Normal 2 4 4 28 3 2 2 2" xfId="54438" xr:uid="{00000000-0005-0000-0000-000057BF0000}"/>
    <cellStyle name="Normal 2 4 4 28 3 2 3" xfId="20472" xr:uid="{00000000-0005-0000-0000-000058BF0000}"/>
    <cellStyle name="Normal 2 4 4 28 3 2 3 2" xfId="54439" xr:uid="{00000000-0005-0000-0000-000059BF0000}"/>
    <cellStyle name="Normal 2 4 4 28 3 2 4" xfId="54440" xr:uid="{00000000-0005-0000-0000-00005ABF0000}"/>
    <cellStyle name="Normal 2 4 4 28 3 3" xfId="20473" xr:uid="{00000000-0005-0000-0000-00005BBF0000}"/>
    <cellStyle name="Normal 2 4 4 28 3 3 2" xfId="54441" xr:uid="{00000000-0005-0000-0000-00005CBF0000}"/>
    <cellStyle name="Normal 2 4 4 28 3 4" xfId="20474" xr:uid="{00000000-0005-0000-0000-00005DBF0000}"/>
    <cellStyle name="Normal 2 4 4 28 3 4 2" xfId="54442" xr:uid="{00000000-0005-0000-0000-00005EBF0000}"/>
    <cellStyle name="Normal 2 4 4 28 3 5" xfId="20475" xr:uid="{00000000-0005-0000-0000-00005FBF0000}"/>
    <cellStyle name="Normal 2 4 4 28 3 5 2" xfId="54443" xr:uid="{00000000-0005-0000-0000-000060BF0000}"/>
    <cellStyle name="Normal 2 4 4 28 3 6" xfId="54444" xr:uid="{00000000-0005-0000-0000-000061BF0000}"/>
    <cellStyle name="Normal 2 4 4 28 3 6 2" xfId="54445" xr:uid="{00000000-0005-0000-0000-000062BF0000}"/>
    <cellStyle name="Normal 2 4 4 28 3 7" xfId="54446" xr:uid="{00000000-0005-0000-0000-000063BF0000}"/>
    <cellStyle name="Normal 2 4 4 28 4" xfId="20476" xr:uid="{00000000-0005-0000-0000-000064BF0000}"/>
    <cellStyle name="Normal 2 4 4 28 4 2" xfId="20477" xr:uid="{00000000-0005-0000-0000-000065BF0000}"/>
    <cellStyle name="Normal 2 4 4 28 4 2 2" xfId="54447" xr:uid="{00000000-0005-0000-0000-000066BF0000}"/>
    <cellStyle name="Normal 2 4 4 28 4 3" xfId="20478" xr:uid="{00000000-0005-0000-0000-000067BF0000}"/>
    <cellStyle name="Normal 2 4 4 28 4 3 2" xfId="54448" xr:uid="{00000000-0005-0000-0000-000068BF0000}"/>
    <cellStyle name="Normal 2 4 4 28 4 4" xfId="54449" xr:uid="{00000000-0005-0000-0000-000069BF0000}"/>
    <cellStyle name="Normal 2 4 4 28 5" xfId="20479" xr:uid="{00000000-0005-0000-0000-00006ABF0000}"/>
    <cellStyle name="Normal 2 4 4 28 5 2" xfId="20480" xr:uid="{00000000-0005-0000-0000-00006BBF0000}"/>
    <cellStyle name="Normal 2 4 4 28 5 2 2" xfId="54450" xr:uid="{00000000-0005-0000-0000-00006CBF0000}"/>
    <cellStyle name="Normal 2 4 4 28 5 3" xfId="54451" xr:uid="{00000000-0005-0000-0000-00006DBF0000}"/>
    <cellStyle name="Normal 2 4 4 28 6" xfId="20481" xr:uid="{00000000-0005-0000-0000-00006EBF0000}"/>
    <cellStyle name="Normal 2 4 4 28 6 2" xfId="54452" xr:uid="{00000000-0005-0000-0000-00006FBF0000}"/>
    <cellStyle name="Normal 2 4 4 28 7" xfId="20482" xr:uid="{00000000-0005-0000-0000-000070BF0000}"/>
    <cellStyle name="Normal 2 4 4 28 7 2" xfId="54453" xr:uid="{00000000-0005-0000-0000-000071BF0000}"/>
    <cellStyle name="Normal 2 4 4 28 8" xfId="54454" xr:uid="{00000000-0005-0000-0000-000072BF0000}"/>
    <cellStyle name="Normal 2 4 4 28 8 2" xfId="54455" xr:uid="{00000000-0005-0000-0000-000073BF0000}"/>
    <cellStyle name="Normal 2 4 4 28 9" xfId="54456" xr:uid="{00000000-0005-0000-0000-000074BF0000}"/>
    <cellStyle name="Normal 2 4 4 29" xfId="20483" xr:uid="{00000000-0005-0000-0000-000075BF0000}"/>
    <cellStyle name="Normal 2 4 4 29 10" xfId="54457" xr:uid="{00000000-0005-0000-0000-000076BF0000}"/>
    <cellStyle name="Normal 2 4 4 29 11" xfId="54458" xr:uid="{00000000-0005-0000-0000-000077BF0000}"/>
    <cellStyle name="Normal 2 4 4 29 2" xfId="20484" xr:uid="{00000000-0005-0000-0000-000078BF0000}"/>
    <cellStyle name="Normal 2 4 4 29 2 10" xfId="54459" xr:uid="{00000000-0005-0000-0000-000079BF0000}"/>
    <cellStyle name="Normal 2 4 4 29 2 2" xfId="20485" xr:uid="{00000000-0005-0000-0000-00007ABF0000}"/>
    <cellStyle name="Normal 2 4 4 29 2 2 2" xfId="20486" xr:uid="{00000000-0005-0000-0000-00007BBF0000}"/>
    <cellStyle name="Normal 2 4 4 29 2 2 2 2" xfId="20487" xr:uid="{00000000-0005-0000-0000-00007CBF0000}"/>
    <cellStyle name="Normal 2 4 4 29 2 2 2 2 2" xfId="54460" xr:uid="{00000000-0005-0000-0000-00007DBF0000}"/>
    <cellStyle name="Normal 2 4 4 29 2 2 2 3" xfId="20488" xr:uid="{00000000-0005-0000-0000-00007EBF0000}"/>
    <cellStyle name="Normal 2 4 4 29 2 2 2 3 2" xfId="54461" xr:uid="{00000000-0005-0000-0000-00007FBF0000}"/>
    <cellStyle name="Normal 2 4 4 29 2 2 2 4" xfId="54462" xr:uid="{00000000-0005-0000-0000-000080BF0000}"/>
    <cellStyle name="Normal 2 4 4 29 2 2 3" xfId="20489" xr:uid="{00000000-0005-0000-0000-000081BF0000}"/>
    <cellStyle name="Normal 2 4 4 29 2 2 3 2" xfId="54463" xr:uid="{00000000-0005-0000-0000-000082BF0000}"/>
    <cellStyle name="Normal 2 4 4 29 2 2 4" xfId="20490" xr:uid="{00000000-0005-0000-0000-000083BF0000}"/>
    <cellStyle name="Normal 2 4 4 29 2 2 4 2" xfId="54464" xr:uid="{00000000-0005-0000-0000-000084BF0000}"/>
    <cellStyle name="Normal 2 4 4 29 2 2 5" xfId="20491" xr:uid="{00000000-0005-0000-0000-000085BF0000}"/>
    <cellStyle name="Normal 2 4 4 29 2 2 5 2" xfId="54465" xr:uid="{00000000-0005-0000-0000-000086BF0000}"/>
    <cellStyle name="Normal 2 4 4 29 2 2 6" xfId="54466" xr:uid="{00000000-0005-0000-0000-000087BF0000}"/>
    <cellStyle name="Normal 2 4 4 29 2 2 6 2" xfId="54467" xr:uid="{00000000-0005-0000-0000-000088BF0000}"/>
    <cellStyle name="Normal 2 4 4 29 2 2 7" xfId="54468" xr:uid="{00000000-0005-0000-0000-000089BF0000}"/>
    <cellStyle name="Normal 2 4 4 29 2 3" xfId="20492" xr:uid="{00000000-0005-0000-0000-00008ABF0000}"/>
    <cellStyle name="Normal 2 4 4 29 2 3 2" xfId="20493" xr:uid="{00000000-0005-0000-0000-00008BBF0000}"/>
    <cellStyle name="Normal 2 4 4 29 2 3 2 2" xfId="54469" xr:uid="{00000000-0005-0000-0000-00008CBF0000}"/>
    <cellStyle name="Normal 2 4 4 29 2 3 3" xfId="20494" xr:uid="{00000000-0005-0000-0000-00008DBF0000}"/>
    <cellStyle name="Normal 2 4 4 29 2 3 3 2" xfId="54470" xr:uid="{00000000-0005-0000-0000-00008EBF0000}"/>
    <cellStyle name="Normal 2 4 4 29 2 3 4" xfId="54471" xr:uid="{00000000-0005-0000-0000-00008FBF0000}"/>
    <cellStyle name="Normal 2 4 4 29 2 4" xfId="20495" xr:uid="{00000000-0005-0000-0000-000090BF0000}"/>
    <cellStyle name="Normal 2 4 4 29 2 4 2" xfId="20496" xr:uid="{00000000-0005-0000-0000-000091BF0000}"/>
    <cellStyle name="Normal 2 4 4 29 2 4 2 2" xfId="54472" xr:uid="{00000000-0005-0000-0000-000092BF0000}"/>
    <cellStyle name="Normal 2 4 4 29 2 4 3" xfId="54473" xr:uid="{00000000-0005-0000-0000-000093BF0000}"/>
    <cellStyle name="Normal 2 4 4 29 2 5" xfId="20497" xr:uid="{00000000-0005-0000-0000-000094BF0000}"/>
    <cellStyle name="Normal 2 4 4 29 2 5 2" xfId="54474" xr:uid="{00000000-0005-0000-0000-000095BF0000}"/>
    <cellStyle name="Normal 2 4 4 29 2 6" xfId="20498" xr:uid="{00000000-0005-0000-0000-000096BF0000}"/>
    <cellStyle name="Normal 2 4 4 29 2 6 2" xfId="54475" xr:uid="{00000000-0005-0000-0000-000097BF0000}"/>
    <cellStyle name="Normal 2 4 4 29 2 7" xfId="54476" xr:uid="{00000000-0005-0000-0000-000098BF0000}"/>
    <cellStyle name="Normal 2 4 4 29 2 7 2" xfId="54477" xr:uid="{00000000-0005-0000-0000-000099BF0000}"/>
    <cellStyle name="Normal 2 4 4 29 2 8" xfId="54478" xr:uid="{00000000-0005-0000-0000-00009ABF0000}"/>
    <cellStyle name="Normal 2 4 4 29 2 9" xfId="54479" xr:uid="{00000000-0005-0000-0000-00009BBF0000}"/>
    <cellStyle name="Normal 2 4 4 29 3" xfId="20499" xr:uid="{00000000-0005-0000-0000-00009CBF0000}"/>
    <cellStyle name="Normal 2 4 4 29 3 2" xfId="20500" xr:uid="{00000000-0005-0000-0000-00009DBF0000}"/>
    <cellStyle name="Normal 2 4 4 29 3 2 2" xfId="20501" xr:uid="{00000000-0005-0000-0000-00009EBF0000}"/>
    <cellStyle name="Normal 2 4 4 29 3 2 2 2" xfId="54480" xr:uid="{00000000-0005-0000-0000-00009FBF0000}"/>
    <cellStyle name="Normal 2 4 4 29 3 2 3" xfId="20502" xr:uid="{00000000-0005-0000-0000-0000A0BF0000}"/>
    <cellStyle name="Normal 2 4 4 29 3 2 3 2" xfId="54481" xr:uid="{00000000-0005-0000-0000-0000A1BF0000}"/>
    <cellStyle name="Normal 2 4 4 29 3 2 4" xfId="54482" xr:uid="{00000000-0005-0000-0000-0000A2BF0000}"/>
    <cellStyle name="Normal 2 4 4 29 3 3" xfId="20503" xr:uid="{00000000-0005-0000-0000-0000A3BF0000}"/>
    <cellStyle name="Normal 2 4 4 29 3 3 2" xfId="54483" xr:uid="{00000000-0005-0000-0000-0000A4BF0000}"/>
    <cellStyle name="Normal 2 4 4 29 3 4" xfId="20504" xr:uid="{00000000-0005-0000-0000-0000A5BF0000}"/>
    <cellStyle name="Normal 2 4 4 29 3 4 2" xfId="54484" xr:uid="{00000000-0005-0000-0000-0000A6BF0000}"/>
    <cellStyle name="Normal 2 4 4 29 3 5" xfId="20505" xr:uid="{00000000-0005-0000-0000-0000A7BF0000}"/>
    <cellStyle name="Normal 2 4 4 29 3 5 2" xfId="54485" xr:uid="{00000000-0005-0000-0000-0000A8BF0000}"/>
    <cellStyle name="Normal 2 4 4 29 3 6" xfId="54486" xr:uid="{00000000-0005-0000-0000-0000A9BF0000}"/>
    <cellStyle name="Normal 2 4 4 29 3 6 2" xfId="54487" xr:uid="{00000000-0005-0000-0000-0000AABF0000}"/>
    <cellStyle name="Normal 2 4 4 29 3 7" xfId="54488" xr:uid="{00000000-0005-0000-0000-0000ABBF0000}"/>
    <cellStyle name="Normal 2 4 4 29 4" xfId="20506" xr:uid="{00000000-0005-0000-0000-0000ACBF0000}"/>
    <cellStyle name="Normal 2 4 4 29 4 2" xfId="20507" xr:uid="{00000000-0005-0000-0000-0000ADBF0000}"/>
    <cellStyle name="Normal 2 4 4 29 4 2 2" xfId="54489" xr:uid="{00000000-0005-0000-0000-0000AEBF0000}"/>
    <cellStyle name="Normal 2 4 4 29 4 3" xfId="20508" xr:uid="{00000000-0005-0000-0000-0000AFBF0000}"/>
    <cellStyle name="Normal 2 4 4 29 4 3 2" xfId="54490" xr:uid="{00000000-0005-0000-0000-0000B0BF0000}"/>
    <cellStyle name="Normal 2 4 4 29 4 4" xfId="54491" xr:uid="{00000000-0005-0000-0000-0000B1BF0000}"/>
    <cellStyle name="Normal 2 4 4 29 5" xfId="20509" xr:uid="{00000000-0005-0000-0000-0000B2BF0000}"/>
    <cellStyle name="Normal 2 4 4 29 5 2" xfId="20510" xr:uid="{00000000-0005-0000-0000-0000B3BF0000}"/>
    <cellStyle name="Normal 2 4 4 29 5 2 2" xfId="54492" xr:uid="{00000000-0005-0000-0000-0000B4BF0000}"/>
    <cellStyle name="Normal 2 4 4 29 5 3" xfId="54493" xr:uid="{00000000-0005-0000-0000-0000B5BF0000}"/>
    <cellStyle name="Normal 2 4 4 29 6" xfId="20511" xr:uid="{00000000-0005-0000-0000-0000B6BF0000}"/>
    <cellStyle name="Normal 2 4 4 29 6 2" xfId="54494" xr:uid="{00000000-0005-0000-0000-0000B7BF0000}"/>
    <cellStyle name="Normal 2 4 4 29 7" xfId="20512" xr:uid="{00000000-0005-0000-0000-0000B8BF0000}"/>
    <cellStyle name="Normal 2 4 4 29 7 2" xfId="54495" xr:uid="{00000000-0005-0000-0000-0000B9BF0000}"/>
    <cellStyle name="Normal 2 4 4 29 8" xfId="54496" xr:uid="{00000000-0005-0000-0000-0000BABF0000}"/>
    <cellStyle name="Normal 2 4 4 29 8 2" xfId="54497" xr:uid="{00000000-0005-0000-0000-0000BBBF0000}"/>
    <cellStyle name="Normal 2 4 4 29 9" xfId="54498" xr:uid="{00000000-0005-0000-0000-0000BCBF0000}"/>
    <cellStyle name="Normal 2 4 4 3" xfId="20513" xr:uid="{00000000-0005-0000-0000-0000BDBF0000}"/>
    <cellStyle name="Normal 2 4 4 3 10" xfId="54499" xr:uid="{00000000-0005-0000-0000-0000BEBF0000}"/>
    <cellStyle name="Normal 2 4 4 3 11" xfId="54500" xr:uid="{00000000-0005-0000-0000-0000BFBF0000}"/>
    <cellStyle name="Normal 2 4 4 3 2" xfId="20514" xr:uid="{00000000-0005-0000-0000-0000C0BF0000}"/>
    <cellStyle name="Normal 2 4 4 3 2 10" xfId="54501" xr:uid="{00000000-0005-0000-0000-0000C1BF0000}"/>
    <cellStyle name="Normal 2 4 4 3 2 2" xfId="20515" xr:uid="{00000000-0005-0000-0000-0000C2BF0000}"/>
    <cellStyle name="Normal 2 4 4 3 2 2 2" xfId="20516" xr:uid="{00000000-0005-0000-0000-0000C3BF0000}"/>
    <cellStyle name="Normal 2 4 4 3 2 2 2 2" xfId="20517" xr:uid="{00000000-0005-0000-0000-0000C4BF0000}"/>
    <cellStyle name="Normal 2 4 4 3 2 2 2 2 2" xfId="54502" xr:uid="{00000000-0005-0000-0000-0000C5BF0000}"/>
    <cellStyle name="Normal 2 4 4 3 2 2 2 3" xfId="20518" xr:uid="{00000000-0005-0000-0000-0000C6BF0000}"/>
    <cellStyle name="Normal 2 4 4 3 2 2 2 3 2" xfId="54503" xr:uid="{00000000-0005-0000-0000-0000C7BF0000}"/>
    <cellStyle name="Normal 2 4 4 3 2 2 2 4" xfId="54504" xr:uid="{00000000-0005-0000-0000-0000C8BF0000}"/>
    <cellStyle name="Normal 2 4 4 3 2 2 3" xfId="20519" xr:uid="{00000000-0005-0000-0000-0000C9BF0000}"/>
    <cellStyle name="Normal 2 4 4 3 2 2 3 2" xfId="54505" xr:uid="{00000000-0005-0000-0000-0000CABF0000}"/>
    <cellStyle name="Normal 2 4 4 3 2 2 4" xfId="20520" xr:uid="{00000000-0005-0000-0000-0000CBBF0000}"/>
    <cellStyle name="Normal 2 4 4 3 2 2 4 2" xfId="54506" xr:uid="{00000000-0005-0000-0000-0000CCBF0000}"/>
    <cellStyle name="Normal 2 4 4 3 2 2 5" xfId="20521" xr:uid="{00000000-0005-0000-0000-0000CDBF0000}"/>
    <cellStyle name="Normal 2 4 4 3 2 2 5 2" xfId="54507" xr:uid="{00000000-0005-0000-0000-0000CEBF0000}"/>
    <cellStyle name="Normal 2 4 4 3 2 2 6" xfId="54508" xr:uid="{00000000-0005-0000-0000-0000CFBF0000}"/>
    <cellStyle name="Normal 2 4 4 3 2 2 6 2" xfId="54509" xr:uid="{00000000-0005-0000-0000-0000D0BF0000}"/>
    <cellStyle name="Normal 2 4 4 3 2 2 7" xfId="54510" xr:uid="{00000000-0005-0000-0000-0000D1BF0000}"/>
    <cellStyle name="Normal 2 4 4 3 2 3" xfId="20522" xr:uid="{00000000-0005-0000-0000-0000D2BF0000}"/>
    <cellStyle name="Normal 2 4 4 3 2 3 2" xfId="20523" xr:uid="{00000000-0005-0000-0000-0000D3BF0000}"/>
    <cellStyle name="Normal 2 4 4 3 2 3 2 2" xfId="54511" xr:uid="{00000000-0005-0000-0000-0000D4BF0000}"/>
    <cellStyle name="Normal 2 4 4 3 2 3 3" xfId="20524" xr:uid="{00000000-0005-0000-0000-0000D5BF0000}"/>
    <cellStyle name="Normal 2 4 4 3 2 3 3 2" xfId="54512" xr:uid="{00000000-0005-0000-0000-0000D6BF0000}"/>
    <cellStyle name="Normal 2 4 4 3 2 3 4" xfId="54513" xr:uid="{00000000-0005-0000-0000-0000D7BF0000}"/>
    <cellStyle name="Normal 2 4 4 3 2 4" xfId="20525" xr:uid="{00000000-0005-0000-0000-0000D8BF0000}"/>
    <cellStyle name="Normal 2 4 4 3 2 4 2" xfId="20526" xr:uid="{00000000-0005-0000-0000-0000D9BF0000}"/>
    <cellStyle name="Normal 2 4 4 3 2 4 2 2" xfId="54514" xr:uid="{00000000-0005-0000-0000-0000DABF0000}"/>
    <cellStyle name="Normal 2 4 4 3 2 4 3" xfId="54515" xr:uid="{00000000-0005-0000-0000-0000DBBF0000}"/>
    <cellStyle name="Normal 2 4 4 3 2 5" xfId="20527" xr:uid="{00000000-0005-0000-0000-0000DCBF0000}"/>
    <cellStyle name="Normal 2 4 4 3 2 5 2" xfId="54516" xr:uid="{00000000-0005-0000-0000-0000DDBF0000}"/>
    <cellStyle name="Normal 2 4 4 3 2 6" xfId="20528" xr:uid="{00000000-0005-0000-0000-0000DEBF0000}"/>
    <cellStyle name="Normal 2 4 4 3 2 6 2" xfId="54517" xr:uid="{00000000-0005-0000-0000-0000DFBF0000}"/>
    <cellStyle name="Normal 2 4 4 3 2 7" xfId="54518" xr:uid="{00000000-0005-0000-0000-0000E0BF0000}"/>
    <cellStyle name="Normal 2 4 4 3 2 7 2" xfId="54519" xr:uid="{00000000-0005-0000-0000-0000E1BF0000}"/>
    <cellStyle name="Normal 2 4 4 3 2 8" xfId="54520" xr:uid="{00000000-0005-0000-0000-0000E2BF0000}"/>
    <cellStyle name="Normal 2 4 4 3 2 9" xfId="54521" xr:uid="{00000000-0005-0000-0000-0000E3BF0000}"/>
    <cellStyle name="Normal 2 4 4 3 3" xfId="20529" xr:uid="{00000000-0005-0000-0000-0000E4BF0000}"/>
    <cellStyle name="Normal 2 4 4 3 3 2" xfId="20530" xr:uid="{00000000-0005-0000-0000-0000E5BF0000}"/>
    <cellStyle name="Normal 2 4 4 3 3 2 2" xfId="20531" xr:uid="{00000000-0005-0000-0000-0000E6BF0000}"/>
    <cellStyle name="Normal 2 4 4 3 3 2 2 2" xfId="54522" xr:uid="{00000000-0005-0000-0000-0000E7BF0000}"/>
    <cellStyle name="Normal 2 4 4 3 3 2 3" xfId="20532" xr:uid="{00000000-0005-0000-0000-0000E8BF0000}"/>
    <cellStyle name="Normal 2 4 4 3 3 2 3 2" xfId="54523" xr:uid="{00000000-0005-0000-0000-0000E9BF0000}"/>
    <cellStyle name="Normal 2 4 4 3 3 2 4" xfId="54524" xr:uid="{00000000-0005-0000-0000-0000EABF0000}"/>
    <cellStyle name="Normal 2 4 4 3 3 3" xfId="20533" xr:uid="{00000000-0005-0000-0000-0000EBBF0000}"/>
    <cellStyle name="Normal 2 4 4 3 3 3 2" xfId="54525" xr:uid="{00000000-0005-0000-0000-0000ECBF0000}"/>
    <cellStyle name="Normal 2 4 4 3 3 4" xfId="20534" xr:uid="{00000000-0005-0000-0000-0000EDBF0000}"/>
    <cellStyle name="Normal 2 4 4 3 3 4 2" xfId="54526" xr:uid="{00000000-0005-0000-0000-0000EEBF0000}"/>
    <cellStyle name="Normal 2 4 4 3 3 5" xfId="20535" xr:uid="{00000000-0005-0000-0000-0000EFBF0000}"/>
    <cellStyle name="Normal 2 4 4 3 3 5 2" xfId="54527" xr:uid="{00000000-0005-0000-0000-0000F0BF0000}"/>
    <cellStyle name="Normal 2 4 4 3 3 6" xfId="54528" xr:uid="{00000000-0005-0000-0000-0000F1BF0000}"/>
    <cellStyle name="Normal 2 4 4 3 3 6 2" xfId="54529" xr:uid="{00000000-0005-0000-0000-0000F2BF0000}"/>
    <cellStyle name="Normal 2 4 4 3 3 7" xfId="54530" xr:uid="{00000000-0005-0000-0000-0000F3BF0000}"/>
    <cellStyle name="Normal 2 4 4 3 4" xfId="20536" xr:uid="{00000000-0005-0000-0000-0000F4BF0000}"/>
    <cellStyle name="Normal 2 4 4 3 4 2" xfId="20537" xr:uid="{00000000-0005-0000-0000-0000F5BF0000}"/>
    <cellStyle name="Normal 2 4 4 3 4 2 2" xfId="54531" xr:uid="{00000000-0005-0000-0000-0000F6BF0000}"/>
    <cellStyle name="Normal 2 4 4 3 4 3" xfId="20538" xr:uid="{00000000-0005-0000-0000-0000F7BF0000}"/>
    <cellStyle name="Normal 2 4 4 3 4 3 2" xfId="54532" xr:uid="{00000000-0005-0000-0000-0000F8BF0000}"/>
    <cellStyle name="Normal 2 4 4 3 4 4" xfId="54533" xr:uid="{00000000-0005-0000-0000-0000F9BF0000}"/>
    <cellStyle name="Normal 2 4 4 3 5" xfId="20539" xr:uid="{00000000-0005-0000-0000-0000FABF0000}"/>
    <cellStyle name="Normal 2 4 4 3 5 2" xfId="20540" xr:uid="{00000000-0005-0000-0000-0000FBBF0000}"/>
    <cellStyle name="Normal 2 4 4 3 5 2 2" xfId="54534" xr:uid="{00000000-0005-0000-0000-0000FCBF0000}"/>
    <cellStyle name="Normal 2 4 4 3 5 3" xfId="54535" xr:uid="{00000000-0005-0000-0000-0000FDBF0000}"/>
    <cellStyle name="Normal 2 4 4 3 6" xfId="20541" xr:uid="{00000000-0005-0000-0000-0000FEBF0000}"/>
    <cellStyle name="Normal 2 4 4 3 6 2" xfId="54536" xr:uid="{00000000-0005-0000-0000-0000FFBF0000}"/>
    <cellStyle name="Normal 2 4 4 3 7" xfId="20542" xr:uid="{00000000-0005-0000-0000-000000C00000}"/>
    <cellStyle name="Normal 2 4 4 3 7 2" xfId="54537" xr:uid="{00000000-0005-0000-0000-000001C00000}"/>
    <cellStyle name="Normal 2 4 4 3 8" xfId="54538" xr:uid="{00000000-0005-0000-0000-000002C00000}"/>
    <cellStyle name="Normal 2 4 4 3 8 2" xfId="54539" xr:uid="{00000000-0005-0000-0000-000003C00000}"/>
    <cellStyle name="Normal 2 4 4 3 9" xfId="54540" xr:uid="{00000000-0005-0000-0000-000004C00000}"/>
    <cellStyle name="Normal 2 4 4 30" xfId="20543" xr:uid="{00000000-0005-0000-0000-000005C00000}"/>
    <cellStyle name="Normal 2 4 4 30 10" xfId="54541" xr:uid="{00000000-0005-0000-0000-000006C00000}"/>
    <cellStyle name="Normal 2 4 4 30 11" xfId="54542" xr:uid="{00000000-0005-0000-0000-000007C00000}"/>
    <cellStyle name="Normal 2 4 4 30 2" xfId="20544" xr:uid="{00000000-0005-0000-0000-000008C00000}"/>
    <cellStyle name="Normal 2 4 4 30 2 10" xfId="54543" xr:uid="{00000000-0005-0000-0000-000009C00000}"/>
    <cellStyle name="Normal 2 4 4 30 2 2" xfId="20545" xr:uid="{00000000-0005-0000-0000-00000AC00000}"/>
    <cellStyle name="Normal 2 4 4 30 2 2 2" xfId="20546" xr:uid="{00000000-0005-0000-0000-00000BC00000}"/>
    <cellStyle name="Normal 2 4 4 30 2 2 2 2" xfId="20547" xr:uid="{00000000-0005-0000-0000-00000CC00000}"/>
    <cellStyle name="Normal 2 4 4 30 2 2 2 2 2" xfId="54544" xr:uid="{00000000-0005-0000-0000-00000DC00000}"/>
    <cellStyle name="Normal 2 4 4 30 2 2 2 3" xfId="20548" xr:uid="{00000000-0005-0000-0000-00000EC00000}"/>
    <cellStyle name="Normal 2 4 4 30 2 2 2 3 2" xfId="54545" xr:uid="{00000000-0005-0000-0000-00000FC00000}"/>
    <cellStyle name="Normal 2 4 4 30 2 2 2 4" xfId="54546" xr:uid="{00000000-0005-0000-0000-000010C00000}"/>
    <cellStyle name="Normal 2 4 4 30 2 2 3" xfId="20549" xr:uid="{00000000-0005-0000-0000-000011C00000}"/>
    <cellStyle name="Normal 2 4 4 30 2 2 3 2" xfId="54547" xr:uid="{00000000-0005-0000-0000-000012C00000}"/>
    <cellStyle name="Normal 2 4 4 30 2 2 4" xfId="20550" xr:uid="{00000000-0005-0000-0000-000013C00000}"/>
    <cellStyle name="Normal 2 4 4 30 2 2 4 2" xfId="54548" xr:uid="{00000000-0005-0000-0000-000014C00000}"/>
    <cellStyle name="Normal 2 4 4 30 2 2 5" xfId="20551" xr:uid="{00000000-0005-0000-0000-000015C00000}"/>
    <cellStyle name="Normal 2 4 4 30 2 2 5 2" xfId="54549" xr:uid="{00000000-0005-0000-0000-000016C00000}"/>
    <cellStyle name="Normal 2 4 4 30 2 2 6" xfId="54550" xr:uid="{00000000-0005-0000-0000-000017C00000}"/>
    <cellStyle name="Normal 2 4 4 30 2 2 6 2" xfId="54551" xr:uid="{00000000-0005-0000-0000-000018C00000}"/>
    <cellStyle name="Normal 2 4 4 30 2 2 7" xfId="54552" xr:uid="{00000000-0005-0000-0000-000019C00000}"/>
    <cellStyle name="Normal 2 4 4 30 2 3" xfId="20552" xr:uid="{00000000-0005-0000-0000-00001AC00000}"/>
    <cellStyle name="Normal 2 4 4 30 2 3 2" xfId="20553" xr:uid="{00000000-0005-0000-0000-00001BC00000}"/>
    <cellStyle name="Normal 2 4 4 30 2 3 2 2" xfId="54553" xr:uid="{00000000-0005-0000-0000-00001CC00000}"/>
    <cellStyle name="Normal 2 4 4 30 2 3 3" xfId="20554" xr:uid="{00000000-0005-0000-0000-00001DC00000}"/>
    <cellStyle name="Normal 2 4 4 30 2 3 3 2" xfId="54554" xr:uid="{00000000-0005-0000-0000-00001EC00000}"/>
    <cellStyle name="Normal 2 4 4 30 2 3 4" xfId="54555" xr:uid="{00000000-0005-0000-0000-00001FC00000}"/>
    <cellStyle name="Normal 2 4 4 30 2 4" xfId="20555" xr:uid="{00000000-0005-0000-0000-000020C00000}"/>
    <cellStyle name="Normal 2 4 4 30 2 4 2" xfId="20556" xr:uid="{00000000-0005-0000-0000-000021C00000}"/>
    <cellStyle name="Normal 2 4 4 30 2 4 2 2" xfId="54556" xr:uid="{00000000-0005-0000-0000-000022C00000}"/>
    <cellStyle name="Normal 2 4 4 30 2 4 3" xfId="54557" xr:uid="{00000000-0005-0000-0000-000023C00000}"/>
    <cellStyle name="Normal 2 4 4 30 2 5" xfId="20557" xr:uid="{00000000-0005-0000-0000-000024C00000}"/>
    <cellStyle name="Normal 2 4 4 30 2 5 2" xfId="54558" xr:uid="{00000000-0005-0000-0000-000025C00000}"/>
    <cellStyle name="Normal 2 4 4 30 2 6" xfId="20558" xr:uid="{00000000-0005-0000-0000-000026C00000}"/>
    <cellStyle name="Normal 2 4 4 30 2 6 2" xfId="54559" xr:uid="{00000000-0005-0000-0000-000027C00000}"/>
    <cellStyle name="Normal 2 4 4 30 2 7" xfId="54560" xr:uid="{00000000-0005-0000-0000-000028C00000}"/>
    <cellStyle name="Normal 2 4 4 30 2 7 2" xfId="54561" xr:uid="{00000000-0005-0000-0000-000029C00000}"/>
    <cellStyle name="Normal 2 4 4 30 2 8" xfId="54562" xr:uid="{00000000-0005-0000-0000-00002AC00000}"/>
    <cellStyle name="Normal 2 4 4 30 2 9" xfId="54563" xr:uid="{00000000-0005-0000-0000-00002BC00000}"/>
    <cellStyle name="Normal 2 4 4 30 3" xfId="20559" xr:uid="{00000000-0005-0000-0000-00002CC00000}"/>
    <cellStyle name="Normal 2 4 4 30 3 2" xfId="20560" xr:uid="{00000000-0005-0000-0000-00002DC00000}"/>
    <cellStyle name="Normal 2 4 4 30 3 2 2" xfId="20561" xr:uid="{00000000-0005-0000-0000-00002EC00000}"/>
    <cellStyle name="Normal 2 4 4 30 3 2 2 2" xfId="54564" xr:uid="{00000000-0005-0000-0000-00002FC00000}"/>
    <cellStyle name="Normal 2 4 4 30 3 2 3" xfId="20562" xr:uid="{00000000-0005-0000-0000-000030C00000}"/>
    <cellStyle name="Normal 2 4 4 30 3 2 3 2" xfId="54565" xr:uid="{00000000-0005-0000-0000-000031C00000}"/>
    <cellStyle name="Normal 2 4 4 30 3 2 4" xfId="54566" xr:uid="{00000000-0005-0000-0000-000032C00000}"/>
    <cellStyle name="Normal 2 4 4 30 3 3" xfId="20563" xr:uid="{00000000-0005-0000-0000-000033C00000}"/>
    <cellStyle name="Normal 2 4 4 30 3 3 2" xfId="54567" xr:uid="{00000000-0005-0000-0000-000034C00000}"/>
    <cellStyle name="Normal 2 4 4 30 3 4" xfId="20564" xr:uid="{00000000-0005-0000-0000-000035C00000}"/>
    <cellStyle name="Normal 2 4 4 30 3 4 2" xfId="54568" xr:uid="{00000000-0005-0000-0000-000036C00000}"/>
    <cellStyle name="Normal 2 4 4 30 3 5" xfId="20565" xr:uid="{00000000-0005-0000-0000-000037C00000}"/>
    <cellStyle name="Normal 2 4 4 30 3 5 2" xfId="54569" xr:uid="{00000000-0005-0000-0000-000038C00000}"/>
    <cellStyle name="Normal 2 4 4 30 3 6" xfId="54570" xr:uid="{00000000-0005-0000-0000-000039C00000}"/>
    <cellStyle name="Normal 2 4 4 30 3 6 2" xfId="54571" xr:uid="{00000000-0005-0000-0000-00003AC00000}"/>
    <cellStyle name="Normal 2 4 4 30 3 7" xfId="54572" xr:uid="{00000000-0005-0000-0000-00003BC00000}"/>
    <cellStyle name="Normal 2 4 4 30 4" xfId="20566" xr:uid="{00000000-0005-0000-0000-00003CC00000}"/>
    <cellStyle name="Normal 2 4 4 30 4 2" xfId="20567" xr:uid="{00000000-0005-0000-0000-00003DC00000}"/>
    <cellStyle name="Normal 2 4 4 30 4 2 2" xfId="54573" xr:uid="{00000000-0005-0000-0000-00003EC00000}"/>
    <cellStyle name="Normal 2 4 4 30 4 3" xfId="20568" xr:uid="{00000000-0005-0000-0000-00003FC00000}"/>
    <cellStyle name="Normal 2 4 4 30 4 3 2" xfId="54574" xr:uid="{00000000-0005-0000-0000-000040C00000}"/>
    <cellStyle name="Normal 2 4 4 30 4 4" xfId="54575" xr:uid="{00000000-0005-0000-0000-000041C00000}"/>
    <cellStyle name="Normal 2 4 4 30 5" xfId="20569" xr:uid="{00000000-0005-0000-0000-000042C00000}"/>
    <cellStyle name="Normal 2 4 4 30 5 2" xfId="20570" xr:uid="{00000000-0005-0000-0000-000043C00000}"/>
    <cellStyle name="Normal 2 4 4 30 5 2 2" xfId="54576" xr:uid="{00000000-0005-0000-0000-000044C00000}"/>
    <cellStyle name="Normal 2 4 4 30 5 3" xfId="54577" xr:uid="{00000000-0005-0000-0000-000045C00000}"/>
    <cellStyle name="Normal 2 4 4 30 6" xfId="20571" xr:uid="{00000000-0005-0000-0000-000046C00000}"/>
    <cellStyle name="Normal 2 4 4 30 6 2" xfId="54578" xr:uid="{00000000-0005-0000-0000-000047C00000}"/>
    <cellStyle name="Normal 2 4 4 30 7" xfId="20572" xr:uid="{00000000-0005-0000-0000-000048C00000}"/>
    <cellStyle name="Normal 2 4 4 30 7 2" xfId="54579" xr:uid="{00000000-0005-0000-0000-000049C00000}"/>
    <cellStyle name="Normal 2 4 4 30 8" xfId="54580" xr:uid="{00000000-0005-0000-0000-00004AC00000}"/>
    <cellStyle name="Normal 2 4 4 30 8 2" xfId="54581" xr:uid="{00000000-0005-0000-0000-00004BC00000}"/>
    <cellStyle name="Normal 2 4 4 30 9" xfId="54582" xr:uid="{00000000-0005-0000-0000-00004CC00000}"/>
    <cellStyle name="Normal 2 4 4 31" xfId="20573" xr:uid="{00000000-0005-0000-0000-00004DC00000}"/>
    <cellStyle name="Normal 2 4 4 31 10" xfId="54583" xr:uid="{00000000-0005-0000-0000-00004EC00000}"/>
    <cellStyle name="Normal 2 4 4 31 2" xfId="20574" xr:uid="{00000000-0005-0000-0000-00004FC00000}"/>
    <cellStyle name="Normal 2 4 4 31 2 2" xfId="20575" xr:uid="{00000000-0005-0000-0000-000050C00000}"/>
    <cellStyle name="Normal 2 4 4 31 2 2 2" xfId="20576" xr:uid="{00000000-0005-0000-0000-000051C00000}"/>
    <cellStyle name="Normal 2 4 4 31 2 2 2 2" xfId="54584" xr:uid="{00000000-0005-0000-0000-000052C00000}"/>
    <cellStyle name="Normal 2 4 4 31 2 2 3" xfId="20577" xr:uid="{00000000-0005-0000-0000-000053C00000}"/>
    <cellStyle name="Normal 2 4 4 31 2 2 3 2" xfId="54585" xr:uid="{00000000-0005-0000-0000-000054C00000}"/>
    <cellStyle name="Normal 2 4 4 31 2 2 4" xfId="54586" xr:uid="{00000000-0005-0000-0000-000055C00000}"/>
    <cellStyle name="Normal 2 4 4 31 2 3" xfId="20578" xr:uid="{00000000-0005-0000-0000-000056C00000}"/>
    <cellStyle name="Normal 2 4 4 31 2 3 2" xfId="54587" xr:uid="{00000000-0005-0000-0000-000057C00000}"/>
    <cellStyle name="Normal 2 4 4 31 2 4" xfId="20579" xr:uid="{00000000-0005-0000-0000-000058C00000}"/>
    <cellStyle name="Normal 2 4 4 31 2 4 2" xfId="54588" xr:uid="{00000000-0005-0000-0000-000059C00000}"/>
    <cellStyle name="Normal 2 4 4 31 2 5" xfId="20580" xr:uid="{00000000-0005-0000-0000-00005AC00000}"/>
    <cellStyle name="Normal 2 4 4 31 2 5 2" xfId="54589" xr:uid="{00000000-0005-0000-0000-00005BC00000}"/>
    <cellStyle name="Normal 2 4 4 31 2 6" xfId="54590" xr:uid="{00000000-0005-0000-0000-00005CC00000}"/>
    <cellStyle name="Normal 2 4 4 31 2 6 2" xfId="54591" xr:uid="{00000000-0005-0000-0000-00005DC00000}"/>
    <cellStyle name="Normal 2 4 4 31 2 7" xfId="54592" xr:uid="{00000000-0005-0000-0000-00005EC00000}"/>
    <cellStyle name="Normal 2 4 4 31 3" xfId="20581" xr:uid="{00000000-0005-0000-0000-00005FC00000}"/>
    <cellStyle name="Normal 2 4 4 31 3 2" xfId="20582" xr:uid="{00000000-0005-0000-0000-000060C00000}"/>
    <cellStyle name="Normal 2 4 4 31 3 2 2" xfId="54593" xr:uid="{00000000-0005-0000-0000-000061C00000}"/>
    <cellStyle name="Normal 2 4 4 31 3 3" xfId="20583" xr:uid="{00000000-0005-0000-0000-000062C00000}"/>
    <cellStyle name="Normal 2 4 4 31 3 3 2" xfId="54594" xr:uid="{00000000-0005-0000-0000-000063C00000}"/>
    <cellStyle name="Normal 2 4 4 31 3 4" xfId="54595" xr:uid="{00000000-0005-0000-0000-000064C00000}"/>
    <cellStyle name="Normal 2 4 4 31 4" xfId="20584" xr:uid="{00000000-0005-0000-0000-000065C00000}"/>
    <cellStyle name="Normal 2 4 4 31 4 2" xfId="20585" xr:uid="{00000000-0005-0000-0000-000066C00000}"/>
    <cellStyle name="Normal 2 4 4 31 4 2 2" xfId="54596" xr:uid="{00000000-0005-0000-0000-000067C00000}"/>
    <cellStyle name="Normal 2 4 4 31 4 3" xfId="54597" xr:uid="{00000000-0005-0000-0000-000068C00000}"/>
    <cellStyle name="Normal 2 4 4 31 5" xfId="20586" xr:uid="{00000000-0005-0000-0000-000069C00000}"/>
    <cellStyle name="Normal 2 4 4 31 5 2" xfId="54598" xr:uid="{00000000-0005-0000-0000-00006AC00000}"/>
    <cellStyle name="Normal 2 4 4 31 6" xfId="20587" xr:uid="{00000000-0005-0000-0000-00006BC00000}"/>
    <cellStyle name="Normal 2 4 4 31 6 2" xfId="54599" xr:uid="{00000000-0005-0000-0000-00006CC00000}"/>
    <cellStyle name="Normal 2 4 4 31 7" xfId="54600" xr:uid="{00000000-0005-0000-0000-00006DC00000}"/>
    <cellStyle name="Normal 2 4 4 31 7 2" xfId="54601" xr:uid="{00000000-0005-0000-0000-00006EC00000}"/>
    <cellStyle name="Normal 2 4 4 31 8" xfId="54602" xr:uid="{00000000-0005-0000-0000-00006FC00000}"/>
    <cellStyle name="Normal 2 4 4 31 9" xfId="54603" xr:uid="{00000000-0005-0000-0000-000070C00000}"/>
    <cellStyle name="Normal 2 4 4 32" xfId="20588" xr:uid="{00000000-0005-0000-0000-000071C00000}"/>
    <cellStyle name="Normal 2 4 4 32 2" xfId="20589" xr:uid="{00000000-0005-0000-0000-000072C00000}"/>
    <cellStyle name="Normal 2 4 4 32 2 2" xfId="20590" xr:uid="{00000000-0005-0000-0000-000073C00000}"/>
    <cellStyle name="Normal 2 4 4 32 2 2 2" xfId="54604" xr:uid="{00000000-0005-0000-0000-000074C00000}"/>
    <cellStyle name="Normal 2 4 4 32 2 3" xfId="20591" xr:uid="{00000000-0005-0000-0000-000075C00000}"/>
    <cellStyle name="Normal 2 4 4 32 2 3 2" xfId="54605" xr:uid="{00000000-0005-0000-0000-000076C00000}"/>
    <cellStyle name="Normal 2 4 4 32 2 4" xfId="54606" xr:uid="{00000000-0005-0000-0000-000077C00000}"/>
    <cellStyle name="Normal 2 4 4 32 3" xfId="20592" xr:uid="{00000000-0005-0000-0000-000078C00000}"/>
    <cellStyle name="Normal 2 4 4 32 3 2" xfId="54607" xr:uid="{00000000-0005-0000-0000-000079C00000}"/>
    <cellStyle name="Normal 2 4 4 32 4" xfId="20593" xr:uid="{00000000-0005-0000-0000-00007AC00000}"/>
    <cellStyle name="Normal 2 4 4 32 4 2" xfId="54608" xr:uid="{00000000-0005-0000-0000-00007BC00000}"/>
    <cellStyle name="Normal 2 4 4 32 5" xfId="20594" xr:uid="{00000000-0005-0000-0000-00007CC00000}"/>
    <cellStyle name="Normal 2 4 4 32 5 2" xfId="54609" xr:uid="{00000000-0005-0000-0000-00007DC00000}"/>
    <cellStyle name="Normal 2 4 4 32 6" xfId="54610" xr:uid="{00000000-0005-0000-0000-00007EC00000}"/>
    <cellStyle name="Normal 2 4 4 32 6 2" xfId="54611" xr:uid="{00000000-0005-0000-0000-00007FC00000}"/>
    <cellStyle name="Normal 2 4 4 32 7" xfId="54612" xr:uid="{00000000-0005-0000-0000-000080C00000}"/>
    <cellStyle name="Normal 2 4 4 33" xfId="20595" xr:uid="{00000000-0005-0000-0000-000081C00000}"/>
    <cellStyle name="Normal 2 4 4 33 2" xfId="20596" xr:uid="{00000000-0005-0000-0000-000082C00000}"/>
    <cellStyle name="Normal 2 4 4 33 2 2" xfId="54613" xr:uid="{00000000-0005-0000-0000-000083C00000}"/>
    <cellStyle name="Normal 2 4 4 33 3" xfId="20597" xr:uid="{00000000-0005-0000-0000-000084C00000}"/>
    <cellStyle name="Normal 2 4 4 33 3 2" xfId="54614" xr:uid="{00000000-0005-0000-0000-000085C00000}"/>
    <cellStyle name="Normal 2 4 4 33 4" xfId="54615" xr:uid="{00000000-0005-0000-0000-000086C00000}"/>
    <cellStyle name="Normal 2 4 4 34" xfId="20598" xr:uid="{00000000-0005-0000-0000-000087C00000}"/>
    <cellStyle name="Normal 2 4 4 34 2" xfId="20599" xr:uid="{00000000-0005-0000-0000-000088C00000}"/>
    <cellStyle name="Normal 2 4 4 34 2 2" xfId="54616" xr:uid="{00000000-0005-0000-0000-000089C00000}"/>
    <cellStyle name="Normal 2 4 4 34 3" xfId="54617" xr:uid="{00000000-0005-0000-0000-00008AC00000}"/>
    <cellStyle name="Normal 2 4 4 35" xfId="20600" xr:uid="{00000000-0005-0000-0000-00008BC00000}"/>
    <cellStyle name="Normal 2 4 4 35 2" xfId="54618" xr:uid="{00000000-0005-0000-0000-00008CC00000}"/>
    <cellStyle name="Normal 2 4 4 36" xfId="20601" xr:uid="{00000000-0005-0000-0000-00008DC00000}"/>
    <cellStyle name="Normal 2 4 4 36 2" xfId="54619" xr:uid="{00000000-0005-0000-0000-00008EC00000}"/>
    <cellStyle name="Normal 2 4 4 37" xfId="54620" xr:uid="{00000000-0005-0000-0000-00008FC00000}"/>
    <cellStyle name="Normal 2 4 4 37 2" xfId="54621" xr:uid="{00000000-0005-0000-0000-000090C00000}"/>
    <cellStyle name="Normal 2 4 4 38" xfId="54622" xr:uid="{00000000-0005-0000-0000-000091C00000}"/>
    <cellStyle name="Normal 2 4 4 39" xfId="54623" xr:uid="{00000000-0005-0000-0000-000092C00000}"/>
    <cellStyle name="Normal 2 4 4 4" xfId="20602" xr:uid="{00000000-0005-0000-0000-000093C00000}"/>
    <cellStyle name="Normal 2 4 4 4 10" xfId="54624" xr:uid="{00000000-0005-0000-0000-000094C00000}"/>
    <cellStyle name="Normal 2 4 4 4 11" xfId="54625" xr:uid="{00000000-0005-0000-0000-000095C00000}"/>
    <cellStyle name="Normal 2 4 4 4 2" xfId="20603" xr:uid="{00000000-0005-0000-0000-000096C00000}"/>
    <cellStyle name="Normal 2 4 4 4 2 10" xfId="54626" xr:uid="{00000000-0005-0000-0000-000097C00000}"/>
    <cellStyle name="Normal 2 4 4 4 2 2" xfId="20604" xr:uid="{00000000-0005-0000-0000-000098C00000}"/>
    <cellStyle name="Normal 2 4 4 4 2 2 2" xfId="20605" xr:uid="{00000000-0005-0000-0000-000099C00000}"/>
    <cellStyle name="Normal 2 4 4 4 2 2 2 2" xfId="20606" xr:uid="{00000000-0005-0000-0000-00009AC00000}"/>
    <cellStyle name="Normal 2 4 4 4 2 2 2 2 2" xfId="54627" xr:uid="{00000000-0005-0000-0000-00009BC00000}"/>
    <cellStyle name="Normal 2 4 4 4 2 2 2 3" xfId="20607" xr:uid="{00000000-0005-0000-0000-00009CC00000}"/>
    <cellStyle name="Normal 2 4 4 4 2 2 2 3 2" xfId="54628" xr:uid="{00000000-0005-0000-0000-00009DC00000}"/>
    <cellStyle name="Normal 2 4 4 4 2 2 2 4" xfId="54629" xr:uid="{00000000-0005-0000-0000-00009EC00000}"/>
    <cellStyle name="Normal 2 4 4 4 2 2 3" xfId="20608" xr:uid="{00000000-0005-0000-0000-00009FC00000}"/>
    <cellStyle name="Normal 2 4 4 4 2 2 3 2" xfId="54630" xr:uid="{00000000-0005-0000-0000-0000A0C00000}"/>
    <cellStyle name="Normal 2 4 4 4 2 2 4" xfId="20609" xr:uid="{00000000-0005-0000-0000-0000A1C00000}"/>
    <cellStyle name="Normal 2 4 4 4 2 2 4 2" xfId="54631" xr:uid="{00000000-0005-0000-0000-0000A2C00000}"/>
    <cellStyle name="Normal 2 4 4 4 2 2 5" xfId="20610" xr:uid="{00000000-0005-0000-0000-0000A3C00000}"/>
    <cellStyle name="Normal 2 4 4 4 2 2 5 2" xfId="54632" xr:uid="{00000000-0005-0000-0000-0000A4C00000}"/>
    <cellStyle name="Normal 2 4 4 4 2 2 6" xfId="54633" xr:uid="{00000000-0005-0000-0000-0000A5C00000}"/>
    <cellStyle name="Normal 2 4 4 4 2 2 6 2" xfId="54634" xr:uid="{00000000-0005-0000-0000-0000A6C00000}"/>
    <cellStyle name="Normal 2 4 4 4 2 2 7" xfId="54635" xr:uid="{00000000-0005-0000-0000-0000A7C00000}"/>
    <cellStyle name="Normal 2 4 4 4 2 3" xfId="20611" xr:uid="{00000000-0005-0000-0000-0000A8C00000}"/>
    <cellStyle name="Normal 2 4 4 4 2 3 2" xfId="20612" xr:uid="{00000000-0005-0000-0000-0000A9C00000}"/>
    <cellStyle name="Normal 2 4 4 4 2 3 2 2" xfId="54636" xr:uid="{00000000-0005-0000-0000-0000AAC00000}"/>
    <cellStyle name="Normal 2 4 4 4 2 3 3" xfId="20613" xr:uid="{00000000-0005-0000-0000-0000ABC00000}"/>
    <cellStyle name="Normal 2 4 4 4 2 3 3 2" xfId="54637" xr:uid="{00000000-0005-0000-0000-0000ACC00000}"/>
    <cellStyle name="Normal 2 4 4 4 2 3 4" xfId="54638" xr:uid="{00000000-0005-0000-0000-0000ADC00000}"/>
    <cellStyle name="Normal 2 4 4 4 2 4" xfId="20614" xr:uid="{00000000-0005-0000-0000-0000AEC00000}"/>
    <cellStyle name="Normal 2 4 4 4 2 4 2" xfId="20615" xr:uid="{00000000-0005-0000-0000-0000AFC00000}"/>
    <cellStyle name="Normal 2 4 4 4 2 4 2 2" xfId="54639" xr:uid="{00000000-0005-0000-0000-0000B0C00000}"/>
    <cellStyle name="Normal 2 4 4 4 2 4 3" xfId="54640" xr:uid="{00000000-0005-0000-0000-0000B1C00000}"/>
    <cellStyle name="Normal 2 4 4 4 2 5" xfId="20616" xr:uid="{00000000-0005-0000-0000-0000B2C00000}"/>
    <cellStyle name="Normal 2 4 4 4 2 5 2" xfId="54641" xr:uid="{00000000-0005-0000-0000-0000B3C00000}"/>
    <cellStyle name="Normal 2 4 4 4 2 6" xfId="20617" xr:uid="{00000000-0005-0000-0000-0000B4C00000}"/>
    <cellStyle name="Normal 2 4 4 4 2 6 2" xfId="54642" xr:uid="{00000000-0005-0000-0000-0000B5C00000}"/>
    <cellStyle name="Normal 2 4 4 4 2 7" xfId="54643" xr:uid="{00000000-0005-0000-0000-0000B6C00000}"/>
    <cellStyle name="Normal 2 4 4 4 2 7 2" xfId="54644" xr:uid="{00000000-0005-0000-0000-0000B7C00000}"/>
    <cellStyle name="Normal 2 4 4 4 2 8" xfId="54645" xr:uid="{00000000-0005-0000-0000-0000B8C00000}"/>
    <cellStyle name="Normal 2 4 4 4 2 9" xfId="54646" xr:uid="{00000000-0005-0000-0000-0000B9C00000}"/>
    <cellStyle name="Normal 2 4 4 4 3" xfId="20618" xr:uid="{00000000-0005-0000-0000-0000BAC00000}"/>
    <cellStyle name="Normal 2 4 4 4 3 2" xfId="20619" xr:uid="{00000000-0005-0000-0000-0000BBC00000}"/>
    <cellStyle name="Normal 2 4 4 4 3 2 2" xfId="20620" xr:uid="{00000000-0005-0000-0000-0000BCC00000}"/>
    <cellStyle name="Normal 2 4 4 4 3 2 2 2" xfId="54647" xr:uid="{00000000-0005-0000-0000-0000BDC00000}"/>
    <cellStyle name="Normal 2 4 4 4 3 2 3" xfId="20621" xr:uid="{00000000-0005-0000-0000-0000BEC00000}"/>
    <cellStyle name="Normal 2 4 4 4 3 2 3 2" xfId="54648" xr:uid="{00000000-0005-0000-0000-0000BFC00000}"/>
    <cellStyle name="Normal 2 4 4 4 3 2 4" xfId="54649" xr:uid="{00000000-0005-0000-0000-0000C0C00000}"/>
    <cellStyle name="Normal 2 4 4 4 3 3" xfId="20622" xr:uid="{00000000-0005-0000-0000-0000C1C00000}"/>
    <cellStyle name="Normal 2 4 4 4 3 3 2" xfId="54650" xr:uid="{00000000-0005-0000-0000-0000C2C00000}"/>
    <cellStyle name="Normal 2 4 4 4 3 4" xfId="20623" xr:uid="{00000000-0005-0000-0000-0000C3C00000}"/>
    <cellStyle name="Normal 2 4 4 4 3 4 2" xfId="54651" xr:uid="{00000000-0005-0000-0000-0000C4C00000}"/>
    <cellStyle name="Normal 2 4 4 4 3 5" xfId="20624" xr:uid="{00000000-0005-0000-0000-0000C5C00000}"/>
    <cellStyle name="Normal 2 4 4 4 3 5 2" xfId="54652" xr:uid="{00000000-0005-0000-0000-0000C6C00000}"/>
    <cellStyle name="Normal 2 4 4 4 3 6" xfId="54653" xr:uid="{00000000-0005-0000-0000-0000C7C00000}"/>
    <cellStyle name="Normal 2 4 4 4 3 6 2" xfId="54654" xr:uid="{00000000-0005-0000-0000-0000C8C00000}"/>
    <cellStyle name="Normal 2 4 4 4 3 7" xfId="54655" xr:uid="{00000000-0005-0000-0000-0000C9C00000}"/>
    <cellStyle name="Normal 2 4 4 4 4" xfId="20625" xr:uid="{00000000-0005-0000-0000-0000CAC00000}"/>
    <cellStyle name="Normal 2 4 4 4 4 2" xfId="20626" xr:uid="{00000000-0005-0000-0000-0000CBC00000}"/>
    <cellStyle name="Normal 2 4 4 4 4 2 2" xfId="54656" xr:uid="{00000000-0005-0000-0000-0000CCC00000}"/>
    <cellStyle name="Normal 2 4 4 4 4 3" xfId="20627" xr:uid="{00000000-0005-0000-0000-0000CDC00000}"/>
    <cellStyle name="Normal 2 4 4 4 4 3 2" xfId="54657" xr:uid="{00000000-0005-0000-0000-0000CEC00000}"/>
    <cellStyle name="Normal 2 4 4 4 4 4" xfId="54658" xr:uid="{00000000-0005-0000-0000-0000CFC00000}"/>
    <cellStyle name="Normal 2 4 4 4 5" xfId="20628" xr:uid="{00000000-0005-0000-0000-0000D0C00000}"/>
    <cellStyle name="Normal 2 4 4 4 5 2" xfId="20629" xr:uid="{00000000-0005-0000-0000-0000D1C00000}"/>
    <cellStyle name="Normal 2 4 4 4 5 2 2" xfId="54659" xr:uid="{00000000-0005-0000-0000-0000D2C00000}"/>
    <cellStyle name="Normal 2 4 4 4 5 3" xfId="54660" xr:uid="{00000000-0005-0000-0000-0000D3C00000}"/>
    <cellStyle name="Normal 2 4 4 4 6" xfId="20630" xr:uid="{00000000-0005-0000-0000-0000D4C00000}"/>
    <cellStyle name="Normal 2 4 4 4 6 2" xfId="54661" xr:uid="{00000000-0005-0000-0000-0000D5C00000}"/>
    <cellStyle name="Normal 2 4 4 4 7" xfId="20631" xr:uid="{00000000-0005-0000-0000-0000D6C00000}"/>
    <cellStyle name="Normal 2 4 4 4 7 2" xfId="54662" xr:uid="{00000000-0005-0000-0000-0000D7C00000}"/>
    <cellStyle name="Normal 2 4 4 4 8" xfId="54663" xr:uid="{00000000-0005-0000-0000-0000D8C00000}"/>
    <cellStyle name="Normal 2 4 4 4 8 2" xfId="54664" xr:uid="{00000000-0005-0000-0000-0000D9C00000}"/>
    <cellStyle name="Normal 2 4 4 4 9" xfId="54665" xr:uid="{00000000-0005-0000-0000-0000DAC00000}"/>
    <cellStyle name="Normal 2 4 4 40" xfId="54666" xr:uid="{00000000-0005-0000-0000-0000DBC00000}"/>
    <cellStyle name="Normal 2 4 4 5" xfId="20632" xr:uid="{00000000-0005-0000-0000-0000DCC00000}"/>
    <cellStyle name="Normal 2 4 4 5 10" xfId="54667" xr:uid="{00000000-0005-0000-0000-0000DDC00000}"/>
    <cellStyle name="Normal 2 4 4 5 11" xfId="54668" xr:uid="{00000000-0005-0000-0000-0000DEC00000}"/>
    <cellStyle name="Normal 2 4 4 5 2" xfId="20633" xr:uid="{00000000-0005-0000-0000-0000DFC00000}"/>
    <cellStyle name="Normal 2 4 4 5 2 10" xfId="54669" xr:uid="{00000000-0005-0000-0000-0000E0C00000}"/>
    <cellStyle name="Normal 2 4 4 5 2 2" xfId="20634" xr:uid="{00000000-0005-0000-0000-0000E1C00000}"/>
    <cellStyle name="Normal 2 4 4 5 2 2 2" xfId="20635" xr:uid="{00000000-0005-0000-0000-0000E2C00000}"/>
    <cellStyle name="Normal 2 4 4 5 2 2 2 2" xfId="20636" xr:uid="{00000000-0005-0000-0000-0000E3C00000}"/>
    <cellStyle name="Normal 2 4 4 5 2 2 2 2 2" xfId="54670" xr:uid="{00000000-0005-0000-0000-0000E4C00000}"/>
    <cellStyle name="Normal 2 4 4 5 2 2 2 3" xfId="20637" xr:uid="{00000000-0005-0000-0000-0000E5C00000}"/>
    <cellStyle name="Normal 2 4 4 5 2 2 2 3 2" xfId="54671" xr:uid="{00000000-0005-0000-0000-0000E6C00000}"/>
    <cellStyle name="Normal 2 4 4 5 2 2 2 4" xfId="54672" xr:uid="{00000000-0005-0000-0000-0000E7C00000}"/>
    <cellStyle name="Normal 2 4 4 5 2 2 3" xfId="20638" xr:uid="{00000000-0005-0000-0000-0000E8C00000}"/>
    <cellStyle name="Normal 2 4 4 5 2 2 3 2" xfId="54673" xr:uid="{00000000-0005-0000-0000-0000E9C00000}"/>
    <cellStyle name="Normal 2 4 4 5 2 2 4" xfId="20639" xr:uid="{00000000-0005-0000-0000-0000EAC00000}"/>
    <cellStyle name="Normal 2 4 4 5 2 2 4 2" xfId="54674" xr:uid="{00000000-0005-0000-0000-0000EBC00000}"/>
    <cellStyle name="Normal 2 4 4 5 2 2 5" xfId="20640" xr:uid="{00000000-0005-0000-0000-0000ECC00000}"/>
    <cellStyle name="Normal 2 4 4 5 2 2 5 2" xfId="54675" xr:uid="{00000000-0005-0000-0000-0000EDC00000}"/>
    <cellStyle name="Normal 2 4 4 5 2 2 6" xfId="54676" xr:uid="{00000000-0005-0000-0000-0000EEC00000}"/>
    <cellStyle name="Normal 2 4 4 5 2 2 6 2" xfId="54677" xr:uid="{00000000-0005-0000-0000-0000EFC00000}"/>
    <cellStyle name="Normal 2 4 4 5 2 2 7" xfId="54678" xr:uid="{00000000-0005-0000-0000-0000F0C00000}"/>
    <cellStyle name="Normal 2 4 4 5 2 3" xfId="20641" xr:uid="{00000000-0005-0000-0000-0000F1C00000}"/>
    <cellStyle name="Normal 2 4 4 5 2 3 2" xfId="20642" xr:uid="{00000000-0005-0000-0000-0000F2C00000}"/>
    <cellStyle name="Normal 2 4 4 5 2 3 2 2" xfId="54679" xr:uid="{00000000-0005-0000-0000-0000F3C00000}"/>
    <cellStyle name="Normal 2 4 4 5 2 3 3" xfId="20643" xr:uid="{00000000-0005-0000-0000-0000F4C00000}"/>
    <cellStyle name="Normal 2 4 4 5 2 3 3 2" xfId="54680" xr:uid="{00000000-0005-0000-0000-0000F5C00000}"/>
    <cellStyle name="Normal 2 4 4 5 2 3 4" xfId="54681" xr:uid="{00000000-0005-0000-0000-0000F6C00000}"/>
    <cellStyle name="Normal 2 4 4 5 2 4" xfId="20644" xr:uid="{00000000-0005-0000-0000-0000F7C00000}"/>
    <cellStyle name="Normal 2 4 4 5 2 4 2" xfId="20645" xr:uid="{00000000-0005-0000-0000-0000F8C00000}"/>
    <cellStyle name="Normal 2 4 4 5 2 4 2 2" xfId="54682" xr:uid="{00000000-0005-0000-0000-0000F9C00000}"/>
    <cellStyle name="Normal 2 4 4 5 2 4 3" xfId="54683" xr:uid="{00000000-0005-0000-0000-0000FAC00000}"/>
    <cellStyle name="Normal 2 4 4 5 2 5" xfId="20646" xr:uid="{00000000-0005-0000-0000-0000FBC00000}"/>
    <cellStyle name="Normal 2 4 4 5 2 5 2" xfId="54684" xr:uid="{00000000-0005-0000-0000-0000FCC00000}"/>
    <cellStyle name="Normal 2 4 4 5 2 6" xfId="20647" xr:uid="{00000000-0005-0000-0000-0000FDC00000}"/>
    <cellStyle name="Normal 2 4 4 5 2 6 2" xfId="54685" xr:uid="{00000000-0005-0000-0000-0000FEC00000}"/>
    <cellStyle name="Normal 2 4 4 5 2 7" xfId="54686" xr:uid="{00000000-0005-0000-0000-0000FFC00000}"/>
    <cellStyle name="Normal 2 4 4 5 2 7 2" xfId="54687" xr:uid="{00000000-0005-0000-0000-000000C10000}"/>
    <cellStyle name="Normal 2 4 4 5 2 8" xfId="54688" xr:uid="{00000000-0005-0000-0000-000001C10000}"/>
    <cellStyle name="Normal 2 4 4 5 2 9" xfId="54689" xr:uid="{00000000-0005-0000-0000-000002C10000}"/>
    <cellStyle name="Normal 2 4 4 5 3" xfId="20648" xr:uid="{00000000-0005-0000-0000-000003C10000}"/>
    <cellStyle name="Normal 2 4 4 5 3 2" xfId="20649" xr:uid="{00000000-0005-0000-0000-000004C10000}"/>
    <cellStyle name="Normal 2 4 4 5 3 2 2" xfId="20650" xr:uid="{00000000-0005-0000-0000-000005C10000}"/>
    <cellStyle name="Normal 2 4 4 5 3 2 2 2" xfId="54690" xr:uid="{00000000-0005-0000-0000-000006C10000}"/>
    <cellStyle name="Normal 2 4 4 5 3 2 3" xfId="20651" xr:uid="{00000000-0005-0000-0000-000007C10000}"/>
    <cellStyle name="Normal 2 4 4 5 3 2 3 2" xfId="54691" xr:uid="{00000000-0005-0000-0000-000008C10000}"/>
    <cellStyle name="Normal 2 4 4 5 3 2 4" xfId="54692" xr:uid="{00000000-0005-0000-0000-000009C10000}"/>
    <cellStyle name="Normal 2 4 4 5 3 3" xfId="20652" xr:uid="{00000000-0005-0000-0000-00000AC10000}"/>
    <cellStyle name="Normal 2 4 4 5 3 3 2" xfId="54693" xr:uid="{00000000-0005-0000-0000-00000BC10000}"/>
    <cellStyle name="Normal 2 4 4 5 3 4" xfId="20653" xr:uid="{00000000-0005-0000-0000-00000CC10000}"/>
    <cellStyle name="Normal 2 4 4 5 3 4 2" xfId="54694" xr:uid="{00000000-0005-0000-0000-00000DC10000}"/>
    <cellStyle name="Normal 2 4 4 5 3 5" xfId="20654" xr:uid="{00000000-0005-0000-0000-00000EC10000}"/>
    <cellStyle name="Normal 2 4 4 5 3 5 2" xfId="54695" xr:uid="{00000000-0005-0000-0000-00000FC10000}"/>
    <cellStyle name="Normal 2 4 4 5 3 6" xfId="54696" xr:uid="{00000000-0005-0000-0000-000010C10000}"/>
    <cellStyle name="Normal 2 4 4 5 3 6 2" xfId="54697" xr:uid="{00000000-0005-0000-0000-000011C10000}"/>
    <cellStyle name="Normal 2 4 4 5 3 7" xfId="54698" xr:uid="{00000000-0005-0000-0000-000012C10000}"/>
    <cellStyle name="Normal 2 4 4 5 4" xfId="20655" xr:uid="{00000000-0005-0000-0000-000013C10000}"/>
    <cellStyle name="Normal 2 4 4 5 4 2" xfId="20656" xr:uid="{00000000-0005-0000-0000-000014C10000}"/>
    <cellStyle name="Normal 2 4 4 5 4 2 2" xfId="54699" xr:uid="{00000000-0005-0000-0000-000015C10000}"/>
    <cellStyle name="Normal 2 4 4 5 4 3" xfId="20657" xr:uid="{00000000-0005-0000-0000-000016C10000}"/>
    <cellStyle name="Normal 2 4 4 5 4 3 2" xfId="54700" xr:uid="{00000000-0005-0000-0000-000017C10000}"/>
    <cellStyle name="Normal 2 4 4 5 4 4" xfId="54701" xr:uid="{00000000-0005-0000-0000-000018C10000}"/>
    <cellStyle name="Normal 2 4 4 5 5" xfId="20658" xr:uid="{00000000-0005-0000-0000-000019C10000}"/>
    <cellStyle name="Normal 2 4 4 5 5 2" xfId="20659" xr:uid="{00000000-0005-0000-0000-00001AC10000}"/>
    <cellStyle name="Normal 2 4 4 5 5 2 2" xfId="54702" xr:uid="{00000000-0005-0000-0000-00001BC10000}"/>
    <cellStyle name="Normal 2 4 4 5 5 3" xfId="54703" xr:uid="{00000000-0005-0000-0000-00001CC10000}"/>
    <cellStyle name="Normal 2 4 4 5 6" xfId="20660" xr:uid="{00000000-0005-0000-0000-00001DC10000}"/>
    <cellStyle name="Normal 2 4 4 5 6 2" xfId="54704" xr:uid="{00000000-0005-0000-0000-00001EC10000}"/>
    <cellStyle name="Normal 2 4 4 5 7" xfId="20661" xr:uid="{00000000-0005-0000-0000-00001FC10000}"/>
    <cellStyle name="Normal 2 4 4 5 7 2" xfId="54705" xr:uid="{00000000-0005-0000-0000-000020C10000}"/>
    <cellStyle name="Normal 2 4 4 5 8" xfId="54706" xr:uid="{00000000-0005-0000-0000-000021C10000}"/>
    <cellStyle name="Normal 2 4 4 5 8 2" xfId="54707" xr:uid="{00000000-0005-0000-0000-000022C10000}"/>
    <cellStyle name="Normal 2 4 4 5 9" xfId="54708" xr:uid="{00000000-0005-0000-0000-000023C10000}"/>
    <cellStyle name="Normal 2 4 4 6" xfId="20662" xr:uid="{00000000-0005-0000-0000-000024C10000}"/>
    <cellStyle name="Normal 2 4 4 6 10" xfId="54709" xr:uid="{00000000-0005-0000-0000-000025C10000}"/>
    <cellStyle name="Normal 2 4 4 6 11" xfId="54710" xr:uid="{00000000-0005-0000-0000-000026C10000}"/>
    <cellStyle name="Normal 2 4 4 6 2" xfId="20663" xr:uid="{00000000-0005-0000-0000-000027C10000}"/>
    <cellStyle name="Normal 2 4 4 6 2 10" xfId="54711" xr:uid="{00000000-0005-0000-0000-000028C10000}"/>
    <cellStyle name="Normal 2 4 4 6 2 2" xfId="20664" xr:uid="{00000000-0005-0000-0000-000029C10000}"/>
    <cellStyle name="Normal 2 4 4 6 2 2 2" xfId="20665" xr:uid="{00000000-0005-0000-0000-00002AC10000}"/>
    <cellStyle name="Normal 2 4 4 6 2 2 2 2" xfId="20666" xr:uid="{00000000-0005-0000-0000-00002BC10000}"/>
    <cellStyle name="Normal 2 4 4 6 2 2 2 2 2" xfId="54712" xr:uid="{00000000-0005-0000-0000-00002CC10000}"/>
    <cellStyle name="Normal 2 4 4 6 2 2 2 3" xfId="20667" xr:uid="{00000000-0005-0000-0000-00002DC10000}"/>
    <cellStyle name="Normal 2 4 4 6 2 2 2 3 2" xfId="54713" xr:uid="{00000000-0005-0000-0000-00002EC10000}"/>
    <cellStyle name="Normal 2 4 4 6 2 2 2 4" xfId="54714" xr:uid="{00000000-0005-0000-0000-00002FC10000}"/>
    <cellStyle name="Normal 2 4 4 6 2 2 3" xfId="20668" xr:uid="{00000000-0005-0000-0000-000030C10000}"/>
    <cellStyle name="Normal 2 4 4 6 2 2 3 2" xfId="54715" xr:uid="{00000000-0005-0000-0000-000031C10000}"/>
    <cellStyle name="Normal 2 4 4 6 2 2 4" xfId="20669" xr:uid="{00000000-0005-0000-0000-000032C10000}"/>
    <cellStyle name="Normal 2 4 4 6 2 2 4 2" xfId="54716" xr:uid="{00000000-0005-0000-0000-000033C10000}"/>
    <cellStyle name="Normal 2 4 4 6 2 2 5" xfId="20670" xr:uid="{00000000-0005-0000-0000-000034C10000}"/>
    <cellStyle name="Normal 2 4 4 6 2 2 5 2" xfId="54717" xr:uid="{00000000-0005-0000-0000-000035C10000}"/>
    <cellStyle name="Normal 2 4 4 6 2 2 6" xfId="54718" xr:uid="{00000000-0005-0000-0000-000036C10000}"/>
    <cellStyle name="Normal 2 4 4 6 2 2 6 2" xfId="54719" xr:uid="{00000000-0005-0000-0000-000037C10000}"/>
    <cellStyle name="Normal 2 4 4 6 2 2 7" xfId="54720" xr:uid="{00000000-0005-0000-0000-000038C10000}"/>
    <cellStyle name="Normal 2 4 4 6 2 3" xfId="20671" xr:uid="{00000000-0005-0000-0000-000039C10000}"/>
    <cellStyle name="Normal 2 4 4 6 2 3 2" xfId="20672" xr:uid="{00000000-0005-0000-0000-00003AC10000}"/>
    <cellStyle name="Normal 2 4 4 6 2 3 2 2" xfId="54721" xr:uid="{00000000-0005-0000-0000-00003BC10000}"/>
    <cellStyle name="Normal 2 4 4 6 2 3 3" xfId="20673" xr:uid="{00000000-0005-0000-0000-00003CC10000}"/>
    <cellStyle name="Normal 2 4 4 6 2 3 3 2" xfId="54722" xr:uid="{00000000-0005-0000-0000-00003DC10000}"/>
    <cellStyle name="Normal 2 4 4 6 2 3 4" xfId="54723" xr:uid="{00000000-0005-0000-0000-00003EC10000}"/>
    <cellStyle name="Normal 2 4 4 6 2 4" xfId="20674" xr:uid="{00000000-0005-0000-0000-00003FC10000}"/>
    <cellStyle name="Normal 2 4 4 6 2 4 2" xfId="20675" xr:uid="{00000000-0005-0000-0000-000040C10000}"/>
    <cellStyle name="Normal 2 4 4 6 2 4 2 2" xfId="54724" xr:uid="{00000000-0005-0000-0000-000041C10000}"/>
    <cellStyle name="Normal 2 4 4 6 2 4 3" xfId="54725" xr:uid="{00000000-0005-0000-0000-000042C10000}"/>
    <cellStyle name="Normal 2 4 4 6 2 5" xfId="20676" xr:uid="{00000000-0005-0000-0000-000043C10000}"/>
    <cellStyle name="Normal 2 4 4 6 2 5 2" xfId="54726" xr:uid="{00000000-0005-0000-0000-000044C10000}"/>
    <cellStyle name="Normal 2 4 4 6 2 6" xfId="20677" xr:uid="{00000000-0005-0000-0000-000045C10000}"/>
    <cellStyle name="Normal 2 4 4 6 2 6 2" xfId="54727" xr:uid="{00000000-0005-0000-0000-000046C10000}"/>
    <cellStyle name="Normal 2 4 4 6 2 7" xfId="54728" xr:uid="{00000000-0005-0000-0000-000047C10000}"/>
    <cellStyle name="Normal 2 4 4 6 2 7 2" xfId="54729" xr:uid="{00000000-0005-0000-0000-000048C10000}"/>
    <cellStyle name="Normal 2 4 4 6 2 8" xfId="54730" xr:uid="{00000000-0005-0000-0000-000049C10000}"/>
    <cellStyle name="Normal 2 4 4 6 2 9" xfId="54731" xr:uid="{00000000-0005-0000-0000-00004AC10000}"/>
    <cellStyle name="Normal 2 4 4 6 3" xfId="20678" xr:uid="{00000000-0005-0000-0000-00004BC10000}"/>
    <cellStyle name="Normal 2 4 4 6 3 2" xfId="20679" xr:uid="{00000000-0005-0000-0000-00004CC10000}"/>
    <cellStyle name="Normal 2 4 4 6 3 2 2" xfId="20680" xr:uid="{00000000-0005-0000-0000-00004DC10000}"/>
    <cellStyle name="Normal 2 4 4 6 3 2 2 2" xfId="54732" xr:uid="{00000000-0005-0000-0000-00004EC10000}"/>
    <cellStyle name="Normal 2 4 4 6 3 2 3" xfId="20681" xr:uid="{00000000-0005-0000-0000-00004FC10000}"/>
    <cellStyle name="Normal 2 4 4 6 3 2 3 2" xfId="54733" xr:uid="{00000000-0005-0000-0000-000050C10000}"/>
    <cellStyle name="Normal 2 4 4 6 3 2 4" xfId="54734" xr:uid="{00000000-0005-0000-0000-000051C10000}"/>
    <cellStyle name="Normal 2 4 4 6 3 3" xfId="20682" xr:uid="{00000000-0005-0000-0000-000052C10000}"/>
    <cellStyle name="Normal 2 4 4 6 3 3 2" xfId="54735" xr:uid="{00000000-0005-0000-0000-000053C10000}"/>
    <cellStyle name="Normal 2 4 4 6 3 4" xfId="20683" xr:uid="{00000000-0005-0000-0000-000054C10000}"/>
    <cellStyle name="Normal 2 4 4 6 3 4 2" xfId="54736" xr:uid="{00000000-0005-0000-0000-000055C10000}"/>
    <cellStyle name="Normal 2 4 4 6 3 5" xfId="20684" xr:uid="{00000000-0005-0000-0000-000056C10000}"/>
    <cellStyle name="Normal 2 4 4 6 3 5 2" xfId="54737" xr:uid="{00000000-0005-0000-0000-000057C10000}"/>
    <cellStyle name="Normal 2 4 4 6 3 6" xfId="54738" xr:uid="{00000000-0005-0000-0000-000058C10000}"/>
    <cellStyle name="Normal 2 4 4 6 3 6 2" xfId="54739" xr:uid="{00000000-0005-0000-0000-000059C10000}"/>
    <cellStyle name="Normal 2 4 4 6 3 7" xfId="54740" xr:uid="{00000000-0005-0000-0000-00005AC10000}"/>
    <cellStyle name="Normal 2 4 4 6 4" xfId="20685" xr:uid="{00000000-0005-0000-0000-00005BC10000}"/>
    <cellStyle name="Normal 2 4 4 6 4 2" xfId="20686" xr:uid="{00000000-0005-0000-0000-00005CC10000}"/>
    <cellStyle name="Normal 2 4 4 6 4 2 2" xfId="54741" xr:uid="{00000000-0005-0000-0000-00005DC10000}"/>
    <cellStyle name="Normal 2 4 4 6 4 3" xfId="20687" xr:uid="{00000000-0005-0000-0000-00005EC10000}"/>
    <cellStyle name="Normal 2 4 4 6 4 3 2" xfId="54742" xr:uid="{00000000-0005-0000-0000-00005FC10000}"/>
    <cellStyle name="Normal 2 4 4 6 4 4" xfId="54743" xr:uid="{00000000-0005-0000-0000-000060C10000}"/>
    <cellStyle name="Normal 2 4 4 6 5" xfId="20688" xr:uid="{00000000-0005-0000-0000-000061C10000}"/>
    <cellStyle name="Normal 2 4 4 6 5 2" xfId="20689" xr:uid="{00000000-0005-0000-0000-000062C10000}"/>
    <cellStyle name="Normal 2 4 4 6 5 2 2" xfId="54744" xr:uid="{00000000-0005-0000-0000-000063C10000}"/>
    <cellStyle name="Normal 2 4 4 6 5 3" xfId="54745" xr:uid="{00000000-0005-0000-0000-000064C10000}"/>
    <cellStyle name="Normal 2 4 4 6 6" xfId="20690" xr:uid="{00000000-0005-0000-0000-000065C10000}"/>
    <cellStyle name="Normal 2 4 4 6 6 2" xfId="54746" xr:uid="{00000000-0005-0000-0000-000066C10000}"/>
    <cellStyle name="Normal 2 4 4 6 7" xfId="20691" xr:uid="{00000000-0005-0000-0000-000067C10000}"/>
    <cellStyle name="Normal 2 4 4 6 7 2" xfId="54747" xr:uid="{00000000-0005-0000-0000-000068C10000}"/>
    <cellStyle name="Normal 2 4 4 6 8" xfId="54748" xr:uid="{00000000-0005-0000-0000-000069C10000}"/>
    <cellStyle name="Normal 2 4 4 6 8 2" xfId="54749" xr:uid="{00000000-0005-0000-0000-00006AC10000}"/>
    <cellStyle name="Normal 2 4 4 6 9" xfId="54750" xr:uid="{00000000-0005-0000-0000-00006BC10000}"/>
    <cellStyle name="Normal 2 4 4 7" xfId="20692" xr:uid="{00000000-0005-0000-0000-00006CC10000}"/>
    <cellStyle name="Normal 2 4 4 7 10" xfId="54751" xr:uid="{00000000-0005-0000-0000-00006DC10000}"/>
    <cellStyle name="Normal 2 4 4 7 11" xfId="54752" xr:uid="{00000000-0005-0000-0000-00006EC10000}"/>
    <cellStyle name="Normal 2 4 4 7 2" xfId="20693" xr:uid="{00000000-0005-0000-0000-00006FC10000}"/>
    <cellStyle name="Normal 2 4 4 7 2 10" xfId="54753" xr:uid="{00000000-0005-0000-0000-000070C10000}"/>
    <cellStyle name="Normal 2 4 4 7 2 2" xfId="20694" xr:uid="{00000000-0005-0000-0000-000071C10000}"/>
    <cellStyle name="Normal 2 4 4 7 2 2 2" xfId="20695" xr:uid="{00000000-0005-0000-0000-000072C10000}"/>
    <cellStyle name="Normal 2 4 4 7 2 2 2 2" xfId="20696" xr:uid="{00000000-0005-0000-0000-000073C10000}"/>
    <cellStyle name="Normal 2 4 4 7 2 2 2 2 2" xfId="54754" xr:uid="{00000000-0005-0000-0000-000074C10000}"/>
    <cellStyle name="Normal 2 4 4 7 2 2 2 3" xfId="20697" xr:uid="{00000000-0005-0000-0000-000075C10000}"/>
    <cellStyle name="Normal 2 4 4 7 2 2 2 3 2" xfId="54755" xr:uid="{00000000-0005-0000-0000-000076C10000}"/>
    <cellStyle name="Normal 2 4 4 7 2 2 2 4" xfId="54756" xr:uid="{00000000-0005-0000-0000-000077C10000}"/>
    <cellStyle name="Normal 2 4 4 7 2 2 3" xfId="20698" xr:uid="{00000000-0005-0000-0000-000078C10000}"/>
    <cellStyle name="Normal 2 4 4 7 2 2 3 2" xfId="54757" xr:uid="{00000000-0005-0000-0000-000079C10000}"/>
    <cellStyle name="Normal 2 4 4 7 2 2 4" xfId="20699" xr:uid="{00000000-0005-0000-0000-00007AC10000}"/>
    <cellStyle name="Normal 2 4 4 7 2 2 4 2" xfId="54758" xr:uid="{00000000-0005-0000-0000-00007BC10000}"/>
    <cellStyle name="Normal 2 4 4 7 2 2 5" xfId="20700" xr:uid="{00000000-0005-0000-0000-00007CC10000}"/>
    <cellStyle name="Normal 2 4 4 7 2 2 5 2" xfId="54759" xr:uid="{00000000-0005-0000-0000-00007DC10000}"/>
    <cellStyle name="Normal 2 4 4 7 2 2 6" xfId="54760" xr:uid="{00000000-0005-0000-0000-00007EC10000}"/>
    <cellStyle name="Normal 2 4 4 7 2 2 6 2" xfId="54761" xr:uid="{00000000-0005-0000-0000-00007FC10000}"/>
    <cellStyle name="Normal 2 4 4 7 2 2 7" xfId="54762" xr:uid="{00000000-0005-0000-0000-000080C10000}"/>
    <cellStyle name="Normal 2 4 4 7 2 3" xfId="20701" xr:uid="{00000000-0005-0000-0000-000081C10000}"/>
    <cellStyle name="Normal 2 4 4 7 2 3 2" xfId="20702" xr:uid="{00000000-0005-0000-0000-000082C10000}"/>
    <cellStyle name="Normal 2 4 4 7 2 3 2 2" xfId="54763" xr:uid="{00000000-0005-0000-0000-000083C10000}"/>
    <cellStyle name="Normal 2 4 4 7 2 3 3" xfId="20703" xr:uid="{00000000-0005-0000-0000-000084C10000}"/>
    <cellStyle name="Normal 2 4 4 7 2 3 3 2" xfId="54764" xr:uid="{00000000-0005-0000-0000-000085C10000}"/>
    <cellStyle name="Normal 2 4 4 7 2 3 4" xfId="54765" xr:uid="{00000000-0005-0000-0000-000086C10000}"/>
    <cellStyle name="Normal 2 4 4 7 2 4" xfId="20704" xr:uid="{00000000-0005-0000-0000-000087C10000}"/>
    <cellStyle name="Normal 2 4 4 7 2 4 2" xfId="20705" xr:uid="{00000000-0005-0000-0000-000088C10000}"/>
    <cellStyle name="Normal 2 4 4 7 2 4 2 2" xfId="54766" xr:uid="{00000000-0005-0000-0000-000089C10000}"/>
    <cellStyle name="Normal 2 4 4 7 2 4 3" xfId="54767" xr:uid="{00000000-0005-0000-0000-00008AC10000}"/>
    <cellStyle name="Normal 2 4 4 7 2 5" xfId="20706" xr:uid="{00000000-0005-0000-0000-00008BC10000}"/>
    <cellStyle name="Normal 2 4 4 7 2 5 2" xfId="54768" xr:uid="{00000000-0005-0000-0000-00008CC10000}"/>
    <cellStyle name="Normal 2 4 4 7 2 6" xfId="20707" xr:uid="{00000000-0005-0000-0000-00008DC10000}"/>
    <cellStyle name="Normal 2 4 4 7 2 6 2" xfId="54769" xr:uid="{00000000-0005-0000-0000-00008EC10000}"/>
    <cellStyle name="Normal 2 4 4 7 2 7" xfId="54770" xr:uid="{00000000-0005-0000-0000-00008FC10000}"/>
    <cellStyle name="Normal 2 4 4 7 2 7 2" xfId="54771" xr:uid="{00000000-0005-0000-0000-000090C10000}"/>
    <cellStyle name="Normal 2 4 4 7 2 8" xfId="54772" xr:uid="{00000000-0005-0000-0000-000091C10000}"/>
    <cellStyle name="Normal 2 4 4 7 2 9" xfId="54773" xr:uid="{00000000-0005-0000-0000-000092C10000}"/>
    <cellStyle name="Normal 2 4 4 7 3" xfId="20708" xr:uid="{00000000-0005-0000-0000-000093C10000}"/>
    <cellStyle name="Normal 2 4 4 7 3 2" xfId="20709" xr:uid="{00000000-0005-0000-0000-000094C10000}"/>
    <cellStyle name="Normal 2 4 4 7 3 2 2" xfId="20710" xr:uid="{00000000-0005-0000-0000-000095C10000}"/>
    <cellStyle name="Normal 2 4 4 7 3 2 2 2" xfId="54774" xr:uid="{00000000-0005-0000-0000-000096C10000}"/>
    <cellStyle name="Normal 2 4 4 7 3 2 3" xfId="20711" xr:uid="{00000000-0005-0000-0000-000097C10000}"/>
    <cellStyle name="Normal 2 4 4 7 3 2 3 2" xfId="54775" xr:uid="{00000000-0005-0000-0000-000098C10000}"/>
    <cellStyle name="Normal 2 4 4 7 3 2 4" xfId="54776" xr:uid="{00000000-0005-0000-0000-000099C10000}"/>
    <cellStyle name="Normal 2 4 4 7 3 3" xfId="20712" xr:uid="{00000000-0005-0000-0000-00009AC10000}"/>
    <cellStyle name="Normal 2 4 4 7 3 3 2" xfId="54777" xr:uid="{00000000-0005-0000-0000-00009BC10000}"/>
    <cellStyle name="Normal 2 4 4 7 3 4" xfId="20713" xr:uid="{00000000-0005-0000-0000-00009CC10000}"/>
    <cellStyle name="Normal 2 4 4 7 3 4 2" xfId="54778" xr:uid="{00000000-0005-0000-0000-00009DC10000}"/>
    <cellStyle name="Normal 2 4 4 7 3 5" xfId="20714" xr:uid="{00000000-0005-0000-0000-00009EC10000}"/>
    <cellStyle name="Normal 2 4 4 7 3 5 2" xfId="54779" xr:uid="{00000000-0005-0000-0000-00009FC10000}"/>
    <cellStyle name="Normal 2 4 4 7 3 6" xfId="54780" xr:uid="{00000000-0005-0000-0000-0000A0C10000}"/>
    <cellStyle name="Normal 2 4 4 7 3 6 2" xfId="54781" xr:uid="{00000000-0005-0000-0000-0000A1C10000}"/>
    <cellStyle name="Normal 2 4 4 7 3 7" xfId="54782" xr:uid="{00000000-0005-0000-0000-0000A2C10000}"/>
    <cellStyle name="Normal 2 4 4 7 4" xfId="20715" xr:uid="{00000000-0005-0000-0000-0000A3C10000}"/>
    <cellStyle name="Normal 2 4 4 7 4 2" xfId="20716" xr:uid="{00000000-0005-0000-0000-0000A4C10000}"/>
    <cellStyle name="Normal 2 4 4 7 4 2 2" xfId="54783" xr:uid="{00000000-0005-0000-0000-0000A5C10000}"/>
    <cellStyle name="Normal 2 4 4 7 4 3" xfId="20717" xr:uid="{00000000-0005-0000-0000-0000A6C10000}"/>
    <cellStyle name="Normal 2 4 4 7 4 3 2" xfId="54784" xr:uid="{00000000-0005-0000-0000-0000A7C10000}"/>
    <cellStyle name="Normal 2 4 4 7 4 4" xfId="54785" xr:uid="{00000000-0005-0000-0000-0000A8C10000}"/>
    <cellStyle name="Normal 2 4 4 7 5" xfId="20718" xr:uid="{00000000-0005-0000-0000-0000A9C10000}"/>
    <cellStyle name="Normal 2 4 4 7 5 2" xfId="20719" xr:uid="{00000000-0005-0000-0000-0000AAC10000}"/>
    <cellStyle name="Normal 2 4 4 7 5 2 2" xfId="54786" xr:uid="{00000000-0005-0000-0000-0000ABC10000}"/>
    <cellStyle name="Normal 2 4 4 7 5 3" xfId="54787" xr:uid="{00000000-0005-0000-0000-0000ACC10000}"/>
    <cellStyle name="Normal 2 4 4 7 6" xfId="20720" xr:uid="{00000000-0005-0000-0000-0000ADC10000}"/>
    <cellStyle name="Normal 2 4 4 7 6 2" xfId="54788" xr:uid="{00000000-0005-0000-0000-0000AEC10000}"/>
    <cellStyle name="Normal 2 4 4 7 7" xfId="20721" xr:uid="{00000000-0005-0000-0000-0000AFC10000}"/>
    <cellStyle name="Normal 2 4 4 7 7 2" xfId="54789" xr:uid="{00000000-0005-0000-0000-0000B0C10000}"/>
    <cellStyle name="Normal 2 4 4 7 8" xfId="54790" xr:uid="{00000000-0005-0000-0000-0000B1C10000}"/>
    <cellStyle name="Normal 2 4 4 7 8 2" xfId="54791" xr:uid="{00000000-0005-0000-0000-0000B2C10000}"/>
    <cellStyle name="Normal 2 4 4 7 9" xfId="54792" xr:uid="{00000000-0005-0000-0000-0000B3C10000}"/>
    <cellStyle name="Normal 2 4 4 8" xfId="20722" xr:uid="{00000000-0005-0000-0000-0000B4C10000}"/>
    <cellStyle name="Normal 2 4 4 8 10" xfId="54793" xr:uid="{00000000-0005-0000-0000-0000B5C10000}"/>
    <cellStyle name="Normal 2 4 4 8 11" xfId="54794" xr:uid="{00000000-0005-0000-0000-0000B6C10000}"/>
    <cellStyle name="Normal 2 4 4 8 2" xfId="20723" xr:uid="{00000000-0005-0000-0000-0000B7C10000}"/>
    <cellStyle name="Normal 2 4 4 8 2 10" xfId="54795" xr:uid="{00000000-0005-0000-0000-0000B8C10000}"/>
    <cellStyle name="Normal 2 4 4 8 2 2" xfId="20724" xr:uid="{00000000-0005-0000-0000-0000B9C10000}"/>
    <cellStyle name="Normal 2 4 4 8 2 2 2" xfId="20725" xr:uid="{00000000-0005-0000-0000-0000BAC10000}"/>
    <cellStyle name="Normal 2 4 4 8 2 2 2 2" xfId="20726" xr:uid="{00000000-0005-0000-0000-0000BBC10000}"/>
    <cellStyle name="Normal 2 4 4 8 2 2 2 2 2" xfId="54796" xr:uid="{00000000-0005-0000-0000-0000BCC10000}"/>
    <cellStyle name="Normal 2 4 4 8 2 2 2 3" xfId="20727" xr:uid="{00000000-0005-0000-0000-0000BDC10000}"/>
    <cellStyle name="Normal 2 4 4 8 2 2 2 3 2" xfId="54797" xr:uid="{00000000-0005-0000-0000-0000BEC10000}"/>
    <cellStyle name="Normal 2 4 4 8 2 2 2 4" xfId="54798" xr:uid="{00000000-0005-0000-0000-0000BFC10000}"/>
    <cellStyle name="Normal 2 4 4 8 2 2 3" xfId="20728" xr:uid="{00000000-0005-0000-0000-0000C0C10000}"/>
    <cellStyle name="Normal 2 4 4 8 2 2 3 2" xfId="54799" xr:uid="{00000000-0005-0000-0000-0000C1C10000}"/>
    <cellStyle name="Normal 2 4 4 8 2 2 4" xfId="20729" xr:uid="{00000000-0005-0000-0000-0000C2C10000}"/>
    <cellStyle name="Normal 2 4 4 8 2 2 4 2" xfId="54800" xr:uid="{00000000-0005-0000-0000-0000C3C10000}"/>
    <cellStyle name="Normal 2 4 4 8 2 2 5" xfId="20730" xr:uid="{00000000-0005-0000-0000-0000C4C10000}"/>
    <cellStyle name="Normal 2 4 4 8 2 2 5 2" xfId="54801" xr:uid="{00000000-0005-0000-0000-0000C5C10000}"/>
    <cellStyle name="Normal 2 4 4 8 2 2 6" xfId="54802" xr:uid="{00000000-0005-0000-0000-0000C6C10000}"/>
    <cellStyle name="Normal 2 4 4 8 2 2 6 2" xfId="54803" xr:uid="{00000000-0005-0000-0000-0000C7C10000}"/>
    <cellStyle name="Normal 2 4 4 8 2 2 7" xfId="54804" xr:uid="{00000000-0005-0000-0000-0000C8C10000}"/>
    <cellStyle name="Normal 2 4 4 8 2 3" xfId="20731" xr:uid="{00000000-0005-0000-0000-0000C9C10000}"/>
    <cellStyle name="Normal 2 4 4 8 2 3 2" xfId="20732" xr:uid="{00000000-0005-0000-0000-0000CAC10000}"/>
    <cellStyle name="Normal 2 4 4 8 2 3 2 2" xfId="54805" xr:uid="{00000000-0005-0000-0000-0000CBC10000}"/>
    <cellStyle name="Normal 2 4 4 8 2 3 3" xfId="20733" xr:uid="{00000000-0005-0000-0000-0000CCC10000}"/>
    <cellStyle name="Normal 2 4 4 8 2 3 3 2" xfId="54806" xr:uid="{00000000-0005-0000-0000-0000CDC10000}"/>
    <cellStyle name="Normal 2 4 4 8 2 3 4" xfId="54807" xr:uid="{00000000-0005-0000-0000-0000CEC10000}"/>
    <cellStyle name="Normal 2 4 4 8 2 4" xfId="20734" xr:uid="{00000000-0005-0000-0000-0000CFC10000}"/>
    <cellStyle name="Normal 2 4 4 8 2 4 2" xfId="20735" xr:uid="{00000000-0005-0000-0000-0000D0C10000}"/>
    <cellStyle name="Normal 2 4 4 8 2 4 2 2" xfId="54808" xr:uid="{00000000-0005-0000-0000-0000D1C10000}"/>
    <cellStyle name="Normal 2 4 4 8 2 4 3" xfId="54809" xr:uid="{00000000-0005-0000-0000-0000D2C10000}"/>
    <cellStyle name="Normal 2 4 4 8 2 5" xfId="20736" xr:uid="{00000000-0005-0000-0000-0000D3C10000}"/>
    <cellStyle name="Normal 2 4 4 8 2 5 2" xfId="54810" xr:uid="{00000000-0005-0000-0000-0000D4C10000}"/>
    <cellStyle name="Normal 2 4 4 8 2 6" xfId="20737" xr:uid="{00000000-0005-0000-0000-0000D5C10000}"/>
    <cellStyle name="Normal 2 4 4 8 2 6 2" xfId="54811" xr:uid="{00000000-0005-0000-0000-0000D6C10000}"/>
    <cellStyle name="Normal 2 4 4 8 2 7" xfId="54812" xr:uid="{00000000-0005-0000-0000-0000D7C10000}"/>
    <cellStyle name="Normal 2 4 4 8 2 7 2" xfId="54813" xr:uid="{00000000-0005-0000-0000-0000D8C10000}"/>
    <cellStyle name="Normal 2 4 4 8 2 8" xfId="54814" xr:uid="{00000000-0005-0000-0000-0000D9C10000}"/>
    <cellStyle name="Normal 2 4 4 8 2 9" xfId="54815" xr:uid="{00000000-0005-0000-0000-0000DAC10000}"/>
    <cellStyle name="Normal 2 4 4 8 3" xfId="20738" xr:uid="{00000000-0005-0000-0000-0000DBC10000}"/>
    <cellStyle name="Normal 2 4 4 8 3 2" xfId="20739" xr:uid="{00000000-0005-0000-0000-0000DCC10000}"/>
    <cellStyle name="Normal 2 4 4 8 3 2 2" xfId="20740" xr:uid="{00000000-0005-0000-0000-0000DDC10000}"/>
    <cellStyle name="Normal 2 4 4 8 3 2 2 2" xfId="54816" xr:uid="{00000000-0005-0000-0000-0000DEC10000}"/>
    <cellStyle name="Normal 2 4 4 8 3 2 3" xfId="20741" xr:uid="{00000000-0005-0000-0000-0000DFC10000}"/>
    <cellStyle name="Normal 2 4 4 8 3 2 3 2" xfId="54817" xr:uid="{00000000-0005-0000-0000-0000E0C10000}"/>
    <cellStyle name="Normal 2 4 4 8 3 2 4" xfId="54818" xr:uid="{00000000-0005-0000-0000-0000E1C10000}"/>
    <cellStyle name="Normal 2 4 4 8 3 3" xfId="20742" xr:uid="{00000000-0005-0000-0000-0000E2C10000}"/>
    <cellStyle name="Normal 2 4 4 8 3 3 2" xfId="54819" xr:uid="{00000000-0005-0000-0000-0000E3C10000}"/>
    <cellStyle name="Normal 2 4 4 8 3 4" xfId="20743" xr:uid="{00000000-0005-0000-0000-0000E4C10000}"/>
    <cellStyle name="Normal 2 4 4 8 3 4 2" xfId="54820" xr:uid="{00000000-0005-0000-0000-0000E5C10000}"/>
    <cellStyle name="Normal 2 4 4 8 3 5" xfId="20744" xr:uid="{00000000-0005-0000-0000-0000E6C10000}"/>
    <cellStyle name="Normal 2 4 4 8 3 5 2" xfId="54821" xr:uid="{00000000-0005-0000-0000-0000E7C10000}"/>
    <cellStyle name="Normal 2 4 4 8 3 6" xfId="54822" xr:uid="{00000000-0005-0000-0000-0000E8C10000}"/>
    <cellStyle name="Normal 2 4 4 8 3 6 2" xfId="54823" xr:uid="{00000000-0005-0000-0000-0000E9C10000}"/>
    <cellStyle name="Normal 2 4 4 8 3 7" xfId="54824" xr:uid="{00000000-0005-0000-0000-0000EAC10000}"/>
    <cellStyle name="Normal 2 4 4 8 4" xfId="20745" xr:uid="{00000000-0005-0000-0000-0000EBC10000}"/>
    <cellStyle name="Normal 2 4 4 8 4 2" xfId="20746" xr:uid="{00000000-0005-0000-0000-0000ECC10000}"/>
    <cellStyle name="Normal 2 4 4 8 4 2 2" xfId="54825" xr:uid="{00000000-0005-0000-0000-0000EDC10000}"/>
    <cellStyle name="Normal 2 4 4 8 4 3" xfId="20747" xr:uid="{00000000-0005-0000-0000-0000EEC10000}"/>
    <cellStyle name="Normal 2 4 4 8 4 3 2" xfId="54826" xr:uid="{00000000-0005-0000-0000-0000EFC10000}"/>
    <cellStyle name="Normal 2 4 4 8 4 4" xfId="54827" xr:uid="{00000000-0005-0000-0000-0000F0C10000}"/>
    <cellStyle name="Normal 2 4 4 8 5" xfId="20748" xr:uid="{00000000-0005-0000-0000-0000F1C10000}"/>
    <cellStyle name="Normal 2 4 4 8 5 2" xfId="20749" xr:uid="{00000000-0005-0000-0000-0000F2C10000}"/>
    <cellStyle name="Normal 2 4 4 8 5 2 2" xfId="54828" xr:uid="{00000000-0005-0000-0000-0000F3C10000}"/>
    <cellStyle name="Normal 2 4 4 8 5 3" xfId="54829" xr:uid="{00000000-0005-0000-0000-0000F4C10000}"/>
    <cellStyle name="Normal 2 4 4 8 6" xfId="20750" xr:uid="{00000000-0005-0000-0000-0000F5C10000}"/>
    <cellStyle name="Normal 2 4 4 8 6 2" xfId="54830" xr:uid="{00000000-0005-0000-0000-0000F6C10000}"/>
    <cellStyle name="Normal 2 4 4 8 7" xfId="20751" xr:uid="{00000000-0005-0000-0000-0000F7C10000}"/>
    <cellStyle name="Normal 2 4 4 8 7 2" xfId="54831" xr:uid="{00000000-0005-0000-0000-0000F8C10000}"/>
    <cellStyle name="Normal 2 4 4 8 8" xfId="54832" xr:uid="{00000000-0005-0000-0000-0000F9C10000}"/>
    <cellStyle name="Normal 2 4 4 8 8 2" xfId="54833" xr:uid="{00000000-0005-0000-0000-0000FAC10000}"/>
    <cellStyle name="Normal 2 4 4 8 9" xfId="54834" xr:uid="{00000000-0005-0000-0000-0000FBC10000}"/>
    <cellStyle name="Normal 2 4 4 9" xfId="20752" xr:uid="{00000000-0005-0000-0000-0000FCC10000}"/>
    <cellStyle name="Normal 2 4 4 9 10" xfId="54835" xr:uid="{00000000-0005-0000-0000-0000FDC10000}"/>
    <cellStyle name="Normal 2 4 4 9 11" xfId="54836" xr:uid="{00000000-0005-0000-0000-0000FEC10000}"/>
    <cellStyle name="Normal 2 4 4 9 2" xfId="20753" xr:uid="{00000000-0005-0000-0000-0000FFC10000}"/>
    <cellStyle name="Normal 2 4 4 9 2 10" xfId="54837" xr:uid="{00000000-0005-0000-0000-000000C20000}"/>
    <cellStyle name="Normal 2 4 4 9 2 2" xfId="20754" xr:uid="{00000000-0005-0000-0000-000001C20000}"/>
    <cellStyle name="Normal 2 4 4 9 2 2 2" xfId="20755" xr:uid="{00000000-0005-0000-0000-000002C20000}"/>
    <cellStyle name="Normal 2 4 4 9 2 2 2 2" xfId="20756" xr:uid="{00000000-0005-0000-0000-000003C20000}"/>
    <cellStyle name="Normal 2 4 4 9 2 2 2 2 2" xfId="54838" xr:uid="{00000000-0005-0000-0000-000004C20000}"/>
    <cellStyle name="Normal 2 4 4 9 2 2 2 3" xfId="20757" xr:uid="{00000000-0005-0000-0000-000005C20000}"/>
    <cellStyle name="Normal 2 4 4 9 2 2 2 3 2" xfId="54839" xr:uid="{00000000-0005-0000-0000-000006C20000}"/>
    <cellStyle name="Normal 2 4 4 9 2 2 2 4" xfId="54840" xr:uid="{00000000-0005-0000-0000-000007C20000}"/>
    <cellStyle name="Normal 2 4 4 9 2 2 3" xfId="20758" xr:uid="{00000000-0005-0000-0000-000008C20000}"/>
    <cellStyle name="Normal 2 4 4 9 2 2 3 2" xfId="54841" xr:uid="{00000000-0005-0000-0000-000009C20000}"/>
    <cellStyle name="Normal 2 4 4 9 2 2 4" xfId="20759" xr:uid="{00000000-0005-0000-0000-00000AC20000}"/>
    <cellStyle name="Normal 2 4 4 9 2 2 4 2" xfId="54842" xr:uid="{00000000-0005-0000-0000-00000BC20000}"/>
    <cellStyle name="Normal 2 4 4 9 2 2 5" xfId="20760" xr:uid="{00000000-0005-0000-0000-00000CC20000}"/>
    <cellStyle name="Normal 2 4 4 9 2 2 5 2" xfId="54843" xr:uid="{00000000-0005-0000-0000-00000DC20000}"/>
    <cellStyle name="Normal 2 4 4 9 2 2 6" xfId="54844" xr:uid="{00000000-0005-0000-0000-00000EC20000}"/>
    <cellStyle name="Normal 2 4 4 9 2 2 6 2" xfId="54845" xr:uid="{00000000-0005-0000-0000-00000FC20000}"/>
    <cellStyle name="Normal 2 4 4 9 2 2 7" xfId="54846" xr:uid="{00000000-0005-0000-0000-000010C20000}"/>
    <cellStyle name="Normal 2 4 4 9 2 3" xfId="20761" xr:uid="{00000000-0005-0000-0000-000011C20000}"/>
    <cellStyle name="Normal 2 4 4 9 2 3 2" xfId="20762" xr:uid="{00000000-0005-0000-0000-000012C20000}"/>
    <cellStyle name="Normal 2 4 4 9 2 3 2 2" xfId="54847" xr:uid="{00000000-0005-0000-0000-000013C20000}"/>
    <cellStyle name="Normal 2 4 4 9 2 3 3" xfId="20763" xr:uid="{00000000-0005-0000-0000-000014C20000}"/>
    <cellStyle name="Normal 2 4 4 9 2 3 3 2" xfId="54848" xr:uid="{00000000-0005-0000-0000-000015C20000}"/>
    <cellStyle name="Normal 2 4 4 9 2 3 4" xfId="54849" xr:uid="{00000000-0005-0000-0000-000016C20000}"/>
    <cellStyle name="Normal 2 4 4 9 2 4" xfId="20764" xr:uid="{00000000-0005-0000-0000-000017C20000}"/>
    <cellStyle name="Normal 2 4 4 9 2 4 2" xfId="20765" xr:uid="{00000000-0005-0000-0000-000018C20000}"/>
    <cellStyle name="Normal 2 4 4 9 2 4 2 2" xfId="54850" xr:uid="{00000000-0005-0000-0000-000019C20000}"/>
    <cellStyle name="Normal 2 4 4 9 2 4 3" xfId="54851" xr:uid="{00000000-0005-0000-0000-00001AC20000}"/>
    <cellStyle name="Normal 2 4 4 9 2 5" xfId="20766" xr:uid="{00000000-0005-0000-0000-00001BC20000}"/>
    <cellStyle name="Normal 2 4 4 9 2 5 2" xfId="54852" xr:uid="{00000000-0005-0000-0000-00001CC20000}"/>
    <cellStyle name="Normal 2 4 4 9 2 6" xfId="20767" xr:uid="{00000000-0005-0000-0000-00001DC20000}"/>
    <cellStyle name="Normal 2 4 4 9 2 6 2" xfId="54853" xr:uid="{00000000-0005-0000-0000-00001EC20000}"/>
    <cellStyle name="Normal 2 4 4 9 2 7" xfId="54854" xr:uid="{00000000-0005-0000-0000-00001FC20000}"/>
    <cellStyle name="Normal 2 4 4 9 2 7 2" xfId="54855" xr:uid="{00000000-0005-0000-0000-000020C20000}"/>
    <cellStyle name="Normal 2 4 4 9 2 8" xfId="54856" xr:uid="{00000000-0005-0000-0000-000021C20000}"/>
    <cellStyle name="Normal 2 4 4 9 2 9" xfId="54857" xr:uid="{00000000-0005-0000-0000-000022C20000}"/>
    <cellStyle name="Normal 2 4 4 9 3" xfId="20768" xr:uid="{00000000-0005-0000-0000-000023C20000}"/>
    <cellStyle name="Normal 2 4 4 9 3 2" xfId="20769" xr:uid="{00000000-0005-0000-0000-000024C20000}"/>
    <cellStyle name="Normal 2 4 4 9 3 2 2" xfId="20770" xr:uid="{00000000-0005-0000-0000-000025C20000}"/>
    <cellStyle name="Normal 2 4 4 9 3 2 2 2" xfId="54858" xr:uid="{00000000-0005-0000-0000-000026C20000}"/>
    <cellStyle name="Normal 2 4 4 9 3 2 3" xfId="20771" xr:uid="{00000000-0005-0000-0000-000027C20000}"/>
    <cellStyle name="Normal 2 4 4 9 3 2 3 2" xfId="54859" xr:uid="{00000000-0005-0000-0000-000028C20000}"/>
    <cellStyle name="Normal 2 4 4 9 3 2 4" xfId="54860" xr:uid="{00000000-0005-0000-0000-000029C20000}"/>
    <cellStyle name="Normal 2 4 4 9 3 3" xfId="20772" xr:uid="{00000000-0005-0000-0000-00002AC20000}"/>
    <cellStyle name="Normal 2 4 4 9 3 3 2" xfId="54861" xr:uid="{00000000-0005-0000-0000-00002BC20000}"/>
    <cellStyle name="Normal 2 4 4 9 3 4" xfId="20773" xr:uid="{00000000-0005-0000-0000-00002CC20000}"/>
    <cellStyle name="Normal 2 4 4 9 3 4 2" xfId="54862" xr:uid="{00000000-0005-0000-0000-00002DC20000}"/>
    <cellStyle name="Normal 2 4 4 9 3 5" xfId="20774" xr:uid="{00000000-0005-0000-0000-00002EC20000}"/>
    <cellStyle name="Normal 2 4 4 9 3 5 2" xfId="54863" xr:uid="{00000000-0005-0000-0000-00002FC20000}"/>
    <cellStyle name="Normal 2 4 4 9 3 6" xfId="54864" xr:uid="{00000000-0005-0000-0000-000030C20000}"/>
    <cellStyle name="Normal 2 4 4 9 3 6 2" xfId="54865" xr:uid="{00000000-0005-0000-0000-000031C20000}"/>
    <cellStyle name="Normal 2 4 4 9 3 7" xfId="54866" xr:uid="{00000000-0005-0000-0000-000032C20000}"/>
    <cellStyle name="Normal 2 4 4 9 4" xfId="20775" xr:uid="{00000000-0005-0000-0000-000033C20000}"/>
    <cellStyle name="Normal 2 4 4 9 4 2" xfId="20776" xr:uid="{00000000-0005-0000-0000-000034C20000}"/>
    <cellStyle name="Normal 2 4 4 9 4 2 2" xfId="54867" xr:uid="{00000000-0005-0000-0000-000035C20000}"/>
    <cellStyle name="Normal 2 4 4 9 4 3" xfId="20777" xr:uid="{00000000-0005-0000-0000-000036C20000}"/>
    <cellStyle name="Normal 2 4 4 9 4 3 2" xfId="54868" xr:uid="{00000000-0005-0000-0000-000037C20000}"/>
    <cellStyle name="Normal 2 4 4 9 4 4" xfId="54869" xr:uid="{00000000-0005-0000-0000-000038C20000}"/>
    <cellStyle name="Normal 2 4 4 9 5" xfId="20778" xr:uid="{00000000-0005-0000-0000-000039C20000}"/>
    <cellStyle name="Normal 2 4 4 9 5 2" xfId="20779" xr:uid="{00000000-0005-0000-0000-00003AC20000}"/>
    <cellStyle name="Normal 2 4 4 9 5 2 2" xfId="54870" xr:uid="{00000000-0005-0000-0000-00003BC20000}"/>
    <cellStyle name="Normal 2 4 4 9 5 3" xfId="54871" xr:uid="{00000000-0005-0000-0000-00003CC20000}"/>
    <cellStyle name="Normal 2 4 4 9 6" xfId="20780" xr:uid="{00000000-0005-0000-0000-00003DC20000}"/>
    <cellStyle name="Normal 2 4 4 9 6 2" xfId="54872" xr:uid="{00000000-0005-0000-0000-00003EC20000}"/>
    <cellStyle name="Normal 2 4 4 9 7" xfId="20781" xr:uid="{00000000-0005-0000-0000-00003FC20000}"/>
    <cellStyle name="Normal 2 4 4 9 7 2" xfId="54873" xr:uid="{00000000-0005-0000-0000-000040C20000}"/>
    <cellStyle name="Normal 2 4 4 9 8" xfId="54874" xr:uid="{00000000-0005-0000-0000-000041C20000}"/>
    <cellStyle name="Normal 2 4 4 9 8 2" xfId="54875" xr:uid="{00000000-0005-0000-0000-000042C20000}"/>
    <cellStyle name="Normal 2 4 4 9 9" xfId="54876" xr:uid="{00000000-0005-0000-0000-000043C20000}"/>
    <cellStyle name="Normal 2 4 40" xfId="20782" xr:uid="{00000000-0005-0000-0000-000044C20000}"/>
    <cellStyle name="Normal 2 4 40 2" xfId="20783" xr:uid="{00000000-0005-0000-0000-000045C20000}"/>
    <cellStyle name="Normal 2 4 40 2 2" xfId="20784" xr:uid="{00000000-0005-0000-0000-000046C20000}"/>
    <cellStyle name="Normal 2 4 40 2 2 2" xfId="54877" xr:uid="{00000000-0005-0000-0000-000047C20000}"/>
    <cellStyle name="Normal 2 4 40 2 3" xfId="20785" xr:uid="{00000000-0005-0000-0000-000048C20000}"/>
    <cellStyle name="Normal 2 4 40 2 3 2" xfId="54878" xr:uid="{00000000-0005-0000-0000-000049C20000}"/>
    <cellStyle name="Normal 2 4 40 2 4" xfId="54879" xr:uid="{00000000-0005-0000-0000-00004AC20000}"/>
    <cellStyle name="Normal 2 4 40 3" xfId="20786" xr:uid="{00000000-0005-0000-0000-00004BC20000}"/>
    <cellStyle name="Normal 2 4 40 3 2" xfId="54880" xr:uid="{00000000-0005-0000-0000-00004CC20000}"/>
    <cellStyle name="Normal 2 4 40 4" xfId="20787" xr:uid="{00000000-0005-0000-0000-00004DC20000}"/>
    <cellStyle name="Normal 2 4 40 4 2" xfId="54881" xr:uid="{00000000-0005-0000-0000-00004EC20000}"/>
    <cellStyle name="Normal 2 4 40 5" xfId="20788" xr:uid="{00000000-0005-0000-0000-00004FC20000}"/>
    <cellStyle name="Normal 2 4 40 5 2" xfId="54882" xr:uid="{00000000-0005-0000-0000-000050C20000}"/>
    <cellStyle name="Normal 2 4 40 6" xfId="54883" xr:uid="{00000000-0005-0000-0000-000051C20000}"/>
    <cellStyle name="Normal 2 4 40 6 2" xfId="54884" xr:uid="{00000000-0005-0000-0000-000052C20000}"/>
    <cellStyle name="Normal 2 4 40 7" xfId="54885" xr:uid="{00000000-0005-0000-0000-000053C20000}"/>
    <cellStyle name="Normal 2 4 41" xfId="20789" xr:uid="{00000000-0005-0000-0000-000054C20000}"/>
    <cellStyle name="Normal 2 4 41 2" xfId="20790" xr:uid="{00000000-0005-0000-0000-000055C20000}"/>
    <cellStyle name="Normal 2 4 41 2 2" xfId="54886" xr:uid="{00000000-0005-0000-0000-000056C20000}"/>
    <cellStyle name="Normal 2 4 41 3" xfId="20791" xr:uid="{00000000-0005-0000-0000-000057C20000}"/>
    <cellStyle name="Normal 2 4 41 3 2" xfId="54887" xr:uid="{00000000-0005-0000-0000-000058C20000}"/>
    <cellStyle name="Normal 2 4 41 4" xfId="54888" xr:uid="{00000000-0005-0000-0000-000059C20000}"/>
    <cellStyle name="Normal 2 4 42" xfId="20792" xr:uid="{00000000-0005-0000-0000-00005AC20000}"/>
    <cellStyle name="Normal 2 4 42 2" xfId="20793" xr:uid="{00000000-0005-0000-0000-00005BC20000}"/>
    <cellStyle name="Normal 2 4 42 2 2" xfId="54889" xr:uid="{00000000-0005-0000-0000-00005CC20000}"/>
    <cellStyle name="Normal 2 4 42 3" xfId="54890" xr:uid="{00000000-0005-0000-0000-00005DC20000}"/>
    <cellStyle name="Normal 2 4 43" xfId="20794" xr:uid="{00000000-0005-0000-0000-00005EC20000}"/>
    <cellStyle name="Normal 2 4 43 2" xfId="54891" xr:uid="{00000000-0005-0000-0000-00005FC20000}"/>
    <cellStyle name="Normal 2 4 44" xfId="20795" xr:uid="{00000000-0005-0000-0000-000060C20000}"/>
    <cellStyle name="Normal 2 4 44 2" xfId="54892" xr:uid="{00000000-0005-0000-0000-000061C20000}"/>
    <cellStyle name="Normal 2 4 45" xfId="54893" xr:uid="{00000000-0005-0000-0000-000062C20000}"/>
    <cellStyle name="Normal 2 4 45 2" xfId="54894" xr:uid="{00000000-0005-0000-0000-000063C20000}"/>
    <cellStyle name="Normal 2 4 46" xfId="54895" xr:uid="{00000000-0005-0000-0000-000064C20000}"/>
    <cellStyle name="Normal 2 4 47" xfId="54896" xr:uid="{00000000-0005-0000-0000-000065C20000}"/>
    <cellStyle name="Normal 2 4 48" xfId="54897" xr:uid="{00000000-0005-0000-0000-000066C20000}"/>
    <cellStyle name="Normal 2 4 5" xfId="20796" xr:uid="{00000000-0005-0000-0000-000067C20000}"/>
    <cellStyle name="Normal 2 4 5 10" xfId="20797" xr:uid="{00000000-0005-0000-0000-000068C20000}"/>
    <cellStyle name="Normal 2 4 5 10 10" xfId="54898" xr:uid="{00000000-0005-0000-0000-000069C20000}"/>
    <cellStyle name="Normal 2 4 5 10 11" xfId="54899" xr:uid="{00000000-0005-0000-0000-00006AC20000}"/>
    <cellStyle name="Normal 2 4 5 10 2" xfId="20798" xr:uid="{00000000-0005-0000-0000-00006BC20000}"/>
    <cellStyle name="Normal 2 4 5 10 2 10" xfId="54900" xr:uid="{00000000-0005-0000-0000-00006CC20000}"/>
    <cellStyle name="Normal 2 4 5 10 2 2" xfId="20799" xr:uid="{00000000-0005-0000-0000-00006DC20000}"/>
    <cellStyle name="Normal 2 4 5 10 2 2 2" xfId="20800" xr:uid="{00000000-0005-0000-0000-00006EC20000}"/>
    <cellStyle name="Normal 2 4 5 10 2 2 2 2" xfId="20801" xr:uid="{00000000-0005-0000-0000-00006FC20000}"/>
    <cellStyle name="Normal 2 4 5 10 2 2 2 2 2" xfId="54901" xr:uid="{00000000-0005-0000-0000-000070C20000}"/>
    <cellStyle name="Normal 2 4 5 10 2 2 2 3" xfId="20802" xr:uid="{00000000-0005-0000-0000-000071C20000}"/>
    <cellStyle name="Normal 2 4 5 10 2 2 2 3 2" xfId="54902" xr:uid="{00000000-0005-0000-0000-000072C20000}"/>
    <cellStyle name="Normal 2 4 5 10 2 2 2 4" xfId="54903" xr:uid="{00000000-0005-0000-0000-000073C20000}"/>
    <cellStyle name="Normal 2 4 5 10 2 2 3" xfId="20803" xr:uid="{00000000-0005-0000-0000-000074C20000}"/>
    <cellStyle name="Normal 2 4 5 10 2 2 3 2" xfId="54904" xr:uid="{00000000-0005-0000-0000-000075C20000}"/>
    <cellStyle name="Normal 2 4 5 10 2 2 4" xfId="20804" xr:uid="{00000000-0005-0000-0000-000076C20000}"/>
    <cellStyle name="Normal 2 4 5 10 2 2 4 2" xfId="54905" xr:uid="{00000000-0005-0000-0000-000077C20000}"/>
    <cellStyle name="Normal 2 4 5 10 2 2 5" xfId="20805" xr:uid="{00000000-0005-0000-0000-000078C20000}"/>
    <cellStyle name="Normal 2 4 5 10 2 2 5 2" xfId="54906" xr:uid="{00000000-0005-0000-0000-000079C20000}"/>
    <cellStyle name="Normal 2 4 5 10 2 2 6" xfId="54907" xr:uid="{00000000-0005-0000-0000-00007AC20000}"/>
    <cellStyle name="Normal 2 4 5 10 2 2 6 2" xfId="54908" xr:uid="{00000000-0005-0000-0000-00007BC20000}"/>
    <cellStyle name="Normal 2 4 5 10 2 2 7" xfId="54909" xr:uid="{00000000-0005-0000-0000-00007CC20000}"/>
    <cellStyle name="Normal 2 4 5 10 2 3" xfId="20806" xr:uid="{00000000-0005-0000-0000-00007DC20000}"/>
    <cellStyle name="Normal 2 4 5 10 2 3 2" xfId="20807" xr:uid="{00000000-0005-0000-0000-00007EC20000}"/>
    <cellStyle name="Normal 2 4 5 10 2 3 2 2" xfId="54910" xr:uid="{00000000-0005-0000-0000-00007FC20000}"/>
    <cellStyle name="Normal 2 4 5 10 2 3 3" xfId="20808" xr:uid="{00000000-0005-0000-0000-000080C20000}"/>
    <cellStyle name="Normal 2 4 5 10 2 3 3 2" xfId="54911" xr:uid="{00000000-0005-0000-0000-000081C20000}"/>
    <cellStyle name="Normal 2 4 5 10 2 3 4" xfId="54912" xr:uid="{00000000-0005-0000-0000-000082C20000}"/>
    <cellStyle name="Normal 2 4 5 10 2 4" xfId="20809" xr:uid="{00000000-0005-0000-0000-000083C20000}"/>
    <cellStyle name="Normal 2 4 5 10 2 4 2" xfId="20810" xr:uid="{00000000-0005-0000-0000-000084C20000}"/>
    <cellStyle name="Normal 2 4 5 10 2 4 2 2" xfId="54913" xr:uid="{00000000-0005-0000-0000-000085C20000}"/>
    <cellStyle name="Normal 2 4 5 10 2 4 3" xfId="54914" xr:uid="{00000000-0005-0000-0000-000086C20000}"/>
    <cellStyle name="Normal 2 4 5 10 2 5" xfId="20811" xr:uid="{00000000-0005-0000-0000-000087C20000}"/>
    <cellStyle name="Normal 2 4 5 10 2 5 2" xfId="54915" xr:uid="{00000000-0005-0000-0000-000088C20000}"/>
    <cellStyle name="Normal 2 4 5 10 2 6" xfId="20812" xr:uid="{00000000-0005-0000-0000-000089C20000}"/>
    <cellStyle name="Normal 2 4 5 10 2 6 2" xfId="54916" xr:uid="{00000000-0005-0000-0000-00008AC20000}"/>
    <cellStyle name="Normal 2 4 5 10 2 7" xfId="54917" xr:uid="{00000000-0005-0000-0000-00008BC20000}"/>
    <cellStyle name="Normal 2 4 5 10 2 7 2" xfId="54918" xr:uid="{00000000-0005-0000-0000-00008CC20000}"/>
    <cellStyle name="Normal 2 4 5 10 2 8" xfId="54919" xr:uid="{00000000-0005-0000-0000-00008DC20000}"/>
    <cellStyle name="Normal 2 4 5 10 2 9" xfId="54920" xr:uid="{00000000-0005-0000-0000-00008EC20000}"/>
    <cellStyle name="Normal 2 4 5 10 3" xfId="20813" xr:uid="{00000000-0005-0000-0000-00008FC20000}"/>
    <cellStyle name="Normal 2 4 5 10 3 2" xfId="20814" xr:uid="{00000000-0005-0000-0000-000090C20000}"/>
    <cellStyle name="Normal 2 4 5 10 3 2 2" xfId="20815" xr:uid="{00000000-0005-0000-0000-000091C20000}"/>
    <cellStyle name="Normal 2 4 5 10 3 2 2 2" xfId="54921" xr:uid="{00000000-0005-0000-0000-000092C20000}"/>
    <cellStyle name="Normal 2 4 5 10 3 2 3" xfId="20816" xr:uid="{00000000-0005-0000-0000-000093C20000}"/>
    <cellStyle name="Normal 2 4 5 10 3 2 3 2" xfId="54922" xr:uid="{00000000-0005-0000-0000-000094C20000}"/>
    <cellStyle name="Normal 2 4 5 10 3 2 4" xfId="54923" xr:uid="{00000000-0005-0000-0000-000095C20000}"/>
    <cellStyle name="Normal 2 4 5 10 3 3" xfId="20817" xr:uid="{00000000-0005-0000-0000-000096C20000}"/>
    <cellStyle name="Normal 2 4 5 10 3 3 2" xfId="54924" xr:uid="{00000000-0005-0000-0000-000097C20000}"/>
    <cellStyle name="Normal 2 4 5 10 3 4" xfId="20818" xr:uid="{00000000-0005-0000-0000-000098C20000}"/>
    <cellStyle name="Normal 2 4 5 10 3 4 2" xfId="54925" xr:uid="{00000000-0005-0000-0000-000099C20000}"/>
    <cellStyle name="Normal 2 4 5 10 3 5" xfId="20819" xr:uid="{00000000-0005-0000-0000-00009AC20000}"/>
    <cellStyle name="Normal 2 4 5 10 3 5 2" xfId="54926" xr:uid="{00000000-0005-0000-0000-00009BC20000}"/>
    <cellStyle name="Normal 2 4 5 10 3 6" xfId="54927" xr:uid="{00000000-0005-0000-0000-00009CC20000}"/>
    <cellStyle name="Normal 2 4 5 10 3 6 2" xfId="54928" xr:uid="{00000000-0005-0000-0000-00009DC20000}"/>
    <cellStyle name="Normal 2 4 5 10 3 7" xfId="54929" xr:uid="{00000000-0005-0000-0000-00009EC20000}"/>
    <cellStyle name="Normal 2 4 5 10 4" xfId="20820" xr:uid="{00000000-0005-0000-0000-00009FC20000}"/>
    <cellStyle name="Normal 2 4 5 10 4 2" xfId="20821" xr:uid="{00000000-0005-0000-0000-0000A0C20000}"/>
    <cellStyle name="Normal 2 4 5 10 4 2 2" xfId="54930" xr:uid="{00000000-0005-0000-0000-0000A1C20000}"/>
    <cellStyle name="Normal 2 4 5 10 4 3" xfId="20822" xr:uid="{00000000-0005-0000-0000-0000A2C20000}"/>
    <cellStyle name="Normal 2 4 5 10 4 3 2" xfId="54931" xr:uid="{00000000-0005-0000-0000-0000A3C20000}"/>
    <cellStyle name="Normal 2 4 5 10 4 4" xfId="54932" xr:uid="{00000000-0005-0000-0000-0000A4C20000}"/>
    <cellStyle name="Normal 2 4 5 10 5" xfId="20823" xr:uid="{00000000-0005-0000-0000-0000A5C20000}"/>
    <cellStyle name="Normal 2 4 5 10 5 2" xfId="20824" xr:uid="{00000000-0005-0000-0000-0000A6C20000}"/>
    <cellStyle name="Normal 2 4 5 10 5 2 2" xfId="54933" xr:uid="{00000000-0005-0000-0000-0000A7C20000}"/>
    <cellStyle name="Normal 2 4 5 10 5 3" xfId="54934" xr:uid="{00000000-0005-0000-0000-0000A8C20000}"/>
    <cellStyle name="Normal 2 4 5 10 6" xfId="20825" xr:uid="{00000000-0005-0000-0000-0000A9C20000}"/>
    <cellStyle name="Normal 2 4 5 10 6 2" xfId="54935" xr:uid="{00000000-0005-0000-0000-0000AAC20000}"/>
    <cellStyle name="Normal 2 4 5 10 7" xfId="20826" xr:uid="{00000000-0005-0000-0000-0000ABC20000}"/>
    <cellStyle name="Normal 2 4 5 10 7 2" xfId="54936" xr:uid="{00000000-0005-0000-0000-0000ACC20000}"/>
    <cellStyle name="Normal 2 4 5 10 8" xfId="54937" xr:uid="{00000000-0005-0000-0000-0000ADC20000}"/>
    <cellStyle name="Normal 2 4 5 10 8 2" xfId="54938" xr:uid="{00000000-0005-0000-0000-0000AEC20000}"/>
    <cellStyle name="Normal 2 4 5 10 9" xfId="54939" xr:uid="{00000000-0005-0000-0000-0000AFC20000}"/>
    <cellStyle name="Normal 2 4 5 11" xfId="20827" xr:uid="{00000000-0005-0000-0000-0000B0C20000}"/>
    <cellStyle name="Normal 2 4 5 11 10" xfId="54940" xr:uid="{00000000-0005-0000-0000-0000B1C20000}"/>
    <cellStyle name="Normal 2 4 5 11 11" xfId="54941" xr:uid="{00000000-0005-0000-0000-0000B2C20000}"/>
    <cellStyle name="Normal 2 4 5 11 2" xfId="20828" xr:uid="{00000000-0005-0000-0000-0000B3C20000}"/>
    <cellStyle name="Normal 2 4 5 11 2 10" xfId="54942" xr:uid="{00000000-0005-0000-0000-0000B4C20000}"/>
    <cellStyle name="Normal 2 4 5 11 2 2" xfId="20829" xr:uid="{00000000-0005-0000-0000-0000B5C20000}"/>
    <cellStyle name="Normal 2 4 5 11 2 2 2" xfId="20830" xr:uid="{00000000-0005-0000-0000-0000B6C20000}"/>
    <cellStyle name="Normal 2 4 5 11 2 2 2 2" xfId="20831" xr:uid="{00000000-0005-0000-0000-0000B7C20000}"/>
    <cellStyle name="Normal 2 4 5 11 2 2 2 2 2" xfId="54943" xr:uid="{00000000-0005-0000-0000-0000B8C20000}"/>
    <cellStyle name="Normal 2 4 5 11 2 2 2 3" xfId="20832" xr:uid="{00000000-0005-0000-0000-0000B9C20000}"/>
    <cellStyle name="Normal 2 4 5 11 2 2 2 3 2" xfId="54944" xr:uid="{00000000-0005-0000-0000-0000BAC20000}"/>
    <cellStyle name="Normal 2 4 5 11 2 2 2 4" xfId="54945" xr:uid="{00000000-0005-0000-0000-0000BBC20000}"/>
    <cellStyle name="Normal 2 4 5 11 2 2 3" xfId="20833" xr:uid="{00000000-0005-0000-0000-0000BCC20000}"/>
    <cellStyle name="Normal 2 4 5 11 2 2 3 2" xfId="54946" xr:uid="{00000000-0005-0000-0000-0000BDC20000}"/>
    <cellStyle name="Normal 2 4 5 11 2 2 4" xfId="20834" xr:uid="{00000000-0005-0000-0000-0000BEC20000}"/>
    <cellStyle name="Normal 2 4 5 11 2 2 4 2" xfId="54947" xr:uid="{00000000-0005-0000-0000-0000BFC20000}"/>
    <cellStyle name="Normal 2 4 5 11 2 2 5" xfId="20835" xr:uid="{00000000-0005-0000-0000-0000C0C20000}"/>
    <cellStyle name="Normal 2 4 5 11 2 2 5 2" xfId="54948" xr:uid="{00000000-0005-0000-0000-0000C1C20000}"/>
    <cellStyle name="Normal 2 4 5 11 2 2 6" xfId="54949" xr:uid="{00000000-0005-0000-0000-0000C2C20000}"/>
    <cellStyle name="Normal 2 4 5 11 2 2 6 2" xfId="54950" xr:uid="{00000000-0005-0000-0000-0000C3C20000}"/>
    <cellStyle name="Normal 2 4 5 11 2 2 7" xfId="54951" xr:uid="{00000000-0005-0000-0000-0000C4C20000}"/>
    <cellStyle name="Normal 2 4 5 11 2 3" xfId="20836" xr:uid="{00000000-0005-0000-0000-0000C5C20000}"/>
    <cellStyle name="Normal 2 4 5 11 2 3 2" xfId="20837" xr:uid="{00000000-0005-0000-0000-0000C6C20000}"/>
    <cellStyle name="Normal 2 4 5 11 2 3 2 2" xfId="54952" xr:uid="{00000000-0005-0000-0000-0000C7C20000}"/>
    <cellStyle name="Normal 2 4 5 11 2 3 3" xfId="20838" xr:uid="{00000000-0005-0000-0000-0000C8C20000}"/>
    <cellStyle name="Normal 2 4 5 11 2 3 3 2" xfId="54953" xr:uid="{00000000-0005-0000-0000-0000C9C20000}"/>
    <cellStyle name="Normal 2 4 5 11 2 3 4" xfId="54954" xr:uid="{00000000-0005-0000-0000-0000CAC20000}"/>
    <cellStyle name="Normal 2 4 5 11 2 4" xfId="20839" xr:uid="{00000000-0005-0000-0000-0000CBC20000}"/>
    <cellStyle name="Normal 2 4 5 11 2 4 2" xfId="20840" xr:uid="{00000000-0005-0000-0000-0000CCC20000}"/>
    <cellStyle name="Normal 2 4 5 11 2 4 2 2" xfId="54955" xr:uid="{00000000-0005-0000-0000-0000CDC20000}"/>
    <cellStyle name="Normal 2 4 5 11 2 4 3" xfId="54956" xr:uid="{00000000-0005-0000-0000-0000CEC20000}"/>
    <cellStyle name="Normal 2 4 5 11 2 5" xfId="20841" xr:uid="{00000000-0005-0000-0000-0000CFC20000}"/>
    <cellStyle name="Normal 2 4 5 11 2 5 2" xfId="54957" xr:uid="{00000000-0005-0000-0000-0000D0C20000}"/>
    <cellStyle name="Normal 2 4 5 11 2 6" xfId="20842" xr:uid="{00000000-0005-0000-0000-0000D1C20000}"/>
    <cellStyle name="Normal 2 4 5 11 2 6 2" xfId="54958" xr:uid="{00000000-0005-0000-0000-0000D2C20000}"/>
    <cellStyle name="Normal 2 4 5 11 2 7" xfId="54959" xr:uid="{00000000-0005-0000-0000-0000D3C20000}"/>
    <cellStyle name="Normal 2 4 5 11 2 7 2" xfId="54960" xr:uid="{00000000-0005-0000-0000-0000D4C20000}"/>
    <cellStyle name="Normal 2 4 5 11 2 8" xfId="54961" xr:uid="{00000000-0005-0000-0000-0000D5C20000}"/>
    <cellStyle name="Normal 2 4 5 11 2 9" xfId="54962" xr:uid="{00000000-0005-0000-0000-0000D6C20000}"/>
    <cellStyle name="Normal 2 4 5 11 3" xfId="20843" xr:uid="{00000000-0005-0000-0000-0000D7C20000}"/>
    <cellStyle name="Normal 2 4 5 11 3 2" xfId="20844" xr:uid="{00000000-0005-0000-0000-0000D8C20000}"/>
    <cellStyle name="Normal 2 4 5 11 3 2 2" xfId="20845" xr:uid="{00000000-0005-0000-0000-0000D9C20000}"/>
    <cellStyle name="Normal 2 4 5 11 3 2 2 2" xfId="54963" xr:uid="{00000000-0005-0000-0000-0000DAC20000}"/>
    <cellStyle name="Normal 2 4 5 11 3 2 3" xfId="20846" xr:uid="{00000000-0005-0000-0000-0000DBC20000}"/>
    <cellStyle name="Normal 2 4 5 11 3 2 3 2" xfId="54964" xr:uid="{00000000-0005-0000-0000-0000DCC20000}"/>
    <cellStyle name="Normal 2 4 5 11 3 2 4" xfId="54965" xr:uid="{00000000-0005-0000-0000-0000DDC20000}"/>
    <cellStyle name="Normal 2 4 5 11 3 3" xfId="20847" xr:uid="{00000000-0005-0000-0000-0000DEC20000}"/>
    <cellStyle name="Normal 2 4 5 11 3 3 2" xfId="54966" xr:uid="{00000000-0005-0000-0000-0000DFC20000}"/>
    <cellStyle name="Normal 2 4 5 11 3 4" xfId="20848" xr:uid="{00000000-0005-0000-0000-0000E0C20000}"/>
    <cellStyle name="Normal 2 4 5 11 3 4 2" xfId="54967" xr:uid="{00000000-0005-0000-0000-0000E1C20000}"/>
    <cellStyle name="Normal 2 4 5 11 3 5" xfId="20849" xr:uid="{00000000-0005-0000-0000-0000E2C20000}"/>
    <cellStyle name="Normal 2 4 5 11 3 5 2" xfId="54968" xr:uid="{00000000-0005-0000-0000-0000E3C20000}"/>
    <cellStyle name="Normal 2 4 5 11 3 6" xfId="54969" xr:uid="{00000000-0005-0000-0000-0000E4C20000}"/>
    <cellStyle name="Normal 2 4 5 11 3 6 2" xfId="54970" xr:uid="{00000000-0005-0000-0000-0000E5C20000}"/>
    <cellStyle name="Normal 2 4 5 11 3 7" xfId="54971" xr:uid="{00000000-0005-0000-0000-0000E6C20000}"/>
    <cellStyle name="Normal 2 4 5 11 4" xfId="20850" xr:uid="{00000000-0005-0000-0000-0000E7C20000}"/>
    <cellStyle name="Normal 2 4 5 11 4 2" xfId="20851" xr:uid="{00000000-0005-0000-0000-0000E8C20000}"/>
    <cellStyle name="Normal 2 4 5 11 4 2 2" xfId="54972" xr:uid="{00000000-0005-0000-0000-0000E9C20000}"/>
    <cellStyle name="Normal 2 4 5 11 4 3" xfId="20852" xr:uid="{00000000-0005-0000-0000-0000EAC20000}"/>
    <cellStyle name="Normal 2 4 5 11 4 3 2" xfId="54973" xr:uid="{00000000-0005-0000-0000-0000EBC20000}"/>
    <cellStyle name="Normal 2 4 5 11 4 4" xfId="54974" xr:uid="{00000000-0005-0000-0000-0000ECC20000}"/>
    <cellStyle name="Normal 2 4 5 11 5" xfId="20853" xr:uid="{00000000-0005-0000-0000-0000EDC20000}"/>
    <cellStyle name="Normal 2 4 5 11 5 2" xfId="20854" xr:uid="{00000000-0005-0000-0000-0000EEC20000}"/>
    <cellStyle name="Normal 2 4 5 11 5 2 2" xfId="54975" xr:uid="{00000000-0005-0000-0000-0000EFC20000}"/>
    <cellStyle name="Normal 2 4 5 11 5 3" xfId="54976" xr:uid="{00000000-0005-0000-0000-0000F0C20000}"/>
    <cellStyle name="Normal 2 4 5 11 6" xfId="20855" xr:uid="{00000000-0005-0000-0000-0000F1C20000}"/>
    <cellStyle name="Normal 2 4 5 11 6 2" xfId="54977" xr:uid="{00000000-0005-0000-0000-0000F2C20000}"/>
    <cellStyle name="Normal 2 4 5 11 7" xfId="20856" xr:uid="{00000000-0005-0000-0000-0000F3C20000}"/>
    <cellStyle name="Normal 2 4 5 11 7 2" xfId="54978" xr:uid="{00000000-0005-0000-0000-0000F4C20000}"/>
    <cellStyle name="Normal 2 4 5 11 8" xfId="54979" xr:uid="{00000000-0005-0000-0000-0000F5C20000}"/>
    <cellStyle name="Normal 2 4 5 11 8 2" xfId="54980" xr:uid="{00000000-0005-0000-0000-0000F6C20000}"/>
    <cellStyle name="Normal 2 4 5 11 9" xfId="54981" xr:uid="{00000000-0005-0000-0000-0000F7C20000}"/>
    <cellStyle name="Normal 2 4 5 12" xfId="20857" xr:uid="{00000000-0005-0000-0000-0000F8C20000}"/>
    <cellStyle name="Normal 2 4 5 12 10" xfId="54982" xr:uid="{00000000-0005-0000-0000-0000F9C20000}"/>
    <cellStyle name="Normal 2 4 5 12 11" xfId="54983" xr:uid="{00000000-0005-0000-0000-0000FAC20000}"/>
    <cellStyle name="Normal 2 4 5 12 2" xfId="20858" xr:uid="{00000000-0005-0000-0000-0000FBC20000}"/>
    <cellStyle name="Normal 2 4 5 12 2 10" xfId="54984" xr:uid="{00000000-0005-0000-0000-0000FCC20000}"/>
    <cellStyle name="Normal 2 4 5 12 2 2" xfId="20859" xr:uid="{00000000-0005-0000-0000-0000FDC20000}"/>
    <cellStyle name="Normal 2 4 5 12 2 2 2" xfId="20860" xr:uid="{00000000-0005-0000-0000-0000FEC20000}"/>
    <cellStyle name="Normal 2 4 5 12 2 2 2 2" xfId="20861" xr:uid="{00000000-0005-0000-0000-0000FFC20000}"/>
    <cellStyle name="Normal 2 4 5 12 2 2 2 2 2" xfId="54985" xr:uid="{00000000-0005-0000-0000-000000C30000}"/>
    <cellStyle name="Normal 2 4 5 12 2 2 2 3" xfId="20862" xr:uid="{00000000-0005-0000-0000-000001C30000}"/>
    <cellStyle name="Normal 2 4 5 12 2 2 2 3 2" xfId="54986" xr:uid="{00000000-0005-0000-0000-000002C30000}"/>
    <cellStyle name="Normal 2 4 5 12 2 2 2 4" xfId="54987" xr:uid="{00000000-0005-0000-0000-000003C30000}"/>
    <cellStyle name="Normal 2 4 5 12 2 2 3" xfId="20863" xr:uid="{00000000-0005-0000-0000-000004C30000}"/>
    <cellStyle name="Normal 2 4 5 12 2 2 3 2" xfId="54988" xr:uid="{00000000-0005-0000-0000-000005C30000}"/>
    <cellStyle name="Normal 2 4 5 12 2 2 4" xfId="20864" xr:uid="{00000000-0005-0000-0000-000006C30000}"/>
    <cellStyle name="Normal 2 4 5 12 2 2 4 2" xfId="54989" xr:uid="{00000000-0005-0000-0000-000007C30000}"/>
    <cellStyle name="Normal 2 4 5 12 2 2 5" xfId="20865" xr:uid="{00000000-0005-0000-0000-000008C30000}"/>
    <cellStyle name="Normal 2 4 5 12 2 2 5 2" xfId="54990" xr:uid="{00000000-0005-0000-0000-000009C30000}"/>
    <cellStyle name="Normal 2 4 5 12 2 2 6" xfId="54991" xr:uid="{00000000-0005-0000-0000-00000AC30000}"/>
    <cellStyle name="Normal 2 4 5 12 2 2 6 2" xfId="54992" xr:uid="{00000000-0005-0000-0000-00000BC30000}"/>
    <cellStyle name="Normal 2 4 5 12 2 2 7" xfId="54993" xr:uid="{00000000-0005-0000-0000-00000CC30000}"/>
    <cellStyle name="Normal 2 4 5 12 2 3" xfId="20866" xr:uid="{00000000-0005-0000-0000-00000DC30000}"/>
    <cellStyle name="Normal 2 4 5 12 2 3 2" xfId="20867" xr:uid="{00000000-0005-0000-0000-00000EC30000}"/>
    <cellStyle name="Normal 2 4 5 12 2 3 2 2" xfId="54994" xr:uid="{00000000-0005-0000-0000-00000FC30000}"/>
    <cellStyle name="Normal 2 4 5 12 2 3 3" xfId="20868" xr:uid="{00000000-0005-0000-0000-000010C30000}"/>
    <cellStyle name="Normal 2 4 5 12 2 3 3 2" xfId="54995" xr:uid="{00000000-0005-0000-0000-000011C30000}"/>
    <cellStyle name="Normal 2 4 5 12 2 3 4" xfId="54996" xr:uid="{00000000-0005-0000-0000-000012C30000}"/>
    <cellStyle name="Normal 2 4 5 12 2 4" xfId="20869" xr:uid="{00000000-0005-0000-0000-000013C30000}"/>
    <cellStyle name="Normal 2 4 5 12 2 4 2" xfId="20870" xr:uid="{00000000-0005-0000-0000-000014C30000}"/>
    <cellStyle name="Normal 2 4 5 12 2 4 2 2" xfId="54997" xr:uid="{00000000-0005-0000-0000-000015C30000}"/>
    <cellStyle name="Normal 2 4 5 12 2 4 3" xfId="54998" xr:uid="{00000000-0005-0000-0000-000016C30000}"/>
    <cellStyle name="Normal 2 4 5 12 2 5" xfId="20871" xr:uid="{00000000-0005-0000-0000-000017C30000}"/>
    <cellStyle name="Normal 2 4 5 12 2 5 2" xfId="54999" xr:uid="{00000000-0005-0000-0000-000018C30000}"/>
    <cellStyle name="Normal 2 4 5 12 2 6" xfId="20872" xr:uid="{00000000-0005-0000-0000-000019C30000}"/>
    <cellStyle name="Normal 2 4 5 12 2 6 2" xfId="55000" xr:uid="{00000000-0005-0000-0000-00001AC30000}"/>
    <cellStyle name="Normal 2 4 5 12 2 7" xfId="55001" xr:uid="{00000000-0005-0000-0000-00001BC30000}"/>
    <cellStyle name="Normal 2 4 5 12 2 7 2" xfId="55002" xr:uid="{00000000-0005-0000-0000-00001CC30000}"/>
    <cellStyle name="Normal 2 4 5 12 2 8" xfId="55003" xr:uid="{00000000-0005-0000-0000-00001DC30000}"/>
    <cellStyle name="Normal 2 4 5 12 2 9" xfId="55004" xr:uid="{00000000-0005-0000-0000-00001EC30000}"/>
    <cellStyle name="Normal 2 4 5 12 3" xfId="20873" xr:uid="{00000000-0005-0000-0000-00001FC30000}"/>
    <cellStyle name="Normal 2 4 5 12 3 2" xfId="20874" xr:uid="{00000000-0005-0000-0000-000020C30000}"/>
    <cellStyle name="Normal 2 4 5 12 3 2 2" xfId="20875" xr:uid="{00000000-0005-0000-0000-000021C30000}"/>
    <cellStyle name="Normal 2 4 5 12 3 2 2 2" xfId="55005" xr:uid="{00000000-0005-0000-0000-000022C30000}"/>
    <cellStyle name="Normal 2 4 5 12 3 2 3" xfId="20876" xr:uid="{00000000-0005-0000-0000-000023C30000}"/>
    <cellStyle name="Normal 2 4 5 12 3 2 3 2" xfId="55006" xr:uid="{00000000-0005-0000-0000-000024C30000}"/>
    <cellStyle name="Normal 2 4 5 12 3 2 4" xfId="55007" xr:uid="{00000000-0005-0000-0000-000025C30000}"/>
    <cellStyle name="Normal 2 4 5 12 3 3" xfId="20877" xr:uid="{00000000-0005-0000-0000-000026C30000}"/>
    <cellStyle name="Normal 2 4 5 12 3 3 2" xfId="55008" xr:uid="{00000000-0005-0000-0000-000027C30000}"/>
    <cellStyle name="Normal 2 4 5 12 3 4" xfId="20878" xr:uid="{00000000-0005-0000-0000-000028C30000}"/>
    <cellStyle name="Normal 2 4 5 12 3 4 2" xfId="55009" xr:uid="{00000000-0005-0000-0000-000029C30000}"/>
    <cellStyle name="Normal 2 4 5 12 3 5" xfId="20879" xr:uid="{00000000-0005-0000-0000-00002AC30000}"/>
    <cellStyle name="Normal 2 4 5 12 3 5 2" xfId="55010" xr:uid="{00000000-0005-0000-0000-00002BC30000}"/>
    <cellStyle name="Normal 2 4 5 12 3 6" xfId="55011" xr:uid="{00000000-0005-0000-0000-00002CC30000}"/>
    <cellStyle name="Normal 2 4 5 12 3 6 2" xfId="55012" xr:uid="{00000000-0005-0000-0000-00002DC30000}"/>
    <cellStyle name="Normal 2 4 5 12 3 7" xfId="55013" xr:uid="{00000000-0005-0000-0000-00002EC30000}"/>
    <cellStyle name="Normal 2 4 5 12 4" xfId="20880" xr:uid="{00000000-0005-0000-0000-00002FC30000}"/>
    <cellStyle name="Normal 2 4 5 12 4 2" xfId="20881" xr:uid="{00000000-0005-0000-0000-000030C30000}"/>
    <cellStyle name="Normal 2 4 5 12 4 2 2" xfId="55014" xr:uid="{00000000-0005-0000-0000-000031C30000}"/>
    <cellStyle name="Normal 2 4 5 12 4 3" xfId="20882" xr:uid="{00000000-0005-0000-0000-000032C30000}"/>
    <cellStyle name="Normal 2 4 5 12 4 3 2" xfId="55015" xr:uid="{00000000-0005-0000-0000-000033C30000}"/>
    <cellStyle name="Normal 2 4 5 12 4 4" xfId="55016" xr:uid="{00000000-0005-0000-0000-000034C30000}"/>
    <cellStyle name="Normal 2 4 5 12 5" xfId="20883" xr:uid="{00000000-0005-0000-0000-000035C30000}"/>
    <cellStyle name="Normal 2 4 5 12 5 2" xfId="20884" xr:uid="{00000000-0005-0000-0000-000036C30000}"/>
    <cellStyle name="Normal 2 4 5 12 5 2 2" xfId="55017" xr:uid="{00000000-0005-0000-0000-000037C30000}"/>
    <cellStyle name="Normal 2 4 5 12 5 3" xfId="55018" xr:uid="{00000000-0005-0000-0000-000038C30000}"/>
    <cellStyle name="Normal 2 4 5 12 6" xfId="20885" xr:uid="{00000000-0005-0000-0000-000039C30000}"/>
    <cellStyle name="Normal 2 4 5 12 6 2" xfId="55019" xr:uid="{00000000-0005-0000-0000-00003AC30000}"/>
    <cellStyle name="Normal 2 4 5 12 7" xfId="20886" xr:uid="{00000000-0005-0000-0000-00003BC30000}"/>
    <cellStyle name="Normal 2 4 5 12 7 2" xfId="55020" xr:uid="{00000000-0005-0000-0000-00003CC30000}"/>
    <cellStyle name="Normal 2 4 5 12 8" xfId="55021" xr:uid="{00000000-0005-0000-0000-00003DC30000}"/>
    <cellStyle name="Normal 2 4 5 12 8 2" xfId="55022" xr:uid="{00000000-0005-0000-0000-00003EC30000}"/>
    <cellStyle name="Normal 2 4 5 12 9" xfId="55023" xr:uid="{00000000-0005-0000-0000-00003FC30000}"/>
    <cellStyle name="Normal 2 4 5 13" xfId="20887" xr:uid="{00000000-0005-0000-0000-000040C30000}"/>
    <cellStyle name="Normal 2 4 5 13 10" xfId="55024" xr:uid="{00000000-0005-0000-0000-000041C30000}"/>
    <cellStyle name="Normal 2 4 5 13 11" xfId="55025" xr:uid="{00000000-0005-0000-0000-000042C30000}"/>
    <cellStyle name="Normal 2 4 5 13 2" xfId="20888" xr:uid="{00000000-0005-0000-0000-000043C30000}"/>
    <cellStyle name="Normal 2 4 5 13 2 10" xfId="55026" xr:uid="{00000000-0005-0000-0000-000044C30000}"/>
    <cellStyle name="Normal 2 4 5 13 2 2" xfId="20889" xr:uid="{00000000-0005-0000-0000-000045C30000}"/>
    <cellStyle name="Normal 2 4 5 13 2 2 2" xfId="20890" xr:uid="{00000000-0005-0000-0000-000046C30000}"/>
    <cellStyle name="Normal 2 4 5 13 2 2 2 2" xfId="20891" xr:uid="{00000000-0005-0000-0000-000047C30000}"/>
    <cellStyle name="Normal 2 4 5 13 2 2 2 2 2" xfId="55027" xr:uid="{00000000-0005-0000-0000-000048C30000}"/>
    <cellStyle name="Normal 2 4 5 13 2 2 2 3" xfId="20892" xr:uid="{00000000-0005-0000-0000-000049C30000}"/>
    <cellStyle name="Normal 2 4 5 13 2 2 2 3 2" xfId="55028" xr:uid="{00000000-0005-0000-0000-00004AC30000}"/>
    <cellStyle name="Normal 2 4 5 13 2 2 2 4" xfId="55029" xr:uid="{00000000-0005-0000-0000-00004BC30000}"/>
    <cellStyle name="Normal 2 4 5 13 2 2 3" xfId="20893" xr:uid="{00000000-0005-0000-0000-00004CC30000}"/>
    <cellStyle name="Normal 2 4 5 13 2 2 3 2" xfId="55030" xr:uid="{00000000-0005-0000-0000-00004DC30000}"/>
    <cellStyle name="Normal 2 4 5 13 2 2 4" xfId="20894" xr:uid="{00000000-0005-0000-0000-00004EC30000}"/>
    <cellStyle name="Normal 2 4 5 13 2 2 4 2" xfId="55031" xr:uid="{00000000-0005-0000-0000-00004FC30000}"/>
    <cellStyle name="Normal 2 4 5 13 2 2 5" xfId="20895" xr:uid="{00000000-0005-0000-0000-000050C30000}"/>
    <cellStyle name="Normal 2 4 5 13 2 2 5 2" xfId="55032" xr:uid="{00000000-0005-0000-0000-000051C30000}"/>
    <cellStyle name="Normal 2 4 5 13 2 2 6" xfId="55033" xr:uid="{00000000-0005-0000-0000-000052C30000}"/>
    <cellStyle name="Normal 2 4 5 13 2 2 6 2" xfId="55034" xr:uid="{00000000-0005-0000-0000-000053C30000}"/>
    <cellStyle name="Normal 2 4 5 13 2 2 7" xfId="55035" xr:uid="{00000000-0005-0000-0000-000054C30000}"/>
    <cellStyle name="Normal 2 4 5 13 2 3" xfId="20896" xr:uid="{00000000-0005-0000-0000-000055C30000}"/>
    <cellStyle name="Normal 2 4 5 13 2 3 2" xfId="20897" xr:uid="{00000000-0005-0000-0000-000056C30000}"/>
    <cellStyle name="Normal 2 4 5 13 2 3 2 2" xfId="55036" xr:uid="{00000000-0005-0000-0000-000057C30000}"/>
    <cellStyle name="Normal 2 4 5 13 2 3 3" xfId="20898" xr:uid="{00000000-0005-0000-0000-000058C30000}"/>
    <cellStyle name="Normal 2 4 5 13 2 3 3 2" xfId="55037" xr:uid="{00000000-0005-0000-0000-000059C30000}"/>
    <cellStyle name="Normal 2 4 5 13 2 3 4" xfId="55038" xr:uid="{00000000-0005-0000-0000-00005AC30000}"/>
    <cellStyle name="Normal 2 4 5 13 2 4" xfId="20899" xr:uid="{00000000-0005-0000-0000-00005BC30000}"/>
    <cellStyle name="Normal 2 4 5 13 2 4 2" xfId="20900" xr:uid="{00000000-0005-0000-0000-00005CC30000}"/>
    <cellStyle name="Normal 2 4 5 13 2 4 2 2" xfId="55039" xr:uid="{00000000-0005-0000-0000-00005DC30000}"/>
    <cellStyle name="Normal 2 4 5 13 2 4 3" xfId="55040" xr:uid="{00000000-0005-0000-0000-00005EC30000}"/>
    <cellStyle name="Normal 2 4 5 13 2 5" xfId="20901" xr:uid="{00000000-0005-0000-0000-00005FC30000}"/>
    <cellStyle name="Normal 2 4 5 13 2 5 2" xfId="55041" xr:uid="{00000000-0005-0000-0000-000060C30000}"/>
    <cellStyle name="Normal 2 4 5 13 2 6" xfId="20902" xr:uid="{00000000-0005-0000-0000-000061C30000}"/>
    <cellStyle name="Normal 2 4 5 13 2 6 2" xfId="55042" xr:uid="{00000000-0005-0000-0000-000062C30000}"/>
    <cellStyle name="Normal 2 4 5 13 2 7" xfId="55043" xr:uid="{00000000-0005-0000-0000-000063C30000}"/>
    <cellStyle name="Normal 2 4 5 13 2 7 2" xfId="55044" xr:uid="{00000000-0005-0000-0000-000064C30000}"/>
    <cellStyle name="Normal 2 4 5 13 2 8" xfId="55045" xr:uid="{00000000-0005-0000-0000-000065C30000}"/>
    <cellStyle name="Normal 2 4 5 13 2 9" xfId="55046" xr:uid="{00000000-0005-0000-0000-000066C30000}"/>
    <cellStyle name="Normal 2 4 5 13 3" xfId="20903" xr:uid="{00000000-0005-0000-0000-000067C30000}"/>
    <cellStyle name="Normal 2 4 5 13 3 2" xfId="20904" xr:uid="{00000000-0005-0000-0000-000068C30000}"/>
    <cellStyle name="Normal 2 4 5 13 3 2 2" xfId="20905" xr:uid="{00000000-0005-0000-0000-000069C30000}"/>
    <cellStyle name="Normal 2 4 5 13 3 2 2 2" xfId="55047" xr:uid="{00000000-0005-0000-0000-00006AC30000}"/>
    <cellStyle name="Normal 2 4 5 13 3 2 3" xfId="20906" xr:uid="{00000000-0005-0000-0000-00006BC30000}"/>
    <cellStyle name="Normal 2 4 5 13 3 2 3 2" xfId="55048" xr:uid="{00000000-0005-0000-0000-00006CC30000}"/>
    <cellStyle name="Normal 2 4 5 13 3 2 4" xfId="55049" xr:uid="{00000000-0005-0000-0000-00006DC30000}"/>
    <cellStyle name="Normal 2 4 5 13 3 3" xfId="20907" xr:uid="{00000000-0005-0000-0000-00006EC30000}"/>
    <cellStyle name="Normal 2 4 5 13 3 3 2" xfId="55050" xr:uid="{00000000-0005-0000-0000-00006FC30000}"/>
    <cellStyle name="Normal 2 4 5 13 3 4" xfId="20908" xr:uid="{00000000-0005-0000-0000-000070C30000}"/>
    <cellStyle name="Normal 2 4 5 13 3 4 2" xfId="55051" xr:uid="{00000000-0005-0000-0000-000071C30000}"/>
    <cellStyle name="Normal 2 4 5 13 3 5" xfId="20909" xr:uid="{00000000-0005-0000-0000-000072C30000}"/>
    <cellStyle name="Normal 2 4 5 13 3 5 2" xfId="55052" xr:uid="{00000000-0005-0000-0000-000073C30000}"/>
    <cellStyle name="Normal 2 4 5 13 3 6" xfId="55053" xr:uid="{00000000-0005-0000-0000-000074C30000}"/>
    <cellStyle name="Normal 2 4 5 13 3 6 2" xfId="55054" xr:uid="{00000000-0005-0000-0000-000075C30000}"/>
    <cellStyle name="Normal 2 4 5 13 3 7" xfId="55055" xr:uid="{00000000-0005-0000-0000-000076C30000}"/>
    <cellStyle name="Normal 2 4 5 13 4" xfId="20910" xr:uid="{00000000-0005-0000-0000-000077C30000}"/>
    <cellStyle name="Normal 2 4 5 13 4 2" xfId="20911" xr:uid="{00000000-0005-0000-0000-000078C30000}"/>
    <cellStyle name="Normal 2 4 5 13 4 2 2" xfId="55056" xr:uid="{00000000-0005-0000-0000-000079C30000}"/>
    <cellStyle name="Normal 2 4 5 13 4 3" xfId="20912" xr:uid="{00000000-0005-0000-0000-00007AC30000}"/>
    <cellStyle name="Normal 2 4 5 13 4 3 2" xfId="55057" xr:uid="{00000000-0005-0000-0000-00007BC30000}"/>
    <cellStyle name="Normal 2 4 5 13 4 4" xfId="55058" xr:uid="{00000000-0005-0000-0000-00007CC30000}"/>
    <cellStyle name="Normal 2 4 5 13 5" xfId="20913" xr:uid="{00000000-0005-0000-0000-00007DC30000}"/>
    <cellStyle name="Normal 2 4 5 13 5 2" xfId="20914" xr:uid="{00000000-0005-0000-0000-00007EC30000}"/>
    <cellStyle name="Normal 2 4 5 13 5 2 2" xfId="55059" xr:uid="{00000000-0005-0000-0000-00007FC30000}"/>
    <cellStyle name="Normal 2 4 5 13 5 3" xfId="55060" xr:uid="{00000000-0005-0000-0000-000080C30000}"/>
    <cellStyle name="Normal 2 4 5 13 6" xfId="20915" xr:uid="{00000000-0005-0000-0000-000081C30000}"/>
    <cellStyle name="Normal 2 4 5 13 6 2" xfId="55061" xr:uid="{00000000-0005-0000-0000-000082C30000}"/>
    <cellStyle name="Normal 2 4 5 13 7" xfId="20916" xr:uid="{00000000-0005-0000-0000-000083C30000}"/>
    <cellStyle name="Normal 2 4 5 13 7 2" xfId="55062" xr:uid="{00000000-0005-0000-0000-000084C30000}"/>
    <cellStyle name="Normal 2 4 5 13 8" xfId="55063" xr:uid="{00000000-0005-0000-0000-000085C30000}"/>
    <cellStyle name="Normal 2 4 5 13 8 2" xfId="55064" xr:uid="{00000000-0005-0000-0000-000086C30000}"/>
    <cellStyle name="Normal 2 4 5 13 9" xfId="55065" xr:uid="{00000000-0005-0000-0000-000087C30000}"/>
    <cellStyle name="Normal 2 4 5 14" xfId="20917" xr:uid="{00000000-0005-0000-0000-000088C30000}"/>
    <cellStyle name="Normal 2 4 5 14 10" xfId="55066" xr:uid="{00000000-0005-0000-0000-000089C30000}"/>
    <cellStyle name="Normal 2 4 5 14 11" xfId="55067" xr:uid="{00000000-0005-0000-0000-00008AC30000}"/>
    <cellStyle name="Normal 2 4 5 14 2" xfId="20918" xr:uid="{00000000-0005-0000-0000-00008BC30000}"/>
    <cellStyle name="Normal 2 4 5 14 2 10" xfId="55068" xr:uid="{00000000-0005-0000-0000-00008CC30000}"/>
    <cellStyle name="Normal 2 4 5 14 2 2" xfId="20919" xr:uid="{00000000-0005-0000-0000-00008DC30000}"/>
    <cellStyle name="Normal 2 4 5 14 2 2 2" xfId="20920" xr:uid="{00000000-0005-0000-0000-00008EC30000}"/>
    <cellStyle name="Normal 2 4 5 14 2 2 2 2" xfId="20921" xr:uid="{00000000-0005-0000-0000-00008FC30000}"/>
    <cellStyle name="Normal 2 4 5 14 2 2 2 2 2" xfId="55069" xr:uid="{00000000-0005-0000-0000-000090C30000}"/>
    <cellStyle name="Normal 2 4 5 14 2 2 2 3" xfId="20922" xr:uid="{00000000-0005-0000-0000-000091C30000}"/>
    <cellStyle name="Normal 2 4 5 14 2 2 2 3 2" xfId="55070" xr:uid="{00000000-0005-0000-0000-000092C30000}"/>
    <cellStyle name="Normal 2 4 5 14 2 2 2 4" xfId="55071" xr:uid="{00000000-0005-0000-0000-000093C30000}"/>
    <cellStyle name="Normal 2 4 5 14 2 2 3" xfId="20923" xr:uid="{00000000-0005-0000-0000-000094C30000}"/>
    <cellStyle name="Normal 2 4 5 14 2 2 3 2" xfId="55072" xr:uid="{00000000-0005-0000-0000-000095C30000}"/>
    <cellStyle name="Normal 2 4 5 14 2 2 4" xfId="20924" xr:uid="{00000000-0005-0000-0000-000096C30000}"/>
    <cellStyle name="Normal 2 4 5 14 2 2 4 2" xfId="55073" xr:uid="{00000000-0005-0000-0000-000097C30000}"/>
    <cellStyle name="Normal 2 4 5 14 2 2 5" xfId="20925" xr:uid="{00000000-0005-0000-0000-000098C30000}"/>
    <cellStyle name="Normal 2 4 5 14 2 2 5 2" xfId="55074" xr:uid="{00000000-0005-0000-0000-000099C30000}"/>
    <cellStyle name="Normal 2 4 5 14 2 2 6" xfId="55075" xr:uid="{00000000-0005-0000-0000-00009AC30000}"/>
    <cellStyle name="Normal 2 4 5 14 2 2 6 2" xfId="55076" xr:uid="{00000000-0005-0000-0000-00009BC30000}"/>
    <cellStyle name="Normal 2 4 5 14 2 2 7" xfId="55077" xr:uid="{00000000-0005-0000-0000-00009CC30000}"/>
    <cellStyle name="Normal 2 4 5 14 2 3" xfId="20926" xr:uid="{00000000-0005-0000-0000-00009DC30000}"/>
    <cellStyle name="Normal 2 4 5 14 2 3 2" xfId="20927" xr:uid="{00000000-0005-0000-0000-00009EC30000}"/>
    <cellStyle name="Normal 2 4 5 14 2 3 2 2" xfId="55078" xr:uid="{00000000-0005-0000-0000-00009FC30000}"/>
    <cellStyle name="Normal 2 4 5 14 2 3 3" xfId="20928" xr:uid="{00000000-0005-0000-0000-0000A0C30000}"/>
    <cellStyle name="Normal 2 4 5 14 2 3 3 2" xfId="55079" xr:uid="{00000000-0005-0000-0000-0000A1C30000}"/>
    <cellStyle name="Normal 2 4 5 14 2 3 4" xfId="55080" xr:uid="{00000000-0005-0000-0000-0000A2C30000}"/>
    <cellStyle name="Normal 2 4 5 14 2 4" xfId="20929" xr:uid="{00000000-0005-0000-0000-0000A3C30000}"/>
    <cellStyle name="Normal 2 4 5 14 2 4 2" xfId="20930" xr:uid="{00000000-0005-0000-0000-0000A4C30000}"/>
    <cellStyle name="Normal 2 4 5 14 2 4 2 2" xfId="55081" xr:uid="{00000000-0005-0000-0000-0000A5C30000}"/>
    <cellStyle name="Normal 2 4 5 14 2 4 3" xfId="55082" xr:uid="{00000000-0005-0000-0000-0000A6C30000}"/>
    <cellStyle name="Normal 2 4 5 14 2 5" xfId="20931" xr:uid="{00000000-0005-0000-0000-0000A7C30000}"/>
    <cellStyle name="Normal 2 4 5 14 2 5 2" xfId="55083" xr:uid="{00000000-0005-0000-0000-0000A8C30000}"/>
    <cellStyle name="Normal 2 4 5 14 2 6" xfId="20932" xr:uid="{00000000-0005-0000-0000-0000A9C30000}"/>
    <cellStyle name="Normal 2 4 5 14 2 6 2" xfId="55084" xr:uid="{00000000-0005-0000-0000-0000AAC30000}"/>
    <cellStyle name="Normal 2 4 5 14 2 7" xfId="55085" xr:uid="{00000000-0005-0000-0000-0000ABC30000}"/>
    <cellStyle name="Normal 2 4 5 14 2 7 2" xfId="55086" xr:uid="{00000000-0005-0000-0000-0000ACC30000}"/>
    <cellStyle name="Normal 2 4 5 14 2 8" xfId="55087" xr:uid="{00000000-0005-0000-0000-0000ADC30000}"/>
    <cellStyle name="Normal 2 4 5 14 2 9" xfId="55088" xr:uid="{00000000-0005-0000-0000-0000AEC30000}"/>
    <cellStyle name="Normal 2 4 5 14 3" xfId="20933" xr:uid="{00000000-0005-0000-0000-0000AFC30000}"/>
    <cellStyle name="Normal 2 4 5 14 3 2" xfId="20934" xr:uid="{00000000-0005-0000-0000-0000B0C30000}"/>
    <cellStyle name="Normal 2 4 5 14 3 2 2" xfId="20935" xr:uid="{00000000-0005-0000-0000-0000B1C30000}"/>
    <cellStyle name="Normal 2 4 5 14 3 2 2 2" xfId="55089" xr:uid="{00000000-0005-0000-0000-0000B2C30000}"/>
    <cellStyle name="Normal 2 4 5 14 3 2 3" xfId="20936" xr:uid="{00000000-0005-0000-0000-0000B3C30000}"/>
    <cellStyle name="Normal 2 4 5 14 3 2 3 2" xfId="55090" xr:uid="{00000000-0005-0000-0000-0000B4C30000}"/>
    <cellStyle name="Normal 2 4 5 14 3 2 4" xfId="55091" xr:uid="{00000000-0005-0000-0000-0000B5C30000}"/>
    <cellStyle name="Normal 2 4 5 14 3 3" xfId="20937" xr:uid="{00000000-0005-0000-0000-0000B6C30000}"/>
    <cellStyle name="Normal 2 4 5 14 3 3 2" xfId="55092" xr:uid="{00000000-0005-0000-0000-0000B7C30000}"/>
    <cellStyle name="Normal 2 4 5 14 3 4" xfId="20938" xr:uid="{00000000-0005-0000-0000-0000B8C30000}"/>
    <cellStyle name="Normal 2 4 5 14 3 4 2" xfId="55093" xr:uid="{00000000-0005-0000-0000-0000B9C30000}"/>
    <cellStyle name="Normal 2 4 5 14 3 5" xfId="20939" xr:uid="{00000000-0005-0000-0000-0000BAC30000}"/>
    <cellStyle name="Normal 2 4 5 14 3 5 2" xfId="55094" xr:uid="{00000000-0005-0000-0000-0000BBC30000}"/>
    <cellStyle name="Normal 2 4 5 14 3 6" xfId="55095" xr:uid="{00000000-0005-0000-0000-0000BCC30000}"/>
    <cellStyle name="Normal 2 4 5 14 3 6 2" xfId="55096" xr:uid="{00000000-0005-0000-0000-0000BDC30000}"/>
    <cellStyle name="Normal 2 4 5 14 3 7" xfId="55097" xr:uid="{00000000-0005-0000-0000-0000BEC30000}"/>
    <cellStyle name="Normal 2 4 5 14 4" xfId="20940" xr:uid="{00000000-0005-0000-0000-0000BFC30000}"/>
    <cellStyle name="Normal 2 4 5 14 4 2" xfId="20941" xr:uid="{00000000-0005-0000-0000-0000C0C30000}"/>
    <cellStyle name="Normal 2 4 5 14 4 2 2" xfId="55098" xr:uid="{00000000-0005-0000-0000-0000C1C30000}"/>
    <cellStyle name="Normal 2 4 5 14 4 3" xfId="20942" xr:uid="{00000000-0005-0000-0000-0000C2C30000}"/>
    <cellStyle name="Normal 2 4 5 14 4 3 2" xfId="55099" xr:uid="{00000000-0005-0000-0000-0000C3C30000}"/>
    <cellStyle name="Normal 2 4 5 14 4 4" xfId="55100" xr:uid="{00000000-0005-0000-0000-0000C4C30000}"/>
    <cellStyle name="Normal 2 4 5 14 5" xfId="20943" xr:uid="{00000000-0005-0000-0000-0000C5C30000}"/>
    <cellStyle name="Normal 2 4 5 14 5 2" xfId="20944" xr:uid="{00000000-0005-0000-0000-0000C6C30000}"/>
    <cellStyle name="Normal 2 4 5 14 5 2 2" xfId="55101" xr:uid="{00000000-0005-0000-0000-0000C7C30000}"/>
    <cellStyle name="Normal 2 4 5 14 5 3" xfId="55102" xr:uid="{00000000-0005-0000-0000-0000C8C30000}"/>
    <cellStyle name="Normal 2 4 5 14 6" xfId="20945" xr:uid="{00000000-0005-0000-0000-0000C9C30000}"/>
    <cellStyle name="Normal 2 4 5 14 6 2" xfId="55103" xr:uid="{00000000-0005-0000-0000-0000CAC30000}"/>
    <cellStyle name="Normal 2 4 5 14 7" xfId="20946" xr:uid="{00000000-0005-0000-0000-0000CBC30000}"/>
    <cellStyle name="Normal 2 4 5 14 7 2" xfId="55104" xr:uid="{00000000-0005-0000-0000-0000CCC30000}"/>
    <cellStyle name="Normal 2 4 5 14 8" xfId="55105" xr:uid="{00000000-0005-0000-0000-0000CDC30000}"/>
    <cellStyle name="Normal 2 4 5 14 8 2" xfId="55106" xr:uid="{00000000-0005-0000-0000-0000CEC30000}"/>
    <cellStyle name="Normal 2 4 5 14 9" xfId="55107" xr:uid="{00000000-0005-0000-0000-0000CFC30000}"/>
    <cellStyle name="Normal 2 4 5 15" xfId="20947" xr:uid="{00000000-0005-0000-0000-0000D0C30000}"/>
    <cellStyle name="Normal 2 4 5 15 10" xfId="55108" xr:uid="{00000000-0005-0000-0000-0000D1C30000}"/>
    <cellStyle name="Normal 2 4 5 15 11" xfId="55109" xr:uid="{00000000-0005-0000-0000-0000D2C30000}"/>
    <cellStyle name="Normal 2 4 5 15 2" xfId="20948" xr:uid="{00000000-0005-0000-0000-0000D3C30000}"/>
    <cellStyle name="Normal 2 4 5 15 2 10" xfId="55110" xr:uid="{00000000-0005-0000-0000-0000D4C30000}"/>
    <cellStyle name="Normal 2 4 5 15 2 2" xfId="20949" xr:uid="{00000000-0005-0000-0000-0000D5C30000}"/>
    <cellStyle name="Normal 2 4 5 15 2 2 2" xfId="20950" xr:uid="{00000000-0005-0000-0000-0000D6C30000}"/>
    <cellStyle name="Normal 2 4 5 15 2 2 2 2" xfId="20951" xr:uid="{00000000-0005-0000-0000-0000D7C30000}"/>
    <cellStyle name="Normal 2 4 5 15 2 2 2 2 2" xfId="55111" xr:uid="{00000000-0005-0000-0000-0000D8C30000}"/>
    <cellStyle name="Normal 2 4 5 15 2 2 2 3" xfId="20952" xr:uid="{00000000-0005-0000-0000-0000D9C30000}"/>
    <cellStyle name="Normal 2 4 5 15 2 2 2 3 2" xfId="55112" xr:uid="{00000000-0005-0000-0000-0000DAC30000}"/>
    <cellStyle name="Normal 2 4 5 15 2 2 2 4" xfId="55113" xr:uid="{00000000-0005-0000-0000-0000DBC30000}"/>
    <cellStyle name="Normal 2 4 5 15 2 2 3" xfId="20953" xr:uid="{00000000-0005-0000-0000-0000DCC30000}"/>
    <cellStyle name="Normal 2 4 5 15 2 2 3 2" xfId="55114" xr:uid="{00000000-0005-0000-0000-0000DDC30000}"/>
    <cellStyle name="Normal 2 4 5 15 2 2 4" xfId="20954" xr:uid="{00000000-0005-0000-0000-0000DEC30000}"/>
    <cellStyle name="Normal 2 4 5 15 2 2 4 2" xfId="55115" xr:uid="{00000000-0005-0000-0000-0000DFC30000}"/>
    <cellStyle name="Normal 2 4 5 15 2 2 5" xfId="20955" xr:uid="{00000000-0005-0000-0000-0000E0C30000}"/>
    <cellStyle name="Normal 2 4 5 15 2 2 5 2" xfId="55116" xr:uid="{00000000-0005-0000-0000-0000E1C30000}"/>
    <cellStyle name="Normal 2 4 5 15 2 2 6" xfId="55117" xr:uid="{00000000-0005-0000-0000-0000E2C30000}"/>
    <cellStyle name="Normal 2 4 5 15 2 2 6 2" xfId="55118" xr:uid="{00000000-0005-0000-0000-0000E3C30000}"/>
    <cellStyle name="Normal 2 4 5 15 2 2 7" xfId="55119" xr:uid="{00000000-0005-0000-0000-0000E4C30000}"/>
    <cellStyle name="Normal 2 4 5 15 2 3" xfId="20956" xr:uid="{00000000-0005-0000-0000-0000E5C30000}"/>
    <cellStyle name="Normal 2 4 5 15 2 3 2" xfId="20957" xr:uid="{00000000-0005-0000-0000-0000E6C30000}"/>
    <cellStyle name="Normal 2 4 5 15 2 3 2 2" xfId="55120" xr:uid="{00000000-0005-0000-0000-0000E7C30000}"/>
    <cellStyle name="Normal 2 4 5 15 2 3 3" xfId="20958" xr:uid="{00000000-0005-0000-0000-0000E8C30000}"/>
    <cellStyle name="Normal 2 4 5 15 2 3 3 2" xfId="55121" xr:uid="{00000000-0005-0000-0000-0000E9C30000}"/>
    <cellStyle name="Normal 2 4 5 15 2 3 4" xfId="55122" xr:uid="{00000000-0005-0000-0000-0000EAC30000}"/>
    <cellStyle name="Normal 2 4 5 15 2 4" xfId="20959" xr:uid="{00000000-0005-0000-0000-0000EBC30000}"/>
    <cellStyle name="Normal 2 4 5 15 2 4 2" xfId="20960" xr:uid="{00000000-0005-0000-0000-0000ECC30000}"/>
    <cellStyle name="Normal 2 4 5 15 2 4 2 2" xfId="55123" xr:uid="{00000000-0005-0000-0000-0000EDC30000}"/>
    <cellStyle name="Normal 2 4 5 15 2 4 3" xfId="55124" xr:uid="{00000000-0005-0000-0000-0000EEC30000}"/>
    <cellStyle name="Normal 2 4 5 15 2 5" xfId="20961" xr:uid="{00000000-0005-0000-0000-0000EFC30000}"/>
    <cellStyle name="Normal 2 4 5 15 2 5 2" xfId="55125" xr:uid="{00000000-0005-0000-0000-0000F0C30000}"/>
    <cellStyle name="Normal 2 4 5 15 2 6" xfId="20962" xr:uid="{00000000-0005-0000-0000-0000F1C30000}"/>
    <cellStyle name="Normal 2 4 5 15 2 6 2" xfId="55126" xr:uid="{00000000-0005-0000-0000-0000F2C30000}"/>
    <cellStyle name="Normal 2 4 5 15 2 7" xfId="55127" xr:uid="{00000000-0005-0000-0000-0000F3C30000}"/>
    <cellStyle name="Normal 2 4 5 15 2 7 2" xfId="55128" xr:uid="{00000000-0005-0000-0000-0000F4C30000}"/>
    <cellStyle name="Normal 2 4 5 15 2 8" xfId="55129" xr:uid="{00000000-0005-0000-0000-0000F5C30000}"/>
    <cellStyle name="Normal 2 4 5 15 2 9" xfId="55130" xr:uid="{00000000-0005-0000-0000-0000F6C30000}"/>
    <cellStyle name="Normal 2 4 5 15 3" xfId="20963" xr:uid="{00000000-0005-0000-0000-0000F7C30000}"/>
    <cellStyle name="Normal 2 4 5 15 3 2" xfId="20964" xr:uid="{00000000-0005-0000-0000-0000F8C30000}"/>
    <cellStyle name="Normal 2 4 5 15 3 2 2" xfId="20965" xr:uid="{00000000-0005-0000-0000-0000F9C30000}"/>
    <cellStyle name="Normal 2 4 5 15 3 2 2 2" xfId="55131" xr:uid="{00000000-0005-0000-0000-0000FAC30000}"/>
    <cellStyle name="Normal 2 4 5 15 3 2 3" xfId="20966" xr:uid="{00000000-0005-0000-0000-0000FBC30000}"/>
    <cellStyle name="Normal 2 4 5 15 3 2 3 2" xfId="55132" xr:uid="{00000000-0005-0000-0000-0000FCC30000}"/>
    <cellStyle name="Normal 2 4 5 15 3 2 4" xfId="55133" xr:uid="{00000000-0005-0000-0000-0000FDC30000}"/>
    <cellStyle name="Normal 2 4 5 15 3 3" xfId="20967" xr:uid="{00000000-0005-0000-0000-0000FEC30000}"/>
    <cellStyle name="Normal 2 4 5 15 3 3 2" xfId="55134" xr:uid="{00000000-0005-0000-0000-0000FFC30000}"/>
    <cellStyle name="Normal 2 4 5 15 3 4" xfId="20968" xr:uid="{00000000-0005-0000-0000-000000C40000}"/>
    <cellStyle name="Normal 2 4 5 15 3 4 2" xfId="55135" xr:uid="{00000000-0005-0000-0000-000001C40000}"/>
    <cellStyle name="Normal 2 4 5 15 3 5" xfId="20969" xr:uid="{00000000-0005-0000-0000-000002C40000}"/>
    <cellStyle name="Normal 2 4 5 15 3 5 2" xfId="55136" xr:uid="{00000000-0005-0000-0000-000003C40000}"/>
    <cellStyle name="Normal 2 4 5 15 3 6" xfId="55137" xr:uid="{00000000-0005-0000-0000-000004C40000}"/>
    <cellStyle name="Normal 2 4 5 15 3 6 2" xfId="55138" xr:uid="{00000000-0005-0000-0000-000005C40000}"/>
    <cellStyle name="Normal 2 4 5 15 3 7" xfId="55139" xr:uid="{00000000-0005-0000-0000-000006C40000}"/>
    <cellStyle name="Normal 2 4 5 15 4" xfId="20970" xr:uid="{00000000-0005-0000-0000-000007C40000}"/>
    <cellStyle name="Normal 2 4 5 15 4 2" xfId="20971" xr:uid="{00000000-0005-0000-0000-000008C40000}"/>
    <cellStyle name="Normal 2 4 5 15 4 2 2" xfId="55140" xr:uid="{00000000-0005-0000-0000-000009C40000}"/>
    <cellStyle name="Normal 2 4 5 15 4 3" xfId="20972" xr:uid="{00000000-0005-0000-0000-00000AC40000}"/>
    <cellStyle name="Normal 2 4 5 15 4 3 2" xfId="55141" xr:uid="{00000000-0005-0000-0000-00000BC40000}"/>
    <cellStyle name="Normal 2 4 5 15 4 4" xfId="55142" xr:uid="{00000000-0005-0000-0000-00000CC40000}"/>
    <cellStyle name="Normal 2 4 5 15 5" xfId="20973" xr:uid="{00000000-0005-0000-0000-00000DC40000}"/>
    <cellStyle name="Normal 2 4 5 15 5 2" xfId="20974" xr:uid="{00000000-0005-0000-0000-00000EC40000}"/>
    <cellStyle name="Normal 2 4 5 15 5 2 2" xfId="55143" xr:uid="{00000000-0005-0000-0000-00000FC40000}"/>
    <cellStyle name="Normal 2 4 5 15 5 3" xfId="55144" xr:uid="{00000000-0005-0000-0000-000010C40000}"/>
    <cellStyle name="Normal 2 4 5 15 6" xfId="20975" xr:uid="{00000000-0005-0000-0000-000011C40000}"/>
    <cellStyle name="Normal 2 4 5 15 6 2" xfId="55145" xr:uid="{00000000-0005-0000-0000-000012C40000}"/>
    <cellStyle name="Normal 2 4 5 15 7" xfId="20976" xr:uid="{00000000-0005-0000-0000-000013C40000}"/>
    <cellStyle name="Normal 2 4 5 15 7 2" xfId="55146" xr:uid="{00000000-0005-0000-0000-000014C40000}"/>
    <cellStyle name="Normal 2 4 5 15 8" xfId="55147" xr:uid="{00000000-0005-0000-0000-000015C40000}"/>
    <cellStyle name="Normal 2 4 5 15 8 2" xfId="55148" xr:uid="{00000000-0005-0000-0000-000016C40000}"/>
    <cellStyle name="Normal 2 4 5 15 9" xfId="55149" xr:uid="{00000000-0005-0000-0000-000017C40000}"/>
    <cellStyle name="Normal 2 4 5 16" xfId="20977" xr:uid="{00000000-0005-0000-0000-000018C40000}"/>
    <cellStyle name="Normal 2 4 5 16 10" xfId="55150" xr:uid="{00000000-0005-0000-0000-000019C40000}"/>
    <cellStyle name="Normal 2 4 5 16 11" xfId="55151" xr:uid="{00000000-0005-0000-0000-00001AC40000}"/>
    <cellStyle name="Normal 2 4 5 16 2" xfId="20978" xr:uid="{00000000-0005-0000-0000-00001BC40000}"/>
    <cellStyle name="Normal 2 4 5 16 2 10" xfId="55152" xr:uid="{00000000-0005-0000-0000-00001CC40000}"/>
    <cellStyle name="Normal 2 4 5 16 2 2" xfId="20979" xr:uid="{00000000-0005-0000-0000-00001DC40000}"/>
    <cellStyle name="Normal 2 4 5 16 2 2 2" xfId="20980" xr:uid="{00000000-0005-0000-0000-00001EC40000}"/>
    <cellStyle name="Normal 2 4 5 16 2 2 2 2" xfId="20981" xr:uid="{00000000-0005-0000-0000-00001FC40000}"/>
    <cellStyle name="Normal 2 4 5 16 2 2 2 2 2" xfId="55153" xr:uid="{00000000-0005-0000-0000-000020C40000}"/>
    <cellStyle name="Normal 2 4 5 16 2 2 2 3" xfId="20982" xr:uid="{00000000-0005-0000-0000-000021C40000}"/>
    <cellStyle name="Normal 2 4 5 16 2 2 2 3 2" xfId="55154" xr:uid="{00000000-0005-0000-0000-000022C40000}"/>
    <cellStyle name="Normal 2 4 5 16 2 2 2 4" xfId="55155" xr:uid="{00000000-0005-0000-0000-000023C40000}"/>
    <cellStyle name="Normal 2 4 5 16 2 2 3" xfId="20983" xr:uid="{00000000-0005-0000-0000-000024C40000}"/>
    <cellStyle name="Normal 2 4 5 16 2 2 3 2" xfId="55156" xr:uid="{00000000-0005-0000-0000-000025C40000}"/>
    <cellStyle name="Normal 2 4 5 16 2 2 4" xfId="20984" xr:uid="{00000000-0005-0000-0000-000026C40000}"/>
    <cellStyle name="Normal 2 4 5 16 2 2 4 2" xfId="55157" xr:uid="{00000000-0005-0000-0000-000027C40000}"/>
    <cellStyle name="Normal 2 4 5 16 2 2 5" xfId="20985" xr:uid="{00000000-0005-0000-0000-000028C40000}"/>
    <cellStyle name="Normal 2 4 5 16 2 2 5 2" xfId="55158" xr:uid="{00000000-0005-0000-0000-000029C40000}"/>
    <cellStyle name="Normal 2 4 5 16 2 2 6" xfId="55159" xr:uid="{00000000-0005-0000-0000-00002AC40000}"/>
    <cellStyle name="Normal 2 4 5 16 2 2 6 2" xfId="55160" xr:uid="{00000000-0005-0000-0000-00002BC40000}"/>
    <cellStyle name="Normal 2 4 5 16 2 2 7" xfId="55161" xr:uid="{00000000-0005-0000-0000-00002CC40000}"/>
    <cellStyle name="Normal 2 4 5 16 2 3" xfId="20986" xr:uid="{00000000-0005-0000-0000-00002DC40000}"/>
    <cellStyle name="Normal 2 4 5 16 2 3 2" xfId="20987" xr:uid="{00000000-0005-0000-0000-00002EC40000}"/>
    <cellStyle name="Normal 2 4 5 16 2 3 2 2" xfId="55162" xr:uid="{00000000-0005-0000-0000-00002FC40000}"/>
    <cellStyle name="Normal 2 4 5 16 2 3 3" xfId="20988" xr:uid="{00000000-0005-0000-0000-000030C40000}"/>
    <cellStyle name="Normal 2 4 5 16 2 3 3 2" xfId="55163" xr:uid="{00000000-0005-0000-0000-000031C40000}"/>
    <cellStyle name="Normal 2 4 5 16 2 3 4" xfId="55164" xr:uid="{00000000-0005-0000-0000-000032C40000}"/>
    <cellStyle name="Normal 2 4 5 16 2 4" xfId="20989" xr:uid="{00000000-0005-0000-0000-000033C40000}"/>
    <cellStyle name="Normal 2 4 5 16 2 4 2" xfId="20990" xr:uid="{00000000-0005-0000-0000-000034C40000}"/>
    <cellStyle name="Normal 2 4 5 16 2 4 2 2" xfId="55165" xr:uid="{00000000-0005-0000-0000-000035C40000}"/>
    <cellStyle name="Normal 2 4 5 16 2 4 3" xfId="55166" xr:uid="{00000000-0005-0000-0000-000036C40000}"/>
    <cellStyle name="Normal 2 4 5 16 2 5" xfId="20991" xr:uid="{00000000-0005-0000-0000-000037C40000}"/>
    <cellStyle name="Normal 2 4 5 16 2 5 2" xfId="55167" xr:uid="{00000000-0005-0000-0000-000038C40000}"/>
    <cellStyle name="Normal 2 4 5 16 2 6" xfId="20992" xr:uid="{00000000-0005-0000-0000-000039C40000}"/>
    <cellStyle name="Normal 2 4 5 16 2 6 2" xfId="55168" xr:uid="{00000000-0005-0000-0000-00003AC40000}"/>
    <cellStyle name="Normal 2 4 5 16 2 7" xfId="55169" xr:uid="{00000000-0005-0000-0000-00003BC40000}"/>
    <cellStyle name="Normal 2 4 5 16 2 7 2" xfId="55170" xr:uid="{00000000-0005-0000-0000-00003CC40000}"/>
    <cellStyle name="Normal 2 4 5 16 2 8" xfId="55171" xr:uid="{00000000-0005-0000-0000-00003DC40000}"/>
    <cellStyle name="Normal 2 4 5 16 2 9" xfId="55172" xr:uid="{00000000-0005-0000-0000-00003EC40000}"/>
    <cellStyle name="Normal 2 4 5 16 3" xfId="20993" xr:uid="{00000000-0005-0000-0000-00003FC40000}"/>
    <cellStyle name="Normal 2 4 5 16 3 2" xfId="20994" xr:uid="{00000000-0005-0000-0000-000040C40000}"/>
    <cellStyle name="Normal 2 4 5 16 3 2 2" xfId="20995" xr:uid="{00000000-0005-0000-0000-000041C40000}"/>
    <cellStyle name="Normal 2 4 5 16 3 2 2 2" xfId="55173" xr:uid="{00000000-0005-0000-0000-000042C40000}"/>
    <cellStyle name="Normal 2 4 5 16 3 2 3" xfId="20996" xr:uid="{00000000-0005-0000-0000-000043C40000}"/>
    <cellStyle name="Normal 2 4 5 16 3 2 3 2" xfId="55174" xr:uid="{00000000-0005-0000-0000-000044C40000}"/>
    <cellStyle name="Normal 2 4 5 16 3 2 4" xfId="55175" xr:uid="{00000000-0005-0000-0000-000045C40000}"/>
    <cellStyle name="Normal 2 4 5 16 3 3" xfId="20997" xr:uid="{00000000-0005-0000-0000-000046C40000}"/>
    <cellStyle name="Normal 2 4 5 16 3 3 2" xfId="55176" xr:uid="{00000000-0005-0000-0000-000047C40000}"/>
    <cellStyle name="Normal 2 4 5 16 3 4" xfId="20998" xr:uid="{00000000-0005-0000-0000-000048C40000}"/>
    <cellStyle name="Normal 2 4 5 16 3 4 2" xfId="55177" xr:uid="{00000000-0005-0000-0000-000049C40000}"/>
    <cellStyle name="Normal 2 4 5 16 3 5" xfId="20999" xr:uid="{00000000-0005-0000-0000-00004AC40000}"/>
    <cellStyle name="Normal 2 4 5 16 3 5 2" xfId="55178" xr:uid="{00000000-0005-0000-0000-00004BC40000}"/>
    <cellStyle name="Normal 2 4 5 16 3 6" xfId="55179" xr:uid="{00000000-0005-0000-0000-00004CC40000}"/>
    <cellStyle name="Normal 2 4 5 16 3 6 2" xfId="55180" xr:uid="{00000000-0005-0000-0000-00004DC40000}"/>
    <cellStyle name="Normal 2 4 5 16 3 7" xfId="55181" xr:uid="{00000000-0005-0000-0000-00004EC40000}"/>
    <cellStyle name="Normal 2 4 5 16 4" xfId="21000" xr:uid="{00000000-0005-0000-0000-00004FC40000}"/>
    <cellStyle name="Normal 2 4 5 16 4 2" xfId="21001" xr:uid="{00000000-0005-0000-0000-000050C40000}"/>
    <cellStyle name="Normal 2 4 5 16 4 2 2" xfId="55182" xr:uid="{00000000-0005-0000-0000-000051C40000}"/>
    <cellStyle name="Normal 2 4 5 16 4 3" xfId="21002" xr:uid="{00000000-0005-0000-0000-000052C40000}"/>
    <cellStyle name="Normal 2 4 5 16 4 3 2" xfId="55183" xr:uid="{00000000-0005-0000-0000-000053C40000}"/>
    <cellStyle name="Normal 2 4 5 16 4 4" xfId="55184" xr:uid="{00000000-0005-0000-0000-000054C40000}"/>
    <cellStyle name="Normal 2 4 5 16 5" xfId="21003" xr:uid="{00000000-0005-0000-0000-000055C40000}"/>
    <cellStyle name="Normal 2 4 5 16 5 2" xfId="21004" xr:uid="{00000000-0005-0000-0000-000056C40000}"/>
    <cellStyle name="Normal 2 4 5 16 5 2 2" xfId="55185" xr:uid="{00000000-0005-0000-0000-000057C40000}"/>
    <cellStyle name="Normal 2 4 5 16 5 3" xfId="55186" xr:uid="{00000000-0005-0000-0000-000058C40000}"/>
    <cellStyle name="Normal 2 4 5 16 6" xfId="21005" xr:uid="{00000000-0005-0000-0000-000059C40000}"/>
    <cellStyle name="Normal 2 4 5 16 6 2" xfId="55187" xr:uid="{00000000-0005-0000-0000-00005AC40000}"/>
    <cellStyle name="Normal 2 4 5 16 7" xfId="21006" xr:uid="{00000000-0005-0000-0000-00005BC40000}"/>
    <cellStyle name="Normal 2 4 5 16 7 2" xfId="55188" xr:uid="{00000000-0005-0000-0000-00005CC40000}"/>
    <cellStyle name="Normal 2 4 5 16 8" xfId="55189" xr:uid="{00000000-0005-0000-0000-00005DC40000}"/>
    <cellStyle name="Normal 2 4 5 16 8 2" xfId="55190" xr:uid="{00000000-0005-0000-0000-00005EC40000}"/>
    <cellStyle name="Normal 2 4 5 16 9" xfId="55191" xr:uid="{00000000-0005-0000-0000-00005FC40000}"/>
    <cellStyle name="Normal 2 4 5 17" xfId="21007" xr:uid="{00000000-0005-0000-0000-000060C40000}"/>
    <cellStyle name="Normal 2 4 5 17 10" xfId="55192" xr:uid="{00000000-0005-0000-0000-000061C40000}"/>
    <cellStyle name="Normal 2 4 5 17 11" xfId="55193" xr:uid="{00000000-0005-0000-0000-000062C40000}"/>
    <cellStyle name="Normal 2 4 5 17 2" xfId="21008" xr:uid="{00000000-0005-0000-0000-000063C40000}"/>
    <cellStyle name="Normal 2 4 5 17 2 10" xfId="55194" xr:uid="{00000000-0005-0000-0000-000064C40000}"/>
    <cellStyle name="Normal 2 4 5 17 2 2" xfId="21009" xr:uid="{00000000-0005-0000-0000-000065C40000}"/>
    <cellStyle name="Normal 2 4 5 17 2 2 2" xfId="21010" xr:uid="{00000000-0005-0000-0000-000066C40000}"/>
    <cellStyle name="Normal 2 4 5 17 2 2 2 2" xfId="21011" xr:uid="{00000000-0005-0000-0000-000067C40000}"/>
    <cellStyle name="Normal 2 4 5 17 2 2 2 2 2" xfId="55195" xr:uid="{00000000-0005-0000-0000-000068C40000}"/>
    <cellStyle name="Normal 2 4 5 17 2 2 2 3" xfId="21012" xr:uid="{00000000-0005-0000-0000-000069C40000}"/>
    <cellStyle name="Normal 2 4 5 17 2 2 2 3 2" xfId="55196" xr:uid="{00000000-0005-0000-0000-00006AC40000}"/>
    <cellStyle name="Normal 2 4 5 17 2 2 2 4" xfId="55197" xr:uid="{00000000-0005-0000-0000-00006BC40000}"/>
    <cellStyle name="Normal 2 4 5 17 2 2 3" xfId="21013" xr:uid="{00000000-0005-0000-0000-00006CC40000}"/>
    <cellStyle name="Normal 2 4 5 17 2 2 3 2" xfId="55198" xr:uid="{00000000-0005-0000-0000-00006DC40000}"/>
    <cellStyle name="Normal 2 4 5 17 2 2 4" xfId="21014" xr:uid="{00000000-0005-0000-0000-00006EC40000}"/>
    <cellStyle name="Normal 2 4 5 17 2 2 4 2" xfId="55199" xr:uid="{00000000-0005-0000-0000-00006FC40000}"/>
    <cellStyle name="Normal 2 4 5 17 2 2 5" xfId="21015" xr:uid="{00000000-0005-0000-0000-000070C40000}"/>
    <cellStyle name="Normal 2 4 5 17 2 2 5 2" xfId="55200" xr:uid="{00000000-0005-0000-0000-000071C40000}"/>
    <cellStyle name="Normal 2 4 5 17 2 2 6" xfId="55201" xr:uid="{00000000-0005-0000-0000-000072C40000}"/>
    <cellStyle name="Normal 2 4 5 17 2 2 6 2" xfId="55202" xr:uid="{00000000-0005-0000-0000-000073C40000}"/>
    <cellStyle name="Normal 2 4 5 17 2 2 7" xfId="55203" xr:uid="{00000000-0005-0000-0000-000074C40000}"/>
    <cellStyle name="Normal 2 4 5 17 2 3" xfId="21016" xr:uid="{00000000-0005-0000-0000-000075C40000}"/>
    <cellStyle name="Normal 2 4 5 17 2 3 2" xfId="21017" xr:uid="{00000000-0005-0000-0000-000076C40000}"/>
    <cellStyle name="Normal 2 4 5 17 2 3 2 2" xfId="55204" xr:uid="{00000000-0005-0000-0000-000077C40000}"/>
    <cellStyle name="Normal 2 4 5 17 2 3 3" xfId="21018" xr:uid="{00000000-0005-0000-0000-000078C40000}"/>
    <cellStyle name="Normal 2 4 5 17 2 3 3 2" xfId="55205" xr:uid="{00000000-0005-0000-0000-000079C40000}"/>
    <cellStyle name="Normal 2 4 5 17 2 3 4" xfId="55206" xr:uid="{00000000-0005-0000-0000-00007AC40000}"/>
    <cellStyle name="Normal 2 4 5 17 2 4" xfId="21019" xr:uid="{00000000-0005-0000-0000-00007BC40000}"/>
    <cellStyle name="Normal 2 4 5 17 2 4 2" xfId="21020" xr:uid="{00000000-0005-0000-0000-00007CC40000}"/>
    <cellStyle name="Normal 2 4 5 17 2 4 2 2" xfId="55207" xr:uid="{00000000-0005-0000-0000-00007DC40000}"/>
    <cellStyle name="Normal 2 4 5 17 2 4 3" xfId="55208" xr:uid="{00000000-0005-0000-0000-00007EC40000}"/>
    <cellStyle name="Normal 2 4 5 17 2 5" xfId="21021" xr:uid="{00000000-0005-0000-0000-00007FC40000}"/>
    <cellStyle name="Normal 2 4 5 17 2 5 2" xfId="55209" xr:uid="{00000000-0005-0000-0000-000080C40000}"/>
    <cellStyle name="Normal 2 4 5 17 2 6" xfId="21022" xr:uid="{00000000-0005-0000-0000-000081C40000}"/>
    <cellStyle name="Normal 2 4 5 17 2 6 2" xfId="55210" xr:uid="{00000000-0005-0000-0000-000082C40000}"/>
    <cellStyle name="Normal 2 4 5 17 2 7" xfId="55211" xr:uid="{00000000-0005-0000-0000-000083C40000}"/>
    <cellStyle name="Normal 2 4 5 17 2 7 2" xfId="55212" xr:uid="{00000000-0005-0000-0000-000084C40000}"/>
    <cellStyle name="Normal 2 4 5 17 2 8" xfId="55213" xr:uid="{00000000-0005-0000-0000-000085C40000}"/>
    <cellStyle name="Normal 2 4 5 17 2 9" xfId="55214" xr:uid="{00000000-0005-0000-0000-000086C40000}"/>
    <cellStyle name="Normal 2 4 5 17 3" xfId="21023" xr:uid="{00000000-0005-0000-0000-000087C40000}"/>
    <cellStyle name="Normal 2 4 5 17 3 2" xfId="21024" xr:uid="{00000000-0005-0000-0000-000088C40000}"/>
    <cellStyle name="Normal 2 4 5 17 3 2 2" xfId="21025" xr:uid="{00000000-0005-0000-0000-000089C40000}"/>
    <cellStyle name="Normal 2 4 5 17 3 2 2 2" xfId="55215" xr:uid="{00000000-0005-0000-0000-00008AC40000}"/>
    <cellStyle name="Normal 2 4 5 17 3 2 3" xfId="21026" xr:uid="{00000000-0005-0000-0000-00008BC40000}"/>
    <cellStyle name="Normal 2 4 5 17 3 2 3 2" xfId="55216" xr:uid="{00000000-0005-0000-0000-00008CC40000}"/>
    <cellStyle name="Normal 2 4 5 17 3 2 4" xfId="55217" xr:uid="{00000000-0005-0000-0000-00008DC40000}"/>
    <cellStyle name="Normal 2 4 5 17 3 3" xfId="21027" xr:uid="{00000000-0005-0000-0000-00008EC40000}"/>
    <cellStyle name="Normal 2 4 5 17 3 3 2" xfId="55218" xr:uid="{00000000-0005-0000-0000-00008FC40000}"/>
    <cellStyle name="Normal 2 4 5 17 3 4" xfId="21028" xr:uid="{00000000-0005-0000-0000-000090C40000}"/>
    <cellStyle name="Normal 2 4 5 17 3 4 2" xfId="55219" xr:uid="{00000000-0005-0000-0000-000091C40000}"/>
    <cellStyle name="Normal 2 4 5 17 3 5" xfId="21029" xr:uid="{00000000-0005-0000-0000-000092C40000}"/>
    <cellStyle name="Normal 2 4 5 17 3 5 2" xfId="55220" xr:uid="{00000000-0005-0000-0000-000093C40000}"/>
    <cellStyle name="Normal 2 4 5 17 3 6" xfId="55221" xr:uid="{00000000-0005-0000-0000-000094C40000}"/>
    <cellStyle name="Normal 2 4 5 17 3 6 2" xfId="55222" xr:uid="{00000000-0005-0000-0000-000095C40000}"/>
    <cellStyle name="Normal 2 4 5 17 3 7" xfId="55223" xr:uid="{00000000-0005-0000-0000-000096C40000}"/>
    <cellStyle name="Normal 2 4 5 17 4" xfId="21030" xr:uid="{00000000-0005-0000-0000-000097C40000}"/>
    <cellStyle name="Normal 2 4 5 17 4 2" xfId="21031" xr:uid="{00000000-0005-0000-0000-000098C40000}"/>
    <cellStyle name="Normal 2 4 5 17 4 2 2" xfId="55224" xr:uid="{00000000-0005-0000-0000-000099C40000}"/>
    <cellStyle name="Normal 2 4 5 17 4 3" xfId="21032" xr:uid="{00000000-0005-0000-0000-00009AC40000}"/>
    <cellStyle name="Normal 2 4 5 17 4 3 2" xfId="55225" xr:uid="{00000000-0005-0000-0000-00009BC40000}"/>
    <cellStyle name="Normal 2 4 5 17 4 4" xfId="55226" xr:uid="{00000000-0005-0000-0000-00009CC40000}"/>
    <cellStyle name="Normal 2 4 5 17 5" xfId="21033" xr:uid="{00000000-0005-0000-0000-00009DC40000}"/>
    <cellStyle name="Normal 2 4 5 17 5 2" xfId="21034" xr:uid="{00000000-0005-0000-0000-00009EC40000}"/>
    <cellStyle name="Normal 2 4 5 17 5 2 2" xfId="55227" xr:uid="{00000000-0005-0000-0000-00009FC40000}"/>
    <cellStyle name="Normal 2 4 5 17 5 3" xfId="55228" xr:uid="{00000000-0005-0000-0000-0000A0C40000}"/>
    <cellStyle name="Normal 2 4 5 17 6" xfId="21035" xr:uid="{00000000-0005-0000-0000-0000A1C40000}"/>
    <cellStyle name="Normal 2 4 5 17 6 2" xfId="55229" xr:uid="{00000000-0005-0000-0000-0000A2C40000}"/>
    <cellStyle name="Normal 2 4 5 17 7" xfId="21036" xr:uid="{00000000-0005-0000-0000-0000A3C40000}"/>
    <cellStyle name="Normal 2 4 5 17 7 2" xfId="55230" xr:uid="{00000000-0005-0000-0000-0000A4C40000}"/>
    <cellStyle name="Normal 2 4 5 17 8" xfId="55231" xr:uid="{00000000-0005-0000-0000-0000A5C40000}"/>
    <cellStyle name="Normal 2 4 5 17 8 2" xfId="55232" xr:uid="{00000000-0005-0000-0000-0000A6C40000}"/>
    <cellStyle name="Normal 2 4 5 17 9" xfId="55233" xr:uid="{00000000-0005-0000-0000-0000A7C40000}"/>
    <cellStyle name="Normal 2 4 5 18" xfId="21037" xr:uid="{00000000-0005-0000-0000-0000A8C40000}"/>
    <cellStyle name="Normal 2 4 5 18 10" xfId="55234" xr:uid="{00000000-0005-0000-0000-0000A9C40000}"/>
    <cellStyle name="Normal 2 4 5 18 11" xfId="55235" xr:uid="{00000000-0005-0000-0000-0000AAC40000}"/>
    <cellStyle name="Normal 2 4 5 18 2" xfId="21038" xr:uid="{00000000-0005-0000-0000-0000ABC40000}"/>
    <cellStyle name="Normal 2 4 5 18 2 10" xfId="55236" xr:uid="{00000000-0005-0000-0000-0000ACC40000}"/>
    <cellStyle name="Normal 2 4 5 18 2 2" xfId="21039" xr:uid="{00000000-0005-0000-0000-0000ADC40000}"/>
    <cellStyle name="Normal 2 4 5 18 2 2 2" xfId="21040" xr:uid="{00000000-0005-0000-0000-0000AEC40000}"/>
    <cellStyle name="Normal 2 4 5 18 2 2 2 2" xfId="21041" xr:uid="{00000000-0005-0000-0000-0000AFC40000}"/>
    <cellStyle name="Normal 2 4 5 18 2 2 2 2 2" xfId="55237" xr:uid="{00000000-0005-0000-0000-0000B0C40000}"/>
    <cellStyle name="Normal 2 4 5 18 2 2 2 3" xfId="21042" xr:uid="{00000000-0005-0000-0000-0000B1C40000}"/>
    <cellStyle name="Normal 2 4 5 18 2 2 2 3 2" xfId="55238" xr:uid="{00000000-0005-0000-0000-0000B2C40000}"/>
    <cellStyle name="Normal 2 4 5 18 2 2 2 4" xfId="55239" xr:uid="{00000000-0005-0000-0000-0000B3C40000}"/>
    <cellStyle name="Normal 2 4 5 18 2 2 3" xfId="21043" xr:uid="{00000000-0005-0000-0000-0000B4C40000}"/>
    <cellStyle name="Normal 2 4 5 18 2 2 3 2" xfId="55240" xr:uid="{00000000-0005-0000-0000-0000B5C40000}"/>
    <cellStyle name="Normal 2 4 5 18 2 2 4" xfId="21044" xr:uid="{00000000-0005-0000-0000-0000B6C40000}"/>
    <cellStyle name="Normal 2 4 5 18 2 2 4 2" xfId="55241" xr:uid="{00000000-0005-0000-0000-0000B7C40000}"/>
    <cellStyle name="Normal 2 4 5 18 2 2 5" xfId="21045" xr:uid="{00000000-0005-0000-0000-0000B8C40000}"/>
    <cellStyle name="Normal 2 4 5 18 2 2 5 2" xfId="55242" xr:uid="{00000000-0005-0000-0000-0000B9C40000}"/>
    <cellStyle name="Normal 2 4 5 18 2 2 6" xfId="55243" xr:uid="{00000000-0005-0000-0000-0000BAC40000}"/>
    <cellStyle name="Normal 2 4 5 18 2 2 6 2" xfId="55244" xr:uid="{00000000-0005-0000-0000-0000BBC40000}"/>
    <cellStyle name="Normal 2 4 5 18 2 2 7" xfId="55245" xr:uid="{00000000-0005-0000-0000-0000BCC40000}"/>
    <cellStyle name="Normal 2 4 5 18 2 3" xfId="21046" xr:uid="{00000000-0005-0000-0000-0000BDC40000}"/>
    <cellStyle name="Normal 2 4 5 18 2 3 2" xfId="21047" xr:uid="{00000000-0005-0000-0000-0000BEC40000}"/>
    <cellStyle name="Normal 2 4 5 18 2 3 2 2" xfId="55246" xr:uid="{00000000-0005-0000-0000-0000BFC40000}"/>
    <cellStyle name="Normal 2 4 5 18 2 3 3" xfId="21048" xr:uid="{00000000-0005-0000-0000-0000C0C40000}"/>
    <cellStyle name="Normal 2 4 5 18 2 3 3 2" xfId="55247" xr:uid="{00000000-0005-0000-0000-0000C1C40000}"/>
    <cellStyle name="Normal 2 4 5 18 2 3 4" xfId="55248" xr:uid="{00000000-0005-0000-0000-0000C2C40000}"/>
    <cellStyle name="Normal 2 4 5 18 2 4" xfId="21049" xr:uid="{00000000-0005-0000-0000-0000C3C40000}"/>
    <cellStyle name="Normal 2 4 5 18 2 4 2" xfId="21050" xr:uid="{00000000-0005-0000-0000-0000C4C40000}"/>
    <cellStyle name="Normal 2 4 5 18 2 4 2 2" xfId="55249" xr:uid="{00000000-0005-0000-0000-0000C5C40000}"/>
    <cellStyle name="Normal 2 4 5 18 2 4 3" xfId="55250" xr:uid="{00000000-0005-0000-0000-0000C6C40000}"/>
    <cellStyle name="Normal 2 4 5 18 2 5" xfId="21051" xr:uid="{00000000-0005-0000-0000-0000C7C40000}"/>
    <cellStyle name="Normal 2 4 5 18 2 5 2" xfId="55251" xr:uid="{00000000-0005-0000-0000-0000C8C40000}"/>
    <cellStyle name="Normal 2 4 5 18 2 6" xfId="21052" xr:uid="{00000000-0005-0000-0000-0000C9C40000}"/>
    <cellStyle name="Normal 2 4 5 18 2 6 2" xfId="55252" xr:uid="{00000000-0005-0000-0000-0000CAC40000}"/>
    <cellStyle name="Normal 2 4 5 18 2 7" xfId="55253" xr:uid="{00000000-0005-0000-0000-0000CBC40000}"/>
    <cellStyle name="Normal 2 4 5 18 2 7 2" xfId="55254" xr:uid="{00000000-0005-0000-0000-0000CCC40000}"/>
    <cellStyle name="Normal 2 4 5 18 2 8" xfId="55255" xr:uid="{00000000-0005-0000-0000-0000CDC40000}"/>
    <cellStyle name="Normal 2 4 5 18 2 9" xfId="55256" xr:uid="{00000000-0005-0000-0000-0000CEC40000}"/>
    <cellStyle name="Normal 2 4 5 18 3" xfId="21053" xr:uid="{00000000-0005-0000-0000-0000CFC40000}"/>
    <cellStyle name="Normal 2 4 5 18 3 2" xfId="21054" xr:uid="{00000000-0005-0000-0000-0000D0C40000}"/>
    <cellStyle name="Normal 2 4 5 18 3 2 2" xfId="21055" xr:uid="{00000000-0005-0000-0000-0000D1C40000}"/>
    <cellStyle name="Normal 2 4 5 18 3 2 2 2" xfId="55257" xr:uid="{00000000-0005-0000-0000-0000D2C40000}"/>
    <cellStyle name="Normal 2 4 5 18 3 2 3" xfId="21056" xr:uid="{00000000-0005-0000-0000-0000D3C40000}"/>
    <cellStyle name="Normal 2 4 5 18 3 2 3 2" xfId="55258" xr:uid="{00000000-0005-0000-0000-0000D4C40000}"/>
    <cellStyle name="Normal 2 4 5 18 3 2 4" xfId="55259" xr:uid="{00000000-0005-0000-0000-0000D5C40000}"/>
    <cellStyle name="Normal 2 4 5 18 3 3" xfId="21057" xr:uid="{00000000-0005-0000-0000-0000D6C40000}"/>
    <cellStyle name="Normal 2 4 5 18 3 3 2" xfId="55260" xr:uid="{00000000-0005-0000-0000-0000D7C40000}"/>
    <cellStyle name="Normal 2 4 5 18 3 4" xfId="21058" xr:uid="{00000000-0005-0000-0000-0000D8C40000}"/>
    <cellStyle name="Normal 2 4 5 18 3 4 2" xfId="55261" xr:uid="{00000000-0005-0000-0000-0000D9C40000}"/>
    <cellStyle name="Normal 2 4 5 18 3 5" xfId="21059" xr:uid="{00000000-0005-0000-0000-0000DAC40000}"/>
    <cellStyle name="Normal 2 4 5 18 3 5 2" xfId="55262" xr:uid="{00000000-0005-0000-0000-0000DBC40000}"/>
    <cellStyle name="Normal 2 4 5 18 3 6" xfId="55263" xr:uid="{00000000-0005-0000-0000-0000DCC40000}"/>
    <cellStyle name="Normal 2 4 5 18 3 6 2" xfId="55264" xr:uid="{00000000-0005-0000-0000-0000DDC40000}"/>
    <cellStyle name="Normal 2 4 5 18 3 7" xfId="55265" xr:uid="{00000000-0005-0000-0000-0000DEC40000}"/>
    <cellStyle name="Normal 2 4 5 18 4" xfId="21060" xr:uid="{00000000-0005-0000-0000-0000DFC40000}"/>
    <cellStyle name="Normal 2 4 5 18 4 2" xfId="21061" xr:uid="{00000000-0005-0000-0000-0000E0C40000}"/>
    <cellStyle name="Normal 2 4 5 18 4 2 2" xfId="55266" xr:uid="{00000000-0005-0000-0000-0000E1C40000}"/>
    <cellStyle name="Normal 2 4 5 18 4 3" xfId="21062" xr:uid="{00000000-0005-0000-0000-0000E2C40000}"/>
    <cellStyle name="Normal 2 4 5 18 4 3 2" xfId="55267" xr:uid="{00000000-0005-0000-0000-0000E3C40000}"/>
    <cellStyle name="Normal 2 4 5 18 4 4" xfId="55268" xr:uid="{00000000-0005-0000-0000-0000E4C40000}"/>
    <cellStyle name="Normal 2 4 5 18 5" xfId="21063" xr:uid="{00000000-0005-0000-0000-0000E5C40000}"/>
    <cellStyle name="Normal 2 4 5 18 5 2" xfId="21064" xr:uid="{00000000-0005-0000-0000-0000E6C40000}"/>
    <cellStyle name="Normal 2 4 5 18 5 2 2" xfId="55269" xr:uid="{00000000-0005-0000-0000-0000E7C40000}"/>
    <cellStyle name="Normal 2 4 5 18 5 3" xfId="55270" xr:uid="{00000000-0005-0000-0000-0000E8C40000}"/>
    <cellStyle name="Normal 2 4 5 18 6" xfId="21065" xr:uid="{00000000-0005-0000-0000-0000E9C40000}"/>
    <cellStyle name="Normal 2 4 5 18 6 2" xfId="55271" xr:uid="{00000000-0005-0000-0000-0000EAC40000}"/>
    <cellStyle name="Normal 2 4 5 18 7" xfId="21066" xr:uid="{00000000-0005-0000-0000-0000EBC40000}"/>
    <cellStyle name="Normal 2 4 5 18 7 2" xfId="55272" xr:uid="{00000000-0005-0000-0000-0000ECC40000}"/>
    <cellStyle name="Normal 2 4 5 18 8" xfId="55273" xr:uid="{00000000-0005-0000-0000-0000EDC40000}"/>
    <cellStyle name="Normal 2 4 5 18 8 2" xfId="55274" xr:uid="{00000000-0005-0000-0000-0000EEC40000}"/>
    <cellStyle name="Normal 2 4 5 18 9" xfId="55275" xr:uid="{00000000-0005-0000-0000-0000EFC40000}"/>
    <cellStyle name="Normal 2 4 5 19" xfId="21067" xr:uid="{00000000-0005-0000-0000-0000F0C40000}"/>
    <cellStyle name="Normal 2 4 5 19 10" xfId="55276" xr:uid="{00000000-0005-0000-0000-0000F1C40000}"/>
    <cellStyle name="Normal 2 4 5 19 11" xfId="55277" xr:uid="{00000000-0005-0000-0000-0000F2C40000}"/>
    <cellStyle name="Normal 2 4 5 19 2" xfId="21068" xr:uid="{00000000-0005-0000-0000-0000F3C40000}"/>
    <cellStyle name="Normal 2 4 5 19 2 10" xfId="55278" xr:uid="{00000000-0005-0000-0000-0000F4C40000}"/>
    <cellStyle name="Normal 2 4 5 19 2 2" xfId="21069" xr:uid="{00000000-0005-0000-0000-0000F5C40000}"/>
    <cellStyle name="Normal 2 4 5 19 2 2 2" xfId="21070" xr:uid="{00000000-0005-0000-0000-0000F6C40000}"/>
    <cellStyle name="Normal 2 4 5 19 2 2 2 2" xfId="21071" xr:uid="{00000000-0005-0000-0000-0000F7C40000}"/>
    <cellStyle name="Normal 2 4 5 19 2 2 2 2 2" xfId="55279" xr:uid="{00000000-0005-0000-0000-0000F8C40000}"/>
    <cellStyle name="Normal 2 4 5 19 2 2 2 3" xfId="21072" xr:uid="{00000000-0005-0000-0000-0000F9C40000}"/>
    <cellStyle name="Normal 2 4 5 19 2 2 2 3 2" xfId="55280" xr:uid="{00000000-0005-0000-0000-0000FAC40000}"/>
    <cellStyle name="Normal 2 4 5 19 2 2 2 4" xfId="55281" xr:uid="{00000000-0005-0000-0000-0000FBC40000}"/>
    <cellStyle name="Normal 2 4 5 19 2 2 3" xfId="21073" xr:uid="{00000000-0005-0000-0000-0000FCC40000}"/>
    <cellStyle name="Normal 2 4 5 19 2 2 3 2" xfId="55282" xr:uid="{00000000-0005-0000-0000-0000FDC40000}"/>
    <cellStyle name="Normal 2 4 5 19 2 2 4" xfId="21074" xr:uid="{00000000-0005-0000-0000-0000FEC40000}"/>
    <cellStyle name="Normal 2 4 5 19 2 2 4 2" xfId="55283" xr:uid="{00000000-0005-0000-0000-0000FFC40000}"/>
    <cellStyle name="Normal 2 4 5 19 2 2 5" xfId="21075" xr:uid="{00000000-0005-0000-0000-000000C50000}"/>
    <cellStyle name="Normal 2 4 5 19 2 2 5 2" xfId="55284" xr:uid="{00000000-0005-0000-0000-000001C50000}"/>
    <cellStyle name="Normal 2 4 5 19 2 2 6" xfId="55285" xr:uid="{00000000-0005-0000-0000-000002C50000}"/>
    <cellStyle name="Normal 2 4 5 19 2 2 6 2" xfId="55286" xr:uid="{00000000-0005-0000-0000-000003C50000}"/>
    <cellStyle name="Normal 2 4 5 19 2 2 7" xfId="55287" xr:uid="{00000000-0005-0000-0000-000004C50000}"/>
    <cellStyle name="Normal 2 4 5 19 2 3" xfId="21076" xr:uid="{00000000-0005-0000-0000-000005C50000}"/>
    <cellStyle name="Normal 2 4 5 19 2 3 2" xfId="21077" xr:uid="{00000000-0005-0000-0000-000006C50000}"/>
    <cellStyle name="Normal 2 4 5 19 2 3 2 2" xfId="55288" xr:uid="{00000000-0005-0000-0000-000007C50000}"/>
    <cellStyle name="Normal 2 4 5 19 2 3 3" xfId="21078" xr:uid="{00000000-0005-0000-0000-000008C50000}"/>
    <cellStyle name="Normal 2 4 5 19 2 3 3 2" xfId="55289" xr:uid="{00000000-0005-0000-0000-000009C50000}"/>
    <cellStyle name="Normal 2 4 5 19 2 3 4" xfId="55290" xr:uid="{00000000-0005-0000-0000-00000AC50000}"/>
    <cellStyle name="Normal 2 4 5 19 2 4" xfId="21079" xr:uid="{00000000-0005-0000-0000-00000BC50000}"/>
    <cellStyle name="Normal 2 4 5 19 2 4 2" xfId="21080" xr:uid="{00000000-0005-0000-0000-00000CC50000}"/>
    <cellStyle name="Normal 2 4 5 19 2 4 2 2" xfId="55291" xr:uid="{00000000-0005-0000-0000-00000DC50000}"/>
    <cellStyle name="Normal 2 4 5 19 2 4 3" xfId="55292" xr:uid="{00000000-0005-0000-0000-00000EC50000}"/>
    <cellStyle name="Normal 2 4 5 19 2 5" xfId="21081" xr:uid="{00000000-0005-0000-0000-00000FC50000}"/>
    <cellStyle name="Normal 2 4 5 19 2 5 2" xfId="55293" xr:uid="{00000000-0005-0000-0000-000010C50000}"/>
    <cellStyle name="Normal 2 4 5 19 2 6" xfId="21082" xr:uid="{00000000-0005-0000-0000-000011C50000}"/>
    <cellStyle name="Normal 2 4 5 19 2 6 2" xfId="55294" xr:uid="{00000000-0005-0000-0000-000012C50000}"/>
    <cellStyle name="Normal 2 4 5 19 2 7" xfId="55295" xr:uid="{00000000-0005-0000-0000-000013C50000}"/>
    <cellStyle name="Normal 2 4 5 19 2 7 2" xfId="55296" xr:uid="{00000000-0005-0000-0000-000014C50000}"/>
    <cellStyle name="Normal 2 4 5 19 2 8" xfId="55297" xr:uid="{00000000-0005-0000-0000-000015C50000}"/>
    <cellStyle name="Normal 2 4 5 19 2 9" xfId="55298" xr:uid="{00000000-0005-0000-0000-000016C50000}"/>
    <cellStyle name="Normal 2 4 5 19 3" xfId="21083" xr:uid="{00000000-0005-0000-0000-000017C50000}"/>
    <cellStyle name="Normal 2 4 5 19 3 2" xfId="21084" xr:uid="{00000000-0005-0000-0000-000018C50000}"/>
    <cellStyle name="Normal 2 4 5 19 3 2 2" xfId="21085" xr:uid="{00000000-0005-0000-0000-000019C50000}"/>
    <cellStyle name="Normal 2 4 5 19 3 2 2 2" xfId="55299" xr:uid="{00000000-0005-0000-0000-00001AC50000}"/>
    <cellStyle name="Normal 2 4 5 19 3 2 3" xfId="21086" xr:uid="{00000000-0005-0000-0000-00001BC50000}"/>
    <cellStyle name="Normal 2 4 5 19 3 2 3 2" xfId="55300" xr:uid="{00000000-0005-0000-0000-00001CC50000}"/>
    <cellStyle name="Normal 2 4 5 19 3 2 4" xfId="55301" xr:uid="{00000000-0005-0000-0000-00001DC50000}"/>
    <cellStyle name="Normal 2 4 5 19 3 3" xfId="21087" xr:uid="{00000000-0005-0000-0000-00001EC50000}"/>
    <cellStyle name="Normal 2 4 5 19 3 3 2" xfId="55302" xr:uid="{00000000-0005-0000-0000-00001FC50000}"/>
    <cellStyle name="Normal 2 4 5 19 3 4" xfId="21088" xr:uid="{00000000-0005-0000-0000-000020C50000}"/>
    <cellStyle name="Normal 2 4 5 19 3 4 2" xfId="55303" xr:uid="{00000000-0005-0000-0000-000021C50000}"/>
    <cellStyle name="Normal 2 4 5 19 3 5" xfId="21089" xr:uid="{00000000-0005-0000-0000-000022C50000}"/>
    <cellStyle name="Normal 2 4 5 19 3 5 2" xfId="55304" xr:uid="{00000000-0005-0000-0000-000023C50000}"/>
    <cellStyle name="Normal 2 4 5 19 3 6" xfId="55305" xr:uid="{00000000-0005-0000-0000-000024C50000}"/>
    <cellStyle name="Normal 2 4 5 19 3 6 2" xfId="55306" xr:uid="{00000000-0005-0000-0000-000025C50000}"/>
    <cellStyle name="Normal 2 4 5 19 3 7" xfId="55307" xr:uid="{00000000-0005-0000-0000-000026C50000}"/>
    <cellStyle name="Normal 2 4 5 19 4" xfId="21090" xr:uid="{00000000-0005-0000-0000-000027C50000}"/>
    <cellStyle name="Normal 2 4 5 19 4 2" xfId="21091" xr:uid="{00000000-0005-0000-0000-000028C50000}"/>
    <cellStyle name="Normal 2 4 5 19 4 2 2" xfId="55308" xr:uid="{00000000-0005-0000-0000-000029C50000}"/>
    <cellStyle name="Normal 2 4 5 19 4 3" xfId="21092" xr:uid="{00000000-0005-0000-0000-00002AC50000}"/>
    <cellStyle name="Normal 2 4 5 19 4 3 2" xfId="55309" xr:uid="{00000000-0005-0000-0000-00002BC50000}"/>
    <cellStyle name="Normal 2 4 5 19 4 4" xfId="55310" xr:uid="{00000000-0005-0000-0000-00002CC50000}"/>
    <cellStyle name="Normal 2 4 5 19 5" xfId="21093" xr:uid="{00000000-0005-0000-0000-00002DC50000}"/>
    <cellStyle name="Normal 2 4 5 19 5 2" xfId="21094" xr:uid="{00000000-0005-0000-0000-00002EC50000}"/>
    <cellStyle name="Normal 2 4 5 19 5 2 2" xfId="55311" xr:uid="{00000000-0005-0000-0000-00002FC50000}"/>
    <cellStyle name="Normal 2 4 5 19 5 3" xfId="55312" xr:uid="{00000000-0005-0000-0000-000030C50000}"/>
    <cellStyle name="Normal 2 4 5 19 6" xfId="21095" xr:uid="{00000000-0005-0000-0000-000031C50000}"/>
    <cellStyle name="Normal 2 4 5 19 6 2" xfId="55313" xr:uid="{00000000-0005-0000-0000-000032C50000}"/>
    <cellStyle name="Normal 2 4 5 19 7" xfId="21096" xr:uid="{00000000-0005-0000-0000-000033C50000}"/>
    <cellStyle name="Normal 2 4 5 19 7 2" xfId="55314" xr:uid="{00000000-0005-0000-0000-000034C50000}"/>
    <cellStyle name="Normal 2 4 5 19 8" xfId="55315" xr:uid="{00000000-0005-0000-0000-000035C50000}"/>
    <cellStyle name="Normal 2 4 5 19 8 2" xfId="55316" xr:uid="{00000000-0005-0000-0000-000036C50000}"/>
    <cellStyle name="Normal 2 4 5 19 9" xfId="55317" xr:uid="{00000000-0005-0000-0000-000037C50000}"/>
    <cellStyle name="Normal 2 4 5 2" xfId="21097" xr:uid="{00000000-0005-0000-0000-000038C50000}"/>
    <cellStyle name="Normal 2 4 5 2 10" xfId="55318" xr:uid="{00000000-0005-0000-0000-000039C50000}"/>
    <cellStyle name="Normal 2 4 5 2 11" xfId="55319" xr:uid="{00000000-0005-0000-0000-00003AC50000}"/>
    <cellStyle name="Normal 2 4 5 2 2" xfId="21098" xr:uid="{00000000-0005-0000-0000-00003BC50000}"/>
    <cellStyle name="Normal 2 4 5 2 2 10" xfId="55320" xr:uid="{00000000-0005-0000-0000-00003CC50000}"/>
    <cellStyle name="Normal 2 4 5 2 2 2" xfId="21099" xr:uid="{00000000-0005-0000-0000-00003DC50000}"/>
    <cellStyle name="Normal 2 4 5 2 2 2 2" xfId="21100" xr:uid="{00000000-0005-0000-0000-00003EC50000}"/>
    <cellStyle name="Normal 2 4 5 2 2 2 2 2" xfId="21101" xr:uid="{00000000-0005-0000-0000-00003FC50000}"/>
    <cellStyle name="Normal 2 4 5 2 2 2 2 2 2" xfId="55321" xr:uid="{00000000-0005-0000-0000-000040C50000}"/>
    <cellStyle name="Normal 2 4 5 2 2 2 2 3" xfId="21102" xr:uid="{00000000-0005-0000-0000-000041C50000}"/>
    <cellStyle name="Normal 2 4 5 2 2 2 2 3 2" xfId="55322" xr:uid="{00000000-0005-0000-0000-000042C50000}"/>
    <cellStyle name="Normal 2 4 5 2 2 2 2 4" xfId="55323" xr:uid="{00000000-0005-0000-0000-000043C50000}"/>
    <cellStyle name="Normal 2 4 5 2 2 2 3" xfId="21103" xr:uid="{00000000-0005-0000-0000-000044C50000}"/>
    <cellStyle name="Normal 2 4 5 2 2 2 3 2" xfId="55324" xr:uid="{00000000-0005-0000-0000-000045C50000}"/>
    <cellStyle name="Normal 2 4 5 2 2 2 4" xfId="21104" xr:uid="{00000000-0005-0000-0000-000046C50000}"/>
    <cellStyle name="Normal 2 4 5 2 2 2 4 2" xfId="55325" xr:uid="{00000000-0005-0000-0000-000047C50000}"/>
    <cellStyle name="Normal 2 4 5 2 2 2 5" xfId="21105" xr:uid="{00000000-0005-0000-0000-000048C50000}"/>
    <cellStyle name="Normal 2 4 5 2 2 2 5 2" xfId="55326" xr:uid="{00000000-0005-0000-0000-000049C50000}"/>
    <cellStyle name="Normal 2 4 5 2 2 2 6" xfId="55327" xr:uid="{00000000-0005-0000-0000-00004AC50000}"/>
    <cellStyle name="Normal 2 4 5 2 2 2 6 2" xfId="55328" xr:uid="{00000000-0005-0000-0000-00004BC50000}"/>
    <cellStyle name="Normal 2 4 5 2 2 2 7" xfId="55329" xr:uid="{00000000-0005-0000-0000-00004CC50000}"/>
    <cellStyle name="Normal 2 4 5 2 2 3" xfId="21106" xr:uid="{00000000-0005-0000-0000-00004DC50000}"/>
    <cellStyle name="Normal 2 4 5 2 2 3 2" xfId="21107" xr:uid="{00000000-0005-0000-0000-00004EC50000}"/>
    <cellStyle name="Normal 2 4 5 2 2 3 2 2" xfId="55330" xr:uid="{00000000-0005-0000-0000-00004FC50000}"/>
    <cellStyle name="Normal 2 4 5 2 2 3 3" xfId="21108" xr:uid="{00000000-0005-0000-0000-000050C50000}"/>
    <cellStyle name="Normal 2 4 5 2 2 3 3 2" xfId="55331" xr:uid="{00000000-0005-0000-0000-000051C50000}"/>
    <cellStyle name="Normal 2 4 5 2 2 3 4" xfId="55332" xr:uid="{00000000-0005-0000-0000-000052C50000}"/>
    <cellStyle name="Normal 2 4 5 2 2 4" xfId="21109" xr:uid="{00000000-0005-0000-0000-000053C50000}"/>
    <cellStyle name="Normal 2 4 5 2 2 4 2" xfId="21110" xr:uid="{00000000-0005-0000-0000-000054C50000}"/>
    <cellStyle name="Normal 2 4 5 2 2 4 2 2" xfId="55333" xr:uid="{00000000-0005-0000-0000-000055C50000}"/>
    <cellStyle name="Normal 2 4 5 2 2 4 3" xfId="55334" xr:uid="{00000000-0005-0000-0000-000056C50000}"/>
    <cellStyle name="Normal 2 4 5 2 2 5" xfId="21111" xr:uid="{00000000-0005-0000-0000-000057C50000}"/>
    <cellStyle name="Normal 2 4 5 2 2 5 2" xfId="55335" xr:uid="{00000000-0005-0000-0000-000058C50000}"/>
    <cellStyle name="Normal 2 4 5 2 2 6" xfId="21112" xr:uid="{00000000-0005-0000-0000-000059C50000}"/>
    <cellStyle name="Normal 2 4 5 2 2 6 2" xfId="55336" xr:uid="{00000000-0005-0000-0000-00005AC50000}"/>
    <cellStyle name="Normal 2 4 5 2 2 7" xfId="55337" xr:uid="{00000000-0005-0000-0000-00005BC50000}"/>
    <cellStyle name="Normal 2 4 5 2 2 7 2" xfId="55338" xr:uid="{00000000-0005-0000-0000-00005CC50000}"/>
    <cellStyle name="Normal 2 4 5 2 2 8" xfId="55339" xr:uid="{00000000-0005-0000-0000-00005DC50000}"/>
    <cellStyle name="Normal 2 4 5 2 2 9" xfId="55340" xr:uid="{00000000-0005-0000-0000-00005EC50000}"/>
    <cellStyle name="Normal 2 4 5 2 3" xfId="21113" xr:uid="{00000000-0005-0000-0000-00005FC50000}"/>
    <cellStyle name="Normal 2 4 5 2 3 2" xfId="21114" xr:uid="{00000000-0005-0000-0000-000060C50000}"/>
    <cellStyle name="Normal 2 4 5 2 3 2 2" xfId="21115" xr:uid="{00000000-0005-0000-0000-000061C50000}"/>
    <cellStyle name="Normal 2 4 5 2 3 2 2 2" xfId="55341" xr:uid="{00000000-0005-0000-0000-000062C50000}"/>
    <cellStyle name="Normal 2 4 5 2 3 2 3" xfId="21116" xr:uid="{00000000-0005-0000-0000-000063C50000}"/>
    <cellStyle name="Normal 2 4 5 2 3 2 3 2" xfId="55342" xr:uid="{00000000-0005-0000-0000-000064C50000}"/>
    <cellStyle name="Normal 2 4 5 2 3 2 4" xfId="55343" xr:uid="{00000000-0005-0000-0000-000065C50000}"/>
    <cellStyle name="Normal 2 4 5 2 3 3" xfId="21117" xr:uid="{00000000-0005-0000-0000-000066C50000}"/>
    <cellStyle name="Normal 2 4 5 2 3 3 2" xfId="55344" xr:uid="{00000000-0005-0000-0000-000067C50000}"/>
    <cellStyle name="Normal 2 4 5 2 3 4" xfId="21118" xr:uid="{00000000-0005-0000-0000-000068C50000}"/>
    <cellStyle name="Normal 2 4 5 2 3 4 2" xfId="55345" xr:uid="{00000000-0005-0000-0000-000069C50000}"/>
    <cellStyle name="Normal 2 4 5 2 3 5" xfId="21119" xr:uid="{00000000-0005-0000-0000-00006AC50000}"/>
    <cellStyle name="Normal 2 4 5 2 3 5 2" xfId="55346" xr:uid="{00000000-0005-0000-0000-00006BC50000}"/>
    <cellStyle name="Normal 2 4 5 2 3 6" xfId="55347" xr:uid="{00000000-0005-0000-0000-00006CC50000}"/>
    <cellStyle name="Normal 2 4 5 2 3 6 2" xfId="55348" xr:uid="{00000000-0005-0000-0000-00006DC50000}"/>
    <cellStyle name="Normal 2 4 5 2 3 7" xfId="55349" xr:uid="{00000000-0005-0000-0000-00006EC50000}"/>
    <cellStyle name="Normal 2 4 5 2 4" xfId="21120" xr:uid="{00000000-0005-0000-0000-00006FC50000}"/>
    <cellStyle name="Normal 2 4 5 2 4 2" xfId="21121" xr:uid="{00000000-0005-0000-0000-000070C50000}"/>
    <cellStyle name="Normal 2 4 5 2 4 2 2" xfId="55350" xr:uid="{00000000-0005-0000-0000-000071C50000}"/>
    <cellStyle name="Normal 2 4 5 2 4 3" xfId="21122" xr:uid="{00000000-0005-0000-0000-000072C50000}"/>
    <cellStyle name="Normal 2 4 5 2 4 3 2" xfId="55351" xr:uid="{00000000-0005-0000-0000-000073C50000}"/>
    <cellStyle name="Normal 2 4 5 2 4 4" xfId="55352" xr:uid="{00000000-0005-0000-0000-000074C50000}"/>
    <cellStyle name="Normal 2 4 5 2 5" xfId="21123" xr:uid="{00000000-0005-0000-0000-000075C50000}"/>
    <cellStyle name="Normal 2 4 5 2 5 2" xfId="21124" xr:uid="{00000000-0005-0000-0000-000076C50000}"/>
    <cellStyle name="Normal 2 4 5 2 5 2 2" xfId="55353" xr:uid="{00000000-0005-0000-0000-000077C50000}"/>
    <cellStyle name="Normal 2 4 5 2 5 3" xfId="55354" xr:uid="{00000000-0005-0000-0000-000078C50000}"/>
    <cellStyle name="Normal 2 4 5 2 6" xfId="21125" xr:uid="{00000000-0005-0000-0000-000079C50000}"/>
    <cellStyle name="Normal 2 4 5 2 6 2" xfId="55355" xr:uid="{00000000-0005-0000-0000-00007AC50000}"/>
    <cellStyle name="Normal 2 4 5 2 7" xfId="21126" xr:uid="{00000000-0005-0000-0000-00007BC50000}"/>
    <cellStyle name="Normal 2 4 5 2 7 2" xfId="55356" xr:uid="{00000000-0005-0000-0000-00007CC50000}"/>
    <cellStyle name="Normal 2 4 5 2 8" xfId="55357" xr:uid="{00000000-0005-0000-0000-00007DC50000}"/>
    <cellStyle name="Normal 2 4 5 2 8 2" xfId="55358" xr:uid="{00000000-0005-0000-0000-00007EC50000}"/>
    <cellStyle name="Normal 2 4 5 2 9" xfId="55359" xr:uid="{00000000-0005-0000-0000-00007FC50000}"/>
    <cellStyle name="Normal 2 4 5 20" xfId="21127" xr:uid="{00000000-0005-0000-0000-000080C50000}"/>
    <cellStyle name="Normal 2 4 5 20 10" xfId="55360" xr:uid="{00000000-0005-0000-0000-000081C50000}"/>
    <cellStyle name="Normal 2 4 5 20 11" xfId="55361" xr:uid="{00000000-0005-0000-0000-000082C50000}"/>
    <cellStyle name="Normal 2 4 5 20 2" xfId="21128" xr:uid="{00000000-0005-0000-0000-000083C50000}"/>
    <cellStyle name="Normal 2 4 5 20 2 10" xfId="55362" xr:uid="{00000000-0005-0000-0000-000084C50000}"/>
    <cellStyle name="Normal 2 4 5 20 2 2" xfId="21129" xr:uid="{00000000-0005-0000-0000-000085C50000}"/>
    <cellStyle name="Normal 2 4 5 20 2 2 2" xfId="21130" xr:uid="{00000000-0005-0000-0000-000086C50000}"/>
    <cellStyle name="Normal 2 4 5 20 2 2 2 2" xfId="21131" xr:uid="{00000000-0005-0000-0000-000087C50000}"/>
    <cellStyle name="Normal 2 4 5 20 2 2 2 2 2" xfId="55363" xr:uid="{00000000-0005-0000-0000-000088C50000}"/>
    <cellStyle name="Normal 2 4 5 20 2 2 2 3" xfId="21132" xr:uid="{00000000-0005-0000-0000-000089C50000}"/>
    <cellStyle name="Normal 2 4 5 20 2 2 2 3 2" xfId="55364" xr:uid="{00000000-0005-0000-0000-00008AC50000}"/>
    <cellStyle name="Normal 2 4 5 20 2 2 2 4" xfId="55365" xr:uid="{00000000-0005-0000-0000-00008BC50000}"/>
    <cellStyle name="Normal 2 4 5 20 2 2 3" xfId="21133" xr:uid="{00000000-0005-0000-0000-00008CC50000}"/>
    <cellStyle name="Normal 2 4 5 20 2 2 3 2" xfId="55366" xr:uid="{00000000-0005-0000-0000-00008DC50000}"/>
    <cellStyle name="Normal 2 4 5 20 2 2 4" xfId="21134" xr:uid="{00000000-0005-0000-0000-00008EC50000}"/>
    <cellStyle name="Normal 2 4 5 20 2 2 4 2" xfId="55367" xr:uid="{00000000-0005-0000-0000-00008FC50000}"/>
    <cellStyle name="Normal 2 4 5 20 2 2 5" xfId="21135" xr:uid="{00000000-0005-0000-0000-000090C50000}"/>
    <cellStyle name="Normal 2 4 5 20 2 2 5 2" xfId="55368" xr:uid="{00000000-0005-0000-0000-000091C50000}"/>
    <cellStyle name="Normal 2 4 5 20 2 2 6" xfId="55369" xr:uid="{00000000-0005-0000-0000-000092C50000}"/>
    <cellStyle name="Normal 2 4 5 20 2 2 6 2" xfId="55370" xr:uid="{00000000-0005-0000-0000-000093C50000}"/>
    <cellStyle name="Normal 2 4 5 20 2 2 7" xfId="55371" xr:uid="{00000000-0005-0000-0000-000094C50000}"/>
    <cellStyle name="Normal 2 4 5 20 2 3" xfId="21136" xr:uid="{00000000-0005-0000-0000-000095C50000}"/>
    <cellStyle name="Normal 2 4 5 20 2 3 2" xfId="21137" xr:uid="{00000000-0005-0000-0000-000096C50000}"/>
    <cellStyle name="Normal 2 4 5 20 2 3 2 2" xfId="55372" xr:uid="{00000000-0005-0000-0000-000097C50000}"/>
    <cellStyle name="Normal 2 4 5 20 2 3 3" xfId="21138" xr:uid="{00000000-0005-0000-0000-000098C50000}"/>
    <cellStyle name="Normal 2 4 5 20 2 3 3 2" xfId="55373" xr:uid="{00000000-0005-0000-0000-000099C50000}"/>
    <cellStyle name="Normal 2 4 5 20 2 3 4" xfId="55374" xr:uid="{00000000-0005-0000-0000-00009AC50000}"/>
    <cellStyle name="Normal 2 4 5 20 2 4" xfId="21139" xr:uid="{00000000-0005-0000-0000-00009BC50000}"/>
    <cellStyle name="Normal 2 4 5 20 2 4 2" xfId="21140" xr:uid="{00000000-0005-0000-0000-00009CC50000}"/>
    <cellStyle name="Normal 2 4 5 20 2 4 2 2" xfId="55375" xr:uid="{00000000-0005-0000-0000-00009DC50000}"/>
    <cellStyle name="Normal 2 4 5 20 2 4 3" xfId="55376" xr:uid="{00000000-0005-0000-0000-00009EC50000}"/>
    <cellStyle name="Normal 2 4 5 20 2 5" xfId="21141" xr:uid="{00000000-0005-0000-0000-00009FC50000}"/>
    <cellStyle name="Normal 2 4 5 20 2 5 2" xfId="55377" xr:uid="{00000000-0005-0000-0000-0000A0C50000}"/>
    <cellStyle name="Normal 2 4 5 20 2 6" xfId="21142" xr:uid="{00000000-0005-0000-0000-0000A1C50000}"/>
    <cellStyle name="Normal 2 4 5 20 2 6 2" xfId="55378" xr:uid="{00000000-0005-0000-0000-0000A2C50000}"/>
    <cellStyle name="Normal 2 4 5 20 2 7" xfId="55379" xr:uid="{00000000-0005-0000-0000-0000A3C50000}"/>
    <cellStyle name="Normal 2 4 5 20 2 7 2" xfId="55380" xr:uid="{00000000-0005-0000-0000-0000A4C50000}"/>
    <cellStyle name="Normal 2 4 5 20 2 8" xfId="55381" xr:uid="{00000000-0005-0000-0000-0000A5C50000}"/>
    <cellStyle name="Normal 2 4 5 20 2 9" xfId="55382" xr:uid="{00000000-0005-0000-0000-0000A6C50000}"/>
    <cellStyle name="Normal 2 4 5 20 3" xfId="21143" xr:uid="{00000000-0005-0000-0000-0000A7C50000}"/>
    <cellStyle name="Normal 2 4 5 20 3 2" xfId="21144" xr:uid="{00000000-0005-0000-0000-0000A8C50000}"/>
    <cellStyle name="Normal 2 4 5 20 3 2 2" xfId="21145" xr:uid="{00000000-0005-0000-0000-0000A9C50000}"/>
    <cellStyle name="Normal 2 4 5 20 3 2 2 2" xfId="55383" xr:uid="{00000000-0005-0000-0000-0000AAC50000}"/>
    <cellStyle name="Normal 2 4 5 20 3 2 3" xfId="21146" xr:uid="{00000000-0005-0000-0000-0000ABC50000}"/>
    <cellStyle name="Normal 2 4 5 20 3 2 3 2" xfId="55384" xr:uid="{00000000-0005-0000-0000-0000ACC50000}"/>
    <cellStyle name="Normal 2 4 5 20 3 2 4" xfId="55385" xr:uid="{00000000-0005-0000-0000-0000ADC50000}"/>
    <cellStyle name="Normal 2 4 5 20 3 3" xfId="21147" xr:uid="{00000000-0005-0000-0000-0000AEC50000}"/>
    <cellStyle name="Normal 2 4 5 20 3 3 2" xfId="55386" xr:uid="{00000000-0005-0000-0000-0000AFC50000}"/>
    <cellStyle name="Normal 2 4 5 20 3 4" xfId="21148" xr:uid="{00000000-0005-0000-0000-0000B0C50000}"/>
    <cellStyle name="Normal 2 4 5 20 3 4 2" xfId="55387" xr:uid="{00000000-0005-0000-0000-0000B1C50000}"/>
    <cellStyle name="Normal 2 4 5 20 3 5" xfId="21149" xr:uid="{00000000-0005-0000-0000-0000B2C50000}"/>
    <cellStyle name="Normal 2 4 5 20 3 5 2" xfId="55388" xr:uid="{00000000-0005-0000-0000-0000B3C50000}"/>
    <cellStyle name="Normal 2 4 5 20 3 6" xfId="55389" xr:uid="{00000000-0005-0000-0000-0000B4C50000}"/>
    <cellStyle name="Normal 2 4 5 20 3 6 2" xfId="55390" xr:uid="{00000000-0005-0000-0000-0000B5C50000}"/>
    <cellStyle name="Normal 2 4 5 20 3 7" xfId="55391" xr:uid="{00000000-0005-0000-0000-0000B6C50000}"/>
    <cellStyle name="Normal 2 4 5 20 4" xfId="21150" xr:uid="{00000000-0005-0000-0000-0000B7C50000}"/>
    <cellStyle name="Normal 2 4 5 20 4 2" xfId="21151" xr:uid="{00000000-0005-0000-0000-0000B8C50000}"/>
    <cellStyle name="Normal 2 4 5 20 4 2 2" xfId="55392" xr:uid="{00000000-0005-0000-0000-0000B9C50000}"/>
    <cellStyle name="Normal 2 4 5 20 4 3" xfId="21152" xr:uid="{00000000-0005-0000-0000-0000BAC50000}"/>
    <cellStyle name="Normal 2 4 5 20 4 3 2" xfId="55393" xr:uid="{00000000-0005-0000-0000-0000BBC50000}"/>
    <cellStyle name="Normal 2 4 5 20 4 4" xfId="55394" xr:uid="{00000000-0005-0000-0000-0000BCC50000}"/>
    <cellStyle name="Normal 2 4 5 20 5" xfId="21153" xr:uid="{00000000-0005-0000-0000-0000BDC50000}"/>
    <cellStyle name="Normal 2 4 5 20 5 2" xfId="21154" xr:uid="{00000000-0005-0000-0000-0000BEC50000}"/>
    <cellStyle name="Normal 2 4 5 20 5 2 2" xfId="55395" xr:uid="{00000000-0005-0000-0000-0000BFC50000}"/>
    <cellStyle name="Normal 2 4 5 20 5 3" xfId="55396" xr:uid="{00000000-0005-0000-0000-0000C0C50000}"/>
    <cellStyle name="Normal 2 4 5 20 6" xfId="21155" xr:uid="{00000000-0005-0000-0000-0000C1C50000}"/>
    <cellStyle name="Normal 2 4 5 20 6 2" xfId="55397" xr:uid="{00000000-0005-0000-0000-0000C2C50000}"/>
    <cellStyle name="Normal 2 4 5 20 7" xfId="21156" xr:uid="{00000000-0005-0000-0000-0000C3C50000}"/>
    <cellStyle name="Normal 2 4 5 20 7 2" xfId="55398" xr:uid="{00000000-0005-0000-0000-0000C4C50000}"/>
    <cellStyle name="Normal 2 4 5 20 8" xfId="55399" xr:uid="{00000000-0005-0000-0000-0000C5C50000}"/>
    <cellStyle name="Normal 2 4 5 20 8 2" xfId="55400" xr:uid="{00000000-0005-0000-0000-0000C6C50000}"/>
    <cellStyle name="Normal 2 4 5 20 9" xfId="55401" xr:uid="{00000000-0005-0000-0000-0000C7C50000}"/>
    <cellStyle name="Normal 2 4 5 21" xfId="21157" xr:uid="{00000000-0005-0000-0000-0000C8C50000}"/>
    <cellStyle name="Normal 2 4 5 21 10" xfId="55402" xr:uid="{00000000-0005-0000-0000-0000C9C50000}"/>
    <cellStyle name="Normal 2 4 5 21 11" xfId="55403" xr:uid="{00000000-0005-0000-0000-0000CAC50000}"/>
    <cellStyle name="Normal 2 4 5 21 2" xfId="21158" xr:uid="{00000000-0005-0000-0000-0000CBC50000}"/>
    <cellStyle name="Normal 2 4 5 21 2 10" xfId="55404" xr:uid="{00000000-0005-0000-0000-0000CCC50000}"/>
    <cellStyle name="Normal 2 4 5 21 2 2" xfId="21159" xr:uid="{00000000-0005-0000-0000-0000CDC50000}"/>
    <cellStyle name="Normal 2 4 5 21 2 2 2" xfId="21160" xr:uid="{00000000-0005-0000-0000-0000CEC50000}"/>
    <cellStyle name="Normal 2 4 5 21 2 2 2 2" xfId="21161" xr:uid="{00000000-0005-0000-0000-0000CFC50000}"/>
    <cellStyle name="Normal 2 4 5 21 2 2 2 2 2" xfId="55405" xr:uid="{00000000-0005-0000-0000-0000D0C50000}"/>
    <cellStyle name="Normal 2 4 5 21 2 2 2 3" xfId="21162" xr:uid="{00000000-0005-0000-0000-0000D1C50000}"/>
    <cellStyle name="Normal 2 4 5 21 2 2 2 3 2" xfId="55406" xr:uid="{00000000-0005-0000-0000-0000D2C50000}"/>
    <cellStyle name="Normal 2 4 5 21 2 2 2 4" xfId="55407" xr:uid="{00000000-0005-0000-0000-0000D3C50000}"/>
    <cellStyle name="Normal 2 4 5 21 2 2 3" xfId="21163" xr:uid="{00000000-0005-0000-0000-0000D4C50000}"/>
    <cellStyle name="Normal 2 4 5 21 2 2 3 2" xfId="55408" xr:uid="{00000000-0005-0000-0000-0000D5C50000}"/>
    <cellStyle name="Normal 2 4 5 21 2 2 4" xfId="21164" xr:uid="{00000000-0005-0000-0000-0000D6C50000}"/>
    <cellStyle name="Normal 2 4 5 21 2 2 4 2" xfId="55409" xr:uid="{00000000-0005-0000-0000-0000D7C50000}"/>
    <cellStyle name="Normal 2 4 5 21 2 2 5" xfId="21165" xr:uid="{00000000-0005-0000-0000-0000D8C50000}"/>
    <cellStyle name="Normal 2 4 5 21 2 2 5 2" xfId="55410" xr:uid="{00000000-0005-0000-0000-0000D9C50000}"/>
    <cellStyle name="Normal 2 4 5 21 2 2 6" xfId="55411" xr:uid="{00000000-0005-0000-0000-0000DAC50000}"/>
    <cellStyle name="Normal 2 4 5 21 2 2 6 2" xfId="55412" xr:uid="{00000000-0005-0000-0000-0000DBC50000}"/>
    <cellStyle name="Normal 2 4 5 21 2 2 7" xfId="55413" xr:uid="{00000000-0005-0000-0000-0000DCC50000}"/>
    <cellStyle name="Normal 2 4 5 21 2 3" xfId="21166" xr:uid="{00000000-0005-0000-0000-0000DDC50000}"/>
    <cellStyle name="Normal 2 4 5 21 2 3 2" xfId="21167" xr:uid="{00000000-0005-0000-0000-0000DEC50000}"/>
    <cellStyle name="Normal 2 4 5 21 2 3 2 2" xfId="55414" xr:uid="{00000000-0005-0000-0000-0000DFC50000}"/>
    <cellStyle name="Normal 2 4 5 21 2 3 3" xfId="21168" xr:uid="{00000000-0005-0000-0000-0000E0C50000}"/>
    <cellStyle name="Normal 2 4 5 21 2 3 3 2" xfId="55415" xr:uid="{00000000-0005-0000-0000-0000E1C50000}"/>
    <cellStyle name="Normal 2 4 5 21 2 3 4" xfId="55416" xr:uid="{00000000-0005-0000-0000-0000E2C50000}"/>
    <cellStyle name="Normal 2 4 5 21 2 4" xfId="21169" xr:uid="{00000000-0005-0000-0000-0000E3C50000}"/>
    <cellStyle name="Normal 2 4 5 21 2 4 2" xfId="21170" xr:uid="{00000000-0005-0000-0000-0000E4C50000}"/>
    <cellStyle name="Normal 2 4 5 21 2 4 2 2" xfId="55417" xr:uid="{00000000-0005-0000-0000-0000E5C50000}"/>
    <cellStyle name="Normal 2 4 5 21 2 4 3" xfId="55418" xr:uid="{00000000-0005-0000-0000-0000E6C50000}"/>
    <cellStyle name="Normal 2 4 5 21 2 5" xfId="21171" xr:uid="{00000000-0005-0000-0000-0000E7C50000}"/>
    <cellStyle name="Normal 2 4 5 21 2 5 2" xfId="55419" xr:uid="{00000000-0005-0000-0000-0000E8C50000}"/>
    <cellStyle name="Normal 2 4 5 21 2 6" xfId="21172" xr:uid="{00000000-0005-0000-0000-0000E9C50000}"/>
    <cellStyle name="Normal 2 4 5 21 2 6 2" xfId="55420" xr:uid="{00000000-0005-0000-0000-0000EAC50000}"/>
    <cellStyle name="Normal 2 4 5 21 2 7" xfId="55421" xr:uid="{00000000-0005-0000-0000-0000EBC50000}"/>
    <cellStyle name="Normal 2 4 5 21 2 7 2" xfId="55422" xr:uid="{00000000-0005-0000-0000-0000ECC50000}"/>
    <cellStyle name="Normal 2 4 5 21 2 8" xfId="55423" xr:uid="{00000000-0005-0000-0000-0000EDC50000}"/>
    <cellStyle name="Normal 2 4 5 21 2 9" xfId="55424" xr:uid="{00000000-0005-0000-0000-0000EEC50000}"/>
    <cellStyle name="Normal 2 4 5 21 3" xfId="21173" xr:uid="{00000000-0005-0000-0000-0000EFC50000}"/>
    <cellStyle name="Normal 2 4 5 21 3 2" xfId="21174" xr:uid="{00000000-0005-0000-0000-0000F0C50000}"/>
    <cellStyle name="Normal 2 4 5 21 3 2 2" xfId="21175" xr:uid="{00000000-0005-0000-0000-0000F1C50000}"/>
    <cellStyle name="Normal 2 4 5 21 3 2 2 2" xfId="55425" xr:uid="{00000000-0005-0000-0000-0000F2C50000}"/>
    <cellStyle name="Normal 2 4 5 21 3 2 3" xfId="21176" xr:uid="{00000000-0005-0000-0000-0000F3C50000}"/>
    <cellStyle name="Normal 2 4 5 21 3 2 3 2" xfId="55426" xr:uid="{00000000-0005-0000-0000-0000F4C50000}"/>
    <cellStyle name="Normal 2 4 5 21 3 2 4" xfId="55427" xr:uid="{00000000-0005-0000-0000-0000F5C50000}"/>
    <cellStyle name="Normal 2 4 5 21 3 3" xfId="21177" xr:uid="{00000000-0005-0000-0000-0000F6C50000}"/>
    <cellStyle name="Normal 2 4 5 21 3 3 2" xfId="55428" xr:uid="{00000000-0005-0000-0000-0000F7C50000}"/>
    <cellStyle name="Normal 2 4 5 21 3 4" xfId="21178" xr:uid="{00000000-0005-0000-0000-0000F8C50000}"/>
    <cellStyle name="Normal 2 4 5 21 3 4 2" xfId="55429" xr:uid="{00000000-0005-0000-0000-0000F9C50000}"/>
    <cellStyle name="Normal 2 4 5 21 3 5" xfId="21179" xr:uid="{00000000-0005-0000-0000-0000FAC50000}"/>
    <cellStyle name="Normal 2 4 5 21 3 5 2" xfId="55430" xr:uid="{00000000-0005-0000-0000-0000FBC50000}"/>
    <cellStyle name="Normal 2 4 5 21 3 6" xfId="55431" xr:uid="{00000000-0005-0000-0000-0000FCC50000}"/>
    <cellStyle name="Normal 2 4 5 21 3 6 2" xfId="55432" xr:uid="{00000000-0005-0000-0000-0000FDC50000}"/>
    <cellStyle name="Normal 2 4 5 21 3 7" xfId="55433" xr:uid="{00000000-0005-0000-0000-0000FEC50000}"/>
    <cellStyle name="Normal 2 4 5 21 4" xfId="21180" xr:uid="{00000000-0005-0000-0000-0000FFC50000}"/>
    <cellStyle name="Normal 2 4 5 21 4 2" xfId="21181" xr:uid="{00000000-0005-0000-0000-000000C60000}"/>
    <cellStyle name="Normal 2 4 5 21 4 2 2" xfId="55434" xr:uid="{00000000-0005-0000-0000-000001C60000}"/>
    <cellStyle name="Normal 2 4 5 21 4 3" xfId="21182" xr:uid="{00000000-0005-0000-0000-000002C60000}"/>
    <cellStyle name="Normal 2 4 5 21 4 3 2" xfId="55435" xr:uid="{00000000-0005-0000-0000-000003C60000}"/>
    <cellStyle name="Normal 2 4 5 21 4 4" xfId="55436" xr:uid="{00000000-0005-0000-0000-000004C60000}"/>
    <cellStyle name="Normal 2 4 5 21 5" xfId="21183" xr:uid="{00000000-0005-0000-0000-000005C60000}"/>
    <cellStyle name="Normal 2 4 5 21 5 2" xfId="21184" xr:uid="{00000000-0005-0000-0000-000006C60000}"/>
    <cellStyle name="Normal 2 4 5 21 5 2 2" xfId="55437" xr:uid="{00000000-0005-0000-0000-000007C60000}"/>
    <cellStyle name="Normal 2 4 5 21 5 3" xfId="55438" xr:uid="{00000000-0005-0000-0000-000008C60000}"/>
    <cellStyle name="Normal 2 4 5 21 6" xfId="21185" xr:uid="{00000000-0005-0000-0000-000009C60000}"/>
    <cellStyle name="Normal 2 4 5 21 6 2" xfId="55439" xr:uid="{00000000-0005-0000-0000-00000AC60000}"/>
    <cellStyle name="Normal 2 4 5 21 7" xfId="21186" xr:uid="{00000000-0005-0000-0000-00000BC60000}"/>
    <cellStyle name="Normal 2 4 5 21 7 2" xfId="55440" xr:uid="{00000000-0005-0000-0000-00000CC60000}"/>
    <cellStyle name="Normal 2 4 5 21 8" xfId="55441" xr:uid="{00000000-0005-0000-0000-00000DC60000}"/>
    <cellStyle name="Normal 2 4 5 21 8 2" xfId="55442" xr:uid="{00000000-0005-0000-0000-00000EC60000}"/>
    <cellStyle name="Normal 2 4 5 21 9" xfId="55443" xr:uid="{00000000-0005-0000-0000-00000FC60000}"/>
    <cellStyle name="Normal 2 4 5 22" xfId="21187" xr:uid="{00000000-0005-0000-0000-000010C60000}"/>
    <cellStyle name="Normal 2 4 5 22 10" xfId="55444" xr:uid="{00000000-0005-0000-0000-000011C60000}"/>
    <cellStyle name="Normal 2 4 5 22 11" xfId="55445" xr:uid="{00000000-0005-0000-0000-000012C60000}"/>
    <cellStyle name="Normal 2 4 5 22 2" xfId="21188" xr:uid="{00000000-0005-0000-0000-000013C60000}"/>
    <cellStyle name="Normal 2 4 5 22 2 10" xfId="55446" xr:uid="{00000000-0005-0000-0000-000014C60000}"/>
    <cellStyle name="Normal 2 4 5 22 2 2" xfId="21189" xr:uid="{00000000-0005-0000-0000-000015C60000}"/>
    <cellStyle name="Normal 2 4 5 22 2 2 2" xfId="21190" xr:uid="{00000000-0005-0000-0000-000016C60000}"/>
    <cellStyle name="Normal 2 4 5 22 2 2 2 2" xfId="21191" xr:uid="{00000000-0005-0000-0000-000017C60000}"/>
    <cellStyle name="Normal 2 4 5 22 2 2 2 2 2" xfId="55447" xr:uid="{00000000-0005-0000-0000-000018C60000}"/>
    <cellStyle name="Normal 2 4 5 22 2 2 2 3" xfId="21192" xr:uid="{00000000-0005-0000-0000-000019C60000}"/>
    <cellStyle name="Normal 2 4 5 22 2 2 2 3 2" xfId="55448" xr:uid="{00000000-0005-0000-0000-00001AC60000}"/>
    <cellStyle name="Normal 2 4 5 22 2 2 2 4" xfId="55449" xr:uid="{00000000-0005-0000-0000-00001BC60000}"/>
    <cellStyle name="Normal 2 4 5 22 2 2 3" xfId="21193" xr:uid="{00000000-0005-0000-0000-00001CC60000}"/>
    <cellStyle name="Normal 2 4 5 22 2 2 3 2" xfId="55450" xr:uid="{00000000-0005-0000-0000-00001DC60000}"/>
    <cellStyle name="Normal 2 4 5 22 2 2 4" xfId="21194" xr:uid="{00000000-0005-0000-0000-00001EC60000}"/>
    <cellStyle name="Normal 2 4 5 22 2 2 4 2" xfId="55451" xr:uid="{00000000-0005-0000-0000-00001FC60000}"/>
    <cellStyle name="Normal 2 4 5 22 2 2 5" xfId="21195" xr:uid="{00000000-0005-0000-0000-000020C60000}"/>
    <cellStyle name="Normal 2 4 5 22 2 2 5 2" xfId="55452" xr:uid="{00000000-0005-0000-0000-000021C60000}"/>
    <cellStyle name="Normal 2 4 5 22 2 2 6" xfId="55453" xr:uid="{00000000-0005-0000-0000-000022C60000}"/>
    <cellStyle name="Normal 2 4 5 22 2 2 6 2" xfId="55454" xr:uid="{00000000-0005-0000-0000-000023C60000}"/>
    <cellStyle name="Normal 2 4 5 22 2 2 7" xfId="55455" xr:uid="{00000000-0005-0000-0000-000024C60000}"/>
    <cellStyle name="Normal 2 4 5 22 2 3" xfId="21196" xr:uid="{00000000-0005-0000-0000-000025C60000}"/>
    <cellStyle name="Normal 2 4 5 22 2 3 2" xfId="21197" xr:uid="{00000000-0005-0000-0000-000026C60000}"/>
    <cellStyle name="Normal 2 4 5 22 2 3 2 2" xfId="55456" xr:uid="{00000000-0005-0000-0000-000027C60000}"/>
    <cellStyle name="Normal 2 4 5 22 2 3 3" xfId="21198" xr:uid="{00000000-0005-0000-0000-000028C60000}"/>
    <cellStyle name="Normal 2 4 5 22 2 3 3 2" xfId="55457" xr:uid="{00000000-0005-0000-0000-000029C60000}"/>
    <cellStyle name="Normal 2 4 5 22 2 3 4" xfId="55458" xr:uid="{00000000-0005-0000-0000-00002AC60000}"/>
    <cellStyle name="Normal 2 4 5 22 2 4" xfId="21199" xr:uid="{00000000-0005-0000-0000-00002BC60000}"/>
    <cellStyle name="Normal 2 4 5 22 2 4 2" xfId="21200" xr:uid="{00000000-0005-0000-0000-00002CC60000}"/>
    <cellStyle name="Normal 2 4 5 22 2 4 2 2" xfId="55459" xr:uid="{00000000-0005-0000-0000-00002DC60000}"/>
    <cellStyle name="Normal 2 4 5 22 2 4 3" xfId="55460" xr:uid="{00000000-0005-0000-0000-00002EC60000}"/>
    <cellStyle name="Normal 2 4 5 22 2 5" xfId="21201" xr:uid="{00000000-0005-0000-0000-00002FC60000}"/>
    <cellStyle name="Normal 2 4 5 22 2 5 2" xfId="55461" xr:uid="{00000000-0005-0000-0000-000030C60000}"/>
    <cellStyle name="Normal 2 4 5 22 2 6" xfId="21202" xr:uid="{00000000-0005-0000-0000-000031C60000}"/>
    <cellStyle name="Normal 2 4 5 22 2 6 2" xfId="55462" xr:uid="{00000000-0005-0000-0000-000032C60000}"/>
    <cellStyle name="Normal 2 4 5 22 2 7" xfId="55463" xr:uid="{00000000-0005-0000-0000-000033C60000}"/>
    <cellStyle name="Normal 2 4 5 22 2 7 2" xfId="55464" xr:uid="{00000000-0005-0000-0000-000034C60000}"/>
    <cellStyle name="Normal 2 4 5 22 2 8" xfId="55465" xr:uid="{00000000-0005-0000-0000-000035C60000}"/>
    <cellStyle name="Normal 2 4 5 22 2 9" xfId="55466" xr:uid="{00000000-0005-0000-0000-000036C60000}"/>
    <cellStyle name="Normal 2 4 5 22 3" xfId="21203" xr:uid="{00000000-0005-0000-0000-000037C60000}"/>
    <cellStyle name="Normal 2 4 5 22 3 2" xfId="21204" xr:uid="{00000000-0005-0000-0000-000038C60000}"/>
    <cellStyle name="Normal 2 4 5 22 3 2 2" xfId="21205" xr:uid="{00000000-0005-0000-0000-000039C60000}"/>
    <cellStyle name="Normal 2 4 5 22 3 2 2 2" xfId="55467" xr:uid="{00000000-0005-0000-0000-00003AC60000}"/>
    <cellStyle name="Normal 2 4 5 22 3 2 3" xfId="21206" xr:uid="{00000000-0005-0000-0000-00003BC60000}"/>
    <cellStyle name="Normal 2 4 5 22 3 2 3 2" xfId="55468" xr:uid="{00000000-0005-0000-0000-00003CC60000}"/>
    <cellStyle name="Normal 2 4 5 22 3 2 4" xfId="55469" xr:uid="{00000000-0005-0000-0000-00003DC60000}"/>
    <cellStyle name="Normal 2 4 5 22 3 3" xfId="21207" xr:uid="{00000000-0005-0000-0000-00003EC60000}"/>
    <cellStyle name="Normal 2 4 5 22 3 3 2" xfId="55470" xr:uid="{00000000-0005-0000-0000-00003FC60000}"/>
    <cellStyle name="Normal 2 4 5 22 3 4" xfId="21208" xr:uid="{00000000-0005-0000-0000-000040C60000}"/>
    <cellStyle name="Normal 2 4 5 22 3 4 2" xfId="55471" xr:uid="{00000000-0005-0000-0000-000041C60000}"/>
    <cellStyle name="Normal 2 4 5 22 3 5" xfId="21209" xr:uid="{00000000-0005-0000-0000-000042C60000}"/>
    <cellStyle name="Normal 2 4 5 22 3 5 2" xfId="55472" xr:uid="{00000000-0005-0000-0000-000043C60000}"/>
    <cellStyle name="Normal 2 4 5 22 3 6" xfId="55473" xr:uid="{00000000-0005-0000-0000-000044C60000}"/>
    <cellStyle name="Normal 2 4 5 22 3 6 2" xfId="55474" xr:uid="{00000000-0005-0000-0000-000045C60000}"/>
    <cellStyle name="Normal 2 4 5 22 3 7" xfId="55475" xr:uid="{00000000-0005-0000-0000-000046C60000}"/>
    <cellStyle name="Normal 2 4 5 22 4" xfId="21210" xr:uid="{00000000-0005-0000-0000-000047C60000}"/>
    <cellStyle name="Normal 2 4 5 22 4 2" xfId="21211" xr:uid="{00000000-0005-0000-0000-000048C60000}"/>
    <cellStyle name="Normal 2 4 5 22 4 2 2" xfId="55476" xr:uid="{00000000-0005-0000-0000-000049C60000}"/>
    <cellStyle name="Normal 2 4 5 22 4 3" xfId="21212" xr:uid="{00000000-0005-0000-0000-00004AC60000}"/>
    <cellStyle name="Normal 2 4 5 22 4 3 2" xfId="55477" xr:uid="{00000000-0005-0000-0000-00004BC60000}"/>
    <cellStyle name="Normal 2 4 5 22 4 4" xfId="55478" xr:uid="{00000000-0005-0000-0000-00004CC60000}"/>
    <cellStyle name="Normal 2 4 5 22 5" xfId="21213" xr:uid="{00000000-0005-0000-0000-00004DC60000}"/>
    <cellStyle name="Normal 2 4 5 22 5 2" xfId="21214" xr:uid="{00000000-0005-0000-0000-00004EC60000}"/>
    <cellStyle name="Normal 2 4 5 22 5 2 2" xfId="55479" xr:uid="{00000000-0005-0000-0000-00004FC60000}"/>
    <cellStyle name="Normal 2 4 5 22 5 3" xfId="55480" xr:uid="{00000000-0005-0000-0000-000050C60000}"/>
    <cellStyle name="Normal 2 4 5 22 6" xfId="21215" xr:uid="{00000000-0005-0000-0000-000051C60000}"/>
    <cellStyle name="Normal 2 4 5 22 6 2" xfId="55481" xr:uid="{00000000-0005-0000-0000-000052C60000}"/>
    <cellStyle name="Normal 2 4 5 22 7" xfId="21216" xr:uid="{00000000-0005-0000-0000-000053C60000}"/>
    <cellStyle name="Normal 2 4 5 22 7 2" xfId="55482" xr:uid="{00000000-0005-0000-0000-000054C60000}"/>
    <cellStyle name="Normal 2 4 5 22 8" xfId="55483" xr:uid="{00000000-0005-0000-0000-000055C60000}"/>
    <cellStyle name="Normal 2 4 5 22 8 2" xfId="55484" xr:uid="{00000000-0005-0000-0000-000056C60000}"/>
    <cellStyle name="Normal 2 4 5 22 9" xfId="55485" xr:uid="{00000000-0005-0000-0000-000057C60000}"/>
    <cellStyle name="Normal 2 4 5 23" xfId="21217" xr:uid="{00000000-0005-0000-0000-000058C60000}"/>
    <cellStyle name="Normal 2 4 5 23 10" xfId="55486" xr:uid="{00000000-0005-0000-0000-000059C60000}"/>
    <cellStyle name="Normal 2 4 5 23 11" xfId="55487" xr:uid="{00000000-0005-0000-0000-00005AC60000}"/>
    <cellStyle name="Normal 2 4 5 23 2" xfId="21218" xr:uid="{00000000-0005-0000-0000-00005BC60000}"/>
    <cellStyle name="Normal 2 4 5 23 2 10" xfId="55488" xr:uid="{00000000-0005-0000-0000-00005CC60000}"/>
    <cellStyle name="Normal 2 4 5 23 2 2" xfId="21219" xr:uid="{00000000-0005-0000-0000-00005DC60000}"/>
    <cellStyle name="Normal 2 4 5 23 2 2 2" xfId="21220" xr:uid="{00000000-0005-0000-0000-00005EC60000}"/>
    <cellStyle name="Normal 2 4 5 23 2 2 2 2" xfId="21221" xr:uid="{00000000-0005-0000-0000-00005FC60000}"/>
    <cellStyle name="Normal 2 4 5 23 2 2 2 2 2" xfId="55489" xr:uid="{00000000-0005-0000-0000-000060C60000}"/>
    <cellStyle name="Normal 2 4 5 23 2 2 2 3" xfId="21222" xr:uid="{00000000-0005-0000-0000-000061C60000}"/>
    <cellStyle name="Normal 2 4 5 23 2 2 2 3 2" xfId="55490" xr:uid="{00000000-0005-0000-0000-000062C60000}"/>
    <cellStyle name="Normal 2 4 5 23 2 2 2 4" xfId="55491" xr:uid="{00000000-0005-0000-0000-000063C60000}"/>
    <cellStyle name="Normal 2 4 5 23 2 2 3" xfId="21223" xr:uid="{00000000-0005-0000-0000-000064C60000}"/>
    <cellStyle name="Normal 2 4 5 23 2 2 3 2" xfId="55492" xr:uid="{00000000-0005-0000-0000-000065C60000}"/>
    <cellStyle name="Normal 2 4 5 23 2 2 4" xfId="21224" xr:uid="{00000000-0005-0000-0000-000066C60000}"/>
    <cellStyle name="Normal 2 4 5 23 2 2 4 2" xfId="55493" xr:uid="{00000000-0005-0000-0000-000067C60000}"/>
    <cellStyle name="Normal 2 4 5 23 2 2 5" xfId="21225" xr:uid="{00000000-0005-0000-0000-000068C60000}"/>
    <cellStyle name="Normal 2 4 5 23 2 2 5 2" xfId="55494" xr:uid="{00000000-0005-0000-0000-000069C60000}"/>
    <cellStyle name="Normal 2 4 5 23 2 2 6" xfId="55495" xr:uid="{00000000-0005-0000-0000-00006AC60000}"/>
    <cellStyle name="Normal 2 4 5 23 2 2 6 2" xfId="55496" xr:uid="{00000000-0005-0000-0000-00006BC60000}"/>
    <cellStyle name="Normal 2 4 5 23 2 2 7" xfId="55497" xr:uid="{00000000-0005-0000-0000-00006CC60000}"/>
    <cellStyle name="Normal 2 4 5 23 2 3" xfId="21226" xr:uid="{00000000-0005-0000-0000-00006DC60000}"/>
    <cellStyle name="Normal 2 4 5 23 2 3 2" xfId="21227" xr:uid="{00000000-0005-0000-0000-00006EC60000}"/>
    <cellStyle name="Normal 2 4 5 23 2 3 2 2" xfId="55498" xr:uid="{00000000-0005-0000-0000-00006FC60000}"/>
    <cellStyle name="Normal 2 4 5 23 2 3 3" xfId="21228" xr:uid="{00000000-0005-0000-0000-000070C60000}"/>
    <cellStyle name="Normal 2 4 5 23 2 3 3 2" xfId="55499" xr:uid="{00000000-0005-0000-0000-000071C60000}"/>
    <cellStyle name="Normal 2 4 5 23 2 3 4" xfId="55500" xr:uid="{00000000-0005-0000-0000-000072C60000}"/>
    <cellStyle name="Normal 2 4 5 23 2 4" xfId="21229" xr:uid="{00000000-0005-0000-0000-000073C60000}"/>
    <cellStyle name="Normal 2 4 5 23 2 4 2" xfId="21230" xr:uid="{00000000-0005-0000-0000-000074C60000}"/>
    <cellStyle name="Normal 2 4 5 23 2 4 2 2" xfId="55501" xr:uid="{00000000-0005-0000-0000-000075C60000}"/>
    <cellStyle name="Normal 2 4 5 23 2 4 3" xfId="55502" xr:uid="{00000000-0005-0000-0000-000076C60000}"/>
    <cellStyle name="Normal 2 4 5 23 2 5" xfId="21231" xr:uid="{00000000-0005-0000-0000-000077C60000}"/>
    <cellStyle name="Normal 2 4 5 23 2 5 2" xfId="55503" xr:uid="{00000000-0005-0000-0000-000078C60000}"/>
    <cellStyle name="Normal 2 4 5 23 2 6" xfId="21232" xr:uid="{00000000-0005-0000-0000-000079C60000}"/>
    <cellStyle name="Normal 2 4 5 23 2 6 2" xfId="55504" xr:uid="{00000000-0005-0000-0000-00007AC60000}"/>
    <cellStyle name="Normal 2 4 5 23 2 7" xfId="55505" xr:uid="{00000000-0005-0000-0000-00007BC60000}"/>
    <cellStyle name="Normal 2 4 5 23 2 7 2" xfId="55506" xr:uid="{00000000-0005-0000-0000-00007CC60000}"/>
    <cellStyle name="Normal 2 4 5 23 2 8" xfId="55507" xr:uid="{00000000-0005-0000-0000-00007DC60000}"/>
    <cellStyle name="Normal 2 4 5 23 2 9" xfId="55508" xr:uid="{00000000-0005-0000-0000-00007EC60000}"/>
    <cellStyle name="Normal 2 4 5 23 3" xfId="21233" xr:uid="{00000000-0005-0000-0000-00007FC60000}"/>
    <cellStyle name="Normal 2 4 5 23 3 2" xfId="21234" xr:uid="{00000000-0005-0000-0000-000080C60000}"/>
    <cellStyle name="Normal 2 4 5 23 3 2 2" xfId="21235" xr:uid="{00000000-0005-0000-0000-000081C60000}"/>
    <cellStyle name="Normal 2 4 5 23 3 2 2 2" xfId="55509" xr:uid="{00000000-0005-0000-0000-000082C60000}"/>
    <cellStyle name="Normal 2 4 5 23 3 2 3" xfId="21236" xr:uid="{00000000-0005-0000-0000-000083C60000}"/>
    <cellStyle name="Normal 2 4 5 23 3 2 3 2" xfId="55510" xr:uid="{00000000-0005-0000-0000-000084C60000}"/>
    <cellStyle name="Normal 2 4 5 23 3 2 4" xfId="55511" xr:uid="{00000000-0005-0000-0000-000085C60000}"/>
    <cellStyle name="Normal 2 4 5 23 3 3" xfId="21237" xr:uid="{00000000-0005-0000-0000-000086C60000}"/>
    <cellStyle name="Normal 2 4 5 23 3 3 2" xfId="55512" xr:uid="{00000000-0005-0000-0000-000087C60000}"/>
    <cellStyle name="Normal 2 4 5 23 3 4" xfId="21238" xr:uid="{00000000-0005-0000-0000-000088C60000}"/>
    <cellStyle name="Normal 2 4 5 23 3 4 2" xfId="55513" xr:uid="{00000000-0005-0000-0000-000089C60000}"/>
    <cellStyle name="Normal 2 4 5 23 3 5" xfId="21239" xr:uid="{00000000-0005-0000-0000-00008AC60000}"/>
    <cellStyle name="Normal 2 4 5 23 3 5 2" xfId="55514" xr:uid="{00000000-0005-0000-0000-00008BC60000}"/>
    <cellStyle name="Normal 2 4 5 23 3 6" xfId="55515" xr:uid="{00000000-0005-0000-0000-00008CC60000}"/>
    <cellStyle name="Normal 2 4 5 23 3 6 2" xfId="55516" xr:uid="{00000000-0005-0000-0000-00008DC60000}"/>
    <cellStyle name="Normal 2 4 5 23 3 7" xfId="55517" xr:uid="{00000000-0005-0000-0000-00008EC60000}"/>
    <cellStyle name="Normal 2 4 5 23 4" xfId="21240" xr:uid="{00000000-0005-0000-0000-00008FC60000}"/>
    <cellStyle name="Normal 2 4 5 23 4 2" xfId="21241" xr:uid="{00000000-0005-0000-0000-000090C60000}"/>
    <cellStyle name="Normal 2 4 5 23 4 2 2" xfId="55518" xr:uid="{00000000-0005-0000-0000-000091C60000}"/>
    <cellStyle name="Normal 2 4 5 23 4 3" xfId="21242" xr:uid="{00000000-0005-0000-0000-000092C60000}"/>
    <cellStyle name="Normal 2 4 5 23 4 3 2" xfId="55519" xr:uid="{00000000-0005-0000-0000-000093C60000}"/>
    <cellStyle name="Normal 2 4 5 23 4 4" xfId="55520" xr:uid="{00000000-0005-0000-0000-000094C60000}"/>
    <cellStyle name="Normal 2 4 5 23 5" xfId="21243" xr:uid="{00000000-0005-0000-0000-000095C60000}"/>
    <cellStyle name="Normal 2 4 5 23 5 2" xfId="21244" xr:uid="{00000000-0005-0000-0000-000096C60000}"/>
    <cellStyle name="Normal 2 4 5 23 5 2 2" xfId="55521" xr:uid="{00000000-0005-0000-0000-000097C60000}"/>
    <cellStyle name="Normal 2 4 5 23 5 3" xfId="55522" xr:uid="{00000000-0005-0000-0000-000098C60000}"/>
    <cellStyle name="Normal 2 4 5 23 6" xfId="21245" xr:uid="{00000000-0005-0000-0000-000099C60000}"/>
    <cellStyle name="Normal 2 4 5 23 6 2" xfId="55523" xr:uid="{00000000-0005-0000-0000-00009AC60000}"/>
    <cellStyle name="Normal 2 4 5 23 7" xfId="21246" xr:uid="{00000000-0005-0000-0000-00009BC60000}"/>
    <cellStyle name="Normal 2 4 5 23 7 2" xfId="55524" xr:uid="{00000000-0005-0000-0000-00009CC60000}"/>
    <cellStyle name="Normal 2 4 5 23 8" xfId="55525" xr:uid="{00000000-0005-0000-0000-00009DC60000}"/>
    <cellStyle name="Normal 2 4 5 23 8 2" xfId="55526" xr:uid="{00000000-0005-0000-0000-00009EC60000}"/>
    <cellStyle name="Normal 2 4 5 23 9" xfId="55527" xr:uid="{00000000-0005-0000-0000-00009FC60000}"/>
    <cellStyle name="Normal 2 4 5 24" xfId="21247" xr:uid="{00000000-0005-0000-0000-0000A0C60000}"/>
    <cellStyle name="Normal 2 4 5 24 10" xfId="55528" xr:uid="{00000000-0005-0000-0000-0000A1C60000}"/>
    <cellStyle name="Normal 2 4 5 24 11" xfId="55529" xr:uid="{00000000-0005-0000-0000-0000A2C60000}"/>
    <cellStyle name="Normal 2 4 5 24 2" xfId="21248" xr:uid="{00000000-0005-0000-0000-0000A3C60000}"/>
    <cellStyle name="Normal 2 4 5 24 2 10" xfId="55530" xr:uid="{00000000-0005-0000-0000-0000A4C60000}"/>
    <cellStyle name="Normal 2 4 5 24 2 2" xfId="21249" xr:uid="{00000000-0005-0000-0000-0000A5C60000}"/>
    <cellStyle name="Normal 2 4 5 24 2 2 2" xfId="21250" xr:uid="{00000000-0005-0000-0000-0000A6C60000}"/>
    <cellStyle name="Normal 2 4 5 24 2 2 2 2" xfId="21251" xr:uid="{00000000-0005-0000-0000-0000A7C60000}"/>
    <cellStyle name="Normal 2 4 5 24 2 2 2 2 2" xfId="55531" xr:uid="{00000000-0005-0000-0000-0000A8C60000}"/>
    <cellStyle name="Normal 2 4 5 24 2 2 2 3" xfId="21252" xr:uid="{00000000-0005-0000-0000-0000A9C60000}"/>
    <cellStyle name="Normal 2 4 5 24 2 2 2 3 2" xfId="55532" xr:uid="{00000000-0005-0000-0000-0000AAC60000}"/>
    <cellStyle name="Normal 2 4 5 24 2 2 2 4" xfId="55533" xr:uid="{00000000-0005-0000-0000-0000ABC60000}"/>
    <cellStyle name="Normal 2 4 5 24 2 2 3" xfId="21253" xr:uid="{00000000-0005-0000-0000-0000ACC60000}"/>
    <cellStyle name="Normal 2 4 5 24 2 2 3 2" xfId="55534" xr:uid="{00000000-0005-0000-0000-0000ADC60000}"/>
    <cellStyle name="Normal 2 4 5 24 2 2 4" xfId="21254" xr:uid="{00000000-0005-0000-0000-0000AEC60000}"/>
    <cellStyle name="Normal 2 4 5 24 2 2 4 2" xfId="55535" xr:uid="{00000000-0005-0000-0000-0000AFC60000}"/>
    <cellStyle name="Normal 2 4 5 24 2 2 5" xfId="21255" xr:uid="{00000000-0005-0000-0000-0000B0C60000}"/>
    <cellStyle name="Normal 2 4 5 24 2 2 5 2" xfId="55536" xr:uid="{00000000-0005-0000-0000-0000B1C60000}"/>
    <cellStyle name="Normal 2 4 5 24 2 2 6" xfId="55537" xr:uid="{00000000-0005-0000-0000-0000B2C60000}"/>
    <cellStyle name="Normal 2 4 5 24 2 2 6 2" xfId="55538" xr:uid="{00000000-0005-0000-0000-0000B3C60000}"/>
    <cellStyle name="Normal 2 4 5 24 2 2 7" xfId="55539" xr:uid="{00000000-0005-0000-0000-0000B4C60000}"/>
    <cellStyle name="Normal 2 4 5 24 2 3" xfId="21256" xr:uid="{00000000-0005-0000-0000-0000B5C60000}"/>
    <cellStyle name="Normal 2 4 5 24 2 3 2" xfId="21257" xr:uid="{00000000-0005-0000-0000-0000B6C60000}"/>
    <cellStyle name="Normal 2 4 5 24 2 3 2 2" xfId="55540" xr:uid="{00000000-0005-0000-0000-0000B7C60000}"/>
    <cellStyle name="Normal 2 4 5 24 2 3 3" xfId="21258" xr:uid="{00000000-0005-0000-0000-0000B8C60000}"/>
    <cellStyle name="Normal 2 4 5 24 2 3 3 2" xfId="55541" xr:uid="{00000000-0005-0000-0000-0000B9C60000}"/>
    <cellStyle name="Normal 2 4 5 24 2 3 4" xfId="55542" xr:uid="{00000000-0005-0000-0000-0000BAC60000}"/>
    <cellStyle name="Normal 2 4 5 24 2 4" xfId="21259" xr:uid="{00000000-0005-0000-0000-0000BBC60000}"/>
    <cellStyle name="Normal 2 4 5 24 2 4 2" xfId="21260" xr:uid="{00000000-0005-0000-0000-0000BCC60000}"/>
    <cellStyle name="Normal 2 4 5 24 2 4 2 2" xfId="55543" xr:uid="{00000000-0005-0000-0000-0000BDC60000}"/>
    <cellStyle name="Normal 2 4 5 24 2 4 3" xfId="55544" xr:uid="{00000000-0005-0000-0000-0000BEC60000}"/>
    <cellStyle name="Normal 2 4 5 24 2 5" xfId="21261" xr:uid="{00000000-0005-0000-0000-0000BFC60000}"/>
    <cellStyle name="Normal 2 4 5 24 2 5 2" xfId="55545" xr:uid="{00000000-0005-0000-0000-0000C0C60000}"/>
    <cellStyle name="Normal 2 4 5 24 2 6" xfId="21262" xr:uid="{00000000-0005-0000-0000-0000C1C60000}"/>
    <cellStyle name="Normal 2 4 5 24 2 6 2" xfId="55546" xr:uid="{00000000-0005-0000-0000-0000C2C60000}"/>
    <cellStyle name="Normal 2 4 5 24 2 7" xfId="55547" xr:uid="{00000000-0005-0000-0000-0000C3C60000}"/>
    <cellStyle name="Normal 2 4 5 24 2 7 2" xfId="55548" xr:uid="{00000000-0005-0000-0000-0000C4C60000}"/>
    <cellStyle name="Normal 2 4 5 24 2 8" xfId="55549" xr:uid="{00000000-0005-0000-0000-0000C5C60000}"/>
    <cellStyle name="Normal 2 4 5 24 2 9" xfId="55550" xr:uid="{00000000-0005-0000-0000-0000C6C60000}"/>
    <cellStyle name="Normal 2 4 5 24 3" xfId="21263" xr:uid="{00000000-0005-0000-0000-0000C7C60000}"/>
    <cellStyle name="Normal 2 4 5 24 3 2" xfId="21264" xr:uid="{00000000-0005-0000-0000-0000C8C60000}"/>
    <cellStyle name="Normal 2 4 5 24 3 2 2" xfId="21265" xr:uid="{00000000-0005-0000-0000-0000C9C60000}"/>
    <cellStyle name="Normal 2 4 5 24 3 2 2 2" xfId="55551" xr:uid="{00000000-0005-0000-0000-0000CAC60000}"/>
    <cellStyle name="Normal 2 4 5 24 3 2 3" xfId="21266" xr:uid="{00000000-0005-0000-0000-0000CBC60000}"/>
    <cellStyle name="Normal 2 4 5 24 3 2 3 2" xfId="55552" xr:uid="{00000000-0005-0000-0000-0000CCC60000}"/>
    <cellStyle name="Normal 2 4 5 24 3 2 4" xfId="55553" xr:uid="{00000000-0005-0000-0000-0000CDC60000}"/>
    <cellStyle name="Normal 2 4 5 24 3 3" xfId="21267" xr:uid="{00000000-0005-0000-0000-0000CEC60000}"/>
    <cellStyle name="Normal 2 4 5 24 3 3 2" xfId="55554" xr:uid="{00000000-0005-0000-0000-0000CFC60000}"/>
    <cellStyle name="Normal 2 4 5 24 3 4" xfId="21268" xr:uid="{00000000-0005-0000-0000-0000D0C60000}"/>
    <cellStyle name="Normal 2 4 5 24 3 4 2" xfId="55555" xr:uid="{00000000-0005-0000-0000-0000D1C60000}"/>
    <cellStyle name="Normal 2 4 5 24 3 5" xfId="21269" xr:uid="{00000000-0005-0000-0000-0000D2C60000}"/>
    <cellStyle name="Normal 2 4 5 24 3 5 2" xfId="55556" xr:uid="{00000000-0005-0000-0000-0000D3C60000}"/>
    <cellStyle name="Normal 2 4 5 24 3 6" xfId="55557" xr:uid="{00000000-0005-0000-0000-0000D4C60000}"/>
    <cellStyle name="Normal 2 4 5 24 3 6 2" xfId="55558" xr:uid="{00000000-0005-0000-0000-0000D5C60000}"/>
    <cellStyle name="Normal 2 4 5 24 3 7" xfId="55559" xr:uid="{00000000-0005-0000-0000-0000D6C60000}"/>
    <cellStyle name="Normal 2 4 5 24 4" xfId="21270" xr:uid="{00000000-0005-0000-0000-0000D7C60000}"/>
    <cellStyle name="Normal 2 4 5 24 4 2" xfId="21271" xr:uid="{00000000-0005-0000-0000-0000D8C60000}"/>
    <cellStyle name="Normal 2 4 5 24 4 2 2" xfId="55560" xr:uid="{00000000-0005-0000-0000-0000D9C60000}"/>
    <cellStyle name="Normal 2 4 5 24 4 3" xfId="21272" xr:uid="{00000000-0005-0000-0000-0000DAC60000}"/>
    <cellStyle name="Normal 2 4 5 24 4 3 2" xfId="55561" xr:uid="{00000000-0005-0000-0000-0000DBC60000}"/>
    <cellStyle name="Normal 2 4 5 24 4 4" xfId="55562" xr:uid="{00000000-0005-0000-0000-0000DCC60000}"/>
    <cellStyle name="Normal 2 4 5 24 5" xfId="21273" xr:uid="{00000000-0005-0000-0000-0000DDC60000}"/>
    <cellStyle name="Normal 2 4 5 24 5 2" xfId="21274" xr:uid="{00000000-0005-0000-0000-0000DEC60000}"/>
    <cellStyle name="Normal 2 4 5 24 5 2 2" xfId="55563" xr:uid="{00000000-0005-0000-0000-0000DFC60000}"/>
    <cellStyle name="Normal 2 4 5 24 5 3" xfId="55564" xr:uid="{00000000-0005-0000-0000-0000E0C60000}"/>
    <cellStyle name="Normal 2 4 5 24 6" xfId="21275" xr:uid="{00000000-0005-0000-0000-0000E1C60000}"/>
    <cellStyle name="Normal 2 4 5 24 6 2" xfId="55565" xr:uid="{00000000-0005-0000-0000-0000E2C60000}"/>
    <cellStyle name="Normal 2 4 5 24 7" xfId="21276" xr:uid="{00000000-0005-0000-0000-0000E3C60000}"/>
    <cellStyle name="Normal 2 4 5 24 7 2" xfId="55566" xr:uid="{00000000-0005-0000-0000-0000E4C60000}"/>
    <cellStyle name="Normal 2 4 5 24 8" xfId="55567" xr:uid="{00000000-0005-0000-0000-0000E5C60000}"/>
    <cellStyle name="Normal 2 4 5 24 8 2" xfId="55568" xr:uid="{00000000-0005-0000-0000-0000E6C60000}"/>
    <cellStyle name="Normal 2 4 5 24 9" xfId="55569" xr:uid="{00000000-0005-0000-0000-0000E7C60000}"/>
    <cellStyle name="Normal 2 4 5 25" xfId="21277" xr:uid="{00000000-0005-0000-0000-0000E8C60000}"/>
    <cellStyle name="Normal 2 4 5 25 10" xfId="55570" xr:uid="{00000000-0005-0000-0000-0000E9C60000}"/>
    <cellStyle name="Normal 2 4 5 25 11" xfId="55571" xr:uid="{00000000-0005-0000-0000-0000EAC60000}"/>
    <cellStyle name="Normal 2 4 5 25 2" xfId="21278" xr:uid="{00000000-0005-0000-0000-0000EBC60000}"/>
    <cellStyle name="Normal 2 4 5 25 2 10" xfId="55572" xr:uid="{00000000-0005-0000-0000-0000ECC60000}"/>
    <cellStyle name="Normal 2 4 5 25 2 2" xfId="21279" xr:uid="{00000000-0005-0000-0000-0000EDC60000}"/>
    <cellStyle name="Normal 2 4 5 25 2 2 2" xfId="21280" xr:uid="{00000000-0005-0000-0000-0000EEC60000}"/>
    <cellStyle name="Normal 2 4 5 25 2 2 2 2" xfId="21281" xr:uid="{00000000-0005-0000-0000-0000EFC60000}"/>
    <cellStyle name="Normal 2 4 5 25 2 2 2 2 2" xfId="55573" xr:uid="{00000000-0005-0000-0000-0000F0C60000}"/>
    <cellStyle name="Normal 2 4 5 25 2 2 2 3" xfId="21282" xr:uid="{00000000-0005-0000-0000-0000F1C60000}"/>
    <cellStyle name="Normal 2 4 5 25 2 2 2 3 2" xfId="55574" xr:uid="{00000000-0005-0000-0000-0000F2C60000}"/>
    <cellStyle name="Normal 2 4 5 25 2 2 2 4" xfId="55575" xr:uid="{00000000-0005-0000-0000-0000F3C60000}"/>
    <cellStyle name="Normal 2 4 5 25 2 2 3" xfId="21283" xr:uid="{00000000-0005-0000-0000-0000F4C60000}"/>
    <cellStyle name="Normal 2 4 5 25 2 2 3 2" xfId="55576" xr:uid="{00000000-0005-0000-0000-0000F5C60000}"/>
    <cellStyle name="Normal 2 4 5 25 2 2 4" xfId="21284" xr:uid="{00000000-0005-0000-0000-0000F6C60000}"/>
    <cellStyle name="Normal 2 4 5 25 2 2 4 2" xfId="55577" xr:uid="{00000000-0005-0000-0000-0000F7C60000}"/>
    <cellStyle name="Normal 2 4 5 25 2 2 5" xfId="21285" xr:uid="{00000000-0005-0000-0000-0000F8C60000}"/>
    <cellStyle name="Normal 2 4 5 25 2 2 5 2" xfId="55578" xr:uid="{00000000-0005-0000-0000-0000F9C60000}"/>
    <cellStyle name="Normal 2 4 5 25 2 2 6" xfId="55579" xr:uid="{00000000-0005-0000-0000-0000FAC60000}"/>
    <cellStyle name="Normal 2 4 5 25 2 2 6 2" xfId="55580" xr:uid="{00000000-0005-0000-0000-0000FBC60000}"/>
    <cellStyle name="Normal 2 4 5 25 2 2 7" xfId="55581" xr:uid="{00000000-0005-0000-0000-0000FCC60000}"/>
    <cellStyle name="Normal 2 4 5 25 2 3" xfId="21286" xr:uid="{00000000-0005-0000-0000-0000FDC60000}"/>
    <cellStyle name="Normal 2 4 5 25 2 3 2" xfId="21287" xr:uid="{00000000-0005-0000-0000-0000FEC60000}"/>
    <cellStyle name="Normal 2 4 5 25 2 3 2 2" xfId="55582" xr:uid="{00000000-0005-0000-0000-0000FFC60000}"/>
    <cellStyle name="Normal 2 4 5 25 2 3 3" xfId="21288" xr:uid="{00000000-0005-0000-0000-000000C70000}"/>
    <cellStyle name="Normal 2 4 5 25 2 3 3 2" xfId="55583" xr:uid="{00000000-0005-0000-0000-000001C70000}"/>
    <cellStyle name="Normal 2 4 5 25 2 3 4" xfId="55584" xr:uid="{00000000-0005-0000-0000-000002C70000}"/>
    <cellStyle name="Normal 2 4 5 25 2 4" xfId="21289" xr:uid="{00000000-0005-0000-0000-000003C70000}"/>
    <cellStyle name="Normal 2 4 5 25 2 4 2" xfId="21290" xr:uid="{00000000-0005-0000-0000-000004C70000}"/>
    <cellStyle name="Normal 2 4 5 25 2 4 2 2" xfId="55585" xr:uid="{00000000-0005-0000-0000-000005C70000}"/>
    <cellStyle name="Normal 2 4 5 25 2 4 3" xfId="55586" xr:uid="{00000000-0005-0000-0000-000006C70000}"/>
    <cellStyle name="Normal 2 4 5 25 2 5" xfId="21291" xr:uid="{00000000-0005-0000-0000-000007C70000}"/>
    <cellStyle name="Normal 2 4 5 25 2 5 2" xfId="55587" xr:uid="{00000000-0005-0000-0000-000008C70000}"/>
    <cellStyle name="Normal 2 4 5 25 2 6" xfId="21292" xr:uid="{00000000-0005-0000-0000-000009C70000}"/>
    <cellStyle name="Normal 2 4 5 25 2 6 2" xfId="55588" xr:uid="{00000000-0005-0000-0000-00000AC70000}"/>
    <cellStyle name="Normal 2 4 5 25 2 7" xfId="55589" xr:uid="{00000000-0005-0000-0000-00000BC70000}"/>
    <cellStyle name="Normal 2 4 5 25 2 7 2" xfId="55590" xr:uid="{00000000-0005-0000-0000-00000CC70000}"/>
    <cellStyle name="Normal 2 4 5 25 2 8" xfId="55591" xr:uid="{00000000-0005-0000-0000-00000DC70000}"/>
    <cellStyle name="Normal 2 4 5 25 2 9" xfId="55592" xr:uid="{00000000-0005-0000-0000-00000EC70000}"/>
    <cellStyle name="Normal 2 4 5 25 3" xfId="21293" xr:uid="{00000000-0005-0000-0000-00000FC70000}"/>
    <cellStyle name="Normal 2 4 5 25 3 2" xfId="21294" xr:uid="{00000000-0005-0000-0000-000010C70000}"/>
    <cellStyle name="Normal 2 4 5 25 3 2 2" xfId="21295" xr:uid="{00000000-0005-0000-0000-000011C70000}"/>
    <cellStyle name="Normal 2 4 5 25 3 2 2 2" xfId="55593" xr:uid="{00000000-0005-0000-0000-000012C70000}"/>
    <cellStyle name="Normal 2 4 5 25 3 2 3" xfId="21296" xr:uid="{00000000-0005-0000-0000-000013C70000}"/>
    <cellStyle name="Normal 2 4 5 25 3 2 3 2" xfId="55594" xr:uid="{00000000-0005-0000-0000-000014C70000}"/>
    <cellStyle name="Normal 2 4 5 25 3 2 4" xfId="55595" xr:uid="{00000000-0005-0000-0000-000015C70000}"/>
    <cellStyle name="Normal 2 4 5 25 3 3" xfId="21297" xr:uid="{00000000-0005-0000-0000-000016C70000}"/>
    <cellStyle name="Normal 2 4 5 25 3 3 2" xfId="55596" xr:uid="{00000000-0005-0000-0000-000017C70000}"/>
    <cellStyle name="Normal 2 4 5 25 3 4" xfId="21298" xr:uid="{00000000-0005-0000-0000-000018C70000}"/>
    <cellStyle name="Normal 2 4 5 25 3 4 2" xfId="55597" xr:uid="{00000000-0005-0000-0000-000019C70000}"/>
    <cellStyle name="Normal 2 4 5 25 3 5" xfId="21299" xr:uid="{00000000-0005-0000-0000-00001AC70000}"/>
    <cellStyle name="Normal 2 4 5 25 3 5 2" xfId="55598" xr:uid="{00000000-0005-0000-0000-00001BC70000}"/>
    <cellStyle name="Normal 2 4 5 25 3 6" xfId="55599" xr:uid="{00000000-0005-0000-0000-00001CC70000}"/>
    <cellStyle name="Normal 2 4 5 25 3 6 2" xfId="55600" xr:uid="{00000000-0005-0000-0000-00001DC70000}"/>
    <cellStyle name="Normal 2 4 5 25 3 7" xfId="55601" xr:uid="{00000000-0005-0000-0000-00001EC70000}"/>
    <cellStyle name="Normal 2 4 5 25 4" xfId="21300" xr:uid="{00000000-0005-0000-0000-00001FC70000}"/>
    <cellStyle name="Normal 2 4 5 25 4 2" xfId="21301" xr:uid="{00000000-0005-0000-0000-000020C70000}"/>
    <cellStyle name="Normal 2 4 5 25 4 2 2" xfId="55602" xr:uid="{00000000-0005-0000-0000-000021C70000}"/>
    <cellStyle name="Normal 2 4 5 25 4 3" xfId="21302" xr:uid="{00000000-0005-0000-0000-000022C70000}"/>
    <cellStyle name="Normal 2 4 5 25 4 3 2" xfId="55603" xr:uid="{00000000-0005-0000-0000-000023C70000}"/>
    <cellStyle name="Normal 2 4 5 25 4 4" xfId="55604" xr:uid="{00000000-0005-0000-0000-000024C70000}"/>
    <cellStyle name="Normal 2 4 5 25 5" xfId="21303" xr:uid="{00000000-0005-0000-0000-000025C70000}"/>
    <cellStyle name="Normal 2 4 5 25 5 2" xfId="21304" xr:uid="{00000000-0005-0000-0000-000026C70000}"/>
    <cellStyle name="Normal 2 4 5 25 5 2 2" xfId="55605" xr:uid="{00000000-0005-0000-0000-000027C70000}"/>
    <cellStyle name="Normal 2 4 5 25 5 3" xfId="55606" xr:uid="{00000000-0005-0000-0000-000028C70000}"/>
    <cellStyle name="Normal 2 4 5 25 6" xfId="21305" xr:uid="{00000000-0005-0000-0000-000029C70000}"/>
    <cellStyle name="Normal 2 4 5 25 6 2" xfId="55607" xr:uid="{00000000-0005-0000-0000-00002AC70000}"/>
    <cellStyle name="Normal 2 4 5 25 7" xfId="21306" xr:uid="{00000000-0005-0000-0000-00002BC70000}"/>
    <cellStyle name="Normal 2 4 5 25 7 2" xfId="55608" xr:uid="{00000000-0005-0000-0000-00002CC70000}"/>
    <cellStyle name="Normal 2 4 5 25 8" xfId="55609" xr:uid="{00000000-0005-0000-0000-00002DC70000}"/>
    <cellStyle name="Normal 2 4 5 25 8 2" xfId="55610" xr:uid="{00000000-0005-0000-0000-00002EC70000}"/>
    <cellStyle name="Normal 2 4 5 25 9" xfId="55611" xr:uid="{00000000-0005-0000-0000-00002FC70000}"/>
    <cellStyle name="Normal 2 4 5 26" xfId="21307" xr:uid="{00000000-0005-0000-0000-000030C70000}"/>
    <cellStyle name="Normal 2 4 5 26 10" xfId="55612" xr:uid="{00000000-0005-0000-0000-000031C70000}"/>
    <cellStyle name="Normal 2 4 5 26 11" xfId="55613" xr:uid="{00000000-0005-0000-0000-000032C70000}"/>
    <cellStyle name="Normal 2 4 5 26 2" xfId="21308" xr:uid="{00000000-0005-0000-0000-000033C70000}"/>
    <cellStyle name="Normal 2 4 5 26 2 10" xfId="55614" xr:uid="{00000000-0005-0000-0000-000034C70000}"/>
    <cellStyle name="Normal 2 4 5 26 2 2" xfId="21309" xr:uid="{00000000-0005-0000-0000-000035C70000}"/>
    <cellStyle name="Normal 2 4 5 26 2 2 2" xfId="21310" xr:uid="{00000000-0005-0000-0000-000036C70000}"/>
    <cellStyle name="Normal 2 4 5 26 2 2 2 2" xfId="21311" xr:uid="{00000000-0005-0000-0000-000037C70000}"/>
    <cellStyle name="Normal 2 4 5 26 2 2 2 2 2" xfId="55615" xr:uid="{00000000-0005-0000-0000-000038C70000}"/>
    <cellStyle name="Normal 2 4 5 26 2 2 2 3" xfId="21312" xr:uid="{00000000-0005-0000-0000-000039C70000}"/>
    <cellStyle name="Normal 2 4 5 26 2 2 2 3 2" xfId="55616" xr:uid="{00000000-0005-0000-0000-00003AC70000}"/>
    <cellStyle name="Normal 2 4 5 26 2 2 2 4" xfId="55617" xr:uid="{00000000-0005-0000-0000-00003BC70000}"/>
    <cellStyle name="Normal 2 4 5 26 2 2 3" xfId="21313" xr:uid="{00000000-0005-0000-0000-00003CC70000}"/>
    <cellStyle name="Normal 2 4 5 26 2 2 3 2" xfId="55618" xr:uid="{00000000-0005-0000-0000-00003DC70000}"/>
    <cellStyle name="Normal 2 4 5 26 2 2 4" xfId="21314" xr:uid="{00000000-0005-0000-0000-00003EC70000}"/>
    <cellStyle name="Normal 2 4 5 26 2 2 4 2" xfId="55619" xr:uid="{00000000-0005-0000-0000-00003FC70000}"/>
    <cellStyle name="Normal 2 4 5 26 2 2 5" xfId="21315" xr:uid="{00000000-0005-0000-0000-000040C70000}"/>
    <cellStyle name="Normal 2 4 5 26 2 2 5 2" xfId="55620" xr:uid="{00000000-0005-0000-0000-000041C70000}"/>
    <cellStyle name="Normal 2 4 5 26 2 2 6" xfId="55621" xr:uid="{00000000-0005-0000-0000-000042C70000}"/>
    <cellStyle name="Normal 2 4 5 26 2 2 6 2" xfId="55622" xr:uid="{00000000-0005-0000-0000-000043C70000}"/>
    <cellStyle name="Normal 2 4 5 26 2 2 7" xfId="55623" xr:uid="{00000000-0005-0000-0000-000044C70000}"/>
    <cellStyle name="Normal 2 4 5 26 2 3" xfId="21316" xr:uid="{00000000-0005-0000-0000-000045C70000}"/>
    <cellStyle name="Normal 2 4 5 26 2 3 2" xfId="21317" xr:uid="{00000000-0005-0000-0000-000046C70000}"/>
    <cellStyle name="Normal 2 4 5 26 2 3 2 2" xfId="55624" xr:uid="{00000000-0005-0000-0000-000047C70000}"/>
    <cellStyle name="Normal 2 4 5 26 2 3 3" xfId="21318" xr:uid="{00000000-0005-0000-0000-000048C70000}"/>
    <cellStyle name="Normal 2 4 5 26 2 3 3 2" xfId="55625" xr:uid="{00000000-0005-0000-0000-000049C70000}"/>
    <cellStyle name="Normal 2 4 5 26 2 3 4" xfId="55626" xr:uid="{00000000-0005-0000-0000-00004AC70000}"/>
    <cellStyle name="Normal 2 4 5 26 2 4" xfId="21319" xr:uid="{00000000-0005-0000-0000-00004BC70000}"/>
    <cellStyle name="Normal 2 4 5 26 2 4 2" xfId="21320" xr:uid="{00000000-0005-0000-0000-00004CC70000}"/>
    <cellStyle name="Normal 2 4 5 26 2 4 2 2" xfId="55627" xr:uid="{00000000-0005-0000-0000-00004DC70000}"/>
    <cellStyle name="Normal 2 4 5 26 2 4 3" xfId="55628" xr:uid="{00000000-0005-0000-0000-00004EC70000}"/>
    <cellStyle name="Normal 2 4 5 26 2 5" xfId="21321" xr:uid="{00000000-0005-0000-0000-00004FC70000}"/>
    <cellStyle name="Normal 2 4 5 26 2 5 2" xfId="55629" xr:uid="{00000000-0005-0000-0000-000050C70000}"/>
    <cellStyle name="Normal 2 4 5 26 2 6" xfId="21322" xr:uid="{00000000-0005-0000-0000-000051C70000}"/>
    <cellStyle name="Normal 2 4 5 26 2 6 2" xfId="55630" xr:uid="{00000000-0005-0000-0000-000052C70000}"/>
    <cellStyle name="Normal 2 4 5 26 2 7" xfId="55631" xr:uid="{00000000-0005-0000-0000-000053C70000}"/>
    <cellStyle name="Normal 2 4 5 26 2 7 2" xfId="55632" xr:uid="{00000000-0005-0000-0000-000054C70000}"/>
    <cellStyle name="Normal 2 4 5 26 2 8" xfId="55633" xr:uid="{00000000-0005-0000-0000-000055C70000}"/>
    <cellStyle name="Normal 2 4 5 26 2 9" xfId="55634" xr:uid="{00000000-0005-0000-0000-000056C70000}"/>
    <cellStyle name="Normal 2 4 5 26 3" xfId="21323" xr:uid="{00000000-0005-0000-0000-000057C70000}"/>
    <cellStyle name="Normal 2 4 5 26 3 2" xfId="21324" xr:uid="{00000000-0005-0000-0000-000058C70000}"/>
    <cellStyle name="Normal 2 4 5 26 3 2 2" xfId="21325" xr:uid="{00000000-0005-0000-0000-000059C70000}"/>
    <cellStyle name="Normal 2 4 5 26 3 2 2 2" xfId="55635" xr:uid="{00000000-0005-0000-0000-00005AC70000}"/>
    <cellStyle name="Normal 2 4 5 26 3 2 3" xfId="21326" xr:uid="{00000000-0005-0000-0000-00005BC70000}"/>
    <cellStyle name="Normal 2 4 5 26 3 2 3 2" xfId="55636" xr:uid="{00000000-0005-0000-0000-00005CC70000}"/>
    <cellStyle name="Normal 2 4 5 26 3 2 4" xfId="55637" xr:uid="{00000000-0005-0000-0000-00005DC70000}"/>
    <cellStyle name="Normal 2 4 5 26 3 3" xfId="21327" xr:uid="{00000000-0005-0000-0000-00005EC70000}"/>
    <cellStyle name="Normal 2 4 5 26 3 3 2" xfId="55638" xr:uid="{00000000-0005-0000-0000-00005FC70000}"/>
    <cellStyle name="Normal 2 4 5 26 3 4" xfId="21328" xr:uid="{00000000-0005-0000-0000-000060C70000}"/>
    <cellStyle name="Normal 2 4 5 26 3 4 2" xfId="55639" xr:uid="{00000000-0005-0000-0000-000061C70000}"/>
    <cellStyle name="Normal 2 4 5 26 3 5" xfId="21329" xr:uid="{00000000-0005-0000-0000-000062C70000}"/>
    <cellStyle name="Normal 2 4 5 26 3 5 2" xfId="55640" xr:uid="{00000000-0005-0000-0000-000063C70000}"/>
    <cellStyle name="Normal 2 4 5 26 3 6" xfId="55641" xr:uid="{00000000-0005-0000-0000-000064C70000}"/>
    <cellStyle name="Normal 2 4 5 26 3 6 2" xfId="55642" xr:uid="{00000000-0005-0000-0000-000065C70000}"/>
    <cellStyle name="Normal 2 4 5 26 3 7" xfId="55643" xr:uid="{00000000-0005-0000-0000-000066C70000}"/>
    <cellStyle name="Normal 2 4 5 26 4" xfId="21330" xr:uid="{00000000-0005-0000-0000-000067C70000}"/>
    <cellStyle name="Normal 2 4 5 26 4 2" xfId="21331" xr:uid="{00000000-0005-0000-0000-000068C70000}"/>
    <cellStyle name="Normal 2 4 5 26 4 2 2" xfId="55644" xr:uid="{00000000-0005-0000-0000-000069C70000}"/>
    <cellStyle name="Normal 2 4 5 26 4 3" xfId="21332" xr:uid="{00000000-0005-0000-0000-00006AC70000}"/>
    <cellStyle name="Normal 2 4 5 26 4 3 2" xfId="55645" xr:uid="{00000000-0005-0000-0000-00006BC70000}"/>
    <cellStyle name="Normal 2 4 5 26 4 4" xfId="55646" xr:uid="{00000000-0005-0000-0000-00006CC70000}"/>
    <cellStyle name="Normal 2 4 5 26 5" xfId="21333" xr:uid="{00000000-0005-0000-0000-00006DC70000}"/>
    <cellStyle name="Normal 2 4 5 26 5 2" xfId="21334" xr:uid="{00000000-0005-0000-0000-00006EC70000}"/>
    <cellStyle name="Normal 2 4 5 26 5 2 2" xfId="55647" xr:uid="{00000000-0005-0000-0000-00006FC70000}"/>
    <cellStyle name="Normal 2 4 5 26 5 3" xfId="55648" xr:uid="{00000000-0005-0000-0000-000070C70000}"/>
    <cellStyle name="Normal 2 4 5 26 6" xfId="21335" xr:uid="{00000000-0005-0000-0000-000071C70000}"/>
    <cellStyle name="Normal 2 4 5 26 6 2" xfId="55649" xr:uid="{00000000-0005-0000-0000-000072C70000}"/>
    <cellStyle name="Normal 2 4 5 26 7" xfId="21336" xr:uid="{00000000-0005-0000-0000-000073C70000}"/>
    <cellStyle name="Normal 2 4 5 26 7 2" xfId="55650" xr:uid="{00000000-0005-0000-0000-000074C70000}"/>
    <cellStyle name="Normal 2 4 5 26 8" xfId="55651" xr:uid="{00000000-0005-0000-0000-000075C70000}"/>
    <cellStyle name="Normal 2 4 5 26 8 2" xfId="55652" xr:uid="{00000000-0005-0000-0000-000076C70000}"/>
    <cellStyle name="Normal 2 4 5 26 9" xfId="55653" xr:uid="{00000000-0005-0000-0000-000077C70000}"/>
    <cellStyle name="Normal 2 4 5 27" xfId="21337" xr:uid="{00000000-0005-0000-0000-000078C70000}"/>
    <cellStyle name="Normal 2 4 5 27 10" xfId="55654" xr:uid="{00000000-0005-0000-0000-000079C70000}"/>
    <cellStyle name="Normal 2 4 5 27 11" xfId="55655" xr:uid="{00000000-0005-0000-0000-00007AC70000}"/>
    <cellStyle name="Normal 2 4 5 27 2" xfId="21338" xr:uid="{00000000-0005-0000-0000-00007BC70000}"/>
    <cellStyle name="Normal 2 4 5 27 2 10" xfId="55656" xr:uid="{00000000-0005-0000-0000-00007CC70000}"/>
    <cellStyle name="Normal 2 4 5 27 2 2" xfId="21339" xr:uid="{00000000-0005-0000-0000-00007DC70000}"/>
    <cellStyle name="Normal 2 4 5 27 2 2 2" xfId="21340" xr:uid="{00000000-0005-0000-0000-00007EC70000}"/>
    <cellStyle name="Normal 2 4 5 27 2 2 2 2" xfId="21341" xr:uid="{00000000-0005-0000-0000-00007FC70000}"/>
    <cellStyle name="Normal 2 4 5 27 2 2 2 2 2" xfId="55657" xr:uid="{00000000-0005-0000-0000-000080C70000}"/>
    <cellStyle name="Normal 2 4 5 27 2 2 2 3" xfId="21342" xr:uid="{00000000-0005-0000-0000-000081C70000}"/>
    <cellStyle name="Normal 2 4 5 27 2 2 2 3 2" xfId="55658" xr:uid="{00000000-0005-0000-0000-000082C70000}"/>
    <cellStyle name="Normal 2 4 5 27 2 2 2 4" xfId="55659" xr:uid="{00000000-0005-0000-0000-000083C70000}"/>
    <cellStyle name="Normal 2 4 5 27 2 2 3" xfId="21343" xr:uid="{00000000-0005-0000-0000-000084C70000}"/>
    <cellStyle name="Normal 2 4 5 27 2 2 3 2" xfId="55660" xr:uid="{00000000-0005-0000-0000-000085C70000}"/>
    <cellStyle name="Normal 2 4 5 27 2 2 4" xfId="21344" xr:uid="{00000000-0005-0000-0000-000086C70000}"/>
    <cellStyle name="Normal 2 4 5 27 2 2 4 2" xfId="55661" xr:uid="{00000000-0005-0000-0000-000087C70000}"/>
    <cellStyle name="Normal 2 4 5 27 2 2 5" xfId="21345" xr:uid="{00000000-0005-0000-0000-000088C70000}"/>
    <cellStyle name="Normal 2 4 5 27 2 2 5 2" xfId="55662" xr:uid="{00000000-0005-0000-0000-000089C70000}"/>
    <cellStyle name="Normal 2 4 5 27 2 2 6" xfId="55663" xr:uid="{00000000-0005-0000-0000-00008AC70000}"/>
    <cellStyle name="Normal 2 4 5 27 2 2 6 2" xfId="55664" xr:uid="{00000000-0005-0000-0000-00008BC70000}"/>
    <cellStyle name="Normal 2 4 5 27 2 2 7" xfId="55665" xr:uid="{00000000-0005-0000-0000-00008CC70000}"/>
    <cellStyle name="Normal 2 4 5 27 2 3" xfId="21346" xr:uid="{00000000-0005-0000-0000-00008DC70000}"/>
    <cellStyle name="Normal 2 4 5 27 2 3 2" xfId="21347" xr:uid="{00000000-0005-0000-0000-00008EC70000}"/>
    <cellStyle name="Normal 2 4 5 27 2 3 2 2" xfId="55666" xr:uid="{00000000-0005-0000-0000-00008FC70000}"/>
    <cellStyle name="Normal 2 4 5 27 2 3 3" xfId="21348" xr:uid="{00000000-0005-0000-0000-000090C70000}"/>
    <cellStyle name="Normal 2 4 5 27 2 3 3 2" xfId="55667" xr:uid="{00000000-0005-0000-0000-000091C70000}"/>
    <cellStyle name="Normal 2 4 5 27 2 3 4" xfId="55668" xr:uid="{00000000-0005-0000-0000-000092C70000}"/>
    <cellStyle name="Normal 2 4 5 27 2 4" xfId="21349" xr:uid="{00000000-0005-0000-0000-000093C70000}"/>
    <cellStyle name="Normal 2 4 5 27 2 4 2" xfId="21350" xr:uid="{00000000-0005-0000-0000-000094C70000}"/>
    <cellStyle name="Normal 2 4 5 27 2 4 2 2" xfId="55669" xr:uid="{00000000-0005-0000-0000-000095C70000}"/>
    <cellStyle name="Normal 2 4 5 27 2 4 3" xfId="55670" xr:uid="{00000000-0005-0000-0000-000096C70000}"/>
    <cellStyle name="Normal 2 4 5 27 2 5" xfId="21351" xr:uid="{00000000-0005-0000-0000-000097C70000}"/>
    <cellStyle name="Normal 2 4 5 27 2 5 2" xfId="55671" xr:uid="{00000000-0005-0000-0000-000098C70000}"/>
    <cellStyle name="Normal 2 4 5 27 2 6" xfId="21352" xr:uid="{00000000-0005-0000-0000-000099C70000}"/>
    <cellStyle name="Normal 2 4 5 27 2 6 2" xfId="55672" xr:uid="{00000000-0005-0000-0000-00009AC70000}"/>
    <cellStyle name="Normal 2 4 5 27 2 7" xfId="55673" xr:uid="{00000000-0005-0000-0000-00009BC70000}"/>
    <cellStyle name="Normal 2 4 5 27 2 7 2" xfId="55674" xr:uid="{00000000-0005-0000-0000-00009CC70000}"/>
    <cellStyle name="Normal 2 4 5 27 2 8" xfId="55675" xr:uid="{00000000-0005-0000-0000-00009DC70000}"/>
    <cellStyle name="Normal 2 4 5 27 2 9" xfId="55676" xr:uid="{00000000-0005-0000-0000-00009EC70000}"/>
    <cellStyle name="Normal 2 4 5 27 3" xfId="21353" xr:uid="{00000000-0005-0000-0000-00009FC70000}"/>
    <cellStyle name="Normal 2 4 5 27 3 2" xfId="21354" xr:uid="{00000000-0005-0000-0000-0000A0C70000}"/>
    <cellStyle name="Normal 2 4 5 27 3 2 2" xfId="21355" xr:uid="{00000000-0005-0000-0000-0000A1C70000}"/>
    <cellStyle name="Normal 2 4 5 27 3 2 2 2" xfId="55677" xr:uid="{00000000-0005-0000-0000-0000A2C70000}"/>
    <cellStyle name="Normal 2 4 5 27 3 2 3" xfId="21356" xr:uid="{00000000-0005-0000-0000-0000A3C70000}"/>
    <cellStyle name="Normal 2 4 5 27 3 2 3 2" xfId="55678" xr:uid="{00000000-0005-0000-0000-0000A4C70000}"/>
    <cellStyle name="Normal 2 4 5 27 3 2 4" xfId="55679" xr:uid="{00000000-0005-0000-0000-0000A5C70000}"/>
    <cellStyle name="Normal 2 4 5 27 3 3" xfId="21357" xr:uid="{00000000-0005-0000-0000-0000A6C70000}"/>
    <cellStyle name="Normal 2 4 5 27 3 3 2" xfId="55680" xr:uid="{00000000-0005-0000-0000-0000A7C70000}"/>
    <cellStyle name="Normal 2 4 5 27 3 4" xfId="21358" xr:uid="{00000000-0005-0000-0000-0000A8C70000}"/>
    <cellStyle name="Normal 2 4 5 27 3 4 2" xfId="55681" xr:uid="{00000000-0005-0000-0000-0000A9C70000}"/>
    <cellStyle name="Normal 2 4 5 27 3 5" xfId="21359" xr:uid="{00000000-0005-0000-0000-0000AAC70000}"/>
    <cellStyle name="Normal 2 4 5 27 3 5 2" xfId="55682" xr:uid="{00000000-0005-0000-0000-0000ABC70000}"/>
    <cellStyle name="Normal 2 4 5 27 3 6" xfId="55683" xr:uid="{00000000-0005-0000-0000-0000ACC70000}"/>
    <cellStyle name="Normal 2 4 5 27 3 6 2" xfId="55684" xr:uid="{00000000-0005-0000-0000-0000ADC70000}"/>
    <cellStyle name="Normal 2 4 5 27 3 7" xfId="55685" xr:uid="{00000000-0005-0000-0000-0000AEC70000}"/>
    <cellStyle name="Normal 2 4 5 27 4" xfId="21360" xr:uid="{00000000-0005-0000-0000-0000AFC70000}"/>
    <cellStyle name="Normal 2 4 5 27 4 2" xfId="21361" xr:uid="{00000000-0005-0000-0000-0000B0C70000}"/>
    <cellStyle name="Normal 2 4 5 27 4 2 2" xfId="55686" xr:uid="{00000000-0005-0000-0000-0000B1C70000}"/>
    <cellStyle name="Normal 2 4 5 27 4 3" xfId="21362" xr:uid="{00000000-0005-0000-0000-0000B2C70000}"/>
    <cellStyle name="Normal 2 4 5 27 4 3 2" xfId="55687" xr:uid="{00000000-0005-0000-0000-0000B3C70000}"/>
    <cellStyle name="Normal 2 4 5 27 4 4" xfId="55688" xr:uid="{00000000-0005-0000-0000-0000B4C70000}"/>
    <cellStyle name="Normal 2 4 5 27 5" xfId="21363" xr:uid="{00000000-0005-0000-0000-0000B5C70000}"/>
    <cellStyle name="Normal 2 4 5 27 5 2" xfId="21364" xr:uid="{00000000-0005-0000-0000-0000B6C70000}"/>
    <cellStyle name="Normal 2 4 5 27 5 2 2" xfId="55689" xr:uid="{00000000-0005-0000-0000-0000B7C70000}"/>
    <cellStyle name="Normal 2 4 5 27 5 3" xfId="55690" xr:uid="{00000000-0005-0000-0000-0000B8C70000}"/>
    <cellStyle name="Normal 2 4 5 27 6" xfId="21365" xr:uid="{00000000-0005-0000-0000-0000B9C70000}"/>
    <cellStyle name="Normal 2 4 5 27 6 2" xfId="55691" xr:uid="{00000000-0005-0000-0000-0000BAC70000}"/>
    <cellStyle name="Normal 2 4 5 27 7" xfId="21366" xr:uid="{00000000-0005-0000-0000-0000BBC70000}"/>
    <cellStyle name="Normal 2 4 5 27 7 2" xfId="55692" xr:uid="{00000000-0005-0000-0000-0000BCC70000}"/>
    <cellStyle name="Normal 2 4 5 27 8" xfId="55693" xr:uid="{00000000-0005-0000-0000-0000BDC70000}"/>
    <cellStyle name="Normal 2 4 5 27 8 2" xfId="55694" xr:uid="{00000000-0005-0000-0000-0000BEC70000}"/>
    <cellStyle name="Normal 2 4 5 27 9" xfId="55695" xr:uid="{00000000-0005-0000-0000-0000BFC70000}"/>
    <cellStyle name="Normal 2 4 5 28" xfId="21367" xr:uid="{00000000-0005-0000-0000-0000C0C70000}"/>
    <cellStyle name="Normal 2 4 5 28 10" xfId="55696" xr:uid="{00000000-0005-0000-0000-0000C1C70000}"/>
    <cellStyle name="Normal 2 4 5 28 11" xfId="55697" xr:uid="{00000000-0005-0000-0000-0000C2C70000}"/>
    <cellStyle name="Normal 2 4 5 28 2" xfId="21368" xr:uid="{00000000-0005-0000-0000-0000C3C70000}"/>
    <cellStyle name="Normal 2 4 5 28 2 10" xfId="55698" xr:uid="{00000000-0005-0000-0000-0000C4C70000}"/>
    <cellStyle name="Normal 2 4 5 28 2 2" xfId="21369" xr:uid="{00000000-0005-0000-0000-0000C5C70000}"/>
    <cellStyle name="Normal 2 4 5 28 2 2 2" xfId="21370" xr:uid="{00000000-0005-0000-0000-0000C6C70000}"/>
    <cellStyle name="Normal 2 4 5 28 2 2 2 2" xfId="21371" xr:uid="{00000000-0005-0000-0000-0000C7C70000}"/>
    <cellStyle name="Normal 2 4 5 28 2 2 2 2 2" xfId="55699" xr:uid="{00000000-0005-0000-0000-0000C8C70000}"/>
    <cellStyle name="Normal 2 4 5 28 2 2 2 3" xfId="21372" xr:uid="{00000000-0005-0000-0000-0000C9C70000}"/>
    <cellStyle name="Normal 2 4 5 28 2 2 2 3 2" xfId="55700" xr:uid="{00000000-0005-0000-0000-0000CAC70000}"/>
    <cellStyle name="Normal 2 4 5 28 2 2 2 4" xfId="55701" xr:uid="{00000000-0005-0000-0000-0000CBC70000}"/>
    <cellStyle name="Normal 2 4 5 28 2 2 3" xfId="21373" xr:uid="{00000000-0005-0000-0000-0000CCC70000}"/>
    <cellStyle name="Normal 2 4 5 28 2 2 3 2" xfId="55702" xr:uid="{00000000-0005-0000-0000-0000CDC70000}"/>
    <cellStyle name="Normal 2 4 5 28 2 2 4" xfId="21374" xr:uid="{00000000-0005-0000-0000-0000CEC70000}"/>
    <cellStyle name="Normal 2 4 5 28 2 2 4 2" xfId="55703" xr:uid="{00000000-0005-0000-0000-0000CFC70000}"/>
    <cellStyle name="Normal 2 4 5 28 2 2 5" xfId="21375" xr:uid="{00000000-0005-0000-0000-0000D0C70000}"/>
    <cellStyle name="Normal 2 4 5 28 2 2 5 2" xfId="55704" xr:uid="{00000000-0005-0000-0000-0000D1C70000}"/>
    <cellStyle name="Normal 2 4 5 28 2 2 6" xfId="55705" xr:uid="{00000000-0005-0000-0000-0000D2C70000}"/>
    <cellStyle name="Normal 2 4 5 28 2 2 6 2" xfId="55706" xr:uid="{00000000-0005-0000-0000-0000D3C70000}"/>
    <cellStyle name="Normal 2 4 5 28 2 2 7" xfId="55707" xr:uid="{00000000-0005-0000-0000-0000D4C70000}"/>
    <cellStyle name="Normal 2 4 5 28 2 3" xfId="21376" xr:uid="{00000000-0005-0000-0000-0000D5C70000}"/>
    <cellStyle name="Normal 2 4 5 28 2 3 2" xfId="21377" xr:uid="{00000000-0005-0000-0000-0000D6C70000}"/>
    <cellStyle name="Normal 2 4 5 28 2 3 2 2" xfId="55708" xr:uid="{00000000-0005-0000-0000-0000D7C70000}"/>
    <cellStyle name="Normal 2 4 5 28 2 3 3" xfId="21378" xr:uid="{00000000-0005-0000-0000-0000D8C70000}"/>
    <cellStyle name="Normal 2 4 5 28 2 3 3 2" xfId="55709" xr:uid="{00000000-0005-0000-0000-0000D9C70000}"/>
    <cellStyle name="Normal 2 4 5 28 2 3 4" xfId="55710" xr:uid="{00000000-0005-0000-0000-0000DAC70000}"/>
    <cellStyle name="Normal 2 4 5 28 2 4" xfId="21379" xr:uid="{00000000-0005-0000-0000-0000DBC70000}"/>
    <cellStyle name="Normal 2 4 5 28 2 4 2" xfId="21380" xr:uid="{00000000-0005-0000-0000-0000DCC70000}"/>
    <cellStyle name="Normal 2 4 5 28 2 4 2 2" xfId="55711" xr:uid="{00000000-0005-0000-0000-0000DDC70000}"/>
    <cellStyle name="Normal 2 4 5 28 2 4 3" xfId="55712" xr:uid="{00000000-0005-0000-0000-0000DEC70000}"/>
    <cellStyle name="Normal 2 4 5 28 2 5" xfId="21381" xr:uid="{00000000-0005-0000-0000-0000DFC70000}"/>
    <cellStyle name="Normal 2 4 5 28 2 5 2" xfId="55713" xr:uid="{00000000-0005-0000-0000-0000E0C70000}"/>
    <cellStyle name="Normal 2 4 5 28 2 6" xfId="21382" xr:uid="{00000000-0005-0000-0000-0000E1C70000}"/>
    <cellStyle name="Normal 2 4 5 28 2 6 2" xfId="55714" xr:uid="{00000000-0005-0000-0000-0000E2C70000}"/>
    <cellStyle name="Normal 2 4 5 28 2 7" xfId="55715" xr:uid="{00000000-0005-0000-0000-0000E3C70000}"/>
    <cellStyle name="Normal 2 4 5 28 2 7 2" xfId="55716" xr:uid="{00000000-0005-0000-0000-0000E4C70000}"/>
    <cellStyle name="Normal 2 4 5 28 2 8" xfId="55717" xr:uid="{00000000-0005-0000-0000-0000E5C70000}"/>
    <cellStyle name="Normal 2 4 5 28 2 9" xfId="55718" xr:uid="{00000000-0005-0000-0000-0000E6C70000}"/>
    <cellStyle name="Normal 2 4 5 28 3" xfId="21383" xr:uid="{00000000-0005-0000-0000-0000E7C70000}"/>
    <cellStyle name="Normal 2 4 5 28 3 2" xfId="21384" xr:uid="{00000000-0005-0000-0000-0000E8C70000}"/>
    <cellStyle name="Normal 2 4 5 28 3 2 2" xfId="21385" xr:uid="{00000000-0005-0000-0000-0000E9C70000}"/>
    <cellStyle name="Normal 2 4 5 28 3 2 2 2" xfId="55719" xr:uid="{00000000-0005-0000-0000-0000EAC70000}"/>
    <cellStyle name="Normal 2 4 5 28 3 2 3" xfId="21386" xr:uid="{00000000-0005-0000-0000-0000EBC70000}"/>
    <cellStyle name="Normal 2 4 5 28 3 2 3 2" xfId="55720" xr:uid="{00000000-0005-0000-0000-0000ECC70000}"/>
    <cellStyle name="Normal 2 4 5 28 3 2 4" xfId="55721" xr:uid="{00000000-0005-0000-0000-0000EDC70000}"/>
    <cellStyle name="Normal 2 4 5 28 3 3" xfId="21387" xr:uid="{00000000-0005-0000-0000-0000EEC70000}"/>
    <cellStyle name="Normal 2 4 5 28 3 3 2" xfId="55722" xr:uid="{00000000-0005-0000-0000-0000EFC70000}"/>
    <cellStyle name="Normal 2 4 5 28 3 4" xfId="21388" xr:uid="{00000000-0005-0000-0000-0000F0C70000}"/>
    <cellStyle name="Normal 2 4 5 28 3 4 2" xfId="55723" xr:uid="{00000000-0005-0000-0000-0000F1C70000}"/>
    <cellStyle name="Normal 2 4 5 28 3 5" xfId="21389" xr:uid="{00000000-0005-0000-0000-0000F2C70000}"/>
    <cellStyle name="Normal 2 4 5 28 3 5 2" xfId="55724" xr:uid="{00000000-0005-0000-0000-0000F3C70000}"/>
    <cellStyle name="Normal 2 4 5 28 3 6" xfId="55725" xr:uid="{00000000-0005-0000-0000-0000F4C70000}"/>
    <cellStyle name="Normal 2 4 5 28 3 6 2" xfId="55726" xr:uid="{00000000-0005-0000-0000-0000F5C70000}"/>
    <cellStyle name="Normal 2 4 5 28 3 7" xfId="55727" xr:uid="{00000000-0005-0000-0000-0000F6C70000}"/>
    <cellStyle name="Normal 2 4 5 28 4" xfId="21390" xr:uid="{00000000-0005-0000-0000-0000F7C70000}"/>
    <cellStyle name="Normal 2 4 5 28 4 2" xfId="21391" xr:uid="{00000000-0005-0000-0000-0000F8C70000}"/>
    <cellStyle name="Normal 2 4 5 28 4 2 2" xfId="55728" xr:uid="{00000000-0005-0000-0000-0000F9C70000}"/>
    <cellStyle name="Normal 2 4 5 28 4 3" xfId="21392" xr:uid="{00000000-0005-0000-0000-0000FAC70000}"/>
    <cellStyle name="Normal 2 4 5 28 4 3 2" xfId="55729" xr:uid="{00000000-0005-0000-0000-0000FBC70000}"/>
    <cellStyle name="Normal 2 4 5 28 4 4" xfId="55730" xr:uid="{00000000-0005-0000-0000-0000FCC70000}"/>
    <cellStyle name="Normal 2 4 5 28 5" xfId="21393" xr:uid="{00000000-0005-0000-0000-0000FDC70000}"/>
    <cellStyle name="Normal 2 4 5 28 5 2" xfId="21394" xr:uid="{00000000-0005-0000-0000-0000FEC70000}"/>
    <cellStyle name="Normal 2 4 5 28 5 2 2" xfId="55731" xr:uid="{00000000-0005-0000-0000-0000FFC70000}"/>
    <cellStyle name="Normal 2 4 5 28 5 3" xfId="55732" xr:uid="{00000000-0005-0000-0000-000000C80000}"/>
    <cellStyle name="Normal 2 4 5 28 6" xfId="21395" xr:uid="{00000000-0005-0000-0000-000001C80000}"/>
    <cellStyle name="Normal 2 4 5 28 6 2" xfId="55733" xr:uid="{00000000-0005-0000-0000-000002C80000}"/>
    <cellStyle name="Normal 2 4 5 28 7" xfId="21396" xr:uid="{00000000-0005-0000-0000-000003C80000}"/>
    <cellStyle name="Normal 2 4 5 28 7 2" xfId="55734" xr:uid="{00000000-0005-0000-0000-000004C80000}"/>
    <cellStyle name="Normal 2 4 5 28 8" xfId="55735" xr:uid="{00000000-0005-0000-0000-000005C80000}"/>
    <cellStyle name="Normal 2 4 5 28 8 2" xfId="55736" xr:uid="{00000000-0005-0000-0000-000006C80000}"/>
    <cellStyle name="Normal 2 4 5 28 9" xfId="55737" xr:uid="{00000000-0005-0000-0000-000007C80000}"/>
    <cellStyle name="Normal 2 4 5 29" xfId="21397" xr:uid="{00000000-0005-0000-0000-000008C80000}"/>
    <cellStyle name="Normal 2 4 5 29 10" xfId="55738" xr:uid="{00000000-0005-0000-0000-000009C80000}"/>
    <cellStyle name="Normal 2 4 5 29 11" xfId="55739" xr:uid="{00000000-0005-0000-0000-00000AC80000}"/>
    <cellStyle name="Normal 2 4 5 29 2" xfId="21398" xr:uid="{00000000-0005-0000-0000-00000BC80000}"/>
    <cellStyle name="Normal 2 4 5 29 2 10" xfId="55740" xr:uid="{00000000-0005-0000-0000-00000CC80000}"/>
    <cellStyle name="Normal 2 4 5 29 2 2" xfId="21399" xr:uid="{00000000-0005-0000-0000-00000DC80000}"/>
    <cellStyle name="Normal 2 4 5 29 2 2 2" xfId="21400" xr:uid="{00000000-0005-0000-0000-00000EC80000}"/>
    <cellStyle name="Normal 2 4 5 29 2 2 2 2" xfId="21401" xr:uid="{00000000-0005-0000-0000-00000FC80000}"/>
    <cellStyle name="Normal 2 4 5 29 2 2 2 2 2" xfId="55741" xr:uid="{00000000-0005-0000-0000-000010C80000}"/>
    <cellStyle name="Normal 2 4 5 29 2 2 2 3" xfId="21402" xr:uid="{00000000-0005-0000-0000-000011C80000}"/>
    <cellStyle name="Normal 2 4 5 29 2 2 2 3 2" xfId="55742" xr:uid="{00000000-0005-0000-0000-000012C80000}"/>
    <cellStyle name="Normal 2 4 5 29 2 2 2 4" xfId="55743" xr:uid="{00000000-0005-0000-0000-000013C80000}"/>
    <cellStyle name="Normal 2 4 5 29 2 2 3" xfId="21403" xr:uid="{00000000-0005-0000-0000-000014C80000}"/>
    <cellStyle name="Normal 2 4 5 29 2 2 3 2" xfId="55744" xr:uid="{00000000-0005-0000-0000-000015C80000}"/>
    <cellStyle name="Normal 2 4 5 29 2 2 4" xfId="21404" xr:uid="{00000000-0005-0000-0000-000016C80000}"/>
    <cellStyle name="Normal 2 4 5 29 2 2 4 2" xfId="55745" xr:uid="{00000000-0005-0000-0000-000017C80000}"/>
    <cellStyle name="Normal 2 4 5 29 2 2 5" xfId="21405" xr:uid="{00000000-0005-0000-0000-000018C80000}"/>
    <cellStyle name="Normal 2 4 5 29 2 2 5 2" xfId="55746" xr:uid="{00000000-0005-0000-0000-000019C80000}"/>
    <cellStyle name="Normal 2 4 5 29 2 2 6" xfId="55747" xr:uid="{00000000-0005-0000-0000-00001AC80000}"/>
    <cellStyle name="Normal 2 4 5 29 2 2 6 2" xfId="55748" xr:uid="{00000000-0005-0000-0000-00001BC80000}"/>
    <cellStyle name="Normal 2 4 5 29 2 2 7" xfId="55749" xr:uid="{00000000-0005-0000-0000-00001CC80000}"/>
    <cellStyle name="Normal 2 4 5 29 2 3" xfId="21406" xr:uid="{00000000-0005-0000-0000-00001DC80000}"/>
    <cellStyle name="Normal 2 4 5 29 2 3 2" xfId="21407" xr:uid="{00000000-0005-0000-0000-00001EC80000}"/>
    <cellStyle name="Normal 2 4 5 29 2 3 2 2" xfId="55750" xr:uid="{00000000-0005-0000-0000-00001FC80000}"/>
    <cellStyle name="Normal 2 4 5 29 2 3 3" xfId="21408" xr:uid="{00000000-0005-0000-0000-000020C80000}"/>
    <cellStyle name="Normal 2 4 5 29 2 3 3 2" xfId="55751" xr:uid="{00000000-0005-0000-0000-000021C80000}"/>
    <cellStyle name="Normal 2 4 5 29 2 3 4" xfId="55752" xr:uid="{00000000-0005-0000-0000-000022C80000}"/>
    <cellStyle name="Normal 2 4 5 29 2 4" xfId="21409" xr:uid="{00000000-0005-0000-0000-000023C80000}"/>
    <cellStyle name="Normal 2 4 5 29 2 4 2" xfId="21410" xr:uid="{00000000-0005-0000-0000-000024C80000}"/>
    <cellStyle name="Normal 2 4 5 29 2 4 2 2" xfId="55753" xr:uid="{00000000-0005-0000-0000-000025C80000}"/>
    <cellStyle name="Normal 2 4 5 29 2 4 3" xfId="55754" xr:uid="{00000000-0005-0000-0000-000026C80000}"/>
    <cellStyle name="Normal 2 4 5 29 2 5" xfId="21411" xr:uid="{00000000-0005-0000-0000-000027C80000}"/>
    <cellStyle name="Normal 2 4 5 29 2 5 2" xfId="55755" xr:uid="{00000000-0005-0000-0000-000028C80000}"/>
    <cellStyle name="Normal 2 4 5 29 2 6" xfId="21412" xr:uid="{00000000-0005-0000-0000-000029C80000}"/>
    <cellStyle name="Normal 2 4 5 29 2 6 2" xfId="55756" xr:uid="{00000000-0005-0000-0000-00002AC80000}"/>
    <cellStyle name="Normal 2 4 5 29 2 7" xfId="55757" xr:uid="{00000000-0005-0000-0000-00002BC80000}"/>
    <cellStyle name="Normal 2 4 5 29 2 7 2" xfId="55758" xr:uid="{00000000-0005-0000-0000-00002CC80000}"/>
    <cellStyle name="Normal 2 4 5 29 2 8" xfId="55759" xr:uid="{00000000-0005-0000-0000-00002DC80000}"/>
    <cellStyle name="Normal 2 4 5 29 2 9" xfId="55760" xr:uid="{00000000-0005-0000-0000-00002EC80000}"/>
    <cellStyle name="Normal 2 4 5 29 3" xfId="21413" xr:uid="{00000000-0005-0000-0000-00002FC80000}"/>
    <cellStyle name="Normal 2 4 5 29 3 2" xfId="21414" xr:uid="{00000000-0005-0000-0000-000030C80000}"/>
    <cellStyle name="Normal 2 4 5 29 3 2 2" xfId="21415" xr:uid="{00000000-0005-0000-0000-000031C80000}"/>
    <cellStyle name="Normal 2 4 5 29 3 2 2 2" xfId="55761" xr:uid="{00000000-0005-0000-0000-000032C80000}"/>
    <cellStyle name="Normal 2 4 5 29 3 2 3" xfId="21416" xr:uid="{00000000-0005-0000-0000-000033C80000}"/>
    <cellStyle name="Normal 2 4 5 29 3 2 3 2" xfId="55762" xr:uid="{00000000-0005-0000-0000-000034C80000}"/>
    <cellStyle name="Normal 2 4 5 29 3 2 4" xfId="55763" xr:uid="{00000000-0005-0000-0000-000035C80000}"/>
    <cellStyle name="Normal 2 4 5 29 3 3" xfId="21417" xr:uid="{00000000-0005-0000-0000-000036C80000}"/>
    <cellStyle name="Normal 2 4 5 29 3 3 2" xfId="55764" xr:uid="{00000000-0005-0000-0000-000037C80000}"/>
    <cellStyle name="Normal 2 4 5 29 3 4" xfId="21418" xr:uid="{00000000-0005-0000-0000-000038C80000}"/>
    <cellStyle name="Normal 2 4 5 29 3 4 2" xfId="55765" xr:uid="{00000000-0005-0000-0000-000039C80000}"/>
    <cellStyle name="Normal 2 4 5 29 3 5" xfId="21419" xr:uid="{00000000-0005-0000-0000-00003AC80000}"/>
    <cellStyle name="Normal 2 4 5 29 3 5 2" xfId="55766" xr:uid="{00000000-0005-0000-0000-00003BC80000}"/>
    <cellStyle name="Normal 2 4 5 29 3 6" xfId="55767" xr:uid="{00000000-0005-0000-0000-00003CC80000}"/>
    <cellStyle name="Normal 2 4 5 29 3 6 2" xfId="55768" xr:uid="{00000000-0005-0000-0000-00003DC80000}"/>
    <cellStyle name="Normal 2 4 5 29 3 7" xfId="55769" xr:uid="{00000000-0005-0000-0000-00003EC80000}"/>
    <cellStyle name="Normal 2 4 5 29 4" xfId="21420" xr:uid="{00000000-0005-0000-0000-00003FC80000}"/>
    <cellStyle name="Normal 2 4 5 29 4 2" xfId="21421" xr:uid="{00000000-0005-0000-0000-000040C80000}"/>
    <cellStyle name="Normal 2 4 5 29 4 2 2" xfId="55770" xr:uid="{00000000-0005-0000-0000-000041C80000}"/>
    <cellStyle name="Normal 2 4 5 29 4 3" xfId="21422" xr:uid="{00000000-0005-0000-0000-000042C80000}"/>
    <cellStyle name="Normal 2 4 5 29 4 3 2" xfId="55771" xr:uid="{00000000-0005-0000-0000-000043C80000}"/>
    <cellStyle name="Normal 2 4 5 29 4 4" xfId="55772" xr:uid="{00000000-0005-0000-0000-000044C80000}"/>
    <cellStyle name="Normal 2 4 5 29 5" xfId="21423" xr:uid="{00000000-0005-0000-0000-000045C80000}"/>
    <cellStyle name="Normal 2 4 5 29 5 2" xfId="21424" xr:uid="{00000000-0005-0000-0000-000046C80000}"/>
    <cellStyle name="Normal 2 4 5 29 5 2 2" xfId="55773" xr:uid="{00000000-0005-0000-0000-000047C80000}"/>
    <cellStyle name="Normal 2 4 5 29 5 3" xfId="55774" xr:uid="{00000000-0005-0000-0000-000048C80000}"/>
    <cellStyle name="Normal 2 4 5 29 6" xfId="21425" xr:uid="{00000000-0005-0000-0000-000049C80000}"/>
    <cellStyle name="Normal 2 4 5 29 6 2" xfId="55775" xr:uid="{00000000-0005-0000-0000-00004AC80000}"/>
    <cellStyle name="Normal 2 4 5 29 7" xfId="21426" xr:uid="{00000000-0005-0000-0000-00004BC80000}"/>
    <cellStyle name="Normal 2 4 5 29 7 2" xfId="55776" xr:uid="{00000000-0005-0000-0000-00004CC80000}"/>
    <cellStyle name="Normal 2 4 5 29 8" xfId="55777" xr:uid="{00000000-0005-0000-0000-00004DC80000}"/>
    <cellStyle name="Normal 2 4 5 29 8 2" xfId="55778" xr:uid="{00000000-0005-0000-0000-00004EC80000}"/>
    <cellStyle name="Normal 2 4 5 29 9" xfId="55779" xr:uid="{00000000-0005-0000-0000-00004FC80000}"/>
    <cellStyle name="Normal 2 4 5 3" xfId="21427" xr:uid="{00000000-0005-0000-0000-000050C80000}"/>
    <cellStyle name="Normal 2 4 5 3 10" xfId="55780" xr:uid="{00000000-0005-0000-0000-000051C80000}"/>
    <cellStyle name="Normal 2 4 5 3 11" xfId="55781" xr:uid="{00000000-0005-0000-0000-000052C80000}"/>
    <cellStyle name="Normal 2 4 5 3 2" xfId="21428" xr:uid="{00000000-0005-0000-0000-000053C80000}"/>
    <cellStyle name="Normal 2 4 5 3 2 10" xfId="55782" xr:uid="{00000000-0005-0000-0000-000054C80000}"/>
    <cellStyle name="Normal 2 4 5 3 2 2" xfId="21429" xr:uid="{00000000-0005-0000-0000-000055C80000}"/>
    <cellStyle name="Normal 2 4 5 3 2 2 2" xfId="21430" xr:uid="{00000000-0005-0000-0000-000056C80000}"/>
    <cellStyle name="Normal 2 4 5 3 2 2 2 2" xfId="21431" xr:uid="{00000000-0005-0000-0000-000057C80000}"/>
    <cellStyle name="Normal 2 4 5 3 2 2 2 2 2" xfId="55783" xr:uid="{00000000-0005-0000-0000-000058C80000}"/>
    <cellStyle name="Normal 2 4 5 3 2 2 2 3" xfId="21432" xr:uid="{00000000-0005-0000-0000-000059C80000}"/>
    <cellStyle name="Normal 2 4 5 3 2 2 2 3 2" xfId="55784" xr:uid="{00000000-0005-0000-0000-00005AC80000}"/>
    <cellStyle name="Normal 2 4 5 3 2 2 2 4" xfId="55785" xr:uid="{00000000-0005-0000-0000-00005BC80000}"/>
    <cellStyle name="Normal 2 4 5 3 2 2 3" xfId="21433" xr:uid="{00000000-0005-0000-0000-00005CC80000}"/>
    <cellStyle name="Normal 2 4 5 3 2 2 3 2" xfId="55786" xr:uid="{00000000-0005-0000-0000-00005DC80000}"/>
    <cellStyle name="Normal 2 4 5 3 2 2 4" xfId="21434" xr:uid="{00000000-0005-0000-0000-00005EC80000}"/>
    <cellStyle name="Normal 2 4 5 3 2 2 4 2" xfId="55787" xr:uid="{00000000-0005-0000-0000-00005FC80000}"/>
    <cellStyle name="Normal 2 4 5 3 2 2 5" xfId="21435" xr:uid="{00000000-0005-0000-0000-000060C80000}"/>
    <cellStyle name="Normal 2 4 5 3 2 2 5 2" xfId="55788" xr:uid="{00000000-0005-0000-0000-000061C80000}"/>
    <cellStyle name="Normal 2 4 5 3 2 2 6" xfId="55789" xr:uid="{00000000-0005-0000-0000-000062C80000}"/>
    <cellStyle name="Normal 2 4 5 3 2 2 6 2" xfId="55790" xr:uid="{00000000-0005-0000-0000-000063C80000}"/>
    <cellStyle name="Normal 2 4 5 3 2 2 7" xfId="55791" xr:uid="{00000000-0005-0000-0000-000064C80000}"/>
    <cellStyle name="Normal 2 4 5 3 2 3" xfId="21436" xr:uid="{00000000-0005-0000-0000-000065C80000}"/>
    <cellStyle name="Normal 2 4 5 3 2 3 2" xfId="21437" xr:uid="{00000000-0005-0000-0000-000066C80000}"/>
    <cellStyle name="Normal 2 4 5 3 2 3 2 2" xfId="55792" xr:uid="{00000000-0005-0000-0000-000067C80000}"/>
    <cellStyle name="Normal 2 4 5 3 2 3 3" xfId="21438" xr:uid="{00000000-0005-0000-0000-000068C80000}"/>
    <cellStyle name="Normal 2 4 5 3 2 3 3 2" xfId="55793" xr:uid="{00000000-0005-0000-0000-000069C80000}"/>
    <cellStyle name="Normal 2 4 5 3 2 3 4" xfId="55794" xr:uid="{00000000-0005-0000-0000-00006AC80000}"/>
    <cellStyle name="Normal 2 4 5 3 2 4" xfId="21439" xr:uid="{00000000-0005-0000-0000-00006BC80000}"/>
    <cellStyle name="Normal 2 4 5 3 2 4 2" xfId="21440" xr:uid="{00000000-0005-0000-0000-00006CC80000}"/>
    <cellStyle name="Normal 2 4 5 3 2 4 2 2" xfId="55795" xr:uid="{00000000-0005-0000-0000-00006DC80000}"/>
    <cellStyle name="Normal 2 4 5 3 2 4 3" xfId="55796" xr:uid="{00000000-0005-0000-0000-00006EC80000}"/>
    <cellStyle name="Normal 2 4 5 3 2 5" xfId="21441" xr:uid="{00000000-0005-0000-0000-00006FC80000}"/>
    <cellStyle name="Normal 2 4 5 3 2 5 2" xfId="55797" xr:uid="{00000000-0005-0000-0000-000070C80000}"/>
    <cellStyle name="Normal 2 4 5 3 2 6" xfId="21442" xr:uid="{00000000-0005-0000-0000-000071C80000}"/>
    <cellStyle name="Normal 2 4 5 3 2 6 2" xfId="55798" xr:uid="{00000000-0005-0000-0000-000072C80000}"/>
    <cellStyle name="Normal 2 4 5 3 2 7" xfId="55799" xr:uid="{00000000-0005-0000-0000-000073C80000}"/>
    <cellStyle name="Normal 2 4 5 3 2 7 2" xfId="55800" xr:uid="{00000000-0005-0000-0000-000074C80000}"/>
    <cellStyle name="Normal 2 4 5 3 2 8" xfId="55801" xr:uid="{00000000-0005-0000-0000-000075C80000}"/>
    <cellStyle name="Normal 2 4 5 3 2 9" xfId="55802" xr:uid="{00000000-0005-0000-0000-000076C80000}"/>
    <cellStyle name="Normal 2 4 5 3 3" xfId="21443" xr:uid="{00000000-0005-0000-0000-000077C80000}"/>
    <cellStyle name="Normal 2 4 5 3 3 2" xfId="21444" xr:uid="{00000000-0005-0000-0000-000078C80000}"/>
    <cellStyle name="Normal 2 4 5 3 3 2 2" xfId="21445" xr:uid="{00000000-0005-0000-0000-000079C80000}"/>
    <cellStyle name="Normal 2 4 5 3 3 2 2 2" xfId="55803" xr:uid="{00000000-0005-0000-0000-00007AC80000}"/>
    <cellStyle name="Normal 2 4 5 3 3 2 3" xfId="21446" xr:uid="{00000000-0005-0000-0000-00007BC80000}"/>
    <cellStyle name="Normal 2 4 5 3 3 2 3 2" xfId="55804" xr:uid="{00000000-0005-0000-0000-00007CC80000}"/>
    <cellStyle name="Normal 2 4 5 3 3 2 4" xfId="55805" xr:uid="{00000000-0005-0000-0000-00007DC80000}"/>
    <cellStyle name="Normal 2 4 5 3 3 3" xfId="21447" xr:uid="{00000000-0005-0000-0000-00007EC80000}"/>
    <cellStyle name="Normal 2 4 5 3 3 3 2" xfId="55806" xr:uid="{00000000-0005-0000-0000-00007FC80000}"/>
    <cellStyle name="Normal 2 4 5 3 3 4" xfId="21448" xr:uid="{00000000-0005-0000-0000-000080C80000}"/>
    <cellStyle name="Normal 2 4 5 3 3 4 2" xfId="55807" xr:uid="{00000000-0005-0000-0000-000081C80000}"/>
    <cellStyle name="Normal 2 4 5 3 3 5" xfId="21449" xr:uid="{00000000-0005-0000-0000-000082C80000}"/>
    <cellStyle name="Normal 2 4 5 3 3 5 2" xfId="55808" xr:uid="{00000000-0005-0000-0000-000083C80000}"/>
    <cellStyle name="Normal 2 4 5 3 3 6" xfId="55809" xr:uid="{00000000-0005-0000-0000-000084C80000}"/>
    <cellStyle name="Normal 2 4 5 3 3 6 2" xfId="55810" xr:uid="{00000000-0005-0000-0000-000085C80000}"/>
    <cellStyle name="Normal 2 4 5 3 3 7" xfId="55811" xr:uid="{00000000-0005-0000-0000-000086C80000}"/>
    <cellStyle name="Normal 2 4 5 3 4" xfId="21450" xr:uid="{00000000-0005-0000-0000-000087C80000}"/>
    <cellStyle name="Normal 2 4 5 3 4 2" xfId="21451" xr:uid="{00000000-0005-0000-0000-000088C80000}"/>
    <cellStyle name="Normal 2 4 5 3 4 2 2" xfId="55812" xr:uid="{00000000-0005-0000-0000-000089C80000}"/>
    <cellStyle name="Normal 2 4 5 3 4 3" xfId="21452" xr:uid="{00000000-0005-0000-0000-00008AC80000}"/>
    <cellStyle name="Normal 2 4 5 3 4 3 2" xfId="55813" xr:uid="{00000000-0005-0000-0000-00008BC80000}"/>
    <cellStyle name="Normal 2 4 5 3 4 4" xfId="55814" xr:uid="{00000000-0005-0000-0000-00008CC80000}"/>
    <cellStyle name="Normal 2 4 5 3 5" xfId="21453" xr:uid="{00000000-0005-0000-0000-00008DC80000}"/>
    <cellStyle name="Normal 2 4 5 3 5 2" xfId="21454" xr:uid="{00000000-0005-0000-0000-00008EC80000}"/>
    <cellStyle name="Normal 2 4 5 3 5 2 2" xfId="55815" xr:uid="{00000000-0005-0000-0000-00008FC80000}"/>
    <cellStyle name="Normal 2 4 5 3 5 3" xfId="55816" xr:uid="{00000000-0005-0000-0000-000090C80000}"/>
    <cellStyle name="Normal 2 4 5 3 6" xfId="21455" xr:uid="{00000000-0005-0000-0000-000091C80000}"/>
    <cellStyle name="Normal 2 4 5 3 6 2" xfId="55817" xr:uid="{00000000-0005-0000-0000-000092C80000}"/>
    <cellStyle name="Normal 2 4 5 3 7" xfId="21456" xr:uid="{00000000-0005-0000-0000-000093C80000}"/>
    <cellStyle name="Normal 2 4 5 3 7 2" xfId="55818" xr:uid="{00000000-0005-0000-0000-000094C80000}"/>
    <cellStyle name="Normal 2 4 5 3 8" xfId="55819" xr:uid="{00000000-0005-0000-0000-000095C80000}"/>
    <cellStyle name="Normal 2 4 5 3 8 2" xfId="55820" xr:uid="{00000000-0005-0000-0000-000096C80000}"/>
    <cellStyle name="Normal 2 4 5 3 9" xfId="55821" xr:uid="{00000000-0005-0000-0000-000097C80000}"/>
    <cellStyle name="Normal 2 4 5 30" xfId="21457" xr:uid="{00000000-0005-0000-0000-000098C80000}"/>
    <cellStyle name="Normal 2 4 5 30 10" xfId="55822" xr:uid="{00000000-0005-0000-0000-000099C80000}"/>
    <cellStyle name="Normal 2 4 5 30 11" xfId="55823" xr:uid="{00000000-0005-0000-0000-00009AC80000}"/>
    <cellStyle name="Normal 2 4 5 30 2" xfId="21458" xr:uid="{00000000-0005-0000-0000-00009BC80000}"/>
    <cellStyle name="Normal 2 4 5 30 2 10" xfId="55824" xr:uid="{00000000-0005-0000-0000-00009CC80000}"/>
    <cellStyle name="Normal 2 4 5 30 2 2" xfId="21459" xr:uid="{00000000-0005-0000-0000-00009DC80000}"/>
    <cellStyle name="Normal 2 4 5 30 2 2 2" xfId="21460" xr:uid="{00000000-0005-0000-0000-00009EC80000}"/>
    <cellStyle name="Normal 2 4 5 30 2 2 2 2" xfId="21461" xr:uid="{00000000-0005-0000-0000-00009FC80000}"/>
    <cellStyle name="Normal 2 4 5 30 2 2 2 2 2" xfId="55825" xr:uid="{00000000-0005-0000-0000-0000A0C80000}"/>
    <cellStyle name="Normal 2 4 5 30 2 2 2 3" xfId="21462" xr:uid="{00000000-0005-0000-0000-0000A1C80000}"/>
    <cellStyle name="Normal 2 4 5 30 2 2 2 3 2" xfId="55826" xr:uid="{00000000-0005-0000-0000-0000A2C80000}"/>
    <cellStyle name="Normal 2 4 5 30 2 2 2 4" xfId="55827" xr:uid="{00000000-0005-0000-0000-0000A3C80000}"/>
    <cellStyle name="Normal 2 4 5 30 2 2 3" xfId="21463" xr:uid="{00000000-0005-0000-0000-0000A4C80000}"/>
    <cellStyle name="Normal 2 4 5 30 2 2 3 2" xfId="55828" xr:uid="{00000000-0005-0000-0000-0000A5C80000}"/>
    <cellStyle name="Normal 2 4 5 30 2 2 4" xfId="21464" xr:uid="{00000000-0005-0000-0000-0000A6C80000}"/>
    <cellStyle name="Normal 2 4 5 30 2 2 4 2" xfId="55829" xr:uid="{00000000-0005-0000-0000-0000A7C80000}"/>
    <cellStyle name="Normal 2 4 5 30 2 2 5" xfId="21465" xr:uid="{00000000-0005-0000-0000-0000A8C80000}"/>
    <cellStyle name="Normal 2 4 5 30 2 2 5 2" xfId="55830" xr:uid="{00000000-0005-0000-0000-0000A9C80000}"/>
    <cellStyle name="Normal 2 4 5 30 2 2 6" xfId="55831" xr:uid="{00000000-0005-0000-0000-0000AAC80000}"/>
    <cellStyle name="Normal 2 4 5 30 2 2 6 2" xfId="55832" xr:uid="{00000000-0005-0000-0000-0000ABC80000}"/>
    <cellStyle name="Normal 2 4 5 30 2 2 7" xfId="55833" xr:uid="{00000000-0005-0000-0000-0000ACC80000}"/>
    <cellStyle name="Normal 2 4 5 30 2 3" xfId="21466" xr:uid="{00000000-0005-0000-0000-0000ADC80000}"/>
    <cellStyle name="Normal 2 4 5 30 2 3 2" xfId="21467" xr:uid="{00000000-0005-0000-0000-0000AEC80000}"/>
    <cellStyle name="Normal 2 4 5 30 2 3 2 2" xfId="55834" xr:uid="{00000000-0005-0000-0000-0000AFC80000}"/>
    <cellStyle name="Normal 2 4 5 30 2 3 3" xfId="21468" xr:uid="{00000000-0005-0000-0000-0000B0C80000}"/>
    <cellStyle name="Normal 2 4 5 30 2 3 3 2" xfId="55835" xr:uid="{00000000-0005-0000-0000-0000B1C80000}"/>
    <cellStyle name="Normal 2 4 5 30 2 3 4" xfId="55836" xr:uid="{00000000-0005-0000-0000-0000B2C80000}"/>
    <cellStyle name="Normal 2 4 5 30 2 4" xfId="21469" xr:uid="{00000000-0005-0000-0000-0000B3C80000}"/>
    <cellStyle name="Normal 2 4 5 30 2 4 2" xfId="21470" xr:uid="{00000000-0005-0000-0000-0000B4C80000}"/>
    <cellStyle name="Normal 2 4 5 30 2 4 2 2" xfId="55837" xr:uid="{00000000-0005-0000-0000-0000B5C80000}"/>
    <cellStyle name="Normal 2 4 5 30 2 4 3" xfId="55838" xr:uid="{00000000-0005-0000-0000-0000B6C80000}"/>
    <cellStyle name="Normal 2 4 5 30 2 5" xfId="21471" xr:uid="{00000000-0005-0000-0000-0000B7C80000}"/>
    <cellStyle name="Normal 2 4 5 30 2 5 2" xfId="55839" xr:uid="{00000000-0005-0000-0000-0000B8C80000}"/>
    <cellStyle name="Normal 2 4 5 30 2 6" xfId="21472" xr:uid="{00000000-0005-0000-0000-0000B9C80000}"/>
    <cellStyle name="Normal 2 4 5 30 2 6 2" xfId="55840" xr:uid="{00000000-0005-0000-0000-0000BAC80000}"/>
    <cellStyle name="Normal 2 4 5 30 2 7" xfId="55841" xr:uid="{00000000-0005-0000-0000-0000BBC80000}"/>
    <cellStyle name="Normal 2 4 5 30 2 7 2" xfId="55842" xr:uid="{00000000-0005-0000-0000-0000BCC80000}"/>
    <cellStyle name="Normal 2 4 5 30 2 8" xfId="55843" xr:uid="{00000000-0005-0000-0000-0000BDC80000}"/>
    <cellStyle name="Normal 2 4 5 30 2 9" xfId="55844" xr:uid="{00000000-0005-0000-0000-0000BEC80000}"/>
    <cellStyle name="Normal 2 4 5 30 3" xfId="21473" xr:uid="{00000000-0005-0000-0000-0000BFC80000}"/>
    <cellStyle name="Normal 2 4 5 30 3 2" xfId="21474" xr:uid="{00000000-0005-0000-0000-0000C0C80000}"/>
    <cellStyle name="Normal 2 4 5 30 3 2 2" xfId="21475" xr:uid="{00000000-0005-0000-0000-0000C1C80000}"/>
    <cellStyle name="Normal 2 4 5 30 3 2 2 2" xfId="55845" xr:uid="{00000000-0005-0000-0000-0000C2C80000}"/>
    <cellStyle name="Normal 2 4 5 30 3 2 3" xfId="21476" xr:uid="{00000000-0005-0000-0000-0000C3C80000}"/>
    <cellStyle name="Normal 2 4 5 30 3 2 3 2" xfId="55846" xr:uid="{00000000-0005-0000-0000-0000C4C80000}"/>
    <cellStyle name="Normal 2 4 5 30 3 2 4" xfId="55847" xr:uid="{00000000-0005-0000-0000-0000C5C80000}"/>
    <cellStyle name="Normal 2 4 5 30 3 3" xfId="21477" xr:uid="{00000000-0005-0000-0000-0000C6C80000}"/>
    <cellStyle name="Normal 2 4 5 30 3 3 2" xfId="55848" xr:uid="{00000000-0005-0000-0000-0000C7C80000}"/>
    <cellStyle name="Normal 2 4 5 30 3 4" xfId="21478" xr:uid="{00000000-0005-0000-0000-0000C8C80000}"/>
    <cellStyle name="Normal 2 4 5 30 3 4 2" xfId="55849" xr:uid="{00000000-0005-0000-0000-0000C9C80000}"/>
    <cellStyle name="Normal 2 4 5 30 3 5" xfId="21479" xr:uid="{00000000-0005-0000-0000-0000CAC80000}"/>
    <cellStyle name="Normal 2 4 5 30 3 5 2" xfId="55850" xr:uid="{00000000-0005-0000-0000-0000CBC80000}"/>
    <cellStyle name="Normal 2 4 5 30 3 6" xfId="55851" xr:uid="{00000000-0005-0000-0000-0000CCC80000}"/>
    <cellStyle name="Normal 2 4 5 30 3 6 2" xfId="55852" xr:uid="{00000000-0005-0000-0000-0000CDC80000}"/>
    <cellStyle name="Normal 2 4 5 30 3 7" xfId="55853" xr:uid="{00000000-0005-0000-0000-0000CEC80000}"/>
    <cellStyle name="Normal 2 4 5 30 4" xfId="21480" xr:uid="{00000000-0005-0000-0000-0000CFC80000}"/>
    <cellStyle name="Normal 2 4 5 30 4 2" xfId="21481" xr:uid="{00000000-0005-0000-0000-0000D0C80000}"/>
    <cellStyle name="Normal 2 4 5 30 4 2 2" xfId="55854" xr:uid="{00000000-0005-0000-0000-0000D1C80000}"/>
    <cellStyle name="Normal 2 4 5 30 4 3" xfId="21482" xr:uid="{00000000-0005-0000-0000-0000D2C80000}"/>
    <cellStyle name="Normal 2 4 5 30 4 3 2" xfId="55855" xr:uid="{00000000-0005-0000-0000-0000D3C80000}"/>
    <cellStyle name="Normal 2 4 5 30 4 4" xfId="55856" xr:uid="{00000000-0005-0000-0000-0000D4C80000}"/>
    <cellStyle name="Normal 2 4 5 30 5" xfId="21483" xr:uid="{00000000-0005-0000-0000-0000D5C80000}"/>
    <cellStyle name="Normal 2 4 5 30 5 2" xfId="21484" xr:uid="{00000000-0005-0000-0000-0000D6C80000}"/>
    <cellStyle name="Normal 2 4 5 30 5 2 2" xfId="55857" xr:uid="{00000000-0005-0000-0000-0000D7C80000}"/>
    <cellStyle name="Normal 2 4 5 30 5 3" xfId="55858" xr:uid="{00000000-0005-0000-0000-0000D8C80000}"/>
    <cellStyle name="Normal 2 4 5 30 6" xfId="21485" xr:uid="{00000000-0005-0000-0000-0000D9C80000}"/>
    <cellStyle name="Normal 2 4 5 30 6 2" xfId="55859" xr:uid="{00000000-0005-0000-0000-0000DAC80000}"/>
    <cellStyle name="Normal 2 4 5 30 7" xfId="21486" xr:uid="{00000000-0005-0000-0000-0000DBC80000}"/>
    <cellStyle name="Normal 2 4 5 30 7 2" xfId="55860" xr:uid="{00000000-0005-0000-0000-0000DCC80000}"/>
    <cellStyle name="Normal 2 4 5 30 8" xfId="55861" xr:uid="{00000000-0005-0000-0000-0000DDC80000}"/>
    <cellStyle name="Normal 2 4 5 30 8 2" xfId="55862" xr:uid="{00000000-0005-0000-0000-0000DEC80000}"/>
    <cellStyle name="Normal 2 4 5 30 9" xfId="55863" xr:uid="{00000000-0005-0000-0000-0000DFC80000}"/>
    <cellStyle name="Normal 2 4 5 31" xfId="21487" xr:uid="{00000000-0005-0000-0000-0000E0C80000}"/>
    <cellStyle name="Normal 2 4 5 31 10" xfId="55864" xr:uid="{00000000-0005-0000-0000-0000E1C80000}"/>
    <cellStyle name="Normal 2 4 5 31 2" xfId="21488" xr:uid="{00000000-0005-0000-0000-0000E2C80000}"/>
    <cellStyle name="Normal 2 4 5 31 2 2" xfId="21489" xr:uid="{00000000-0005-0000-0000-0000E3C80000}"/>
    <cellStyle name="Normal 2 4 5 31 2 2 2" xfId="21490" xr:uid="{00000000-0005-0000-0000-0000E4C80000}"/>
    <cellStyle name="Normal 2 4 5 31 2 2 2 2" xfId="55865" xr:uid="{00000000-0005-0000-0000-0000E5C80000}"/>
    <cellStyle name="Normal 2 4 5 31 2 2 3" xfId="21491" xr:uid="{00000000-0005-0000-0000-0000E6C80000}"/>
    <cellStyle name="Normal 2 4 5 31 2 2 3 2" xfId="55866" xr:uid="{00000000-0005-0000-0000-0000E7C80000}"/>
    <cellStyle name="Normal 2 4 5 31 2 2 4" xfId="55867" xr:uid="{00000000-0005-0000-0000-0000E8C80000}"/>
    <cellStyle name="Normal 2 4 5 31 2 3" xfId="21492" xr:uid="{00000000-0005-0000-0000-0000E9C80000}"/>
    <cellStyle name="Normal 2 4 5 31 2 3 2" xfId="55868" xr:uid="{00000000-0005-0000-0000-0000EAC80000}"/>
    <cellStyle name="Normal 2 4 5 31 2 4" xfId="21493" xr:uid="{00000000-0005-0000-0000-0000EBC80000}"/>
    <cellStyle name="Normal 2 4 5 31 2 4 2" xfId="55869" xr:uid="{00000000-0005-0000-0000-0000ECC80000}"/>
    <cellStyle name="Normal 2 4 5 31 2 5" xfId="21494" xr:uid="{00000000-0005-0000-0000-0000EDC80000}"/>
    <cellStyle name="Normal 2 4 5 31 2 5 2" xfId="55870" xr:uid="{00000000-0005-0000-0000-0000EEC80000}"/>
    <cellStyle name="Normal 2 4 5 31 2 6" xfId="55871" xr:uid="{00000000-0005-0000-0000-0000EFC80000}"/>
    <cellStyle name="Normal 2 4 5 31 2 6 2" xfId="55872" xr:uid="{00000000-0005-0000-0000-0000F0C80000}"/>
    <cellStyle name="Normal 2 4 5 31 2 7" xfId="55873" xr:uid="{00000000-0005-0000-0000-0000F1C80000}"/>
    <cellStyle name="Normal 2 4 5 31 3" xfId="21495" xr:uid="{00000000-0005-0000-0000-0000F2C80000}"/>
    <cellStyle name="Normal 2 4 5 31 3 2" xfId="21496" xr:uid="{00000000-0005-0000-0000-0000F3C80000}"/>
    <cellStyle name="Normal 2 4 5 31 3 2 2" xfId="55874" xr:uid="{00000000-0005-0000-0000-0000F4C80000}"/>
    <cellStyle name="Normal 2 4 5 31 3 3" xfId="21497" xr:uid="{00000000-0005-0000-0000-0000F5C80000}"/>
    <cellStyle name="Normal 2 4 5 31 3 3 2" xfId="55875" xr:uid="{00000000-0005-0000-0000-0000F6C80000}"/>
    <cellStyle name="Normal 2 4 5 31 3 4" xfId="55876" xr:uid="{00000000-0005-0000-0000-0000F7C80000}"/>
    <cellStyle name="Normal 2 4 5 31 4" xfId="21498" xr:uid="{00000000-0005-0000-0000-0000F8C80000}"/>
    <cellStyle name="Normal 2 4 5 31 4 2" xfId="21499" xr:uid="{00000000-0005-0000-0000-0000F9C80000}"/>
    <cellStyle name="Normal 2 4 5 31 4 2 2" xfId="55877" xr:uid="{00000000-0005-0000-0000-0000FAC80000}"/>
    <cellStyle name="Normal 2 4 5 31 4 3" xfId="55878" xr:uid="{00000000-0005-0000-0000-0000FBC80000}"/>
    <cellStyle name="Normal 2 4 5 31 5" xfId="21500" xr:uid="{00000000-0005-0000-0000-0000FCC80000}"/>
    <cellStyle name="Normal 2 4 5 31 5 2" xfId="55879" xr:uid="{00000000-0005-0000-0000-0000FDC80000}"/>
    <cellStyle name="Normal 2 4 5 31 6" xfId="21501" xr:uid="{00000000-0005-0000-0000-0000FEC80000}"/>
    <cellStyle name="Normal 2 4 5 31 6 2" xfId="55880" xr:uid="{00000000-0005-0000-0000-0000FFC80000}"/>
    <cellStyle name="Normal 2 4 5 31 7" xfId="55881" xr:uid="{00000000-0005-0000-0000-000000C90000}"/>
    <cellStyle name="Normal 2 4 5 31 7 2" xfId="55882" xr:uid="{00000000-0005-0000-0000-000001C90000}"/>
    <cellStyle name="Normal 2 4 5 31 8" xfId="55883" xr:uid="{00000000-0005-0000-0000-000002C90000}"/>
    <cellStyle name="Normal 2 4 5 31 9" xfId="55884" xr:uid="{00000000-0005-0000-0000-000003C90000}"/>
    <cellStyle name="Normal 2 4 5 32" xfId="21502" xr:uid="{00000000-0005-0000-0000-000004C90000}"/>
    <cellStyle name="Normal 2 4 5 32 2" xfId="21503" xr:uid="{00000000-0005-0000-0000-000005C90000}"/>
    <cellStyle name="Normal 2 4 5 32 2 2" xfId="21504" xr:uid="{00000000-0005-0000-0000-000006C90000}"/>
    <cellStyle name="Normal 2 4 5 32 2 2 2" xfId="55885" xr:uid="{00000000-0005-0000-0000-000007C90000}"/>
    <cellStyle name="Normal 2 4 5 32 2 3" xfId="21505" xr:uid="{00000000-0005-0000-0000-000008C90000}"/>
    <cellStyle name="Normal 2 4 5 32 2 3 2" xfId="55886" xr:uid="{00000000-0005-0000-0000-000009C90000}"/>
    <cellStyle name="Normal 2 4 5 32 2 4" xfId="55887" xr:uid="{00000000-0005-0000-0000-00000AC90000}"/>
    <cellStyle name="Normal 2 4 5 32 3" xfId="21506" xr:uid="{00000000-0005-0000-0000-00000BC90000}"/>
    <cellStyle name="Normal 2 4 5 32 3 2" xfId="55888" xr:uid="{00000000-0005-0000-0000-00000CC90000}"/>
    <cellStyle name="Normal 2 4 5 32 4" xfId="21507" xr:uid="{00000000-0005-0000-0000-00000DC90000}"/>
    <cellStyle name="Normal 2 4 5 32 4 2" xfId="55889" xr:uid="{00000000-0005-0000-0000-00000EC90000}"/>
    <cellStyle name="Normal 2 4 5 32 5" xfId="21508" xr:uid="{00000000-0005-0000-0000-00000FC90000}"/>
    <cellStyle name="Normal 2 4 5 32 5 2" xfId="55890" xr:uid="{00000000-0005-0000-0000-000010C90000}"/>
    <cellStyle name="Normal 2 4 5 32 6" xfId="55891" xr:uid="{00000000-0005-0000-0000-000011C90000}"/>
    <cellStyle name="Normal 2 4 5 32 6 2" xfId="55892" xr:uid="{00000000-0005-0000-0000-000012C90000}"/>
    <cellStyle name="Normal 2 4 5 32 7" xfId="55893" xr:uid="{00000000-0005-0000-0000-000013C90000}"/>
    <cellStyle name="Normal 2 4 5 33" xfId="21509" xr:uid="{00000000-0005-0000-0000-000014C90000}"/>
    <cellStyle name="Normal 2 4 5 33 2" xfId="21510" xr:uid="{00000000-0005-0000-0000-000015C90000}"/>
    <cellStyle name="Normal 2 4 5 33 2 2" xfId="55894" xr:uid="{00000000-0005-0000-0000-000016C90000}"/>
    <cellStyle name="Normal 2 4 5 33 3" xfId="21511" xr:uid="{00000000-0005-0000-0000-000017C90000}"/>
    <cellStyle name="Normal 2 4 5 33 3 2" xfId="55895" xr:uid="{00000000-0005-0000-0000-000018C90000}"/>
    <cellStyle name="Normal 2 4 5 33 4" xfId="55896" xr:uid="{00000000-0005-0000-0000-000019C90000}"/>
    <cellStyle name="Normal 2 4 5 34" xfId="21512" xr:uid="{00000000-0005-0000-0000-00001AC90000}"/>
    <cellStyle name="Normal 2 4 5 34 2" xfId="21513" xr:uid="{00000000-0005-0000-0000-00001BC90000}"/>
    <cellStyle name="Normal 2 4 5 34 2 2" xfId="55897" xr:uid="{00000000-0005-0000-0000-00001CC90000}"/>
    <cellStyle name="Normal 2 4 5 34 3" xfId="55898" xr:uid="{00000000-0005-0000-0000-00001DC90000}"/>
    <cellStyle name="Normal 2 4 5 35" xfId="21514" xr:uid="{00000000-0005-0000-0000-00001EC90000}"/>
    <cellStyle name="Normal 2 4 5 35 2" xfId="55899" xr:uid="{00000000-0005-0000-0000-00001FC90000}"/>
    <cellStyle name="Normal 2 4 5 36" xfId="21515" xr:uid="{00000000-0005-0000-0000-000020C90000}"/>
    <cellStyle name="Normal 2 4 5 36 2" xfId="55900" xr:uid="{00000000-0005-0000-0000-000021C90000}"/>
    <cellStyle name="Normal 2 4 5 37" xfId="55901" xr:uid="{00000000-0005-0000-0000-000022C90000}"/>
    <cellStyle name="Normal 2 4 5 37 2" xfId="55902" xr:uid="{00000000-0005-0000-0000-000023C90000}"/>
    <cellStyle name="Normal 2 4 5 38" xfId="55903" xr:uid="{00000000-0005-0000-0000-000024C90000}"/>
    <cellStyle name="Normal 2 4 5 39" xfId="55904" xr:uid="{00000000-0005-0000-0000-000025C90000}"/>
    <cellStyle name="Normal 2 4 5 4" xfId="21516" xr:uid="{00000000-0005-0000-0000-000026C90000}"/>
    <cellStyle name="Normal 2 4 5 4 10" xfId="55905" xr:uid="{00000000-0005-0000-0000-000027C90000}"/>
    <cellStyle name="Normal 2 4 5 4 11" xfId="55906" xr:uid="{00000000-0005-0000-0000-000028C90000}"/>
    <cellStyle name="Normal 2 4 5 4 2" xfId="21517" xr:uid="{00000000-0005-0000-0000-000029C90000}"/>
    <cellStyle name="Normal 2 4 5 4 2 10" xfId="55907" xr:uid="{00000000-0005-0000-0000-00002AC90000}"/>
    <cellStyle name="Normal 2 4 5 4 2 2" xfId="21518" xr:uid="{00000000-0005-0000-0000-00002BC90000}"/>
    <cellStyle name="Normal 2 4 5 4 2 2 2" xfId="21519" xr:uid="{00000000-0005-0000-0000-00002CC90000}"/>
    <cellStyle name="Normal 2 4 5 4 2 2 2 2" xfId="21520" xr:uid="{00000000-0005-0000-0000-00002DC90000}"/>
    <cellStyle name="Normal 2 4 5 4 2 2 2 2 2" xfId="55908" xr:uid="{00000000-0005-0000-0000-00002EC90000}"/>
    <cellStyle name="Normal 2 4 5 4 2 2 2 3" xfId="21521" xr:uid="{00000000-0005-0000-0000-00002FC90000}"/>
    <cellStyle name="Normal 2 4 5 4 2 2 2 3 2" xfId="55909" xr:uid="{00000000-0005-0000-0000-000030C90000}"/>
    <cellStyle name="Normal 2 4 5 4 2 2 2 4" xfId="55910" xr:uid="{00000000-0005-0000-0000-000031C90000}"/>
    <cellStyle name="Normal 2 4 5 4 2 2 3" xfId="21522" xr:uid="{00000000-0005-0000-0000-000032C90000}"/>
    <cellStyle name="Normal 2 4 5 4 2 2 3 2" xfId="55911" xr:uid="{00000000-0005-0000-0000-000033C90000}"/>
    <cellStyle name="Normal 2 4 5 4 2 2 4" xfId="21523" xr:uid="{00000000-0005-0000-0000-000034C90000}"/>
    <cellStyle name="Normal 2 4 5 4 2 2 4 2" xfId="55912" xr:uid="{00000000-0005-0000-0000-000035C90000}"/>
    <cellStyle name="Normal 2 4 5 4 2 2 5" xfId="21524" xr:uid="{00000000-0005-0000-0000-000036C90000}"/>
    <cellStyle name="Normal 2 4 5 4 2 2 5 2" xfId="55913" xr:uid="{00000000-0005-0000-0000-000037C90000}"/>
    <cellStyle name="Normal 2 4 5 4 2 2 6" xfId="55914" xr:uid="{00000000-0005-0000-0000-000038C90000}"/>
    <cellStyle name="Normal 2 4 5 4 2 2 6 2" xfId="55915" xr:uid="{00000000-0005-0000-0000-000039C90000}"/>
    <cellStyle name="Normal 2 4 5 4 2 2 7" xfId="55916" xr:uid="{00000000-0005-0000-0000-00003AC90000}"/>
    <cellStyle name="Normal 2 4 5 4 2 3" xfId="21525" xr:uid="{00000000-0005-0000-0000-00003BC90000}"/>
    <cellStyle name="Normal 2 4 5 4 2 3 2" xfId="21526" xr:uid="{00000000-0005-0000-0000-00003CC90000}"/>
    <cellStyle name="Normal 2 4 5 4 2 3 2 2" xfId="55917" xr:uid="{00000000-0005-0000-0000-00003DC90000}"/>
    <cellStyle name="Normal 2 4 5 4 2 3 3" xfId="21527" xr:uid="{00000000-0005-0000-0000-00003EC90000}"/>
    <cellStyle name="Normal 2 4 5 4 2 3 3 2" xfId="55918" xr:uid="{00000000-0005-0000-0000-00003FC90000}"/>
    <cellStyle name="Normal 2 4 5 4 2 3 4" xfId="55919" xr:uid="{00000000-0005-0000-0000-000040C90000}"/>
    <cellStyle name="Normal 2 4 5 4 2 4" xfId="21528" xr:uid="{00000000-0005-0000-0000-000041C90000}"/>
    <cellStyle name="Normal 2 4 5 4 2 4 2" xfId="21529" xr:uid="{00000000-0005-0000-0000-000042C90000}"/>
    <cellStyle name="Normal 2 4 5 4 2 4 2 2" xfId="55920" xr:uid="{00000000-0005-0000-0000-000043C90000}"/>
    <cellStyle name="Normal 2 4 5 4 2 4 3" xfId="55921" xr:uid="{00000000-0005-0000-0000-000044C90000}"/>
    <cellStyle name="Normal 2 4 5 4 2 5" xfId="21530" xr:uid="{00000000-0005-0000-0000-000045C90000}"/>
    <cellStyle name="Normal 2 4 5 4 2 5 2" xfId="55922" xr:uid="{00000000-0005-0000-0000-000046C90000}"/>
    <cellStyle name="Normal 2 4 5 4 2 6" xfId="21531" xr:uid="{00000000-0005-0000-0000-000047C90000}"/>
    <cellStyle name="Normal 2 4 5 4 2 6 2" xfId="55923" xr:uid="{00000000-0005-0000-0000-000048C90000}"/>
    <cellStyle name="Normal 2 4 5 4 2 7" xfId="55924" xr:uid="{00000000-0005-0000-0000-000049C90000}"/>
    <cellStyle name="Normal 2 4 5 4 2 7 2" xfId="55925" xr:uid="{00000000-0005-0000-0000-00004AC90000}"/>
    <cellStyle name="Normal 2 4 5 4 2 8" xfId="55926" xr:uid="{00000000-0005-0000-0000-00004BC90000}"/>
    <cellStyle name="Normal 2 4 5 4 2 9" xfId="55927" xr:uid="{00000000-0005-0000-0000-00004CC90000}"/>
    <cellStyle name="Normal 2 4 5 4 3" xfId="21532" xr:uid="{00000000-0005-0000-0000-00004DC90000}"/>
    <cellStyle name="Normal 2 4 5 4 3 2" xfId="21533" xr:uid="{00000000-0005-0000-0000-00004EC90000}"/>
    <cellStyle name="Normal 2 4 5 4 3 2 2" xfId="21534" xr:uid="{00000000-0005-0000-0000-00004FC90000}"/>
    <cellStyle name="Normal 2 4 5 4 3 2 2 2" xfId="55928" xr:uid="{00000000-0005-0000-0000-000050C90000}"/>
    <cellStyle name="Normal 2 4 5 4 3 2 3" xfId="21535" xr:uid="{00000000-0005-0000-0000-000051C90000}"/>
    <cellStyle name="Normal 2 4 5 4 3 2 3 2" xfId="55929" xr:uid="{00000000-0005-0000-0000-000052C90000}"/>
    <cellStyle name="Normal 2 4 5 4 3 2 4" xfId="55930" xr:uid="{00000000-0005-0000-0000-000053C90000}"/>
    <cellStyle name="Normal 2 4 5 4 3 3" xfId="21536" xr:uid="{00000000-0005-0000-0000-000054C90000}"/>
    <cellStyle name="Normal 2 4 5 4 3 3 2" xfId="55931" xr:uid="{00000000-0005-0000-0000-000055C90000}"/>
    <cellStyle name="Normal 2 4 5 4 3 4" xfId="21537" xr:uid="{00000000-0005-0000-0000-000056C90000}"/>
    <cellStyle name="Normal 2 4 5 4 3 4 2" xfId="55932" xr:uid="{00000000-0005-0000-0000-000057C90000}"/>
    <cellStyle name="Normal 2 4 5 4 3 5" xfId="21538" xr:uid="{00000000-0005-0000-0000-000058C90000}"/>
    <cellStyle name="Normal 2 4 5 4 3 5 2" xfId="55933" xr:uid="{00000000-0005-0000-0000-000059C90000}"/>
    <cellStyle name="Normal 2 4 5 4 3 6" xfId="55934" xr:uid="{00000000-0005-0000-0000-00005AC90000}"/>
    <cellStyle name="Normal 2 4 5 4 3 6 2" xfId="55935" xr:uid="{00000000-0005-0000-0000-00005BC90000}"/>
    <cellStyle name="Normal 2 4 5 4 3 7" xfId="55936" xr:uid="{00000000-0005-0000-0000-00005CC90000}"/>
    <cellStyle name="Normal 2 4 5 4 4" xfId="21539" xr:uid="{00000000-0005-0000-0000-00005DC90000}"/>
    <cellStyle name="Normal 2 4 5 4 4 2" xfId="21540" xr:uid="{00000000-0005-0000-0000-00005EC90000}"/>
    <cellStyle name="Normal 2 4 5 4 4 2 2" xfId="55937" xr:uid="{00000000-0005-0000-0000-00005FC90000}"/>
    <cellStyle name="Normal 2 4 5 4 4 3" xfId="21541" xr:uid="{00000000-0005-0000-0000-000060C90000}"/>
    <cellStyle name="Normal 2 4 5 4 4 3 2" xfId="55938" xr:uid="{00000000-0005-0000-0000-000061C90000}"/>
    <cellStyle name="Normal 2 4 5 4 4 4" xfId="55939" xr:uid="{00000000-0005-0000-0000-000062C90000}"/>
    <cellStyle name="Normal 2 4 5 4 5" xfId="21542" xr:uid="{00000000-0005-0000-0000-000063C90000}"/>
    <cellStyle name="Normal 2 4 5 4 5 2" xfId="21543" xr:uid="{00000000-0005-0000-0000-000064C90000}"/>
    <cellStyle name="Normal 2 4 5 4 5 2 2" xfId="55940" xr:uid="{00000000-0005-0000-0000-000065C90000}"/>
    <cellStyle name="Normal 2 4 5 4 5 3" xfId="55941" xr:uid="{00000000-0005-0000-0000-000066C90000}"/>
    <cellStyle name="Normal 2 4 5 4 6" xfId="21544" xr:uid="{00000000-0005-0000-0000-000067C90000}"/>
    <cellStyle name="Normal 2 4 5 4 6 2" xfId="55942" xr:uid="{00000000-0005-0000-0000-000068C90000}"/>
    <cellStyle name="Normal 2 4 5 4 7" xfId="21545" xr:uid="{00000000-0005-0000-0000-000069C90000}"/>
    <cellStyle name="Normal 2 4 5 4 7 2" xfId="55943" xr:uid="{00000000-0005-0000-0000-00006AC90000}"/>
    <cellStyle name="Normal 2 4 5 4 8" xfId="55944" xr:uid="{00000000-0005-0000-0000-00006BC90000}"/>
    <cellStyle name="Normal 2 4 5 4 8 2" xfId="55945" xr:uid="{00000000-0005-0000-0000-00006CC90000}"/>
    <cellStyle name="Normal 2 4 5 4 9" xfId="55946" xr:uid="{00000000-0005-0000-0000-00006DC90000}"/>
    <cellStyle name="Normal 2 4 5 40" xfId="55947" xr:uid="{00000000-0005-0000-0000-00006EC90000}"/>
    <cellStyle name="Normal 2 4 5 5" xfId="21546" xr:uid="{00000000-0005-0000-0000-00006FC90000}"/>
    <cellStyle name="Normal 2 4 5 5 10" xfId="55948" xr:uid="{00000000-0005-0000-0000-000070C90000}"/>
    <cellStyle name="Normal 2 4 5 5 11" xfId="55949" xr:uid="{00000000-0005-0000-0000-000071C90000}"/>
    <cellStyle name="Normal 2 4 5 5 2" xfId="21547" xr:uid="{00000000-0005-0000-0000-000072C90000}"/>
    <cellStyle name="Normal 2 4 5 5 2 10" xfId="55950" xr:uid="{00000000-0005-0000-0000-000073C90000}"/>
    <cellStyle name="Normal 2 4 5 5 2 2" xfId="21548" xr:uid="{00000000-0005-0000-0000-000074C90000}"/>
    <cellStyle name="Normal 2 4 5 5 2 2 2" xfId="21549" xr:uid="{00000000-0005-0000-0000-000075C90000}"/>
    <cellStyle name="Normal 2 4 5 5 2 2 2 2" xfId="21550" xr:uid="{00000000-0005-0000-0000-000076C90000}"/>
    <cellStyle name="Normal 2 4 5 5 2 2 2 2 2" xfId="55951" xr:uid="{00000000-0005-0000-0000-000077C90000}"/>
    <cellStyle name="Normal 2 4 5 5 2 2 2 3" xfId="21551" xr:uid="{00000000-0005-0000-0000-000078C90000}"/>
    <cellStyle name="Normal 2 4 5 5 2 2 2 3 2" xfId="55952" xr:uid="{00000000-0005-0000-0000-000079C90000}"/>
    <cellStyle name="Normal 2 4 5 5 2 2 2 4" xfId="55953" xr:uid="{00000000-0005-0000-0000-00007AC90000}"/>
    <cellStyle name="Normal 2 4 5 5 2 2 3" xfId="21552" xr:uid="{00000000-0005-0000-0000-00007BC90000}"/>
    <cellStyle name="Normal 2 4 5 5 2 2 3 2" xfId="55954" xr:uid="{00000000-0005-0000-0000-00007CC90000}"/>
    <cellStyle name="Normal 2 4 5 5 2 2 4" xfId="21553" xr:uid="{00000000-0005-0000-0000-00007DC90000}"/>
    <cellStyle name="Normal 2 4 5 5 2 2 4 2" xfId="55955" xr:uid="{00000000-0005-0000-0000-00007EC90000}"/>
    <cellStyle name="Normal 2 4 5 5 2 2 5" xfId="21554" xr:uid="{00000000-0005-0000-0000-00007FC90000}"/>
    <cellStyle name="Normal 2 4 5 5 2 2 5 2" xfId="55956" xr:uid="{00000000-0005-0000-0000-000080C90000}"/>
    <cellStyle name="Normal 2 4 5 5 2 2 6" xfId="55957" xr:uid="{00000000-0005-0000-0000-000081C90000}"/>
    <cellStyle name="Normal 2 4 5 5 2 2 6 2" xfId="55958" xr:uid="{00000000-0005-0000-0000-000082C90000}"/>
    <cellStyle name="Normal 2 4 5 5 2 2 7" xfId="55959" xr:uid="{00000000-0005-0000-0000-000083C90000}"/>
    <cellStyle name="Normal 2 4 5 5 2 3" xfId="21555" xr:uid="{00000000-0005-0000-0000-000084C90000}"/>
    <cellStyle name="Normal 2 4 5 5 2 3 2" xfId="21556" xr:uid="{00000000-0005-0000-0000-000085C90000}"/>
    <cellStyle name="Normal 2 4 5 5 2 3 2 2" xfId="55960" xr:uid="{00000000-0005-0000-0000-000086C90000}"/>
    <cellStyle name="Normal 2 4 5 5 2 3 3" xfId="21557" xr:uid="{00000000-0005-0000-0000-000087C90000}"/>
    <cellStyle name="Normal 2 4 5 5 2 3 3 2" xfId="55961" xr:uid="{00000000-0005-0000-0000-000088C90000}"/>
    <cellStyle name="Normal 2 4 5 5 2 3 4" xfId="55962" xr:uid="{00000000-0005-0000-0000-000089C90000}"/>
    <cellStyle name="Normal 2 4 5 5 2 4" xfId="21558" xr:uid="{00000000-0005-0000-0000-00008AC90000}"/>
    <cellStyle name="Normal 2 4 5 5 2 4 2" xfId="21559" xr:uid="{00000000-0005-0000-0000-00008BC90000}"/>
    <cellStyle name="Normal 2 4 5 5 2 4 2 2" xfId="55963" xr:uid="{00000000-0005-0000-0000-00008CC90000}"/>
    <cellStyle name="Normal 2 4 5 5 2 4 3" xfId="55964" xr:uid="{00000000-0005-0000-0000-00008DC90000}"/>
    <cellStyle name="Normal 2 4 5 5 2 5" xfId="21560" xr:uid="{00000000-0005-0000-0000-00008EC90000}"/>
    <cellStyle name="Normal 2 4 5 5 2 5 2" xfId="55965" xr:uid="{00000000-0005-0000-0000-00008FC90000}"/>
    <cellStyle name="Normal 2 4 5 5 2 6" xfId="21561" xr:uid="{00000000-0005-0000-0000-000090C90000}"/>
    <cellStyle name="Normal 2 4 5 5 2 6 2" xfId="55966" xr:uid="{00000000-0005-0000-0000-000091C90000}"/>
    <cellStyle name="Normal 2 4 5 5 2 7" xfId="55967" xr:uid="{00000000-0005-0000-0000-000092C90000}"/>
    <cellStyle name="Normal 2 4 5 5 2 7 2" xfId="55968" xr:uid="{00000000-0005-0000-0000-000093C90000}"/>
    <cellStyle name="Normal 2 4 5 5 2 8" xfId="55969" xr:uid="{00000000-0005-0000-0000-000094C90000}"/>
    <cellStyle name="Normal 2 4 5 5 2 9" xfId="55970" xr:uid="{00000000-0005-0000-0000-000095C90000}"/>
    <cellStyle name="Normal 2 4 5 5 3" xfId="21562" xr:uid="{00000000-0005-0000-0000-000096C90000}"/>
    <cellStyle name="Normal 2 4 5 5 3 2" xfId="21563" xr:uid="{00000000-0005-0000-0000-000097C90000}"/>
    <cellStyle name="Normal 2 4 5 5 3 2 2" xfId="21564" xr:uid="{00000000-0005-0000-0000-000098C90000}"/>
    <cellStyle name="Normal 2 4 5 5 3 2 2 2" xfId="55971" xr:uid="{00000000-0005-0000-0000-000099C90000}"/>
    <cellStyle name="Normal 2 4 5 5 3 2 3" xfId="21565" xr:uid="{00000000-0005-0000-0000-00009AC90000}"/>
    <cellStyle name="Normal 2 4 5 5 3 2 3 2" xfId="55972" xr:uid="{00000000-0005-0000-0000-00009BC90000}"/>
    <cellStyle name="Normal 2 4 5 5 3 2 4" xfId="55973" xr:uid="{00000000-0005-0000-0000-00009CC90000}"/>
    <cellStyle name="Normal 2 4 5 5 3 3" xfId="21566" xr:uid="{00000000-0005-0000-0000-00009DC90000}"/>
    <cellStyle name="Normal 2 4 5 5 3 3 2" xfId="55974" xr:uid="{00000000-0005-0000-0000-00009EC90000}"/>
    <cellStyle name="Normal 2 4 5 5 3 4" xfId="21567" xr:uid="{00000000-0005-0000-0000-00009FC90000}"/>
    <cellStyle name="Normal 2 4 5 5 3 4 2" xfId="55975" xr:uid="{00000000-0005-0000-0000-0000A0C90000}"/>
    <cellStyle name="Normal 2 4 5 5 3 5" xfId="21568" xr:uid="{00000000-0005-0000-0000-0000A1C90000}"/>
    <cellStyle name="Normal 2 4 5 5 3 5 2" xfId="55976" xr:uid="{00000000-0005-0000-0000-0000A2C90000}"/>
    <cellStyle name="Normal 2 4 5 5 3 6" xfId="55977" xr:uid="{00000000-0005-0000-0000-0000A3C90000}"/>
    <cellStyle name="Normal 2 4 5 5 3 6 2" xfId="55978" xr:uid="{00000000-0005-0000-0000-0000A4C90000}"/>
    <cellStyle name="Normal 2 4 5 5 3 7" xfId="55979" xr:uid="{00000000-0005-0000-0000-0000A5C90000}"/>
    <cellStyle name="Normal 2 4 5 5 4" xfId="21569" xr:uid="{00000000-0005-0000-0000-0000A6C90000}"/>
    <cellStyle name="Normal 2 4 5 5 4 2" xfId="21570" xr:uid="{00000000-0005-0000-0000-0000A7C90000}"/>
    <cellStyle name="Normal 2 4 5 5 4 2 2" xfId="55980" xr:uid="{00000000-0005-0000-0000-0000A8C90000}"/>
    <cellStyle name="Normal 2 4 5 5 4 3" xfId="21571" xr:uid="{00000000-0005-0000-0000-0000A9C90000}"/>
    <cellStyle name="Normal 2 4 5 5 4 3 2" xfId="55981" xr:uid="{00000000-0005-0000-0000-0000AAC90000}"/>
    <cellStyle name="Normal 2 4 5 5 4 4" xfId="55982" xr:uid="{00000000-0005-0000-0000-0000ABC90000}"/>
    <cellStyle name="Normal 2 4 5 5 5" xfId="21572" xr:uid="{00000000-0005-0000-0000-0000ACC90000}"/>
    <cellStyle name="Normal 2 4 5 5 5 2" xfId="21573" xr:uid="{00000000-0005-0000-0000-0000ADC90000}"/>
    <cellStyle name="Normal 2 4 5 5 5 2 2" xfId="55983" xr:uid="{00000000-0005-0000-0000-0000AEC90000}"/>
    <cellStyle name="Normal 2 4 5 5 5 3" xfId="55984" xr:uid="{00000000-0005-0000-0000-0000AFC90000}"/>
    <cellStyle name="Normal 2 4 5 5 6" xfId="21574" xr:uid="{00000000-0005-0000-0000-0000B0C90000}"/>
    <cellStyle name="Normal 2 4 5 5 6 2" xfId="55985" xr:uid="{00000000-0005-0000-0000-0000B1C90000}"/>
    <cellStyle name="Normal 2 4 5 5 7" xfId="21575" xr:uid="{00000000-0005-0000-0000-0000B2C90000}"/>
    <cellStyle name="Normal 2 4 5 5 7 2" xfId="55986" xr:uid="{00000000-0005-0000-0000-0000B3C90000}"/>
    <cellStyle name="Normal 2 4 5 5 8" xfId="55987" xr:uid="{00000000-0005-0000-0000-0000B4C90000}"/>
    <cellStyle name="Normal 2 4 5 5 8 2" xfId="55988" xr:uid="{00000000-0005-0000-0000-0000B5C90000}"/>
    <cellStyle name="Normal 2 4 5 5 9" xfId="55989" xr:uid="{00000000-0005-0000-0000-0000B6C90000}"/>
    <cellStyle name="Normal 2 4 5 6" xfId="21576" xr:uid="{00000000-0005-0000-0000-0000B7C90000}"/>
    <cellStyle name="Normal 2 4 5 6 10" xfId="55990" xr:uid="{00000000-0005-0000-0000-0000B8C90000}"/>
    <cellStyle name="Normal 2 4 5 6 11" xfId="55991" xr:uid="{00000000-0005-0000-0000-0000B9C90000}"/>
    <cellStyle name="Normal 2 4 5 6 2" xfId="21577" xr:uid="{00000000-0005-0000-0000-0000BAC90000}"/>
    <cellStyle name="Normal 2 4 5 6 2 10" xfId="55992" xr:uid="{00000000-0005-0000-0000-0000BBC90000}"/>
    <cellStyle name="Normal 2 4 5 6 2 2" xfId="21578" xr:uid="{00000000-0005-0000-0000-0000BCC90000}"/>
    <cellStyle name="Normal 2 4 5 6 2 2 2" xfId="21579" xr:uid="{00000000-0005-0000-0000-0000BDC90000}"/>
    <cellStyle name="Normal 2 4 5 6 2 2 2 2" xfId="21580" xr:uid="{00000000-0005-0000-0000-0000BEC90000}"/>
    <cellStyle name="Normal 2 4 5 6 2 2 2 2 2" xfId="55993" xr:uid="{00000000-0005-0000-0000-0000BFC90000}"/>
    <cellStyle name="Normal 2 4 5 6 2 2 2 3" xfId="21581" xr:uid="{00000000-0005-0000-0000-0000C0C90000}"/>
    <cellStyle name="Normal 2 4 5 6 2 2 2 3 2" xfId="55994" xr:uid="{00000000-0005-0000-0000-0000C1C90000}"/>
    <cellStyle name="Normal 2 4 5 6 2 2 2 4" xfId="55995" xr:uid="{00000000-0005-0000-0000-0000C2C90000}"/>
    <cellStyle name="Normal 2 4 5 6 2 2 3" xfId="21582" xr:uid="{00000000-0005-0000-0000-0000C3C90000}"/>
    <cellStyle name="Normal 2 4 5 6 2 2 3 2" xfId="55996" xr:uid="{00000000-0005-0000-0000-0000C4C90000}"/>
    <cellStyle name="Normal 2 4 5 6 2 2 4" xfId="21583" xr:uid="{00000000-0005-0000-0000-0000C5C90000}"/>
    <cellStyle name="Normal 2 4 5 6 2 2 4 2" xfId="55997" xr:uid="{00000000-0005-0000-0000-0000C6C90000}"/>
    <cellStyle name="Normal 2 4 5 6 2 2 5" xfId="21584" xr:uid="{00000000-0005-0000-0000-0000C7C90000}"/>
    <cellStyle name="Normal 2 4 5 6 2 2 5 2" xfId="55998" xr:uid="{00000000-0005-0000-0000-0000C8C90000}"/>
    <cellStyle name="Normal 2 4 5 6 2 2 6" xfId="55999" xr:uid="{00000000-0005-0000-0000-0000C9C90000}"/>
    <cellStyle name="Normal 2 4 5 6 2 2 6 2" xfId="56000" xr:uid="{00000000-0005-0000-0000-0000CAC90000}"/>
    <cellStyle name="Normal 2 4 5 6 2 2 7" xfId="56001" xr:uid="{00000000-0005-0000-0000-0000CBC90000}"/>
    <cellStyle name="Normal 2 4 5 6 2 3" xfId="21585" xr:uid="{00000000-0005-0000-0000-0000CCC90000}"/>
    <cellStyle name="Normal 2 4 5 6 2 3 2" xfId="21586" xr:uid="{00000000-0005-0000-0000-0000CDC90000}"/>
    <cellStyle name="Normal 2 4 5 6 2 3 2 2" xfId="56002" xr:uid="{00000000-0005-0000-0000-0000CEC90000}"/>
    <cellStyle name="Normal 2 4 5 6 2 3 3" xfId="21587" xr:uid="{00000000-0005-0000-0000-0000CFC90000}"/>
    <cellStyle name="Normal 2 4 5 6 2 3 3 2" xfId="56003" xr:uid="{00000000-0005-0000-0000-0000D0C90000}"/>
    <cellStyle name="Normal 2 4 5 6 2 3 4" xfId="56004" xr:uid="{00000000-0005-0000-0000-0000D1C90000}"/>
    <cellStyle name="Normal 2 4 5 6 2 4" xfId="21588" xr:uid="{00000000-0005-0000-0000-0000D2C90000}"/>
    <cellStyle name="Normal 2 4 5 6 2 4 2" xfId="21589" xr:uid="{00000000-0005-0000-0000-0000D3C90000}"/>
    <cellStyle name="Normal 2 4 5 6 2 4 2 2" xfId="56005" xr:uid="{00000000-0005-0000-0000-0000D4C90000}"/>
    <cellStyle name="Normal 2 4 5 6 2 4 3" xfId="56006" xr:uid="{00000000-0005-0000-0000-0000D5C90000}"/>
    <cellStyle name="Normal 2 4 5 6 2 5" xfId="21590" xr:uid="{00000000-0005-0000-0000-0000D6C90000}"/>
    <cellStyle name="Normal 2 4 5 6 2 5 2" xfId="56007" xr:uid="{00000000-0005-0000-0000-0000D7C90000}"/>
    <cellStyle name="Normal 2 4 5 6 2 6" xfId="21591" xr:uid="{00000000-0005-0000-0000-0000D8C90000}"/>
    <cellStyle name="Normal 2 4 5 6 2 6 2" xfId="56008" xr:uid="{00000000-0005-0000-0000-0000D9C90000}"/>
    <cellStyle name="Normal 2 4 5 6 2 7" xfId="56009" xr:uid="{00000000-0005-0000-0000-0000DAC90000}"/>
    <cellStyle name="Normal 2 4 5 6 2 7 2" xfId="56010" xr:uid="{00000000-0005-0000-0000-0000DBC90000}"/>
    <cellStyle name="Normal 2 4 5 6 2 8" xfId="56011" xr:uid="{00000000-0005-0000-0000-0000DCC90000}"/>
    <cellStyle name="Normal 2 4 5 6 2 9" xfId="56012" xr:uid="{00000000-0005-0000-0000-0000DDC90000}"/>
    <cellStyle name="Normal 2 4 5 6 3" xfId="21592" xr:uid="{00000000-0005-0000-0000-0000DEC90000}"/>
    <cellStyle name="Normal 2 4 5 6 3 2" xfId="21593" xr:uid="{00000000-0005-0000-0000-0000DFC90000}"/>
    <cellStyle name="Normal 2 4 5 6 3 2 2" xfId="21594" xr:uid="{00000000-0005-0000-0000-0000E0C90000}"/>
    <cellStyle name="Normal 2 4 5 6 3 2 2 2" xfId="56013" xr:uid="{00000000-0005-0000-0000-0000E1C90000}"/>
    <cellStyle name="Normal 2 4 5 6 3 2 3" xfId="21595" xr:uid="{00000000-0005-0000-0000-0000E2C90000}"/>
    <cellStyle name="Normal 2 4 5 6 3 2 3 2" xfId="56014" xr:uid="{00000000-0005-0000-0000-0000E3C90000}"/>
    <cellStyle name="Normal 2 4 5 6 3 2 4" xfId="56015" xr:uid="{00000000-0005-0000-0000-0000E4C90000}"/>
    <cellStyle name="Normal 2 4 5 6 3 3" xfId="21596" xr:uid="{00000000-0005-0000-0000-0000E5C90000}"/>
    <cellStyle name="Normal 2 4 5 6 3 3 2" xfId="56016" xr:uid="{00000000-0005-0000-0000-0000E6C90000}"/>
    <cellStyle name="Normal 2 4 5 6 3 4" xfId="21597" xr:uid="{00000000-0005-0000-0000-0000E7C90000}"/>
    <cellStyle name="Normal 2 4 5 6 3 4 2" xfId="56017" xr:uid="{00000000-0005-0000-0000-0000E8C90000}"/>
    <cellStyle name="Normal 2 4 5 6 3 5" xfId="21598" xr:uid="{00000000-0005-0000-0000-0000E9C90000}"/>
    <cellStyle name="Normal 2 4 5 6 3 5 2" xfId="56018" xr:uid="{00000000-0005-0000-0000-0000EAC90000}"/>
    <cellStyle name="Normal 2 4 5 6 3 6" xfId="56019" xr:uid="{00000000-0005-0000-0000-0000EBC90000}"/>
    <cellStyle name="Normal 2 4 5 6 3 6 2" xfId="56020" xr:uid="{00000000-0005-0000-0000-0000ECC90000}"/>
    <cellStyle name="Normal 2 4 5 6 3 7" xfId="56021" xr:uid="{00000000-0005-0000-0000-0000EDC90000}"/>
    <cellStyle name="Normal 2 4 5 6 4" xfId="21599" xr:uid="{00000000-0005-0000-0000-0000EEC90000}"/>
    <cellStyle name="Normal 2 4 5 6 4 2" xfId="21600" xr:uid="{00000000-0005-0000-0000-0000EFC90000}"/>
    <cellStyle name="Normal 2 4 5 6 4 2 2" xfId="56022" xr:uid="{00000000-0005-0000-0000-0000F0C90000}"/>
    <cellStyle name="Normal 2 4 5 6 4 3" xfId="21601" xr:uid="{00000000-0005-0000-0000-0000F1C90000}"/>
    <cellStyle name="Normal 2 4 5 6 4 3 2" xfId="56023" xr:uid="{00000000-0005-0000-0000-0000F2C90000}"/>
    <cellStyle name="Normal 2 4 5 6 4 4" xfId="56024" xr:uid="{00000000-0005-0000-0000-0000F3C90000}"/>
    <cellStyle name="Normal 2 4 5 6 5" xfId="21602" xr:uid="{00000000-0005-0000-0000-0000F4C90000}"/>
    <cellStyle name="Normal 2 4 5 6 5 2" xfId="21603" xr:uid="{00000000-0005-0000-0000-0000F5C90000}"/>
    <cellStyle name="Normal 2 4 5 6 5 2 2" xfId="56025" xr:uid="{00000000-0005-0000-0000-0000F6C90000}"/>
    <cellStyle name="Normal 2 4 5 6 5 3" xfId="56026" xr:uid="{00000000-0005-0000-0000-0000F7C90000}"/>
    <cellStyle name="Normal 2 4 5 6 6" xfId="21604" xr:uid="{00000000-0005-0000-0000-0000F8C90000}"/>
    <cellStyle name="Normal 2 4 5 6 6 2" xfId="56027" xr:uid="{00000000-0005-0000-0000-0000F9C90000}"/>
    <cellStyle name="Normal 2 4 5 6 7" xfId="21605" xr:uid="{00000000-0005-0000-0000-0000FAC90000}"/>
    <cellStyle name="Normal 2 4 5 6 7 2" xfId="56028" xr:uid="{00000000-0005-0000-0000-0000FBC90000}"/>
    <cellStyle name="Normal 2 4 5 6 8" xfId="56029" xr:uid="{00000000-0005-0000-0000-0000FCC90000}"/>
    <cellStyle name="Normal 2 4 5 6 8 2" xfId="56030" xr:uid="{00000000-0005-0000-0000-0000FDC90000}"/>
    <cellStyle name="Normal 2 4 5 6 9" xfId="56031" xr:uid="{00000000-0005-0000-0000-0000FEC90000}"/>
    <cellStyle name="Normal 2 4 5 7" xfId="21606" xr:uid="{00000000-0005-0000-0000-0000FFC90000}"/>
    <cellStyle name="Normal 2 4 5 7 10" xfId="56032" xr:uid="{00000000-0005-0000-0000-000000CA0000}"/>
    <cellStyle name="Normal 2 4 5 7 11" xfId="56033" xr:uid="{00000000-0005-0000-0000-000001CA0000}"/>
    <cellStyle name="Normal 2 4 5 7 2" xfId="21607" xr:uid="{00000000-0005-0000-0000-000002CA0000}"/>
    <cellStyle name="Normal 2 4 5 7 2 10" xfId="56034" xr:uid="{00000000-0005-0000-0000-000003CA0000}"/>
    <cellStyle name="Normal 2 4 5 7 2 2" xfId="21608" xr:uid="{00000000-0005-0000-0000-000004CA0000}"/>
    <cellStyle name="Normal 2 4 5 7 2 2 2" xfId="21609" xr:uid="{00000000-0005-0000-0000-000005CA0000}"/>
    <cellStyle name="Normal 2 4 5 7 2 2 2 2" xfId="21610" xr:uid="{00000000-0005-0000-0000-000006CA0000}"/>
    <cellStyle name="Normal 2 4 5 7 2 2 2 2 2" xfId="56035" xr:uid="{00000000-0005-0000-0000-000007CA0000}"/>
    <cellStyle name="Normal 2 4 5 7 2 2 2 3" xfId="21611" xr:uid="{00000000-0005-0000-0000-000008CA0000}"/>
    <cellStyle name="Normal 2 4 5 7 2 2 2 3 2" xfId="56036" xr:uid="{00000000-0005-0000-0000-000009CA0000}"/>
    <cellStyle name="Normal 2 4 5 7 2 2 2 4" xfId="56037" xr:uid="{00000000-0005-0000-0000-00000ACA0000}"/>
    <cellStyle name="Normal 2 4 5 7 2 2 3" xfId="21612" xr:uid="{00000000-0005-0000-0000-00000BCA0000}"/>
    <cellStyle name="Normal 2 4 5 7 2 2 3 2" xfId="56038" xr:uid="{00000000-0005-0000-0000-00000CCA0000}"/>
    <cellStyle name="Normal 2 4 5 7 2 2 4" xfId="21613" xr:uid="{00000000-0005-0000-0000-00000DCA0000}"/>
    <cellStyle name="Normal 2 4 5 7 2 2 4 2" xfId="56039" xr:uid="{00000000-0005-0000-0000-00000ECA0000}"/>
    <cellStyle name="Normal 2 4 5 7 2 2 5" xfId="21614" xr:uid="{00000000-0005-0000-0000-00000FCA0000}"/>
    <cellStyle name="Normal 2 4 5 7 2 2 5 2" xfId="56040" xr:uid="{00000000-0005-0000-0000-000010CA0000}"/>
    <cellStyle name="Normal 2 4 5 7 2 2 6" xfId="56041" xr:uid="{00000000-0005-0000-0000-000011CA0000}"/>
    <cellStyle name="Normal 2 4 5 7 2 2 6 2" xfId="56042" xr:uid="{00000000-0005-0000-0000-000012CA0000}"/>
    <cellStyle name="Normal 2 4 5 7 2 2 7" xfId="56043" xr:uid="{00000000-0005-0000-0000-000013CA0000}"/>
    <cellStyle name="Normal 2 4 5 7 2 3" xfId="21615" xr:uid="{00000000-0005-0000-0000-000014CA0000}"/>
    <cellStyle name="Normal 2 4 5 7 2 3 2" xfId="21616" xr:uid="{00000000-0005-0000-0000-000015CA0000}"/>
    <cellStyle name="Normal 2 4 5 7 2 3 2 2" xfId="56044" xr:uid="{00000000-0005-0000-0000-000016CA0000}"/>
    <cellStyle name="Normal 2 4 5 7 2 3 3" xfId="21617" xr:uid="{00000000-0005-0000-0000-000017CA0000}"/>
    <cellStyle name="Normal 2 4 5 7 2 3 3 2" xfId="56045" xr:uid="{00000000-0005-0000-0000-000018CA0000}"/>
    <cellStyle name="Normal 2 4 5 7 2 3 4" xfId="56046" xr:uid="{00000000-0005-0000-0000-000019CA0000}"/>
    <cellStyle name="Normal 2 4 5 7 2 4" xfId="21618" xr:uid="{00000000-0005-0000-0000-00001ACA0000}"/>
    <cellStyle name="Normal 2 4 5 7 2 4 2" xfId="21619" xr:uid="{00000000-0005-0000-0000-00001BCA0000}"/>
    <cellStyle name="Normal 2 4 5 7 2 4 2 2" xfId="56047" xr:uid="{00000000-0005-0000-0000-00001CCA0000}"/>
    <cellStyle name="Normal 2 4 5 7 2 4 3" xfId="56048" xr:uid="{00000000-0005-0000-0000-00001DCA0000}"/>
    <cellStyle name="Normal 2 4 5 7 2 5" xfId="21620" xr:uid="{00000000-0005-0000-0000-00001ECA0000}"/>
    <cellStyle name="Normal 2 4 5 7 2 5 2" xfId="56049" xr:uid="{00000000-0005-0000-0000-00001FCA0000}"/>
    <cellStyle name="Normal 2 4 5 7 2 6" xfId="21621" xr:uid="{00000000-0005-0000-0000-000020CA0000}"/>
    <cellStyle name="Normal 2 4 5 7 2 6 2" xfId="56050" xr:uid="{00000000-0005-0000-0000-000021CA0000}"/>
    <cellStyle name="Normal 2 4 5 7 2 7" xfId="56051" xr:uid="{00000000-0005-0000-0000-000022CA0000}"/>
    <cellStyle name="Normal 2 4 5 7 2 7 2" xfId="56052" xr:uid="{00000000-0005-0000-0000-000023CA0000}"/>
    <cellStyle name="Normal 2 4 5 7 2 8" xfId="56053" xr:uid="{00000000-0005-0000-0000-000024CA0000}"/>
    <cellStyle name="Normal 2 4 5 7 2 9" xfId="56054" xr:uid="{00000000-0005-0000-0000-000025CA0000}"/>
    <cellStyle name="Normal 2 4 5 7 3" xfId="21622" xr:uid="{00000000-0005-0000-0000-000026CA0000}"/>
    <cellStyle name="Normal 2 4 5 7 3 2" xfId="21623" xr:uid="{00000000-0005-0000-0000-000027CA0000}"/>
    <cellStyle name="Normal 2 4 5 7 3 2 2" xfId="21624" xr:uid="{00000000-0005-0000-0000-000028CA0000}"/>
    <cellStyle name="Normal 2 4 5 7 3 2 2 2" xfId="56055" xr:uid="{00000000-0005-0000-0000-000029CA0000}"/>
    <cellStyle name="Normal 2 4 5 7 3 2 3" xfId="21625" xr:uid="{00000000-0005-0000-0000-00002ACA0000}"/>
    <cellStyle name="Normal 2 4 5 7 3 2 3 2" xfId="56056" xr:uid="{00000000-0005-0000-0000-00002BCA0000}"/>
    <cellStyle name="Normal 2 4 5 7 3 2 4" xfId="56057" xr:uid="{00000000-0005-0000-0000-00002CCA0000}"/>
    <cellStyle name="Normal 2 4 5 7 3 3" xfId="21626" xr:uid="{00000000-0005-0000-0000-00002DCA0000}"/>
    <cellStyle name="Normal 2 4 5 7 3 3 2" xfId="56058" xr:uid="{00000000-0005-0000-0000-00002ECA0000}"/>
    <cellStyle name="Normal 2 4 5 7 3 4" xfId="21627" xr:uid="{00000000-0005-0000-0000-00002FCA0000}"/>
    <cellStyle name="Normal 2 4 5 7 3 4 2" xfId="56059" xr:uid="{00000000-0005-0000-0000-000030CA0000}"/>
    <cellStyle name="Normal 2 4 5 7 3 5" xfId="21628" xr:uid="{00000000-0005-0000-0000-000031CA0000}"/>
    <cellStyle name="Normal 2 4 5 7 3 5 2" xfId="56060" xr:uid="{00000000-0005-0000-0000-000032CA0000}"/>
    <cellStyle name="Normal 2 4 5 7 3 6" xfId="56061" xr:uid="{00000000-0005-0000-0000-000033CA0000}"/>
    <cellStyle name="Normal 2 4 5 7 3 6 2" xfId="56062" xr:uid="{00000000-0005-0000-0000-000034CA0000}"/>
    <cellStyle name="Normal 2 4 5 7 3 7" xfId="56063" xr:uid="{00000000-0005-0000-0000-000035CA0000}"/>
    <cellStyle name="Normal 2 4 5 7 4" xfId="21629" xr:uid="{00000000-0005-0000-0000-000036CA0000}"/>
    <cellStyle name="Normal 2 4 5 7 4 2" xfId="21630" xr:uid="{00000000-0005-0000-0000-000037CA0000}"/>
    <cellStyle name="Normal 2 4 5 7 4 2 2" xfId="56064" xr:uid="{00000000-0005-0000-0000-000038CA0000}"/>
    <cellStyle name="Normal 2 4 5 7 4 3" xfId="21631" xr:uid="{00000000-0005-0000-0000-000039CA0000}"/>
    <cellStyle name="Normal 2 4 5 7 4 3 2" xfId="56065" xr:uid="{00000000-0005-0000-0000-00003ACA0000}"/>
    <cellStyle name="Normal 2 4 5 7 4 4" xfId="56066" xr:uid="{00000000-0005-0000-0000-00003BCA0000}"/>
    <cellStyle name="Normal 2 4 5 7 5" xfId="21632" xr:uid="{00000000-0005-0000-0000-00003CCA0000}"/>
    <cellStyle name="Normal 2 4 5 7 5 2" xfId="21633" xr:uid="{00000000-0005-0000-0000-00003DCA0000}"/>
    <cellStyle name="Normal 2 4 5 7 5 2 2" xfId="56067" xr:uid="{00000000-0005-0000-0000-00003ECA0000}"/>
    <cellStyle name="Normal 2 4 5 7 5 3" xfId="56068" xr:uid="{00000000-0005-0000-0000-00003FCA0000}"/>
    <cellStyle name="Normal 2 4 5 7 6" xfId="21634" xr:uid="{00000000-0005-0000-0000-000040CA0000}"/>
    <cellStyle name="Normal 2 4 5 7 6 2" xfId="56069" xr:uid="{00000000-0005-0000-0000-000041CA0000}"/>
    <cellStyle name="Normal 2 4 5 7 7" xfId="21635" xr:uid="{00000000-0005-0000-0000-000042CA0000}"/>
    <cellStyle name="Normal 2 4 5 7 7 2" xfId="56070" xr:uid="{00000000-0005-0000-0000-000043CA0000}"/>
    <cellStyle name="Normal 2 4 5 7 8" xfId="56071" xr:uid="{00000000-0005-0000-0000-000044CA0000}"/>
    <cellStyle name="Normal 2 4 5 7 8 2" xfId="56072" xr:uid="{00000000-0005-0000-0000-000045CA0000}"/>
    <cellStyle name="Normal 2 4 5 7 9" xfId="56073" xr:uid="{00000000-0005-0000-0000-000046CA0000}"/>
    <cellStyle name="Normal 2 4 5 8" xfId="21636" xr:uid="{00000000-0005-0000-0000-000047CA0000}"/>
    <cellStyle name="Normal 2 4 5 8 10" xfId="56074" xr:uid="{00000000-0005-0000-0000-000048CA0000}"/>
    <cellStyle name="Normal 2 4 5 8 11" xfId="56075" xr:uid="{00000000-0005-0000-0000-000049CA0000}"/>
    <cellStyle name="Normal 2 4 5 8 2" xfId="21637" xr:uid="{00000000-0005-0000-0000-00004ACA0000}"/>
    <cellStyle name="Normal 2 4 5 8 2 10" xfId="56076" xr:uid="{00000000-0005-0000-0000-00004BCA0000}"/>
    <cellStyle name="Normal 2 4 5 8 2 2" xfId="21638" xr:uid="{00000000-0005-0000-0000-00004CCA0000}"/>
    <cellStyle name="Normal 2 4 5 8 2 2 2" xfId="21639" xr:uid="{00000000-0005-0000-0000-00004DCA0000}"/>
    <cellStyle name="Normal 2 4 5 8 2 2 2 2" xfId="21640" xr:uid="{00000000-0005-0000-0000-00004ECA0000}"/>
    <cellStyle name="Normal 2 4 5 8 2 2 2 2 2" xfId="56077" xr:uid="{00000000-0005-0000-0000-00004FCA0000}"/>
    <cellStyle name="Normal 2 4 5 8 2 2 2 3" xfId="21641" xr:uid="{00000000-0005-0000-0000-000050CA0000}"/>
    <cellStyle name="Normal 2 4 5 8 2 2 2 3 2" xfId="56078" xr:uid="{00000000-0005-0000-0000-000051CA0000}"/>
    <cellStyle name="Normal 2 4 5 8 2 2 2 4" xfId="56079" xr:uid="{00000000-0005-0000-0000-000052CA0000}"/>
    <cellStyle name="Normal 2 4 5 8 2 2 3" xfId="21642" xr:uid="{00000000-0005-0000-0000-000053CA0000}"/>
    <cellStyle name="Normal 2 4 5 8 2 2 3 2" xfId="56080" xr:uid="{00000000-0005-0000-0000-000054CA0000}"/>
    <cellStyle name="Normal 2 4 5 8 2 2 4" xfId="21643" xr:uid="{00000000-0005-0000-0000-000055CA0000}"/>
    <cellStyle name="Normal 2 4 5 8 2 2 4 2" xfId="56081" xr:uid="{00000000-0005-0000-0000-000056CA0000}"/>
    <cellStyle name="Normal 2 4 5 8 2 2 5" xfId="21644" xr:uid="{00000000-0005-0000-0000-000057CA0000}"/>
    <cellStyle name="Normal 2 4 5 8 2 2 5 2" xfId="56082" xr:uid="{00000000-0005-0000-0000-000058CA0000}"/>
    <cellStyle name="Normal 2 4 5 8 2 2 6" xfId="56083" xr:uid="{00000000-0005-0000-0000-000059CA0000}"/>
    <cellStyle name="Normal 2 4 5 8 2 2 6 2" xfId="56084" xr:uid="{00000000-0005-0000-0000-00005ACA0000}"/>
    <cellStyle name="Normal 2 4 5 8 2 2 7" xfId="56085" xr:uid="{00000000-0005-0000-0000-00005BCA0000}"/>
    <cellStyle name="Normal 2 4 5 8 2 3" xfId="21645" xr:uid="{00000000-0005-0000-0000-00005CCA0000}"/>
    <cellStyle name="Normal 2 4 5 8 2 3 2" xfId="21646" xr:uid="{00000000-0005-0000-0000-00005DCA0000}"/>
    <cellStyle name="Normal 2 4 5 8 2 3 2 2" xfId="56086" xr:uid="{00000000-0005-0000-0000-00005ECA0000}"/>
    <cellStyle name="Normal 2 4 5 8 2 3 3" xfId="21647" xr:uid="{00000000-0005-0000-0000-00005FCA0000}"/>
    <cellStyle name="Normal 2 4 5 8 2 3 3 2" xfId="56087" xr:uid="{00000000-0005-0000-0000-000060CA0000}"/>
    <cellStyle name="Normal 2 4 5 8 2 3 4" xfId="56088" xr:uid="{00000000-0005-0000-0000-000061CA0000}"/>
    <cellStyle name="Normal 2 4 5 8 2 4" xfId="21648" xr:uid="{00000000-0005-0000-0000-000062CA0000}"/>
    <cellStyle name="Normal 2 4 5 8 2 4 2" xfId="21649" xr:uid="{00000000-0005-0000-0000-000063CA0000}"/>
    <cellStyle name="Normal 2 4 5 8 2 4 2 2" xfId="56089" xr:uid="{00000000-0005-0000-0000-000064CA0000}"/>
    <cellStyle name="Normal 2 4 5 8 2 4 3" xfId="56090" xr:uid="{00000000-0005-0000-0000-000065CA0000}"/>
    <cellStyle name="Normal 2 4 5 8 2 5" xfId="21650" xr:uid="{00000000-0005-0000-0000-000066CA0000}"/>
    <cellStyle name="Normal 2 4 5 8 2 5 2" xfId="56091" xr:uid="{00000000-0005-0000-0000-000067CA0000}"/>
    <cellStyle name="Normal 2 4 5 8 2 6" xfId="21651" xr:uid="{00000000-0005-0000-0000-000068CA0000}"/>
    <cellStyle name="Normal 2 4 5 8 2 6 2" xfId="56092" xr:uid="{00000000-0005-0000-0000-000069CA0000}"/>
    <cellStyle name="Normal 2 4 5 8 2 7" xfId="56093" xr:uid="{00000000-0005-0000-0000-00006ACA0000}"/>
    <cellStyle name="Normal 2 4 5 8 2 7 2" xfId="56094" xr:uid="{00000000-0005-0000-0000-00006BCA0000}"/>
    <cellStyle name="Normal 2 4 5 8 2 8" xfId="56095" xr:uid="{00000000-0005-0000-0000-00006CCA0000}"/>
    <cellStyle name="Normal 2 4 5 8 2 9" xfId="56096" xr:uid="{00000000-0005-0000-0000-00006DCA0000}"/>
    <cellStyle name="Normal 2 4 5 8 3" xfId="21652" xr:uid="{00000000-0005-0000-0000-00006ECA0000}"/>
    <cellStyle name="Normal 2 4 5 8 3 2" xfId="21653" xr:uid="{00000000-0005-0000-0000-00006FCA0000}"/>
    <cellStyle name="Normal 2 4 5 8 3 2 2" xfId="21654" xr:uid="{00000000-0005-0000-0000-000070CA0000}"/>
    <cellStyle name="Normal 2 4 5 8 3 2 2 2" xfId="56097" xr:uid="{00000000-0005-0000-0000-000071CA0000}"/>
    <cellStyle name="Normal 2 4 5 8 3 2 3" xfId="21655" xr:uid="{00000000-0005-0000-0000-000072CA0000}"/>
    <cellStyle name="Normal 2 4 5 8 3 2 3 2" xfId="56098" xr:uid="{00000000-0005-0000-0000-000073CA0000}"/>
    <cellStyle name="Normal 2 4 5 8 3 2 4" xfId="56099" xr:uid="{00000000-0005-0000-0000-000074CA0000}"/>
    <cellStyle name="Normal 2 4 5 8 3 3" xfId="21656" xr:uid="{00000000-0005-0000-0000-000075CA0000}"/>
    <cellStyle name="Normal 2 4 5 8 3 3 2" xfId="56100" xr:uid="{00000000-0005-0000-0000-000076CA0000}"/>
    <cellStyle name="Normal 2 4 5 8 3 4" xfId="21657" xr:uid="{00000000-0005-0000-0000-000077CA0000}"/>
    <cellStyle name="Normal 2 4 5 8 3 4 2" xfId="56101" xr:uid="{00000000-0005-0000-0000-000078CA0000}"/>
    <cellStyle name="Normal 2 4 5 8 3 5" xfId="21658" xr:uid="{00000000-0005-0000-0000-000079CA0000}"/>
    <cellStyle name="Normal 2 4 5 8 3 5 2" xfId="56102" xr:uid="{00000000-0005-0000-0000-00007ACA0000}"/>
    <cellStyle name="Normal 2 4 5 8 3 6" xfId="56103" xr:uid="{00000000-0005-0000-0000-00007BCA0000}"/>
    <cellStyle name="Normal 2 4 5 8 3 6 2" xfId="56104" xr:uid="{00000000-0005-0000-0000-00007CCA0000}"/>
    <cellStyle name="Normal 2 4 5 8 3 7" xfId="56105" xr:uid="{00000000-0005-0000-0000-00007DCA0000}"/>
    <cellStyle name="Normal 2 4 5 8 4" xfId="21659" xr:uid="{00000000-0005-0000-0000-00007ECA0000}"/>
    <cellStyle name="Normal 2 4 5 8 4 2" xfId="21660" xr:uid="{00000000-0005-0000-0000-00007FCA0000}"/>
    <cellStyle name="Normal 2 4 5 8 4 2 2" xfId="56106" xr:uid="{00000000-0005-0000-0000-000080CA0000}"/>
    <cellStyle name="Normal 2 4 5 8 4 3" xfId="21661" xr:uid="{00000000-0005-0000-0000-000081CA0000}"/>
    <cellStyle name="Normal 2 4 5 8 4 3 2" xfId="56107" xr:uid="{00000000-0005-0000-0000-000082CA0000}"/>
    <cellStyle name="Normal 2 4 5 8 4 4" xfId="56108" xr:uid="{00000000-0005-0000-0000-000083CA0000}"/>
    <cellStyle name="Normal 2 4 5 8 5" xfId="21662" xr:uid="{00000000-0005-0000-0000-000084CA0000}"/>
    <cellStyle name="Normal 2 4 5 8 5 2" xfId="21663" xr:uid="{00000000-0005-0000-0000-000085CA0000}"/>
    <cellStyle name="Normal 2 4 5 8 5 2 2" xfId="56109" xr:uid="{00000000-0005-0000-0000-000086CA0000}"/>
    <cellStyle name="Normal 2 4 5 8 5 3" xfId="56110" xr:uid="{00000000-0005-0000-0000-000087CA0000}"/>
    <cellStyle name="Normal 2 4 5 8 6" xfId="21664" xr:uid="{00000000-0005-0000-0000-000088CA0000}"/>
    <cellStyle name="Normal 2 4 5 8 6 2" xfId="56111" xr:uid="{00000000-0005-0000-0000-000089CA0000}"/>
    <cellStyle name="Normal 2 4 5 8 7" xfId="21665" xr:uid="{00000000-0005-0000-0000-00008ACA0000}"/>
    <cellStyle name="Normal 2 4 5 8 7 2" xfId="56112" xr:uid="{00000000-0005-0000-0000-00008BCA0000}"/>
    <cellStyle name="Normal 2 4 5 8 8" xfId="56113" xr:uid="{00000000-0005-0000-0000-00008CCA0000}"/>
    <cellStyle name="Normal 2 4 5 8 8 2" xfId="56114" xr:uid="{00000000-0005-0000-0000-00008DCA0000}"/>
    <cellStyle name="Normal 2 4 5 8 9" xfId="56115" xr:uid="{00000000-0005-0000-0000-00008ECA0000}"/>
    <cellStyle name="Normal 2 4 5 9" xfId="21666" xr:uid="{00000000-0005-0000-0000-00008FCA0000}"/>
    <cellStyle name="Normal 2 4 5 9 10" xfId="56116" xr:uid="{00000000-0005-0000-0000-000090CA0000}"/>
    <cellStyle name="Normal 2 4 5 9 11" xfId="56117" xr:uid="{00000000-0005-0000-0000-000091CA0000}"/>
    <cellStyle name="Normal 2 4 5 9 2" xfId="21667" xr:uid="{00000000-0005-0000-0000-000092CA0000}"/>
    <cellStyle name="Normal 2 4 5 9 2 10" xfId="56118" xr:uid="{00000000-0005-0000-0000-000093CA0000}"/>
    <cellStyle name="Normal 2 4 5 9 2 2" xfId="21668" xr:uid="{00000000-0005-0000-0000-000094CA0000}"/>
    <cellStyle name="Normal 2 4 5 9 2 2 2" xfId="21669" xr:uid="{00000000-0005-0000-0000-000095CA0000}"/>
    <cellStyle name="Normal 2 4 5 9 2 2 2 2" xfId="21670" xr:uid="{00000000-0005-0000-0000-000096CA0000}"/>
    <cellStyle name="Normal 2 4 5 9 2 2 2 2 2" xfId="56119" xr:uid="{00000000-0005-0000-0000-000097CA0000}"/>
    <cellStyle name="Normal 2 4 5 9 2 2 2 3" xfId="21671" xr:uid="{00000000-0005-0000-0000-000098CA0000}"/>
    <cellStyle name="Normal 2 4 5 9 2 2 2 3 2" xfId="56120" xr:uid="{00000000-0005-0000-0000-000099CA0000}"/>
    <cellStyle name="Normal 2 4 5 9 2 2 2 4" xfId="56121" xr:uid="{00000000-0005-0000-0000-00009ACA0000}"/>
    <cellStyle name="Normal 2 4 5 9 2 2 3" xfId="21672" xr:uid="{00000000-0005-0000-0000-00009BCA0000}"/>
    <cellStyle name="Normal 2 4 5 9 2 2 3 2" xfId="56122" xr:uid="{00000000-0005-0000-0000-00009CCA0000}"/>
    <cellStyle name="Normal 2 4 5 9 2 2 4" xfId="21673" xr:uid="{00000000-0005-0000-0000-00009DCA0000}"/>
    <cellStyle name="Normal 2 4 5 9 2 2 4 2" xfId="56123" xr:uid="{00000000-0005-0000-0000-00009ECA0000}"/>
    <cellStyle name="Normal 2 4 5 9 2 2 5" xfId="21674" xr:uid="{00000000-0005-0000-0000-00009FCA0000}"/>
    <cellStyle name="Normal 2 4 5 9 2 2 5 2" xfId="56124" xr:uid="{00000000-0005-0000-0000-0000A0CA0000}"/>
    <cellStyle name="Normal 2 4 5 9 2 2 6" xfId="56125" xr:uid="{00000000-0005-0000-0000-0000A1CA0000}"/>
    <cellStyle name="Normal 2 4 5 9 2 2 6 2" xfId="56126" xr:uid="{00000000-0005-0000-0000-0000A2CA0000}"/>
    <cellStyle name="Normal 2 4 5 9 2 2 7" xfId="56127" xr:uid="{00000000-0005-0000-0000-0000A3CA0000}"/>
    <cellStyle name="Normal 2 4 5 9 2 3" xfId="21675" xr:uid="{00000000-0005-0000-0000-0000A4CA0000}"/>
    <cellStyle name="Normal 2 4 5 9 2 3 2" xfId="21676" xr:uid="{00000000-0005-0000-0000-0000A5CA0000}"/>
    <cellStyle name="Normal 2 4 5 9 2 3 2 2" xfId="56128" xr:uid="{00000000-0005-0000-0000-0000A6CA0000}"/>
    <cellStyle name="Normal 2 4 5 9 2 3 3" xfId="21677" xr:uid="{00000000-0005-0000-0000-0000A7CA0000}"/>
    <cellStyle name="Normal 2 4 5 9 2 3 3 2" xfId="56129" xr:uid="{00000000-0005-0000-0000-0000A8CA0000}"/>
    <cellStyle name="Normal 2 4 5 9 2 3 4" xfId="56130" xr:uid="{00000000-0005-0000-0000-0000A9CA0000}"/>
    <cellStyle name="Normal 2 4 5 9 2 4" xfId="21678" xr:uid="{00000000-0005-0000-0000-0000AACA0000}"/>
    <cellStyle name="Normal 2 4 5 9 2 4 2" xfId="21679" xr:uid="{00000000-0005-0000-0000-0000ABCA0000}"/>
    <cellStyle name="Normal 2 4 5 9 2 4 2 2" xfId="56131" xr:uid="{00000000-0005-0000-0000-0000ACCA0000}"/>
    <cellStyle name="Normal 2 4 5 9 2 4 3" xfId="56132" xr:uid="{00000000-0005-0000-0000-0000ADCA0000}"/>
    <cellStyle name="Normal 2 4 5 9 2 5" xfId="21680" xr:uid="{00000000-0005-0000-0000-0000AECA0000}"/>
    <cellStyle name="Normal 2 4 5 9 2 5 2" xfId="56133" xr:uid="{00000000-0005-0000-0000-0000AFCA0000}"/>
    <cellStyle name="Normal 2 4 5 9 2 6" xfId="21681" xr:uid="{00000000-0005-0000-0000-0000B0CA0000}"/>
    <cellStyle name="Normal 2 4 5 9 2 6 2" xfId="56134" xr:uid="{00000000-0005-0000-0000-0000B1CA0000}"/>
    <cellStyle name="Normal 2 4 5 9 2 7" xfId="56135" xr:uid="{00000000-0005-0000-0000-0000B2CA0000}"/>
    <cellStyle name="Normal 2 4 5 9 2 7 2" xfId="56136" xr:uid="{00000000-0005-0000-0000-0000B3CA0000}"/>
    <cellStyle name="Normal 2 4 5 9 2 8" xfId="56137" xr:uid="{00000000-0005-0000-0000-0000B4CA0000}"/>
    <cellStyle name="Normal 2 4 5 9 2 9" xfId="56138" xr:uid="{00000000-0005-0000-0000-0000B5CA0000}"/>
    <cellStyle name="Normal 2 4 5 9 3" xfId="21682" xr:uid="{00000000-0005-0000-0000-0000B6CA0000}"/>
    <cellStyle name="Normal 2 4 5 9 3 2" xfId="21683" xr:uid="{00000000-0005-0000-0000-0000B7CA0000}"/>
    <cellStyle name="Normal 2 4 5 9 3 2 2" xfId="21684" xr:uid="{00000000-0005-0000-0000-0000B8CA0000}"/>
    <cellStyle name="Normal 2 4 5 9 3 2 2 2" xfId="56139" xr:uid="{00000000-0005-0000-0000-0000B9CA0000}"/>
    <cellStyle name="Normal 2 4 5 9 3 2 3" xfId="21685" xr:uid="{00000000-0005-0000-0000-0000BACA0000}"/>
    <cellStyle name="Normal 2 4 5 9 3 2 3 2" xfId="56140" xr:uid="{00000000-0005-0000-0000-0000BBCA0000}"/>
    <cellStyle name="Normal 2 4 5 9 3 2 4" xfId="56141" xr:uid="{00000000-0005-0000-0000-0000BCCA0000}"/>
    <cellStyle name="Normal 2 4 5 9 3 3" xfId="21686" xr:uid="{00000000-0005-0000-0000-0000BDCA0000}"/>
    <cellStyle name="Normal 2 4 5 9 3 3 2" xfId="56142" xr:uid="{00000000-0005-0000-0000-0000BECA0000}"/>
    <cellStyle name="Normal 2 4 5 9 3 4" xfId="21687" xr:uid="{00000000-0005-0000-0000-0000BFCA0000}"/>
    <cellStyle name="Normal 2 4 5 9 3 4 2" xfId="56143" xr:uid="{00000000-0005-0000-0000-0000C0CA0000}"/>
    <cellStyle name="Normal 2 4 5 9 3 5" xfId="21688" xr:uid="{00000000-0005-0000-0000-0000C1CA0000}"/>
    <cellStyle name="Normal 2 4 5 9 3 5 2" xfId="56144" xr:uid="{00000000-0005-0000-0000-0000C2CA0000}"/>
    <cellStyle name="Normal 2 4 5 9 3 6" xfId="56145" xr:uid="{00000000-0005-0000-0000-0000C3CA0000}"/>
    <cellStyle name="Normal 2 4 5 9 3 6 2" xfId="56146" xr:uid="{00000000-0005-0000-0000-0000C4CA0000}"/>
    <cellStyle name="Normal 2 4 5 9 3 7" xfId="56147" xr:uid="{00000000-0005-0000-0000-0000C5CA0000}"/>
    <cellStyle name="Normal 2 4 5 9 4" xfId="21689" xr:uid="{00000000-0005-0000-0000-0000C6CA0000}"/>
    <cellStyle name="Normal 2 4 5 9 4 2" xfId="21690" xr:uid="{00000000-0005-0000-0000-0000C7CA0000}"/>
    <cellStyle name="Normal 2 4 5 9 4 2 2" xfId="56148" xr:uid="{00000000-0005-0000-0000-0000C8CA0000}"/>
    <cellStyle name="Normal 2 4 5 9 4 3" xfId="21691" xr:uid="{00000000-0005-0000-0000-0000C9CA0000}"/>
    <cellStyle name="Normal 2 4 5 9 4 3 2" xfId="56149" xr:uid="{00000000-0005-0000-0000-0000CACA0000}"/>
    <cellStyle name="Normal 2 4 5 9 4 4" xfId="56150" xr:uid="{00000000-0005-0000-0000-0000CBCA0000}"/>
    <cellStyle name="Normal 2 4 5 9 5" xfId="21692" xr:uid="{00000000-0005-0000-0000-0000CCCA0000}"/>
    <cellStyle name="Normal 2 4 5 9 5 2" xfId="21693" xr:uid="{00000000-0005-0000-0000-0000CDCA0000}"/>
    <cellStyle name="Normal 2 4 5 9 5 2 2" xfId="56151" xr:uid="{00000000-0005-0000-0000-0000CECA0000}"/>
    <cellStyle name="Normal 2 4 5 9 5 3" xfId="56152" xr:uid="{00000000-0005-0000-0000-0000CFCA0000}"/>
    <cellStyle name="Normal 2 4 5 9 6" xfId="21694" xr:uid="{00000000-0005-0000-0000-0000D0CA0000}"/>
    <cellStyle name="Normal 2 4 5 9 6 2" xfId="56153" xr:uid="{00000000-0005-0000-0000-0000D1CA0000}"/>
    <cellStyle name="Normal 2 4 5 9 7" xfId="21695" xr:uid="{00000000-0005-0000-0000-0000D2CA0000}"/>
    <cellStyle name="Normal 2 4 5 9 7 2" xfId="56154" xr:uid="{00000000-0005-0000-0000-0000D3CA0000}"/>
    <cellStyle name="Normal 2 4 5 9 8" xfId="56155" xr:uid="{00000000-0005-0000-0000-0000D4CA0000}"/>
    <cellStyle name="Normal 2 4 5 9 8 2" xfId="56156" xr:uid="{00000000-0005-0000-0000-0000D5CA0000}"/>
    <cellStyle name="Normal 2 4 5 9 9" xfId="56157" xr:uid="{00000000-0005-0000-0000-0000D6CA0000}"/>
    <cellStyle name="Normal 2 4 6" xfId="21696" xr:uid="{00000000-0005-0000-0000-0000D7CA0000}"/>
    <cellStyle name="Normal 2 4 6 10" xfId="21697" xr:uid="{00000000-0005-0000-0000-0000D8CA0000}"/>
    <cellStyle name="Normal 2 4 6 10 10" xfId="56158" xr:uid="{00000000-0005-0000-0000-0000D9CA0000}"/>
    <cellStyle name="Normal 2 4 6 10 11" xfId="56159" xr:uid="{00000000-0005-0000-0000-0000DACA0000}"/>
    <cellStyle name="Normal 2 4 6 10 2" xfId="21698" xr:uid="{00000000-0005-0000-0000-0000DBCA0000}"/>
    <cellStyle name="Normal 2 4 6 10 2 10" xfId="56160" xr:uid="{00000000-0005-0000-0000-0000DCCA0000}"/>
    <cellStyle name="Normal 2 4 6 10 2 2" xfId="21699" xr:uid="{00000000-0005-0000-0000-0000DDCA0000}"/>
    <cellStyle name="Normal 2 4 6 10 2 2 2" xfId="21700" xr:uid="{00000000-0005-0000-0000-0000DECA0000}"/>
    <cellStyle name="Normal 2 4 6 10 2 2 2 2" xfId="21701" xr:uid="{00000000-0005-0000-0000-0000DFCA0000}"/>
    <cellStyle name="Normal 2 4 6 10 2 2 2 2 2" xfId="56161" xr:uid="{00000000-0005-0000-0000-0000E0CA0000}"/>
    <cellStyle name="Normal 2 4 6 10 2 2 2 3" xfId="21702" xr:uid="{00000000-0005-0000-0000-0000E1CA0000}"/>
    <cellStyle name="Normal 2 4 6 10 2 2 2 3 2" xfId="56162" xr:uid="{00000000-0005-0000-0000-0000E2CA0000}"/>
    <cellStyle name="Normal 2 4 6 10 2 2 2 4" xfId="56163" xr:uid="{00000000-0005-0000-0000-0000E3CA0000}"/>
    <cellStyle name="Normal 2 4 6 10 2 2 3" xfId="21703" xr:uid="{00000000-0005-0000-0000-0000E4CA0000}"/>
    <cellStyle name="Normal 2 4 6 10 2 2 3 2" xfId="56164" xr:uid="{00000000-0005-0000-0000-0000E5CA0000}"/>
    <cellStyle name="Normal 2 4 6 10 2 2 4" xfId="21704" xr:uid="{00000000-0005-0000-0000-0000E6CA0000}"/>
    <cellStyle name="Normal 2 4 6 10 2 2 4 2" xfId="56165" xr:uid="{00000000-0005-0000-0000-0000E7CA0000}"/>
    <cellStyle name="Normal 2 4 6 10 2 2 5" xfId="21705" xr:uid="{00000000-0005-0000-0000-0000E8CA0000}"/>
    <cellStyle name="Normal 2 4 6 10 2 2 5 2" xfId="56166" xr:uid="{00000000-0005-0000-0000-0000E9CA0000}"/>
    <cellStyle name="Normal 2 4 6 10 2 2 6" xfId="56167" xr:uid="{00000000-0005-0000-0000-0000EACA0000}"/>
    <cellStyle name="Normal 2 4 6 10 2 2 6 2" xfId="56168" xr:uid="{00000000-0005-0000-0000-0000EBCA0000}"/>
    <cellStyle name="Normal 2 4 6 10 2 2 7" xfId="56169" xr:uid="{00000000-0005-0000-0000-0000ECCA0000}"/>
    <cellStyle name="Normal 2 4 6 10 2 3" xfId="21706" xr:uid="{00000000-0005-0000-0000-0000EDCA0000}"/>
    <cellStyle name="Normal 2 4 6 10 2 3 2" xfId="21707" xr:uid="{00000000-0005-0000-0000-0000EECA0000}"/>
    <cellStyle name="Normal 2 4 6 10 2 3 2 2" xfId="56170" xr:uid="{00000000-0005-0000-0000-0000EFCA0000}"/>
    <cellStyle name="Normal 2 4 6 10 2 3 3" xfId="21708" xr:uid="{00000000-0005-0000-0000-0000F0CA0000}"/>
    <cellStyle name="Normal 2 4 6 10 2 3 3 2" xfId="56171" xr:uid="{00000000-0005-0000-0000-0000F1CA0000}"/>
    <cellStyle name="Normal 2 4 6 10 2 3 4" xfId="56172" xr:uid="{00000000-0005-0000-0000-0000F2CA0000}"/>
    <cellStyle name="Normal 2 4 6 10 2 4" xfId="21709" xr:uid="{00000000-0005-0000-0000-0000F3CA0000}"/>
    <cellStyle name="Normal 2 4 6 10 2 4 2" xfId="21710" xr:uid="{00000000-0005-0000-0000-0000F4CA0000}"/>
    <cellStyle name="Normal 2 4 6 10 2 4 2 2" xfId="56173" xr:uid="{00000000-0005-0000-0000-0000F5CA0000}"/>
    <cellStyle name="Normal 2 4 6 10 2 4 3" xfId="56174" xr:uid="{00000000-0005-0000-0000-0000F6CA0000}"/>
    <cellStyle name="Normal 2 4 6 10 2 5" xfId="21711" xr:uid="{00000000-0005-0000-0000-0000F7CA0000}"/>
    <cellStyle name="Normal 2 4 6 10 2 5 2" xfId="56175" xr:uid="{00000000-0005-0000-0000-0000F8CA0000}"/>
    <cellStyle name="Normal 2 4 6 10 2 6" xfId="21712" xr:uid="{00000000-0005-0000-0000-0000F9CA0000}"/>
    <cellStyle name="Normal 2 4 6 10 2 6 2" xfId="56176" xr:uid="{00000000-0005-0000-0000-0000FACA0000}"/>
    <cellStyle name="Normal 2 4 6 10 2 7" xfId="56177" xr:uid="{00000000-0005-0000-0000-0000FBCA0000}"/>
    <cellStyle name="Normal 2 4 6 10 2 7 2" xfId="56178" xr:uid="{00000000-0005-0000-0000-0000FCCA0000}"/>
    <cellStyle name="Normal 2 4 6 10 2 8" xfId="56179" xr:uid="{00000000-0005-0000-0000-0000FDCA0000}"/>
    <cellStyle name="Normal 2 4 6 10 2 9" xfId="56180" xr:uid="{00000000-0005-0000-0000-0000FECA0000}"/>
    <cellStyle name="Normal 2 4 6 10 3" xfId="21713" xr:uid="{00000000-0005-0000-0000-0000FFCA0000}"/>
    <cellStyle name="Normal 2 4 6 10 3 2" xfId="21714" xr:uid="{00000000-0005-0000-0000-000000CB0000}"/>
    <cellStyle name="Normal 2 4 6 10 3 2 2" xfId="21715" xr:uid="{00000000-0005-0000-0000-000001CB0000}"/>
    <cellStyle name="Normal 2 4 6 10 3 2 2 2" xfId="56181" xr:uid="{00000000-0005-0000-0000-000002CB0000}"/>
    <cellStyle name="Normal 2 4 6 10 3 2 3" xfId="21716" xr:uid="{00000000-0005-0000-0000-000003CB0000}"/>
    <cellStyle name="Normal 2 4 6 10 3 2 3 2" xfId="56182" xr:uid="{00000000-0005-0000-0000-000004CB0000}"/>
    <cellStyle name="Normal 2 4 6 10 3 2 4" xfId="56183" xr:uid="{00000000-0005-0000-0000-000005CB0000}"/>
    <cellStyle name="Normal 2 4 6 10 3 3" xfId="21717" xr:uid="{00000000-0005-0000-0000-000006CB0000}"/>
    <cellStyle name="Normal 2 4 6 10 3 3 2" xfId="56184" xr:uid="{00000000-0005-0000-0000-000007CB0000}"/>
    <cellStyle name="Normal 2 4 6 10 3 4" xfId="21718" xr:uid="{00000000-0005-0000-0000-000008CB0000}"/>
    <cellStyle name="Normal 2 4 6 10 3 4 2" xfId="56185" xr:uid="{00000000-0005-0000-0000-000009CB0000}"/>
    <cellStyle name="Normal 2 4 6 10 3 5" xfId="21719" xr:uid="{00000000-0005-0000-0000-00000ACB0000}"/>
    <cellStyle name="Normal 2 4 6 10 3 5 2" xfId="56186" xr:uid="{00000000-0005-0000-0000-00000BCB0000}"/>
    <cellStyle name="Normal 2 4 6 10 3 6" xfId="56187" xr:uid="{00000000-0005-0000-0000-00000CCB0000}"/>
    <cellStyle name="Normal 2 4 6 10 3 6 2" xfId="56188" xr:uid="{00000000-0005-0000-0000-00000DCB0000}"/>
    <cellStyle name="Normal 2 4 6 10 3 7" xfId="56189" xr:uid="{00000000-0005-0000-0000-00000ECB0000}"/>
    <cellStyle name="Normal 2 4 6 10 4" xfId="21720" xr:uid="{00000000-0005-0000-0000-00000FCB0000}"/>
    <cellStyle name="Normal 2 4 6 10 4 2" xfId="21721" xr:uid="{00000000-0005-0000-0000-000010CB0000}"/>
    <cellStyle name="Normal 2 4 6 10 4 2 2" xfId="56190" xr:uid="{00000000-0005-0000-0000-000011CB0000}"/>
    <cellStyle name="Normal 2 4 6 10 4 3" xfId="21722" xr:uid="{00000000-0005-0000-0000-000012CB0000}"/>
    <cellStyle name="Normal 2 4 6 10 4 3 2" xfId="56191" xr:uid="{00000000-0005-0000-0000-000013CB0000}"/>
    <cellStyle name="Normal 2 4 6 10 4 4" xfId="56192" xr:uid="{00000000-0005-0000-0000-000014CB0000}"/>
    <cellStyle name="Normal 2 4 6 10 5" xfId="21723" xr:uid="{00000000-0005-0000-0000-000015CB0000}"/>
    <cellStyle name="Normal 2 4 6 10 5 2" xfId="21724" xr:uid="{00000000-0005-0000-0000-000016CB0000}"/>
    <cellStyle name="Normal 2 4 6 10 5 2 2" xfId="56193" xr:uid="{00000000-0005-0000-0000-000017CB0000}"/>
    <cellStyle name="Normal 2 4 6 10 5 3" xfId="56194" xr:uid="{00000000-0005-0000-0000-000018CB0000}"/>
    <cellStyle name="Normal 2 4 6 10 6" xfId="21725" xr:uid="{00000000-0005-0000-0000-000019CB0000}"/>
    <cellStyle name="Normal 2 4 6 10 6 2" xfId="56195" xr:uid="{00000000-0005-0000-0000-00001ACB0000}"/>
    <cellStyle name="Normal 2 4 6 10 7" xfId="21726" xr:uid="{00000000-0005-0000-0000-00001BCB0000}"/>
    <cellStyle name="Normal 2 4 6 10 7 2" xfId="56196" xr:uid="{00000000-0005-0000-0000-00001CCB0000}"/>
    <cellStyle name="Normal 2 4 6 10 8" xfId="56197" xr:uid="{00000000-0005-0000-0000-00001DCB0000}"/>
    <cellStyle name="Normal 2 4 6 10 8 2" xfId="56198" xr:uid="{00000000-0005-0000-0000-00001ECB0000}"/>
    <cellStyle name="Normal 2 4 6 10 9" xfId="56199" xr:uid="{00000000-0005-0000-0000-00001FCB0000}"/>
    <cellStyle name="Normal 2 4 6 11" xfId="21727" xr:uid="{00000000-0005-0000-0000-000020CB0000}"/>
    <cellStyle name="Normal 2 4 6 11 10" xfId="56200" xr:uid="{00000000-0005-0000-0000-000021CB0000}"/>
    <cellStyle name="Normal 2 4 6 11 11" xfId="56201" xr:uid="{00000000-0005-0000-0000-000022CB0000}"/>
    <cellStyle name="Normal 2 4 6 11 2" xfId="21728" xr:uid="{00000000-0005-0000-0000-000023CB0000}"/>
    <cellStyle name="Normal 2 4 6 11 2 10" xfId="56202" xr:uid="{00000000-0005-0000-0000-000024CB0000}"/>
    <cellStyle name="Normal 2 4 6 11 2 2" xfId="21729" xr:uid="{00000000-0005-0000-0000-000025CB0000}"/>
    <cellStyle name="Normal 2 4 6 11 2 2 2" xfId="21730" xr:uid="{00000000-0005-0000-0000-000026CB0000}"/>
    <cellStyle name="Normal 2 4 6 11 2 2 2 2" xfId="21731" xr:uid="{00000000-0005-0000-0000-000027CB0000}"/>
    <cellStyle name="Normal 2 4 6 11 2 2 2 2 2" xfId="56203" xr:uid="{00000000-0005-0000-0000-000028CB0000}"/>
    <cellStyle name="Normal 2 4 6 11 2 2 2 3" xfId="21732" xr:uid="{00000000-0005-0000-0000-000029CB0000}"/>
    <cellStyle name="Normal 2 4 6 11 2 2 2 3 2" xfId="56204" xr:uid="{00000000-0005-0000-0000-00002ACB0000}"/>
    <cellStyle name="Normal 2 4 6 11 2 2 2 4" xfId="56205" xr:uid="{00000000-0005-0000-0000-00002BCB0000}"/>
    <cellStyle name="Normal 2 4 6 11 2 2 3" xfId="21733" xr:uid="{00000000-0005-0000-0000-00002CCB0000}"/>
    <cellStyle name="Normal 2 4 6 11 2 2 3 2" xfId="56206" xr:uid="{00000000-0005-0000-0000-00002DCB0000}"/>
    <cellStyle name="Normal 2 4 6 11 2 2 4" xfId="21734" xr:uid="{00000000-0005-0000-0000-00002ECB0000}"/>
    <cellStyle name="Normal 2 4 6 11 2 2 4 2" xfId="56207" xr:uid="{00000000-0005-0000-0000-00002FCB0000}"/>
    <cellStyle name="Normal 2 4 6 11 2 2 5" xfId="21735" xr:uid="{00000000-0005-0000-0000-000030CB0000}"/>
    <cellStyle name="Normal 2 4 6 11 2 2 5 2" xfId="56208" xr:uid="{00000000-0005-0000-0000-000031CB0000}"/>
    <cellStyle name="Normal 2 4 6 11 2 2 6" xfId="56209" xr:uid="{00000000-0005-0000-0000-000032CB0000}"/>
    <cellStyle name="Normal 2 4 6 11 2 2 6 2" xfId="56210" xr:uid="{00000000-0005-0000-0000-000033CB0000}"/>
    <cellStyle name="Normal 2 4 6 11 2 2 7" xfId="56211" xr:uid="{00000000-0005-0000-0000-000034CB0000}"/>
    <cellStyle name="Normal 2 4 6 11 2 3" xfId="21736" xr:uid="{00000000-0005-0000-0000-000035CB0000}"/>
    <cellStyle name="Normal 2 4 6 11 2 3 2" xfId="21737" xr:uid="{00000000-0005-0000-0000-000036CB0000}"/>
    <cellStyle name="Normal 2 4 6 11 2 3 2 2" xfId="56212" xr:uid="{00000000-0005-0000-0000-000037CB0000}"/>
    <cellStyle name="Normal 2 4 6 11 2 3 3" xfId="21738" xr:uid="{00000000-0005-0000-0000-000038CB0000}"/>
    <cellStyle name="Normal 2 4 6 11 2 3 3 2" xfId="56213" xr:uid="{00000000-0005-0000-0000-000039CB0000}"/>
    <cellStyle name="Normal 2 4 6 11 2 3 4" xfId="56214" xr:uid="{00000000-0005-0000-0000-00003ACB0000}"/>
    <cellStyle name="Normal 2 4 6 11 2 4" xfId="21739" xr:uid="{00000000-0005-0000-0000-00003BCB0000}"/>
    <cellStyle name="Normal 2 4 6 11 2 4 2" xfId="21740" xr:uid="{00000000-0005-0000-0000-00003CCB0000}"/>
    <cellStyle name="Normal 2 4 6 11 2 4 2 2" xfId="56215" xr:uid="{00000000-0005-0000-0000-00003DCB0000}"/>
    <cellStyle name="Normal 2 4 6 11 2 4 3" xfId="56216" xr:uid="{00000000-0005-0000-0000-00003ECB0000}"/>
    <cellStyle name="Normal 2 4 6 11 2 5" xfId="21741" xr:uid="{00000000-0005-0000-0000-00003FCB0000}"/>
    <cellStyle name="Normal 2 4 6 11 2 5 2" xfId="56217" xr:uid="{00000000-0005-0000-0000-000040CB0000}"/>
    <cellStyle name="Normal 2 4 6 11 2 6" xfId="21742" xr:uid="{00000000-0005-0000-0000-000041CB0000}"/>
    <cellStyle name="Normal 2 4 6 11 2 6 2" xfId="56218" xr:uid="{00000000-0005-0000-0000-000042CB0000}"/>
    <cellStyle name="Normal 2 4 6 11 2 7" xfId="56219" xr:uid="{00000000-0005-0000-0000-000043CB0000}"/>
    <cellStyle name="Normal 2 4 6 11 2 7 2" xfId="56220" xr:uid="{00000000-0005-0000-0000-000044CB0000}"/>
    <cellStyle name="Normal 2 4 6 11 2 8" xfId="56221" xr:uid="{00000000-0005-0000-0000-000045CB0000}"/>
    <cellStyle name="Normal 2 4 6 11 2 9" xfId="56222" xr:uid="{00000000-0005-0000-0000-000046CB0000}"/>
    <cellStyle name="Normal 2 4 6 11 3" xfId="21743" xr:uid="{00000000-0005-0000-0000-000047CB0000}"/>
    <cellStyle name="Normal 2 4 6 11 3 2" xfId="21744" xr:uid="{00000000-0005-0000-0000-000048CB0000}"/>
    <cellStyle name="Normal 2 4 6 11 3 2 2" xfId="21745" xr:uid="{00000000-0005-0000-0000-000049CB0000}"/>
    <cellStyle name="Normal 2 4 6 11 3 2 2 2" xfId="56223" xr:uid="{00000000-0005-0000-0000-00004ACB0000}"/>
    <cellStyle name="Normal 2 4 6 11 3 2 3" xfId="21746" xr:uid="{00000000-0005-0000-0000-00004BCB0000}"/>
    <cellStyle name="Normal 2 4 6 11 3 2 3 2" xfId="56224" xr:uid="{00000000-0005-0000-0000-00004CCB0000}"/>
    <cellStyle name="Normal 2 4 6 11 3 2 4" xfId="56225" xr:uid="{00000000-0005-0000-0000-00004DCB0000}"/>
    <cellStyle name="Normal 2 4 6 11 3 3" xfId="21747" xr:uid="{00000000-0005-0000-0000-00004ECB0000}"/>
    <cellStyle name="Normal 2 4 6 11 3 3 2" xfId="56226" xr:uid="{00000000-0005-0000-0000-00004FCB0000}"/>
    <cellStyle name="Normal 2 4 6 11 3 4" xfId="21748" xr:uid="{00000000-0005-0000-0000-000050CB0000}"/>
    <cellStyle name="Normal 2 4 6 11 3 4 2" xfId="56227" xr:uid="{00000000-0005-0000-0000-000051CB0000}"/>
    <cellStyle name="Normal 2 4 6 11 3 5" xfId="21749" xr:uid="{00000000-0005-0000-0000-000052CB0000}"/>
    <cellStyle name="Normal 2 4 6 11 3 5 2" xfId="56228" xr:uid="{00000000-0005-0000-0000-000053CB0000}"/>
    <cellStyle name="Normal 2 4 6 11 3 6" xfId="56229" xr:uid="{00000000-0005-0000-0000-000054CB0000}"/>
    <cellStyle name="Normal 2 4 6 11 3 6 2" xfId="56230" xr:uid="{00000000-0005-0000-0000-000055CB0000}"/>
    <cellStyle name="Normal 2 4 6 11 3 7" xfId="56231" xr:uid="{00000000-0005-0000-0000-000056CB0000}"/>
    <cellStyle name="Normal 2 4 6 11 4" xfId="21750" xr:uid="{00000000-0005-0000-0000-000057CB0000}"/>
    <cellStyle name="Normal 2 4 6 11 4 2" xfId="21751" xr:uid="{00000000-0005-0000-0000-000058CB0000}"/>
    <cellStyle name="Normal 2 4 6 11 4 2 2" xfId="56232" xr:uid="{00000000-0005-0000-0000-000059CB0000}"/>
    <cellStyle name="Normal 2 4 6 11 4 3" xfId="21752" xr:uid="{00000000-0005-0000-0000-00005ACB0000}"/>
    <cellStyle name="Normal 2 4 6 11 4 3 2" xfId="56233" xr:uid="{00000000-0005-0000-0000-00005BCB0000}"/>
    <cellStyle name="Normal 2 4 6 11 4 4" xfId="56234" xr:uid="{00000000-0005-0000-0000-00005CCB0000}"/>
    <cellStyle name="Normal 2 4 6 11 5" xfId="21753" xr:uid="{00000000-0005-0000-0000-00005DCB0000}"/>
    <cellStyle name="Normal 2 4 6 11 5 2" xfId="21754" xr:uid="{00000000-0005-0000-0000-00005ECB0000}"/>
    <cellStyle name="Normal 2 4 6 11 5 2 2" xfId="56235" xr:uid="{00000000-0005-0000-0000-00005FCB0000}"/>
    <cellStyle name="Normal 2 4 6 11 5 3" xfId="56236" xr:uid="{00000000-0005-0000-0000-000060CB0000}"/>
    <cellStyle name="Normal 2 4 6 11 6" xfId="21755" xr:uid="{00000000-0005-0000-0000-000061CB0000}"/>
    <cellStyle name="Normal 2 4 6 11 6 2" xfId="56237" xr:uid="{00000000-0005-0000-0000-000062CB0000}"/>
    <cellStyle name="Normal 2 4 6 11 7" xfId="21756" xr:uid="{00000000-0005-0000-0000-000063CB0000}"/>
    <cellStyle name="Normal 2 4 6 11 7 2" xfId="56238" xr:uid="{00000000-0005-0000-0000-000064CB0000}"/>
    <cellStyle name="Normal 2 4 6 11 8" xfId="56239" xr:uid="{00000000-0005-0000-0000-000065CB0000}"/>
    <cellStyle name="Normal 2 4 6 11 8 2" xfId="56240" xr:uid="{00000000-0005-0000-0000-000066CB0000}"/>
    <cellStyle name="Normal 2 4 6 11 9" xfId="56241" xr:uid="{00000000-0005-0000-0000-000067CB0000}"/>
    <cellStyle name="Normal 2 4 6 12" xfId="21757" xr:uid="{00000000-0005-0000-0000-000068CB0000}"/>
    <cellStyle name="Normal 2 4 6 12 10" xfId="56242" xr:uid="{00000000-0005-0000-0000-000069CB0000}"/>
    <cellStyle name="Normal 2 4 6 12 11" xfId="56243" xr:uid="{00000000-0005-0000-0000-00006ACB0000}"/>
    <cellStyle name="Normal 2 4 6 12 2" xfId="21758" xr:uid="{00000000-0005-0000-0000-00006BCB0000}"/>
    <cellStyle name="Normal 2 4 6 12 2 10" xfId="56244" xr:uid="{00000000-0005-0000-0000-00006CCB0000}"/>
    <cellStyle name="Normal 2 4 6 12 2 2" xfId="21759" xr:uid="{00000000-0005-0000-0000-00006DCB0000}"/>
    <cellStyle name="Normal 2 4 6 12 2 2 2" xfId="21760" xr:uid="{00000000-0005-0000-0000-00006ECB0000}"/>
    <cellStyle name="Normal 2 4 6 12 2 2 2 2" xfId="21761" xr:uid="{00000000-0005-0000-0000-00006FCB0000}"/>
    <cellStyle name="Normal 2 4 6 12 2 2 2 2 2" xfId="56245" xr:uid="{00000000-0005-0000-0000-000070CB0000}"/>
    <cellStyle name="Normal 2 4 6 12 2 2 2 3" xfId="21762" xr:uid="{00000000-0005-0000-0000-000071CB0000}"/>
    <cellStyle name="Normal 2 4 6 12 2 2 2 3 2" xfId="56246" xr:uid="{00000000-0005-0000-0000-000072CB0000}"/>
    <cellStyle name="Normal 2 4 6 12 2 2 2 4" xfId="56247" xr:uid="{00000000-0005-0000-0000-000073CB0000}"/>
    <cellStyle name="Normal 2 4 6 12 2 2 3" xfId="21763" xr:uid="{00000000-0005-0000-0000-000074CB0000}"/>
    <cellStyle name="Normal 2 4 6 12 2 2 3 2" xfId="56248" xr:uid="{00000000-0005-0000-0000-000075CB0000}"/>
    <cellStyle name="Normal 2 4 6 12 2 2 4" xfId="21764" xr:uid="{00000000-0005-0000-0000-000076CB0000}"/>
    <cellStyle name="Normal 2 4 6 12 2 2 4 2" xfId="56249" xr:uid="{00000000-0005-0000-0000-000077CB0000}"/>
    <cellStyle name="Normal 2 4 6 12 2 2 5" xfId="21765" xr:uid="{00000000-0005-0000-0000-000078CB0000}"/>
    <cellStyle name="Normal 2 4 6 12 2 2 5 2" xfId="56250" xr:uid="{00000000-0005-0000-0000-000079CB0000}"/>
    <cellStyle name="Normal 2 4 6 12 2 2 6" xfId="56251" xr:uid="{00000000-0005-0000-0000-00007ACB0000}"/>
    <cellStyle name="Normal 2 4 6 12 2 2 6 2" xfId="56252" xr:uid="{00000000-0005-0000-0000-00007BCB0000}"/>
    <cellStyle name="Normal 2 4 6 12 2 2 7" xfId="56253" xr:uid="{00000000-0005-0000-0000-00007CCB0000}"/>
    <cellStyle name="Normal 2 4 6 12 2 3" xfId="21766" xr:uid="{00000000-0005-0000-0000-00007DCB0000}"/>
    <cellStyle name="Normal 2 4 6 12 2 3 2" xfId="21767" xr:uid="{00000000-0005-0000-0000-00007ECB0000}"/>
    <cellStyle name="Normal 2 4 6 12 2 3 2 2" xfId="56254" xr:uid="{00000000-0005-0000-0000-00007FCB0000}"/>
    <cellStyle name="Normal 2 4 6 12 2 3 3" xfId="21768" xr:uid="{00000000-0005-0000-0000-000080CB0000}"/>
    <cellStyle name="Normal 2 4 6 12 2 3 3 2" xfId="56255" xr:uid="{00000000-0005-0000-0000-000081CB0000}"/>
    <cellStyle name="Normal 2 4 6 12 2 3 4" xfId="56256" xr:uid="{00000000-0005-0000-0000-000082CB0000}"/>
    <cellStyle name="Normal 2 4 6 12 2 4" xfId="21769" xr:uid="{00000000-0005-0000-0000-000083CB0000}"/>
    <cellStyle name="Normal 2 4 6 12 2 4 2" xfId="21770" xr:uid="{00000000-0005-0000-0000-000084CB0000}"/>
    <cellStyle name="Normal 2 4 6 12 2 4 2 2" xfId="56257" xr:uid="{00000000-0005-0000-0000-000085CB0000}"/>
    <cellStyle name="Normal 2 4 6 12 2 4 3" xfId="56258" xr:uid="{00000000-0005-0000-0000-000086CB0000}"/>
    <cellStyle name="Normal 2 4 6 12 2 5" xfId="21771" xr:uid="{00000000-0005-0000-0000-000087CB0000}"/>
    <cellStyle name="Normal 2 4 6 12 2 5 2" xfId="56259" xr:uid="{00000000-0005-0000-0000-000088CB0000}"/>
    <cellStyle name="Normal 2 4 6 12 2 6" xfId="21772" xr:uid="{00000000-0005-0000-0000-000089CB0000}"/>
    <cellStyle name="Normal 2 4 6 12 2 6 2" xfId="56260" xr:uid="{00000000-0005-0000-0000-00008ACB0000}"/>
    <cellStyle name="Normal 2 4 6 12 2 7" xfId="56261" xr:uid="{00000000-0005-0000-0000-00008BCB0000}"/>
    <cellStyle name="Normal 2 4 6 12 2 7 2" xfId="56262" xr:uid="{00000000-0005-0000-0000-00008CCB0000}"/>
    <cellStyle name="Normal 2 4 6 12 2 8" xfId="56263" xr:uid="{00000000-0005-0000-0000-00008DCB0000}"/>
    <cellStyle name="Normal 2 4 6 12 2 9" xfId="56264" xr:uid="{00000000-0005-0000-0000-00008ECB0000}"/>
    <cellStyle name="Normal 2 4 6 12 3" xfId="21773" xr:uid="{00000000-0005-0000-0000-00008FCB0000}"/>
    <cellStyle name="Normal 2 4 6 12 3 2" xfId="21774" xr:uid="{00000000-0005-0000-0000-000090CB0000}"/>
    <cellStyle name="Normal 2 4 6 12 3 2 2" xfId="21775" xr:uid="{00000000-0005-0000-0000-000091CB0000}"/>
    <cellStyle name="Normal 2 4 6 12 3 2 2 2" xfId="56265" xr:uid="{00000000-0005-0000-0000-000092CB0000}"/>
    <cellStyle name="Normal 2 4 6 12 3 2 3" xfId="21776" xr:uid="{00000000-0005-0000-0000-000093CB0000}"/>
    <cellStyle name="Normal 2 4 6 12 3 2 3 2" xfId="56266" xr:uid="{00000000-0005-0000-0000-000094CB0000}"/>
    <cellStyle name="Normal 2 4 6 12 3 2 4" xfId="56267" xr:uid="{00000000-0005-0000-0000-000095CB0000}"/>
    <cellStyle name="Normal 2 4 6 12 3 3" xfId="21777" xr:uid="{00000000-0005-0000-0000-000096CB0000}"/>
    <cellStyle name="Normal 2 4 6 12 3 3 2" xfId="56268" xr:uid="{00000000-0005-0000-0000-000097CB0000}"/>
    <cellStyle name="Normal 2 4 6 12 3 4" xfId="21778" xr:uid="{00000000-0005-0000-0000-000098CB0000}"/>
    <cellStyle name="Normal 2 4 6 12 3 4 2" xfId="56269" xr:uid="{00000000-0005-0000-0000-000099CB0000}"/>
    <cellStyle name="Normal 2 4 6 12 3 5" xfId="21779" xr:uid="{00000000-0005-0000-0000-00009ACB0000}"/>
    <cellStyle name="Normal 2 4 6 12 3 5 2" xfId="56270" xr:uid="{00000000-0005-0000-0000-00009BCB0000}"/>
    <cellStyle name="Normal 2 4 6 12 3 6" xfId="56271" xr:uid="{00000000-0005-0000-0000-00009CCB0000}"/>
    <cellStyle name="Normal 2 4 6 12 3 6 2" xfId="56272" xr:uid="{00000000-0005-0000-0000-00009DCB0000}"/>
    <cellStyle name="Normal 2 4 6 12 3 7" xfId="56273" xr:uid="{00000000-0005-0000-0000-00009ECB0000}"/>
    <cellStyle name="Normal 2 4 6 12 4" xfId="21780" xr:uid="{00000000-0005-0000-0000-00009FCB0000}"/>
    <cellStyle name="Normal 2 4 6 12 4 2" xfId="21781" xr:uid="{00000000-0005-0000-0000-0000A0CB0000}"/>
    <cellStyle name="Normal 2 4 6 12 4 2 2" xfId="56274" xr:uid="{00000000-0005-0000-0000-0000A1CB0000}"/>
    <cellStyle name="Normal 2 4 6 12 4 3" xfId="21782" xr:uid="{00000000-0005-0000-0000-0000A2CB0000}"/>
    <cellStyle name="Normal 2 4 6 12 4 3 2" xfId="56275" xr:uid="{00000000-0005-0000-0000-0000A3CB0000}"/>
    <cellStyle name="Normal 2 4 6 12 4 4" xfId="56276" xr:uid="{00000000-0005-0000-0000-0000A4CB0000}"/>
    <cellStyle name="Normal 2 4 6 12 5" xfId="21783" xr:uid="{00000000-0005-0000-0000-0000A5CB0000}"/>
    <cellStyle name="Normal 2 4 6 12 5 2" xfId="21784" xr:uid="{00000000-0005-0000-0000-0000A6CB0000}"/>
    <cellStyle name="Normal 2 4 6 12 5 2 2" xfId="56277" xr:uid="{00000000-0005-0000-0000-0000A7CB0000}"/>
    <cellStyle name="Normal 2 4 6 12 5 3" xfId="56278" xr:uid="{00000000-0005-0000-0000-0000A8CB0000}"/>
    <cellStyle name="Normal 2 4 6 12 6" xfId="21785" xr:uid="{00000000-0005-0000-0000-0000A9CB0000}"/>
    <cellStyle name="Normal 2 4 6 12 6 2" xfId="56279" xr:uid="{00000000-0005-0000-0000-0000AACB0000}"/>
    <cellStyle name="Normal 2 4 6 12 7" xfId="21786" xr:uid="{00000000-0005-0000-0000-0000ABCB0000}"/>
    <cellStyle name="Normal 2 4 6 12 7 2" xfId="56280" xr:uid="{00000000-0005-0000-0000-0000ACCB0000}"/>
    <cellStyle name="Normal 2 4 6 12 8" xfId="56281" xr:uid="{00000000-0005-0000-0000-0000ADCB0000}"/>
    <cellStyle name="Normal 2 4 6 12 8 2" xfId="56282" xr:uid="{00000000-0005-0000-0000-0000AECB0000}"/>
    <cellStyle name="Normal 2 4 6 12 9" xfId="56283" xr:uid="{00000000-0005-0000-0000-0000AFCB0000}"/>
    <cellStyle name="Normal 2 4 6 13" xfId="21787" xr:uid="{00000000-0005-0000-0000-0000B0CB0000}"/>
    <cellStyle name="Normal 2 4 6 13 10" xfId="56284" xr:uid="{00000000-0005-0000-0000-0000B1CB0000}"/>
    <cellStyle name="Normal 2 4 6 13 11" xfId="56285" xr:uid="{00000000-0005-0000-0000-0000B2CB0000}"/>
    <cellStyle name="Normal 2 4 6 13 2" xfId="21788" xr:uid="{00000000-0005-0000-0000-0000B3CB0000}"/>
    <cellStyle name="Normal 2 4 6 13 2 10" xfId="56286" xr:uid="{00000000-0005-0000-0000-0000B4CB0000}"/>
    <cellStyle name="Normal 2 4 6 13 2 2" xfId="21789" xr:uid="{00000000-0005-0000-0000-0000B5CB0000}"/>
    <cellStyle name="Normal 2 4 6 13 2 2 2" xfId="21790" xr:uid="{00000000-0005-0000-0000-0000B6CB0000}"/>
    <cellStyle name="Normal 2 4 6 13 2 2 2 2" xfId="21791" xr:uid="{00000000-0005-0000-0000-0000B7CB0000}"/>
    <cellStyle name="Normal 2 4 6 13 2 2 2 2 2" xfId="56287" xr:uid="{00000000-0005-0000-0000-0000B8CB0000}"/>
    <cellStyle name="Normal 2 4 6 13 2 2 2 3" xfId="21792" xr:uid="{00000000-0005-0000-0000-0000B9CB0000}"/>
    <cellStyle name="Normal 2 4 6 13 2 2 2 3 2" xfId="56288" xr:uid="{00000000-0005-0000-0000-0000BACB0000}"/>
    <cellStyle name="Normal 2 4 6 13 2 2 2 4" xfId="56289" xr:uid="{00000000-0005-0000-0000-0000BBCB0000}"/>
    <cellStyle name="Normal 2 4 6 13 2 2 3" xfId="21793" xr:uid="{00000000-0005-0000-0000-0000BCCB0000}"/>
    <cellStyle name="Normal 2 4 6 13 2 2 3 2" xfId="56290" xr:uid="{00000000-0005-0000-0000-0000BDCB0000}"/>
    <cellStyle name="Normal 2 4 6 13 2 2 4" xfId="21794" xr:uid="{00000000-0005-0000-0000-0000BECB0000}"/>
    <cellStyle name="Normal 2 4 6 13 2 2 4 2" xfId="56291" xr:uid="{00000000-0005-0000-0000-0000BFCB0000}"/>
    <cellStyle name="Normal 2 4 6 13 2 2 5" xfId="21795" xr:uid="{00000000-0005-0000-0000-0000C0CB0000}"/>
    <cellStyle name="Normal 2 4 6 13 2 2 5 2" xfId="56292" xr:uid="{00000000-0005-0000-0000-0000C1CB0000}"/>
    <cellStyle name="Normal 2 4 6 13 2 2 6" xfId="56293" xr:uid="{00000000-0005-0000-0000-0000C2CB0000}"/>
    <cellStyle name="Normal 2 4 6 13 2 2 6 2" xfId="56294" xr:uid="{00000000-0005-0000-0000-0000C3CB0000}"/>
    <cellStyle name="Normal 2 4 6 13 2 2 7" xfId="56295" xr:uid="{00000000-0005-0000-0000-0000C4CB0000}"/>
    <cellStyle name="Normal 2 4 6 13 2 3" xfId="21796" xr:uid="{00000000-0005-0000-0000-0000C5CB0000}"/>
    <cellStyle name="Normal 2 4 6 13 2 3 2" xfId="21797" xr:uid="{00000000-0005-0000-0000-0000C6CB0000}"/>
    <cellStyle name="Normal 2 4 6 13 2 3 2 2" xfId="56296" xr:uid="{00000000-0005-0000-0000-0000C7CB0000}"/>
    <cellStyle name="Normal 2 4 6 13 2 3 3" xfId="21798" xr:uid="{00000000-0005-0000-0000-0000C8CB0000}"/>
    <cellStyle name="Normal 2 4 6 13 2 3 3 2" xfId="56297" xr:uid="{00000000-0005-0000-0000-0000C9CB0000}"/>
    <cellStyle name="Normal 2 4 6 13 2 3 4" xfId="56298" xr:uid="{00000000-0005-0000-0000-0000CACB0000}"/>
    <cellStyle name="Normal 2 4 6 13 2 4" xfId="21799" xr:uid="{00000000-0005-0000-0000-0000CBCB0000}"/>
    <cellStyle name="Normal 2 4 6 13 2 4 2" xfId="21800" xr:uid="{00000000-0005-0000-0000-0000CCCB0000}"/>
    <cellStyle name="Normal 2 4 6 13 2 4 2 2" xfId="56299" xr:uid="{00000000-0005-0000-0000-0000CDCB0000}"/>
    <cellStyle name="Normal 2 4 6 13 2 4 3" xfId="56300" xr:uid="{00000000-0005-0000-0000-0000CECB0000}"/>
    <cellStyle name="Normal 2 4 6 13 2 5" xfId="21801" xr:uid="{00000000-0005-0000-0000-0000CFCB0000}"/>
    <cellStyle name="Normal 2 4 6 13 2 5 2" xfId="56301" xr:uid="{00000000-0005-0000-0000-0000D0CB0000}"/>
    <cellStyle name="Normal 2 4 6 13 2 6" xfId="21802" xr:uid="{00000000-0005-0000-0000-0000D1CB0000}"/>
    <cellStyle name="Normal 2 4 6 13 2 6 2" xfId="56302" xr:uid="{00000000-0005-0000-0000-0000D2CB0000}"/>
    <cellStyle name="Normal 2 4 6 13 2 7" xfId="56303" xr:uid="{00000000-0005-0000-0000-0000D3CB0000}"/>
    <cellStyle name="Normal 2 4 6 13 2 7 2" xfId="56304" xr:uid="{00000000-0005-0000-0000-0000D4CB0000}"/>
    <cellStyle name="Normal 2 4 6 13 2 8" xfId="56305" xr:uid="{00000000-0005-0000-0000-0000D5CB0000}"/>
    <cellStyle name="Normal 2 4 6 13 2 9" xfId="56306" xr:uid="{00000000-0005-0000-0000-0000D6CB0000}"/>
    <cellStyle name="Normal 2 4 6 13 3" xfId="21803" xr:uid="{00000000-0005-0000-0000-0000D7CB0000}"/>
    <cellStyle name="Normal 2 4 6 13 3 2" xfId="21804" xr:uid="{00000000-0005-0000-0000-0000D8CB0000}"/>
    <cellStyle name="Normal 2 4 6 13 3 2 2" xfId="21805" xr:uid="{00000000-0005-0000-0000-0000D9CB0000}"/>
    <cellStyle name="Normal 2 4 6 13 3 2 2 2" xfId="56307" xr:uid="{00000000-0005-0000-0000-0000DACB0000}"/>
    <cellStyle name="Normal 2 4 6 13 3 2 3" xfId="21806" xr:uid="{00000000-0005-0000-0000-0000DBCB0000}"/>
    <cellStyle name="Normal 2 4 6 13 3 2 3 2" xfId="56308" xr:uid="{00000000-0005-0000-0000-0000DCCB0000}"/>
    <cellStyle name="Normal 2 4 6 13 3 2 4" xfId="56309" xr:uid="{00000000-0005-0000-0000-0000DDCB0000}"/>
    <cellStyle name="Normal 2 4 6 13 3 3" xfId="21807" xr:uid="{00000000-0005-0000-0000-0000DECB0000}"/>
    <cellStyle name="Normal 2 4 6 13 3 3 2" xfId="56310" xr:uid="{00000000-0005-0000-0000-0000DFCB0000}"/>
    <cellStyle name="Normal 2 4 6 13 3 4" xfId="21808" xr:uid="{00000000-0005-0000-0000-0000E0CB0000}"/>
    <cellStyle name="Normal 2 4 6 13 3 4 2" xfId="56311" xr:uid="{00000000-0005-0000-0000-0000E1CB0000}"/>
    <cellStyle name="Normal 2 4 6 13 3 5" xfId="21809" xr:uid="{00000000-0005-0000-0000-0000E2CB0000}"/>
    <cellStyle name="Normal 2 4 6 13 3 5 2" xfId="56312" xr:uid="{00000000-0005-0000-0000-0000E3CB0000}"/>
    <cellStyle name="Normal 2 4 6 13 3 6" xfId="56313" xr:uid="{00000000-0005-0000-0000-0000E4CB0000}"/>
    <cellStyle name="Normal 2 4 6 13 3 6 2" xfId="56314" xr:uid="{00000000-0005-0000-0000-0000E5CB0000}"/>
    <cellStyle name="Normal 2 4 6 13 3 7" xfId="56315" xr:uid="{00000000-0005-0000-0000-0000E6CB0000}"/>
    <cellStyle name="Normal 2 4 6 13 4" xfId="21810" xr:uid="{00000000-0005-0000-0000-0000E7CB0000}"/>
    <cellStyle name="Normal 2 4 6 13 4 2" xfId="21811" xr:uid="{00000000-0005-0000-0000-0000E8CB0000}"/>
    <cellStyle name="Normal 2 4 6 13 4 2 2" xfId="56316" xr:uid="{00000000-0005-0000-0000-0000E9CB0000}"/>
    <cellStyle name="Normal 2 4 6 13 4 3" xfId="21812" xr:uid="{00000000-0005-0000-0000-0000EACB0000}"/>
    <cellStyle name="Normal 2 4 6 13 4 3 2" xfId="56317" xr:uid="{00000000-0005-0000-0000-0000EBCB0000}"/>
    <cellStyle name="Normal 2 4 6 13 4 4" xfId="56318" xr:uid="{00000000-0005-0000-0000-0000ECCB0000}"/>
    <cellStyle name="Normal 2 4 6 13 5" xfId="21813" xr:uid="{00000000-0005-0000-0000-0000EDCB0000}"/>
    <cellStyle name="Normal 2 4 6 13 5 2" xfId="21814" xr:uid="{00000000-0005-0000-0000-0000EECB0000}"/>
    <cellStyle name="Normal 2 4 6 13 5 2 2" xfId="56319" xr:uid="{00000000-0005-0000-0000-0000EFCB0000}"/>
    <cellStyle name="Normal 2 4 6 13 5 3" xfId="56320" xr:uid="{00000000-0005-0000-0000-0000F0CB0000}"/>
    <cellStyle name="Normal 2 4 6 13 6" xfId="21815" xr:uid="{00000000-0005-0000-0000-0000F1CB0000}"/>
    <cellStyle name="Normal 2 4 6 13 6 2" xfId="56321" xr:uid="{00000000-0005-0000-0000-0000F2CB0000}"/>
    <cellStyle name="Normal 2 4 6 13 7" xfId="21816" xr:uid="{00000000-0005-0000-0000-0000F3CB0000}"/>
    <cellStyle name="Normal 2 4 6 13 7 2" xfId="56322" xr:uid="{00000000-0005-0000-0000-0000F4CB0000}"/>
    <cellStyle name="Normal 2 4 6 13 8" xfId="56323" xr:uid="{00000000-0005-0000-0000-0000F5CB0000}"/>
    <cellStyle name="Normal 2 4 6 13 8 2" xfId="56324" xr:uid="{00000000-0005-0000-0000-0000F6CB0000}"/>
    <cellStyle name="Normal 2 4 6 13 9" xfId="56325" xr:uid="{00000000-0005-0000-0000-0000F7CB0000}"/>
    <cellStyle name="Normal 2 4 6 14" xfId="21817" xr:uid="{00000000-0005-0000-0000-0000F8CB0000}"/>
    <cellStyle name="Normal 2 4 6 14 10" xfId="56326" xr:uid="{00000000-0005-0000-0000-0000F9CB0000}"/>
    <cellStyle name="Normal 2 4 6 14 11" xfId="56327" xr:uid="{00000000-0005-0000-0000-0000FACB0000}"/>
    <cellStyle name="Normal 2 4 6 14 2" xfId="21818" xr:uid="{00000000-0005-0000-0000-0000FBCB0000}"/>
    <cellStyle name="Normal 2 4 6 14 2 10" xfId="56328" xr:uid="{00000000-0005-0000-0000-0000FCCB0000}"/>
    <cellStyle name="Normal 2 4 6 14 2 2" xfId="21819" xr:uid="{00000000-0005-0000-0000-0000FDCB0000}"/>
    <cellStyle name="Normal 2 4 6 14 2 2 2" xfId="21820" xr:uid="{00000000-0005-0000-0000-0000FECB0000}"/>
    <cellStyle name="Normal 2 4 6 14 2 2 2 2" xfId="21821" xr:uid="{00000000-0005-0000-0000-0000FFCB0000}"/>
    <cellStyle name="Normal 2 4 6 14 2 2 2 2 2" xfId="56329" xr:uid="{00000000-0005-0000-0000-000000CC0000}"/>
    <cellStyle name="Normal 2 4 6 14 2 2 2 3" xfId="21822" xr:uid="{00000000-0005-0000-0000-000001CC0000}"/>
    <cellStyle name="Normal 2 4 6 14 2 2 2 3 2" xfId="56330" xr:uid="{00000000-0005-0000-0000-000002CC0000}"/>
    <cellStyle name="Normal 2 4 6 14 2 2 2 4" xfId="56331" xr:uid="{00000000-0005-0000-0000-000003CC0000}"/>
    <cellStyle name="Normal 2 4 6 14 2 2 3" xfId="21823" xr:uid="{00000000-0005-0000-0000-000004CC0000}"/>
    <cellStyle name="Normal 2 4 6 14 2 2 3 2" xfId="56332" xr:uid="{00000000-0005-0000-0000-000005CC0000}"/>
    <cellStyle name="Normal 2 4 6 14 2 2 4" xfId="21824" xr:uid="{00000000-0005-0000-0000-000006CC0000}"/>
    <cellStyle name="Normal 2 4 6 14 2 2 4 2" xfId="56333" xr:uid="{00000000-0005-0000-0000-000007CC0000}"/>
    <cellStyle name="Normal 2 4 6 14 2 2 5" xfId="21825" xr:uid="{00000000-0005-0000-0000-000008CC0000}"/>
    <cellStyle name="Normal 2 4 6 14 2 2 5 2" xfId="56334" xr:uid="{00000000-0005-0000-0000-000009CC0000}"/>
    <cellStyle name="Normal 2 4 6 14 2 2 6" xfId="56335" xr:uid="{00000000-0005-0000-0000-00000ACC0000}"/>
    <cellStyle name="Normal 2 4 6 14 2 2 6 2" xfId="56336" xr:uid="{00000000-0005-0000-0000-00000BCC0000}"/>
    <cellStyle name="Normal 2 4 6 14 2 2 7" xfId="56337" xr:uid="{00000000-0005-0000-0000-00000CCC0000}"/>
    <cellStyle name="Normal 2 4 6 14 2 3" xfId="21826" xr:uid="{00000000-0005-0000-0000-00000DCC0000}"/>
    <cellStyle name="Normal 2 4 6 14 2 3 2" xfId="21827" xr:uid="{00000000-0005-0000-0000-00000ECC0000}"/>
    <cellStyle name="Normal 2 4 6 14 2 3 2 2" xfId="56338" xr:uid="{00000000-0005-0000-0000-00000FCC0000}"/>
    <cellStyle name="Normal 2 4 6 14 2 3 3" xfId="21828" xr:uid="{00000000-0005-0000-0000-000010CC0000}"/>
    <cellStyle name="Normal 2 4 6 14 2 3 3 2" xfId="56339" xr:uid="{00000000-0005-0000-0000-000011CC0000}"/>
    <cellStyle name="Normal 2 4 6 14 2 3 4" xfId="56340" xr:uid="{00000000-0005-0000-0000-000012CC0000}"/>
    <cellStyle name="Normal 2 4 6 14 2 4" xfId="21829" xr:uid="{00000000-0005-0000-0000-000013CC0000}"/>
    <cellStyle name="Normal 2 4 6 14 2 4 2" xfId="21830" xr:uid="{00000000-0005-0000-0000-000014CC0000}"/>
    <cellStyle name="Normal 2 4 6 14 2 4 2 2" xfId="56341" xr:uid="{00000000-0005-0000-0000-000015CC0000}"/>
    <cellStyle name="Normal 2 4 6 14 2 4 3" xfId="56342" xr:uid="{00000000-0005-0000-0000-000016CC0000}"/>
    <cellStyle name="Normal 2 4 6 14 2 5" xfId="21831" xr:uid="{00000000-0005-0000-0000-000017CC0000}"/>
    <cellStyle name="Normal 2 4 6 14 2 5 2" xfId="56343" xr:uid="{00000000-0005-0000-0000-000018CC0000}"/>
    <cellStyle name="Normal 2 4 6 14 2 6" xfId="21832" xr:uid="{00000000-0005-0000-0000-000019CC0000}"/>
    <cellStyle name="Normal 2 4 6 14 2 6 2" xfId="56344" xr:uid="{00000000-0005-0000-0000-00001ACC0000}"/>
    <cellStyle name="Normal 2 4 6 14 2 7" xfId="56345" xr:uid="{00000000-0005-0000-0000-00001BCC0000}"/>
    <cellStyle name="Normal 2 4 6 14 2 7 2" xfId="56346" xr:uid="{00000000-0005-0000-0000-00001CCC0000}"/>
    <cellStyle name="Normal 2 4 6 14 2 8" xfId="56347" xr:uid="{00000000-0005-0000-0000-00001DCC0000}"/>
    <cellStyle name="Normal 2 4 6 14 2 9" xfId="56348" xr:uid="{00000000-0005-0000-0000-00001ECC0000}"/>
    <cellStyle name="Normal 2 4 6 14 3" xfId="21833" xr:uid="{00000000-0005-0000-0000-00001FCC0000}"/>
    <cellStyle name="Normal 2 4 6 14 3 2" xfId="21834" xr:uid="{00000000-0005-0000-0000-000020CC0000}"/>
    <cellStyle name="Normal 2 4 6 14 3 2 2" xfId="21835" xr:uid="{00000000-0005-0000-0000-000021CC0000}"/>
    <cellStyle name="Normal 2 4 6 14 3 2 2 2" xfId="56349" xr:uid="{00000000-0005-0000-0000-000022CC0000}"/>
    <cellStyle name="Normal 2 4 6 14 3 2 3" xfId="21836" xr:uid="{00000000-0005-0000-0000-000023CC0000}"/>
    <cellStyle name="Normal 2 4 6 14 3 2 3 2" xfId="56350" xr:uid="{00000000-0005-0000-0000-000024CC0000}"/>
    <cellStyle name="Normal 2 4 6 14 3 2 4" xfId="56351" xr:uid="{00000000-0005-0000-0000-000025CC0000}"/>
    <cellStyle name="Normal 2 4 6 14 3 3" xfId="21837" xr:uid="{00000000-0005-0000-0000-000026CC0000}"/>
    <cellStyle name="Normal 2 4 6 14 3 3 2" xfId="56352" xr:uid="{00000000-0005-0000-0000-000027CC0000}"/>
    <cellStyle name="Normal 2 4 6 14 3 4" xfId="21838" xr:uid="{00000000-0005-0000-0000-000028CC0000}"/>
    <cellStyle name="Normal 2 4 6 14 3 4 2" xfId="56353" xr:uid="{00000000-0005-0000-0000-000029CC0000}"/>
    <cellStyle name="Normal 2 4 6 14 3 5" xfId="21839" xr:uid="{00000000-0005-0000-0000-00002ACC0000}"/>
    <cellStyle name="Normal 2 4 6 14 3 5 2" xfId="56354" xr:uid="{00000000-0005-0000-0000-00002BCC0000}"/>
    <cellStyle name="Normal 2 4 6 14 3 6" xfId="56355" xr:uid="{00000000-0005-0000-0000-00002CCC0000}"/>
    <cellStyle name="Normal 2 4 6 14 3 6 2" xfId="56356" xr:uid="{00000000-0005-0000-0000-00002DCC0000}"/>
    <cellStyle name="Normal 2 4 6 14 3 7" xfId="56357" xr:uid="{00000000-0005-0000-0000-00002ECC0000}"/>
    <cellStyle name="Normal 2 4 6 14 4" xfId="21840" xr:uid="{00000000-0005-0000-0000-00002FCC0000}"/>
    <cellStyle name="Normal 2 4 6 14 4 2" xfId="21841" xr:uid="{00000000-0005-0000-0000-000030CC0000}"/>
    <cellStyle name="Normal 2 4 6 14 4 2 2" xfId="56358" xr:uid="{00000000-0005-0000-0000-000031CC0000}"/>
    <cellStyle name="Normal 2 4 6 14 4 3" xfId="21842" xr:uid="{00000000-0005-0000-0000-000032CC0000}"/>
    <cellStyle name="Normal 2 4 6 14 4 3 2" xfId="56359" xr:uid="{00000000-0005-0000-0000-000033CC0000}"/>
    <cellStyle name="Normal 2 4 6 14 4 4" xfId="56360" xr:uid="{00000000-0005-0000-0000-000034CC0000}"/>
    <cellStyle name="Normal 2 4 6 14 5" xfId="21843" xr:uid="{00000000-0005-0000-0000-000035CC0000}"/>
    <cellStyle name="Normal 2 4 6 14 5 2" xfId="21844" xr:uid="{00000000-0005-0000-0000-000036CC0000}"/>
    <cellStyle name="Normal 2 4 6 14 5 2 2" xfId="56361" xr:uid="{00000000-0005-0000-0000-000037CC0000}"/>
    <cellStyle name="Normal 2 4 6 14 5 3" xfId="56362" xr:uid="{00000000-0005-0000-0000-000038CC0000}"/>
    <cellStyle name="Normal 2 4 6 14 6" xfId="21845" xr:uid="{00000000-0005-0000-0000-000039CC0000}"/>
    <cellStyle name="Normal 2 4 6 14 6 2" xfId="56363" xr:uid="{00000000-0005-0000-0000-00003ACC0000}"/>
    <cellStyle name="Normal 2 4 6 14 7" xfId="21846" xr:uid="{00000000-0005-0000-0000-00003BCC0000}"/>
    <cellStyle name="Normal 2 4 6 14 7 2" xfId="56364" xr:uid="{00000000-0005-0000-0000-00003CCC0000}"/>
    <cellStyle name="Normal 2 4 6 14 8" xfId="56365" xr:uid="{00000000-0005-0000-0000-00003DCC0000}"/>
    <cellStyle name="Normal 2 4 6 14 8 2" xfId="56366" xr:uid="{00000000-0005-0000-0000-00003ECC0000}"/>
    <cellStyle name="Normal 2 4 6 14 9" xfId="56367" xr:uid="{00000000-0005-0000-0000-00003FCC0000}"/>
    <cellStyle name="Normal 2 4 6 15" xfId="21847" xr:uid="{00000000-0005-0000-0000-000040CC0000}"/>
    <cellStyle name="Normal 2 4 6 15 10" xfId="56368" xr:uid="{00000000-0005-0000-0000-000041CC0000}"/>
    <cellStyle name="Normal 2 4 6 15 11" xfId="56369" xr:uid="{00000000-0005-0000-0000-000042CC0000}"/>
    <cellStyle name="Normal 2 4 6 15 2" xfId="21848" xr:uid="{00000000-0005-0000-0000-000043CC0000}"/>
    <cellStyle name="Normal 2 4 6 15 2 10" xfId="56370" xr:uid="{00000000-0005-0000-0000-000044CC0000}"/>
    <cellStyle name="Normal 2 4 6 15 2 2" xfId="21849" xr:uid="{00000000-0005-0000-0000-000045CC0000}"/>
    <cellStyle name="Normal 2 4 6 15 2 2 2" xfId="21850" xr:uid="{00000000-0005-0000-0000-000046CC0000}"/>
    <cellStyle name="Normal 2 4 6 15 2 2 2 2" xfId="21851" xr:uid="{00000000-0005-0000-0000-000047CC0000}"/>
    <cellStyle name="Normal 2 4 6 15 2 2 2 2 2" xfId="56371" xr:uid="{00000000-0005-0000-0000-000048CC0000}"/>
    <cellStyle name="Normal 2 4 6 15 2 2 2 3" xfId="21852" xr:uid="{00000000-0005-0000-0000-000049CC0000}"/>
    <cellStyle name="Normal 2 4 6 15 2 2 2 3 2" xfId="56372" xr:uid="{00000000-0005-0000-0000-00004ACC0000}"/>
    <cellStyle name="Normal 2 4 6 15 2 2 2 4" xfId="56373" xr:uid="{00000000-0005-0000-0000-00004BCC0000}"/>
    <cellStyle name="Normal 2 4 6 15 2 2 3" xfId="21853" xr:uid="{00000000-0005-0000-0000-00004CCC0000}"/>
    <cellStyle name="Normal 2 4 6 15 2 2 3 2" xfId="56374" xr:uid="{00000000-0005-0000-0000-00004DCC0000}"/>
    <cellStyle name="Normal 2 4 6 15 2 2 4" xfId="21854" xr:uid="{00000000-0005-0000-0000-00004ECC0000}"/>
    <cellStyle name="Normal 2 4 6 15 2 2 4 2" xfId="56375" xr:uid="{00000000-0005-0000-0000-00004FCC0000}"/>
    <cellStyle name="Normal 2 4 6 15 2 2 5" xfId="21855" xr:uid="{00000000-0005-0000-0000-000050CC0000}"/>
    <cellStyle name="Normal 2 4 6 15 2 2 5 2" xfId="56376" xr:uid="{00000000-0005-0000-0000-000051CC0000}"/>
    <cellStyle name="Normal 2 4 6 15 2 2 6" xfId="56377" xr:uid="{00000000-0005-0000-0000-000052CC0000}"/>
    <cellStyle name="Normal 2 4 6 15 2 2 6 2" xfId="56378" xr:uid="{00000000-0005-0000-0000-000053CC0000}"/>
    <cellStyle name="Normal 2 4 6 15 2 2 7" xfId="56379" xr:uid="{00000000-0005-0000-0000-000054CC0000}"/>
    <cellStyle name="Normal 2 4 6 15 2 3" xfId="21856" xr:uid="{00000000-0005-0000-0000-000055CC0000}"/>
    <cellStyle name="Normal 2 4 6 15 2 3 2" xfId="21857" xr:uid="{00000000-0005-0000-0000-000056CC0000}"/>
    <cellStyle name="Normal 2 4 6 15 2 3 2 2" xfId="56380" xr:uid="{00000000-0005-0000-0000-000057CC0000}"/>
    <cellStyle name="Normal 2 4 6 15 2 3 3" xfId="21858" xr:uid="{00000000-0005-0000-0000-000058CC0000}"/>
    <cellStyle name="Normal 2 4 6 15 2 3 3 2" xfId="56381" xr:uid="{00000000-0005-0000-0000-000059CC0000}"/>
    <cellStyle name="Normal 2 4 6 15 2 3 4" xfId="56382" xr:uid="{00000000-0005-0000-0000-00005ACC0000}"/>
    <cellStyle name="Normal 2 4 6 15 2 4" xfId="21859" xr:uid="{00000000-0005-0000-0000-00005BCC0000}"/>
    <cellStyle name="Normal 2 4 6 15 2 4 2" xfId="21860" xr:uid="{00000000-0005-0000-0000-00005CCC0000}"/>
    <cellStyle name="Normal 2 4 6 15 2 4 2 2" xfId="56383" xr:uid="{00000000-0005-0000-0000-00005DCC0000}"/>
    <cellStyle name="Normal 2 4 6 15 2 4 3" xfId="56384" xr:uid="{00000000-0005-0000-0000-00005ECC0000}"/>
    <cellStyle name="Normal 2 4 6 15 2 5" xfId="21861" xr:uid="{00000000-0005-0000-0000-00005FCC0000}"/>
    <cellStyle name="Normal 2 4 6 15 2 5 2" xfId="56385" xr:uid="{00000000-0005-0000-0000-000060CC0000}"/>
    <cellStyle name="Normal 2 4 6 15 2 6" xfId="21862" xr:uid="{00000000-0005-0000-0000-000061CC0000}"/>
    <cellStyle name="Normal 2 4 6 15 2 6 2" xfId="56386" xr:uid="{00000000-0005-0000-0000-000062CC0000}"/>
    <cellStyle name="Normal 2 4 6 15 2 7" xfId="56387" xr:uid="{00000000-0005-0000-0000-000063CC0000}"/>
    <cellStyle name="Normal 2 4 6 15 2 7 2" xfId="56388" xr:uid="{00000000-0005-0000-0000-000064CC0000}"/>
    <cellStyle name="Normal 2 4 6 15 2 8" xfId="56389" xr:uid="{00000000-0005-0000-0000-000065CC0000}"/>
    <cellStyle name="Normal 2 4 6 15 2 9" xfId="56390" xr:uid="{00000000-0005-0000-0000-000066CC0000}"/>
    <cellStyle name="Normal 2 4 6 15 3" xfId="21863" xr:uid="{00000000-0005-0000-0000-000067CC0000}"/>
    <cellStyle name="Normal 2 4 6 15 3 2" xfId="21864" xr:uid="{00000000-0005-0000-0000-000068CC0000}"/>
    <cellStyle name="Normal 2 4 6 15 3 2 2" xfId="21865" xr:uid="{00000000-0005-0000-0000-000069CC0000}"/>
    <cellStyle name="Normal 2 4 6 15 3 2 2 2" xfId="56391" xr:uid="{00000000-0005-0000-0000-00006ACC0000}"/>
    <cellStyle name="Normal 2 4 6 15 3 2 3" xfId="21866" xr:uid="{00000000-0005-0000-0000-00006BCC0000}"/>
    <cellStyle name="Normal 2 4 6 15 3 2 3 2" xfId="56392" xr:uid="{00000000-0005-0000-0000-00006CCC0000}"/>
    <cellStyle name="Normal 2 4 6 15 3 2 4" xfId="56393" xr:uid="{00000000-0005-0000-0000-00006DCC0000}"/>
    <cellStyle name="Normal 2 4 6 15 3 3" xfId="21867" xr:uid="{00000000-0005-0000-0000-00006ECC0000}"/>
    <cellStyle name="Normal 2 4 6 15 3 3 2" xfId="56394" xr:uid="{00000000-0005-0000-0000-00006FCC0000}"/>
    <cellStyle name="Normal 2 4 6 15 3 4" xfId="21868" xr:uid="{00000000-0005-0000-0000-000070CC0000}"/>
    <cellStyle name="Normal 2 4 6 15 3 4 2" xfId="56395" xr:uid="{00000000-0005-0000-0000-000071CC0000}"/>
    <cellStyle name="Normal 2 4 6 15 3 5" xfId="21869" xr:uid="{00000000-0005-0000-0000-000072CC0000}"/>
    <cellStyle name="Normal 2 4 6 15 3 5 2" xfId="56396" xr:uid="{00000000-0005-0000-0000-000073CC0000}"/>
    <cellStyle name="Normal 2 4 6 15 3 6" xfId="56397" xr:uid="{00000000-0005-0000-0000-000074CC0000}"/>
    <cellStyle name="Normal 2 4 6 15 3 6 2" xfId="56398" xr:uid="{00000000-0005-0000-0000-000075CC0000}"/>
    <cellStyle name="Normal 2 4 6 15 3 7" xfId="56399" xr:uid="{00000000-0005-0000-0000-000076CC0000}"/>
    <cellStyle name="Normal 2 4 6 15 4" xfId="21870" xr:uid="{00000000-0005-0000-0000-000077CC0000}"/>
    <cellStyle name="Normal 2 4 6 15 4 2" xfId="21871" xr:uid="{00000000-0005-0000-0000-000078CC0000}"/>
    <cellStyle name="Normal 2 4 6 15 4 2 2" xfId="56400" xr:uid="{00000000-0005-0000-0000-000079CC0000}"/>
    <cellStyle name="Normal 2 4 6 15 4 3" xfId="21872" xr:uid="{00000000-0005-0000-0000-00007ACC0000}"/>
    <cellStyle name="Normal 2 4 6 15 4 3 2" xfId="56401" xr:uid="{00000000-0005-0000-0000-00007BCC0000}"/>
    <cellStyle name="Normal 2 4 6 15 4 4" xfId="56402" xr:uid="{00000000-0005-0000-0000-00007CCC0000}"/>
    <cellStyle name="Normal 2 4 6 15 5" xfId="21873" xr:uid="{00000000-0005-0000-0000-00007DCC0000}"/>
    <cellStyle name="Normal 2 4 6 15 5 2" xfId="21874" xr:uid="{00000000-0005-0000-0000-00007ECC0000}"/>
    <cellStyle name="Normal 2 4 6 15 5 2 2" xfId="56403" xr:uid="{00000000-0005-0000-0000-00007FCC0000}"/>
    <cellStyle name="Normal 2 4 6 15 5 3" xfId="56404" xr:uid="{00000000-0005-0000-0000-000080CC0000}"/>
    <cellStyle name="Normal 2 4 6 15 6" xfId="21875" xr:uid="{00000000-0005-0000-0000-000081CC0000}"/>
    <cellStyle name="Normal 2 4 6 15 6 2" xfId="56405" xr:uid="{00000000-0005-0000-0000-000082CC0000}"/>
    <cellStyle name="Normal 2 4 6 15 7" xfId="21876" xr:uid="{00000000-0005-0000-0000-000083CC0000}"/>
    <cellStyle name="Normal 2 4 6 15 7 2" xfId="56406" xr:uid="{00000000-0005-0000-0000-000084CC0000}"/>
    <cellStyle name="Normal 2 4 6 15 8" xfId="56407" xr:uid="{00000000-0005-0000-0000-000085CC0000}"/>
    <cellStyle name="Normal 2 4 6 15 8 2" xfId="56408" xr:uid="{00000000-0005-0000-0000-000086CC0000}"/>
    <cellStyle name="Normal 2 4 6 15 9" xfId="56409" xr:uid="{00000000-0005-0000-0000-000087CC0000}"/>
    <cellStyle name="Normal 2 4 6 16" xfId="21877" xr:uid="{00000000-0005-0000-0000-000088CC0000}"/>
    <cellStyle name="Normal 2 4 6 16 10" xfId="56410" xr:uid="{00000000-0005-0000-0000-000089CC0000}"/>
    <cellStyle name="Normal 2 4 6 16 11" xfId="56411" xr:uid="{00000000-0005-0000-0000-00008ACC0000}"/>
    <cellStyle name="Normal 2 4 6 16 2" xfId="21878" xr:uid="{00000000-0005-0000-0000-00008BCC0000}"/>
    <cellStyle name="Normal 2 4 6 16 2 10" xfId="56412" xr:uid="{00000000-0005-0000-0000-00008CCC0000}"/>
    <cellStyle name="Normal 2 4 6 16 2 2" xfId="21879" xr:uid="{00000000-0005-0000-0000-00008DCC0000}"/>
    <cellStyle name="Normal 2 4 6 16 2 2 2" xfId="21880" xr:uid="{00000000-0005-0000-0000-00008ECC0000}"/>
    <cellStyle name="Normal 2 4 6 16 2 2 2 2" xfId="21881" xr:uid="{00000000-0005-0000-0000-00008FCC0000}"/>
    <cellStyle name="Normal 2 4 6 16 2 2 2 2 2" xfId="56413" xr:uid="{00000000-0005-0000-0000-000090CC0000}"/>
    <cellStyle name="Normal 2 4 6 16 2 2 2 3" xfId="21882" xr:uid="{00000000-0005-0000-0000-000091CC0000}"/>
    <cellStyle name="Normal 2 4 6 16 2 2 2 3 2" xfId="56414" xr:uid="{00000000-0005-0000-0000-000092CC0000}"/>
    <cellStyle name="Normal 2 4 6 16 2 2 2 4" xfId="56415" xr:uid="{00000000-0005-0000-0000-000093CC0000}"/>
    <cellStyle name="Normal 2 4 6 16 2 2 3" xfId="21883" xr:uid="{00000000-0005-0000-0000-000094CC0000}"/>
    <cellStyle name="Normal 2 4 6 16 2 2 3 2" xfId="56416" xr:uid="{00000000-0005-0000-0000-000095CC0000}"/>
    <cellStyle name="Normal 2 4 6 16 2 2 4" xfId="21884" xr:uid="{00000000-0005-0000-0000-000096CC0000}"/>
    <cellStyle name="Normal 2 4 6 16 2 2 4 2" xfId="56417" xr:uid="{00000000-0005-0000-0000-000097CC0000}"/>
    <cellStyle name="Normal 2 4 6 16 2 2 5" xfId="21885" xr:uid="{00000000-0005-0000-0000-000098CC0000}"/>
    <cellStyle name="Normal 2 4 6 16 2 2 5 2" xfId="56418" xr:uid="{00000000-0005-0000-0000-000099CC0000}"/>
    <cellStyle name="Normal 2 4 6 16 2 2 6" xfId="56419" xr:uid="{00000000-0005-0000-0000-00009ACC0000}"/>
    <cellStyle name="Normal 2 4 6 16 2 2 6 2" xfId="56420" xr:uid="{00000000-0005-0000-0000-00009BCC0000}"/>
    <cellStyle name="Normal 2 4 6 16 2 2 7" xfId="56421" xr:uid="{00000000-0005-0000-0000-00009CCC0000}"/>
    <cellStyle name="Normal 2 4 6 16 2 3" xfId="21886" xr:uid="{00000000-0005-0000-0000-00009DCC0000}"/>
    <cellStyle name="Normal 2 4 6 16 2 3 2" xfId="21887" xr:uid="{00000000-0005-0000-0000-00009ECC0000}"/>
    <cellStyle name="Normal 2 4 6 16 2 3 2 2" xfId="56422" xr:uid="{00000000-0005-0000-0000-00009FCC0000}"/>
    <cellStyle name="Normal 2 4 6 16 2 3 3" xfId="21888" xr:uid="{00000000-0005-0000-0000-0000A0CC0000}"/>
    <cellStyle name="Normal 2 4 6 16 2 3 3 2" xfId="56423" xr:uid="{00000000-0005-0000-0000-0000A1CC0000}"/>
    <cellStyle name="Normal 2 4 6 16 2 3 4" xfId="56424" xr:uid="{00000000-0005-0000-0000-0000A2CC0000}"/>
    <cellStyle name="Normal 2 4 6 16 2 4" xfId="21889" xr:uid="{00000000-0005-0000-0000-0000A3CC0000}"/>
    <cellStyle name="Normal 2 4 6 16 2 4 2" xfId="21890" xr:uid="{00000000-0005-0000-0000-0000A4CC0000}"/>
    <cellStyle name="Normal 2 4 6 16 2 4 2 2" xfId="56425" xr:uid="{00000000-0005-0000-0000-0000A5CC0000}"/>
    <cellStyle name="Normal 2 4 6 16 2 4 3" xfId="56426" xr:uid="{00000000-0005-0000-0000-0000A6CC0000}"/>
    <cellStyle name="Normal 2 4 6 16 2 5" xfId="21891" xr:uid="{00000000-0005-0000-0000-0000A7CC0000}"/>
    <cellStyle name="Normal 2 4 6 16 2 5 2" xfId="56427" xr:uid="{00000000-0005-0000-0000-0000A8CC0000}"/>
    <cellStyle name="Normal 2 4 6 16 2 6" xfId="21892" xr:uid="{00000000-0005-0000-0000-0000A9CC0000}"/>
    <cellStyle name="Normal 2 4 6 16 2 6 2" xfId="56428" xr:uid="{00000000-0005-0000-0000-0000AACC0000}"/>
    <cellStyle name="Normal 2 4 6 16 2 7" xfId="56429" xr:uid="{00000000-0005-0000-0000-0000ABCC0000}"/>
    <cellStyle name="Normal 2 4 6 16 2 7 2" xfId="56430" xr:uid="{00000000-0005-0000-0000-0000ACCC0000}"/>
    <cellStyle name="Normal 2 4 6 16 2 8" xfId="56431" xr:uid="{00000000-0005-0000-0000-0000ADCC0000}"/>
    <cellStyle name="Normal 2 4 6 16 2 9" xfId="56432" xr:uid="{00000000-0005-0000-0000-0000AECC0000}"/>
    <cellStyle name="Normal 2 4 6 16 3" xfId="21893" xr:uid="{00000000-0005-0000-0000-0000AFCC0000}"/>
    <cellStyle name="Normal 2 4 6 16 3 2" xfId="21894" xr:uid="{00000000-0005-0000-0000-0000B0CC0000}"/>
    <cellStyle name="Normal 2 4 6 16 3 2 2" xfId="21895" xr:uid="{00000000-0005-0000-0000-0000B1CC0000}"/>
    <cellStyle name="Normal 2 4 6 16 3 2 2 2" xfId="56433" xr:uid="{00000000-0005-0000-0000-0000B2CC0000}"/>
    <cellStyle name="Normal 2 4 6 16 3 2 3" xfId="21896" xr:uid="{00000000-0005-0000-0000-0000B3CC0000}"/>
    <cellStyle name="Normal 2 4 6 16 3 2 3 2" xfId="56434" xr:uid="{00000000-0005-0000-0000-0000B4CC0000}"/>
    <cellStyle name="Normal 2 4 6 16 3 2 4" xfId="56435" xr:uid="{00000000-0005-0000-0000-0000B5CC0000}"/>
    <cellStyle name="Normal 2 4 6 16 3 3" xfId="21897" xr:uid="{00000000-0005-0000-0000-0000B6CC0000}"/>
    <cellStyle name="Normal 2 4 6 16 3 3 2" xfId="56436" xr:uid="{00000000-0005-0000-0000-0000B7CC0000}"/>
    <cellStyle name="Normal 2 4 6 16 3 4" xfId="21898" xr:uid="{00000000-0005-0000-0000-0000B8CC0000}"/>
    <cellStyle name="Normal 2 4 6 16 3 4 2" xfId="56437" xr:uid="{00000000-0005-0000-0000-0000B9CC0000}"/>
    <cellStyle name="Normal 2 4 6 16 3 5" xfId="21899" xr:uid="{00000000-0005-0000-0000-0000BACC0000}"/>
    <cellStyle name="Normal 2 4 6 16 3 5 2" xfId="56438" xr:uid="{00000000-0005-0000-0000-0000BBCC0000}"/>
    <cellStyle name="Normal 2 4 6 16 3 6" xfId="56439" xr:uid="{00000000-0005-0000-0000-0000BCCC0000}"/>
    <cellStyle name="Normal 2 4 6 16 3 6 2" xfId="56440" xr:uid="{00000000-0005-0000-0000-0000BDCC0000}"/>
    <cellStyle name="Normal 2 4 6 16 3 7" xfId="56441" xr:uid="{00000000-0005-0000-0000-0000BECC0000}"/>
    <cellStyle name="Normal 2 4 6 16 4" xfId="21900" xr:uid="{00000000-0005-0000-0000-0000BFCC0000}"/>
    <cellStyle name="Normal 2 4 6 16 4 2" xfId="21901" xr:uid="{00000000-0005-0000-0000-0000C0CC0000}"/>
    <cellStyle name="Normal 2 4 6 16 4 2 2" xfId="56442" xr:uid="{00000000-0005-0000-0000-0000C1CC0000}"/>
    <cellStyle name="Normal 2 4 6 16 4 3" xfId="21902" xr:uid="{00000000-0005-0000-0000-0000C2CC0000}"/>
    <cellStyle name="Normal 2 4 6 16 4 3 2" xfId="56443" xr:uid="{00000000-0005-0000-0000-0000C3CC0000}"/>
    <cellStyle name="Normal 2 4 6 16 4 4" xfId="56444" xr:uid="{00000000-0005-0000-0000-0000C4CC0000}"/>
    <cellStyle name="Normal 2 4 6 16 5" xfId="21903" xr:uid="{00000000-0005-0000-0000-0000C5CC0000}"/>
    <cellStyle name="Normal 2 4 6 16 5 2" xfId="21904" xr:uid="{00000000-0005-0000-0000-0000C6CC0000}"/>
    <cellStyle name="Normal 2 4 6 16 5 2 2" xfId="56445" xr:uid="{00000000-0005-0000-0000-0000C7CC0000}"/>
    <cellStyle name="Normal 2 4 6 16 5 3" xfId="56446" xr:uid="{00000000-0005-0000-0000-0000C8CC0000}"/>
    <cellStyle name="Normal 2 4 6 16 6" xfId="21905" xr:uid="{00000000-0005-0000-0000-0000C9CC0000}"/>
    <cellStyle name="Normal 2 4 6 16 6 2" xfId="56447" xr:uid="{00000000-0005-0000-0000-0000CACC0000}"/>
    <cellStyle name="Normal 2 4 6 16 7" xfId="21906" xr:uid="{00000000-0005-0000-0000-0000CBCC0000}"/>
    <cellStyle name="Normal 2 4 6 16 7 2" xfId="56448" xr:uid="{00000000-0005-0000-0000-0000CCCC0000}"/>
    <cellStyle name="Normal 2 4 6 16 8" xfId="56449" xr:uid="{00000000-0005-0000-0000-0000CDCC0000}"/>
    <cellStyle name="Normal 2 4 6 16 8 2" xfId="56450" xr:uid="{00000000-0005-0000-0000-0000CECC0000}"/>
    <cellStyle name="Normal 2 4 6 16 9" xfId="56451" xr:uid="{00000000-0005-0000-0000-0000CFCC0000}"/>
    <cellStyle name="Normal 2 4 6 17" xfId="21907" xr:uid="{00000000-0005-0000-0000-0000D0CC0000}"/>
    <cellStyle name="Normal 2 4 6 17 10" xfId="56452" xr:uid="{00000000-0005-0000-0000-0000D1CC0000}"/>
    <cellStyle name="Normal 2 4 6 17 11" xfId="56453" xr:uid="{00000000-0005-0000-0000-0000D2CC0000}"/>
    <cellStyle name="Normal 2 4 6 17 2" xfId="21908" xr:uid="{00000000-0005-0000-0000-0000D3CC0000}"/>
    <cellStyle name="Normal 2 4 6 17 2 10" xfId="56454" xr:uid="{00000000-0005-0000-0000-0000D4CC0000}"/>
    <cellStyle name="Normal 2 4 6 17 2 2" xfId="21909" xr:uid="{00000000-0005-0000-0000-0000D5CC0000}"/>
    <cellStyle name="Normal 2 4 6 17 2 2 2" xfId="21910" xr:uid="{00000000-0005-0000-0000-0000D6CC0000}"/>
    <cellStyle name="Normal 2 4 6 17 2 2 2 2" xfId="21911" xr:uid="{00000000-0005-0000-0000-0000D7CC0000}"/>
    <cellStyle name="Normal 2 4 6 17 2 2 2 2 2" xfId="56455" xr:uid="{00000000-0005-0000-0000-0000D8CC0000}"/>
    <cellStyle name="Normal 2 4 6 17 2 2 2 3" xfId="21912" xr:uid="{00000000-0005-0000-0000-0000D9CC0000}"/>
    <cellStyle name="Normal 2 4 6 17 2 2 2 3 2" xfId="56456" xr:uid="{00000000-0005-0000-0000-0000DACC0000}"/>
    <cellStyle name="Normal 2 4 6 17 2 2 2 4" xfId="56457" xr:uid="{00000000-0005-0000-0000-0000DBCC0000}"/>
    <cellStyle name="Normal 2 4 6 17 2 2 3" xfId="21913" xr:uid="{00000000-0005-0000-0000-0000DCCC0000}"/>
    <cellStyle name="Normal 2 4 6 17 2 2 3 2" xfId="56458" xr:uid="{00000000-0005-0000-0000-0000DDCC0000}"/>
    <cellStyle name="Normal 2 4 6 17 2 2 4" xfId="21914" xr:uid="{00000000-0005-0000-0000-0000DECC0000}"/>
    <cellStyle name="Normal 2 4 6 17 2 2 4 2" xfId="56459" xr:uid="{00000000-0005-0000-0000-0000DFCC0000}"/>
    <cellStyle name="Normal 2 4 6 17 2 2 5" xfId="21915" xr:uid="{00000000-0005-0000-0000-0000E0CC0000}"/>
    <cellStyle name="Normal 2 4 6 17 2 2 5 2" xfId="56460" xr:uid="{00000000-0005-0000-0000-0000E1CC0000}"/>
    <cellStyle name="Normal 2 4 6 17 2 2 6" xfId="56461" xr:uid="{00000000-0005-0000-0000-0000E2CC0000}"/>
    <cellStyle name="Normal 2 4 6 17 2 2 6 2" xfId="56462" xr:uid="{00000000-0005-0000-0000-0000E3CC0000}"/>
    <cellStyle name="Normal 2 4 6 17 2 2 7" xfId="56463" xr:uid="{00000000-0005-0000-0000-0000E4CC0000}"/>
    <cellStyle name="Normal 2 4 6 17 2 3" xfId="21916" xr:uid="{00000000-0005-0000-0000-0000E5CC0000}"/>
    <cellStyle name="Normal 2 4 6 17 2 3 2" xfId="21917" xr:uid="{00000000-0005-0000-0000-0000E6CC0000}"/>
    <cellStyle name="Normal 2 4 6 17 2 3 2 2" xfId="56464" xr:uid="{00000000-0005-0000-0000-0000E7CC0000}"/>
    <cellStyle name="Normal 2 4 6 17 2 3 3" xfId="21918" xr:uid="{00000000-0005-0000-0000-0000E8CC0000}"/>
    <cellStyle name="Normal 2 4 6 17 2 3 3 2" xfId="56465" xr:uid="{00000000-0005-0000-0000-0000E9CC0000}"/>
    <cellStyle name="Normal 2 4 6 17 2 3 4" xfId="56466" xr:uid="{00000000-0005-0000-0000-0000EACC0000}"/>
    <cellStyle name="Normal 2 4 6 17 2 4" xfId="21919" xr:uid="{00000000-0005-0000-0000-0000EBCC0000}"/>
    <cellStyle name="Normal 2 4 6 17 2 4 2" xfId="21920" xr:uid="{00000000-0005-0000-0000-0000ECCC0000}"/>
    <cellStyle name="Normal 2 4 6 17 2 4 2 2" xfId="56467" xr:uid="{00000000-0005-0000-0000-0000EDCC0000}"/>
    <cellStyle name="Normal 2 4 6 17 2 4 3" xfId="56468" xr:uid="{00000000-0005-0000-0000-0000EECC0000}"/>
    <cellStyle name="Normal 2 4 6 17 2 5" xfId="21921" xr:uid="{00000000-0005-0000-0000-0000EFCC0000}"/>
    <cellStyle name="Normal 2 4 6 17 2 5 2" xfId="56469" xr:uid="{00000000-0005-0000-0000-0000F0CC0000}"/>
    <cellStyle name="Normal 2 4 6 17 2 6" xfId="21922" xr:uid="{00000000-0005-0000-0000-0000F1CC0000}"/>
    <cellStyle name="Normal 2 4 6 17 2 6 2" xfId="56470" xr:uid="{00000000-0005-0000-0000-0000F2CC0000}"/>
    <cellStyle name="Normal 2 4 6 17 2 7" xfId="56471" xr:uid="{00000000-0005-0000-0000-0000F3CC0000}"/>
    <cellStyle name="Normal 2 4 6 17 2 7 2" xfId="56472" xr:uid="{00000000-0005-0000-0000-0000F4CC0000}"/>
    <cellStyle name="Normal 2 4 6 17 2 8" xfId="56473" xr:uid="{00000000-0005-0000-0000-0000F5CC0000}"/>
    <cellStyle name="Normal 2 4 6 17 2 9" xfId="56474" xr:uid="{00000000-0005-0000-0000-0000F6CC0000}"/>
    <cellStyle name="Normal 2 4 6 17 3" xfId="21923" xr:uid="{00000000-0005-0000-0000-0000F7CC0000}"/>
    <cellStyle name="Normal 2 4 6 17 3 2" xfId="21924" xr:uid="{00000000-0005-0000-0000-0000F8CC0000}"/>
    <cellStyle name="Normal 2 4 6 17 3 2 2" xfId="21925" xr:uid="{00000000-0005-0000-0000-0000F9CC0000}"/>
    <cellStyle name="Normal 2 4 6 17 3 2 2 2" xfId="56475" xr:uid="{00000000-0005-0000-0000-0000FACC0000}"/>
    <cellStyle name="Normal 2 4 6 17 3 2 3" xfId="21926" xr:uid="{00000000-0005-0000-0000-0000FBCC0000}"/>
    <cellStyle name="Normal 2 4 6 17 3 2 3 2" xfId="56476" xr:uid="{00000000-0005-0000-0000-0000FCCC0000}"/>
    <cellStyle name="Normal 2 4 6 17 3 2 4" xfId="56477" xr:uid="{00000000-0005-0000-0000-0000FDCC0000}"/>
    <cellStyle name="Normal 2 4 6 17 3 3" xfId="21927" xr:uid="{00000000-0005-0000-0000-0000FECC0000}"/>
    <cellStyle name="Normal 2 4 6 17 3 3 2" xfId="56478" xr:uid="{00000000-0005-0000-0000-0000FFCC0000}"/>
    <cellStyle name="Normal 2 4 6 17 3 4" xfId="21928" xr:uid="{00000000-0005-0000-0000-000000CD0000}"/>
    <cellStyle name="Normal 2 4 6 17 3 4 2" xfId="56479" xr:uid="{00000000-0005-0000-0000-000001CD0000}"/>
    <cellStyle name="Normal 2 4 6 17 3 5" xfId="21929" xr:uid="{00000000-0005-0000-0000-000002CD0000}"/>
    <cellStyle name="Normal 2 4 6 17 3 5 2" xfId="56480" xr:uid="{00000000-0005-0000-0000-000003CD0000}"/>
    <cellStyle name="Normal 2 4 6 17 3 6" xfId="56481" xr:uid="{00000000-0005-0000-0000-000004CD0000}"/>
    <cellStyle name="Normal 2 4 6 17 3 6 2" xfId="56482" xr:uid="{00000000-0005-0000-0000-000005CD0000}"/>
    <cellStyle name="Normal 2 4 6 17 3 7" xfId="56483" xr:uid="{00000000-0005-0000-0000-000006CD0000}"/>
    <cellStyle name="Normal 2 4 6 17 4" xfId="21930" xr:uid="{00000000-0005-0000-0000-000007CD0000}"/>
    <cellStyle name="Normal 2 4 6 17 4 2" xfId="21931" xr:uid="{00000000-0005-0000-0000-000008CD0000}"/>
    <cellStyle name="Normal 2 4 6 17 4 2 2" xfId="56484" xr:uid="{00000000-0005-0000-0000-000009CD0000}"/>
    <cellStyle name="Normal 2 4 6 17 4 3" xfId="21932" xr:uid="{00000000-0005-0000-0000-00000ACD0000}"/>
    <cellStyle name="Normal 2 4 6 17 4 3 2" xfId="56485" xr:uid="{00000000-0005-0000-0000-00000BCD0000}"/>
    <cellStyle name="Normal 2 4 6 17 4 4" xfId="56486" xr:uid="{00000000-0005-0000-0000-00000CCD0000}"/>
    <cellStyle name="Normal 2 4 6 17 5" xfId="21933" xr:uid="{00000000-0005-0000-0000-00000DCD0000}"/>
    <cellStyle name="Normal 2 4 6 17 5 2" xfId="21934" xr:uid="{00000000-0005-0000-0000-00000ECD0000}"/>
    <cellStyle name="Normal 2 4 6 17 5 2 2" xfId="56487" xr:uid="{00000000-0005-0000-0000-00000FCD0000}"/>
    <cellStyle name="Normal 2 4 6 17 5 3" xfId="56488" xr:uid="{00000000-0005-0000-0000-000010CD0000}"/>
    <cellStyle name="Normal 2 4 6 17 6" xfId="21935" xr:uid="{00000000-0005-0000-0000-000011CD0000}"/>
    <cellStyle name="Normal 2 4 6 17 6 2" xfId="56489" xr:uid="{00000000-0005-0000-0000-000012CD0000}"/>
    <cellStyle name="Normal 2 4 6 17 7" xfId="21936" xr:uid="{00000000-0005-0000-0000-000013CD0000}"/>
    <cellStyle name="Normal 2 4 6 17 7 2" xfId="56490" xr:uid="{00000000-0005-0000-0000-000014CD0000}"/>
    <cellStyle name="Normal 2 4 6 17 8" xfId="56491" xr:uid="{00000000-0005-0000-0000-000015CD0000}"/>
    <cellStyle name="Normal 2 4 6 17 8 2" xfId="56492" xr:uid="{00000000-0005-0000-0000-000016CD0000}"/>
    <cellStyle name="Normal 2 4 6 17 9" xfId="56493" xr:uid="{00000000-0005-0000-0000-000017CD0000}"/>
    <cellStyle name="Normal 2 4 6 18" xfId="21937" xr:uid="{00000000-0005-0000-0000-000018CD0000}"/>
    <cellStyle name="Normal 2 4 6 18 10" xfId="56494" xr:uid="{00000000-0005-0000-0000-000019CD0000}"/>
    <cellStyle name="Normal 2 4 6 18 11" xfId="56495" xr:uid="{00000000-0005-0000-0000-00001ACD0000}"/>
    <cellStyle name="Normal 2 4 6 18 2" xfId="21938" xr:uid="{00000000-0005-0000-0000-00001BCD0000}"/>
    <cellStyle name="Normal 2 4 6 18 2 10" xfId="56496" xr:uid="{00000000-0005-0000-0000-00001CCD0000}"/>
    <cellStyle name="Normal 2 4 6 18 2 2" xfId="21939" xr:uid="{00000000-0005-0000-0000-00001DCD0000}"/>
    <cellStyle name="Normal 2 4 6 18 2 2 2" xfId="21940" xr:uid="{00000000-0005-0000-0000-00001ECD0000}"/>
    <cellStyle name="Normal 2 4 6 18 2 2 2 2" xfId="21941" xr:uid="{00000000-0005-0000-0000-00001FCD0000}"/>
    <cellStyle name="Normal 2 4 6 18 2 2 2 2 2" xfId="56497" xr:uid="{00000000-0005-0000-0000-000020CD0000}"/>
    <cellStyle name="Normal 2 4 6 18 2 2 2 3" xfId="21942" xr:uid="{00000000-0005-0000-0000-000021CD0000}"/>
    <cellStyle name="Normal 2 4 6 18 2 2 2 3 2" xfId="56498" xr:uid="{00000000-0005-0000-0000-000022CD0000}"/>
    <cellStyle name="Normal 2 4 6 18 2 2 2 4" xfId="56499" xr:uid="{00000000-0005-0000-0000-000023CD0000}"/>
    <cellStyle name="Normal 2 4 6 18 2 2 3" xfId="21943" xr:uid="{00000000-0005-0000-0000-000024CD0000}"/>
    <cellStyle name="Normal 2 4 6 18 2 2 3 2" xfId="56500" xr:uid="{00000000-0005-0000-0000-000025CD0000}"/>
    <cellStyle name="Normal 2 4 6 18 2 2 4" xfId="21944" xr:uid="{00000000-0005-0000-0000-000026CD0000}"/>
    <cellStyle name="Normal 2 4 6 18 2 2 4 2" xfId="56501" xr:uid="{00000000-0005-0000-0000-000027CD0000}"/>
    <cellStyle name="Normal 2 4 6 18 2 2 5" xfId="21945" xr:uid="{00000000-0005-0000-0000-000028CD0000}"/>
    <cellStyle name="Normal 2 4 6 18 2 2 5 2" xfId="56502" xr:uid="{00000000-0005-0000-0000-000029CD0000}"/>
    <cellStyle name="Normal 2 4 6 18 2 2 6" xfId="56503" xr:uid="{00000000-0005-0000-0000-00002ACD0000}"/>
    <cellStyle name="Normal 2 4 6 18 2 2 6 2" xfId="56504" xr:uid="{00000000-0005-0000-0000-00002BCD0000}"/>
    <cellStyle name="Normal 2 4 6 18 2 2 7" xfId="56505" xr:uid="{00000000-0005-0000-0000-00002CCD0000}"/>
    <cellStyle name="Normal 2 4 6 18 2 3" xfId="21946" xr:uid="{00000000-0005-0000-0000-00002DCD0000}"/>
    <cellStyle name="Normal 2 4 6 18 2 3 2" xfId="21947" xr:uid="{00000000-0005-0000-0000-00002ECD0000}"/>
    <cellStyle name="Normal 2 4 6 18 2 3 2 2" xfId="56506" xr:uid="{00000000-0005-0000-0000-00002FCD0000}"/>
    <cellStyle name="Normal 2 4 6 18 2 3 3" xfId="21948" xr:uid="{00000000-0005-0000-0000-000030CD0000}"/>
    <cellStyle name="Normal 2 4 6 18 2 3 3 2" xfId="56507" xr:uid="{00000000-0005-0000-0000-000031CD0000}"/>
    <cellStyle name="Normal 2 4 6 18 2 3 4" xfId="56508" xr:uid="{00000000-0005-0000-0000-000032CD0000}"/>
    <cellStyle name="Normal 2 4 6 18 2 4" xfId="21949" xr:uid="{00000000-0005-0000-0000-000033CD0000}"/>
    <cellStyle name="Normal 2 4 6 18 2 4 2" xfId="21950" xr:uid="{00000000-0005-0000-0000-000034CD0000}"/>
    <cellStyle name="Normal 2 4 6 18 2 4 2 2" xfId="56509" xr:uid="{00000000-0005-0000-0000-000035CD0000}"/>
    <cellStyle name="Normal 2 4 6 18 2 4 3" xfId="56510" xr:uid="{00000000-0005-0000-0000-000036CD0000}"/>
    <cellStyle name="Normal 2 4 6 18 2 5" xfId="21951" xr:uid="{00000000-0005-0000-0000-000037CD0000}"/>
    <cellStyle name="Normal 2 4 6 18 2 5 2" xfId="56511" xr:uid="{00000000-0005-0000-0000-000038CD0000}"/>
    <cellStyle name="Normal 2 4 6 18 2 6" xfId="21952" xr:uid="{00000000-0005-0000-0000-000039CD0000}"/>
    <cellStyle name="Normal 2 4 6 18 2 6 2" xfId="56512" xr:uid="{00000000-0005-0000-0000-00003ACD0000}"/>
    <cellStyle name="Normal 2 4 6 18 2 7" xfId="56513" xr:uid="{00000000-0005-0000-0000-00003BCD0000}"/>
    <cellStyle name="Normal 2 4 6 18 2 7 2" xfId="56514" xr:uid="{00000000-0005-0000-0000-00003CCD0000}"/>
    <cellStyle name="Normal 2 4 6 18 2 8" xfId="56515" xr:uid="{00000000-0005-0000-0000-00003DCD0000}"/>
    <cellStyle name="Normal 2 4 6 18 2 9" xfId="56516" xr:uid="{00000000-0005-0000-0000-00003ECD0000}"/>
    <cellStyle name="Normal 2 4 6 18 3" xfId="21953" xr:uid="{00000000-0005-0000-0000-00003FCD0000}"/>
    <cellStyle name="Normal 2 4 6 18 3 2" xfId="21954" xr:uid="{00000000-0005-0000-0000-000040CD0000}"/>
    <cellStyle name="Normal 2 4 6 18 3 2 2" xfId="21955" xr:uid="{00000000-0005-0000-0000-000041CD0000}"/>
    <cellStyle name="Normal 2 4 6 18 3 2 2 2" xfId="56517" xr:uid="{00000000-0005-0000-0000-000042CD0000}"/>
    <cellStyle name="Normal 2 4 6 18 3 2 3" xfId="21956" xr:uid="{00000000-0005-0000-0000-000043CD0000}"/>
    <cellStyle name="Normal 2 4 6 18 3 2 3 2" xfId="56518" xr:uid="{00000000-0005-0000-0000-000044CD0000}"/>
    <cellStyle name="Normal 2 4 6 18 3 2 4" xfId="56519" xr:uid="{00000000-0005-0000-0000-000045CD0000}"/>
    <cellStyle name="Normal 2 4 6 18 3 3" xfId="21957" xr:uid="{00000000-0005-0000-0000-000046CD0000}"/>
    <cellStyle name="Normal 2 4 6 18 3 3 2" xfId="56520" xr:uid="{00000000-0005-0000-0000-000047CD0000}"/>
    <cellStyle name="Normal 2 4 6 18 3 4" xfId="21958" xr:uid="{00000000-0005-0000-0000-000048CD0000}"/>
    <cellStyle name="Normal 2 4 6 18 3 4 2" xfId="56521" xr:uid="{00000000-0005-0000-0000-000049CD0000}"/>
    <cellStyle name="Normal 2 4 6 18 3 5" xfId="21959" xr:uid="{00000000-0005-0000-0000-00004ACD0000}"/>
    <cellStyle name="Normal 2 4 6 18 3 5 2" xfId="56522" xr:uid="{00000000-0005-0000-0000-00004BCD0000}"/>
    <cellStyle name="Normal 2 4 6 18 3 6" xfId="56523" xr:uid="{00000000-0005-0000-0000-00004CCD0000}"/>
    <cellStyle name="Normal 2 4 6 18 3 6 2" xfId="56524" xr:uid="{00000000-0005-0000-0000-00004DCD0000}"/>
    <cellStyle name="Normal 2 4 6 18 3 7" xfId="56525" xr:uid="{00000000-0005-0000-0000-00004ECD0000}"/>
    <cellStyle name="Normal 2 4 6 18 4" xfId="21960" xr:uid="{00000000-0005-0000-0000-00004FCD0000}"/>
    <cellStyle name="Normal 2 4 6 18 4 2" xfId="21961" xr:uid="{00000000-0005-0000-0000-000050CD0000}"/>
    <cellStyle name="Normal 2 4 6 18 4 2 2" xfId="56526" xr:uid="{00000000-0005-0000-0000-000051CD0000}"/>
    <cellStyle name="Normal 2 4 6 18 4 3" xfId="21962" xr:uid="{00000000-0005-0000-0000-000052CD0000}"/>
    <cellStyle name="Normal 2 4 6 18 4 3 2" xfId="56527" xr:uid="{00000000-0005-0000-0000-000053CD0000}"/>
    <cellStyle name="Normal 2 4 6 18 4 4" xfId="56528" xr:uid="{00000000-0005-0000-0000-000054CD0000}"/>
    <cellStyle name="Normal 2 4 6 18 5" xfId="21963" xr:uid="{00000000-0005-0000-0000-000055CD0000}"/>
    <cellStyle name="Normal 2 4 6 18 5 2" xfId="21964" xr:uid="{00000000-0005-0000-0000-000056CD0000}"/>
    <cellStyle name="Normal 2 4 6 18 5 2 2" xfId="56529" xr:uid="{00000000-0005-0000-0000-000057CD0000}"/>
    <cellStyle name="Normal 2 4 6 18 5 3" xfId="56530" xr:uid="{00000000-0005-0000-0000-000058CD0000}"/>
    <cellStyle name="Normal 2 4 6 18 6" xfId="21965" xr:uid="{00000000-0005-0000-0000-000059CD0000}"/>
    <cellStyle name="Normal 2 4 6 18 6 2" xfId="56531" xr:uid="{00000000-0005-0000-0000-00005ACD0000}"/>
    <cellStyle name="Normal 2 4 6 18 7" xfId="21966" xr:uid="{00000000-0005-0000-0000-00005BCD0000}"/>
    <cellStyle name="Normal 2 4 6 18 7 2" xfId="56532" xr:uid="{00000000-0005-0000-0000-00005CCD0000}"/>
    <cellStyle name="Normal 2 4 6 18 8" xfId="56533" xr:uid="{00000000-0005-0000-0000-00005DCD0000}"/>
    <cellStyle name="Normal 2 4 6 18 8 2" xfId="56534" xr:uid="{00000000-0005-0000-0000-00005ECD0000}"/>
    <cellStyle name="Normal 2 4 6 18 9" xfId="56535" xr:uid="{00000000-0005-0000-0000-00005FCD0000}"/>
    <cellStyle name="Normal 2 4 6 19" xfId="21967" xr:uid="{00000000-0005-0000-0000-000060CD0000}"/>
    <cellStyle name="Normal 2 4 6 19 10" xfId="56536" xr:uid="{00000000-0005-0000-0000-000061CD0000}"/>
    <cellStyle name="Normal 2 4 6 19 11" xfId="56537" xr:uid="{00000000-0005-0000-0000-000062CD0000}"/>
    <cellStyle name="Normal 2 4 6 19 2" xfId="21968" xr:uid="{00000000-0005-0000-0000-000063CD0000}"/>
    <cellStyle name="Normal 2 4 6 19 2 10" xfId="56538" xr:uid="{00000000-0005-0000-0000-000064CD0000}"/>
    <cellStyle name="Normal 2 4 6 19 2 2" xfId="21969" xr:uid="{00000000-0005-0000-0000-000065CD0000}"/>
    <cellStyle name="Normal 2 4 6 19 2 2 2" xfId="21970" xr:uid="{00000000-0005-0000-0000-000066CD0000}"/>
    <cellStyle name="Normal 2 4 6 19 2 2 2 2" xfId="21971" xr:uid="{00000000-0005-0000-0000-000067CD0000}"/>
    <cellStyle name="Normal 2 4 6 19 2 2 2 2 2" xfId="56539" xr:uid="{00000000-0005-0000-0000-000068CD0000}"/>
    <cellStyle name="Normal 2 4 6 19 2 2 2 3" xfId="21972" xr:uid="{00000000-0005-0000-0000-000069CD0000}"/>
    <cellStyle name="Normal 2 4 6 19 2 2 2 3 2" xfId="56540" xr:uid="{00000000-0005-0000-0000-00006ACD0000}"/>
    <cellStyle name="Normal 2 4 6 19 2 2 2 4" xfId="56541" xr:uid="{00000000-0005-0000-0000-00006BCD0000}"/>
    <cellStyle name="Normal 2 4 6 19 2 2 3" xfId="21973" xr:uid="{00000000-0005-0000-0000-00006CCD0000}"/>
    <cellStyle name="Normal 2 4 6 19 2 2 3 2" xfId="56542" xr:uid="{00000000-0005-0000-0000-00006DCD0000}"/>
    <cellStyle name="Normal 2 4 6 19 2 2 4" xfId="21974" xr:uid="{00000000-0005-0000-0000-00006ECD0000}"/>
    <cellStyle name="Normal 2 4 6 19 2 2 4 2" xfId="56543" xr:uid="{00000000-0005-0000-0000-00006FCD0000}"/>
    <cellStyle name="Normal 2 4 6 19 2 2 5" xfId="21975" xr:uid="{00000000-0005-0000-0000-000070CD0000}"/>
    <cellStyle name="Normal 2 4 6 19 2 2 5 2" xfId="56544" xr:uid="{00000000-0005-0000-0000-000071CD0000}"/>
    <cellStyle name="Normal 2 4 6 19 2 2 6" xfId="56545" xr:uid="{00000000-0005-0000-0000-000072CD0000}"/>
    <cellStyle name="Normal 2 4 6 19 2 2 6 2" xfId="56546" xr:uid="{00000000-0005-0000-0000-000073CD0000}"/>
    <cellStyle name="Normal 2 4 6 19 2 2 7" xfId="56547" xr:uid="{00000000-0005-0000-0000-000074CD0000}"/>
    <cellStyle name="Normal 2 4 6 19 2 3" xfId="21976" xr:uid="{00000000-0005-0000-0000-000075CD0000}"/>
    <cellStyle name="Normal 2 4 6 19 2 3 2" xfId="21977" xr:uid="{00000000-0005-0000-0000-000076CD0000}"/>
    <cellStyle name="Normal 2 4 6 19 2 3 2 2" xfId="56548" xr:uid="{00000000-0005-0000-0000-000077CD0000}"/>
    <cellStyle name="Normal 2 4 6 19 2 3 3" xfId="21978" xr:uid="{00000000-0005-0000-0000-000078CD0000}"/>
    <cellStyle name="Normal 2 4 6 19 2 3 3 2" xfId="56549" xr:uid="{00000000-0005-0000-0000-000079CD0000}"/>
    <cellStyle name="Normal 2 4 6 19 2 3 4" xfId="56550" xr:uid="{00000000-0005-0000-0000-00007ACD0000}"/>
    <cellStyle name="Normal 2 4 6 19 2 4" xfId="21979" xr:uid="{00000000-0005-0000-0000-00007BCD0000}"/>
    <cellStyle name="Normal 2 4 6 19 2 4 2" xfId="21980" xr:uid="{00000000-0005-0000-0000-00007CCD0000}"/>
    <cellStyle name="Normal 2 4 6 19 2 4 2 2" xfId="56551" xr:uid="{00000000-0005-0000-0000-00007DCD0000}"/>
    <cellStyle name="Normal 2 4 6 19 2 4 3" xfId="56552" xr:uid="{00000000-0005-0000-0000-00007ECD0000}"/>
    <cellStyle name="Normal 2 4 6 19 2 5" xfId="21981" xr:uid="{00000000-0005-0000-0000-00007FCD0000}"/>
    <cellStyle name="Normal 2 4 6 19 2 5 2" xfId="56553" xr:uid="{00000000-0005-0000-0000-000080CD0000}"/>
    <cellStyle name="Normal 2 4 6 19 2 6" xfId="21982" xr:uid="{00000000-0005-0000-0000-000081CD0000}"/>
    <cellStyle name="Normal 2 4 6 19 2 6 2" xfId="56554" xr:uid="{00000000-0005-0000-0000-000082CD0000}"/>
    <cellStyle name="Normal 2 4 6 19 2 7" xfId="56555" xr:uid="{00000000-0005-0000-0000-000083CD0000}"/>
    <cellStyle name="Normal 2 4 6 19 2 7 2" xfId="56556" xr:uid="{00000000-0005-0000-0000-000084CD0000}"/>
    <cellStyle name="Normal 2 4 6 19 2 8" xfId="56557" xr:uid="{00000000-0005-0000-0000-000085CD0000}"/>
    <cellStyle name="Normal 2 4 6 19 2 9" xfId="56558" xr:uid="{00000000-0005-0000-0000-000086CD0000}"/>
    <cellStyle name="Normal 2 4 6 19 3" xfId="21983" xr:uid="{00000000-0005-0000-0000-000087CD0000}"/>
    <cellStyle name="Normal 2 4 6 19 3 2" xfId="21984" xr:uid="{00000000-0005-0000-0000-000088CD0000}"/>
    <cellStyle name="Normal 2 4 6 19 3 2 2" xfId="21985" xr:uid="{00000000-0005-0000-0000-000089CD0000}"/>
    <cellStyle name="Normal 2 4 6 19 3 2 2 2" xfId="56559" xr:uid="{00000000-0005-0000-0000-00008ACD0000}"/>
    <cellStyle name="Normal 2 4 6 19 3 2 3" xfId="21986" xr:uid="{00000000-0005-0000-0000-00008BCD0000}"/>
    <cellStyle name="Normal 2 4 6 19 3 2 3 2" xfId="56560" xr:uid="{00000000-0005-0000-0000-00008CCD0000}"/>
    <cellStyle name="Normal 2 4 6 19 3 2 4" xfId="56561" xr:uid="{00000000-0005-0000-0000-00008DCD0000}"/>
    <cellStyle name="Normal 2 4 6 19 3 3" xfId="21987" xr:uid="{00000000-0005-0000-0000-00008ECD0000}"/>
    <cellStyle name="Normal 2 4 6 19 3 3 2" xfId="56562" xr:uid="{00000000-0005-0000-0000-00008FCD0000}"/>
    <cellStyle name="Normal 2 4 6 19 3 4" xfId="21988" xr:uid="{00000000-0005-0000-0000-000090CD0000}"/>
    <cellStyle name="Normal 2 4 6 19 3 4 2" xfId="56563" xr:uid="{00000000-0005-0000-0000-000091CD0000}"/>
    <cellStyle name="Normal 2 4 6 19 3 5" xfId="21989" xr:uid="{00000000-0005-0000-0000-000092CD0000}"/>
    <cellStyle name="Normal 2 4 6 19 3 5 2" xfId="56564" xr:uid="{00000000-0005-0000-0000-000093CD0000}"/>
    <cellStyle name="Normal 2 4 6 19 3 6" xfId="56565" xr:uid="{00000000-0005-0000-0000-000094CD0000}"/>
    <cellStyle name="Normal 2 4 6 19 3 6 2" xfId="56566" xr:uid="{00000000-0005-0000-0000-000095CD0000}"/>
    <cellStyle name="Normal 2 4 6 19 3 7" xfId="56567" xr:uid="{00000000-0005-0000-0000-000096CD0000}"/>
    <cellStyle name="Normal 2 4 6 19 4" xfId="21990" xr:uid="{00000000-0005-0000-0000-000097CD0000}"/>
    <cellStyle name="Normal 2 4 6 19 4 2" xfId="21991" xr:uid="{00000000-0005-0000-0000-000098CD0000}"/>
    <cellStyle name="Normal 2 4 6 19 4 2 2" xfId="56568" xr:uid="{00000000-0005-0000-0000-000099CD0000}"/>
    <cellStyle name="Normal 2 4 6 19 4 3" xfId="21992" xr:uid="{00000000-0005-0000-0000-00009ACD0000}"/>
    <cellStyle name="Normal 2 4 6 19 4 3 2" xfId="56569" xr:uid="{00000000-0005-0000-0000-00009BCD0000}"/>
    <cellStyle name="Normal 2 4 6 19 4 4" xfId="56570" xr:uid="{00000000-0005-0000-0000-00009CCD0000}"/>
    <cellStyle name="Normal 2 4 6 19 5" xfId="21993" xr:uid="{00000000-0005-0000-0000-00009DCD0000}"/>
    <cellStyle name="Normal 2 4 6 19 5 2" xfId="21994" xr:uid="{00000000-0005-0000-0000-00009ECD0000}"/>
    <cellStyle name="Normal 2 4 6 19 5 2 2" xfId="56571" xr:uid="{00000000-0005-0000-0000-00009FCD0000}"/>
    <cellStyle name="Normal 2 4 6 19 5 3" xfId="56572" xr:uid="{00000000-0005-0000-0000-0000A0CD0000}"/>
    <cellStyle name="Normal 2 4 6 19 6" xfId="21995" xr:uid="{00000000-0005-0000-0000-0000A1CD0000}"/>
    <cellStyle name="Normal 2 4 6 19 6 2" xfId="56573" xr:uid="{00000000-0005-0000-0000-0000A2CD0000}"/>
    <cellStyle name="Normal 2 4 6 19 7" xfId="21996" xr:uid="{00000000-0005-0000-0000-0000A3CD0000}"/>
    <cellStyle name="Normal 2 4 6 19 7 2" xfId="56574" xr:uid="{00000000-0005-0000-0000-0000A4CD0000}"/>
    <cellStyle name="Normal 2 4 6 19 8" xfId="56575" xr:uid="{00000000-0005-0000-0000-0000A5CD0000}"/>
    <cellStyle name="Normal 2 4 6 19 8 2" xfId="56576" xr:uid="{00000000-0005-0000-0000-0000A6CD0000}"/>
    <cellStyle name="Normal 2 4 6 19 9" xfId="56577" xr:uid="{00000000-0005-0000-0000-0000A7CD0000}"/>
    <cellStyle name="Normal 2 4 6 2" xfId="21997" xr:uid="{00000000-0005-0000-0000-0000A8CD0000}"/>
    <cellStyle name="Normal 2 4 6 2 10" xfId="56578" xr:uid="{00000000-0005-0000-0000-0000A9CD0000}"/>
    <cellStyle name="Normal 2 4 6 2 11" xfId="56579" xr:uid="{00000000-0005-0000-0000-0000AACD0000}"/>
    <cellStyle name="Normal 2 4 6 2 2" xfId="21998" xr:uid="{00000000-0005-0000-0000-0000ABCD0000}"/>
    <cellStyle name="Normal 2 4 6 2 2 10" xfId="56580" xr:uid="{00000000-0005-0000-0000-0000ACCD0000}"/>
    <cellStyle name="Normal 2 4 6 2 2 2" xfId="21999" xr:uid="{00000000-0005-0000-0000-0000ADCD0000}"/>
    <cellStyle name="Normal 2 4 6 2 2 2 2" xfId="22000" xr:uid="{00000000-0005-0000-0000-0000AECD0000}"/>
    <cellStyle name="Normal 2 4 6 2 2 2 2 2" xfId="22001" xr:uid="{00000000-0005-0000-0000-0000AFCD0000}"/>
    <cellStyle name="Normal 2 4 6 2 2 2 2 2 2" xfId="56581" xr:uid="{00000000-0005-0000-0000-0000B0CD0000}"/>
    <cellStyle name="Normal 2 4 6 2 2 2 2 3" xfId="22002" xr:uid="{00000000-0005-0000-0000-0000B1CD0000}"/>
    <cellStyle name="Normal 2 4 6 2 2 2 2 3 2" xfId="56582" xr:uid="{00000000-0005-0000-0000-0000B2CD0000}"/>
    <cellStyle name="Normal 2 4 6 2 2 2 2 4" xfId="56583" xr:uid="{00000000-0005-0000-0000-0000B3CD0000}"/>
    <cellStyle name="Normal 2 4 6 2 2 2 3" xfId="22003" xr:uid="{00000000-0005-0000-0000-0000B4CD0000}"/>
    <cellStyle name="Normal 2 4 6 2 2 2 3 2" xfId="56584" xr:uid="{00000000-0005-0000-0000-0000B5CD0000}"/>
    <cellStyle name="Normal 2 4 6 2 2 2 4" xfId="22004" xr:uid="{00000000-0005-0000-0000-0000B6CD0000}"/>
    <cellStyle name="Normal 2 4 6 2 2 2 4 2" xfId="56585" xr:uid="{00000000-0005-0000-0000-0000B7CD0000}"/>
    <cellStyle name="Normal 2 4 6 2 2 2 5" xfId="22005" xr:uid="{00000000-0005-0000-0000-0000B8CD0000}"/>
    <cellStyle name="Normal 2 4 6 2 2 2 5 2" xfId="56586" xr:uid="{00000000-0005-0000-0000-0000B9CD0000}"/>
    <cellStyle name="Normal 2 4 6 2 2 2 6" xfId="56587" xr:uid="{00000000-0005-0000-0000-0000BACD0000}"/>
    <cellStyle name="Normal 2 4 6 2 2 2 6 2" xfId="56588" xr:uid="{00000000-0005-0000-0000-0000BBCD0000}"/>
    <cellStyle name="Normal 2 4 6 2 2 2 7" xfId="56589" xr:uid="{00000000-0005-0000-0000-0000BCCD0000}"/>
    <cellStyle name="Normal 2 4 6 2 2 3" xfId="22006" xr:uid="{00000000-0005-0000-0000-0000BDCD0000}"/>
    <cellStyle name="Normal 2 4 6 2 2 3 2" xfId="22007" xr:uid="{00000000-0005-0000-0000-0000BECD0000}"/>
    <cellStyle name="Normal 2 4 6 2 2 3 2 2" xfId="56590" xr:uid="{00000000-0005-0000-0000-0000BFCD0000}"/>
    <cellStyle name="Normal 2 4 6 2 2 3 3" xfId="22008" xr:uid="{00000000-0005-0000-0000-0000C0CD0000}"/>
    <cellStyle name="Normal 2 4 6 2 2 3 3 2" xfId="56591" xr:uid="{00000000-0005-0000-0000-0000C1CD0000}"/>
    <cellStyle name="Normal 2 4 6 2 2 3 4" xfId="56592" xr:uid="{00000000-0005-0000-0000-0000C2CD0000}"/>
    <cellStyle name="Normal 2 4 6 2 2 4" xfId="22009" xr:uid="{00000000-0005-0000-0000-0000C3CD0000}"/>
    <cellStyle name="Normal 2 4 6 2 2 4 2" xfId="22010" xr:uid="{00000000-0005-0000-0000-0000C4CD0000}"/>
    <cellStyle name="Normal 2 4 6 2 2 4 2 2" xfId="56593" xr:uid="{00000000-0005-0000-0000-0000C5CD0000}"/>
    <cellStyle name="Normal 2 4 6 2 2 4 3" xfId="56594" xr:uid="{00000000-0005-0000-0000-0000C6CD0000}"/>
    <cellStyle name="Normal 2 4 6 2 2 5" xfId="22011" xr:uid="{00000000-0005-0000-0000-0000C7CD0000}"/>
    <cellStyle name="Normal 2 4 6 2 2 5 2" xfId="56595" xr:uid="{00000000-0005-0000-0000-0000C8CD0000}"/>
    <cellStyle name="Normal 2 4 6 2 2 6" xfId="22012" xr:uid="{00000000-0005-0000-0000-0000C9CD0000}"/>
    <cellStyle name="Normal 2 4 6 2 2 6 2" xfId="56596" xr:uid="{00000000-0005-0000-0000-0000CACD0000}"/>
    <cellStyle name="Normal 2 4 6 2 2 7" xfId="56597" xr:uid="{00000000-0005-0000-0000-0000CBCD0000}"/>
    <cellStyle name="Normal 2 4 6 2 2 7 2" xfId="56598" xr:uid="{00000000-0005-0000-0000-0000CCCD0000}"/>
    <cellStyle name="Normal 2 4 6 2 2 8" xfId="56599" xr:uid="{00000000-0005-0000-0000-0000CDCD0000}"/>
    <cellStyle name="Normal 2 4 6 2 2 9" xfId="56600" xr:uid="{00000000-0005-0000-0000-0000CECD0000}"/>
    <cellStyle name="Normal 2 4 6 2 3" xfId="22013" xr:uid="{00000000-0005-0000-0000-0000CFCD0000}"/>
    <cellStyle name="Normal 2 4 6 2 3 2" xfId="22014" xr:uid="{00000000-0005-0000-0000-0000D0CD0000}"/>
    <cellStyle name="Normal 2 4 6 2 3 2 2" xfId="22015" xr:uid="{00000000-0005-0000-0000-0000D1CD0000}"/>
    <cellStyle name="Normal 2 4 6 2 3 2 2 2" xfId="56601" xr:uid="{00000000-0005-0000-0000-0000D2CD0000}"/>
    <cellStyle name="Normal 2 4 6 2 3 2 3" xfId="22016" xr:uid="{00000000-0005-0000-0000-0000D3CD0000}"/>
    <cellStyle name="Normal 2 4 6 2 3 2 3 2" xfId="56602" xr:uid="{00000000-0005-0000-0000-0000D4CD0000}"/>
    <cellStyle name="Normal 2 4 6 2 3 2 4" xfId="56603" xr:uid="{00000000-0005-0000-0000-0000D5CD0000}"/>
    <cellStyle name="Normal 2 4 6 2 3 3" xfId="22017" xr:uid="{00000000-0005-0000-0000-0000D6CD0000}"/>
    <cellStyle name="Normal 2 4 6 2 3 3 2" xfId="56604" xr:uid="{00000000-0005-0000-0000-0000D7CD0000}"/>
    <cellStyle name="Normal 2 4 6 2 3 4" xfId="22018" xr:uid="{00000000-0005-0000-0000-0000D8CD0000}"/>
    <cellStyle name="Normal 2 4 6 2 3 4 2" xfId="56605" xr:uid="{00000000-0005-0000-0000-0000D9CD0000}"/>
    <cellStyle name="Normal 2 4 6 2 3 5" xfId="22019" xr:uid="{00000000-0005-0000-0000-0000DACD0000}"/>
    <cellStyle name="Normal 2 4 6 2 3 5 2" xfId="56606" xr:uid="{00000000-0005-0000-0000-0000DBCD0000}"/>
    <cellStyle name="Normal 2 4 6 2 3 6" xfId="56607" xr:uid="{00000000-0005-0000-0000-0000DCCD0000}"/>
    <cellStyle name="Normal 2 4 6 2 3 6 2" xfId="56608" xr:uid="{00000000-0005-0000-0000-0000DDCD0000}"/>
    <cellStyle name="Normal 2 4 6 2 3 7" xfId="56609" xr:uid="{00000000-0005-0000-0000-0000DECD0000}"/>
    <cellStyle name="Normal 2 4 6 2 4" xfId="22020" xr:uid="{00000000-0005-0000-0000-0000DFCD0000}"/>
    <cellStyle name="Normal 2 4 6 2 4 2" xfId="22021" xr:uid="{00000000-0005-0000-0000-0000E0CD0000}"/>
    <cellStyle name="Normal 2 4 6 2 4 2 2" xfId="56610" xr:uid="{00000000-0005-0000-0000-0000E1CD0000}"/>
    <cellStyle name="Normal 2 4 6 2 4 3" xfId="22022" xr:uid="{00000000-0005-0000-0000-0000E2CD0000}"/>
    <cellStyle name="Normal 2 4 6 2 4 3 2" xfId="56611" xr:uid="{00000000-0005-0000-0000-0000E3CD0000}"/>
    <cellStyle name="Normal 2 4 6 2 4 4" xfId="56612" xr:uid="{00000000-0005-0000-0000-0000E4CD0000}"/>
    <cellStyle name="Normal 2 4 6 2 5" xfId="22023" xr:uid="{00000000-0005-0000-0000-0000E5CD0000}"/>
    <cellStyle name="Normal 2 4 6 2 5 2" xfId="22024" xr:uid="{00000000-0005-0000-0000-0000E6CD0000}"/>
    <cellStyle name="Normal 2 4 6 2 5 2 2" xfId="56613" xr:uid="{00000000-0005-0000-0000-0000E7CD0000}"/>
    <cellStyle name="Normal 2 4 6 2 5 3" xfId="56614" xr:uid="{00000000-0005-0000-0000-0000E8CD0000}"/>
    <cellStyle name="Normal 2 4 6 2 6" xfId="22025" xr:uid="{00000000-0005-0000-0000-0000E9CD0000}"/>
    <cellStyle name="Normal 2 4 6 2 6 2" xfId="56615" xr:uid="{00000000-0005-0000-0000-0000EACD0000}"/>
    <cellStyle name="Normal 2 4 6 2 7" xfId="22026" xr:uid="{00000000-0005-0000-0000-0000EBCD0000}"/>
    <cellStyle name="Normal 2 4 6 2 7 2" xfId="56616" xr:uid="{00000000-0005-0000-0000-0000ECCD0000}"/>
    <cellStyle name="Normal 2 4 6 2 8" xfId="56617" xr:uid="{00000000-0005-0000-0000-0000EDCD0000}"/>
    <cellStyle name="Normal 2 4 6 2 8 2" xfId="56618" xr:uid="{00000000-0005-0000-0000-0000EECD0000}"/>
    <cellStyle name="Normal 2 4 6 2 9" xfId="56619" xr:uid="{00000000-0005-0000-0000-0000EFCD0000}"/>
    <cellStyle name="Normal 2 4 6 20" xfId="22027" xr:uid="{00000000-0005-0000-0000-0000F0CD0000}"/>
    <cellStyle name="Normal 2 4 6 20 10" xfId="56620" xr:uid="{00000000-0005-0000-0000-0000F1CD0000}"/>
    <cellStyle name="Normal 2 4 6 20 11" xfId="56621" xr:uid="{00000000-0005-0000-0000-0000F2CD0000}"/>
    <cellStyle name="Normal 2 4 6 20 2" xfId="22028" xr:uid="{00000000-0005-0000-0000-0000F3CD0000}"/>
    <cellStyle name="Normal 2 4 6 20 2 10" xfId="56622" xr:uid="{00000000-0005-0000-0000-0000F4CD0000}"/>
    <cellStyle name="Normal 2 4 6 20 2 2" xfId="22029" xr:uid="{00000000-0005-0000-0000-0000F5CD0000}"/>
    <cellStyle name="Normal 2 4 6 20 2 2 2" xfId="22030" xr:uid="{00000000-0005-0000-0000-0000F6CD0000}"/>
    <cellStyle name="Normal 2 4 6 20 2 2 2 2" xfId="22031" xr:uid="{00000000-0005-0000-0000-0000F7CD0000}"/>
    <cellStyle name="Normal 2 4 6 20 2 2 2 2 2" xfId="56623" xr:uid="{00000000-0005-0000-0000-0000F8CD0000}"/>
    <cellStyle name="Normal 2 4 6 20 2 2 2 3" xfId="22032" xr:uid="{00000000-0005-0000-0000-0000F9CD0000}"/>
    <cellStyle name="Normal 2 4 6 20 2 2 2 3 2" xfId="56624" xr:uid="{00000000-0005-0000-0000-0000FACD0000}"/>
    <cellStyle name="Normal 2 4 6 20 2 2 2 4" xfId="56625" xr:uid="{00000000-0005-0000-0000-0000FBCD0000}"/>
    <cellStyle name="Normal 2 4 6 20 2 2 3" xfId="22033" xr:uid="{00000000-0005-0000-0000-0000FCCD0000}"/>
    <cellStyle name="Normal 2 4 6 20 2 2 3 2" xfId="56626" xr:uid="{00000000-0005-0000-0000-0000FDCD0000}"/>
    <cellStyle name="Normal 2 4 6 20 2 2 4" xfId="22034" xr:uid="{00000000-0005-0000-0000-0000FECD0000}"/>
    <cellStyle name="Normal 2 4 6 20 2 2 4 2" xfId="56627" xr:uid="{00000000-0005-0000-0000-0000FFCD0000}"/>
    <cellStyle name="Normal 2 4 6 20 2 2 5" xfId="22035" xr:uid="{00000000-0005-0000-0000-000000CE0000}"/>
    <cellStyle name="Normal 2 4 6 20 2 2 5 2" xfId="56628" xr:uid="{00000000-0005-0000-0000-000001CE0000}"/>
    <cellStyle name="Normal 2 4 6 20 2 2 6" xfId="56629" xr:uid="{00000000-0005-0000-0000-000002CE0000}"/>
    <cellStyle name="Normal 2 4 6 20 2 2 6 2" xfId="56630" xr:uid="{00000000-0005-0000-0000-000003CE0000}"/>
    <cellStyle name="Normal 2 4 6 20 2 2 7" xfId="56631" xr:uid="{00000000-0005-0000-0000-000004CE0000}"/>
    <cellStyle name="Normal 2 4 6 20 2 3" xfId="22036" xr:uid="{00000000-0005-0000-0000-000005CE0000}"/>
    <cellStyle name="Normal 2 4 6 20 2 3 2" xfId="22037" xr:uid="{00000000-0005-0000-0000-000006CE0000}"/>
    <cellStyle name="Normal 2 4 6 20 2 3 2 2" xfId="56632" xr:uid="{00000000-0005-0000-0000-000007CE0000}"/>
    <cellStyle name="Normal 2 4 6 20 2 3 3" xfId="22038" xr:uid="{00000000-0005-0000-0000-000008CE0000}"/>
    <cellStyle name="Normal 2 4 6 20 2 3 3 2" xfId="56633" xr:uid="{00000000-0005-0000-0000-000009CE0000}"/>
    <cellStyle name="Normal 2 4 6 20 2 3 4" xfId="56634" xr:uid="{00000000-0005-0000-0000-00000ACE0000}"/>
    <cellStyle name="Normal 2 4 6 20 2 4" xfId="22039" xr:uid="{00000000-0005-0000-0000-00000BCE0000}"/>
    <cellStyle name="Normal 2 4 6 20 2 4 2" xfId="22040" xr:uid="{00000000-0005-0000-0000-00000CCE0000}"/>
    <cellStyle name="Normal 2 4 6 20 2 4 2 2" xfId="56635" xr:uid="{00000000-0005-0000-0000-00000DCE0000}"/>
    <cellStyle name="Normal 2 4 6 20 2 4 3" xfId="56636" xr:uid="{00000000-0005-0000-0000-00000ECE0000}"/>
    <cellStyle name="Normal 2 4 6 20 2 5" xfId="22041" xr:uid="{00000000-0005-0000-0000-00000FCE0000}"/>
    <cellStyle name="Normal 2 4 6 20 2 5 2" xfId="56637" xr:uid="{00000000-0005-0000-0000-000010CE0000}"/>
    <cellStyle name="Normal 2 4 6 20 2 6" xfId="22042" xr:uid="{00000000-0005-0000-0000-000011CE0000}"/>
    <cellStyle name="Normal 2 4 6 20 2 6 2" xfId="56638" xr:uid="{00000000-0005-0000-0000-000012CE0000}"/>
    <cellStyle name="Normal 2 4 6 20 2 7" xfId="56639" xr:uid="{00000000-0005-0000-0000-000013CE0000}"/>
    <cellStyle name="Normal 2 4 6 20 2 7 2" xfId="56640" xr:uid="{00000000-0005-0000-0000-000014CE0000}"/>
    <cellStyle name="Normal 2 4 6 20 2 8" xfId="56641" xr:uid="{00000000-0005-0000-0000-000015CE0000}"/>
    <cellStyle name="Normal 2 4 6 20 2 9" xfId="56642" xr:uid="{00000000-0005-0000-0000-000016CE0000}"/>
    <cellStyle name="Normal 2 4 6 20 3" xfId="22043" xr:uid="{00000000-0005-0000-0000-000017CE0000}"/>
    <cellStyle name="Normal 2 4 6 20 3 2" xfId="22044" xr:uid="{00000000-0005-0000-0000-000018CE0000}"/>
    <cellStyle name="Normal 2 4 6 20 3 2 2" xfId="22045" xr:uid="{00000000-0005-0000-0000-000019CE0000}"/>
    <cellStyle name="Normal 2 4 6 20 3 2 2 2" xfId="56643" xr:uid="{00000000-0005-0000-0000-00001ACE0000}"/>
    <cellStyle name="Normal 2 4 6 20 3 2 3" xfId="22046" xr:uid="{00000000-0005-0000-0000-00001BCE0000}"/>
    <cellStyle name="Normal 2 4 6 20 3 2 3 2" xfId="56644" xr:uid="{00000000-0005-0000-0000-00001CCE0000}"/>
    <cellStyle name="Normal 2 4 6 20 3 2 4" xfId="56645" xr:uid="{00000000-0005-0000-0000-00001DCE0000}"/>
    <cellStyle name="Normal 2 4 6 20 3 3" xfId="22047" xr:uid="{00000000-0005-0000-0000-00001ECE0000}"/>
    <cellStyle name="Normal 2 4 6 20 3 3 2" xfId="56646" xr:uid="{00000000-0005-0000-0000-00001FCE0000}"/>
    <cellStyle name="Normal 2 4 6 20 3 4" xfId="22048" xr:uid="{00000000-0005-0000-0000-000020CE0000}"/>
    <cellStyle name="Normal 2 4 6 20 3 4 2" xfId="56647" xr:uid="{00000000-0005-0000-0000-000021CE0000}"/>
    <cellStyle name="Normal 2 4 6 20 3 5" xfId="22049" xr:uid="{00000000-0005-0000-0000-000022CE0000}"/>
    <cellStyle name="Normal 2 4 6 20 3 5 2" xfId="56648" xr:uid="{00000000-0005-0000-0000-000023CE0000}"/>
    <cellStyle name="Normal 2 4 6 20 3 6" xfId="56649" xr:uid="{00000000-0005-0000-0000-000024CE0000}"/>
    <cellStyle name="Normal 2 4 6 20 3 6 2" xfId="56650" xr:uid="{00000000-0005-0000-0000-000025CE0000}"/>
    <cellStyle name="Normal 2 4 6 20 3 7" xfId="56651" xr:uid="{00000000-0005-0000-0000-000026CE0000}"/>
    <cellStyle name="Normal 2 4 6 20 4" xfId="22050" xr:uid="{00000000-0005-0000-0000-000027CE0000}"/>
    <cellStyle name="Normal 2 4 6 20 4 2" xfId="22051" xr:uid="{00000000-0005-0000-0000-000028CE0000}"/>
    <cellStyle name="Normal 2 4 6 20 4 2 2" xfId="56652" xr:uid="{00000000-0005-0000-0000-000029CE0000}"/>
    <cellStyle name="Normal 2 4 6 20 4 3" xfId="22052" xr:uid="{00000000-0005-0000-0000-00002ACE0000}"/>
    <cellStyle name="Normal 2 4 6 20 4 3 2" xfId="56653" xr:uid="{00000000-0005-0000-0000-00002BCE0000}"/>
    <cellStyle name="Normal 2 4 6 20 4 4" xfId="56654" xr:uid="{00000000-0005-0000-0000-00002CCE0000}"/>
    <cellStyle name="Normal 2 4 6 20 5" xfId="22053" xr:uid="{00000000-0005-0000-0000-00002DCE0000}"/>
    <cellStyle name="Normal 2 4 6 20 5 2" xfId="22054" xr:uid="{00000000-0005-0000-0000-00002ECE0000}"/>
    <cellStyle name="Normal 2 4 6 20 5 2 2" xfId="56655" xr:uid="{00000000-0005-0000-0000-00002FCE0000}"/>
    <cellStyle name="Normal 2 4 6 20 5 3" xfId="56656" xr:uid="{00000000-0005-0000-0000-000030CE0000}"/>
    <cellStyle name="Normal 2 4 6 20 6" xfId="22055" xr:uid="{00000000-0005-0000-0000-000031CE0000}"/>
    <cellStyle name="Normal 2 4 6 20 6 2" xfId="56657" xr:uid="{00000000-0005-0000-0000-000032CE0000}"/>
    <cellStyle name="Normal 2 4 6 20 7" xfId="22056" xr:uid="{00000000-0005-0000-0000-000033CE0000}"/>
    <cellStyle name="Normal 2 4 6 20 7 2" xfId="56658" xr:uid="{00000000-0005-0000-0000-000034CE0000}"/>
    <cellStyle name="Normal 2 4 6 20 8" xfId="56659" xr:uid="{00000000-0005-0000-0000-000035CE0000}"/>
    <cellStyle name="Normal 2 4 6 20 8 2" xfId="56660" xr:uid="{00000000-0005-0000-0000-000036CE0000}"/>
    <cellStyle name="Normal 2 4 6 20 9" xfId="56661" xr:uid="{00000000-0005-0000-0000-000037CE0000}"/>
    <cellStyle name="Normal 2 4 6 21" xfId="22057" xr:uid="{00000000-0005-0000-0000-000038CE0000}"/>
    <cellStyle name="Normal 2 4 6 21 10" xfId="56662" xr:uid="{00000000-0005-0000-0000-000039CE0000}"/>
    <cellStyle name="Normal 2 4 6 21 11" xfId="56663" xr:uid="{00000000-0005-0000-0000-00003ACE0000}"/>
    <cellStyle name="Normal 2 4 6 21 2" xfId="22058" xr:uid="{00000000-0005-0000-0000-00003BCE0000}"/>
    <cellStyle name="Normal 2 4 6 21 2 10" xfId="56664" xr:uid="{00000000-0005-0000-0000-00003CCE0000}"/>
    <cellStyle name="Normal 2 4 6 21 2 2" xfId="22059" xr:uid="{00000000-0005-0000-0000-00003DCE0000}"/>
    <cellStyle name="Normal 2 4 6 21 2 2 2" xfId="22060" xr:uid="{00000000-0005-0000-0000-00003ECE0000}"/>
    <cellStyle name="Normal 2 4 6 21 2 2 2 2" xfId="22061" xr:uid="{00000000-0005-0000-0000-00003FCE0000}"/>
    <cellStyle name="Normal 2 4 6 21 2 2 2 2 2" xfId="56665" xr:uid="{00000000-0005-0000-0000-000040CE0000}"/>
    <cellStyle name="Normal 2 4 6 21 2 2 2 3" xfId="22062" xr:uid="{00000000-0005-0000-0000-000041CE0000}"/>
    <cellStyle name="Normal 2 4 6 21 2 2 2 3 2" xfId="56666" xr:uid="{00000000-0005-0000-0000-000042CE0000}"/>
    <cellStyle name="Normal 2 4 6 21 2 2 2 4" xfId="56667" xr:uid="{00000000-0005-0000-0000-000043CE0000}"/>
    <cellStyle name="Normal 2 4 6 21 2 2 3" xfId="22063" xr:uid="{00000000-0005-0000-0000-000044CE0000}"/>
    <cellStyle name="Normal 2 4 6 21 2 2 3 2" xfId="56668" xr:uid="{00000000-0005-0000-0000-000045CE0000}"/>
    <cellStyle name="Normal 2 4 6 21 2 2 4" xfId="22064" xr:uid="{00000000-0005-0000-0000-000046CE0000}"/>
    <cellStyle name="Normal 2 4 6 21 2 2 4 2" xfId="56669" xr:uid="{00000000-0005-0000-0000-000047CE0000}"/>
    <cellStyle name="Normal 2 4 6 21 2 2 5" xfId="22065" xr:uid="{00000000-0005-0000-0000-000048CE0000}"/>
    <cellStyle name="Normal 2 4 6 21 2 2 5 2" xfId="56670" xr:uid="{00000000-0005-0000-0000-000049CE0000}"/>
    <cellStyle name="Normal 2 4 6 21 2 2 6" xfId="56671" xr:uid="{00000000-0005-0000-0000-00004ACE0000}"/>
    <cellStyle name="Normal 2 4 6 21 2 2 6 2" xfId="56672" xr:uid="{00000000-0005-0000-0000-00004BCE0000}"/>
    <cellStyle name="Normal 2 4 6 21 2 2 7" xfId="56673" xr:uid="{00000000-0005-0000-0000-00004CCE0000}"/>
    <cellStyle name="Normal 2 4 6 21 2 3" xfId="22066" xr:uid="{00000000-0005-0000-0000-00004DCE0000}"/>
    <cellStyle name="Normal 2 4 6 21 2 3 2" xfId="22067" xr:uid="{00000000-0005-0000-0000-00004ECE0000}"/>
    <cellStyle name="Normal 2 4 6 21 2 3 2 2" xfId="56674" xr:uid="{00000000-0005-0000-0000-00004FCE0000}"/>
    <cellStyle name="Normal 2 4 6 21 2 3 3" xfId="22068" xr:uid="{00000000-0005-0000-0000-000050CE0000}"/>
    <cellStyle name="Normal 2 4 6 21 2 3 3 2" xfId="56675" xr:uid="{00000000-0005-0000-0000-000051CE0000}"/>
    <cellStyle name="Normal 2 4 6 21 2 3 4" xfId="56676" xr:uid="{00000000-0005-0000-0000-000052CE0000}"/>
    <cellStyle name="Normal 2 4 6 21 2 4" xfId="22069" xr:uid="{00000000-0005-0000-0000-000053CE0000}"/>
    <cellStyle name="Normal 2 4 6 21 2 4 2" xfId="22070" xr:uid="{00000000-0005-0000-0000-000054CE0000}"/>
    <cellStyle name="Normal 2 4 6 21 2 4 2 2" xfId="56677" xr:uid="{00000000-0005-0000-0000-000055CE0000}"/>
    <cellStyle name="Normal 2 4 6 21 2 4 3" xfId="56678" xr:uid="{00000000-0005-0000-0000-000056CE0000}"/>
    <cellStyle name="Normal 2 4 6 21 2 5" xfId="22071" xr:uid="{00000000-0005-0000-0000-000057CE0000}"/>
    <cellStyle name="Normal 2 4 6 21 2 5 2" xfId="56679" xr:uid="{00000000-0005-0000-0000-000058CE0000}"/>
    <cellStyle name="Normal 2 4 6 21 2 6" xfId="22072" xr:uid="{00000000-0005-0000-0000-000059CE0000}"/>
    <cellStyle name="Normal 2 4 6 21 2 6 2" xfId="56680" xr:uid="{00000000-0005-0000-0000-00005ACE0000}"/>
    <cellStyle name="Normal 2 4 6 21 2 7" xfId="56681" xr:uid="{00000000-0005-0000-0000-00005BCE0000}"/>
    <cellStyle name="Normal 2 4 6 21 2 7 2" xfId="56682" xr:uid="{00000000-0005-0000-0000-00005CCE0000}"/>
    <cellStyle name="Normal 2 4 6 21 2 8" xfId="56683" xr:uid="{00000000-0005-0000-0000-00005DCE0000}"/>
    <cellStyle name="Normal 2 4 6 21 2 9" xfId="56684" xr:uid="{00000000-0005-0000-0000-00005ECE0000}"/>
    <cellStyle name="Normal 2 4 6 21 3" xfId="22073" xr:uid="{00000000-0005-0000-0000-00005FCE0000}"/>
    <cellStyle name="Normal 2 4 6 21 3 2" xfId="22074" xr:uid="{00000000-0005-0000-0000-000060CE0000}"/>
    <cellStyle name="Normal 2 4 6 21 3 2 2" xfId="22075" xr:uid="{00000000-0005-0000-0000-000061CE0000}"/>
    <cellStyle name="Normal 2 4 6 21 3 2 2 2" xfId="56685" xr:uid="{00000000-0005-0000-0000-000062CE0000}"/>
    <cellStyle name="Normal 2 4 6 21 3 2 3" xfId="22076" xr:uid="{00000000-0005-0000-0000-000063CE0000}"/>
    <cellStyle name="Normal 2 4 6 21 3 2 3 2" xfId="56686" xr:uid="{00000000-0005-0000-0000-000064CE0000}"/>
    <cellStyle name="Normal 2 4 6 21 3 2 4" xfId="56687" xr:uid="{00000000-0005-0000-0000-000065CE0000}"/>
    <cellStyle name="Normal 2 4 6 21 3 3" xfId="22077" xr:uid="{00000000-0005-0000-0000-000066CE0000}"/>
    <cellStyle name="Normal 2 4 6 21 3 3 2" xfId="56688" xr:uid="{00000000-0005-0000-0000-000067CE0000}"/>
    <cellStyle name="Normal 2 4 6 21 3 4" xfId="22078" xr:uid="{00000000-0005-0000-0000-000068CE0000}"/>
    <cellStyle name="Normal 2 4 6 21 3 4 2" xfId="56689" xr:uid="{00000000-0005-0000-0000-000069CE0000}"/>
    <cellStyle name="Normal 2 4 6 21 3 5" xfId="22079" xr:uid="{00000000-0005-0000-0000-00006ACE0000}"/>
    <cellStyle name="Normal 2 4 6 21 3 5 2" xfId="56690" xr:uid="{00000000-0005-0000-0000-00006BCE0000}"/>
    <cellStyle name="Normal 2 4 6 21 3 6" xfId="56691" xr:uid="{00000000-0005-0000-0000-00006CCE0000}"/>
    <cellStyle name="Normal 2 4 6 21 3 6 2" xfId="56692" xr:uid="{00000000-0005-0000-0000-00006DCE0000}"/>
    <cellStyle name="Normal 2 4 6 21 3 7" xfId="56693" xr:uid="{00000000-0005-0000-0000-00006ECE0000}"/>
    <cellStyle name="Normal 2 4 6 21 4" xfId="22080" xr:uid="{00000000-0005-0000-0000-00006FCE0000}"/>
    <cellStyle name="Normal 2 4 6 21 4 2" xfId="22081" xr:uid="{00000000-0005-0000-0000-000070CE0000}"/>
    <cellStyle name="Normal 2 4 6 21 4 2 2" xfId="56694" xr:uid="{00000000-0005-0000-0000-000071CE0000}"/>
    <cellStyle name="Normal 2 4 6 21 4 3" xfId="22082" xr:uid="{00000000-0005-0000-0000-000072CE0000}"/>
    <cellStyle name="Normal 2 4 6 21 4 3 2" xfId="56695" xr:uid="{00000000-0005-0000-0000-000073CE0000}"/>
    <cellStyle name="Normal 2 4 6 21 4 4" xfId="56696" xr:uid="{00000000-0005-0000-0000-000074CE0000}"/>
    <cellStyle name="Normal 2 4 6 21 5" xfId="22083" xr:uid="{00000000-0005-0000-0000-000075CE0000}"/>
    <cellStyle name="Normal 2 4 6 21 5 2" xfId="22084" xr:uid="{00000000-0005-0000-0000-000076CE0000}"/>
    <cellStyle name="Normal 2 4 6 21 5 2 2" xfId="56697" xr:uid="{00000000-0005-0000-0000-000077CE0000}"/>
    <cellStyle name="Normal 2 4 6 21 5 3" xfId="56698" xr:uid="{00000000-0005-0000-0000-000078CE0000}"/>
    <cellStyle name="Normal 2 4 6 21 6" xfId="22085" xr:uid="{00000000-0005-0000-0000-000079CE0000}"/>
    <cellStyle name="Normal 2 4 6 21 6 2" xfId="56699" xr:uid="{00000000-0005-0000-0000-00007ACE0000}"/>
    <cellStyle name="Normal 2 4 6 21 7" xfId="22086" xr:uid="{00000000-0005-0000-0000-00007BCE0000}"/>
    <cellStyle name="Normal 2 4 6 21 7 2" xfId="56700" xr:uid="{00000000-0005-0000-0000-00007CCE0000}"/>
    <cellStyle name="Normal 2 4 6 21 8" xfId="56701" xr:uid="{00000000-0005-0000-0000-00007DCE0000}"/>
    <cellStyle name="Normal 2 4 6 21 8 2" xfId="56702" xr:uid="{00000000-0005-0000-0000-00007ECE0000}"/>
    <cellStyle name="Normal 2 4 6 21 9" xfId="56703" xr:uid="{00000000-0005-0000-0000-00007FCE0000}"/>
    <cellStyle name="Normal 2 4 6 22" xfId="22087" xr:uid="{00000000-0005-0000-0000-000080CE0000}"/>
    <cellStyle name="Normal 2 4 6 22 10" xfId="56704" xr:uid="{00000000-0005-0000-0000-000081CE0000}"/>
    <cellStyle name="Normal 2 4 6 22 11" xfId="56705" xr:uid="{00000000-0005-0000-0000-000082CE0000}"/>
    <cellStyle name="Normal 2 4 6 22 2" xfId="22088" xr:uid="{00000000-0005-0000-0000-000083CE0000}"/>
    <cellStyle name="Normal 2 4 6 22 2 10" xfId="56706" xr:uid="{00000000-0005-0000-0000-000084CE0000}"/>
    <cellStyle name="Normal 2 4 6 22 2 2" xfId="22089" xr:uid="{00000000-0005-0000-0000-000085CE0000}"/>
    <cellStyle name="Normal 2 4 6 22 2 2 2" xfId="22090" xr:uid="{00000000-0005-0000-0000-000086CE0000}"/>
    <cellStyle name="Normal 2 4 6 22 2 2 2 2" xfId="22091" xr:uid="{00000000-0005-0000-0000-000087CE0000}"/>
    <cellStyle name="Normal 2 4 6 22 2 2 2 2 2" xfId="56707" xr:uid="{00000000-0005-0000-0000-000088CE0000}"/>
    <cellStyle name="Normal 2 4 6 22 2 2 2 3" xfId="22092" xr:uid="{00000000-0005-0000-0000-000089CE0000}"/>
    <cellStyle name="Normal 2 4 6 22 2 2 2 3 2" xfId="56708" xr:uid="{00000000-0005-0000-0000-00008ACE0000}"/>
    <cellStyle name="Normal 2 4 6 22 2 2 2 4" xfId="56709" xr:uid="{00000000-0005-0000-0000-00008BCE0000}"/>
    <cellStyle name="Normal 2 4 6 22 2 2 3" xfId="22093" xr:uid="{00000000-0005-0000-0000-00008CCE0000}"/>
    <cellStyle name="Normal 2 4 6 22 2 2 3 2" xfId="56710" xr:uid="{00000000-0005-0000-0000-00008DCE0000}"/>
    <cellStyle name="Normal 2 4 6 22 2 2 4" xfId="22094" xr:uid="{00000000-0005-0000-0000-00008ECE0000}"/>
    <cellStyle name="Normal 2 4 6 22 2 2 4 2" xfId="56711" xr:uid="{00000000-0005-0000-0000-00008FCE0000}"/>
    <cellStyle name="Normal 2 4 6 22 2 2 5" xfId="22095" xr:uid="{00000000-0005-0000-0000-000090CE0000}"/>
    <cellStyle name="Normal 2 4 6 22 2 2 5 2" xfId="56712" xr:uid="{00000000-0005-0000-0000-000091CE0000}"/>
    <cellStyle name="Normal 2 4 6 22 2 2 6" xfId="56713" xr:uid="{00000000-0005-0000-0000-000092CE0000}"/>
    <cellStyle name="Normal 2 4 6 22 2 2 6 2" xfId="56714" xr:uid="{00000000-0005-0000-0000-000093CE0000}"/>
    <cellStyle name="Normal 2 4 6 22 2 2 7" xfId="56715" xr:uid="{00000000-0005-0000-0000-000094CE0000}"/>
    <cellStyle name="Normal 2 4 6 22 2 3" xfId="22096" xr:uid="{00000000-0005-0000-0000-000095CE0000}"/>
    <cellStyle name="Normal 2 4 6 22 2 3 2" xfId="22097" xr:uid="{00000000-0005-0000-0000-000096CE0000}"/>
    <cellStyle name="Normal 2 4 6 22 2 3 2 2" xfId="56716" xr:uid="{00000000-0005-0000-0000-000097CE0000}"/>
    <cellStyle name="Normal 2 4 6 22 2 3 3" xfId="22098" xr:uid="{00000000-0005-0000-0000-000098CE0000}"/>
    <cellStyle name="Normal 2 4 6 22 2 3 3 2" xfId="56717" xr:uid="{00000000-0005-0000-0000-000099CE0000}"/>
    <cellStyle name="Normal 2 4 6 22 2 3 4" xfId="56718" xr:uid="{00000000-0005-0000-0000-00009ACE0000}"/>
    <cellStyle name="Normal 2 4 6 22 2 4" xfId="22099" xr:uid="{00000000-0005-0000-0000-00009BCE0000}"/>
    <cellStyle name="Normal 2 4 6 22 2 4 2" xfId="22100" xr:uid="{00000000-0005-0000-0000-00009CCE0000}"/>
    <cellStyle name="Normal 2 4 6 22 2 4 2 2" xfId="56719" xr:uid="{00000000-0005-0000-0000-00009DCE0000}"/>
    <cellStyle name="Normal 2 4 6 22 2 4 3" xfId="56720" xr:uid="{00000000-0005-0000-0000-00009ECE0000}"/>
    <cellStyle name="Normal 2 4 6 22 2 5" xfId="22101" xr:uid="{00000000-0005-0000-0000-00009FCE0000}"/>
    <cellStyle name="Normal 2 4 6 22 2 5 2" xfId="56721" xr:uid="{00000000-0005-0000-0000-0000A0CE0000}"/>
    <cellStyle name="Normal 2 4 6 22 2 6" xfId="22102" xr:uid="{00000000-0005-0000-0000-0000A1CE0000}"/>
    <cellStyle name="Normal 2 4 6 22 2 6 2" xfId="56722" xr:uid="{00000000-0005-0000-0000-0000A2CE0000}"/>
    <cellStyle name="Normal 2 4 6 22 2 7" xfId="56723" xr:uid="{00000000-0005-0000-0000-0000A3CE0000}"/>
    <cellStyle name="Normal 2 4 6 22 2 7 2" xfId="56724" xr:uid="{00000000-0005-0000-0000-0000A4CE0000}"/>
    <cellStyle name="Normal 2 4 6 22 2 8" xfId="56725" xr:uid="{00000000-0005-0000-0000-0000A5CE0000}"/>
    <cellStyle name="Normal 2 4 6 22 2 9" xfId="56726" xr:uid="{00000000-0005-0000-0000-0000A6CE0000}"/>
    <cellStyle name="Normal 2 4 6 22 3" xfId="22103" xr:uid="{00000000-0005-0000-0000-0000A7CE0000}"/>
    <cellStyle name="Normal 2 4 6 22 3 2" xfId="22104" xr:uid="{00000000-0005-0000-0000-0000A8CE0000}"/>
    <cellStyle name="Normal 2 4 6 22 3 2 2" xfId="22105" xr:uid="{00000000-0005-0000-0000-0000A9CE0000}"/>
    <cellStyle name="Normal 2 4 6 22 3 2 2 2" xfId="56727" xr:uid="{00000000-0005-0000-0000-0000AACE0000}"/>
    <cellStyle name="Normal 2 4 6 22 3 2 3" xfId="22106" xr:uid="{00000000-0005-0000-0000-0000ABCE0000}"/>
    <cellStyle name="Normal 2 4 6 22 3 2 3 2" xfId="56728" xr:uid="{00000000-0005-0000-0000-0000ACCE0000}"/>
    <cellStyle name="Normal 2 4 6 22 3 2 4" xfId="56729" xr:uid="{00000000-0005-0000-0000-0000ADCE0000}"/>
    <cellStyle name="Normal 2 4 6 22 3 3" xfId="22107" xr:uid="{00000000-0005-0000-0000-0000AECE0000}"/>
    <cellStyle name="Normal 2 4 6 22 3 3 2" xfId="56730" xr:uid="{00000000-0005-0000-0000-0000AFCE0000}"/>
    <cellStyle name="Normal 2 4 6 22 3 4" xfId="22108" xr:uid="{00000000-0005-0000-0000-0000B0CE0000}"/>
    <cellStyle name="Normal 2 4 6 22 3 4 2" xfId="56731" xr:uid="{00000000-0005-0000-0000-0000B1CE0000}"/>
    <cellStyle name="Normal 2 4 6 22 3 5" xfId="22109" xr:uid="{00000000-0005-0000-0000-0000B2CE0000}"/>
    <cellStyle name="Normal 2 4 6 22 3 5 2" xfId="56732" xr:uid="{00000000-0005-0000-0000-0000B3CE0000}"/>
    <cellStyle name="Normal 2 4 6 22 3 6" xfId="56733" xr:uid="{00000000-0005-0000-0000-0000B4CE0000}"/>
    <cellStyle name="Normal 2 4 6 22 3 6 2" xfId="56734" xr:uid="{00000000-0005-0000-0000-0000B5CE0000}"/>
    <cellStyle name="Normal 2 4 6 22 3 7" xfId="56735" xr:uid="{00000000-0005-0000-0000-0000B6CE0000}"/>
    <cellStyle name="Normal 2 4 6 22 4" xfId="22110" xr:uid="{00000000-0005-0000-0000-0000B7CE0000}"/>
    <cellStyle name="Normal 2 4 6 22 4 2" xfId="22111" xr:uid="{00000000-0005-0000-0000-0000B8CE0000}"/>
    <cellStyle name="Normal 2 4 6 22 4 2 2" xfId="56736" xr:uid="{00000000-0005-0000-0000-0000B9CE0000}"/>
    <cellStyle name="Normal 2 4 6 22 4 3" xfId="22112" xr:uid="{00000000-0005-0000-0000-0000BACE0000}"/>
    <cellStyle name="Normal 2 4 6 22 4 3 2" xfId="56737" xr:uid="{00000000-0005-0000-0000-0000BBCE0000}"/>
    <cellStyle name="Normal 2 4 6 22 4 4" xfId="56738" xr:uid="{00000000-0005-0000-0000-0000BCCE0000}"/>
    <cellStyle name="Normal 2 4 6 22 5" xfId="22113" xr:uid="{00000000-0005-0000-0000-0000BDCE0000}"/>
    <cellStyle name="Normal 2 4 6 22 5 2" xfId="22114" xr:uid="{00000000-0005-0000-0000-0000BECE0000}"/>
    <cellStyle name="Normal 2 4 6 22 5 2 2" xfId="56739" xr:uid="{00000000-0005-0000-0000-0000BFCE0000}"/>
    <cellStyle name="Normal 2 4 6 22 5 3" xfId="56740" xr:uid="{00000000-0005-0000-0000-0000C0CE0000}"/>
    <cellStyle name="Normal 2 4 6 22 6" xfId="22115" xr:uid="{00000000-0005-0000-0000-0000C1CE0000}"/>
    <cellStyle name="Normal 2 4 6 22 6 2" xfId="56741" xr:uid="{00000000-0005-0000-0000-0000C2CE0000}"/>
    <cellStyle name="Normal 2 4 6 22 7" xfId="22116" xr:uid="{00000000-0005-0000-0000-0000C3CE0000}"/>
    <cellStyle name="Normal 2 4 6 22 7 2" xfId="56742" xr:uid="{00000000-0005-0000-0000-0000C4CE0000}"/>
    <cellStyle name="Normal 2 4 6 22 8" xfId="56743" xr:uid="{00000000-0005-0000-0000-0000C5CE0000}"/>
    <cellStyle name="Normal 2 4 6 22 8 2" xfId="56744" xr:uid="{00000000-0005-0000-0000-0000C6CE0000}"/>
    <cellStyle name="Normal 2 4 6 22 9" xfId="56745" xr:uid="{00000000-0005-0000-0000-0000C7CE0000}"/>
    <cellStyle name="Normal 2 4 6 23" xfId="22117" xr:uid="{00000000-0005-0000-0000-0000C8CE0000}"/>
    <cellStyle name="Normal 2 4 6 23 10" xfId="56746" xr:uid="{00000000-0005-0000-0000-0000C9CE0000}"/>
    <cellStyle name="Normal 2 4 6 23 11" xfId="56747" xr:uid="{00000000-0005-0000-0000-0000CACE0000}"/>
    <cellStyle name="Normal 2 4 6 23 2" xfId="22118" xr:uid="{00000000-0005-0000-0000-0000CBCE0000}"/>
    <cellStyle name="Normal 2 4 6 23 2 10" xfId="56748" xr:uid="{00000000-0005-0000-0000-0000CCCE0000}"/>
    <cellStyle name="Normal 2 4 6 23 2 2" xfId="22119" xr:uid="{00000000-0005-0000-0000-0000CDCE0000}"/>
    <cellStyle name="Normal 2 4 6 23 2 2 2" xfId="22120" xr:uid="{00000000-0005-0000-0000-0000CECE0000}"/>
    <cellStyle name="Normal 2 4 6 23 2 2 2 2" xfId="22121" xr:uid="{00000000-0005-0000-0000-0000CFCE0000}"/>
    <cellStyle name="Normal 2 4 6 23 2 2 2 2 2" xfId="56749" xr:uid="{00000000-0005-0000-0000-0000D0CE0000}"/>
    <cellStyle name="Normal 2 4 6 23 2 2 2 3" xfId="22122" xr:uid="{00000000-0005-0000-0000-0000D1CE0000}"/>
    <cellStyle name="Normal 2 4 6 23 2 2 2 3 2" xfId="56750" xr:uid="{00000000-0005-0000-0000-0000D2CE0000}"/>
    <cellStyle name="Normal 2 4 6 23 2 2 2 4" xfId="56751" xr:uid="{00000000-0005-0000-0000-0000D3CE0000}"/>
    <cellStyle name="Normal 2 4 6 23 2 2 3" xfId="22123" xr:uid="{00000000-0005-0000-0000-0000D4CE0000}"/>
    <cellStyle name="Normal 2 4 6 23 2 2 3 2" xfId="56752" xr:uid="{00000000-0005-0000-0000-0000D5CE0000}"/>
    <cellStyle name="Normal 2 4 6 23 2 2 4" xfId="22124" xr:uid="{00000000-0005-0000-0000-0000D6CE0000}"/>
    <cellStyle name="Normal 2 4 6 23 2 2 4 2" xfId="56753" xr:uid="{00000000-0005-0000-0000-0000D7CE0000}"/>
    <cellStyle name="Normal 2 4 6 23 2 2 5" xfId="22125" xr:uid="{00000000-0005-0000-0000-0000D8CE0000}"/>
    <cellStyle name="Normal 2 4 6 23 2 2 5 2" xfId="56754" xr:uid="{00000000-0005-0000-0000-0000D9CE0000}"/>
    <cellStyle name="Normal 2 4 6 23 2 2 6" xfId="56755" xr:uid="{00000000-0005-0000-0000-0000DACE0000}"/>
    <cellStyle name="Normal 2 4 6 23 2 2 6 2" xfId="56756" xr:uid="{00000000-0005-0000-0000-0000DBCE0000}"/>
    <cellStyle name="Normal 2 4 6 23 2 2 7" xfId="56757" xr:uid="{00000000-0005-0000-0000-0000DCCE0000}"/>
    <cellStyle name="Normal 2 4 6 23 2 3" xfId="22126" xr:uid="{00000000-0005-0000-0000-0000DDCE0000}"/>
    <cellStyle name="Normal 2 4 6 23 2 3 2" xfId="22127" xr:uid="{00000000-0005-0000-0000-0000DECE0000}"/>
    <cellStyle name="Normal 2 4 6 23 2 3 2 2" xfId="56758" xr:uid="{00000000-0005-0000-0000-0000DFCE0000}"/>
    <cellStyle name="Normal 2 4 6 23 2 3 3" xfId="22128" xr:uid="{00000000-0005-0000-0000-0000E0CE0000}"/>
    <cellStyle name="Normal 2 4 6 23 2 3 3 2" xfId="56759" xr:uid="{00000000-0005-0000-0000-0000E1CE0000}"/>
    <cellStyle name="Normal 2 4 6 23 2 3 4" xfId="56760" xr:uid="{00000000-0005-0000-0000-0000E2CE0000}"/>
    <cellStyle name="Normal 2 4 6 23 2 4" xfId="22129" xr:uid="{00000000-0005-0000-0000-0000E3CE0000}"/>
    <cellStyle name="Normal 2 4 6 23 2 4 2" xfId="22130" xr:uid="{00000000-0005-0000-0000-0000E4CE0000}"/>
    <cellStyle name="Normal 2 4 6 23 2 4 2 2" xfId="56761" xr:uid="{00000000-0005-0000-0000-0000E5CE0000}"/>
    <cellStyle name="Normal 2 4 6 23 2 4 3" xfId="56762" xr:uid="{00000000-0005-0000-0000-0000E6CE0000}"/>
    <cellStyle name="Normal 2 4 6 23 2 5" xfId="22131" xr:uid="{00000000-0005-0000-0000-0000E7CE0000}"/>
    <cellStyle name="Normal 2 4 6 23 2 5 2" xfId="56763" xr:uid="{00000000-0005-0000-0000-0000E8CE0000}"/>
    <cellStyle name="Normal 2 4 6 23 2 6" xfId="22132" xr:uid="{00000000-0005-0000-0000-0000E9CE0000}"/>
    <cellStyle name="Normal 2 4 6 23 2 6 2" xfId="56764" xr:uid="{00000000-0005-0000-0000-0000EACE0000}"/>
    <cellStyle name="Normal 2 4 6 23 2 7" xfId="56765" xr:uid="{00000000-0005-0000-0000-0000EBCE0000}"/>
    <cellStyle name="Normal 2 4 6 23 2 7 2" xfId="56766" xr:uid="{00000000-0005-0000-0000-0000ECCE0000}"/>
    <cellStyle name="Normal 2 4 6 23 2 8" xfId="56767" xr:uid="{00000000-0005-0000-0000-0000EDCE0000}"/>
    <cellStyle name="Normal 2 4 6 23 2 9" xfId="56768" xr:uid="{00000000-0005-0000-0000-0000EECE0000}"/>
    <cellStyle name="Normal 2 4 6 23 3" xfId="22133" xr:uid="{00000000-0005-0000-0000-0000EFCE0000}"/>
    <cellStyle name="Normal 2 4 6 23 3 2" xfId="22134" xr:uid="{00000000-0005-0000-0000-0000F0CE0000}"/>
    <cellStyle name="Normal 2 4 6 23 3 2 2" xfId="22135" xr:uid="{00000000-0005-0000-0000-0000F1CE0000}"/>
    <cellStyle name="Normal 2 4 6 23 3 2 2 2" xfId="56769" xr:uid="{00000000-0005-0000-0000-0000F2CE0000}"/>
    <cellStyle name="Normal 2 4 6 23 3 2 3" xfId="22136" xr:uid="{00000000-0005-0000-0000-0000F3CE0000}"/>
    <cellStyle name="Normal 2 4 6 23 3 2 3 2" xfId="56770" xr:uid="{00000000-0005-0000-0000-0000F4CE0000}"/>
    <cellStyle name="Normal 2 4 6 23 3 2 4" xfId="56771" xr:uid="{00000000-0005-0000-0000-0000F5CE0000}"/>
    <cellStyle name="Normal 2 4 6 23 3 3" xfId="22137" xr:uid="{00000000-0005-0000-0000-0000F6CE0000}"/>
    <cellStyle name="Normal 2 4 6 23 3 3 2" xfId="56772" xr:uid="{00000000-0005-0000-0000-0000F7CE0000}"/>
    <cellStyle name="Normal 2 4 6 23 3 4" xfId="22138" xr:uid="{00000000-0005-0000-0000-0000F8CE0000}"/>
    <cellStyle name="Normal 2 4 6 23 3 4 2" xfId="56773" xr:uid="{00000000-0005-0000-0000-0000F9CE0000}"/>
    <cellStyle name="Normal 2 4 6 23 3 5" xfId="22139" xr:uid="{00000000-0005-0000-0000-0000FACE0000}"/>
    <cellStyle name="Normal 2 4 6 23 3 5 2" xfId="56774" xr:uid="{00000000-0005-0000-0000-0000FBCE0000}"/>
    <cellStyle name="Normal 2 4 6 23 3 6" xfId="56775" xr:uid="{00000000-0005-0000-0000-0000FCCE0000}"/>
    <cellStyle name="Normal 2 4 6 23 3 6 2" xfId="56776" xr:uid="{00000000-0005-0000-0000-0000FDCE0000}"/>
    <cellStyle name="Normal 2 4 6 23 3 7" xfId="56777" xr:uid="{00000000-0005-0000-0000-0000FECE0000}"/>
    <cellStyle name="Normal 2 4 6 23 4" xfId="22140" xr:uid="{00000000-0005-0000-0000-0000FFCE0000}"/>
    <cellStyle name="Normal 2 4 6 23 4 2" xfId="22141" xr:uid="{00000000-0005-0000-0000-000000CF0000}"/>
    <cellStyle name="Normal 2 4 6 23 4 2 2" xfId="56778" xr:uid="{00000000-0005-0000-0000-000001CF0000}"/>
    <cellStyle name="Normal 2 4 6 23 4 3" xfId="22142" xr:uid="{00000000-0005-0000-0000-000002CF0000}"/>
    <cellStyle name="Normal 2 4 6 23 4 3 2" xfId="56779" xr:uid="{00000000-0005-0000-0000-000003CF0000}"/>
    <cellStyle name="Normal 2 4 6 23 4 4" xfId="56780" xr:uid="{00000000-0005-0000-0000-000004CF0000}"/>
    <cellStyle name="Normal 2 4 6 23 5" xfId="22143" xr:uid="{00000000-0005-0000-0000-000005CF0000}"/>
    <cellStyle name="Normal 2 4 6 23 5 2" xfId="22144" xr:uid="{00000000-0005-0000-0000-000006CF0000}"/>
    <cellStyle name="Normal 2 4 6 23 5 2 2" xfId="56781" xr:uid="{00000000-0005-0000-0000-000007CF0000}"/>
    <cellStyle name="Normal 2 4 6 23 5 3" xfId="56782" xr:uid="{00000000-0005-0000-0000-000008CF0000}"/>
    <cellStyle name="Normal 2 4 6 23 6" xfId="22145" xr:uid="{00000000-0005-0000-0000-000009CF0000}"/>
    <cellStyle name="Normal 2 4 6 23 6 2" xfId="56783" xr:uid="{00000000-0005-0000-0000-00000ACF0000}"/>
    <cellStyle name="Normal 2 4 6 23 7" xfId="22146" xr:uid="{00000000-0005-0000-0000-00000BCF0000}"/>
    <cellStyle name="Normal 2 4 6 23 7 2" xfId="56784" xr:uid="{00000000-0005-0000-0000-00000CCF0000}"/>
    <cellStyle name="Normal 2 4 6 23 8" xfId="56785" xr:uid="{00000000-0005-0000-0000-00000DCF0000}"/>
    <cellStyle name="Normal 2 4 6 23 8 2" xfId="56786" xr:uid="{00000000-0005-0000-0000-00000ECF0000}"/>
    <cellStyle name="Normal 2 4 6 23 9" xfId="56787" xr:uid="{00000000-0005-0000-0000-00000FCF0000}"/>
    <cellStyle name="Normal 2 4 6 24" xfId="22147" xr:uid="{00000000-0005-0000-0000-000010CF0000}"/>
    <cellStyle name="Normal 2 4 6 24 10" xfId="56788" xr:uid="{00000000-0005-0000-0000-000011CF0000}"/>
    <cellStyle name="Normal 2 4 6 24 11" xfId="56789" xr:uid="{00000000-0005-0000-0000-000012CF0000}"/>
    <cellStyle name="Normal 2 4 6 24 2" xfId="22148" xr:uid="{00000000-0005-0000-0000-000013CF0000}"/>
    <cellStyle name="Normal 2 4 6 24 2 10" xfId="56790" xr:uid="{00000000-0005-0000-0000-000014CF0000}"/>
    <cellStyle name="Normal 2 4 6 24 2 2" xfId="22149" xr:uid="{00000000-0005-0000-0000-000015CF0000}"/>
    <cellStyle name="Normal 2 4 6 24 2 2 2" xfId="22150" xr:uid="{00000000-0005-0000-0000-000016CF0000}"/>
    <cellStyle name="Normal 2 4 6 24 2 2 2 2" xfId="22151" xr:uid="{00000000-0005-0000-0000-000017CF0000}"/>
    <cellStyle name="Normal 2 4 6 24 2 2 2 2 2" xfId="56791" xr:uid="{00000000-0005-0000-0000-000018CF0000}"/>
    <cellStyle name="Normal 2 4 6 24 2 2 2 3" xfId="22152" xr:uid="{00000000-0005-0000-0000-000019CF0000}"/>
    <cellStyle name="Normal 2 4 6 24 2 2 2 3 2" xfId="56792" xr:uid="{00000000-0005-0000-0000-00001ACF0000}"/>
    <cellStyle name="Normal 2 4 6 24 2 2 2 4" xfId="56793" xr:uid="{00000000-0005-0000-0000-00001BCF0000}"/>
    <cellStyle name="Normal 2 4 6 24 2 2 3" xfId="22153" xr:uid="{00000000-0005-0000-0000-00001CCF0000}"/>
    <cellStyle name="Normal 2 4 6 24 2 2 3 2" xfId="56794" xr:uid="{00000000-0005-0000-0000-00001DCF0000}"/>
    <cellStyle name="Normal 2 4 6 24 2 2 4" xfId="22154" xr:uid="{00000000-0005-0000-0000-00001ECF0000}"/>
    <cellStyle name="Normal 2 4 6 24 2 2 4 2" xfId="56795" xr:uid="{00000000-0005-0000-0000-00001FCF0000}"/>
    <cellStyle name="Normal 2 4 6 24 2 2 5" xfId="22155" xr:uid="{00000000-0005-0000-0000-000020CF0000}"/>
    <cellStyle name="Normal 2 4 6 24 2 2 5 2" xfId="56796" xr:uid="{00000000-0005-0000-0000-000021CF0000}"/>
    <cellStyle name="Normal 2 4 6 24 2 2 6" xfId="56797" xr:uid="{00000000-0005-0000-0000-000022CF0000}"/>
    <cellStyle name="Normal 2 4 6 24 2 2 6 2" xfId="56798" xr:uid="{00000000-0005-0000-0000-000023CF0000}"/>
    <cellStyle name="Normal 2 4 6 24 2 2 7" xfId="56799" xr:uid="{00000000-0005-0000-0000-000024CF0000}"/>
    <cellStyle name="Normal 2 4 6 24 2 3" xfId="22156" xr:uid="{00000000-0005-0000-0000-000025CF0000}"/>
    <cellStyle name="Normal 2 4 6 24 2 3 2" xfId="22157" xr:uid="{00000000-0005-0000-0000-000026CF0000}"/>
    <cellStyle name="Normal 2 4 6 24 2 3 2 2" xfId="56800" xr:uid="{00000000-0005-0000-0000-000027CF0000}"/>
    <cellStyle name="Normal 2 4 6 24 2 3 3" xfId="22158" xr:uid="{00000000-0005-0000-0000-000028CF0000}"/>
    <cellStyle name="Normal 2 4 6 24 2 3 3 2" xfId="56801" xr:uid="{00000000-0005-0000-0000-000029CF0000}"/>
    <cellStyle name="Normal 2 4 6 24 2 3 4" xfId="56802" xr:uid="{00000000-0005-0000-0000-00002ACF0000}"/>
    <cellStyle name="Normal 2 4 6 24 2 4" xfId="22159" xr:uid="{00000000-0005-0000-0000-00002BCF0000}"/>
    <cellStyle name="Normal 2 4 6 24 2 4 2" xfId="22160" xr:uid="{00000000-0005-0000-0000-00002CCF0000}"/>
    <cellStyle name="Normal 2 4 6 24 2 4 2 2" xfId="56803" xr:uid="{00000000-0005-0000-0000-00002DCF0000}"/>
    <cellStyle name="Normal 2 4 6 24 2 4 3" xfId="56804" xr:uid="{00000000-0005-0000-0000-00002ECF0000}"/>
    <cellStyle name="Normal 2 4 6 24 2 5" xfId="22161" xr:uid="{00000000-0005-0000-0000-00002FCF0000}"/>
    <cellStyle name="Normal 2 4 6 24 2 5 2" xfId="56805" xr:uid="{00000000-0005-0000-0000-000030CF0000}"/>
    <cellStyle name="Normal 2 4 6 24 2 6" xfId="22162" xr:uid="{00000000-0005-0000-0000-000031CF0000}"/>
    <cellStyle name="Normal 2 4 6 24 2 6 2" xfId="56806" xr:uid="{00000000-0005-0000-0000-000032CF0000}"/>
    <cellStyle name="Normal 2 4 6 24 2 7" xfId="56807" xr:uid="{00000000-0005-0000-0000-000033CF0000}"/>
    <cellStyle name="Normal 2 4 6 24 2 7 2" xfId="56808" xr:uid="{00000000-0005-0000-0000-000034CF0000}"/>
    <cellStyle name="Normal 2 4 6 24 2 8" xfId="56809" xr:uid="{00000000-0005-0000-0000-000035CF0000}"/>
    <cellStyle name="Normal 2 4 6 24 2 9" xfId="56810" xr:uid="{00000000-0005-0000-0000-000036CF0000}"/>
    <cellStyle name="Normal 2 4 6 24 3" xfId="22163" xr:uid="{00000000-0005-0000-0000-000037CF0000}"/>
    <cellStyle name="Normal 2 4 6 24 3 2" xfId="22164" xr:uid="{00000000-0005-0000-0000-000038CF0000}"/>
    <cellStyle name="Normal 2 4 6 24 3 2 2" xfId="22165" xr:uid="{00000000-0005-0000-0000-000039CF0000}"/>
    <cellStyle name="Normal 2 4 6 24 3 2 2 2" xfId="56811" xr:uid="{00000000-0005-0000-0000-00003ACF0000}"/>
    <cellStyle name="Normal 2 4 6 24 3 2 3" xfId="22166" xr:uid="{00000000-0005-0000-0000-00003BCF0000}"/>
    <cellStyle name="Normal 2 4 6 24 3 2 3 2" xfId="56812" xr:uid="{00000000-0005-0000-0000-00003CCF0000}"/>
    <cellStyle name="Normal 2 4 6 24 3 2 4" xfId="56813" xr:uid="{00000000-0005-0000-0000-00003DCF0000}"/>
    <cellStyle name="Normal 2 4 6 24 3 3" xfId="22167" xr:uid="{00000000-0005-0000-0000-00003ECF0000}"/>
    <cellStyle name="Normal 2 4 6 24 3 3 2" xfId="56814" xr:uid="{00000000-0005-0000-0000-00003FCF0000}"/>
    <cellStyle name="Normal 2 4 6 24 3 4" xfId="22168" xr:uid="{00000000-0005-0000-0000-000040CF0000}"/>
    <cellStyle name="Normal 2 4 6 24 3 4 2" xfId="56815" xr:uid="{00000000-0005-0000-0000-000041CF0000}"/>
    <cellStyle name="Normal 2 4 6 24 3 5" xfId="22169" xr:uid="{00000000-0005-0000-0000-000042CF0000}"/>
    <cellStyle name="Normal 2 4 6 24 3 5 2" xfId="56816" xr:uid="{00000000-0005-0000-0000-000043CF0000}"/>
    <cellStyle name="Normal 2 4 6 24 3 6" xfId="56817" xr:uid="{00000000-0005-0000-0000-000044CF0000}"/>
    <cellStyle name="Normal 2 4 6 24 3 6 2" xfId="56818" xr:uid="{00000000-0005-0000-0000-000045CF0000}"/>
    <cellStyle name="Normal 2 4 6 24 3 7" xfId="56819" xr:uid="{00000000-0005-0000-0000-000046CF0000}"/>
    <cellStyle name="Normal 2 4 6 24 4" xfId="22170" xr:uid="{00000000-0005-0000-0000-000047CF0000}"/>
    <cellStyle name="Normal 2 4 6 24 4 2" xfId="22171" xr:uid="{00000000-0005-0000-0000-000048CF0000}"/>
    <cellStyle name="Normal 2 4 6 24 4 2 2" xfId="56820" xr:uid="{00000000-0005-0000-0000-000049CF0000}"/>
    <cellStyle name="Normal 2 4 6 24 4 3" xfId="22172" xr:uid="{00000000-0005-0000-0000-00004ACF0000}"/>
    <cellStyle name="Normal 2 4 6 24 4 3 2" xfId="56821" xr:uid="{00000000-0005-0000-0000-00004BCF0000}"/>
    <cellStyle name="Normal 2 4 6 24 4 4" xfId="56822" xr:uid="{00000000-0005-0000-0000-00004CCF0000}"/>
    <cellStyle name="Normal 2 4 6 24 5" xfId="22173" xr:uid="{00000000-0005-0000-0000-00004DCF0000}"/>
    <cellStyle name="Normal 2 4 6 24 5 2" xfId="22174" xr:uid="{00000000-0005-0000-0000-00004ECF0000}"/>
    <cellStyle name="Normal 2 4 6 24 5 2 2" xfId="56823" xr:uid="{00000000-0005-0000-0000-00004FCF0000}"/>
    <cellStyle name="Normal 2 4 6 24 5 3" xfId="56824" xr:uid="{00000000-0005-0000-0000-000050CF0000}"/>
    <cellStyle name="Normal 2 4 6 24 6" xfId="22175" xr:uid="{00000000-0005-0000-0000-000051CF0000}"/>
    <cellStyle name="Normal 2 4 6 24 6 2" xfId="56825" xr:uid="{00000000-0005-0000-0000-000052CF0000}"/>
    <cellStyle name="Normal 2 4 6 24 7" xfId="22176" xr:uid="{00000000-0005-0000-0000-000053CF0000}"/>
    <cellStyle name="Normal 2 4 6 24 7 2" xfId="56826" xr:uid="{00000000-0005-0000-0000-000054CF0000}"/>
    <cellStyle name="Normal 2 4 6 24 8" xfId="56827" xr:uid="{00000000-0005-0000-0000-000055CF0000}"/>
    <cellStyle name="Normal 2 4 6 24 8 2" xfId="56828" xr:uid="{00000000-0005-0000-0000-000056CF0000}"/>
    <cellStyle name="Normal 2 4 6 24 9" xfId="56829" xr:uid="{00000000-0005-0000-0000-000057CF0000}"/>
    <cellStyle name="Normal 2 4 6 25" xfId="22177" xr:uid="{00000000-0005-0000-0000-000058CF0000}"/>
    <cellStyle name="Normal 2 4 6 25 10" xfId="56830" xr:uid="{00000000-0005-0000-0000-000059CF0000}"/>
    <cellStyle name="Normal 2 4 6 25 11" xfId="56831" xr:uid="{00000000-0005-0000-0000-00005ACF0000}"/>
    <cellStyle name="Normal 2 4 6 25 2" xfId="22178" xr:uid="{00000000-0005-0000-0000-00005BCF0000}"/>
    <cellStyle name="Normal 2 4 6 25 2 10" xfId="56832" xr:uid="{00000000-0005-0000-0000-00005CCF0000}"/>
    <cellStyle name="Normal 2 4 6 25 2 2" xfId="22179" xr:uid="{00000000-0005-0000-0000-00005DCF0000}"/>
    <cellStyle name="Normal 2 4 6 25 2 2 2" xfId="22180" xr:uid="{00000000-0005-0000-0000-00005ECF0000}"/>
    <cellStyle name="Normal 2 4 6 25 2 2 2 2" xfId="22181" xr:uid="{00000000-0005-0000-0000-00005FCF0000}"/>
    <cellStyle name="Normal 2 4 6 25 2 2 2 2 2" xfId="56833" xr:uid="{00000000-0005-0000-0000-000060CF0000}"/>
    <cellStyle name="Normal 2 4 6 25 2 2 2 3" xfId="22182" xr:uid="{00000000-0005-0000-0000-000061CF0000}"/>
    <cellStyle name="Normal 2 4 6 25 2 2 2 3 2" xfId="56834" xr:uid="{00000000-0005-0000-0000-000062CF0000}"/>
    <cellStyle name="Normal 2 4 6 25 2 2 2 4" xfId="56835" xr:uid="{00000000-0005-0000-0000-000063CF0000}"/>
    <cellStyle name="Normal 2 4 6 25 2 2 3" xfId="22183" xr:uid="{00000000-0005-0000-0000-000064CF0000}"/>
    <cellStyle name="Normal 2 4 6 25 2 2 3 2" xfId="56836" xr:uid="{00000000-0005-0000-0000-000065CF0000}"/>
    <cellStyle name="Normal 2 4 6 25 2 2 4" xfId="22184" xr:uid="{00000000-0005-0000-0000-000066CF0000}"/>
    <cellStyle name="Normal 2 4 6 25 2 2 4 2" xfId="56837" xr:uid="{00000000-0005-0000-0000-000067CF0000}"/>
    <cellStyle name="Normal 2 4 6 25 2 2 5" xfId="22185" xr:uid="{00000000-0005-0000-0000-000068CF0000}"/>
    <cellStyle name="Normal 2 4 6 25 2 2 5 2" xfId="56838" xr:uid="{00000000-0005-0000-0000-000069CF0000}"/>
    <cellStyle name="Normal 2 4 6 25 2 2 6" xfId="56839" xr:uid="{00000000-0005-0000-0000-00006ACF0000}"/>
    <cellStyle name="Normal 2 4 6 25 2 2 6 2" xfId="56840" xr:uid="{00000000-0005-0000-0000-00006BCF0000}"/>
    <cellStyle name="Normal 2 4 6 25 2 2 7" xfId="56841" xr:uid="{00000000-0005-0000-0000-00006CCF0000}"/>
    <cellStyle name="Normal 2 4 6 25 2 3" xfId="22186" xr:uid="{00000000-0005-0000-0000-00006DCF0000}"/>
    <cellStyle name="Normal 2 4 6 25 2 3 2" xfId="22187" xr:uid="{00000000-0005-0000-0000-00006ECF0000}"/>
    <cellStyle name="Normal 2 4 6 25 2 3 2 2" xfId="56842" xr:uid="{00000000-0005-0000-0000-00006FCF0000}"/>
    <cellStyle name="Normal 2 4 6 25 2 3 3" xfId="22188" xr:uid="{00000000-0005-0000-0000-000070CF0000}"/>
    <cellStyle name="Normal 2 4 6 25 2 3 3 2" xfId="56843" xr:uid="{00000000-0005-0000-0000-000071CF0000}"/>
    <cellStyle name="Normal 2 4 6 25 2 3 4" xfId="56844" xr:uid="{00000000-0005-0000-0000-000072CF0000}"/>
    <cellStyle name="Normal 2 4 6 25 2 4" xfId="22189" xr:uid="{00000000-0005-0000-0000-000073CF0000}"/>
    <cellStyle name="Normal 2 4 6 25 2 4 2" xfId="22190" xr:uid="{00000000-0005-0000-0000-000074CF0000}"/>
    <cellStyle name="Normal 2 4 6 25 2 4 2 2" xfId="56845" xr:uid="{00000000-0005-0000-0000-000075CF0000}"/>
    <cellStyle name="Normal 2 4 6 25 2 4 3" xfId="56846" xr:uid="{00000000-0005-0000-0000-000076CF0000}"/>
    <cellStyle name="Normal 2 4 6 25 2 5" xfId="22191" xr:uid="{00000000-0005-0000-0000-000077CF0000}"/>
    <cellStyle name="Normal 2 4 6 25 2 5 2" xfId="56847" xr:uid="{00000000-0005-0000-0000-000078CF0000}"/>
    <cellStyle name="Normal 2 4 6 25 2 6" xfId="22192" xr:uid="{00000000-0005-0000-0000-000079CF0000}"/>
    <cellStyle name="Normal 2 4 6 25 2 6 2" xfId="56848" xr:uid="{00000000-0005-0000-0000-00007ACF0000}"/>
    <cellStyle name="Normal 2 4 6 25 2 7" xfId="56849" xr:uid="{00000000-0005-0000-0000-00007BCF0000}"/>
    <cellStyle name="Normal 2 4 6 25 2 7 2" xfId="56850" xr:uid="{00000000-0005-0000-0000-00007CCF0000}"/>
    <cellStyle name="Normal 2 4 6 25 2 8" xfId="56851" xr:uid="{00000000-0005-0000-0000-00007DCF0000}"/>
    <cellStyle name="Normal 2 4 6 25 2 9" xfId="56852" xr:uid="{00000000-0005-0000-0000-00007ECF0000}"/>
    <cellStyle name="Normal 2 4 6 25 3" xfId="22193" xr:uid="{00000000-0005-0000-0000-00007FCF0000}"/>
    <cellStyle name="Normal 2 4 6 25 3 2" xfId="22194" xr:uid="{00000000-0005-0000-0000-000080CF0000}"/>
    <cellStyle name="Normal 2 4 6 25 3 2 2" xfId="22195" xr:uid="{00000000-0005-0000-0000-000081CF0000}"/>
    <cellStyle name="Normal 2 4 6 25 3 2 2 2" xfId="56853" xr:uid="{00000000-0005-0000-0000-000082CF0000}"/>
    <cellStyle name="Normal 2 4 6 25 3 2 3" xfId="22196" xr:uid="{00000000-0005-0000-0000-000083CF0000}"/>
    <cellStyle name="Normal 2 4 6 25 3 2 3 2" xfId="56854" xr:uid="{00000000-0005-0000-0000-000084CF0000}"/>
    <cellStyle name="Normal 2 4 6 25 3 2 4" xfId="56855" xr:uid="{00000000-0005-0000-0000-000085CF0000}"/>
    <cellStyle name="Normal 2 4 6 25 3 3" xfId="22197" xr:uid="{00000000-0005-0000-0000-000086CF0000}"/>
    <cellStyle name="Normal 2 4 6 25 3 3 2" xfId="56856" xr:uid="{00000000-0005-0000-0000-000087CF0000}"/>
    <cellStyle name="Normal 2 4 6 25 3 4" xfId="22198" xr:uid="{00000000-0005-0000-0000-000088CF0000}"/>
    <cellStyle name="Normal 2 4 6 25 3 4 2" xfId="56857" xr:uid="{00000000-0005-0000-0000-000089CF0000}"/>
    <cellStyle name="Normal 2 4 6 25 3 5" xfId="22199" xr:uid="{00000000-0005-0000-0000-00008ACF0000}"/>
    <cellStyle name="Normal 2 4 6 25 3 5 2" xfId="56858" xr:uid="{00000000-0005-0000-0000-00008BCF0000}"/>
    <cellStyle name="Normal 2 4 6 25 3 6" xfId="56859" xr:uid="{00000000-0005-0000-0000-00008CCF0000}"/>
    <cellStyle name="Normal 2 4 6 25 3 6 2" xfId="56860" xr:uid="{00000000-0005-0000-0000-00008DCF0000}"/>
    <cellStyle name="Normal 2 4 6 25 3 7" xfId="56861" xr:uid="{00000000-0005-0000-0000-00008ECF0000}"/>
    <cellStyle name="Normal 2 4 6 25 4" xfId="22200" xr:uid="{00000000-0005-0000-0000-00008FCF0000}"/>
    <cellStyle name="Normal 2 4 6 25 4 2" xfId="22201" xr:uid="{00000000-0005-0000-0000-000090CF0000}"/>
    <cellStyle name="Normal 2 4 6 25 4 2 2" xfId="56862" xr:uid="{00000000-0005-0000-0000-000091CF0000}"/>
    <cellStyle name="Normal 2 4 6 25 4 3" xfId="22202" xr:uid="{00000000-0005-0000-0000-000092CF0000}"/>
    <cellStyle name="Normal 2 4 6 25 4 3 2" xfId="56863" xr:uid="{00000000-0005-0000-0000-000093CF0000}"/>
    <cellStyle name="Normal 2 4 6 25 4 4" xfId="56864" xr:uid="{00000000-0005-0000-0000-000094CF0000}"/>
    <cellStyle name="Normal 2 4 6 25 5" xfId="22203" xr:uid="{00000000-0005-0000-0000-000095CF0000}"/>
    <cellStyle name="Normal 2 4 6 25 5 2" xfId="22204" xr:uid="{00000000-0005-0000-0000-000096CF0000}"/>
    <cellStyle name="Normal 2 4 6 25 5 2 2" xfId="56865" xr:uid="{00000000-0005-0000-0000-000097CF0000}"/>
    <cellStyle name="Normal 2 4 6 25 5 3" xfId="56866" xr:uid="{00000000-0005-0000-0000-000098CF0000}"/>
    <cellStyle name="Normal 2 4 6 25 6" xfId="22205" xr:uid="{00000000-0005-0000-0000-000099CF0000}"/>
    <cellStyle name="Normal 2 4 6 25 6 2" xfId="56867" xr:uid="{00000000-0005-0000-0000-00009ACF0000}"/>
    <cellStyle name="Normal 2 4 6 25 7" xfId="22206" xr:uid="{00000000-0005-0000-0000-00009BCF0000}"/>
    <cellStyle name="Normal 2 4 6 25 7 2" xfId="56868" xr:uid="{00000000-0005-0000-0000-00009CCF0000}"/>
    <cellStyle name="Normal 2 4 6 25 8" xfId="56869" xr:uid="{00000000-0005-0000-0000-00009DCF0000}"/>
    <cellStyle name="Normal 2 4 6 25 8 2" xfId="56870" xr:uid="{00000000-0005-0000-0000-00009ECF0000}"/>
    <cellStyle name="Normal 2 4 6 25 9" xfId="56871" xr:uid="{00000000-0005-0000-0000-00009FCF0000}"/>
    <cellStyle name="Normal 2 4 6 26" xfId="22207" xr:uid="{00000000-0005-0000-0000-0000A0CF0000}"/>
    <cellStyle name="Normal 2 4 6 26 10" xfId="56872" xr:uid="{00000000-0005-0000-0000-0000A1CF0000}"/>
    <cellStyle name="Normal 2 4 6 26 11" xfId="56873" xr:uid="{00000000-0005-0000-0000-0000A2CF0000}"/>
    <cellStyle name="Normal 2 4 6 26 2" xfId="22208" xr:uid="{00000000-0005-0000-0000-0000A3CF0000}"/>
    <cellStyle name="Normal 2 4 6 26 2 10" xfId="56874" xr:uid="{00000000-0005-0000-0000-0000A4CF0000}"/>
    <cellStyle name="Normal 2 4 6 26 2 2" xfId="22209" xr:uid="{00000000-0005-0000-0000-0000A5CF0000}"/>
    <cellStyle name="Normal 2 4 6 26 2 2 2" xfId="22210" xr:uid="{00000000-0005-0000-0000-0000A6CF0000}"/>
    <cellStyle name="Normal 2 4 6 26 2 2 2 2" xfId="22211" xr:uid="{00000000-0005-0000-0000-0000A7CF0000}"/>
    <cellStyle name="Normal 2 4 6 26 2 2 2 2 2" xfId="56875" xr:uid="{00000000-0005-0000-0000-0000A8CF0000}"/>
    <cellStyle name="Normal 2 4 6 26 2 2 2 3" xfId="22212" xr:uid="{00000000-0005-0000-0000-0000A9CF0000}"/>
    <cellStyle name="Normal 2 4 6 26 2 2 2 3 2" xfId="56876" xr:uid="{00000000-0005-0000-0000-0000AACF0000}"/>
    <cellStyle name="Normal 2 4 6 26 2 2 2 4" xfId="56877" xr:uid="{00000000-0005-0000-0000-0000ABCF0000}"/>
    <cellStyle name="Normal 2 4 6 26 2 2 3" xfId="22213" xr:uid="{00000000-0005-0000-0000-0000ACCF0000}"/>
    <cellStyle name="Normal 2 4 6 26 2 2 3 2" xfId="56878" xr:uid="{00000000-0005-0000-0000-0000ADCF0000}"/>
    <cellStyle name="Normal 2 4 6 26 2 2 4" xfId="22214" xr:uid="{00000000-0005-0000-0000-0000AECF0000}"/>
    <cellStyle name="Normal 2 4 6 26 2 2 4 2" xfId="56879" xr:uid="{00000000-0005-0000-0000-0000AFCF0000}"/>
    <cellStyle name="Normal 2 4 6 26 2 2 5" xfId="22215" xr:uid="{00000000-0005-0000-0000-0000B0CF0000}"/>
    <cellStyle name="Normal 2 4 6 26 2 2 5 2" xfId="56880" xr:uid="{00000000-0005-0000-0000-0000B1CF0000}"/>
    <cellStyle name="Normal 2 4 6 26 2 2 6" xfId="56881" xr:uid="{00000000-0005-0000-0000-0000B2CF0000}"/>
    <cellStyle name="Normal 2 4 6 26 2 2 6 2" xfId="56882" xr:uid="{00000000-0005-0000-0000-0000B3CF0000}"/>
    <cellStyle name="Normal 2 4 6 26 2 2 7" xfId="56883" xr:uid="{00000000-0005-0000-0000-0000B4CF0000}"/>
    <cellStyle name="Normal 2 4 6 26 2 3" xfId="22216" xr:uid="{00000000-0005-0000-0000-0000B5CF0000}"/>
    <cellStyle name="Normal 2 4 6 26 2 3 2" xfId="22217" xr:uid="{00000000-0005-0000-0000-0000B6CF0000}"/>
    <cellStyle name="Normal 2 4 6 26 2 3 2 2" xfId="56884" xr:uid="{00000000-0005-0000-0000-0000B7CF0000}"/>
    <cellStyle name="Normal 2 4 6 26 2 3 3" xfId="22218" xr:uid="{00000000-0005-0000-0000-0000B8CF0000}"/>
    <cellStyle name="Normal 2 4 6 26 2 3 3 2" xfId="56885" xr:uid="{00000000-0005-0000-0000-0000B9CF0000}"/>
    <cellStyle name="Normal 2 4 6 26 2 3 4" xfId="56886" xr:uid="{00000000-0005-0000-0000-0000BACF0000}"/>
    <cellStyle name="Normal 2 4 6 26 2 4" xfId="22219" xr:uid="{00000000-0005-0000-0000-0000BBCF0000}"/>
    <cellStyle name="Normal 2 4 6 26 2 4 2" xfId="22220" xr:uid="{00000000-0005-0000-0000-0000BCCF0000}"/>
    <cellStyle name="Normal 2 4 6 26 2 4 2 2" xfId="56887" xr:uid="{00000000-0005-0000-0000-0000BDCF0000}"/>
    <cellStyle name="Normal 2 4 6 26 2 4 3" xfId="56888" xr:uid="{00000000-0005-0000-0000-0000BECF0000}"/>
    <cellStyle name="Normal 2 4 6 26 2 5" xfId="22221" xr:uid="{00000000-0005-0000-0000-0000BFCF0000}"/>
    <cellStyle name="Normal 2 4 6 26 2 5 2" xfId="56889" xr:uid="{00000000-0005-0000-0000-0000C0CF0000}"/>
    <cellStyle name="Normal 2 4 6 26 2 6" xfId="22222" xr:uid="{00000000-0005-0000-0000-0000C1CF0000}"/>
    <cellStyle name="Normal 2 4 6 26 2 6 2" xfId="56890" xr:uid="{00000000-0005-0000-0000-0000C2CF0000}"/>
    <cellStyle name="Normal 2 4 6 26 2 7" xfId="56891" xr:uid="{00000000-0005-0000-0000-0000C3CF0000}"/>
    <cellStyle name="Normal 2 4 6 26 2 7 2" xfId="56892" xr:uid="{00000000-0005-0000-0000-0000C4CF0000}"/>
    <cellStyle name="Normal 2 4 6 26 2 8" xfId="56893" xr:uid="{00000000-0005-0000-0000-0000C5CF0000}"/>
    <cellStyle name="Normal 2 4 6 26 2 9" xfId="56894" xr:uid="{00000000-0005-0000-0000-0000C6CF0000}"/>
    <cellStyle name="Normal 2 4 6 26 3" xfId="22223" xr:uid="{00000000-0005-0000-0000-0000C7CF0000}"/>
    <cellStyle name="Normal 2 4 6 26 3 2" xfId="22224" xr:uid="{00000000-0005-0000-0000-0000C8CF0000}"/>
    <cellStyle name="Normal 2 4 6 26 3 2 2" xfId="22225" xr:uid="{00000000-0005-0000-0000-0000C9CF0000}"/>
    <cellStyle name="Normal 2 4 6 26 3 2 2 2" xfId="56895" xr:uid="{00000000-0005-0000-0000-0000CACF0000}"/>
    <cellStyle name="Normal 2 4 6 26 3 2 3" xfId="22226" xr:uid="{00000000-0005-0000-0000-0000CBCF0000}"/>
    <cellStyle name="Normal 2 4 6 26 3 2 3 2" xfId="56896" xr:uid="{00000000-0005-0000-0000-0000CCCF0000}"/>
    <cellStyle name="Normal 2 4 6 26 3 2 4" xfId="56897" xr:uid="{00000000-0005-0000-0000-0000CDCF0000}"/>
    <cellStyle name="Normal 2 4 6 26 3 3" xfId="22227" xr:uid="{00000000-0005-0000-0000-0000CECF0000}"/>
    <cellStyle name="Normal 2 4 6 26 3 3 2" xfId="56898" xr:uid="{00000000-0005-0000-0000-0000CFCF0000}"/>
    <cellStyle name="Normal 2 4 6 26 3 4" xfId="22228" xr:uid="{00000000-0005-0000-0000-0000D0CF0000}"/>
    <cellStyle name="Normal 2 4 6 26 3 4 2" xfId="56899" xr:uid="{00000000-0005-0000-0000-0000D1CF0000}"/>
    <cellStyle name="Normal 2 4 6 26 3 5" xfId="22229" xr:uid="{00000000-0005-0000-0000-0000D2CF0000}"/>
    <cellStyle name="Normal 2 4 6 26 3 5 2" xfId="56900" xr:uid="{00000000-0005-0000-0000-0000D3CF0000}"/>
    <cellStyle name="Normal 2 4 6 26 3 6" xfId="56901" xr:uid="{00000000-0005-0000-0000-0000D4CF0000}"/>
    <cellStyle name="Normal 2 4 6 26 3 6 2" xfId="56902" xr:uid="{00000000-0005-0000-0000-0000D5CF0000}"/>
    <cellStyle name="Normal 2 4 6 26 3 7" xfId="56903" xr:uid="{00000000-0005-0000-0000-0000D6CF0000}"/>
    <cellStyle name="Normal 2 4 6 26 4" xfId="22230" xr:uid="{00000000-0005-0000-0000-0000D7CF0000}"/>
    <cellStyle name="Normal 2 4 6 26 4 2" xfId="22231" xr:uid="{00000000-0005-0000-0000-0000D8CF0000}"/>
    <cellStyle name="Normal 2 4 6 26 4 2 2" xfId="56904" xr:uid="{00000000-0005-0000-0000-0000D9CF0000}"/>
    <cellStyle name="Normal 2 4 6 26 4 3" xfId="22232" xr:uid="{00000000-0005-0000-0000-0000DACF0000}"/>
    <cellStyle name="Normal 2 4 6 26 4 3 2" xfId="56905" xr:uid="{00000000-0005-0000-0000-0000DBCF0000}"/>
    <cellStyle name="Normal 2 4 6 26 4 4" xfId="56906" xr:uid="{00000000-0005-0000-0000-0000DCCF0000}"/>
    <cellStyle name="Normal 2 4 6 26 5" xfId="22233" xr:uid="{00000000-0005-0000-0000-0000DDCF0000}"/>
    <cellStyle name="Normal 2 4 6 26 5 2" xfId="22234" xr:uid="{00000000-0005-0000-0000-0000DECF0000}"/>
    <cellStyle name="Normal 2 4 6 26 5 2 2" xfId="56907" xr:uid="{00000000-0005-0000-0000-0000DFCF0000}"/>
    <cellStyle name="Normal 2 4 6 26 5 3" xfId="56908" xr:uid="{00000000-0005-0000-0000-0000E0CF0000}"/>
    <cellStyle name="Normal 2 4 6 26 6" xfId="22235" xr:uid="{00000000-0005-0000-0000-0000E1CF0000}"/>
    <cellStyle name="Normal 2 4 6 26 6 2" xfId="56909" xr:uid="{00000000-0005-0000-0000-0000E2CF0000}"/>
    <cellStyle name="Normal 2 4 6 26 7" xfId="22236" xr:uid="{00000000-0005-0000-0000-0000E3CF0000}"/>
    <cellStyle name="Normal 2 4 6 26 7 2" xfId="56910" xr:uid="{00000000-0005-0000-0000-0000E4CF0000}"/>
    <cellStyle name="Normal 2 4 6 26 8" xfId="56911" xr:uid="{00000000-0005-0000-0000-0000E5CF0000}"/>
    <cellStyle name="Normal 2 4 6 26 8 2" xfId="56912" xr:uid="{00000000-0005-0000-0000-0000E6CF0000}"/>
    <cellStyle name="Normal 2 4 6 26 9" xfId="56913" xr:uid="{00000000-0005-0000-0000-0000E7CF0000}"/>
    <cellStyle name="Normal 2 4 6 27" xfId="22237" xr:uid="{00000000-0005-0000-0000-0000E8CF0000}"/>
    <cellStyle name="Normal 2 4 6 27 10" xfId="56914" xr:uid="{00000000-0005-0000-0000-0000E9CF0000}"/>
    <cellStyle name="Normal 2 4 6 27 11" xfId="56915" xr:uid="{00000000-0005-0000-0000-0000EACF0000}"/>
    <cellStyle name="Normal 2 4 6 27 2" xfId="22238" xr:uid="{00000000-0005-0000-0000-0000EBCF0000}"/>
    <cellStyle name="Normal 2 4 6 27 2 10" xfId="56916" xr:uid="{00000000-0005-0000-0000-0000ECCF0000}"/>
    <cellStyle name="Normal 2 4 6 27 2 2" xfId="22239" xr:uid="{00000000-0005-0000-0000-0000EDCF0000}"/>
    <cellStyle name="Normal 2 4 6 27 2 2 2" xfId="22240" xr:uid="{00000000-0005-0000-0000-0000EECF0000}"/>
    <cellStyle name="Normal 2 4 6 27 2 2 2 2" xfId="22241" xr:uid="{00000000-0005-0000-0000-0000EFCF0000}"/>
    <cellStyle name="Normal 2 4 6 27 2 2 2 2 2" xfId="56917" xr:uid="{00000000-0005-0000-0000-0000F0CF0000}"/>
    <cellStyle name="Normal 2 4 6 27 2 2 2 3" xfId="22242" xr:uid="{00000000-0005-0000-0000-0000F1CF0000}"/>
    <cellStyle name="Normal 2 4 6 27 2 2 2 3 2" xfId="56918" xr:uid="{00000000-0005-0000-0000-0000F2CF0000}"/>
    <cellStyle name="Normal 2 4 6 27 2 2 2 4" xfId="56919" xr:uid="{00000000-0005-0000-0000-0000F3CF0000}"/>
    <cellStyle name="Normal 2 4 6 27 2 2 3" xfId="22243" xr:uid="{00000000-0005-0000-0000-0000F4CF0000}"/>
    <cellStyle name="Normal 2 4 6 27 2 2 3 2" xfId="56920" xr:uid="{00000000-0005-0000-0000-0000F5CF0000}"/>
    <cellStyle name="Normal 2 4 6 27 2 2 4" xfId="22244" xr:uid="{00000000-0005-0000-0000-0000F6CF0000}"/>
    <cellStyle name="Normal 2 4 6 27 2 2 4 2" xfId="56921" xr:uid="{00000000-0005-0000-0000-0000F7CF0000}"/>
    <cellStyle name="Normal 2 4 6 27 2 2 5" xfId="22245" xr:uid="{00000000-0005-0000-0000-0000F8CF0000}"/>
    <cellStyle name="Normal 2 4 6 27 2 2 5 2" xfId="56922" xr:uid="{00000000-0005-0000-0000-0000F9CF0000}"/>
    <cellStyle name="Normal 2 4 6 27 2 2 6" xfId="56923" xr:uid="{00000000-0005-0000-0000-0000FACF0000}"/>
    <cellStyle name="Normal 2 4 6 27 2 2 6 2" xfId="56924" xr:uid="{00000000-0005-0000-0000-0000FBCF0000}"/>
    <cellStyle name="Normal 2 4 6 27 2 2 7" xfId="56925" xr:uid="{00000000-0005-0000-0000-0000FCCF0000}"/>
    <cellStyle name="Normal 2 4 6 27 2 3" xfId="22246" xr:uid="{00000000-0005-0000-0000-0000FDCF0000}"/>
    <cellStyle name="Normal 2 4 6 27 2 3 2" xfId="22247" xr:uid="{00000000-0005-0000-0000-0000FECF0000}"/>
    <cellStyle name="Normal 2 4 6 27 2 3 2 2" xfId="56926" xr:uid="{00000000-0005-0000-0000-0000FFCF0000}"/>
    <cellStyle name="Normal 2 4 6 27 2 3 3" xfId="22248" xr:uid="{00000000-0005-0000-0000-000000D00000}"/>
    <cellStyle name="Normal 2 4 6 27 2 3 3 2" xfId="56927" xr:uid="{00000000-0005-0000-0000-000001D00000}"/>
    <cellStyle name="Normal 2 4 6 27 2 3 4" xfId="56928" xr:uid="{00000000-0005-0000-0000-000002D00000}"/>
    <cellStyle name="Normal 2 4 6 27 2 4" xfId="22249" xr:uid="{00000000-0005-0000-0000-000003D00000}"/>
    <cellStyle name="Normal 2 4 6 27 2 4 2" xfId="22250" xr:uid="{00000000-0005-0000-0000-000004D00000}"/>
    <cellStyle name="Normal 2 4 6 27 2 4 2 2" xfId="56929" xr:uid="{00000000-0005-0000-0000-000005D00000}"/>
    <cellStyle name="Normal 2 4 6 27 2 4 3" xfId="56930" xr:uid="{00000000-0005-0000-0000-000006D00000}"/>
    <cellStyle name="Normal 2 4 6 27 2 5" xfId="22251" xr:uid="{00000000-0005-0000-0000-000007D00000}"/>
    <cellStyle name="Normal 2 4 6 27 2 5 2" xfId="56931" xr:uid="{00000000-0005-0000-0000-000008D00000}"/>
    <cellStyle name="Normal 2 4 6 27 2 6" xfId="22252" xr:uid="{00000000-0005-0000-0000-000009D00000}"/>
    <cellStyle name="Normal 2 4 6 27 2 6 2" xfId="56932" xr:uid="{00000000-0005-0000-0000-00000AD00000}"/>
    <cellStyle name="Normal 2 4 6 27 2 7" xfId="56933" xr:uid="{00000000-0005-0000-0000-00000BD00000}"/>
    <cellStyle name="Normal 2 4 6 27 2 7 2" xfId="56934" xr:uid="{00000000-0005-0000-0000-00000CD00000}"/>
    <cellStyle name="Normal 2 4 6 27 2 8" xfId="56935" xr:uid="{00000000-0005-0000-0000-00000DD00000}"/>
    <cellStyle name="Normal 2 4 6 27 2 9" xfId="56936" xr:uid="{00000000-0005-0000-0000-00000ED00000}"/>
    <cellStyle name="Normal 2 4 6 27 3" xfId="22253" xr:uid="{00000000-0005-0000-0000-00000FD00000}"/>
    <cellStyle name="Normal 2 4 6 27 3 2" xfId="22254" xr:uid="{00000000-0005-0000-0000-000010D00000}"/>
    <cellStyle name="Normal 2 4 6 27 3 2 2" xfId="22255" xr:uid="{00000000-0005-0000-0000-000011D00000}"/>
    <cellStyle name="Normal 2 4 6 27 3 2 2 2" xfId="56937" xr:uid="{00000000-0005-0000-0000-000012D00000}"/>
    <cellStyle name="Normal 2 4 6 27 3 2 3" xfId="22256" xr:uid="{00000000-0005-0000-0000-000013D00000}"/>
    <cellStyle name="Normal 2 4 6 27 3 2 3 2" xfId="56938" xr:uid="{00000000-0005-0000-0000-000014D00000}"/>
    <cellStyle name="Normal 2 4 6 27 3 2 4" xfId="56939" xr:uid="{00000000-0005-0000-0000-000015D00000}"/>
    <cellStyle name="Normal 2 4 6 27 3 3" xfId="22257" xr:uid="{00000000-0005-0000-0000-000016D00000}"/>
    <cellStyle name="Normal 2 4 6 27 3 3 2" xfId="56940" xr:uid="{00000000-0005-0000-0000-000017D00000}"/>
    <cellStyle name="Normal 2 4 6 27 3 4" xfId="22258" xr:uid="{00000000-0005-0000-0000-000018D00000}"/>
    <cellStyle name="Normal 2 4 6 27 3 4 2" xfId="56941" xr:uid="{00000000-0005-0000-0000-000019D00000}"/>
    <cellStyle name="Normal 2 4 6 27 3 5" xfId="22259" xr:uid="{00000000-0005-0000-0000-00001AD00000}"/>
    <cellStyle name="Normal 2 4 6 27 3 5 2" xfId="56942" xr:uid="{00000000-0005-0000-0000-00001BD00000}"/>
    <cellStyle name="Normal 2 4 6 27 3 6" xfId="56943" xr:uid="{00000000-0005-0000-0000-00001CD00000}"/>
    <cellStyle name="Normal 2 4 6 27 3 6 2" xfId="56944" xr:uid="{00000000-0005-0000-0000-00001DD00000}"/>
    <cellStyle name="Normal 2 4 6 27 3 7" xfId="56945" xr:uid="{00000000-0005-0000-0000-00001ED00000}"/>
    <cellStyle name="Normal 2 4 6 27 4" xfId="22260" xr:uid="{00000000-0005-0000-0000-00001FD00000}"/>
    <cellStyle name="Normal 2 4 6 27 4 2" xfId="22261" xr:uid="{00000000-0005-0000-0000-000020D00000}"/>
    <cellStyle name="Normal 2 4 6 27 4 2 2" xfId="56946" xr:uid="{00000000-0005-0000-0000-000021D00000}"/>
    <cellStyle name="Normal 2 4 6 27 4 3" xfId="22262" xr:uid="{00000000-0005-0000-0000-000022D00000}"/>
    <cellStyle name="Normal 2 4 6 27 4 3 2" xfId="56947" xr:uid="{00000000-0005-0000-0000-000023D00000}"/>
    <cellStyle name="Normal 2 4 6 27 4 4" xfId="56948" xr:uid="{00000000-0005-0000-0000-000024D00000}"/>
    <cellStyle name="Normal 2 4 6 27 5" xfId="22263" xr:uid="{00000000-0005-0000-0000-000025D00000}"/>
    <cellStyle name="Normal 2 4 6 27 5 2" xfId="22264" xr:uid="{00000000-0005-0000-0000-000026D00000}"/>
    <cellStyle name="Normal 2 4 6 27 5 2 2" xfId="56949" xr:uid="{00000000-0005-0000-0000-000027D00000}"/>
    <cellStyle name="Normal 2 4 6 27 5 3" xfId="56950" xr:uid="{00000000-0005-0000-0000-000028D00000}"/>
    <cellStyle name="Normal 2 4 6 27 6" xfId="22265" xr:uid="{00000000-0005-0000-0000-000029D00000}"/>
    <cellStyle name="Normal 2 4 6 27 6 2" xfId="56951" xr:uid="{00000000-0005-0000-0000-00002AD00000}"/>
    <cellStyle name="Normal 2 4 6 27 7" xfId="22266" xr:uid="{00000000-0005-0000-0000-00002BD00000}"/>
    <cellStyle name="Normal 2 4 6 27 7 2" xfId="56952" xr:uid="{00000000-0005-0000-0000-00002CD00000}"/>
    <cellStyle name="Normal 2 4 6 27 8" xfId="56953" xr:uid="{00000000-0005-0000-0000-00002DD00000}"/>
    <cellStyle name="Normal 2 4 6 27 8 2" xfId="56954" xr:uid="{00000000-0005-0000-0000-00002ED00000}"/>
    <cellStyle name="Normal 2 4 6 27 9" xfId="56955" xr:uid="{00000000-0005-0000-0000-00002FD00000}"/>
    <cellStyle name="Normal 2 4 6 28" xfId="22267" xr:uid="{00000000-0005-0000-0000-000030D00000}"/>
    <cellStyle name="Normal 2 4 6 28 10" xfId="56956" xr:uid="{00000000-0005-0000-0000-000031D00000}"/>
    <cellStyle name="Normal 2 4 6 28 11" xfId="56957" xr:uid="{00000000-0005-0000-0000-000032D00000}"/>
    <cellStyle name="Normal 2 4 6 28 2" xfId="22268" xr:uid="{00000000-0005-0000-0000-000033D00000}"/>
    <cellStyle name="Normal 2 4 6 28 2 10" xfId="56958" xr:uid="{00000000-0005-0000-0000-000034D00000}"/>
    <cellStyle name="Normal 2 4 6 28 2 2" xfId="22269" xr:uid="{00000000-0005-0000-0000-000035D00000}"/>
    <cellStyle name="Normal 2 4 6 28 2 2 2" xfId="22270" xr:uid="{00000000-0005-0000-0000-000036D00000}"/>
    <cellStyle name="Normal 2 4 6 28 2 2 2 2" xfId="22271" xr:uid="{00000000-0005-0000-0000-000037D00000}"/>
    <cellStyle name="Normal 2 4 6 28 2 2 2 2 2" xfId="56959" xr:uid="{00000000-0005-0000-0000-000038D00000}"/>
    <cellStyle name="Normal 2 4 6 28 2 2 2 3" xfId="22272" xr:uid="{00000000-0005-0000-0000-000039D00000}"/>
    <cellStyle name="Normal 2 4 6 28 2 2 2 3 2" xfId="56960" xr:uid="{00000000-0005-0000-0000-00003AD00000}"/>
    <cellStyle name="Normal 2 4 6 28 2 2 2 4" xfId="56961" xr:uid="{00000000-0005-0000-0000-00003BD00000}"/>
    <cellStyle name="Normal 2 4 6 28 2 2 3" xfId="22273" xr:uid="{00000000-0005-0000-0000-00003CD00000}"/>
    <cellStyle name="Normal 2 4 6 28 2 2 3 2" xfId="56962" xr:uid="{00000000-0005-0000-0000-00003DD00000}"/>
    <cellStyle name="Normal 2 4 6 28 2 2 4" xfId="22274" xr:uid="{00000000-0005-0000-0000-00003ED00000}"/>
    <cellStyle name="Normal 2 4 6 28 2 2 4 2" xfId="56963" xr:uid="{00000000-0005-0000-0000-00003FD00000}"/>
    <cellStyle name="Normal 2 4 6 28 2 2 5" xfId="22275" xr:uid="{00000000-0005-0000-0000-000040D00000}"/>
    <cellStyle name="Normal 2 4 6 28 2 2 5 2" xfId="56964" xr:uid="{00000000-0005-0000-0000-000041D00000}"/>
    <cellStyle name="Normal 2 4 6 28 2 2 6" xfId="56965" xr:uid="{00000000-0005-0000-0000-000042D00000}"/>
    <cellStyle name="Normal 2 4 6 28 2 2 6 2" xfId="56966" xr:uid="{00000000-0005-0000-0000-000043D00000}"/>
    <cellStyle name="Normal 2 4 6 28 2 2 7" xfId="56967" xr:uid="{00000000-0005-0000-0000-000044D00000}"/>
    <cellStyle name="Normal 2 4 6 28 2 3" xfId="22276" xr:uid="{00000000-0005-0000-0000-000045D00000}"/>
    <cellStyle name="Normal 2 4 6 28 2 3 2" xfId="22277" xr:uid="{00000000-0005-0000-0000-000046D00000}"/>
    <cellStyle name="Normal 2 4 6 28 2 3 2 2" xfId="56968" xr:uid="{00000000-0005-0000-0000-000047D00000}"/>
    <cellStyle name="Normal 2 4 6 28 2 3 3" xfId="22278" xr:uid="{00000000-0005-0000-0000-000048D00000}"/>
    <cellStyle name="Normal 2 4 6 28 2 3 3 2" xfId="56969" xr:uid="{00000000-0005-0000-0000-000049D00000}"/>
    <cellStyle name="Normal 2 4 6 28 2 3 4" xfId="56970" xr:uid="{00000000-0005-0000-0000-00004AD00000}"/>
    <cellStyle name="Normal 2 4 6 28 2 4" xfId="22279" xr:uid="{00000000-0005-0000-0000-00004BD00000}"/>
    <cellStyle name="Normal 2 4 6 28 2 4 2" xfId="22280" xr:uid="{00000000-0005-0000-0000-00004CD00000}"/>
    <cellStyle name="Normal 2 4 6 28 2 4 2 2" xfId="56971" xr:uid="{00000000-0005-0000-0000-00004DD00000}"/>
    <cellStyle name="Normal 2 4 6 28 2 4 3" xfId="56972" xr:uid="{00000000-0005-0000-0000-00004ED00000}"/>
    <cellStyle name="Normal 2 4 6 28 2 5" xfId="22281" xr:uid="{00000000-0005-0000-0000-00004FD00000}"/>
    <cellStyle name="Normal 2 4 6 28 2 5 2" xfId="56973" xr:uid="{00000000-0005-0000-0000-000050D00000}"/>
    <cellStyle name="Normal 2 4 6 28 2 6" xfId="22282" xr:uid="{00000000-0005-0000-0000-000051D00000}"/>
    <cellStyle name="Normal 2 4 6 28 2 6 2" xfId="56974" xr:uid="{00000000-0005-0000-0000-000052D00000}"/>
    <cellStyle name="Normal 2 4 6 28 2 7" xfId="56975" xr:uid="{00000000-0005-0000-0000-000053D00000}"/>
    <cellStyle name="Normal 2 4 6 28 2 7 2" xfId="56976" xr:uid="{00000000-0005-0000-0000-000054D00000}"/>
    <cellStyle name="Normal 2 4 6 28 2 8" xfId="56977" xr:uid="{00000000-0005-0000-0000-000055D00000}"/>
    <cellStyle name="Normal 2 4 6 28 2 9" xfId="56978" xr:uid="{00000000-0005-0000-0000-000056D00000}"/>
    <cellStyle name="Normal 2 4 6 28 3" xfId="22283" xr:uid="{00000000-0005-0000-0000-000057D00000}"/>
    <cellStyle name="Normal 2 4 6 28 3 2" xfId="22284" xr:uid="{00000000-0005-0000-0000-000058D00000}"/>
    <cellStyle name="Normal 2 4 6 28 3 2 2" xfId="22285" xr:uid="{00000000-0005-0000-0000-000059D00000}"/>
    <cellStyle name="Normal 2 4 6 28 3 2 2 2" xfId="56979" xr:uid="{00000000-0005-0000-0000-00005AD00000}"/>
    <cellStyle name="Normal 2 4 6 28 3 2 3" xfId="22286" xr:uid="{00000000-0005-0000-0000-00005BD00000}"/>
    <cellStyle name="Normal 2 4 6 28 3 2 3 2" xfId="56980" xr:uid="{00000000-0005-0000-0000-00005CD00000}"/>
    <cellStyle name="Normal 2 4 6 28 3 2 4" xfId="56981" xr:uid="{00000000-0005-0000-0000-00005DD00000}"/>
    <cellStyle name="Normal 2 4 6 28 3 3" xfId="22287" xr:uid="{00000000-0005-0000-0000-00005ED00000}"/>
    <cellStyle name="Normal 2 4 6 28 3 3 2" xfId="56982" xr:uid="{00000000-0005-0000-0000-00005FD00000}"/>
    <cellStyle name="Normal 2 4 6 28 3 4" xfId="22288" xr:uid="{00000000-0005-0000-0000-000060D00000}"/>
    <cellStyle name="Normal 2 4 6 28 3 4 2" xfId="56983" xr:uid="{00000000-0005-0000-0000-000061D00000}"/>
    <cellStyle name="Normal 2 4 6 28 3 5" xfId="22289" xr:uid="{00000000-0005-0000-0000-000062D00000}"/>
    <cellStyle name="Normal 2 4 6 28 3 5 2" xfId="56984" xr:uid="{00000000-0005-0000-0000-000063D00000}"/>
    <cellStyle name="Normal 2 4 6 28 3 6" xfId="56985" xr:uid="{00000000-0005-0000-0000-000064D00000}"/>
    <cellStyle name="Normal 2 4 6 28 3 6 2" xfId="56986" xr:uid="{00000000-0005-0000-0000-000065D00000}"/>
    <cellStyle name="Normal 2 4 6 28 3 7" xfId="56987" xr:uid="{00000000-0005-0000-0000-000066D00000}"/>
    <cellStyle name="Normal 2 4 6 28 4" xfId="22290" xr:uid="{00000000-0005-0000-0000-000067D00000}"/>
    <cellStyle name="Normal 2 4 6 28 4 2" xfId="22291" xr:uid="{00000000-0005-0000-0000-000068D00000}"/>
    <cellStyle name="Normal 2 4 6 28 4 2 2" xfId="56988" xr:uid="{00000000-0005-0000-0000-000069D00000}"/>
    <cellStyle name="Normal 2 4 6 28 4 3" xfId="22292" xr:uid="{00000000-0005-0000-0000-00006AD00000}"/>
    <cellStyle name="Normal 2 4 6 28 4 3 2" xfId="56989" xr:uid="{00000000-0005-0000-0000-00006BD00000}"/>
    <cellStyle name="Normal 2 4 6 28 4 4" xfId="56990" xr:uid="{00000000-0005-0000-0000-00006CD00000}"/>
    <cellStyle name="Normal 2 4 6 28 5" xfId="22293" xr:uid="{00000000-0005-0000-0000-00006DD00000}"/>
    <cellStyle name="Normal 2 4 6 28 5 2" xfId="22294" xr:uid="{00000000-0005-0000-0000-00006ED00000}"/>
    <cellStyle name="Normal 2 4 6 28 5 2 2" xfId="56991" xr:uid="{00000000-0005-0000-0000-00006FD00000}"/>
    <cellStyle name="Normal 2 4 6 28 5 3" xfId="56992" xr:uid="{00000000-0005-0000-0000-000070D00000}"/>
    <cellStyle name="Normal 2 4 6 28 6" xfId="22295" xr:uid="{00000000-0005-0000-0000-000071D00000}"/>
    <cellStyle name="Normal 2 4 6 28 6 2" xfId="56993" xr:uid="{00000000-0005-0000-0000-000072D00000}"/>
    <cellStyle name="Normal 2 4 6 28 7" xfId="22296" xr:uid="{00000000-0005-0000-0000-000073D00000}"/>
    <cellStyle name="Normal 2 4 6 28 7 2" xfId="56994" xr:uid="{00000000-0005-0000-0000-000074D00000}"/>
    <cellStyle name="Normal 2 4 6 28 8" xfId="56995" xr:uid="{00000000-0005-0000-0000-000075D00000}"/>
    <cellStyle name="Normal 2 4 6 28 8 2" xfId="56996" xr:uid="{00000000-0005-0000-0000-000076D00000}"/>
    <cellStyle name="Normal 2 4 6 28 9" xfId="56997" xr:uid="{00000000-0005-0000-0000-000077D00000}"/>
    <cellStyle name="Normal 2 4 6 29" xfId="22297" xr:uid="{00000000-0005-0000-0000-000078D00000}"/>
    <cellStyle name="Normal 2 4 6 29 10" xfId="56998" xr:uid="{00000000-0005-0000-0000-000079D00000}"/>
    <cellStyle name="Normal 2 4 6 29 11" xfId="56999" xr:uid="{00000000-0005-0000-0000-00007AD00000}"/>
    <cellStyle name="Normal 2 4 6 29 2" xfId="22298" xr:uid="{00000000-0005-0000-0000-00007BD00000}"/>
    <cellStyle name="Normal 2 4 6 29 2 10" xfId="57000" xr:uid="{00000000-0005-0000-0000-00007CD00000}"/>
    <cellStyle name="Normal 2 4 6 29 2 2" xfId="22299" xr:uid="{00000000-0005-0000-0000-00007DD00000}"/>
    <cellStyle name="Normal 2 4 6 29 2 2 2" xfId="22300" xr:uid="{00000000-0005-0000-0000-00007ED00000}"/>
    <cellStyle name="Normal 2 4 6 29 2 2 2 2" xfId="22301" xr:uid="{00000000-0005-0000-0000-00007FD00000}"/>
    <cellStyle name="Normal 2 4 6 29 2 2 2 2 2" xfId="57001" xr:uid="{00000000-0005-0000-0000-000080D00000}"/>
    <cellStyle name="Normal 2 4 6 29 2 2 2 3" xfId="22302" xr:uid="{00000000-0005-0000-0000-000081D00000}"/>
    <cellStyle name="Normal 2 4 6 29 2 2 2 3 2" xfId="57002" xr:uid="{00000000-0005-0000-0000-000082D00000}"/>
    <cellStyle name="Normal 2 4 6 29 2 2 2 4" xfId="57003" xr:uid="{00000000-0005-0000-0000-000083D00000}"/>
    <cellStyle name="Normal 2 4 6 29 2 2 3" xfId="22303" xr:uid="{00000000-0005-0000-0000-000084D00000}"/>
    <cellStyle name="Normal 2 4 6 29 2 2 3 2" xfId="57004" xr:uid="{00000000-0005-0000-0000-000085D00000}"/>
    <cellStyle name="Normal 2 4 6 29 2 2 4" xfId="22304" xr:uid="{00000000-0005-0000-0000-000086D00000}"/>
    <cellStyle name="Normal 2 4 6 29 2 2 4 2" xfId="57005" xr:uid="{00000000-0005-0000-0000-000087D00000}"/>
    <cellStyle name="Normal 2 4 6 29 2 2 5" xfId="22305" xr:uid="{00000000-0005-0000-0000-000088D00000}"/>
    <cellStyle name="Normal 2 4 6 29 2 2 5 2" xfId="57006" xr:uid="{00000000-0005-0000-0000-000089D00000}"/>
    <cellStyle name="Normal 2 4 6 29 2 2 6" xfId="57007" xr:uid="{00000000-0005-0000-0000-00008AD00000}"/>
    <cellStyle name="Normal 2 4 6 29 2 2 6 2" xfId="57008" xr:uid="{00000000-0005-0000-0000-00008BD00000}"/>
    <cellStyle name="Normal 2 4 6 29 2 2 7" xfId="57009" xr:uid="{00000000-0005-0000-0000-00008CD00000}"/>
    <cellStyle name="Normal 2 4 6 29 2 3" xfId="22306" xr:uid="{00000000-0005-0000-0000-00008DD00000}"/>
    <cellStyle name="Normal 2 4 6 29 2 3 2" xfId="22307" xr:uid="{00000000-0005-0000-0000-00008ED00000}"/>
    <cellStyle name="Normal 2 4 6 29 2 3 2 2" xfId="57010" xr:uid="{00000000-0005-0000-0000-00008FD00000}"/>
    <cellStyle name="Normal 2 4 6 29 2 3 3" xfId="22308" xr:uid="{00000000-0005-0000-0000-000090D00000}"/>
    <cellStyle name="Normal 2 4 6 29 2 3 3 2" xfId="57011" xr:uid="{00000000-0005-0000-0000-000091D00000}"/>
    <cellStyle name="Normal 2 4 6 29 2 3 4" xfId="57012" xr:uid="{00000000-0005-0000-0000-000092D00000}"/>
    <cellStyle name="Normal 2 4 6 29 2 4" xfId="22309" xr:uid="{00000000-0005-0000-0000-000093D00000}"/>
    <cellStyle name="Normal 2 4 6 29 2 4 2" xfId="22310" xr:uid="{00000000-0005-0000-0000-000094D00000}"/>
    <cellStyle name="Normal 2 4 6 29 2 4 2 2" xfId="57013" xr:uid="{00000000-0005-0000-0000-000095D00000}"/>
    <cellStyle name="Normal 2 4 6 29 2 4 3" xfId="57014" xr:uid="{00000000-0005-0000-0000-000096D00000}"/>
    <cellStyle name="Normal 2 4 6 29 2 5" xfId="22311" xr:uid="{00000000-0005-0000-0000-000097D00000}"/>
    <cellStyle name="Normal 2 4 6 29 2 5 2" xfId="57015" xr:uid="{00000000-0005-0000-0000-000098D00000}"/>
    <cellStyle name="Normal 2 4 6 29 2 6" xfId="22312" xr:uid="{00000000-0005-0000-0000-000099D00000}"/>
    <cellStyle name="Normal 2 4 6 29 2 6 2" xfId="57016" xr:uid="{00000000-0005-0000-0000-00009AD00000}"/>
    <cellStyle name="Normal 2 4 6 29 2 7" xfId="57017" xr:uid="{00000000-0005-0000-0000-00009BD00000}"/>
    <cellStyle name="Normal 2 4 6 29 2 7 2" xfId="57018" xr:uid="{00000000-0005-0000-0000-00009CD00000}"/>
    <cellStyle name="Normal 2 4 6 29 2 8" xfId="57019" xr:uid="{00000000-0005-0000-0000-00009DD00000}"/>
    <cellStyle name="Normal 2 4 6 29 2 9" xfId="57020" xr:uid="{00000000-0005-0000-0000-00009ED00000}"/>
    <cellStyle name="Normal 2 4 6 29 3" xfId="22313" xr:uid="{00000000-0005-0000-0000-00009FD00000}"/>
    <cellStyle name="Normal 2 4 6 29 3 2" xfId="22314" xr:uid="{00000000-0005-0000-0000-0000A0D00000}"/>
    <cellStyle name="Normal 2 4 6 29 3 2 2" xfId="22315" xr:uid="{00000000-0005-0000-0000-0000A1D00000}"/>
    <cellStyle name="Normal 2 4 6 29 3 2 2 2" xfId="57021" xr:uid="{00000000-0005-0000-0000-0000A2D00000}"/>
    <cellStyle name="Normal 2 4 6 29 3 2 3" xfId="22316" xr:uid="{00000000-0005-0000-0000-0000A3D00000}"/>
    <cellStyle name="Normal 2 4 6 29 3 2 3 2" xfId="57022" xr:uid="{00000000-0005-0000-0000-0000A4D00000}"/>
    <cellStyle name="Normal 2 4 6 29 3 2 4" xfId="57023" xr:uid="{00000000-0005-0000-0000-0000A5D00000}"/>
    <cellStyle name="Normal 2 4 6 29 3 3" xfId="22317" xr:uid="{00000000-0005-0000-0000-0000A6D00000}"/>
    <cellStyle name="Normal 2 4 6 29 3 3 2" xfId="57024" xr:uid="{00000000-0005-0000-0000-0000A7D00000}"/>
    <cellStyle name="Normal 2 4 6 29 3 4" xfId="22318" xr:uid="{00000000-0005-0000-0000-0000A8D00000}"/>
    <cellStyle name="Normal 2 4 6 29 3 4 2" xfId="57025" xr:uid="{00000000-0005-0000-0000-0000A9D00000}"/>
    <cellStyle name="Normal 2 4 6 29 3 5" xfId="22319" xr:uid="{00000000-0005-0000-0000-0000AAD00000}"/>
    <cellStyle name="Normal 2 4 6 29 3 5 2" xfId="57026" xr:uid="{00000000-0005-0000-0000-0000ABD00000}"/>
    <cellStyle name="Normal 2 4 6 29 3 6" xfId="57027" xr:uid="{00000000-0005-0000-0000-0000ACD00000}"/>
    <cellStyle name="Normal 2 4 6 29 3 6 2" xfId="57028" xr:uid="{00000000-0005-0000-0000-0000ADD00000}"/>
    <cellStyle name="Normal 2 4 6 29 3 7" xfId="57029" xr:uid="{00000000-0005-0000-0000-0000AED00000}"/>
    <cellStyle name="Normal 2 4 6 29 4" xfId="22320" xr:uid="{00000000-0005-0000-0000-0000AFD00000}"/>
    <cellStyle name="Normal 2 4 6 29 4 2" xfId="22321" xr:uid="{00000000-0005-0000-0000-0000B0D00000}"/>
    <cellStyle name="Normal 2 4 6 29 4 2 2" xfId="57030" xr:uid="{00000000-0005-0000-0000-0000B1D00000}"/>
    <cellStyle name="Normal 2 4 6 29 4 3" xfId="22322" xr:uid="{00000000-0005-0000-0000-0000B2D00000}"/>
    <cellStyle name="Normal 2 4 6 29 4 3 2" xfId="57031" xr:uid="{00000000-0005-0000-0000-0000B3D00000}"/>
    <cellStyle name="Normal 2 4 6 29 4 4" xfId="57032" xr:uid="{00000000-0005-0000-0000-0000B4D00000}"/>
    <cellStyle name="Normal 2 4 6 29 5" xfId="22323" xr:uid="{00000000-0005-0000-0000-0000B5D00000}"/>
    <cellStyle name="Normal 2 4 6 29 5 2" xfId="22324" xr:uid="{00000000-0005-0000-0000-0000B6D00000}"/>
    <cellStyle name="Normal 2 4 6 29 5 2 2" xfId="57033" xr:uid="{00000000-0005-0000-0000-0000B7D00000}"/>
    <cellStyle name="Normal 2 4 6 29 5 3" xfId="57034" xr:uid="{00000000-0005-0000-0000-0000B8D00000}"/>
    <cellStyle name="Normal 2 4 6 29 6" xfId="22325" xr:uid="{00000000-0005-0000-0000-0000B9D00000}"/>
    <cellStyle name="Normal 2 4 6 29 6 2" xfId="57035" xr:uid="{00000000-0005-0000-0000-0000BAD00000}"/>
    <cellStyle name="Normal 2 4 6 29 7" xfId="22326" xr:uid="{00000000-0005-0000-0000-0000BBD00000}"/>
    <cellStyle name="Normal 2 4 6 29 7 2" xfId="57036" xr:uid="{00000000-0005-0000-0000-0000BCD00000}"/>
    <cellStyle name="Normal 2 4 6 29 8" xfId="57037" xr:uid="{00000000-0005-0000-0000-0000BDD00000}"/>
    <cellStyle name="Normal 2 4 6 29 8 2" xfId="57038" xr:uid="{00000000-0005-0000-0000-0000BED00000}"/>
    <cellStyle name="Normal 2 4 6 29 9" xfId="57039" xr:uid="{00000000-0005-0000-0000-0000BFD00000}"/>
    <cellStyle name="Normal 2 4 6 3" xfId="22327" xr:uid="{00000000-0005-0000-0000-0000C0D00000}"/>
    <cellStyle name="Normal 2 4 6 3 10" xfId="57040" xr:uid="{00000000-0005-0000-0000-0000C1D00000}"/>
    <cellStyle name="Normal 2 4 6 3 11" xfId="57041" xr:uid="{00000000-0005-0000-0000-0000C2D00000}"/>
    <cellStyle name="Normal 2 4 6 3 2" xfId="22328" xr:uid="{00000000-0005-0000-0000-0000C3D00000}"/>
    <cellStyle name="Normal 2 4 6 3 2 10" xfId="57042" xr:uid="{00000000-0005-0000-0000-0000C4D00000}"/>
    <cellStyle name="Normal 2 4 6 3 2 2" xfId="22329" xr:uid="{00000000-0005-0000-0000-0000C5D00000}"/>
    <cellStyle name="Normal 2 4 6 3 2 2 2" xfId="22330" xr:uid="{00000000-0005-0000-0000-0000C6D00000}"/>
    <cellStyle name="Normal 2 4 6 3 2 2 2 2" xfId="22331" xr:uid="{00000000-0005-0000-0000-0000C7D00000}"/>
    <cellStyle name="Normal 2 4 6 3 2 2 2 2 2" xfId="57043" xr:uid="{00000000-0005-0000-0000-0000C8D00000}"/>
    <cellStyle name="Normal 2 4 6 3 2 2 2 3" xfId="22332" xr:uid="{00000000-0005-0000-0000-0000C9D00000}"/>
    <cellStyle name="Normal 2 4 6 3 2 2 2 3 2" xfId="57044" xr:uid="{00000000-0005-0000-0000-0000CAD00000}"/>
    <cellStyle name="Normal 2 4 6 3 2 2 2 4" xfId="57045" xr:uid="{00000000-0005-0000-0000-0000CBD00000}"/>
    <cellStyle name="Normal 2 4 6 3 2 2 3" xfId="22333" xr:uid="{00000000-0005-0000-0000-0000CCD00000}"/>
    <cellStyle name="Normal 2 4 6 3 2 2 3 2" xfId="57046" xr:uid="{00000000-0005-0000-0000-0000CDD00000}"/>
    <cellStyle name="Normal 2 4 6 3 2 2 4" xfId="22334" xr:uid="{00000000-0005-0000-0000-0000CED00000}"/>
    <cellStyle name="Normal 2 4 6 3 2 2 4 2" xfId="57047" xr:uid="{00000000-0005-0000-0000-0000CFD00000}"/>
    <cellStyle name="Normal 2 4 6 3 2 2 5" xfId="22335" xr:uid="{00000000-0005-0000-0000-0000D0D00000}"/>
    <cellStyle name="Normal 2 4 6 3 2 2 5 2" xfId="57048" xr:uid="{00000000-0005-0000-0000-0000D1D00000}"/>
    <cellStyle name="Normal 2 4 6 3 2 2 6" xfId="57049" xr:uid="{00000000-0005-0000-0000-0000D2D00000}"/>
    <cellStyle name="Normal 2 4 6 3 2 2 6 2" xfId="57050" xr:uid="{00000000-0005-0000-0000-0000D3D00000}"/>
    <cellStyle name="Normal 2 4 6 3 2 2 7" xfId="57051" xr:uid="{00000000-0005-0000-0000-0000D4D00000}"/>
    <cellStyle name="Normal 2 4 6 3 2 3" xfId="22336" xr:uid="{00000000-0005-0000-0000-0000D5D00000}"/>
    <cellStyle name="Normal 2 4 6 3 2 3 2" xfId="22337" xr:uid="{00000000-0005-0000-0000-0000D6D00000}"/>
    <cellStyle name="Normal 2 4 6 3 2 3 2 2" xfId="57052" xr:uid="{00000000-0005-0000-0000-0000D7D00000}"/>
    <cellStyle name="Normal 2 4 6 3 2 3 3" xfId="22338" xr:uid="{00000000-0005-0000-0000-0000D8D00000}"/>
    <cellStyle name="Normal 2 4 6 3 2 3 3 2" xfId="57053" xr:uid="{00000000-0005-0000-0000-0000D9D00000}"/>
    <cellStyle name="Normal 2 4 6 3 2 3 4" xfId="57054" xr:uid="{00000000-0005-0000-0000-0000DAD00000}"/>
    <cellStyle name="Normal 2 4 6 3 2 4" xfId="22339" xr:uid="{00000000-0005-0000-0000-0000DBD00000}"/>
    <cellStyle name="Normal 2 4 6 3 2 4 2" xfId="22340" xr:uid="{00000000-0005-0000-0000-0000DCD00000}"/>
    <cellStyle name="Normal 2 4 6 3 2 4 2 2" xfId="57055" xr:uid="{00000000-0005-0000-0000-0000DDD00000}"/>
    <cellStyle name="Normal 2 4 6 3 2 4 3" xfId="57056" xr:uid="{00000000-0005-0000-0000-0000DED00000}"/>
    <cellStyle name="Normal 2 4 6 3 2 5" xfId="22341" xr:uid="{00000000-0005-0000-0000-0000DFD00000}"/>
    <cellStyle name="Normal 2 4 6 3 2 5 2" xfId="57057" xr:uid="{00000000-0005-0000-0000-0000E0D00000}"/>
    <cellStyle name="Normal 2 4 6 3 2 6" xfId="22342" xr:uid="{00000000-0005-0000-0000-0000E1D00000}"/>
    <cellStyle name="Normal 2 4 6 3 2 6 2" xfId="57058" xr:uid="{00000000-0005-0000-0000-0000E2D00000}"/>
    <cellStyle name="Normal 2 4 6 3 2 7" xfId="57059" xr:uid="{00000000-0005-0000-0000-0000E3D00000}"/>
    <cellStyle name="Normal 2 4 6 3 2 7 2" xfId="57060" xr:uid="{00000000-0005-0000-0000-0000E4D00000}"/>
    <cellStyle name="Normal 2 4 6 3 2 8" xfId="57061" xr:uid="{00000000-0005-0000-0000-0000E5D00000}"/>
    <cellStyle name="Normal 2 4 6 3 2 9" xfId="57062" xr:uid="{00000000-0005-0000-0000-0000E6D00000}"/>
    <cellStyle name="Normal 2 4 6 3 3" xfId="22343" xr:uid="{00000000-0005-0000-0000-0000E7D00000}"/>
    <cellStyle name="Normal 2 4 6 3 3 2" xfId="22344" xr:uid="{00000000-0005-0000-0000-0000E8D00000}"/>
    <cellStyle name="Normal 2 4 6 3 3 2 2" xfId="22345" xr:uid="{00000000-0005-0000-0000-0000E9D00000}"/>
    <cellStyle name="Normal 2 4 6 3 3 2 2 2" xfId="57063" xr:uid="{00000000-0005-0000-0000-0000EAD00000}"/>
    <cellStyle name="Normal 2 4 6 3 3 2 3" xfId="22346" xr:uid="{00000000-0005-0000-0000-0000EBD00000}"/>
    <cellStyle name="Normal 2 4 6 3 3 2 3 2" xfId="57064" xr:uid="{00000000-0005-0000-0000-0000ECD00000}"/>
    <cellStyle name="Normal 2 4 6 3 3 2 4" xfId="57065" xr:uid="{00000000-0005-0000-0000-0000EDD00000}"/>
    <cellStyle name="Normal 2 4 6 3 3 3" xfId="22347" xr:uid="{00000000-0005-0000-0000-0000EED00000}"/>
    <cellStyle name="Normal 2 4 6 3 3 3 2" xfId="57066" xr:uid="{00000000-0005-0000-0000-0000EFD00000}"/>
    <cellStyle name="Normal 2 4 6 3 3 4" xfId="22348" xr:uid="{00000000-0005-0000-0000-0000F0D00000}"/>
    <cellStyle name="Normal 2 4 6 3 3 4 2" xfId="57067" xr:uid="{00000000-0005-0000-0000-0000F1D00000}"/>
    <cellStyle name="Normal 2 4 6 3 3 5" xfId="22349" xr:uid="{00000000-0005-0000-0000-0000F2D00000}"/>
    <cellStyle name="Normal 2 4 6 3 3 5 2" xfId="57068" xr:uid="{00000000-0005-0000-0000-0000F3D00000}"/>
    <cellStyle name="Normal 2 4 6 3 3 6" xfId="57069" xr:uid="{00000000-0005-0000-0000-0000F4D00000}"/>
    <cellStyle name="Normal 2 4 6 3 3 6 2" xfId="57070" xr:uid="{00000000-0005-0000-0000-0000F5D00000}"/>
    <cellStyle name="Normal 2 4 6 3 3 7" xfId="57071" xr:uid="{00000000-0005-0000-0000-0000F6D00000}"/>
    <cellStyle name="Normal 2 4 6 3 4" xfId="22350" xr:uid="{00000000-0005-0000-0000-0000F7D00000}"/>
    <cellStyle name="Normal 2 4 6 3 4 2" xfId="22351" xr:uid="{00000000-0005-0000-0000-0000F8D00000}"/>
    <cellStyle name="Normal 2 4 6 3 4 2 2" xfId="57072" xr:uid="{00000000-0005-0000-0000-0000F9D00000}"/>
    <cellStyle name="Normal 2 4 6 3 4 3" xfId="22352" xr:uid="{00000000-0005-0000-0000-0000FAD00000}"/>
    <cellStyle name="Normal 2 4 6 3 4 3 2" xfId="57073" xr:uid="{00000000-0005-0000-0000-0000FBD00000}"/>
    <cellStyle name="Normal 2 4 6 3 4 4" xfId="57074" xr:uid="{00000000-0005-0000-0000-0000FCD00000}"/>
    <cellStyle name="Normal 2 4 6 3 5" xfId="22353" xr:uid="{00000000-0005-0000-0000-0000FDD00000}"/>
    <cellStyle name="Normal 2 4 6 3 5 2" xfId="22354" xr:uid="{00000000-0005-0000-0000-0000FED00000}"/>
    <cellStyle name="Normal 2 4 6 3 5 2 2" xfId="57075" xr:uid="{00000000-0005-0000-0000-0000FFD00000}"/>
    <cellStyle name="Normal 2 4 6 3 5 3" xfId="57076" xr:uid="{00000000-0005-0000-0000-000000D10000}"/>
    <cellStyle name="Normal 2 4 6 3 6" xfId="22355" xr:uid="{00000000-0005-0000-0000-000001D10000}"/>
    <cellStyle name="Normal 2 4 6 3 6 2" xfId="57077" xr:uid="{00000000-0005-0000-0000-000002D10000}"/>
    <cellStyle name="Normal 2 4 6 3 7" xfId="22356" xr:uid="{00000000-0005-0000-0000-000003D10000}"/>
    <cellStyle name="Normal 2 4 6 3 7 2" xfId="57078" xr:uid="{00000000-0005-0000-0000-000004D10000}"/>
    <cellStyle name="Normal 2 4 6 3 8" xfId="57079" xr:uid="{00000000-0005-0000-0000-000005D10000}"/>
    <cellStyle name="Normal 2 4 6 3 8 2" xfId="57080" xr:uid="{00000000-0005-0000-0000-000006D10000}"/>
    <cellStyle name="Normal 2 4 6 3 9" xfId="57081" xr:uid="{00000000-0005-0000-0000-000007D10000}"/>
    <cellStyle name="Normal 2 4 6 30" xfId="22357" xr:uid="{00000000-0005-0000-0000-000008D10000}"/>
    <cellStyle name="Normal 2 4 6 30 10" xfId="57082" xr:uid="{00000000-0005-0000-0000-000009D10000}"/>
    <cellStyle name="Normal 2 4 6 30 11" xfId="57083" xr:uid="{00000000-0005-0000-0000-00000AD10000}"/>
    <cellStyle name="Normal 2 4 6 30 2" xfId="22358" xr:uid="{00000000-0005-0000-0000-00000BD10000}"/>
    <cellStyle name="Normal 2 4 6 30 2 10" xfId="57084" xr:uid="{00000000-0005-0000-0000-00000CD10000}"/>
    <cellStyle name="Normal 2 4 6 30 2 2" xfId="22359" xr:uid="{00000000-0005-0000-0000-00000DD10000}"/>
    <cellStyle name="Normal 2 4 6 30 2 2 2" xfId="22360" xr:uid="{00000000-0005-0000-0000-00000ED10000}"/>
    <cellStyle name="Normal 2 4 6 30 2 2 2 2" xfId="22361" xr:uid="{00000000-0005-0000-0000-00000FD10000}"/>
    <cellStyle name="Normal 2 4 6 30 2 2 2 2 2" xfId="57085" xr:uid="{00000000-0005-0000-0000-000010D10000}"/>
    <cellStyle name="Normal 2 4 6 30 2 2 2 3" xfId="22362" xr:uid="{00000000-0005-0000-0000-000011D10000}"/>
    <cellStyle name="Normal 2 4 6 30 2 2 2 3 2" xfId="57086" xr:uid="{00000000-0005-0000-0000-000012D10000}"/>
    <cellStyle name="Normal 2 4 6 30 2 2 2 4" xfId="57087" xr:uid="{00000000-0005-0000-0000-000013D10000}"/>
    <cellStyle name="Normal 2 4 6 30 2 2 3" xfId="22363" xr:uid="{00000000-0005-0000-0000-000014D10000}"/>
    <cellStyle name="Normal 2 4 6 30 2 2 3 2" xfId="57088" xr:uid="{00000000-0005-0000-0000-000015D10000}"/>
    <cellStyle name="Normal 2 4 6 30 2 2 4" xfId="22364" xr:uid="{00000000-0005-0000-0000-000016D10000}"/>
    <cellStyle name="Normal 2 4 6 30 2 2 4 2" xfId="57089" xr:uid="{00000000-0005-0000-0000-000017D10000}"/>
    <cellStyle name="Normal 2 4 6 30 2 2 5" xfId="22365" xr:uid="{00000000-0005-0000-0000-000018D10000}"/>
    <cellStyle name="Normal 2 4 6 30 2 2 5 2" xfId="57090" xr:uid="{00000000-0005-0000-0000-000019D10000}"/>
    <cellStyle name="Normal 2 4 6 30 2 2 6" xfId="57091" xr:uid="{00000000-0005-0000-0000-00001AD10000}"/>
    <cellStyle name="Normal 2 4 6 30 2 2 6 2" xfId="57092" xr:uid="{00000000-0005-0000-0000-00001BD10000}"/>
    <cellStyle name="Normal 2 4 6 30 2 2 7" xfId="57093" xr:uid="{00000000-0005-0000-0000-00001CD10000}"/>
    <cellStyle name="Normal 2 4 6 30 2 3" xfId="22366" xr:uid="{00000000-0005-0000-0000-00001DD10000}"/>
    <cellStyle name="Normal 2 4 6 30 2 3 2" xfId="22367" xr:uid="{00000000-0005-0000-0000-00001ED10000}"/>
    <cellStyle name="Normal 2 4 6 30 2 3 2 2" xfId="57094" xr:uid="{00000000-0005-0000-0000-00001FD10000}"/>
    <cellStyle name="Normal 2 4 6 30 2 3 3" xfId="22368" xr:uid="{00000000-0005-0000-0000-000020D10000}"/>
    <cellStyle name="Normal 2 4 6 30 2 3 3 2" xfId="57095" xr:uid="{00000000-0005-0000-0000-000021D10000}"/>
    <cellStyle name="Normal 2 4 6 30 2 3 4" xfId="57096" xr:uid="{00000000-0005-0000-0000-000022D10000}"/>
    <cellStyle name="Normal 2 4 6 30 2 4" xfId="22369" xr:uid="{00000000-0005-0000-0000-000023D10000}"/>
    <cellStyle name="Normal 2 4 6 30 2 4 2" xfId="22370" xr:uid="{00000000-0005-0000-0000-000024D10000}"/>
    <cellStyle name="Normal 2 4 6 30 2 4 2 2" xfId="57097" xr:uid="{00000000-0005-0000-0000-000025D10000}"/>
    <cellStyle name="Normal 2 4 6 30 2 4 3" xfId="57098" xr:uid="{00000000-0005-0000-0000-000026D10000}"/>
    <cellStyle name="Normal 2 4 6 30 2 5" xfId="22371" xr:uid="{00000000-0005-0000-0000-000027D10000}"/>
    <cellStyle name="Normal 2 4 6 30 2 5 2" xfId="57099" xr:uid="{00000000-0005-0000-0000-000028D10000}"/>
    <cellStyle name="Normal 2 4 6 30 2 6" xfId="22372" xr:uid="{00000000-0005-0000-0000-000029D10000}"/>
    <cellStyle name="Normal 2 4 6 30 2 6 2" xfId="57100" xr:uid="{00000000-0005-0000-0000-00002AD10000}"/>
    <cellStyle name="Normal 2 4 6 30 2 7" xfId="57101" xr:uid="{00000000-0005-0000-0000-00002BD10000}"/>
    <cellStyle name="Normal 2 4 6 30 2 7 2" xfId="57102" xr:uid="{00000000-0005-0000-0000-00002CD10000}"/>
    <cellStyle name="Normal 2 4 6 30 2 8" xfId="57103" xr:uid="{00000000-0005-0000-0000-00002DD10000}"/>
    <cellStyle name="Normal 2 4 6 30 2 9" xfId="57104" xr:uid="{00000000-0005-0000-0000-00002ED10000}"/>
    <cellStyle name="Normal 2 4 6 30 3" xfId="22373" xr:uid="{00000000-0005-0000-0000-00002FD10000}"/>
    <cellStyle name="Normal 2 4 6 30 3 2" xfId="22374" xr:uid="{00000000-0005-0000-0000-000030D10000}"/>
    <cellStyle name="Normal 2 4 6 30 3 2 2" xfId="22375" xr:uid="{00000000-0005-0000-0000-000031D10000}"/>
    <cellStyle name="Normal 2 4 6 30 3 2 2 2" xfId="57105" xr:uid="{00000000-0005-0000-0000-000032D10000}"/>
    <cellStyle name="Normal 2 4 6 30 3 2 3" xfId="22376" xr:uid="{00000000-0005-0000-0000-000033D10000}"/>
    <cellStyle name="Normal 2 4 6 30 3 2 3 2" xfId="57106" xr:uid="{00000000-0005-0000-0000-000034D10000}"/>
    <cellStyle name="Normal 2 4 6 30 3 2 4" xfId="57107" xr:uid="{00000000-0005-0000-0000-000035D10000}"/>
    <cellStyle name="Normal 2 4 6 30 3 3" xfId="22377" xr:uid="{00000000-0005-0000-0000-000036D10000}"/>
    <cellStyle name="Normal 2 4 6 30 3 3 2" xfId="57108" xr:uid="{00000000-0005-0000-0000-000037D10000}"/>
    <cellStyle name="Normal 2 4 6 30 3 4" xfId="22378" xr:uid="{00000000-0005-0000-0000-000038D10000}"/>
    <cellStyle name="Normal 2 4 6 30 3 4 2" xfId="57109" xr:uid="{00000000-0005-0000-0000-000039D10000}"/>
    <cellStyle name="Normal 2 4 6 30 3 5" xfId="22379" xr:uid="{00000000-0005-0000-0000-00003AD10000}"/>
    <cellStyle name="Normal 2 4 6 30 3 5 2" xfId="57110" xr:uid="{00000000-0005-0000-0000-00003BD10000}"/>
    <cellStyle name="Normal 2 4 6 30 3 6" xfId="57111" xr:uid="{00000000-0005-0000-0000-00003CD10000}"/>
    <cellStyle name="Normal 2 4 6 30 3 6 2" xfId="57112" xr:uid="{00000000-0005-0000-0000-00003DD10000}"/>
    <cellStyle name="Normal 2 4 6 30 3 7" xfId="57113" xr:uid="{00000000-0005-0000-0000-00003ED10000}"/>
    <cellStyle name="Normal 2 4 6 30 4" xfId="22380" xr:uid="{00000000-0005-0000-0000-00003FD10000}"/>
    <cellStyle name="Normal 2 4 6 30 4 2" xfId="22381" xr:uid="{00000000-0005-0000-0000-000040D10000}"/>
    <cellStyle name="Normal 2 4 6 30 4 2 2" xfId="57114" xr:uid="{00000000-0005-0000-0000-000041D10000}"/>
    <cellStyle name="Normal 2 4 6 30 4 3" xfId="22382" xr:uid="{00000000-0005-0000-0000-000042D10000}"/>
    <cellStyle name="Normal 2 4 6 30 4 3 2" xfId="57115" xr:uid="{00000000-0005-0000-0000-000043D10000}"/>
    <cellStyle name="Normal 2 4 6 30 4 4" xfId="57116" xr:uid="{00000000-0005-0000-0000-000044D10000}"/>
    <cellStyle name="Normal 2 4 6 30 5" xfId="22383" xr:uid="{00000000-0005-0000-0000-000045D10000}"/>
    <cellStyle name="Normal 2 4 6 30 5 2" xfId="22384" xr:uid="{00000000-0005-0000-0000-000046D10000}"/>
    <cellStyle name="Normal 2 4 6 30 5 2 2" xfId="57117" xr:uid="{00000000-0005-0000-0000-000047D10000}"/>
    <cellStyle name="Normal 2 4 6 30 5 3" xfId="57118" xr:uid="{00000000-0005-0000-0000-000048D10000}"/>
    <cellStyle name="Normal 2 4 6 30 6" xfId="22385" xr:uid="{00000000-0005-0000-0000-000049D10000}"/>
    <cellStyle name="Normal 2 4 6 30 6 2" xfId="57119" xr:uid="{00000000-0005-0000-0000-00004AD10000}"/>
    <cellStyle name="Normal 2 4 6 30 7" xfId="22386" xr:uid="{00000000-0005-0000-0000-00004BD10000}"/>
    <cellStyle name="Normal 2 4 6 30 7 2" xfId="57120" xr:uid="{00000000-0005-0000-0000-00004CD10000}"/>
    <cellStyle name="Normal 2 4 6 30 8" xfId="57121" xr:uid="{00000000-0005-0000-0000-00004DD10000}"/>
    <cellStyle name="Normal 2 4 6 30 8 2" xfId="57122" xr:uid="{00000000-0005-0000-0000-00004ED10000}"/>
    <cellStyle name="Normal 2 4 6 30 9" xfId="57123" xr:uid="{00000000-0005-0000-0000-00004FD10000}"/>
    <cellStyle name="Normal 2 4 6 31" xfId="22387" xr:uid="{00000000-0005-0000-0000-000050D10000}"/>
    <cellStyle name="Normal 2 4 6 31 10" xfId="57124" xr:uid="{00000000-0005-0000-0000-000051D10000}"/>
    <cellStyle name="Normal 2 4 6 31 2" xfId="22388" xr:uid="{00000000-0005-0000-0000-000052D10000}"/>
    <cellStyle name="Normal 2 4 6 31 2 2" xfId="22389" xr:uid="{00000000-0005-0000-0000-000053D10000}"/>
    <cellStyle name="Normal 2 4 6 31 2 2 2" xfId="22390" xr:uid="{00000000-0005-0000-0000-000054D10000}"/>
    <cellStyle name="Normal 2 4 6 31 2 2 2 2" xfId="57125" xr:uid="{00000000-0005-0000-0000-000055D10000}"/>
    <cellStyle name="Normal 2 4 6 31 2 2 3" xfId="22391" xr:uid="{00000000-0005-0000-0000-000056D10000}"/>
    <cellStyle name="Normal 2 4 6 31 2 2 3 2" xfId="57126" xr:uid="{00000000-0005-0000-0000-000057D10000}"/>
    <cellStyle name="Normal 2 4 6 31 2 2 4" xfId="57127" xr:uid="{00000000-0005-0000-0000-000058D10000}"/>
    <cellStyle name="Normal 2 4 6 31 2 3" xfId="22392" xr:uid="{00000000-0005-0000-0000-000059D10000}"/>
    <cellStyle name="Normal 2 4 6 31 2 3 2" xfId="57128" xr:uid="{00000000-0005-0000-0000-00005AD10000}"/>
    <cellStyle name="Normal 2 4 6 31 2 4" xfId="22393" xr:uid="{00000000-0005-0000-0000-00005BD10000}"/>
    <cellStyle name="Normal 2 4 6 31 2 4 2" xfId="57129" xr:uid="{00000000-0005-0000-0000-00005CD10000}"/>
    <cellStyle name="Normal 2 4 6 31 2 5" xfId="22394" xr:uid="{00000000-0005-0000-0000-00005DD10000}"/>
    <cellStyle name="Normal 2 4 6 31 2 5 2" xfId="57130" xr:uid="{00000000-0005-0000-0000-00005ED10000}"/>
    <cellStyle name="Normal 2 4 6 31 2 6" xfId="57131" xr:uid="{00000000-0005-0000-0000-00005FD10000}"/>
    <cellStyle name="Normal 2 4 6 31 2 6 2" xfId="57132" xr:uid="{00000000-0005-0000-0000-000060D10000}"/>
    <cellStyle name="Normal 2 4 6 31 2 7" xfId="57133" xr:uid="{00000000-0005-0000-0000-000061D10000}"/>
    <cellStyle name="Normal 2 4 6 31 3" xfId="22395" xr:uid="{00000000-0005-0000-0000-000062D10000}"/>
    <cellStyle name="Normal 2 4 6 31 3 2" xfId="22396" xr:uid="{00000000-0005-0000-0000-000063D10000}"/>
    <cellStyle name="Normal 2 4 6 31 3 2 2" xfId="57134" xr:uid="{00000000-0005-0000-0000-000064D10000}"/>
    <cellStyle name="Normal 2 4 6 31 3 3" xfId="22397" xr:uid="{00000000-0005-0000-0000-000065D10000}"/>
    <cellStyle name="Normal 2 4 6 31 3 3 2" xfId="57135" xr:uid="{00000000-0005-0000-0000-000066D10000}"/>
    <cellStyle name="Normal 2 4 6 31 3 4" xfId="57136" xr:uid="{00000000-0005-0000-0000-000067D10000}"/>
    <cellStyle name="Normal 2 4 6 31 4" xfId="22398" xr:uid="{00000000-0005-0000-0000-000068D10000}"/>
    <cellStyle name="Normal 2 4 6 31 4 2" xfId="22399" xr:uid="{00000000-0005-0000-0000-000069D10000}"/>
    <cellStyle name="Normal 2 4 6 31 4 2 2" xfId="57137" xr:uid="{00000000-0005-0000-0000-00006AD10000}"/>
    <cellStyle name="Normal 2 4 6 31 4 3" xfId="57138" xr:uid="{00000000-0005-0000-0000-00006BD10000}"/>
    <cellStyle name="Normal 2 4 6 31 5" xfId="22400" xr:uid="{00000000-0005-0000-0000-00006CD10000}"/>
    <cellStyle name="Normal 2 4 6 31 5 2" xfId="57139" xr:uid="{00000000-0005-0000-0000-00006DD10000}"/>
    <cellStyle name="Normal 2 4 6 31 6" xfId="22401" xr:uid="{00000000-0005-0000-0000-00006ED10000}"/>
    <cellStyle name="Normal 2 4 6 31 6 2" xfId="57140" xr:uid="{00000000-0005-0000-0000-00006FD10000}"/>
    <cellStyle name="Normal 2 4 6 31 7" xfId="57141" xr:uid="{00000000-0005-0000-0000-000070D10000}"/>
    <cellStyle name="Normal 2 4 6 31 7 2" xfId="57142" xr:uid="{00000000-0005-0000-0000-000071D10000}"/>
    <cellStyle name="Normal 2 4 6 31 8" xfId="57143" xr:uid="{00000000-0005-0000-0000-000072D10000}"/>
    <cellStyle name="Normal 2 4 6 31 9" xfId="57144" xr:uid="{00000000-0005-0000-0000-000073D10000}"/>
    <cellStyle name="Normal 2 4 6 32" xfId="22402" xr:uid="{00000000-0005-0000-0000-000074D10000}"/>
    <cellStyle name="Normal 2 4 6 32 2" xfId="22403" xr:uid="{00000000-0005-0000-0000-000075D10000}"/>
    <cellStyle name="Normal 2 4 6 32 2 2" xfId="22404" xr:uid="{00000000-0005-0000-0000-000076D10000}"/>
    <cellStyle name="Normal 2 4 6 32 2 2 2" xfId="57145" xr:uid="{00000000-0005-0000-0000-000077D10000}"/>
    <cellStyle name="Normal 2 4 6 32 2 3" xfId="22405" xr:uid="{00000000-0005-0000-0000-000078D10000}"/>
    <cellStyle name="Normal 2 4 6 32 2 3 2" xfId="57146" xr:uid="{00000000-0005-0000-0000-000079D10000}"/>
    <cellStyle name="Normal 2 4 6 32 2 4" xfId="57147" xr:uid="{00000000-0005-0000-0000-00007AD10000}"/>
    <cellStyle name="Normal 2 4 6 32 3" xfId="22406" xr:uid="{00000000-0005-0000-0000-00007BD10000}"/>
    <cellStyle name="Normal 2 4 6 32 3 2" xfId="57148" xr:uid="{00000000-0005-0000-0000-00007CD10000}"/>
    <cellStyle name="Normal 2 4 6 32 4" xfId="22407" xr:uid="{00000000-0005-0000-0000-00007DD10000}"/>
    <cellStyle name="Normal 2 4 6 32 4 2" xfId="57149" xr:uid="{00000000-0005-0000-0000-00007ED10000}"/>
    <cellStyle name="Normal 2 4 6 32 5" xfId="22408" xr:uid="{00000000-0005-0000-0000-00007FD10000}"/>
    <cellStyle name="Normal 2 4 6 32 5 2" xfId="57150" xr:uid="{00000000-0005-0000-0000-000080D10000}"/>
    <cellStyle name="Normal 2 4 6 32 6" xfId="57151" xr:uid="{00000000-0005-0000-0000-000081D10000}"/>
    <cellStyle name="Normal 2 4 6 32 6 2" xfId="57152" xr:uid="{00000000-0005-0000-0000-000082D10000}"/>
    <cellStyle name="Normal 2 4 6 32 7" xfId="57153" xr:uid="{00000000-0005-0000-0000-000083D10000}"/>
    <cellStyle name="Normal 2 4 6 33" xfId="22409" xr:uid="{00000000-0005-0000-0000-000084D10000}"/>
    <cellStyle name="Normal 2 4 6 33 2" xfId="22410" xr:uid="{00000000-0005-0000-0000-000085D10000}"/>
    <cellStyle name="Normal 2 4 6 33 2 2" xfId="57154" xr:uid="{00000000-0005-0000-0000-000086D10000}"/>
    <cellStyle name="Normal 2 4 6 33 3" xfId="22411" xr:uid="{00000000-0005-0000-0000-000087D10000}"/>
    <cellStyle name="Normal 2 4 6 33 3 2" xfId="57155" xr:uid="{00000000-0005-0000-0000-000088D10000}"/>
    <cellStyle name="Normal 2 4 6 33 4" xfId="57156" xr:uid="{00000000-0005-0000-0000-000089D10000}"/>
    <cellStyle name="Normal 2 4 6 34" xfId="22412" xr:uid="{00000000-0005-0000-0000-00008AD10000}"/>
    <cellStyle name="Normal 2 4 6 34 2" xfId="22413" xr:uid="{00000000-0005-0000-0000-00008BD10000}"/>
    <cellStyle name="Normal 2 4 6 34 2 2" xfId="57157" xr:uid="{00000000-0005-0000-0000-00008CD10000}"/>
    <cellStyle name="Normal 2 4 6 34 3" xfId="57158" xr:uid="{00000000-0005-0000-0000-00008DD10000}"/>
    <cellStyle name="Normal 2 4 6 35" xfId="22414" xr:uid="{00000000-0005-0000-0000-00008ED10000}"/>
    <cellStyle name="Normal 2 4 6 35 2" xfId="57159" xr:uid="{00000000-0005-0000-0000-00008FD10000}"/>
    <cellStyle name="Normal 2 4 6 36" xfId="22415" xr:uid="{00000000-0005-0000-0000-000090D10000}"/>
    <cellStyle name="Normal 2 4 6 36 2" xfId="57160" xr:uid="{00000000-0005-0000-0000-000091D10000}"/>
    <cellStyle name="Normal 2 4 6 37" xfId="57161" xr:uid="{00000000-0005-0000-0000-000092D10000}"/>
    <cellStyle name="Normal 2 4 6 37 2" xfId="57162" xr:uid="{00000000-0005-0000-0000-000093D10000}"/>
    <cellStyle name="Normal 2 4 6 38" xfId="57163" xr:uid="{00000000-0005-0000-0000-000094D10000}"/>
    <cellStyle name="Normal 2 4 6 39" xfId="57164" xr:uid="{00000000-0005-0000-0000-000095D10000}"/>
    <cellStyle name="Normal 2 4 6 4" xfId="22416" xr:uid="{00000000-0005-0000-0000-000096D10000}"/>
    <cellStyle name="Normal 2 4 6 4 10" xfId="57165" xr:uid="{00000000-0005-0000-0000-000097D10000}"/>
    <cellStyle name="Normal 2 4 6 4 11" xfId="57166" xr:uid="{00000000-0005-0000-0000-000098D10000}"/>
    <cellStyle name="Normal 2 4 6 4 2" xfId="22417" xr:uid="{00000000-0005-0000-0000-000099D10000}"/>
    <cellStyle name="Normal 2 4 6 4 2 10" xfId="57167" xr:uid="{00000000-0005-0000-0000-00009AD10000}"/>
    <cellStyle name="Normal 2 4 6 4 2 2" xfId="22418" xr:uid="{00000000-0005-0000-0000-00009BD10000}"/>
    <cellStyle name="Normal 2 4 6 4 2 2 2" xfId="22419" xr:uid="{00000000-0005-0000-0000-00009CD10000}"/>
    <cellStyle name="Normal 2 4 6 4 2 2 2 2" xfId="22420" xr:uid="{00000000-0005-0000-0000-00009DD10000}"/>
    <cellStyle name="Normal 2 4 6 4 2 2 2 2 2" xfId="57168" xr:uid="{00000000-0005-0000-0000-00009ED10000}"/>
    <cellStyle name="Normal 2 4 6 4 2 2 2 3" xfId="22421" xr:uid="{00000000-0005-0000-0000-00009FD10000}"/>
    <cellStyle name="Normal 2 4 6 4 2 2 2 3 2" xfId="57169" xr:uid="{00000000-0005-0000-0000-0000A0D10000}"/>
    <cellStyle name="Normal 2 4 6 4 2 2 2 4" xfId="57170" xr:uid="{00000000-0005-0000-0000-0000A1D10000}"/>
    <cellStyle name="Normal 2 4 6 4 2 2 3" xfId="22422" xr:uid="{00000000-0005-0000-0000-0000A2D10000}"/>
    <cellStyle name="Normal 2 4 6 4 2 2 3 2" xfId="57171" xr:uid="{00000000-0005-0000-0000-0000A3D10000}"/>
    <cellStyle name="Normal 2 4 6 4 2 2 4" xfId="22423" xr:uid="{00000000-0005-0000-0000-0000A4D10000}"/>
    <cellStyle name="Normal 2 4 6 4 2 2 4 2" xfId="57172" xr:uid="{00000000-0005-0000-0000-0000A5D10000}"/>
    <cellStyle name="Normal 2 4 6 4 2 2 5" xfId="22424" xr:uid="{00000000-0005-0000-0000-0000A6D10000}"/>
    <cellStyle name="Normal 2 4 6 4 2 2 5 2" xfId="57173" xr:uid="{00000000-0005-0000-0000-0000A7D10000}"/>
    <cellStyle name="Normal 2 4 6 4 2 2 6" xfId="57174" xr:uid="{00000000-0005-0000-0000-0000A8D10000}"/>
    <cellStyle name="Normal 2 4 6 4 2 2 6 2" xfId="57175" xr:uid="{00000000-0005-0000-0000-0000A9D10000}"/>
    <cellStyle name="Normal 2 4 6 4 2 2 7" xfId="57176" xr:uid="{00000000-0005-0000-0000-0000AAD10000}"/>
    <cellStyle name="Normal 2 4 6 4 2 3" xfId="22425" xr:uid="{00000000-0005-0000-0000-0000ABD10000}"/>
    <cellStyle name="Normal 2 4 6 4 2 3 2" xfId="22426" xr:uid="{00000000-0005-0000-0000-0000ACD10000}"/>
    <cellStyle name="Normal 2 4 6 4 2 3 2 2" xfId="57177" xr:uid="{00000000-0005-0000-0000-0000ADD10000}"/>
    <cellStyle name="Normal 2 4 6 4 2 3 3" xfId="22427" xr:uid="{00000000-0005-0000-0000-0000AED10000}"/>
    <cellStyle name="Normal 2 4 6 4 2 3 3 2" xfId="57178" xr:uid="{00000000-0005-0000-0000-0000AFD10000}"/>
    <cellStyle name="Normal 2 4 6 4 2 3 4" xfId="57179" xr:uid="{00000000-0005-0000-0000-0000B0D10000}"/>
    <cellStyle name="Normal 2 4 6 4 2 4" xfId="22428" xr:uid="{00000000-0005-0000-0000-0000B1D10000}"/>
    <cellStyle name="Normal 2 4 6 4 2 4 2" xfId="22429" xr:uid="{00000000-0005-0000-0000-0000B2D10000}"/>
    <cellStyle name="Normal 2 4 6 4 2 4 2 2" xfId="57180" xr:uid="{00000000-0005-0000-0000-0000B3D10000}"/>
    <cellStyle name="Normal 2 4 6 4 2 4 3" xfId="57181" xr:uid="{00000000-0005-0000-0000-0000B4D10000}"/>
    <cellStyle name="Normal 2 4 6 4 2 5" xfId="22430" xr:uid="{00000000-0005-0000-0000-0000B5D10000}"/>
    <cellStyle name="Normal 2 4 6 4 2 5 2" xfId="57182" xr:uid="{00000000-0005-0000-0000-0000B6D10000}"/>
    <cellStyle name="Normal 2 4 6 4 2 6" xfId="22431" xr:uid="{00000000-0005-0000-0000-0000B7D10000}"/>
    <cellStyle name="Normal 2 4 6 4 2 6 2" xfId="57183" xr:uid="{00000000-0005-0000-0000-0000B8D10000}"/>
    <cellStyle name="Normal 2 4 6 4 2 7" xfId="57184" xr:uid="{00000000-0005-0000-0000-0000B9D10000}"/>
    <cellStyle name="Normal 2 4 6 4 2 7 2" xfId="57185" xr:uid="{00000000-0005-0000-0000-0000BAD10000}"/>
    <cellStyle name="Normal 2 4 6 4 2 8" xfId="57186" xr:uid="{00000000-0005-0000-0000-0000BBD10000}"/>
    <cellStyle name="Normal 2 4 6 4 2 9" xfId="57187" xr:uid="{00000000-0005-0000-0000-0000BCD10000}"/>
    <cellStyle name="Normal 2 4 6 4 3" xfId="22432" xr:uid="{00000000-0005-0000-0000-0000BDD10000}"/>
    <cellStyle name="Normal 2 4 6 4 3 2" xfId="22433" xr:uid="{00000000-0005-0000-0000-0000BED10000}"/>
    <cellStyle name="Normal 2 4 6 4 3 2 2" xfId="22434" xr:uid="{00000000-0005-0000-0000-0000BFD10000}"/>
    <cellStyle name="Normal 2 4 6 4 3 2 2 2" xfId="57188" xr:uid="{00000000-0005-0000-0000-0000C0D10000}"/>
    <cellStyle name="Normal 2 4 6 4 3 2 3" xfId="22435" xr:uid="{00000000-0005-0000-0000-0000C1D10000}"/>
    <cellStyle name="Normal 2 4 6 4 3 2 3 2" xfId="57189" xr:uid="{00000000-0005-0000-0000-0000C2D10000}"/>
    <cellStyle name="Normal 2 4 6 4 3 2 4" xfId="57190" xr:uid="{00000000-0005-0000-0000-0000C3D10000}"/>
    <cellStyle name="Normal 2 4 6 4 3 3" xfId="22436" xr:uid="{00000000-0005-0000-0000-0000C4D10000}"/>
    <cellStyle name="Normal 2 4 6 4 3 3 2" xfId="57191" xr:uid="{00000000-0005-0000-0000-0000C5D10000}"/>
    <cellStyle name="Normal 2 4 6 4 3 4" xfId="22437" xr:uid="{00000000-0005-0000-0000-0000C6D10000}"/>
    <cellStyle name="Normal 2 4 6 4 3 4 2" xfId="57192" xr:uid="{00000000-0005-0000-0000-0000C7D10000}"/>
    <cellStyle name="Normal 2 4 6 4 3 5" xfId="22438" xr:uid="{00000000-0005-0000-0000-0000C8D10000}"/>
    <cellStyle name="Normal 2 4 6 4 3 5 2" xfId="57193" xr:uid="{00000000-0005-0000-0000-0000C9D10000}"/>
    <cellStyle name="Normal 2 4 6 4 3 6" xfId="57194" xr:uid="{00000000-0005-0000-0000-0000CAD10000}"/>
    <cellStyle name="Normal 2 4 6 4 3 6 2" xfId="57195" xr:uid="{00000000-0005-0000-0000-0000CBD10000}"/>
    <cellStyle name="Normal 2 4 6 4 3 7" xfId="57196" xr:uid="{00000000-0005-0000-0000-0000CCD10000}"/>
    <cellStyle name="Normal 2 4 6 4 4" xfId="22439" xr:uid="{00000000-0005-0000-0000-0000CDD10000}"/>
    <cellStyle name="Normal 2 4 6 4 4 2" xfId="22440" xr:uid="{00000000-0005-0000-0000-0000CED10000}"/>
    <cellStyle name="Normal 2 4 6 4 4 2 2" xfId="57197" xr:uid="{00000000-0005-0000-0000-0000CFD10000}"/>
    <cellStyle name="Normal 2 4 6 4 4 3" xfId="22441" xr:uid="{00000000-0005-0000-0000-0000D0D10000}"/>
    <cellStyle name="Normal 2 4 6 4 4 3 2" xfId="57198" xr:uid="{00000000-0005-0000-0000-0000D1D10000}"/>
    <cellStyle name="Normal 2 4 6 4 4 4" xfId="57199" xr:uid="{00000000-0005-0000-0000-0000D2D10000}"/>
    <cellStyle name="Normal 2 4 6 4 5" xfId="22442" xr:uid="{00000000-0005-0000-0000-0000D3D10000}"/>
    <cellStyle name="Normal 2 4 6 4 5 2" xfId="22443" xr:uid="{00000000-0005-0000-0000-0000D4D10000}"/>
    <cellStyle name="Normal 2 4 6 4 5 2 2" xfId="57200" xr:uid="{00000000-0005-0000-0000-0000D5D10000}"/>
    <cellStyle name="Normal 2 4 6 4 5 3" xfId="57201" xr:uid="{00000000-0005-0000-0000-0000D6D10000}"/>
    <cellStyle name="Normal 2 4 6 4 6" xfId="22444" xr:uid="{00000000-0005-0000-0000-0000D7D10000}"/>
    <cellStyle name="Normal 2 4 6 4 6 2" xfId="57202" xr:uid="{00000000-0005-0000-0000-0000D8D10000}"/>
    <cellStyle name="Normal 2 4 6 4 7" xfId="22445" xr:uid="{00000000-0005-0000-0000-0000D9D10000}"/>
    <cellStyle name="Normal 2 4 6 4 7 2" xfId="57203" xr:uid="{00000000-0005-0000-0000-0000DAD10000}"/>
    <cellStyle name="Normal 2 4 6 4 8" xfId="57204" xr:uid="{00000000-0005-0000-0000-0000DBD10000}"/>
    <cellStyle name="Normal 2 4 6 4 8 2" xfId="57205" xr:uid="{00000000-0005-0000-0000-0000DCD10000}"/>
    <cellStyle name="Normal 2 4 6 4 9" xfId="57206" xr:uid="{00000000-0005-0000-0000-0000DDD10000}"/>
    <cellStyle name="Normal 2 4 6 40" xfId="57207" xr:uid="{00000000-0005-0000-0000-0000DED10000}"/>
    <cellStyle name="Normal 2 4 6 5" xfId="22446" xr:uid="{00000000-0005-0000-0000-0000DFD10000}"/>
    <cellStyle name="Normal 2 4 6 5 10" xfId="57208" xr:uid="{00000000-0005-0000-0000-0000E0D10000}"/>
    <cellStyle name="Normal 2 4 6 5 11" xfId="57209" xr:uid="{00000000-0005-0000-0000-0000E1D10000}"/>
    <cellStyle name="Normal 2 4 6 5 2" xfId="22447" xr:uid="{00000000-0005-0000-0000-0000E2D10000}"/>
    <cellStyle name="Normal 2 4 6 5 2 10" xfId="57210" xr:uid="{00000000-0005-0000-0000-0000E3D10000}"/>
    <cellStyle name="Normal 2 4 6 5 2 2" xfId="22448" xr:uid="{00000000-0005-0000-0000-0000E4D10000}"/>
    <cellStyle name="Normal 2 4 6 5 2 2 2" xfId="22449" xr:uid="{00000000-0005-0000-0000-0000E5D10000}"/>
    <cellStyle name="Normal 2 4 6 5 2 2 2 2" xfId="22450" xr:uid="{00000000-0005-0000-0000-0000E6D10000}"/>
    <cellStyle name="Normal 2 4 6 5 2 2 2 2 2" xfId="57211" xr:uid="{00000000-0005-0000-0000-0000E7D10000}"/>
    <cellStyle name="Normal 2 4 6 5 2 2 2 3" xfId="22451" xr:uid="{00000000-0005-0000-0000-0000E8D10000}"/>
    <cellStyle name="Normal 2 4 6 5 2 2 2 3 2" xfId="57212" xr:uid="{00000000-0005-0000-0000-0000E9D10000}"/>
    <cellStyle name="Normal 2 4 6 5 2 2 2 4" xfId="57213" xr:uid="{00000000-0005-0000-0000-0000EAD10000}"/>
    <cellStyle name="Normal 2 4 6 5 2 2 3" xfId="22452" xr:uid="{00000000-0005-0000-0000-0000EBD10000}"/>
    <cellStyle name="Normal 2 4 6 5 2 2 3 2" xfId="57214" xr:uid="{00000000-0005-0000-0000-0000ECD10000}"/>
    <cellStyle name="Normal 2 4 6 5 2 2 4" xfId="22453" xr:uid="{00000000-0005-0000-0000-0000EDD10000}"/>
    <cellStyle name="Normal 2 4 6 5 2 2 4 2" xfId="57215" xr:uid="{00000000-0005-0000-0000-0000EED10000}"/>
    <cellStyle name="Normal 2 4 6 5 2 2 5" xfId="22454" xr:uid="{00000000-0005-0000-0000-0000EFD10000}"/>
    <cellStyle name="Normal 2 4 6 5 2 2 5 2" xfId="57216" xr:uid="{00000000-0005-0000-0000-0000F0D10000}"/>
    <cellStyle name="Normal 2 4 6 5 2 2 6" xfId="57217" xr:uid="{00000000-0005-0000-0000-0000F1D10000}"/>
    <cellStyle name="Normal 2 4 6 5 2 2 6 2" xfId="57218" xr:uid="{00000000-0005-0000-0000-0000F2D10000}"/>
    <cellStyle name="Normal 2 4 6 5 2 2 7" xfId="57219" xr:uid="{00000000-0005-0000-0000-0000F3D10000}"/>
    <cellStyle name="Normal 2 4 6 5 2 3" xfId="22455" xr:uid="{00000000-0005-0000-0000-0000F4D10000}"/>
    <cellStyle name="Normal 2 4 6 5 2 3 2" xfId="22456" xr:uid="{00000000-0005-0000-0000-0000F5D10000}"/>
    <cellStyle name="Normal 2 4 6 5 2 3 2 2" xfId="57220" xr:uid="{00000000-0005-0000-0000-0000F6D10000}"/>
    <cellStyle name="Normal 2 4 6 5 2 3 3" xfId="22457" xr:uid="{00000000-0005-0000-0000-0000F7D10000}"/>
    <cellStyle name="Normal 2 4 6 5 2 3 3 2" xfId="57221" xr:uid="{00000000-0005-0000-0000-0000F8D10000}"/>
    <cellStyle name="Normal 2 4 6 5 2 3 4" xfId="57222" xr:uid="{00000000-0005-0000-0000-0000F9D10000}"/>
    <cellStyle name="Normal 2 4 6 5 2 4" xfId="22458" xr:uid="{00000000-0005-0000-0000-0000FAD10000}"/>
    <cellStyle name="Normal 2 4 6 5 2 4 2" xfId="22459" xr:uid="{00000000-0005-0000-0000-0000FBD10000}"/>
    <cellStyle name="Normal 2 4 6 5 2 4 2 2" xfId="57223" xr:uid="{00000000-0005-0000-0000-0000FCD10000}"/>
    <cellStyle name="Normal 2 4 6 5 2 4 3" xfId="57224" xr:uid="{00000000-0005-0000-0000-0000FDD10000}"/>
    <cellStyle name="Normal 2 4 6 5 2 5" xfId="22460" xr:uid="{00000000-0005-0000-0000-0000FED10000}"/>
    <cellStyle name="Normal 2 4 6 5 2 5 2" xfId="57225" xr:uid="{00000000-0005-0000-0000-0000FFD10000}"/>
    <cellStyle name="Normal 2 4 6 5 2 6" xfId="22461" xr:uid="{00000000-0005-0000-0000-000000D20000}"/>
    <cellStyle name="Normal 2 4 6 5 2 6 2" xfId="57226" xr:uid="{00000000-0005-0000-0000-000001D20000}"/>
    <cellStyle name="Normal 2 4 6 5 2 7" xfId="57227" xr:uid="{00000000-0005-0000-0000-000002D20000}"/>
    <cellStyle name="Normal 2 4 6 5 2 7 2" xfId="57228" xr:uid="{00000000-0005-0000-0000-000003D20000}"/>
    <cellStyle name="Normal 2 4 6 5 2 8" xfId="57229" xr:uid="{00000000-0005-0000-0000-000004D20000}"/>
    <cellStyle name="Normal 2 4 6 5 2 9" xfId="57230" xr:uid="{00000000-0005-0000-0000-000005D20000}"/>
    <cellStyle name="Normal 2 4 6 5 3" xfId="22462" xr:uid="{00000000-0005-0000-0000-000006D20000}"/>
    <cellStyle name="Normal 2 4 6 5 3 2" xfId="22463" xr:uid="{00000000-0005-0000-0000-000007D20000}"/>
    <cellStyle name="Normal 2 4 6 5 3 2 2" xfId="22464" xr:uid="{00000000-0005-0000-0000-000008D20000}"/>
    <cellStyle name="Normal 2 4 6 5 3 2 2 2" xfId="57231" xr:uid="{00000000-0005-0000-0000-000009D20000}"/>
    <cellStyle name="Normal 2 4 6 5 3 2 3" xfId="22465" xr:uid="{00000000-0005-0000-0000-00000AD20000}"/>
    <cellStyle name="Normal 2 4 6 5 3 2 3 2" xfId="57232" xr:uid="{00000000-0005-0000-0000-00000BD20000}"/>
    <cellStyle name="Normal 2 4 6 5 3 2 4" xfId="57233" xr:uid="{00000000-0005-0000-0000-00000CD20000}"/>
    <cellStyle name="Normal 2 4 6 5 3 3" xfId="22466" xr:uid="{00000000-0005-0000-0000-00000DD20000}"/>
    <cellStyle name="Normal 2 4 6 5 3 3 2" xfId="57234" xr:uid="{00000000-0005-0000-0000-00000ED20000}"/>
    <cellStyle name="Normal 2 4 6 5 3 4" xfId="22467" xr:uid="{00000000-0005-0000-0000-00000FD20000}"/>
    <cellStyle name="Normal 2 4 6 5 3 4 2" xfId="57235" xr:uid="{00000000-0005-0000-0000-000010D20000}"/>
    <cellStyle name="Normal 2 4 6 5 3 5" xfId="22468" xr:uid="{00000000-0005-0000-0000-000011D20000}"/>
    <cellStyle name="Normal 2 4 6 5 3 5 2" xfId="57236" xr:uid="{00000000-0005-0000-0000-000012D20000}"/>
    <cellStyle name="Normal 2 4 6 5 3 6" xfId="57237" xr:uid="{00000000-0005-0000-0000-000013D20000}"/>
    <cellStyle name="Normal 2 4 6 5 3 6 2" xfId="57238" xr:uid="{00000000-0005-0000-0000-000014D20000}"/>
    <cellStyle name="Normal 2 4 6 5 3 7" xfId="57239" xr:uid="{00000000-0005-0000-0000-000015D20000}"/>
    <cellStyle name="Normal 2 4 6 5 4" xfId="22469" xr:uid="{00000000-0005-0000-0000-000016D20000}"/>
    <cellStyle name="Normal 2 4 6 5 4 2" xfId="22470" xr:uid="{00000000-0005-0000-0000-000017D20000}"/>
    <cellStyle name="Normal 2 4 6 5 4 2 2" xfId="57240" xr:uid="{00000000-0005-0000-0000-000018D20000}"/>
    <cellStyle name="Normal 2 4 6 5 4 3" xfId="22471" xr:uid="{00000000-0005-0000-0000-000019D20000}"/>
    <cellStyle name="Normal 2 4 6 5 4 3 2" xfId="57241" xr:uid="{00000000-0005-0000-0000-00001AD20000}"/>
    <cellStyle name="Normal 2 4 6 5 4 4" xfId="57242" xr:uid="{00000000-0005-0000-0000-00001BD20000}"/>
    <cellStyle name="Normal 2 4 6 5 5" xfId="22472" xr:uid="{00000000-0005-0000-0000-00001CD20000}"/>
    <cellStyle name="Normal 2 4 6 5 5 2" xfId="22473" xr:uid="{00000000-0005-0000-0000-00001DD20000}"/>
    <cellStyle name="Normal 2 4 6 5 5 2 2" xfId="57243" xr:uid="{00000000-0005-0000-0000-00001ED20000}"/>
    <cellStyle name="Normal 2 4 6 5 5 3" xfId="57244" xr:uid="{00000000-0005-0000-0000-00001FD20000}"/>
    <cellStyle name="Normal 2 4 6 5 6" xfId="22474" xr:uid="{00000000-0005-0000-0000-000020D20000}"/>
    <cellStyle name="Normal 2 4 6 5 6 2" xfId="57245" xr:uid="{00000000-0005-0000-0000-000021D20000}"/>
    <cellStyle name="Normal 2 4 6 5 7" xfId="22475" xr:uid="{00000000-0005-0000-0000-000022D20000}"/>
    <cellStyle name="Normal 2 4 6 5 7 2" xfId="57246" xr:uid="{00000000-0005-0000-0000-000023D20000}"/>
    <cellStyle name="Normal 2 4 6 5 8" xfId="57247" xr:uid="{00000000-0005-0000-0000-000024D20000}"/>
    <cellStyle name="Normal 2 4 6 5 8 2" xfId="57248" xr:uid="{00000000-0005-0000-0000-000025D20000}"/>
    <cellStyle name="Normal 2 4 6 5 9" xfId="57249" xr:uid="{00000000-0005-0000-0000-000026D20000}"/>
    <cellStyle name="Normal 2 4 6 6" xfId="22476" xr:uid="{00000000-0005-0000-0000-000027D20000}"/>
    <cellStyle name="Normal 2 4 6 6 10" xfId="57250" xr:uid="{00000000-0005-0000-0000-000028D20000}"/>
    <cellStyle name="Normal 2 4 6 6 11" xfId="57251" xr:uid="{00000000-0005-0000-0000-000029D20000}"/>
    <cellStyle name="Normal 2 4 6 6 2" xfId="22477" xr:uid="{00000000-0005-0000-0000-00002AD20000}"/>
    <cellStyle name="Normal 2 4 6 6 2 10" xfId="57252" xr:uid="{00000000-0005-0000-0000-00002BD20000}"/>
    <cellStyle name="Normal 2 4 6 6 2 2" xfId="22478" xr:uid="{00000000-0005-0000-0000-00002CD20000}"/>
    <cellStyle name="Normal 2 4 6 6 2 2 2" xfId="22479" xr:uid="{00000000-0005-0000-0000-00002DD20000}"/>
    <cellStyle name="Normal 2 4 6 6 2 2 2 2" xfId="22480" xr:uid="{00000000-0005-0000-0000-00002ED20000}"/>
    <cellStyle name="Normal 2 4 6 6 2 2 2 2 2" xfId="57253" xr:uid="{00000000-0005-0000-0000-00002FD20000}"/>
    <cellStyle name="Normal 2 4 6 6 2 2 2 3" xfId="22481" xr:uid="{00000000-0005-0000-0000-000030D20000}"/>
    <cellStyle name="Normal 2 4 6 6 2 2 2 3 2" xfId="57254" xr:uid="{00000000-0005-0000-0000-000031D20000}"/>
    <cellStyle name="Normal 2 4 6 6 2 2 2 4" xfId="57255" xr:uid="{00000000-0005-0000-0000-000032D20000}"/>
    <cellStyle name="Normal 2 4 6 6 2 2 3" xfId="22482" xr:uid="{00000000-0005-0000-0000-000033D20000}"/>
    <cellStyle name="Normal 2 4 6 6 2 2 3 2" xfId="57256" xr:uid="{00000000-0005-0000-0000-000034D20000}"/>
    <cellStyle name="Normal 2 4 6 6 2 2 4" xfId="22483" xr:uid="{00000000-0005-0000-0000-000035D20000}"/>
    <cellStyle name="Normal 2 4 6 6 2 2 4 2" xfId="57257" xr:uid="{00000000-0005-0000-0000-000036D20000}"/>
    <cellStyle name="Normal 2 4 6 6 2 2 5" xfId="22484" xr:uid="{00000000-0005-0000-0000-000037D20000}"/>
    <cellStyle name="Normal 2 4 6 6 2 2 5 2" xfId="57258" xr:uid="{00000000-0005-0000-0000-000038D20000}"/>
    <cellStyle name="Normal 2 4 6 6 2 2 6" xfId="57259" xr:uid="{00000000-0005-0000-0000-000039D20000}"/>
    <cellStyle name="Normal 2 4 6 6 2 2 6 2" xfId="57260" xr:uid="{00000000-0005-0000-0000-00003AD20000}"/>
    <cellStyle name="Normal 2 4 6 6 2 2 7" xfId="57261" xr:uid="{00000000-0005-0000-0000-00003BD20000}"/>
    <cellStyle name="Normal 2 4 6 6 2 3" xfId="22485" xr:uid="{00000000-0005-0000-0000-00003CD20000}"/>
    <cellStyle name="Normal 2 4 6 6 2 3 2" xfId="22486" xr:uid="{00000000-0005-0000-0000-00003DD20000}"/>
    <cellStyle name="Normal 2 4 6 6 2 3 2 2" xfId="57262" xr:uid="{00000000-0005-0000-0000-00003ED20000}"/>
    <cellStyle name="Normal 2 4 6 6 2 3 3" xfId="22487" xr:uid="{00000000-0005-0000-0000-00003FD20000}"/>
    <cellStyle name="Normal 2 4 6 6 2 3 3 2" xfId="57263" xr:uid="{00000000-0005-0000-0000-000040D20000}"/>
    <cellStyle name="Normal 2 4 6 6 2 3 4" xfId="57264" xr:uid="{00000000-0005-0000-0000-000041D20000}"/>
    <cellStyle name="Normal 2 4 6 6 2 4" xfId="22488" xr:uid="{00000000-0005-0000-0000-000042D20000}"/>
    <cellStyle name="Normal 2 4 6 6 2 4 2" xfId="22489" xr:uid="{00000000-0005-0000-0000-000043D20000}"/>
    <cellStyle name="Normal 2 4 6 6 2 4 2 2" xfId="57265" xr:uid="{00000000-0005-0000-0000-000044D20000}"/>
    <cellStyle name="Normal 2 4 6 6 2 4 3" xfId="57266" xr:uid="{00000000-0005-0000-0000-000045D20000}"/>
    <cellStyle name="Normal 2 4 6 6 2 5" xfId="22490" xr:uid="{00000000-0005-0000-0000-000046D20000}"/>
    <cellStyle name="Normal 2 4 6 6 2 5 2" xfId="57267" xr:uid="{00000000-0005-0000-0000-000047D20000}"/>
    <cellStyle name="Normal 2 4 6 6 2 6" xfId="22491" xr:uid="{00000000-0005-0000-0000-000048D20000}"/>
    <cellStyle name="Normal 2 4 6 6 2 6 2" xfId="57268" xr:uid="{00000000-0005-0000-0000-000049D20000}"/>
    <cellStyle name="Normal 2 4 6 6 2 7" xfId="57269" xr:uid="{00000000-0005-0000-0000-00004AD20000}"/>
    <cellStyle name="Normal 2 4 6 6 2 7 2" xfId="57270" xr:uid="{00000000-0005-0000-0000-00004BD20000}"/>
    <cellStyle name="Normal 2 4 6 6 2 8" xfId="57271" xr:uid="{00000000-0005-0000-0000-00004CD20000}"/>
    <cellStyle name="Normal 2 4 6 6 2 9" xfId="57272" xr:uid="{00000000-0005-0000-0000-00004DD20000}"/>
    <cellStyle name="Normal 2 4 6 6 3" xfId="22492" xr:uid="{00000000-0005-0000-0000-00004ED20000}"/>
    <cellStyle name="Normal 2 4 6 6 3 2" xfId="22493" xr:uid="{00000000-0005-0000-0000-00004FD20000}"/>
    <cellStyle name="Normal 2 4 6 6 3 2 2" xfId="22494" xr:uid="{00000000-0005-0000-0000-000050D20000}"/>
    <cellStyle name="Normal 2 4 6 6 3 2 2 2" xfId="57273" xr:uid="{00000000-0005-0000-0000-000051D20000}"/>
    <cellStyle name="Normal 2 4 6 6 3 2 3" xfId="22495" xr:uid="{00000000-0005-0000-0000-000052D20000}"/>
    <cellStyle name="Normal 2 4 6 6 3 2 3 2" xfId="57274" xr:uid="{00000000-0005-0000-0000-000053D20000}"/>
    <cellStyle name="Normal 2 4 6 6 3 2 4" xfId="57275" xr:uid="{00000000-0005-0000-0000-000054D20000}"/>
    <cellStyle name="Normal 2 4 6 6 3 3" xfId="22496" xr:uid="{00000000-0005-0000-0000-000055D20000}"/>
    <cellStyle name="Normal 2 4 6 6 3 3 2" xfId="57276" xr:uid="{00000000-0005-0000-0000-000056D20000}"/>
    <cellStyle name="Normal 2 4 6 6 3 4" xfId="22497" xr:uid="{00000000-0005-0000-0000-000057D20000}"/>
    <cellStyle name="Normal 2 4 6 6 3 4 2" xfId="57277" xr:uid="{00000000-0005-0000-0000-000058D20000}"/>
    <cellStyle name="Normal 2 4 6 6 3 5" xfId="22498" xr:uid="{00000000-0005-0000-0000-000059D20000}"/>
    <cellStyle name="Normal 2 4 6 6 3 5 2" xfId="57278" xr:uid="{00000000-0005-0000-0000-00005AD20000}"/>
    <cellStyle name="Normal 2 4 6 6 3 6" xfId="57279" xr:uid="{00000000-0005-0000-0000-00005BD20000}"/>
    <cellStyle name="Normal 2 4 6 6 3 6 2" xfId="57280" xr:uid="{00000000-0005-0000-0000-00005CD20000}"/>
    <cellStyle name="Normal 2 4 6 6 3 7" xfId="57281" xr:uid="{00000000-0005-0000-0000-00005DD20000}"/>
    <cellStyle name="Normal 2 4 6 6 4" xfId="22499" xr:uid="{00000000-0005-0000-0000-00005ED20000}"/>
    <cellStyle name="Normal 2 4 6 6 4 2" xfId="22500" xr:uid="{00000000-0005-0000-0000-00005FD20000}"/>
    <cellStyle name="Normal 2 4 6 6 4 2 2" xfId="57282" xr:uid="{00000000-0005-0000-0000-000060D20000}"/>
    <cellStyle name="Normal 2 4 6 6 4 3" xfId="22501" xr:uid="{00000000-0005-0000-0000-000061D20000}"/>
    <cellStyle name="Normal 2 4 6 6 4 3 2" xfId="57283" xr:uid="{00000000-0005-0000-0000-000062D20000}"/>
    <cellStyle name="Normal 2 4 6 6 4 4" xfId="57284" xr:uid="{00000000-0005-0000-0000-000063D20000}"/>
    <cellStyle name="Normal 2 4 6 6 5" xfId="22502" xr:uid="{00000000-0005-0000-0000-000064D20000}"/>
    <cellStyle name="Normal 2 4 6 6 5 2" xfId="22503" xr:uid="{00000000-0005-0000-0000-000065D20000}"/>
    <cellStyle name="Normal 2 4 6 6 5 2 2" xfId="57285" xr:uid="{00000000-0005-0000-0000-000066D20000}"/>
    <cellStyle name="Normal 2 4 6 6 5 3" xfId="57286" xr:uid="{00000000-0005-0000-0000-000067D20000}"/>
    <cellStyle name="Normal 2 4 6 6 6" xfId="22504" xr:uid="{00000000-0005-0000-0000-000068D20000}"/>
    <cellStyle name="Normal 2 4 6 6 6 2" xfId="57287" xr:uid="{00000000-0005-0000-0000-000069D20000}"/>
    <cellStyle name="Normal 2 4 6 6 7" xfId="22505" xr:uid="{00000000-0005-0000-0000-00006AD20000}"/>
    <cellStyle name="Normal 2 4 6 6 7 2" xfId="57288" xr:uid="{00000000-0005-0000-0000-00006BD20000}"/>
    <cellStyle name="Normal 2 4 6 6 8" xfId="57289" xr:uid="{00000000-0005-0000-0000-00006CD20000}"/>
    <cellStyle name="Normal 2 4 6 6 8 2" xfId="57290" xr:uid="{00000000-0005-0000-0000-00006DD20000}"/>
    <cellStyle name="Normal 2 4 6 6 9" xfId="57291" xr:uid="{00000000-0005-0000-0000-00006ED20000}"/>
    <cellStyle name="Normal 2 4 6 7" xfId="22506" xr:uid="{00000000-0005-0000-0000-00006FD20000}"/>
    <cellStyle name="Normal 2 4 6 7 10" xfId="57292" xr:uid="{00000000-0005-0000-0000-000070D20000}"/>
    <cellStyle name="Normal 2 4 6 7 11" xfId="57293" xr:uid="{00000000-0005-0000-0000-000071D20000}"/>
    <cellStyle name="Normal 2 4 6 7 2" xfId="22507" xr:uid="{00000000-0005-0000-0000-000072D20000}"/>
    <cellStyle name="Normal 2 4 6 7 2 10" xfId="57294" xr:uid="{00000000-0005-0000-0000-000073D20000}"/>
    <cellStyle name="Normal 2 4 6 7 2 2" xfId="22508" xr:uid="{00000000-0005-0000-0000-000074D20000}"/>
    <cellStyle name="Normal 2 4 6 7 2 2 2" xfId="22509" xr:uid="{00000000-0005-0000-0000-000075D20000}"/>
    <cellStyle name="Normal 2 4 6 7 2 2 2 2" xfId="22510" xr:uid="{00000000-0005-0000-0000-000076D20000}"/>
    <cellStyle name="Normal 2 4 6 7 2 2 2 2 2" xfId="57295" xr:uid="{00000000-0005-0000-0000-000077D20000}"/>
    <cellStyle name="Normal 2 4 6 7 2 2 2 3" xfId="22511" xr:uid="{00000000-0005-0000-0000-000078D20000}"/>
    <cellStyle name="Normal 2 4 6 7 2 2 2 3 2" xfId="57296" xr:uid="{00000000-0005-0000-0000-000079D20000}"/>
    <cellStyle name="Normal 2 4 6 7 2 2 2 4" xfId="57297" xr:uid="{00000000-0005-0000-0000-00007AD20000}"/>
    <cellStyle name="Normal 2 4 6 7 2 2 3" xfId="22512" xr:uid="{00000000-0005-0000-0000-00007BD20000}"/>
    <cellStyle name="Normal 2 4 6 7 2 2 3 2" xfId="57298" xr:uid="{00000000-0005-0000-0000-00007CD20000}"/>
    <cellStyle name="Normal 2 4 6 7 2 2 4" xfId="22513" xr:uid="{00000000-0005-0000-0000-00007DD20000}"/>
    <cellStyle name="Normal 2 4 6 7 2 2 4 2" xfId="57299" xr:uid="{00000000-0005-0000-0000-00007ED20000}"/>
    <cellStyle name="Normal 2 4 6 7 2 2 5" xfId="22514" xr:uid="{00000000-0005-0000-0000-00007FD20000}"/>
    <cellStyle name="Normal 2 4 6 7 2 2 5 2" xfId="57300" xr:uid="{00000000-0005-0000-0000-000080D20000}"/>
    <cellStyle name="Normal 2 4 6 7 2 2 6" xfId="57301" xr:uid="{00000000-0005-0000-0000-000081D20000}"/>
    <cellStyle name="Normal 2 4 6 7 2 2 6 2" xfId="57302" xr:uid="{00000000-0005-0000-0000-000082D20000}"/>
    <cellStyle name="Normal 2 4 6 7 2 2 7" xfId="57303" xr:uid="{00000000-0005-0000-0000-000083D20000}"/>
    <cellStyle name="Normal 2 4 6 7 2 3" xfId="22515" xr:uid="{00000000-0005-0000-0000-000084D20000}"/>
    <cellStyle name="Normal 2 4 6 7 2 3 2" xfId="22516" xr:uid="{00000000-0005-0000-0000-000085D20000}"/>
    <cellStyle name="Normal 2 4 6 7 2 3 2 2" xfId="57304" xr:uid="{00000000-0005-0000-0000-000086D20000}"/>
    <cellStyle name="Normal 2 4 6 7 2 3 3" xfId="22517" xr:uid="{00000000-0005-0000-0000-000087D20000}"/>
    <cellStyle name="Normal 2 4 6 7 2 3 3 2" xfId="57305" xr:uid="{00000000-0005-0000-0000-000088D20000}"/>
    <cellStyle name="Normal 2 4 6 7 2 3 4" xfId="57306" xr:uid="{00000000-0005-0000-0000-000089D20000}"/>
    <cellStyle name="Normal 2 4 6 7 2 4" xfId="22518" xr:uid="{00000000-0005-0000-0000-00008AD20000}"/>
    <cellStyle name="Normal 2 4 6 7 2 4 2" xfId="22519" xr:uid="{00000000-0005-0000-0000-00008BD20000}"/>
    <cellStyle name="Normal 2 4 6 7 2 4 2 2" xfId="57307" xr:uid="{00000000-0005-0000-0000-00008CD20000}"/>
    <cellStyle name="Normal 2 4 6 7 2 4 3" xfId="57308" xr:uid="{00000000-0005-0000-0000-00008DD20000}"/>
    <cellStyle name="Normal 2 4 6 7 2 5" xfId="22520" xr:uid="{00000000-0005-0000-0000-00008ED20000}"/>
    <cellStyle name="Normal 2 4 6 7 2 5 2" xfId="57309" xr:uid="{00000000-0005-0000-0000-00008FD20000}"/>
    <cellStyle name="Normal 2 4 6 7 2 6" xfId="22521" xr:uid="{00000000-0005-0000-0000-000090D20000}"/>
    <cellStyle name="Normal 2 4 6 7 2 6 2" xfId="57310" xr:uid="{00000000-0005-0000-0000-000091D20000}"/>
    <cellStyle name="Normal 2 4 6 7 2 7" xfId="57311" xr:uid="{00000000-0005-0000-0000-000092D20000}"/>
    <cellStyle name="Normal 2 4 6 7 2 7 2" xfId="57312" xr:uid="{00000000-0005-0000-0000-000093D20000}"/>
    <cellStyle name="Normal 2 4 6 7 2 8" xfId="57313" xr:uid="{00000000-0005-0000-0000-000094D20000}"/>
    <cellStyle name="Normal 2 4 6 7 2 9" xfId="57314" xr:uid="{00000000-0005-0000-0000-000095D20000}"/>
    <cellStyle name="Normal 2 4 6 7 3" xfId="22522" xr:uid="{00000000-0005-0000-0000-000096D20000}"/>
    <cellStyle name="Normal 2 4 6 7 3 2" xfId="22523" xr:uid="{00000000-0005-0000-0000-000097D20000}"/>
    <cellStyle name="Normal 2 4 6 7 3 2 2" xfId="22524" xr:uid="{00000000-0005-0000-0000-000098D20000}"/>
    <cellStyle name="Normal 2 4 6 7 3 2 2 2" xfId="57315" xr:uid="{00000000-0005-0000-0000-000099D20000}"/>
    <cellStyle name="Normal 2 4 6 7 3 2 3" xfId="22525" xr:uid="{00000000-0005-0000-0000-00009AD20000}"/>
    <cellStyle name="Normal 2 4 6 7 3 2 3 2" xfId="57316" xr:uid="{00000000-0005-0000-0000-00009BD20000}"/>
    <cellStyle name="Normal 2 4 6 7 3 2 4" xfId="57317" xr:uid="{00000000-0005-0000-0000-00009CD20000}"/>
    <cellStyle name="Normal 2 4 6 7 3 3" xfId="22526" xr:uid="{00000000-0005-0000-0000-00009DD20000}"/>
    <cellStyle name="Normal 2 4 6 7 3 3 2" xfId="57318" xr:uid="{00000000-0005-0000-0000-00009ED20000}"/>
    <cellStyle name="Normal 2 4 6 7 3 4" xfId="22527" xr:uid="{00000000-0005-0000-0000-00009FD20000}"/>
    <cellStyle name="Normal 2 4 6 7 3 4 2" xfId="57319" xr:uid="{00000000-0005-0000-0000-0000A0D20000}"/>
    <cellStyle name="Normal 2 4 6 7 3 5" xfId="22528" xr:uid="{00000000-0005-0000-0000-0000A1D20000}"/>
    <cellStyle name="Normal 2 4 6 7 3 5 2" xfId="57320" xr:uid="{00000000-0005-0000-0000-0000A2D20000}"/>
    <cellStyle name="Normal 2 4 6 7 3 6" xfId="57321" xr:uid="{00000000-0005-0000-0000-0000A3D20000}"/>
    <cellStyle name="Normal 2 4 6 7 3 6 2" xfId="57322" xr:uid="{00000000-0005-0000-0000-0000A4D20000}"/>
    <cellStyle name="Normal 2 4 6 7 3 7" xfId="57323" xr:uid="{00000000-0005-0000-0000-0000A5D20000}"/>
    <cellStyle name="Normal 2 4 6 7 4" xfId="22529" xr:uid="{00000000-0005-0000-0000-0000A6D20000}"/>
    <cellStyle name="Normal 2 4 6 7 4 2" xfId="22530" xr:uid="{00000000-0005-0000-0000-0000A7D20000}"/>
    <cellStyle name="Normal 2 4 6 7 4 2 2" xfId="57324" xr:uid="{00000000-0005-0000-0000-0000A8D20000}"/>
    <cellStyle name="Normal 2 4 6 7 4 3" xfId="22531" xr:uid="{00000000-0005-0000-0000-0000A9D20000}"/>
    <cellStyle name="Normal 2 4 6 7 4 3 2" xfId="57325" xr:uid="{00000000-0005-0000-0000-0000AAD20000}"/>
    <cellStyle name="Normal 2 4 6 7 4 4" xfId="57326" xr:uid="{00000000-0005-0000-0000-0000ABD20000}"/>
    <cellStyle name="Normal 2 4 6 7 5" xfId="22532" xr:uid="{00000000-0005-0000-0000-0000ACD20000}"/>
    <cellStyle name="Normal 2 4 6 7 5 2" xfId="22533" xr:uid="{00000000-0005-0000-0000-0000ADD20000}"/>
    <cellStyle name="Normal 2 4 6 7 5 2 2" xfId="57327" xr:uid="{00000000-0005-0000-0000-0000AED20000}"/>
    <cellStyle name="Normal 2 4 6 7 5 3" xfId="57328" xr:uid="{00000000-0005-0000-0000-0000AFD20000}"/>
    <cellStyle name="Normal 2 4 6 7 6" xfId="22534" xr:uid="{00000000-0005-0000-0000-0000B0D20000}"/>
    <cellStyle name="Normal 2 4 6 7 6 2" xfId="57329" xr:uid="{00000000-0005-0000-0000-0000B1D20000}"/>
    <cellStyle name="Normal 2 4 6 7 7" xfId="22535" xr:uid="{00000000-0005-0000-0000-0000B2D20000}"/>
    <cellStyle name="Normal 2 4 6 7 7 2" xfId="57330" xr:uid="{00000000-0005-0000-0000-0000B3D20000}"/>
    <cellStyle name="Normal 2 4 6 7 8" xfId="57331" xr:uid="{00000000-0005-0000-0000-0000B4D20000}"/>
    <cellStyle name="Normal 2 4 6 7 8 2" xfId="57332" xr:uid="{00000000-0005-0000-0000-0000B5D20000}"/>
    <cellStyle name="Normal 2 4 6 7 9" xfId="57333" xr:uid="{00000000-0005-0000-0000-0000B6D20000}"/>
    <cellStyle name="Normal 2 4 6 8" xfId="22536" xr:uid="{00000000-0005-0000-0000-0000B7D20000}"/>
    <cellStyle name="Normal 2 4 6 8 10" xfId="57334" xr:uid="{00000000-0005-0000-0000-0000B8D20000}"/>
    <cellStyle name="Normal 2 4 6 8 11" xfId="57335" xr:uid="{00000000-0005-0000-0000-0000B9D20000}"/>
    <cellStyle name="Normal 2 4 6 8 2" xfId="22537" xr:uid="{00000000-0005-0000-0000-0000BAD20000}"/>
    <cellStyle name="Normal 2 4 6 8 2 10" xfId="57336" xr:uid="{00000000-0005-0000-0000-0000BBD20000}"/>
    <cellStyle name="Normal 2 4 6 8 2 2" xfId="22538" xr:uid="{00000000-0005-0000-0000-0000BCD20000}"/>
    <cellStyle name="Normal 2 4 6 8 2 2 2" xfId="22539" xr:uid="{00000000-0005-0000-0000-0000BDD20000}"/>
    <cellStyle name="Normal 2 4 6 8 2 2 2 2" xfId="22540" xr:uid="{00000000-0005-0000-0000-0000BED20000}"/>
    <cellStyle name="Normal 2 4 6 8 2 2 2 2 2" xfId="57337" xr:uid="{00000000-0005-0000-0000-0000BFD20000}"/>
    <cellStyle name="Normal 2 4 6 8 2 2 2 3" xfId="22541" xr:uid="{00000000-0005-0000-0000-0000C0D20000}"/>
    <cellStyle name="Normal 2 4 6 8 2 2 2 3 2" xfId="57338" xr:uid="{00000000-0005-0000-0000-0000C1D20000}"/>
    <cellStyle name="Normal 2 4 6 8 2 2 2 4" xfId="57339" xr:uid="{00000000-0005-0000-0000-0000C2D20000}"/>
    <cellStyle name="Normal 2 4 6 8 2 2 3" xfId="22542" xr:uid="{00000000-0005-0000-0000-0000C3D20000}"/>
    <cellStyle name="Normal 2 4 6 8 2 2 3 2" xfId="57340" xr:uid="{00000000-0005-0000-0000-0000C4D20000}"/>
    <cellStyle name="Normal 2 4 6 8 2 2 4" xfId="22543" xr:uid="{00000000-0005-0000-0000-0000C5D20000}"/>
    <cellStyle name="Normal 2 4 6 8 2 2 4 2" xfId="57341" xr:uid="{00000000-0005-0000-0000-0000C6D20000}"/>
    <cellStyle name="Normal 2 4 6 8 2 2 5" xfId="22544" xr:uid="{00000000-0005-0000-0000-0000C7D20000}"/>
    <cellStyle name="Normal 2 4 6 8 2 2 5 2" xfId="57342" xr:uid="{00000000-0005-0000-0000-0000C8D20000}"/>
    <cellStyle name="Normal 2 4 6 8 2 2 6" xfId="57343" xr:uid="{00000000-0005-0000-0000-0000C9D20000}"/>
    <cellStyle name="Normal 2 4 6 8 2 2 6 2" xfId="57344" xr:uid="{00000000-0005-0000-0000-0000CAD20000}"/>
    <cellStyle name="Normal 2 4 6 8 2 2 7" xfId="57345" xr:uid="{00000000-0005-0000-0000-0000CBD20000}"/>
    <cellStyle name="Normal 2 4 6 8 2 3" xfId="22545" xr:uid="{00000000-0005-0000-0000-0000CCD20000}"/>
    <cellStyle name="Normal 2 4 6 8 2 3 2" xfId="22546" xr:uid="{00000000-0005-0000-0000-0000CDD20000}"/>
    <cellStyle name="Normal 2 4 6 8 2 3 2 2" xfId="57346" xr:uid="{00000000-0005-0000-0000-0000CED20000}"/>
    <cellStyle name="Normal 2 4 6 8 2 3 3" xfId="22547" xr:uid="{00000000-0005-0000-0000-0000CFD20000}"/>
    <cellStyle name="Normal 2 4 6 8 2 3 3 2" xfId="57347" xr:uid="{00000000-0005-0000-0000-0000D0D20000}"/>
    <cellStyle name="Normal 2 4 6 8 2 3 4" xfId="57348" xr:uid="{00000000-0005-0000-0000-0000D1D20000}"/>
    <cellStyle name="Normal 2 4 6 8 2 4" xfId="22548" xr:uid="{00000000-0005-0000-0000-0000D2D20000}"/>
    <cellStyle name="Normal 2 4 6 8 2 4 2" xfId="22549" xr:uid="{00000000-0005-0000-0000-0000D3D20000}"/>
    <cellStyle name="Normal 2 4 6 8 2 4 2 2" xfId="57349" xr:uid="{00000000-0005-0000-0000-0000D4D20000}"/>
    <cellStyle name="Normal 2 4 6 8 2 4 3" xfId="57350" xr:uid="{00000000-0005-0000-0000-0000D5D20000}"/>
    <cellStyle name="Normal 2 4 6 8 2 5" xfId="22550" xr:uid="{00000000-0005-0000-0000-0000D6D20000}"/>
    <cellStyle name="Normal 2 4 6 8 2 5 2" xfId="57351" xr:uid="{00000000-0005-0000-0000-0000D7D20000}"/>
    <cellStyle name="Normal 2 4 6 8 2 6" xfId="22551" xr:uid="{00000000-0005-0000-0000-0000D8D20000}"/>
    <cellStyle name="Normal 2 4 6 8 2 6 2" xfId="57352" xr:uid="{00000000-0005-0000-0000-0000D9D20000}"/>
    <cellStyle name="Normal 2 4 6 8 2 7" xfId="57353" xr:uid="{00000000-0005-0000-0000-0000DAD20000}"/>
    <cellStyle name="Normal 2 4 6 8 2 7 2" xfId="57354" xr:uid="{00000000-0005-0000-0000-0000DBD20000}"/>
    <cellStyle name="Normal 2 4 6 8 2 8" xfId="57355" xr:uid="{00000000-0005-0000-0000-0000DCD20000}"/>
    <cellStyle name="Normal 2 4 6 8 2 9" xfId="57356" xr:uid="{00000000-0005-0000-0000-0000DDD20000}"/>
    <cellStyle name="Normal 2 4 6 8 3" xfId="22552" xr:uid="{00000000-0005-0000-0000-0000DED20000}"/>
    <cellStyle name="Normal 2 4 6 8 3 2" xfId="22553" xr:uid="{00000000-0005-0000-0000-0000DFD20000}"/>
    <cellStyle name="Normal 2 4 6 8 3 2 2" xfId="22554" xr:uid="{00000000-0005-0000-0000-0000E0D20000}"/>
    <cellStyle name="Normal 2 4 6 8 3 2 2 2" xfId="57357" xr:uid="{00000000-0005-0000-0000-0000E1D20000}"/>
    <cellStyle name="Normal 2 4 6 8 3 2 3" xfId="22555" xr:uid="{00000000-0005-0000-0000-0000E2D20000}"/>
    <cellStyle name="Normal 2 4 6 8 3 2 3 2" xfId="57358" xr:uid="{00000000-0005-0000-0000-0000E3D20000}"/>
    <cellStyle name="Normal 2 4 6 8 3 2 4" xfId="57359" xr:uid="{00000000-0005-0000-0000-0000E4D20000}"/>
    <cellStyle name="Normal 2 4 6 8 3 3" xfId="22556" xr:uid="{00000000-0005-0000-0000-0000E5D20000}"/>
    <cellStyle name="Normal 2 4 6 8 3 3 2" xfId="57360" xr:uid="{00000000-0005-0000-0000-0000E6D20000}"/>
    <cellStyle name="Normal 2 4 6 8 3 4" xfId="22557" xr:uid="{00000000-0005-0000-0000-0000E7D20000}"/>
    <cellStyle name="Normal 2 4 6 8 3 4 2" xfId="57361" xr:uid="{00000000-0005-0000-0000-0000E8D20000}"/>
    <cellStyle name="Normal 2 4 6 8 3 5" xfId="22558" xr:uid="{00000000-0005-0000-0000-0000E9D20000}"/>
    <cellStyle name="Normal 2 4 6 8 3 5 2" xfId="57362" xr:uid="{00000000-0005-0000-0000-0000EAD20000}"/>
    <cellStyle name="Normal 2 4 6 8 3 6" xfId="57363" xr:uid="{00000000-0005-0000-0000-0000EBD20000}"/>
    <cellStyle name="Normal 2 4 6 8 3 6 2" xfId="57364" xr:uid="{00000000-0005-0000-0000-0000ECD20000}"/>
    <cellStyle name="Normal 2 4 6 8 3 7" xfId="57365" xr:uid="{00000000-0005-0000-0000-0000EDD20000}"/>
    <cellStyle name="Normal 2 4 6 8 4" xfId="22559" xr:uid="{00000000-0005-0000-0000-0000EED20000}"/>
    <cellStyle name="Normal 2 4 6 8 4 2" xfId="22560" xr:uid="{00000000-0005-0000-0000-0000EFD20000}"/>
    <cellStyle name="Normal 2 4 6 8 4 2 2" xfId="57366" xr:uid="{00000000-0005-0000-0000-0000F0D20000}"/>
    <cellStyle name="Normal 2 4 6 8 4 3" xfId="22561" xr:uid="{00000000-0005-0000-0000-0000F1D20000}"/>
    <cellStyle name="Normal 2 4 6 8 4 3 2" xfId="57367" xr:uid="{00000000-0005-0000-0000-0000F2D20000}"/>
    <cellStyle name="Normal 2 4 6 8 4 4" xfId="57368" xr:uid="{00000000-0005-0000-0000-0000F3D20000}"/>
    <cellStyle name="Normal 2 4 6 8 5" xfId="22562" xr:uid="{00000000-0005-0000-0000-0000F4D20000}"/>
    <cellStyle name="Normal 2 4 6 8 5 2" xfId="22563" xr:uid="{00000000-0005-0000-0000-0000F5D20000}"/>
    <cellStyle name="Normal 2 4 6 8 5 2 2" xfId="57369" xr:uid="{00000000-0005-0000-0000-0000F6D20000}"/>
    <cellStyle name="Normal 2 4 6 8 5 3" xfId="57370" xr:uid="{00000000-0005-0000-0000-0000F7D20000}"/>
    <cellStyle name="Normal 2 4 6 8 6" xfId="22564" xr:uid="{00000000-0005-0000-0000-0000F8D20000}"/>
    <cellStyle name="Normal 2 4 6 8 6 2" xfId="57371" xr:uid="{00000000-0005-0000-0000-0000F9D20000}"/>
    <cellStyle name="Normal 2 4 6 8 7" xfId="22565" xr:uid="{00000000-0005-0000-0000-0000FAD20000}"/>
    <cellStyle name="Normal 2 4 6 8 7 2" xfId="57372" xr:uid="{00000000-0005-0000-0000-0000FBD20000}"/>
    <cellStyle name="Normal 2 4 6 8 8" xfId="57373" xr:uid="{00000000-0005-0000-0000-0000FCD20000}"/>
    <cellStyle name="Normal 2 4 6 8 8 2" xfId="57374" xr:uid="{00000000-0005-0000-0000-0000FDD20000}"/>
    <cellStyle name="Normal 2 4 6 8 9" xfId="57375" xr:uid="{00000000-0005-0000-0000-0000FED20000}"/>
    <cellStyle name="Normal 2 4 6 9" xfId="22566" xr:uid="{00000000-0005-0000-0000-0000FFD20000}"/>
    <cellStyle name="Normal 2 4 6 9 10" xfId="57376" xr:uid="{00000000-0005-0000-0000-000000D30000}"/>
    <cellStyle name="Normal 2 4 6 9 11" xfId="57377" xr:uid="{00000000-0005-0000-0000-000001D30000}"/>
    <cellStyle name="Normal 2 4 6 9 2" xfId="22567" xr:uid="{00000000-0005-0000-0000-000002D30000}"/>
    <cellStyle name="Normal 2 4 6 9 2 10" xfId="57378" xr:uid="{00000000-0005-0000-0000-000003D30000}"/>
    <cellStyle name="Normal 2 4 6 9 2 2" xfId="22568" xr:uid="{00000000-0005-0000-0000-000004D30000}"/>
    <cellStyle name="Normal 2 4 6 9 2 2 2" xfId="22569" xr:uid="{00000000-0005-0000-0000-000005D30000}"/>
    <cellStyle name="Normal 2 4 6 9 2 2 2 2" xfId="22570" xr:uid="{00000000-0005-0000-0000-000006D30000}"/>
    <cellStyle name="Normal 2 4 6 9 2 2 2 2 2" xfId="57379" xr:uid="{00000000-0005-0000-0000-000007D30000}"/>
    <cellStyle name="Normal 2 4 6 9 2 2 2 3" xfId="22571" xr:uid="{00000000-0005-0000-0000-000008D30000}"/>
    <cellStyle name="Normal 2 4 6 9 2 2 2 3 2" xfId="57380" xr:uid="{00000000-0005-0000-0000-000009D30000}"/>
    <cellStyle name="Normal 2 4 6 9 2 2 2 4" xfId="57381" xr:uid="{00000000-0005-0000-0000-00000AD30000}"/>
    <cellStyle name="Normal 2 4 6 9 2 2 3" xfId="22572" xr:uid="{00000000-0005-0000-0000-00000BD30000}"/>
    <cellStyle name="Normal 2 4 6 9 2 2 3 2" xfId="57382" xr:uid="{00000000-0005-0000-0000-00000CD30000}"/>
    <cellStyle name="Normal 2 4 6 9 2 2 4" xfId="22573" xr:uid="{00000000-0005-0000-0000-00000DD30000}"/>
    <cellStyle name="Normal 2 4 6 9 2 2 4 2" xfId="57383" xr:uid="{00000000-0005-0000-0000-00000ED30000}"/>
    <cellStyle name="Normal 2 4 6 9 2 2 5" xfId="22574" xr:uid="{00000000-0005-0000-0000-00000FD30000}"/>
    <cellStyle name="Normal 2 4 6 9 2 2 5 2" xfId="57384" xr:uid="{00000000-0005-0000-0000-000010D30000}"/>
    <cellStyle name="Normal 2 4 6 9 2 2 6" xfId="57385" xr:uid="{00000000-0005-0000-0000-000011D30000}"/>
    <cellStyle name="Normal 2 4 6 9 2 2 6 2" xfId="57386" xr:uid="{00000000-0005-0000-0000-000012D30000}"/>
    <cellStyle name="Normal 2 4 6 9 2 2 7" xfId="57387" xr:uid="{00000000-0005-0000-0000-000013D30000}"/>
    <cellStyle name="Normal 2 4 6 9 2 3" xfId="22575" xr:uid="{00000000-0005-0000-0000-000014D30000}"/>
    <cellStyle name="Normal 2 4 6 9 2 3 2" xfId="22576" xr:uid="{00000000-0005-0000-0000-000015D30000}"/>
    <cellStyle name="Normal 2 4 6 9 2 3 2 2" xfId="57388" xr:uid="{00000000-0005-0000-0000-000016D30000}"/>
    <cellStyle name="Normal 2 4 6 9 2 3 3" xfId="22577" xr:uid="{00000000-0005-0000-0000-000017D30000}"/>
    <cellStyle name="Normal 2 4 6 9 2 3 3 2" xfId="57389" xr:uid="{00000000-0005-0000-0000-000018D30000}"/>
    <cellStyle name="Normal 2 4 6 9 2 3 4" xfId="57390" xr:uid="{00000000-0005-0000-0000-000019D30000}"/>
    <cellStyle name="Normal 2 4 6 9 2 4" xfId="22578" xr:uid="{00000000-0005-0000-0000-00001AD30000}"/>
    <cellStyle name="Normal 2 4 6 9 2 4 2" xfId="22579" xr:uid="{00000000-0005-0000-0000-00001BD30000}"/>
    <cellStyle name="Normal 2 4 6 9 2 4 2 2" xfId="57391" xr:uid="{00000000-0005-0000-0000-00001CD30000}"/>
    <cellStyle name="Normal 2 4 6 9 2 4 3" xfId="57392" xr:uid="{00000000-0005-0000-0000-00001DD30000}"/>
    <cellStyle name="Normal 2 4 6 9 2 5" xfId="22580" xr:uid="{00000000-0005-0000-0000-00001ED30000}"/>
    <cellStyle name="Normal 2 4 6 9 2 5 2" xfId="57393" xr:uid="{00000000-0005-0000-0000-00001FD30000}"/>
    <cellStyle name="Normal 2 4 6 9 2 6" xfId="22581" xr:uid="{00000000-0005-0000-0000-000020D30000}"/>
    <cellStyle name="Normal 2 4 6 9 2 6 2" xfId="57394" xr:uid="{00000000-0005-0000-0000-000021D30000}"/>
    <cellStyle name="Normal 2 4 6 9 2 7" xfId="57395" xr:uid="{00000000-0005-0000-0000-000022D30000}"/>
    <cellStyle name="Normal 2 4 6 9 2 7 2" xfId="57396" xr:uid="{00000000-0005-0000-0000-000023D30000}"/>
    <cellStyle name="Normal 2 4 6 9 2 8" xfId="57397" xr:uid="{00000000-0005-0000-0000-000024D30000}"/>
    <cellStyle name="Normal 2 4 6 9 2 9" xfId="57398" xr:uid="{00000000-0005-0000-0000-000025D30000}"/>
    <cellStyle name="Normal 2 4 6 9 3" xfId="22582" xr:uid="{00000000-0005-0000-0000-000026D30000}"/>
    <cellStyle name="Normal 2 4 6 9 3 2" xfId="22583" xr:uid="{00000000-0005-0000-0000-000027D30000}"/>
    <cellStyle name="Normal 2 4 6 9 3 2 2" xfId="22584" xr:uid="{00000000-0005-0000-0000-000028D30000}"/>
    <cellStyle name="Normal 2 4 6 9 3 2 2 2" xfId="57399" xr:uid="{00000000-0005-0000-0000-000029D30000}"/>
    <cellStyle name="Normal 2 4 6 9 3 2 3" xfId="22585" xr:uid="{00000000-0005-0000-0000-00002AD30000}"/>
    <cellStyle name="Normal 2 4 6 9 3 2 3 2" xfId="57400" xr:uid="{00000000-0005-0000-0000-00002BD30000}"/>
    <cellStyle name="Normal 2 4 6 9 3 2 4" xfId="57401" xr:uid="{00000000-0005-0000-0000-00002CD30000}"/>
    <cellStyle name="Normal 2 4 6 9 3 3" xfId="22586" xr:uid="{00000000-0005-0000-0000-00002DD30000}"/>
    <cellStyle name="Normal 2 4 6 9 3 3 2" xfId="57402" xr:uid="{00000000-0005-0000-0000-00002ED30000}"/>
    <cellStyle name="Normal 2 4 6 9 3 4" xfId="22587" xr:uid="{00000000-0005-0000-0000-00002FD30000}"/>
    <cellStyle name="Normal 2 4 6 9 3 4 2" xfId="57403" xr:uid="{00000000-0005-0000-0000-000030D30000}"/>
    <cellStyle name="Normal 2 4 6 9 3 5" xfId="22588" xr:uid="{00000000-0005-0000-0000-000031D30000}"/>
    <cellStyle name="Normal 2 4 6 9 3 5 2" xfId="57404" xr:uid="{00000000-0005-0000-0000-000032D30000}"/>
    <cellStyle name="Normal 2 4 6 9 3 6" xfId="57405" xr:uid="{00000000-0005-0000-0000-000033D30000}"/>
    <cellStyle name="Normal 2 4 6 9 3 6 2" xfId="57406" xr:uid="{00000000-0005-0000-0000-000034D30000}"/>
    <cellStyle name="Normal 2 4 6 9 3 7" xfId="57407" xr:uid="{00000000-0005-0000-0000-000035D30000}"/>
    <cellStyle name="Normal 2 4 6 9 4" xfId="22589" xr:uid="{00000000-0005-0000-0000-000036D30000}"/>
    <cellStyle name="Normal 2 4 6 9 4 2" xfId="22590" xr:uid="{00000000-0005-0000-0000-000037D30000}"/>
    <cellStyle name="Normal 2 4 6 9 4 2 2" xfId="57408" xr:uid="{00000000-0005-0000-0000-000038D30000}"/>
    <cellStyle name="Normal 2 4 6 9 4 3" xfId="22591" xr:uid="{00000000-0005-0000-0000-000039D30000}"/>
    <cellStyle name="Normal 2 4 6 9 4 3 2" xfId="57409" xr:uid="{00000000-0005-0000-0000-00003AD30000}"/>
    <cellStyle name="Normal 2 4 6 9 4 4" xfId="57410" xr:uid="{00000000-0005-0000-0000-00003BD30000}"/>
    <cellStyle name="Normal 2 4 6 9 5" xfId="22592" xr:uid="{00000000-0005-0000-0000-00003CD30000}"/>
    <cellStyle name="Normal 2 4 6 9 5 2" xfId="22593" xr:uid="{00000000-0005-0000-0000-00003DD30000}"/>
    <cellStyle name="Normal 2 4 6 9 5 2 2" xfId="57411" xr:uid="{00000000-0005-0000-0000-00003ED30000}"/>
    <cellStyle name="Normal 2 4 6 9 5 3" xfId="57412" xr:uid="{00000000-0005-0000-0000-00003FD30000}"/>
    <cellStyle name="Normal 2 4 6 9 6" xfId="22594" xr:uid="{00000000-0005-0000-0000-000040D30000}"/>
    <cellStyle name="Normal 2 4 6 9 6 2" xfId="57413" xr:uid="{00000000-0005-0000-0000-000041D30000}"/>
    <cellStyle name="Normal 2 4 6 9 7" xfId="22595" xr:uid="{00000000-0005-0000-0000-000042D30000}"/>
    <cellStyle name="Normal 2 4 6 9 7 2" xfId="57414" xr:uid="{00000000-0005-0000-0000-000043D30000}"/>
    <cellStyle name="Normal 2 4 6 9 8" xfId="57415" xr:uid="{00000000-0005-0000-0000-000044D30000}"/>
    <cellStyle name="Normal 2 4 6 9 8 2" xfId="57416" xr:uid="{00000000-0005-0000-0000-000045D30000}"/>
    <cellStyle name="Normal 2 4 6 9 9" xfId="57417" xr:uid="{00000000-0005-0000-0000-000046D30000}"/>
    <cellStyle name="Normal 2 4 7" xfId="22596" xr:uid="{00000000-0005-0000-0000-000047D30000}"/>
    <cellStyle name="Normal 2 4 7 10" xfId="22597" xr:uid="{00000000-0005-0000-0000-000048D30000}"/>
    <cellStyle name="Normal 2 4 7 10 10" xfId="57418" xr:uid="{00000000-0005-0000-0000-000049D30000}"/>
    <cellStyle name="Normal 2 4 7 10 11" xfId="57419" xr:uid="{00000000-0005-0000-0000-00004AD30000}"/>
    <cellStyle name="Normal 2 4 7 10 2" xfId="22598" xr:uid="{00000000-0005-0000-0000-00004BD30000}"/>
    <cellStyle name="Normal 2 4 7 10 2 10" xfId="57420" xr:uid="{00000000-0005-0000-0000-00004CD30000}"/>
    <cellStyle name="Normal 2 4 7 10 2 2" xfId="22599" xr:uid="{00000000-0005-0000-0000-00004DD30000}"/>
    <cellStyle name="Normal 2 4 7 10 2 2 2" xfId="22600" xr:uid="{00000000-0005-0000-0000-00004ED30000}"/>
    <cellStyle name="Normal 2 4 7 10 2 2 2 2" xfId="22601" xr:uid="{00000000-0005-0000-0000-00004FD30000}"/>
    <cellStyle name="Normal 2 4 7 10 2 2 2 2 2" xfId="57421" xr:uid="{00000000-0005-0000-0000-000050D30000}"/>
    <cellStyle name="Normal 2 4 7 10 2 2 2 3" xfId="22602" xr:uid="{00000000-0005-0000-0000-000051D30000}"/>
    <cellStyle name="Normal 2 4 7 10 2 2 2 3 2" xfId="57422" xr:uid="{00000000-0005-0000-0000-000052D30000}"/>
    <cellStyle name="Normal 2 4 7 10 2 2 2 4" xfId="57423" xr:uid="{00000000-0005-0000-0000-000053D30000}"/>
    <cellStyle name="Normal 2 4 7 10 2 2 3" xfId="22603" xr:uid="{00000000-0005-0000-0000-000054D30000}"/>
    <cellStyle name="Normal 2 4 7 10 2 2 3 2" xfId="57424" xr:uid="{00000000-0005-0000-0000-000055D30000}"/>
    <cellStyle name="Normal 2 4 7 10 2 2 4" xfId="22604" xr:uid="{00000000-0005-0000-0000-000056D30000}"/>
    <cellStyle name="Normal 2 4 7 10 2 2 4 2" xfId="57425" xr:uid="{00000000-0005-0000-0000-000057D30000}"/>
    <cellStyle name="Normal 2 4 7 10 2 2 5" xfId="22605" xr:uid="{00000000-0005-0000-0000-000058D30000}"/>
    <cellStyle name="Normal 2 4 7 10 2 2 5 2" xfId="57426" xr:uid="{00000000-0005-0000-0000-000059D30000}"/>
    <cellStyle name="Normal 2 4 7 10 2 2 6" xfId="57427" xr:uid="{00000000-0005-0000-0000-00005AD30000}"/>
    <cellStyle name="Normal 2 4 7 10 2 2 6 2" xfId="57428" xr:uid="{00000000-0005-0000-0000-00005BD30000}"/>
    <cellStyle name="Normal 2 4 7 10 2 2 7" xfId="57429" xr:uid="{00000000-0005-0000-0000-00005CD30000}"/>
    <cellStyle name="Normal 2 4 7 10 2 3" xfId="22606" xr:uid="{00000000-0005-0000-0000-00005DD30000}"/>
    <cellStyle name="Normal 2 4 7 10 2 3 2" xfId="22607" xr:uid="{00000000-0005-0000-0000-00005ED30000}"/>
    <cellStyle name="Normal 2 4 7 10 2 3 2 2" xfId="57430" xr:uid="{00000000-0005-0000-0000-00005FD30000}"/>
    <cellStyle name="Normal 2 4 7 10 2 3 3" xfId="22608" xr:uid="{00000000-0005-0000-0000-000060D30000}"/>
    <cellStyle name="Normal 2 4 7 10 2 3 3 2" xfId="57431" xr:uid="{00000000-0005-0000-0000-000061D30000}"/>
    <cellStyle name="Normal 2 4 7 10 2 3 4" xfId="57432" xr:uid="{00000000-0005-0000-0000-000062D30000}"/>
    <cellStyle name="Normal 2 4 7 10 2 4" xfId="22609" xr:uid="{00000000-0005-0000-0000-000063D30000}"/>
    <cellStyle name="Normal 2 4 7 10 2 4 2" xfId="22610" xr:uid="{00000000-0005-0000-0000-000064D30000}"/>
    <cellStyle name="Normal 2 4 7 10 2 4 2 2" xfId="57433" xr:uid="{00000000-0005-0000-0000-000065D30000}"/>
    <cellStyle name="Normal 2 4 7 10 2 4 3" xfId="57434" xr:uid="{00000000-0005-0000-0000-000066D30000}"/>
    <cellStyle name="Normal 2 4 7 10 2 5" xfId="22611" xr:uid="{00000000-0005-0000-0000-000067D30000}"/>
    <cellStyle name="Normal 2 4 7 10 2 5 2" xfId="57435" xr:uid="{00000000-0005-0000-0000-000068D30000}"/>
    <cellStyle name="Normal 2 4 7 10 2 6" xfId="22612" xr:uid="{00000000-0005-0000-0000-000069D30000}"/>
    <cellStyle name="Normal 2 4 7 10 2 6 2" xfId="57436" xr:uid="{00000000-0005-0000-0000-00006AD30000}"/>
    <cellStyle name="Normal 2 4 7 10 2 7" xfId="57437" xr:uid="{00000000-0005-0000-0000-00006BD30000}"/>
    <cellStyle name="Normal 2 4 7 10 2 7 2" xfId="57438" xr:uid="{00000000-0005-0000-0000-00006CD30000}"/>
    <cellStyle name="Normal 2 4 7 10 2 8" xfId="57439" xr:uid="{00000000-0005-0000-0000-00006DD30000}"/>
    <cellStyle name="Normal 2 4 7 10 2 9" xfId="57440" xr:uid="{00000000-0005-0000-0000-00006ED30000}"/>
    <cellStyle name="Normal 2 4 7 10 3" xfId="22613" xr:uid="{00000000-0005-0000-0000-00006FD30000}"/>
    <cellStyle name="Normal 2 4 7 10 3 2" xfId="22614" xr:uid="{00000000-0005-0000-0000-000070D30000}"/>
    <cellStyle name="Normal 2 4 7 10 3 2 2" xfId="22615" xr:uid="{00000000-0005-0000-0000-000071D30000}"/>
    <cellStyle name="Normal 2 4 7 10 3 2 2 2" xfId="57441" xr:uid="{00000000-0005-0000-0000-000072D30000}"/>
    <cellStyle name="Normal 2 4 7 10 3 2 3" xfId="22616" xr:uid="{00000000-0005-0000-0000-000073D30000}"/>
    <cellStyle name="Normal 2 4 7 10 3 2 3 2" xfId="57442" xr:uid="{00000000-0005-0000-0000-000074D30000}"/>
    <cellStyle name="Normal 2 4 7 10 3 2 4" xfId="57443" xr:uid="{00000000-0005-0000-0000-000075D30000}"/>
    <cellStyle name="Normal 2 4 7 10 3 3" xfId="22617" xr:uid="{00000000-0005-0000-0000-000076D30000}"/>
    <cellStyle name="Normal 2 4 7 10 3 3 2" xfId="57444" xr:uid="{00000000-0005-0000-0000-000077D30000}"/>
    <cellStyle name="Normal 2 4 7 10 3 4" xfId="22618" xr:uid="{00000000-0005-0000-0000-000078D30000}"/>
    <cellStyle name="Normal 2 4 7 10 3 4 2" xfId="57445" xr:uid="{00000000-0005-0000-0000-000079D30000}"/>
    <cellStyle name="Normal 2 4 7 10 3 5" xfId="22619" xr:uid="{00000000-0005-0000-0000-00007AD30000}"/>
    <cellStyle name="Normal 2 4 7 10 3 5 2" xfId="57446" xr:uid="{00000000-0005-0000-0000-00007BD30000}"/>
    <cellStyle name="Normal 2 4 7 10 3 6" xfId="57447" xr:uid="{00000000-0005-0000-0000-00007CD30000}"/>
    <cellStyle name="Normal 2 4 7 10 3 6 2" xfId="57448" xr:uid="{00000000-0005-0000-0000-00007DD30000}"/>
    <cellStyle name="Normal 2 4 7 10 3 7" xfId="57449" xr:uid="{00000000-0005-0000-0000-00007ED30000}"/>
    <cellStyle name="Normal 2 4 7 10 4" xfId="22620" xr:uid="{00000000-0005-0000-0000-00007FD30000}"/>
    <cellStyle name="Normal 2 4 7 10 4 2" xfId="22621" xr:uid="{00000000-0005-0000-0000-000080D30000}"/>
    <cellStyle name="Normal 2 4 7 10 4 2 2" xfId="57450" xr:uid="{00000000-0005-0000-0000-000081D30000}"/>
    <cellStyle name="Normal 2 4 7 10 4 3" xfId="22622" xr:uid="{00000000-0005-0000-0000-000082D30000}"/>
    <cellStyle name="Normal 2 4 7 10 4 3 2" xfId="57451" xr:uid="{00000000-0005-0000-0000-000083D30000}"/>
    <cellStyle name="Normal 2 4 7 10 4 4" xfId="57452" xr:uid="{00000000-0005-0000-0000-000084D30000}"/>
    <cellStyle name="Normal 2 4 7 10 5" xfId="22623" xr:uid="{00000000-0005-0000-0000-000085D30000}"/>
    <cellStyle name="Normal 2 4 7 10 5 2" xfId="22624" xr:uid="{00000000-0005-0000-0000-000086D30000}"/>
    <cellStyle name="Normal 2 4 7 10 5 2 2" xfId="57453" xr:uid="{00000000-0005-0000-0000-000087D30000}"/>
    <cellStyle name="Normal 2 4 7 10 5 3" xfId="57454" xr:uid="{00000000-0005-0000-0000-000088D30000}"/>
    <cellStyle name="Normal 2 4 7 10 6" xfId="22625" xr:uid="{00000000-0005-0000-0000-000089D30000}"/>
    <cellStyle name="Normal 2 4 7 10 6 2" xfId="57455" xr:uid="{00000000-0005-0000-0000-00008AD30000}"/>
    <cellStyle name="Normal 2 4 7 10 7" xfId="22626" xr:uid="{00000000-0005-0000-0000-00008BD30000}"/>
    <cellStyle name="Normal 2 4 7 10 7 2" xfId="57456" xr:uid="{00000000-0005-0000-0000-00008CD30000}"/>
    <cellStyle name="Normal 2 4 7 10 8" xfId="57457" xr:uid="{00000000-0005-0000-0000-00008DD30000}"/>
    <cellStyle name="Normal 2 4 7 10 8 2" xfId="57458" xr:uid="{00000000-0005-0000-0000-00008ED30000}"/>
    <cellStyle name="Normal 2 4 7 10 9" xfId="57459" xr:uid="{00000000-0005-0000-0000-00008FD30000}"/>
    <cellStyle name="Normal 2 4 7 11" xfId="22627" xr:uid="{00000000-0005-0000-0000-000090D30000}"/>
    <cellStyle name="Normal 2 4 7 11 10" xfId="57460" xr:uid="{00000000-0005-0000-0000-000091D30000}"/>
    <cellStyle name="Normal 2 4 7 11 11" xfId="57461" xr:uid="{00000000-0005-0000-0000-000092D30000}"/>
    <cellStyle name="Normal 2 4 7 11 2" xfId="22628" xr:uid="{00000000-0005-0000-0000-000093D30000}"/>
    <cellStyle name="Normal 2 4 7 11 2 10" xfId="57462" xr:uid="{00000000-0005-0000-0000-000094D30000}"/>
    <cellStyle name="Normal 2 4 7 11 2 2" xfId="22629" xr:uid="{00000000-0005-0000-0000-000095D30000}"/>
    <cellStyle name="Normal 2 4 7 11 2 2 2" xfId="22630" xr:uid="{00000000-0005-0000-0000-000096D30000}"/>
    <cellStyle name="Normal 2 4 7 11 2 2 2 2" xfId="22631" xr:uid="{00000000-0005-0000-0000-000097D30000}"/>
    <cellStyle name="Normal 2 4 7 11 2 2 2 2 2" xfId="57463" xr:uid="{00000000-0005-0000-0000-000098D30000}"/>
    <cellStyle name="Normal 2 4 7 11 2 2 2 3" xfId="22632" xr:uid="{00000000-0005-0000-0000-000099D30000}"/>
    <cellStyle name="Normal 2 4 7 11 2 2 2 3 2" xfId="57464" xr:uid="{00000000-0005-0000-0000-00009AD30000}"/>
    <cellStyle name="Normal 2 4 7 11 2 2 2 4" xfId="57465" xr:uid="{00000000-0005-0000-0000-00009BD30000}"/>
    <cellStyle name="Normal 2 4 7 11 2 2 3" xfId="22633" xr:uid="{00000000-0005-0000-0000-00009CD30000}"/>
    <cellStyle name="Normal 2 4 7 11 2 2 3 2" xfId="57466" xr:uid="{00000000-0005-0000-0000-00009DD30000}"/>
    <cellStyle name="Normal 2 4 7 11 2 2 4" xfId="22634" xr:uid="{00000000-0005-0000-0000-00009ED30000}"/>
    <cellStyle name="Normal 2 4 7 11 2 2 4 2" xfId="57467" xr:uid="{00000000-0005-0000-0000-00009FD30000}"/>
    <cellStyle name="Normal 2 4 7 11 2 2 5" xfId="22635" xr:uid="{00000000-0005-0000-0000-0000A0D30000}"/>
    <cellStyle name="Normal 2 4 7 11 2 2 5 2" xfId="57468" xr:uid="{00000000-0005-0000-0000-0000A1D30000}"/>
    <cellStyle name="Normal 2 4 7 11 2 2 6" xfId="57469" xr:uid="{00000000-0005-0000-0000-0000A2D30000}"/>
    <cellStyle name="Normal 2 4 7 11 2 2 6 2" xfId="57470" xr:uid="{00000000-0005-0000-0000-0000A3D30000}"/>
    <cellStyle name="Normal 2 4 7 11 2 2 7" xfId="57471" xr:uid="{00000000-0005-0000-0000-0000A4D30000}"/>
    <cellStyle name="Normal 2 4 7 11 2 3" xfId="22636" xr:uid="{00000000-0005-0000-0000-0000A5D30000}"/>
    <cellStyle name="Normal 2 4 7 11 2 3 2" xfId="22637" xr:uid="{00000000-0005-0000-0000-0000A6D30000}"/>
    <cellStyle name="Normal 2 4 7 11 2 3 2 2" xfId="57472" xr:uid="{00000000-0005-0000-0000-0000A7D30000}"/>
    <cellStyle name="Normal 2 4 7 11 2 3 3" xfId="22638" xr:uid="{00000000-0005-0000-0000-0000A8D30000}"/>
    <cellStyle name="Normal 2 4 7 11 2 3 3 2" xfId="57473" xr:uid="{00000000-0005-0000-0000-0000A9D30000}"/>
    <cellStyle name="Normal 2 4 7 11 2 3 4" xfId="57474" xr:uid="{00000000-0005-0000-0000-0000AAD30000}"/>
    <cellStyle name="Normal 2 4 7 11 2 4" xfId="22639" xr:uid="{00000000-0005-0000-0000-0000ABD30000}"/>
    <cellStyle name="Normal 2 4 7 11 2 4 2" xfId="22640" xr:uid="{00000000-0005-0000-0000-0000ACD30000}"/>
    <cellStyle name="Normal 2 4 7 11 2 4 2 2" xfId="57475" xr:uid="{00000000-0005-0000-0000-0000ADD30000}"/>
    <cellStyle name="Normal 2 4 7 11 2 4 3" xfId="57476" xr:uid="{00000000-0005-0000-0000-0000AED30000}"/>
    <cellStyle name="Normal 2 4 7 11 2 5" xfId="22641" xr:uid="{00000000-0005-0000-0000-0000AFD30000}"/>
    <cellStyle name="Normal 2 4 7 11 2 5 2" xfId="57477" xr:uid="{00000000-0005-0000-0000-0000B0D30000}"/>
    <cellStyle name="Normal 2 4 7 11 2 6" xfId="22642" xr:uid="{00000000-0005-0000-0000-0000B1D30000}"/>
    <cellStyle name="Normal 2 4 7 11 2 6 2" xfId="57478" xr:uid="{00000000-0005-0000-0000-0000B2D30000}"/>
    <cellStyle name="Normal 2 4 7 11 2 7" xfId="57479" xr:uid="{00000000-0005-0000-0000-0000B3D30000}"/>
    <cellStyle name="Normal 2 4 7 11 2 7 2" xfId="57480" xr:uid="{00000000-0005-0000-0000-0000B4D30000}"/>
    <cellStyle name="Normal 2 4 7 11 2 8" xfId="57481" xr:uid="{00000000-0005-0000-0000-0000B5D30000}"/>
    <cellStyle name="Normal 2 4 7 11 2 9" xfId="57482" xr:uid="{00000000-0005-0000-0000-0000B6D30000}"/>
    <cellStyle name="Normal 2 4 7 11 3" xfId="22643" xr:uid="{00000000-0005-0000-0000-0000B7D30000}"/>
    <cellStyle name="Normal 2 4 7 11 3 2" xfId="22644" xr:uid="{00000000-0005-0000-0000-0000B8D30000}"/>
    <cellStyle name="Normal 2 4 7 11 3 2 2" xfId="22645" xr:uid="{00000000-0005-0000-0000-0000B9D30000}"/>
    <cellStyle name="Normal 2 4 7 11 3 2 2 2" xfId="57483" xr:uid="{00000000-0005-0000-0000-0000BAD30000}"/>
    <cellStyle name="Normal 2 4 7 11 3 2 3" xfId="22646" xr:uid="{00000000-0005-0000-0000-0000BBD30000}"/>
    <cellStyle name="Normal 2 4 7 11 3 2 3 2" xfId="57484" xr:uid="{00000000-0005-0000-0000-0000BCD30000}"/>
    <cellStyle name="Normal 2 4 7 11 3 2 4" xfId="57485" xr:uid="{00000000-0005-0000-0000-0000BDD30000}"/>
    <cellStyle name="Normal 2 4 7 11 3 3" xfId="22647" xr:uid="{00000000-0005-0000-0000-0000BED30000}"/>
    <cellStyle name="Normal 2 4 7 11 3 3 2" xfId="57486" xr:uid="{00000000-0005-0000-0000-0000BFD30000}"/>
    <cellStyle name="Normal 2 4 7 11 3 4" xfId="22648" xr:uid="{00000000-0005-0000-0000-0000C0D30000}"/>
    <cellStyle name="Normal 2 4 7 11 3 4 2" xfId="57487" xr:uid="{00000000-0005-0000-0000-0000C1D30000}"/>
    <cellStyle name="Normal 2 4 7 11 3 5" xfId="22649" xr:uid="{00000000-0005-0000-0000-0000C2D30000}"/>
    <cellStyle name="Normal 2 4 7 11 3 5 2" xfId="57488" xr:uid="{00000000-0005-0000-0000-0000C3D30000}"/>
    <cellStyle name="Normal 2 4 7 11 3 6" xfId="57489" xr:uid="{00000000-0005-0000-0000-0000C4D30000}"/>
    <cellStyle name="Normal 2 4 7 11 3 6 2" xfId="57490" xr:uid="{00000000-0005-0000-0000-0000C5D30000}"/>
    <cellStyle name="Normal 2 4 7 11 3 7" xfId="57491" xr:uid="{00000000-0005-0000-0000-0000C6D30000}"/>
    <cellStyle name="Normal 2 4 7 11 4" xfId="22650" xr:uid="{00000000-0005-0000-0000-0000C7D30000}"/>
    <cellStyle name="Normal 2 4 7 11 4 2" xfId="22651" xr:uid="{00000000-0005-0000-0000-0000C8D30000}"/>
    <cellStyle name="Normal 2 4 7 11 4 2 2" xfId="57492" xr:uid="{00000000-0005-0000-0000-0000C9D30000}"/>
    <cellStyle name="Normal 2 4 7 11 4 3" xfId="22652" xr:uid="{00000000-0005-0000-0000-0000CAD30000}"/>
    <cellStyle name="Normal 2 4 7 11 4 3 2" xfId="57493" xr:uid="{00000000-0005-0000-0000-0000CBD30000}"/>
    <cellStyle name="Normal 2 4 7 11 4 4" xfId="57494" xr:uid="{00000000-0005-0000-0000-0000CCD30000}"/>
    <cellStyle name="Normal 2 4 7 11 5" xfId="22653" xr:uid="{00000000-0005-0000-0000-0000CDD30000}"/>
    <cellStyle name="Normal 2 4 7 11 5 2" xfId="22654" xr:uid="{00000000-0005-0000-0000-0000CED30000}"/>
    <cellStyle name="Normal 2 4 7 11 5 2 2" xfId="57495" xr:uid="{00000000-0005-0000-0000-0000CFD30000}"/>
    <cellStyle name="Normal 2 4 7 11 5 3" xfId="57496" xr:uid="{00000000-0005-0000-0000-0000D0D30000}"/>
    <cellStyle name="Normal 2 4 7 11 6" xfId="22655" xr:uid="{00000000-0005-0000-0000-0000D1D30000}"/>
    <cellStyle name="Normal 2 4 7 11 6 2" xfId="57497" xr:uid="{00000000-0005-0000-0000-0000D2D30000}"/>
    <cellStyle name="Normal 2 4 7 11 7" xfId="22656" xr:uid="{00000000-0005-0000-0000-0000D3D30000}"/>
    <cellStyle name="Normal 2 4 7 11 7 2" xfId="57498" xr:uid="{00000000-0005-0000-0000-0000D4D30000}"/>
    <cellStyle name="Normal 2 4 7 11 8" xfId="57499" xr:uid="{00000000-0005-0000-0000-0000D5D30000}"/>
    <cellStyle name="Normal 2 4 7 11 8 2" xfId="57500" xr:uid="{00000000-0005-0000-0000-0000D6D30000}"/>
    <cellStyle name="Normal 2 4 7 11 9" xfId="57501" xr:uid="{00000000-0005-0000-0000-0000D7D30000}"/>
    <cellStyle name="Normal 2 4 7 12" xfId="22657" xr:uid="{00000000-0005-0000-0000-0000D8D30000}"/>
    <cellStyle name="Normal 2 4 7 12 10" xfId="57502" xr:uid="{00000000-0005-0000-0000-0000D9D30000}"/>
    <cellStyle name="Normal 2 4 7 12 11" xfId="57503" xr:uid="{00000000-0005-0000-0000-0000DAD30000}"/>
    <cellStyle name="Normal 2 4 7 12 2" xfId="22658" xr:uid="{00000000-0005-0000-0000-0000DBD30000}"/>
    <cellStyle name="Normal 2 4 7 12 2 10" xfId="57504" xr:uid="{00000000-0005-0000-0000-0000DCD30000}"/>
    <cellStyle name="Normal 2 4 7 12 2 2" xfId="22659" xr:uid="{00000000-0005-0000-0000-0000DDD30000}"/>
    <cellStyle name="Normal 2 4 7 12 2 2 2" xfId="22660" xr:uid="{00000000-0005-0000-0000-0000DED30000}"/>
    <cellStyle name="Normal 2 4 7 12 2 2 2 2" xfId="22661" xr:uid="{00000000-0005-0000-0000-0000DFD30000}"/>
    <cellStyle name="Normal 2 4 7 12 2 2 2 2 2" xfId="57505" xr:uid="{00000000-0005-0000-0000-0000E0D30000}"/>
    <cellStyle name="Normal 2 4 7 12 2 2 2 3" xfId="22662" xr:uid="{00000000-0005-0000-0000-0000E1D30000}"/>
    <cellStyle name="Normal 2 4 7 12 2 2 2 3 2" xfId="57506" xr:uid="{00000000-0005-0000-0000-0000E2D30000}"/>
    <cellStyle name="Normal 2 4 7 12 2 2 2 4" xfId="57507" xr:uid="{00000000-0005-0000-0000-0000E3D30000}"/>
    <cellStyle name="Normal 2 4 7 12 2 2 3" xfId="22663" xr:uid="{00000000-0005-0000-0000-0000E4D30000}"/>
    <cellStyle name="Normal 2 4 7 12 2 2 3 2" xfId="57508" xr:uid="{00000000-0005-0000-0000-0000E5D30000}"/>
    <cellStyle name="Normal 2 4 7 12 2 2 4" xfId="22664" xr:uid="{00000000-0005-0000-0000-0000E6D30000}"/>
    <cellStyle name="Normal 2 4 7 12 2 2 4 2" xfId="57509" xr:uid="{00000000-0005-0000-0000-0000E7D30000}"/>
    <cellStyle name="Normal 2 4 7 12 2 2 5" xfId="22665" xr:uid="{00000000-0005-0000-0000-0000E8D30000}"/>
    <cellStyle name="Normal 2 4 7 12 2 2 5 2" xfId="57510" xr:uid="{00000000-0005-0000-0000-0000E9D30000}"/>
    <cellStyle name="Normal 2 4 7 12 2 2 6" xfId="57511" xr:uid="{00000000-0005-0000-0000-0000EAD30000}"/>
    <cellStyle name="Normal 2 4 7 12 2 2 6 2" xfId="57512" xr:uid="{00000000-0005-0000-0000-0000EBD30000}"/>
    <cellStyle name="Normal 2 4 7 12 2 2 7" xfId="57513" xr:uid="{00000000-0005-0000-0000-0000ECD30000}"/>
    <cellStyle name="Normal 2 4 7 12 2 3" xfId="22666" xr:uid="{00000000-0005-0000-0000-0000EDD30000}"/>
    <cellStyle name="Normal 2 4 7 12 2 3 2" xfId="22667" xr:uid="{00000000-0005-0000-0000-0000EED30000}"/>
    <cellStyle name="Normal 2 4 7 12 2 3 2 2" xfId="57514" xr:uid="{00000000-0005-0000-0000-0000EFD30000}"/>
    <cellStyle name="Normal 2 4 7 12 2 3 3" xfId="22668" xr:uid="{00000000-0005-0000-0000-0000F0D30000}"/>
    <cellStyle name="Normal 2 4 7 12 2 3 3 2" xfId="57515" xr:uid="{00000000-0005-0000-0000-0000F1D30000}"/>
    <cellStyle name="Normal 2 4 7 12 2 3 4" xfId="57516" xr:uid="{00000000-0005-0000-0000-0000F2D30000}"/>
    <cellStyle name="Normal 2 4 7 12 2 4" xfId="22669" xr:uid="{00000000-0005-0000-0000-0000F3D30000}"/>
    <cellStyle name="Normal 2 4 7 12 2 4 2" xfId="22670" xr:uid="{00000000-0005-0000-0000-0000F4D30000}"/>
    <cellStyle name="Normal 2 4 7 12 2 4 2 2" xfId="57517" xr:uid="{00000000-0005-0000-0000-0000F5D30000}"/>
    <cellStyle name="Normal 2 4 7 12 2 4 3" xfId="57518" xr:uid="{00000000-0005-0000-0000-0000F6D30000}"/>
    <cellStyle name="Normal 2 4 7 12 2 5" xfId="22671" xr:uid="{00000000-0005-0000-0000-0000F7D30000}"/>
    <cellStyle name="Normal 2 4 7 12 2 5 2" xfId="57519" xr:uid="{00000000-0005-0000-0000-0000F8D30000}"/>
    <cellStyle name="Normal 2 4 7 12 2 6" xfId="22672" xr:uid="{00000000-0005-0000-0000-0000F9D30000}"/>
    <cellStyle name="Normal 2 4 7 12 2 6 2" xfId="57520" xr:uid="{00000000-0005-0000-0000-0000FAD30000}"/>
    <cellStyle name="Normal 2 4 7 12 2 7" xfId="57521" xr:uid="{00000000-0005-0000-0000-0000FBD30000}"/>
    <cellStyle name="Normal 2 4 7 12 2 7 2" xfId="57522" xr:uid="{00000000-0005-0000-0000-0000FCD30000}"/>
    <cellStyle name="Normal 2 4 7 12 2 8" xfId="57523" xr:uid="{00000000-0005-0000-0000-0000FDD30000}"/>
    <cellStyle name="Normal 2 4 7 12 2 9" xfId="57524" xr:uid="{00000000-0005-0000-0000-0000FED30000}"/>
    <cellStyle name="Normal 2 4 7 12 3" xfId="22673" xr:uid="{00000000-0005-0000-0000-0000FFD30000}"/>
    <cellStyle name="Normal 2 4 7 12 3 2" xfId="22674" xr:uid="{00000000-0005-0000-0000-000000D40000}"/>
    <cellStyle name="Normal 2 4 7 12 3 2 2" xfId="22675" xr:uid="{00000000-0005-0000-0000-000001D40000}"/>
    <cellStyle name="Normal 2 4 7 12 3 2 2 2" xfId="57525" xr:uid="{00000000-0005-0000-0000-000002D40000}"/>
    <cellStyle name="Normal 2 4 7 12 3 2 3" xfId="22676" xr:uid="{00000000-0005-0000-0000-000003D40000}"/>
    <cellStyle name="Normal 2 4 7 12 3 2 3 2" xfId="57526" xr:uid="{00000000-0005-0000-0000-000004D40000}"/>
    <cellStyle name="Normal 2 4 7 12 3 2 4" xfId="57527" xr:uid="{00000000-0005-0000-0000-000005D40000}"/>
    <cellStyle name="Normal 2 4 7 12 3 3" xfId="22677" xr:uid="{00000000-0005-0000-0000-000006D40000}"/>
    <cellStyle name="Normal 2 4 7 12 3 3 2" xfId="57528" xr:uid="{00000000-0005-0000-0000-000007D40000}"/>
    <cellStyle name="Normal 2 4 7 12 3 4" xfId="22678" xr:uid="{00000000-0005-0000-0000-000008D40000}"/>
    <cellStyle name="Normal 2 4 7 12 3 4 2" xfId="57529" xr:uid="{00000000-0005-0000-0000-000009D40000}"/>
    <cellStyle name="Normal 2 4 7 12 3 5" xfId="22679" xr:uid="{00000000-0005-0000-0000-00000AD40000}"/>
    <cellStyle name="Normal 2 4 7 12 3 5 2" xfId="57530" xr:uid="{00000000-0005-0000-0000-00000BD40000}"/>
    <cellStyle name="Normal 2 4 7 12 3 6" xfId="57531" xr:uid="{00000000-0005-0000-0000-00000CD40000}"/>
    <cellStyle name="Normal 2 4 7 12 3 6 2" xfId="57532" xr:uid="{00000000-0005-0000-0000-00000DD40000}"/>
    <cellStyle name="Normal 2 4 7 12 3 7" xfId="57533" xr:uid="{00000000-0005-0000-0000-00000ED40000}"/>
    <cellStyle name="Normal 2 4 7 12 4" xfId="22680" xr:uid="{00000000-0005-0000-0000-00000FD40000}"/>
    <cellStyle name="Normal 2 4 7 12 4 2" xfId="22681" xr:uid="{00000000-0005-0000-0000-000010D40000}"/>
    <cellStyle name="Normal 2 4 7 12 4 2 2" xfId="57534" xr:uid="{00000000-0005-0000-0000-000011D40000}"/>
    <cellStyle name="Normal 2 4 7 12 4 3" xfId="22682" xr:uid="{00000000-0005-0000-0000-000012D40000}"/>
    <cellStyle name="Normal 2 4 7 12 4 3 2" xfId="57535" xr:uid="{00000000-0005-0000-0000-000013D40000}"/>
    <cellStyle name="Normal 2 4 7 12 4 4" xfId="57536" xr:uid="{00000000-0005-0000-0000-000014D40000}"/>
    <cellStyle name="Normal 2 4 7 12 5" xfId="22683" xr:uid="{00000000-0005-0000-0000-000015D40000}"/>
    <cellStyle name="Normal 2 4 7 12 5 2" xfId="22684" xr:uid="{00000000-0005-0000-0000-000016D40000}"/>
    <cellStyle name="Normal 2 4 7 12 5 2 2" xfId="57537" xr:uid="{00000000-0005-0000-0000-000017D40000}"/>
    <cellStyle name="Normal 2 4 7 12 5 3" xfId="57538" xr:uid="{00000000-0005-0000-0000-000018D40000}"/>
    <cellStyle name="Normal 2 4 7 12 6" xfId="22685" xr:uid="{00000000-0005-0000-0000-000019D40000}"/>
    <cellStyle name="Normal 2 4 7 12 6 2" xfId="57539" xr:uid="{00000000-0005-0000-0000-00001AD40000}"/>
    <cellStyle name="Normal 2 4 7 12 7" xfId="22686" xr:uid="{00000000-0005-0000-0000-00001BD40000}"/>
    <cellStyle name="Normal 2 4 7 12 7 2" xfId="57540" xr:uid="{00000000-0005-0000-0000-00001CD40000}"/>
    <cellStyle name="Normal 2 4 7 12 8" xfId="57541" xr:uid="{00000000-0005-0000-0000-00001DD40000}"/>
    <cellStyle name="Normal 2 4 7 12 8 2" xfId="57542" xr:uid="{00000000-0005-0000-0000-00001ED40000}"/>
    <cellStyle name="Normal 2 4 7 12 9" xfId="57543" xr:uid="{00000000-0005-0000-0000-00001FD40000}"/>
    <cellStyle name="Normal 2 4 7 13" xfId="22687" xr:uid="{00000000-0005-0000-0000-000020D40000}"/>
    <cellStyle name="Normal 2 4 7 13 10" xfId="57544" xr:uid="{00000000-0005-0000-0000-000021D40000}"/>
    <cellStyle name="Normal 2 4 7 13 11" xfId="57545" xr:uid="{00000000-0005-0000-0000-000022D40000}"/>
    <cellStyle name="Normal 2 4 7 13 2" xfId="22688" xr:uid="{00000000-0005-0000-0000-000023D40000}"/>
    <cellStyle name="Normal 2 4 7 13 2 10" xfId="57546" xr:uid="{00000000-0005-0000-0000-000024D40000}"/>
    <cellStyle name="Normal 2 4 7 13 2 2" xfId="22689" xr:uid="{00000000-0005-0000-0000-000025D40000}"/>
    <cellStyle name="Normal 2 4 7 13 2 2 2" xfId="22690" xr:uid="{00000000-0005-0000-0000-000026D40000}"/>
    <cellStyle name="Normal 2 4 7 13 2 2 2 2" xfId="22691" xr:uid="{00000000-0005-0000-0000-000027D40000}"/>
    <cellStyle name="Normal 2 4 7 13 2 2 2 2 2" xfId="57547" xr:uid="{00000000-0005-0000-0000-000028D40000}"/>
    <cellStyle name="Normal 2 4 7 13 2 2 2 3" xfId="22692" xr:uid="{00000000-0005-0000-0000-000029D40000}"/>
    <cellStyle name="Normal 2 4 7 13 2 2 2 3 2" xfId="57548" xr:uid="{00000000-0005-0000-0000-00002AD40000}"/>
    <cellStyle name="Normal 2 4 7 13 2 2 2 4" xfId="57549" xr:uid="{00000000-0005-0000-0000-00002BD40000}"/>
    <cellStyle name="Normal 2 4 7 13 2 2 3" xfId="22693" xr:uid="{00000000-0005-0000-0000-00002CD40000}"/>
    <cellStyle name="Normal 2 4 7 13 2 2 3 2" xfId="57550" xr:uid="{00000000-0005-0000-0000-00002DD40000}"/>
    <cellStyle name="Normal 2 4 7 13 2 2 4" xfId="22694" xr:uid="{00000000-0005-0000-0000-00002ED40000}"/>
    <cellStyle name="Normal 2 4 7 13 2 2 4 2" xfId="57551" xr:uid="{00000000-0005-0000-0000-00002FD40000}"/>
    <cellStyle name="Normal 2 4 7 13 2 2 5" xfId="22695" xr:uid="{00000000-0005-0000-0000-000030D40000}"/>
    <cellStyle name="Normal 2 4 7 13 2 2 5 2" xfId="57552" xr:uid="{00000000-0005-0000-0000-000031D40000}"/>
    <cellStyle name="Normal 2 4 7 13 2 2 6" xfId="57553" xr:uid="{00000000-0005-0000-0000-000032D40000}"/>
    <cellStyle name="Normal 2 4 7 13 2 2 6 2" xfId="57554" xr:uid="{00000000-0005-0000-0000-000033D40000}"/>
    <cellStyle name="Normal 2 4 7 13 2 2 7" xfId="57555" xr:uid="{00000000-0005-0000-0000-000034D40000}"/>
    <cellStyle name="Normal 2 4 7 13 2 3" xfId="22696" xr:uid="{00000000-0005-0000-0000-000035D40000}"/>
    <cellStyle name="Normal 2 4 7 13 2 3 2" xfId="22697" xr:uid="{00000000-0005-0000-0000-000036D40000}"/>
    <cellStyle name="Normal 2 4 7 13 2 3 2 2" xfId="57556" xr:uid="{00000000-0005-0000-0000-000037D40000}"/>
    <cellStyle name="Normal 2 4 7 13 2 3 3" xfId="22698" xr:uid="{00000000-0005-0000-0000-000038D40000}"/>
    <cellStyle name="Normal 2 4 7 13 2 3 3 2" xfId="57557" xr:uid="{00000000-0005-0000-0000-000039D40000}"/>
    <cellStyle name="Normal 2 4 7 13 2 3 4" xfId="57558" xr:uid="{00000000-0005-0000-0000-00003AD40000}"/>
    <cellStyle name="Normal 2 4 7 13 2 4" xfId="22699" xr:uid="{00000000-0005-0000-0000-00003BD40000}"/>
    <cellStyle name="Normal 2 4 7 13 2 4 2" xfId="22700" xr:uid="{00000000-0005-0000-0000-00003CD40000}"/>
    <cellStyle name="Normal 2 4 7 13 2 4 2 2" xfId="57559" xr:uid="{00000000-0005-0000-0000-00003DD40000}"/>
    <cellStyle name="Normal 2 4 7 13 2 4 3" xfId="57560" xr:uid="{00000000-0005-0000-0000-00003ED40000}"/>
    <cellStyle name="Normal 2 4 7 13 2 5" xfId="22701" xr:uid="{00000000-0005-0000-0000-00003FD40000}"/>
    <cellStyle name="Normal 2 4 7 13 2 5 2" xfId="57561" xr:uid="{00000000-0005-0000-0000-000040D40000}"/>
    <cellStyle name="Normal 2 4 7 13 2 6" xfId="22702" xr:uid="{00000000-0005-0000-0000-000041D40000}"/>
    <cellStyle name="Normal 2 4 7 13 2 6 2" xfId="57562" xr:uid="{00000000-0005-0000-0000-000042D40000}"/>
    <cellStyle name="Normal 2 4 7 13 2 7" xfId="57563" xr:uid="{00000000-0005-0000-0000-000043D40000}"/>
    <cellStyle name="Normal 2 4 7 13 2 7 2" xfId="57564" xr:uid="{00000000-0005-0000-0000-000044D40000}"/>
    <cellStyle name="Normal 2 4 7 13 2 8" xfId="57565" xr:uid="{00000000-0005-0000-0000-000045D40000}"/>
    <cellStyle name="Normal 2 4 7 13 2 9" xfId="57566" xr:uid="{00000000-0005-0000-0000-000046D40000}"/>
    <cellStyle name="Normal 2 4 7 13 3" xfId="22703" xr:uid="{00000000-0005-0000-0000-000047D40000}"/>
    <cellStyle name="Normal 2 4 7 13 3 2" xfId="22704" xr:uid="{00000000-0005-0000-0000-000048D40000}"/>
    <cellStyle name="Normal 2 4 7 13 3 2 2" xfId="22705" xr:uid="{00000000-0005-0000-0000-000049D40000}"/>
    <cellStyle name="Normal 2 4 7 13 3 2 2 2" xfId="57567" xr:uid="{00000000-0005-0000-0000-00004AD40000}"/>
    <cellStyle name="Normal 2 4 7 13 3 2 3" xfId="22706" xr:uid="{00000000-0005-0000-0000-00004BD40000}"/>
    <cellStyle name="Normal 2 4 7 13 3 2 3 2" xfId="57568" xr:uid="{00000000-0005-0000-0000-00004CD40000}"/>
    <cellStyle name="Normal 2 4 7 13 3 2 4" xfId="57569" xr:uid="{00000000-0005-0000-0000-00004DD40000}"/>
    <cellStyle name="Normal 2 4 7 13 3 3" xfId="22707" xr:uid="{00000000-0005-0000-0000-00004ED40000}"/>
    <cellStyle name="Normal 2 4 7 13 3 3 2" xfId="57570" xr:uid="{00000000-0005-0000-0000-00004FD40000}"/>
    <cellStyle name="Normal 2 4 7 13 3 4" xfId="22708" xr:uid="{00000000-0005-0000-0000-000050D40000}"/>
    <cellStyle name="Normal 2 4 7 13 3 4 2" xfId="57571" xr:uid="{00000000-0005-0000-0000-000051D40000}"/>
    <cellStyle name="Normal 2 4 7 13 3 5" xfId="22709" xr:uid="{00000000-0005-0000-0000-000052D40000}"/>
    <cellStyle name="Normal 2 4 7 13 3 5 2" xfId="57572" xr:uid="{00000000-0005-0000-0000-000053D40000}"/>
    <cellStyle name="Normal 2 4 7 13 3 6" xfId="57573" xr:uid="{00000000-0005-0000-0000-000054D40000}"/>
    <cellStyle name="Normal 2 4 7 13 3 6 2" xfId="57574" xr:uid="{00000000-0005-0000-0000-000055D40000}"/>
    <cellStyle name="Normal 2 4 7 13 3 7" xfId="57575" xr:uid="{00000000-0005-0000-0000-000056D40000}"/>
    <cellStyle name="Normal 2 4 7 13 4" xfId="22710" xr:uid="{00000000-0005-0000-0000-000057D40000}"/>
    <cellStyle name="Normal 2 4 7 13 4 2" xfId="22711" xr:uid="{00000000-0005-0000-0000-000058D40000}"/>
    <cellStyle name="Normal 2 4 7 13 4 2 2" xfId="57576" xr:uid="{00000000-0005-0000-0000-000059D40000}"/>
    <cellStyle name="Normal 2 4 7 13 4 3" xfId="22712" xr:uid="{00000000-0005-0000-0000-00005AD40000}"/>
    <cellStyle name="Normal 2 4 7 13 4 3 2" xfId="57577" xr:uid="{00000000-0005-0000-0000-00005BD40000}"/>
    <cellStyle name="Normal 2 4 7 13 4 4" xfId="57578" xr:uid="{00000000-0005-0000-0000-00005CD40000}"/>
    <cellStyle name="Normal 2 4 7 13 5" xfId="22713" xr:uid="{00000000-0005-0000-0000-00005DD40000}"/>
    <cellStyle name="Normal 2 4 7 13 5 2" xfId="22714" xr:uid="{00000000-0005-0000-0000-00005ED40000}"/>
    <cellStyle name="Normal 2 4 7 13 5 2 2" xfId="57579" xr:uid="{00000000-0005-0000-0000-00005FD40000}"/>
    <cellStyle name="Normal 2 4 7 13 5 3" xfId="57580" xr:uid="{00000000-0005-0000-0000-000060D40000}"/>
    <cellStyle name="Normal 2 4 7 13 6" xfId="22715" xr:uid="{00000000-0005-0000-0000-000061D40000}"/>
    <cellStyle name="Normal 2 4 7 13 6 2" xfId="57581" xr:uid="{00000000-0005-0000-0000-000062D40000}"/>
    <cellStyle name="Normal 2 4 7 13 7" xfId="22716" xr:uid="{00000000-0005-0000-0000-000063D40000}"/>
    <cellStyle name="Normal 2 4 7 13 7 2" xfId="57582" xr:uid="{00000000-0005-0000-0000-000064D40000}"/>
    <cellStyle name="Normal 2 4 7 13 8" xfId="57583" xr:uid="{00000000-0005-0000-0000-000065D40000}"/>
    <cellStyle name="Normal 2 4 7 13 8 2" xfId="57584" xr:uid="{00000000-0005-0000-0000-000066D40000}"/>
    <cellStyle name="Normal 2 4 7 13 9" xfId="57585" xr:uid="{00000000-0005-0000-0000-000067D40000}"/>
    <cellStyle name="Normal 2 4 7 14" xfId="22717" xr:uid="{00000000-0005-0000-0000-000068D40000}"/>
    <cellStyle name="Normal 2 4 7 14 10" xfId="57586" xr:uid="{00000000-0005-0000-0000-000069D40000}"/>
    <cellStyle name="Normal 2 4 7 14 11" xfId="57587" xr:uid="{00000000-0005-0000-0000-00006AD40000}"/>
    <cellStyle name="Normal 2 4 7 14 2" xfId="22718" xr:uid="{00000000-0005-0000-0000-00006BD40000}"/>
    <cellStyle name="Normal 2 4 7 14 2 10" xfId="57588" xr:uid="{00000000-0005-0000-0000-00006CD40000}"/>
    <cellStyle name="Normal 2 4 7 14 2 2" xfId="22719" xr:uid="{00000000-0005-0000-0000-00006DD40000}"/>
    <cellStyle name="Normal 2 4 7 14 2 2 2" xfId="22720" xr:uid="{00000000-0005-0000-0000-00006ED40000}"/>
    <cellStyle name="Normal 2 4 7 14 2 2 2 2" xfId="22721" xr:uid="{00000000-0005-0000-0000-00006FD40000}"/>
    <cellStyle name="Normal 2 4 7 14 2 2 2 2 2" xfId="57589" xr:uid="{00000000-0005-0000-0000-000070D40000}"/>
    <cellStyle name="Normal 2 4 7 14 2 2 2 3" xfId="22722" xr:uid="{00000000-0005-0000-0000-000071D40000}"/>
    <cellStyle name="Normal 2 4 7 14 2 2 2 3 2" xfId="57590" xr:uid="{00000000-0005-0000-0000-000072D40000}"/>
    <cellStyle name="Normal 2 4 7 14 2 2 2 4" xfId="57591" xr:uid="{00000000-0005-0000-0000-000073D40000}"/>
    <cellStyle name="Normal 2 4 7 14 2 2 3" xfId="22723" xr:uid="{00000000-0005-0000-0000-000074D40000}"/>
    <cellStyle name="Normal 2 4 7 14 2 2 3 2" xfId="57592" xr:uid="{00000000-0005-0000-0000-000075D40000}"/>
    <cellStyle name="Normal 2 4 7 14 2 2 4" xfId="22724" xr:uid="{00000000-0005-0000-0000-000076D40000}"/>
    <cellStyle name="Normal 2 4 7 14 2 2 4 2" xfId="57593" xr:uid="{00000000-0005-0000-0000-000077D40000}"/>
    <cellStyle name="Normal 2 4 7 14 2 2 5" xfId="22725" xr:uid="{00000000-0005-0000-0000-000078D40000}"/>
    <cellStyle name="Normal 2 4 7 14 2 2 5 2" xfId="57594" xr:uid="{00000000-0005-0000-0000-000079D40000}"/>
    <cellStyle name="Normal 2 4 7 14 2 2 6" xfId="57595" xr:uid="{00000000-0005-0000-0000-00007AD40000}"/>
    <cellStyle name="Normal 2 4 7 14 2 2 6 2" xfId="57596" xr:uid="{00000000-0005-0000-0000-00007BD40000}"/>
    <cellStyle name="Normal 2 4 7 14 2 2 7" xfId="57597" xr:uid="{00000000-0005-0000-0000-00007CD40000}"/>
    <cellStyle name="Normal 2 4 7 14 2 3" xfId="22726" xr:uid="{00000000-0005-0000-0000-00007DD40000}"/>
    <cellStyle name="Normal 2 4 7 14 2 3 2" xfId="22727" xr:uid="{00000000-0005-0000-0000-00007ED40000}"/>
    <cellStyle name="Normal 2 4 7 14 2 3 2 2" xfId="57598" xr:uid="{00000000-0005-0000-0000-00007FD40000}"/>
    <cellStyle name="Normal 2 4 7 14 2 3 3" xfId="22728" xr:uid="{00000000-0005-0000-0000-000080D40000}"/>
    <cellStyle name="Normal 2 4 7 14 2 3 3 2" xfId="57599" xr:uid="{00000000-0005-0000-0000-000081D40000}"/>
    <cellStyle name="Normal 2 4 7 14 2 3 4" xfId="57600" xr:uid="{00000000-0005-0000-0000-000082D40000}"/>
    <cellStyle name="Normal 2 4 7 14 2 4" xfId="22729" xr:uid="{00000000-0005-0000-0000-000083D40000}"/>
    <cellStyle name="Normal 2 4 7 14 2 4 2" xfId="22730" xr:uid="{00000000-0005-0000-0000-000084D40000}"/>
    <cellStyle name="Normal 2 4 7 14 2 4 2 2" xfId="57601" xr:uid="{00000000-0005-0000-0000-000085D40000}"/>
    <cellStyle name="Normal 2 4 7 14 2 4 3" xfId="57602" xr:uid="{00000000-0005-0000-0000-000086D40000}"/>
    <cellStyle name="Normal 2 4 7 14 2 5" xfId="22731" xr:uid="{00000000-0005-0000-0000-000087D40000}"/>
    <cellStyle name="Normal 2 4 7 14 2 5 2" xfId="57603" xr:uid="{00000000-0005-0000-0000-000088D40000}"/>
    <cellStyle name="Normal 2 4 7 14 2 6" xfId="22732" xr:uid="{00000000-0005-0000-0000-000089D40000}"/>
    <cellStyle name="Normal 2 4 7 14 2 6 2" xfId="57604" xr:uid="{00000000-0005-0000-0000-00008AD40000}"/>
    <cellStyle name="Normal 2 4 7 14 2 7" xfId="57605" xr:uid="{00000000-0005-0000-0000-00008BD40000}"/>
    <cellStyle name="Normal 2 4 7 14 2 7 2" xfId="57606" xr:uid="{00000000-0005-0000-0000-00008CD40000}"/>
    <cellStyle name="Normal 2 4 7 14 2 8" xfId="57607" xr:uid="{00000000-0005-0000-0000-00008DD40000}"/>
    <cellStyle name="Normal 2 4 7 14 2 9" xfId="57608" xr:uid="{00000000-0005-0000-0000-00008ED40000}"/>
    <cellStyle name="Normal 2 4 7 14 3" xfId="22733" xr:uid="{00000000-0005-0000-0000-00008FD40000}"/>
    <cellStyle name="Normal 2 4 7 14 3 2" xfId="22734" xr:uid="{00000000-0005-0000-0000-000090D40000}"/>
    <cellStyle name="Normal 2 4 7 14 3 2 2" xfId="22735" xr:uid="{00000000-0005-0000-0000-000091D40000}"/>
    <cellStyle name="Normal 2 4 7 14 3 2 2 2" xfId="57609" xr:uid="{00000000-0005-0000-0000-000092D40000}"/>
    <cellStyle name="Normal 2 4 7 14 3 2 3" xfId="22736" xr:uid="{00000000-0005-0000-0000-000093D40000}"/>
    <cellStyle name="Normal 2 4 7 14 3 2 3 2" xfId="57610" xr:uid="{00000000-0005-0000-0000-000094D40000}"/>
    <cellStyle name="Normal 2 4 7 14 3 2 4" xfId="57611" xr:uid="{00000000-0005-0000-0000-000095D40000}"/>
    <cellStyle name="Normal 2 4 7 14 3 3" xfId="22737" xr:uid="{00000000-0005-0000-0000-000096D40000}"/>
    <cellStyle name="Normal 2 4 7 14 3 3 2" xfId="57612" xr:uid="{00000000-0005-0000-0000-000097D40000}"/>
    <cellStyle name="Normal 2 4 7 14 3 4" xfId="22738" xr:uid="{00000000-0005-0000-0000-000098D40000}"/>
    <cellStyle name="Normal 2 4 7 14 3 4 2" xfId="57613" xr:uid="{00000000-0005-0000-0000-000099D40000}"/>
    <cellStyle name="Normal 2 4 7 14 3 5" xfId="22739" xr:uid="{00000000-0005-0000-0000-00009AD40000}"/>
    <cellStyle name="Normal 2 4 7 14 3 5 2" xfId="57614" xr:uid="{00000000-0005-0000-0000-00009BD40000}"/>
    <cellStyle name="Normal 2 4 7 14 3 6" xfId="57615" xr:uid="{00000000-0005-0000-0000-00009CD40000}"/>
    <cellStyle name="Normal 2 4 7 14 3 6 2" xfId="57616" xr:uid="{00000000-0005-0000-0000-00009DD40000}"/>
    <cellStyle name="Normal 2 4 7 14 3 7" xfId="57617" xr:uid="{00000000-0005-0000-0000-00009ED40000}"/>
    <cellStyle name="Normal 2 4 7 14 4" xfId="22740" xr:uid="{00000000-0005-0000-0000-00009FD40000}"/>
    <cellStyle name="Normal 2 4 7 14 4 2" xfId="22741" xr:uid="{00000000-0005-0000-0000-0000A0D40000}"/>
    <cellStyle name="Normal 2 4 7 14 4 2 2" xfId="57618" xr:uid="{00000000-0005-0000-0000-0000A1D40000}"/>
    <cellStyle name="Normal 2 4 7 14 4 3" xfId="22742" xr:uid="{00000000-0005-0000-0000-0000A2D40000}"/>
    <cellStyle name="Normal 2 4 7 14 4 3 2" xfId="57619" xr:uid="{00000000-0005-0000-0000-0000A3D40000}"/>
    <cellStyle name="Normal 2 4 7 14 4 4" xfId="57620" xr:uid="{00000000-0005-0000-0000-0000A4D40000}"/>
    <cellStyle name="Normal 2 4 7 14 5" xfId="22743" xr:uid="{00000000-0005-0000-0000-0000A5D40000}"/>
    <cellStyle name="Normal 2 4 7 14 5 2" xfId="22744" xr:uid="{00000000-0005-0000-0000-0000A6D40000}"/>
    <cellStyle name="Normal 2 4 7 14 5 2 2" xfId="57621" xr:uid="{00000000-0005-0000-0000-0000A7D40000}"/>
    <cellStyle name="Normal 2 4 7 14 5 3" xfId="57622" xr:uid="{00000000-0005-0000-0000-0000A8D40000}"/>
    <cellStyle name="Normal 2 4 7 14 6" xfId="22745" xr:uid="{00000000-0005-0000-0000-0000A9D40000}"/>
    <cellStyle name="Normal 2 4 7 14 6 2" xfId="57623" xr:uid="{00000000-0005-0000-0000-0000AAD40000}"/>
    <cellStyle name="Normal 2 4 7 14 7" xfId="22746" xr:uid="{00000000-0005-0000-0000-0000ABD40000}"/>
    <cellStyle name="Normal 2 4 7 14 7 2" xfId="57624" xr:uid="{00000000-0005-0000-0000-0000ACD40000}"/>
    <cellStyle name="Normal 2 4 7 14 8" xfId="57625" xr:uid="{00000000-0005-0000-0000-0000ADD40000}"/>
    <cellStyle name="Normal 2 4 7 14 8 2" xfId="57626" xr:uid="{00000000-0005-0000-0000-0000AED40000}"/>
    <cellStyle name="Normal 2 4 7 14 9" xfId="57627" xr:uid="{00000000-0005-0000-0000-0000AFD40000}"/>
    <cellStyle name="Normal 2 4 7 15" xfId="22747" xr:uid="{00000000-0005-0000-0000-0000B0D40000}"/>
    <cellStyle name="Normal 2 4 7 15 10" xfId="57628" xr:uid="{00000000-0005-0000-0000-0000B1D40000}"/>
    <cellStyle name="Normal 2 4 7 15 11" xfId="57629" xr:uid="{00000000-0005-0000-0000-0000B2D40000}"/>
    <cellStyle name="Normal 2 4 7 15 2" xfId="22748" xr:uid="{00000000-0005-0000-0000-0000B3D40000}"/>
    <cellStyle name="Normal 2 4 7 15 2 10" xfId="57630" xr:uid="{00000000-0005-0000-0000-0000B4D40000}"/>
    <cellStyle name="Normal 2 4 7 15 2 2" xfId="22749" xr:uid="{00000000-0005-0000-0000-0000B5D40000}"/>
    <cellStyle name="Normal 2 4 7 15 2 2 2" xfId="22750" xr:uid="{00000000-0005-0000-0000-0000B6D40000}"/>
    <cellStyle name="Normal 2 4 7 15 2 2 2 2" xfId="22751" xr:uid="{00000000-0005-0000-0000-0000B7D40000}"/>
    <cellStyle name="Normal 2 4 7 15 2 2 2 2 2" xfId="57631" xr:uid="{00000000-0005-0000-0000-0000B8D40000}"/>
    <cellStyle name="Normal 2 4 7 15 2 2 2 3" xfId="22752" xr:uid="{00000000-0005-0000-0000-0000B9D40000}"/>
    <cellStyle name="Normal 2 4 7 15 2 2 2 3 2" xfId="57632" xr:uid="{00000000-0005-0000-0000-0000BAD40000}"/>
    <cellStyle name="Normal 2 4 7 15 2 2 2 4" xfId="57633" xr:uid="{00000000-0005-0000-0000-0000BBD40000}"/>
    <cellStyle name="Normal 2 4 7 15 2 2 3" xfId="22753" xr:uid="{00000000-0005-0000-0000-0000BCD40000}"/>
    <cellStyle name="Normal 2 4 7 15 2 2 3 2" xfId="57634" xr:uid="{00000000-0005-0000-0000-0000BDD40000}"/>
    <cellStyle name="Normal 2 4 7 15 2 2 4" xfId="22754" xr:uid="{00000000-0005-0000-0000-0000BED40000}"/>
    <cellStyle name="Normal 2 4 7 15 2 2 4 2" xfId="57635" xr:uid="{00000000-0005-0000-0000-0000BFD40000}"/>
    <cellStyle name="Normal 2 4 7 15 2 2 5" xfId="22755" xr:uid="{00000000-0005-0000-0000-0000C0D40000}"/>
    <cellStyle name="Normal 2 4 7 15 2 2 5 2" xfId="57636" xr:uid="{00000000-0005-0000-0000-0000C1D40000}"/>
    <cellStyle name="Normal 2 4 7 15 2 2 6" xfId="57637" xr:uid="{00000000-0005-0000-0000-0000C2D40000}"/>
    <cellStyle name="Normal 2 4 7 15 2 2 6 2" xfId="57638" xr:uid="{00000000-0005-0000-0000-0000C3D40000}"/>
    <cellStyle name="Normal 2 4 7 15 2 2 7" xfId="57639" xr:uid="{00000000-0005-0000-0000-0000C4D40000}"/>
    <cellStyle name="Normal 2 4 7 15 2 3" xfId="22756" xr:uid="{00000000-0005-0000-0000-0000C5D40000}"/>
    <cellStyle name="Normal 2 4 7 15 2 3 2" xfId="22757" xr:uid="{00000000-0005-0000-0000-0000C6D40000}"/>
    <cellStyle name="Normal 2 4 7 15 2 3 2 2" xfId="57640" xr:uid="{00000000-0005-0000-0000-0000C7D40000}"/>
    <cellStyle name="Normal 2 4 7 15 2 3 3" xfId="22758" xr:uid="{00000000-0005-0000-0000-0000C8D40000}"/>
    <cellStyle name="Normal 2 4 7 15 2 3 3 2" xfId="57641" xr:uid="{00000000-0005-0000-0000-0000C9D40000}"/>
    <cellStyle name="Normal 2 4 7 15 2 3 4" xfId="57642" xr:uid="{00000000-0005-0000-0000-0000CAD40000}"/>
    <cellStyle name="Normal 2 4 7 15 2 4" xfId="22759" xr:uid="{00000000-0005-0000-0000-0000CBD40000}"/>
    <cellStyle name="Normal 2 4 7 15 2 4 2" xfId="22760" xr:uid="{00000000-0005-0000-0000-0000CCD40000}"/>
    <cellStyle name="Normal 2 4 7 15 2 4 2 2" xfId="57643" xr:uid="{00000000-0005-0000-0000-0000CDD40000}"/>
    <cellStyle name="Normal 2 4 7 15 2 4 3" xfId="57644" xr:uid="{00000000-0005-0000-0000-0000CED40000}"/>
    <cellStyle name="Normal 2 4 7 15 2 5" xfId="22761" xr:uid="{00000000-0005-0000-0000-0000CFD40000}"/>
    <cellStyle name="Normal 2 4 7 15 2 5 2" xfId="57645" xr:uid="{00000000-0005-0000-0000-0000D0D40000}"/>
    <cellStyle name="Normal 2 4 7 15 2 6" xfId="22762" xr:uid="{00000000-0005-0000-0000-0000D1D40000}"/>
    <cellStyle name="Normal 2 4 7 15 2 6 2" xfId="57646" xr:uid="{00000000-0005-0000-0000-0000D2D40000}"/>
    <cellStyle name="Normal 2 4 7 15 2 7" xfId="57647" xr:uid="{00000000-0005-0000-0000-0000D3D40000}"/>
    <cellStyle name="Normal 2 4 7 15 2 7 2" xfId="57648" xr:uid="{00000000-0005-0000-0000-0000D4D40000}"/>
    <cellStyle name="Normal 2 4 7 15 2 8" xfId="57649" xr:uid="{00000000-0005-0000-0000-0000D5D40000}"/>
    <cellStyle name="Normal 2 4 7 15 2 9" xfId="57650" xr:uid="{00000000-0005-0000-0000-0000D6D40000}"/>
    <cellStyle name="Normal 2 4 7 15 3" xfId="22763" xr:uid="{00000000-0005-0000-0000-0000D7D40000}"/>
    <cellStyle name="Normal 2 4 7 15 3 2" xfId="22764" xr:uid="{00000000-0005-0000-0000-0000D8D40000}"/>
    <cellStyle name="Normal 2 4 7 15 3 2 2" xfId="22765" xr:uid="{00000000-0005-0000-0000-0000D9D40000}"/>
    <cellStyle name="Normal 2 4 7 15 3 2 2 2" xfId="57651" xr:uid="{00000000-0005-0000-0000-0000DAD40000}"/>
    <cellStyle name="Normal 2 4 7 15 3 2 3" xfId="22766" xr:uid="{00000000-0005-0000-0000-0000DBD40000}"/>
    <cellStyle name="Normal 2 4 7 15 3 2 3 2" xfId="57652" xr:uid="{00000000-0005-0000-0000-0000DCD40000}"/>
    <cellStyle name="Normal 2 4 7 15 3 2 4" xfId="57653" xr:uid="{00000000-0005-0000-0000-0000DDD40000}"/>
    <cellStyle name="Normal 2 4 7 15 3 3" xfId="22767" xr:uid="{00000000-0005-0000-0000-0000DED40000}"/>
    <cellStyle name="Normal 2 4 7 15 3 3 2" xfId="57654" xr:uid="{00000000-0005-0000-0000-0000DFD40000}"/>
    <cellStyle name="Normal 2 4 7 15 3 4" xfId="22768" xr:uid="{00000000-0005-0000-0000-0000E0D40000}"/>
    <cellStyle name="Normal 2 4 7 15 3 4 2" xfId="57655" xr:uid="{00000000-0005-0000-0000-0000E1D40000}"/>
    <cellStyle name="Normal 2 4 7 15 3 5" xfId="22769" xr:uid="{00000000-0005-0000-0000-0000E2D40000}"/>
    <cellStyle name="Normal 2 4 7 15 3 5 2" xfId="57656" xr:uid="{00000000-0005-0000-0000-0000E3D40000}"/>
    <cellStyle name="Normal 2 4 7 15 3 6" xfId="57657" xr:uid="{00000000-0005-0000-0000-0000E4D40000}"/>
    <cellStyle name="Normal 2 4 7 15 3 6 2" xfId="57658" xr:uid="{00000000-0005-0000-0000-0000E5D40000}"/>
    <cellStyle name="Normal 2 4 7 15 3 7" xfId="57659" xr:uid="{00000000-0005-0000-0000-0000E6D40000}"/>
    <cellStyle name="Normal 2 4 7 15 4" xfId="22770" xr:uid="{00000000-0005-0000-0000-0000E7D40000}"/>
    <cellStyle name="Normal 2 4 7 15 4 2" xfId="22771" xr:uid="{00000000-0005-0000-0000-0000E8D40000}"/>
    <cellStyle name="Normal 2 4 7 15 4 2 2" xfId="57660" xr:uid="{00000000-0005-0000-0000-0000E9D40000}"/>
    <cellStyle name="Normal 2 4 7 15 4 3" xfId="22772" xr:uid="{00000000-0005-0000-0000-0000EAD40000}"/>
    <cellStyle name="Normal 2 4 7 15 4 3 2" xfId="57661" xr:uid="{00000000-0005-0000-0000-0000EBD40000}"/>
    <cellStyle name="Normal 2 4 7 15 4 4" xfId="57662" xr:uid="{00000000-0005-0000-0000-0000ECD40000}"/>
    <cellStyle name="Normal 2 4 7 15 5" xfId="22773" xr:uid="{00000000-0005-0000-0000-0000EDD40000}"/>
    <cellStyle name="Normal 2 4 7 15 5 2" xfId="22774" xr:uid="{00000000-0005-0000-0000-0000EED40000}"/>
    <cellStyle name="Normal 2 4 7 15 5 2 2" xfId="57663" xr:uid="{00000000-0005-0000-0000-0000EFD40000}"/>
    <cellStyle name="Normal 2 4 7 15 5 3" xfId="57664" xr:uid="{00000000-0005-0000-0000-0000F0D40000}"/>
    <cellStyle name="Normal 2 4 7 15 6" xfId="22775" xr:uid="{00000000-0005-0000-0000-0000F1D40000}"/>
    <cellStyle name="Normal 2 4 7 15 6 2" xfId="57665" xr:uid="{00000000-0005-0000-0000-0000F2D40000}"/>
    <cellStyle name="Normal 2 4 7 15 7" xfId="22776" xr:uid="{00000000-0005-0000-0000-0000F3D40000}"/>
    <cellStyle name="Normal 2 4 7 15 7 2" xfId="57666" xr:uid="{00000000-0005-0000-0000-0000F4D40000}"/>
    <cellStyle name="Normal 2 4 7 15 8" xfId="57667" xr:uid="{00000000-0005-0000-0000-0000F5D40000}"/>
    <cellStyle name="Normal 2 4 7 15 8 2" xfId="57668" xr:uid="{00000000-0005-0000-0000-0000F6D40000}"/>
    <cellStyle name="Normal 2 4 7 15 9" xfId="57669" xr:uid="{00000000-0005-0000-0000-0000F7D40000}"/>
    <cellStyle name="Normal 2 4 7 16" xfId="22777" xr:uid="{00000000-0005-0000-0000-0000F8D40000}"/>
    <cellStyle name="Normal 2 4 7 16 10" xfId="57670" xr:uid="{00000000-0005-0000-0000-0000F9D40000}"/>
    <cellStyle name="Normal 2 4 7 16 11" xfId="57671" xr:uid="{00000000-0005-0000-0000-0000FAD40000}"/>
    <cellStyle name="Normal 2 4 7 16 2" xfId="22778" xr:uid="{00000000-0005-0000-0000-0000FBD40000}"/>
    <cellStyle name="Normal 2 4 7 16 2 10" xfId="57672" xr:uid="{00000000-0005-0000-0000-0000FCD40000}"/>
    <cellStyle name="Normal 2 4 7 16 2 2" xfId="22779" xr:uid="{00000000-0005-0000-0000-0000FDD40000}"/>
    <cellStyle name="Normal 2 4 7 16 2 2 2" xfId="22780" xr:uid="{00000000-0005-0000-0000-0000FED40000}"/>
    <cellStyle name="Normal 2 4 7 16 2 2 2 2" xfId="22781" xr:uid="{00000000-0005-0000-0000-0000FFD40000}"/>
    <cellStyle name="Normal 2 4 7 16 2 2 2 2 2" xfId="57673" xr:uid="{00000000-0005-0000-0000-000000D50000}"/>
    <cellStyle name="Normal 2 4 7 16 2 2 2 3" xfId="22782" xr:uid="{00000000-0005-0000-0000-000001D50000}"/>
    <cellStyle name="Normal 2 4 7 16 2 2 2 3 2" xfId="57674" xr:uid="{00000000-0005-0000-0000-000002D50000}"/>
    <cellStyle name="Normal 2 4 7 16 2 2 2 4" xfId="57675" xr:uid="{00000000-0005-0000-0000-000003D50000}"/>
    <cellStyle name="Normal 2 4 7 16 2 2 3" xfId="22783" xr:uid="{00000000-0005-0000-0000-000004D50000}"/>
    <cellStyle name="Normal 2 4 7 16 2 2 3 2" xfId="57676" xr:uid="{00000000-0005-0000-0000-000005D50000}"/>
    <cellStyle name="Normal 2 4 7 16 2 2 4" xfId="22784" xr:uid="{00000000-0005-0000-0000-000006D50000}"/>
    <cellStyle name="Normal 2 4 7 16 2 2 4 2" xfId="57677" xr:uid="{00000000-0005-0000-0000-000007D50000}"/>
    <cellStyle name="Normal 2 4 7 16 2 2 5" xfId="22785" xr:uid="{00000000-0005-0000-0000-000008D50000}"/>
    <cellStyle name="Normal 2 4 7 16 2 2 5 2" xfId="57678" xr:uid="{00000000-0005-0000-0000-000009D50000}"/>
    <cellStyle name="Normal 2 4 7 16 2 2 6" xfId="57679" xr:uid="{00000000-0005-0000-0000-00000AD50000}"/>
    <cellStyle name="Normal 2 4 7 16 2 2 6 2" xfId="57680" xr:uid="{00000000-0005-0000-0000-00000BD50000}"/>
    <cellStyle name="Normal 2 4 7 16 2 2 7" xfId="57681" xr:uid="{00000000-0005-0000-0000-00000CD50000}"/>
    <cellStyle name="Normal 2 4 7 16 2 3" xfId="22786" xr:uid="{00000000-0005-0000-0000-00000DD50000}"/>
    <cellStyle name="Normal 2 4 7 16 2 3 2" xfId="22787" xr:uid="{00000000-0005-0000-0000-00000ED50000}"/>
    <cellStyle name="Normal 2 4 7 16 2 3 2 2" xfId="57682" xr:uid="{00000000-0005-0000-0000-00000FD50000}"/>
    <cellStyle name="Normal 2 4 7 16 2 3 3" xfId="22788" xr:uid="{00000000-0005-0000-0000-000010D50000}"/>
    <cellStyle name="Normal 2 4 7 16 2 3 3 2" xfId="57683" xr:uid="{00000000-0005-0000-0000-000011D50000}"/>
    <cellStyle name="Normal 2 4 7 16 2 3 4" xfId="57684" xr:uid="{00000000-0005-0000-0000-000012D50000}"/>
    <cellStyle name="Normal 2 4 7 16 2 4" xfId="22789" xr:uid="{00000000-0005-0000-0000-000013D50000}"/>
    <cellStyle name="Normal 2 4 7 16 2 4 2" xfId="22790" xr:uid="{00000000-0005-0000-0000-000014D50000}"/>
    <cellStyle name="Normal 2 4 7 16 2 4 2 2" xfId="57685" xr:uid="{00000000-0005-0000-0000-000015D50000}"/>
    <cellStyle name="Normal 2 4 7 16 2 4 3" xfId="57686" xr:uid="{00000000-0005-0000-0000-000016D50000}"/>
    <cellStyle name="Normal 2 4 7 16 2 5" xfId="22791" xr:uid="{00000000-0005-0000-0000-000017D50000}"/>
    <cellStyle name="Normal 2 4 7 16 2 5 2" xfId="57687" xr:uid="{00000000-0005-0000-0000-000018D50000}"/>
    <cellStyle name="Normal 2 4 7 16 2 6" xfId="22792" xr:uid="{00000000-0005-0000-0000-000019D50000}"/>
    <cellStyle name="Normal 2 4 7 16 2 6 2" xfId="57688" xr:uid="{00000000-0005-0000-0000-00001AD50000}"/>
    <cellStyle name="Normal 2 4 7 16 2 7" xfId="57689" xr:uid="{00000000-0005-0000-0000-00001BD50000}"/>
    <cellStyle name="Normal 2 4 7 16 2 7 2" xfId="57690" xr:uid="{00000000-0005-0000-0000-00001CD50000}"/>
    <cellStyle name="Normal 2 4 7 16 2 8" xfId="57691" xr:uid="{00000000-0005-0000-0000-00001DD50000}"/>
    <cellStyle name="Normal 2 4 7 16 2 9" xfId="57692" xr:uid="{00000000-0005-0000-0000-00001ED50000}"/>
    <cellStyle name="Normal 2 4 7 16 3" xfId="22793" xr:uid="{00000000-0005-0000-0000-00001FD50000}"/>
    <cellStyle name="Normal 2 4 7 16 3 2" xfId="22794" xr:uid="{00000000-0005-0000-0000-000020D50000}"/>
    <cellStyle name="Normal 2 4 7 16 3 2 2" xfId="22795" xr:uid="{00000000-0005-0000-0000-000021D50000}"/>
    <cellStyle name="Normal 2 4 7 16 3 2 2 2" xfId="57693" xr:uid="{00000000-0005-0000-0000-000022D50000}"/>
    <cellStyle name="Normal 2 4 7 16 3 2 3" xfId="22796" xr:uid="{00000000-0005-0000-0000-000023D50000}"/>
    <cellStyle name="Normal 2 4 7 16 3 2 3 2" xfId="57694" xr:uid="{00000000-0005-0000-0000-000024D50000}"/>
    <cellStyle name="Normal 2 4 7 16 3 2 4" xfId="57695" xr:uid="{00000000-0005-0000-0000-000025D50000}"/>
    <cellStyle name="Normal 2 4 7 16 3 3" xfId="22797" xr:uid="{00000000-0005-0000-0000-000026D50000}"/>
    <cellStyle name="Normal 2 4 7 16 3 3 2" xfId="57696" xr:uid="{00000000-0005-0000-0000-000027D50000}"/>
    <cellStyle name="Normal 2 4 7 16 3 4" xfId="22798" xr:uid="{00000000-0005-0000-0000-000028D50000}"/>
    <cellStyle name="Normal 2 4 7 16 3 4 2" xfId="57697" xr:uid="{00000000-0005-0000-0000-000029D50000}"/>
    <cellStyle name="Normal 2 4 7 16 3 5" xfId="22799" xr:uid="{00000000-0005-0000-0000-00002AD50000}"/>
    <cellStyle name="Normal 2 4 7 16 3 5 2" xfId="57698" xr:uid="{00000000-0005-0000-0000-00002BD50000}"/>
    <cellStyle name="Normal 2 4 7 16 3 6" xfId="57699" xr:uid="{00000000-0005-0000-0000-00002CD50000}"/>
    <cellStyle name="Normal 2 4 7 16 3 6 2" xfId="57700" xr:uid="{00000000-0005-0000-0000-00002DD50000}"/>
    <cellStyle name="Normal 2 4 7 16 3 7" xfId="57701" xr:uid="{00000000-0005-0000-0000-00002ED50000}"/>
    <cellStyle name="Normal 2 4 7 16 4" xfId="22800" xr:uid="{00000000-0005-0000-0000-00002FD50000}"/>
    <cellStyle name="Normal 2 4 7 16 4 2" xfId="22801" xr:uid="{00000000-0005-0000-0000-000030D50000}"/>
    <cellStyle name="Normal 2 4 7 16 4 2 2" xfId="57702" xr:uid="{00000000-0005-0000-0000-000031D50000}"/>
    <cellStyle name="Normal 2 4 7 16 4 3" xfId="22802" xr:uid="{00000000-0005-0000-0000-000032D50000}"/>
    <cellStyle name="Normal 2 4 7 16 4 3 2" xfId="57703" xr:uid="{00000000-0005-0000-0000-000033D50000}"/>
    <cellStyle name="Normal 2 4 7 16 4 4" xfId="57704" xr:uid="{00000000-0005-0000-0000-000034D50000}"/>
    <cellStyle name="Normal 2 4 7 16 5" xfId="22803" xr:uid="{00000000-0005-0000-0000-000035D50000}"/>
    <cellStyle name="Normal 2 4 7 16 5 2" xfId="22804" xr:uid="{00000000-0005-0000-0000-000036D50000}"/>
    <cellStyle name="Normal 2 4 7 16 5 2 2" xfId="57705" xr:uid="{00000000-0005-0000-0000-000037D50000}"/>
    <cellStyle name="Normal 2 4 7 16 5 3" xfId="57706" xr:uid="{00000000-0005-0000-0000-000038D50000}"/>
    <cellStyle name="Normal 2 4 7 16 6" xfId="22805" xr:uid="{00000000-0005-0000-0000-000039D50000}"/>
    <cellStyle name="Normal 2 4 7 16 6 2" xfId="57707" xr:uid="{00000000-0005-0000-0000-00003AD50000}"/>
    <cellStyle name="Normal 2 4 7 16 7" xfId="22806" xr:uid="{00000000-0005-0000-0000-00003BD50000}"/>
    <cellStyle name="Normal 2 4 7 16 7 2" xfId="57708" xr:uid="{00000000-0005-0000-0000-00003CD50000}"/>
    <cellStyle name="Normal 2 4 7 16 8" xfId="57709" xr:uid="{00000000-0005-0000-0000-00003DD50000}"/>
    <cellStyle name="Normal 2 4 7 16 8 2" xfId="57710" xr:uid="{00000000-0005-0000-0000-00003ED50000}"/>
    <cellStyle name="Normal 2 4 7 16 9" xfId="57711" xr:uid="{00000000-0005-0000-0000-00003FD50000}"/>
    <cellStyle name="Normal 2 4 7 17" xfId="22807" xr:uid="{00000000-0005-0000-0000-000040D50000}"/>
    <cellStyle name="Normal 2 4 7 17 10" xfId="57712" xr:uid="{00000000-0005-0000-0000-000041D50000}"/>
    <cellStyle name="Normal 2 4 7 17 11" xfId="57713" xr:uid="{00000000-0005-0000-0000-000042D50000}"/>
    <cellStyle name="Normal 2 4 7 17 2" xfId="22808" xr:uid="{00000000-0005-0000-0000-000043D50000}"/>
    <cellStyle name="Normal 2 4 7 17 2 10" xfId="57714" xr:uid="{00000000-0005-0000-0000-000044D50000}"/>
    <cellStyle name="Normal 2 4 7 17 2 2" xfId="22809" xr:uid="{00000000-0005-0000-0000-000045D50000}"/>
    <cellStyle name="Normal 2 4 7 17 2 2 2" xfId="22810" xr:uid="{00000000-0005-0000-0000-000046D50000}"/>
    <cellStyle name="Normal 2 4 7 17 2 2 2 2" xfId="22811" xr:uid="{00000000-0005-0000-0000-000047D50000}"/>
    <cellStyle name="Normal 2 4 7 17 2 2 2 2 2" xfId="57715" xr:uid="{00000000-0005-0000-0000-000048D50000}"/>
    <cellStyle name="Normal 2 4 7 17 2 2 2 3" xfId="22812" xr:uid="{00000000-0005-0000-0000-000049D50000}"/>
    <cellStyle name="Normal 2 4 7 17 2 2 2 3 2" xfId="57716" xr:uid="{00000000-0005-0000-0000-00004AD50000}"/>
    <cellStyle name="Normal 2 4 7 17 2 2 2 4" xfId="57717" xr:uid="{00000000-0005-0000-0000-00004BD50000}"/>
    <cellStyle name="Normal 2 4 7 17 2 2 3" xfId="22813" xr:uid="{00000000-0005-0000-0000-00004CD50000}"/>
    <cellStyle name="Normal 2 4 7 17 2 2 3 2" xfId="57718" xr:uid="{00000000-0005-0000-0000-00004DD50000}"/>
    <cellStyle name="Normal 2 4 7 17 2 2 4" xfId="22814" xr:uid="{00000000-0005-0000-0000-00004ED50000}"/>
    <cellStyle name="Normal 2 4 7 17 2 2 4 2" xfId="57719" xr:uid="{00000000-0005-0000-0000-00004FD50000}"/>
    <cellStyle name="Normal 2 4 7 17 2 2 5" xfId="22815" xr:uid="{00000000-0005-0000-0000-000050D50000}"/>
    <cellStyle name="Normal 2 4 7 17 2 2 5 2" xfId="57720" xr:uid="{00000000-0005-0000-0000-000051D50000}"/>
    <cellStyle name="Normal 2 4 7 17 2 2 6" xfId="57721" xr:uid="{00000000-0005-0000-0000-000052D50000}"/>
    <cellStyle name="Normal 2 4 7 17 2 2 6 2" xfId="57722" xr:uid="{00000000-0005-0000-0000-000053D50000}"/>
    <cellStyle name="Normal 2 4 7 17 2 2 7" xfId="57723" xr:uid="{00000000-0005-0000-0000-000054D50000}"/>
    <cellStyle name="Normal 2 4 7 17 2 3" xfId="22816" xr:uid="{00000000-0005-0000-0000-000055D50000}"/>
    <cellStyle name="Normal 2 4 7 17 2 3 2" xfId="22817" xr:uid="{00000000-0005-0000-0000-000056D50000}"/>
    <cellStyle name="Normal 2 4 7 17 2 3 2 2" xfId="57724" xr:uid="{00000000-0005-0000-0000-000057D50000}"/>
    <cellStyle name="Normal 2 4 7 17 2 3 3" xfId="22818" xr:uid="{00000000-0005-0000-0000-000058D50000}"/>
    <cellStyle name="Normal 2 4 7 17 2 3 3 2" xfId="57725" xr:uid="{00000000-0005-0000-0000-000059D50000}"/>
    <cellStyle name="Normal 2 4 7 17 2 3 4" xfId="57726" xr:uid="{00000000-0005-0000-0000-00005AD50000}"/>
    <cellStyle name="Normal 2 4 7 17 2 4" xfId="22819" xr:uid="{00000000-0005-0000-0000-00005BD50000}"/>
    <cellStyle name="Normal 2 4 7 17 2 4 2" xfId="22820" xr:uid="{00000000-0005-0000-0000-00005CD50000}"/>
    <cellStyle name="Normal 2 4 7 17 2 4 2 2" xfId="57727" xr:uid="{00000000-0005-0000-0000-00005DD50000}"/>
    <cellStyle name="Normal 2 4 7 17 2 4 3" xfId="57728" xr:uid="{00000000-0005-0000-0000-00005ED50000}"/>
    <cellStyle name="Normal 2 4 7 17 2 5" xfId="22821" xr:uid="{00000000-0005-0000-0000-00005FD50000}"/>
    <cellStyle name="Normal 2 4 7 17 2 5 2" xfId="57729" xr:uid="{00000000-0005-0000-0000-000060D50000}"/>
    <cellStyle name="Normal 2 4 7 17 2 6" xfId="22822" xr:uid="{00000000-0005-0000-0000-000061D50000}"/>
    <cellStyle name="Normal 2 4 7 17 2 6 2" xfId="57730" xr:uid="{00000000-0005-0000-0000-000062D50000}"/>
    <cellStyle name="Normal 2 4 7 17 2 7" xfId="57731" xr:uid="{00000000-0005-0000-0000-000063D50000}"/>
    <cellStyle name="Normal 2 4 7 17 2 7 2" xfId="57732" xr:uid="{00000000-0005-0000-0000-000064D50000}"/>
    <cellStyle name="Normal 2 4 7 17 2 8" xfId="57733" xr:uid="{00000000-0005-0000-0000-000065D50000}"/>
    <cellStyle name="Normal 2 4 7 17 2 9" xfId="57734" xr:uid="{00000000-0005-0000-0000-000066D50000}"/>
    <cellStyle name="Normal 2 4 7 17 3" xfId="22823" xr:uid="{00000000-0005-0000-0000-000067D50000}"/>
    <cellStyle name="Normal 2 4 7 17 3 2" xfId="22824" xr:uid="{00000000-0005-0000-0000-000068D50000}"/>
    <cellStyle name="Normal 2 4 7 17 3 2 2" xfId="22825" xr:uid="{00000000-0005-0000-0000-000069D50000}"/>
    <cellStyle name="Normal 2 4 7 17 3 2 2 2" xfId="57735" xr:uid="{00000000-0005-0000-0000-00006AD50000}"/>
    <cellStyle name="Normal 2 4 7 17 3 2 3" xfId="22826" xr:uid="{00000000-0005-0000-0000-00006BD50000}"/>
    <cellStyle name="Normal 2 4 7 17 3 2 3 2" xfId="57736" xr:uid="{00000000-0005-0000-0000-00006CD50000}"/>
    <cellStyle name="Normal 2 4 7 17 3 2 4" xfId="57737" xr:uid="{00000000-0005-0000-0000-00006DD50000}"/>
    <cellStyle name="Normal 2 4 7 17 3 3" xfId="22827" xr:uid="{00000000-0005-0000-0000-00006ED50000}"/>
    <cellStyle name="Normal 2 4 7 17 3 3 2" xfId="57738" xr:uid="{00000000-0005-0000-0000-00006FD50000}"/>
    <cellStyle name="Normal 2 4 7 17 3 4" xfId="22828" xr:uid="{00000000-0005-0000-0000-000070D50000}"/>
    <cellStyle name="Normal 2 4 7 17 3 4 2" xfId="57739" xr:uid="{00000000-0005-0000-0000-000071D50000}"/>
    <cellStyle name="Normal 2 4 7 17 3 5" xfId="22829" xr:uid="{00000000-0005-0000-0000-000072D50000}"/>
    <cellStyle name="Normal 2 4 7 17 3 5 2" xfId="57740" xr:uid="{00000000-0005-0000-0000-000073D50000}"/>
    <cellStyle name="Normal 2 4 7 17 3 6" xfId="57741" xr:uid="{00000000-0005-0000-0000-000074D50000}"/>
    <cellStyle name="Normal 2 4 7 17 3 6 2" xfId="57742" xr:uid="{00000000-0005-0000-0000-000075D50000}"/>
    <cellStyle name="Normal 2 4 7 17 3 7" xfId="57743" xr:uid="{00000000-0005-0000-0000-000076D50000}"/>
    <cellStyle name="Normal 2 4 7 17 4" xfId="22830" xr:uid="{00000000-0005-0000-0000-000077D50000}"/>
    <cellStyle name="Normal 2 4 7 17 4 2" xfId="22831" xr:uid="{00000000-0005-0000-0000-000078D50000}"/>
    <cellStyle name="Normal 2 4 7 17 4 2 2" xfId="57744" xr:uid="{00000000-0005-0000-0000-000079D50000}"/>
    <cellStyle name="Normal 2 4 7 17 4 3" xfId="22832" xr:uid="{00000000-0005-0000-0000-00007AD50000}"/>
    <cellStyle name="Normal 2 4 7 17 4 3 2" xfId="57745" xr:uid="{00000000-0005-0000-0000-00007BD50000}"/>
    <cellStyle name="Normal 2 4 7 17 4 4" xfId="57746" xr:uid="{00000000-0005-0000-0000-00007CD50000}"/>
    <cellStyle name="Normal 2 4 7 17 5" xfId="22833" xr:uid="{00000000-0005-0000-0000-00007DD50000}"/>
    <cellStyle name="Normal 2 4 7 17 5 2" xfId="22834" xr:uid="{00000000-0005-0000-0000-00007ED50000}"/>
    <cellStyle name="Normal 2 4 7 17 5 2 2" xfId="57747" xr:uid="{00000000-0005-0000-0000-00007FD50000}"/>
    <cellStyle name="Normal 2 4 7 17 5 3" xfId="57748" xr:uid="{00000000-0005-0000-0000-000080D50000}"/>
    <cellStyle name="Normal 2 4 7 17 6" xfId="22835" xr:uid="{00000000-0005-0000-0000-000081D50000}"/>
    <cellStyle name="Normal 2 4 7 17 6 2" xfId="57749" xr:uid="{00000000-0005-0000-0000-000082D50000}"/>
    <cellStyle name="Normal 2 4 7 17 7" xfId="22836" xr:uid="{00000000-0005-0000-0000-000083D50000}"/>
    <cellStyle name="Normal 2 4 7 17 7 2" xfId="57750" xr:uid="{00000000-0005-0000-0000-000084D50000}"/>
    <cellStyle name="Normal 2 4 7 17 8" xfId="57751" xr:uid="{00000000-0005-0000-0000-000085D50000}"/>
    <cellStyle name="Normal 2 4 7 17 8 2" xfId="57752" xr:uid="{00000000-0005-0000-0000-000086D50000}"/>
    <cellStyle name="Normal 2 4 7 17 9" xfId="57753" xr:uid="{00000000-0005-0000-0000-000087D50000}"/>
    <cellStyle name="Normal 2 4 7 18" xfId="22837" xr:uid="{00000000-0005-0000-0000-000088D50000}"/>
    <cellStyle name="Normal 2 4 7 18 10" xfId="57754" xr:uid="{00000000-0005-0000-0000-000089D50000}"/>
    <cellStyle name="Normal 2 4 7 18 11" xfId="57755" xr:uid="{00000000-0005-0000-0000-00008AD50000}"/>
    <cellStyle name="Normal 2 4 7 18 2" xfId="22838" xr:uid="{00000000-0005-0000-0000-00008BD50000}"/>
    <cellStyle name="Normal 2 4 7 18 2 10" xfId="57756" xr:uid="{00000000-0005-0000-0000-00008CD50000}"/>
    <cellStyle name="Normal 2 4 7 18 2 2" xfId="22839" xr:uid="{00000000-0005-0000-0000-00008DD50000}"/>
    <cellStyle name="Normal 2 4 7 18 2 2 2" xfId="22840" xr:uid="{00000000-0005-0000-0000-00008ED50000}"/>
    <cellStyle name="Normal 2 4 7 18 2 2 2 2" xfId="22841" xr:uid="{00000000-0005-0000-0000-00008FD50000}"/>
    <cellStyle name="Normal 2 4 7 18 2 2 2 2 2" xfId="57757" xr:uid="{00000000-0005-0000-0000-000090D50000}"/>
    <cellStyle name="Normal 2 4 7 18 2 2 2 3" xfId="22842" xr:uid="{00000000-0005-0000-0000-000091D50000}"/>
    <cellStyle name="Normal 2 4 7 18 2 2 2 3 2" xfId="57758" xr:uid="{00000000-0005-0000-0000-000092D50000}"/>
    <cellStyle name="Normal 2 4 7 18 2 2 2 4" xfId="57759" xr:uid="{00000000-0005-0000-0000-000093D50000}"/>
    <cellStyle name="Normal 2 4 7 18 2 2 3" xfId="22843" xr:uid="{00000000-0005-0000-0000-000094D50000}"/>
    <cellStyle name="Normal 2 4 7 18 2 2 3 2" xfId="57760" xr:uid="{00000000-0005-0000-0000-000095D50000}"/>
    <cellStyle name="Normal 2 4 7 18 2 2 4" xfId="22844" xr:uid="{00000000-0005-0000-0000-000096D50000}"/>
    <cellStyle name="Normal 2 4 7 18 2 2 4 2" xfId="57761" xr:uid="{00000000-0005-0000-0000-000097D50000}"/>
    <cellStyle name="Normal 2 4 7 18 2 2 5" xfId="22845" xr:uid="{00000000-0005-0000-0000-000098D50000}"/>
    <cellStyle name="Normal 2 4 7 18 2 2 5 2" xfId="57762" xr:uid="{00000000-0005-0000-0000-000099D50000}"/>
    <cellStyle name="Normal 2 4 7 18 2 2 6" xfId="57763" xr:uid="{00000000-0005-0000-0000-00009AD50000}"/>
    <cellStyle name="Normal 2 4 7 18 2 2 6 2" xfId="57764" xr:uid="{00000000-0005-0000-0000-00009BD50000}"/>
    <cellStyle name="Normal 2 4 7 18 2 2 7" xfId="57765" xr:uid="{00000000-0005-0000-0000-00009CD50000}"/>
    <cellStyle name="Normal 2 4 7 18 2 3" xfId="22846" xr:uid="{00000000-0005-0000-0000-00009DD50000}"/>
    <cellStyle name="Normal 2 4 7 18 2 3 2" xfId="22847" xr:uid="{00000000-0005-0000-0000-00009ED50000}"/>
    <cellStyle name="Normal 2 4 7 18 2 3 2 2" xfId="57766" xr:uid="{00000000-0005-0000-0000-00009FD50000}"/>
    <cellStyle name="Normal 2 4 7 18 2 3 3" xfId="22848" xr:uid="{00000000-0005-0000-0000-0000A0D50000}"/>
    <cellStyle name="Normal 2 4 7 18 2 3 3 2" xfId="57767" xr:uid="{00000000-0005-0000-0000-0000A1D50000}"/>
    <cellStyle name="Normal 2 4 7 18 2 3 4" xfId="57768" xr:uid="{00000000-0005-0000-0000-0000A2D50000}"/>
    <cellStyle name="Normal 2 4 7 18 2 4" xfId="22849" xr:uid="{00000000-0005-0000-0000-0000A3D50000}"/>
    <cellStyle name="Normal 2 4 7 18 2 4 2" xfId="22850" xr:uid="{00000000-0005-0000-0000-0000A4D50000}"/>
    <cellStyle name="Normal 2 4 7 18 2 4 2 2" xfId="57769" xr:uid="{00000000-0005-0000-0000-0000A5D50000}"/>
    <cellStyle name="Normal 2 4 7 18 2 4 3" xfId="57770" xr:uid="{00000000-0005-0000-0000-0000A6D50000}"/>
    <cellStyle name="Normal 2 4 7 18 2 5" xfId="22851" xr:uid="{00000000-0005-0000-0000-0000A7D50000}"/>
    <cellStyle name="Normal 2 4 7 18 2 5 2" xfId="57771" xr:uid="{00000000-0005-0000-0000-0000A8D50000}"/>
    <cellStyle name="Normal 2 4 7 18 2 6" xfId="22852" xr:uid="{00000000-0005-0000-0000-0000A9D50000}"/>
    <cellStyle name="Normal 2 4 7 18 2 6 2" xfId="57772" xr:uid="{00000000-0005-0000-0000-0000AAD50000}"/>
    <cellStyle name="Normal 2 4 7 18 2 7" xfId="57773" xr:uid="{00000000-0005-0000-0000-0000ABD50000}"/>
    <cellStyle name="Normal 2 4 7 18 2 7 2" xfId="57774" xr:uid="{00000000-0005-0000-0000-0000ACD50000}"/>
    <cellStyle name="Normal 2 4 7 18 2 8" xfId="57775" xr:uid="{00000000-0005-0000-0000-0000ADD50000}"/>
    <cellStyle name="Normal 2 4 7 18 2 9" xfId="57776" xr:uid="{00000000-0005-0000-0000-0000AED50000}"/>
    <cellStyle name="Normal 2 4 7 18 3" xfId="22853" xr:uid="{00000000-0005-0000-0000-0000AFD50000}"/>
    <cellStyle name="Normal 2 4 7 18 3 2" xfId="22854" xr:uid="{00000000-0005-0000-0000-0000B0D50000}"/>
    <cellStyle name="Normal 2 4 7 18 3 2 2" xfId="22855" xr:uid="{00000000-0005-0000-0000-0000B1D50000}"/>
    <cellStyle name="Normal 2 4 7 18 3 2 2 2" xfId="57777" xr:uid="{00000000-0005-0000-0000-0000B2D50000}"/>
    <cellStyle name="Normal 2 4 7 18 3 2 3" xfId="22856" xr:uid="{00000000-0005-0000-0000-0000B3D50000}"/>
    <cellStyle name="Normal 2 4 7 18 3 2 3 2" xfId="57778" xr:uid="{00000000-0005-0000-0000-0000B4D50000}"/>
    <cellStyle name="Normal 2 4 7 18 3 2 4" xfId="57779" xr:uid="{00000000-0005-0000-0000-0000B5D50000}"/>
    <cellStyle name="Normal 2 4 7 18 3 3" xfId="22857" xr:uid="{00000000-0005-0000-0000-0000B6D50000}"/>
    <cellStyle name="Normal 2 4 7 18 3 3 2" xfId="57780" xr:uid="{00000000-0005-0000-0000-0000B7D50000}"/>
    <cellStyle name="Normal 2 4 7 18 3 4" xfId="22858" xr:uid="{00000000-0005-0000-0000-0000B8D50000}"/>
    <cellStyle name="Normal 2 4 7 18 3 4 2" xfId="57781" xr:uid="{00000000-0005-0000-0000-0000B9D50000}"/>
    <cellStyle name="Normal 2 4 7 18 3 5" xfId="22859" xr:uid="{00000000-0005-0000-0000-0000BAD50000}"/>
    <cellStyle name="Normal 2 4 7 18 3 5 2" xfId="57782" xr:uid="{00000000-0005-0000-0000-0000BBD50000}"/>
    <cellStyle name="Normal 2 4 7 18 3 6" xfId="57783" xr:uid="{00000000-0005-0000-0000-0000BCD50000}"/>
    <cellStyle name="Normal 2 4 7 18 3 6 2" xfId="57784" xr:uid="{00000000-0005-0000-0000-0000BDD50000}"/>
    <cellStyle name="Normal 2 4 7 18 3 7" xfId="57785" xr:uid="{00000000-0005-0000-0000-0000BED50000}"/>
    <cellStyle name="Normal 2 4 7 18 4" xfId="22860" xr:uid="{00000000-0005-0000-0000-0000BFD50000}"/>
    <cellStyle name="Normal 2 4 7 18 4 2" xfId="22861" xr:uid="{00000000-0005-0000-0000-0000C0D50000}"/>
    <cellStyle name="Normal 2 4 7 18 4 2 2" xfId="57786" xr:uid="{00000000-0005-0000-0000-0000C1D50000}"/>
    <cellStyle name="Normal 2 4 7 18 4 3" xfId="22862" xr:uid="{00000000-0005-0000-0000-0000C2D50000}"/>
    <cellStyle name="Normal 2 4 7 18 4 3 2" xfId="57787" xr:uid="{00000000-0005-0000-0000-0000C3D50000}"/>
    <cellStyle name="Normal 2 4 7 18 4 4" xfId="57788" xr:uid="{00000000-0005-0000-0000-0000C4D50000}"/>
    <cellStyle name="Normal 2 4 7 18 5" xfId="22863" xr:uid="{00000000-0005-0000-0000-0000C5D50000}"/>
    <cellStyle name="Normal 2 4 7 18 5 2" xfId="22864" xr:uid="{00000000-0005-0000-0000-0000C6D50000}"/>
    <cellStyle name="Normal 2 4 7 18 5 2 2" xfId="57789" xr:uid="{00000000-0005-0000-0000-0000C7D50000}"/>
    <cellStyle name="Normal 2 4 7 18 5 3" xfId="57790" xr:uid="{00000000-0005-0000-0000-0000C8D50000}"/>
    <cellStyle name="Normal 2 4 7 18 6" xfId="22865" xr:uid="{00000000-0005-0000-0000-0000C9D50000}"/>
    <cellStyle name="Normal 2 4 7 18 6 2" xfId="57791" xr:uid="{00000000-0005-0000-0000-0000CAD50000}"/>
    <cellStyle name="Normal 2 4 7 18 7" xfId="22866" xr:uid="{00000000-0005-0000-0000-0000CBD50000}"/>
    <cellStyle name="Normal 2 4 7 18 7 2" xfId="57792" xr:uid="{00000000-0005-0000-0000-0000CCD50000}"/>
    <cellStyle name="Normal 2 4 7 18 8" xfId="57793" xr:uid="{00000000-0005-0000-0000-0000CDD50000}"/>
    <cellStyle name="Normal 2 4 7 18 8 2" xfId="57794" xr:uid="{00000000-0005-0000-0000-0000CED50000}"/>
    <cellStyle name="Normal 2 4 7 18 9" xfId="57795" xr:uid="{00000000-0005-0000-0000-0000CFD50000}"/>
    <cellStyle name="Normal 2 4 7 19" xfId="22867" xr:uid="{00000000-0005-0000-0000-0000D0D50000}"/>
    <cellStyle name="Normal 2 4 7 19 10" xfId="57796" xr:uid="{00000000-0005-0000-0000-0000D1D50000}"/>
    <cellStyle name="Normal 2 4 7 19 11" xfId="57797" xr:uid="{00000000-0005-0000-0000-0000D2D50000}"/>
    <cellStyle name="Normal 2 4 7 19 2" xfId="22868" xr:uid="{00000000-0005-0000-0000-0000D3D50000}"/>
    <cellStyle name="Normal 2 4 7 19 2 10" xfId="57798" xr:uid="{00000000-0005-0000-0000-0000D4D50000}"/>
    <cellStyle name="Normal 2 4 7 19 2 2" xfId="22869" xr:uid="{00000000-0005-0000-0000-0000D5D50000}"/>
    <cellStyle name="Normal 2 4 7 19 2 2 2" xfId="22870" xr:uid="{00000000-0005-0000-0000-0000D6D50000}"/>
    <cellStyle name="Normal 2 4 7 19 2 2 2 2" xfId="22871" xr:uid="{00000000-0005-0000-0000-0000D7D50000}"/>
    <cellStyle name="Normal 2 4 7 19 2 2 2 2 2" xfId="57799" xr:uid="{00000000-0005-0000-0000-0000D8D50000}"/>
    <cellStyle name="Normal 2 4 7 19 2 2 2 3" xfId="22872" xr:uid="{00000000-0005-0000-0000-0000D9D50000}"/>
    <cellStyle name="Normal 2 4 7 19 2 2 2 3 2" xfId="57800" xr:uid="{00000000-0005-0000-0000-0000DAD50000}"/>
    <cellStyle name="Normal 2 4 7 19 2 2 2 4" xfId="57801" xr:uid="{00000000-0005-0000-0000-0000DBD50000}"/>
    <cellStyle name="Normal 2 4 7 19 2 2 3" xfId="22873" xr:uid="{00000000-0005-0000-0000-0000DCD50000}"/>
    <cellStyle name="Normal 2 4 7 19 2 2 3 2" xfId="57802" xr:uid="{00000000-0005-0000-0000-0000DDD50000}"/>
    <cellStyle name="Normal 2 4 7 19 2 2 4" xfId="22874" xr:uid="{00000000-0005-0000-0000-0000DED50000}"/>
    <cellStyle name="Normal 2 4 7 19 2 2 4 2" xfId="57803" xr:uid="{00000000-0005-0000-0000-0000DFD50000}"/>
    <cellStyle name="Normal 2 4 7 19 2 2 5" xfId="22875" xr:uid="{00000000-0005-0000-0000-0000E0D50000}"/>
    <cellStyle name="Normal 2 4 7 19 2 2 5 2" xfId="57804" xr:uid="{00000000-0005-0000-0000-0000E1D50000}"/>
    <cellStyle name="Normal 2 4 7 19 2 2 6" xfId="57805" xr:uid="{00000000-0005-0000-0000-0000E2D50000}"/>
    <cellStyle name="Normal 2 4 7 19 2 2 6 2" xfId="57806" xr:uid="{00000000-0005-0000-0000-0000E3D50000}"/>
    <cellStyle name="Normal 2 4 7 19 2 2 7" xfId="57807" xr:uid="{00000000-0005-0000-0000-0000E4D50000}"/>
    <cellStyle name="Normal 2 4 7 19 2 3" xfId="22876" xr:uid="{00000000-0005-0000-0000-0000E5D50000}"/>
    <cellStyle name="Normal 2 4 7 19 2 3 2" xfId="22877" xr:uid="{00000000-0005-0000-0000-0000E6D50000}"/>
    <cellStyle name="Normal 2 4 7 19 2 3 2 2" xfId="57808" xr:uid="{00000000-0005-0000-0000-0000E7D50000}"/>
    <cellStyle name="Normal 2 4 7 19 2 3 3" xfId="22878" xr:uid="{00000000-0005-0000-0000-0000E8D50000}"/>
    <cellStyle name="Normal 2 4 7 19 2 3 3 2" xfId="57809" xr:uid="{00000000-0005-0000-0000-0000E9D50000}"/>
    <cellStyle name="Normal 2 4 7 19 2 3 4" xfId="57810" xr:uid="{00000000-0005-0000-0000-0000EAD50000}"/>
    <cellStyle name="Normal 2 4 7 19 2 4" xfId="22879" xr:uid="{00000000-0005-0000-0000-0000EBD50000}"/>
    <cellStyle name="Normal 2 4 7 19 2 4 2" xfId="22880" xr:uid="{00000000-0005-0000-0000-0000ECD50000}"/>
    <cellStyle name="Normal 2 4 7 19 2 4 2 2" xfId="57811" xr:uid="{00000000-0005-0000-0000-0000EDD50000}"/>
    <cellStyle name="Normal 2 4 7 19 2 4 3" xfId="57812" xr:uid="{00000000-0005-0000-0000-0000EED50000}"/>
    <cellStyle name="Normal 2 4 7 19 2 5" xfId="22881" xr:uid="{00000000-0005-0000-0000-0000EFD50000}"/>
    <cellStyle name="Normal 2 4 7 19 2 5 2" xfId="57813" xr:uid="{00000000-0005-0000-0000-0000F0D50000}"/>
    <cellStyle name="Normal 2 4 7 19 2 6" xfId="22882" xr:uid="{00000000-0005-0000-0000-0000F1D50000}"/>
    <cellStyle name="Normal 2 4 7 19 2 6 2" xfId="57814" xr:uid="{00000000-0005-0000-0000-0000F2D50000}"/>
    <cellStyle name="Normal 2 4 7 19 2 7" xfId="57815" xr:uid="{00000000-0005-0000-0000-0000F3D50000}"/>
    <cellStyle name="Normal 2 4 7 19 2 7 2" xfId="57816" xr:uid="{00000000-0005-0000-0000-0000F4D50000}"/>
    <cellStyle name="Normal 2 4 7 19 2 8" xfId="57817" xr:uid="{00000000-0005-0000-0000-0000F5D50000}"/>
    <cellStyle name="Normal 2 4 7 19 2 9" xfId="57818" xr:uid="{00000000-0005-0000-0000-0000F6D50000}"/>
    <cellStyle name="Normal 2 4 7 19 3" xfId="22883" xr:uid="{00000000-0005-0000-0000-0000F7D50000}"/>
    <cellStyle name="Normal 2 4 7 19 3 2" xfId="22884" xr:uid="{00000000-0005-0000-0000-0000F8D50000}"/>
    <cellStyle name="Normal 2 4 7 19 3 2 2" xfId="22885" xr:uid="{00000000-0005-0000-0000-0000F9D50000}"/>
    <cellStyle name="Normal 2 4 7 19 3 2 2 2" xfId="57819" xr:uid="{00000000-0005-0000-0000-0000FAD50000}"/>
    <cellStyle name="Normal 2 4 7 19 3 2 3" xfId="22886" xr:uid="{00000000-0005-0000-0000-0000FBD50000}"/>
    <cellStyle name="Normal 2 4 7 19 3 2 3 2" xfId="57820" xr:uid="{00000000-0005-0000-0000-0000FCD50000}"/>
    <cellStyle name="Normal 2 4 7 19 3 2 4" xfId="57821" xr:uid="{00000000-0005-0000-0000-0000FDD50000}"/>
    <cellStyle name="Normal 2 4 7 19 3 3" xfId="22887" xr:uid="{00000000-0005-0000-0000-0000FED50000}"/>
    <cellStyle name="Normal 2 4 7 19 3 3 2" xfId="57822" xr:uid="{00000000-0005-0000-0000-0000FFD50000}"/>
    <cellStyle name="Normal 2 4 7 19 3 4" xfId="22888" xr:uid="{00000000-0005-0000-0000-000000D60000}"/>
    <cellStyle name="Normal 2 4 7 19 3 4 2" xfId="57823" xr:uid="{00000000-0005-0000-0000-000001D60000}"/>
    <cellStyle name="Normal 2 4 7 19 3 5" xfId="22889" xr:uid="{00000000-0005-0000-0000-000002D60000}"/>
    <cellStyle name="Normal 2 4 7 19 3 5 2" xfId="57824" xr:uid="{00000000-0005-0000-0000-000003D60000}"/>
    <cellStyle name="Normal 2 4 7 19 3 6" xfId="57825" xr:uid="{00000000-0005-0000-0000-000004D60000}"/>
    <cellStyle name="Normal 2 4 7 19 3 6 2" xfId="57826" xr:uid="{00000000-0005-0000-0000-000005D60000}"/>
    <cellStyle name="Normal 2 4 7 19 3 7" xfId="57827" xr:uid="{00000000-0005-0000-0000-000006D60000}"/>
    <cellStyle name="Normal 2 4 7 19 4" xfId="22890" xr:uid="{00000000-0005-0000-0000-000007D60000}"/>
    <cellStyle name="Normal 2 4 7 19 4 2" xfId="22891" xr:uid="{00000000-0005-0000-0000-000008D60000}"/>
    <cellStyle name="Normal 2 4 7 19 4 2 2" xfId="57828" xr:uid="{00000000-0005-0000-0000-000009D60000}"/>
    <cellStyle name="Normal 2 4 7 19 4 3" xfId="22892" xr:uid="{00000000-0005-0000-0000-00000AD60000}"/>
    <cellStyle name="Normal 2 4 7 19 4 3 2" xfId="57829" xr:uid="{00000000-0005-0000-0000-00000BD60000}"/>
    <cellStyle name="Normal 2 4 7 19 4 4" xfId="57830" xr:uid="{00000000-0005-0000-0000-00000CD60000}"/>
    <cellStyle name="Normal 2 4 7 19 5" xfId="22893" xr:uid="{00000000-0005-0000-0000-00000DD60000}"/>
    <cellStyle name="Normal 2 4 7 19 5 2" xfId="22894" xr:uid="{00000000-0005-0000-0000-00000ED60000}"/>
    <cellStyle name="Normal 2 4 7 19 5 2 2" xfId="57831" xr:uid="{00000000-0005-0000-0000-00000FD60000}"/>
    <cellStyle name="Normal 2 4 7 19 5 3" xfId="57832" xr:uid="{00000000-0005-0000-0000-000010D60000}"/>
    <cellStyle name="Normal 2 4 7 19 6" xfId="22895" xr:uid="{00000000-0005-0000-0000-000011D60000}"/>
    <cellStyle name="Normal 2 4 7 19 6 2" xfId="57833" xr:uid="{00000000-0005-0000-0000-000012D60000}"/>
    <cellStyle name="Normal 2 4 7 19 7" xfId="22896" xr:uid="{00000000-0005-0000-0000-000013D60000}"/>
    <cellStyle name="Normal 2 4 7 19 7 2" xfId="57834" xr:uid="{00000000-0005-0000-0000-000014D60000}"/>
    <cellStyle name="Normal 2 4 7 19 8" xfId="57835" xr:uid="{00000000-0005-0000-0000-000015D60000}"/>
    <cellStyle name="Normal 2 4 7 19 8 2" xfId="57836" xr:uid="{00000000-0005-0000-0000-000016D60000}"/>
    <cellStyle name="Normal 2 4 7 19 9" xfId="57837" xr:uid="{00000000-0005-0000-0000-000017D60000}"/>
    <cellStyle name="Normal 2 4 7 2" xfId="22897" xr:uid="{00000000-0005-0000-0000-000018D60000}"/>
    <cellStyle name="Normal 2 4 7 2 10" xfId="57838" xr:uid="{00000000-0005-0000-0000-000019D60000}"/>
    <cellStyle name="Normal 2 4 7 2 11" xfId="57839" xr:uid="{00000000-0005-0000-0000-00001AD60000}"/>
    <cellStyle name="Normal 2 4 7 2 2" xfId="22898" xr:uid="{00000000-0005-0000-0000-00001BD60000}"/>
    <cellStyle name="Normal 2 4 7 2 2 10" xfId="57840" xr:uid="{00000000-0005-0000-0000-00001CD60000}"/>
    <cellStyle name="Normal 2 4 7 2 2 2" xfId="22899" xr:uid="{00000000-0005-0000-0000-00001DD60000}"/>
    <cellStyle name="Normal 2 4 7 2 2 2 2" xfId="22900" xr:uid="{00000000-0005-0000-0000-00001ED60000}"/>
    <cellStyle name="Normal 2 4 7 2 2 2 2 2" xfId="22901" xr:uid="{00000000-0005-0000-0000-00001FD60000}"/>
    <cellStyle name="Normal 2 4 7 2 2 2 2 2 2" xfId="57841" xr:uid="{00000000-0005-0000-0000-000020D60000}"/>
    <cellStyle name="Normal 2 4 7 2 2 2 2 3" xfId="22902" xr:uid="{00000000-0005-0000-0000-000021D60000}"/>
    <cellStyle name="Normal 2 4 7 2 2 2 2 3 2" xfId="57842" xr:uid="{00000000-0005-0000-0000-000022D60000}"/>
    <cellStyle name="Normal 2 4 7 2 2 2 2 4" xfId="57843" xr:uid="{00000000-0005-0000-0000-000023D60000}"/>
    <cellStyle name="Normal 2 4 7 2 2 2 3" xfId="22903" xr:uid="{00000000-0005-0000-0000-000024D60000}"/>
    <cellStyle name="Normal 2 4 7 2 2 2 3 2" xfId="57844" xr:uid="{00000000-0005-0000-0000-000025D60000}"/>
    <cellStyle name="Normal 2 4 7 2 2 2 4" xfId="22904" xr:uid="{00000000-0005-0000-0000-000026D60000}"/>
    <cellStyle name="Normal 2 4 7 2 2 2 4 2" xfId="57845" xr:uid="{00000000-0005-0000-0000-000027D60000}"/>
    <cellStyle name="Normal 2 4 7 2 2 2 5" xfId="22905" xr:uid="{00000000-0005-0000-0000-000028D60000}"/>
    <cellStyle name="Normal 2 4 7 2 2 2 5 2" xfId="57846" xr:uid="{00000000-0005-0000-0000-000029D60000}"/>
    <cellStyle name="Normal 2 4 7 2 2 2 6" xfId="57847" xr:uid="{00000000-0005-0000-0000-00002AD60000}"/>
    <cellStyle name="Normal 2 4 7 2 2 2 6 2" xfId="57848" xr:uid="{00000000-0005-0000-0000-00002BD60000}"/>
    <cellStyle name="Normal 2 4 7 2 2 2 7" xfId="57849" xr:uid="{00000000-0005-0000-0000-00002CD60000}"/>
    <cellStyle name="Normal 2 4 7 2 2 3" xfId="22906" xr:uid="{00000000-0005-0000-0000-00002DD60000}"/>
    <cellStyle name="Normal 2 4 7 2 2 3 2" xfId="22907" xr:uid="{00000000-0005-0000-0000-00002ED60000}"/>
    <cellStyle name="Normal 2 4 7 2 2 3 2 2" xfId="57850" xr:uid="{00000000-0005-0000-0000-00002FD60000}"/>
    <cellStyle name="Normal 2 4 7 2 2 3 3" xfId="22908" xr:uid="{00000000-0005-0000-0000-000030D60000}"/>
    <cellStyle name="Normal 2 4 7 2 2 3 3 2" xfId="57851" xr:uid="{00000000-0005-0000-0000-000031D60000}"/>
    <cellStyle name="Normal 2 4 7 2 2 3 4" xfId="57852" xr:uid="{00000000-0005-0000-0000-000032D60000}"/>
    <cellStyle name="Normal 2 4 7 2 2 4" xfId="22909" xr:uid="{00000000-0005-0000-0000-000033D60000}"/>
    <cellStyle name="Normal 2 4 7 2 2 4 2" xfId="22910" xr:uid="{00000000-0005-0000-0000-000034D60000}"/>
    <cellStyle name="Normal 2 4 7 2 2 4 2 2" xfId="57853" xr:uid="{00000000-0005-0000-0000-000035D60000}"/>
    <cellStyle name="Normal 2 4 7 2 2 4 3" xfId="57854" xr:uid="{00000000-0005-0000-0000-000036D60000}"/>
    <cellStyle name="Normal 2 4 7 2 2 5" xfId="22911" xr:uid="{00000000-0005-0000-0000-000037D60000}"/>
    <cellStyle name="Normal 2 4 7 2 2 5 2" xfId="57855" xr:uid="{00000000-0005-0000-0000-000038D60000}"/>
    <cellStyle name="Normal 2 4 7 2 2 6" xfId="22912" xr:uid="{00000000-0005-0000-0000-000039D60000}"/>
    <cellStyle name="Normal 2 4 7 2 2 6 2" xfId="57856" xr:uid="{00000000-0005-0000-0000-00003AD60000}"/>
    <cellStyle name="Normal 2 4 7 2 2 7" xfId="57857" xr:uid="{00000000-0005-0000-0000-00003BD60000}"/>
    <cellStyle name="Normal 2 4 7 2 2 7 2" xfId="57858" xr:uid="{00000000-0005-0000-0000-00003CD60000}"/>
    <cellStyle name="Normal 2 4 7 2 2 8" xfId="57859" xr:uid="{00000000-0005-0000-0000-00003DD60000}"/>
    <cellStyle name="Normal 2 4 7 2 2 9" xfId="57860" xr:uid="{00000000-0005-0000-0000-00003ED60000}"/>
    <cellStyle name="Normal 2 4 7 2 3" xfId="22913" xr:uid="{00000000-0005-0000-0000-00003FD60000}"/>
    <cellStyle name="Normal 2 4 7 2 3 2" xfId="22914" xr:uid="{00000000-0005-0000-0000-000040D60000}"/>
    <cellStyle name="Normal 2 4 7 2 3 2 2" xfId="22915" xr:uid="{00000000-0005-0000-0000-000041D60000}"/>
    <cellStyle name="Normal 2 4 7 2 3 2 2 2" xfId="57861" xr:uid="{00000000-0005-0000-0000-000042D60000}"/>
    <cellStyle name="Normal 2 4 7 2 3 2 3" xfId="22916" xr:uid="{00000000-0005-0000-0000-000043D60000}"/>
    <cellStyle name="Normal 2 4 7 2 3 2 3 2" xfId="57862" xr:uid="{00000000-0005-0000-0000-000044D60000}"/>
    <cellStyle name="Normal 2 4 7 2 3 2 4" xfId="57863" xr:uid="{00000000-0005-0000-0000-000045D60000}"/>
    <cellStyle name="Normal 2 4 7 2 3 3" xfId="22917" xr:uid="{00000000-0005-0000-0000-000046D60000}"/>
    <cellStyle name="Normal 2 4 7 2 3 3 2" xfId="57864" xr:uid="{00000000-0005-0000-0000-000047D60000}"/>
    <cellStyle name="Normal 2 4 7 2 3 4" xfId="22918" xr:uid="{00000000-0005-0000-0000-000048D60000}"/>
    <cellStyle name="Normal 2 4 7 2 3 4 2" xfId="57865" xr:uid="{00000000-0005-0000-0000-000049D60000}"/>
    <cellStyle name="Normal 2 4 7 2 3 5" xfId="22919" xr:uid="{00000000-0005-0000-0000-00004AD60000}"/>
    <cellStyle name="Normal 2 4 7 2 3 5 2" xfId="57866" xr:uid="{00000000-0005-0000-0000-00004BD60000}"/>
    <cellStyle name="Normal 2 4 7 2 3 6" xfId="57867" xr:uid="{00000000-0005-0000-0000-00004CD60000}"/>
    <cellStyle name="Normal 2 4 7 2 3 6 2" xfId="57868" xr:uid="{00000000-0005-0000-0000-00004DD60000}"/>
    <cellStyle name="Normal 2 4 7 2 3 7" xfId="57869" xr:uid="{00000000-0005-0000-0000-00004ED60000}"/>
    <cellStyle name="Normal 2 4 7 2 4" xfId="22920" xr:uid="{00000000-0005-0000-0000-00004FD60000}"/>
    <cellStyle name="Normal 2 4 7 2 4 2" xfId="22921" xr:uid="{00000000-0005-0000-0000-000050D60000}"/>
    <cellStyle name="Normal 2 4 7 2 4 2 2" xfId="57870" xr:uid="{00000000-0005-0000-0000-000051D60000}"/>
    <cellStyle name="Normal 2 4 7 2 4 3" xfId="22922" xr:uid="{00000000-0005-0000-0000-000052D60000}"/>
    <cellStyle name="Normal 2 4 7 2 4 3 2" xfId="57871" xr:uid="{00000000-0005-0000-0000-000053D60000}"/>
    <cellStyle name="Normal 2 4 7 2 4 4" xfId="57872" xr:uid="{00000000-0005-0000-0000-000054D60000}"/>
    <cellStyle name="Normal 2 4 7 2 5" xfId="22923" xr:uid="{00000000-0005-0000-0000-000055D60000}"/>
    <cellStyle name="Normal 2 4 7 2 5 2" xfId="22924" xr:uid="{00000000-0005-0000-0000-000056D60000}"/>
    <cellStyle name="Normal 2 4 7 2 5 2 2" xfId="57873" xr:uid="{00000000-0005-0000-0000-000057D60000}"/>
    <cellStyle name="Normal 2 4 7 2 5 3" xfId="57874" xr:uid="{00000000-0005-0000-0000-000058D60000}"/>
    <cellStyle name="Normal 2 4 7 2 6" xfId="22925" xr:uid="{00000000-0005-0000-0000-000059D60000}"/>
    <cellStyle name="Normal 2 4 7 2 6 2" xfId="57875" xr:uid="{00000000-0005-0000-0000-00005AD60000}"/>
    <cellStyle name="Normal 2 4 7 2 7" xfId="22926" xr:uid="{00000000-0005-0000-0000-00005BD60000}"/>
    <cellStyle name="Normal 2 4 7 2 7 2" xfId="57876" xr:uid="{00000000-0005-0000-0000-00005CD60000}"/>
    <cellStyle name="Normal 2 4 7 2 8" xfId="57877" xr:uid="{00000000-0005-0000-0000-00005DD60000}"/>
    <cellStyle name="Normal 2 4 7 2 8 2" xfId="57878" xr:uid="{00000000-0005-0000-0000-00005ED60000}"/>
    <cellStyle name="Normal 2 4 7 2 9" xfId="57879" xr:uid="{00000000-0005-0000-0000-00005FD60000}"/>
    <cellStyle name="Normal 2 4 7 20" xfId="22927" xr:uid="{00000000-0005-0000-0000-000060D60000}"/>
    <cellStyle name="Normal 2 4 7 20 10" xfId="57880" xr:uid="{00000000-0005-0000-0000-000061D60000}"/>
    <cellStyle name="Normal 2 4 7 20 11" xfId="57881" xr:uid="{00000000-0005-0000-0000-000062D60000}"/>
    <cellStyle name="Normal 2 4 7 20 2" xfId="22928" xr:uid="{00000000-0005-0000-0000-000063D60000}"/>
    <cellStyle name="Normal 2 4 7 20 2 10" xfId="57882" xr:uid="{00000000-0005-0000-0000-000064D60000}"/>
    <cellStyle name="Normal 2 4 7 20 2 2" xfId="22929" xr:uid="{00000000-0005-0000-0000-000065D60000}"/>
    <cellStyle name="Normal 2 4 7 20 2 2 2" xfId="22930" xr:uid="{00000000-0005-0000-0000-000066D60000}"/>
    <cellStyle name="Normal 2 4 7 20 2 2 2 2" xfId="22931" xr:uid="{00000000-0005-0000-0000-000067D60000}"/>
    <cellStyle name="Normal 2 4 7 20 2 2 2 2 2" xfId="57883" xr:uid="{00000000-0005-0000-0000-000068D60000}"/>
    <cellStyle name="Normal 2 4 7 20 2 2 2 3" xfId="22932" xr:uid="{00000000-0005-0000-0000-000069D60000}"/>
    <cellStyle name="Normal 2 4 7 20 2 2 2 3 2" xfId="57884" xr:uid="{00000000-0005-0000-0000-00006AD60000}"/>
    <cellStyle name="Normal 2 4 7 20 2 2 2 4" xfId="57885" xr:uid="{00000000-0005-0000-0000-00006BD60000}"/>
    <cellStyle name="Normal 2 4 7 20 2 2 3" xfId="22933" xr:uid="{00000000-0005-0000-0000-00006CD60000}"/>
    <cellStyle name="Normal 2 4 7 20 2 2 3 2" xfId="57886" xr:uid="{00000000-0005-0000-0000-00006DD60000}"/>
    <cellStyle name="Normal 2 4 7 20 2 2 4" xfId="22934" xr:uid="{00000000-0005-0000-0000-00006ED60000}"/>
    <cellStyle name="Normal 2 4 7 20 2 2 4 2" xfId="57887" xr:uid="{00000000-0005-0000-0000-00006FD60000}"/>
    <cellStyle name="Normal 2 4 7 20 2 2 5" xfId="22935" xr:uid="{00000000-0005-0000-0000-000070D60000}"/>
    <cellStyle name="Normal 2 4 7 20 2 2 5 2" xfId="57888" xr:uid="{00000000-0005-0000-0000-000071D60000}"/>
    <cellStyle name="Normal 2 4 7 20 2 2 6" xfId="57889" xr:uid="{00000000-0005-0000-0000-000072D60000}"/>
    <cellStyle name="Normal 2 4 7 20 2 2 6 2" xfId="57890" xr:uid="{00000000-0005-0000-0000-000073D60000}"/>
    <cellStyle name="Normal 2 4 7 20 2 2 7" xfId="57891" xr:uid="{00000000-0005-0000-0000-000074D60000}"/>
    <cellStyle name="Normal 2 4 7 20 2 3" xfId="22936" xr:uid="{00000000-0005-0000-0000-000075D60000}"/>
    <cellStyle name="Normal 2 4 7 20 2 3 2" xfId="22937" xr:uid="{00000000-0005-0000-0000-000076D60000}"/>
    <cellStyle name="Normal 2 4 7 20 2 3 2 2" xfId="57892" xr:uid="{00000000-0005-0000-0000-000077D60000}"/>
    <cellStyle name="Normal 2 4 7 20 2 3 3" xfId="22938" xr:uid="{00000000-0005-0000-0000-000078D60000}"/>
    <cellStyle name="Normal 2 4 7 20 2 3 3 2" xfId="57893" xr:uid="{00000000-0005-0000-0000-000079D60000}"/>
    <cellStyle name="Normal 2 4 7 20 2 3 4" xfId="57894" xr:uid="{00000000-0005-0000-0000-00007AD60000}"/>
    <cellStyle name="Normal 2 4 7 20 2 4" xfId="22939" xr:uid="{00000000-0005-0000-0000-00007BD60000}"/>
    <cellStyle name="Normal 2 4 7 20 2 4 2" xfId="22940" xr:uid="{00000000-0005-0000-0000-00007CD60000}"/>
    <cellStyle name="Normal 2 4 7 20 2 4 2 2" xfId="57895" xr:uid="{00000000-0005-0000-0000-00007DD60000}"/>
    <cellStyle name="Normal 2 4 7 20 2 4 3" xfId="57896" xr:uid="{00000000-0005-0000-0000-00007ED60000}"/>
    <cellStyle name="Normal 2 4 7 20 2 5" xfId="22941" xr:uid="{00000000-0005-0000-0000-00007FD60000}"/>
    <cellStyle name="Normal 2 4 7 20 2 5 2" xfId="57897" xr:uid="{00000000-0005-0000-0000-000080D60000}"/>
    <cellStyle name="Normal 2 4 7 20 2 6" xfId="22942" xr:uid="{00000000-0005-0000-0000-000081D60000}"/>
    <cellStyle name="Normal 2 4 7 20 2 6 2" xfId="57898" xr:uid="{00000000-0005-0000-0000-000082D60000}"/>
    <cellStyle name="Normal 2 4 7 20 2 7" xfId="57899" xr:uid="{00000000-0005-0000-0000-000083D60000}"/>
    <cellStyle name="Normal 2 4 7 20 2 7 2" xfId="57900" xr:uid="{00000000-0005-0000-0000-000084D60000}"/>
    <cellStyle name="Normal 2 4 7 20 2 8" xfId="57901" xr:uid="{00000000-0005-0000-0000-000085D60000}"/>
    <cellStyle name="Normal 2 4 7 20 2 9" xfId="57902" xr:uid="{00000000-0005-0000-0000-000086D60000}"/>
    <cellStyle name="Normal 2 4 7 20 3" xfId="22943" xr:uid="{00000000-0005-0000-0000-000087D60000}"/>
    <cellStyle name="Normal 2 4 7 20 3 2" xfId="22944" xr:uid="{00000000-0005-0000-0000-000088D60000}"/>
    <cellStyle name="Normal 2 4 7 20 3 2 2" xfId="22945" xr:uid="{00000000-0005-0000-0000-000089D60000}"/>
    <cellStyle name="Normal 2 4 7 20 3 2 2 2" xfId="57903" xr:uid="{00000000-0005-0000-0000-00008AD60000}"/>
    <cellStyle name="Normal 2 4 7 20 3 2 3" xfId="22946" xr:uid="{00000000-0005-0000-0000-00008BD60000}"/>
    <cellStyle name="Normal 2 4 7 20 3 2 3 2" xfId="57904" xr:uid="{00000000-0005-0000-0000-00008CD60000}"/>
    <cellStyle name="Normal 2 4 7 20 3 2 4" xfId="57905" xr:uid="{00000000-0005-0000-0000-00008DD60000}"/>
    <cellStyle name="Normal 2 4 7 20 3 3" xfId="22947" xr:uid="{00000000-0005-0000-0000-00008ED60000}"/>
    <cellStyle name="Normal 2 4 7 20 3 3 2" xfId="57906" xr:uid="{00000000-0005-0000-0000-00008FD60000}"/>
    <cellStyle name="Normal 2 4 7 20 3 4" xfId="22948" xr:uid="{00000000-0005-0000-0000-000090D60000}"/>
    <cellStyle name="Normal 2 4 7 20 3 4 2" xfId="57907" xr:uid="{00000000-0005-0000-0000-000091D60000}"/>
    <cellStyle name="Normal 2 4 7 20 3 5" xfId="22949" xr:uid="{00000000-0005-0000-0000-000092D60000}"/>
    <cellStyle name="Normal 2 4 7 20 3 5 2" xfId="57908" xr:uid="{00000000-0005-0000-0000-000093D60000}"/>
    <cellStyle name="Normal 2 4 7 20 3 6" xfId="57909" xr:uid="{00000000-0005-0000-0000-000094D60000}"/>
    <cellStyle name="Normal 2 4 7 20 3 6 2" xfId="57910" xr:uid="{00000000-0005-0000-0000-000095D60000}"/>
    <cellStyle name="Normal 2 4 7 20 3 7" xfId="57911" xr:uid="{00000000-0005-0000-0000-000096D60000}"/>
    <cellStyle name="Normal 2 4 7 20 4" xfId="22950" xr:uid="{00000000-0005-0000-0000-000097D60000}"/>
    <cellStyle name="Normal 2 4 7 20 4 2" xfId="22951" xr:uid="{00000000-0005-0000-0000-000098D60000}"/>
    <cellStyle name="Normal 2 4 7 20 4 2 2" xfId="57912" xr:uid="{00000000-0005-0000-0000-000099D60000}"/>
    <cellStyle name="Normal 2 4 7 20 4 3" xfId="22952" xr:uid="{00000000-0005-0000-0000-00009AD60000}"/>
    <cellStyle name="Normal 2 4 7 20 4 3 2" xfId="57913" xr:uid="{00000000-0005-0000-0000-00009BD60000}"/>
    <cellStyle name="Normal 2 4 7 20 4 4" xfId="57914" xr:uid="{00000000-0005-0000-0000-00009CD60000}"/>
    <cellStyle name="Normal 2 4 7 20 5" xfId="22953" xr:uid="{00000000-0005-0000-0000-00009DD60000}"/>
    <cellStyle name="Normal 2 4 7 20 5 2" xfId="22954" xr:uid="{00000000-0005-0000-0000-00009ED60000}"/>
    <cellStyle name="Normal 2 4 7 20 5 2 2" xfId="57915" xr:uid="{00000000-0005-0000-0000-00009FD60000}"/>
    <cellStyle name="Normal 2 4 7 20 5 3" xfId="57916" xr:uid="{00000000-0005-0000-0000-0000A0D60000}"/>
    <cellStyle name="Normal 2 4 7 20 6" xfId="22955" xr:uid="{00000000-0005-0000-0000-0000A1D60000}"/>
    <cellStyle name="Normal 2 4 7 20 6 2" xfId="57917" xr:uid="{00000000-0005-0000-0000-0000A2D60000}"/>
    <cellStyle name="Normal 2 4 7 20 7" xfId="22956" xr:uid="{00000000-0005-0000-0000-0000A3D60000}"/>
    <cellStyle name="Normal 2 4 7 20 7 2" xfId="57918" xr:uid="{00000000-0005-0000-0000-0000A4D60000}"/>
    <cellStyle name="Normal 2 4 7 20 8" xfId="57919" xr:uid="{00000000-0005-0000-0000-0000A5D60000}"/>
    <cellStyle name="Normal 2 4 7 20 8 2" xfId="57920" xr:uid="{00000000-0005-0000-0000-0000A6D60000}"/>
    <cellStyle name="Normal 2 4 7 20 9" xfId="57921" xr:uid="{00000000-0005-0000-0000-0000A7D60000}"/>
    <cellStyle name="Normal 2 4 7 21" xfId="22957" xr:uid="{00000000-0005-0000-0000-0000A8D60000}"/>
    <cellStyle name="Normal 2 4 7 21 10" xfId="57922" xr:uid="{00000000-0005-0000-0000-0000A9D60000}"/>
    <cellStyle name="Normal 2 4 7 21 11" xfId="57923" xr:uid="{00000000-0005-0000-0000-0000AAD60000}"/>
    <cellStyle name="Normal 2 4 7 21 2" xfId="22958" xr:uid="{00000000-0005-0000-0000-0000ABD60000}"/>
    <cellStyle name="Normal 2 4 7 21 2 10" xfId="57924" xr:uid="{00000000-0005-0000-0000-0000ACD60000}"/>
    <cellStyle name="Normal 2 4 7 21 2 2" xfId="22959" xr:uid="{00000000-0005-0000-0000-0000ADD60000}"/>
    <cellStyle name="Normal 2 4 7 21 2 2 2" xfId="22960" xr:uid="{00000000-0005-0000-0000-0000AED60000}"/>
    <cellStyle name="Normal 2 4 7 21 2 2 2 2" xfId="22961" xr:uid="{00000000-0005-0000-0000-0000AFD60000}"/>
    <cellStyle name="Normal 2 4 7 21 2 2 2 2 2" xfId="57925" xr:uid="{00000000-0005-0000-0000-0000B0D60000}"/>
    <cellStyle name="Normal 2 4 7 21 2 2 2 3" xfId="22962" xr:uid="{00000000-0005-0000-0000-0000B1D60000}"/>
    <cellStyle name="Normal 2 4 7 21 2 2 2 3 2" xfId="57926" xr:uid="{00000000-0005-0000-0000-0000B2D60000}"/>
    <cellStyle name="Normal 2 4 7 21 2 2 2 4" xfId="57927" xr:uid="{00000000-0005-0000-0000-0000B3D60000}"/>
    <cellStyle name="Normal 2 4 7 21 2 2 3" xfId="22963" xr:uid="{00000000-0005-0000-0000-0000B4D60000}"/>
    <cellStyle name="Normal 2 4 7 21 2 2 3 2" xfId="57928" xr:uid="{00000000-0005-0000-0000-0000B5D60000}"/>
    <cellStyle name="Normal 2 4 7 21 2 2 4" xfId="22964" xr:uid="{00000000-0005-0000-0000-0000B6D60000}"/>
    <cellStyle name="Normal 2 4 7 21 2 2 4 2" xfId="57929" xr:uid="{00000000-0005-0000-0000-0000B7D60000}"/>
    <cellStyle name="Normal 2 4 7 21 2 2 5" xfId="22965" xr:uid="{00000000-0005-0000-0000-0000B8D60000}"/>
    <cellStyle name="Normal 2 4 7 21 2 2 5 2" xfId="57930" xr:uid="{00000000-0005-0000-0000-0000B9D60000}"/>
    <cellStyle name="Normal 2 4 7 21 2 2 6" xfId="57931" xr:uid="{00000000-0005-0000-0000-0000BAD60000}"/>
    <cellStyle name="Normal 2 4 7 21 2 2 6 2" xfId="57932" xr:uid="{00000000-0005-0000-0000-0000BBD60000}"/>
    <cellStyle name="Normal 2 4 7 21 2 2 7" xfId="57933" xr:uid="{00000000-0005-0000-0000-0000BCD60000}"/>
    <cellStyle name="Normal 2 4 7 21 2 3" xfId="22966" xr:uid="{00000000-0005-0000-0000-0000BDD60000}"/>
    <cellStyle name="Normal 2 4 7 21 2 3 2" xfId="22967" xr:uid="{00000000-0005-0000-0000-0000BED60000}"/>
    <cellStyle name="Normal 2 4 7 21 2 3 2 2" xfId="57934" xr:uid="{00000000-0005-0000-0000-0000BFD60000}"/>
    <cellStyle name="Normal 2 4 7 21 2 3 3" xfId="22968" xr:uid="{00000000-0005-0000-0000-0000C0D60000}"/>
    <cellStyle name="Normal 2 4 7 21 2 3 3 2" xfId="57935" xr:uid="{00000000-0005-0000-0000-0000C1D60000}"/>
    <cellStyle name="Normal 2 4 7 21 2 3 4" xfId="57936" xr:uid="{00000000-0005-0000-0000-0000C2D60000}"/>
    <cellStyle name="Normal 2 4 7 21 2 4" xfId="22969" xr:uid="{00000000-0005-0000-0000-0000C3D60000}"/>
    <cellStyle name="Normal 2 4 7 21 2 4 2" xfId="22970" xr:uid="{00000000-0005-0000-0000-0000C4D60000}"/>
    <cellStyle name="Normal 2 4 7 21 2 4 2 2" xfId="57937" xr:uid="{00000000-0005-0000-0000-0000C5D60000}"/>
    <cellStyle name="Normal 2 4 7 21 2 4 3" xfId="57938" xr:uid="{00000000-0005-0000-0000-0000C6D60000}"/>
    <cellStyle name="Normal 2 4 7 21 2 5" xfId="22971" xr:uid="{00000000-0005-0000-0000-0000C7D60000}"/>
    <cellStyle name="Normal 2 4 7 21 2 5 2" xfId="57939" xr:uid="{00000000-0005-0000-0000-0000C8D60000}"/>
    <cellStyle name="Normal 2 4 7 21 2 6" xfId="22972" xr:uid="{00000000-0005-0000-0000-0000C9D60000}"/>
    <cellStyle name="Normal 2 4 7 21 2 6 2" xfId="57940" xr:uid="{00000000-0005-0000-0000-0000CAD60000}"/>
    <cellStyle name="Normal 2 4 7 21 2 7" xfId="57941" xr:uid="{00000000-0005-0000-0000-0000CBD60000}"/>
    <cellStyle name="Normal 2 4 7 21 2 7 2" xfId="57942" xr:uid="{00000000-0005-0000-0000-0000CCD60000}"/>
    <cellStyle name="Normal 2 4 7 21 2 8" xfId="57943" xr:uid="{00000000-0005-0000-0000-0000CDD60000}"/>
    <cellStyle name="Normal 2 4 7 21 2 9" xfId="57944" xr:uid="{00000000-0005-0000-0000-0000CED60000}"/>
    <cellStyle name="Normal 2 4 7 21 3" xfId="22973" xr:uid="{00000000-0005-0000-0000-0000CFD60000}"/>
    <cellStyle name="Normal 2 4 7 21 3 2" xfId="22974" xr:uid="{00000000-0005-0000-0000-0000D0D60000}"/>
    <cellStyle name="Normal 2 4 7 21 3 2 2" xfId="22975" xr:uid="{00000000-0005-0000-0000-0000D1D60000}"/>
    <cellStyle name="Normal 2 4 7 21 3 2 2 2" xfId="57945" xr:uid="{00000000-0005-0000-0000-0000D2D60000}"/>
    <cellStyle name="Normal 2 4 7 21 3 2 3" xfId="22976" xr:uid="{00000000-0005-0000-0000-0000D3D60000}"/>
    <cellStyle name="Normal 2 4 7 21 3 2 3 2" xfId="57946" xr:uid="{00000000-0005-0000-0000-0000D4D60000}"/>
    <cellStyle name="Normal 2 4 7 21 3 2 4" xfId="57947" xr:uid="{00000000-0005-0000-0000-0000D5D60000}"/>
    <cellStyle name="Normal 2 4 7 21 3 3" xfId="22977" xr:uid="{00000000-0005-0000-0000-0000D6D60000}"/>
    <cellStyle name="Normal 2 4 7 21 3 3 2" xfId="57948" xr:uid="{00000000-0005-0000-0000-0000D7D60000}"/>
    <cellStyle name="Normal 2 4 7 21 3 4" xfId="22978" xr:uid="{00000000-0005-0000-0000-0000D8D60000}"/>
    <cellStyle name="Normal 2 4 7 21 3 4 2" xfId="57949" xr:uid="{00000000-0005-0000-0000-0000D9D60000}"/>
    <cellStyle name="Normal 2 4 7 21 3 5" xfId="22979" xr:uid="{00000000-0005-0000-0000-0000DAD60000}"/>
    <cellStyle name="Normal 2 4 7 21 3 5 2" xfId="57950" xr:uid="{00000000-0005-0000-0000-0000DBD60000}"/>
    <cellStyle name="Normal 2 4 7 21 3 6" xfId="57951" xr:uid="{00000000-0005-0000-0000-0000DCD60000}"/>
    <cellStyle name="Normal 2 4 7 21 3 6 2" xfId="57952" xr:uid="{00000000-0005-0000-0000-0000DDD60000}"/>
    <cellStyle name="Normal 2 4 7 21 3 7" xfId="57953" xr:uid="{00000000-0005-0000-0000-0000DED60000}"/>
    <cellStyle name="Normal 2 4 7 21 4" xfId="22980" xr:uid="{00000000-0005-0000-0000-0000DFD60000}"/>
    <cellStyle name="Normal 2 4 7 21 4 2" xfId="22981" xr:uid="{00000000-0005-0000-0000-0000E0D60000}"/>
    <cellStyle name="Normal 2 4 7 21 4 2 2" xfId="57954" xr:uid="{00000000-0005-0000-0000-0000E1D60000}"/>
    <cellStyle name="Normal 2 4 7 21 4 3" xfId="22982" xr:uid="{00000000-0005-0000-0000-0000E2D60000}"/>
    <cellStyle name="Normal 2 4 7 21 4 3 2" xfId="57955" xr:uid="{00000000-0005-0000-0000-0000E3D60000}"/>
    <cellStyle name="Normal 2 4 7 21 4 4" xfId="57956" xr:uid="{00000000-0005-0000-0000-0000E4D60000}"/>
    <cellStyle name="Normal 2 4 7 21 5" xfId="22983" xr:uid="{00000000-0005-0000-0000-0000E5D60000}"/>
    <cellStyle name="Normal 2 4 7 21 5 2" xfId="22984" xr:uid="{00000000-0005-0000-0000-0000E6D60000}"/>
    <cellStyle name="Normal 2 4 7 21 5 2 2" xfId="57957" xr:uid="{00000000-0005-0000-0000-0000E7D60000}"/>
    <cellStyle name="Normal 2 4 7 21 5 3" xfId="57958" xr:uid="{00000000-0005-0000-0000-0000E8D60000}"/>
    <cellStyle name="Normal 2 4 7 21 6" xfId="22985" xr:uid="{00000000-0005-0000-0000-0000E9D60000}"/>
    <cellStyle name="Normal 2 4 7 21 6 2" xfId="57959" xr:uid="{00000000-0005-0000-0000-0000EAD60000}"/>
    <cellStyle name="Normal 2 4 7 21 7" xfId="22986" xr:uid="{00000000-0005-0000-0000-0000EBD60000}"/>
    <cellStyle name="Normal 2 4 7 21 7 2" xfId="57960" xr:uid="{00000000-0005-0000-0000-0000ECD60000}"/>
    <cellStyle name="Normal 2 4 7 21 8" xfId="57961" xr:uid="{00000000-0005-0000-0000-0000EDD60000}"/>
    <cellStyle name="Normal 2 4 7 21 8 2" xfId="57962" xr:uid="{00000000-0005-0000-0000-0000EED60000}"/>
    <cellStyle name="Normal 2 4 7 21 9" xfId="57963" xr:uid="{00000000-0005-0000-0000-0000EFD60000}"/>
    <cellStyle name="Normal 2 4 7 22" xfId="22987" xr:uid="{00000000-0005-0000-0000-0000F0D60000}"/>
    <cellStyle name="Normal 2 4 7 22 10" xfId="57964" xr:uid="{00000000-0005-0000-0000-0000F1D60000}"/>
    <cellStyle name="Normal 2 4 7 22 11" xfId="57965" xr:uid="{00000000-0005-0000-0000-0000F2D60000}"/>
    <cellStyle name="Normal 2 4 7 22 2" xfId="22988" xr:uid="{00000000-0005-0000-0000-0000F3D60000}"/>
    <cellStyle name="Normal 2 4 7 22 2 10" xfId="57966" xr:uid="{00000000-0005-0000-0000-0000F4D60000}"/>
    <cellStyle name="Normal 2 4 7 22 2 2" xfId="22989" xr:uid="{00000000-0005-0000-0000-0000F5D60000}"/>
    <cellStyle name="Normal 2 4 7 22 2 2 2" xfId="22990" xr:uid="{00000000-0005-0000-0000-0000F6D60000}"/>
    <cellStyle name="Normal 2 4 7 22 2 2 2 2" xfId="22991" xr:uid="{00000000-0005-0000-0000-0000F7D60000}"/>
    <cellStyle name="Normal 2 4 7 22 2 2 2 2 2" xfId="57967" xr:uid="{00000000-0005-0000-0000-0000F8D60000}"/>
    <cellStyle name="Normal 2 4 7 22 2 2 2 3" xfId="22992" xr:uid="{00000000-0005-0000-0000-0000F9D60000}"/>
    <cellStyle name="Normal 2 4 7 22 2 2 2 3 2" xfId="57968" xr:uid="{00000000-0005-0000-0000-0000FAD60000}"/>
    <cellStyle name="Normal 2 4 7 22 2 2 2 4" xfId="57969" xr:uid="{00000000-0005-0000-0000-0000FBD60000}"/>
    <cellStyle name="Normal 2 4 7 22 2 2 3" xfId="22993" xr:uid="{00000000-0005-0000-0000-0000FCD60000}"/>
    <cellStyle name="Normal 2 4 7 22 2 2 3 2" xfId="57970" xr:uid="{00000000-0005-0000-0000-0000FDD60000}"/>
    <cellStyle name="Normal 2 4 7 22 2 2 4" xfId="22994" xr:uid="{00000000-0005-0000-0000-0000FED60000}"/>
    <cellStyle name="Normal 2 4 7 22 2 2 4 2" xfId="57971" xr:uid="{00000000-0005-0000-0000-0000FFD60000}"/>
    <cellStyle name="Normal 2 4 7 22 2 2 5" xfId="22995" xr:uid="{00000000-0005-0000-0000-000000D70000}"/>
    <cellStyle name="Normal 2 4 7 22 2 2 5 2" xfId="57972" xr:uid="{00000000-0005-0000-0000-000001D70000}"/>
    <cellStyle name="Normal 2 4 7 22 2 2 6" xfId="57973" xr:uid="{00000000-0005-0000-0000-000002D70000}"/>
    <cellStyle name="Normal 2 4 7 22 2 2 6 2" xfId="57974" xr:uid="{00000000-0005-0000-0000-000003D70000}"/>
    <cellStyle name="Normal 2 4 7 22 2 2 7" xfId="57975" xr:uid="{00000000-0005-0000-0000-000004D70000}"/>
    <cellStyle name="Normal 2 4 7 22 2 3" xfId="22996" xr:uid="{00000000-0005-0000-0000-000005D70000}"/>
    <cellStyle name="Normal 2 4 7 22 2 3 2" xfId="22997" xr:uid="{00000000-0005-0000-0000-000006D70000}"/>
    <cellStyle name="Normal 2 4 7 22 2 3 2 2" xfId="57976" xr:uid="{00000000-0005-0000-0000-000007D70000}"/>
    <cellStyle name="Normal 2 4 7 22 2 3 3" xfId="22998" xr:uid="{00000000-0005-0000-0000-000008D70000}"/>
    <cellStyle name="Normal 2 4 7 22 2 3 3 2" xfId="57977" xr:uid="{00000000-0005-0000-0000-000009D70000}"/>
    <cellStyle name="Normal 2 4 7 22 2 3 4" xfId="57978" xr:uid="{00000000-0005-0000-0000-00000AD70000}"/>
    <cellStyle name="Normal 2 4 7 22 2 4" xfId="22999" xr:uid="{00000000-0005-0000-0000-00000BD70000}"/>
    <cellStyle name="Normal 2 4 7 22 2 4 2" xfId="23000" xr:uid="{00000000-0005-0000-0000-00000CD70000}"/>
    <cellStyle name="Normal 2 4 7 22 2 4 2 2" xfId="57979" xr:uid="{00000000-0005-0000-0000-00000DD70000}"/>
    <cellStyle name="Normal 2 4 7 22 2 4 3" xfId="57980" xr:uid="{00000000-0005-0000-0000-00000ED70000}"/>
    <cellStyle name="Normal 2 4 7 22 2 5" xfId="23001" xr:uid="{00000000-0005-0000-0000-00000FD70000}"/>
    <cellStyle name="Normal 2 4 7 22 2 5 2" xfId="57981" xr:uid="{00000000-0005-0000-0000-000010D70000}"/>
    <cellStyle name="Normal 2 4 7 22 2 6" xfId="23002" xr:uid="{00000000-0005-0000-0000-000011D70000}"/>
    <cellStyle name="Normal 2 4 7 22 2 6 2" xfId="57982" xr:uid="{00000000-0005-0000-0000-000012D70000}"/>
    <cellStyle name="Normal 2 4 7 22 2 7" xfId="57983" xr:uid="{00000000-0005-0000-0000-000013D70000}"/>
    <cellStyle name="Normal 2 4 7 22 2 7 2" xfId="57984" xr:uid="{00000000-0005-0000-0000-000014D70000}"/>
    <cellStyle name="Normal 2 4 7 22 2 8" xfId="57985" xr:uid="{00000000-0005-0000-0000-000015D70000}"/>
    <cellStyle name="Normal 2 4 7 22 2 9" xfId="57986" xr:uid="{00000000-0005-0000-0000-000016D70000}"/>
    <cellStyle name="Normal 2 4 7 22 3" xfId="23003" xr:uid="{00000000-0005-0000-0000-000017D70000}"/>
    <cellStyle name="Normal 2 4 7 22 3 2" xfId="23004" xr:uid="{00000000-0005-0000-0000-000018D70000}"/>
    <cellStyle name="Normal 2 4 7 22 3 2 2" xfId="23005" xr:uid="{00000000-0005-0000-0000-000019D70000}"/>
    <cellStyle name="Normal 2 4 7 22 3 2 2 2" xfId="57987" xr:uid="{00000000-0005-0000-0000-00001AD70000}"/>
    <cellStyle name="Normal 2 4 7 22 3 2 3" xfId="23006" xr:uid="{00000000-0005-0000-0000-00001BD70000}"/>
    <cellStyle name="Normal 2 4 7 22 3 2 3 2" xfId="57988" xr:uid="{00000000-0005-0000-0000-00001CD70000}"/>
    <cellStyle name="Normal 2 4 7 22 3 2 4" xfId="57989" xr:uid="{00000000-0005-0000-0000-00001DD70000}"/>
    <cellStyle name="Normal 2 4 7 22 3 3" xfId="23007" xr:uid="{00000000-0005-0000-0000-00001ED70000}"/>
    <cellStyle name="Normal 2 4 7 22 3 3 2" xfId="57990" xr:uid="{00000000-0005-0000-0000-00001FD70000}"/>
    <cellStyle name="Normal 2 4 7 22 3 4" xfId="23008" xr:uid="{00000000-0005-0000-0000-000020D70000}"/>
    <cellStyle name="Normal 2 4 7 22 3 4 2" xfId="57991" xr:uid="{00000000-0005-0000-0000-000021D70000}"/>
    <cellStyle name="Normal 2 4 7 22 3 5" xfId="23009" xr:uid="{00000000-0005-0000-0000-000022D70000}"/>
    <cellStyle name="Normal 2 4 7 22 3 5 2" xfId="57992" xr:uid="{00000000-0005-0000-0000-000023D70000}"/>
    <cellStyle name="Normal 2 4 7 22 3 6" xfId="57993" xr:uid="{00000000-0005-0000-0000-000024D70000}"/>
    <cellStyle name="Normal 2 4 7 22 3 6 2" xfId="57994" xr:uid="{00000000-0005-0000-0000-000025D70000}"/>
    <cellStyle name="Normal 2 4 7 22 3 7" xfId="57995" xr:uid="{00000000-0005-0000-0000-000026D70000}"/>
    <cellStyle name="Normal 2 4 7 22 4" xfId="23010" xr:uid="{00000000-0005-0000-0000-000027D70000}"/>
    <cellStyle name="Normal 2 4 7 22 4 2" xfId="23011" xr:uid="{00000000-0005-0000-0000-000028D70000}"/>
    <cellStyle name="Normal 2 4 7 22 4 2 2" xfId="57996" xr:uid="{00000000-0005-0000-0000-000029D70000}"/>
    <cellStyle name="Normal 2 4 7 22 4 3" xfId="23012" xr:uid="{00000000-0005-0000-0000-00002AD70000}"/>
    <cellStyle name="Normal 2 4 7 22 4 3 2" xfId="57997" xr:uid="{00000000-0005-0000-0000-00002BD70000}"/>
    <cellStyle name="Normal 2 4 7 22 4 4" xfId="57998" xr:uid="{00000000-0005-0000-0000-00002CD70000}"/>
    <cellStyle name="Normal 2 4 7 22 5" xfId="23013" xr:uid="{00000000-0005-0000-0000-00002DD70000}"/>
    <cellStyle name="Normal 2 4 7 22 5 2" xfId="23014" xr:uid="{00000000-0005-0000-0000-00002ED70000}"/>
    <cellStyle name="Normal 2 4 7 22 5 2 2" xfId="57999" xr:uid="{00000000-0005-0000-0000-00002FD70000}"/>
    <cellStyle name="Normal 2 4 7 22 5 3" xfId="58000" xr:uid="{00000000-0005-0000-0000-000030D70000}"/>
    <cellStyle name="Normal 2 4 7 22 6" xfId="23015" xr:uid="{00000000-0005-0000-0000-000031D70000}"/>
    <cellStyle name="Normal 2 4 7 22 6 2" xfId="58001" xr:uid="{00000000-0005-0000-0000-000032D70000}"/>
    <cellStyle name="Normal 2 4 7 22 7" xfId="23016" xr:uid="{00000000-0005-0000-0000-000033D70000}"/>
    <cellStyle name="Normal 2 4 7 22 7 2" xfId="58002" xr:uid="{00000000-0005-0000-0000-000034D70000}"/>
    <cellStyle name="Normal 2 4 7 22 8" xfId="58003" xr:uid="{00000000-0005-0000-0000-000035D70000}"/>
    <cellStyle name="Normal 2 4 7 22 8 2" xfId="58004" xr:uid="{00000000-0005-0000-0000-000036D70000}"/>
    <cellStyle name="Normal 2 4 7 22 9" xfId="58005" xr:uid="{00000000-0005-0000-0000-000037D70000}"/>
    <cellStyle name="Normal 2 4 7 23" xfId="23017" xr:uid="{00000000-0005-0000-0000-000038D70000}"/>
    <cellStyle name="Normal 2 4 7 23 10" xfId="58006" xr:uid="{00000000-0005-0000-0000-000039D70000}"/>
    <cellStyle name="Normal 2 4 7 23 11" xfId="58007" xr:uid="{00000000-0005-0000-0000-00003AD70000}"/>
    <cellStyle name="Normal 2 4 7 23 2" xfId="23018" xr:uid="{00000000-0005-0000-0000-00003BD70000}"/>
    <cellStyle name="Normal 2 4 7 23 2 10" xfId="58008" xr:uid="{00000000-0005-0000-0000-00003CD70000}"/>
    <cellStyle name="Normal 2 4 7 23 2 2" xfId="23019" xr:uid="{00000000-0005-0000-0000-00003DD70000}"/>
    <cellStyle name="Normal 2 4 7 23 2 2 2" xfId="23020" xr:uid="{00000000-0005-0000-0000-00003ED70000}"/>
    <cellStyle name="Normal 2 4 7 23 2 2 2 2" xfId="23021" xr:uid="{00000000-0005-0000-0000-00003FD70000}"/>
    <cellStyle name="Normal 2 4 7 23 2 2 2 2 2" xfId="58009" xr:uid="{00000000-0005-0000-0000-000040D70000}"/>
    <cellStyle name="Normal 2 4 7 23 2 2 2 3" xfId="23022" xr:uid="{00000000-0005-0000-0000-000041D70000}"/>
    <cellStyle name="Normal 2 4 7 23 2 2 2 3 2" xfId="58010" xr:uid="{00000000-0005-0000-0000-000042D70000}"/>
    <cellStyle name="Normal 2 4 7 23 2 2 2 4" xfId="58011" xr:uid="{00000000-0005-0000-0000-000043D70000}"/>
    <cellStyle name="Normal 2 4 7 23 2 2 3" xfId="23023" xr:uid="{00000000-0005-0000-0000-000044D70000}"/>
    <cellStyle name="Normal 2 4 7 23 2 2 3 2" xfId="58012" xr:uid="{00000000-0005-0000-0000-000045D70000}"/>
    <cellStyle name="Normal 2 4 7 23 2 2 4" xfId="23024" xr:uid="{00000000-0005-0000-0000-000046D70000}"/>
    <cellStyle name="Normal 2 4 7 23 2 2 4 2" xfId="58013" xr:uid="{00000000-0005-0000-0000-000047D70000}"/>
    <cellStyle name="Normal 2 4 7 23 2 2 5" xfId="23025" xr:uid="{00000000-0005-0000-0000-000048D70000}"/>
    <cellStyle name="Normal 2 4 7 23 2 2 5 2" xfId="58014" xr:uid="{00000000-0005-0000-0000-000049D70000}"/>
    <cellStyle name="Normal 2 4 7 23 2 2 6" xfId="58015" xr:uid="{00000000-0005-0000-0000-00004AD70000}"/>
    <cellStyle name="Normal 2 4 7 23 2 2 6 2" xfId="58016" xr:uid="{00000000-0005-0000-0000-00004BD70000}"/>
    <cellStyle name="Normal 2 4 7 23 2 2 7" xfId="58017" xr:uid="{00000000-0005-0000-0000-00004CD70000}"/>
    <cellStyle name="Normal 2 4 7 23 2 3" xfId="23026" xr:uid="{00000000-0005-0000-0000-00004DD70000}"/>
    <cellStyle name="Normal 2 4 7 23 2 3 2" xfId="23027" xr:uid="{00000000-0005-0000-0000-00004ED70000}"/>
    <cellStyle name="Normal 2 4 7 23 2 3 2 2" xfId="58018" xr:uid="{00000000-0005-0000-0000-00004FD70000}"/>
    <cellStyle name="Normal 2 4 7 23 2 3 3" xfId="23028" xr:uid="{00000000-0005-0000-0000-000050D70000}"/>
    <cellStyle name="Normal 2 4 7 23 2 3 3 2" xfId="58019" xr:uid="{00000000-0005-0000-0000-000051D70000}"/>
    <cellStyle name="Normal 2 4 7 23 2 3 4" xfId="58020" xr:uid="{00000000-0005-0000-0000-000052D70000}"/>
    <cellStyle name="Normal 2 4 7 23 2 4" xfId="23029" xr:uid="{00000000-0005-0000-0000-000053D70000}"/>
    <cellStyle name="Normal 2 4 7 23 2 4 2" xfId="23030" xr:uid="{00000000-0005-0000-0000-000054D70000}"/>
    <cellStyle name="Normal 2 4 7 23 2 4 2 2" xfId="58021" xr:uid="{00000000-0005-0000-0000-000055D70000}"/>
    <cellStyle name="Normal 2 4 7 23 2 4 3" xfId="58022" xr:uid="{00000000-0005-0000-0000-000056D70000}"/>
    <cellStyle name="Normal 2 4 7 23 2 5" xfId="23031" xr:uid="{00000000-0005-0000-0000-000057D70000}"/>
    <cellStyle name="Normal 2 4 7 23 2 5 2" xfId="58023" xr:uid="{00000000-0005-0000-0000-000058D70000}"/>
    <cellStyle name="Normal 2 4 7 23 2 6" xfId="23032" xr:uid="{00000000-0005-0000-0000-000059D70000}"/>
    <cellStyle name="Normal 2 4 7 23 2 6 2" xfId="58024" xr:uid="{00000000-0005-0000-0000-00005AD70000}"/>
    <cellStyle name="Normal 2 4 7 23 2 7" xfId="58025" xr:uid="{00000000-0005-0000-0000-00005BD70000}"/>
    <cellStyle name="Normal 2 4 7 23 2 7 2" xfId="58026" xr:uid="{00000000-0005-0000-0000-00005CD70000}"/>
    <cellStyle name="Normal 2 4 7 23 2 8" xfId="58027" xr:uid="{00000000-0005-0000-0000-00005DD70000}"/>
    <cellStyle name="Normal 2 4 7 23 2 9" xfId="58028" xr:uid="{00000000-0005-0000-0000-00005ED70000}"/>
    <cellStyle name="Normal 2 4 7 23 3" xfId="23033" xr:uid="{00000000-0005-0000-0000-00005FD70000}"/>
    <cellStyle name="Normal 2 4 7 23 3 2" xfId="23034" xr:uid="{00000000-0005-0000-0000-000060D70000}"/>
    <cellStyle name="Normal 2 4 7 23 3 2 2" xfId="23035" xr:uid="{00000000-0005-0000-0000-000061D70000}"/>
    <cellStyle name="Normal 2 4 7 23 3 2 2 2" xfId="58029" xr:uid="{00000000-0005-0000-0000-000062D70000}"/>
    <cellStyle name="Normal 2 4 7 23 3 2 3" xfId="23036" xr:uid="{00000000-0005-0000-0000-000063D70000}"/>
    <cellStyle name="Normal 2 4 7 23 3 2 3 2" xfId="58030" xr:uid="{00000000-0005-0000-0000-000064D70000}"/>
    <cellStyle name="Normal 2 4 7 23 3 2 4" xfId="58031" xr:uid="{00000000-0005-0000-0000-000065D70000}"/>
    <cellStyle name="Normal 2 4 7 23 3 3" xfId="23037" xr:uid="{00000000-0005-0000-0000-000066D70000}"/>
    <cellStyle name="Normal 2 4 7 23 3 3 2" xfId="58032" xr:uid="{00000000-0005-0000-0000-000067D70000}"/>
    <cellStyle name="Normal 2 4 7 23 3 4" xfId="23038" xr:uid="{00000000-0005-0000-0000-000068D70000}"/>
    <cellStyle name="Normal 2 4 7 23 3 4 2" xfId="58033" xr:uid="{00000000-0005-0000-0000-000069D70000}"/>
    <cellStyle name="Normal 2 4 7 23 3 5" xfId="23039" xr:uid="{00000000-0005-0000-0000-00006AD70000}"/>
    <cellStyle name="Normal 2 4 7 23 3 5 2" xfId="58034" xr:uid="{00000000-0005-0000-0000-00006BD70000}"/>
    <cellStyle name="Normal 2 4 7 23 3 6" xfId="58035" xr:uid="{00000000-0005-0000-0000-00006CD70000}"/>
    <cellStyle name="Normal 2 4 7 23 3 6 2" xfId="58036" xr:uid="{00000000-0005-0000-0000-00006DD70000}"/>
    <cellStyle name="Normal 2 4 7 23 3 7" xfId="58037" xr:uid="{00000000-0005-0000-0000-00006ED70000}"/>
    <cellStyle name="Normal 2 4 7 23 4" xfId="23040" xr:uid="{00000000-0005-0000-0000-00006FD70000}"/>
    <cellStyle name="Normal 2 4 7 23 4 2" xfId="23041" xr:uid="{00000000-0005-0000-0000-000070D70000}"/>
    <cellStyle name="Normal 2 4 7 23 4 2 2" xfId="58038" xr:uid="{00000000-0005-0000-0000-000071D70000}"/>
    <cellStyle name="Normal 2 4 7 23 4 3" xfId="23042" xr:uid="{00000000-0005-0000-0000-000072D70000}"/>
    <cellStyle name="Normal 2 4 7 23 4 3 2" xfId="58039" xr:uid="{00000000-0005-0000-0000-000073D70000}"/>
    <cellStyle name="Normal 2 4 7 23 4 4" xfId="58040" xr:uid="{00000000-0005-0000-0000-000074D70000}"/>
    <cellStyle name="Normal 2 4 7 23 5" xfId="23043" xr:uid="{00000000-0005-0000-0000-000075D70000}"/>
    <cellStyle name="Normal 2 4 7 23 5 2" xfId="23044" xr:uid="{00000000-0005-0000-0000-000076D70000}"/>
    <cellStyle name="Normal 2 4 7 23 5 2 2" xfId="58041" xr:uid="{00000000-0005-0000-0000-000077D70000}"/>
    <cellStyle name="Normal 2 4 7 23 5 3" xfId="58042" xr:uid="{00000000-0005-0000-0000-000078D70000}"/>
    <cellStyle name="Normal 2 4 7 23 6" xfId="23045" xr:uid="{00000000-0005-0000-0000-000079D70000}"/>
    <cellStyle name="Normal 2 4 7 23 6 2" xfId="58043" xr:uid="{00000000-0005-0000-0000-00007AD70000}"/>
    <cellStyle name="Normal 2 4 7 23 7" xfId="23046" xr:uid="{00000000-0005-0000-0000-00007BD70000}"/>
    <cellStyle name="Normal 2 4 7 23 7 2" xfId="58044" xr:uid="{00000000-0005-0000-0000-00007CD70000}"/>
    <cellStyle name="Normal 2 4 7 23 8" xfId="58045" xr:uid="{00000000-0005-0000-0000-00007DD70000}"/>
    <cellStyle name="Normal 2 4 7 23 8 2" xfId="58046" xr:uid="{00000000-0005-0000-0000-00007ED70000}"/>
    <cellStyle name="Normal 2 4 7 23 9" xfId="58047" xr:uid="{00000000-0005-0000-0000-00007FD70000}"/>
    <cellStyle name="Normal 2 4 7 24" xfId="23047" xr:uid="{00000000-0005-0000-0000-000080D70000}"/>
    <cellStyle name="Normal 2 4 7 24 10" xfId="58048" xr:uid="{00000000-0005-0000-0000-000081D70000}"/>
    <cellStyle name="Normal 2 4 7 24 11" xfId="58049" xr:uid="{00000000-0005-0000-0000-000082D70000}"/>
    <cellStyle name="Normal 2 4 7 24 2" xfId="23048" xr:uid="{00000000-0005-0000-0000-000083D70000}"/>
    <cellStyle name="Normal 2 4 7 24 2 10" xfId="58050" xr:uid="{00000000-0005-0000-0000-000084D70000}"/>
    <cellStyle name="Normal 2 4 7 24 2 2" xfId="23049" xr:uid="{00000000-0005-0000-0000-000085D70000}"/>
    <cellStyle name="Normal 2 4 7 24 2 2 2" xfId="23050" xr:uid="{00000000-0005-0000-0000-000086D70000}"/>
    <cellStyle name="Normal 2 4 7 24 2 2 2 2" xfId="23051" xr:uid="{00000000-0005-0000-0000-000087D70000}"/>
    <cellStyle name="Normal 2 4 7 24 2 2 2 2 2" xfId="58051" xr:uid="{00000000-0005-0000-0000-000088D70000}"/>
    <cellStyle name="Normal 2 4 7 24 2 2 2 3" xfId="23052" xr:uid="{00000000-0005-0000-0000-000089D70000}"/>
    <cellStyle name="Normal 2 4 7 24 2 2 2 3 2" xfId="58052" xr:uid="{00000000-0005-0000-0000-00008AD70000}"/>
    <cellStyle name="Normal 2 4 7 24 2 2 2 4" xfId="58053" xr:uid="{00000000-0005-0000-0000-00008BD70000}"/>
    <cellStyle name="Normal 2 4 7 24 2 2 3" xfId="23053" xr:uid="{00000000-0005-0000-0000-00008CD70000}"/>
    <cellStyle name="Normal 2 4 7 24 2 2 3 2" xfId="58054" xr:uid="{00000000-0005-0000-0000-00008DD70000}"/>
    <cellStyle name="Normal 2 4 7 24 2 2 4" xfId="23054" xr:uid="{00000000-0005-0000-0000-00008ED70000}"/>
    <cellStyle name="Normal 2 4 7 24 2 2 4 2" xfId="58055" xr:uid="{00000000-0005-0000-0000-00008FD70000}"/>
    <cellStyle name="Normal 2 4 7 24 2 2 5" xfId="23055" xr:uid="{00000000-0005-0000-0000-000090D70000}"/>
    <cellStyle name="Normal 2 4 7 24 2 2 5 2" xfId="58056" xr:uid="{00000000-0005-0000-0000-000091D70000}"/>
    <cellStyle name="Normal 2 4 7 24 2 2 6" xfId="58057" xr:uid="{00000000-0005-0000-0000-000092D70000}"/>
    <cellStyle name="Normal 2 4 7 24 2 2 6 2" xfId="58058" xr:uid="{00000000-0005-0000-0000-000093D70000}"/>
    <cellStyle name="Normal 2 4 7 24 2 2 7" xfId="58059" xr:uid="{00000000-0005-0000-0000-000094D70000}"/>
    <cellStyle name="Normal 2 4 7 24 2 3" xfId="23056" xr:uid="{00000000-0005-0000-0000-000095D70000}"/>
    <cellStyle name="Normal 2 4 7 24 2 3 2" xfId="23057" xr:uid="{00000000-0005-0000-0000-000096D70000}"/>
    <cellStyle name="Normal 2 4 7 24 2 3 2 2" xfId="58060" xr:uid="{00000000-0005-0000-0000-000097D70000}"/>
    <cellStyle name="Normal 2 4 7 24 2 3 3" xfId="23058" xr:uid="{00000000-0005-0000-0000-000098D70000}"/>
    <cellStyle name="Normal 2 4 7 24 2 3 3 2" xfId="58061" xr:uid="{00000000-0005-0000-0000-000099D70000}"/>
    <cellStyle name="Normal 2 4 7 24 2 3 4" xfId="58062" xr:uid="{00000000-0005-0000-0000-00009AD70000}"/>
    <cellStyle name="Normal 2 4 7 24 2 4" xfId="23059" xr:uid="{00000000-0005-0000-0000-00009BD70000}"/>
    <cellStyle name="Normal 2 4 7 24 2 4 2" xfId="23060" xr:uid="{00000000-0005-0000-0000-00009CD70000}"/>
    <cellStyle name="Normal 2 4 7 24 2 4 2 2" xfId="58063" xr:uid="{00000000-0005-0000-0000-00009DD70000}"/>
    <cellStyle name="Normal 2 4 7 24 2 4 3" xfId="58064" xr:uid="{00000000-0005-0000-0000-00009ED70000}"/>
    <cellStyle name="Normal 2 4 7 24 2 5" xfId="23061" xr:uid="{00000000-0005-0000-0000-00009FD70000}"/>
    <cellStyle name="Normal 2 4 7 24 2 5 2" xfId="58065" xr:uid="{00000000-0005-0000-0000-0000A0D70000}"/>
    <cellStyle name="Normal 2 4 7 24 2 6" xfId="23062" xr:uid="{00000000-0005-0000-0000-0000A1D70000}"/>
    <cellStyle name="Normal 2 4 7 24 2 6 2" xfId="58066" xr:uid="{00000000-0005-0000-0000-0000A2D70000}"/>
    <cellStyle name="Normal 2 4 7 24 2 7" xfId="58067" xr:uid="{00000000-0005-0000-0000-0000A3D70000}"/>
    <cellStyle name="Normal 2 4 7 24 2 7 2" xfId="58068" xr:uid="{00000000-0005-0000-0000-0000A4D70000}"/>
    <cellStyle name="Normal 2 4 7 24 2 8" xfId="58069" xr:uid="{00000000-0005-0000-0000-0000A5D70000}"/>
    <cellStyle name="Normal 2 4 7 24 2 9" xfId="58070" xr:uid="{00000000-0005-0000-0000-0000A6D70000}"/>
    <cellStyle name="Normal 2 4 7 24 3" xfId="23063" xr:uid="{00000000-0005-0000-0000-0000A7D70000}"/>
    <cellStyle name="Normal 2 4 7 24 3 2" xfId="23064" xr:uid="{00000000-0005-0000-0000-0000A8D70000}"/>
    <cellStyle name="Normal 2 4 7 24 3 2 2" xfId="23065" xr:uid="{00000000-0005-0000-0000-0000A9D70000}"/>
    <cellStyle name="Normal 2 4 7 24 3 2 2 2" xfId="58071" xr:uid="{00000000-0005-0000-0000-0000AAD70000}"/>
    <cellStyle name="Normal 2 4 7 24 3 2 3" xfId="23066" xr:uid="{00000000-0005-0000-0000-0000ABD70000}"/>
    <cellStyle name="Normal 2 4 7 24 3 2 3 2" xfId="58072" xr:uid="{00000000-0005-0000-0000-0000ACD70000}"/>
    <cellStyle name="Normal 2 4 7 24 3 2 4" xfId="58073" xr:uid="{00000000-0005-0000-0000-0000ADD70000}"/>
    <cellStyle name="Normal 2 4 7 24 3 3" xfId="23067" xr:uid="{00000000-0005-0000-0000-0000AED70000}"/>
    <cellStyle name="Normal 2 4 7 24 3 3 2" xfId="58074" xr:uid="{00000000-0005-0000-0000-0000AFD70000}"/>
    <cellStyle name="Normal 2 4 7 24 3 4" xfId="23068" xr:uid="{00000000-0005-0000-0000-0000B0D70000}"/>
    <cellStyle name="Normal 2 4 7 24 3 4 2" xfId="58075" xr:uid="{00000000-0005-0000-0000-0000B1D70000}"/>
    <cellStyle name="Normal 2 4 7 24 3 5" xfId="23069" xr:uid="{00000000-0005-0000-0000-0000B2D70000}"/>
    <cellStyle name="Normal 2 4 7 24 3 5 2" xfId="58076" xr:uid="{00000000-0005-0000-0000-0000B3D70000}"/>
    <cellStyle name="Normal 2 4 7 24 3 6" xfId="58077" xr:uid="{00000000-0005-0000-0000-0000B4D70000}"/>
    <cellStyle name="Normal 2 4 7 24 3 6 2" xfId="58078" xr:uid="{00000000-0005-0000-0000-0000B5D70000}"/>
    <cellStyle name="Normal 2 4 7 24 3 7" xfId="58079" xr:uid="{00000000-0005-0000-0000-0000B6D70000}"/>
    <cellStyle name="Normal 2 4 7 24 4" xfId="23070" xr:uid="{00000000-0005-0000-0000-0000B7D70000}"/>
    <cellStyle name="Normal 2 4 7 24 4 2" xfId="23071" xr:uid="{00000000-0005-0000-0000-0000B8D70000}"/>
    <cellStyle name="Normal 2 4 7 24 4 2 2" xfId="58080" xr:uid="{00000000-0005-0000-0000-0000B9D70000}"/>
    <cellStyle name="Normal 2 4 7 24 4 3" xfId="23072" xr:uid="{00000000-0005-0000-0000-0000BAD70000}"/>
    <cellStyle name="Normal 2 4 7 24 4 3 2" xfId="58081" xr:uid="{00000000-0005-0000-0000-0000BBD70000}"/>
    <cellStyle name="Normal 2 4 7 24 4 4" xfId="58082" xr:uid="{00000000-0005-0000-0000-0000BCD70000}"/>
    <cellStyle name="Normal 2 4 7 24 5" xfId="23073" xr:uid="{00000000-0005-0000-0000-0000BDD70000}"/>
    <cellStyle name="Normal 2 4 7 24 5 2" xfId="23074" xr:uid="{00000000-0005-0000-0000-0000BED70000}"/>
    <cellStyle name="Normal 2 4 7 24 5 2 2" xfId="58083" xr:uid="{00000000-0005-0000-0000-0000BFD70000}"/>
    <cellStyle name="Normal 2 4 7 24 5 3" xfId="58084" xr:uid="{00000000-0005-0000-0000-0000C0D70000}"/>
    <cellStyle name="Normal 2 4 7 24 6" xfId="23075" xr:uid="{00000000-0005-0000-0000-0000C1D70000}"/>
    <cellStyle name="Normal 2 4 7 24 6 2" xfId="58085" xr:uid="{00000000-0005-0000-0000-0000C2D70000}"/>
    <cellStyle name="Normal 2 4 7 24 7" xfId="23076" xr:uid="{00000000-0005-0000-0000-0000C3D70000}"/>
    <cellStyle name="Normal 2 4 7 24 7 2" xfId="58086" xr:uid="{00000000-0005-0000-0000-0000C4D70000}"/>
    <cellStyle name="Normal 2 4 7 24 8" xfId="58087" xr:uid="{00000000-0005-0000-0000-0000C5D70000}"/>
    <cellStyle name="Normal 2 4 7 24 8 2" xfId="58088" xr:uid="{00000000-0005-0000-0000-0000C6D70000}"/>
    <cellStyle name="Normal 2 4 7 24 9" xfId="58089" xr:uid="{00000000-0005-0000-0000-0000C7D70000}"/>
    <cellStyle name="Normal 2 4 7 25" xfId="23077" xr:uid="{00000000-0005-0000-0000-0000C8D70000}"/>
    <cellStyle name="Normal 2 4 7 25 10" xfId="58090" xr:uid="{00000000-0005-0000-0000-0000C9D70000}"/>
    <cellStyle name="Normal 2 4 7 25 11" xfId="58091" xr:uid="{00000000-0005-0000-0000-0000CAD70000}"/>
    <cellStyle name="Normal 2 4 7 25 2" xfId="23078" xr:uid="{00000000-0005-0000-0000-0000CBD70000}"/>
    <cellStyle name="Normal 2 4 7 25 2 10" xfId="58092" xr:uid="{00000000-0005-0000-0000-0000CCD70000}"/>
    <cellStyle name="Normal 2 4 7 25 2 2" xfId="23079" xr:uid="{00000000-0005-0000-0000-0000CDD70000}"/>
    <cellStyle name="Normal 2 4 7 25 2 2 2" xfId="23080" xr:uid="{00000000-0005-0000-0000-0000CED70000}"/>
    <cellStyle name="Normal 2 4 7 25 2 2 2 2" xfId="23081" xr:uid="{00000000-0005-0000-0000-0000CFD70000}"/>
    <cellStyle name="Normal 2 4 7 25 2 2 2 2 2" xfId="58093" xr:uid="{00000000-0005-0000-0000-0000D0D70000}"/>
    <cellStyle name="Normal 2 4 7 25 2 2 2 3" xfId="23082" xr:uid="{00000000-0005-0000-0000-0000D1D70000}"/>
    <cellStyle name="Normal 2 4 7 25 2 2 2 3 2" xfId="58094" xr:uid="{00000000-0005-0000-0000-0000D2D70000}"/>
    <cellStyle name="Normal 2 4 7 25 2 2 2 4" xfId="58095" xr:uid="{00000000-0005-0000-0000-0000D3D70000}"/>
    <cellStyle name="Normal 2 4 7 25 2 2 3" xfId="23083" xr:uid="{00000000-0005-0000-0000-0000D4D70000}"/>
    <cellStyle name="Normal 2 4 7 25 2 2 3 2" xfId="58096" xr:uid="{00000000-0005-0000-0000-0000D5D70000}"/>
    <cellStyle name="Normal 2 4 7 25 2 2 4" xfId="23084" xr:uid="{00000000-0005-0000-0000-0000D6D70000}"/>
    <cellStyle name="Normal 2 4 7 25 2 2 4 2" xfId="58097" xr:uid="{00000000-0005-0000-0000-0000D7D70000}"/>
    <cellStyle name="Normal 2 4 7 25 2 2 5" xfId="23085" xr:uid="{00000000-0005-0000-0000-0000D8D70000}"/>
    <cellStyle name="Normal 2 4 7 25 2 2 5 2" xfId="58098" xr:uid="{00000000-0005-0000-0000-0000D9D70000}"/>
    <cellStyle name="Normal 2 4 7 25 2 2 6" xfId="58099" xr:uid="{00000000-0005-0000-0000-0000DAD70000}"/>
    <cellStyle name="Normal 2 4 7 25 2 2 6 2" xfId="58100" xr:uid="{00000000-0005-0000-0000-0000DBD70000}"/>
    <cellStyle name="Normal 2 4 7 25 2 2 7" xfId="58101" xr:uid="{00000000-0005-0000-0000-0000DCD70000}"/>
    <cellStyle name="Normal 2 4 7 25 2 3" xfId="23086" xr:uid="{00000000-0005-0000-0000-0000DDD70000}"/>
    <cellStyle name="Normal 2 4 7 25 2 3 2" xfId="23087" xr:uid="{00000000-0005-0000-0000-0000DED70000}"/>
    <cellStyle name="Normal 2 4 7 25 2 3 2 2" xfId="58102" xr:uid="{00000000-0005-0000-0000-0000DFD70000}"/>
    <cellStyle name="Normal 2 4 7 25 2 3 3" xfId="23088" xr:uid="{00000000-0005-0000-0000-0000E0D70000}"/>
    <cellStyle name="Normal 2 4 7 25 2 3 3 2" xfId="58103" xr:uid="{00000000-0005-0000-0000-0000E1D70000}"/>
    <cellStyle name="Normal 2 4 7 25 2 3 4" xfId="58104" xr:uid="{00000000-0005-0000-0000-0000E2D70000}"/>
    <cellStyle name="Normal 2 4 7 25 2 4" xfId="23089" xr:uid="{00000000-0005-0000-0000-0000E3D70000}"/>
    <cellStyle name="Normal 2 4 7 25 2 4 2" xfId="23090" xr:uid="{00000000-0005-0000-0000-0000E4D70000}"/>
    <cellStyle name="Normal 2 4 7 25 2 4 2 2" xfId="58105" xr:uid="{00000000-0005-0000-0000-0000E5D70000}"/>
    <cellStyle name="Normal 2 4 7 25 2 4 3" xfId="58106" xr:uid="{00000000-0005-0000-0000-0000E6D70000}"/>
    <cellStyle name="Normal 2 4 7 25 2 5" xfId="23091" xr:uid="{00000000-0005-0000-0000-0000E7D70000}"/>
    <cellStyle name="Normal 2 4 7 25 2 5 2" xfId="58107" xr:uid="{00000000-0005-0000-0000-0000E8D70000}"/>
    <cellStyle name="Normal 2 4 7 25 2 6" xfId="23092" xr:uid="{00000000-0005-0000-0000-0000E9D70000}"/>
    <cellStyle name="Normal 2 4 7 25 2 6 2" xfId="58108" xr:uid="{00000000-0005-0000-0000-0000EAD70000}"/>
    <cellStyle name="Normal 2 4 7 25 2 7" xfId="58109" xr:uid="{00000000-0005-0000-0000-0000EBD70000}"/>
    <cellStyle name="Normal 2 4 7 25 2 7 2" xfId="58110" xr:uid="{00000000-0005-0000-0000-0000ECD70000}"/>
    <cellStyle name="Normal 2 4 7 25 2 8" xfId="58111" xr:uid="{00000000-0005-0000-0000-0000EDD70000}"/>
    <cellStyle name="Normal 2 4 7 25 2 9" xfId="58112" xr:uid="{00000000-0005-0000-0000-0000EED70000}"/>
    <cellStyle name="Normal 2 4 7 25 3" xfId="23093" xr:uid="{00000000-0005-0000-0000-0000EFD70000}"/>
    <cellStyle name="Normal 2 4 7 25 3 2" xfId="23094" xr:uid="{00000000-0005-0000-0000-0000F0D70000}"/>
    <cellStyle name="Normal 2 4 7 25 3 2 2" xfId="23095" xr:uid="{00000000-0005-0000-0000-0000F1D70000}"/>
    <cellStyle name="Normal 2 4 7 25 3 2 2 2" xfId="58113" xr:uid="{00000000-0005-0000-0000-0000F2D70000}"/>
    <cellStyle name="Normal 2 4 7 25 3 2 3" xfId="23096" xr:uid="{00000000-0005-0000-0000-0000F3D70000}"/>
    <cellStyle name="Normal 2 4 7 25 3 2 3 2" xfId="58114" xr:uid="{00000000-0005-0000-0000-0000F4D70000}"/>
    <cellStyle name="Normal 2 4 7 25 3 2 4" xfId="58115" xr:uid="{00000000-0005-0000-0000-0000F5D70000}"/>
    <cellStyle name="Normal 2 4 7 25 3 3" xfId="23097" xr:uid="{00000000-0005-0000-0000-0000F6D70000}"/>
    <cellStyle name="Normal 2 4 7 25 3 3 2" xfId="58116" xr:uid="{00000000-0005-0000-0000-0000F7D70000}"/>
    <cellStyle name="Normal 2 4 7 25 3 4" xfId="23098" xr:uid="{00000000-0005-0000-0000-0000F8D70000}"/>
    <cellStyle name="Normal 2 4 7 25 3 4 2" xfId="58117" xr:uid="{00000000-0005-0000-0000-0000F9D70000}"/>
    <cellStyle name="Normal 2 4 7 25 3 5" xfId="23099" xr:uid="{00000000-0005-0000-0000-0000FAD70000}"/>
    <cellStyle name="Normal 2 4 7 25 3 5 2" xfId="58118" xr:uid="{00000000-0005-0000-0000-0000FBD70000}"/>
    <cellStyle name="Normal 2 4 7 25 3 6" xfId="58119" xr:uid="{00000000-0005-0000-0000-0000FCD70000}"/>
    <cellStyle name="Normal 2 4 7 25 3 6 2" xfId="58120" xr:uid="{00000000-0005-0000-0000-0000FDD70000}"/>
    <cellStyle name="Normal 2 4 7 25 3 7" xfId="58121" xr:uid="{00000000-0005-0000-0000-0000FED70000}"/>
    <cellStyle name="Normal 2 4 7 25 4" xfId="23100" xr:uid="{00000000-0005-0000-0000-0000FFD70000}"/>
    <cellStyle name="Normal 2 4 7 25 4 2" xfId="23101" xr:uid="{00000000-0005-0000-0000-000000D80000}"/>
    <cellStyle name="Normal 2 4 7 25 4 2 2" xfId="58122" xr:uid="{00000000-0005-0000-0000-000001D80000}"/>
    <cellStyle name="Normal 2 4 7 25 4 3" xfId="23102" xr:uid="{00000000-0005-0000-0000-000002D80000}"/>
    <cellStyle name="Normal 2 4 7 25 4 3 2" xfId="58123" xr:uid="{00000000-0005-0000-0000-000003D80000}"/>
    <cellStyle name="Normal 2 4 7 25 4 4" xfId="58124" xr:uid="{00000000-0005-0000-0000-000004D80000}"/>
    <cellStyle name="Normal 2 4 7 25 5" xfId="23103" xr:uid="{00000000-0005-0000-0000-000005D80000}"/>
    <cellStyle name="Normal 2 4 7 25 5 2" xfId="23104" xr:uid="{00000000-0005-0000-0000-000006D80000}"/>
    <cellStyle name="Normal 2 4 7 25 5 2 2" xfId="58125" xr:uid="{00000000-0005-0000-0000-000007D80000}"/>
    <cellStyle name="Normal 2 4 7 25 5 3" xfId="58126" xr:uid="{00000000-0005-0000-0000-000008D80000}"/>
    <cellStyle name="Normal 2 4 7 25 6" xfId="23105" xr:uid="{00000000-0005-0000-0000-000009D80000}"/>
    <cellStyle name="Normal 2 4 7 25 6 2" xfId="58127" xr:uid="{00000000-0005-0000-0000-00000AD80000}"/>
    <cellStyle name="Normal 2 4 7 25 7" xfId="23106" xr:uid="{00000000-0005-0000-0000-00000BD80000}"/>
    <cellStyle name="Normal 2 4 7 25 7 2" xfId="58128" xr:uid="{00000000-0005-0000-0000-00000CD80000}"/>
    <cellStyle name="Normal 2 4 7 25 8" xfId="58129" xr:uid="{00000000-0005-0000-0000-00000DD80000}"/>
    <cellStyle name="Normal 2 4 7 25 8 2" xfId="58130" xr:uid="{00000000-0005-0000-0000-00000ED80000}"/>
    <cellStyle name="Normal 2 4 7 25 9" xfId="58131" xr:uid="{00000000-0005-0000-0000-00000FD80000}"/>
    <cellStyle name="Normal 2 4 7 26" xfId="23107" xr:uid="{00000000-0005-0000-0000-000010D80000}"/>
    <cellStyle name="Normal 2 4 7 26 10" xfId="58132" xr:uid="{00000000-0005-0000-0000-000011D80000}"/>
    <cellStyle name="Normal 2 4 7 26 11" xfId="58133" xr:uid="{00000000-0005-0000-0000-000012D80000}"/>
    <cellStyle name="Normal 2 4 7 26 2" xfId="23108" xr:uid="{00000000-0005-0000-0000-000013D80000}"/>
    <cellStyle name="Normal 2 4 7 26 2 10" xfId="58134" xr:uid="{00000000-0005-0000-0000-000014D80000}"/>
    <cellStyle name="Normal 2 4 7 26 2 2" xfId="23109" xr:uid="{00000000-0005-0000-0000-000015D80000}"/>
    <cellStyle name="Normal 2 4 7 26 2 2 2" xfId="23110" xr:uid="{00000000-0005-0000-0000-000016D80000}"/>
    <cellStyle name="Normal 2 4 7 26 2 2 2 2" xfId="23111" xr:uid="{00000000-0005-0000-0000-000017D80000}"/>
    <cellStyle name="Normal 2 4 7 26 2 2 2 2 2" xfId="58135" xr:uid="{00000000-0005-0000-0000-000018D80000}"/>
    <cellStyle name="Normal 2 4 7 26 2 2 2 3" xfId="23112" xr:uid="{00000000-0005-0000-0000-000019D80000}"/>
    <cellStyle name="Normal 2 4 7 26 2 2 2 3 2" xfId="58136" xr:uid="{00000000-0005-0000-0000-00001AD80000}"/>
    <cellStyle name="Normal 2 4 7 26 2 2 2 4" xfId="58137" xr:uid="{00000000-0005-0000-0000-00001BD80000}"/>
    <cellStyle name="Normal 2 4 7 26 2 2 3" xfId="23113" xr:uid="{00000000-0005-0000-0000-00001CD80000}"/>
    <cellStyle name="Normal 2 4 7 26 2 2 3 2" xfId="58138" xr:uid="{00000000-0005-0000-0000-00001DD80000}"/>
    <cellStyle name="Normal 2 4 7 26 2 2 4" xfId="23114" xr:uid="{00000000-0005-0000-0000-00001ED80000}"/>
    <cellStyle name="Normal 2 4 7 26 2 2 4 2" xfId="58139" xr:uid="{00000000-0005-0000-0000-00001FD80000}"/>
    <cellStyle name="Normal 2 4 7 26 2 2 5" xfId="23115" xr:uid="{00000000-0005-0000-0000-000020D80000}"/>
    <cellStyle name="Normal 2 4 7 26 2 2 5 2" xfId="58140" xr:uid="{00000000-0005-0000-0000-000021D80000}"/>
    <cellStyle name="Normal 2 4 7 26 2 2 6" xfId="58141" xr:uid="{00000000-0005-0000-0000-000022D80000}"/>
    <cellStyle name="Normal 2 4 7 26 2 2 6 2" xfId="58142" xr:uid="{00000000-0005-0000-0000-000023D80000}"/>
    <cellStyle name="Normal 2 4 7 26 2 2 7" xfId="58143" xr:uid="{00000000-0005-0000-0000-000024D80000}"/>
    <cellStyle name="Normal 2 4 7 26 2 3" xfId="23116" xr:uid="{00000000-0005-0000-0000-000025D80000}"/>
    <cellStyle name="Normal 2 4 7 26 2 3 2" xfId="23117" xr:uid="{00000000-0005-0000-0000-000026D80000}"/>
    <cellStyle name="Normal 2 4 7 26 2 3 2 2" xfId="58144" xr:uid="{00000000-0005-0000-0000-000027D80000}"/>
    <cellStyle name="Normal 2 4 7 26 2 3 3" xfId="23118" xr:uid="{00000000-0005-0000-0000-000028D80000}"/>
    <cellStyle name="Normal 2 4 7 26 2 3 3 2" xfId="58145" xr:uid="{00000000-0005-0000-0000-000029D80000}"/>
    <cellStyle name="Normal 2 4 7 26 2 3 4" xfId="58146" xr:uid="{00000000-0005-0000-0000-00002AD80000}"/>
    <cellStyle name="Normal 2 4 7 26 2 4" xfId="23119" xr:uid="{00000000-0005-0000-0000-00002BD80000}"/>
    <cellStyle name="Normal 2 4 7 26 2 4 2" xfId="23120" xr:uid="{00000000-0005-0000-0000-00002CD80000}"/>
    <cellStyle name="Normal 2 4 7 26 2 4 2 2" xfId="58147" xr:uid="{00000000-0005-0000-0000-00002DD80000}"/>
    <cellStyle name="Normal 2 4 7 26 2 4 3" xfId="58148" xr:uid="{00000000-0005-0000-0000-00002ED80000}"/>
    <cellStyle name="Normal 2 4 7 26 2 5" xfId="23121" xr:uid="{00000000-0005-0000-0000-00002FD80000}"/>
    <cellStyle name="Normal 2 4 7 26 2 5 2" xfId="58149" xr:uid="{00000000-0005-0000-0000-000030D80000}"/>
    <cellStyle name="Normal 2 4 7 26 2 6" xfId="23122" xr:uid="{00000000-0005-0000-0000-000031D80000}"/>
    <cellStyle name="Normal 2 4 7 26 2 6 2" xfId="58150" xr:uid="{00000000-0005-0000-0000-000032D80000}"/>
    <cellStyle name="Normal 2 4 7 26 2 7" xfId="58151" xr:uid="{00000000-0005-0000-0000-000033D80000}"/>
    <cellStyle name="Normal 2 4 7 26 2 7 2" xfId="58152" xr:uid="{00000000-0005-0000-0000-000034D80000}"/>
    <cellStyle name="Normal 2 4 7 26 2 8" xfId="58153" xr:uid="{00000000-0005-0000-0000-000035D80000}"/>
    <cellStyle name="Normal 2 4 7 26 2 9" xfId="58154" xr:uid="{00000000-0005-0000-0000-000036D80000}"/>
    <cellStyle name="Normal 2 4 7 26 3" xfId="23123" xr:uid="{00000000-0005-0000-0000-000037D80000}"/>
    <cellStyle name="Normal 2 4 7 26 3 2" xfId="23124" xr:uid="{00000000-0005-0000-0000-000038D80000}"/>
    <cellStyle name="Normal 2 4 7 26 3 2 2" xfId="23125" xr:uid="{00000000-0005-0000-0000-000039D80000}"/>
    <cellStyle name="Normal 2 4 7 26 3 2 2 2" xfId="58155" xr:uid="{00000000-0005-0000-0000-00003AD80000}"/>
    <cellStyle name="Normal 2 4 7 26 3 2 3" xfId="23126" xr:uid="{00000000-0005-0000-0000-00003BD80000}"/>
    <cellStyle name="Normal 2 4 7 26 3 2 3 2" xfId="58156" xr:uid="{00000000-0005-0000-0000-00003CD80000}"/>
    <cellStyle name="Normal 2 4 7 26 3 2 4" xfId="58157" xr:uid="{00000000-0005-0000-0000-00003DD80000}"/>
    <cellStyle name="Normal 2 4 7 26 3 3" xfId="23127" xr:uid="{00000000-0005-0000-0000-00003ED80000}"/>
    <cellStyle name="Normal 2 4 7 26 3 3 2" xfId="58158" xr:uid="{00000000-0005-0000-0000-00003FD80000}"/>
    <cellStyle name="Normal 2 4 7 26 3 4" xfId="23128" xr:uid="{00000000-0005-0000-0000-000040D80000}"/>
    <cellStyle name="Normal 2 4 7 26 3 4 2" xfId="58159" xr:uid="{00000000-0005-0000-0000-000041D80000}"/>
    <cellStyle name="Normal 2 4 7 26 3 5" xfId="23129" xr:uid="{00000000-0005-0000-0000-000042D80000}"/>
    <cellStyle name="Normal 2 4 7 26 3 5 2" xfId="58160" xr:uid="{00000000-0005-0000-0000-000043D80000}"/>
    <cellStyle name="Normal 2 4 7 26 3 6" xfId="58161" xr:uid="{00000000-0005-0000-0000-000044D80000}"/>
    <cellStyle name="Normal 2 4 7 26 3 6 2" xfId="58162" xr:uid="{00000000-0005-0000-0000-000045D80000}"/>
    <cellStyle name="Normal 2 4 7 26 3 7" xfId="58163" xr:uid="{00000000-0005-0000-0000-000046D80000}"/>
    <cellStyle name="Normal 2 4 7 26 4" xfId="23130" xr:uid="{00000000-0005-0000-0000-000047D80000}"/>
    <cellStyle name="Normal 2 4 7 26 4 2" xfId="23131" xr:uid="{00000000-0005-0000-0000-000048D80000}"/>
    <cellStyle name="Normal 2 4 7 26 4 2 2" xfId="58164" xr:uid="{00000000-0005-0000-0000-000049D80000}"/>
    <cellStyle name="Normal 2 4 7 26 4 3" xfId="23132" xr:uid="{00000000-0005-0000-0000-00004AD80000}"/>
    <cellStyle name="Normal 2 4 7 26 4 3 2" xfId="58165" xr:uid="{00000000-0005-0000-0000-00004BD80000}"/>
    <cellStyle name="Normal 2 4 7 26 4 4" xfId="58166" xr:uid="{00000000-0005-0000-0000-00004CD80000}"/>
    <cellStyle name="Normal 2 4 7 26 5" xfId="23133" xr:uid="{00000000-0005-0000-0000-00004DD80000}"/>
    <cellStyle name="Normal 2 4 7 26 5 2" xfId="23134" xr:uid="{00000000-0005-0000-0000-00004ED80000}"/>
    <cellStyle name="Normal 2 4 7 26 5 2 2" xfId="58167" xr:uid="{00000000-0005-0000-0000-00004FD80000}"/>
    <cellStyle name="Normal 2 4 7 26 5 3" xfId="58168" xr:uid="{00000000-0005-0000-0000-000050D80000}"/>
    <cellStyle name="Normal 2 4 7 26 6" xfId="23135" xr:uid="{00000000-0005-0000-0000-000051D80000}"/>
    <cellStyle name="Normal 2 4 7 26 6 2" xfId="58169" xr:uid="{00000000-0005-0000-0000-000052D80000}"/>
    <cellStyle name="Normal 2 4 7 26 7" xfId="23136" xr:uid="{00000000-0005-0000-0000-000053D80000}"/>
    <cellStyle name="Normal 2 4 7 26 7 2" xfId="58170" xr:uid="{00000000-0005-0000-0000-000054D80000}"/>
    <cellStyle name="Normal 2 4 7 26 8" xfId="58171" xr:uid="{00000000-0005-0000-0000-000055D80000}"/>
    <cellStyle name="Normal 2 4 7 26 8 2" xfId="58172" xr:uid="{00000000-0005-0000-0000-000056D80000}"/>
    <cellStyle name="Normal 2 4 7 26 9" xfId="58173" xr:uid="{00000000-0005-0000-0000-000057D80000}"/>
    <cellStyle name="Normal 2 4 7 27" xfId="23137" xr:uid="{00000000-0005-0000-0000-000058D80000}"/>
    <cellStyle name="Normal 2 4 7 27 10" xfId="58174" xr:uid="{00000000-0005-0000-0000-000059D80000}"/>
    <cellStyle name="Normal 2 4 7 27 11" xfId="58175" xr:uid="{00000000-0005-0000-0000-00005AD80000}"/>
    <cellStyle name="Normal 2 4 7 27 2" xfId="23138" xr:uid="{00000000-0005-0000-0000-00005BD80000}"/>
    <cellStyle name="Normal 2 4 7 27 2 10" xfId="58176" xr:uid="{00000000-0005-0000-0000-00005CD80000}"/>
    <cellStyle name="Normal 2 4 7 27 2 2" xfId="23139" xr:uid="{00000000-0005-0000-0000-00005DD80000}"/>
    <cellStyle name="Normal 2 4 7 27 2 2 2" xfId="23140" xr:uid="{00000000-0005-0000-0000-00005ED80000}"/>
    <cellStyle name="Normal 2 4 7 27 2 2 2 2" xfId="23141" xr:uid="{00000000-0005-0000-0000-00005FD80000}"/>
    <cellStyle name="Normal 2 4 7 27 2 2 2 2 2" xfId="58177" xr:uid="{00000000-0005-0000-0000-000060D80000}"/>
    <cellStyle name="Normal 2 4 7 27 2 2 2 3" xfId="23142" xr:uid="{00000000-0005-0000-0000-000061D80000}"/>
    <cellStyle name="Normal 2 4 7 27 2 2 2 3 2" xfId="58178" xr:uid="{00000000-0005-0000-0000-000062D80000}"/>
    <cellStyle name="Normal 2 4 7 27 2 2 2 4" xfId="58179" xr:uid="{00000000-0005-0000-0000-000063D80000}"/>
    <cellStyle name="Normal 2 4 7 27 2 2 3" xfId="23143" xr:uid="{00000000-0005-0000-0000-000064D80000}"/>
    <cellStyle name="Normal 2 4 7 27 2 2 3 2" xfId="58180" xr:uid="{00000000-0005-0000-0000-000065D80000}"/>
    <cellStyle name="Normal 2 4 7 27 2 2 4" xfId="23144" xr:uid="{00000000-0005-0000-0000-000066D80000}"/>
    <cellStyle name="Normal 2 4 7 27 2 2 4 2" xfId="58181" xr:uid="{00000000-0005-0000-0000-000067D80000}"/>
    <cellStyle name="Normal 2 4 7 27 2 2 5" xfId="23145" xr:uid="{00000000-0005-0000-0000-000068D80000}"/>
    <cellStyle name="Normal 2 4 7 27 2 2 5 2" xfId="58182" xr:uid="{00000000-0005-0000-0000-000069D80000}"/>
    <cellStyle name="Normal 2 4 7 27 2 2 6" xfId="58183" xr:uid="{00000000-0005-0000-0000-00006AD80000}"/>
    <cellStyle name="Normal 2 4 7 27 2 2 6 2" xfId="58184" xr:uid="{00000000-0005-0000-0000-00006BD80000}"/>
    <cellStyle name="Normal 2 4 7 27 2 2 7" xfId="58185" xr:uid="{00000000-0005-0000-0000-00006CD80000}"/>
    <cellStyle name="Normal 2 4 7 27 2 3" xfId="23146" xr:uid="{00000000-0005-0000-0000-00006DD80000}"/>
    <cellStyle name="Normal 2 4 7 27 2 3 2" xfId="23147" xr:uid="{00000000-0005-0000-0000-00006ED80000}"/>
    <cellStyle name="Normal 2 4 7 27 2 3 2 2" xfId="58186" xr:uid="{00000000-0005-0000-0000-00006FD80000}"/>
    <cellStyle name="Normal 2 4 7 27 2 3 3" xfId="23148" xr:uid="{00000000-0005-0000-0000-000070D80000}"/>
    <cellStyle name="Normal 2 4 7 27 2 3 3 2" xfId="58187" xr:uid="{00000000-0005-0000-0000-000071D80000}"/>
    <cellStyle name="Normal 2 4 7 27 2 3 4" xfId="58188" xr:uid="{00000000-0005-0000-0000-000072D80000}"/>
    <cellStyle name="Normal 2 4 7 27 2 4" xfId="23149" xr:uid="{00000000-0005-0000-0000-000073D80000}"/>
    <cellStyle name="Normal 2 4 7 27 2 4 2" xfId="23150" xr:uid="{00000000-0005-0000-0000-000074D80000}"/>
    <cellStyle name="Normal 2 4 7 27 2 4 2 2" xfId="58189" xr:uid="{00000000-0005-0000-0000-000075D80000}"/>
    <cellStyle name="Normal 2 4 7 27 2 4 3" xfId="58190" xr:uid="{00000000-0005-0000-0000-000076D80000}"/>
    <cellStyle name="Normal 2 4 7 27 2 5" xfId="23151" xr:uid="{00000000-0005-0000-0000-000077D80000}"/>
    <cellStyle name="Normal 2 4 7 27 2 5 2" xfId="58191" xr:uid="{00000000-0005-0000-0000-000078D80000}"/>
    <cellStyle name="Normal 2 4 7 27 2 6" xfId="23152" xr:uid="{00000000-0005-0000-0000-000079D80000}"/>
    <cellStyle name="Normal 2 4 7 27 2 6 2" xfId="58192" xr:uid="{00000000-0005-0000-0000-00007AD80000}"/>
    <cellStyle name="Normal 2 4 7 27 2 7" xfId="58193" xr:uid="{00000000-0005-0000-0000-00007BD80000}"/>
    <cellStyle name="Normal 2 4 7 27 2 7 2" xfId="58194" xr:uid="{00000000-0005-0000-0000-00007CD80000}"/>
    <cellStyle name="Normal 2 4 7 27 2 8" xfId="58195" xr:uid="{00000000-0005-0000-0000-00007DD80000}"/>
    <cellStyle name="Normal 2 4 7 27 2 9" xfId="58196" xr:uid="{00000000-0005-0000-0000-00007ED80000}"/>
    <cellStyle name="Normal 2 4 7 27 3" xfId="23153" xr:uid="{00000000-0005-0000-0000-00007FD80000}"/>
    <cellStyle name="Normal 2 4 7 27 3 2" xfId="23154" xr:uid="{00000000-0005-0000-0000-000080D80000}"/>
    <cellStyle name="Normal 2 4 7 27 3 2 2" xfId="23155" xr:uid="{00000000-0005-0000-0000-000081D80000}"/>
    <cellStyle name="Normal 2 4 7 27 3 2 2 2" xfId="58197" xr:uid="{00000000-0005-0000-0000-000082D80000}"/>
    <cellStyle name="Normal 2 4 7 27 3 2 3" xfId="23156" xr:uid="{00000000-0005-0000-0000-000083D80000}"/>
    <cellStyle name="Normal 2 4 7 27 3 2 3 2" xfId="58198" xr:uid="{00000000-0005-0000-0000-000084D80000}"/>
    <cellStyle name="Normal 2 4 7 27 3 2 4" xfId="58199" xr:uid="{00000000-0005-0000-0000-000085D80000}"/>
    <cellStyle name="Normal 2 4 7 27 3 3" xfId="23157" xr:uid="{00000000-0005-0000-0000-000086D80000}"/>
    <cellStyle name="Normal 2 4 7 27 3 3 2" xfId="58200" xr:uid="{00000000-0005-0000-0000-000087D80000}"/>
    <cellStyle name="Normal 2 4 7 27 3 4" xfId="23158" xr:uid="{00000000-0005-0000-0000-000088D80000}"/>
    <cellStyle name="Normal 2 4 7 27 3 4 2" xfId="58201" xr:uid="{00000000-0005-0000-0000-000089D80000}"/>
    <cellStyle name="Normal 2 4 7 27 3 5" xfId="23159" xr:uid="{00000000-0005-0000-0000-00008AD80000}"/>
    <cellStyle name="Normal 2 4 7 27 3 5 2" xfId="58202" xr:uid="{00000000-0005-0000-0000-00008BD80000}"/>
    <cellStyle name="Normal 2 4 7 27 3 6" xfId="58203" xr:uid="{00000000-0005-0000-0000-00008CD80000}"/>
    <cellStyle name="Normal 2 4 7 27 3 6 2" xfId="58204" xr:uid="{00000000-0005-0000-0000-00008DD80000}"/>
    <cellStyle name="Normal 2 4 7 27 3 7" xfId="58205" xr:uid="{00000000-0005-0000-0000-00008ED80000}"/>
    <cellStyle name="Normal 2 4 7 27 4" xfId="23160" xr:uid="{00000000-0005-0000-0000-00008FD80000}"/>
    <cellStyle name="Normal 2 4 7 27 4 2" xfId="23161" xr:uid="{00000000-0005-0000-0000-000090D80000}"/>
    <cellStyle name="Normal 2 4 7 27 4 2 2" xfId="58206" xr:uid="{00000000-0005-0000-0000-000091D80000}"/>
    <cellStyle name="Normal 2 4 7 27 4 3" xfId="23162" xr:uid="{00000000-0005-0000-0000-000092D80000}"/>
    <cellStyle name="Normal 2 4 7 27 4 3 2" xfId="58207" xr:uid="{00000000-0005-0000-0000-000093D80000}"/>
    <cellStyle name="Normal 2 4 7 27 4 4" xfId="58208" xr:uid="{00000000-0005-0000-0000-000094D80000}"/>
    <cellStyle name="Normal 2 4 7 27 5" xfId="23163" xr:uid="{00000000-0005-0000-0000-000095D80000}"/>
    <cellStyle name="Normal 2 4 7 27 5 2" xfId="23164" xr:uid="{00000000-0005-0000-0000-000096D80000}"/>
    <cellStyle name="Normal 2 4 7 27 5 2 2" xfId="58209" xr:uid="{00000000-0005-0000-0000-000097D80000}"/>
    <cellStyle name="Normal 2 4 7 27 5 3" xfId="58210" xr:uid="{00000000-0005-0000-0000-000098D80000}"/>
    <cellStyle name="Normal 2 4 7 27 6" xfId="23165" xr:uid="{00000000-0005-0000-0000-000099D80000}"/>
    <cellStyle name="Normal 2 4 7 27 6 2" xfId="58211" xr:uid="{00000000-0005-0000-0000-00009AD80000}"/>
    <cellStyle name="Normal 2 4 7 27 7" xfId="23166" xr:uid="{00000000-0005-0000-0000-00009BD80000}"/>
    <cellStyle name="Normal 2 4 7 27 7 2" xfId="58212" xr:uid="{00000000-0005-0000-0000-00009CD80000}"/>
    <cellStyle name="Normal 2 4 7 27 8" xfId="58213" xr:uid="{00000000-0005-0000-0000-00009DD80000}"/>
    <cellStyle name="Normal 2 4 7 27 8 2" xfId="58214" xr:uid="{00000000-0005-0000-0000-00009ED80000}"/>
    <cellStyle name="Normal 2 4 7 27 9" xfId="58215" xr:uid="{00000000-0005-0000-0000-00009FD80000}"/>
    <cellStyle name="Normal 2 4 7 28" xfId="23167" xr:uid="{00000000-0005-0000-0000-0000A0D80000}"/>
    <cellStyle name="Normal 2 4 7 28 10" xfId="58216" xr:uid="{00000000-0005-0000-0000-0000A1D80000}"/>
    <cellStyle name="Normal 2 4 7 28 11" xfId="58217" xr:uid="{00000000-0005-0000-0000-0000A2D80000}"/>
    <cellStyle name="Normal 2 4 7 28 2" xfId="23168" xr:uid="{00000000-0005-0000-0000-0000A3D80000}"/>
    <cellStyle name="Normal 2 4 7 28 2 10" xfId="58218" xr:uid="{00000000-0005-0000-0000-0000A4D80000}"/>
    <cellStyle name="Normal 2 4 7 28 2 2" xfId="23169" xr:uid="{00000000-0005-0000-0000-0000A5D80000}"/>
    <cellStyle name="Normal 2 4 7 28 2 2 2" xfId="23170" xr:uid="{00000000-0005-0000-0000-0000A6D80000}"/>
    <cellStyle name="Normal 2 4 7 28 2 2 2 2" xfId="23171" xr:uid="{00000000-0005-0000-0000-0000A7D80000}"/>
    <cellStyle name="Normal 2 4 7 28 2 2 2 2 2" xfId="58219" xr:uid="{00000000-0005-0000-0000-0000A8D80000}"/>
    <cellStyle name="Normal 2 4 7 28 2 2 2 3" xfId="23172" xr:uid="{00000000-0005-0000-0000-0000A9D80000}"/>
    <cellStyle name="Normal 2 4 7 28 2 2 2 3 2" xfId="58220" xr:uid="{00000000-0005-0000-0000-0000AAD80000}"/>
    <cellStyle name="Normal 2 4 7 28 2 2 2 4" xfId="58221" xr:uid="{00000000-0005-0000-0000-0000ABD80000}"/>
    <cellStyle name="Normal 2 4 7 28 2 2 3" xfId="23173" xr:uid="{00000000-0005-0000-0000-0000ACD80000}"/>
    <cellStyle name="Normal 2 4 7 28 2 2 3 2" xfId="58222" xr:uid="{00000000-0005-0000-0000-0000ADD80000}"/>
    <cellStyle name="Normal 2 4 7 28 2 2 4" xfId="23174" xr:uid="{00000000-0005-0000-0000-0000AED80000}"/>
    <cellStyle name="Normal 2 4 7 28 2 2 4 2" xfId="58223" xr:uid="{00000000-0005-0000-0000-0000AFD80000}"/>
    <cellStyle name="Normal 2 4 7 28 2 2 5" xfId="23175" xr:uid="{00000000-0005-0000-0000-0000B0D80000}"/>
    <cellStyle name="Normal 2 4 7 28 2 2 5 2" xfId="58224" xr:uid="{00000000-0005-0000-0000-0000B1D80000}"/>
    <cellStyle name="Normal 2 4 7 28 2 2 6" xfId="58225" xr:uid="{00000000-0005-0000-0000-0000B2D80000}"/>
    <cellStyle name="Normal 2 4 7 28 2 2 6 2" xfId="58226" xr:uid="{00000000-0005-0000-0000-0000B3D80000}"/>
    <cellStyle name="Normal 2 4 7 28 2 2 7" xfId="58227" xr:uid="{00000000-0005-0000-0000-0000B4D80000}"/>
    <cellStyle name="Normal 2 4 7 28 2 3" xfId="23176" xr:uid="{00000000-0005-0000-0000-0000B5D80000}"/>
    <cellStyle name="Normal 2 4 7 28 2 3 2" xfId="23177" xr:uid="{00000000-0005-0000-0000-0000B6D80000}"/>
    <cellStyle name="Normal 2 4 7 28 2 3 2 2" xfId="58228" xr:uid="{00000000-0005-0000-0000-0000B7D80000}"/>
    <cellStyle name="Normal 2 4 7 28 2 3 3" xfId="23178" xr:uid="{00000000-0005-0000-0000-0000B8D80000}"/>
    <cellStyle name="Normal 2 4 7 28 2 3 3 2" xfId="58229" xr:uid="{00000000-0005-0000-0000-0000B9D80000}"/>
    <cellStyle name="Normal 2 4 7 28 2 3 4" xfId="58230" xr:uid="{00000000-0005-0000-0000-0000BAD80000}"/>
    <cellStyle name="Normal 2 4 7 28 2 4" xfId="23179" xr:uid="{00000000-0005-0000-0000-0000BBD80000}"/>
    <cellStyle name="Normal 2 4 7 28 2 4 2" xfId="23180" xr:uid="{00000000-0005-0000-0000-0000BCD80000}"/>
    <cellStyle name="Normal 2 4 7 28 2 4 2 2" xfId="58231" xr:uid="{00000000-0005-0000-0000-0000BDD80000}"/>
    <cellStyle name="Normal 2 4 7 28 2 4 3" xfId="58232" xr:uid="{00000000-0005-0000-0000-0000BED80000}"/>
    <cellStyle name="Normal 2 4 7 28 2 5" xfId="23181" xr:uid="{00000000-0005-0000-0000-0000BFD80000}"/>
    <cellStyle name="Normal 2 4 7 28 2 5 2" xfId="58233" xr:uid="{00000000-0005-0000-0000-0000C0D80000}"/>
    <cellStyle name="Normal 2 4 7 28 2 6" xfId="23182" xr:uid="{00000000-0005-0000-0000-0000C1D80000}"/>
    <cellStyle name="Normal 2 4 7 28 2 6 2" xfId="58234" xr:uid="{00000000-0005-0000-0000-0000C2D80000}"/>
    <cellStyle name="Normal 2 4 7 28 2 7" xfId="58235" xr:uid="{00000000-0005-0000-0000-0000C3D80000}"/>
    <cellStyle name="Normal 2 4 7 28 2 7 2" xfId="58236" xr:uid="{00000000-0005-0000-0000-0000C4D80000}"/>
    <cellStyle name="Normal 2 4 7 28 2 8" xfId="58237" xr:uid="{00000000-0005-0000-0000-0000C5D80000}"/>
    <cellStyle name="Normal 2 4 7 28 2 9" xfId="58238" xr:uid="{00000000-0005-0000-0000-0000C6D80000}"/>
    <cellStyle name="Normal 2 4 7 28 3" xfId="23183" xr:uid="{00000000-0005-0000-0000-0000C7D80000}"/>
    <cellStyle name="Normal 2 4 7 28 3 2" xfId="23184" xr:uid="{00000000-0005-0000-0000-0000C8D80000}"/>
    <cellStyle name="Normal 2 4 7 28 3 2 2" xfId="23185" xr:uid="{00000000-0005-0000-0000-0000C9D80000}"/>
    <cellStyle name="Normal 2 4 7 28 3 2 2 2" xfId="58239" xr:uid="{00000000-0005-0000-0000-0000CAD80000}"/>
    <cellStyle name="Normal 2 4 7 28 3 2 3" xfId="23186" xr:uid="{00000000-0005-0000-0000-0000CBD80000}"/>
    <cellStyle name="Normal 2 4 7 28 3 2 3 2" xfId="58240" xr:uid="{00000000-0005-0000-0000-0000CCD80000}"/>
    <cellStyle name="Normal 2 4 7 28 3 2 4" xfId="58241" xr:uid="{00000000-0005-0000-0000-0000CDD80000}"/>
    <cellStyle name="Normal 2 4 7 28 3 3" xfId="23187" xr:uid="{00000000-0005-0000-0000-0000CED80000}"/>
    <cellStyle name="Normal 2 4 7 28 3 3 2" xfId="58242" xr:uid="{00000000-0005-0000-0000-0000CFD80000}"/>
    <cellStyle name="Normal 2 4 7 28 3 4" xfId="23188" xr:uid="{00000000-0005-0000-0000-0000D0D80000}"/>
    <cellStyle name="Normal 2 4 7 28 3 4 2" xfId="58243" xr:uid="{00000000-0005-0000-0000-0000D1D80000}"/>
    <cellStyle name="Normal 2 4 7 28 3 5" xfId="23189" xr:uid="{00000000-0005-0000-0000-0000D2D80000}"/>
    <cellStyle name="Normal 2 4 7 28 3 5 2" xfId="58244" xr:uid="{00000000-0005-0000-0000-0000D3D80000}"/>
    <cellStyle name="Normal 2 4 7 28 3 6" xfId="58245" xr:uid="{00000000-0005-0000-0000-0000D4D80000}"/>
    <cellStyle name="Normal 2 4 7 28 3 6 2" xfId="58246" xr:uid="{00000000-0005-0000-0000-0000D5D80000}"/>
    <cellStyle name="Normal 2 4 7 28 3 7" xfId="58247" xr:uid="{00000000-0005-0000-0000-0000D6D80000}"/>
    <cellStyle name="Normal 2 4 7 28 4" xfId="23190" xr:uid="{00000000-0005-0000-0000-0000D7D80000}"/>
    <cellStyle name="Normal 2 4 7 28 4 2" xfId="23191" xr:uid="{00000000-0005-0000-0000-0000D8D80000}"/>
    <cellStyle name="Normal 2 4 7 28 4 2 2" xfId="58248" xr:uid="{00000000-0005-0000-0000-0000D9D80000}"/>
    <cellStyle name="Normal 2 4 7 28 4 3" xfId="23192" xr:uid="{00000000-0005-0000-0000-0000DAD80000}"/>
    <cellStyle name="Normal 2 4 7 28 4 3 2" xfId="58249" xr:uid="{00000000-0005-0000-0000-0000DBD80000}"/>
    <cellStyle name="Normal 2 4 7 28 4 4" xfId="58250" xr:uid="{00000000-0005-0000-0000-0000DCD80000}"/>
    <cellStyle name="Normal 2 4 7 28 5" xfId="23193" xr:uid="{00000000-0005-0000-0000-0000DDD80000}"/>
    <cellStyle name="Normal 2 4 7 28 5 2" xfId="23194" xr:uid="{00000000-0005-0000-0000-0000DED80000}"/>
    <cellStyle name="Normal 2 4 7 28 5 2 2" xfId="58251" xr:uid="{00000000-0005-0000-0000-0000DFD80000}"/>
    <cellStyle name="Normal 2 4 7 28 5 3" xfId="58252" xr:uid="{00000000-0005-0000-0000-0000E0D80000}"/>
    <cellStyle name="Normal 2 4 7 28 6" xfId="23195" xr:uid="{00000000-0005-0000-0000-0000E1D80000}"/>
    <cellStyle name="Normal 2 4 7 28 6 2" xfId="58253" xr:uid="{00000000-0005-0000-0000-0000E2D80000}"/>
    <cellStyle name="Normal 2 4 7 28 7" xfId="23196" xr:uid="{00000000-0005-0000-0000-0000E3D80000}"/>
    <cellStyle name="Normal 2 4 7 28 7 2" xfId="58254" xr:uid="{00000000-0005-0000-0000-0000E4D80000}"/>
    <cellStyle name="Normal 2 4 7 28 8" xfId="58255" xr:uid="{00000000-0005-0000-0000-0000E5D80000}"/>
    <cellStyle name="Normal 2 4 7 28 8 2" xfId="58256" xr:uid="{00000000-0005-0000-0000-0000E6D80000}"/>
    <cellStyle name="Normal 2 4 7 28 9" xfId="58257" xr:uid="{00000000-0005-0000-0000-0000E7D80000}"/>
    <cellStyle name="Normal 2 4 7 29" xfId="23197" xr:uid="{00000000-0005-0000-0000-0000E8D80000}"/>
    <cellStyle name="Normal 2 4 7 29 10" xfId="58258" xr:uid="{00000000-0005-0000-0000-0000E9D80000}"/>
    <cellStyle name="Normal 2 4 7 29 11" xfId="58259" xr:uid="{00000000-0005-0000-0000-0000EAD80000}"/>
    <cellStyle name="Normal 2 4 7 29 2" xfId="23198" xr:uid="{00000000-0005-0000-0000-0000EBD80000}"/>
    <cellStyle name="Normal 2 4 7 29 2 10" xfId="58260" xr:uid="{00000000-0005-0000-0000-0000ECD80000}"/>
    <cellStyle name="Normal 2 4 7 29 2 2" xfId="23199" xr:uid="{00000000-0005-0000-0000-0000EDD80000}"/>
    <cellStyle name="Normal 2 4 7 29 2 2 2" xfId="23200" xr:uid="{00000000-0005-0000-0000-0000EED80000}"/>
    <cellStyle name="Normal 2 4 7 29 2 2 2 2" xfId="23201" xr:uid="{00000000-0005-0000-0000-0000EFD80000}"/>
    <cellStyle name="Normal 2 4 7 29 2 2 2 2 2" xfId="58261" xr:uid="{00000000-0005-0000-0000-0000F0D80000}"/>
    <cellStyle name="Normal 2 4 7 29 2 2 2 3" xfId="23202" xr:uid="{00000000-0005-0000-0000-0000F1D80000}"/>
    <cellStyle name="Normal 2 4 7 29 2 2 2 3 2" xfId="58262" xr:uid="{00000000-0005-0000-0000-0000F2D80000}"/>
    <cellStyle name="Normal 2 4 7 29 2 2 2 4" xfId="58263" xr:uid="{00000000-0005-0000-0000-0000F3D80000}"/>
    <cellStyle name="Normal 2 4 7 29 2 2 3" xfId="23203" xr:uid="{00000000-0005-0000-0000-0000F4D80000}"/>
    <cellStyle name="Normal 2 4 7 29 2 2 3 2" xfId="58264" xr:uid="{00000000-0005-0000-0000-0000F5D80000}"/>
    <cellStyle name="Normal 2 4 7 29 2 2 4" xfId="23204" xr:uid="{00000000-0005-0000-0000-0000F6D80000}"/>
    <cellStyle name="Normal 2 4 7 29 2 2 4 2" xfId="58265" xr:uid="{00000000-0005-0000-0000-0000F7D80000}"/>
    <cellStyle name="Normal 2 4 7 29 2 2 5" xfId="23205" xr:uid="{00000000-0005-0000-0000-0000F8D80000}"/>
    <cellStyle name="Normal 2 4 7 29 2 2 5 2" xfId="58266" xr:uid="{00000000-0005-0000-0000-0000F9D80000}"/>
    <cellStyle name="Normal 2 4 7 29 2 2 6" xfId="58267" xr:uid="{00000000-0005-0000-0000-0000FAD80000}"/>
    <cellStyle name="Normal 2 4 7 29 2 2 6 2" xfId="58268" xr:uid="{00000000-0005-0000-0000-0000FBD80000}"/>
    <cellStyle name="Normal 2 4 7 29 2 2 7" xfId="58269" xr:uid="{00000000-0005-0000-0000-0000FCD80000}"/>
    <cellStyle name="Normal 2 4 7 29 2 3" xfId="23206" xr:uid="{00000000-0005-0000-0000-0000FDD80000}"/>
    <cellStyle name="Normal 2 4 7 29 2 3 2" xfId="23207" xr:uid="{00000000-0005-0000-0000-0000FED80000}"/>
    <cellStyle name="Normal 2 4 7 29 2 3 2 2" xfId="58270" xr:uid="{00000000-0005-0000-0000-0000FFD80000}"/>
    <cellStyle name="Normal 2 4 7 29 2 3 3" xfId="23208" xr:uid="{00000000-0005-0000-0000-000000D90000}"/>
    <cellStyle name="Normal 2 4 7 29 2 3 3 2" xfId="58271" xr:uid="{00000000-0005-0000-0000-000001D90000}"/>
    <cellStyle name="Normal 2 4 7 29 2 3 4" xfId="58272" xr:uid="{00000000-0005-0000-0000-000002D90000}"/>
    <cellStyle name="Normal 2 4 7 29 2 4" xfId="23209" xr:uid="{00000000-0005-0000-0000-000003D90000}"/>
    <cellStyle name="Normal 2 4 7 29 2 4 2" xfId="23210" xr:uid="{00000000-0005-0000-0000-000004D90000}"/>
    <cellStyle name="Normal 2 4 7 29 2 4 2 2" xfId="58273" xr:uid="{00000000-0005-0000-0000-000005D90000}"/>
    <cellStyle name="Normal 2 4 7 29 2 4 3" xfId="58274" xr:uid="{00000000-0005-0000-0000-000006D90000}"/>
    <cellStyle name="Normal 2 4 7 29 2 5" xfId="23211" xr:uid="{00000000-0005-0000-0000-000007D90000}"/>
    <cellStyle name="Normal 2 4 7 29 2 5 2" xfId="58275" xr:uid="{00000000-0005-0000-0000-000008D90000}"/>
    <cellStyle name="Normal 2 4 7 29 2 6" xfId="23212" xr:uid="{00000000-0005-0000-0000-000009D90000}"/>
    <cellStyle name="Normal 2 4 7 29 2 6 2" xfId="58276" xr:uid="{00000000-0005-0000-0000-00000AD90000}"/>
    <cellStyle name="Normal 2 4 7 29 2 7" xfId="58277" xr:uid="{00000000-0005-0000-0000-00000BD90000}"/>
    <cellStyle name="Normal 2 4 7 29 2 7 2" xfId="58278" xr:uid="{00000000-0005-0000-0000-00000CD90000}"/>
    <cellStyle name="Normal 2 4 7 29 2 8" xfId="58279" xr:uid="{00000000-0005-0000-0000-00000DD90000}"/>
    <cellStyle name="Normal 2 4 7 29 2 9" xfId="58280" xr:uid="{00000000-0005-0000-0000-00000ED90000}"/>
    <cellStyle name="Normal 2 4 7 29 3" xfId="23213" xr:uid="{00000000-0005-0000-0000-00000FD90000}"/>
    <cellStyle name="Normal 2 4 7 29 3 2" xfId="23214" xr:uid="{00000000-0005-0000-0000-000010D90000}"/>
    <cellStyle name="Normal 2 4 7 29 3 2 2" xfId="23215" xr:uid="{00000000-0005-0000-0000-000011D90000}"/>
    <cellStyle name="Normal 2 4 7 29 3 2 2 2" xfId="58281" xr:uid="{00000000-0005-0000-0000-000012D90000}"/>
    <cellStyle name="Normal 2 4 7 29 3 2 3" xfId="23216" xr:uid="{00000000-0005-0000-0000-000013D90000}"/>
    <cellStyle name="Normal 2 4 7 29 3 2 3 2" xfId="58282" xr:uid="{00000000-0005-0000-0000-000014D90000}"/>
    <cellStyle name="Normal 2 4 7 29 3 2 4" xfId="58283" xr:uid="{00000000-0005-0000-0000-000015D90000}"/>
    <cellStyle name="Normal 2 4 7 29 3 3" xfId="23217" xr:uid="{00000000-0005-0000-0000-000016D90000}"/>
    <cellStyle name="Normal 2 4 7 29 3 3 2" xfId="58284" xr:uid="{00000000-0005-0000-0000-000017D90000}"/>
    <cellStyle name="Normal 2 4 7 29 3 4" xfId="23218" xr:uid="{00000000-0005-0000-0000-000018D90000}"/>
    <cellStyle name="Normal 2 4 7 29 3 4 2" xfId="58285" xr:uid="{00000000-0005-0000-0000-000019D90000}"/>
    <cellStyle name="Normal 2 4 7 29 3 5" xfId="23219" xr:uid="{00000000-0005-0000-0000-00001AD90000}"/>
    <cellStyle name="Normal 2 4 7 29 3 5 2" xfId="58286" xr:uid="{00000000-0005-0000-0000-00001BD90000}"/>
    <cellStyle name="Normal 2 4 7 29 3 6" xfId="58287" xr:uid="{00000000-0005-0000-0000-00001CD90000}"/>
    <cellStyle name="Normal 2 4 7 29 3 6 2" xfId="58288" xr:uid="{00000000-0005-0000-0000-00001DD90000}"/>
    <cellStyle name="Normal 2 4 7 29 3 7" xfId="58289" xr:uid="{00000000-0005-0000-0000-00001ED90000}"/>
    <cellStyle name="Normal 2 4 7 29 4" xfId="23220" xr:uid="{00000000-0005-0000-0000-00001FD90000}"/>
    <cellStyle name="Normal 2 4 7 29 4 2" xfId="23221" xr:uid="{00000000-0005-0000-0000-000020D90000}"/>
    <cellStyle name="Normal 2 4 7 29 4 2 2" xfId="58290" xr:uid="{00000000-0005-0000-0000-000021D90000}"/>
    <cellStyle name="Normal 2 4 7 29 4 3" xfId="23222" xr:uid="{00000000-0005-0000-0000-000022D90000}"/>
    <cellStyle name="Normal 2 4 7 29 4 3 2" xfId="58291" xr:uid="{00000000-0005-0000-0000-000023D90000}"/>
    <cellStyle name="Normal 2 4 7 29 4 4" xfId="58292" xr:uid="{00000000-0005-0000-0000-000024D90000}"/>
    <cellStyle name="Normal 2 4 7 29 5" xfId="23223" xr:uid="{00000000-0005-0000-0000-000025D90000}"/>
    <cellStyle name="Normal 2 4 7 29 5 2" xfId="23224" xr:uid="{00000000-0005-0000-0000-000026D90000}"/>
    <cellStyle name="Normal 2 4 7 29 5 2 2" xfId="58293" xr:uid="{00000000-0005-0000-0000-000027D90000}"/>
    <cellStyle name="Normal 2 4 7 29 5 3" xfId="58294" xr:uid="{00000000-0005-0000-0000-000028D90000}"/>
    <cellStyle name="Normal 2 4 7 29 6" xfId="23225" xr:uid="{00000000-0005-0000-0000-000029D90000}"/>
    <cellStyle name="Normal 2 4 7 29 6 2" xfId="58295" xr:uid="{00000000-0005-0000-0000-00002AD90000}"/>
    <cellStyle name="Normal 2 4 7 29 7" xfId="23226" xr:uid="{00000000-0005-0000-0000-00002BD90000}"/>
    <cellStyle name="Normal 2 4 7 29 7 2" xfId="58296" xr:uid="{00000000-0005-0000-0000-00002CD90000}"/>
    <cellStyle name="Normal 2 4 7 29 8" xfId="58297" xr:uid="{00000000-0005-0000-0000-00002DD90000}"/>
    <cellStyle name="Normal 2 4 7 29 8 2" xfId="58298" xr:uid="{00000000-0005-0000-0000-00002ED90000}"/>
    <cellStyle name="Normal 2 4 7 29 9" xfId="58299" xr:uid="{00000000-0005-0000-0000-00002FD90000}"/>
    <cellStyle name="Normal 2 4 7 3" xfId="23227" xr:uid="{00000000-0005-0000-0000-000030D90000}"/>
    <cellStyle name="Normal 2 4 7 3 10" xfId="58300" xr:uid="{00000000-0005-0000-0000-000031D90000}"/>
    <cellStyle name="Normal 2 4 7 3 11" xfId="58301" xr:uid="{00000000-0005-0000-0000-000032D90000}"/>
    <cellStyle name="Normal 2 4 7 3 2" xfId="23228" xr:uid="{00000000-0005-0000-0000-000033D90000}"/>
    <cellStyle name="Normal 2 4 7 3 2 10" xfId="58302" xr:uid="{00000000-0005-0000-0000-000034D90000}"/>
    <cellStyle name="Normal 2 4 7 3 2 2" xfId="23229" xr:uid="{00000000-0005-0000-0000-000035D90000}"/>
    <cellStyle name="Normal 2 4 7 3 2 2 2" xfId="23230" xr:uid="{00000000-0005-0000-0000-000036D90000}"/>
    <cellStyle name="Normal 2 4 7 3 2 2 2 2" xfId="23231" xr:uid="{00000000-0005-0000-0000-000037D90000}"/>
    <cellStyle name="Normal 2 4 7 3 2 2 2 2 2" xfId="58303" xr:uid="{00000000-0005-0000-0000-000038D90000}"/>
    <cellStyle name="Normal 2 4 7 3 2 2 2 3" xfId="23232" xr:uid="{00000000-0005-0000-0000-000039D90000}"/>
    <cellStyle name="Normal 2 4 7 3 2 2 2 3 2" xfId="58304" xr:uid="{00000000-0005-0000-0000-00003AD90000}"/>
    <cellStyle name="Normal 2 4 7 3 2 2 2 4" xfId="58305" xr:uid="{00000000-0005-0000-0000-00003BD90000}"/>
    <cellStyle name="Normal 2 4 7 3 2 2 3" xfId="23233" xr:uid="{00000000-0005-0000-0000-00003CD90000}"/>
    <cellStyle name="Normal 2 4 7 3 2 2 3 2" xfId="58306" xr:uid="{00000000-0005-0000-0000-00003DD90000}"/>
    <cellStyle name="Normal 2 4 7 3 2 2 4" xfId="23234" xr:uid="{00000000-0005-0000-0000-00003ED90000}"/>
    <cellStyle name="Normal 2 4 7 3 2 2 4 2" xfId="58307" xr:uid="{00000000-0005-0000-0000-00003FD90000}"/>
    <cellStyle name="Normal 2 4 7 3 2 2 5" xfId="23235" xr:uid="{00000000-0005-0000-0000-000040D90000}"/>
    <cellStyle name="Normal 2 4 7 3 2 2 5 2" xfId="58308" xr:uid="{00000000-0005-0000-0000-000041D90000}"/>
    <cellStyle name="Normal 2 4 7 3 2 2 6" xfId="58309" xr:uid="{00000000-0005-0000-0000-000042D90000}"/>
    <cellStyle name="Normal 2 4 7 3 2 2 6 2" xfId="58310" xr:uid="{00000000-0005-0000-0000-000043D90000}"/>
    <cellStyle name="Normal 2 4 7 3 2 2 7" xfId="58311" xr:uid="{00000000-0005-0000-0000-000044D90000}"/>
    <cellStyle name="Normal 2 4 7 3 2 3" xfId="23236" xr:uid="{00000000-0005-0000-0000-000045D90000}"/>
    <cellStyle name="Normal 2 4 7 3 2 3 2" xfId="23237" xr:uid="{00000000-0005-0000-0000-000046D90000}"/>
    <cellStyle name="Normal 2 4 7 3 2 3 2 2" xfId="58312" xr:uid="{00000000-0005-0000-0000-000047D90000}"/>
    <cellStyle name="Normal 2 4 7 3 2 3 3" xfId="23238" xr:uid="{00000000-0005-0000-0000-000048D90000}"/>
    <cellStyle name="Normal 2 4 7 3 2 3 3 2" xfId="58313" xr:uid="{00000000-0005-0000-0000-000049D90000}"/>
    <cellStyle name="Normal 2 4 7 3 2 3 4" xfId="58314" xr:uid="{00000000-0005-0000-0000-00004AD90000}"/>
    <cellStyle name="Normal 2 4 7 3 2 4" xfId="23239" xr:uid="{00000000-0005-0000-0000-00004BD90000}"/>
    <cellStyle name="Normal 2 4 7 3 2 4 2" xfId="23240" xr:uid="{00000000-0005-0000-0000-00004CD90000}"/>
    <cellStyle name="Normal 2 4 7 3 2 4 2 2" xfId="58315" xr:uid="{00000000-0005-0000-0000-00004DD90000}"/>
    <cellStyle name="Normal 2 4 7 3 2 4 3" xfId="58316" xr:uid="{00000000-0005-0000-0000-00004ED90000}"/>
    <cellStyle name="Normal 2 4 7 3 2 5" xfId="23241" xr:uid="{00000000-0005-0000-0000-00004FD90000}"/>
    <cellStyle name="Normal 2 4 7 3 2 5 2" xfId="58317" xr:uid="{00000000-0005-0000-0000-000050D90000}"/>
    <cellStyle name="Normal 2 4 7 3 2 6" xfId="23242" xr:uid="{00000000-0005-0000-0000-000051D90000}"/>
    <cellStyle name="Normal 2 4 7 3 2 6 2" xfId="58318" xr:uid="{00000000-0005-0000-0000-000052D90000}"/>
    <cellStyle name="Normal 2 4 7 3 2 7" xfId="58319" xr:uid="{00000000-0005-0000-0000-000053D90000}"/>
    <cellStyle name="Normal 2 4 7 3 2 7 2" xfId="58320" xr:uid="{00000000-0005-0000-0000-000054D90000}"/>
    <cellStyle name="Normal 2 4 7 3 2 8" xfId="58321" xr:uid="{00000000-0005-0000-0000-000055D90000}"/>
    <cellStyle name="Normal 2 4 7 3 2 9" xfId="58322" xr:uid="{00000000-0005-0000-0000-000056D90000}"/>
    <cellStyle name="Normal 2 4 7 3 3" xfId="23243" xr:uid="{00000000-0005-0000-0000-000057D90000}"/>
    <cellStyle name="Normal 2 4 7 3 3 2" xfId="23244" xr:uid="{00000000-0005-0000-0000-000058D90000}"/>
    <cellStyle name="Normal 2 4 7 3 3 2 2" xfId="23245" xr:uid="{00000000-0005-0000-0000-000059D90000}"/>
    <cellStyle name="Normal 2 4 7 3 3 2 2 2" xfId="58323" xr:uid="{00000000-0005-0000-0000-00005AD90000}"/>
    <cellStyle name="Normal 2 4 7 3 3 2 3" xfId="23246" xr:uid="{00000000-0005-0000-0000-00005BD90000}"/>
    <cellStyle name="Normal 2 4 7 3 3 2 3 2" xfId="58324" xr:uid="{00000000-0005-0000-0000-00005CD90000}"/>
    <cellStyle name="Normal 2 4 7 3 3 2 4" xfId="58325" xr:uid="{00000000-0005-0000-0000-00005DD90000}"/>
    <cellStyle name="Normal 2 4 7 3 3 3" xfId="23247" xr:uid="{00000000-0005-0000-0000-00005ED90000}"/>
    <cellStyle name="Normal 2 4 7 3 3 3 2" xfId="58326" xr:uid="{00000000-0005-0000-0000-00005FD90000}"/>
    <cellStyle name="Normal 2 4 7 3 3 4" xfId="23248" xr:uid="{00000000-0005-0000-0000-000060D90000}"/>
    <cellStyle name="Normal 2 4 7 3 3 4 2" xfId="58327" xr:uid="{00000000-0005-0000-0000-000061D90000}"/>
    <cellStyle name="Normal 2 4 7 3 3 5" xfId="23249" xr:uid="{00000000-0005-0000-0000-000062D90000}"/>
    <cellStyle name="Normal 2 4 7 3 3 5 2" xfId="58328" xr:uid="{00000000-0005-0000-0000-000063D90000}"/>
    <cellStyle name="Normal 2 4 7 3 3 6" xfId="58329" xr:uid="{00000000-0005-0000-0000-000064D90000}"/>
    <cellStyle name="Normal 2 4 7 3 3 6 2" xfId="58330" xr:uid="{00000000-0005-0000-0000-000065D90000}"/>
    <cellStyle name="Normal 2 4 7 3 3 7" xfId="58331" xr:uid="{00000000-0005-0000-0000-000066D90000}"/>
    <cellStyle name="Normal 2 4 7 3 4" xfId="23250" xr:uid="{00000000-0005-0000-0000-000067D90000}"/>
    <cellStyle name="Normal 2 4 7 3 4 2" xfId="23251" xr:uid="{00000000-0005-0000-0000-000068D90000}"/>
    <cellStyle name="Normal 2 4 7 3 4 2 2" xfId="58332" xr:uid="{00000000-0005-0000-0000-000069D90000}"/>
    <cellStyle name="Normal 2 4 7 3 4 3" xfId="23252" xr:uid="{00000000-0005-0000-0000-00006AD90000}"/>
    <cellStyle name="Normal 2 4 7 3 4 3 2" xfId="58333" xr:uid="{00000000-0005-0000-0000-00006BD90000}"/>
    <cellStyle name="Normal 2 4 7 3 4 4" xfId="58334" xr:uid="{00000000-0005-0000-0000-00006CD90000}"/>
    <cellStyle name="Normal 2 4 7 3 5" xfId="23253" xr:uid="{00000000-0005-0000-0000-00006DD90000}"/>
    <cellStyle name="Normal 2 4 7 3 5 2" xfId="23254" xr:uid="{00000000-0005-0000-0000-00006ED90000}"/>
    <cellStyle name="Normal 2 4 7 3 5 2 2" xfId="58335" xr:uid="{00000000-0005-0000-0000-00006FD90000}"/>
    <cellStyle name="Normal 2 4 7 3 5 3" xfId="58336" xr:uid="{00000000-0005-0000-0000-000070D90000}"/>
    <cellStyle name="Normal 2 4 7 3 6" xfId="23255" xr:uid="{00000000-0005-0000-0000-000071D90000}"/>
    <cellStyle name="Normal 2 4 7 3 6 2" xfId="58337" xr:uid="{00000000-0005-0000-0000-000072D90000}"/>
    <cellStyle name="Normal 2 4 7 3 7" xfId="23256" xr:uid="{00000000-0005-0000-0000-000073D90000}"/>
    <cellStyle name="Normal 2 4 7 3 7 2" xfId="58338" xr:uid="{00000000-0005-0000-0000-000074D90000}"/>
    <cellStyle name="Normal 2 4 7 3 8" xfId="58339" xr:uid="{00000000-0005-0000-0000-000075D90000}"/>
    <cellStyle name="Normal 2 4 7 3 8 2" xfId="58340" xr:uid="{00000000-0005-0000-0000-000076D90000}"/>
    <cellStyle name="Normal 2 4 7 3 9" xfId="58341" xr:uid="{00000000-0005-0000-0000-000077D90000}"/>
    <cellStyle name="Normal 2 4 7 30" xfId="23257" xr:uid="{00000000-0005-0000-0000-000078D90000}"/>
    <cellStyle name="Normal 2 4 7 30 10" xfId="58342" xr:uid="{00000000-0005-0000-0000-000079D90000}"/>
    <cellStyle name="Normal 2 4 7 30 11" xfId="58343" xr:uid="{00000000-0005-0000-0000-00007AD90000}"/>
    <cellStyle name="Normal 2 4 7 30 2" xfId="23258" xr:uid="{00000000-0005-0000-0000-00007BD90000}"/>
    <cellStyle name="Normal 2 4 7 30 2 10" xfId="58344" xr:uid="{00000000-0005-0000-0000-00007CD90000}"/>
    <cellStyle name="Normal 2 4 7 30 2 2" xfId="23259" xr:uid="{00000000-0005-0000-0000-00007DD90000}"/>
    <cellStyle name="Normal 2 4 7 30 2 2 2" xfId="23260" xr:uid="{00000000-0005-0000-0000-00007ED90000}"/>
    <cellStyle name="Normal 2 4 7 30 2 2 2 2" xfId="23261" xr:uid="{00000000-0005-0000-0000-00007FD90000}"/>
    <cellStyle name="Normal 2 4 7 30 2 2 2 2 2" xfId="58345" xr:uid="{00000000-0005-0000-0000-000080D90000}"/>
    <cellStyle name="Normal 2 4 7 30 2 2 2 3" xfId="23262" xr:uid="{00000000-0005-0000-0000-000081D90000}"/>
    <cellStyle name="Normal 2 4 7 30 2 2 2 3 2" xfId="58346" xr:uid="{00000000-0005-0000-0000-000082D90000}"/>
    <cellStyle name="Normal 2 4 7 30 2 2 2 4" xfId="58347" xr:uid="{00000000-0005-0000-0000-000083D90000}"/>
    <cellStyle name="Normal 2 4 7 30 2 2 3" xfId="23263" xr:uid="{00000000-0005-0000-0000-000084D90000}"/>
    <cellStyle name="Normal 2 4 7 30 2 2 3 2" xfId="58348" xr:uid="{00000000-0005-0000-0000-000085D90000}"/>
    <cellStyle name="Normal 2 4 7 30 2 2 4" xfId="23264" xr:uid="{00000000-0005-0000-0000-000086D90000}"/>
    <cellStyle name="Normal 2 4 7 30 2 2 4 2" xfId="58349" xr:uid="{00000000-0005-0000-0000-000087D90000}"/>
    <cellStyle name="Normal 2 4 7 30 2 2 5" xfId="23265" xr:uid="{00000000-0005-0000-0000-000088D90000}"/>
    <cellStyle name="Normal 2 4 7 30 2 2 5 2" xfId="58350" xr:uid="{00000000-0005-0000-0000-000089D90000}"/>
    <cellStyle name="Normal 2 4 7 30 2 2 6" xfId="58351" xr:uid="{00000000-0005-0000-0000-00008AD90000}"/>
    <cellStyle name="Normal 2 4 7 30 2 2 6 2" xfId="58352" xr:uid="{00000000-0005-0000-0000-00008BD90000}"/>
    <cellStyle name="Normal 2 4 7 30 2 2 7" xfId="58353" xr:uid="{00000000-0005-0000-0000-00008CD90000}"/>
    <cellStyle name="Normal 2 4 7 30 2 3" xfId="23266" xr:uid="{00000000-0005-0000-0000-00008DD90000}"/>
    <cellStyle name="Normal 2 4 7 30 2 3 2" xfId="23267" xr:uid="{00000000-0005-0000-0000-00008ED90000}"/>
    <cellStyle name="Normal 2 4 7 30 2 3 2 2" xfId="58354" xr:uid="{00000000-0005-0000-0000-00008FD90000}"/>
    <cellStyle name="Normal 2 4 7 30 2 3 3" xfId="23268" xr:uid="{00000000-0005-0000-0000-000090D90000}"/>
    <cellStyle name="Normal 2 4 7 30 2 3 3 2" xfId="58355" xr:uid="{00000000-0005-0000-0000-000091D90000}"/>
    <cellStyle name="Normal 2 4 7 30 2 3 4" xfId="58356" xr:uid="{00000000-0005-0000-0000-000092D90000}"/>
    <cellStyle name="Normal 2 4 7 30 2 4" xfId="23269" xr:uid="{00000000-0005-0000-0000-000093D90000}"/>
    <cellStyle name="Normal 2 4 7 30 2 4 2" xfId="23270" xr:uid="{00000000-0005-0000-0000-000094D90000}"/>
    <cellStyle name="Normal 2 4 7 30 2 4 2 2" xfId="58357" xr:uid="{00000000-0005-0000-0000-000095D90000}"/>
    <cellStyle name="Normal 2 4 7 30 2 4 3" xfId="58358" xr:uid="{00000000-0005-0000-0000-000096D90000}"/>
    <cellStyle name="Normal 2 4 7 30 2 5" xfId="23271" xr:uid="{00000000-0005-0000-0000-000097D90000}"/>
    <cellStyle name="Normal 2 4 7 30 2 5 2" xfId="58359" xr:uid="{00000000-0005-0000-0000-000098D90000}"/>
    <cellStyle name="Normal 2 4 7 30 2 6" xfId="23272" xr:uid="{00000000-0005-0000-0000-000099D90000}"/>
    <cellStyle name="Normal 2 4 7 30 2 6 2" xfId="58360" xr:uid="{00000000-0005-0000-0000-00009AD90000}"/>
    <cellStyle name="Normal 2 4 7 30 2 7" xfId="58361" xr:uid="{00000000-0005-0000-0000-00009BD90000}"/>
    <cellStyle name="Normal 2 4 7 30 2 7 2" xfId="58362" xr:uid="{00000000-0005-0000-0000-00009CD90000}"/>
    <cellStyle name="Normal 2 4 7 30 2 8" xfId="58363" xr:uid="{00000000-0005-0000-0000-00009DD90000}"/>
    <cellStyle name="Normal 2 4 7 30 2 9" xfId="58364" xr:uid="{00000000-0005-0000-0000-00009ED90000}"/>
    <cellStyle name="Normal 2 4 7 30 3" xfId="23273" xr:uid="{00000000-0005-0000-0000-00009FD90000}"/>
    <cellStyle name="Normal 2 4 7 30 3 2" xfId="23274" xr:uid="{00000000-0005-0000-0000-0000A0D90000}"/>
    <cellStyle name="Normal 2 4 7 30 3 2 2" xfId="23275" xr:uid="{00000000-0005-0000-0000-0000A1D90000}"/>
    <cellStyle name="Normal 2 4 7 30 3 2 2 2" xfId="58365" xr:uid="{00000000-0005-0000-0000-0000A2D90000}"/>
    <cellStyle name="Normal 2 4 7 30 3 2 3" xfId="23276" xr:uid="{00000000-0005-0000-0000-0000A3D90000}"/>
    <cellStyle name="Normal 2 4 7 30 3 2 3 2" xfId="58366" xr:uid="{00000000-0005-0000-0000-0000A4D90000}"/>
    <cellStyle name="Normal 2 4 7 30 3 2 4" xfId="58367" xr:uid="{00000000-0005-0000-0000-0000A5D90000}"/>
    <cellStyle name="Normal 2 4 7 30 3 3" xfId="23277" xr:uid="{00000000-0005-0000-0000-0000A6D90000}"/>
    <cellStyle name="Normal 2 4 7 30 3 3 2" xfId="58368" xr:uid="{00000000-0005-0000-0000-0000A7D90000}"/>
    <cellStyle name="Normal 2 4 7 30 3 4" xfId="23278" xr:uid="{00000000-0005-0000-0000-0000A8D90000}"/>
    <cellStyle name="Normal 2 4 7 30 3 4 2" xfId="58369" xr:uid="{00000000-0005-0000-0000-0000A9D90000}"/>
    <cellStyle name="Normal 2 4 7 30 3 5" xfId="23279" xr:uid="{00000000-0005-0000-0000-0000AAD90000}"/>
    <cellStyle name="Normal 2 4 7 30 3 5 2" xfId="58370" xr:uid="{00000000-0005-0000-0000-0000ABD90000}"/>
    <cellStyle name="Normal 2 4 7 30 3 6" xfId="58371" xr:uid="{00000000-0005-0000-0000-0000ACD90000}"/>
    <cellStyle name="Normal 2 4 7 30 3 6 2" xfId="58372" xr:uid="{00000000-0005-0000-0000-0000ADD90000}"/>
    <cellStyle name="Normal 2 4 7 30 3 7" xfId="58373" xr:uid="{00000000-0005-0000-0000-0000AED90000}"/>
    <cellStyle name="Normal 2 4 7 30 4" xfId="23280" xr:uid="{00000000-0005-0000-0000-0000AFD90000}"/>
    <cellStyle name="Normal 2 4 7 30 4 2" xfId="23281" xr:uid="{00000000-0005-0000-0000-0000B0D90000}"/>
    <cellStyle name="Normal 2 4 7 30 4 2 2" xfId="58374" xr:uid="{00000000-0005-0000-0000-0000B1D90000}"/>
    <cellStyle name="Normal 2 4 7 30 4 3" xfId="23282" xr:uid="{00000000-0005-0000-0000-0000B2D90000}"/>
    <cellStyle name="Normal 2 4 7 30 4 3 2" xfId="58375" xr:uid="{00000000-0005-0000-0000-0000B3D90000}"/>
    <cellStyle name="Normal 2 4 7 30 4 4" xfId="58376" xr:uid="{00000000-0005-0000-0000-0000B4D90000}"/>
    <cellStyle name="Normal 2 4 7 30 5" xfId="23283" xr:uid="{00000000-0005-0000-0000-0000B5D90000}"/>
    <cellStyle name="Normal 2 4 7 30 5 2" xfId="23284" xr:uid="{00000000-0005-0000-0000-0000B6D90000}"/>
    <cellStyle name="Normal 2 4 7 30 5 2 2" xfId="58377" xr:uid="{00000000-0005-0000-0000-0000B7D90000}"/>
    <cellStyle name="Normal 2 4 7 30 5 3" xfId="58378" xr:uid="{00000000-0005-0000-0000-0000B8D90000}"/>
    <cellStyle name="Normal 2 4 7 30 6" xfId="23285" xr:uid="{00000000-0005-0000-0000-0000B9D90000}"/>
    <cellStyle name="Normal 2 4 7 30 6 2" xfId="58379" xr:uid="{00000000-0005-0000-0000-0000BAD90000}"/>
    <cellStyle name="Normal 2 4 7 30 7" xfId="23286" xr:uid="{00000000-0005-0000-0000-0000BBD90000}"/>
    <cellStyle name="Normal 2 4 7 30 7 2" xfId="58380" xr:uid="{00000000-0005-0000-0000-0000BCD90000}"/>
    <cellStyle name="Normal 2 4 7 30 8" xfId="58381" xr:uid="{00000000-0005-0000-0000-0000BDD90000}"/>
    <cellStyle name="Normal 2 4 7 30 8 2" xfId="58382" xr:uid="{00000000-0005-0000-0000-0000BED90000}"/>
    <cellStyle name="Normal 2 4 7 30 9" xfId="58383" xr:uid="{00000000-0005-0000-0000-0000BFD90000}"/>
    <cellStyle name="Normal 2 4 7 31" xfId="23287" xr:uid="{00000000-0005-0000-0000-0000C0D90000}"/>
    <cellStyle name="Normal 2 4 7 31 10" xfId="58384" xr:uid="{00000000-0005-0000-0000-0000C1D90000}"/>
    <cellStyle name="Normal 2 4 7 31 2" xfId="23288" xr:uid="{00000000-0005-0000-0000-0000C2D90000}"/>
    <cellStyle name="Normal 2 4 7 31 2 2" xfId="23289" xr:uid="{00000000-0005-0000-0000-0000C3D90000}"/>
    <cellStyle name="Normal 2 4 7 31 2 2 2" xfId="23290" xr:uid="{00000000-0005-0000-0000-0000C4D90000}"/>
    <cellStyle name="Normal 2 4 7 31 2 2 2 2" xfId="58385" xr:uid="{00000000-0005-0000-0000-0000C5D90000}"/>
    <cellStyle name="Normal 2 4 7 31 2 2 3" xfId="23291" xr:uid="{00000000-0005-0000-0000-0000C6D90000}"/>
    <cellStyle name="Normal 2 4 7 31 2 2 3 2" xfId="58386" xr:uid="{00000000-0005-0000-0000-0000C7D90000}"/>
    <cellStyle name="Normal 2 4 7 31 2 2 4" xfId="58387" xr:uid="{00000000-0005-0000-0000-0000C8D90000}"/>
    <cellStyle name="Normal 2 4 7 31 2 3" xfId="23292" xr:uid="{00000000-0005-0000-0000-0000C9D90000}"/>
    <cellStyle name="Normal 2 4 7 31 2 3 2" xfId="58388" xr:uid="{00000000-0005-0000-0000-0000CAD90000}"/>
    <cellStyle name="Normal 2 4 7 31 2 4" xfId="23293" xr:uid="{00000000-0005-0000-0000-0000CBD90000}"/>
    <cellStyle name="Normal 2 4 7 31 2 4 2" xfId="58389" xr:uid="{00000000-0005-0000-0000-0000CCD90000}"/>
    <cellStyle name="Normal 2 4 7 31 2 5" xfId="23294" xr:uid="{00000000-0005-0000-0000-0000CDD90000}"/>
    <cellStyle name="Normal 2 4 7 31 2 5 2" xfId="58390" xr:uid="{00000000-0005-0000-0000-0000CED90000}"/>
    <cellStyle name="Normal 2 4 7 31 2 6" xfId="58391" xr:uid="{00000000-0005-0000-0000-0000CFD90000}"/>
    <cellStyle name="Normal 2 4 7 31 2 6 2" xfId="58392" xr:uid="{00000000-0005-0000-0000-0000D0D90000}"/>
    <cellStyle name="Normal 2 4 7 31 2 7" xfId="58393" xr:uid="{00000000-0005-0000-0000-0000D1D90000}"/>
    <cellStyle name="Normal 2 4 7 31 3" xfId="23295" xr:uid="{00000000-0005-0000-0000-0000D2D90000}"/>
    <cellStyle name="Normal 2 4 7 31 3 2" xfId="23296" xr:uid="{00000000-0005-0000-0000-0000D3D90000}"/>
    <cellStyle name="Normal 2 4 7 31 3 2 2" xfId="58394" xr:uid="{00000000-0005-0000-0000-0000D4D90000}"/>
    <cellStyle name="Normal 2 4 7 31 3 3" xfId="23297" xr:uid="{00000000-0005-0000-0000-0000D5D90000}"/>
    <cellStyle name="Normal 2 4 7 31 3 3 2" xfId="58395" xr:uid="{00000000-0005-0000-0000-0000D6D90000}"/>
    <cellStyle name="Normal 2 4 7 31 3 4" xfId="58396" xr:uid="{00000000-0005-0000-0000-0000D7D90000}"/>
    <cellStyle name="Normal 2 4 7 31 4" xfId="23298" xr:uid="{00000000-0005-0000-0000-0000D8D90000}"/>
    <cellStyle name="Normal 2 4 7 31 4 2" xfId="23299" xr:uid="{00000000-0005-0000-0000-0000D9D90000}"/>
    <cellStyle name="Normal 2 4 7 31 4 2 2" xfId="58397" xr:uid="{00000000-0005-0000-0000-0000DAD90000}"/>
    <cellStyle name="Normal 2 4 7 31 4 3" xfId="58398" xr:uid="{00000000-0005-0000-0000-0000DBD90000}"/>
    <cellStyle name="Normal 2 4 7 31 5" xfId="23300" xr:uid="{00000000-0005-0000-0000-0000DCD90000}"/>
    <cellStyle name="Normal 2 4 7 31 5 2" xfId="58399" xr:uid="{00000000-0005-0000-0000-0000DDD90000}"/>
    <cellStyle name="Normal 2 4 7 31 6" xfId="23301" xr:uid="{00000000-0005-0000-0000-0000DED90000}"/>
    <cellStyle name="Normal 2 4 7 31 6 2" xfId="58400" xr:uid="{00000000-0005-0000-0000-0000DFD90000}"/>
    <cellStyle name="Normal 2 4 7 31 7" xfId="58401" xr:uid="{00000000-0005-0000-0000-0000E0D90000}"/>
    <cellStyle name="Normal 2 4 7 31 7 2" xfId="58402" xr:uid="{00000000-0005-0000-0000-0000E1D90000}"/>
    <cellStyle name="Normal 2 4 7 31 8" xfId="58403" xr:uid="{00000000-0005-0000-0000-0000E2D90000}"/>
    <cellStyle name="Normal 2 4 7 31 9" xfId="58404" xr:uid="{00000000-0005-0000-0000-0000E3D90000}"/>
    <cellStyle name="Normal 2 4 7 32" xfId="23302" xr:uid="{00000000-0005-0000-0000-0000E4D90000}"/>
    <cellStyle name="Normal 2 4 7 32 2" xfId="23303" xr:uid="{00000000-0005-0000-0000-0000E5D90000}"/>
    <cellStyle name="Normal 2 4 7 32 2 2" xfId="23304" xr:uid="{00000000-0005-0000-0000-0000E6D90000}"/>
    <cellStyle name="Normal 2 4 7 32 2 2 2" xfId="58405" xr:uid="{00000000-0005-0000-0000-0000E7D90000}"/>
    <cellStyle name="Normal 2 4 7 32 2 3" xfId="23305" xr:uid="{00000000-0005-0000-0000-0000E8D90000}"/>
    <cellStyle name="Normal 2 4 7 32 2 3 2" xfId="58406" xr:uid="{00000000-0005-0000-0000-0000E9D90000}"/>
    <cellStyle name="Normal 2 4 7 32 2 4" xfId="58407" xr:uid="{00000000-0005-0000-0000-0000EAD90000}"/>
    <cellStyle name="Normal 2 4 7 32 3" xfId="23306" xr:uid="{00000000-0005-0000-0000-0000EBD90000}"/>
    <cellStyle name="Normal 2 4 7 32 3 2" xfId="58408" xr:uid="{00000000-0005-0000-0000-0000ECD90000}"/>
    <cellStyle name="Normal 2 4 7 32 4" xfId="23307" xr:uid="{00000000-0005-0000-0000-0000EDD90000}"/>
    <cellStyle name="Normal 2 4 7 32 4 2" xfId="58409" xr:uid="{00000000-0005-0000-0000-0000EED90000}"/>
    <cellStyle name="Normal 2 4 7 32 5" xfId="23308" xr:uid="{00000000-0005-0000-0000-0000EFD90000}"/>
    <cellStyle name="Normal 2 4 7 32 5 2" xfId="58410" xr:uid="{00000000-0005-0000-0000-0000F0D90000}"/>
    <cellStyle name="Normal 2 4 7 32 6" xfId="58411" xr:uid="{00000000-0005-0000-0000-0000F1D90000}"/>
    <cellStyle name="Normal 2 4 7 32 6 2" xfId="58412" xr:uid="{00000000-0005-0000-0000-0000F2D90000}"/>
    <cellStyle name="Normal 2 4 7 32 7" xfId="58413" xr:uid="{00000000-0005-0000-0000-0000F3D90000}"/>
    <cellStyle name="Normal 2 4 7 33" xfId="23309" xr:uid="{00000000-0005-0000-0000-0000F4D90000}"/>
    <cellStyle name="Normal 2 4 7 33 2" xfId="23310" xr:uid="{00000000-0005-0000-0000-0000F5D90000}"/>
    <cellStyle name="Normal 2 4 7 33 2 2" xfId="58414" xr:uid="{00000000-0005-0000-0000-0000F6D90000}"/>
    <cellStyle name="Normal 2 4 7 33 3" xfId="23311" xr:uid="{00000000-0005-0000-0000-0000F7D90000}"/>
    <cellStyle name="Normal 2 4 7 33 3 2" xfId="58415" xr:uid="{00000000-0005-0000-0000-0000F8D90000}"/>
    <cellStyle name="Normal 2 4 7 33 4" xfId="58416" xr:uid="{00000000-0005-0000-0000-0000F9D90000}"/>
    <cellStyle name="Normal 2 4 7 34" xfId="23312" xr:uid="{00000000-0005-0000-0000-0000FAD90000}"/>
    <cellStyle name="Normal 2 4 7 34 2" xfId="23313" xr:uid="{00000000-0005-0000-0000-0000FBD90000}"/>
    <cellStyle name="Normal 2 4 7 34 2 2" xfId="58417" xr:uid="{00000000-0005-0000-0000-0000FCD90000}"/>
    <cellStyle name="Normal 2 4 7 34 3" xfId="58418" xr:uid="{00000000-0005-0000-0000-0000FDD90000}"/>
    <cellStyle name="Normal 2 4 7 35" xfId="23314" xr:uid="{00000000-0005-0000-0000-0000FED90000}"/>
    <cellStyle name="Normal 2 4 7 35 2" xfId="58419" xr:uid="{00000000-0005-0000-0000-0000FFD90000}"/>
    <cellStyle name="Normal 2 4 7 36" xfId="23315" xr:uid="{00000000-0005-0000-0000-000000DA0000}"/>
    <cellStyle name="Normal 2 4 7 36 2" xfId="58420" xr:uid="{00000000-0005-0000-0000-000001DA0000}"/>
    <cellStyle name="Normal 2 4 7 37" xfId="58421" xr:uid="{00000000-0005-0000-0000-000002DA0000}"/>
    <cellStyle name="Normal 2 4 7 37 2" xfId="58422" xr:uid="{00000000-0005-0000-0000-000003DA0000}"/>
    <cellStyle name="Normal 2 4 7 38" xfId="58423" xr:uid="{00000000-0005-0000-0000-000004DA0000}"/>
    <cellStyle name="Normal 2 4 7 39" xfId="58424" xr:uid="{00000000-0005-0000-0000-000005DA0000}"/>
    <cellStyle name="Normal 2 4 7 4" xfId="23316" xr:uid="{00000000-0005-0000-0000-000006DA0000}"/>
    <cellStyle name="Normal 2 4 7 4 10" xfId="58425" xr:uid="{00000000-0005-0000-0000-000007DA0000}"/>
    <cellStyle name="Normal 2 4 7 4 11" xfId="58426" xr:uid="{00000000-0005-0000-0000-000008DA0000}"/>
    <cellStyle name="Normal 2 4 7 4 2" xfId="23317" xr:uid="{00000000-0005-0000-0000-000009DA0000}"/>
    <cellStyle name="Normal 2 4 7 4 2 10" xfId="58427" xr:uid="{00000000-0005-0000-0000-00000ADA0000}"/>
    <cellStyle name="Normal 2 4 7 4 2 2" xfId="23318" xr:uid="{00000000-0005-0000-0000-00000BDA0000}"/>
    <cellStyle name="Normal 2 4 7 4 2 2 2" xfId="23319" xr:uid="{00000000-0005-0000-0000-00000CDA0000}"/>
    <cellStyle name="Normal 2 4 7 4 2 2 2 2" xfId="23320" xr:uid="{00000000-0005-0000-0000-00000DDA0000}"/>
    <cellStyle name="Normal 2 4 7 4 2 2 2 2 2" xfId="58428" xr:uid="{00000000-0005-0000-0000-00000EDA0000}"/>
    <cellStyle name="Normal 2 4 7 4 2 2 2 3" xfId="23321" xr:uid="{00000000-0005-0000-0000-00000FDA0000}"/>
    <cellStyle name="Normal 2 4 7 4 2 2 2 3 2" xfId="58429" xr:uid="{00000000-0005-0000-0000-000010DA0000}"/>
    <cellStyle name="Normal 2 4 7 4 2 2 2 4" xfId="58430" xr:uid="{00000000-0005-0000-0000-000011DA0000}"/>
    <cellStyle name="Normal 2 4 7 4 2 2 3" xfId="23322" xr:uid="{00000000-0005-0000-0000-000012DA0000}"/>
    <cellStyle name="Normal 2 4 7 4 2 2 3 2" xfId="58431" xr:uid="{00000000-0005-0000-0000-000013DA0000}"/>
    <cellStyle name="Normal 2 4 7 4 2 2 4" xfId="23323" xr:uid="{00000000-0005-0000-0000-000014DA0000}"/>
    <cellStyle name="Normal 2 4 7 4 2 2 4 2" xfId="58432" xr:uid="{00000000-0005-0000-0000-000015DA0000}"/>
    <cellStyle name="Normal 2 4 7 4 2 2 5" xfId="23324" xr:uid="{00000000-0005-0000-0000-000016DA0000}"/>
    <cellStyle name="Normal 2 4 7 4 2 2 5 2" xfId="58433" xr:uid="{00000000-0005-0000-0000-000017DA0000}"/>
    <cellStyle name="Normal 2 4 7 4 2 2 6" xfId="58434" xr:uid="{00000000-0005-0000-0000-000018DA0000}"/>
    <cellStyle name="Normal 2 4 7 4 2 2 6 2" xfId="58435" xr:uid="{00000000-0005-0000-0000-000019DA0000}"/>
    <cellStyle name="Normal 2 4 7 4 2 2 7" xfId="58436" xr:uid="{00000000-0005-0000-0000-00001ADA0000}"/>
    <cellStyle name="Normal 2 4 7 4 2 3" xfId="23325" xr:uid="{00000000-0005-0000-0000-00001BDA0000}"/>
    <cellStyle name="Normal 2 4 7 4 2 3 2" xfId="23326" xr:uid="{00000000-0005-0000-0000-00001CDA0000}"/>
    <cellStyle name="Normal 2 4 7 4 2 3 2 2" xfId="58437" xr:uid="{00000000-0005-0000-0000-00001DDA0000}"/>
    <cellStyle name="Normal 2 4 7 4 2 3 3" xfId="23327" xr:uid="{00000000-0005-0000-0000-00001EDA0000}"/>
    <cellStyle name="Normal 2 4 7 4 2 3 3 2" xfId="58438" xr:uid="{00000000-0005-0000-0000-00001FDA0000}"/>
    <cellStyle name="Normal 2 4 7 4 2 3 4" xfId="58439" xr:uid="{00000000-0005-0000-0000-000020DA0000}"/>
    <cellStyle name="Normal 2 4 7 4 2 4" xfId="23328" xr:uid="{00000000-0005-0000-0000-000021DA0000}"/>
    <cellStyle name="Normal 2 4 7 4 2 4 2" xfId="23329" xr:uid="{00000000-0005-0000-0000-000022DA0000}"/>
    <cellStyle name="Normal 2 4 7 4 2 4 2 2" xfId="58440" xr:uid="{00000000-0005-0000-0000-000023DA0000}"/>
    <cellStyle name="Normal 2 4 7 4 2 4 3" xfId="58441" xr:uid="{00000000-0005-0000-0000-000024DA0000}"/>
    <cellStyle name="Normal 2 4 7 4 2 5" xfId="23330" xr:uid="{00000000-0005-0000-0000-000025DA0000}"/>
    <cellStyle name="Normal 2 4 7 4 2 5 2" xfId="58442" xr:uid="{00000000-0005-0000-0000-000026DA0000}"/>
    <cellStyle name="Normal 2 4 7 4 2 6" xfId="23331" xr:uid="{00000000-0005-0000-0000-000027DA0000}"/>
    <cellStyle name="Normal 2 4 7 4 2 6 2" xfId="58443" xr:uid="{00000000-0005-0000-0000-000028DA0000}"/>
    <cellStyle name="Normal 2 4 7 4 2 7" xfId="58444" xr:uid="{00000000-0005-0000-0000-000029DA0000}"/>
    <cellStyle name="Normal 2 4 7 4 2 7 2" xfId="58445" xr:uid="{00000000-0005-0000-0000-00002ADA0000}"/>
    <cellStyle name="Normal 2 4 7 4 2 8" xfId="58446" xr:uid="{00000000-0005-0000-0000-00002BDA0000}"/>
    <cellStyle name="Normal 2 4 7 4 2 9" xfId="58447" xr:uid="{00000000-0005-0000-0000-00002CDA0000}"/>
    <cellStyle name="Normal 2 4 7 4 3" xfId="23332" xr:uid="{00000000-0005-0000-0000-00002DDA0000}"/>
    <cellStyle name="Normal 2 4 7 4 3 2" xfId="23333" xr:uid="{00000000-0005-0000-0000-00002EDA0000}"/>
    <cellStyle name="Normal 2 4 7 4 3 2 2" xfId="23334" xr:uid="{00000000-0005-0000-0000-00002FDA0000}"/>
    <cellStyle name="Normal 2 4 7 4 3 2 2 2" xfId="58448" xr:uid="{00000000-0005-0000-0000-000030DA0000}"/>
    <cellStyle name="Normal 2 4 7 4 3 2 3" xfId="23335" xr:uid="{00000000-0005-0000-0000-000031DA0000}"/>
    <cellStyle name="Normal 2 4 7 4 3 2 3 2" xfId="58449" xr:uid="{00000000-0005-0000-0000-000032DA0000}"/>
    <cellStyle name="Normal 2 4 7 4 3 2 4" xfId="58450" xr:uid="{00000000-0005-0000-0000-000033DA0000}"/>
    <cellStyle name="Normal 2 4 7 4 3 3" xfId="23336" xr:uid="{00000000-0005-0000-0000-000034DA0000}"/>
    <cellStyle name="Normal 2 4 7 4 3 3 2" xfId="58451" xr:uid="{00000000-0005-0000-0000-000035DA0000}"/>
    <cellStyle name="Normal 2 4 7 4 3 4" xfId="23337" xr:uid="{00000000-0005-0000-0000-000036DA0000}"/>
    <cellStyle name="Normal 2 4 7 4 3 4 2" xfId="58452" xr:uid="{00000000-0005-0000-0000-000037DA0000}"/>
    <cellStyle name="Normal 2 4 7 4 3 5" xfId="23338" xr:uid="{00000000-0005-0000-0000-000038DA0000}"/>
    <cellStyle name="Normal 2 4 7 4 3 5 2" xfId="58453" xr:uid="{00000000-0005-0000-0000-000039DA0000}"/>
    <cellStyle name="Normal 2 4 7 4 3 6" xfId="58454" xr:uid="{00000000-0005-0000-0000-00003ADA0000}"/>
    <cellStyle name="Normal 2 4 7 4 3 6 2" xfId="58455" xr:uid="{00000000-0005-0000-0000-00003BDA0000}"/>
    <cellStyle name="Normal 2 4 7 4 3 7" xfId="58456" xr:uid="{00000000-0005-0000-0000-00003CDA0000}"/>
    <cellStyle name="Normal 2 4 7 4 4" xfId="23339" xr:uid="{00000000-0005-0000-0000-00003DDA0000}"/>
    <cellStyle name="Normal 2 4 7 4 4 2" xfId="23340" xr:uid="{00000000-0005-0000-0000-00003EDA0000}"/>
    <cellStyle name="Normal 2 4 7 4 4 2 2" xfId="58457" xr:uid="{00000000-0005-0000-0000-00003FDA0000}"/>
    <cellStyle name="Normal 2 4 7 4 4 3" xfId="23341" xr:uid="{00000000-0005-0000-0000-000040DA0000}"/>
    <cellStyle name="Normal 2 4 7 4 4 3 2" xfId="58458" xr:uid="{00000000-0005-0000-0000-000041DA0000}"/>
    <cellStyle name="Normal 2 4 7 4 4 4" xfId="58459" xr:uid="{00000000-0005-0000-0000-000042DA0000}"/>
    <cellStyle name="Normal 2 4 7 4 5" xfId="23342" xr:uid="{00000000-0005-0000-0000-000043DA0000}"/>
    <cellStyle name="Normal 2 4 7 4 5 2" xfId="23343" xr:uid="{00000000-0005-0000-0000-000044DA0000}"/>
    <cellStyle name="Normal 2 4 7 4 5 2 2" xfId="58460" xr:uid="{00000000-0005-0000-0000-000045DA0000}"/>
    <cellStyle name="Normal 2 4 7 4 5 3" xfId="58461" xr:uid="{00000000-0005-0000-0000-000046DA0000}"/>
    <cellStyle name="Normal 2 4 7 4 6" xfId="23344" xr:uid="{00000000-0005-0000-0000-000047DA0000}"/>
    <cellStyle name="Normal 2 4 7 4 6 2" xfId="58462" xr:uid="{00000000-0005-0000-0000-000048DA0000}"/>
    <cellStyle name="Normal 2 4 7 4 7" xfId="23345" xr:uid="{00000000-0005-0000-0000-000049DA0000}"/>
    <cellStyle name="Normal 2 4 7 4 7 2" xfId="58463" xr:uid="{00000000-0005-0000-0000-00004ADA0000}"/>
    <cellStyle name="Normal 2 4 7 4 8" xfId="58464" xr:uid="{00000000-0005-0000-0000-00004BDA0000}"/>
    <cellStyle name="Normal 2 4 7 4 8 2" xfId="58465" xr:uid="{00000000-0005-0000-0000-00004CDA0000}"/>
    <cellStyle name="Normal 2 4 7 4 9" xfId="58466" xr:uid="{00000000-0005-0000-0000-00004DDA0000}"/>
    <cellStyle name="Normal 2 4 7 40" xfId="58467" xr:uid="{00000000-0005-0000-0000-00004EDA0000}"/>
    <cellStyle name="Normal 2 4 7 5" xfId="23346" xr:uid="{00000000-0005-0000-0000-00004FDA0000}"/>
    <cellStyle name="Normal 2 4 7 5 10" xfId="58468" xr:uid="{00000000-0005-0000-0000-000050DA0000}"/>
    <cellStyle name="Normal 2 4 7 5 11" xfId="58469" xr:uid="{00000000-0005-0000-0000-000051DA0000}"/>
    <cellStyle name="Normal 2 4 7 5 2" xfId="23347" xr:uid="{00000000-0005-0000-0000-000052DA0000}"/>
    <cellStyle name="Normal 2 4 7 5 2 10" xfId="58470" xr:uid="{00000000-0005-0000-0000-000053DA0000}"/>
    <cellStyle name="Normal 2 4 7 5 2 2" xfId="23348" xr:uid="{00000000-0005-0000-0000-000054DA0000}"/>
    <cellStyle name="Normal 2 4 7 5 2 2 2" xfId="23349" xr:uid="{00000000-0005-0000-0000-000055DA0000}"/>
    <cellStyle name="Normal 2 4 7 5 2 2 2 2" xfId="23350" xr:uid="{00000000-0005-0000-0000-000056DA0000}"/>
    <cellStyle name="Normal 2 4 7 5 2 2 2 2 2" xfId="58471" xr:uid="{00000000-0005-0000-0000-000057DA0000}"/>
    <cellStyle name="Normal 2 4 7 5 2 2 2 3" xfId="23351" xr:uid="{00000000-0005-0000-0000-000058DA0000}"/>
    <cellStyle name="Normal 2 4 7 5 2 2 2 3 2" xfId="58472" xr:uid="{00000000-0005-0000-0000-000059DA0000}"/>
    <cellStyle name="Normal 2 4 7 5 2 2 2 4" xfId="58473" xr:uid="{00000000-0005-0000-0000-00005ADA0000}"/>
    <cellStyle name="Normal 2 4 7 5 2 2 3" xfId="23352" xr:uid="{00000000-0005-0000-0000-00005BDA0000}"/>
    <cellStyle name="Normal 2 4 7 5 2 2 3 2" xfId="58474" xr:uid="{00000000-0005-0000-0000-00005CDA0000}"/>
    <cellStyle name="Normal 2 4 7 5 2 2 4" xfId="23353" xr:uid="{00000000-0005-0000-0000-00005DDA0000}"/>
    <cellStyle name="Normal 2 4 7 5 2 2 4 2" xfId="58475" xr:uid="{00000000-0005-0000-0000-00005EDA0000}"/>
    <cellStyle name="Normal 2 4 7 5 2 2 5" xfId="23354" xr:uid="{00000000-0005-0000-0000-00005FDA0000}"/>
    <cellStyle name="Normal 2 4 7 5 2 2 5 2" xfId="58476" xr:uid="{00000000-0005-0000-0000-000060DA0000}"/>
    <cellStyle name="Normal 2 4 7 5 2 2 6" xfId="58477" xr:uid="{00000000-0005-0000-0000-000061DA0000}"/>
    <cellStyle name="Normal 2 4 7 5 2 2 6 2" xfId="58478" xr:uid="{00000000-0005-0000-0000-000062DA0000}"/>
    <cellStyle name="Normal 2 4 7 5 2 2 7" xfId="58479" xr:uid="{00000000-0005-0000-0000-000063DA0000}"/>
    <cellStyle name="Normal 2 4 7 5 2 3" xfId="23355" xr:uid="{00000000-0005-0000-0000-000064DA0000}"/>
    <cellStyle name="Normal 2 4 7 5 2 3 2" xfId="23356" xr:uid="{00000000-0005-0000-0000-000065DA0000}"/>
    <cellStyle name="Normal 2 4 7 5 2 3 2 2" xfId="58480" xr:uid="{00000000-0005-0000-0000-000066DA0000}"/>
    <cellStyle name="Normal 2 4 7 5 2 3 3" xfId="23357" xr:uid="{00000000-0005-0000-0000-000067DA0000}"/>
    <cellStyle name="Normal 2 4 7 5 2 3 3 2" xfId="58481" xr:uid="{00000000-0005-0000-0000-000068DA0000}"/>
    <cellStyle name="Normal 2 4 7 5 2 3 4" xfId="58482" xr:uid="{00000000-0005-0000-0000-000069DA0000}"/>
    <cellStyle name="Normal 2 4 7 5 2 4" xfId="23358" xr:uid="{00000000-0005-0000-0000-00006ADA0000}"/>
    <cellStyle name="Normal 2 4 7 5 2 4 2" xfId="23359" xr:uid="{00000000-0005-0000-0000-00006BDA0000}"/>
    <cellStyle name="Normal 2 4 7 5 2 4 2 2" xfId="58483" xr:uid="{00000000-0005-0000-0000-00006CDA0000}"/>
    <cellStyle name="Normal 2 4 7 5 2 4 3" xfId="58484" xr:uid="{00000000-0005-0000-0000-00006DDA0000}"/>
    <cellStyle name="Normal 2 4 7 5 2 5" xfId="23360" xr:uid="{00000000-0005-0000-0000-00006EDA0000}"/>
    <cellStyle name="Normal 2 4 7 5 2 5 2" xfId="58485" xr:uid="{00000000-0005-0000-0000-00006FDA0000}"/>
    <cellStyle name="Normal 2 4 7 5 2 6" xfId="23361" xr:uid="{00000000-0005-0000-0000-000070DA0000}"/>
    <cellStyle name="Normal 2 4 7 5 2 6 2" xfId="58486" xr:uid="{00000000-0005-0000-0000-000071DA0000}"/>
    <cellStyle name="Normal 2 4 7 5 2 7" xfId="58487" xr:uid="{00000000-0005-0000-0000-000072DA0000}"/>
    <cellStyle name="Normal 2 4 7 5 2 7 2" xfId="58488" xr:uid="{00000000-0005-0000-0000-000073DA0000}"/>
    <cellStyle name="Normal 2 4 7 5 2 8" xfId="58489" xr:uid="{00000000-0005-0000-0000-000074DA0000}"/>
    <cellStyle name="Normal 2 4 7 5 2 9" xfId="58490" xr:uid="{00000000-0005-0000-0000-000075DA0000}"/>
    <cellStyle name="Normal 2 4 7 5 3" xfId="23362" xr:uid="{00000000-0005-0000-0000-000076DA0000}"/>
    <cellStyle name="Normal 2 4 7 5 3 2" xfId="23363" xr:uid="{00000000-0005-0000-0000-000077DA0000}"/>
    <cellStyle name="Normal 2 4 7 5 3 2 2" xfId="23364" xr:uid="{00000000-0005-0000-0000-000078DA0000}"/>
    <cellStyle name="Normal 2 4 7 5 3 2 2 2" xfId="58491" xr:uid="{00000000-0005-0000-0000-000079DA0000}"/>
    <cellStyle name="Normal 2 4 7 5 3 2 3" xfId="23365" xr:uid="{00000000-0005-0000-0000-00007ADA0000}"/>
    <cellStyle name="Normal 2 4 7 5 3 2 3 2" xfId="58492" xr:uid="{00000000-0005-0000-0000-00007BDA0000}"/>
    <cellStyle name="Normal 2 4 7 5 3 2 4" xfId="58493" xr:uid="{00000000-0005-0000-0000-00007CDA0000}"/>
    <cellStyle name="Normal 2 4 7 5 3 3" xfId="23366" xr:uid="{00000000-0005-0000-0000-00007DDA0000}"/>
    <cellStyle name="Normal 2 4 7 5 3 3 2" xfId="58494" xr:uid="{00000000-0005-0000-0000-00007EDA0000}"/>
    <cellStyle name="Normal 2 4 7 5 3 4" xfId="23367" xr:uid="{00000000-0005-0000-0000-00007FDA0000}"/>
    <cellStyle name="Normal 2 4 7 5 3 4 2" xfId="58495" xr:uid="{00000000-0005-0000-0000-000080DA0000}"/>
    <cellStyle name="Normal 2 4 7 5 3 5" xfId="23368" xr:uid="{00000000-0005-0000-0000-000081DA0000}"/>
    <cellStyle name="Normal 2 4 7 5 3 5 2" xfId="58496" xr:uid="{00000000-0005-0000-0000-000082DA0000}"/>
    <cellStyle name="Normal 2 4 7 5 3 6" xfId="58497" xr:uid="{00000000-0005-0000-0000-000083DA0000}"/>
    <cellStyle name="Normal 2 4 7 5 3 6 2" xfId="58498" xr:uid="{00000000-0005-0000-0000-000084DA0000}"/>
    <cellStyle name="Normal 2 4 7 5 3 7" xfId="58499" xr:uid="{00000000-0005-0000-0000-000085DA0000}"/>
    <cellStyle name="Normal 2 4 7 5 4" xfId="23369" xr:uid="{00000000-0005-0000-0000-000086DA0000}"/>
    <cellStyle name="Normal 2 4 7 5 4 2" xfId="23370" xr:uid="{00000000-0005-0000-0000-000087DA0000}"/>
    <cellStyle name="Normal 2 4 7 5 4 2 2" xfId="58500" xr:uid="{00000000-0005-0000-0000-000088DA0000}"/>
    <cellStyle name="Normal 2 4 7 5 4 3" xfId="23371" xr:uid="{00000000-0005-0000-0000-000089DA0000}"/>
    <cellStyle name="Normal 2 4 7 5 4 3 2" xfId="58501" xr:uid="{00000000-0005-0000-0000-00008ADA0000}"/>
    <cellStyle name="Normal 2 4 7 5 4 4" xfId="58502" xr:uid="{00000000-0005-0000-0000-00008BDA0000}"/>
    <cellStyle name="Normal 2 4 7 5 5" xfId="23372" xr:uid="{00000000-0005-0000-0000-00008CDA0000}"/>
    <cellStyle name="Normal 2 4 7 5 5 2" xfId="23373" xr:uid="{00000000-0005-0000-0000-00008DDA0000}"/>
    <cellStyle name="Normal 2 4 7 5 5 2 2" xfId="58503" xr:uid="{00000000-0005-0000-0000-00008EDA0000}"/>
    <cellStyle name="Normal 2 4 7 5 5 3" xfId="58504" xr:uid="{00000000-0005-0000-0000-00008FDA0000}"/>
    <cellStyle name="Normal 2 4 7 5 6" xfId="23374" xr:uid="{00000000-0005-0000-0000-000090DA0000}"/>
    <cellStyle name="Normal 2 4 7 5 6 2" xfId="58505" xr:uid="{00000000-0005-0000-0000-000091DA0000}"/>
    <cellStyle name="Normal 2 4 7 5 7" xfId="23375" xr:uid="{00000000-0005-0000-0000-000092DA0000}"/>
    <cellStyle name="Normal 2 4 7 5 7 2" xfId="58506" xr:uid="{00000000-0005-0000-0000-000093DA0000}"/>
    <cellStyle name="Normal 2 4 7 5 8" xfId="58507" xr:uid="{00000000-0005-0000-0000-000094DA0000}"/>
    <cellStyle name="Normal 2 4 7 5 8 2" xfId="58508" xr:uid="{00000000-0005-0000-0000-000095DA0000}"/>
    <cellStyle name="Normal 2 4 7 5 9" xfId="58509" xr:uid="{00000000-0005-0000-0000-000096DA0000}"/>
    <cellStyle name="Normal 2 4 7 6" xfId="23376" xr:uid="{00000000-0005-0000-0000-000097DA0000}"/>
    <cellStyle name="Normal 2 4 7 6 10" xfId="58510" xr:uid="{00000000-0005-0000-0000-000098DA0000}"/>
    <cellStyle name="Normal 2 4 7 6 11" xfId="58511" xr:uid="{00000000-0005-0000-0000-000099DA0000}"/>
    <cellStyle name="Normal 2 4 7 6 2" xfId="23377" xr:uid="{00000000-0005-0000-0000-00009ADA0000}"/>
    <cellStyle name="Normal 2 4 7 6 2 10" xfId="58512" xr:uid="{00000000-0005-0000-0000-00009BDA0000}"/>
    <cellStyle name="Normal 2 4 7 6 2 2" xfId="23378" xr:uid="{00000000-0005-0000-0000-00009CDA0000}"/>
    <cellStyle name="Normal 2 4 7 6 2 2 2" xfId="23379" xr:uid="{00000000-0005-0000-0000-00009DDA0000}"/>
    <cellStyle name="Normal 2 4 7 6 2 2 2 2" xfId="23380" xr:uid="{00000000-0005-0000-0000-00009EDA0000}"/>
    <cellStyle name="Normal 2 4 7 6 2 2 2 2 2" xfId="58513" xr:uid="{00000000-0005-0000-0000-00009FDA0000}"/>
    <cellStyle name="Normal 2 4 7 6 2 2 2 3" xfId="23381" xr:uid="{00000000-0005-0000-0000-0000A0DA0000}"/>
    <cellStyle name="Normal 2 4 7 6 2 2 2 3 2" xfId="58514" xr:uid="{00000000-0005-0000-0000-0000A1DA0000}"/>
    <cellStyle name="Normal 2 4 7 6 2 2 2 4" xfId="58515" xr:uid="{00000000-0005-0000-0000-0000A2DA0000}"/>
    <cellStyle name="Normal 2 4 7 6 2 2 3" xfId="23382" xr:uid="{00000000-0005-0000-0000-0000A3DA0000}"/>
    <cellStyle name="Normal 2 4 7 6 2 2 3 2" xfId="58516" xr:uid="{00000000-0005-0000-0000-0000A4DA0000}"/>
    <cellStyle name="Normal 2 4 7 6 2 2 4" xfId="23383" xr:uid="{00000000-0005-0000-0000-0000A5DA0000}"/>
    <cellStyle name="Normal 2 4 7 6 2 2 4 2" xfId="58517" xr:uid="{00000000-0005-0000-0000-0000A6DA0000}"/>
    <cellStyle name="Normal 2 4 7 6 2 2 5" xfId="23384" xr:uid="{00000000-0005-0000-0000-0000A7DA0000}"/>
    <cellStyle name="Normal 2 4 7 6 2 2 5 2" xfId="58518" xr:uid="{00000000-0005-0000-0000-0000A8DA0000}"/>
    <cellStyle name="Normal 2 4 7 6 2 2 6" xfId="58519" xr:uid="{00000000-0005-0000-0000-0000A9DA0000}"/>
    <cellStyle name="Normal 2 4 7 6 2 2 6 2" xfId="58520" xr:uid="{00000000-0005-0000-0000-0000AADA0000}"/>
    <cellStyle name="Normal 2 4 7 6 2 2 7" xfId="58521" xr:uid="{00000000-0005-0000-0000-0000ABDA0000}"/>
    <cellStyle name="Normal 2 4 7 6 2 3" xfId="23385" xr:uid="{00000000-0005-0000-0000-0000ACDA0000}"/>
    <cellStyle name="Normal 2 4 7 6 2 3 2" xfId="23386" xr:uid="{00000000-0005-0000-0000-0000ADDA0000}"/>
    <cellStyle name="Normal 2 4 7 6 2 3 2 2" xfId="58522" xr:uid="{00000000-0005-0000-0000-0000AEDA0000}"/>
    <cellStyle name="Normal 2 4 7 6 2 3 3" xfId="23387" xr:uid="{00000000-0005-0000-0000-0000AFDA0000}"/>
    <cellStyle name="Normal 2 4 7 6 2 3 3 2" xfId="58523" xr:uid="{00000000-0005-0000-0000-0000B0DA0000}"/>
    <cellStyle name="Normal 2 4 7 6 2 3 4" xfId="58524" xr:uid="{00000000-0005-0000-0000-0000B1DA0000}"/>
    <cellStyle name="Normal 2 4 7 6 2 4" xfId="23388" xr:uid="{00000000-0005-0000-0000-0000B2DA0000}"/>
    <cellStyle name="Normal 2 4 7 6 2 4 2" xfId="23389" xr:uid="{00000000-0005-0000-0000-0000B3DA0000}"/>
    <cellStyle name="Normal 2 4 7 6 2 4 2 2" xfId="58525" xr:uid="{00000000-0005-0000-0000-0000B4DA0000}"/>
    <cellStyle name="Normal 2 4 7 6 2 4 3" xfId="58526" xr:uid="{00000000-0005-0000-0000-0000B5DA0000}"/>
    <cellStyle name="Normal 2 4 7 6 2 5" xfId="23390" xr:uid="{00000000-0005-0000-0000-0000B6DA0000}"/>
    <cellStyle name="Normal 2 4 7 6 2 5 2" xfId="58527" xr:uid="{00000000-0005-0000-0000-0000B7DA0000}"/>
    <cellStyle name="Normal 2 4 7 6 2 6" xfId="23391" xr:uid="{00000000-0005-0000-0000-0000B8DA0000}"/>
    <cellStyle name="Normal 2 4 7 6 2 6 2" xfId="58528" xr:uid="{00000000-0005-0000-0000-0000B9DA0000}"/>
    <cellStyle name="Normal 2 4 7 6 2 7" xfId="58529" xr:uid="{00000000-0005-0000-0000-0000BADA0000}"/>
    <cellStyle name="Normal 2 4 7 6 2 7 2" xfId="58530" xr:uid="{00000000-0005-0000-0000-0000BBDA0000}"/>
    <cellStyle name="Normal 2 4 7 6 2 8" xfId="58531" xr:uid="{00000000-0005-0000-0000-0000BCDA0000}"/>
    <cellStyle name="Normal 2 4 7 6 2 9" xfId="58532" xr:uid="{00000000-0005-0000-0000-0000BDDA0000}"/>
    <cellStyle name="Normal 2 4 7 6 3" xfId="23392" xr:uid="{00000000-0005-0000-0000-0000BEDA0000}"/>
    <cellStyle name="Normal 2 4 7 6 3 2" xfId="23393" xr:uid="{00000000-0005-0000-0000-0000BFDA0000}"/>
    <cellStyle name="Normal 2 4 7 6 3 2 2" xfId="23394" xr:uid="{00000000-0005-0000-0000-0000C0DA0000}"/>
    <cellStyle name="Normal 2 4 7 6 3 2 2 2" xfId="58533" xr:uid="{00000000-0005-0000-0000-0000C1DA0000}"/>
    <cellStyle name="Normal 2 4 7 6 3 2 3" xfId="23395" xr:uid="{00000000-0005-0000-0000-0000C2DA0000}"/>
    <cellStyle name="Normal 2 4 7 6 3 2 3 2" xfId="58534" xr:uid="{00000000-0005-0000-0000-0000C3DA0000}"/>
    <cellStyle name="Normal 2 4 7 6 3 2 4" xfId="58535" xr:uid="{00000000-0005-0000-0000-0000C4DA0000}"/>
    <cellStyle name="Normal 2 4 7 6 3 3" xfId="23396" xr:uid="{00000000-0005-0000-0000-0000C5DA0000}"/>
    <cellStyle name="Normal 2 4 7 6 3 3 2" xfId="58536" xr:uid="{00000000-0005-0000-0000-0000C6DA0000}"/>
    <cellStyle name="Normal 2 4 7 6 3 4" xfId="23397" xr:uid="{00000000-0005-0000-0000-0000C7DA0000}"/>
    <cellStyle name="Normal 2 4 7 6 3 4 2" xfId="58537" xr:uid="{00000000-0005-0000-0000-0000C8DA0000}"/>
    <cellStyle name="Normal 2 4 7 6 3 5" xfId="23398" xr:uid="{00000000-0005-0000-0000-0000C9DA0000}"/>
    <cellStyle name="Normal 2 4 7 6 3 5 2" xfId="58538" xr:uid="{00000000-0005-0000-0000-0000CADA0000}"/>
    <cellStyle name="Normal 2 4 7 6 3 6" xfId="58539" xr:uid="{00000000-0005-0000-0000-0000CBDA0000}"/>
    <cellStyle name="Normal 2 4 7 6 3 6 2" xfId="58540" xr:uid="{00000000-0005-0000-0000-0000CCDA0000}"/>
    <cellStyle name="Normal 2 4 7 6 3 7" xfId="58541" xr:uid="{00000000-0005-0000-0000-0000CDDA0000}"/>
    <cellStyle name="Normal 2 4 7 6 4" xfId="23399" xr:uid="{00000000-0005-0000-0000-0000CEDA0000}"/>
    <cellStyle name="Normal 2 4 7 6 4 2" xfId="23400" xr:uid="{00000000-0005-0000-0000-0000CFDA0000}"/>
    <cellStyle name="Normal 2 4 7 6 4 2 2" xfId="58542" xr:uid="{00000000-0005-0000-0000-0000D0DA0000}"/>
    <cellStyle name="Normal 2 4 7 6 4 3" xfId="23401" xr:uid="{00000000-0005-0000-0000-0000D1DA0000}"/>
    <cellStyle name="Normal 2 4 7 6 4 3 2" xfId="58543" xr:uid="{00000000-0005-0000-0000-0000D2DA0000}"/>
    <cellStyle name="Normal 2 4 7 6 4 4" xfId="58544" xr:uid="{00000000-0005-0000-0000-0000D3DA0000}"/>
    <cellStyle name="Normal 2 4 7 6 5" xfId="23402" xr:uid="{00000000-0005-0000-0000-0000D4DA0000}"/>
    <cellStyle name="Normal 2 4 7 6 5 2" xfId="23403" xr:uid="{00000000-0005-0000-0000-0000D5DA0000}"/>
    <cellStyle name="Normal 2 4 7 6 5 2 2" xfId="58545" xr:uid="{00000000-0005-0000-0000-0000D6DA0000}"/>
    <cellStyle name="Normal 2 4 7 6 5 3" xfId="58546" xr:uid="{00000000-0005-0000-0000-0000D7DA0000}"/>
    <cellStyle name="Normal 2 4 7 6 6" xfId="23404" xr:uid="{00000000-0005-0000-0000-0000D8DA0000}"/>
    <cellStyle name="Normal 2 4 7 6 6 2" xfId="58547" xr:uid="{00000000-0005-0000-0000-0000D9DA0000}"/>
    <cellStyle name="Normal 2 4 7 6 7" xfId="23405" xr:uid="{00000000-0005-0000-0000-0000DADA0000}"/>
    <cellStyle name="Normal 2 4 7 6 7 2" xfId="58548" xr:uid="{00000000-0005-0000-0000-0000DBDA0000}"/>
    <cellStyle name="Normal 2 4 7 6 8" xfId="58549" xr:uid="{00000000-0005-0000-0000-0000DCDA0000}"/>
    <cellStyle name="Normal 2 4 7 6 8 2" xfId="58550" xr:uid="{00000000-0005-0000-0000-0000DDDA0000}"/>
    <cellStyle name="Normal 2 4 7 6 9" xfId="58551" xr:uid="{00000000-0005-0000-0000-0000DEDA0000}"/>
    <cellStyle name="Normal 2 4 7 7" xfId="23406" xr:uid="{00000000-0005-0000-0000-0000DFDA0000}"/>
    <cellStyle name="Normal 2 4 7 7 10" xfId="58552" xr:uid="{00000000-0005-0000-0000-0000E0DA0000}"/>
    <cellStyle name="Normal 2 4 7 7 11" xfId="58553" xr:uid="{00000000-0005-0000-0000-0000E1DA0000}"/>
    <cellStyle name="Normal 2 4 7 7 2" xfId="23407" xr:uid="{00000000-0005-0000-0000-0000E2DA0000}"/>
    <cellStyle name="Normal 2 4 7 7 2 10" xfId="58554" xr:uid="{00000000-0005-0000-0000-0000E3DA0000}"/>
    <cellStyle name="Normal 2 4 7 7 2 2" xfId="23408" xr:uid="{00000000-0005-0000-0000-0000E4DA0000}"/>
    <cellStyle name="Normal 2 4 7 7 2 2 2" xfId="23409" xr:uid="{00000000-0005-0000-0000-0000E5DA0000}"/>
    <cellStyle name="Normal 2 4 7 7 2 2 2 2" xfId="23410" xr:uid="{00000000-0005-0000-0000-0000E6DA0000}"/>
    <cellStyle name="Normal 2 4 7 7 2 2 2 2 2" xfId="58555" xr:uid="{00000000-0005-0000-0000-0000E7DA0000}"/>
    <cellStyle name="Normal 2 4 7 7 2 2 2 3" xfId="23411" xr:uid="{00000000-0005-0000-0000-0000E8DA0000}"/>
    <cellStyle name="Normal 2 4 7 7 2 2 2 3 2" xfId="58556" xr:uid="{00000000-0005-0000-0000-0000E9DA0000}"/>
    <cellStyle name="Normal 2 4 7 7 2 2 2 4" xfId="58557" xr:uid="{00000000-0005-0000-0000-0000EADA0000}"/>
    <cellStyle name="Normal 2 4 7 7 2 2 3" xfId="23412" xr:uid="{00000000-0005-0000-0000-0000EBDA0000}"/>
    <cellStyle name="Normal 2 4 7 7 2 2 3 2" xfId="58558" xr:uid="{00000000-0005-0000-0000-0000ECDA0000}"/>
    <cellStyle name="Normal 2 4 7 7 2 2 4" xfId="23413" xr:uid="{00000000-0005-0000-0000-0000EDDA0000}"/>
    <cellStyle name="Normal 2 4 7 7 2 2 4 2" xfId="58559" xr:uid="{00000000-0005-0000-0000-0000EEDA0000}"/>
    <cellStyle name="Normal 2 4 7 7 2 2 5" xfId="23414" xr:uid="{00000000-0005-0000-0000-0000EFDA0000}"/>
    <cellStyle name="Normal 2 4 7 7 2 2 5 2" xfId="58560" xr:uid="{00000000-0005-0000-0000-0000F0DA0000}"/>
    <cellStyle name="Normal 2 4 7 7 2 2 6" xfId="58561" xr:uid="{00000000-0005-0000-0000-0000F1DA0000}"/>
    <cellStyle name="Normal 2 4 7 7 2 2 6 2" xfId="58562" xr:uid="{00000000-0005-0000-0000-0000F2DA0000}"/>
    <cellStyle name="Normal 2 4 7 7 2 2 7" xfId="58563" xr:uid="{00000000-0005-0000-0000-0000F3DA0000}"/>
    <cellStyle name="Normal 2 4 7 7 2 3" xfId="23415" xr:uid="{00000000-0005-0000-0000-0000F4DA0000}"/>
    <cellStyle name="Normal 2 4 7 7 2 3 2" xfId="23416" xr:uid="{00000000-0005-0000-0000-0000F5DA0000}"/>
    <cellStyle name="Normal 2 4 7 7 2 3 2 2" xfId="58564" xr:uid="{00000000-0005-0000-0000-0000F6DA0000}"/>
    <cellStyle name="Normal 2 4 7 7 2 3 3" xfId="23417" xr:uid="{00000000-0005-0000-0000-0000F7DA0000}"/>
    <cellStyle name="Normal 2 4 7 7 2 3 3 2" xfId="58565" xr:uid="{00000000-0005-0000-0000-0000F8DA0000}"/>
    <cellStyle name="Normal 2 4 7 7 2 3 4" xfId="58566" xr:uid="{00000000-0005-0000-0000-0000F9DA0000}"/>
    <cellStyle name="Normal 2 4 7 7 2 4" xfId="23418" xr:uid="{00000000-0005-0000-0000-0000FADA0000}"/>
    <cellStyle name="Normal 2 4 7 7 2 4 2" xfId="23419" xr:uid="{00000000-0005-0000-0000-0000FBDA0000}"/>
    <cellStyle name="Normal 2 4 7 7 2 4 2 2" xfId="58567" xr:uid="{00000000-0005-0000-0000-0000FCDA0000}"/>
    <cellStyle name="Normal 2 4 7 7 2 4 3" xfId="58568" xr:uid="{00000000-0005-0000-0000-0000FDDA0000}"/>
    <cellStyle name="Normal 2 4 7 7 2 5" xfId="23420" xr:uid="{00000000-0005-0000-0000-0000FEDA0000}"/>
    <cellStyle name="Normal 2 4 7 7 2 5 2" xfId="58569" xr:uid="{00000000-0005-0000-0000-0000FFDA0000}"/>
    <cellStyle name="Normal 2 4 7 7 2 6" xfId="23421" xr:uid="{00000000-0005-0000-0000-000000DB0000}"/>
    <cellStyle name="Normal 2 4 7 7 2 6 2" xfId="58570" xr:uid="{00000000-0005-0000-0000-000001DB0000}"/>
    <cellStyle name="Normal 2 4 7 7 2 7" xfId="58571" xr:uid="{00000000-0005-0000-0000-000002DB0000}"/>
    <cellStyle name="Normal 2 4 7 7 2 7 2" xfId="58572" xr:uid="{00000000-0005-0000-0000-000003DB0000}"/>
    <cellStyle name="Normal 2 4 7 7 2 8" xfId="58573" xr:uid="{00000000-0005-0000-0000-000004DB0000}"/>
    <cellStyle name="Normal 2 4 7 7 2 9" xfId="58574" xr:uid="{00000000-0005-0000-0000-000005DB0000}"/>
    <cellStyle name="Normal 2 4 7 7 3" xfId="23422" xr:uid="{00000000-0005-0000-0000-000006DB0000}"/>
    <cellStyle name="Normal 2 4 7 7 3 2" xfId="23423" xr:uid="{00000000-0005-0000-0000-000007DB0000}"/>
    <cellStyle name="Normal 2 4 7 7 3 2 2" xfId="23424" xr:uid="{00000000-0005-0000-0000-000008DB0000}"/>
    <cellStyle name="Normal 2 4 7 7 3 2 2 2" xfId="58575" xr:uid="{00000000-0005-0000-0000-000009DB0000}"/>
    <cellStyle name="Normal 2 4 7 7 3 2 3" xfId="23425" xr:uid="{00000000-0005-0000-0000-00000ADB0000}"/>
    <cellStyle name="Normal 2 4 7 7 3 2 3 2" xfId="58576" xr:uid="{00000000-0005-0000-0000-00000BDB0000}"/>
    <cellStyle name="Normal 2 4 7 7 3 2 4" xfId="58577" xr:uid="{00000000-0005-0000-0000-00000CDB0000}"/>
    <cellStyle name="Normal 2 4 7 7 3 3" xfId="23426" xr:uid="{00000000-0005-0000-0000-00000DDB0000}"/>
    <cellStyle name="Normal 2 4 7 7 3 3 2" xfId="58578" xr:uid="{00000000-0005-0000-0000-00000EDB0000}"/>
    <cellStyle name="Normal 2 4 7 7 3 4" xfId="23427" xr:uid="{00000000-0005-0000-0000-00000FDB0000}"/>
    <cellStyle name="Normal 2 4 7 7 3 4 2" xfId="58579" xr:uid="{00000000-0005-0000-0000-000010DB0000}"/>
    <cellStyle name="Normal 2 4 7 7 3 5" xfId="23428" xr:uid="{00000000-0005-0000-0000-000011DB0000}"/>
    <cellStyle name="Normal 2 4 7 7 3 5 2" xfId="58580" xr:uid="{00000000-0005-0000-0000-000012DB0000}"/>
    <cellStyle name="Normal 2 4 7 7 3 6" xfId="58581" xr:uid="{00000000-0005-0000-0000-000013DB0000}"/>
    <cellStyle name="Normal 2 4 7 7 3 6 2" xfId="58582" xr:uid="{00000000-0005-0000-0000-000014DB0000}"/>
    <cellStyle name="Normal 2 4 7 7 3 7" xfId="58583" xr:uid="{00000000-0005-0000-0000-000015DB0000}"/>
    <cellStyle name="Normal 2 4 7 7 4" xfId="23429" xr:uid="{00000000-0005-0000-0000-000016DB0000}"/>
    <cellStyle name="Normal 2 4 7 7 4 2" xfId="23430" xr:uid="{00000000-0005-0000-0000-000017DB0000}"/>
    <cellStyle name="Normal 2 4 7 7 4 2 2" xfId="58584" xr:uid="{00000000-0005-0000-0000-000018DB0000}"/>
    <cellStyle name="Normal 2 4 7 7 4 3" xfId="23431" xr:uid="{00000000-0005-0000-0000-000019DB0000}"/>
    <cellStyle name="Normal 2 4 7 7 4 3 2" xfId="58585" xr:uid="{00000000-0005-0000-0000-00001ADB0000}"/>
    <cellStyle name="Normal 2 4 7 7 4 4" xfId="58586" xr:uid="{00000000-0005-0000-0000-00001BDB0000}"/>
    <cellStyle name="Normal 2 4 7 7 5" xfId="23432" xr:uid="{00000000-0005-0000-0000-00001CDB0000}"/>
    <cellStyle name="Normal 2 4 7 7 5 2" xfId="23433" xr:uid="{00000000-0005-0000-0000-00001DDB0000}"/>
    <cellStyle name="Normal 2 4 7 7 5 2 2" xfId="58587" xr:uid="{00000000-0005-0000-0000-00001EDB0000}"/>
    <cellStyle name="Normal 2 4 7 7 5 3" xfId="58588" xr:uid="{00000000-0005-0000-0000-00001FDB0000}"/>
    <cellStyle name="Normal 2 4 7 7 6" xfId="23434" xr:uid="{00000000-0005-0000-0000-000020DB0000}"/>
    <cellStyle name="Normal 2 4 7 7 6 2" xfId="58589" xr:uid="{00000000-0005-0000-0000-000021DB0000}"/>
    <cellStyle name="Normal 2 4 7 7 7" xfId="23435" xr:uid="{00000000-0005-0000-0000-000022DB0000}"/>
    <cellStyle name="Normal 2 4 7 7 7 2" xfId="58590" xr:uid="{00000000-0005-0000-0000-000023DB0000}"/>
    <cellStyle name="Normal 2 4 7 7 8" xfId="58591" xr:uid="{00000000-0005-0000-0000-000024DB0000}"/>
    <cellStyle name="Normal 2 4 7 7 8 2" xfId="58592" xr:uid="{00000000-0005-0000-0000-000025DB0000}"/>
    <cellStyle name="Normal 2 4 7 7 9" xfId="58593" xr:uid="{00000000-0005-0000-0000-000026DB0000}"/>
    <cellStyle name="Normal 2 4 7 8" xfId="23436" xr:uid="{00000000-0005-0000-0000-000027DB0000}"/>
    <cellStyle name="Normal 2 4 7 8 10" xfId="58594" xr:uid="{00000000-0005-0000-0000-000028DB0000}"/>
    <cellStyle name="Normal 2 4 7 8 11" xfId="58595" xr:uid="{00000000-0005-0000-0000-000029DB0000}"/>
    <cellStyle name="Normal 2 4 7 8 2" xfId="23437" xr:uid="{00000000-0005-0000-0000-00002ADB0000}"/>
    <cellStyle name="Normal 2 4 7 8 2 10" xfId="58596" xr:uid="{00000000-0005-0000-0000-00002BDB0000}"/>
    <cellStyle name="Normal 2 4 7 8 2 2" xfId="23438" xr:uid="{00000000-0005-0000-0000-00002CDB0000}"/>
    <cellStyle name="Normal 2 4 7 8 2 2 2" xfId="23439" xr:uid="{00000000-0005-0000-0000-00002DDB0000}"/>
    <cellStyle name="Normal 2 4 7 8 2 2 2 2" xfId="23440" xr:uid="{00000000-0005-0000-0000-00002EDB0000}"/>
    <cellStyle name="Normal 2 4 7 8 2 2 2 2 2" xfId="58597" xr:uid="{00000000-0005-0000-0000-00002FDB0000}"/>
    <cellStyle name="Normal 2 4 7 8 2 2 2 3" xfId="23441" xr:uid="{00000000-0005-0000-0000-000030DB0000}"/>
    <cellStyle name="Normal 2 4 7 8 2 2 2 3 2" xfId="58598" xr:uid="{00000000-0005-0000-0000-000031DB0000}"/>
    <cellStyle name="Normal 2 4 7 8 2 2 2 4" xfId="58599" xr:uid="{00000000-0005-0000-0000-000032DB0000}"/>
    <cellStyle name="Normal 2 4 7 8 2 2 3" xfId="23442" xr:uid="{00000000-0005-0000-0000-000033DB0000}"/>
    <cellStyle name="Normal 2 4 7 8 2 2 3 2" xfId="58600" xr:uid="{00000000-0005-0000-0000-000034DB0000}"/>
    <cellStyle name="Normal 2 4 7 8 2 2 4" xfId="23443" xr:uid="{00000000-0005-0000-0000-000035DB0000}"/>
    <cellStyle name="Normal 2 4 7 8 2 2 4 2" xfId="58601" xr:uid="{00000000-0005-0000-0000-000036DB0000}"/>
    <cellStyle name="Normal 2 4 7 8 2 2 5" xfId="23444" xr:uid="{00000000-0005-0000-0000-000037DB0000}"/>
    <cellStyle name="Normal 2 4 7 8 2 2 5 2" xfId="58602" xr:uid="{00000000-0005-0000-0000-000038DB0000}"/>
    <cellStyle name="Normal 2 4 7 8 2 2 6" xfId="58603" xr:uid="{00000000-0005-0000-0000-000039DB0000}"/>
    <cellStyle name="Normal 2 4 7 8 2 2 6 2" xfId="58604" xr:uid="{00000000-0005-0000-0000-00003ADB0000}"/>
    <cellStyle name="Normal 2 4 7 8 2 2 7" xfId="58605" xr:uid="{00000000-0005-0000-0000-00003BDB0000}"/>
    <cellStyle name="Normal 2 4 7 8 2 3" xfId="23445" xr:uid="{00000000-0005-0000-0000-00003CDB0000}"/>
    <cellStyle name="Normal 2 4 7 8 2 3 2" xfId="23446" xr:uid="{00000000-0005-0000-0000-00003DDB0000}"/>
    <cellStyle name="Normal 2 4 7 8 2 3 2 2" xfId="58606" xr:uid="{00000000-0005-0000-0000-00003EDB0000}"/>
    <cellStyle name="Normal 2 4 7 8 2 3 3" xfId="23447" xr:uid="{00000000-0005-0000-0000-00003FDB0000}"/>
    <cellStyle name="Normal 2 4 7 8 2 3 3 2" xfId="58607" xr:uid="{00000000-0005-0000-0000-000040DB0000}"/>
    <cellStyle name="Normal 2 4 7 8 2 3 4" xfId="58608" xr:uid="{00000000-0005-0000-0000-000041DB0000}"/>
    <cellStyle name="Normal 2 4 7 8 2 4" xfId="23448" xr:uid="{00000000-0005-0000-0000-000042DB0000}"/>
    <cellStyle name="Normal 2 4 7 8 2 4 2" xfId="23449" xr:uid="{00000000-0005-0000-0000-000043DB0000}"/>
    <cellStyle name="Normal 2 4 7 8 2 4 2 2" xfId="58609" xr:uid="{00000000-0005-0000-0000-000044DB0000}"/>
    <cellStyle name="Normal 2 4 7 8 2 4 3" xfId="58610" xr:uid="{00000000-0005-0000-0000-000045DB0000}"/>
    <cellStyle name="Normal 2 4 7 8 2 5" xfId="23450" xr:uid="{00000000-0005-0000-0000-000046DB0000}"/>
    <cellStyle name="Normal 2 4 7 8 2 5 2" xfId="58611" xr:uid="{00000000-0005-0000-0000-000047DB0000}"/>
    <cellStyle name="Normal 2 4 7 8 2 6" xfId="23451" xr:uid="{00000000-0005-0000-0000-000048DB0000}"/>
    <cellStyle name="Normal 2 4 7 8 2 6 2" xfId="58612" xr:uid="{00000000-0005-0000-0000-000049DB0000}"/>
    <cellStyle name="Normal 2 4 7 8 2 7" xfId="58613" xr:uid="{00000000-0005-0000-0000-00004ADB0000}"/>
    <cellStyle name="Normal 2 4 7 8 2 7 2" xfId="58614" xr:uid="{00000000-0005-0000-0000-00004BDB0000}"/>
    <cellStyle name="Normal 2 4 7 8 2 8" xfId="58615" xr:uid="{00000000-0005-0000-0000-00004CDB0000}"/>
    <cellStyle name="Normal 2 4 7 8 2 9" xfId="58616" xr:uid="{00000000-0005-0000-0000-00004DDB0000}"/>
    <cellStyle name="Normal 2 4 7 8 3" xfId="23452" xr:uid="{00000000-0005-0000-0000-00004EDB0000}"/>
    <cellStyle name="Normal 2 4 7 8 3 2" xfId="23453" xr:uid="{00000000-0005-0000-0000-00004FDB0000}"/>
    <cellStyle name="Normal 2 4 7 8 3 2 2" xfId="23454" xr:uid="{00000000-0005-0000-0000-000050DB0000}"/>
    <cellStyle name="Normal 2 4 7 8 3 2 2 2" xfId="58617" xr:uid="{00000000-0005-0000-0000-000051DB0000}"/>
    <cellStyle name="Normal 2 4 7 8 3 2 3" xfId="23455" xr:uid="{00000000-0005-0000-0000-000052DB0000}"/>
    <cellStyle name="Normal 2 4 7 8 3 2 3 2" xfId="58618" xr:uid="{00000000-0005-0000-0000-000053DB0000}"/>
    <cellStyle name="Normal 2 4 7 8 3 2 4" xfId="58619" xr:uid="{00000000-0005-0000-0000-000054DB0000}"/>
    <cellStyle name="Normal 2 4 7 8 3 3" xfId="23456" xr:uid="{00000000-0005-0000-0000-000055DB0000}"/>
    <cellStyle name="Normal 2 4 7 8 3 3 2" xfId="58620" xr:uid="{00000000-0005-0000-0000-000056DB0000}"/>
    <cellStyle name="Normal 2 4 7 8 3 4" xfId="23457" xr:uid="{00000000-0005-0000-0000-000057DB0000}"/>
    <cellStyle name="Normal 2 4 7 8 3 4 2" xfId="58621" xr:uid="{00000000-0005-0000-0000-000058DB0000}"/>
    <cellStyle name="Normal 2 4 7 8 3 5" xfId="23458" xr:uid="{00000000-0005-0000-0000-000059DB0000}"/>
    <cellStyle name="Normal 2 4 7 8 3 5 2" xfId="58622" xr:uid="{00000000-0005-0000-0000-00005ADB0000}"/>
    <cellStyle name="Normal 2 4 7 8 3 6" xfId="58623" xr:uid="{00000000-0005-0000-0000-00005BDB0000}"/>
    <cellStyle name="Normal 2 4 7 8 3 6 2" xfId="58624" xr:uid="{00000000-0005-0000-0000-00005CDB0000}"/>
    <cellStyle name="Normal 2 4 7 8 3 7" xfId="58625" xr:uid="{00000000-0005-0000-0000-00005DDB0000}"/>
    <cellStyle name="Normal 2 4 7 8 4" xfId="23459" xr:uid="{00000000-0005-0000-0000-00005EDB0000}"/>
    <cellStyle name="Normal 2 4 7 8 4 2" xfId="23460" xr:uid="{00000000-0005-0000-0000-00005FDB0000}"/>
    <cellStyle name="Normal 2 4 7 8 4 2 2" xfId="58626" xr:uid="{00000000-0005-0000-0000-000060DB0000}"/>
    <cellStyle name="Normal 2 4 7 8 4 3" xfId="23461" xr:uid="{00000000-0005-0000-0000-000061DB0000}"/>
    <cellStyle name="Normal 2 4 7 8 4 3 2" xfId="58627" xr:uid="{00000000-0005-0000-0000-000062DB0000}"/>
    <cellStyle name="Normal 2 4 7 8 4 4" xfId="58628" xr:uid="{00000000-0005-0000-0000-000063DB0000}"/>
    <cellStyle name="Normal 2 4 7 8 5" xfId="23462" xr:uid="{00000000-0005-0000-0000-000064DB0000}"/>
    <cellStyle name="Normal 2 4 7 8 5 2" xfId="23463" xr:uid="{00000000-0005-0000-0000-000065DB0000}"/>
    <cellStyle name="Normal 2 4 7 8 5 2 2" xfId="58629" xr:uid="{00000000-0005-0000-0000-000066DB0000}"/>
    <cellStyle name="Normal 2 4 7 8 5 3" xfId="58630" xr:uid="{00000000-0005-0000-0000-000067DB0000}"/>
    <cellStyle name="Normal 2 4 7 8 6" xfId="23464" xr:uid="{00000000-0005-0000-0000-000068DB0000}"/>
    <cellStyle name="Normal 2 4 7 8 6 2" xfId="58631" xr:uid="{00000000-0005-0000-0000-000069DB0000}"/>
    <cellStyle name="Normal 2 4 7 8 7" xfId="23465" xr:uid="{00000000-0005-0000-0000-00006ADB0000}"/>
    <cellStyle name="Normal 2 4 7 8 7 2" xfId="58632" xr:uid="{00000000-0005-0000-0000-00006BDB0000}"/>
    <cellStyle name="Normal 2 4 7 8 8" xfId="58633" xr:uid="{00000000-0005-0000-0000-00006CDB0000}"/>
    <cellStyle name="Normal 2 4 7 8 8 2" xfId="58634" xr:uid="{00000000-0005-0000-0000-00006DDB0000}"/>
    <cellStyle name="Normal 2 4 7 8 9" xfId="58635" xr:uid="{00000000-0005-0000-0000-00006EDB0000}"/>
    <cellStyle name="Normal 2 4 7 9" xfId="23466" xr:uid="{00000000-0005-0000-0000-00006FDB0000}"/>
    <cellStyle name="Normal 2 4 7 9 10" xfId="58636" xr:uid="{00000000-0005-0000-0000-000070DB0000}"/>
    <cellStyle name="Normal 2 4 7 9 11" xfId="58637" xr:uid="{00000000-0005-0000-0000-000071DB0000}"/>
    <cellStyle name="Normal 2 4 7 9 2" xfId="23467" xr:uid="{00000000-0005-0000-0000-000072DB0000}"/>
    <cellStyle name="Normal 2 4 7 9 2 10" xfId="58638" xr:uid="{00000000-0005-0000-0000-000073DB0000}"/>
    <cellStyle name="Normal 2 4 7 9 2 2" xfId="23468" xr:uid="{00000000-0005-0000-0000-000074DB0000}"/>
    <cellStyle name="Normal 2 4 7 9 2 2 2" xfId="23469" xr:uid="{00000000-0005-0000-0000-000075DB0000}"/>
    <cellStyle name="Normal 2 4 7 9 2 2 2 2" xfId="23470" xr:uid="{00000000-0005-0000-0000-000076DB0000}"/>
    <cellStyle name="Normal 2 4 7 9 2 2 2 2 2" xfId="58639" xr:uid="{00000000-0005-0000-0000-000077DB0000}"/>
    <cellStyle name="Normal 2 4 7 9 2 2 2 3" xfId="23471" xr:uid="{00000000-0005-0000-0000-000078DB0000}"/>
    <cellStyle name="Normal 2 4 7 9 2 2 2 3 2" xfId="58640" xr:uid="{00000000-0005-0000-0000-000079DB0000}"/>
    <cellStyle name="Normal 2 4 7 9 2 2 2 4" xfId="58641" xr:uid="{00000000-0005-0000-0000-00007ADB0000}"/>
    <cellStyle name="Normal 2 4 7 9 2 2 3" xfId="23472" xr:uid="{00000000-0005-0000-0000-00007BDB0000}"/>
    <cellStyle name="Normal 2 4 7 9 2 2 3 2" xfId="58642" xr:uid="{00000000-0005-0000-0000-00007CDB0000}"/>
    <cellStyle name="Normal 2 4 7 9 2 2 4" xfId="23473" xr:uid="{00000000-0005-0000-0000-00007DDB0000}"/>
    <cellStyle name="Normal 2 4 7 9 2 2 4 2" xfId="58643" xr:uid="{00000000-0005-0000-0000-00007EDB0000}"/>
    <cellStyle name="Normal 2 4 7 9 2 2 5" xfId="23474" xr:uid="{00000000-0005-0000-0000-00007FDB0000}"/>
    <cellStyle name="Normal 2 4 7 9 2 2 5 2" xfId="58644" xr:uid="{00000000-0005-0000-0000-000080DB0000}"/>
    <cellStyle name="Normal 2 4 7 9 2 2 6" xfId="58645" xr:uid="{00000000-0005-0000-0000-000081DB0000}"/>
    <cellStyle name="Normal 2 4 7 9 2 2 6 2" xfId="58646" xr:uid="{00000000-0005-0000-0000-000082DB0000}"/>
    <cellStyle name="Normal 2 4 7 9 2 2 7" xfId="58647" xr:uid="{00000000-0005-0000-0000-000083DB0000}"/>
    <cellStyle name="Normal 2 4 7 9 2 3" xfId="23475" xr:uid="{00000000-0005-0000-0000-000084DB0000}"/>
    <cellStyle name="Normal 2 4 7 9 2 3 2" xfId="23476" xr:uid="{00000000-0005-0000-0000-000085DB0000}"/>
    <cellStyle name="Normal 2 4 7 9 2 3 2 2" xfId="58648" xr:uid="{00000000-0005-0000-0000-000086DB0000}"/>
    <cellStyle name="Normal 2 4 7 9 2 3 3" xfId="23477" xr:uid="{00000000-0005-0000-0000-000087DB0000}"/>
    <cellStyle name="Normal 2 4 7 9 2 3 3 2" xfId="58649" xr:uid="{00000000-0005-0000-0000-000088DB0000}"/>
    <cellStyle name="Normal 2 4 7 9 2 3 4" xfId="58650" xr:uid="{00000000-0005-0000-0000-000089DB0000}"/>
    <cellStyle name="Normal 2 4 7 9 2 4" xfId="23478" xr:uid="{00000000-0005-0000-0000-00008ADB0000}"/>
    <cellStyle name="Normal 2 4 7 9 2 4 2" xfId="23479" xr:uid="{00000000-0005-0000-0000-00008BDB0000}"/>
    <cellStyle name="Normal 2 4 7 9 2 4 2 2" xfId="58651" xr:uid="{00000000-0005-0000-0000-00008CDB0000}"/>
    <cellStyle name="Normal 2 4 7 9 2 4 3" xfId="58652" xr:uid="{00000000-0005-0000-0000-00008DDB0000}"/>
    <cellStyle name="Normal 2 4 7 9 2 5" xfId="23480" xr:uid="{00000000-0005-0000-0000-00008EDB0000}"/>
    <cellStyle name="Normal 2 4 7 9 2 5 2" xfId="58653" xr:uid="{00000000-0005-0000-0000-00008FDB0000}"/>
    <cellStyle name="Normal 2 4 7 9 2 6" xfId="23481" xr:uid="{00000000-0005-0000-0000-000090DB0000}"/>
    <cellStyle name="Normal 2 4 7 9 2 6 2" xfId="58654" xr:uid="{00000000-0005-0000-0000-000091DB0000}"/>
    <cellStyle name="Normal 2 4 7 9 2 7" xfId="58655" xr:uid="{00000000-0005-0000-0000-000092DB0000}"/>
    <cellStyle name="Normal 2 4 7 9 2 7 2" xfId="58656" xr:uid="{00000000-0005-0000-0000-000093DB0000}"/>
    <cellStyle name="Normal 2 4 7 9 2 8" xfId="58657" xr:uid="{00000000-0005-0000-0000-000094DB0000}"/>
    <cellStyle name="Normal 2 4 7 9 2 9" xfId="58658" xr:uid="{00000000-0005-0000-0000-000095DB0000}"/>
    <cellStyle name="Normal 2 4 7 9 3" xfId="23482" xr:uid="{00000000-0005-0000-0000-000096DB0000}"/>
    <cellStyle name="Normal 2 4 7 9 3 2" xfId="23483" xr:uid="{00000000-0005-0000-0000-000097DB0000}"/>
    <cellStyle name="Normal 2 4 7 9 3 2 2" xfId="23484" xr:uid="{00000000-0005-0000-0000-000098DB0000}"/>
    <cellStyle name="Normal 2 4 7 9 3 2 2 2" xfId="58659" xr:uid="{00000000-0005-0000-0000-000099DB0000}"/>
    <cellStyle name="Normal 2 4 7 9 3 2 3" xfId="23485" xr:uid="{00000000-0005-0000-0000-00009ADB0000}"/>
    <cellStyle name="Normal 2 4 7 9 3 2 3 2" xfId="58660" xr:uid="{00000000-0005-0000-0000-00009BDB0000}"/>
    <cellStyle name="Normal 2 4 7 9 3 2 4" xfId="58661" xr:uid="{00000000-0005-0000-0000-00009CDB0000}"/>
    <cellStyle name="Normal 2 4 7 9 3 3" xfId="23486" xr:uid="{00000000-0005-0000-0000-00009DDB0000}"/>
    <cellStyle name="Normal 2 4 7 9 3 3 2" xfId="58662" xr:uid="{00000000-0005-0000-0000-00009EDB0000}"/>
    <cellStyle name="Normal 2 4 7 9 3 4" xfId="23487" xr:uid="{00000000-0005-0000-0000-00009FDB0000}"/>
    <cellStyle name="Normal 2 4 7 9 3 4 2" xfId="58663" xr:uid="{00000000-0005-0000-0000-0000A0DB0000}"/>
    <cellStyle name="Normal 2 4 7 9 3 5" xfId="23488" xr:uid="{00000000-0005-0000-0000-0000A1DB0000}"/>
    <cellStyle name="Normal 2 4 7 9 3 5 2" xfId="58664" xr:uid="{00000000-0005-0000-0000-0000A2DB0000}"/>
    <cellStyle name="Normal 2 4 7 9 3 6" xfId="58665" xr:uid="{00000000-0005-0000-0000-0000A3DB0000}"/>
    <cellStyle name="Normal 2 4 7 9 3 6 2" xfId="58666" xr:uid="{00000000-0005-0000-0000-0000A4DB0000}"/>
    <cellStyle name="Normal 2 4 7 9 3 7" xfId="58667" xr:uid="{00000000-0005-0000-0000-0000A5DB0000}"/>
    <cellStyle name="Normal 2 4 7 9 4" xfId="23489" xr:uid="{00000000-0005-0000-0000-0000A6DB0000}"/>
    <cellStyle name="Normal 2 4 7 9 4 2" xfId="23490" xr:uid="{00000000-0005-0000-0000-0000A7DB0000}"/>
    <cellStyle name="Normal 2 4 7 9 4 2 2" xfId="58668" xr:uid="{00000000-0005-0000-0000-0000A8DB0000}"/>
    <cellStyle name="Normal 2 4 7 9 4 3" xfId="23491" xr:uid="{00000000-0005-0000-0000-0000A9DB0000}"/>
    <cellStyle name="Normal 2 4 7 9 4 3 2" xfId="58669" xr:uid="{00000000-0005-0000-0000-0000AADB0000}"/>
    <cellStyle name="Normal 2 4 7 9 4 4" xfId="58670" xr:uid="{00000000-0005-0000-0000-0000ABDB0000}"/>
    <cellStyle name="Normal 2 4 7 9 5" xfId="23492" xr:uid="{00000000-0005-0000-0000-0000ACDB0000}"/>
    <cellStyle name="Normal 2 4 7 9 5 2" xfId="23493" xr:uid="{00000000-0005-0000-0000-0000ADDB0000}"/>
    <cellStyle name="Normal 2 4 7 9 5 2 2" xfId="58671" xr:uid="{00000000-0005-0000-0000-0000AEDB0000}"/>
    <cellStyle name="Normal 2 4 7 9 5 3" xfId="58672" xr:uid="{00000000-0005-0000-0000-0000AFDB0000}"/>
    <cellStyle name="Normal 2 4 7 9 6" xfId="23494" xr:uid="{00000000-0005-0000-0000-0000B0DB0000}"/>
    <cellStyle name="Normal 2 4 7 9 6 2" xfId="58673" xr:uid="{00000000-0005-0000-0000-0000B1DB0000}"/>
    <cellStyle name="Normal 2 4 7 9 7" xfId="23495" xr:uid="{00000000-0005-0000-0000-0000B2DB0000}"/>
    <cellStyle name="Normal 2 4 7 9 7 2" xfId="58674" xr:uid="{00000000-0005-0000-0000-0000B3DB0000}"/>
    <cellStyle name="Normal 2 4 7 9 8" xfId="58675" xr:uid="{00000000-0005-0000-0000-0000B4DB0000}"/>
    <cellStyle name="Normal 2 4 7 9 8 2" xfId="58676" xr:uid="{00000000-0005-0000-0000-0000B5DB0000}"/>
    <cellStyle name="Normal 2 4 7 9 9" xfId="58677" xr:uid="{00000000-0005-0000-0000-0000B6DB0000}"/>
    <cellStyle name="Normal 2 4 8" xfId="23496" xr:uid="{00000000-0005-0000-0000-0000B7DB0000}"/>
    <cellStyle name="Normal 2 4 8 10" xfId="23497" xr:uid="{00000000-0005-0000-0000-0000B8DB0000}"/>
    <cellStyle name="Normal 2 4 8 10 10" xfId="58678" xr:uid="{00000000-0005-0000-0000-0000B9DB0000}"/>
    <cellStyle name="Normal 2 4 8 10 11" xfId="58679" xr:uid="{00000000-0005-0000-0000-0000BADB0000}"/>
    <cellStyle name="Normal 2 4 8 10 2" xfId="23498" xr:uid="{00000000-0005-0000-0000-0000BBDB0000}"/>
    <cellStyle name="Normal 2 4 8 10 2 10" xfId="58680" xr:uid="{00000000-0005-0000-0000-0000BCDB0000}"/>
    <cellStyle name="Normal 2 4 8 10 2 2" xfId="23499" xr:uid="{00000000-0005-0000-0000-0000BDDB0000}"/>
    <cellStyle name="Normal 2 4 8 10 2 2 2" xfId="23500" xr:uid="{00000000-0005-0000-0000-0000BEDB0000}"/>
    <cellStyle name="Normal 2 4 8 10 2 2 2 2" xfId="23501" xr:uid="{00000000-0005-0000-0000-0000BFDB0000}"/>
    <cellStyle name="Normal 2 4 8 10 2 2 2 2 2" xfId="58681" xr:uid="{00000000-0005-0000-0000-0000C0DB0000}"/>
    <cellStyle name="Normal 2 4 8 10 2 2 2 3" xfId="23502" xr:uid="{00000000-0005-0000-0000-0000C1DB0000}"/>
    <cellStyle name="Normal 2 4 8 10 2 2 2 3 2" xfId="58682" xr:uid="{00000000-0005-0000-0000-0000C2DB0000}"/>
    <cellStyle name="Normal 2 4 8 10 2 2 2 4" xfId="58683" xr:uid="{00000000-0005-0000-0000-0000C3DB0000}"/>
    <cellStyle name="Normal 2 4 8 10 2 2 3" xfId="23503" xr:uid="{00000000-0005-0000-0000-0000C4DB0000}"/>
    <cellStyle name="Normal 2 4 8 10 2 2 3 2" xfId="58684" xr:uid="{00000000-0005-0000-0000-0000C5DB0000}"/>
    <cellStyle name="Normal 2 4 8 10 2 2 4" xfId="23504" xr:uid="{00000000-0005-0000-0000-0000C6DB0000}"/>
    <cellStyle name="Normal 2 4 8 10 2 2 4 2" xfId="58685" xr:uid="{00000000-0005-0000-0000-0000C7DB0000}"/>
    <cellStyle name="Normal 2 4 8 10 2 2 5" xfId="23505" xr:uid="{00000000-0005-0000-0000-0000C8DB0000}"/>
    <cellStyle name="Normal 2 4 8 10 2 2 5 2" xfId="58686" xr:uid="{00000000-0005-0000-0000-0000C9DB0000}"/>
    <cellStyle name="Normal 2 4 8 10 2 2 6" xfId="58687" xr:uid="{00000000-0005-0000-0000-0000CADB0000}"/>
    <cellStyle name="Normal 2 4 8 10 2 2 6 2" xfId="58688" xr:uid="{00000000-0005-0000-0000-0000CBDB0000}"/>
    <cellStyle name="Normal 2 4 8 10 2 2 7" xfId="58689" xr:uid="{00000000-0005-0000-0000-0000CCDB0000}"/>
    <cellStyle name="Normal 2 4 8 10 2 3" xfId="23506" xr:uid="{00000000-0005-0000-0000-0000CDDB0000}"/>
    <cellStyle name="Normal 2 4 8 10 2 3 2" xfId="23507" xr:uid="{00000000-0005-0000-0000-0000CEDB0000}"/>
    <cellStyle name="Normal 2 4 8 10 2 3 2 2" xfId="58690" xr:uid="{00000000-0005-0000-0000-0000CFDB0000}"/>
    <cellStyle name="Normal 2 4 8 10 2 3 3" xfId="23508" xr:uid="{00000000-0005-0000-0000-0000D0DB0000}"/>
    <cellStyle name="Normal 2 4 8 10 2 3 3 2" xfId="58691" xr:uid="{00000000-0005-0000-0000-0000D1DB0000}"/>
    <cellStyle name="Normal 2 4 8 10 2 3 4" xfId="58692" xr:uid="{00000000-0005-0000-0000-0000D2DB0000}"/>
    <cellStyle name="Normal 2 4 8 10 2 4" xfId="23509" xr:uid="{00000000-0005-0000-0000-0000D3DB0000}"/>
    <cellStyle name="Normal 2 4 8 10 2 4 2" xfId="23510" xr:uid="{00000000-0005-0000-0000-0000D4DB0000}"/>
    <cellStyle name="Normal 2 4 8 10 2 4 2 2" xfId="58693" xr:uid="{00000000-0005-0000-0000-0000D5DB0000}"/>
    <cellStyle name="Normal 2 4 8 10 2 4 3" xfId="58694" xr:uid="{00000000-0005-0000-0000-0000D6DB0000}"/>
    <cellStyle name="Normal 2 4 8 10 2 5" xfId="23511" xr:uid="{00000000-0005-0000-0000-0000D7DB0000}"/>
    <cellStyle name="Normal 2 4 8 10 2 5 2" xfId="58695" xr:uid="{00000000-0005-0000-0000-0000D8DB0000}"/>
    <cellStyle name="Normal 2 4 8 10 2 6" xfId="23512" xr:uid="{00000000-0005-0000-0000-0000D9DB0000}"/>
    <cellStyle name="Normal 2 4 8 10 2 6 2" xfId="58696" xr:uid="{00000000-0005-0000-0000-0000DADB0000}"/>
    <cellStyle name="Normal 2 4 8 10 2 7" xfId="58697" xr:uid="{00000000-0005-0000-0000-0000DBDB0000}"/>
    <cellStyle name="Normal 2 4 8 10 2 7 2" xfId="58698" xr:uid="{00000000-0005-0000-0000-0000DCDB0000}"/>
    <cellStyle name="Normal 2 4 8 10 2 8" xfId="58699" xr:uid="{00000000-0005-0000-0000-0000DDDB0000}"/>
    <cellStyle name="Normal 2 4 8 10 2 9" xfId="58700" xr:uid="{00000000-0005-0000-0000-0000DEDB0000}"/>
    <cellStyle name="Normal 2 4 8 10 3" xfId="23513" xr:uid="{00000000-0005-0000-0000-0000DFDB0000}"/>
    <cellStyle name="Normal 2 4 8 10 3 2" xfId="23514" xr:uid="{00000000-0005-0000-0000-0000E0DB0000}"/>
    <cellStyle name="Normal 2 4 8 10 3 2 2" xfId="23515" xr:uid="{00000000-0005-0000-0000-0000E1DB0000}"/>
    <cellStyle name="Normal 2 4 8 10 3 2 2 2" xfId="58701" xr:uid="{00000000-0005-0000-0000-0000E2DB0000}"/>
    <cellStyle name="Normal 2 4 8 10 3 2 3" xfId="23516" xr:uid="{00000000-0005-0000-0000-0000E3DB0000}"/>
    <cellStyle name="Normal 2 4 8 10 3 2 3 2" xfId="58702" xr:uid="{00000000-0005-0000-0000-0000E4DB0000}"/>
    <cellStyle name="Normal 2 4 8 10 3 2 4" xfId="58703" xr:uid="{00000000-0005-0000-0000-0000E5DB0000}"/>
    <cellStyle name="Normal 2 4 8 10 3 3" xfId="23517" xr:uid="{00000000-0005-0000-0000-0000E6DB0000}"/>
    <cellStyle name="Normal 2 4 8 10 3 3 2" xfId="58704" xr:uid="{00000000-0005-0000-0000-0000E7DB0000}"/>
    <cellStyle name="Normal 2 4 8 10 3 4" xfId="23518" xr:uid="{00000000-0005-0000-0000-0000E8DB0000}"/>
    <cellStyle name="Normal 2 4 8 10 3 4 2" xfId="58705" xr:uid="{00000000-0005-0000-0000-0000E9DB0000}"/>
    <cellStyle name="Normal 2 4 8 10 3 5" xfId="23519" xr:uid="{00000000-0005-0000-0000-0000EADB0000}"/>
    <cellStyle name="Normal 2 4 8 10 3 5 2" xfId="58706" xr:uid="{00000000-0005-0000-0000-0000EBDB0000}"/>
    <cellStyle name="Normal 2 4 8 10 3 6" xfId="58707" xr:uid="{00000000-0005-0000-0000-0000ECDB0000}"/>
    <cellStyle name="Normal 2 4 8 10 3 6 2" xfId="58708" xr:uid="{00000000-0005-0000-0000-0000EDDB0000}"/>
    <cellStyle name="Normal 2 4 8 10 3 7" xfId="58709" xr:uid="{00000000-0005-0000-0000-0000EEDB0000}"/>
    <cellStyle name="Normal 2 4 8 10 4" xfId="23520" xr:uid="{00000000-0005-0000-0000-0000EFDB0000}"/>
    <cellStyle name="Normal 2 4 8 10 4 2" xfId="23521" xr:uid="{00000000-0005-0000-0000-0000F0DB0000}"/>
    <cellStyle name="Normal 2 4 8 10 4 2 2" xfId="58710" xr:uid="{00000000-0005-0000-0000-0000F1DB0000}"/>
    <cellStyle name="Normal 2 4 8 10 4 3" xfId="23522" xr:uid="{00000000-0005-0000-0000-0000F2DB0000}"/>
    <cellStyle name="Normal 2 4 8 10 4 3 2" xfId="58711" xr:uid="{00000000-0005-0000-0000-0000F3DB0000}"/>
    <cellStyle name="Normal 2 4 8 10 4 4" xfId="58712" xr:uid="{00000000-0005-0000-0000-0000F4DB0000}"/>
    <cellStyle name="Normal 2 4 8 10 5" xfId="23523" xr:uid="{00000000-0005-0000-0000-0000F5DB0000}"/>
    <cellStyle name="Normal 2 4 8 10 5 2" xfId="23524" xr:uid="{00000000-0005-0000-0000-0000F6DB0000}"/>
    <cellStyle name="Normal 2 4 8 10 5 2 2" xfId="58713" xr:uid="{00000000-0005-0000-0000-0000F7DB0000}"/>
    <cellStyle name="Normal 2 4 8 10 5 3" xfId="58714" xr:uid="{00000000-0005-0000-0000-0000F8DB0000}"/>
    <cellStyle name="Normal 2 4 8 10 6" xfId="23525" xr:uid="{00000000-0005-0000-0000-0000F9DB0000}"/>
    <cellStyle name="Normal 2 4 8 10 6 2" xfId="58715" xr:uid="{00000000-0005-0000-0000-0000FADB0000}"/>
    <cellStyle name="Normal 2 4 8 10 7" xfId="23526" xr:uid="{00000000-0005-0000-0000-0000FBDB0000}"/>
    <cellStyle name="Normal 2 4 8 10 7 2" xfId="58716" xr:uid="{00000000-0005-0000-0000-0000FCDB0000}"/>
    <cellStyle name="Normal 2 4 8 10 8" xfId="58717" xr:uid="{00000000-0005-0000-0000-0000FDDB0000}"/>
    <cellStyle name="Normal 2 4 8 10 8 2" xfId="58718" xr:uid="{00000000-0005-0000-0000-0000FEDB0000}"/>
    <cellStyle name="Normal 2 4 8 10 9" xfId="58719" xr:uid="{00000000-0005-0000-0000-0000FFDB0000}"/>
    <cellStyle name="Normal 2 4 8 11" xfId="23527" xr:uid="{00000000-0005-0000-0000-000000DC0000}"/>
    <cellStyle name="Normal 2 4 8 11 10" xfId="58720" xr:uid="{00000000-0005-0000-0000-000001DC0000}"/>
    <cellStyle name="Normal 2 4 8 11 11" xfId="58721" xr:uid="{00000000-0005-0000-0000-000002DC0000}"/>
    <cellStyle name="Normal 2 4 8 11 2" xfId="23528" xr:uid="{00000000-0005-0000-0000-000003DC0000}"/>
    <cellStyle name="Normal 2 4 8 11 2 10" xfId="58722" xr:uid="{00000000-0005-0000-0000-000004DC0000}"/>
    <cellStyle name="Normal 2 4 8 11 2 2" xfId="23529" xr:uid="{00000000-0005-0000-0000-000005DC0000}"/>
    <cellStyle name="Normal 2 4 8 11 2 2 2" xfId="23530" xr:uid="{00000000-0005-0000-0000-000006DC0000}"/>
    <cellStyle name="Normal 2 4 8 11 2 2 2 2" xfId="23531" xr:uid="{00000000-0005-0000-0000-000007DC0000}"/>
    <cellStyle name="Normal 2 4 8 11 2 2 2 2 2" xfId="58723" xr:uid="{00000000-0005-0000-0000-000008DC0000}"/>
    <cellStyle name="Normal 2 4 8 11 2 2 2 3" xfId="23532" xr:uid="{00000000-0005-0000-0000-000009DC0000}"/>
    <cellStyle name="Normal 2 4 8 11 2 2 2 3 2" xfId="58724" xr:uid="{00000000-0005-0000-0000-00000ADC0000}"/>
    <cellStyle name="Normal 2 4 8 11 2 2 2 4" xfId="58725" xr:uid="{00000000-0005-0000-0000-00000BDC0000}"/>
    <cellStyle name="Normal 2 4 8 11 2 2 3" xfId="23533" xr:uid="{00000000-0005-0000-0000-00000CDC0000}"/>
    <cellStyle name="Normal 2 4 8 11 2 2 3 2" xfId="58726" xr:uid="{00000000-0005-0000-0000-00000DDC0000}"/>
    <cellStyle name="Normal 2 4 8 11 2 2 4" xfId="23534" xr:uid="{00000000-0005-0000-0000-00000EDC0000}"/>
    <cellStyle name="Normal 2 4 8 11 2 2 4 2" xfId="58727" xr:uid="{00000000-0005-0000-0000-00000FDC0000}"/>
    <cellStyle name="Normal 2 4 8 11 2 2 5" xfId="23535" xr:uid="{00000000-0005-0000-0000-000010DC0000}"/>
    <cellStyle name="Normal 2 4 8 11 2 2 5 2" xfId="58728" xr:uid="{00000000-0005-0000-0000-000011DC0000}"/>
    <cellStyle name="Normal 2 4 8 11 2 2 6" xfId="58729" xr:uid="{00000000-0005-0000-0000-000012DC0000}"/>
    <cellStyle name="Normal 2 4 8 11 2 2 6 2" xfId="58730" xr:uid="{00000000-0005-0000-0000-000013DC0000}"/>
    <cellStyle name="Normal 2 4 8 11 2 2 7" xfId="58731" xr:uid="{00000000-0005-0000-0000-000014DC0000}"/>
    <cellStyle name="Normal 2 4 8 11 2 3" xfId="23536" xr:uid="{00000000-0005-0000-0000-000015DC0000}"/>
    <cellStyle name="Normal 2 4 8 11 2 3 2" xfId="23537" xr:uid="{00000000-0005-0000-0000-000016DC0000}"/>
    <cellStyle name="Normal 2 4 8 11 2 3 2 2" xfId="58732" xr:uid="{00000000-0005-0000-0000-000017DC0000}"/>
    <cellStyle name="Normal 2 4 8 11 2 3 3" xfId="23538" xr:uid="{00000000-0005-0000-0000-000018DC0000}"/>
    <cellStyle name="Normal 2 4 8 11 2 3 3 2" xfId="58733" xr:uid="{00000000-0005-0000-0000-000019DC0000}"/>
    <cellStyle name="Normal 2 4 8 11 2 3 4" xfId="58734" xr:uid="{00000000-0005-0000-0000-00001ADC0000}"/>
    <cellStyle name="Normal 2 4 8 11 2 4" xfId="23539" xr:uid="{00000000-0005-0000-0000-00001BDC0000}"/>
    <cellStyle name="Normal 2 4 8 11 2 4 2" xfId="23540" xr:uid="{00000000-0005-0000-0000-00001CDC0000}"/>
    <cellStyle name="Normal 2 4 8 11 2 4 2 2" xfId="58735" xr:uid="{00000000-0005-0000-0000-00001DDC0000}"/>
    <cellStyle name="Normal 2 4 8 11 2 4 3" xfId="58736" xr:uid="{00000000-0005-0000-0000-00001EDC0000}"/>
    <cellStyle name="Normal 2 4 8 11 2 5" xfId="23541" xr:uid="{00000000-0005-0000-0000-00001FDC0000}"/>
    <cellStyle name="Normal 2 4 8 11 2 5 2" xfId="58737" xr:uid="{00000000-0005-0000-0000-000020DC0000}"/>
    <cellStyle name="Normal 2 4 8 11 2 6" xfId="23542" xr:uid="{00000000-0005-0000-0000-000021DC0000}"/>
    <cellStyle name="Normal 2 4 8 11 2 6 2" xfId="58738" xr:uid="{00000000-0005-0000-0000-000022DC0000}"/>
    <cellStyle name="Normal 2 4 8 11 2 7" xfId="58739" xr:uid="{00000000-0005-0000-0000-000023DC0000}"/>
    <cellStyle name="Normal 2 4 8 11 2 7 2" xfId="58740" xr:uid="{00000000-0005-0000-0000-000024DC0000}"/>
    <cellStyle name="Normal 2 4 8 11 2 8" xfId="58741" xr:uid="{00000000-0005-0000-0000-000025DC0000}"/>
    <cellStyle name="Normal 2 4 8 11 2 9" xfId="58742" xr:uid="{00000000-0005-0000-0000-000026DC0000}"/>
    <cellStyle name="Normal 2 4 8 11 3" xfId="23543" xr:uid="{00000000-0005-0000-0000-000027DC0000}"/>
    <cellStyle name="Normal 2 4 8 11 3 2" xfId="23544" xr:uid="{00000000-0005-0000-0000-000028DC0000}"/>
    <cellStyle name="Normal 2 4 8 11 3 2 2" xfId="23545" xr:uid="{00000000-0005-0000-0000-000029DC0000}"/>
    <cellStyle name="Normal 2 4 8 11 3 2 2 2" xfId="58743" xr:uid="{00000000-0005-0000-0000-00002ADC0000}"/>
    <cellStyle name="Normal 2 4 8 11 3 2 3" xfId="23546" xr:uid="{00000000-0005-0000-0000-00002BDC0000}"/>
    <cellStyle name="Normal 2 4 8 11 3 2 3 2" xfId="58744" xr:uid="{00000000-0005-0000-0000-00002CDC0000}"/>
    <cellStyle name="Normal 2 4 8 11 3 2 4" xfId="58745" xr:uid="{00000000-0005-0000-0000-00002DDC0000}"/>
    <cellStyle name="Normal 2 4 8 11 3 3" xfId="23547" xr:uid="{00000000-0005-0000-0000-00002EDC0000}"/>
    <cellStyle name="Normal 2 4 8 11 3 3 2" xfId="58746" xr:uid="{00000000-0005-0000-0000-00002FDC0000}"/>
    <cellStyle name="Normal 2 4 8 11 3 4" xfId="23548" xr:uid="{00000000-0005-0000-0000-000030DC0000}"/>
    <cellStyle name="Normal 2 4 8 11 3 4 2" xfId="58747" xr:uid="{00000000-0005-0000-0000-000031DC0000}"/>
    <cellStyle name="Normal 2 4 8 11 3 5" xfId="23549" xr:uid="{00000000-0005-0000-0000-000032DC0000}"/>
    <cellStyle name="Normal 2 4 8 11 3 5 2" xfId="58748" xr:uid="{00000000-0005-0000-0000-000033DC0000}"/>
    <cellStyle name="Normal 2 4 8 11 3 6" xfId="58749" xr:uid="{00000000-0005-0000-0000-000034DC0000}"/>
    <cellStyle name="Normal 2 4 8 11 3 6 2" xfId="58750" xr:uid="{00000000-0005-0000-0000-000035DC0000}"/>
    <cellStyle name="Normal 2 4 8 11 3 7" xfId="58751" xr:uid="{00000000-0005-0000-0000-000036DC0000}"/>
    <cellStyle name="Normal 2 4 8 11 4" xfId="23550" xr:uid="{00000000-0005-0000-0000-000037DC0000}"/>
    <cellStyle name="Normal 2 4 8 11 4 2" xfId="23551" xr:uid="{00000000-0005-0000-0000-000038DC0000}"/>
    <cellStyle name="Normal 2 4 8 11 4 2 2" xfId="58752" xr:uid="{00000000-0005-0000-0000-000039DC0000}"/>
    <cellStyle name="Normal 2 4 8 11 4 3" xfId="23552" xr:uid="{00000000-0005-0000-0000-00003ADC0000}"/>
    <cellStyle name="Normal 2 4 8 11 4 3 2" xfId="58753" xr:uid="{00000000-0005-0000-0000-00003BDC0000}"/>
    <cellStyle name="Normal 2 4 8 11 4 4" xfId="58754" xr:uid="{00000000-0005-0000-0000-00003CDC0000}"/>
    <cellStyle name="Normal 2 4 8 11 5" xfId="23553" xr:uid="{00000000-0005-0000-0000-00003DDC0000}"/>
    <cellStyle name="Normal 2 4 8 11 5 2" xfId="23554" xr:uid="{00000000-0005-0000-0000-00003EDC0000}"/>
    <cellStyle name="Normal 2 4 8 11 5 2 2" xfId="58755" xr:uid="{00000000-0005-0000-0000-00003FDC0000}"/>
    <cellStyle name="Normal 2 4 8 11 5 3" xfId="58756" xr:uid="{00000000-0005-0000-0000-000040DC0000}"/>
    <cellStyle name="Normal 2 4 8 11 6" xfId="23555" xr:uid="{00000000-0005-0000-0000-000041DC0000}"/>
    <cellStyle name="Normal 2 4 8 11 6 2" xfId="58757" xr:uid="{00000000-0005-0000-0000-000042DC0000}"/>
    <cellStyle name="Normal 2 4 8 11 7" xfId="23556" xr:uid="{00000000-0005-0000-0000-000043DC0000}"/>
    <cellStyle name="Normal 2 4 8 11 7 2" xfId="58758" xr:uid="{00000000-0005-0000-0000-000044DC0000}"/>
    <cellStyle name="Normal 2 4 8 11 8" xfId="58759" xr:uid="{00000000-0005-0000-0000-000045DC0000}"/>
    <cellStyle name="Normal 2 4 8 11 8 2" xfId="58760" xr:uid="{00000000-0005-0000-0000-000046DC0000}"/>
    <cellStyle name="Normal 2 4 8 11 9" xfId="58761" xr:uid="{00000000-0005-0000-0000-000047DC0000}"/>
    <cellStyle name="Normal 2 4 8 12" xfId="23557" xr:uid="{00000000-0005-0000-0000-000048DC0000}"/>
    <cellStyle name="Normal 2 4 8 12 10" xfId="58762" xr:uid="{00000000-0005-0000-0000-000049DC0000}"/>
    <cellStyle name="Normal 2 4 8 12 11" xfId="58763" xr:uid="{00000000-0005-0000-0000-00004ADC0000}"/>
    <cellStyle name="Normal 2 4 8 12 2" xfId="23558" xr:uid="{00000000-0005-0000-0000-00004BDC0000}"/>
    <cellStyle name="Normal 2 4 8 12 2 10" xfId="58764" xr:uid="{00000000-0005-0000-0000-00004CDC0000}"/>
    <cellStyle name="Normal 2 4 8 12 2 2" xfId="23559" xr:uid="{00000000-0005-0000-0000-00004DDC0000}"/>
    <cellStyle name="Normal 2 4 8 12 2 2 2" xfId="23560" xr:uid="{00000000-0005-0000-0000-00004EDC0000}"/>
    <cellStyle name="Normal 2 4 8 12 2 2 2 2" xfId="23561" xr:uid="{00000000-0005-0000-0000-00004FDC0000}"/>
    <cellStyle name="Normal 2 4 8 12 2 2 2 2 2" xfId="58765" xr:uid="{00000000-0005-0000-0000-000050DC0000}"/>
    <cellStyle name="Normal 2 4 8 12 2 2 2 3" xfId="23562" xr:uid="{00000000-0005-0000-0000-000051DC0000}"/>
    <cellStyle name="Normal 2 4 8 12 2 2 2 3 2" xfId="58766" xr:uid="{00000000-0005-0000-0000-000052DC0000}"/>
    <cellStyle name="Normal 2 4 8 12 2 2 2 4" xfId="58767" xr:uid="{00000000-0005-0000-0000-000053DC0000}"/>
    <cellStyle name="Normal 2 4 8 12 2 2 3" xfId="23563" xr:uid="{00000000-0005-0000-0000-000054DC0000}"/>
    <cellStyle name="Normal 2 4 8 12 2 2 3 2" xfId="58768" xr:uid="{00000000-0005-0000-0000-000055DC0000}"/>
    <cellStyle name="Normal 2 4 8 12 2 2 4" xfId="23564" xr:uid="{00000000-0005-0000-0000-000056DC0000}"/>
    <cellStyle name="Normal 2 4 8 12 2 2 4 2" xfId="58769" xr:uid="{00000000-0005-0000-0000-000057DC0000}"/>
    <cellStyle name="Normal 2 4 8 12 2 2 5" xfId="23565" xr:uid="{00000000-0005-0000-0000-000058DC0000}"/>
    <cellStyle name="Normal 2 4 8 12 2 2 5 2" xfId="58770" xr:uid="{00000000-0005-0000-0000-000059DC0000}"/>
    <cellStyle name="Normal 2 4 8 12 2 2 6" xfId="58771" xr:uid="{00000000-0005-0000-0000-00005ADC0000}"/>
    <cellStyle name="Normal 2 4 8 12 2 2 6 2" xfId="58772" xr:uid="{00000000-0005-0000-0000-00005BDC0000}"/>
    <cellStyle name="Normal 2 4 8 12 2 2 7" xfId="58773" xr:uid="{00000000-0005-0000-0000-00005CDC0000}"/>
    <cellStyle name="Normal 2 4 8 12 2 3" xfId="23566" xr:uid="{00000000-0005-0000-0000-00005DDC0000}"/>
    <cellStyle name="Normal 2 4 8 12 2 3 2" xfId="23567" xr:uid="{00000000-0005-0000-0000-00005EDC0000}"/>
    <cellStyle name="Normal 2 4 8 12 2 3 2 2" xfId="58774" xr:uid="{00000000-0005-0000-0000-00005FDC0000}"/>
    <cellStyle name="Normal 2 4 8 12 2 3 3" xfId="23568" xr:uid="{00000000-0005-0000-0000-000060DC0000}"/>
    <cellStyle name="Normal 2 4 8 12 2 3 3 2" xfId="58775" xr:uid="{00000000-0005-0000-0000-000061DC0000}"/>
    <cellStyle name="Normal 2 4 8 12 2 3 4" xfId="58776" xr:uid="{00000000-0005-0000-0000-000062DC0000}"/>
    <cellStyle name="Normal 2 4 8 12 2 4" xfId="23569" xr:uid="{00000000-0005-0000-0000-000063DC0000}"/>
    <cellStyle name="Normal 2 4 8 12 2 4 2" xfId="23570" xr:uid="{00000000-0005-0000-0000-000064DC0000}"/>
    <cellStyle name="Normal 2 4 8 12 2 4 2 2" xfId="58777" xr:uid="{00000000-0005-0000-0000-000065DC0000}"/>
    <cellStyle name="Normal 2 4 8 12 2 4 3" xfId="58778" xr:uid="{00000000-0005-0000-0000-000066DC0000}"/>
    <cellStyle name="Normal 2 4 8 12 2 5" xfId="23571" xr:uid="{00000000-0005-0000-0000-000067DC0000}"/>
    <cellStyle name="Normal 2 4 8 12 2 5 2" xfId="58779" xr:uid="{00000000-0005-0000-0000-000068DC0000}"/>
    <cellStyle name="Normal 2 4 8 12 2 6" xfId="23572" xr:uid="{00000000-0005-0000-0000-000069DC0000}"/>
    <cellStyle name="Normal 2 4 8 12 2 6 2" xfId="58780" xr:uid="{00000000-0005-0000-0000-00006ADC0000}"/>
    <cellStyle name="Normal 2 4 8 12 2 7" xfId="58781" xr:uid="{00000000-0005-0000-0000-00006BDC0000}"/>
    <cellStyle name="Normal 2 4 8 12 2 7 2" xfId="58782" xr:uid="{00000000-0005-0000-0000-00006CDC0000}"/>
    <cellStyle name="Normal 2 4 8 12 2 8" xfId="58783" xr:uid="{00000000-0005-0000-0000-00006DDC0000}"/>
    <cellStyle name="Normal 2 4 8 12 2 9" xfId="58784" xr:uid="{00000000-0005-0000-0000-00006EDC0000}"/>
    <cellStyle name="Normal 2 4 8 12 3" xfId="23573" xr:uid="{00000000-0005-0000-0000-00006FDC0000}"/>
    <cellStyle name="Normal 2 4 8 12 3 2" xfId="23574" xr:uid="{00000000-0005-0000-0000-000070DC0000}"/>
    <cellStyle name="Normal 2 4 8 12 3 2 2" xfId="23575" xr:uid="{00000000-0005-0000-0000-000071DC0000}"/>
    <cellStyle name="Normal 2 4 8 12 3 2 2 2" xfId="58785" xr:uid="{00000000-0005-0000-0000-000072DC0000}"/>
    <cellStyle name="Normal 2 4 8 12 3 2 3" xfId="23576" xr:uid="{00000000-0005-0000-0000-000073DC0000}"/>
    <cellStyle name="Normal 2 4 8 12 3 2 3 2" xfId="58786" xr:uid="{00000000-0005-0000-0000-000074DC0000}"/>
    <cellStyle name="Normal 2 4 8 12 3 2 4" xfId="58787" xr:uid="{00000000-0005-0000-0000-000075DC0000}"/>
    <cellStyle name="Normal 2 4 8 12 3 3" xfId="23577" xr:uid="{00000000-0005-0000-0000-000076DC0000}"/>
    <cellStyle name="Normal 2 4 8 12 3 3 2" xfId="58788" xr:uid="{00000000-0005-0000-0000-000077DC0000}"/>
    <cellStyle name="Normal 2 4 8 12 3 4" xfId="23578" xr:uid="{00000000-0005-0000-0000-000078DC0000}"/>
    <cellStyle name="Normal 2 4 8 12 3 4 2" xfId="58789" xr:uid="{00000000-0005-0000-0000-000079DC0000}"/>
    <cellStyle name="Normal 2 4 8 12 3 5" xfId="23579" xr:uid="{00000000-0005-0000-0000-00007ADC0000}"/>
    <cellStyle name="Normal 2 4 8 12 3 5 2" xfId="58790" xr:uid="{00000000-0005-0000-0000-00007BDC0000}"/>
    <cellStyle name="Normal 2 4 8 12 3 6" xfId="58791" xr:uid="{00000000-0005-0000-0000-00007CDC0000}"/>
    <cellStyle name="Normal 2 4 8 12 3 6 2" xfId="58792" xr:uid="{00000000-0005-0000-0000-00007DDC0000}"/>
    <cellStyle name="Normal 2 4 8 12 3 7" xfId="58793" xr:uid="{00000000-0005-0000-0000-00007EDC0000}"/>
    <cellStyle name="Normal 2 4 8 12 4" xfId="23580" xr:uid="{00000000-0005-0000-0000-00007FDC0000}"/>
    <cellStyle name="Normal 2 4 8 12 4 2" xfId="23581" xr:uid="{00000000-0005-0000-0000-000080DC0000}"/>
    <cellStyle name="Normal 2 4 8 12 4 2 2" xfId="58794" xr:uid="{00000000-0005-0000-0000-000081DC0000}"/>
    <cellStyle name="Normal 2 4 8 12 4 3" xfId="23582" xr:uid="{00000000-0005-0000-0000-000082DC0000}"/>
    <cellStyle name="Normal 2 4 8 12 4 3 2" xfId="58795" xr:uid="{00000000-0005-0000-0000-000083DC0000}"/>
    <cellStyle name="Normal 2 4 8 12 4 4" xfId="58796" xr:uid="{00000000-0005-0000-0000-000084DC0000}"/>
    <cellStyle name="Normal 2 4 8 12 5" xfId="23583" xr:uid="{00000000-0005-0000-0000-000085DC0000}"/>
    <cellStyle name="Normal 2 4 8 12 5 2" xfId="23584" xr:uid="{00000000-0005-0000-0000-000086DC0000}"/>
    <cellStyle name="Normal 2 4 8 12 5 2 2" xfId="58797" xr:uid="{00000000-0005-0000-0000-000087DC0000}"/>
    <cellStyle name="Normal 2 4 8 12 5 3" xfId="58798" xr:uid="{00000000-0005-0000-0000-000088DC0000}"/>
    <cellStyle name="Normal 2 4 8 12 6" xfId="23585" xr:uid="{00000000-0005-0000-0000-000089DC0000}"/>
    <cellStyle name="Normal 2 4 8 12 6 2" xfId="58799" xr:uid="{00000000-0005-0000-0000-00008ADC0000}"/>
    <cellStyle name="Normal 2 4 8 12 7" xfId="23586" xr:uid="{00000000-0005-0000-0000-00008BDC0000}"/>
    <cellStyle name="Normal 2 4 8 12 7 2" xfId="58800" xr:uid="{00000000-0005-0000-0000-00008CDC0000}"/>
    <cellStyle name="Normal 2 4 8 12 8" xfId="58801" xr:uid="{00000000-0005-0000-0000-00008DDC0000}"/>
    <cellStyle name="Normal 2 4 8 12 8 2" xfId="58802" xr:uid="{00000000-0005-0000-0000-00008EDC0000}"/>
    <cellStyle name="Normal 2 4 8 12 9" xfId="58803" xr:uid="{00000000-0005-0000-0000-00008FDC0000}"/>
    <cellStyle name="Normal 2 4 8 13" xfId="23587" xr:uid="{00000000-0005-0000-0000-000090DC0000}"/>
    <cellStyle name="Normal 2 4 8 13 10" xfId="58804" xr:uid="{00000000-0005-0000-0000-000091DC0000}"/>
    <cellStyle name="Normal 2 4 8 13 11" xfId="58805" xr:uid="{00000000-0005-0000-0000-000092DC0000}"/>
    <cellStyle name="Normal 2 4 8 13 2" xfId="23588" xr:uid="{00000000-0005-0000-0000-000093DC0000}"/>
    <cellStyle name="Normal 2 4 8 13 2 10" xfId="58806" xr:uid="{00000000-0005-0000-0000-000094DC0000}"/>
    <cellStyle name="Normal 2 4 8 13 2 2" xfId="23589" xr:uid="{00000000-0005-0000-0000-000095DC0000}"/>
    <cellStyle name="Normal 2 4 8 13 2 2 2" xfId="23590" xr:uid="{00000000-0005-0000-0000-000096DC0000}"/>
    <cellStyle name="Normal 2 4 8 13 2 2 2 2" xfId="23591" xr:uid="{00000000-0005-0000-0000-000097DC0000}"/>
    <cellStyle name="Normal 2 4 8 13 2 2 2 2 2" xfId="58807" xr:uid="{00000000-0005-0000-0000-000098DC0000}"/>
    <cellStyle name="Normal 2 4 8 13 2 2 2 3" xfId="23592" xr:uid="{00000000-0005-0000-0000-000099DC0000}"/>
    <cellStyle name="Normal 2 4 8 13 2 2 2 3 2" xfId="58808" xr:uid="{00000000-0005-0000-0000-00009ADC0000}"/>
    <cellStyle name="Normal 2 4 8 13 2 2 2 4" xfId="58809" xr:uid="{00000000-0005-0000-0000-00009BDC0000}"/>
    <cellStyle name="Normal 2 4 8 13 2 2 3" xfId="23593" xr:uid="{00000000-0005-0000-0000-00009CDC0000}"/>
    <cellStyle name="Normal 2 4 8 13 2 2 3 2" xfId="58810" xr:uid="{00000000-0005-0000-0000-00009DDC0000}"/>
    <cellStyle name="Normal 2 4 8 13 2 2 4" xfId="23594" xr:uid="{00000000-0005-0000-0000-00009EDC0000}"/>
    <cellStyle name="Normal 2 4 8 13 2 2 4 2" xfId="58811" xr:uid="{00000000-0005-0000-0000-00009FDC0000}"/>
    <cellStyle name="Normal 2 4 8 13 2 2 5" xfId="23595" xr:uid="{00000000-0005-0000-0000-0000A0DC0000}"/>
    <cellStyle name="Normal 2 4 8 13 2 2 5 2" xfId="58812" xr:uid="{00000000-0005-0000-0000-0000A1DC0000}"/>
    <cellStyle name="Normal 2 4 8 13 2 2 6" xfId="58813" xr:uid="{00000000-0005-0000-0000-0000A2DC0000}"/>
    <cellStyle name="Normal 2 4 8 13 2 2 6 2" xfId="58814" xr:uid="{00000000-0005-0000-0000-0000A3DC0000}"/>
    <cellStyle name="Normal 2 4 8 13 2 2 7" xfId="58815" xr:uid="{00000000-0005-0000-0000-0000A4DC0000}"/>
    <cellStyle name="Normal 2 4 8 13 2 3" xfId="23596" xr:uid="{00000000-0005-0000-0000-0000A5DC0000}"/>
    <cellStyle name="Normal 2 4 8 13 2 3 2" xfId="23597" xr:uid="{00000000-0005-0000-0000-0000A6DC0000}"/>
    <cellStyle name="Normal 2 4 8 13 2 3 2 2" xfId="58816" xr:uid="{00000000-0005-0000-0000-0000A7DC0000}"/>
    <cellStyle name="Normal 2 4 8 13 2 3 3" xfId="23598" xr:uid="{00000000-0005-0000-0000-0000A8DC0000}"/>
    <cellStyle name="Normal 2 4 8 13 2 3 3 2" xfId="58817" xr:uid="{00000000-0005-0000-0000-0000A9DC0000}"/>
    <cellStyle name="Normal 2 4 8 13 2 3 4" xfId="58818" xr:uid="{00000000-0005-0000-0000-0000AADC0000}"/>
    <cellStyle name="Normal 2 4 8 13 2 4" xfId="23599" xr:uid="{00000000-0005-0000-0000-0000ABDC0000}"/>
    <cellStyle name="Normal 2 4 8 13 2 4 2" xfId="23600" xr:uid="{00000000-0005-0000-0000-0000ACDC0000}"/>
    <cellStyle name="Normal 2 4 8 13 2 4 2 2" xfId="58819" xr:uid="{00000000-0005-0000-0000-0000ADDC0000}"/>
    <cellStyle name="Normal 2 4 8 13 2 4 3" xfId="58820" xr:uid="{00000000-0005-0000-0000-0000AEDC0000}"/>
    <cellStyle name="Normal 2 4 8 13 2 5" xfId="23601" xr:uid="{00000000-0005-0000-0000-0000AFDC0000}"/>
    <cellStyle name="Normal 2 4 8 13 2 5 2" xfId="58821" xr:uid="{00000000-0005-0000-0000-0000B0DC0000}"/>
    <cellStyle name="Normal 2 4 8 13 2 6" xfId="23602" xr:uid="{00000000-0005-0000-0000-0000B1DC0000}"/>
    <cellStyle name="Normal 2 4 8 13 2 6 2" xfId="58822" xr:uid="{00000000-0005-0000-0000-0000B2DC0000}"/>
    <cellStyle name="Normal 2 4 8 13 2 7" xfId="58823" xr:uid="{00000000-0005-0000-0000-0000B3DC0000}"/>
    <cellStyle name="Normal 2 4 8 13 2 7 2" xfId="58824" xr:uid="{00000000-0005-0000-0000-0000B4DC0000}"/>
    <cellStyle name="Normal 2 4 8 13 2 8" xfId="58825" xr:uid="{00000000-0005-0000-0000-0000B5DC0000}"/>
    <cellStyle name="Normal 2 4 8 13 2 9" xfId="58826" xr:uid="{00000000-0005-0000-0000-0000B6DC0000}"/>
    <cellStyle name="Normal 2 4 8 13 3" xfId="23603" xr:uid="{00000000-0005-0000-0000-0000B7DC0000}"/>
    <cellStyle name="Normal 2 4 8 13 3 2" xfId="23604" xr:uid="{00000000-0005-0000-0000-0000B8DC0000}"/>
    <cellStyle name="Normal 2 4 8 13 3 2 2" xfId="23605" xr:uid="{00000000-0005-0000-0000-0000B9DC0000}"/>
    <cellStyle name="Normal 2 4 8 13 3 2 2 2" xfId="58827" xr:uid="{00000000-0005-0000-0000-0000BADC0000}"/>
    <cellStyle name="Normal 2 4 8 13 3 2 3" xfId="23606" xr:uid="{00000000-0005-0000-0000-0000BBDC0000}"/>
    <cellStyle name="Normal 2 4 8 13 3 2 3 2" xfId="58828" xr:uid="{00000000-0005-0000-0000-0000BCDC0000}"/>
    <cellStyle name="Normal 2 4 8 13 3 2 4" xfId="58829" xr:uid="{00000000-0005-0000-0000-0000BDDC0000}"/>
    <cellStyle name="Normal 2 4 8 13 3 3" xfId="23607" xr:uid="{00000000-0005-0000-0000-0000BEDC0000}"/>
    <cellStyle name="Normal 2 4 8 13 3 3 2" xfId="58830" xr:uid="{00000000-0005-0000-0000-0000BFDC0000}"/>
    <cellStyle name="Normal 2 4 8 13 3 4" xfId="23608" xr:uid="{00000000-0005-0000-0000-0000C0DC0000}"/>
    <cellStyle name="Normal 2 4 8 13 3 4 2" xfId="58831" xr:uid="{00000000-0005-0000-0000-0000C1DC0000}"/>
    <cellStyle name="Normal 2 4 8 13 3 5" xfId="23609" xr:uid="{00000000-0005-0000-0000-0000C2DC0000}"/>
    <cellStyle name="Normal 2 4 8 13 3 5 2" xfId="58832" xr:uid="{00000000-0005-0000-0000-0000C3DC0000}"/>
    <cellStyle name="Normal 2 4 8 13 3 6" xfId="58833" xr:uid="{00000000-0005-0000-0000-0000C4DC0000}"/>
    <cellStyle name="Normal 2 4 8 13 3 6 2" xfId="58834" xr:uid="{00000000-0005-0000-0000-0000C5DC0000}"/>
    <cellStyle name="Normal 2 4 8 13 3 7" xfId="58835" xr:uid="{00000000-0005-0000-0000-0000C6DC0000}"/>
    <cellStyle name="Normal 2 4 8 13 4" xfId="23610" xr:uid="{00000000-0005-0000-0000-0000C7DC0000}"/>
    <cellStyle name="Normal 2 4 8 13 4 2" xfId="23611" xr:uid="{00000000-0005-0000-0000-0000C8DC0000}"/>
    <cellStyle name="Normal 2 4 8 13 4 2 2" xfId="58836" xr:uid="{00000000-0005-0000-0000-0000C9DC0000}"/>
    <cellStyle name="Normal 2 4 8 13 4 3" xfId="23612" xr:uid="{00000000-0005-0000-0000-0000CADC0000}"/>
    <cellStyle name="Normal 2 4 8 13 4 3 2" xfId="58837" xr:uid="{00000000-0005-0000-0000-0000CBDC0000}"/>
    <cellStyle name="Normal 2 4 8 13 4 4" xfId="58838" xr:uid="{00000000-0005-0000-0000-0000CCDC0000}"/>
    <cellStyle name="Normal 2 4 8 13 5" xfId="23613" xr:uid="{00000000-0005-0000-0000-0000CDDC0000}"/>
    <cellStyle name="Normal 2 4 8 13 5 2" xfId="23614" xr:uid="{00000000-0005-0000-0000-0000CEDC0000}"/>
    <cellStyle name="Normal 2 4 8 13 5 2 2" xfId="58839" xr:uid="{00000000-0005-0000-0000-0000CFDC0000}"/>
    <cellStyle name="Normal 2 4 8 13 5 3" xfId="58840" xr:uid="{00000000-0005-0000-0000-0000D0DC0000}"/>
    <cellStyle name="Normal 2 4 8 13 6" xfId="23615" xr:uid="{00000000-0005-0000-0000-0000D1DC0000}"/>
    <cellStyle name="Normal 2 4 8 13 6 2" xfId="58841" xr:uid="{00000000-0005-0000-0000-0000D2DC0000}"/>
    <cellStyle name="Normal 2 4 8 13 7" xfId="23616" xr:uid="{00000000-0005-0000-0000-0000D3DC0000}"/>
    <cellStyle name="Normal 2 4 8 13 7 2" xfId="58842" xr:uid="{00000000-0005-0000-0000-0000D4DC0000}"/>
    <cellStyle name="Normal 2 4 8 13 8" xfId="58843" xr:uid="{00000000-0005-0000-0000-0000D5DC0000}"/>
    <cellStyle name="Normal 2 4 8 13 8 2" xfId="58844" xr:uid="{00000000-0005-0000-0000-0000D6DC0000}"/>
    <cellStyle name="Normal 2 4 8 13 9" xfId="58845" xr:uid="{00000000-0005-0000-0000-0000D7DC0000}"/>
    <cellStyle name="Normal 2 4 8 14" xfId="23617" xr:uid="{00000000-0005-0000-0000-0000D8DC0000}"/>
    <cellStyle name="Normal 2 4 8 14 10" xfId="58846" xr:uid="{00000000-0005-0000-0000-0000D9DC0000}"/>
    <cellStyle name="Normal 2 4 8 14 11" xfId="58847" xr:uid="{00000000-0005-0000-0000-0000DADC0000}"/>
    <cellStyle name="Normal 2 4 8 14 2" xfId="23618" xr:uid="{00000000-0005-0000-0000-0000DBDC0000}"/>
    <cellStyle name="Normal 2 4 8 14 2 10" xfId="58848" xr:uid="{00000000-0005-0000-0000-0000DCDC0000}"/>
    <cellStyle name="Normal 2 4 8 14 2 2" xfId="23619" xr:uid="{00000000-0005-0000-0000-0000DDDC0000}"/>
    <cellStyle name="Normal 2 4 8 14 2 2 2" xfId="23620" xr:uid="{00000000-0005-0000-0000-0000DEDC0000}"/>
    <cellStyle name="Normal 2 4 8 14 2 2 2 2" xfId="23621" xr:uid="{00000000-0005-0000-0000-0000DFDC0000}"/>
    <cellStyle name="Normal 2 4 8 14 2 2 2 2 2" xfId="58849" xr:uid="{00000000-0005-0000-0000-0000E0DC0000}"/>
    <cellStyle name="Normal 2 4 8 14 2 2 2 3" xfId="23622" xr:uid="{00000000-0005-0000-0000-0000E1DC0000}"/>
    <cellStyle name="Normal 2 4 8 14 2 2 2 3 2" xfId="58850" xr:uid="{00000000-0005-0000-0000-0000E2DC0000}"/>
    <cellStyle name="Normal 2 4 8 14 2 2 2 4" xfId="58851" xr:uid="{00000000-0005-0000-0000-0000E3DC0000}"/>
    <cellStyle name="Normal 2 4 8 14 2 2 3" xfId="23623" xr:uid="{00000000-0005-0000-0000-0000E4DC0000}"/>
    <cellStyle name="Normal 2 4 8 14 2 2 3 2" xfId="58852" xr:uid="{00000000-0005-0000-0000-0000E5DC0000}"/>
    <cellStyle name="Normal 2 4 8 14 2 2 4" xfId="23624" xr:uid="{00000000-0005-0000-0000-0000E6DC0000}"/>
    <cellStyle name="Normal 2 4 8 14 2 2 4 2" xfId="58853" xr:uid="{00000000-0005-0000-0000-0000E7DC0000}"/>
    <cellStyle name="Normal 2 4 8 14 2 2 5" xfId="23625" xr:uid="{00000000-0005-0000-0000-0000E8DC0000}"/>
    <cellStyle name="Normal 2 4 8 14 2 2 5 2" xfId="58854" xr:uid="{00000000-0005-0000-0000-0000E9DC0000}"/>
    <cellStyle name="Normal 2 4 8 14 2 2 6" xfId="58855" xr:uid="{00000000-0005-0000-0000-0000EADC0000}"/>
    <cellStyle name="Normal 2 4 8 14 2 2 6 2" xfId="58856" xr:uid="{00000000-0005-0000-0000-0000EBDC0000}"/>
    <cellStyle name="Normal 2 4 8 14 2 2 7" xfId="58857" xr:uid="{00000000-0005-0000-0000-0000ECDC0000}"/>
    <cellStyle name="Normal 2 4 8 14 2 3" xfId="23626" xr:uid="{00000000-0005-0000-0000-0000EDDC0000}"/>
    <cellStyle name="Normal 2 4 8 14 2 3 2" xfId="23627" xr:uid="{00000000-0005-0000-0000-0000EEDC0000}"/>
    <cellStyle name="Normal 2 4 8 14 2 3 2 2" xfId="58858" xr:uid="{00000000-0005-0000-0000-0000EFDC0000}"/>
    <cellStyle name="Normal 2 4 8 14 2 3 3" xfId="23628" xr:uid="{00000000-0005-0000-0000-0000F0DC0000}"/>
    <cellStyle name="Normal 2 4 8 14 2 3 3 2" xfId="58859" xr:uid="{00000000-0005-0000-0000-0000F1DC0000}"/>
    <cellStyle name="Normal 2 4 8 14 2 3 4" xfId="58860" xr:uid="{00000000-0005-0000-0000-0000F2DC0000}"/>
    <cellStyle name="Normal 2 4 8 14 2 4" xfId="23629" xr:uid="{00000000-0005-0000-0000-0000F3DC0000}"/>
    <cellStyle name="Normal 2 4 8 14 2 4 2" xfId="23630" xr:uid="{00000000-0005-0000-0000-0000F4DC0000}"/>
    <cellStyle name="Normal 2 4 8 14 2 4 2 2" xfId="58861" xr:uid="{00000000-0005-0000-0000-0000F5DC0000}"/>
    <cellStyle name="Normal 2 4 8 14 2 4 3" xfId="58862" xr:uid="{00000000-0005-0000-0000-0000F6DC0000}"/>
    <cellStyle name="Normal 2 4 8 14 2 5" xfId="23631" xr:uid="{00000000-0005-0000-0000-0000F7DC0000}"/>
    <cellStyle name="Normal 2 4 8 14 2 5 2" xfId="58863" xr:uid="{00000000-0005-0000-0000-0000F8DC0000}"/>
    <cellStyle name="Normal 2 4 8 14 2 6" xfId="23632" xr:uid="{00000000-0005-0000-0000-0000F9DC0000}"/>
    <cellStyle name="Normal 2 4 8 14 2 6 2" xfId="58864" xr:uid="{00000000-0005-0000-0000-0000FADC0000}"/>
    <cellStyle name="Normal 2 4 8 14 2 7" xfId="58865" xr:uid="{00000000-0005-0000-0000-0000FBDC0000}"/>
    <cellStyle name="Normal 2 4 8 14 2 7 2" xfId="58866" xr:uid="{00000000-0005-0000-0000-0000FCDC0000}"/>
    <cellStyle name="Normal 2 4 8 14 2 8" xfId="58867" xr:uid="{00000000-0005-0000-0000-0000FDDC0000}"/>
    <cellStyle name="Normal 2 4 8 14 2 9" xfId="58868" xr:uid="{00000000-0005-0000-0000-0000FEDC0000}"/>
    <cellStyle name="Normal 2 4 8 14 3" xfId="23633" xr:uid="{00000000-0005-0000-0000-0000FFDC0000}"/>
    <cellStyle name="Normal 2 4 8 14 3 2" xfId="23634" xr:uid="{00000000-0005-0000-0000-000000DD0000}"/>
    <cellStyle name="Normal 2 4 8 14 3 2 2" xfId="23635" xr:uid="{00000000-0005-0000-0000-000001DD0000}"/>
    <cellStyle name="Normal 2 4 8 14 3 2 2 2" xfId="58869" xr:uid="{00000000-0005-0000-0000-000002DD0000}"/>
    <cellStyle name="Normal 2 4 8 14 3 2 3" xfId="23636" xr:uid="{00000000-0005-0000-0000-000003DD0000}"/>
    <cellStyle name="Normal 2 4 8 14 3 2 3 2" xfId="58870" xr:uid="{00000000-0005-0000-0000-000004DD0000}"/>
    <cellStyle name="Normal 2 4 8 14 3 2 4" xfId="58871" xr:uid="{00000000-0005-0000-0000-000005DD0000}"/>
    <cellStyle name="Normal 2 4 8 14 3 3" xfId="23637" xr:uid="{00000000-0005-0000-0000-000006DD0000}"/>
    <cellStyle name="Normal 2 4 8 14 3 3 2" xfId="58872" xr:uid="{00000000-0005-0000-0000-000007DD0000}"/>
    <cellStyle name="Normal 2 4 8 14 3 4" xfId="23638" xr:uid="{00000000-0005-0000-0000-000008DD0000}"/>
    <cellStyle name="Normal 2 4 8 14 3 4 2" xfId="58873" xr:uid="{00000000-0005-0000-0000-000009DD0000}"/>
    <cellStyle name="Normal 2 4 8 14 3 5" xfId="23639" xr:uid="{00000000-0005-0000-0000-00000ADD0000}"/>
    <cellStyle name="Normal 2 4 8 14 3 5 2" xfId="58874" xr:uid="{00000000-0005-0000-0000-00000BDD0000}"/>
    <cellStyle name="Normal 2 4 8 14 3 6" xfId="58875" xr:uid="{00000000-0005-0000-0000-00000CDD0000}"/>
    <cellStyle name="Normal 2 4 8 14 3 6 2" xfId="58876" xr:uid="{00000000-0005-0000-0000-00000DDD0000}"/>
    <cellStyle name="Normal 2 4 8 14 3 7" xfId="58877" xr:uid="{00000000-0005-0000-0000-00000EDD0000}"/>
    <cellStyle name="Normal 2 4 8 14 4" xfId="23640" xr:uid="{00000000-0005-0000-0000-00000FDD0000}"/>
    <cellStyle name="Normal 2 4 8 14 4 2" xfId="23641" xr:uid="{00000000-0005-0000-0000-000010DD0000}"/>
    <cellStyle name="Normal 2 4 8 14 4 2 2" xfId="58878" xr:uid="{00000000-0005-0000-0000-000011DD0000}"/>
    <cellStyle name="Normal 2 4 8 14 4 3" xfId="23642" xr:uid="{00000000-0005-0000-0000-000012DD0000}"/>
    <cellStyle name="Normal 2 4 8 14 4 3 2" xfId="58879" xr:uid="{00000000-0005-0000-0000-000013DD0000}"/>
    <cellStyle name="Normal 2 4 8 14 4 4" xfId="58880" xr:uid="{00000000-0005-0000-0000-000014DD0000}"/>
    <cellStyle name="Normal 2 4 8 14 5" xfId="23643" xr:uid="{00000000-0005-0000-0000-000015DD0000}"/>
    <cellStyle name="Normal 2 4 8 14 5 2" xfId="23644" xr:uid="{00000000-0005-0000-0000-000016DD0000}"/>
    <cellStyle name="Normal 2 4 8 14 5 2 2" xfId="58881" xr:uid="{00000000-0005-0000-0000-000017DD0000}"/>
    <cellStyle name="Normal 2 4 8 14 5 3" xfId="58882" xr:uid="{00000000-0005-0000-0000-000018DD0000}"/>
    <cellStyle name="Normal 2 4 8 14 6" xfId="23645" xr:uid="{00000000-0005-0000-0000-000019DD0000}"/>
    <cellStyle name="Normal 2 4 8 14 6 2" xfId="58883" xr:uid="{00000000-0005-0000-0000-00001ADD0000}"/>
    <cellStyle name="Normal 2 4 8 14 7" xfId="23646" xr:uid="{00000000-0005-0000-0000-00001BDD0000}"/>
    <cellStyle name="Normal 2 4 8 14 7 2" xfId="58884" xr:uid="{00000000-0005-0000-0000-00001CDD0000}"/>
    <cellStyle name="Normal 2 4 8 14 8" xfId="58885" xr:uid="{00000000-0005-0000-0000-00001DDD0000}"/>
    <cellStyle name="Normal 2 4 8 14 8 2" xfId="58886" xr:uid="{00000000-0005-0000-0000-00001EDD0000}"/>
    <cellStyle name="Normal 2 4 8 14 9" xfId="58887" xr:uid="{00000000-0005-0000-0000-00001FDD0000}"/>
    <cellStyle name="Normal 2 4 8 15" xfId="23647" xr:uid="{00000000-0005-0000-0000-000020DD0000}"/>
    <cellStyle name="Normal 2 4 8 15 10" xfId="58888" xr:uid="{00000000-0005-0000-0000-000021DD0000}"/>
    <cellStyle name="Normal 2 4 8 15 11" xfId="58889" xr:uid="{00000000-0005-0000-0000-000022DD0000}"/>
    <cellStyle name="Normal 2 4 8 15 2" xfId="23648" xr:uid="{00000000-0005-0000-0000-000023DD0000}"/>
    <cellStyle name="Normal 2 4 8 15 2 10" xfId="58890" xr:uid="{00000000-0005-0000-0000-000024DD0000}"/>
    <cellStyle name="Normal 2 4 8 15 2 2" xfId="23649" xr:uid="{00000000-0005-0000-0000-000025DD0000}"/>
    <cellStyle name="Normal 2 4 8 15 2 2 2" xfId="23650" xr:uid="{00000000-0005-0000-0000-000026DD0000}"/>
    <cellStyle name="Normal 2 4 8 15 2 2 2 2" xfId="23651" xr:uid="{00000000-0005-0000-0000-000027DD0000}"/>
    <cellStyle name="Normal 2 4 8 15 2 2 2 2 2" xfId="58891" xr:uid="{00000000-0005-0000-0000-000028DD0000}"/>
    <cellStyle name="Normal 2 4 8 15 2 2 2 3" xfId="23652" xr:uid="{00000000-0005-0000-0000-000029DD0000}"/>
    <cellStyle name="Normal 2 4 8 15 2 2 2 3 2" xfId="58892" xr:uid="{00000000-0005-0000-0000-00002ADD0000}"/>
    <cellStyle name="Normal 2 4 8 15 2 2 2 4" xfId="58893" xr:uid="{00000000-0005-0000-0000-00002BDD0000}"/>
    <cellStyle name="Normal 2 4 8 15 2 2 3" xfId="23653" xr:uid="{00000000-0005-0000-0000-00002CDD0000}"/>
    <cellStyle name="Normal 2 4 8 15 2 2 3 2" xfId="58894" xr:uid="{00000000-0005-0000-0000-00002DDD0000}"/>
    <cellStyle name="Normal 2 4 8 15 2 2 4" xfId="23654" xr:uid="{00000000-0005-0000-0000-00002EDD0000}"/>
    <cellStyle name="Normal 2 4 8 15 2 2 4 2" xfId="58895" xr:uid="{00000000-0005-0000-0000-00002FDD0000}"/>
    <cellStyle name="Normal 2 4 8 15 2 2 5" xfId="23655" xr:uid="{00000000-0005-0000-0000-000030DD0000}"/>
    <cellStyle name="Normal 2 4 8 15 2 2 5 2" xfId="58896" xr:uid="{00000000-0005-0000-0000-000031DD0000}"/>
    <cellStyle name="Normal 2 4 8 15 2 2 6" xfId="58897" xr:uid="{00000000-0005-0000-0000-000032DD0000}"/>
    <cellStyle name="Normal 2 4 8 15 2 2 6 2" xfId="58898" xr:uid="{00000000-0005-0000-0000-000033DD0000}"/>
    <cellStyle name="Normal 2 4 8 15 2 2 7" xfId="58899" xr:uid="{00000000-0005-0000-0000-000034DD0000}"/>
    <cellStyle name="Normal 2 4 8 15 2 3" xfId="23656" xr:uid="{00000000-0005-0000-0000-000035DD0000}"/>
    <cellStyle name="Normal 2 4 8 15 2 3 2" xfId="23657" xr:uid="{00000000-0005-0000-0000-000036DD0000}"/>
    <cellStyle name="Normal 2 4 8 15 2 3 2 2" xfId="58900" xr:uid="{00000000-0005-0000-0000-000037DD0000}"/>
    <cellStyle name="Normal 2 4 8 15 2 3 3" xfId="23658" xr:uid="{00000000-0005-0000-0000-000038DD0000}"/>
    <cellStyle name="Normal 2 4 8 15 2 3 3 2" xfId="58901" xr:uid="{00000000-0005-0000-0000-000039DD0000}"/>
    <cellStyle name="Normal 2 4 8 15 2 3 4" xfId="58902" xr:uid="{00000000-0005-0000-0000-00003ADD0000}"/>
    <cellStyle name="Normal 2 4 8 15 2 4" xfId="23659" xr:uid="{00000000-0005-0000-0000-00003BDD0000}"/>
    <cellStyle name="Normal 2 4 8 15 2 4 2" xfId="23660" xr:uid="{00000000-0005-0000-0000-00003CDD0000}"/>
    <cellStyle name="Normal 2 4 8 15 2 4 2 2" xfId="58903" xr:uid="{00000000-0005-0000-0000-00003DDD0000}"/>
    <cellStyle name="Normal 2 4 8 15 2 4 3" xfId="58904" xr:uid="{00000000-0005-0000-0000-00003EDD0000}"/>
    <cellStyle name="Normal 2 4 8 15 2 5" xfId="23661" xr:uid="{00000000-0005-0000-0000-00003FDD0000}"/>
    <cellStyle name="Normal 2 4 8 15 2 5 2" xfId="58905" xr:uid="{00000000-0005-0000-0000-000040DD0000}"/>
    <cellStyle name="Normal 2 4 8 15 2 6" xfId="23662" xr:uid="{00000000-0005-0000-0000-000041DD0000}"/>
    <cellStyle name="Normal 2 4 8 15 2 6 2" xfId="58906" xr:uid="{00000000-0005-0000-0000-000042DD0000}"/>
    <cellStyle name="Normal 2 4 8 15 2 7" xfId="58907" xr:uid="{00000000-0005-0000-0000-000043DD0000}"/>
    <cellStyle name="Normal 2 4 8 15 2 7 2" xfId="58908" xr:uid="{00000000-0005-0000-0000-000044DD0000}"/>
    <cellStyle name="Normal 2 4 8 15 2 8" xfId="58909" xr:uid="{00000000-0005-0000-0000-000045DD0000}"/>
    <cellStyle name="Normal 2 4 8 15 2 9" xfId="58910" xr:uid="{00000000-0005-0000-0000-000046DD0000}"/>
    <cellStyle name="Normal 2 4 8 15 3" xfId="23663" xr:uid="{00000000-0005-0000-0000-000047DD0000}"/>
    <cellStyle name="Normal 2 4 8 15 3 2" xfId="23664" xr:uid="{00000000-0005-0000-0000-000048DD0000}"/>
    <cellStyle name="Normal 2 4 8 15 3 2 2" xfId="23665" xr:uid="{00000000-0005-0000-0000-000049DD0000}"/>
    <cellStyle name="Normal 2 4 8 15 3 2 2 2" xfId="58911" xr:uid="{00000000-0005-0000-0000-00004ADD0000}"/>
    <cellStyle name="Normal 2 4 8 15 3 2 3" xfId="23666" xr:uid="{00000000-0005-0000-0000-00004BDD0000}"/>
    <cellStyle name="Normal 2 4 8 15 3 2 3 2" xfId="58912" xr:uid="{00000000-0005-0000-0000-00004CDD0000}"/>
    <cellStyle name="Normal 2 4 8 15 3 2 4" xfId="58913" xr:uid="{00000000-0005-0000-0000-00004DDD0000}"/>
    <cellStyle name="Normal 2 4 8 15 3 3" xfId="23667" xr:uid="{00000000-0005-0000-0000-00004EDD0000}"/>
    <cellStyle name="Normal 2 4 8 15 3 3 2" xfId="58914" xr:uid="{00000000-0005-0000-0000-00004FDD0000}"/>
    <cellStyle name="Normal 2 4 8 15 3 4" xfId="23668" xr:uid="{00000000-0005-0000-0000-000050DD0000}"/>
    <cellStyle name="Normal 2 4 8 15 3 4 2" xfId="58915" xr:uid="{00000000-0005-0000-0000-000051DD0000}"/>
    <cellStyle name="Normal 2 4 8 15 3 5" xfId="23669" xr:uid="{00000000-0005-0000-0000-000052DD0000}"/>
    <cellStyle name="Normal 2 4 8 15 3 5 2" xfId="58916" xr:uid="{00000000-0005-0000-0000-000053DD0000}"/>
    <cellStyle name="Normal 2 4 8 15 3 6" xfId="58917" xr:uid="{00000000-0005-0000-0000-000054DD0000}"/>
    <cellStyle name="Normal 2 4 8 15 3 6 2" xfId="58918" xr:uid="{00000000-0005-0000-0000-000055DD0000}"/>
    <cellStyle name="Normal 2 4 8 15 3 7" xfId="58919" xr:uid="{00000000-0005-0000-0000-000056DD0000}"/>
    <cellStyle name="Normal 2 4 8 15 4" xfId="23670" xr:uid="{00000000-0005-0000-0000-000057DD0000}"/>
    <cellStyle name="Normal 2 4 8 15 4 2" xfId="23671" xr:uid="{00000000-0005-0000-0000-000058DD0000}"/>
    <cellStyle name="Normal 2 4 8 15 4 2 2" xfId="58920" xr:uid="{00000000-0005-0000-0000-000059DD0000}"/>
    <cellStyle name="Normal 2 4 8 15 4 3" xfId="23672" xr:uid="{00000000-0005-0000-0000-00005ADD0000}"/>
    <cellStyle name="Normal 2 4 8 15 4 3 2" xfId="58921" xr:uid="{00000000-0005-0000-0000-00005BDD0000}"/>
    <cellStyle name="Normal 2 4 8 15 4 4" xfId="58922" xr:uid="{00000000-0005-0000-0000-00005CDD0000}"/>
    <cellStyle name="Normal 2 4 8 15 5" xfId="23673" xr:uid="{00000000-0005-0000-0000-00005DDD0000}"/>
    <cellStyle name="Normal 2 4 8 15 5 2" xfId="23674" xr:uid="{00000000-0005-0000-0000-00005EDD0000}"/>
    <cellStyle name="Normal 2 4 8 15 5 2 2" xfId="58923" xr:uid="{00000000-0005-0000-0000-00005FDD0000}"/>
    <cellStyle name="Normal 2 4 8 15 5 3" xfId="58924" xr:uid="{00000000-0005-0000-0000-000060DD0000}"/>
    <cellStyle name="Normal 2 4 8 15 6" xfId="23675" xr:uid="{00000000-0005-0000-0000-000061DD0000}"/>
    <cellStyle name="Normal 2 4 8 15 6 2" xfId="58925" xr:uid="{00000000-0005-0000-0000-000062DD0000}"/>
    <cellStyle name="Normal 2 4 8 15 7" xfId="23676" xr:uid="{00000000-0005-0000-0000-000063DD0000}"/>
    <cellStyle name="Normal 2 4 8 15 7 2" xfId="58926" xr:uid="{00000000-0005-0000-0000-000064DD0000}"/>
    <cellStyle name="Normal 2 4 8 15 8" xfId="58927" xr:uid="{00000000-0005-0000-0000-000065DD0000}"/>
    <cellStyle name="Normal 2 4 8 15 8 2" xfId="58928" xr:uid="{00000000-0005-0000-0000-000066DD0000}"/>
    <cellStyle name="Normal 2 4 8 15 9" xfId="58929" xr:uid="{00000000-0005-0000-0000-000067DD0000}"/>
    <cellStyle name="Normal 2 4 8 16" xfId="23677" xr:uid="{00000000-0005-0000-0000-000068DD0000}"/>
    <cellStyle name="Normal 2 4 8 16 10" xfId="58930" xr:uid="{00000000-0005-0000-0000-000069DD0000}"/>
    <cellStyle name="Normal 2 4 8 16 11" xfId="58931" xr:uid="{00000000-0005-0000-0000-00006ADD0000}"/>
    <cellStyle name="Normal 2 4 8 16 2" xfId="23678" xr:uid="{00000000-0005-0000-0000-00006BDD0000}"/>
    <cellStyle name="Normal 2 4 8 16 2 10" xfId="58932" xr:uid="{00000000-0005-0000-0000-00006CDD0000}"/>
    <cellStyle name="Normal 2 4 8 16 2 2" xfId="23679" xr:uid="{00000000-0005-0000-0000-00006DDD0000}"/>
    <cellStyle name="Normal 2 4 8 16 2 2 2" xfId="23680" xr:uid="{00000000-0005-0000-0000-00006EDD0000}"/>
    <cellStyle name="Normal 2 4 8 16 2 2 2 2" xfId="23681" xr:uid="{00000000-0005-0000-0000-00006FDD0000}"/>
    <cellStyle name="Normal 2 4 8 16 2 2 2 2 2" xfId="58933" xr:uid="{00000000-0005-0000-0000-000070DD0000}"/>
    <cellStyle name="Normal 2 4 8 16 2 2 2 3" xfId="23682" xr:uid="{00000000-0005-0000-0000-000071DD0000}"/>
    <cellStyle name="Normal 2 4 8 16 2 2 2 3 2" xfId="58934" xr:uid="{00000000-0005-0000-0000-000072DD0000}"/>
    <cellStyle name="Normal 2 4 8 16 2 2 2 4" xfId="58935" xr:uid="{00000000-0005-0000-0000-000073DD0000}"/>
    <cellStyle name="Normal 2 4 8 16 2 2 3" xfId="23683" xr:uid="{00000000-0005-0000-0000-000074DD0000}"/>
    <cellStyle name="Normal 2 4 8 16 2 2 3 2" xfId="58936" xr:uid="{00000000-0005-0000-0000-000075DD0000}"/>
    <cellStyle name="Normal 2 4 8 16 2 2 4" xfId="23684" xr:uid="{00000000-0005-0000-0000-000076DD0000}"/>
    <cellStyle name="Normal 2 4 8 16 2 2 4 2" xfId="58937" xr:uid="{00000000-0005-0000-0000-000077DD0000}"/>
    <cellStyle name="Normal 2 4 8 16 2 2 5" xfId="23685" xr:uid="{00000000-0005-0000-0000-000078DD0000}"/>
    <cellStyle name="Normal 2 4 8 16 2 2 5 2" xfId="58938" xr:uid="{00000000-0005-0000-0000-000079DD0000}"/>
    <cellStyle name="Normal 2 4 8 16 2 2 6" xfId="58939" xr:uid="{00000000-0005-0000-0000-00007ADD0000}"/>
    <cellStyle name="Normal 2 4 8 16 2 2 6 2" xfId="58940" xr:uid="{00000000-0005-0000-0000-00007BDD0000}"/>
    <cellStyle name="Normal 2 4 8 16 2 2 7" xfId="58941" xr:uid="{00000000-0005-0000-0000-00007CDD0000}"/>
    <cellStyle name="Normal 2 4 8 16 2 3" xfId="23686" xr:uid="{00000000-0005-0000-0000-00007DDD0000}"/>
    <cellStyle name="Normal 2 4 8 16 2 3 2" xfId="23687" xr:uid="{00000000-0005-0000-0000-00007EDD0000}"/>
    <cellStyle name="Normal 2 4 8 16 2 3 2 2" xfId="58942" xr:uid="{00000000-0005-0000-0000-00007FDD0000}"/>
    <cellStyle name="Normal 2 4 8 16 2 3 3" xfId="23688" xr:uid="{00000000-0005-0000-0000-000080DD0000}"/>
    <cellStyle name="Normal 2 4 8 16 2 3 3 2" xfId="58943" xr:uid="{00000000-0005-0000-0000-000081DD0000}"/>
    <cellStyle name="Normal 2 4 8 16 2 3 4" xfId="58944" xr:uid="{00000000-0005-0000-0000-000082DD0000}"/>
    <cellStyle name="Normal 2 4 8 16 2 4" xfId="23689" xr:uid="{00000000-0005-0000-0000-000083DD0000}"/>
    <cellStyle name="Normal 2 4 8 16 2 4 2" xfId="23690" xr:uid="{00000000-0005-0000-0000-000084DD0000}"/>
    <cellStyle name="Normal 2 4 8 16 2 4 2 2" xfId="58945" xr:uid="{00000000-0005-0000-0000-000085DD0000}"/>
    <cellStyle name="Normal 2 4 8 16 2 4 3" xfId="58946" xr:uid="{00000000-0005-0000-0000-000086DD0000}"/>
    <cellStyle name="Normal 2 4 8 16 2 5" xfId="23691" xr:uid="{00000000-0005-0000-0000-000087DD0000}"/>
    <cellStyle name="Normal 2 4 8 16 2 5 2" xfId="58947" xr:uid="{00000000-0005-0000-0000-000088DD0000}"/>
    <cellStyle name="Normal 2 4 8 16 2 6" xfId="23692" xr:uid="{00000000-0005-0000-0000-000089DD0000}"/>
    <cellStyle name="Normal 2 4 8 16 2 6 2" xfId="58948" xr:uid="{00000000-0005-0000-0000-00008ADD0000}"/>
    <cellStyle name="Normal 2 4 8 16 2 7" xfId="58949" xr:uid="{00000000-0005-0000-0000-00008BDD0000}"/>
    <cellStyle name="Normal 2 4 8 16 2 7 2" xfId="58950" xr:uid="{00000000-0005-0000-0000-00008CDD0000}"/>
    <cellStyle name="Normal 2 4 8 16 2 8" xfId="58951" xr:uid="{00000000-0005-0000-0000-00008DDD0000}"/>
    <cellStyle name="Normal 2 4 8 16 2 9" xfId="58952" xr:uid="{00000000-0005-0000-0000-00008EDD0000}"/>
    <cellStyle name="Normal 2 4 8 16 3" xfId="23693" xr:uid="{00000000-0005-0000-0000-00008FDD0000}"/>
    <cellStyle name="Normal 2 4 8 16 3 2" xfId="23694" xr:uid="{00000000-0005-0000-0000-000090DD0000}"/>
    <cellStyle name="Normal 2 4 8 16 3 2 2" xfId="23695" xr:uid="{00000000-0005-0000-0000-000091DD0000}"/>
    <cellStyle name="Normal 2 4 8 16 3 2 2 2" xfId="58953" xr:uid="{00000000-0005-0000-0000-000092DD0000}"/>
    <cellStyle name="Normal 2 4 8 16 3 2 3" xfId="23696" xr:uid="{00000000-0005-0000-0000-000093DD0000}"/>
    <cellStyle name="Normal 2 4 8 16 3 2 3 2" xfId="58954" xr:uid="{00000000-0005-0000-0000-000094DD0000}"/>
    <cellStyle name="Normal 2 4 8 16 3 2 4" xfId="58955" xr:uid="{00000000-0005-0000-0000-000095DD0000}"/>
    <cellStyle name="Normal 2 4 8 16 3 3" xfId="23697" xr:uid="{00000000-0005-0000-0000-000096DD0000}"/>
    <cellStyle name="Normal 2 4 8 16 3 3 2" xfId="58956" xr:uid="{00000000-0005-0000-0000-000097DD0000}"/>
    <cellStyle name="Normal 2 4 8 16 3 4" xfId="23698" xr:uid="{00000000-0005-0000-0000-000098DD0000}"/>
    <cellStyle name="Normal 2 4 8 16 3 4 2" xfId="58957" xr:uid="{00000000-0005-0000-0000-000099DD0000}"/>
    <cellStyle name="Normal 2 4 8 16 3 5" xfId="23699" xr:uid="{00000000-0005-0000-0000-00009ADD0000}"/>
    <cellStyle name="Normal 2 4 8 16 3 5 2" xfId="58958" xr:uid="{00000000-0005-0000-0000-00009BDD0000}"/>
    <cellStyle name="Normal 2 4 8 16 3 6" xfId="58959" xr:uid="{00000000-0005-0000-0000-00009CDD0000}"/>
    <cellStyle name="Normal 2 4 8 16 3 6 2" xfId="58960" xr:uid="{00000000-0005-0000-0000-00009DDD0000}"/>
    <cellStyle name="Normal 2 4 8 16 3 7" xfId="58961" xr:uid="{00000000-0005-0000-0000-00009EDD0000}"/>
    <cellStyle name="Normal 2 4 8 16 4" xfId="23700" xr:uid="{00000000-0005-0000-0000-00009FDD0000}"/>
    <cellStyle name="Normal 2 4 8 16 4 2" xfId="23701" xr:uid="{00000000-0005-0000-0000-0000A0DD0000}"/>
    <cellStyle name="Normal 2 4 8 16 4 2 2" xfId="58962" xr:uid="{00000000-0005-0000-0000-0000A1DD0000}"/>
    <cellStyle name="Normal 2 4 8 16 4 3" xfId="23702" xr:uid="{00000000-0005-0000-0000-0000A2DD0000}"/>
    <cellStyle name="Normal 2 4 8 16 4 3 2" xfId="58963" xr:uid="{00000000-0005-0000-0000-0000A3DD0000}"/>
    <cellStyle name="Normal 2 4 8 16 4 4" xfId="58964" xr:uid="{00000000-0005-0000-0000-0000A4DD0000}"/>
    <cellStyle name="Normal 2 4 8 16 5" xfId="23703" xr:uid="{00000000-0005-0000-0000-0000A5DD0000}"/>
    <cellStyle name="Normal 2 4 8 16 5 2" xfId="23704" xr:uid="{00000000-0005-0000-0000-0000A6DD0000}"/>
    <cellStyle name="Normal 2 4 8 16 5 2 2" xfId="58965" xr:uid="{00000000-0005-0000-0000-0000A7DD0000}"/>
    <cellStyle name="Normal 2 4 8 16 5 3" xfId="58966" xr:uid="{00000000-0005-0000-0000-0000A8DD0000}"/>
    <cellStyle name="Normal 2 4 8 16 6" xfId="23705" xr:uid="{00000000-0005-0000-0000-0000A9DD0000}"/>
    <cellStyle name="Normal 2 4 8 16 6 2" xfId="58967" xr:uid="{00000000-0005-0000-0000-0000AADD0000}"/>
    <cellStyle name="Normal 2 4 8 16 7" xfId="23706" xr:uid="{00000000-0005-0000-0000-0000ABDD0000}"/>
    <cellStyle name="Normal 2 4 8 16 7 2" xfId="58968" xr:uid="{00000000-0005-0000-0000-0000ACDD0000}"/>
    <cellStyle name="Normal 2 4 8 16 8" xfId="58969" xr:uid="{00000000-0005-0000-0000-0000ADDD0000}"/>
    <cellStyle name="Normal 2 4 8 16 8 2" xfId="58970" xr:uid="{00000000-0005-0000-0000-0000AEDD0000}"/>
    <cellStyle name="Normal 2 4 8 16 9" xfId="58971" xr:uid="{00000000-0005-0000-0000-0000AFDD0000}"/>
    <cellStyle name="Normal 2 4 8 17" xfId="23707" xr:uid="{00000000-0005-0000-0000-0000B0DD0000}"/>
    <cellStyle name="Normal 2 4 8 17 10" xfId="58972" xr:uid="{00000000-0005-0000-0000-0000B1DD0000}"/>
    <cellStyle name="Normal 2 4 8 17 11" xfId="58973" xr:uid="{00000000-0005-0000-0000-0000B2DD0000}"/>
    <cellStyle name="Normal 2 4 8 17 2" xfId="23708" xr:uid="{00000000-0005-0000-0000-0000B3DD0000}"/>
    <cellStyle name="Normal 2 4 8 17 2 10" xfId="58974" xr:uid="{00000000-0005-0000-0000-0000B4DD0000}"/>
    <cellStyle name="Normal 2 4 8 17 2 2" xfId="23709" xr:uid="{00000000-0005-0000-0000-0000B5DD0000}"/>
    <cellStyle name="Normal 2 4 8 17 2 2 2" xfId="23710" xr:uid="{00000000-0005-0000-0000-0000B6DD0000}"/>
    <cellStyle name="Normal 2 4 8 17 2 2 2 2" xfId="23711" xr:uid="{00000000-0005-0000-0000-0000B7DD0000}"/>
    <cellStyle name="Normal 2 4 8 17 2 2 2 2 2" xfId="58975" xr:uid="{00000000-0005-0000-0000-0000B8DD0000}"/>
    <cellStyle name="Normal 2 4 8 17 2 2 2 3" xfId="23712" xr:uid="{00000000-0005-0000-0000-0000B9DD0000}"/>
    <cellStyle name="Normal 2 4 8 17 2 2 2 3 2" xfId="58976" xr:uid="{00000000-0005-0000-0000-0000BADD0000}"/>
    <cellStyle name="Normal 2 4 8 17 2 2 2 4" xfId="58977" xr:uid="{00000000-0005-0000-0000-0000BBDD0000}"/>
    <cellStyle name="Normal 2 4 8 17 2 2 3" xfId="23713" xr:uid="{00000000-0005-0000-0000-0000BCDD0000}"/>
    <cellStyle name="Normal 2 4 8 17 2 2 3 2" xfId="58978" xr:uid="{00000000-0005-0000-0000-0000BDDD0000}"/>
    <cellStyle name="Normal 2 4 8 17 2 2 4" xfId="23714" xr:uid="{00000000-0005-0000-0000-0000BEDD0000}"/>
    <cellStyle name="Normal 2 4 8 17 2 2 4 2" xfId="58979" xr:uid="{00000000-0005-0000-0000-0000BFDD0000}"/>
    <cellStyle name="Normal 2 4 8 17 2 2 5" xfId="23715" xr:uid="{00000000-0005-0000-0000-0000C0DD0000}"/>
    <cellStyle name="Normal 2 4 8 17 2 2 5 2" xfId="58980" xr:uid="{00000000-0005-0000-0000-0000C1DD0000}"/>
    <cellStyle name="Normal 2 4 8 17 2 2 6" xfId="58981" xr:uid="{00000000-0005-0000-0000-0000C2DD0000}"/>
    <cellStyle name="Normal 2 4 8 17 2 2 6 2" xfId="58982" xr:uid="{00000000-0005-0000-0000-0000C3DD0000}"/>
    <cellStyle name="Normal 2 4 8 17 2 2 7" xfId="58983" xr:uid="{00000000-0005-0000-0000-0000C4DD0000}"/>
    <cellStyle name="Normal 2 4 8 17 2 3" xfId="23716" xr:uid="{00000000-0005-0000-0000-0000C5DD0000}"/>
    <cellStyle name="Normal 2 4 8 17 2 3 2" xfId="23717" xr:uid="{00000000-0005-0000-0000-0000C6DD0000}"/>
    <cellStyle name="Normal 2 4 8 17 2 3 2 2" xfId="58984" xr:uid="{00000000-0005-0000-0000-0000C7DD0000}"/>
    <cellStyle name="Normal 2 4 8 17 2 3 3" xfId="23718" xr:uid="{00000000-0005-0000-0000-0000C8DD0000}"/>
    <cellStyle name="Normal 2 4 8 17 2 3 3 2" xfId="58985" xr:uid="{00000000-0005-0000-0000-0000C9DD0000}"/>
    <cellStyle name="Normal 2 4 8 17 2 3 4" xfId="58986" xr:uid="{00000000-0005-0000-0000-0000CADD0000}"/>
    <cellStyle name="Normal 2 4 8 17 2 4" xfId="23719" xr:uid="{00000000-0005-0000-0000-0000CBDD0000}"/>
    <cellStyle name="Normal 2 4 8 17 2 4 2" xfId="23720" xr:uid="{00000000-0005-0000-0000-0000CCDD0000}"/>
    <cellStyle name="Normal 2 4 8 17 2 4 2 2" xfId="58987" xr:uid="{00000000-0005-0000-0000-0000CDDD0000}"/>
    <cellStyle name="Normal 2 4 8 17 2 4 3" xfId="58988" xr:uid="{00000000-0005-0000-0000-0000CEDD0000}"/>
    <cellStyle name="Normal 2 4 8 17 2 5" xfId="23721" xr:uid="{00000000-0005-0000-0000-0000CFDD0000}"/>
    <cellStyle name="Normal 2 4 8 17 2 5 2" xfId="58989" xr:uid="{00000000-0005-0000-0000-0000D0DD0000}"/>
    <cellStyle name="Normal 2 4 8 17 2 6" xfId="23722" xr:uid="{00000000-0005-0000-0000-0000D1DD0000}"/>
    <cellStyle name="Normal 2 4 8 17 2 6 2" xfId="58990" xr:uid="{00000000-0005-0000-0000-0000D2DD0000}"/>
    <cellStyle name="Normal 2 4 8 17 2 7" xfId="58991" xr:uid="{00000000-0005-0000-0000-0000D3DD0000}"/>
    <cellStyle name="Normal 2 4 8 17 2 7 2" xfId="58992" xr:uid="{00000000-0005-0000-0000-0000D4DD0000}"/>
    <cellStyle name="Normal 2 4 8 17 2 8" xfId="58993" xr:uid="{00000000-0005-0000-0000-0000D5DD0000}"/>
    <cellStyle name="Normal 2 4 8 17 2 9" xfId="58994" xr:uid="{00000000-0005-0000-0000-0000D6DD0000}"/>
    <cellStyle name="Normal 2 4 8 17 3" xfId="23723" xr:uid="{00000000-0005-0000-0000-0000D7DD0000}"/>
    <cellStyle name="Normal 2 4 8 17 3 2" xfId="23724" xr:uid="{00000000-0005-0000-0000-0000D8DD0000}"/>
    <cellStyle name="Normal 2 4 8 17 3 2 2" xfId="23725" xr:uid="{00000000-0005-0000-0000-0000D9DD0000}"/>
    <cellStyle name="Normal 2 4 8 17 3 2 2 2" xfId="58995" xr:uid="{00000000-0005-0000-0000-0000DADD0000}"/>
    <cellStyle name="Normal 2 4 8 17 3 2 3" xfId="23726" xr:uid="{00000000-0005-0000-0000-0000DBDD0000}"/>
    <cellStyle name="Normal 2 4 8 17 3 2 3 2" xfId="58996" xr:uid="{00000000-0005-0000-0000-0000DCDD0000}"/>
    <cellStyle name="Normal 2 4 8 17 3 2 4" xfId="58997" xr:uid="{00000000-0005-0000-0000-0000DDDD0000}"/>
    <cellStyle name="Normal 2 4 8 17 3 3" xfId="23727" xr:uid="{00000000-0005-0000-0000-0000DEDD0000}"/>
    <cellStyle name="Normal 2 4 8 17 3 3 2" xfId="58998" xr:uid="{00000000-0005-0000-0000-0000DFDD0000}"/>
    <cellStyle name="Normal 2 4 8 17 3 4" xfId="23728" xr:uid="{00000000-0005-0000-0000-0000E0DD0000}"/>
    <cellStyle name="Normal 2 4 8 17 3 4 2" xfId="58999" xr:uid="{00000000-0005-0000-0000-0000E1DD0000}"/>
    <cellStyle name="Normal 2 4 8 17 3 5" xfId="23729" xr:uid="{00000000-0005-0000-0000-0000E2DD0000}"/>
    <cellStyle name="Normal 2 4 8 17 3 5 2" xfId="59000" xr:uid="{00000000-0005-0000-0000-0000E3DD0000}"/>
    <cellStyle name="Normal 2 4 8 17 3 6" xfId="59001" xr:uid="{00000000-0005-0000-0000-0000E4DD0000}"/>
    <cellStyle name="Normal 2 4 8 17 3 6 2" xfId="59002" xr:uid="{00000000-0005-0000-0000-0000E5DD0000}"/>
    <cellStyle name="Normal 2 4 8 17 3 7" xfId="59003" xr:uid="{00000000-0005-0000-0000-0000E6DD0000}"/>
    <cellStyle name="Normal 2 4 8 17 4" xfId="23730" xr:uid="{00000000-0005-0000-0000-0000E7DD0000}"/>
    <cellStyle name="Normal 2 4 8 17 4 2" xfId="23731" xr:uid="{00000000-0005-0000-0000-0000E8DD0000}"/>
    <cellStyle name="Normal 2 4 8 17 4 2 2" xfId="59004" xr:uid="{00000000-0005-0000-0000-0000E9DD0000}"/>
    <cellStyle name="Normal 2 4 8 17 4 3" xfId="23732" xr:uid="{00000000-0005-0000-0000-0000EADD0000}"/>
    <cellStyle name="Normal 2 4 8 17 4 3 2" xfId="59005" xr:uid="{00000000-0005-0000-0000-0000EBDD0000}"/>
    <cellStyle name="Normal 2 4 8 17 4 4" xfId="59006" xr:uid="{00000000-0005-0000-0000-0000ECDD0000}"/>
    <cellStyle name="Normal 2 4 8 17 5" xfId="23733" xr:uid="{00000000-0005-0000-0000-0000EDDD0000}"/>
    <cellStyle name="Normal 2 4 8 17 5 2" xfId="23734" xr:uid="{00000000-0005-0000-0000-0000EEDD0000}"/>
    <cellStyle name="Normal 2 4 8 17 5 2 2" xfId="59007" xr:uid="{00000000-0005-0000-0000-0000EFDD0000}"/>
    <cellStyle name="Normal 2 4 8 17 5 3" xfId="59008" xr:uid="{00000000-0005-0000-0000-0000F0DD0000}"/>
    <cellStyle name="Normal 2 4 8 17 6" xfId="23735" xr:uid="{00000000-0005-0000-0000-0000F1DD0000}"/>
    <cellStyle name="Normal 2 4 8 17 6 2" xfId="59009" xr:uid="{00000000-0005-0000-0000-0000F2DD0000}"/>
    <cellStyle name="Normal 2 4 8 17 7" xfId="23736" xr:uid="{00000000-0005-0000-0000-0000F3DD0000}"/>
    <cellStyle name="Normal 2 4 8 17 7 2" xfId="59010" xr:uid="{00000000-0005-0000-0000-0000F4DD0000}"/>
    <cellStyle name="Normal 2 4 8 17 8" xfId="59011" xr:uid="{00000000-0005-0000-0000-0000F5DD0000}"/>
    <cellStyle name="Normal 2 4 8 17 8 2" xfId="59012" xr:uid="{00000000-0005-0000-0000-0000F6DD0000}"/>
    <cellStyle name="Normal 2 4 8 17 9" xfId="59013" xr:uid="{00000000-0005-0000-0000-0000F7DD0000}"/>
    <cellStyle name="Normal 2 4 8 18" xfId="23737" xr:uid="{00000000-0005-0000-0000-0000F8DD0000}"/>
    <cellStyle name="Normal 2 4 8 18 10" xfId="59014" xr:uid="{00000000-0005-0000-0000-0000F9DD0000}"/>
    <cellStyle name="Normal 2 4 8 18 11" xfId="59015" xr:uid="{00000000-0005-0000-0000-0000FADD0000}"/>
    <cellStyle name="Normal 2 4 8 18 2" xfId="23738" xr:uid="{00000000-0005-0000-0000-0000FBDD0000}"/>
    <cellStyle name="Normal 2 4 8 18 2 10" xfId="59016" xr:uid="{00000000-0005-0000-0000-0000FCDD0000}"/>
    <cellStyle name="Normal 2 4 8 18 2 2" xfId="23739" xr:uid="{00000000-0005-0000-0000-0000FDDD0000}"/>
    <cellStyle name="Normal 2 4 8 18 2 2 2" xfId="23740" xr:uid="{00000000-0005-0000-0000-0000FEDD0000}"/>
    <cellStyle name="Normal 2 4 8 18 2 2 2 2" xfId="23741" xr:uid="{00000000-0005-0000-0000-0000FFDD0000}"/>
    <cellStyle name="Normal 2 4 8 18 2 2 2 2 2" xfId="59017" xr:uid="{00000000-0005-0000-0000-000000DE0000}"/>
    <cellStyle name="Normal 2 4 8 18 2 2 2 3" xfId="23742" xr:uid="{00000000-0005-0000-0000-000001DE0000}"/>
    <cellStyle name="Normal 2 4 8 18 2 2 2 3 2" xfId="59018" xr:uid="{00000000-0005-0000-0000-000002DE0000}"/>
    <cellStyle name="Normal 2 4 8 18 2 2 2 4" xfId="59019" xr:uid="{00000000-0005-0000-0000-000003DE0000}"/>
    <cellStyle name="Normal 2 4 8 18 2 2 3" xfId="23743" xr:uid="{00000000-0005-0000-0000-000004DE0000}"/>
    <cellStyle name="Normal 2 4 8 18 2 2 3 2" xfId="59020" xr:uid="{00000000-0005-0000-0000-000005DE0000}"/>
    <cellStyle name="Normal 2 4 8 18 2 2 4" xfId="23744" xr:uid="{00000000-0005-0000-0000-000006DE0000}"/>
    <cellStyle name="Normal 2 4 8 18 2 2 4 2" xfId="59021" xr:uid="{00000000-0005-0000-0000-000007DE0000}"/>
    <cellStyle name="Normal 2 4 8 18 2 2 5" xfId="23745" xr:uid="{00000000-0005-0000-0000-000008DE0000}"/>
    <cellStyle name="Normal 2 4 8 18 2 2 5 2" xfId="59022" xr:uid="{00000000-0005-0000-0000-000009DE0000}"/>
    <cellStyle name="Normal 2 4 8 18 2 2 6" xfId="59023" xr:uid="{00000000-0005-0000-0000-00000ADE0000}"/>
    <cellStyle name="Normal 2 4 8 18 2 2 6 2" xfId="59024" xr:uid="{00000000-0005-0000-0000-00000BDE0000}"/>
    <cellStyle name="Normal 2 4 8 18 2 2 7" xfId="59025" xr:uid="{00000000-0005-0000-0000-00000CDE0000}"/>
    <cellStyle name="Normal 2 4 8 18 2 3" xfId="23746" xr:uid="{00000000-0005-0000-0000-00000DDE0000}"/>
    <cellStyle name="Normal 2 4 8 18 2 3 2" xfId="23747" xr:uid="{00000000-0005-0000-0000-00000EDE0000}"/>
    <cellStyle name="Normal 2 4 8 18 2 3 2 2" xfId="59026" xr:uid="{00000000-0005-0000-0000-00000FDE0000}"/>
    <cellStyle name="Normal 2 4 8 18 2 3 3" xfId="23748" xr:uid="{00000000-0005-0000-0000-000010DE0000}"/>
    <cellStyle name="Normal 2 4 8 18 2 3 3 2" xfId="59027" xr:uid="{00000000-0005-0000-0000-000011DE0000}"/>
    <cellStyle name="Normal 2 4 8 18 2 3 4" xfId="59028" xr:uid="{00000000-0005-0000-0000-000012DE0000}"/>
    <cellStyle name="Normal 2 4 8 18 2 4" xfId="23749" xr:uid="{00000000-0005-0000-0000-000013DE0000}"/>
    <cellStyle name="Normal 2 4 8 18 2 4 2" xfId="23750" xr:uid="{00000000-0005-0000-0000-000014DE0000}"/>
    <cellStyle name="Normal 2 4 8 18 2 4 2 2" xfId="59029" xr:uid="{00000000-0005-0000-0000-000015DE0000}"/>
    <cellStyle name="Normal 2 4 8 18 2 4 3" xfId="59030" xr:uid="{00000000-0005-0000-0000-000016DE0000}"/>
    <cellStyle name="Normal 2 4 8 18 2 5" xfId="23751" xr:uid="{00000000-0005-0000-0000-000017DE0000}"/>
    <cellStyle name="Normal 2 4 8 18 2 5 2" xfId="59031" xr:uid="{00000000-0005-0000-0000-000018DE0000}"/>
    <cellStyle name="Normal 2 4 8 18 2 6" xfId="23752" xr:uid="{00000000-0005-0000-0000-000019DE0000}"/>
    <cellStyle name="Normal 2 4 8 18 2 6 2" xfId="59032" xr:uid="{00000000-0005-0000-0000-00001ADE0000}"/>
    <cellStyle name="Normal 2 4 8 18 2 7" xfId="59033" xr:uid="{00000000-0005-0000-0000-00001BDE0000}"/>
    <cellStyle name="Normal 2 4 8 18 2 7 2" xfId="59034" xr:uid="{00000000-0005-0000-0000-00001CDE0000}"/>
    <cellStyle name="Normal 2 4 8 18 2 8" xfId="59035" xr:uid="{00000000-0005-0000-0000-00001DDE0000}"/>
    <cellStyle name="Normal 2 4 8 18 2 9" xfId="59036" xr:uid="{00000000-0005-0000-0000-00001EDE0000}"/>
    <cellStyle name="Normal 2 4 8 18 3" xfId="23753" xr:uid="{00000000-0005-0000-0000-00001FDE0000}"/>
    <cellStyle name="Normal 2 4 8 18 3 2" xfId="23754" xr:uid="{00000000-0005-0000-0000-000020DE0000}"/>
    <cellStyle name="Normal 2 4 8 18 3 2 2" xfId="23755" xr:uid="{00000000-0005-0000-0000-000021DE0000}"/>
    <cellStyle name="Normal 2 4 8 18 3 2 2 2" xfId="59037" xr:uid="{00000000-0005-0000-0000-000022DE0000}"/>
    <cellStyle name="Normal 2 4 8 18 3 2 3" xfId="23756" xr:uid="{00000000-0005-0000-0000-000023DE0000}"/>
    <cellStyle name="Normal 2 4 8 18 3 2 3 2" xfId="59038" xr:uid="{00000000-0005-0000-0000-000024DE0000}"/>
    <cellStyle name="Normal 2 4 8 18 3 2 4" xfId="59039" xr:uid="{00000000-0005-0000-0000-000025DE0000}"/>
    <cellStyle name="Normal 2 4 8 18 3 3" xfId="23757" xr:uid="{00000000-0005-0000-0000-000026DE0000}"/>
    <cellStyle name="Normal 2 4 8 18 3 3 2" xfId="59040" xr:uid="{00000000-0005-0000-0000-000027DE0000}"/>
    <cellStyle name="Normal 2 4 8 18 3 4" xfId="23758" xr:uid="{00000000-0005-0000-0000-000028DE0000}"/>
    <cellStyle name="Normal 2 4 8 18 3 4 2" xfId="59041" xr:uid="{00000000-0005-0000-0000-000029DE0000}"/>
    <cellStyle name="Normal 2 4 8 18 3 5" xfId="23759" xr:uid="{00000000-0005-0000-0000-00002ADE0000}"/>
    <cellStyle name="Normal 2 4 8 18 3 5 2" xfId="59042" xr:uid="{00000000-0005-0000-0000-00002BDE0000}"/>
    <cellStyle name="Normal 2 4 8 18 3 6" xfId="59043" xr:uid="{00000000-0005-0000-0000-00002CDE0000}"/>
    <cellStyle name="Normal 2 4 8 18 3 6 2" xfId="59044" xr:uid="{00000000-0005-0000-0000-00002DDE0000}"/>
    <cellStyle name="Normal 2 4 8 18 3 7" xfId="59045" xr:uid="{00000000-0005-0000-0000-00002EDE0000}"/>
    <cellStyle name="Normal 2 4 8 18 4" xfId="23760" xr:uid="{00000000-0005-0000-0000-00002FDE0000}"/>
    <cellStyle name="Normal 2 4 8 18 4 2" xfId="23761" xr:uid="{00000000-0005-0000-0000-000030DE0000}"/>
    <cellStyle name="Normal 2 4 8 18 4 2 2" xfId="59046" xr:uid="{00000000-0005-0000-0000-000031DE0000}"/>
    <cellStyle name="Normal 2 4 8 18 4 3" xfId="23762" xr:uid="{00000000-0005-0000-0000-000032DE0000}"/>
    <cellStyle name="Normal 2 4 8 18 4 3 2" xfId="59047" xr:uid="{00000000-0005-0000-0000-000033DE0000}"/>
    <cellStyle name="Normal 2 4 8 18 4 4" xfId="59048" xr:uid="{00000000-0005-0000-0000-000034DE0000}"/>
    <cellStyle name="Normal 2 4 8 18 5" xfId="23763" xr:uid="{00000000-0005-0000-0000-000035DE0000}"/>
    <cellStyle name="Normal 2 4 8 18 5 2" xfId="23764" xr:uid="{00000000-0005-0000-0000-000036DE0000}"/>
    <cellStyle name="Normal 2 4 8 18 5 2 2" xfId="59049" xr:uid="{00000000-0005-0000-0000-000037DE0000}"/>
    <cellStyle name="Normal 2 4 8 18 5 3" xfId="59050" xr:uid="{00000000-0005-0000-0000-000038DE0000}"/>
    <cellStyle name="Normal 2 4 8 18 6" xfId="23765" xr:uid="{00000000-0005-0000-0000-000039DE0000}"/>
    <cellStyle name="Normal 2 4 8 18 6 2" xfId="59051" xr:uid="{00000000-0005-0000-0000-00003ADE0000}"/>
    <cellStyle name="Normal 2 4 8 18 7" xfId="23766" xr:uid="{00000000-0005-0000-0000-00003BDE0000}"/>
    <cellStyle name="Normal 2 4 8 18 7 2" xfId="59052" xr:uid="{00000000-0005-0000-0000-00003CDE0000}"/>
    <cellStyle name="Normal 2 4 8 18 8" xfId="59053" xr:uid="{00000000-0005-0000-0000-00003DDE0000}"/>
    <cellStyle name="Normal 2 4 8 18 8 2" xfId="59054" xr:uid="{00000000-0005-0000-0000-00003EDE0000}"/>
    <cellStyle name="Normal 2 4 8 18 9" xfId="59055" xr:uid="{00000000-0005-0000-0000-00003FDE0000}"/>
    <cellStyle name="Normal 2 4 8 19" xfId="23767" xr:uid="{00000000-0005-0000-0000-000040DE0000}"/>
    <cellStyle name="Normal 2 4 8 19 10" xfId="59056" xr:uid="{00000000-0005-0000-0000-000041DE0000}"/>
    <cellStyle name="Normal 2 4 8 19 11" xfId="59057" xr:uid="{00000000-0005-0000-0000-000042DE0000}"/>
    <cellStyle name="Normal 2 4 8 19 2" xfId="23768" xr:uid="{00000000-0005-0000-0000-000043DE0000}"/>
    <cellStyle name="Normal 2 4 8 19 2 10" xfId="59058" xr:uid="{00000000-0005-0000-0000-000044DE0000}"/>
    <cellStyle name="Normal 2 4 8 19 2 2" xfId="23769" xr:uid="{00000000-0005-0000-0000-000045DE0000}"/>
    <cellStyle name="Normal 2 4 8 19 2 2 2" xfId="23770" xr:uid="{00000000-0005-0000-0000-000046DE0000}"/>
    <cellStyle name="Normal 2 4 8 19 2 2 2 2" xfId="23771" xr:uid="{00000000-0005-0000-0000-000047DE0000}"/>
    <cellStyle name="Normal 2 4 8 19 2 2 2 2 2" xfId="59059" xr:uid="{00000000-0005-0000-0000-000048DE0000}"/>
    <cellStyle name="Normal 2 4 8 19 2 2 2 3" xfId="23772" xr:uid="{00000000-0005-0000-0000-000049DE0000}"/>
    <cellStyle name="Normal 2 4 8 19 2 2 2 3 2" xfId="59060" xr:uid="{00000000-0005-0000-0000-00004ADE0000}"/>
    <cellStyle name="Normal 2 4 8 19 2 2 2 4" xfId="59061" xr:uid="{00000000-0005-0000-0000-00004BDE0000}"/>
    <cellStyle name="Normal 2 4 8 19 2 2 3" xfId="23773" xr:uid="{00000000-0005-0000-0000-00004CDE0000}"/>
    <cellStyle name="Normal 2 4 8 19 2 2 3 2" xfId="59062" xr:uid="{00000000-0005-0000-0000-00004DDE0000}"/>
    <cellStyle name="Normal 2 4 8 19 2 2 4" xfId="23774" xr:uid="{00000000-0005-0000-0000-00004EDE0000}"/>
    <cellStyle name="Normal 2 4 8 19 2 2 4 2" xfId="59063" xr:uid="{00000000-0005-0000-0000-00004FDE0000}"/>
    <cellStyle name="Normal 2 4 8 19 2 2 5" xfId="23775" xr:uid="{00000000-0005-0000-0000-000050DE0000}"/>
    <cellStyle name="Normal 2 4 8 19 2 2 5 2" xfId="59064" xr:uid="{00000000-0005-0000-0000-000051DE0000}"/>
    <cellStyle name="Normal 2 4 8 19 2 2 6" xfId="59065" xr:uid="{00000000-0005-0000-0000-000052DE0000}"/>
    <cellStyle name="Normal 2 4 8 19 2 2 6 2" xfId="59066" xr:uid="{00000000-0005-0000-0000-000053DE0000}"/>
    <cellStyle name="Normal 2 4 8 19 2 2 7" xfId="59067" xr:uid="{00000000-0005-0000-0000-000054DE0000}"/>
    <cellStyle name="Normal 2 4 8 19 2 3" xfId="23776" xr:uid="{00000000-0005-0000-0000-000055DE0000}"/>
    <cellStyle name="Normal 2 4 8 19 2 3 2" xfId="23777" xr:uid="{00000000-0005-0000-0000-000056DE0000}"/>
    <cellStyle name="Normal 2 4 8 19 2 3 2 2" xfId="59068" xr:uid="{00000000-0005-0000-0000-000057DE0000}"/>
    <cellStyle name="Normal 2 4 8 19 2 3 3" xfId="23778" xr:uid="{00000000-0005-0000-0000-000058DE0000}"/>
    <cellStyle name="Normal 2 4 8 19 2 3 3 2" xfId="59069" xr:uid="{00000000-0005-0000-0000-000059DE0000}"/>
    <cellStyle name="Normal 2 4 8 19 2 3 4" xfId="59070" xr:uid="{00000000-0005-0000-0000-00005ADE0000}"/>
    <cellStyle name="Normal 2 4 8 19 2 4" xfId="23779" xr:uid="{00000000-0005-0000-0000-00005BDE0000}"/>
    <cellStyle name="Normal 2 4 8 19 2 4 2" xfId="23780" xr:uid="{00000000-0005-0000-0000-00005CDE0000}"/>
    <cellStyle name="Normal 2 4 8 19 2 4 2 2" xfId="59071" xr:uid="{00000000-0005-0000-0000-00005DDE0000}"/>
    <cellStyle name="Normal 2 4 8 19 2 4 3" xfId="59072" xr:uid="{00000000-0005-0000-0000-00005EDE0000}"/>
    <cellStyle name="Normal 2 4 8 19 2 5" xfId="23781" xr:uid="{00000000-0005-0000-0000-00005FDE0000}"/>
    <cellStyle name="Normal 2 4 8 19 2 5 2" xfId="59073" xr:uid="{00000000-0005-0000-0000-000060DE0000}"/>
    <cellStyle name="Normal 2 4 8 19 2 6" xfId="23782" xr:uid="{00000000-0005-0000-0000-000061DE0000}"/>
    <cellStyle name="Normal 2 4 8 19 2 6 2" xfId="59074" xr:uid="{00000000-0005-0000-0000-000062DE0000}"/>
    <cellStyle name="Normal 2 4 8 19 2 7" xfId="59075" xr:uid="{00000000-0005-0000-0000-000063DE0000}"/>
    <cellStyle name="Normal 2 4 8 19 2 7 2" xfId="59076" xr:uid="{00000000-0005-0000-0000-000064DE0000}"/>
    <cellStyle name="Normal 2 4 8 19 2 8" xfId="59077" xr:uid="{00000000-0005-0000-0000-000065DE0000}"/>
    <cellStyle name="Normal 2 4 8 19 2 9" xfId="59078" xr:uid="{00000000-0005-0000-0000-000066DE0000}"/>
    <cellStyle name="Normal 2 4 8 19 3" xfId="23783" xr:uid="{00000000-0005-0000-0000-000067DE0000}"/>
    <cellStyle name="Normal 2 4 8 19 3 2" xfId="23784" xr:uid="{00000000-0005-0000-0000-000068DE0000}"/>
    <cellStyle name="Normal 2 4 8 19 3 2 2" xfId="23785" xr:uid="{00000000-0005-0000-0000-000069DE0000}"/>
    <cellStyle name="Normal 2 4 8 19 3 2 2 2" xfId="59079" xr:uid="{00000000-0005-0000-0000-00006ADE0000}"/>
    <cellStyle name="Normal 2 4 8 19 3 2 3" xfId="23786" xr:uid="{00000000-0005-0000-0000-00006BDE0000}"/>
    <cellStyle name="Normal 2 4 8 19 3 2 3 2" xfId="59080" xr:uid="{00000000-0005-0000-0000-00006CDE0000}"/>
    <cellStyle name="Normal 2 4 8 19 3 2 4" xfId="59081" xr:uid="{00000000-0005-0000-0000-00006DDE0000}"/>
    <cellStyle name="Normal 2 4 8 19 3 3" xfId="23787" xr:uid="{00000000-0005-0000-0000-00006EDE0000}"/>
    <cellStyle name="Normal 2 4 8 19 3 3 2" xfId="59082" xr:uid="{00000000-0005-0000-0000-00006FDE0000}"/>
    <cellStyle name="Normal 2 4 8 19 3 4" xfId="23788" xr:uid="{00000000-0005-0000-0000-000070DE0000}"/>
    <cellStyle name="Normal 2 4 8 19 3 4 2" xfId="59083" xr:uid="{00000000-0005-0000-0000-000071DE0000}"/>
    <cellStyle name="Normal 2 4 8 19 3 5" xfId="23789" xr:uid="{00000000-0005-0000-0000-000072DE0000}"/>
    <cellStyle name="Normal 2 4 8 19 3 5 2" xfId="59084" xr:uid="{00000000-0005-0000-0000-000073DE0000}"/>
    <cellStyle name="Normal 2 4 8 19 3 6" xfId="59085" xr:uid="{00000000-0005-0000-0000-000074DE0000}"/>
    <cellStyle name="Normal 2 4 8 19 3 6 2" xfId="59086" xr:uid="{00000000-0005-0000-0000-000075DE0000}"/>
    <cellStyle name="Normal 2 4 8 19 3 7" xfId="59087" xr:uid="{00000000-0005-0000-0000-000076DE0000}"/>
    <cellStyle name="Normal 2 4 8 19 4" xfId="23790" xr:uid="{00000000-0005-0000-0000-000077DE0000}"/>
    <cellStyle name="Normal 2 4 8 19 4 2" xfId="23791" xr:uid="{00000000-0005-0000-0000-000078DE0000}"/>
    <cellStyle name="Normal 2 4 8 19 4 2 2" xfId="59088" xr:uid="{00000000-0005-0000-0000-000079DE0000}"/>
    <cellStyle name="Normal 2 4 8 19 4 3" xfId="23792" xr:uid="{00000000-0005-0000-0000-00007ADE0000}"/>
    <cellStyle name="Normal 2 4 8 19 4 3 2" xfId="59089" xr:uid="{00000000-0005-0000-0000-00007BDE0000}"/>
    <cellStyle name="Normal 2 4 8 19 4 4" xfId="59090" xr:uid="{00000000-0005-0000-0000-00007CDE0000}"/>
    <cellStyle name="Normal 2 4 8 19 5" xfId="23793" xr:uid="{00000000-0005-0000-0000-00007DDE0000}"/>
    <cellStyle name="Normal 2 4 8 19 5 2" xfId="23794" xr:uid="{00000000-0005-0000-0000-00007EDE0000}"/>
    <cellStyle name="Normal 2 4 8 19 5 2 2" xfId="59091" xr:uid="{00000000-0005-0000-0000-00007FDE0000}"/>
    <cellStyle name="Normal 2 4 8 19 5 3" xfId="59092" xr:uid="{00000000-0005-0000-0000-000080DE0000}"/>
    <cellStyle name="Normal 2 4 8 19 6" xfId="23795" xr:uid="{00000000-0005-0000-0000-000081DE0000}"/>
    <cellStyle name="Normal 2 4 8 19 6 2" xfId="59093" xr:uid="{00000000-0005-0000-0000-000082DE0000}"/>
    <cellStyle name="Normal 2 4 8 19 7" xfId="23796" xr:uid="{00000000-0005-0000-0000-000083DE0000}"/>
    <cellStyle name="Normal 2 4 8 19 7 2" xfId="59094" xr:uid="{00000000-0005-0000-0000-000084DE0000}"/>
    <cellStyle name="Normal 2 4 8 19 8" xfId="59095" xr:uid="{00000000-0005-0000-0000-000085DE0000}"/>
    <cellStyle name="Normal 2 4 8 19 8 2" xfId="59096" xr:uid="{00000000-0005-0000-0000-000086DE0000}"/>
    <cellStyle name="Normal 2 4 8 19 9" xfId="59097" xr:uid="{00000000-0005-0000-0000-000087DE0000}"/>
    <cellStyle name="Normal 2 4 8 2" xfId="23797" xr:uid="{00000000-0005-0000-0000-000088DE0000}"/>
    <cellStyle name="Normal 2 4 8 2 10" xfId="59098" xr:uid="{00000000-0005-0000-0000-000089DE0000}"/>
    <cellStyle name="Normal 2 4 8 2 11" xfId="59099" xr:uid="{00000000-0005-0000-0000-00008ADE0000}"/>
    <cellStyle name="Normal 2 4 8 2 2" xfId="23798" xr:uid="{00000000-0005-0000-0000-00008BDE0000}"/>
    <cellStyle name="Normal 2 4 8 2 2 10" xfId="59100" xr:uid="{00000000-0005-0000-0000-00008CDE0000}"/>
    <cellStyle name="Normal 2 4 8 2 2 2" xfId="23799" xr:uid="{00000000-0005-0000-0000-00008DDE0000}"/>
    <cellStyle name="Normal 2 4 8 2 2 2 2" xfId="23800" xr:uid="{00000000-0005-0000-0000-00008EDE0000}"/>
    <cellStyle name="Normal 2 4 8 2 2 2 2 2" xfId="23801" xr:uid="{00000000-0005-0000-0000-00008FDE0000}"/>
    <cellStyle name="Normal 2 4 8 2 2 2 2 2 2" xfId="59101" xr:uid="{00000000-0005-0000-0000-000090DE0000}"/>
    <cellStyle name="Normal 2 4 8 2 2 2 2 3" xfId="23802" xr:uid="{00000000-0005-0000-0000-000091DE0000}"/>
    <cellStyle name="Normal 2 4 8 2 2 2 2 3 2" xfId="59102" xr:uid="{00000000-0005-0000-0000-000092DE0000}"/>
    <cellStyle name="Normal 2 4 8 2 2 2 2 4" xfId="59103" xr:uid="{00000000-0005-0000-0000-000093DE0000}"/>
    <cellStyle name="Normal 2 4 8 2 2 2 3" xfId="23803" xr:uid="{00000000-0005-0000-0000-000094DE0000}"/>
    <cellStyle name="Normal 2 4 8 2 2 2 3 2" xfId="59104" xr:uid="{00000000-0005-0000-0000-000095DE0000}"/>
    <cellStyle name="Normal 2 4 8 2 2 2 4" xfId="23804" xr:uid="{00000000-0005-0000-0000-000096DE0000}"/>
    <cellStyle name="Normal 2 4 8 2 2 2 4 2" xfId="59105" xr:uid="{00000000-0005-0000-0000-000097DE0000}"/>
    <cellStyle name="Normal 2 4 8 2 2 2 5" xfId="23805" xr:uid="{00000000-0005-0000-0000-000098DE0000}"/>
    <cellStyle name="Normal 2 4 8 2 2 2 5 2" xfId="59106" xr:uid="{00000000-0005-0000-0000-000099DE0000}"/>
    <cellStyle name="Normal 2 4 8 2 2 2 6" xfId="59107" xr:uid="{00000000-0005-0000-0000-00009ADE0000}"/>
    <cellStyle name="Normal 2 4 8 2 2 2 6 2" xfId="59108" xr:uid="{00000000-0005-0000-0000-00009BDE0000}"/>
    <cellStyle name="Normal 2 4 8 2 2 2 7" xfId="59109" xr:uid="{00000000-0005-0000-0000-00009CDE0000}"/>
    <cellStyle name="Normal 2 4 8 2 2 3" xfId="23806" xr:uid="{00000000-0005-0000-0000-00009DDE0000}"/>
    <cellStyle name="Normal 2 4 8 2 2 3 2" xfId="23807" xr:uid="{00000000-0005-0000-0000-00009EDE0000}"/>
    <cellStyle name="Normal 2 4 8 2 2 3 2 2" xfId="59110" xr:uid="{00000000-0005-0000-0000-00009FDE0000}"/>
    <cellStyle name="Normal 2 4 8 2 2 3 3" xfId="23808" xr:uid="{00000000-0005-0000-0000-0000A0DE0000}"/>
    <cellStyle name="Normal 2 4 8 2 2 3 3 2" xfId="59111" xr:uid="{00000000-0005-0000-0000-0000A1DE0000}"/>
    <cellStyle name="Normal 2 4 8 2 2 3 4" xfId="59112" xr:uid="{00000000-0005-0000-0000-0000A2DE0000}"/>
    <cellStyle name="Normal 2 4 8 2 2 4" xfId="23809" xr:uid="{00000000-0005-0000-0000-0000A3DE0000}"/>
    <cellStyle name="Normal 2 4 8 2 2 4 2" xfId="23810" xr:uid="{00000000-0005-0000-0000-0000A4DE0000}"/>
    <cellStyle name="Normal 2 4 8 2 2 4 2 2" xfId="59113" xr:uid="{00000000-0005-0000-0000-0000A5DE0000}"/>
    <cellStyle name="Normal 2 4 8 2 2 4 3" xfId="59114" xr:uid="{00000000-0005-0000-0000-0000A6DE0000}"/>
    <cellStyle name="Normal 2 4 8 2 2 5" xfId="23811" xr:uid="{00000000-0005-0000-0000-0000A7DE0000}"/>
    <cellStyle name="Normal 2 4 8 2 2 5 2" xfId="59115" xr:uid="{00000000-0005-0000-0000-0000A8DE0000}"/>
    <cellStyle name="Normal 2 4 8 2 2 6" xfId="23812" xr:uid="{00000000-0005-0000-0000-0000A9DE0000}"/>
    <cellStyle name="Normal 2 4 8 2 2 6 2" xfId="59116" xr:uid="{00000000-0005-0000-0000-0000AADE0000}"/>
    <cellStyle name="Normal 2 4 8 2 2 7" xfId="59117" xr:uid="{00000000-0005-0000-0000-0000ABDE0000}"/>
    <cellStyle name="Normal 2 4 8 2 2 7 2" xfId="59118" xr:uid="{00000000-0005-0000-0000-0000ACDE0000}"/>
    <cellStyle name="Normal 2 4 8 2 2 8" xfId="59119" xr:uid="{00000000-0005-0000-0000-0000ADDE0000}"/>
    <cellStyle name="Normal 2 4 8 2 2 9" xfId="59120" xr:uid="{00000000-0005-0000-0000-0000AEDE0000}"/>
    <cellStyle name="Normal 2 4 8 2 3" xfId="23813" xr:uid="{00000000-0005-0000-0000-0000AFDE0000}"/>
    <cellStyle name="Normal 2 4 8 2 3 2" xfId="23814" xr:uid="{00000000-0005-0000-0000-0000B0DE0000}"/>
    <cellStyle name="Normal 2 4 8 2 3 2 2" xfId="23815" xr:uid="{00000000-0005-0000-0000-0000B1DE0000}"/>
    <cellStyle name="Normal 2 4 8 2 3 2 2 2" xfId="59121" xr:uid="{00000000-0005-0000-0000-0000B2DE0000}"/>
    <cellStyle name="Normal 2 4 8 2 3 2 3" xfId="23816" xr:uid="{00000000-0005-0000-0000-0000B3DE0000}"/>
    <cellStyle name="Normal 2 4 8 2 3 2 3 2" xfId="59122" xr:uid="{00000000-0005-0000-0000-0000B4DE0000}"/>
    <cellStyle name="Normal 2 4 8 2 3 2 4" xfId="59123" xr:uid="{00000000-0005-0000-0000-0000B5DE0000}"/>
    <cellStyle name="Normal 2 4 8 2 3 3" xfId="23817" xr:uid="{00000000-0005-0000-0000-0000B6DE0000}"/>
    <cellStyle name="Normal 2 4 8 2 3 3 2" xfId="59124" xr:uid="{00000000-0005-0000-0000-0000B7DE0000}"/>
    <cellStyle name="Normal 2 4 8 2 3 4" xfId="23818" xr:uid="{00000000-0005-0000-0000-0000B8DE0000}"/>
    <cellStyle name="Normal 2 4 8 2 3 4 2" xfId="59125" xr:uid="{00000000-0005-0000-0000-0000B9DE0000}"/>
    <cellStyle name="Normal 2 4 8 2 3 5" xfId="23819" xr:uid="{00000000-0005-0000-0000-0000BADE0000}"/>
    <cellStyle name="Normal 2 4 8 2 3 5 2" xfId="59126" xr:uid="{00000000-0005-0000-0000-0000BBDE0000}"/>
    <cellStyle name="Normal 2 4 8 2 3 6" xfId="59127" xr:uid="{00000000-0005-0000-0000-0000BCDE0000}"/>
    <cellStyle name="Normal 2 4 8 2 3 6 2" xfId="59128" xr:uid="{00000000-0005-0000-0000-0000BDDE0000}"/>
    <cellStyle name="Normal 2 4 8 2 3 7" xfId="59129" xr:uid="{00000000-0005-0000-0000-0000BEDE0000}"/>
    <cellStyle name="Normal 2 4 8 2 4" xfId="23820" xr:uid="{00000000-0005-0000-0000-0000BFDE0000}"/>
    <cellStyle name="Normal 2 4 8 2 4 2" xfId="23821" xr:uid="{00000000-0005-0000-0000-0000C0DE0000}"/>
    <cellStyle name="Normal 2 4 8 2 4 2 2" xfId="59130" xr:uid="{00000000-0005-0000-0000-0000C1DE0000}"/>
    <cellStyle name="Normal 2 4 8 2 4 3" xfId="23822" xr:uid="{00000000-0005-0000-0000-0000C2DE0000}"/>
    <cellStyle name="Normal 2 4 8 2 4 3 2" xfId="59131" xr:uid="{00000000-0005-0000-0000-0000C3DE0000}"/>
    <cellStyle name="Normal 2 4 8 2 4 4" xfId="59132" xr:uid="{00000000-0005-0000-0000-0000C4DE0000}"/>
    <cellStyle name="Normal 2 4 8 2 5" xfId="23823" xr:uid="{00000000-0005-0000-0000-0000C5DE0000}"/>
    <cellStyle name="Normal 2 4 8 2 5 2" xfId="23824" xr:uid="{00000000-0005-0000-0000-0000C6DE0000}"/>
    <cellStyle name="Normal 2 4 8 2 5 2 2" xfId="59133" xr:uid="{00000000-0005-0000-0000-0000C7DE0000}"/>
    <cellStyle name="Normal 2 4 8 2 5 3" xfId="59134" xr:uid="{00000000-0005-0000-0000-0000C8DE0000}"/>
    <cellStyle name="Normal 2 4 8 2 6" xfId="23825" xr:uid="{00000000-0005-0000-0000-0000C9DE0000}"/>
    <cellStyle name="Normal 2 4 8 2 6 2" xfId="59135" xr:uid="{00000000-0005-0000-0000-0000CADE0000}"/>
    <cellStyle name="Normal 2 4 8 2 7" xfId="23826" xr:uid="{00000000-0005-0000-0000-0000CBDE0000}"/>
    <cellStyle name="Normal 2 4 8 2 7 2" xfId="59136" xr:uid="{00000000-0005-0000-0000-0000CCDE0000}"/>
    <cellStyle name="Normal 2 4 8 2 8" xfId="59137" xr:uid="{00000000-0005-0000-0000-0000CDDE0000}"/>
    <cellStyle name="Normal 2 4 8 2 8 2" xfId="59138" xr:uid="{00000000-0005-0000-0000-0000CEDE0000}"/>
    <cellStyle name="Normal 2 4 8 2 9" xfId="59139" xr:uid="{00000000-0005-0000-0000-0000CFDE0000}"/>
    <cellStyle name="Normal 2 4 8 20" xfId="23827" xr:uid="{00000000-0005-0000-0000-0000D0DE0000}"/>
    <cellStyle name="Normal 2 4 8 20 10" xfId="59140" xr:uid="{00000000-0005-0000-0000-0000D1DE0000}"/>
    <cellStyle name="Normal 2 4 8 20 11" xfId="59141" xr:uid="{00000000-0005-0000-0000-0000D2DE0000}"/>
    <cellStyle name="Normal 2 4 8 20 2" xfId="23828" xr:uid="{00000000-0005-0000-0000-0000D3DE0000}"/>
    <cellStyle name="Normal 2 4 8 20 2 10" xfId="59142" xr:uid="{00000000-0005-0000-0000-0000D4DE0000}"/>
    <cellStyle name="Normal 2 4 8 20 2 2" xfId="23829" xr:uid="{00000000-0005-0000-0000-0000D5DE0000}"/>
    <cellStyle name="Normal 2 4 8 20 2 2 2" xfId="23830" xr:uid="{00000000-0005-0000-0000-0000D6DE0000}"/>
    <cellStyle name="Normal 2 4 8 20 2 2 2 2" xfId="23831" xr:uid="{00000000-0005-0000-0000-0000D7DE0000}"/>
    <cellStyle name="Normal 2 4 8 20 2 2 2 2 2" xfId="59143" xr:uid="{00000000-0005-0000-0000-0000D8DE0000}"/>
    <cellStyle name="Normal 2 4 8 20 2 2 2 3" xfId="23832" xr:uid="{00000000-0005-0000-0000-0000D9DE0000}"/>
    <cellStyle name="Normal 2 4 8 20 2 2 2 3 2" xfId="59144" xr:uid="{00000000-0005-0000-0000-0000DADE0000}"/>
    <cellStyle name="Normal 2 4 8 20 2 2 2 4" xfId="59145" xr:uid="{00000000-0005-0000-0000-0000DBDE0000}"/>
    <cellStyle name="Normal 2 4 8 20 2 2 3" xfId="23833" xr:uid="{00000000-0005-0000-0000-0000DCDE0000}"/>
    <cellStyle name="Normal 2 4 8 20 2 2 3 2" xfId="59146" xr:uid="{00000000-0005-0000-0000-0000DDDE0000}"/>
    <cellStyle name="Normal 2 4 8 20 2 2 4" xfId="23834" xr:uid="{00000000-0005-0000-0000-0000DEDE0000}"/>
    <cellStyle name="Normal 2 4 8 20 2 2 4 2" xfId="59147" xr:uid="{00000000-0005-0000-0000-0000DFDE0000}"/>
    <cellStyle name="Normal 2 4 8 20 2 2 5" xfId="23835" xr:uid="{00000000-0005-0000-0000-0000E0DE0000}"/>
    <cellStyle name="Normal 2 4 8 20 2 2 5 2" xfId="59148" xr:uid="{00000000-0005-0000-0000-0000E1DE0000}"/>
    <cellStyle name="Normal 2 4 8 20 2 2 6" xfId="59149" xr:uid="{00000000-0005-0000-0000-0000E2DE0000}"/>
    <cellStyle name="Normal 2 4 8 20 2 2 6 2" xfId="59150" xr:uid="{00000000-0005-0000-0000-0000E3DE0000}"/>
    <cellStyle name="Normal 2 4 8 20 2 2 7" xfId="59151" xr:uid="{00000000-0005-0000-0000-0000E4DE0000}"/>
    <cellStyle name="Normal 2 4 8 20 2 3" xfId="23836" xr:uid="{00000000-0005-0000-0000-0000E5DE0000}"/>
    <cellStyle name="Normal 2 4 8 20 2 3 2" xfId="23837" xr:uid="{00000000-0005-0000-0000-0000E6DE0000}"/>
    <cellStyle name="Normal 2 4 8 20 2 3 2 2" xfId="59152" xr:uid="{00000000-0005-0000-0000-0000E7DE0000}"/>
    <cellStyle name="Normal 2 4 8 20 2 3 3" xfId="23838" xr:uid="{00000000-0005-0000-0000-0000E8DE0000}"/>
    <cellStyle name="Normal 2 4 8 20 2 3 3 2" xfId="59153" xr:uid="{00000000-0005-0000-0000-0000E9DE0000}"/>
    <cellStyle name="Normal 2 4 8 20 2 3 4" xfId="59154" xr:uid="{00000000-0005-0000-0000-0000EADE0000}"/>
    <cellStyle name="Normal 2 4 8 20 2 4" xfId="23839" xr:uid="{00000000-0005-0000-0000-0000EBDE0000}"/>
    <cellStyle name="Normal 2 4 8 20 2 4 2" xfId="23840" xr:uid="{00000000-0005-0000-0000-0000ECDE0000}"/>
    <cellStyle name="Normal 2 4 8 20 2 4 2 2" xfId="59155" xr:uid="{00000000-0005-0000-0000-0000EDDE0000}"/>
    <cellStyle name="Normal 2 4 8 20 2 4 3" xfId="59156" xr:uid="{00000000-0005-0000-0000-0000EEDE0000}"/>
    <cellStyle name="Normal 2 4 8 20 2 5" xfId="23841" xr:uid="{00000000-0005-0000-0000-0000EFDE0000}"/>
    <cellStyle name="Normal 2 4 8 20 2 5 2" xfId="59157" xr:uid="{00000000-0005-0000-0000-0000F0DE0000}"/>
    <cellStyle name="Normal 2 4 8 20 2 6" xfId="23842" xr:uid="{00000000-0005-0000-0000-0000F1DE0000}"/>
    <cellStyle name="Normal 2 4 8 20 2 6 2" xfId="59158" xr:uid="{00000000-0005-0000-0000-0000F2DE0000}"/>
    <cellStyle name="Normal 2 4 8 20 2 7" xfId="59159" xr:uid="{00000000-0005-0000-0000-0000F3DE0000}"/>
    <cellStyle name="Normal 2 4 8 20 2 7 2" xfId="59160" xr:uid="{00000000-0005-0000-0000-0000F4DE0000}"/>
    <cellStyle name="Normal 2 4 8 20 2 8" xfId="59161" xr:uid="{00000000-0005-0000-0000-0000F5DE0000}"/>
    <cellStyle name="Normal 2 4 8 20 2 9" xfId="59162" xr:uid="{00000000-0005-0000-0000-0000F6DE0000}"/>
    <cellStyle name="Normal 2 4 8 20 3" xfId="23843" xr:uid="{00000000-0005-0000-0000-0000F7DE0000}"/>
    <cellStyle name="Normal 2 4 8 20 3 2" xfId="23844" xr:uid="{00000000-0005-0000-0000-0000F8DE0000}"/>
    <cellStyle name="Normal 2 4 8 20 3 2 2" xfId="23845" xr:uid="{00000000-0005-0000-0000-0000F9DE0000}"/>
    <cellStyle name="Normal 2 4 8 20 3 2 2 2" xfId="59163" xr:uid="{00000000-0005-0000-0000-0000FADE0000}"/>
    <cellStyle name="Normal 2 4 8 20 3 2 3" xfId="23846" xr:uid="{00000000-0005-0000-0000-0000FBDE0000}"/>
    <cellStyle name="Normal 2 4 8 20 3 2 3 2" xfId="59164" xr:uid="{00000000-0005-0000-0000-0000FCDE0000}"/>
    <cellStyle name="Normal 2 4 8 20 3 2 4" xfId="59165" xr:uid="{00000000-0005-0000-0000-0000FDDE0000}"/>
    <cellStyle name="Normal 2 4 8 20 3 3" xfId="23847" xr:uid="{00000000-0005-0000-0000-0000FEDE0000}"/>
    <cellStyle name="Normal 2 4 8 20 3 3 2" xfId="59166" xr:uid="{00000000-0005-0000-0000-0000FFDE0000}"/>
    <cellStyle name="Normal 2 4 8 20 3 4" xfId="23848" xr:uid="{00000000-0005-0000-0000-000000DF0000}"/>
    <cellStyle name="Normal 2 4 8 20 3 4 2" xfId="59167" xr:uid="{00000000-0005-0000-0000-000001DF0000}"/>
    <cellStyle name="Normal 2 4 8 20 3 5" xfId="23849" xr:uid="{00000000-0005-0000-0000-000002DF0000}"/>
    <cellStyle name="Normal 2 4 8 20 3 5 2" xfId="59168" xr:uid="{00000000-0005-0000-0000-000003DF0000}"/>
    <cellStyle name="Normal 2 4 8 20 3 6" xfId="59169" xr:uid="{00000000-0005-0000-0000-000004DF0000}"/>
    <cellStyle name="Normal 2 4 8 20 3 6 2" xfId="59170" xr:uid="{00000000-0005-0000-0000-000005DF0000}"/>
    <cellStyle name="Normal 2 4 8 20 3 7" xfId="59171" xr:uid="{00000000-0005-0000-0000-000006DF0000}"/>
    <cellStyle name="Normal 2 4 8 20 4" xfId="23850" xr:uid="{00000000-0005-0000-0000-000007DF0000}"/>
    <cellStyle name="Normal 2 4 8 20 4 2" xfId="23851" xr:uid="{00000000-0005-0000-0000-000008DF0000}"/>
    <cellStyle name="Normal 2 4 8 20 4 2 2" xfId="59172" xr:uid="{00000000-0005-0000-0000-000009DF0000}"/>
    <cellStyle name="Normal 2 4 8 20 4 3" xfId="23852" xr:uid="{00000000-0005-0000-0000-00000ADF0000}"/>
    <cellStyle name="Normal 2 4 8 20 4 3 2" xfId="59173" xr:uid="{00000000-0005-0000-0000-00000BDF0000}"/>
    <cellStyle name="Normal 2 4 8 20 4 4" xfId="59174" xr:uid="{00000000-0005-0000-0000-00000CDF0000}"/>
    <cellStyle name="Normal 2 4 8 20 5" xfId="23853" xr:uid="{00000000-0005-0000-0000-00000DDF0000}"/>
    <cellStyle name="Normal 2 4 8 20 5 2" xfId="23854" xr:uid="{00000000-0005-0000-0000-00000EDF0000}"/>
    <cellStyle name="Normal 2 4 8 20 5 2 2" xfId="59175" xr:uid="{00000000-0005-0000-0000-00000FDF0000}"/>
    <cellStyle name="Normal 2 4 8 20 5 3" xfId="59176" xr:uid="{00000000-0005-0000-0000-000010DF0000}"/>
    <cellStyle name="Normal 2 4 8 20 6" xfId="23855" xr:uid="{00000000-0005-0000-0000-000011DF0000}"/>
    <cellStyle name="Normal 2 4 8 20 6 2" xfId="59177" xr:uid="{00000000-0005-0000-0000-000012DF0000}"/>
    <cellStyle name="Normal 2 4 8 20 7" xfId="23856" xr:uid="{00000000-0005-0000-0000-000013DF0000}"/>
    <cellStyle name="Normal 2 4 8 20 7 2" xfId="59178" xr:uid="{00000000-0005-0000-0000-000014DF0000}"/>
    <cellStyle name="Normal 2 4 8 20 8" xfId="59179" xr:uid="{00000000-0005-0000-0000-000015DF0000}"/>
    <cellStyle name="Normal 2 4 8 20 8 2" xfId="59180" xr:uid="{00000000-0005-0000-0000-000016DF0000}"/>
    <cellStyle name="Normal 2 4 8 20 9" xfId="59181" xr:uid="{00000000-0005-0000-0000-000017DF0000}"/>
    <cellStyle name="Normal 2 4 8 21" xfId="23857" xr:uid="{00000000-0005-0000-0000-000018DF0000}"/>
    <cellStyle name="Normal 2 4 8 21 10" xfId="59182" xr:uid="{00000000-0005-0000-0000-000019DF0000}"/>
    <cellStyle name="Normal 2 4 8 21 11" xfId="59183" xr:uid="{00000000-0005-0000-0000-00001ADF0000}"/>
    <cellStyle name="Normal 2 4 8 21 2" xfId="23858" xr:uid="{00000000-0005-0000-0000-00001BDF0000}"/>
    <cellStyle name="Normal 2 4 8 21 2 10" xfId="59184" xr:uid="{00000000-0005-0000-0000-00001CDF0000}"/>
    <cellStyle name="Normal 2 4 8 21 2 2" xfId="23859" xr:uid="{00000000-0005-0000-0000-00001DDF0000}"/>
    <cellStyle name="Normal 2 4 8 21 2 2 2" xfId="23860" xr:uid="{00000000-0005-0000-0000-00001EDF0000}"/>
    <cellStyle name="Normal 2 4 8 21 2 2 2 2" xfId="23861" xr:uid="{00000000-0005-0000-0000-00001FDF0000}"/>
    <cellStyle name="Normal 2 4 8 21 2 2 2 2 2" xfId="59185" xr:uid="{00000000-0005-0000-0000-000020DF0000}"/>
    <cellStyle name="Normal 2 4 8 21 2 2 2 3" xfId="23862" xr:uid="{00000000-0005-0000-0000-000021DF0000}"/>
    <cellStyle name="Normal 2 4 8 21 2 2 2 3 2" xfId="59186" xr:uid="{00000000-0005-0000-0000-000022DF0000}"/>
    <cellStyle name="Normal 2 4 8 21 2 2 2 4" xfId="59187" xr:uid="{00000000-0005-0000-0000-000023DF0000}"/>
    <cellStyle name="Normal 2 4 8 21 2 2 3" xfId="23863" xr:uid="{00000000-0005-0000-0000-000024DF0000}"/>
    <cellStyle name="Normal 2 4 8 21 2 2 3 2" xfId="59188" xr:uid="{00000000-0005-0000-0000-000025DF0000}"/>
    <cellStyle name="Normal 2 4 8 21 2 2 4" xfId="23864" xr:uid="{00000000-0005-0000-0000-000026DF0000}"/>
    <cellStyle name="Normal 2 4 8 21 2 2 4 2" xfId="59189" xr:uid="{00000000-0005-0000-0000-000027DF0000}"/>
    <cellStyle name="Normal 2 4 8 21 2 2 5" xfId="23865" xr:uid="{00000000-0005-0000-0000-000028DF0000}"/>
    <cellStyle name="Normal 2 4 8 21 2 2 5 2" xfId="59190" xr:uid="{00000000-0005-0000-0000-000029DF0000}"/>
    <cellStyle name="Normal 2 4 8 21 2 2 6" xfId="59191" xr:uid="{00000000-0005-0000-0000-00002ADF0000}"/>
    <cellStyle name="Normal 2 4 8 21 2 2 6 2" xfId="59192" xr:uid="{00000000-0005-0000-0000-00002BDF0000}"/>
    <cellStyle name="Normal 2 4 8 21 2 2 7" xfId="59193" xr:uid="{00000000-0005-0000-0000-00002CDF0000}"/>
    <cellStyle name="Normal 2 4 8 21 2 3" xfId="23866" xr:uid="{00000000-0005-0000-0000-00002DDF0000}"/>
    <cellStyle name="Normal 2 4 8 21 2 3 2" xfId="23867" xr:uid="{00000000-0005-0000-0000-00002EDF0000}"/>
    <cellStyle name="Normal 2 4 8 21 2 3 2 2" xfId="59194" xr:uid="{00000000-0005-0000-0000-00002FDF0000}"/>
    <cellStyle name="Normal 2 4 8 21 2 3 3" xfId="23868" xr:uid="{00000000-0005-0000-0000-000030DF0000}"/>
    <cellStyle name="Normal 2 4 8 21 2 3 3 2" xfId="59195" xr:uid="{00000000-0005-0000-0000-000031DF0000}"/>
    <cellStyle name="Normal 2 4 8 21 2 3 4" xfId="59196" xr:uid="{00000000-0005-0000-0000-000032DF0000}"/>
    <cellStyle name="Normal 2 4 8 21 2 4" xfId="23869" xr:uid="{00000000-0005-0000-0000-000033DF0000}"/>
    <cellStyle name="Normal 2 4 8 21 2 4 2" xfId="23870" xr:uid="{00000000-0005-0000-0000-000034DF0000}"/>
    <cellStyle name="Normal 2 4 8 21 2 4 2 2" xfId="59197" xr:uid="{00000000-0005-0000-0000-000035DF0000}"/>
    <cellStyle name="Normal 2 4 8 21 2 4 3" xfId="59198" xr:uid="{00000000-0005-0000-0000-000036DF0000}"/>
    <cellStyle name="Normal 2 4 8 21 2 5" xfId="23871" xr:uid="{00000000-0005-0000-0000-000037DF0000}"/>
    <cellStyle name="Normal 2 4 8 21 2 5 2" xfId="59199" xr:uid="{00000000-0005-0000-0000-000038DF0000}"/>
    <cellStyle name="Normal 2 4 8 21 2 6" xfId="23872" xr:uid="{00000000-0005-0000-0000-000039DF0000}"/>
    <cellStyle name="Normal 2 4 8 21 2 6 2" xfId="59200" xr:uid="{00000000-0005-0000-0000-00003ADF0000}"/>
    <cellStyle name="Normal 2 4 8 21 2 7" xfId="59201" xr:uid="{00000000-0005-0000-0000-00003BDF0000}"/>
    <cellStyle name="Normal 2 4 8 21 2 7 2" xfId="59202" xr:uid="{00000000-0005-0000-0000-00003CDF0000}"/>
    <cellStyle name="Normal 2 4 8 21 2 8" xfId="59203" xr:uid="{00000000-0005-0000-0000-00003DDF0000}"/>
    <cellStyle name="Normal 2 4 8 21 2 9" xfId="59204" xr:uid="{00000000-0005-0000-0000-00003EDF0000}"/>
    <cellStyle name="Normal 2 4 8 21 3" xfId="23873" xr:uid="{00000000-0005-0000-0000-00003FDF0000}"/>
    <cellStyle name="Normal 2 4 8 21 3 2" xfId="23874" xr:uid="{00000000-0005-0000-0000-000040DF0000}"/>
    <cellStyle name="Normal 2 4 8 21 3 2 2" xfId="23875" xr:uid="{00000000-0005-0000-0000-000041DF0000}"/>
    <cellStyle name="Normal 2 4 8 21 3 2 2 2" xfId="59205" xr:uid="{00000000-0005-0000-0000-000042DF0000}"/>
    <cellStyle name="Normal 2 4 8 21 3 2 3" xfId="23876" xr:uid="{00000000-0005-0000-0000-000043DF0000}"/>
    <cellStyle name="Normal 2 4 8 21 3 2 3 2" xfId="59206" xr:uid="{00000000-0005-0000-0000-000044DF0000}"/>
    <cellStyle name="Normal 2 4 8 21 3 2 4" xfId="59207" xr:uid="{00000000-0005-0000-0000-000045DF0000}"/>
    <cellStyle name="Normal 2 4 8 21 3 3" xfId="23877" xr:uid="{00000000-0005-0000-0000-000046DF0000}"/>
    <cellStyle name="Normal 2 4 8 21 3 3 2" xfId="59208" xr:uid="{00000000-0005-0000-0000-000047DF0000}"/>
    <cellStyle name="Normal 2 4 8 21 3 4" xfId="23878" xr:uid="{00000000-0005-0000-0000-000048DF0000}"/>
    <cellStyle name="Normal 2 4 8 21 3 4 2" xfId="59209" xr:uid="{00000000-0005-0000-0000-000049DF0000}"/>
    <cellStyle name="Normal 2 4 8 21 3 5" xfId="23879" xr:uid="{00000000-0005-0000-0000-00004ADF0000}"/>
    <cellStyle name="Normal 2 4 8 21 3 5 2" xfId="59210" xr:uid="{00000000-0005-0000-0000-00004BDF0000}"/>
    <cellStyle name="Normal 2 4 8 21 3 6" xfId="59211" xr:uid="{00000000-0005-0000-0000-00004CDF0000}"/>
    <cellStyle name="Normal 2 4 8 21 3 6 2" xfId="59212" xr:uid="{00000000-0005-0000-0000-00004DDF0000}"/>
    <cellStyle name="Normal 2 4 8 21 3 7" xfId="59213" xr:uid="{00000000-0005-0000-0000-00004EDF0000}"/>
    <cellStyle name="Normal 2 4 8 21 4" xfId="23880" xr:uid="{00000000-0005-0000-0000-00004FDF0000}"/>
    <cellStyle name="Normal 2 4 8 21 4 2" xfId="23881" xr:uid="{00000000-0005-0000-0000-000050DF0000}"/>
    <cellStyle name="Normal 2 4 8 21 4 2 2" xfId="59214" xr:uid="{00000000-0005-0000-0000-000051DF0000}"/>
    <cellStyle name="Normal 2 4 8 21 4 3" xfId="23882" xr:uid="{00000000-0005-0000-0000-000052DF0000}"/>
    <cellStyle name="Normal 2 4 8 21 4 3 2" xfId="59215" xr:uid="{00000000-0005-0000-0000-000053DF0000}"/>
    <cellStyle name="Normal 2 4 8 21 4 4" xfId="59216" xr:uid="{00000000-0005-0000-0000-000054DF0000}"/>
    <cellStyle name="Normal 2 4 8 21 5" xfId="23883" xr:uid="{00000000-0005-0000-0000-000055DF0000}"/>
    <cellStyle name="Normal 2 4 8 21 5 2" xfId="23884" xr:uid="{00000000-0005-0000-0000-000056DF0000}"/>
    <cellStyle name="Normal 2 4 8 21 5 2 2" xfId="59217" xr:uid="{00000000-0005-0000-0000-000057DF0000}"/>
    <cellStyle name="Normal 2 4 8 21 5 3" xfId="59218" xr:uid="{00000000-0005-0000-0000-000058DF0000}"/>
    <cellStyle name="Normal 2 4 8 21 6" xfId="23885" xr:uid="{00000000-0005-0000-0000-000059DF0000}"/>
    <cellStyle name="Normal 2 4 8 21 6 2" xfId="59219" xr:uid="{00000000-0005-0000-0000-00005ADF0000}"/>
    <cellStyle name="Normal 2 4 8 21 7" xfId="23886" xr:uid="{00000000-0005-0000-0000-00005BDF0000}"/>
    <cellStyle name="Normal 2 4 8 21 7 2" xfId="59220" xr:uid="{00000000-0005-0000-0000-00005CDF0000}"/>
    <cellStyle name="Normal 2 4 8 21 8" xfId="59221" xr:uid="{00000000-0005-0000-0000-00005DDF0000}"/>
    <cellStyle name="Normal 2 4 8 21 8 2" xfId="59222" xr:uid="{00000000-0005-0000-0000-00005EDF0000}"/>
    <cellStyle name="Normal 2 4 8 21 9" xfId="59223" xr:uid="{00000000-0005-0000-0000-00005FDF0000}"/>
    <cellStyle name="Normal 2 4 8 22" xfId="23887" xr:uid="{00000000-0005-0000-0000-000060DF0000}"/>
    <cellStyle name="Normal 2 4 8 22 10" xfId="59224" xr:uid="{00000000-0005-0000-0000-000061DF0000}"/>
    <cellStyle name="Normal 2 4 8 22 11" xfId="59225" xr:uid="{00000000-0005-0000-0000-000062DF0000}"/>
    <cellStyle name="Normal 2 4 8 22 2" xfId="23888" xr:uid="{00000000-0005-0000-0000-000063DF0000}"/>
    <cellStyle name="Normal 2 4 8 22 2 10" xfId="59226" xr:uid="{00000000-0005-0000-0000-000064DF0000}"/>
    <cellStyle name="Normal 2 4 8 22 2 2" xfId="23889" xr:uid="{00000000-0005-0000-0000-000065DF0000}"/>
    <cellStyle name="Normal 2 4 8 22 2 2 2" xfId="23890" xr:uid="{00000000-0005-0000-0000-000066DF0000}"/>
    <cellStyle name="Normal 2 4 8 22 2 2 2 2" xfId="23891" xr:uid="{00000000-0005-0000-0000-000067DF0000}"/>
    <cellStyle name="Normal 2 4 8 22 2 2 2 2 2" xfId="59227" xr:uid="{00000000-0005-0000-0000-000068DF0000}"/>
    <cellStyle name="Normal 2 4 8 22 2 2 2 3" xfId="23892" xr:uid="{00000000-0005-0000-0000-000069DF0000}"/>
    <cellStyle name="Normal 2 4 8 22 2 2 2 3 2" xfId="59228" xr:uid="{00000000-0005-0000-0000-00006ADF0000}"/>
    <cellStyle name="Normal 2 4 8 22 2 2 2 4" xfId="59229" xr:uid="{00000000-0005-0000-0000-00006BDF0000}"/>
    <cellStyle name="Normal 2 4 8 22 2 2 3" xfId="23893" xr:uid="{00000000-0005-0000-0000-00006CDF0000}"/>
    <cellStyle name="Normal 2 4 8 22 2 2 3 2" xfId="59230" xr:uid="{00000000-0005-0000-0000-00006DDF0000}"/>
    <cellStyle name="Normal 2 4 8 22 2 2 4" xfId="23894" xr:uid="{00000000-0005-0000-0000-00006EDF0000}"/>
    <cellStyle name="Normal 2 4 8 22 2 2 4 2" xfId="59231" xr:uid="{00000000-0005-0000-0000-00006FDF0000}"/>
    <cellStyle name="Normal 2 4 8 22 2 2 5" xfId="23895" xr:uid="{00000000-0005-0000-0000-000070DF0000}"/>
    <cellStyle name="Normal 2 4 8 22 2 2 5 2" xfId="59232" xr:uid="{00000000-0005-0000-0000-000071DF0000}"/>
    <cellStyle name="Normal 2 4 8 22 2 2 6" xfId="59233" xr:uid="{00000000-0005-0000-0000-000072DF0000}"/>
    <cellStyle name="Normal 2 4 8 22 2 2 6 2" xfId="59234" xr:uid="{00000000-0005-0000-0000-000073DF0000}"/>
    <cellStyle name="Normal 2 4 8 22 2 2 7" xfId="59235" xr:uid="{00000000-0005-0000-0000-000074DF0000}"/>
    <cellStyle name="Normal 2 4 8 22 2 3" xfId="23896" xr:uid="{00000000-0005-0000-0000-000075DF0000}"/>
    <cellStyle name="Normal 2 4 8 22 2 3 2" xfId="23897" xr:uid="{00000000-0005-0000-0000-000076DF0000}"/>
    <cellStyle name="Normal 2 4 8 22 2 3 2 2" xfId="59236" xr:uid="{00000000-0005-0000-0000-000077DF0000}"/>
    <cellStyle name="Normal 2 4 8 22 2 3 3" xfId="23898" xr:uid="{00000000-0005-0000-0000-000078DF0000}"/>
    <cellStyle name="Normal 2 4 8 22 2 3 3 2" xfId="59237" xr:uid="{00000000-0005-0000-0000-000079DF0000}"/>
    <cellStyle name="Normal 2 4 8 22 2 3 4" xfId="59238" xr:uid="{00000000-0005-0000-0000-00007ADF0000}"/>
    <cellStyle name="Normal 2 4 8 22 2 4" xfId="23899" xr:uid="{00000000-0005-0000-0000-00007BDF0000}"/>
    <cellStyle name="Normal 2 4 8 22 2 4 2" xfId="23900" xr:uid="{00000000-0005-0000-0000-00007CDF0000}"/>
    <cellStyle name="Normal 2 4 8 22 2 4 2 2" xfId="59239" xr:uid="{00000000-0005-0000-0000-00007DDF0000}"/>
    <cellStyle name="Normal 2 4 8 22 2 4 3" xfId="59240" xr:uid="{00000000-0005-0000-0000-00007EDF0000}"/>
    <cellStyle name="Normal 2 4 8 22 2 5" xfId="23901" xr:uid="{00000000-0005-0000-0000-00007FDF0000}"/>
    <cellStyle name="Normal 2 4 8 22 2 5 2" xfId="59241" xr:uid="{00000000-0005-0000-0000-000080DF0000}"/>
    <cellStyle name="Normal 2 4 8 22 2 6" xfId="23902" xr:uid="{00000000-0005-0000-0000-000081DF0000}"/>
    <cellStyle name="Normal 2 4 8 22 2 6 2" xfId="59242" xr:uid="{00000000-0005-0000-0000-000082DF0000}"/>
    <cellStyle name="Normal 2 4 8 22 2 7" xfId="59243" xr:uid="{00000000-0005-0000-0000-000083DF0000}"/>
    <cellStyle name="Normal 2 4 8 22 2 7 2" xfId="59244" xr:uid="{00000000-0005-0000-0000-000084DF0000}"/>
    <cellStyle name="Normal 2 4 8 22 2 8" xfId="59245" xr:uid="{00000000-0005-0000-0000-000085DF0000}"/>
    <cellStyle name="Normal 2 4 8 22 2 9" xfId="59246" xr:uid="{00000000-0005-0000-0000-000086DF0000}"/>
    <cellStyle name="Normal 2 4 8 22 3" xfId="23903" xr:uid="{00000000-0005-0000-0000-000087DF0000}"/>
    <cellStyle name="Normal 2 4 8 22 3 2" xfId="23904" xr:uid="{00000000-0005-0000-0000-000088DF0000}"/>
    <cellStyle name="Normal 2 4 8 22 3 2 2" xfId="23905" xr:uid="{00000000-0005-0000-0000-000089DF0000}"/>
    <cellStyle name="Normal 2 4 8 22 3 2 2 2" xfId="59247" xr:uid="{00000000-0005-0000-0000-00008ADF0000}"/>
    <cellStyle name="Normal 2 4 8 22 3 2 3" xfId="23906" xr:uid="{00000000-0005-0000-0000-00008BDF0000}"/>
    <cellStyle name="Normal 2 4 8 22 3 2 3 2" xfId="59248" xr:uid="{00000000-0005-0000-0000-00008CDF0000}"/>
    <cellStyle name="Normal 2 4 8 22 3 2 4" xfId="59249" xr:uid="{00000000-0005-0000-0000-00008DDF0000}"/>
    <cellStyle name="Normal 2 4 8 22 3 3" xfId="23907" xr:uid="{00000000-0005-0000-0000-00008EDF0000}"/>
    <cellStyle name="Normal 2 4 8 22 3 3 2" xfId="59250" xr:uid="{00000000-0005-0000-0000-00008FDF0000}"/>
    <cellStyle name="Normal 2 4 8 22 3 4" xfId="23908" xr:uid="{00000000-0005-0000-0000-000090DF0000}"/>
    <cellStyle name="Normal 2 4 8 22 3 4 2" xfId="59251" xr:uid="{00000000-0005-0000-0000-000091DF0000}"/>
    <cellStyle name="Normal 2 4 8 22 3 5" xfId="23909" xr:uid="{00000000-0005-0000-0000-000092DF0000}"/>
    <cellStyle name="Normal 2 4 8 22 3 5 2" xfId="59252" xr:uid="{00000000-0005-0000-0000-000093DF0000}"/>
    <cellStyle name="Normal 2 4 8 22 3 6" xfId="59253" xr:uid="{00000000-0005-0000-0000-000094DF0000}"/>
    <cellStyle name="Normal 2 4 8 22 3 6 2" xfId="59254" xr:uid="{00000000-0005-0000-0000-000095DF0000}"/>
    <cellStyle name="Normal 2 4 8 22 3 7" xfId="59255" xr:uid="{00000000-0005-0000-0000-000096DF0000}"/>
    <cellStyle name="Normal 2 4 8 22 4" xfId="23910" xr:uid="{00000000-0005-0000-0000-000097DF0000}"/>
    <cellStyle name="Normal 2 4 8 22 4 2" xfId="23911" xr:uid="{00000000-0005-0000-0000-000098DF0000}"/>
    <cellStyle name="Normal 2 4 8 22 4 2 2" xfId="59256" xr:uid="{00000000-0005-0000-0000-000099DF0000}"/>
    <cellStyle name="Normal 2 4 8 22 4 3" xfId="23912" xr:uid="{00000000-0005-0000-0000-00009ADF0000}"/>
    <cellStyle name="Normal 2 4 8 22 4 3 2" xfId="59257" xr:uid="{00000000-0005-0000-0000-00009BDF0000}"/>
    <cellStyle name="Normal 2 4 8 22 4 4" xfId="59258" xr:uid="{00000000-0005-0000-0000-00009CDF0000}"/>
    <cellStyle name="Normal 2 4 8 22 5" xfId="23913" xr:uid="{00000000-0005-0000-0000-00009DDF0000}"/>
    <cellStyle name="Normal 2 4 8 22 5 2" xfId="23914" xr:uid="{00000000-0005-0000-0000-00009EDF0000}"/>
    <cellStyle name="Normal 2 4 8 22 5 2 2" xfId="59259" xr:uid="{00000000-0005-0000-0000-00009FDF0000}"/>
    <cellStyle name="Normal 2 4 8 22 5 3" xfId="59260" xr:uid="{00000000-0005-0000-0000-0000A0DF0000}"/>
    <cellStyle name="Normal 2 4 8 22 6" xfId="23915" xr:uid="{00000000-0005-0000-0000-0000A1DF0000}"/>
    <cellStyle name="Normal 2 4 8 22 6 2" xfId="59261" xr:uid="{00000000-0005-0000-0000-0000A2DF0000}"/>
    <cellStyle name="Normal 2 4 8 22 7" xfId="23916" xr:uid="{00000000-0005-0000-0000-0000A3DF0000}"/>
    <cellStyle name="Normal 2 4 8 22 7 2" xfId="59262" xr:uid="{00000000-0005-0000-0000-0000A4DF0000}"/>
    <cellStyle name="Normal 2 4 8 22 8" xfId="59263" xr:uid="{00000000-0005-0000-0000-0000A5DF0000}"/>
    <cellStyle name="Normal 2 4 8 22 8 2" xfId="59264" xr:uid="{00000000-0005-0000-0000-0000A6DF0000}"/>
    <cellStyle name="Normal 2 4 8 22 9" xfId="59265" xr:uid="{00000000-0005-0000-0000-0000A7DF0000}"/>
    <cellStyle name="Normal 2 4 8 23" xfId="23917" xr:uid="{00000000-0005-0000-0000-0000A8DF0000}"/>
    <cellStyle name="Normal 2 4 8 23 10" xfId="59266" xr:uid="{00000000-0005-0000-0000-0000A9DF0000}"/>
    <cellStyle name="Normal 2 4 8 23 11" xfId="59267" xr:uid="{00000000-0005-0000-0000-0000AADF0000}"/>
    <cellStyle name="Normal 2 4 8 23 2" xfId="23918" xr:uid="{00000000-0005-0000-0000-0000ABDF0000}"/>
    <cellStyle name="Normal 2 4 8 23 2 10" xfId="59268" xr:uid="{00000000-0005-0000-0000-0000ACDF0000}"/>
    <cellStyle name="Normal 2 4 8 23 2 2" xfId="23919" xr:uid="{00000000-0005-0000-0000-0000ADDF0000}"/>
    <cellStyle name="Normal 2 4 8 23 2 2 2" xfId="23920" xr:uid="{00000000-0005-0000-0000-0000AEDF0000}"/>
    <cellStyle name="Normal 2 4 8 23 2 2 2 2" xfId="23921" xr:uid="{00000000-0005-0000-0000-0000AFDF0000}"/>
    <cellStyle name="Normal 2 4 8 23 2 2 2 2 2" xfId="59269" xr:uid="{00000000-0005-0000-0000-0000B0DF0000}"/>
    <cellStyle name="Normal 2 4 8 23 2 2 2 3" xfId="23922" xr:uid="{00000000-0005-0000-0000-0000B1DF0000}"/>
    <cellStyle name="Normal 2 4 8 23 2 2 2 3 2" xfId="59270" xr:uid="{00000000-0005-0000-0000-0000B2DF0000}"/>
    <cellStyle name="Normal 2 4 8 23 2 2 2 4" xfId="59271" xr:uid="{00000000-0005-0000-0000-0000B3DF0000}"/>
    <cellStyle name="Normal 2 4 8 23 2 2 3" xfId="23923" xr:uid="{00000000-0005-0000-0000-0000B4DF0000}"/>
    <cellStyle name="Normal 2 4 8 23 2 2 3 2" xfId="59272" xr:uid="{00000000-0005-0000-0000-0000B5DF0000}"/>
    <cellStyle name="Normal 2 4 8 23 2 2 4" xfId="23924" xr:uid="{00000000-0005-0000-0000-0000B6DF0000}"/>
    <cellStyle name="Normal 2 4 8 23 2 2 4 2" xfId="59273" xr:uid="{00000000-0005-0000-0000-0000B7DF0000}"/>
    <cellStyle name="Normal 2 4 8 23 2 2 5" xfId="23925" xr:uid="{00000000-0005-0000-0000-0000B8DF0000}"/>
    <cellStyle name="Normal 2 4 8 23 2 2 5 2" xfId="59274" xr:uid="{00000000-0005-0000-0000-0000B9DF0000}"/>
    <cellStyle name="Normal 2 4 8 23 2 2 6" xfId="59275" xr:uid="{00000000-0005-0000-0000-0000BADF0000}"/>
    <cellStyle name="Normal 2 4 8 23 2 2 6 2" xfId="59276" xr:uid="{00000000-0005-0000-0000-0000BBDF0000}"/>
    <cellStyle name="Normal 2 4 8 23 2 2 7" xfId="59277" xr:uid="{00000000-0005-0000-0000-0000BCDF0000}"/>
    <cellStyle name="Normal 2 4 8 23 2 3" xfId="23926" xr:uid="{00000000-0005-0000-0000-0000BDDF0000}"/>
    <cellStyle name="Normal 2 4 8 23 2 3 2" xfId="23927" xr:uid="{00000000-0005-0000-0000-0000BEDF0000}"/>
    <cellStyle name="Normal 2 4 8 23 2 3 2 2" xfId="59278" xr:uid="{00000000-0005-0000-0000-0000BFDF0000}"/>
    <cellStyle name="Normal 2 4 8 23 2 3 3" xfId="23928" xr:uid="{00000000-0005-0000-0000-0000C0DF0000}"/>
    <cellStyle name="Normal 2 4 8 23 2 3 3 2" xfId="59279" xr:uid="{00000000-0005-0000-0000-0000C1DF0000}"/>
    <cellStyle name="Normal 2 4 8 23 2 3 4" xfId="59280" xr:uid="{00000000-0005-0000-0000-0000C2DF0000}"/>
    <cellStyle name="Normal 2 4 8 23 2 4" xfId="23929" xr:uid="{00000000-0005-0000-0000-0000C3DF0000}"/>
    <cellStyle name="Normal 2 4 8 23 2 4 2" xfId="23930" xr:uid="{00000000-0005-0000-0000-0000C4DF0000}"/>
    <cellStyle name="Normal 2 4 8 23 2 4 2 2" xfId="59281" xr:uid="{00000000-0005-0000-0000-0000C5DF0000}"/>
    <cellStyle name="Normal 2 4 8 23 2 4 3" xfId="59282" xr:uid="{00000000-0005-0000-0000-0000C6DF0000}"/>
    <cellStyle name="Normal 2 4 8 23 2 5" xfId="23931" xr:uid="{00000000-0005-0000-0000-0000C7DF0000}"/>
    <cellStyle name="Normal 2 4 8 23 2 5 2" xfId="59283" xr:uid="{00000000-0005-0000-0000-0000C8DF0000}"/>
    <cellStyle name="Normal 2 4 8 23 2 6" xfId="23932" xr:uid="{00000000-0005-0000-0000-0000C9DF0000}"/>
    <cellStyle name="Normal 2 4 8 23 2 6 2" xfId="59284" xr:uid="{00000000-0005-0000-0000-0000CADF0000}"/>
    <cellStyle name="Normal 2 4 8 23 2 7" xfId="59285" xr:uid="{00000000-0005-0000-0000-0000CBDF0000}"/>
    <cellStyle name="Normal 2 4 8 23 2 7 2" xfId="59286" xr:uid="{00000000-0005-0000-0000-0000CCDF0000}"/>
    <cellStyle name="Normal 2 4 8 23 2 8" xfId="59287" xr:uid="{00000000-0005-0000-0000-0000CDDF0000}"/>
    <cellStyle name="Normal 2 4 8 23 2 9" xfId="59288" xr:uid="{00000000-0005-0000-0000-0000CEDF0000}"/>
    <cellStyle name="Normal 2 4 8 23 3" xfId="23933" xr:uid="{00000000-0005-0000-0000-0000CFDF0000}"/>
    <cellStyle name="Normal 2 4 8 23 3 2" xfId="23934" xr:uid="{00000000-0005-0000-0000-0000D0DF0000}"/>
    <cellStyle name="Normal 2 4 8 23 3 2 2" xfId="23935" xr:uid="{00000000-0005-0000-0000-0000D1DF0000}"/>
    <cellStyle name="Normal 2 4 8 23 3 2 2 2" xfId="59289" xr:uid="{00000000-0005-0000-0000-0000D2DF0000}"/>
    <cellStyle name="Normal 2 4 8 23 3 2 3" xfId="23936" xr:uid="{00000000-0005-0000-0000-0000D3DF0000}"/>
    <cellStyle name="Normal 2 4 8 23 3 2 3 2" xfId="59290" xr:uid="{00000000-0005-0000-0000-0000D4DF0000}"/>
    <cellStyle name="Normal 2 4 8 23 3 2 4" xfId="59291" xr:uid="{00000000-0005-0000-0000-0000D5DF0000}"/>
    <cellStyle name="Normal 2 4 8 23 3 3" xfId="23937" xr:uid="{00000000-0005-0000-0000-0000D6DF0000}"/>
    <cellStyle name="Normal 2 4 8 23 3 3 2" xfId="59292" xr:uid="{00000000-0005-0000-0000-0000D7DF0000}"/>
    <cellStyle name="Normal 2 4 8 23 3 4" xfId="23938" xr:uid="{00000000-0005-0000-0000-0000D8DF0000}"/>
    <cellStyle name="Normal 2 4 8 23 3 4 2" xfId="59293" xr:uid="{00000000-0005-0000-0000-0000D9DF0000}"/>
    <cellStyle name="Normal 2 4 8 23 3 5" xfId="23939" xr:uid="{00000000-0005-0000-0000-0000DADF0000}"/>
    <cellStyle name="Normal 2 4 8 23 3 5 2" xfId="59294" xr:uid="{00000000-0005-0000-0000-0000DBDF0000}"/>
    <cellStyle name="Normal 2 4 8 23 3 6" xfId="59295" xr:uid="{00000000-0005-0000-0000-0000DCDF0000}"/>
    <cellStyle name="Normal 2 4 8 23 3 6 2" xfId="59296" xr:uid="{00000000-0005-0000-0000-0000DDDF0000}"/>
    <cellStyle name="Normal 2 4 8 23 3 7" xfId="59297" xr:uid="{00000000-0005-0000-0000-0000DEDF0000}"/>
    <cellStyle name="Normal 2 4 8 23 4" xfId="23940" xr:uid="{00000000-0005-0000-0000-0000DFDF0000}"/>
    <cellStyle name="Normal 2 4 8 23 4 2" xfId="23941" xr:uid="{00000000-0005-0000-0000-0000E0DF0000}"/>
    <cellStyle name="Normal 2 4 8 23 4 2 2" xfId="59298" xr:uid="{00000000-0005-0000-0000-0000E1DF0000}"/>
    <cellStyle name="Normal 2 4 8 23 4 3" xfId="23942" xr:uid="{00000000-0005-0000-0000-0000E2DF0000}"/>
    <cellStyle name="Normal 2 4 8 23 4 3 2" xfId="59299" xr:uid="{00000000-0005-0000-0000-0000E3DF0000}"/>
    <cellStyle name="Normal 2 4 8 23 4 4" xfId="59300" xr:uid="{00000000-0005-0000-0000-0000E4DF0000}"/>
    <cellStyle name="Normal 2 4 8 23 5" xfId="23943" xr:uid="{00000000-0005-0000-0000-0000E5DF0000}"/>
    <cellStyle name="Normal 2 4 8 23 5 2" xfId="23944" xr:uid="{00000000-0005-0000-0000-0000E6DF0000}"/>
    <cellStyle name="Normal 2 4 8 23 5 2 2" xfId="59301" xr:uid="{00000000-0005-0000-0000-0000E7DF0000}"/>
    <cellStyle name="Normal 2 4 8 23 5 3" xfId="59302" xr:uid="{00000000-0005-0000-0000-0000E8DF0000}"/>
    <cellStyle name="Normal 2 4 8 23 6" xfId="23945" xr:uid="{00000000-0005-0000-0000-0000E9DF0000}"/>
    <cellStyle name="Normal 2 4 8 23 6 2" xfId="59303" xr:uid="{00000000-0005-0000-0000-0000EADF0000}"/>
    <cellStyle name="Normal 2 4 8 23 7" xfId="23946" xr:uid="{00000000-0005-0000-0000-0000EBDF0000}"/>
    <cellStyle name="Normal 2 4 8 23 7 2" xfId="59304" xr:uid="{00000000-0005-0000-0000-0000ECDF0000}"/>
    <cellStyle name="Normal 2 4 8 23 8" xfId="59305" xr:uid="{00000000-0005-0000-0000-0000EDDF0000}"/>
    <cellStyle name="Normal 2 4 8 23 8 2" xfId="59306" xr:uid="{00000000-0005-0000-0000-0000EEDF0000}"/>
    <cellStyle name="Normal 2 4 8 23 9" xfId="59307" xr:uid="{00000000-0005-0000-0000-0000EFDF0000}"/>
    <cellStyle name="Normal 2 4 8 24" xfId="23947" xr:uid="{00000000-0005-0000-0000-0000F0DF0000}"/>
    <cellStyle name="Normal 2 4 8 24 10" xfId="59308" xr:uid="{00000000-0005-0000-0000-0000F1DF0000}"/>
    <cellStyle name="Normal 2 4 8 24 11" xfId="59309" xr:uid="{00000000-0005-0000-0000-0000F2DF0000}"/>
    <cellStyle name="Normal 2 4 8 24 2" xfId="23948" xr:uid="{00000000-0005-0000-0000-0000F3DF0000}"/>
    <cellStyle name="Normal 2 4 8 24 2 10" xfId="59310" xr:uid="{00000000-0005-0000-0000-0000F4DF0000}"/>
    <cellStyle name="Normal 2 4 8 24 2 2" xfId="23949" xr:uid="{00000000-0005-0000-0000-0000F5DF0000}"/>
    <cellStyle name="Normal 2 4 8 24 2 2 2" xfId="23950" xr:uid="{00000000-0005-0000-0000-0000F6DF0000}"/>
    <cellStyle name="Normal 2 4 8 24 2 2 2 2" xfId="23951" xr:uid="{00000000-0005-0000-0000-0000F7DF0000}"/>
    <cellStyle name="Normal 2 4 8 24 2 2 2 2 2" xfId="59311" xr:uid="{00000000-0005-0000-0000-0000F8DF0000}"/>
    <cellStyle name="Normal 2 4 8 24 2 2 2 3" xfId="23952" xr:uid="{00000000-0005-0000-0000-0000F9DF0000}"/>
    <cellStyle name="Normal 2 4 8 24 2 2 2 3 2" xfId="59312" xr:uid="{00000000-0005-0000-0000-0000FADF0000}"/>
    <cellStyle name="Normal 2 4 8 24 2 2 2 4" xfId="59313" xr:uid="{00000000-0005-0000-0000-0000FBDF0000}"/>
    <cellStyle name="Normal 2 4 8 24 2 2 3" xfId="23953" xr:uid="{00000000-0005-0000-0000-0000FCDF0000}"/>
    <cellStyle name="Normal 2 4 8 24 2 2 3 2" xfId="59314" xr:uid="{00000000-0005-0000-0000-0000FDDF0000}"/>
    <cellStyle name="Normal 2 4 8 24 2 2 4" xfId="23954" xr:uid="{00000000-0005-0000-0000-0000FEDF0000}"/>
    <cellStyle name="Normal 2 4 8 24 2 2 4 2" xfId="59315" xr:uid="{00000000-0005-0000-0000-0000FFDF0000}"/>
    <cellStyle name="Normal 2 4 8 24 2 2 5" xfId="23955" xr:uid="{00000000-0005-0000-0000-000000E00000}"/>
    <cellStyle name="Normal 2 4 8 24 2 2 5 2" xfId="59316" xr:uid="{00000000-0005-0000-0000-000001E00000}"/>
    <cellStyle name="Normal 2 4 8 24 2 2 6" xfId="59317" xr:uid="{00000000-0005-0000-0000-000002E00000}"/>
    <cellStyle name="Normal 2 4 8 24 2 2 6 2" xfId="59318" xr:uid="{00000000-0005-0000-0000-000003E00000}"/>
    <cellStyle name="Normal 2 4 8 24 2 2 7" xfId="59319" xr:uid="{00000000-0005-0000-0000-000004E00000}"/>
    <cellStyle name="Normal 2 4 8 24 2 3" xfId="23956" xr:uid="{00000000-0005-0000-0000-000005E00000}"/>
    <cellStyle name="Normal 2 4 8 24 2 3 2" xfId="23957" xr:uid="{00000000-0005-0000-0000-000006E00000}"/>
    <cellStyle name="Normal 2 4 8 24 2 3 2 2" xfId="59320" xr:uid="{00000000-0005-0000-0000-000007E00000}"/>
    <cellStyle name="Normal 2 4 8 24 2 3 3" xfId="23958" xr:uid="{00000000-0005-0000-0000-000008E00000}"/>
    <cellStyle name="Normal 2 4 8 24 2 3 3 2" xfId="59321" xr:uid="{00000000-0005-0000-0000-000009E00000}"/>
    <cellStyle name="Normal 2 4 8 24 2 3 4" xfId="59322" xr:uid="{00000000-0005-0000-0000-00000AE00000}"/>
    <cellStyle name="Normal 2 4 8 24 2 4" xfId="23959" xr:uid="{00000000-0005-0000-0000-00000BE00000}"/>
    <cellStyle name="Normal 2 4 8 24 2 4 2" xfId="23960" xr:uid="{00000000-0005-0000-0000-00000CE00000}"/>
    <cellStyle name="Normal 2 4 8 24 2 4 2 2" xfId="59323" xr:uid="{00000000-0005-0000-0000-00000DE00000}"/>
    <cellStyle name="Normal 2 4 8 24 2 4 3" xfId="59324" xr:uid="{00000000-0005-0000-0000-00000EE00000}"/>
    <cellStyle name="Normal 2 4 8 24 2 5" xfId="23961" xr:uid="{00000000-0005-0000-0000-00000FE00000}"/>
    <cellStyle name="Normal 2 4 8 24 2 5 2" xfId="59325" xr:uid="{00000000-0005-0000-0000-000010E00000}"/>
    <cellStyle name="Normal 2 4 8 24 2 6" xfId="23962" xr:uid="{00000000-0005-0000-0000-000011E00000}"/>
    <cellStyle name="Normal 2 4 8 24 2 6 2" xfId="59326" xr:uid="{00000000-0005-0000-0000-000012E00000}"/>
    <cellStyle name="Normal 2 4 8 24 2 7" xfId="59327" xr:uid="{00000000-0005-0000-0000-000013E00000}"/>
    <cellStyle name="Normal 2 4 8 24 2 7 2" xfId="59328" xr:uid="{00000000-0005-0000-0000-000014E00000}"/>
    <cellStyle name="Normal 2 4 8 24 2 8" xfId="59329" xr:uid="{00000000-0005-0000-0000-000015E00000}"/>
    <cellStyle name="Normal 2 4 8 24 2 9" xfId="59330" xr:uid="{00000000-0005-0000-0000-000016E00000}"/>
    <cellStyle name="Normal 2 4 8 24 3" xfId="23963" xr:uid="{00000000-0005-0000-0000-000017E00000}"/>
    <cellStyle name="Normal 2 4 8 24 3 2" xfId="23964" xr:uid="{00000000-0005-0000-0000-000018E00000}"/>
    <cellStyle name="Normal 2 4 8 24 3 2 2" xfId="23965" xr:uid="{00000000-0005-0000-0000-000019E00000}"/>
    <cellStyle name="Normal 2 4 8 24 3 2 2 2" xfId="59331" xr:uid="{00000000-0005-0000-0000-00001AE00000}"/>
    <cellStyle name="Normal 2 4 8 24 3 2 3" xfId="23966" xr:uid="{00000000-0005-0000-0000-00001BE00000}"/>
    <cellStyle name="Normal 2 4 8 24 3 2 3 2" xfId="59332" xr:uid="{00000000-0005-0000-0000-00001CE00000}"/>
    <cellStyle name="Normal 2 4 8 24 3 2 4" xfId="59333" xr:uid="{00000000-0005-0000-0000-00001DE00000}"/>
    <cellStyle name="Normal 2 4 8 24 3 3" xfId="23967" xr:uid="{00000000-0005-0000-0000-00001EE00000}"/>
    <cellStyle name="Normal 2 4 8 24 3 3 2" xfId="59334" xr:uid="{00000000-0005-0000-0000-00001FE00000}"/>
    <cellStyle name="Normal 2 4 8 24 3 4" xfId="23968" xr:uid="{00000000-0005-0000-0000-000020E00000}"/>
    <cellStyle name="Normal 2 4 8 24 3 4 2" xfId="59335" xr:uid="{00000000-0005-0000-0000-000021E00000}"/>
    <cellStyle name="Normal 2 4 8 24 3 5" xfId="23969" xr:uid="{00000000-0005-0000-0000-000022E00000}"/>
    <cellStyle name="Normal 2 4 8 24 3 5 2" xfId="59336" xr:uid="{00000000-0005-0000-0000-000023E00000}"/>
    <cellStyle name="Normal 2 4 8 24 3 6" xfId="59337" xr:uid="{00000000-0005-0000-0000-000024E00000}"/>
    <cellStyle name="Normal 2 4 8 24 3 6 2" xfId="59338" xr:uid="{00000000-0005-0000-0000-000025E00000}"/>
    <cellStyle name="Normal 2 4 8 24 3 7" xfId="59339" xr:uid="{00000000-0005-0000-0000-000026E00000}"/>
    <cellStyle name="Normal 2 4 8 24 4" xfId="23970" xr:uid="{00000000-0005-0000-0000-000027E00000}"/>
    <cellStyle name="Normal 2 4 8 24 4 2" xfId="23971" xr:uid="{00000000-0005-0000-0000-000028E00000}"/>
    <cellStyle name="Normal 2 4 8 24 4 2 2" xfId="59340" xr:uid="{00000000-0005-0000-0000-000029E00000}"/>
    <cellStyle name="Normal 2 4 8 24 4 3" xfId="23972" xr:uid="{00000000-0005-0000-0000-00002AE00000}"/>
    <cellStyle name="Normal 2 4 8 24 4 3 2" xfId="59341" xr:uid="{00000000-0005-0000-0000-00002BE00000}"/>
    <cellStyle name="Normal 2 4 8 24 4 4" xfId="59342" xr:uid="{00000000-0005-0000-0000-00002CE00000}"/>
    <cellStyle name="Normal 2 4 8 24 5" xfId="23973" xr:uid="{00000000-0005-0000-0000-00002DE00000}"/>
    <cellStyle name="Normal 2 4 8 24 5 2" xfId="23974" xr:uid="{00000000-0005-0000-0000-00002EE00000}"/>
    <cellStyle name="Normal 2 4 8 24 5 2 2" xfId="59343" xr:uid="{00000000-0005-0000-0000-00002FE00000}"/>
    <cellStyle name="Normal 2 4 8 24 5 3" xfId="59344" xr:uid="{00000000-0005-0000-0000-000030E00000}"/>
    <cellStyle name="Normal 2 4 8 24 6" xfId="23975" xr:uid="{00000000-0005-0000-0000-000031E00000}"/>
    <cellStyle name="Normal 2 4 8 24 6 2" xfId="59345" xr:uid="{00000000-0005-0000-0000-000032E00000}"/>
    <cellStyle name="Normal 2 4 8 24 7" xfId="23976" xr:uid="{00000000-0005-0000-0000-000033E00000}"/>
    <cellStyle name="Normal 2 4 8 24 7 2" xfId="59346" xr:uid="{00000000-0005-0000-0000-000034E00000}"/>
    <cellStyle name="Normal 2 4 8 24 8" xfId="59347" xr:uid="{00000000-0005-0000-0000-000035E00000}"/>
    <cellStyle name="Normal 2 4 8 24 8 2" xfId="59348" xr:uid="{00000000-0005-0000-0000-000036E00000}"/>
    <cellStyle name="Normal 2 4 8 24 9" xfId="59349" xr:uid="{00000000-0005-0000-0000-000037E00000}"/>
    <cellStyle name="Normal 2 4 8 25" xfId="23977" xr:uid="{00000000-0005-0000-0000-000038E00000}"/>
    <cellStyle name="Normal 2 4 8 25 10" xfId="59350" xr:uid="{00000000-0005-0000-0000-000039E00000}"/>
    <cellStyle name="Normal 2 4 8 25 11" xfId="59351" xr:uid="{00000000-0005-0000-0000-00003AE00000}"/>
    <cellStyle name="Normal 2 4 8 25 2" xfId="23978" xr:uid="{00000000-0005-0000-0000-00003BE00000}"/>
    <cellStyle name="Normal 2 4 8 25 2 10" xfId="59352" xr:uid="{00000000-0005-0000-0000-00003CE00000}"/>
    <cellStyle name="Normal 2 4 8 25 2 2" xfId="23979" xr:uid="{00000000-0005-0000-0000-00003DE00000}"/>
    <cellStyle name="Normal 2 4 8 25 2 2 2" xfId="23980" xr:uid="{00000000-0005-0000-0000-00003EE00000}"/>
    <cellStyle name="Normal 2 4 8 25 2 2 2 2" xfId="23981" xr:uid="{00000000-0005-0000-0000-00003FE00000}"/>
    <cellStyle name="Normal 2 4 8 25 2 2 2 2 2" xfId="59353" xr:uid="{00000000-0005-0000-0000-000040E00000}"/>
    <cellStyle name="Normal 2 4 8 25 2 2 2 3" xfId="23982" xr:uid="{00000000-0005-0000-0000-000041E00000}"/>
    <cellStyle name="Normal 2 4 8 25 2 2 2 3 2" xfId="59354" xr:uid="{00000000-0005-0000-0000-000042E00000}"/>
    <cellStyle name="Normal 2 4 8 25 2 2 2 4" xfId="59355" xr:uid="{00000000-0005-0000-0000-000043E00000}"/>
    <cellStyle name="Normal 2 4 8 25 2 2 3" xfId="23983" xr:uid="{00000000-0005-0000-0000-000044E00000}"/>
    <cellStyle name="Normal 2 4 8 25 2 2 3 2" xfId="59356" xr:uid="{00000000-0005-0000-0000-000045E00000}"/>
    <cellStyle name="Normal 2 4 8 25 2 2 4" xfId="23984" xr:uid="{00000000-0005-0000-0000-000046E00000}"/>
    <cellStyle name="Normal 2 4 8 25 2 2 4 2" xfId="59357" xr:uid="{00000000-0005-0000-0000-000047E00000}"/>
    <cellStyle name="Normal 2 4 8 25 2 2 5" xfId="23985" xr:uid="{00000000-0005-0000-0000-000048E00000}"/>
    <cellStyle name="Normal 2 4 8 25 2 2 5 2" xfId="59358" xr:uid="{00000000-0005-0000-0000-000049E00000}"/>
    <cellStyle name="Normal 2 4 8 25 2 2 6" xfId="59359" xr:uid="{00000000-0005-0000-0000-00004AE00000}"/>
    <cellStyle name="Normal 2 4 8 25 2 2 6 2" xfId="59360" xr:uid="{00000000-0005-0000-0000-00004BE00000}"/>
    <cellStyle name="Normal 2 4 8 25 2 2 7" xfId="59361" xr:uid="{00000000-0005-0000-0000-00004CE00000}"/>
    <cellStyle name="Normal 2 4 8 25 2 3" xfId="23986" xr:uid="{00000000-0005-0000-0000-00004DE00000}"/>
    <cellStyle name="Normal 2 4 8 25 2 3 2" xfId="23987" xr:uid="{00000000-0005-0000-0000-00004EE00000}"/>
    <cellStyle name="Normal 2 4 8 25 2 3 2 2" xfId="59362" xr:uid="{00000000-0005-0000-0000-00004FE00000}"/>
    <cellStyle name="Normal 2 4 8 25 2 3 3" xfId="23988" xr:uid="{00000000-0005-0000-0000-000050E00000}"/>
    <cellStyle name="Normal 2 4 8 25 2 3 3 2" xfId="59363" xr:uid="{00000000-0005-0000-0000-000051E00000}"/>
    <cellStyle name="Normal 2 4 8 25 2 3 4" xfId="59364" xr:uid="{00000000-0005-0000-0000-000052E00000}"/>
    <cellStyle name="Normal 2 4 8 25 2 4" xfId="23989" xr:uid="{00000000-0005-0000-0000-000053E00000}"/>
    <cellStyle name="Normal 2 4 8 25 2 4 2" xfId="23990" xr:uid="{00000000-0005-0000-0000-000054E00000}"/>
    <cellStyle name="Normal 2 4 8 25 2 4 2 2" xfId="59365" xr:uid="{00000000-0005-0000-0000-000055E00000}"/>
    <cellStyle name="Normal 2 4 8 25 2 4 3" xfId="59366" xr:uid="{00000000-0005-0000-0000-000056E00000}"/>
    <cellStyle name="Normal 2 4 8 25 2 5" xfId="23991" xr:uid="{00000000-0005-0000-0000-000057E00000}"/>
    <cellStyle name="Normal 2 4 8 25 2 5 2" xfId="59367" xr:uid="{00000000-0005-0000-0000-000058E00000}"/>
    <cellStyle name="Normal 2 4 8 25 2 6" xfId="23992" xr:uid="{00000000-0005-0000-0000-000059E00000}"/>
    <cellStyle name="Normal 2 4 8 25 2 6 2" xfId="59368" xr:uid="{00000000-0005-0000-0000-00005AE00000}"/>
    <cellStyle name="Normal 2 4 8 25 2 7" xfId="59369" xr:uid="{00000000-0005-0000-0000-00005BE00000}"/>
    <cellStyle name="Normal 2 4 8 25 2 7 2" xfId="59370" xr:uid="{00000000-0005-0000-0000-00005CE00000}"/>
    <cellStyle name="Normal 2 4 8 25 2 8" xfId="59371" xr:uid="{00000000-0005-0000-0000-00005DE00000}"/>
    <cellStyle name="Normal 2 4 8 25 2 9" xfId="59372" xr:uid="{00000000-0005-0000-0000-00005EE00000}"/>
    <cellStyle name="Normal 2 4 8 25 3" xfId="23993" xr:uid="{00000000-0005-0000-0000-00005FE00000}"/>
    <cellStyle name="Normal 2 4 8 25 3 2" xfId="23994" xr:uid="{00000000-0005-0000-0000-000060E00000}"/>
    <cellStyle name="Normal 2 4 8 25 3 2 2" xfId="23995" xr:uid="{00000000-0005-0000-0000-000061E00000}"/>
    <cellStyle name="Normal 2 4 8 25 3 2 2 2" xfId="59373" xr:uid="{00000000-0005-0000-0000-000062E00000}"/>
    <cellStyle name="Normal 2 4 8 25 3 2 3" xfId="23996" xr:uid="{00000000-0005-0000-0000-000063E00000}"/>
    <cellStyle name="Normal 2 4 8 25 3 2 3 2" xfId="59374" xr:uid="{00000000-0005-0000-0000-000064E00000}"/>
    <cellStyle name="Normal 2 4 8 25 3 2 4" xfId="59375" xr:uid="{00000000-0005-0000-0000-000065E00000}"/>
    <cellStyle name="Normal 2 4 8 25 3 3" xfId="23997" xr:uid="{00000000-0005-0000-0000-000066E00000}"/>
    <cellStyle name="Normal 2 4 8 25 3 3 2" xfId="59376" xr:uid="{00000000-0005-0000-0000-000067E00000}"/>
    <cellStyle name="Normal 2 4 8 25 3 4" xfId="23998" xr:uid="{00000000-0005-0000-0000-000068E00000}"/>
    <cellStyle name="Normal 2 4 8 25 3 4 2" xfId="59377" xr:uid="{00000000-0005-0000-0000-000069E00000}"/>
    <cellStyle name="Normal 2 4 8 25 3 5" xfId="23999" xr:uid="{00000000-0005-0000-0000-00006AE00000}"/>
    <cellStyle name="Normal 2 4 8 25 3 5 2" xfId="59378" xr:uid="{00000000-0005-0000-0000-00006BE00000}"/>
    <cellStyle name="Normal 2 4 8 25 3 6" xfId="59379" xr:uid="{00000000-0005-0000-0000-00006CE00000}"/>
    <cellStyle name="Normal 2 4 8 25 3 6 2" xfId="59380" xr:uid="{00000000-0005-0000-0000-00006DE00000}"/>
    <cellStyle name="Normal 2 4 8 25 3 7" xfId="59381" xr:uid="{00000000-0005-0000-0000-00006EE00000}"/>
    <cellStyle name="Normal 2 4 8 25 4" xfId="24000" xr:uid="{00000000-0005-0000-0000-00006FE00000}"/>
    <cellStyle name="Normal 2 4 8 25 4 2" xfId="24001" xr:uid="{00000000-0005-0000-0000-000070E00000}"/>
    <cellStyle name="Normal 2 4 8 25 4 2 2" xfId="59382" xr:uid="{00000000-0005-0000-0000-000071E00000}"/>
    <cellStyle name="Normal 2 4 8 25 4 3" xfId="24002" xr:uid="{00000000-0005-0000-0000-000072E00000}"/>
    <cellStyle name="Normal 2 4 8 25 4 3 2" xfId="59383" xr:uid="{00000000-0005-0000-0000-000073E00000}"/>
    <cellStyle name="Normal 2 4 8 25 4 4" xfId="59384" xr:uid="{00000000-0005-0000-0000-000074E00000}"/>
    <cellStyle name="Normal 2 4 8 25 5" xfId="24003" xr:uid="{00000000-0005-0000-0000-000075E00000}"/>
    <cellStyle name="Normal 2 4 8 25 5 2" xfId="24004" xr:uid="{00000000-0005-0000-0000-000076E00000}"/>
    <cellStyle name="Normal 2 4 8 25 5 2 2" xfId="59385" xr:uid="{00000000-0005-0000-0000-000077E00000}"/>
    <cellStyle name="Normal 2 4 8 25 5 3" xfId="59386" xr:uid="{00000000-0005-0000-0000-000078E00000}"/>
    <cellStyle name="Normal 2 4 8 25 6" xfId="24005" xr:uid="{00000000-0005-0000-0000-000079E00000}"/>
    <cellStyle name="Normal 2 4 8 25 6 2" xfId="59387" xr:uid="{00000000-0005-0000-0000-00007AE00000}"/>
    <cellStyle name="Normal 2 4 8 25 7" xfId="24006" xr:uid="{00000000-0005-0000-0000-00007BE00000}"/>
    <cellStyle name="Normal 2 4 8 25 7 2" xfId="59388" xr:uid="{00000000-0005-0000-0000-00007CE00000}"/>
    <cellStyle name="Normal 2 4 8 25 8" xfId="59389" xr:uid="{00000000-0005-0000-0000-00007DE00000}"/>
    <cellStyle name="Normal 2 4 8 25 8 2" xfId="59390" xr:uid="{00000000-0005-0000-0000-00007EE00000}"/>
    <cellStyle name="Normal 2 4 8 25 9" xfId="59391" xr:uid="{00000000-0005-0000-0000-00007FE00000}"/>
    <cellStyle name="Normal 2 4 8 26" xfId="24007" xr:uid="{00000000-0005-0000-0000-000080E00000}"/>
    <cellStyle name="Normal 2 4 8 26 10" xfId="59392" xr:uid="{00000000-0005-0000-0000-000081E00000}"/>
    <cellStyle name="Normal 2 4 8 26 11" xfId="59393" xr:uid="{00000000-0005-0000-0000-000082E00000}"/>
    <cellStyle name="Normal 2 4 8 26 2" xfId="24008" xr:uid="{00000000-0005-0000-0000-000083E00000}"/>
    <cellStyle name="Normal 2 4 8 26 2 10" xfId="59394" xr:uid="{00000000-0005-0000-0000-000084E00000}"/>
    <cellStyle name="Normal 2 4 8 26 2 2" xfId="24009" xr:uid="{00000000-0005-0000-0000-000085E00000}"/>
    <cellStyle name="Normal 2 4 8 26 2 2 2" xfId="24010" xr:uid="{00000000-0005-0000-0000-000086E00000}"/>
    <cellStyle name="Normal 2 4 8 26 2 2 2 2" xfId="24011" xr:uid="{00000000-0005-0000-0000-000087E00000}"/>
    <cellStyle name="Normal 2 4 8 26 2 2 2 2 2" xfId="59395" xr:uid="{00000000-0005-0000-0000-000088E00000}"/>
    <cellStyle name="Normal 2 4 8 26 2 2 2 3" xfId="24012" xr:uid="{00000000-0005-0000-0000-000089E00000}"/>
    <cellStyle name="Normal 2 4 8 26 2 2 2 3 2" xfId="59396" xr:uid="{00000000-0005-0000-0000-00008AE00000}"/>
    <cellStyle name="Normal 2 4 8 26 2 2 2 4" xfId="59397" xr:uid="{00000000-0005-0000-0000-00008BE00000}"/>
    <cellStyle name="Normal 2 4 8 26 2 2 3" xfId="24013" xr:uid="{00000000-0005-0000-0000-00008CE00000}"/>
    <cellStyle name="Normal 2 4 8 26 2 2 3 2" xfId="59398" xr:uid="{00000000-0005-0000-0000-00008DE00000}"/>
    <cellStyle name="Normal 2 4 8 26 2 2 4" xfId="24014" xr:uid="{00000000-0005-0000-0000-00008EE00000}"/>
    <cellStyle name="Normal 2 4 8 26 2 2 4 2" xfId="59399" xr:uid="{00000000-0005-0000-0000-00008FE00000}"/>
    <cellStyle name="Normal 2 4 8 26 2 2 5" xfId="24015" xr:uid="{00000000-0005-0000-0000-000090E00000}"/>
    <cellStyle name="Normal 2 4 8 26 2 2 5 2" xfId="59400" xr:uid="{00000000-0005-0000-0000-000091E00000}"/>
    <cellStyle name="Normal 2 4 8 26 2 2 6" xfId="59401" xr:uid="{00000000-0005-0000-0000-000092E00000}"/>
    <cellStyle name="Normal 2 4 8 26 2 2 6 2" xfId="59402" xr:uid="{00000000-0005-0000-0000-000093E00000}"/>
    <cellStyle name="Normal 2 4 8 26 2 2 7" xfId="59403" xr:uid="{00000000-0005-0000-0000-000094E00000}"/>
    <cellStyle name="Normal 2 4 8 26 2 3" xfId="24016" xr:uid="{00000000-0005-0000-0000-000095E00000}"/>
    <cellStyle name="Normal 2 4 8 26 2 3 2" xfId="24017" xr:uid="{00000000-0005-0000-0000-000096E00000}"/>
    <cellStyle name="Normal 2 4 8 26 2 3 2 2" xfId="59404" xr:uid="{00000000-0005-0000-0000-000097E00000}"/>
    <cellStyle name="Normal 2 4 8 26 2 3 3" xfId="24018" xr:uid="{00000000-0005-0000-0000-000098E00000}"/>
    <cellStyle name="Normal 2 4 8 26 2 3 3 2" xfId="59405" xr:uid="{00000000-0005-0000-0000-000099E00000}"/>
    <cellStyle name="Normal 2 4 8 26 2 3 4" xfId="59406" xr:uid="{00000000-0005-0000-0000-00009AE00000}"/>
    <cellStyle name="Normal 2 4 8 26 2 4" xfId="24019" xr:uid="{00000000-0005-0000-0000-00009BE00000}"/>
    <cellStyle name="Normal 2 4 8 26 2 4 2" xfId="24020" xr:uid="{00000000-0005-0000-0000-00009CE00000}"/>
    <cellStyle name="Normal 2 4 8 26 2 4 2 2" xfId="59407" xr:uid="{00000000-0005-0000-0000-00009DE00000}"/>
    <cellStyle name="Normal 2 4 8 26 2 4 3" xfId="59408" xr:uid="{00000000-0005-0000-0000-00009EE00000}"/>
    <cellStyle name="Normal 2 4 8 26 2 5" xfId="24021" xr:uid="{00000000-0005-0000-0000-00009FE00000}"/>
    <cellStyle name="Normal 2 4 8 26 2 5 2" xfId="59409" xr:uid="{00000000-0005-0000-0000-0000A0E00000}"/>
    <cellStyle name="Normal 2 4 8 26 2 6" xfId="24022" xr:uid="{00000000-0005-0000-0000-0000A1E00000}"/>
    <cellStyle name="Normal 2 4 8 26 2 6 2" xfId="59410" xr:uid="{00000000-0005-0000-0000-0000A2E00000}"/>
    <cellStyle name="Normal 2 4 8 26 2 7" xfId="59411" xr:uid="{00000000-0005-0000-0000-0000A3E00000}"/>
    <cellStyle name="Normal 2 4 8 26 2 7 2" xfId="59412" xr:uid="{00000000-0005-0000-0000-0000A4E00000}"/>
    <cellStyle name="Normal 2 4 8 26 2 8" xfId="59413" xr:uid="{00000000-0005-0000-0000-0000A5E00000}"/>
    <cellStyle name="Normal 2 4 8 26 2 9" xfId="59414" xr:uid="{00000000-0005-0000-0000-0000A6E00000}"/>
    <cellStyle name="Normal 2 4 8 26 3" xfId="24023" xr:uid="{00000000-0005-0000-0000-0000A7E00000}"/>
    <cellStyle name="Normal 2 4 8 26 3 2" xfId="24024" xr:uid="{00000000-0005-0000-0000-0000A8E00000}"/>
    <cellStyle name="Normal 2 4 8 26 3 2 2" xfId="24025" xr:uid="{00000000-0005-0000-0000-0000A9E00000}"/>
    <cellStyle name="Normal 2 4 8 26 3 2 2 2" xfId="59415" xr:uid="{00000000-0005-0000-0000-0000AAE00000}"/>
    <cellStyle name="Normal 2 4 8 26 3 2 3" xfId="24026" xr:uid="{00000000-0005-0000-0000-0000ABE00000}"/>
    <cellStyle name="Normal 2 4 8 26 3 2 3 2" xfId="59416" xr:uid="{00000000-0005-0000-0000-0000ACE00000}"/>
    <cellStyle name="Normal 2 4 8 26 3 2 4" xfId="59417" xr:uid="{00000000-0005-0000-0000-0000ADE00000}"/>
    <cellStyle name="Normal 2 4 8 26 3 3" xfId="24027" xr:uid="{00000000-0005-0000-0000-0000AEE00000}"/>
    <cellStyle name="Normal 2 4 8 26 3 3 2" xfId="59418" xr:uid="{00000000-0005-0000-0000-0000AFE00000}"/>
    <cellStyle name="Normal 2 4 8 26 3 4" xfId="24028" xr:uid="{00000000-0005-0000-0000-0000B0E00000}"/>
    <cellStyle name="Normal 2 4 8 26 3 4 2" xfId="59419" xr:uid="{00000000-0005-0000-0000-0000B1E00000}"/>
    <cellStyle name="Normal 2 4 8 26 3 5" xfId="24029" xr:uid="{00000000-0005-0000-0000-0000B2E00000}"/>
    <cellStyle name="Normal 2 4 8 26 3 5 2" xfId="59420" xr:uid="{00000000-0005-0000-0000-0000B3E00000}"/>
    <cellStyle name="Normal 2 4 8 26 3 6" xfId="59421" xr:uid="{00000000-0005-0000-0000-0000B4E00000}"/>
    <cellStyle name="Normal 2 4 8 26 3 6 2" xfId="59422" xr:uid="{00000000-0005-0000-0000-0000B5E00000}"/>
    <cellStyle name="Normal 2 4 8 26 3 7" xfId="59423" xr:uid="{00000000-0005-0000-0000-0000B6E00000}"/>
    <cellStyle name="Normal 2 4 8 26 4" xfId="24030" xr:uid="{00000000-0005-0000-0000-0000B7E00000}"/>
    <cellStyle name="Normal 2 4 8 26 4 2" xfId="24031" xr:uid="{00000000-0005-0000-0000-0000B8E00000}"/>
    <cellStyle name="Normal 2 4 8 26 4 2 2" xfId="59424" xr:uid="{00000000-0005-0000-0000-0000B9E00000}"/>
    <cellStyle name="Normal 2 4 8 26 4 3" xfId="24032" xr:uid="{00000000-0005-0000-0000-0000BAE00000}"/>
    <cellStyle name="Normal 2 4 8 26 4 3 2" xfId="59425" xr:uid="{00000000-0005-0000-0000-0000BBE00000}"/>
    <cellStyle name="Normal 2 4 8 26 4 4" xfId="59426" xr:uid="{00000000-0005-0000-0000-0000BCE00000}"/>
    <cellStyle name="Normal 2 4 8 26 5" xfId="24033" xr:uid="{00000000-0005-0000-0000-0000BDE00000}"/>
    <cellStyle name="Normal 2 4 8 26 5 2" xfId="24034" xr:uid="{00000000-0005-0000-0000-0000BEE00000}"/>
    <cellStyle name="Normal 2 4 8 26 5 2 2" xfId="59427" xr:uid="{00000000-0005-0000-0000-0000BFE00000}"/>
    <cellStyle name="Normal 2 4 8 26 5 3" xfId="59428" xr:uid="{00000000-0005-0000-0000-0000C0E00000}"/>
    <cellStyle name="Normal 2 4 8 26 6" xfId="24035" xr:uid="{00000000-0005-0000-0000-0000C1E00000}"/>
    <cellStyle name="Normal 2 4 8 26 6 2" xfId="59429" xr:uid="{00000000-0005-0000-0000-0000C2E00000}"/>
    <cellStyle name="Normal 2 4 8 26 7" xfId="24036" xr:uid="{00000000-0005-0000-0000-0000C3E00000}"/>
    <cellStyle name="Normal 2 4 8 26 7 2" xfId="59430" xr:uid="{00000000-0005-0000-0000-0000C4E00000}"/>
    <cellStyle name="Normal 2 4 8 26 8" xfId="59431" xr:uid="{00000000-0005-0000-0000-0000C5E00000}"/>
    <cellStyle name="Normal 2 4 8 26 8 2" xfId="59432" xr:uid="{00000000-0005-0000-0000-0000C6E00000}"/>
    <cellStyle name="Normal 2 4 8 26 9" xfId="59433" xr:uid="{00000000-0005-0000-0000-0000C7E00000}"/>
    <cellStyle name="Normal 2 4 8 27" xfId="24037" xr:uid="{00000000-0005-0000-0000-0000C8E00000}"/>
    <cellStyle name="Normal 2 4 8 27 10" xfId="59434" xr:uid="{00000000-0005-0000-0000-0000C9E00000}"/>
    <cellStyle name="Normal 2 4 8 27 11" xfId="59435" xr:uid="{00000000-0005-0000-0000-0000CAE00000}"/>
    <cellStyle name="Normal 2 4 8 27 2" xfId="24038" xr:uid="{00000000-0005-0000-0000-0000CBE00000}"/>
    <cellStyle name="Normal 2 4 8 27 2 10" xfId="59436" xr:uid="{00000000-0005-0000-0000-0000CCE00000}"/>
    <cellStyle name="Normal 2 4 8 27 2 2" xfId="24039" xr:uid="{00000000-0005-0000-0000-0000CDE00000}"/>
    <cellStyle name="Normal 2 4 8 27 2 2 2" xfId="24040" xr:uid="{00000000-0005-0000-0000-0000CEE00000}"/>
    <cellStyle name="Normal 2 4 8 27 2 2 2 2" xfId="24041" xr:uid="{00000000-0005-0000-0000-0000CFE00000}"/>
    <cellStyle name="Normal 2 4 8 27 2 2 2 2 2" xfId="59437" xr:uid="{00000000-0005-0000-0000-0000D0E00000}"/>
    <cellStyle name="Normal 2 4 8 27 2 2 2 3" xfId="24042" xr:uid="{00000000-0005-0000-0000-0000D1E00000}"/>
    <cellStyle name="Normal 2 4 8 27 2 2 2 3 2" xfId="59438" xr:uid="{00000000-0005-0000-0000-0000D2E00000}"/>
    <cellStyle name="Normal 2 4 8 27 2 2 2 4" xfId="59439" xr:uid="{00000000-0005-0000-0000-0000D3E00000}"/>
    <cellStyle name="Normal 2 4 8 27 2 2 3" xfId="24043" xr:uid="{00000000-0005-0000-0000-0000D4E00000}"/>
    <cellStyle name="Normal 2 4 8 27 2 2 3 2" xfId="59440" xr:uid="{00000000-0005-0000-0000-0000D5E00000}"/>
    <cellStyle name="Normal 2 4 8 27 2 2 4" xfId="24044" xr:uid="{00000000-0005-0000-0000-0000D6E00000}"/>
    <cellStyle name="Normal 2 4 8 27 2 2 4 2" xfId="59441" xr:uid="{00000000-0005-0000-0000-0000D7E00000}"/>
    <cellStyle name="Normal 2 4 8 27 2 2 5" xfId="24045" xr:uid="{00000000-0005-0000-0000-0000D8E00000}"/>
    <cellStyle name="Normal 2 4 8 27 2 2 5 2" xfId="59442" xr:uid="{00000000-0005-0000-0000-0000D9E00000}"/>
    <cellStyle name="Normal 2 4 8 27 2 2 6" xfId="59443" xr:uid="{00000000-0005-0000-0000-0000DAE00000}"/>
    <cellStyle name="Normal 2 4 8 27 2 2 6 2" xfId="59444" xr:uid="{00000000-0005-0000-0000-0000DBE00000}"/>
    <cellStyle name="Normal 2 4 8 27 2 2 7" xfId="59445" xr:uid="{00000000-0005-0000-0000-0000DCE00000}"/>
    <cellStyle name="Normal 2 4 8 27 2 3" xfId="24046" xr:uid="{00000000-0005-0000-0000-0000DDE00000}"/>
    <cellStyle name="Normal 2 4 8 27 2 3 2" xfId="24047" xr:uid="{00000000-0005-0000-0000-0000DEE00000}"/>
    <cellStyle name="Normal 2 4 8 27 2 3 2 2" xfId="59446" xr:uid="{00000000-0005-0000-0000-0000DFE00000}"/>
    <cellStyle name="Normal 2 4 8 27 2 3 3" xfId="24048" xr:uid="{00000000-0005-0000-0000-0000E0E00000}"/>
    <cellStyle name="Normal 2 4 8 27 2 3 3 2" xfId="59447" xr:uid="{00000000-0005-0000-0000-0000E1E00000}"/>
    <cellStyle name="Normal 2 4 8 27 2 3 4" xfId="59448" xr:uid="{00000000-0005-0000-0000-0000E2E00000}"/>
    <cellStyle name="Normal 2 4 8 27 2 4" xfId="24049" xr:uid="{00000000-0005-0000-0000-0000E3E00000}"/>
    <cellStyle name="Normal 2 4 8 27 2 4 2" xfId="24050" xr:uid="{00000000-0005-0000-0000-0000E4E00000}"/>
    <cellStyle name="Normal 2 4 8 27 2 4 2 2" xfId="59449" xr:uid="{00000000-0005-0000-0000-0000E5E00000}"/>
    <cellStyle name="Normal 2 4 8 27 2 4 3" xfId="59450" xr:uid="{00000000-0005-0000-0000-0000E6E00000}"/>
    <cellStyle name="Normal 2 4 8 27 2 5" xfId="24051" xr:uid="{00000000-0005-0000-0000-0000E7E00000}"/>
    <cellStyle name="Normal 2 4 8 27 2 5 2" xfId="59451" xr:uid="{00000000-0005-0000-0000-0000E8E00000}"/>
    <cellStyle name="Normal 2 4 8 27 2 6" xfId="24052" xr:uid="{00000000-0005-0000-0000-0000E9E00000}"/>
    <cellStyle name="Normal 2 4 8 27 2 6 2" xfId="59452" xr:uid="{00000000-0005-0000-0000-0000EAE00000}"/>
    <cellStyle name="Normal 2 4 8 27 2 7" xfId="59453" xr:uid="{00000000-0005-0000-0000-0000EBE00000}"/>
    <cellStyle name="Normal 2 4 8 27 2 7 2" xfId="59454" xr:uid="{00000000-0005-0000-0000-0000ECE00000}"/>
    <cellStyle name="Normal 2 4 8 27 2 8" xfId="59455" xr:uid="{00000000-0005-0000-0000-0000EDE00000}"/>
    <cellStyle name="Normal 2 4 8 27 2 9" xfId="59456" xr:uid="{00000000-0005-0000-0000-0000EEE00000}"/>
    <cellStyle name="Normal 2 4 8 27 3" xfId="24053" xr:uid="{00000000-0005-0000-0000-0000EFE00000}"/>
    <cellStyle name="Normal 2 4 8 27 3 2" xfId="24054" xr:uid="{00000000-0005-0000-0000-0000F0E00000}"/>
    <cellStyle name="Normal 2 4 8 27 3 2 2" xfId="24055" xr:uid="{00000000-0005-0000-0000-0000F1E00000}"/>
    <cellStyle name="Normal 2 4 8 27 3 2 2 2" xfId="59457" xr:uid="{00000000-0005-0000-0000-0000F2E00000}"/>
    <cellStyle name="Normal 2 4 8 27 3 2 3" xfId="24056" xr:uid="{00000000-0005-0000-0000-0000F3E00000}"/>
    <cellStyle name="Normal 2 4 8 27 3 2 3 2" xfId="59458" xr:uid="{00000000-0005-0000-0000-0000F4E00000}"/>
    <cellStyle name="Normal 2 4 8 27 3 2 4" xfId="59459" xr:uid="{00000000-0005-0000-0000-0000F5E00000}"/>
    <cellStyle name="Normal 2 4 8 27 3 3" xfId="24057" xr:uid="{00000000-0005-0000-0000-0000F6E00000}"/>
    <cellStyle name="Normal 2 4 8 27 3 3 2" xfId="59460" xr:uid="{00000000-0005-0000-0000-0000F7E00000}"/>
    <cellStyle name="Normal 2 4 8 27 3 4" xfId="24058" xr:uid="{00000000-0005-0000-0000-0000F8E00000}"/>
    <cellStyle name="Normal 2 4 8 27 3 4 2" xfId="59461" xr:uid="{00000000-0005-0000-0000-0000F9E00000}"/>
    <cellStyle name="Normal 2 4 8 27 3 5" xfId="24059" xr:uid="{00000000-0005-0000-0000-0000FAE00000}"/>
    <cellStyle name="Normal 2 4 8 27 3 5 2" xfId="59462" xr:uid="{00000000-0005-0000-0000-0000FBE00000}"/>
    <cellStyle name="Normal 2 4 8 27 3 6" xfId="59463" xr:uid="{00000000-0005-0000-0000-0000FCE00000}"/>
    <cellStyle name="Normal 2 4 8 27 3 6 2" xfId="59464" xr:uid="{00000000-0005-0000-0000-0000FDE00000}"/>
    <cellStyle name="Normal 2 4 8 27 3 7" xfId="59465" xr:uid="{00000000-0005-0000-0000-0000FEE00000}"/>
    <cellStyle name="Normal 2 4 8 27 4" xfId="24060" xr:uid="{00000000-0005-0000-0000-0000FFE00000}"/>
    <cellStyle name="Normal 2 4 8 27 4 2" xfId="24061" xr:uid="{00000000-0005-0000-0000-000000E10000}"/>
    <cellStyle name="Normal 2 4 8 27 4 2 2" xfId="59466" xr:uid="{00000000-0005-0000-0000-000001E10000}"/>
    <cellStyle name="Normal 2 4 8 27 4 3" xfId="24062" xr:uid="{00000000-0005-0000-0000-000002E10000}"/>
    <cellStyle name="Normal 2 4 8 27 4 3 2" xfId="59467" xr:uid="{00000000-0005-0000-0000-000003E10000}"/>
    <cellStyle name="Normal 2 4 8 27 4 4" xfId="59468" xr:uid="{00000000-0005-0000-0000-000004E10000}"/>
    <cellStyle name="Normal 2 4 8 27 5" xfId="24063" xr:uid="{00000000-0005-0000-0000-000005E10000}"/>
    <cellStyle name="Normal 2 4 8 27 5 2" xfId="24064" xr:uid="{00000000-0005-0000-0000-000006E10000}"/>
    <cellStyle name="Normal 2 4 8 27 5 2 2" xfId="59469" xr:uid="{00000000-0005-0000-0000-000007E10000}"/>
    <cellStyle name="Normal 2 4 8 27 5 3" xfId="59470" xr:uid="{00000000-0005-0000-0000-000008E10000}"/>
    <cellStyle name="Normal 2 4 8 27 6" xfId="24065" xr:uid="{00000000-0005-0000-0000-000009E10000}"/>
    <cellStyle name="Normal 2 4 8 27 6 2" xfId="59471" xr:uid="{00000000-0005-0000-0000-00000AE10000}"/>
    <cellStyle name="Normal 2 4 8 27 7" xfId="24066" xr:uid="{00000000-0005-0000-0000-00000BE10000}"/>
    <cellStyle name="Normal 2 4 8 27 7 2" xfId="59472" xr:uid="{00000000-0005-0000-0000-00000CE10000}"/>
    <cellStyle name="Normal 2 4 8 27 8" xfId="59473" xr:uid="{00000000-0005-0000-0000-00000DE10000}"/>
    <cellStyle name="Normal 2 4 8 27 8 2" xfId="59474" xr:uid="{00000000-0005-0000-0000-00000EE10000}"/>
    <cellStyle name="Normal 2 4 8 27 9" xfId="59475" xr:uid="{00000000-0005-0000-0000-00000FE10000}"/>
    <cellStyle name="Normal 2 4 8 28" xfId="24067" xr:uid="{00000000-0005-0000-0000-000010E10000}"/>
    <cellStyle name="Normal 2 4 8 28 10" xfId="59476" xr:uid="{00000000-0005-0000-0000-000011E10000}"/>
    <cellStyle name="Normal 2 4 8 28 11" xfId="59477" xr:uid="{00000000-0005-0000-0000-000012E10000}"/>
    <cellStyle name="Normal 2 4 8 28 2" xfId="24068" xr:uid="{00000000-0005-0000-0000-000013E10000}"/>
    <cellStyle name="Normal 2 4 8 28 2 10" xfId="59478" xr:uid="{00000000-0005-0000-0000-000014E10000}"/>
    <cellStyle name="Normal 2 4 8 28 2 2" xfId="24069" xr:uid="{00000000-0005-0000-0000-000015E10000}"/>
    <cellStyle name="Normal 2 4 8 28 2 2 2" xfId="24070" xr:uid="{00000000-0005-0000-0000-000016E10000}"/>
    <cellStyle name="Normal 2 4 8 28 2 2 2 2" xfId="24071" xr:uid="{00000000-0005-0000-0000-000017E10000}"/>
    <cellStyle name="Normal 2 4 8 28 2 2 2 2 2" xfId="59479" xr:uid="{00000000-0005-0000-0000-000018E10000}"/>
    <cellStyle name="Normal 2 4 8 28 2 2 2 3" xfId="24072" xr:uid="{00000000-0005-0000-0000-000019E10000}"/>
    <cellStyle name="Normal 2 4 8 28 2 2 2 3 2" xfId="59480" xr:uid="{00000000-0005-0000-0000-00001AE10000}"/>
    <cellStyle name="Normal 2 4 8 28 2 2 2 4" xfId="59481" xr:uid="{00000000-0005-0000-0000-00001BE10000}"/>
    <cellStyle name="Normal 2 4 8 28 2 2 3" xfId="24073" xr:uid="{00000000-0005-0000-0000-00001CE10000}"/>
    <cellStyle name="Normal 2 4 8 28 2 2 3 2" xfId="59482" xr:uid="{00000000-0005-0000-0000-00001DE10000}"/>
    <cellStyle name="Normal 2 4 8 28 2 2 4" xfId="24074" xr:uid="{00000000-0005-0000-0000-00001EE10000}"/>
    <cellStyle name="Normal 2 4 8 28 2 2 4 2" xfId="59483" xr:uid="{00000000-0005-0000-0000-00001FE10000}"/>
    <cellStyle name="Normal 2 4 8 28 2 2 5" xfId="24075" xr:uid="{00000000-0005-0000-0000-000020E10000}"/>
    <cellStyle name="Normal 2 4 8 28 2 2 5 2" xfId="59484" xr:uid="{00000000-0005-0000-0000-000021E10000}"/>
    <cellStyle name="Normal 2 4 8 28 2 2 6" xfId="59485" xr:uid="{00000000-0005-0000-0000-000022E10000}"/>
    <cellStyle name="Normal 2 4 8 28 2 2 6 2" xfId="59486" xr:uid="{00000000-0005-0000-0000-000023E10000}"/>
    <cellStyle name="Normal 2 4 8 28 2 2 7" xfId="59487" xr:uid="{00000000-0005-0000-0000-000024E10000}"/>
    <cellStyle name="Normal 2 4 8 28 2 3" xfId="24076" xr:uid="{00000000-0005-0000-0000-000025E10000}"/>
    <cellStyle name="Normal 2 4 8 28 2 3 2" xfId="24077" xr:uid="{00000000-0005-0000-0000-000026E10000}"/>
    <cellStyle name="Normal 2 4 8 28 2 3 2 2" xfId="59488" xr:uid="{00000000-0005-0000-0000-000027E10000}"/>
    <cellStyle name="Normal 2 4 8 28 2 3 3" xfId="24078" xr:uid="{00000000-0005-0000-0000-000028E10000}"/>
    <cellStyle name="Normal 2 4 8 28 2 3 3 2" xfId="59489" xr:uid="{00000000-0005-0000-0000-000029E10000}"/>
    <cellStyle name="Normal 2 4 8 28 2 3 4" xfId="59490" xr:uid="{00000000-0005-0000-0000-00002AE10000}"/>
    <cellStyle name="Normal 2 4 8 28 2 4" xfId="24079" xr:uid="{00000000-0005-0000-0000-00002BE10000}"/>
    <cellStyle name="Normal 2 4 8 28 2 4 2" xfId="24080" xr:uid="{00000000-0005-0000-0000-00002CE10000}"/>
    <cellStyle name="Normal 2 4 8 28 2 4 2 2" xfId="59491" xr:uid="{00000000-0005-0000-0000-00002DE10000}"/>
    <cellStyle name="Normal 2 4 8 28 2 4 3" xfId="59492" xr:uid="{00000000-0005-0000-0000-00002EE10000}"/>
    <cellStyle name="Normal 2 4 8 28 2 5" xfId="24081" xr:uid="{00000000-0005-0000-0000-00002FE10000}"/>
    <cellStyle name="Normal 2 4 8 28 2 5 2" xfId="59493" xr:uid="{00000000-0005-0000-0000-000030E10000}"/>
    <cellStyle name="Normal 2 4 8 28 2 6" xfId="24082" xr:uid="{00000000-0005-0000-0000-000031E10000}"/>
    <cellStyle name="Normal 2 4 8 28 2 6 2" xfId="59494" xr:uid="{00000000-0005-0000-0000-000032E10000}"/>
    <cellStyle name="Normal 2 4 8 28 2 7" xfId="59495" xr:uid="{00000000-0005-0000-0000-000033E10000}"/>
    <cellStyle name="Normal 2 4 8 28 2 7 2" xfId="59496" xr:uid="{00000000-0005-0000-0000-000034E10000}"/>
    <cellStyle name="Normal 2 4 8 28 2 8" xfId="59497" xr:uid="{00000000-0005-0000-0000-000035E10000}"/>
    <cellStyle name="Normal 2 4 8 28 2 9" xfId="59498" xr:uid="{00000000-0005-0000-0000-000036E10000}"/>
    <cellStyle name="Normal 2 4 8 28 3" xfId="24083" xr:uid="{00000000-0005-0000-0000-000037E10000}"/>
    <cellStyle name="Normal 2 4 8 28 3 2" xfId="24084" xr:uid="{00000000-0005-0000-0000-000038E10000}"/>
    <cellStyle name="Normal 2 4 8 28 3 2 2" xfId="24085" xr:uid="{00000000-0005-0000-0000-000039E10000}"/>
    <cellStyle name="Normal 2 4 8 28 3 2 2 2" xfId="59499" xr:uid="{00000000-0005-0000-0000-00003AE10000}"/>
    <cellStyle name="Normal 2 4 8 28 3 2 3" xfId="24086" xr:uid="{00000000-0005-0000-0000-00003BE10000}"/>
    <cellStyle name="Normal 2 4 8 28 3 2 3 2" xfId="59500" xr:uid="{00000000-0005-0000-0000-00003CE10000}"/>
    <cellStyle name="Normal 2 4 8 28 3 2 4" xfId="59501" xr:uid="{00000000-0005-0000-0000-00003DE10000}"/>
    <cellStyle name="Normal 2 4 8 28 3 3" xfId="24087" xr:uid="{00000000-0005-0000-0000-00003EE10000}"/>
    <cellStyle name="Normal 2 4 8 28 3 3 2" xfId="59502" xr:uid="{00000000-0005-0000-0000-00003FE10000}"/>
    <cellStyle name="Normal 2 4 8 28 3 4" xfId="24088" xr:uid="{00000000-0005-0000-0000-000040E10000}"/>
    <cellStyle name="Normal 2 4 8 28 3 4 2" xfId="59503" xr:uid="{00000000-0005-0000-0000-000041E10000}"/>
    <cellStyle name="Normal 2 4 8 28 3 5" xfId="24089" xr:uid="{00000000-0005-0000-0000-000042E10000}"/>
    <cellStyle name="Normal 2 4 8 28 3 5 2" xfId="59504" xr:uid="{00000000-0005-0000-0000-000043E10000}"/>
    <cellStyle name="Normal 2 4 8 28 3 6" xfId="59505" xr:uid="{00000000-0005-0000-0000-000044E10000}"/>
    <cellStyle name="Normal 2 4 8 28 3 6 2" xfId="59506" xr:uid="{00000000-0005-0000-0000-000045E10000}"/>
    <cellStyle name="Normal 2 4 8 28 3 7" xfId="59507" xr:uid="{00000000-0005-0000-0000-000046E10000}"/>
    <cellStyle name="Normal 2 4 8 28 4" xfId="24090" xr:uid="{00000000-0005-0000-0000-000047E10000}"/>
    <cellStyle name="Normal 2 4 8 28 4 2" xfId="24091" xr:uid="{00000000-0005-0000-0000-000048E10000}"/>
    <cellStyle name="Normal 2 4 8 28 4 2 2" xfId="59508" xr:uid="{00000000-0005-0000-0000-000049E10000}"/>
    <cellStyle name="Normal 2 4 8 28 4 3" xfId="24092" xr:uid="{00000000-0005-0000-0000-00004AE10000}"/>
    <cellStyle name="Normal 2 4 8 28 4 3 2" xfId="59509" xr:uid="{00000000-0005-0000-0000-00004BE10000}"/>
    <cellStyle name="Normal 2 4 8 28 4 4" xfId="59510" xr:uid="{00000000-0005-0000-0000-00004CE10000}"/>
    <cellStyle name="Normal 2 4 8 28 5" xfId="24093" xr:uid="{00000000-0005-0000-0000-00004DE10000}"/>
    <cellStyle name="Normal 2 4 8 28 5 2" xfId="24094" xr:uid="{00000000-0005-0000-0000-00004EE10000}"/>
    <cellStyle name="Normal 2 4 8 28 5 2 2" xfId="59511" xr:uid="{00000000-0005-0000-0000-00004FE10000}"/>
    <cellStyle name="Normal 2 4 8 28 5 3" xfId="59512" xr:uid="{00000000-0005-0000-0000-000050E10000}"/>
    <cellStyle name="Normal 2 4 8 28 6" xfId="24095" xr:uid="{00000000-0005-0000-0000-000051E10000}"/>
    <cellStyle name="Normal 2 4 8 28 6 2" xfId="59513" xr:uid="{00000000-0005-0000-0000-000052E10000}"/>
    <cellStyle name="Normal 2 4 8 28 7" xfId="24096" xr:uid="{00000000-0005-0000-0000-000053E10000}"/>
    <cellStyle name="Normal 2 4 8 28 7 2" xfId="59514" xr:uid="{00000000-0005-0000-0000-000054E10000}"/>
    <cellStyle name="Normal 2 4 8 28 8" xfId="59515" xr:uid="{00000000-0005-0000-0000-000055E10000}"/>
    <cellStyle name="Normal 2 4 8 28 8 2" xfId="59516" xr:uid="{00000000-0005-0000-0000-000056E10000}"/>
    <cellStyle name="Normal 2 4 8 28 9" xfId="59517" xr:uid="{00000000-0005-0000-0000-000057E10000}"/>
    <cellStyle name="Normal 2 4 8 29" xfId="24097" xr:uid="{00000000-0005-0000-0000-000058E10000}"/>
    <cellStyle name="Normal 2 4 8 29 10" xfId="59518" xr:uid="{00000000-0005-0000-0000-000059E10000}"/>
    <cellStyle name="Normal 2 4 8 29 11" xfId="59519" xr:uid="{00000000-0005-0000-0000-00005AE10000}"/>
    <cellStyle name="Normal 2 4 8 29 2" xfId="24098" xr:uid="{00000000-0005-0000-0000-00005BE10000}"/>
    <cellStyle name="Normal 2 4 8 29 2 10" xfId="59520" xr:uid="{00000000-0005-0000-0000-00005CE10000}"/>
    <cellStyle name="Normal 2 4 8 29 2 2" xfId="24099" xr:uid="{00000000-0005-0000-0000-00005DE10000}"/>
    <cellStyle name="Normal 2 4 8 29 2 2 2" xfId="24100" xr:uid="{00000000-0005-0000-0000-00005EE10000}"/>
    <cellStyle name="Normal 2 4 8 29 2 2 2 2" xfId="24101" xr:uid="{00000000-0005-0000-0000-00005FE10000}"/>
    <cellStyle name="Normal 2 4 8 29 2 2 2 2 2" xfId="59521" xr:uid="{00000000-0005-0000-0000-000060E10000}"/>
    <cellStyle name="Normal 2 4 8 29 2 2 2 3" xfId="24102" xr:uid="{00000000-0005-0000-0000-000061E10000}"/>
    <cellStyle name="Normal 2 4 8 29 2 2 2 3 2" xfId="59522" xr:uid="{00000000-0005-0000-0000-000062E10000}"/>
    <cellStyle name="Normal 2 4 8 29 2 2 2 4" xfId="59523" xr:uid="{00000000-0005-0000-0000-000063E10000}"/>
    <cellStyle name="Normal 2 4 8 29 2 2 3" xfId="24103" xr:uid="{00000000-0005-0000-0000-000064E10000}"/>
    <cellStyle name="Normal 2 4 8 29 2 2 3 2" xfId="59524" xr:uid="{00000000-0005-0000-0000-000065E10000}"/>
    <cellStyle name="Normal 2 4 8 29 2 2 4" xfId="24104" xr:uid="{00000000-0005-0000-0000-000066E10000}"/>
    <cellStyle name="Normal 2 4 8 29 2 2 4 2" xfId="59525" xr:uid="{00000000-0005-0000-0000-000067E10000}"/>
    <cellStyle name="Normal 2 4 8 29 2 2 5" xfId="24105" xr:uid="{00000000-0005-0000-0000-000068E10000}"/>
    <cellStyle name="Normal 2 4 8 29 2 2 5 2" xfId="59526" xr:uid="{00000000-0005-0000-0000-000069E10000}"/>
    <cellStyle name="Normal 2 4 8 29 2 2 6" xfId="59527" xr:uid="{00000000-0005-0000-0000-00006AE10000}"/>
    <cellStyle name="Normal 2 4 8 29 2 2 6 2" xfId="59528" xr:uid="{00000000-0005-0000-0000-00006BE10000}"/>
    <cellStyle name="Normal 2 4 8 29 2 2 7" xfId="59529" xr:uid="{00000000-0005-0000-0000-00006CE10000}"/>
    <cellStyle name="Normal 2 4 8 29 2 3" xfId="24106" xr:uid="{00000000-0005-0000-0000-00006DE10000}"/>
    <cellStyle name="Normal 2 4 8 29 2 3 2" xfId="24107" xr:uid="{00000000-0005-0000-0000-00006EE10000}"/>
    <cellStyle name="Normal 2 4 8 29 2 3 2 2" xfId="59530" xr:uid="{00000000-0005-0000-0000-00006FE10000}"/>
    <cellStyle name="Normal 2 4 8 29 2 3 3" xfId="24108" xr:uid="{00000000-0005-0000-0000-000070E10000}"/>
    <cellStyle name="Normal 2 4 8 29 2 3 3 2" xfId="59531" xr:uid="{00000000-0005-0000-0000-000071E10000}"/>
    <cellStyle name="Normal 2 4 8 29 2 3 4" xfId="59532" xr:uid="{00000000-0005-0000-0000-000072E10000}"/>
    <cellStyle name="Normal 2 4 8 29 2 4" xfId="24109" xr:uid="{00000000-0005-0000-0000-000073E10000}"/>
    <cellStyle name="Normal 2 4 8 29 2 4 2" xfId="24110" xr:uid="{00000000-0005-0000-0000-000074E10000}"/>
    <cellStyle name="Normal 2 4 8 29 2 4 2 2" xfId="59533" xr:uid="{00000000-0005-0000-0000-000075E10000}"/>
    <cellStyle name="Normal 2 4 8 29 2 4 3" xfId="59534" xr:uid="{00000000-0005-0000-0000-000076E10000}"/>
    <cellStyle name="Normal 2 4 8 29 2 5" xfId="24111" xr:uid="{00000000-0005-0000-0000-000077E10000}"/>
    <cellStyle name="Normal 2 4 8 29 2 5 2" xfId="59535" xr:uid="{00000000-0005-0000-0000-000078E10000}"/>
    <cellStyle name="Normal 2 4 8 29 2 6" xfId="24112" xr:uid="{00000000-0005-0000-0000-000079E10000}"/>
    <cellStyle name="Normal 2 4 8 29 2 6 2" xfId="59536" xr:uid="{00000000-0005-0000-0000-00007AE10000}"/>
    <cellStyle name="Normal 2 4 8 29 2 7" xfId="59537" xr:uid="{00000000-0005-0000-0000-00007BE10000}"/>
    <cellStyle name="Normal 2 4 8 29 2 7 2" xfId="59538" xr:uid="{00000000-0005-0000-0000-00007CE10000}"/>
    <cellStyle name="Normal 2 4 8 29 2 8" xfId="59539" xr:uid="{00000000-0005-0000-0000-00007DE10000}"/>
    <cellStyle name="Normal 2 4 8 29 2 9" xfId="59540" xr:uid="{00000000-0005-0000-0000-00007EE10000}"/>
    <cellStyle name="Normal 2 4 8 29 3" xfId="24113" xr:uid="{00000000-0005-0000-0000-00007FE10000}"/>
    <cellStyle name="Normal 2 4 8 29 3 2" xfId="24114" xr:uid="{00000000-0005-0000-0000-000080E10000}"/>
    <cellStyle name="Normal 2 4 8 29 3 2 2" xfId="24115" xr:uid="{00000000-0005-0000-0000-000081E10000}"/>
    <cellStyle name="Normal 2 4 8 29 3 2 2 2" xfId="59541" xr:uid="{00000000-0005-0000-0000-000082E10000}"/>
    <cellStyle name="Normal 2 4 8 29 3 2 3" xfId="24116" xr:uid="{00000000-0005-0000-0000-000083E10000}"/>
    <cellStyle name="Normal 2 4 8 29 3 2 3 2" xfId="59542" xr:uid="{00000000-0005-0000-0000-000084E10000}"/>
    <cellStyle name="Normal 2 4 8 29 3 2 4" xfId="59543" xr:uid="{00000000-0005-0000-0000-000085E10000}"/>
    <cellStyle name="Normal 2 4 8 29 3 3" xfId="24117" xr:uid="{00000000-0005-0000-0000-000086E10000}"/>
    <cellStyle name="Normal 2 4 8 29 3 3 2" xfId="59544" xr:uid="{00000000-0005-0000-0000-000087E10000}"/>
    <cellStyle name="Normal 2 4 8 29 3 4" xfId="24118" xr:uid="{00000000-0005-0000-0000-000088E10000}"/>
    <cellStyle name="Normal 2 4 8 29 3 4 2" xfId="59545" xr:uid="{00000000-0005-0000-0000-000089E10000}"/>
    <cellStyle name="Normal 2 4 8 29 3 5" xfId="24119" xr:uid="{00000000-0005-0000-0000-00008AE10000}"/>
    <cellStyle name="Normal 2 4 8 29 3 5 2" xfId="59546" xr:uid="{00000000-0005-0000-0000-00008BE10000}"/>
    <cellStyle name="Normal 2 4 8 29 3 6" xfId="59547" xr:uid="{00000000-0005-0000-0000-00008CE10000}"/>
    <cellStyle name="Normal 2 4 8 29 3 6 2" xfId="59548" xr:uid="{00000000-0005-0000-0000-00008DE10000}"/>
    <cellStyle name="Normal 2 4 8 29 3 7" xfId="59549" xr:uid="{00000000-0005-0000-0000-00008EE10000}"/>
    <cellStyle name="Normal 2 4 8 29 4" xfId="24120" xr:uid="{00000000-0005-0000-0000-00008FE10000}"/>
    <cellStyle name="Normal 2 4 8 29 4 2" xfId="24121" xr:uid="{00000000-0005-0000-0000-000090E10000}"/>
    <cellStyle name="Normal 2 4 8 29 4 2 2" xfId="59550" xr:uid="{00000000-0005-0000-0000-000091E10000}"/>
    <cellStyle name="Normal 2 4 8 29 4 3" xfId="24122" xr:uid="{00000000-0005-0000-0000-000092E10000}"/>
    <cellStyle name="Normal 2 4 8 29 4 3 2" xfId="59551" xr:uid="{00000000-0005-0000-0000-000093E10000}"/>
    <cellStyle name="Normal 2 4 8 29 4 4" xfId="59552" xr:uid="{00000000-0005-0000-0000-000094E10000}"/>
    <cellStyle name="Normal 2 4 8 29 5" xfId="24123" xr:uid="{00000000-0005-0000-0000-000095E10000}"/>
    <cellStyle name="Normal 2 4 8 29 5 2" xfId="24124" xr:uid="{00000000-0005-0000-0000-000096E10000}"/>
    <cellStyle name="Normal 2 4 8 29 5 2 2" xfId="59553" xr:uid="{00000000-0005-0000-0000-000097E10000}"/>
    <cellStyle name="Normal 2 4 8 29 5 3" xfId="59554" xr:uid="{00000000-0005-0000-0000-000098E10000}"/>
    <cellStyle name="Normal 2 4 8 29 6" xfId="24125" xr:uid="{00000000-0005-0000-0000-000099E10000}"/>
    <cellStyle name="Normal 2 4 8 29 6 2" xfId="59555" xr:uid="{00000000-0005-0000-0000-00009AE10000}"/>
    <cellStyle name="Normal 2 4 8 29 7" xfId="24126" xr:uid="{00000000-0005-0000-0000-00009BE10000}"/>
    <cellStyle name="Normal 2 4 8 29 7 2" xfId="59556" xr:uid="{00000000-0005-0000-0000-00009CE10000}"/>
    <cellStyle name="Normal 2 4 8 29 8" xfId="59557" xr:uid="{00000000-0005-0000-0000-00009DE10000}"/>
    <cellStyle name="Normal 2 4 8 29 8 2" xfId="59558" xr:uid="{00000000-0005-0000-0000-00009EE10000}"/>
    <cellStyle name="Normal 2 4 8 29 9" xfId="59559" xr:uid="{00000000-0005-0000-0000-00009FE10000}"/>
    <cellStyle name="Normal 2 4 8 3" xfId="24127" xr:uid="{00000000-0005-0000-0000-0000A0E10000}"/>
    <cellStyle name="Normal 2 4 8 3 10" xfId="59560" xr:uid="{00000000-0005-0000-0000-0000A1E10000}"/>
    <cellStyle name="Normal 2 4 8 3 11" xfId="59561" xr:uid="{00000000-0005-0000-0000-0000A2E10000}"/>
    <cellStyle name="Normal 2 4 8 3 2" xfId="24128" xr:uid="{00000000-0005-0000-0000-0000A3E10000}"/>
    <cellStyle name="Normal 2 4 8 3 2 10" xfId="59562" xr:uid="{00000000-0005-0000-0000-0000A4E10000}"/>
    <cellStyle name="Normal 2 4 8 3 2 2" xfId="24129" xr:uid="{00000000-0005-0000-0000-0000A5E10000}"/>
    <cellStyle name="Normal 2 4 8 3 2 2 2" xfId="24130" xr:uid="{00000000-0005-0000-0000-0000A6E10000}"/>
    <cellStyle name="Normal 2 4 8 3 2 2 2 2" xfId="24131" xr:uid="{00000000-0005-0000-0000-0000A7E10000}"/>
    <cellStyle name="Normal 2 4 8 3 2 2 2 2 2" xfId="59563" xr:uid="{00000000-0005-0000-0000-0000A8E10000}"/>
    <cellStyle name="Normal 2 4 8 3 2 2 2 3" xfId="24132" xr:uid="{00000000-0005-0000-0000-0000A9E10000}"/>
    <cellStyle name="Normal 2 4 8 3 2 2 2 3 2" xfId="59564" xr:uid="{00000000-0005-0000-0000-0000AAE10000}"/>
    <cellStyle name="Normal 2 4 8 3 2 2 2 4" xfId="59565" xr:uid="{00000000-0005-0000-0000-0000ABE10000}"/>
    <cellStyle name="Normal 2 4 8 3 2 2 3" xfId="24133" xr:uid="{00000000-0005-0000-0000-0000ACE10000}"/>
    <cellStyle name="Normal 2 4 8 3 2 2 3 2" xfId="59566" xr:uid="{00000000-0005-0000-0000-0000ADE10000}"/>
    <cellStyle name="Normal 2 4 8 3 2 2 4" xfId="24134" xr:uid="{00000000-0005-0000-0000-0000AEE10000}"/>
    <cellStyle name="Normal 2 4 8 3 2 2 4 2" xfId="59567" xr:uid="{00000000-0005-0000-0000-0000AFE10000}"/>
    <cellStyle name="Normal 2 4 8 3 2 2 5" xfId="24135" xr:uid="{00000000-0005-0000-0000-0000B0E10000}"/>
    <cellStyle name="Normal 2 4 8 3 2 2 5 2" xfId="59568" xr:uid="{00000000-0005-0000-0000-0000B1E10000}"/>
    <cellStyle name="Normal 2 4 8 3 2 2 6" xfId="59569" xr:uid="{00000000-0005-0000-0000-0000B2E10000}"/>
    <cellStyle name="Normal 2 4 8 3 2 2 6 2" xfId="59570" xr:uid="{00000000-0005-0000-0000-0000B3E10000}"/>
    <cellStyle name="Normal 2 4 8 3 2 2 7" xfId="59571" xr:uid="{00000000-0005-0000-0000-0000B4E10000}"/>
    <cellStyle name="Normal 2 4 8 3 2 3" xfId="24136" xr:uid="{00000000-0005-0000-0000-0000B5E10000}"/>
    <cellStyle name="Normal 2 4 8 3 2 3 2" xfId="24137" xr:uid="{00000000-0005-0000-0000-0000B6E10000}"/>
    <cellStyle name="Normal 2 4 8 3 2 3 2 2" xfId="59572" xr:uid="{00000000-0005-0000-0000-0000B7E10000}"/>
    <cellStyle name="Normal 2 4 8 3 2 3 3" xfId="24138" xr:uid="{00000000-0005-0000-0000-0000B8E10000}"/>
    <cellStyle name="Normal 2 4 8 3 2 3 3 2" xfId="59573" xr:uid="{00000000-0005-0000-0000-0000B9E10000}"/>
    <cellStyle name="Normal 2 4 8 3 2 3 4" xfId="59574" xr:uid="{00000000-0005-0000-0000-0000BAE10000}"/>
    <cellStyle name="Normal 2 4 8 3 2 4" xfId="24139" xr:uid="{00000000-0005-0000-0000-0000BBE10000}"/>
    <cellStyle name="Normal 2 4 8 3 2 4 2" xfId="24140" xr:uid="{00000000-0005-0000-0000-0000BCE10000}"/>
    <cellStyle name="Normal 2 4 8 3 2 4 2 2" xfId="59575" xr:uid="{00000000-0005-0000-0000-0000BDE10000}"/>
    <cellStyle name="Normal 2 4 8 3 2 4 3" xfId="59576" xr:uid="{00000000-0005-0000-0000-0000BEE10000}"/>
    <cellStyle name="Normal 2 4 8 3 2 5" xfId="24141" xr:uid="{00000000-0005-0000-0000-0000BFE10000}"/>
    <cellStyle name="Normal 2 4 8 3 2 5 2" xfId="59577" xr:uid="{00000000-0005-0000-0000-0000C0E10000}"/>
    <cellStyle name="Normal 2 4 8 3 2 6" xfId="24142" xr:uid="{00000000-0005-0000-0000-0000C1E10000}"/>
    <cellStyle name="Normal 2 4 8 3 2 6 2" xfId="59578" xr:uid="{00000000-0005-0000-0000-0000C2E10000}"/>
    <cellStyle name="Normal 2 4 8 3 2 7" xfId="59579" xr:uid="{00000000-0005-0000-0000-0000C3E10000}"/>
    <cellStyle name="Normal 2 4 8 3 2 7 2" xfId="59580" xr:uid="{00000000-0005-0000-0000-0000C4E10000}"/>
    <cellStyle name="Normal 2 4 8 3 2 8" xfId="59581" xr:uid="{00000000-0005-0000-0000-0000C5E10000}"/>
    <cellStyle name="Normal 2 4 8 3 2 9" xfId="59582" xr:uid="{00000000-0005-0000-0000-0000C6E10000}"/>
    <cellStyle name="Normal 2 4 8 3 3" xfId="24143" xr:uid="{00000000-0005-0000-0000-0000C7E10000}"/>
    <cellStyle name="Normal 2 4 8 3 3 2" xfId="24144" xr:uid="{00000000-0005-0000-0000-0000C8E10000}"/>
    <cellStyle name="Normal 2 4 8 3 3 2 2" xfId="24145" xr:uid="{00000000-0005-0000-0000-0000C9E10000}"/>
    <cellStyle name="Normal 2 4 8 3 3 2 2 2" xfId="59583" xr:uid="{00000000-0005-0000-0000-0000CAE10000}"/>
    <cellStyle name="Normal 2 4 8 3 3 2 3" xfId="24146" xr:uid="{00000000-0005-0000-0000-0000CBE10000}"/>
    <cellStyle name="Normal 2 4 8 3 3 2 3 2" xfId="59584" xr:uid="{00000000-0005-0000-0000-0000CCE10000}"/>
    <cellStyle name="Normal 2 4 8 3 3 2 4" xfId="59585" xr:uid="{00000000-0005-0000-0000-0000CDE10000}"/>
    <cellStyle name="Normal 2 4 8 3 3 3" xfId="24147" xr:uid="{00000000-0005-0000-0000-0000CEE10000}"/>
    <cellStyle name="Normal 2 4 8 3 3 3 2" xfId="59586" xr:uid="{00000000-0005-0000-0000-0000CFE10000}"/>
    <cellStyle name="Normal 2 4 8 3 3 4" xfId="24148" xr:uid="{00000000-0005-0000-0000-0000D0E10000}"/>
    <cellStyle name="Normal 2 4 8 3 3 4 2" xfId="59587" xr:uid="{00000000-0005-0000-0000-0000D1E10000}"/>
    <cellStyle name="Normal 2 4 8 3 3 5" xfId="24149" xr:uid="{00000000-0005-0000-0000-0000D2E10000}"/>
    <cellStyle name="Normal 2 4 8 3 3 5 2" xfId="59588" xr:uid="{00000000-0005-0000-0000-0000D3E10000}"/>
    <cellStyle name="Normal 2 4 8 3 3 6" xfId="59589" xr:uid="{00000000-0005-0000-0000-0000D4E10000}"/>
    <cellStyle name="Normal 2 4 8 3 3 6 2" xfId="59590" xr:uid="{00000000-0005-0000-0000-0000D5E10000}"/>
    <cellStyle name="Normal 2 4 8 3 3 7" xfId="59591" xr:uid="{00000000-0005-0000-0000-0000D6E10000}"/>
    <cellStyle name="Normal 2 4 8 3 4" xfId="24150" xr:uid="{00000000-0005-0000-0000-0000D7E10000}"/>
    <cellStyle name="Normal 2 4 8 3 4 2" xfId="24151" xr:uid="{00000000-0005-0000-0000-0000D8E10000}"/>
    <cellStyle name="Normal 2 4 8 3 4 2 2" xfId="59592" xr:uid="{00000000-0005-0000-0000-0000D9E10000}"/>
    <cellStyle name="Normal 2 4 8 3 4 3" xfId="24152" xr:uid="{00000000-0005-0000-0000-0000DAE10000}"/>
    <cellStyle name="Normal 2 4 8 3 4 3 2" xfId="59593" xr:uid="{00000000-0005-0000-0000-0000DBE10000}"/>
    <cellStyle name="Normal 2 4 8 3 4 4" xfId="59594" xr:uid="{00000000-0005-0000-0000-0000DCE10000}"/>
    <cellStyle name="Normal 2 4 8 3 5" xfId="24153" xr:uid="{00000000-0005-0000-0000-0000DDE10000}"/>
    <cellStyle name="Normal 2 4 8 3 5 2" xfId="24154" xr:uid="{00000000-0005-0000-0000-0000DEE10000}"/>
    <cellStyle name="Normal 2 4 8 3 5 2 2" xfId="59595" xr:uid="{00000000-0005-0000-0000-0000DFE10000}"/>
    <cellStyle name="Normal 2 4 8 3 5 3" xfId="59596" xr:uid="{00000000-0005-0000-0000-0000E0E10000}"/>
    <cellStyle name="Normal 2 4 8 3 6" xfId="24155" xr:uid="{00000000-0005-0000-0000-0000E1E10000}"/>
    <cellStyle name="Normal 2 4 8 3 6 2" xfId="59597" xr:uid="{00000000-0005-0000-0000-0000E2E10000}"/>
    <cellStyle name="Normal 2 4 8 3 7" xfId="24156" xr:uid="{00000000-0005-0000-0000-0000E3E10000}"/>
    <cellStyle name="Normal 2 4 8 3 7 2" xfId="59598" xr:uid="{00000000-0005-0000-0000-0000E4E10000}"/>
    <cellStyle name="Normal 2 4 8 3 8" xfId="59599" xr:uid="{00000000-0005-0000-0000-0000E5E10000}"/>
    <cellStyle name="Normal 2 4 8 3 8 2" xfId="59600" xr:uid="{00000000-0005-0000-0000-0000E6E10000}"/>
    <cellStyle name="Normal 2 4 8 3 9" xfId="59601" xr:uid="{00000000-0005-0000-0000-0000E7E10000}"/>
    <cellStyle name="Normal 2 4 8 30" xfId="24157" xr:uid="{00000000-0005-0000-0000-0000E8E10000}"/>
    <cellStyle name="Normal 2 4 8 30 10" xfId="59602" xr:uid="{00000000-0005-0000-0000-0000E9E10000}"/>
    <cellStyle name="Normal 2 4 8 30 11" xfId="59603" xr:uid="{00000000-0005-0000-0000-0000EAE10000}"/>
    <cellStyle name="Normal 2 4 8 30 2" xfId="24158" xr:uid="{00000000-0005-0000-0000-0000EBE10000}"/>
    <cellStyle name="Normal 2 4 8 30 2 10" xfId="59604" xr:uid="{00000000-0005-0000-0000-0000ECE10000}"/>
    <cellStyle name="Normal 2 4 8 30 2 2" xfId="24159" xr:uid="{00000000-0005-0000-0000-0000EDE10000}"/>
    <cellStyle name="Normal 2 4 8 30 2 2 2" xfId="24160" xr:uid="{00000000-0005-0000-0000-0000EEE10000}"/>
    <cellStyle name="Normal 2 4 8 30 2 2 2 2" xfId="24161" xr:uid="{00000000-0005-0000-0000-0000EFE10000}"/>
    <cellStyle name="Normal 2 4 8 30 2 2 2 2 2" xfId="59605" xr:uid="{00000000-0005-0000-0000-0000F0E10000}"/>
    <cellStyle name="Normal 2 4 8 30 2 2 2 3" xfId="24162" xr:uid="{00000000-0005-0000-0000-0000F1E10000}"/>
    <cellStyle name="Normal 2 4 8 30 2 2 2 3 2" xfId="59606" xr:uid="{00000000-0005-0000-0000-0000F2E10000}"/>
    <cellStyle name="Normal 2 4 8 30 2 2 2 4" xfId="59607" xr:uid="{00000000-0005-0000-0000-0000F3E10000}"/>
    <cellStyle name="Normal 2 4 8 30 2 2 3" xfId="24163" xr:uid="{00000000-0005-0000-0000-0000F4E10000}"/>
    <cellStyle name="Normal 2 4 8 30 2 2 3 2" xfId="59608" xr:uid="{00000000-0005-0000-0000-0000F5E10000}"/>
    <cellStyle name="Normal 2 4 8 30 2 2 4" xfId="24164" xr:uid="{00000000-0005-0000-0000-0000F6E10000}"/>
    <cellStyle name="Normal 2 4 8 30 2 2 4 2" xfId="59609" xr:uid="{00000000-0005-0000-0000-0000F7E10000}"/>
    <cellStyle name="Normal 2 4 8 30 2 2 5" xfId="24165" xr:uid="{00000000-0005-0000-0000-0000F8E10000}"/>
    <cellStyle name="Normal 2 4 8 30 2 2 5 2" xfId="59610" xr:uid="{00000000-0005-0000-0000-0000F9E10000}"/>
    <cellStyle name="Normal 2 4 8 30 2 2 6" xfId="59611" xr:uid="{00000000-0005-0000-0000-0000FAE10000}"/>
    <cellStyle name="Normal 2 4 8 30 2 2 6 2" xfId="59612" xr:uid="{00000000-0005-0000-0000-0000FBE10000}"/>
    <cellStyle name="Normal 2 4 8 30 2 2 7" xfId="59613" xr:uid="{00000000-0005-0000-0000-0000FCE10000}"/>
    <cellStyle name="Normal 2 4 8 30 2 3" xfId="24166" xr:uid="{00000000-0005-0000-0000-0000FDE10000}"/>
    <cellStyle name="Normal 2 4 8 30 2 3 2" xfId="24167" xr:uid="{00000000-0005-0000-0000-0000FEE10000}"/>
    <cellStyle name="Normal 2 4 8 30 2 3 2 2" xfId="59614" xr:uid="{00000000-0005-0000-0000-0000FFE10000}"/>
    <cellStyle name="Normal 2 4 8 30 2 3 3" xfId="24168" xr:uid="{00000000-0005-0000-0000-000000E20000}"/>
    <cellStyle name="Normal 2 4 8 30 2 3 3 2" xfId="59615" xr:uid="{00000000-0005-0000-0000-000001E20000}"/>
    <cellStyle name="Normal 2 4 8 30 2 3 4" xfId="59616" xr:uid="{00000000-0005-0000-0000-000002E20000}"/>
    <cellStyle name="Normal 2 4 8 30 2 4" xfId="24169" xr:uid="{00000000-0005-0000-0000-000003E20000}"/>
    <cellStyle name="Normal 2 4 8 30 2 4 2" xfId="24170" xr:uid="{00000000-0005-0000-0000-000004E20000}"/>
    <cellStyle name="Normal 2 4 8 30 2 4 2 2" xfId="59617" xr:uid="{00000000-0005-0000-0000-000005E20000}"/>
    <cellStyle name="Normal 2 4 8 30 2 4 3" xfId="59618" xr:uid="{00000000-0005-0000-0000-000006E20000}"/>
    <cellStyle name="Normal 2 4 8 30 2 5" xfId="24171" xr:uid="{00000000-0005-0000-0000-000007E20000}"/>
    <cellStyle name="Normal 2 4 8 30 2 5 2" xfId="59619" xr:uid="{00000000-0005-0000-0000-000008E20000}"/>
    <cellStyle name="Normal 2 4 8 30 2 6" xfId="24172" xr:uid="{00000000-0005-0000-0000-000009E20000}"/>
    <cellStyle name="Normal 2 4 8 30 2 6 2" xfId="59620" xr:uid="{00000000-0005-0000-0000-00000AE20000}"/>
    <cellStyle name="Normal 2 4 8 30 2 7" xfId="59621" xr:uid="{00000000-0005-0000-0000-00000BE20000}"/>
    <cellStyle name="Normal 2 4 8 30 2 7 2" xfId="59622" xr:uid="{00000000-0005-0000-0000-00000CE20000}"/>
    <cellStyle name="Normal 2 4 8 30 2 8" xfId="59623" xr:uid="{00000000-0005-0000-0000-00000DE20000}"/>
    <cellStyle name="Normal 2 4 8 30 2 9" xfId="59624" xr:uid="{00000000-0005-0000-0000-00000EE20000}"/>
    <cellStyle name="Normal 2 4 8 30 3" xfId="24173" xr:uid="{00000000-0005-0000-0000-00000FE20000}"/>
    <cellStyle name="Normal 2 4 8 30 3 2" xfId="24174" xr:uid="{00000000-0005-0000-0000-000010E20000}"/>
    <cellStyle name="Normal 2 4 8 30 3 2 2" xfId="24175" xr:uid="{00000000-0005-0000-0000-000011E20000}"/>
    <cellStyle name="Normal 2 4 8 30 3 2 2 2" xfId="59625" xr:uid="{00000000-0005-0000-0000-000012E20000}"/>
    <cellStyle name="Normal 2 4 8 30 3 2 3" xfId="24176" xr:uid="{00000000-0005-0000-0000-000013E20000}"/>
    <cellStyle name="Normal 2 4 8 30 3 2 3 2" xfId="59626" xr:uid="{00000000-0005-0000-0000-000014E20000}"/>
    <cellStyle name="Normal 2 4 8 30 3 2 4" xfId="59627" xr:uid="{00000000-0005-0000-0000-000015E20000}"/>
    <cellStyle name="Normal 2 4 8 30 3 3" xfId="24177" xr:uid="{00000000-0005-0000-0000-000016E20000}"/>
    <cellStyle name="Normal 2 4 8 30 3 3 2" xfId="59628" xr:uid="{00000000-0005-0000-0000-000017E20000}"/>
    <cellStyle name="Normal 2 4 8 30 3 4" xfId="24178" xr:uid="{00000000-0005-0000-0000-000018E20000}"/>
    <cellStyle name="Normal 2 4 8 30 3 4 2" xfId="59629" xr:uid="{00000000-0005-0000-0000-000019E20000}"/>
    <cellStyle name="Normal 2 4 8 30 3 5" xfId="24179" xr:uid="{00000000-0005-0000-0000-00001AE20000}"/>
    <cellStyle name="Normal 2 4 8 30 3 5 2" xfId="59630" xr:uid="{00000000-0005-0000-0000-00001BE20000}"/>
    <cellStyle name="Normal 2 4 8 30 3 6" xfId="59631" xr:uid="{00000000-0005-0000-0000-00001CE20000}"/>
    <cellStyle name="Normal 2 4 8 30 3 6 2" xfId="59632" xr:uid="{00000000-0005-0000-0000-00001DE20000}"/>
    <cellStyle name="Normal 2 4 8 30 3 7" xfId="59633" xr:uid="{00000000-0005-0000-0000-00001EE20000}"/>
    <cellStyle name="Normal 2 4 8 30 4" xfId="24180" xr:uid="{00000000-0005-0000-0000-00001FE20000}"/>
    <cellStyle name="Normal 2 4 8 30 4 2" xfId="24181" xr:uid="{00000000-0005-0000-0000-000020E20000}"/>
    <cellStyle name="Normal 2 4 8 30 4 2 2" xfId="59634" xr:uid="{00000000-0005-0000-0000-000021E20000}"/>
    <cellStyle name="Normal 2 4 8 30 4 3" xfId="24182" xr:uid="{00000000-0005-0000-0000-000022E20000}"/>
    <cellStyle name="Normal 2 4 8 30 4 3 2" xfId="59635" xr:uid="{00000000-0005-0000-0000-000023E20000}"/>
    <cellStyle name="Normal 2 4 8 30 4 4" xfId="59636" xr:uid="{00000000-0005-0000-0000-000024E20000}"/>
    <cellStyle name="Normal 2 4 8 30 5" xfId="24183" xr:uid="{00000000-0005-0000-0000-000025E20000}"/>
    <cellStyle name="Normal 2 4 8 30 5 2" xfId="24184" xr:uid="{00000000-0005-0000-0000-000026E20000}"/>
    <cellStyle name="Normal 2 4 8 30 5 2 2" xfId="59637" xr:uid="{00000000-0005-0000-0000-000027E20000}"/>
    <cellStyle name="Normal 2 4 8 30 5 3" xfId="59638" xr:uid="{00000000-0005-0000-0000-000028E20000}"/>
    <cellStyle name="Normal 2 4 8 30 6" xfId="24185" xr:uid="{00000000-0005-0000-0000-000029E20000}"/>
    <cellStyle name="Normal 2 4 8 30 6 2" xfId="59639" xr:uid="{00000000-0005-0000-0000-00002AE20000}"/>
    <cellStyle name="Normal 2 4 8 30 7" xfId="24186" xr:uid="{00000000-0005-0000-0000-00002BE20000}"/>
    <cellStyle name="Normal 2 4 8 30 7 2" xfId="59640" xr:uid="{00000000-0005-0000-0000-00002CE20000}"/>
    <cellStyle name="Normal 2 4 8 30 8" xfId="59641" xr:uid="{00000000-0005-0000-0000-00002DE20000}"/>
    <cellStyle name="Normal 2 4 8 30 8 2" xfId="59642" xr:uid="{00000000-0005-0000-0000-00002EE20000}"/>
    <cellStyle name="Normal 2 4 8 30 9" xfId="59643" xr:uid="{00000000-0005-0000-0000-00002FE20000}"/>
    <cellStyle name="Normal 2 4 8 31" xfId="24187" xr:uid="{00000000-0005-0000-0000-000030E20000}"/>
    <cellStyle name="Normal 2 4 8 31 10" xfId="59644" xr:uid="{00000000-0005-0000-0000-000031E20000}"/>
    <cellStyle name="Normal 2 4 8 31 2" xfId="24188" xr:uid="{00000000-0005-0000-0000-000032E20000}"/>
    <cellStyle name="Normal 2 4 8 31 2 2" xfId="24189" xr:uid="{00000000-0005-0000-0000-000033E20000}"/>
    <cellStyle name="Normal 2 4 8 31 2 2 2" xfId="24190" xr:uid="{00000000-0005-0000-0000-000034E20000}"/>
    <cellStyle name="Normal 2 4 8 31 2 2 2 2" xfId="59645" xr:uid="{00000000-0005-0000-0000-000035E20000}"/>
    <cellStyle name="Normal 2 4 8 31 2 2 3" xfId="24191" xr:uid="{00000000-0005-0000-0000-000036E20000}"/>
    <cellStyle name="Normal 2 4 8 31 2 2 3 2" xfId="59646" xr:uid="{00000000-0005-0000-0000-000037E20000}"/>
    <cellStyle name="Normal 2 4 8 31 2 2 4" xfId="59647" xr:uid="{00000000-0005-0000-0000-000038E20000}"/>
    <cellStyle name="Normal 2 4 8 31 2 3" xfId="24192" xr:uid="{00000000-0005-0000-0000-000039E20000}"/>
    <cellStyle name="Normal 2 4 8 31 2 3 2" xfId="59648" xr:uid="{00000000-0005-0000-0000-00003AE20000}"/>
    <cellStyle name="Normal 2 4 8 31 2 4" xfId="24193" xr:uid="{00000000-0005-0000-0000-00003BE20000}"/>
    <cellStyle name="Normal 2 4 8 31 2 4 2" xfId="59649" xr:uid="{00000000-0005-0000-0000-00003CE20000}"/>
    <cellStyle name="Normal 2 4 8 31 2 5" xfId="24194" xr:uid="{00000000-0005-0000-0000-00003DE20000}"/>
    <cellStyle name="Normal 2 4 8 31 2 5 2" xfId="59650" xr:uid="{00000000-0005-0000-0000-00003EE20000}"/>
    <cellStyle name="Normal 2 4 8 31 2 6" xfId="59651" xr:uid="{00000000-0005-0000-0000-00003FE20000}"/>
    <cellStyle name="Normal 2 4 8 31 2 6 2" xfId="59652" xr:uid="{00000000-0005-0000-0000-000040E20000}"/>
    <cellStyle name="Normal 2 4 8 31 2 7" xfId="59653" xr:uid="{00000000-0005-0000-0000-000041E20000}"/>
    <cellStyle name="Normal 2 4 8 31 3" xfId="24195" xr:uid="{00000000-0005-0000-0000-000042E20000}"/>
    <cellStyle name="Normal 2 4 8 31 3 2" xfId="24196" xr:uid="{00000000-0005-0000-0000-000043E20000}"/>
    <cellStyle name="Normal 2 4 8 31 3 2 2" xfId="59654" xr:uid="{00000000-0005-0000-0000-000044E20000}"/>
    <cellStyle name="Normal 2 4 8 31 3 3" xfId="24197" xr:uid="{00000000-0005-0000-0000-000045E20000}"/>
    <cellStyle name="Normal 2 4 8 31 3 3 2" xfId="59655" xr:uid="{00000000-0005-0000-0000-000046E20000}"/>
    <cellStyle name="Normal 2 4 8 31 3 4" xfId="59656" xr:uid="{00000000-0005-0000-0000-000047E20000}"/>
    <cellStyle name="Normal 2 4 8 31 4" xfId="24198" xr:uid="{00000000-0005-0000-0000-000048E20000}"/>
    <cellStyle name="Normal 2 4 8 31 4 2" xfId="24199" xr:uid="{00000000-0005-0000-0000-000049E20000}"/>
    <cellStyle name="Normal 2 4 8 31 4 2 2" xfId="59657" xr:uid="{00000000-0005-0000-0000-00004AE20000}"/>
    <cellStyle name="Normal 2 4 8 31 4 3" xfId="59658" xr:uid="{00000000-0005-0000-0000-00004BE20000}"/>
    <cellStyle name="Normal 2 4 8 31 5" xfId="24200" xr:uid="{00000000-0005-0000-0000-00004CE20000}"/>
    <cellStyle name="Normal 2 4 8 31 5 2" xfId="59659" xr:uid="{00000000-0005-0000-0000-00004DE20000}"/>
    <cellStyle name="Normal 2 4 8 31 6" xfId="24201" xr:uid="{00000000-0005-0000-0000-00004EE20000}"/>
    <cellStyle name="Normal 2 4 8 31 6 2" xfId="59660" xr:uid="{00000000-0005-0000-0000-00004FE20000}"/>
    <cellStyle name="Normal 2 4 8 31 7" xfId="59661" xr:uid="{00000000-0005-0000-0000-000050E20000}"/>
    <cellStyle name="Normal 2 4 8 31 7 2" xfId="59662" xr:uid="{00000000-0005-0000-0000-000051E20000}"/>
    <cellStyle name="Normal 2 4 8 31 8" xfId="59663" xr:uid="{00000000-0005-0000-0000-000052E20000}"/>
    <cellStyle name="Normal 2 4 8 31 9" xfId="59664" xr:uid="{00000000-0005-0000-0000-000053E20000}"/>
    <cellStyle name="Normal 2 4 8 32" xfId="24202" xr:uid="{00000000-0005-0000-0000-000054E20000}"/>
    <cellStyle name="Normal 2 4 8 32 2" xfId="24203" xr:uid="{00000000-0005-0000-0000-000055E20000}"/>
    <cellStyle name="Normal 2 4 8 32 2 2" xfId="24204" xr:uid="{00000000-0005-0000-0000-000056E20000}"/>
    <cellStyle name="Normal 2 4 8 32 2 2 2" xfId="59665" xr:uid="{00000000-0005-0000-0000-000057E20000}"/>
    <cellStyle name="Normal 2 4 8 32 2 3" xfId="24205" xr:uid="{00000000-0005-0000-0000-000058E20000}"/>
    <cellStyle name="Normal 2 4 8 32 2 3 2" xfId="59666" xr:uid="{00000000-0005-0000-0000-000059E20000}"/>
    <cellStyle name="Normal 2 4 8 32 2 4" xfId="59667" xr:uid="{00000000-0005-0000-0000-00005AE20000}"/>
    <cellStyle name="Normal 2 4 8 32 3" xfId="24206" xr:uid="{00000000-0005-0000-0000-00005BE20000}"/>
    <cellStyle name="Normal 2 4 8 32 3 2" xfId="59668" xr:uid="{00000000-0005-0000-0000-00005CE20000}"/>
    <cellStyle name="Normal 2 4 8 32 4" xfId="24207" xr:uid="{00000000-0005-0000-0000-00005DE20000}"/>
    <cellStyle name="Normal 2 4 8 32 4 2" xfId="59669" xr:uid="{00000000-0005-0000-0000-00005EE20000}"/>
    <cellStyle name="Normal 2 4 8 32 5" xfId="24208" xr:uid="{00000000-0005-0000-0000-00005FE20000}"/>
    <cellStyle name="Normal 2 4 8 32 5 2" xfId="59670" xr:uid="{00000000-0005-0000-0000-000060E20000}"/>
    <cellStyle name="Normal 2 4 8 32 6" xfId="59671" xr:uid="{00000000-0005-0000-0000-000061E20000}"/>
    <cellStyle name="Normal 2 4 8 32 6 2" xfId="59672" xr:uid="{00000000-0005-0000-0000-000062E20000}"/>
    <cellStyle name="Normal 2 4 8 32 7" xfId="59673" xr:uid="{00000000-0005-0000-0000-000063E20000}"/>
    <cellStyle name="Normal 2 4 8 33" xfId="24209" xr:uid="{00000000-0005-0000-0000-000064E20000}"/>
    <cellStyle name="Normal 2 4 8 33 2" xfId="24210" xr:uid="{00000000-0005-0000-0000-000065E20000}"/>
    <cellStyle name="Normal 2 4 8 33 2 2" xfId="59674" xr:uid="{00000000-0005-0000-0000-000066E20000}"/>
    <cellStyle name="Normal 2 4 8 33 3" xfId="24211" xr:uid="{00000000-0005-0000-0000-000067E20000}"/>
    <cellStyle name="Normal 2 4 8 33 3 2" xfId="59675" xr:uid="{00000000-0005-0000-0000-000068E20000}"/>
    <cellStyle name="Normal 2 4 8 33 4" xfId="59676" xr:uid="{00000000-0005-0000-0000-000069E20000}"/>
    <cellStyle name="Normal 2 4 8 34" xfId="24212" xr:uid="{00000000-0005-0000-0000-00006AE20000}"/>
    <cellStyle name="Normal 2 4 8 34 2" xfId="24213" xr:uid="{00000000-0005-0000-0000-00006BE20000}"/>
    <cellStyle name="Normal 2 4 8 34 2 2" xfId="59677" xr:uid="{00000000-0005-0000-0000-00006CE20000}"/>
    <cellStyle name="Normal 2 4 8 34 3" xfId="59678" xr:uid="{00000000-0005-0000-0000-00006DE20000}"/>
    <cellStyle name="Normal 2 4 8 35" xfId="24214" xr:uid="{00000000-0005-0000-0000-00006EE20000}"/>
    <cellStyle name="Normal 2 4 8 35 2" xfId="59679" xr:uid="{00000000-0005-0000-0000-00006FE20000}"/>
    <cellStyle name="Normal 2 4 8 36" xfId="24215" xr:uid="{00000000-0005-0000-0000-000070E20000}"/>
    <cellStyle name="Normal 2 4 8 36 2" xfId="59680" xr:uid="{00000000-0005-0000-0000-000071E20000}"/>
    <cellStyle name="Normal 2 4 8 37" xfId="59681" xr:uid="{00000000-0005-0000-0000-000072E20000}"/>
    <cellStyle name="Normal 2 4 8 37 2" xfId="59682" xr:uid="{00000000-0005-0000-0000-000073E20000}"/>
    <cellStyle name="Normal 2 4 8 38" xfId="59683" xr:uid="{00000000-0005-0000-0000-000074E20000}"/>
    <cellStyle name="Normal 2 4 8 39" xfId="59684" xr:uid="{00000000-0005-0000-0000-000075E20000}"/>
    <cellStyle name="Normal 2 4 8 4" xfId="24216" xr:uid="{00000000-0005-0000-0000-000076E20000}"/>
    <cellStyle name="Normal 2 4 8 4 10" xfId="59685" xr:uid="{00000000-0005-0000-0000-000077E20000}"/>
    <cellStyle name="Normal 2 4 8 4 11" xfId="59686" xr:uid="{00000000-0005-0000-0000-000078E20000}"/>
    <cellStyle name="Normal 2 4 8 4 2" xfId="24217" xr:uid="{00000000-0005-0000-0000-000079E20000}"/>
    <cellStyle name="Normal 2 4 8 4 2 10" xfId="59687" xr:uid="{00000000-0005-0000-0000-00007AE20000}"/>
    <cellStyle name="Normal 2 4 8 4 2 2" xfId="24218" xr:uid="{00000000-0005-0000-0000-00007BE20000}"/>
    <cellStyle name="Normal 2 4 8 4 2 2 2" xfId="24219" xr:uid="{00000000-0005-0000-0000-00007CE20000}"/>
    <cellStyle name="Normal 2 4 8 4 2 2 2 2" xfId="24220" xr:uid="{00000000-0005-0000-0000-00007DE20000}"/>
    <cellStyle name="Normal 2 4 8 4 2 2 2 2 2" xfId="59688" xr:uid="{00000000-0005-0000-0000-00007EE20000}"/>
    <cellStyle name="Normal 2 4 8 4 2 2 2 3" xfId="24221" xr:uid="{00000000-0005-0000-0000-00007FE20000}"/>
    <cellStyle name="Normal 2 4 8 4 2 2 2 3 2" xfId="59689" xr:uid="{00000000-0005-0000-0000-000080E20000}"/>
    <cellStyle name="Normal 2 4 8 4 2 2 2 4" xfId="59690" xr:uid="{00000000-0005-0000-0000-000081E20000}"/>
    <cellStyle name="Normal 2 4 8 4 2 2 3" xfId="24222" xr:uid="{00000000-0005-0000-0000-000082E20000}"/>
    <cellStyle name="Normal 2 4 8 4 2 2 3 2" xfId="59691" xr:uid="{00000000-0005-0000-0000-000083E20000}"/>
    <cellStyle name="Normal 2 4 8 4 2 2 4" xfId="24223" xr:uid="{00000000-0005-0000-0000-000084E20000}"/>
    <cellStyle name="Normal 2 4 8 4 2 2 4 2" xfId="59692" xr:uid="{00000000-0005-0000-0000-000085E20000}"/>
    <cellStyle name="Normal 2 4 8 4 2 2 5" xfId="24224" xr:uid="{00000000-0005-0000-0000-000086E20000}"/>
    <cellStyle name="Normal 2 4 8 4 2 2 5 2" xfId="59693" xr:uid="{00000000-0005-0000-0000-000087E20000}"/>
    <cellStyle name="Normal 2 4 8 4 2 2 6" xfId="59694" xr:uid="{00000000-0005-0000-0000-000088E20000}"/>
    <cellStyle name="Normal 2 4 8 4 2 2 6 2" xfId="59695" xr:uid="{00000000-0005-0000-0000-000089E20000}"/>
    <cellStyle name="Normal 2 4 8 4 2 2 7" xfId="59696" xr:uid="{00000000-0005-0000-0000-00008AE20000}"/>
    <cellStyle name="Normal 2 4 8 4 2 3" xfId="24225" xr:uid="{00000000-0005-0000-0000-00008BE20000}"/>
    <cellStyle name="Normal 2 4 8 4 2 3 2" xfId="24226" xr:uid="{00000000-0005-0000-0000-00008CE20000}"/>
    <cellStyle name="Normal 2 4 8 4 2 3 2 2" xfId="59697" xr:uid="{00000000-0005-0000-0000-00008DE20000}"/>
    <cellStyle name="Normal 2 4 8 4 2 3 3" xfId="24227" xr:uid="{00000000-0005-0000-0000-00008EE20000}"/>
    <cellStyle name="Normal 2 4 8 4 2 3 3 2" xfId="59698" xr:uid="{00000000-0005-0000-0000-00008FE20000}"/>
    <cellStyle name="Normal 2 4 8 4 2 3 4" xfId="59699" xr:uid="{00000000-0005-0000-0000-000090E20000}"/>
    <cellStyle name="Normal 2 4 8 4 2 4" xfId="24228" xr:uid="{00000000-0005-0000-0000-000091E20000}"/>
    <cellStyle name="Normal 2 4 8 4 2 4 2" xfId="24229" xr:uid="{00000000-0005-0000-0000-000092E20000}"/>
    <cellStyle name="Normal 2 4 8 4 2 4 2 2" xfId="59700" xr:uid="{00000000-0005-0000-0000-000093E20000}"/>
    <cellStyle name="Normal 2 4 8 4 2 4 3" xfId="59701" xr:uid="{00000000-0005-0000-0000-000094E20000}"/>
    <cellStyle name="Normal 2 4 8 4 2 5" xfId="24230" xr:uid="{00000000-0005-0000-0000-000095E20000}"/>
    <cellStyle name="Normal 2 4 8 4 2 5 2" xfId="59702" xr:uid="{00000000-0005-0000-0000-000096E20000}"/>
    <cellStyle name="Normal 2 4 8 4 2 6" xfId="24231" xr:uid="{00000000-0005-0000-0000-000097E20000}"/>
    <cellStyle name="Normal 2 4 8 4 2 6 2" xfId="59703" xr:uid="{00000000-0005-0000-0000-000098E20000}"/>
    <cellStyle name="Normal 2 4 8 4 2 7" xfId="59704" xr:uid="{00000000-0005-0000-0000-000099E20000}"/>
    <cellStyle name="Normal 2 4 8 4 2 7 2" xfId="59705" xr:uid="{00000000-0005-0000-0000-00009AE20000}"/>
    <cellStyle name="Normal 2 4 8 4 2 8" xfId="59706" xr:uid="{00000000-0005-0000-0000-00009BE20000}"/>
    <cellStyle name="Normal 2 4 8 4 2 9" xfId="59707" xr:uid="{00000000-0005-0000-0000-00009CE20000}"/>
    <cellStyle name="Normal 2 4 8 4 3" xfId="24232" xr:uid="{00000000-0005-0000-0000-00009DE20000}"/>
    <cellStyle name="Normal 2 4 8 4 3 2" xfId="24233" xr:uid="{00000000-0005-0000-0000-00009EE20000}"/>
    <cellStyle name="Normal 2 4 8 4 3 2 2" xfId="24234" xr:uid="{00000000-0005-0000-0000-00009FE20000}"/>
    <cellStyle name="Normal 2 4 8 4 3 2 2 2" xfId="59708" xr:uid="{00000000-0005-0000-0000-0000A0E20000}"/>
    <cellStyle name="Normal 2 4 8 4 3 2 3" xfId="24235" xr:uid="{00000000-0005-0000-0000-0000A1E20000}"/>
    <cellStyle name="Normal 2 4 8 4 3 2 3 2" xfId="59709" xr:uid="{00000000-0005-0000-0000-0000A2E20000}"/>
    <cellStyle name="Normal 2 4 8 4 3 2 4" xfId="59710" xr:uid="{00000000-0005-0000-0000-0000A3E20000}"/>
    <cellStyle name="Normal 2 4 8 4 3 3" xfId="24236" xr:uid="{00000000-0005-0000-0000-0000A4E20000}"/>
    <cellStyle name="Normal 2 4 8 4 3 3 2" xfId="59711" xr:uid="{00000000-0005-0000-0000-0000A5E20000}"/>
    <cellStyle name="Normal 2 4 8 4 3 4" xfId="24237" xr:uid="{00000000-0005-0000-0000-0000A6E20000}"/>
    <cellStyle name="Normal 2 4 8 4 3 4 2" xfId="59712" xr:uid="{00000000-0005-0000-0000-0000A7E20000}"/>
    <cellStyle name="Normal 2 4 8 4 3 5" xfId="24238" xr:uid="{00000000-0005-0000-0000-0000A8E20000}"/>
    <cellStyle name="Normal 2 4 8 4 3 5 2" xfId="59713" xr:uid="{00000000-0005-0000-0000-0000A9E20000}"/>
    <cellStyle name="Normal 2 4 8 4 3 6" xfId="59714" xr:uid="{00000000-0005-0000-0000-0000AAE20000}"/>
    <cellStyle name="Normal 2 4 8 4 3 6 2" xfId="59715" xr:uid="{00000000-0005-0000-0000-0000ABE20000}"/>
    <cellStyle name="Normal 2 4 8 4 3 7" xfId="59716" xr:uid="{00000000-0005-0000-0000-0000ACE20000}"/>
    <cellStyle name="Normal 2 4 8 4 4" xfId="24239" xr:uid="{00000000-0005-0000-0000-0000ADE20000}"/>
    <cellStyle name="Normal 2 4 8 4 4 2" xfId="24240" xr:uid="{00000000-0005-0000-0000-0000AEE20000}"/>
    <cellStyle name="Normal 2 4 8 4 4 2 2" xfId="59717" xr:uid="{00000000-0005-0000-0000-0000AFE20000}"/>
    <cellStyle name="Normal 2 4 8 4 4 3" xfId="24241" xr:uid="{00000000-0005-0000-0000-0000B0E20000}"/>
    <cellStyle name="Normal 2 4 8 4 4 3 2" xfId="59718" xr:uid="{00000000-0005-0000-0000-0000B1E20000}"/>
    <cellStyle name="Normal 2 4 8 4 4 4" xfId="59719" xr:uid="{00000000-0005-0000-0000-0000B2E20000}"/>
    <cellStyle name="Normal 2 4 8 4 5" xfId="24242" xr:uid="{00000000-0005-0000-0000-0000B3E20000}"/>
    <cellStyle name="Normal 2 4 8 4 5 2" xfId="24243" xr:uid="{00000000-0005-0000-0000-0000B4E20000}"/>
    <cellStyle name="Normal 2 4 8 4 5 2 2" xfId="59720" xr:uid="{00000000-0005-0000-0000-0000B5E20000}"/>
    <cellStyle name="Normal 2 4 8 4 5 3" xfId="59721" xr:uid="{00000000-0005-0000-0000-0000B6E20000}"/>
    <cellStyle name="Normal 2 4 8 4 6" xfId="24244" xr:uid="{00000000-0005-0000-0000-0000B7E20000}"/>
    <cellStyle name="Normal 2 4 8 4 6 2" xfId="59722" xr:uid="{00000000-0005-0000-0000-0000B8E20000}"/>
    <cellStyle name="Normal 2 4 8 4 7" xfId="24245" xr:uid="{00000000-0005-0000-0000-0000B9E20000}"/>
    <cellStyle name="Normal 2 4 8 4 7 2" xfId="59723" xr:uid="{00000000-0005-0000-0000-0000BAE20000}"/>
    <cellStyle name="Normal 2 4 8 4 8" xfId="59724" xr:uid="{00000000-0005-0000-0000-0000BBE20000}"/>
    <cellStyle name="Normal 2 4 8 4 8 2" xfId="59725" xr:uid="{00000000-0005-0000-0000-0000BCE20000}"/>
    <cellStyle name="Normal 2 4 8 4 9" xfId="59726" xr:uid="{00000000-0005-0000-0000-0000BDE20000}"/>
    <cellStyle name="Normal 2 4 8 40" xfId="59727" xr:uid="{00000000-0005-0000-0000-0000BEE20000}"/>
    <cellStyle name="Normal 2 4 8 5" xfId="24246" xr:uid="{00000000-0005-0000-0000-0000BFE20000}"/>
    <cellStyle name="Normal 2 4 8 5 10" xfId="59728" xr:uid="{00000000-0005-0000-0000-0000C0E20000}"/>
    <cellStyle name="Normal 2 4 8 5 11" xfId="59729" xr:uid="{00000000-0005-0000-0000-0000C1E20000}"/>
    <cellStyle name="Normal 2 4 8 5 2" xfId="24247" xr:uid="{00000000-0005-0000-0000-0000C2E20000}"/>
    <cellStyle name="Normal 2 4 8 5 2 10" xfId="59730" xr:uid="{00000000-0005-0000-0000-0000C3E20000}"/>
    <cellStyle name="Normal 2 4 8 5 2 2" xfId="24248" xr:uid="{00000000-0005-0000-0000-0000C4E20000}"/>
    <cellStyle name="Normal 2 4 8 5 2 2 2" xfId="24249" xr:uid="{00000000-0005-0000-0000-0000C5E20000}"/>
    <cellStyle name="Normal 2 4 8 5 2 2 2 2" xfId="24250" xr:uid="{00000000-0005-0000-0000-0000C6E20000}"/>
    <cellStyle name="Normal 2 4 8 5 2 2 2 2 2" xfId="59731" xr:uid="{00000000-0005-0000-0000-0000C7E20000}"/>
    <cellStyle name="Normal 2 4 8 5 2 2 2 3" xfId="24251" xr:uid="{00000000-0005-0000-0000-0000C8E20000}"/>
    <cellStyle name="Normal 2 4 8 5 2 2 2 3 2" xfId="59732" xr:uid="{00000000-0005-0000-0000-0000C9E20000}"/>
    <cellStyle name="Normal 2 4 8 5 2 2 2 4" xfId="59733" xr:uid="{00000000-0005-0000-0000-0000CAE20000}"/>
    <cellStyle name="Normal 2 4 8 5 2 2 3" xfId="24252" xr:uid="{00000000-0005-0000-0000-0000CBE20000}"/>
    <cellStyle name="Normal 2 4 8 5 2 2 3 2" xfId="59734" xr:uid="{00000000-0005-0000-0000-0000CCE20000}"/>
    <cellStyle name="Normal 2 4 8 5 2 2 4" xfId="24253" xr:uid="{00000000-0005-0000-0000-0000CDE20000}"/>
    <cellStyle name="Normal 2 4 8 5 2 2 4 2" xfId="59735" xr:uid="{00000000-0005-0000-0000-0000CEE20000}"/>
    <cellStyle name="Normal 2 4 8 5 2 2 5" xfId="24254" xr:uid="{00000000-0005-0000-0000-0000CFE20000}"/>
    <cellStyle name="Normal 2 4 8 5 2 2 5 2" xfId="59736" xr:uid="{00000000-0005-0000-0000-0000D0E20000}"/>
    <cellStyle name="Normal 2 4 8 5 2 2 6" xfId="59737" xr:uid="{00000000-0005-0000-0000-0000D1E20000}"/>
    <cellStyle name="Normal 2 4 8 5 2 2 6 2" xfId="59738" xr:uid="{00000000-0005-0000-0000-0000D2E20000}"/>
    <cellStyle name="Normal 2 4 8 5 2 2 7" xfId="59739" xr:uid="{00000000-0005-0000-0000-0000D3E20000}"/>
    <cellStyle name="Normal 2 4 8 5 2 3" xfId="24255" xr:uid="{00000000-0005-0000-0000-0000D4E20000}"/>
    <cellStyle name="Normal 2 4 8 5 2 3 2" xfId="24256" xr:uid="{00000000-0005-0000-0000-0000D5E20000}"/>
    <cellStyle name="Normal 2 4 8 5 2 3 2 2" xfId="59740" xr:uid="{00000000-0005-0000-0000-0000D6E20000}"/>
    <cellStyle name="Normal 2 4 8 5 2 3 3" xfId="24257" xr:uid="{00000000-0005-0000-0000-0000D7E20000}"/>
    <cellStyle name="Normal 2 4 8 5 2 3 3 2" xfId="59741" xr:uid="{00000000-0005-0000-0000-0000D8E20000}"/>
    <cellStyle name="Normal 2 4 8 5 2 3 4" xfId="59742" xr:uid="{00000000-0005-0000-0000-0000D9E20000}"/>
    <cellStyle name="Normal 2 4 8 5 2 4" xfId="24258" xr:uid="{00000000-0005-0000-0000-0000DAE20000}"/>
    <cellStyle name="Normal 2 4 8 5 2 4 2" xfId="24259" xr:uid="{00000000-0005-0000-0000-0000DBE20000}"/>
    <cellStyle name="Normal 2 4 8 5 2 4 2 2" xfId="59743" xr:uid="{00000000-0005-0000-0000-0000DCE20000}"/>
    <cellStyle name="Normal 2 4 8 5 2 4 3" xfId="59744" xr:uid="{00000000-0005-0000-0000-0000DDE20000}"/>
    <cellStyle name="Normal 2 4 8 5 2 5" xfId="24260" xr:uid="{00000000-0005-0000-0000-0000DEE20000}"/>
    <cellStyle name="Normal 2 4 8 5 2 5 2" xfId="59745" xr:uid="{00000000-0005-0000-0000-0000DFE20000}"/>
    <cellStyle name="Normal 2 4 8 5 2 6" xfId="24261" xr:uid="{00000000-0005-0000-0000-0000E0E20000}"/>
    <cellStyle name="Normal 2 4 8 5 2 6 2" xfId="59746" xr:uid="{00000000-0005-0000-0000-0000E1E20000}"/>
    <cellStyle name="Normal 2 4 8 5 2 7" xfId="59747" xr:uid="{00000000-0005-0000-0000-0000E2E20000}"/>
    <cellStyle name="Normal 2 4 8 5 2 7 2" xfId="59748" xr:uid="{00000000-0005-0000-0000-0000E3E20000}"/>
    <cellStyle name="Normal 2 4 8 5 2 8" xfId="59749" xr:uid="{00000000-0005-0000-0000-0000E4E20000}"/>
    <cellStyle name="Normal 2 4 8 5 2 9" xfId="59750" xr:uid="{00000000-0005-0000-0000-0000E5E20000}"/>
    <cellStyle name="Normal 2 4 8 5 3" xfId="24262" xr:uid="{00000000-0005-0000-0000-0000E6E20000}"/>
    <cellStyle name="Normal 2 4 8 5 3 2" xfId="24263" xr:uid="{00000000-0005-0000-0000-0000E7E20000}"/>
    <cellStyle name="Normal 2 4 8 5 3 2 2" xfId="24264" xr:uid="{00000000-0005-0000-0000-0000E8E20000}"/>
    <cellStyle name="Normal 2 4 8 5 3 2 2 2" xfId="59751" xr:uid="{00000000-0005-0000-0000-0000E9E20000}"/>
    <cellStyle name="Normal 2 4 8 5 3 2 3" xfId="24265" xr:uid="{00000000-0005-0000-0000-0000EAE20000}"/>
    <cellStyle name="Normal 2 4 8 5 3 2 3 2" xfId="59752" xr:uid="{00000000-0005-0000-0000-0000EBE20000}"/>
    <cellStyle name="Normal 2 4 8 5 3 2 4" xfId="59753" xr:uid="{00000000-0005-0000-0000-0000ECE20000}"/>
    <cellStyle name="Normal 2 4 8 5 3 3" xfId="24266" xr:uid="{00000000-0005-0000-0000-0000EDE20000}"/>
    <cellStyle name="Normal 2 4 8 5 3 3 2" xfId="59754" xr:uid="{00000000-0005-0000-0000-0000EEE20000}"/>
    <cellStyle name="Normal 2 4 8 5 3 4" xfId="24267" xr:uid="{00000000-0005-0000-0000-0000EFE20000}"/>
    <cellStyle name="Normal 2 4 8 5 3 4 2" xfId="59755" xr:uid="{00000000-0005-0000-0000-0000F0E20000}"/>
    <cellStyle name="Normal 2 4 8 5 3 5" xfId="24268" xr:uid="{00000000-0005-0000-0000-0000F1E20000}"/>
    <cellStyle name="Normal 2 4 8 5 3 5 2" xfId="59756" xr:uid="{00000000-0005-0000-0000-0000F2E20000}"/>
    <cellStyle name="Normal 2 4 8 5 3 6" xfId="59757" xr:uid="{00000000-0005-0000-0000-0000F3E20000}"/>
    <cellStyle name="Normal 2 4 8 5 3 6 2" xfId="59758" xr:uid="{00000000-0005-0000-0000-0000F4E20000}"/>
    <cellStyle name="Normal 2 4 8 5 3 7" xfId="59759" xr:uid="{00000000-0005-0000-0000-0000F5E20000}"/>
    <cellStyle name="Normal 2 4 8 5 4" xfId="24269" xr:uid="{00000000-0005-0000-0000-0000F6E20000}"/>
    <cellStyle name="Normal 2 4 8 5 4 2" xfId="24270" xr:uid="{00000000-0005-0000-0000-0000F7E20000}"/>
    <cellStyle name="Normal 2 4 8 5 4 2 2" xfId="59760" xr:uid="{00000000-0005-0000-0000-0000F8E20000}"/>
    <cellStyle name="Normal 2 4 8 5 4 3" xfId="24271" xr:uid="{00000000-0005-0000-0000-0000F9E20000}"/>
    <cellStyle name="Normal 2 4 8 5 4 3 2" xfId="59761" xr:uid="{00000000-0005-0000-0000-0000FAE20000}"/>
    <cellStyle name="Normal 2 4 8 5 4 4" xfId="59762" xr:uid="{00000000-0005-0000-0000-0000FBE20000}"/>
    <cellStyle name="Normal 2 4 8 5 5" xfId="24272" xr:uid="{00000000-0005-0000-0000-0000FCE20000}"/>
    <cellStyle name="Normal 2 4 8 5 5 2" xfId="24273" xr:uid="{00000000-0005-0000-0000-0000FDE20000}"/>
    <cellStyle name="Normal 2 4 8 5 5 2 2" xfId="59763" xr:uid="{00000000-0005-0000-0000-0000FEE20000}"/>
    <cellStyle name="Normal 2 4 8 5 5 3" xfId="59764" xr:uid="{00000000-0005-0000-0000-0000FFE20000}"/>
    <cellStyle name="Normal 2 4 8 5 6" xfId="24274" xr:uid="{00000000-0005-0000-0000-000000E30000}"/>
    <cellStyle name="Normal 2 4 8 5 6 2" xfId="59765" xr:uid="{00000000-0005-0000-0000-000001E30000}"/>
    <cellStyle name="Normal 2 4 8 5 7" xfId="24275" xr:uid="{00000000-0005-0000-0000-000002E30000}"/>
    <cellStyle name="Normal 2 4 8 5 7 2" xfId="59766" xr:uid="{00000000-0005-0000-0000-000003E30000}"/>
    <cellStyle name="Normal 2 4 8 5 8" xfId="59767" xr:uid="{00000000-0005-0000-0000-000004E30000}"/>
    <cellStyle name="Normal 2 4 8 5 8 2" xfId="59768" xr:uid="{00000000-0005-0000-0000-000005E30000}"/>
    <cellStyle name="Normal 2 4 8 5 9" xfId="59769" xr:uid="{00000000-0005-0000-0000-000006E30000}"/>
    <cellStyle name="Normal 2 4 8 6" xfId="24276" xr:uid="{00000000-0005-0000-0000-000007E30000}"/>
    <cellStyle name="Normal 2 4 8 6 10" xfId="59770" xr:uid="{00000000-0005-0000-0000-000008E30000}"/>
    <cellStyle name="Normal 2 4 8 6 11" xfId="59771" xr:uid="{00000000-0005-0000-0000-000009E30000}"/>
    <cellStyle name="Normal 2 4 8 6 2" xfId="24277" xr:uid="{00000000-0005-0000-0000-00000AE30000}"/>
    <cellStyle name="Normal 2 4 8 6 2 10" xfId="59772" xr:uid="{00000000-0005-0000-0000-00000BE30000}"/>
    <cellStyle name="Normal 2 4 8 6 2 2" xfId="24278" xr:uid="{00000000-0005-0000-0000-00000CE30000}"/>
    <cellStyle name="Normal 2 4 8 6 2 2 2" xfId="24279" xr:uid="{00000000-0005-0000-0000-00000DE30000}"/>
    <cellStyle name="Normal 2 4 8 6 2 2 2 2" xfId="24280" xr:uid="{00000000-0005-0000-0000-00000EE30000}"/>
    <cellStyle name="Normal 2 4 8 6 2 2 2 2 2" xfId="59773" xr:uid="{00000000-0005-0000-0000-00000FE30000}"/>
    <cellStyle name="Normal 2 4 8 6 2 2 2 3" xfId="24281" xr:uid="{00000000-0005-0000-0000-000010E30000}"/>
    <cellStyle name="Normal 2 4 8 6 2 2 2 3 2" xfId="59774" xr:uid="{00000000-0005-0000-0000-000011E30000}"/>
    <cellStyle name="Normal 2 4 8 6 2 2 2 4" xfId="59775" xr:uid="{00000000-0005-0000-0000-000012E30000}"/>
    <cellStyle name="Normal 2 4 8 6 2 2 3" xfId="24282" xr:uid="{00000000-0005-0000-0000-000013E30000}"/>
    <cellStyle name="Normal 2 4 8 6 2 2 3 2" xfId="59776" xr:uid="{00000000-0005-0000-0000-000014E30000}"/>
    <cellStyle name="Normal 2 4 8 6 2 2 4" xfId="24283" xr:uid="{00000000-0005-0000-0000-000015E30000}"/>
    <cellStyle name="Normal 2 4 8 6 2 2 4 2" xfId="59777" xr:uid="{00000000-0005-0000-0000-000016E30000}"/>
    <cellStyle name="Normal 2 4 8 6 2 2 5" xfId="24284" xr:uid="{00000000-0005-0000-0000-000017E30000}"/>
    <cellStyle name="Normal 2 4 8 6 2 2 5 2" xfId="59778" xr:uid="{00000000-0005-0000-0000-000018E30000}"/>
    <cellStyle name="Normal 2 4 8 6 2 2 6" xfId="59779" xr:uid="{00000000-0005-0000-0000-000019E30000}"/>
    <cellStyle name="Normal 2 4 8 6 2 2 6 2" xfId="59780" xr:uid="{00000000-0005-0000-0000-00001AE30000}"/>
    <cellStyle name="Normal 2 4 8 6 2 2 7" xfId="59781" xr:uid="{00000000-0005-0000-0000-00001BE30000}"/>
    <cellStyle name="Normal 2 4 8 6 2 3" xfId="24285" xr:uid="{00000000-0005-0000-0000-00001CE30000}"/>
    <cellStyle name="Normal 2 4 8 6 2 3 2" xfId="24286" xr:uid="{00000000-0005-0000-0000-00001DE30000}"/>
    <cellStyle name="Normal 2 4 8 6 2 3 2 2" xfId="59782" xr:uid="{00000000-0005-0000-0000-00001EE30000}"/>
    <cellStyle name="Normal 2 4 8 6 2 3 3" xfId="24287" xr:uid="{00000000-0005-0000-0000-00001FE30000}"/>
    <cellStyle name="Normal 2 4 8 6 2 3 3 2" xfId="59783" xr:uid="{00000000-0005-0000-0000-000020E30000}"/>
    <cellStyle name="Normal 2 4 8 6 2 3 4" xfId="59784" xr:uid="{00000000-0005-0000-0000-000021E30000}"/>
    <cellStyle name="Normal 2 4 8 6 2 4" xfId="24288" xr:uid="{00000000-0005-0000-0000-000022E30000}"/>
    <cellStyle name="Normal 2 4 8 6 2 4 2" xfId="24289" xr:uid="{00000000-0005-0000-0000-000023E30000}"/>
    <cellStyle name="Normal 2 4 8 6 2 4 2 2" xfId="59785" xr:uid="{00000000-0005-0000-0000-000024E30000}"/>
    <cellStyle name="Normal 2 4 8 6 2 4 3" xfId="59786" xr:uid="{00000000-0005-0000-0000-000025E30000}"/>
    <cellStyle name="Normal 2 4 8 6 2 5" xfId="24290" xr:uid="{00000000-0005-0000-0000-000026E30000}"/>
    <cellStyle name="Normal 2 4 8 6 2 5 2" xfId="59787" xr:uid="{00000000-0005-0000-0000-000027E30000}"/>
    <cellStyle name="Normal 2 4 8 6 2 6" xfId="24291" xr:uid="{00000000-0005-0000-0000-000028E30000}"/>
    <cellStyle name="Normal 2 4 8 6 2 6 2" xfId="59788" xr:uid="{00000000-0005-0000-0000-000029E30000}"/>
    <cellStyle name="Normal 2 4 8 6 2 7" xfId="59789" xr:uid="{00000000-0005-0000-0000-00002AE30000}"/>
    <cellStyle name="Normal 2 4 8 6 2 7 2" xfId="59790" xr:uid="{00000000-0005-0000-0000-00002BE30000}"/>
    <cellStyle name="Normal 2 4 8 6 2 8" xfId="59791" xr:uid="{00000000-0005-0000-0000-00002CE30000}"/>
    <cellStyle name="Normal 2 4 8 6 2 9" xfId="59792" xr:uid="{00000000-0005-0000-0000-00002DE30000}"/>
    <cellStyle name="Normal 2 4 8 6 3" xfId="24292" xr:uid="{00000000-0005-0000-0000-00002EE30000}"/>
    <cellStyle name="Normal 2 4 8 6 3 2" xfId="24293" xr:uid="{00000000-0005-0000-0000-00002FE30000}"/>
    <cellStyle name="Normal 2 4 8 6 3 2 2" xfId="24294" xr:uid="{00000000-0005-0000-0000-000030E30000}"/>
    <cellStyle name="Normal 2 4 8 6 3 2 2 2" xfId="59793" xr:uid="{00000000-0005-0000-0000-000031E30000}"/>
    <cellStyle name="Normal 2 4 8 6 3 2 3" xfId="24295" xr:uid="{00000000-0005-0000-0000-000032E30000}"/>
    <cellStyle name="Normal 2 4 8 6 3 2 3 2" xfId="59794" xr:uid="{00000000-0005-0000-0000-000033E30000}"/>
    <cellStyle name="Normal 2 4 8 6 3 2 4" xfId="59795" xr:uid="{00000000-0005-0000-0000-000034E30000}"/>
    <cellStyle name="Normal 2 4 8 6 3 3" xfId="24296" xr:uid="{00000000-0005-0000-0000-000035E30000}"/>
    <cellStyle name="Normal 2 4 8 6 3 3 2" xfId="59796" xr:uid="{00000000-0005-0000-0000-000036E30000}"/>
    <cellStyle name="Normal 2 4 8 6 3 4" xfId="24297" xr:uid="{00000000-0005-0000-0000-000037E30000}"/>
    <cellStyle name="Normal 2 4 8 6 3 4 2" xfId="59797" xr:uid="{00000000-0005-0000-0000-000038E30000}"/>
    <cellStyle name="Normal 2 4 8 6 3 5" xfId="24298" xr:uid="{00000000-0005-0000-0000-000039E30000}"/>
    <cellStyle name="Normal 2 4 8 6 3 5 2" xfId="59798" xr:uid="{00000000-0005-0000-0000-00003AE30000}"/>
    <cellStyle name="Normal 2 4 8 6 3 6" xfId="59799" xr:uid="{00000000-0005-0000-0000-00003BE30000}"/>
    <cellStyle name="Normal 2 4 8 6 3 6 2" xfId="59800" xr:uid="{00000000-0005-0000-0000-00003CE30000}"/>
    <cellStyle name="Normal 2 4 8 6 3 7" xfId="59801" xr:uid="{00000000-0005-0000-0000-00003DE30000}"/>
    <cellStyle name="Normal 2 4 8 6 4" xfId="24299" xr:uid="{00000000-0005-0000-0000-00003EE30000}"/>
    <cellStyle name="Normal 2 4 8 6 4 2" xfId="24300" xr:uid="{00000000-0005-0000-0000-00003FE30000}"/>
    <cellStyle name="Normal 2 4 8 6 4 2 2" xfId="59802" xr:uid="{00000000-0005-0000-0000-000040E30000}"/>
    <cellStyle name="Normal 2 4 8 6 4 3" xfId="24301" xr:uid="{00000000-0005-0000-0000-000041E30000}"/>
    <cellStyle name="Normal 2 4 8 6 4 3 2" xfId="59803" xr:uid="{00000000-0005-0000-0000-000042E30000}"/>
    <cellStyle name="Normal 2 4 8 6 4 4" xfId="59804" xr:uid="{00000000-0005-0000-0000-000043E30000}"/>
    <cellStyle name="Normal 2 4 8 6 5" xfId="24302" xr:uid="{00000000-0005-0000-0000-000044E30000}"/>
    <cellStyle name="Normal 2 4 8 6 5 2" xfId="24303" xr:uid="{00000000-0005-0000-0000-000045E30000}"/>
    <cellStyle name="Normal 2 4 8 6 5 2 2" xfId="59805" xr:uid="{00000000-0005-0000-0000-000046E30000}"/>
    <cellStyle name="Normal 2 4 8 6 5 3" xfId="59806" xr:uid="{00000000-0005-0000-0000-000047E30000}"/>
    <cellStyle name="Normal 2 4 8 6 6" xfId="24304" xr:uid="{00000000-0005-0000-0000-000048E30000}"/>
    <cellStyle name="Normal 2 4 8 6 6 2" xfId="59807" xr:uid="{00000000-0005-0000-0000-000049E30000}"/>
    <cellStyle name="Normal 2 4 8 6 7" xfId="24305" xr:uid="{00000000-0005-0000-0000-00004AE30000}"/>
    <cellStyle name="Normal 2 4 8 6 7 2" xfId="59808" xr:uid="{00000000-0005-0000-0000-00004BE30000}"/>
    <cellStyle name="Normal 2 4 8 6 8" xfId="59809" xr:uid="{00000000-0005-0000-0000-00004CE30000}"/>
    <cellStyle name="Normal 2 4 8 6 8 2" xfId="59810" xr:uid="{00000000-0005-0000-0000-00004DE30000}"/>
    <cellStyle name="Normal 2 4 8 6 9" xfId="59811" xr:uid="{00000000-0005-0000-0000-00004EE30000}"/>
    <cellStyle name="Normal 2 4 8 7" xfId="24306" xr:uid="{00000000-0005-0000-0000-00004FE30000}"/>
    <cellStyle name="Normal 2 4 8 7 10" xfId="59812" xr:uid="{00000000-0005-0000-0000-000050E30000}"/>
    <cellStyle name="Normal 2 4 8 7 11" xfId="59813" xr:uid="{00000000-0005-0000-0000-000051E30000}"/>
    <cellStyle name="Normal 2 4 8 7 2" xfId="24307" xr:uid="{00000000-0005-0000-0000-000052E30000}"/>
    <cellStyle name="Normal 2 4 8 7 2 10" xfId="59814" xr:uid="{00000000-0005-0000-0000-000053E30000}"/>
    <cellStyle name="Normal 2 4 8 7 2 2" xfId="24308" xr:uid="{00000000-0005-0000-0000-000054E30000}"/>
    <cellStyle name="Normal 2 4 8 7 2 2 2" xfId="24309" xr:uid="{00000000-0005-0000-0000-000055E30000}"/>
    <cellStyle name="Normal 2 4 8 7 2 2 2 2" xfId="24310" xr:uid="{00000000-0005-0000-0000-000056E30000}"/>
    <cellStyle name="Normal 2 4 8 7 2 2 2 2 2" xfId="59815" xr:uid="{00000000-0005-0000-0000-000057E30000}"/>
    <cellStyle name="Normal 2 4 8 7 2 2 2 3" xfId="24311" xr:uid="{00000000-0005-0000-0000-000058E30000}"/>
    <cellStyle name="Normal 2 4 8 7 2 2 2 3 2" xfId="59816" xr:uid="{00000000-0005-0000-0000-000059E30000}"/>
    <cellStyle name="Normal 2 4 8 7 2 2 2 4" xfId="59817" xr:uid="{00000000-0005-0000-0000-00005AE30000}"/>
    <cellStyle name="Normal 2 4 8 7 2 2 3" xfId="24312" xr:uid="{00000000-0005-0000-0000-00005BE30000}"/>
    <cellStyle name="Normal 2 4 8 7 2 2 3 2" xfId="59818" xr:uid="{00000000-0005-0000-0000-00005CE30000}"/>
    <cellStyle name="Normal 2 4 8 7 2 2 4" xfId="24313" xr:uid="{00000000-0005-0000-0000-00005DE30000}"/>
    <cellStyle name="Normal 2 4 8 7 2 2 4 2" xfId="59819" xr:uid="{00000000-0005-0000-0000-00005EE30000}"/>
    <cellStyle name="Normal 2 4 8 7 2 2 5" xfId="24314" xr:uid="{00000000-0005-0000-0000-00005FE30000}"/>
    <cellStyle name="Normal 2 4 8 7 2 2 5 2" xfId="59820" xr:uid="{00000000-0005-0000-0000-000060E30000}"/>
    <cellStyle name="Normal 2 4 8 7 2 2 6" xfId="59821" xr:uid="{00000000-0005-0000-0000-000061E30000}"/>
    <cellStyle name="Normal 2 4 8 7 2 2 6 2" xfId="59822" xr:uid="{00000000-0005-0000-0000-000062E30000}"/>
    <cellStyle name="Normal 2 4 8 7 2 2 7" xfId="59823" xr:uid="{00000000-0005-0000-0000-000063E30000}"/>
    <cellStyle name="Normal 2 4 8 7 2 3" xfId="24315" xr:uid="{00000000-0005-0000-0000-000064E30000}"/>
    <cellStyle name="Normal 2 4 8 7 2 3 2" xfId="24316" xr:uid="{00000000-0005-0000-0000-000065E30000}"/>
    <cellStyle name="Normal 2 4 8 7 2 3 2 2" xfId="59824" xr:uid="{00000000-0005-0000-0000-000066E30000}"/>
    <cellStyle name="Normal 2 4 8 7 2 3 3" xfId="24317" xr:uid="{00000000-0005-0000-0000-000067E30000}"/>
    <cellStyle name="Normal 2 4 8 7 2 3 3 2" xfId="59825" xr:uid="{00000000-0005-0000-0000-000068E30000}"/>
    <cellStyle name="Normal 2 4 8 7 2 3 4" xfId="59826" xr:uid="{00000000-0005-0000-0000-000069E30000}"/>
    <cellStyle name="Normal 2 4 8 7 2 4" xfId="24318" xr:uid="{00000000-0005-0000-0000-00006AE30000}"/>
    <cellStyle name="Normal 2 4 8 7 2 4 2" xfId="24319" xr:uid="{00000000-0005-0000-0000-00006BE30000}"/>
    <cellStyle name="Normal 2 4 8 7 2 4 2 2" xfId="59827" xr:uid="{00000000-0005-0000-0000-00006CE30000}"/>
    <cellStyle name="Normal 2 4 8 7 2 4 3" xfId="59828" xr:uid="{00000000-0005-0000-0000-00006DE30000}"/>
    <cellStyle name="Normal 2 4 8 7 2 5" xfId="24320" xr:uid="{00000000-0005-0000-0000-00006EE30000}"/>
    <cellStyle name="Normal 2 4 8 7 2 5 2" xfId="59829" xr:uid="{00000000-0005-0000-0000-00006FE30000}"/>
    <cellStyle name="Normal 2 4 8 7 2 6" xfId="24321" xr:uid="{00000000-0005-0000-0000-000070E30000}"/>
    <cellStyle name="Normal 2 4 8 7 2 6 2" xfId="59830" xr:uid="{00000000-0005-0000-0000-000071E30000}"/>
    <cellStyle name="Normal 2 4 8 7 2 7" xfId="59831" xr:uid="{00000000-0005-0000-0000-000072E30000}"/>
    <cellStyle name="Normal 2 4 8 7 2 7 2" xfId="59832" xr:uid="{00000000-0005-0000-0000-000073E30000}"/>
    <cellStyle name="Normal 2 4 8 7 2 8" xfId="59833" xr:uid="{00000000-0005-0000-0000-000074E30000}"/>
    <cellStyle name="Normal 2 4 8 7 2 9" xfId="59834" xr:uid="{00000000-0005-0000-0000-000075E30000}"/>
    <cellStyle name="Normal 2 4 8 7 3" xfId="24322" xr:uid="{00000000-0005-0000-0000-000076E30000}"/>
    <cellStyle name="Normal 2 4 8 7 3 2" xfId="24323" xr:uid="{00000000-0005-0000-0000-000077E30000}"/>
    <cellStyle name="Normal 2 4 8 7 3 2 2" xfId="24324" xr:uid="{00000000-0005-0000-0000-000078E30000}"/>
    <cellStyle name="Normal 2 4 8 7 3 2 2 2" xfId="59835" xr:uid="{00000000-0005-0000-0000-000079E30000}"/>
    <cellStyle name="Normal 2 4 8 7 3 2 3" xfId="24325" xr:uid="{00000000-0005-0000-0000-00007AE30000}"/>
    <cellStyle name="Normal 2 4 8 7 3 2 3 2" xfId="59836" xr:uid="{00000000-0005-0000-0000-00007BE30000}"/>
    <cellStyle name="Normal 2 4 8 7 3 2 4" xfId="59837" xr:uid="{00000000-0005-0000-0000-00007CE30000}"/>
    <cellStyle name="Normal 2 4 8 7 3 3" xfId="24326" xr:uid="{00000000-0005-0000-0000-00007DE30000}"/>
    <cellStyle name="Normal 2 4 8 7 3 3 2" xfId="59838" xr:uid="{00000000-0005-0000-0000-00007EE30000}"/>
    <cellStyle name="Normal 2 4 8 7 3 4" xfId="24327" xr:uid="{00000000-0005-0000-0000-00007FE30000}"/>
    <cellStyle name="Normal 2 4 8 7 3 4 2" xfId="59839" xr:uid="{00000000-0005-0000-0000-000080E30000}"/>
    <cellStyle name="Normal 2 4 8 7 3 5" xfId="24328" xr:uid="{00000000-0005-0000-0000-000081E30000}"/>
    <cellStyle name="Normal 2 4 8 7 3 5 2" xfId="59840" xr:uid="{00000000-0005-0000-0000-000082E30000}"/>
    <cellStyle name="Normal 2 4 8 7 3 6" xfId="59841" xr:uid="{00000000-0005-0000-0000-000083E30000}"/>
    <cellStyle name="Normal 2 4 8 7 3 6 2" xfId="59842" xr:uid="{00000000-0005-0000-0000-000084E30000}"/>
    <cellStyle name="Normal 2 4 8 7 3 7" xfId="59843" xr:uid="{00000000-0005-0000-0000-000085E30000}"/>
    <cellStyle name="Normal 2 4 8 7 4" xfId="24329" xr:uid="{00000000-0005-0000-0000-000086E30000}"/>
    <cellStyle name="Normal 2 4 8 7 4 2" xfId="24330" xr:uid="{00000000-0005-0000-0000-000087E30000}"/>
    <cellStyle name="Normal 2 4 8 7 4 2 2" xfId="59844" xr:uid="{00000000-0005-0000-0000-000088E30000}"/>
    <cellStyle name="Normal 2 4 8 7 4 3" xfId="24331" xr:uid="{00000000-0005-0000-0000-000089E30000}"/>
    <cellStyle name="Normal 2 4 8 7 4 3 2" xfId="59845" xr:uid="{00000000-0005-0000-0000-00008AE30000}"/>
    <cellStyle name="Normal 2 4 8 7 4 4" xfId="59846" xr:uid="{00000000-0005-0000-0000-00008BE30000}"/>
    <cellStyle name="Normal 2 4 8 7 5" xfId="24332" xr:uid="{00000000-0005-0000-0000-00008CE30000}"/>
    <cellStyle name="Normal 2 4 8 7 5 2" xfId="24333" xr:uid="{00000000-0005-0000-0000-00008DE30000}"/>
    <cellStyle name="Normal 2 4 8 7 5 2 2" xfId="59847" xr:uid="{00000000-0005-0000-0000-00008EE30000}"/>
    <cellStyle name="Normal 2 4 8 7 5 3" xfId="59848" xr:uid="{00000000-0005-0000-0000-00008FE30000}"/>
    <cellStyle name="Normal 2 4 8 7 6" xfId="24334" xr:uid="{00000000-0005-0000-0000-000090E30000}"/>
    <cellStyle name="Normal 2 4 8 7 6 2" xfId="59849" xr:uid="{00000000-0005-0000-0000-000091E30000}"/>
    <cellStyle name="Normal 2 4 8 7 7" xfId="24335" xr:uid="{00000000-0005-0000-0000-000092E30000}"/>
    <cellStyle name="Normal 2 4 8 7 7 2" xfId="59850" xr:uid="{00000000-0005-0000-0000-000093E30000}"/>
    <cellStyle name="Normal 2 4 8 7 8" xfId="59851" xr:uid="{00000000-0005-0000-0000-000094E30000}"/>
    <cellStyle name="Normal 2 4 8 7 8 2" xfId="59852" xr:uid="{00000000-0005-0000-0000-000095E30000}"/>
    <cellStyle name="Normal 2 4 8 7 9" xfId="59853" xr:uid="{00000000-0005-0000-0000-000096E30000}"/>
    <cellStyle name="Normal 2 4 8 8" xfId="24336" xr:uid="{00000000-0005-0000-0000-000097E30000}"/>
    <cellStyle name="Normal 2 4 8 8 10" xfId="59854" xr:uid="{00000000-0005-0000-0000-000098E30000}"/>
    <cellStyle name="Normal 2 4 8 8 11" xfId="59855" xr:uid="{00000000-0005-0000-0000-000099E30000}"/>
    <cellStyle name="Normal 2 4 8 8 2" xfId="24337" xr:uid="{00000000-0005-0000-0000-00009AE30000}"/>
    <cellStyle name="Normal 2 4 8 8 2 10" xfId="59856" xr:uid="{00000000-0005-0000-0000-00009BE30000}"/>
    <cellStyle name="Normal 2 4 8 8 2 2" xfId="24338" xr:uid="{00000000-0005-0000-0000-00009CE30000}"/>
    <cellStyle name="Normal 2 4 8 8 2 2 2" xfId="24339" xr:uid="{00000000-0005-0000-0000-00009DE30000}"/>
    <cellStyle name="Normal 2 4 8 8 2 2 2 2" xfId="24340" xr:uid="{00000000-0005-0000-0000-00009EE30000}"/>
    <cellStyle name="Normal 2 4 8 8 2 2 2 2 2" xfId="59857" xr:uid="{00000000-0005-0000-0000-00009FE30000}"/>
    <cellStyle name="Normal 2 4 8 8 2 2 2 3" xfId="24341" xr:uid="{00000000-0005-0000-0000-0000A0E30000}"/>
    <cellStyle name="Normal 2 4 8 8 2 2 2 3 2" xfId="59858" xr:uid="{00000000-0005-0000-0000-0000A1E30000}"/>
    <cellStyle name="Normal 2 4 8 8 2 2 2 4" xfId="59859" xr:uid="{00000000-0005-0000-0000-0000A2E30000}"/>
    <cellStyle name="Normal 2 4 8 8 2 2 3" xfId="24342" xr:uid="{00000000-0005-0000-0000-0000A3E30000}"/>
    <cellStyle name="Normal 2 4 8 8 2 2 3 2" xfId="59860" xr:uid="{00000000-0005-0000-0000-0000A4E30000}"/>
    <cellStyle name="Normal 2 4 8 8 2 2 4" xfId="24343" xr:uid="{00000000-0005-0000-0000-0000A5E30000}"/>
    <cellStyle name="Normal 2 4 8 8 2 2 4 2" xfId="59861" xr:uid="{00000000-0005-0000-0000-0000A6E30000}"/>
    <cellStyle name="Normal 2 4 8 8 2 2 5" xfId="24344" xr:uid="{00000000-0005-0000-0000-0000A7E30000}"/>
    <cellStyle name="Normal 2 4 8 8 2 2 5 2" xfId="59862" xr:uid="{00000000-0005-0000-0000-0000A8E30000}"/>
    <cellStyle name="Normal 2 4 8 8 2 2 6" xfId="59863" xr:uid="{00000000-0005-0000-0000-0000A9E30000}"/>
    <cellStyle name="Normal 2 4 8 8 2 2 6 2" xfId="59864" xr:uid="{00000000-0005-0000-0000-0000AAE30000}"/>
    <cellStyle name="Normal 2 4 8 8 2 2 7" xfId="59865" xr:uid="{00000000-0005-0000-0000-0000ABE30000}"/>
    <cellStyle name="Normal 2 4 8 8 2 3" xfId="24345" xr:uid="{00000000-0005-0000-0000-0000ACE30000}"/>
    <cellStyle name="Normal 2 4 8 8 2 3 2" xfId="24346" xr:uid="{00000000-0005-0000-0000-0000ADE30000}"/>
    <cellStyle name="Normal 2 4 8 8 2 3 2 2" xfId="59866" xr:uid="{00000000-0005-0000-0000-0000AEE30000}"/>
    <cellStyle name="Normal 2 4 8 8 2 3 3" xfId="24347" xr:uid="{00000000-0005-0000-0000-0000AFE30000}"/>
    <cellStyle name="Normal 2 4 8 8 2 3 3 2" xfId="59867" xr:uid="{00000000-0005-0000-0000-0000B0E30000}"/>
    <cellStyle name="Normal 2 4 8 8 2 3 4" xfId="59868" xr:uid="{00000000-0005-0000-0000-0000B1E30000}"/>
    <cellStyle name="Normal 2 4 8 8 2 4" xfId="24348" xr:uid="{00000000-0005-0000-0000-0000B2E30000}"/>
    <cellStyle name="Normal 2 4 8 8 2 4 2" xfId="24349" xr:uid="{00000000-0005-0000-0000-0000B3E30000}"/>
    <cellStyle name="Normal 2 4 8 8 2 4 2 2" xfId="59869" xr:uid="{00000000-0005-0000-0000-0000B4E30000}"/>
    <cellStyle name="Normal 2 4 8 8 2 4 3" xfId="59870" xr:uid="{00000000-0005-0000-0000-0000B5E30000}"/>
    <cellStyle name="Normal 2 4 8 8 2 5" xfId="24350" xr:uid="{00000000-0005-0000-0000-0000B6E30000}"/>
    <cellStyle name="Normal 2 4 8 8 2 5 2" xfId="59871" xr:uid="{00000000-0005-0000-0000-0000B7E30000}"/>
    <cellStyle name="Normal 2 4 8 8 2 6" xfId="24351" xr:uid="{00000000-0005-0000-0000-0000B8E30000}"/>
    <cellStyle name="Normal 2 4 8 8 2 6 2" xfId="59872" xr:uid="{00000000-0005-0000-0000-0000B9E30000}"/>
    <cellStyle name="Normal 2 4 8 8 2 7" xfId="59873" xr:uid="{00000000-0005-0000-0000-0000BAE30000}"/>
    <cellStyle name="Normal 2 4 8 8 2 7 2" xfId="59874" xr:uid="{00000000-0005-0000-0000-0000BBE30000}"/>
    <cellStyle name="Normal 2 4 8 8 2 8" xfId="59875" xr:uid="{00000000-0005-0000-0000-0000BCE30000}"/>
    <cellStyle name="Normal 2 4 8 8 2 9" xfId="59876" xr:uid="{00000000-0005-0000-0000-0000BDE30000}"/>
    <cellStyle name="Normal 2 4 8 8 3" xfId="24352" xr:uid="{00000000-0005-0000-0000-0000BEE30000}"/>
    <cellStyle name="Normal 2 4 8 8 3 2" xfId="24353" xr:uid="{00000000-0005-0000-0000-0000BFE30000}"/>
    <cellStyle name="Normal 2 4 8 8 3 2 2" xfId="24354" xr:uid="{00000000-0005-0000-0000-0000C0E30000}"/>
    <cellStyle name="Normal 2 4 8 8 3 2 2 2" xfId="59877" xr:uid="{00000000-0005-0000-0000-0000C1E30000}"/>
    <cellStyle name="Normal 2 4 8 8 3 2 3" xfId="24355" xr:uid="{00000000-0005-0000-0000-0000C2E30000}"/>
    <cellStyle name="Normal 2 4 8 8 3 2 3 2" xfId="59878" xr:uid="{00000000-0005-0000-0000-0000C3E30000}"/>
    <cellStyle name="Normal 2 4 8 8 3 2 4" xfId="59879" xr:uid="{00000000-0005-0000-0000-0000C4E30000}"/>
    <cellStyle name="Normal 2 4 8 8 3 3" xfId="24356" xr:uid="{00000000-0005-0000-0000-0000C5E30000}"/>
    <cellStyle name="Normal 2 4 8 8 3 3 2" xfId="59880" xr:uid="{00000000-0005-0000-0000-0000C6E30000}"/>
    <cellStyle name="Normal 2 4 8 8 3 4" xfId="24357" xr:uid="{00000000-0005-0000-0000-0000C7E30000}"/>
    <cellStyle name="Normal 2 4 8 8 3 4 2" xfId="59881" xr:uid="{00000000-0005-0000-0000-0000C8E30000}"/>
    <cellStyle name="Normal 2 4 8 8 3 5" xfId="24358" xr:uid="{00000000-0005-0000-0000-0000C9E30000}"/>
    <cellStyle name="Normal 2 4 8 8 3 5 2" xfId="59882" xr:uid="{00000000-0005-0000-0000-0000CAE30000}"/>
    <cellStyle name="Normal 2 4 8 8 3 6" xfId="59883" xr:uid="{00000000-0005-0000-0000-0000CBE30000}"/>
    <cellStyle name="Normal 2 4 8 8 3 6 2" xfId="59884" xr:uid="{00000000-0005-0000-0000-0000CCE30000}"/>
    <cellStyle name="Normal 2 4 8 8 3 7" xfId="59885" xr:uid="{00000000-0005-0000-0000-0000CDE30000}"/>
    <cellStyle name="Normal 2 4 8 8 4" xfId="24359" xr:uid="{00000000-0005-0000-0000-0000CEE30000}"/>
    <cellStyle name="Normal 2 4 8 8 4 2" xfId="24360" xr:uid="{00000000-0005-0000-0000-0000CFE30000}"/>
    <cellStyle name="Normal 2 4 8 8 4 2 2" xfId="59886" xr:uid="{00000000-0005-0000-0000-0000D0E30000}"/>
    <cellStyle name="Normal 2 4 8 8 4 3" xfId="24361" xr:uid="{00000000-0005-0000-0000-0000D1E30000}"/>
    <cellStyle name="Normal 2 4 8 8 4 3 2" xfId="59887" xr:uid="{00000000-0005-0000-0000-0000D2E30000}"/>
    <cellStyle name="Normal 2 4 8 8 4 4" xfId="59888" xr:uid="{00000000-0005-0000-0000-0000D3E30000}"/>
    <cellStyle name="Normal 2 4 8 8 5" xfId="24362" xr:uid="{00000000-0005-0000-0000-0000D4E30000}"/>
    <cellStyle name="Normal 2 4 8 8 5 2" xfId="24363" xr:uid="{00000000-0005-0000-0000-0000D5E30000}"/>
    <cellStyle name="Normal 2 4 8 8 5 2 2" xfId="59889" xr:uid="{00000000-0005-0000-0000-0000D6E30000}"/>
    <cellStyle name="Normal 2 4 8 8 5 3" xfId="59890" xr:uid="{00000000-0005-0000-0000-0000D7E30000}"/>
    <cellStyle name="Normal 2 4 8 8 6" xfId="24364" xr:uid="{00000000-0005-0000-0000-0000D8E30000}"/>
    <cellStyle name="Normal 2 4 8 8 6 2" xfId="59891" xr:uid="{00000000-0005-0000-0000-0000D9E30000}"/>
    <cellStyle name="Normal 2 4 8 8 7" xfId="24365" xr:uid="{00000000-0005-0000-0000-0000DAE30000}"/>
    <cellStyle name="Normal 2 4 8 8 7 2" xfId="59892" xr:uid="{00000000-0005-0000-0000-0000DBE30000}"/>
    <cellStyle name="Normal 2 4 8 8 8" xfId="59893" xr:uid="{00000000-0005-0000-0000-0000DCE30000}"/>
    <cellStyle name="Normal 2 4 8 8 8 2" xfId="59894" xr:uid="{00000000-0005-0000-0000-0000DDE30000}"/>
    <cellStyle name="Normal 2 4 8 8 9" xfId="59895" xr:uid="{00000000-0005-0000-0000-0000DEE30000}"/>
    <cellStyle name="Normal 2 4 8 9" xfId="24366" xr:uid="{00000000-0005-0000-0000-0000DFE30000}"/>
    <cellStyle name="Normal 2 4 8 9 10" xfId="59896" xr:uid="{00000000-0005-0000-0000-0000E0E30000}"/>
    <cellStyle name="Normal 2 4 8 9 11" xfId="59897" xr:uid="{00000000-0005-0000-0000-0000E1E30000}"/>
    <cellStyle name="Normal 2 4 8 9 2" xfId="24367" xr:uid="{00000000-0005-0000-0000-0000E2E30000}"/>
    <cellStyle name="Normal 2 4 8 9 2 10" xfId="59898" xr:uid="{00000000-0005-0000-0000-0000E3E30000}"/>
    <cellStyle name="Normal 2 4 8 9 2 2" xfId="24368" xr:uid="{00000000-0005-0000-0000-0000E4E30000}"/>
    <cellStyle name="Normal 2 4 8 9 2 2 2" xfId="24369" xr:uid="{00000000-0005-0000-0000-0000E5E30000}"/>
    <cellStyle name="Normal 2 4 8 9 2 2 2 2" xfId="24370" xr:uid="{00000000-0005-0000-0000-0000E6E30000}"/>
    <cellStyle name="Normal 2 4 8 9 2 2 2 2 2" xfId="59899" xr:uid="{00000000-0005-0000-0000-0000E7E30000}"/>
    <cellStyle name="Normal 2 4 8 9 2 2 2 3" xfId="24371" xr:uid="{00000000-0005-0000-0000-0000E8E30000}"/>
    <cellStyle name="Normal 2 4 8 9 2 2 2 3 2" xfId="59900" xr:uid="{00000000-0005-0000-0000-0000E9E30000}"/>
    <cellStyle name="Normal 2 4 8 9 2 2 2 4" xfId="59901" xr:uid="{00000000-0005-0000-0000-0000EAE30000}"/>
    <cellStyle name="Normal 2 4 8 9 2 2 3" xfId="24372" xr:uid="{00000000-0005-0000-0000-0000EBE30000}"/>
    <cellStyle name="Normal 2 4 8 9 2 2 3 2" xfId="59902" xr:uid="{00000000-0005-0000-0000-0000ECE30000}"/>
    <cellStyle name="Normal 2 4 8 9 2 2 4" xfId="24373" xr:uid="{00000000-0005-0000-0000-0000EDE30000}"/>
    <cellStyle name="Normal 2 4 8 9 2 2 4 2" xfId="59903" xr:uid="{00000000-0005-0000-0000-0000EEE30000}"/>
    <cellStyle name="Normal 2 4 8 9 2 2 5" xfId="24374" xr:uid="{00000000-0005-0000-0000-0000EFE30000}"/>
    <cellStyle name="Normal 2 4 8 9 2 2 5 2" xfId="59904" xr:uid="{00000000-0005-0000-0000-0000F0E30000}"/>
    <cellStyle name="Normal 2 4 8 9 2 2 6" xfId="59905" xr:uid="{00000000-0005-0000-0000-0000F1E30000}"/>
    <cellStyle name="Normal 2 4 8 9 2 2 6 2" xfId="59906" xr:uid="{00000000-0005-0000-0000-0000F2E30000}"/>
    <cellStyle name="Normal 2 4 8 9 2 2 7" xfId="59907" xr:uid="{00000000-0005-0000-0000-0000F3E30000}"/>
    <cellStyle name="Normal 2 4 8 9 2 3" xfId="24375" xr:uid="{00000000-0005-0000-0000-0000F4E30000}"/>
    <cellStyle name="Normal 2 4 8 9 2 3 2" xfId="24376" xr:uid="{00000000-0005-0000-0000-0000F5E30000}"/>
    <cellStyle name="Normal 2 4 8 9 2 3 2 2" xfId="59908" xr:uid="{00000000-0005-0000-0000-0000F6E30000}"/>
    <cellStyle name="Normal 2 4 8 9 2 3 3" xfId="24377" xr:uid="{00000000-0005-0000-0000-0000F7E30000}"/>
    <cellStyle name="Normal 2 4 8 9 2 3 3 2" xfId="59909" xr:uid="{00000000-0005-0000-0000-0000F8E30000}"/>
    <cellStyle name="Normal 2 4 8 9 2 3 4" xfId="59910" xr:uid="{00000000-0005-0000-0000-0000F9E30000}"/>
    <cellStyle name="Normal 2 4 8 9 2 4" xfId="24378" xr:uid="{00000000-0005-0000-0000-0000FAE30000}"/>
    <cellStyle name="Normal 2 4 8 9 2 4 2" xfId="24379" xr:uid="{00000000-0005-0000-0000-0000FBE30000}"/>
    <cellStyle name="Normal 2 4 8 9 2 4 2 2" xfId="59911" xr:uid="{00000000-0005-0000-0000-0000FCE30000}"/>
    <cellStyle name="Normal 2 4 8 9 2 4 3" xfId="59912" xr:uid="{00000000-0005-0000-0000-0000FDE30000}"/>
    <cellStyle name="Normal 2 4 8 9 2 5" xfId="24380" xr:uid="{00000000-0005-0000-0000-0000FEE30000}"/>
    <cellStyle name="Normal 2 4 8 9 2 5 2" xfId="59913" xr:uid="{00000000-0005-0000-0000-0000FFE30000}"/>
    <cellStyle name="Normal 2 4 8 9 2 6" xfId="24381" xr:uid="{00000000-0005-0000-0000-000000E40000}"/>
    <cellStyle name="Normal 2 4 8 9 2 6 2" xfId="59914" xr:uid="{00000000-0005-0000-0000-000001E40000}"/>
    <cellStyle name="Normal 2 4 8 9 2 7" xfId="59915" xr:uid="{00000000-0005-0000-0000-000002E40000}"/>
    <cellStyle name="Normal 2 4 8 9 2 7 2" xfId="59916" xr:uid="{00000000-0005-0000-0000-000003E40000}"/>
    <cellStyle name="Normal 2 4 8 9 2 8" xfId="59917" xr:uid="{00000000-0005-0000-0000-000004E40000}"/>
    <cellStyle name="Normal 2 4 8 9 2 9" xfId="59918" xr:uid="{00000000-0005-0000-0000-000005E40000}"/>
    <cellStyle name="Normal 2 4 8 9 3" xfId="24382" xr:uid="{00000000-0005-0000-0000-000006E40000}"/>
    <cellStyle name="Normal 2 4 8 9 3 2" xfId="24383" xr:uid="{00000000-0005-0000-0000-000007E40000}"/>
    <cellStyle name="Normal 2 4 8 9 3 2 2" xfId="24384" xr:uid="{00000000-0005-0000-0000-000008E40000}"/>
    <cellStyle name="Normal 2 4 8 9 3 2 2 2" xfId="59919" xr:uid="{00000000-0005-0000-0000-000009E40000}"/>
    <cellStyle name="Normal 2 4 8 9 3 2 3" xfId="24385" xr:uid="{00000000-0005-0000-0000-00000AE40000}"/>
    <cellStyle name="Normal 2 4 8 9 3 2 3 2" xfId="59920" xr:uid="{00000000-0005-0000-0000-00000BE40000}"/>
    <cellStyle name="Normal 2 4 8 9 3 2 4" xfId="59921" xr:uid="{00000000-0005-0000-0000-00000CE40000}"/>
    <cellStyle name="Normal 2 4 8 9 3 3" xfId="24386" xr:uid="{00000000-0005-0000-0000-00000DE40000}"/>
    <cellStyle name="Normal 2 4 8 9 3 3 2" xfId="59922" xr:uid="{00000000-0005-0000-0000-00000EE40000}"/>
    <cellStyle name="Normal 2 4 8 9 3 4" xfId="24387" xr:uid="{00000000-0005-0000-0000-00000FE40000}"/>
    <cellStyle name="Normal 2 4 8 9 3 4 2" xfId="59923" xr:uid="{00000000-0005-0000-0000-000010E40000}"/>
    <cellStyle name="Normal 2 4 8 9 3 5" xfId="24388" xr:uid="{00000000-0005-0000-0000-000011E40000}"/>
    <cellStyle name="Normal 2 4 8 9 3 5 2" xfId="59924" xr:uid="{00000000-0005-0000-0000-000012E40000}"/>
    <cellStyle name="Normal 2 4 8 9 3 6" xfId="59925" xr:uid="{00000000-0005-0000-0000-000013E40000}"/>
    <cellStyle name="Normal 2 4 8 9 3 6 2" xfId="59926" xr:uid="{00000000-0005-0000-0000-000014E40000}"/>
    <cellStyle name="Normal 2 4 8 9 3 7" xfId="59927" xr:uid="{00000000-0005-0000-0000-000015E40000}"/>
    <cellStyle name="Normal 2 4 8 9 4" xfId="24389" xr:uid="{00000000-0005-0000-0000-000016E40000}"/>
    <cellStyle name="Normal 2 4 8 9 4 2" xfId="24390" xr:uid="{00000000-0005-0000-0000-000017E40000}"/>
    <cellStyle name="Normal 2 4 8 9 4 2 2" xfId="59928" xr:uid="{00000000-0005-0000-0000-000018E40000}"/>
    <cellStyle name="Normal 2 4 8 9 4 3" xfId="24391" xr:uid="{00000000-0005-0000-0000-000019E40000}"/>
    <cellStyle name="Normal 2 4 8 9 4 3 2" xfId="59929" xr:uid="{00000000-0005-0000-0000-00001AE40000}"/>
    <cellStyle name="Normal 2 4 8 9 4 4" xfId="59930" xr:uid="{00000000-0005-0000-0000-00001BE40000}"/>
    <cellStyle name="Normal 2 4 8 9 5" xfId="24392" xr:uid="{00000000-0005-0000-0000-00001CE40000}"/>
    <cellStyle name="Normal 2 4 8 9 5 2" xfId="24393" xr:uid="{00000000-0005-0000-0000-00001DE40000}"/>
    <cellStyle name="Normal 2 4 8 9 5 2 2" xfId="59931" xr:uid="{00000000-0005-0000-0000-00001EE40000}"/>
    <cellStyle name="Normal 2 4 8 9 5 3" xfId="59932" xr:uid="{00000000-0005-0000-0000-00001FE40000}"/>
    <cellStyle name="Normal 2 4 8 9 6" xfId="24394" xr:uid="{00000000-0005-0000-0000-000020E40000}"/>
    <cellStyle name="Normal 2 4 8 9 6 2" xfId="59933" xr:uid="{00000000-0005-0000-0000-000021E40000}"/>
    <cellStyle name="Normal 2 4 8 9 7" xfId="24395" xr:uid="{00000000-0005-0000-0000-000022E40000}"/>
    <cellStyle name="Normal 2 4 8 9 7 2" xfId="59934" xr:uid="{00000000-0005-0000-0000-000023E40000}"/>
    <cellStyle name="Normal 2 4 8 9 8" xfId="59935" xr:uid="{00000000-0005-0000-0000-000024E40000}"/>
    <cellStyle name="Normal 2 4 8 9 8 2" xfId="59936" xr:uid="{00000000-0005-0000-0000-000025E40000}"/>
    <cellStyle name="Normal 2 4 8 9 9" xfId="59937" xr:uid="{00000000-0005-0000-0000-000026E40000}"/>
    <cellStyle name="Normal 2 4 9" xfId="24396" xr:uid="{00000000-0005-0000-0000-000027E40000}"/>
    <cellStyle name="Normal 2 4 9 10" xfId="24397" xr:uid="{00000000-0005-0000-0000-000028E40000}"/>
    <cellStyle name="Normal 2 4 9 10 10" xfId="59938" xr:uid="{00000000-0005-0000-0000-000029E40000}"/>
    <cellStyle name="Normal 2 4 9 10 11" xfId="59939" xr:uid="{00000000-0005-0000-0000-00002AE40000}"/>
    <cellStyle name="Normal 2 4 9 10 2" xfId="24398" xr:uid="{00000000-0005-0000-0000-00002BE40000}"/>
    <cellStyle name="Normal 2 4 9 10 2 10" xfId="59940" xr:uid="{00000000-0005-0000-0000-00002CE40000}"/>
    <cellStyle name="Normal 2 4 9 10 2 2" xfId="24399" xr:uid="{00000000-0005-0000-0000-00002DE40000}"/>
    <cellStyle name="Normal 2 4 9 10 2 2 2" xfId="24400" xr:uid="{00000000-0005-0000-0000-00002EE40000}"/>
    <cellStyle name="Normal 2 4 9 10 2 2 2 2" xfId="24401" xr:uid="{00000000-0005-0000-0000-00002FE40000}"/>
    <cellStyle name="Normal 2 4 9 10 2 2 2 2 2" xfId="59941" xr:uid="{00000000-0005-0000-0000-000030E40000}"/>
    <cellStyle name="Normal 2 4 9 10 2 2 2 3" xfId="24402" xr:uid="{00000000-0005-0000-0000-000031E40000}"/>
    <cellStyle name="Normal 2 4 9 10 2 2 2 3 2" xfId="59942" xr:uid="{00000000-0005-0000-0000-000032E40000}"/>
    <cellStyle name="Normal 2 4 9 10 2 2 2 4" xfId="59943" xr:uid="{00000000-0005-0000-0000-000033E40000}"/>
    <cellStyle name="Normal 2 4 9 10 2 2 3" xfId="24403" xr:uid="{00000000-0005-0000-0000-000034E40000}"/>
    <cellStyle name="Normal 2 4 9 10 2 2 3 2" xfId="59944" xr:uid="{00000000-0005-0000-0000-000035E40000}"/>
    <cellStyle name="Normal 2 4 9 10 2 2 4" xfId="24404" xr:uid="{00000000-0005-0000-0000-000036E40000}"/>
    <cellStyle name="Normal 2 4 9 10 2 2 4 2" xfId="59945" xr:uid="{00000000-0005-0000-0000-000037E40000}"/>
    <cellStyle name="Normal 2 4 9 10 2 2 5" xfId="24405" xr:uid="{00000000-0005-0000-0000-000038E40000}"/>
    <cellStyle name="Normal 2 4 9 10 2 2 5 2" xfId="59946" xr:uid="{00000000-0005-0000-0000-000039E40000}"/>
    <cellStyle name="Normal 2 4 9 10 2 2 6" xfId="59947" xr:uid="{00000000-0005-0000-0000-00003AE40000}"/>
    <cellStyle name="Normal 2 4 9 10 2 2 6 2" xfId="59948" xr:uid="{00000000-0005-0000-0000-00003BE40000}"/>
    <cellStyle name="Normal 2 4 9 10 2 2 7" xfId="59949" xr:uid="{00000000-0005-0000-0000-00003CE40000}"/>
    <cellStyle name="Normal 2 4 9 10 2 3" xfId="24406" xr:uid="{00000000-0005-0000-0000-00003DE40000}"/>
    <cellStyle name="Normal 2 4 9 10 2 3 2" xfId="24407" xr:uid="{00000000-0005-0000-0000-00003EE40000}"/>
    <cellStyle name="Normal 2 4 9 10 2 3 2 2" xfId="59950" xr:uid="{00000000-0005-0000-0000-00003FE40000}"/>
    <cellStyle name="Normal 2 4 9 10 2 3 3" xfId="24408" xr:uid="{00000000-0005-0000-0000-000040E40000}"/>
    <cellStyle name="Normal 2 4 9 10 2 3 3 2" xfId="59951" xr:uid="{00000000-0005-0000-0000-000041E40000}"/>
    <cellStyle name="Normal 2 4 9 10 2 3 4" xfId="59952" xr:uid="{00000000-0005-0000-0000-000042E40000}"/>
    <cellStyle name="Normal 2 4 9 10 2 4" xfId="24409" xr:uid="{00000000-0005-0000-0000-000043E40000}"/>
    <cellStyle name="Normal 2 4 9 10 2 4 2" xfId="24410" xr:uid="{00000000-0005-0000-0000-000044E40000}"/>
    <cellStyle name="Normal 2 4 9 10 2 4 2 2" xfId="59953" xr:uid="{00000000-0005-0000-0000-000045E40000}"/>
    <cellStyle name="Normal 2 4 9 10 2 4 3" xfId="59954" xr:uid="{00000000-0005-0000-0000-000046E40000}"/>
    <cellStyle name="Normal 2 4 9 10 2 5" xfId="24411" xr:uid="{00000000-0005-0000-0000-000047E40000}"/>
    <cellStyle name="Normal 2 4 9 10 2 5 2" xfId="59955" xr:uid="{00000000-0005-0000-0000-000048E40000}"/>
    <cellStyle name="Normal 2 4 9 10 2 6" xfId="24412" xr:uid="{00000000-0005-0000-0000-000049E40000}"/>
    <cellStyle name="Normal 2 4 9 10 2 6 2" xfId="59956" xr:uid="{00000000-0005-0000-0000-00004AE40000}"/>
    <cellStyle name="Normal 2 4 9 10 2 7" xfId="59957" xr:uid="{00000000-0005-0000-0000-00004BE40000}"/>
    <cellStyle name="Normal 2 4 9 10 2 7 2" xfId="59958" xr:uid="{00000000-0005-0000-0000-00004CE40000}"/>
    <cellStyle name="Normal 2 4 9 10 2 8" xfId="59959" xr:uid="{00000000-0005-0000-0000-00004DE40000}"/>
    <cellStyle name="Normal 2 4 9 10 2 9" xfId="59960" xr:uid="{00000000-0005-0000-0000-00004EE40000}"/>
    <cellStyle name="Normal 2 4 9 10 3" xfId="24413" xr:uid="{00000000-0005-0000-0000-00004FE40000}"/>
    <cellStyle name="Normal 2 4 9 10 3 2" xfId="24414" xr:uid="{00000000-0005-0000-0000-000050E40000}"/>
    <cellStyle name="Normal 2 4 9 10 3 2 2" xfId="24415" xr:uid="{00000000-0005-0000-0000-000051E40000}"/>
    <cellStyle name="Normal 2 4 9 10 3 2 2 2" xfId="59961" xr:uid="{00000000-0005-0000-0000-000052E40000}"/>
    <cellStyle name="Normal 2 4 9 10 3 2 3" xfId="24416" xr:uid="{00000000-0005-0000-0000-000053E40000}"/>
    <cellStyle name="Normal 2 4 9 10 3 2 3 2" xfId="59962" xr:uid="{00000000-0005-0000-0000-000054E40000}"/>
    <cellStyle name="Normal 2 4 9 10 3 2 4" xfId="59963" xr:uid="{00000000-0005-0000-0000-000055E40000}"/>
    <cellStyle name="Normal 2 4 9 10 3 3" xfId="24417" xr:uid="{00000000-0005-0000-0000-000056E40000}"/>
    <cellStyle name="Normal 2 4 9 10 3 3 2" xfId="59964" xr:uid="{00000000-0005-0000-0000-000057E40000}"/>
    <cellStyle name="Normal 2 4 9 10 3 4" xfId="24418" xr:uid="{00000000-0005-0000-0000-000058E40000}"/>
    <cellStyle name="Normal 2 4 9 10 3 4 2" xfId="59965" xr:uid="{00000000-0005-0000-0000-000059E40000}"/>
    <cellStyle name="Normal 2 4 9 10 3 5" xfId="24419" xr:uid="{00000000-0005-0000-0000-00005AE40000}"/>
    <cellStyle name="Normal 2 4 9 10 3 5 2" xfId="59966" xr:uid="{00000000-0005-0000-0000-00005BE40000}"/>
    <cellStyle name="Normal 2 4 9 10 3 6" xfId="59967" xr:uid="{00000000-0005-0000-0000-00005CE40000}"/>
    <cellStyle name="Normal 2 4 9 10 3 6 2" xfId="59968" xr:uid="{00000000-0005-0000-0000-00005DE40000}"/>
    <cellStyle name="Normal 2 4 9 10 3 7" xfId="59969" xr:uid="{00000000-0005-0000-0000-00005EE40000}"/>
    <cellStyle name="Normal 2 4 9 10 4" xfId="24420" xr:uid="{00000000-0005-0000-0000-00005FE40000}"/>
    <cellStyle name="Normal 2 4 9 10 4 2" xfId="24421" xr:uid="{00000000-0005-0000-0000-000060E40000}"/>
    <cellStyle name="Normal 2 4 9 10 4 2 2" xfId="59970" xr:uid="{00000000-0005-0000-0000-000061E40000}"/>
    <cellStyle name="Normal 2 4 9 10 4 3" xfId="24422" xr:uid="{00000000-0005-0000-0000-000062E40000}"/>
    <cellStyle name="Normal 2 4 9 10 4 3 2" xfId="59971" xr:uid="{00000000-0005-0000-0000-000063E40000}"/>
    <cellStyle name="Normal 2 4 9 10 4 4" xfId="59972" xr:uid="{00000000-0005-0000-0000-000064E40000}"/>
    <cellStyle name="Normal 2 4 9 10 5" xfId="24423" xr:uid="{00000000-0005-0000-0000-000065E40000}"/>
    <cellStyle name="Normal 2 4 9 10 5 2" xfId="24424" xr:uid="{00000000-0005-0000-0000-000066E40000}"/>
    <cellStyle name="Normal 2 4 9 10 5 2 2" xfId="59973" xr:uid="{00000000-0005-0000-0000-000067E40000}"/>
    <cellStyle name="Normal 2 4 9 10 5 3" xfId="59974" xr:uid="{00000000-0005-0000-0000-000068E40000}"/>
    <cellStyle name="Normal 2 4 9 10 6" xfId="24425" xr:uid="{00000000-0005-0000-0000-000069E40000}"/>
    <cellStyle name="Normal 2 4 9 10 6 2" xfId="59975" xr:uid="{00000000-0005-0000-0000-00006AE40000}"/>
    <cellStyle name="Normal 2 4 9 10 7" xfId="24426" xr:uid="{00000000-0005-0000-0000-00006BE40000}"/>
    <cellStyle name="Normal 2 4 9 10 7 2" xfId="59976" xr:uid="{00000000-0005-0000-0000-00006CE40000}"/>
    <cellStyle name="Normal 2 4 9 10 8" xfId="59977" xr:uid="{00000000-0005-0000-0000-00006DE40000}"/>
    <cellStyle name="Normal 2 4 9 10 8 2" xfId="59978" xr:uid="{00000000-0005-0000-0000-00006EE40000}"/>
    <cellStyle name="Normal 2 4 9 10 9" xfId="59979" xr:uid="{00000000-0005-0000-0000-00006FE40000}"/>
    <cellStyle name="Normal 2 4 9 11" xfId="24427" xr:uid="{00000000-0005-0000-0000-000070E40000}"/>
    <cellStyle name="Normal 2 4 9 11 10" xfId="59980" xr:uid="{00000000-0005-0000-0000-000071E40000}"/>
    <cellStyle name="Normal 2 4 9 11 11" xfId="59981" xr:uid="{00000000-0005-0000-0000-000072E40000}"/>
    <cellStyle name="Normal 2 4 9 11 2" xfId="24428" xr:uid="{00000000-0005-0000-0000-000073E40000}"/>
    <cellStyle name="Normal 2 4 9 11 2 10" xfId="59982" xr:uid="{00000000-0005-0000-0000-000074E40000}"/>
    <cellStyle name="Normal 2 4 9 11 2 2" xfId="24429" xr:uid="{00000000-0005-0000-0000-000075E40000}"/>
    <cellStyle name="Normal 2 4 9 11 2 2 2" xfId="24430" xr:uid="{00000000-0005-0000-0000-000076E40000}"/>
    <cellStyle name="Normal 2 4 9 11 2 2 2 2" xfId="24431" xr:uid="{00000000-0005-0000-0000-000077E40000}"/>
    <cellStyle name="Normal 2 4 9 11 2 2 2 2 2" xfId="59983" xr:uid="{00000000-0005-0000-0000-000078E40000}"/>
    <cellStyle name="Normal 2 4 9 11 2 2 2 3" xfId="24432" xr:uid="{00000000-0005-0000-0000-000079E40000}"/>
    <cellStyle name="Normal 2 4 9 11 2 2 2 3 2" xfId="59984" xr:uid="{00000000-0005-0000-0000-00007AE40000}"/>
    <cellStyle name="Normal 2 4 9 11 2 2 2 4" xfId="59985" xr:uid="{00000000-0005-0000-0000-00007BE40000}"/>
    <cellStyle name="Normal 2 4 9 11 2 2 3" xfId="24433" xr:uid="{00000000-0005-0000-0000-00007CE40000}"/>
    <cellStyle name="Normal 2 4 9 11 2 2 3 2" xfId="59986" xr:uid="{00000000-0005-0000-0000-00007DE40000}"/>
    <cellStyle name="Normal 2 4 9 11 2 2 4" xfId="24434" xr:uid="{00000000-0005-0000-0000-00007EE40000}"/>
    <cellStyle name="Normal 2 4 9 11 2 2 4 2" xfId="59987" xr:uid="{00000000-0005-0000-0000-00007FE40000}"/>
    <cellStyle name="Normal 2 4 9 11 2 2 5" xfId="24435" xr:uid="{00000000-0005-0000-0000-000080E40000}"/>
    <cellStyle name="Normal 2 4 9 11 2 2 5 2" xfId="59988" xr:uid="{00000000-0005-0000-0000-000081E40000}"/>
    <cellStyle name="Normal 2 4 9 11 2 2 6" xfId="59989" xr:uid="{00000000-0005-0000-0000-000082E40000}"/>
    <cellStyle name="Normal 2 4 9 11 2 2 6 2" xfId="59990" xr:uid="{00000000-0005-0000-0000-000083E40000}"/>
    <cellStyle name="Normal 2 4 9 11 2 2 7" xfId="59991" xr:uid="{00000000-0005-0000-0000-000084E40000}"/>
    <cellStyle name="Normal 2 4 9 11 2 3" xfId="24436" xr:uid="{00000000-0005-0000-0000-000085E40000}"/>
    <cellStyle name="Normal 2 4 9 11 2 3 2" xfId="24437" xr:uid="{00000000-0005-0000-0000-000086E40000}"/>
    <cellStyle name="Normal 2 4 9 11 2 3 2 2" xfId="59992" xr:uid="{00000000-0005-0000-0000-000087E40000}"/>
    <cellStyle name="Normal 2 4 9 11 2 3 3" xfId="24438" xr:uid="{00000000-0005-0000-0000-000088E40000}"/>
    <cellStyle name="Normal 2 4 9 11 2 3 3 2" xfId="59993" xr:uid="{00000000-0005-0000-0000-000089E40000}"/>
    <cellStyle name="Normal 2 4 9 11 2 3 4" xfId="59994" xr:uid="{00000000-0005-0000-0000-00008AE40000}"/>
    <cellStyle name="Normal 2 4 9 11 2 4" xfId="24439" xr:uid="{00000000-0005-0000-0000-00008BE40000}"/>
    <cellStyle name="Normal 2 4 9 11 2 4 2" xfId="24440" xr:uid="{00000000-0005-0000-0000-00008CE40000}"/>
    <cellStyle name="Normal 2 4 9 11 2 4 2 2" xfId="59995" xr:uid="{00000000-0005-0000-0000-00008DE40000}"/>
    <cellStyle name="Normal 2 4 9 11 2 4 3" xfId="59996" xr:uid="{00000000-0005-0000-0000-00008EE40000}"/>
    <cellStyle name="Normal 2 4 9 11 2 5" xfId="24441" xr:uid="{00000000-0005-0000-0000-00008FE40000}"/>
    <cellStyle name="Normal 2 4 9 11 2 5 2" xfId="59997" xr:uid="{00000000-0005-0000-0000-000090E40000}"/>
    <cellStyle name="Normal 2 4 9 11 2 6" xfId="24442" xr:uid="{00000000-0005-0000-0000-000091E40000}"/>
    <cellStyle name="Normal 2 4 9 11 2 6 2" xfId="59998" xr:uid="{00000000-0005-0000-0000-000092E40000}"/>
    <cellStyle name="Normal 2 4 9 11 2 7" xfId="59999" xr:uid="{00000000-0005-0000-0000-000093E40000}"/>
    <cellStyle name="Normal 2 4 9 11 2 7 2" xfId="60000" xr:uid="{00000000-0005-0000-0000-000094E40000}"/>
    <cellStyle name="Normal 2 4 9 11 2 8" xfId="60001" xr:uid="{00000000-0005-0000-0000-000095E40000}"/>
    <cellStyle name="Normal 2 4 9 11 2 9" xfId="60002" xr:uid="{00000000-0005-0000-0000-000096E40000}"/>
    <cellStyle name="Normal 2 4 9 11 3" xfId="24443" xr:uid="{00000000-0005-0000-0000-000097E40000}"/>
    <cellStyle name="Normal 2 4 9 11 3 2" xfId="24444" xr:uid="{00000000-0005-0000-0000-000098E40000}"/>
    <cellStyle name="Normal 2 4 9 11 3 2 2" xfId="24445" xr:uid="{00000000-0005-0000-0000-000099E40000}"/>
    <cellStyle name="Normal 2 4 9 11 3 2 2 2" xfId="60003" xr:uid="{00000000-0005-0000-0000-00009AE40000}"/>
    <cellStyle name="Normal 2 4 9 11 3 2 3" xfId="24446" xr:uid="{00000000-0005-0000-0000-00009BE40000}"/>
    <cellStyle name="Normal 2 4 9 11 3 2 3 2" xfId="60004" xr:uid="{00000000-0005-0000-0000-00009CE40000}"/>
    <cellStyle name="Normal 2 4 9 11 3 2 4" xfId="60005" xr:uid="{00000000-0005-0000-0000-00009DE40000}"/>
    <cellStyle name="Normal 2 4 9 11 3 3" xfId="24447" xr:uid="{00000000-0005-0000-0000-00009EE40000}"/>
    <cellStyle name="Normal 2 4 9 11 3 3 2" xfId="60006" xr:uid="{00000000-0005-0000-0000-00009FE40000}"/>
    <cellStyle name="Normal 2 4 9 11 3 4" xfId="24448" xr:uid="{00000000-0005-0000-0000-0000A0E40000}"/>
    <cellStyle name="Normal 2 4 9 11 3 4 2" xfId="60007" xr:uid="{00000000-0005-0000-0000-0000A1E40000}"/>
    <cellStyle name="Normal 2 4 9 11 3 5" xfId="24449" xr:uid="{00000000-0005-0000-0000-0000A2E40000}"/>
    <cellStyle name="Normal 2 4 9 11 3 5 2" xfId="60008" xr:uid="{00000000-0005-0000-0000-0000A3E40000}"/>
    <cellStyle name="Normal 2 4 9 11 3 6" xfId="60009" xr:uid="{00000000-0005-0000-0000-0000A4E40000}"/>
    <cellStyle name="Normal 2 4 9 11 3 6 2" xfId="60010" xr:uid="{00000000-0005-0000-0000-0000A5E40000}"/>
    <cellStyle name="Normal 2 4 9 11 3 7" xfId="60011" xr:uid="{00000000-0005-0000-0000-0000A6E40000}"/>
    <cellStyle name="Normal 2 4 9 11 4" xfId="24450" xr:uid="{00000000-0005-0000-0000-0000A7E40000}"/>
    <cellStyle name="Normal 2 4 9 11 4 2" xfId="24451" xr:uid="{00000000-0005-0000-0000-0000A8E40000}"/>
    <cellStyle name="Normal 2 4 9 11 4 2 2" xfId="60012" xr:uid="{00000000-0005-0000-0000-0000A9E40000}"/>
    <cellStyle name="Normal 2 4 9 11 4 3" xfId="24452" xr:uid="{00000000-0005-0000-0000-0000AAE40000}"/>
    <cellStyle name="Normal 2 4 9 11 4 3 2" xfId="60013" xr:uid="{00000000-0005-0000-0000-0000ABE40000}"/>
    <cellStyle name="Normal 2 4 9 11 4 4" xfId="60014" xr:uid="{00000000-0005-0000-0000-0000ACE40000}"/>
    <cellStyle name="Normal 2 4 9 11 5" xfId="24453" xr:uid="{00000000-0005-0000-0000-0000ADE40000}"/>
    <cellStyle name="Normal 2 4 9 11 5 2" xfId="24454" xr:uid="{00000000-0005-0000-0000-0000AEE40000}"/>
    <cellStyle name="Normal 2 4 9 11 5 2 2" xfId="60015" xr:uid="{00000000-0005-0000-0000-0000AFE40000}"/>
    <cellStyle name="Normal 2 4 9 11 5 3" xfId="60016" xr:uid="{00000000-0005-0000-0000-0000B0E40000}"/>
    <cellStyle name="Normal 2 4 9 11 6" xfId="24455" xr:uid="{00000000-0005-0000-0000-0000B1E40000}"/>
    <cellStyle name="Normal 2 4 9 11 6 2" xfId="60017" xr:uid="{00000000-0005-0000-0000-0000B2E40000}"/>
    <cellStyle name="Normal 2 4 9 11 7" xfId="24456" xr:uid="{00000000-0005-0000-0000-0000B3E40000}"/>
    <cellStyle name="Normal 2 4 9 11 7 2" xfId="60018" xr:uid="{00000000-0005-0000-0000-0000B4E40000}"/>
    <cellStyle name="Normal 2 4 9 11 8" xfId="60019" xr:uid="{00000000-0005-0000-0000-0000B5E40000}"/>
    <cellStyle name="Normal 2 4 9 11 8 2" xfId="60020" xr:uid="{00000000-0005-0000-0000-0000B6E40000}"/>
    <cellStyle name="Normal 2 4 9 11 9" xfId="60021" xr:uid="{00000000-0005-0000-0000-0000B7E40000}"/>
    <cellStyle name="Normal 2 4 9 12" xfId="24457" xr:uid="{00000000-0005-0000-0000-0000B8E40000}"/>
    <cellStyle name="Normal 2 4 9 12 10" xfId="60022" xr:uid="{00000000-0005-0000-0000-0000B9E40000}"/>
    <cellStyle name="Normal 2 4 9 12 11" xfId="60023" xr:uid="{00000000-0005-0000-0000-0000BAE40000}"/>
    <cellStyle name="Normal 2 4 9 12 2" xfId="24458" xr:uid="{00000000-0005-0000-0000-0000BBE40000}"/>
    <cellStyle name="Normal 2 4 9 12 2 10" xfId="60024" xr:uid="{00000000-0005-0000-0000-0000BCE40000}"/>
    <cellStyle name="Normal 2 4 9 12 2 2" xfId="24459" xr:uid="{00000000-0005-0000-0000-0000BDE40000}"/>
    <cellStyle name="Normal 2 4 9 12 2 2 2" xfId="24460" xr:uid="{00000000-0005-0000-0000-0000BEE40000}"/>
    <cellStyle name="Normal 2 4 9 12 2 2 2 2" xfId="24461" xr:uid="{00000000-0005-0000-0000-0000BFE40000}"/>
    <cellStyle name="Normal 2 4 9 12 2 2 2 2 2" xfId="60025" xr:uid="{00000000-0005-0000-0000-0000C0E40000}"/>
    <cellStyle name="Normal 2 4 9 12 2 2 2 3" xfId="24462" xr:uid="{00000000-0005-0000-0000-0000C1E40000}"/>
    <cellStyle name="Normal 2 4 9 12 2 2 2 3 2" xfId="60026" xr:uid="{00000000-0005-0000-0000-0000C2E40000}"/>
    <cellStyle name="Normal 2 4 9 12 2 2 2 4" xfId="60027" xr:uid="{00000000-0005-0000-0000-0000C3E40000}"/>
    <cellStyle name="Normal 2 4 9 12 2 2 3" xfId="24463" xr:uid="{00000000-0005-0000-0000-0000C4E40000}"/>
    <cellStyle name="Normal 2 4 9 12 2 2 3 2" xfId="60028" xr:uid="{00000000-0005-0000-0000-0000C5E40000}"/>
    <cellStyle name="Normal 2 4 9 12 2 2 4" xfId="24464" xr:uid="{00000000-0005-0000-0000-0000C6E40000}"/>
    <cellStyle name="Normal 2 4 9 12 2 2 4 2" xfId="60029" xr:uid="{00000000-0005-0000-0000-0000C7E40000}"/>
    <cellStyle name="Normal 2 4 9 12 2 2 5" xfId="24465" xr:uid="{00000000-0005-0000-0000-0000C8E40000}"/>
    <cellStyle name="Normal 2 4 9 12 2 2 5 2" xfId="60030" xr:uid="{00000000-0005-0000-0000-0000C9E40000}"/>
    <cellStyle name="Normal 2 4 9 12 2 2 6" xfId="60031" xr:uid="{00000000-0005-0000-0000-0000CAE40000}"/>
    <cellStyle name="Normal 2 4 9 12 2 2 6 2" xfId="60032" xr:uid="{00000000-0005-0000-0000-0000CBE40000}"/>
    <cellStyle name="Normal 2 4 9 12 2 2 7" xfId="60033" xr:uid="{00000000-0005-0000-0000-0000CCE40000}"/>
    <cellStyle name="Normal 2 4 9 12 2 3" xfId="24466" xr:uid="{00000000-0005-0000-0000-0000CDE40000}"/>
    <cellStyle name="Normal 2 4 9 12 2 3 2" xfId="24467" xr:uid="{00000000-0005-0000-0000-0000CEE40000}"/>
    <cellStyle name="Normal 2 4 9 12 2 3 2 2" xfId="60034" xr:uid="{00000000-0005-0000-0000-0000CFE40000}"/>
    <cellStyle name="Normal 2 4 9 12 2 3 3" xfId="24468" xr:uid="{00000000-0005-0000-0000-0000D0E40000}"/>
    <cellStyle name="Normal 2 4 9 12 2 3 3 2" xfId="60035" xr:uid="{00000000-0005-0000-0000-0000D1E40000}"/>
    <cellStyle name="Normal 2 4 9 12 2 3 4" xfId="60036" xr:uid="{00000000-0005-0000-0000-0000D2E40000}"/>
    <cellStyle name="Normal 2 4 9 12 2 4" xfId="24469" xr:uid="{00000000-0005-0000-0000-0000D3E40000}"/>
    <cellStyle name="Normal 2 4 9 12 2 4 2" xfId="24470" xr:uid="{00000000-0005-0000-0000-0000D4E40000}"/>
    <cellStyle name="Normal 2 4 9 12 2 4 2 2" xfId="60037" xr:uid="{00000000-0005-0000-0000-0000D5E40000}"/>
    <cellStyle name="Normal 2 4 9 12 2 4 3" xfId="60038" xr:uid="{00000000-0005-0000-0000-0000D6E40000}"/>
    <cellStyle name="Normal 2 4 9 12 2 5" xfId="24471" xr:uid="{00000000-0005-0000-0000-0000D7E40000}"/>
    <cellStyle name="Normal 2 4 9 12 2 5 2" xfId="60039" xr:uid="{00000000-0005-0000-0000-0000D8E40000}"/>
    <cellStyle name="Normal 2 4 9 12 2 6" xfId="24472" xr:uid="{00000000-0005-0000-0000-0000D9E40000}"/>
    <cellStyle name="Normal 2 4 9 12 2 6 2" xfId="60040" xr:uid="{00000000-0005-0000-0000-0000DAE40000}"/>
    <cellStyle name="Normal 2 4 9 12 2 7" xfId="60041" xr:uid="{00000000-0005-0000-0000-0000DBE40000}"/>
    <cellStyle name="Normal 2 4 9 12 2 7 2" xfId="60042" xr:uid="{00000000-0005-0000-0000-0000DCE40000}"/>
    <cellStyle name="Normal 2 4 9 12 2 8" xfId="60043" xr:uid="{00000000-0005-0000-0000-0000DDE40000}"/>
    <cellStyle name="Normal 2 4 9 12 2 9" xfId="60044" xr:uid="{00000000-0005-0000-0000-0000DEE40000}"/>
    <cellStyle name="Normal 2 4 9 12 3" xfId="24473" xr:uid="{00000000-0005-0000-0000-0000DFE40000}"/>
    <cellStyle name="Normal 2 4 9 12 3 2" xfId="24474" xr:uid="{00000000-0005-0000-0000-0000E0E40000}"/>
    <cellStyle name="Normal 2 4 9 12 3 2 2" xfId="24475" xr:uid="{00000000-0005-0000-0000-0000E1E40000}"/>
    <cellStyle name="Normal 2 4 9 12 3 2 2 2" xfId="60045" xr:uid="{00000000-0005-0000-0000-0000E2E40000}"/>
    <cellStyle name="Normal 2 4 9 12 3 2 3" xfId="24476" xr:uid="{00000000-0005-0000-0000-0000E3E40000}"/>
    <cellStyle name="Normal 2 4 9 12 3 2 3 2" xfId="60046" xr:uid="{00000000-0005-0000-0000-0000E4E40000}"/>
    <cellStyle name="Normal 2 4 9 12 3 2 4" xfId="60047" xr:uid="{00000000-0005-0000-0000-0000E5E40000}"/>
    <cellStyle name="Normal 2 4 9 12 3 3" xfId="24477" xr:uid="{00000000-0005-0000-0000-0000E6E40000}"/>
    <cellStyle name="Normal 2 4 9 12 3 3 2" xfId="60048" xr:uid="{00000000-0005-0000-0000-0000E7E40000}"/>
    <cellStyle name="Normal 2 4 9 12 3 4" xfId="24478" xr:uid="{00000000-0005-0000-0000-0000E8E40000}"/>
    <cellStyle name="Normal 2 4 9 12 3 4 2" xfId="60049" xr:uid="{00000000-0005-0000-0000-0000E9E40000}"/>
    <cellStyle name="Normal 2 4 9 12 3 5" xfId="24479" xr:uid="{00000000-0005-0000-0000-0000EAE40000}"/>
    <cellStyle name="Normal 2 4 9 12 3 5 2" xfId="60050" xr:uid="{00000000-0005-0000-0000-0000EBE40000}"/>
    <cellStyle name="Normal 2 4 9 12 3 6" xfId="60051" xr:uid="{00000000-0005-0000-0000-0000ECE40000}"/>
    <cellStyle name="Normal 2 4 9 12 3 6 2" xfId="60052" xr:uid="{00000000-0005-0000-0000-0000EDE40000}"/>
    <cellStyle name="Normal 2 4 9 12 3 7" xfId="60053" xr:uid="{00000000-0005-0000-0000-0000EEE40000}"/>
    <cellStyle name="Normal 2 4 9 12 4" xfId="24480" xr:uid="{00000000-0005-0000-0000-0000EFE40000}"/>
    <cellStyle name="Normal 2 4 9 12 4 2" xfId="24481" xr:uid="{00000000-0005-0000-0000-0000F0E40000}"/>
    <cellStyle name="Normal 2 4 9 12 4 2 2" xfId="60054" xr:uid="{00000000-0005-0000-0000-0000F1E40000}"/>
    <cellStyle name="Normal 2 4 9 12 4 3" xfId="24482" xr:uid="{00000000-0005-0000-0000-0000F2E40000}"/>
    <cellStyle name="Normal 2 4 9 12 4 3 2" xfId="60055" xr:uid="{00000000-0005-0000-0000-0000F3E40000}"/>
    <cellStyle name="Normal 2 4 9 12 4 4" xfId="60056" xr:uid="{00000000-0005-0000-0000-0000F4E40000}"/>
    <cellStyle name="Normal 2 4 9 12 5" xfId="24483" xr:uid="{00000000-0005-0000-0000-0000F5E40000}"/>
    <cellStyle name="Normal 2 4 9 12 5 2" xfId="24484" xr:uid="{00000000-0005-0000-0000-0000F6E40000}"/>
    <cellStyle name="Normal 2 4 9 12 5 2 2" xfId="60057" xr:uid="{00000000-0005-0000-0000-0000F7E40000}"/>
    <cellStyle name="Normal 2 4 9 12 5 3" xfId="60058" xr:uid="{00000000-0005-0000-0000-0000F8E40000}"/>
    <cellStyle name="Normal 2 4 9 12 6" xfId="24485" xr:uid="{00000000-0005-0000-0000-0000F9E40000}"/>
    <cellStyle name="Normal 2 4 9 12 6 2" xfId="60059" xr:uid="{00000000-0005-0000-0000-0000FAE40000}"/>
    <cellStyle name="Normal 2 4 9 12 7" xfId="24486" xr:uid="{00000000-0005-0000-0000-0000FBE40000}"/>
    <cellStyle name="Normal 2 4 9 12 7 2" xfId="60060" xr:uid="{00000000-0005-0000-0000-0000FCE40000}"/>
    <cellStyle name="Normal 2 4 9 12 8" xfId="60061" xr:uid="{00000000-0005-0000-0000-0000FDE40000}"/>
    <cellStyle name="Normal 2 4 9 12 8 2" xfId="60062" xr:uid="{00000000-0005-0000-0000-0000FEE40000}"/>
    <cellStyle name="Normal 2 4 9 12 9" xfId="60063" xr:uid="{00000000-0005-0000-0000-0000FFE40000}"/>
    <cellStyle name="Normal 2 4 9 13" xfId="24487" xr:uid="{00000000-0005-0000-0000-000000E50000}"/>
    <cellStyle name="Normal 2 4 9 13 10" xfId="60064" xr:uid="{00000000-0005-0000-0000-000001E50000}"/>
    <cellStyle name="Normal 2 4 9 13 11" xfId="60065" xr:uid="{00000000-0005-0000-0000-000002E50000}"/>
    <cellStyle name="Normal 2 4 9 13 2" xfId="24488" xr:uid="{00000000-0005-0000-0000-000003E50000}"/>
    <cellStyle name="Normal 2 4 9 13 2 10" xfId="60066" xr:uid="{00000000-0005-0000-0000-000004E50000}"/>
    <cellStyle name="Normal 2 4 9 13 2 2" xfId="24489" xr:uid="{00000000-0005-0000-0000-000005E50000}"/>
    <cellStyle name="Normal 2 4 9 13 2 2 2" xfId="24490" xr:uid="{00000000-0005-0000-0000-000006E50000}"/>
    <cellStyle name="Normal 2 4 9 13 2 2 2 2" xfId="24491" xr:uid="{00000000-0005-0000-0000-000007E50000}"/>
    <cellStyle name="Normal 2 4 9 13 2 2 2 2 2" xfId="60067" xr:uid="{00000000-0005-0000-0000-000008E50000}"/>
    <cellStyle name="Normal 2 4 9 13 2 2 2 3" xfId="24492" xr:uid="{00000000-0005-0000-0000-000009E50000}"/>
    <cellStyle name="Normal 2 4 9 13 2 2 2 3 2" xfId="60068" xr:uid="{00000000-0005-0000-0000-00000AE50000}"/>
    <cellStyle name="Normal 2 4 9 13 2 2 2 4" xfId="60069" xr:uid="{00000000-0005-0000-0000-00000BE50000}"/>
    <cellStyle name="Normal 2 4 9 13 2 2 3" xfId="24493" xr:uid="{00000000-0005-0000-0000-00000CE50000}"/>
    <cellStyle name="Normal 2 4 9 13 2 2 3 2" xfId="60070" xr:uid="{00000000-0005-0000-0000-00000DE50000}"/>
    <cellStyle name="Normal 2 4 9 13 2 2 4" xfId="24494" xr:uid="{00000000-0005-0000-0000-00000EE50000}"/>
    <cellStyle name="Normal 2 4 9 13 2 2 4 2" xfId="60071" xr:uid="{00000000-0005-0000-0000-00000FE50000}"/>
    <cellStyle name="Normal 2 4 9 13 2 2 5" xfId="24495" xr:uid="{00000000-0005-0000-0000-000010E50000}"/>
    <cellStyle name="Normal 2 4 9 13 2 2 5 2" xfId="60072" xr:uid="{00000000-0005-0000-0000-000011E50000}"/>
    <cellStyle name="Normal 2 4 9 13 2 2 6" xfId="60073" xr:uid="{00000000-0005-0000-0000-000012E50000}"/>
    <cellStyle name="Normal 2 4 9 13 2 2 6 2" xfId="60074" xr:uid="{00000000-0005-0000-0000-000013E50000}"/>
    <cellStyle name="Normal 2 4 9 13 2 2 7" xfId="60075" xr:uid="{00000000-0005-0000-0000-000014E50000}"/>
    <cellStyle name="Normal 2 4 9 13 2 3" xfId="24496" xr:uid="{00000000-0005-0000-0000-000015E50000}"/>
    <cellStyle name="Normal 2 4 9 13 2 3 2" xfId="24497" xr:uid="{00000000-0005-0000-0000-000016E50000}"/>
    <cellStyle name="Normal 2 4 9 13 2 3 2 2" xfId="60076" xr:uid="{00000000-0005-0000-0000-000017E50000}"/>
    <cellStyle name="Normal 2 4 9 13 2 3 3" xfId="24498" xr:uid="{00000000-0005-0000-0000-000018E50000}"/>
    <cellStyle name="Normal 2 4 9 13 2 3 3 2" xfId="60077" xr:uid="{00000000-0005-0000-0000-000019E50000}"/>
    <cellStyle name="Normal 2 4 9 13 2 3 4" xfId="60078" xr:uid="{00000000-0005-0000-0000-00001AE50000}"/>
    <cellStyle name="Normal 2 4 9 13 2 4" xfId="24499" xr:uid="{00000000-0005-0000-0000-00001BE50000}"/>
    <cellStyle name="Normal 2 4 9 13 2 4 2" xfId="24500" xr:uid="{00000000-0005-0000-0000-00001CE50000}"/>
    <cellStyle name="Normal 2 4 9 13 2 4 2 2" xfId="60079" xr:uid="{00000000-0005-0000-0000-00001DE50000}"/>
    <cellStyle name="Normal 2 4 9 13 2 4 3" xfId="60080" xr:uid="{00000000-0005-0000-0000-00001EE50000}"/>
    <cellStyle name="Normal 2 4 9 13 2 5" xfId="24501" xr:uid="{00000000-0005-0000-0000-00001FE50000}"/>
    <cellStyle name="Normal 2 4 9 13 2 5 2" xfId="60081" xr:uid="{00000000-0005-0000-0000-000020E50000}"/>
    <cellStyle name="Normal 2 4 9 13 2 6" xfId="24502" xr:uid="{00000000-0005-0000-0000-000021E50000}"/>
    <cellStyle name="Normal 2 4 9 13 2 6 2" xfId="60082" xr:uid="{00000000-0005-0000-0000-000022E50000}"/>
    <cellStyle name="Normal 2 4 9 13 2 7" xfId="60083" xr:uid="{00000000-0005-0000-0000-000023E50000}"/>
    <cellStyle name="Normal 2 4 9 13 2 7 2" xfId="60084" xr:uid="{00000000-0005-0000-0000-000024E50000}"/>
    <cellStyle name="Normal 2 4 9 13 2 8" xfId="60085" xr:uid="{00000000-0005-0000-0000-000025E50000}"/>
    <cellStyle name="Normal 2 4 9 13 2 9" xfId="60086" xr:uid="{00000000-0005-0000-0000-000026E50000}"/>
    <cellStyle name="Normal 2 4 9 13 3" xfId="24503" xr:uid="{00000000-0005-0000-0000-000027E50000}"/>
    <cellStyle name="Normal 2 4 9 13 3 2" xfId="24504" xr:uid="{00000000-0005-0000-0000-000028E50000}"/>
    <cellStyle name="Normal 2 4 9 13 3 2 2" xfId="24505" xr:uid="{00000000-0005-0000-0000-000029E50000}"/>
    <cellStyle name="Normal 2 4 9 13 3 2 2 2" xfId="60087" xr:uid="{00000000-0005-0000-0000-00002AE50000}"/>
    <cellStyle name="Normal 2 4 9 13 3 2 3" xfId="24506" xr:uid="{00000000-0005-0000-0000-00002BE50000}"/>
    <cellStyle name="Normal 2 4 9 13 3 2 3 2" xfId="60088" xr:uid="{00000000-0005-0000-0000-00002CE50000}"/>
    <cellStyle name="Normal 2 4 9 13 3 2 4" xfId="60089" xr:uid="{00000000-0005-0000-0000-00002DE50000}"/>
    <cellStyle name="Normal 2 4 9 13 3 3" xfId="24507" xr:uid="{00000000-0005-0000-0000-00002EE50000}"/>
    <cellStyle name="Normal 2 4 9 13 3 3 2" xfId="60090" xr:uid="{00000000-0005-0000-0000-00002FE50000}"/>
    <cellStyle name="Normal 2 4 9 13 3 4" xfId="24508" xr:uid="{00000000-0005-0000-0000-000030E50000}"/>
    <cellStyle name="Normal 2 4 9 13 3 4 2" xfId="60091" xr:uid="{00000000-0005-0000-0000-000031E50000}"/>
    <cellStyle name="Normal 2 4 9 13 3 5" xfId="24509" xr:uid="{00000000-0005-0000-0000-000032E50000}"/>
    <cellStyle name="Normal 2 4 9 13 3 5 2" xfId="60092" xr:uid="{00000000-0005-0000-0000-000033E50000}"/>
    <cellStyle name="Normal 2 4 9 13 3 6" xfId="60093" xr:uid="{00000000-0005-0000-0000-000034E50000}"/>
    <cellStyle name="Normal 2 4 9 13 3 6 2" xfId="60094" xr:uid="{00000000-0005-0000-0000-000035E50000}"/>
    <cellStyle name="Normal 2 4 9 13 3 7" xfId="60095" xr:uid="{00000000-0005-0000-0000-000036E50000}"/>
    <cellStyle name="Normal 2 4 9 13 4" xfId="24510" xr:uid="{00000000-0005-0000-0000-000037E50000}"/>
    <cellStyle name="Normal 2 4 9 13 4 2" xfId="24511" xr:uid="{00000000-0005-0000-0000-000038E50000}"/>
    <cellStyle name="Normal 2 4 9 13 4 2 2" xfId="60096" xr:uid="{00000000-0005-0000-0000-000039E50000}"/>
    <cellStyle name="Normal 2 4 9 13 4 3" xfId="24512" xr:uid="{00000000-0005-0000-0000-00003AE50000}"/>
    <cellStyle name="Normal 2 4 9 13 4 3 2" xfId="60097" xr:uid="{00000000-0005-0000-0000-00003BE50000}"/>
    <cellStyle name="Normal 2 4 9 13 4 4" xfId="60098" xr:uid="{00000000-0005-0000-0000-00003CE50000}"/>
    <cellStyle name="Normal 2 4 9 13 5" xfId="24513" xr:uid="{00000000-0005-0000-0000-00003DE50000}"/>
    <cellStyle name="Normal 2 4 9 13 5 2" xfId="24514" xr:uid="{00000000-0005-0000-0000-00003EE50000}"/>
    <cellStyle name="Normal 2 4 9 13 5 2 2" xfId="60099" xr:uid="{00000000-0005-0000-0000-00003FE50000}"/>
    <cellStyle name="Normal 2 4 9 13 5 3" xfId="60100" xr:uid="{00000000-0005-0000-0000-000040E50000}"/>
    <cellStyle name="Normal 2 4 9 13 6" xfId="24515" xr:uid="{00000000-0005-0000-0000-000041E50000}"/>
    <cellStyle name="Normal 2 4 9 13 6 2" xfId="60101" xr:uid="{00000000-0005-0000-0000-000042E50000}"/>
    <cellStyle name="Normal 2 4 9 13 7" xfId="24516" xr:uid="{00000000-0005-0000-0000-000043E50000}"/>
    <cellStyle name="Normal 2 4 9 13 7 2" xfId="60102" xr:uid="{00000000-0005-0000-0000-000044E50000}"/>
    <cellStyle name="Normal 2 4 9 13 8" xfId="60103" xr:uid="{00000000-0005-0000-0000-000045E50000}"/>
    <cellStyle name="Normal 2 4 9 13 8 2" xfId="60104" xr:uid="{00000000-0005-0000-0000-000046E50000}"/>
    <cellStyle name="Normal 2 4 9 13 9" xfId="60105" xr:uid="{00000000-0005-0000-0000-000047E50000}"/>
    <cellStyle name="Normal 2 4 9 14" xfId="24517" xr:uid="{00000000-0005-0000-0000-000048E50000}"/>
    <cellStyle name="Normal 2 4 9 14 10" xfId="60106" xr:uid="{00000000-0005-0000-0000-000049E50000}"/>
    <cellStyle name="Normal 2 4 9 14 11" xfId="60107" xr:uid="{00000000-0005-0000-0000-00004AE50000}"/>
    <cellStyle name="Normal 2 4 9 14 2" xfId="24518" xr:uid="{00000000-0005-0000-0000-00004BE50000}"/>
    <cellStyle name="Normal 2 4 9 14 2 10" xfId="60108" xr:uid="{00000000-0005-0000-0000-00004CE50000}"/>
    <cellStyle name="Normal 2 4 9 14 2 2" xfId="24519" xr:uid="{00000000-0005-0000-0000-00004DE50000}"/>
    <cellStyle name="Normal 2 4 9 14 2 2 2" xfId="24520" xr:uid="{00000000-0005-0000-0000-00004EE50000}"/>
    <cellStyle name="Normal 2 4 9 14 2 2 2 2" xfId="24521" xr:uid="{00000000-0005-0000-0000-00004FE50000}"/>
    <cellStyle name="Normal 2 4 9 14 2 2 2 2 2" xfId="60109" xr:uid="{00000000-0005-0000-0000-000050E50000}"/>
    <cellStyle name="Normal 2 4 9 14 2 2 2 3" xfId="24522" xr:uid="{00000000-0005-0000-0000-000051E50000}"/>
    <cellStyle name="Normal 2 4 9 14 2 2 2 3 2" xfId="60110" xr:uid="{00000000-0005-0000-0000-000052E50000}"/>
    <cellStyle name="Normal 2 4 9 14 2 2 2 4" xfId="60111" xr:uid="{00000000-0005-0000-0000-000053E50000}"/>
    <cellStyle name="Normal 2 4 9 14 2 2 3" xfId="24523" xr:uid="{00000000-0005-0000-0000-000054E50000}"/>
    <cellStyle name="Normal 2 4 9 14 2 2 3 2" xfId="60112" xr:uid="{00000000-0005-0000-0000-000055E50000}"/>
    <cellStyle name="Normal 2 4 9 14 2 2 4" xfId="24524" xr:uid="{00000000-0005-0000-0000-000056E50000}"/>
    <cellStyle name="Normal 2 4 9 14 2 2 4 2" xfId="60113" xr:uid="{00000000-0005-0000-0000-000057E50000}"/>
    <cellStyle name="Normal 2 4 9 14 2 2 5" xfId="24525" xr:uid="{00000000-0005-0000-0000-000058E50000}"/>
    <cellStyle name="Normal 2 4 9 14 2 2 5 2" xfId="60114" xr:uid="{00000000-0005-0000-0000-000059E50000}"/>
    <cellStyle name="Normal 2 4 9 14 2 2 6" xfId="60115" xr:uid="{00000000-0005-0000-0000-00005AE50000}"/>
    <cellStyle name="Normal 2 4 9 14 2 2 6 2" xfId="60116" xr:uid="{00000000-0005-0000-0000-00005BE50000}"/>
    <cellStyle name="Normal 2 4 9 14 2 2 7" xfId="60117" xr:uid="{00000000-0005-0000-0000-00005CE50000}"/>
    <cellStyle name="Normal 2 4 9 14 2 3" xfId="24526" xr:uid="{00000000-0005-0000-0000-00005DE50000}"/>
    <cellStyle name="Normal 2 4 9 14 2 3 2" xfId="24527" xr:uid="{00000000-0005-0000-0000-00005EE50000}"/>
    <cellStyle name="Normal 2 4 9 14 2 3 2 2" xfId="60118" xr:uid="{00000000-0005-0000-0000-00005FE50000}"/>
    <cellStyle name="Normal 2 4 9 14 2 3 3" xfId="24528" xr:uid="{00000000-0005-0000-0000-000060E50000}"/>
    <cellStyle name="Normal 2 4 9 14 2 3 3 2" xfId="60119" xr:uid="{00000000-0005-0000-0000-000061E50000}"/>
    <cellStyle name="Normal 2 4 9 14 2 3 4" xfId="60120" xr:uid="{00000000-0005-0000-0000-000062E50000}"/>
    <cellStyle name="Normal 2 4 9 14 2 4" xfId="24529" xr:uid="{00000000-0005-0000-0000-000063E50000}"/>
    <cellStyle name="Normal 2 4 9 14 2 4 2" xfId="24530" xr:uid="{00000000-0005-0000-0000-000064E50000}"/>
    <cellStyle name="Normal 2 4 9 14 2 4 2 2" xfId="60121" xr:uid="{00000000-0005-0000-0000-000065E50000}"/>
    <cellStyle name="Normal 2 4 9 14 2 4 3" xfId="60122" xr:uid="{00000000-0005-0000-0000-000066E50000}"/>
    <cellStyle name="Normal 2 4 9 14 2 5" xfId="24531" xr:uid="{00000000-0005-0000-0000-000067E50000}"/>
    <cellStyle name="Normal 2 4 9 14 2 5 2" xfId="60123" xr:uid="{00000000-0005-0000-0000-000068E50000}"/>
    <cellStyle name="Normal 2 4 9 14 2 6" xfId="24532" xr:uid="{00000000-0005-0000-0000-000069E50000}"/>
    <cellStyle name="Normal 2 4 9 14 2 6 2" xfId="60124" xr:uid="{00000000-0005-0000-0000-00006AE50000}"/>
    <cellStyle name="Normal 2 4 9 14 2 7" xfId="60125" xr:uid="{00000000-0005-0000-0000-00006BE50000}"/>
    <cellStyle name="Normal 2 4 9 14 2 7 2" xfId="60126" xr:uid="{00000000-0005-0000-0000-00006CE50000}"/>
    <cellStyle name="Normal 2 4 9 14 2 8" xfId="60127" xr:uid="{00000000-0005-0000-0000-00006DE50000}"/>
    <cellStyle name="Normal 2 4 9 14 2 9" xfId="60128" xr:uid="{00000000-0005-0000-0000-00006EE50000}"/>
    <cellStyle name="Normal 2 4 9 14 3" xfId="24533" xr:uid="{00000000-0005-0000-0000-00006FE50000}"/>
    <cellStyle name="Normal 2 4 9 14 3 2" xfId="24534" xr:uid="{00000000-0005-0000-0000-000070E50000}"/>
    <cellStyle name="Normal 2 4 9 14 3 2 2" xfId="24535" xr:uid="{00000000-0005-0000-0000-000071E50000}"/>
    <cellStyle name="Normal 2 4 9 14 3 2 2 2" xfId="60129" xr:uid="{00000000-0005-0000-0000-000072E50000}"/>
    <cellStyle name="Normal 2 4 9 14 3 2 3" xfId="24536" xr:uid="{00000000-0005-0000-0000-000073E50000}"/>
    <cellStyle name="Normal 2 4 9 14 3 2 3 2" xfId="60130" xr:uid="{00000000-0005-0000-0000-000074E50000}"/>
    <cellStyle name="Normal 2 4 9 14 3 2 4" xfId="60131" xr:uid="{00000000-0005-0000-0000-000075E50000}"/>
    <cellStyle name="Normal 2 4 9 14 3 3" xfId="24537" xr:uid="{00000000-0005-0000-0000-000076E50000}"/>
    <cellStyle name="Normal 2 4 9 14 3 3 2" xfId="60132" xr:uid="{00000000-0005-0000-0000-000077E50000}"/>
    <cellStyle name="Normal 2 4 9 14 3 4" xfId="24538" xr:uid="{00000000-0005-0000-0000-000078E50000}"/>
    <cellStyle name="Normal 2 4 9 14 3 4 2" xfId="60133" xr:uid="{00000000-0005-0000-0000-000079E50000}"/>
    <cellStyle name="Normal 2 4 9 14 3 5" xfId="24539" xr:uid="{00000000-0005-0000-0000-00007AE50000}"/>
    <cellStyle name="Normal 2 4 9 14 3 5 2" xfId="60134" xr:uid="{00000000-0005-0000-0000-00007BE50000}"/>
    <cellStyle name="Normal 2 4 9 14 3 6" xfId="60135" xr:uid="{00000000-0005-0000-0000-00007CE50000}"/>
    <cellStyle name="Normal 2 4 9 14 3 6 2" xfId="60136" xr:uid="{00000000-0005-0000-0000-00007DE50000}"/>
    <cellStyle name="Normal 2 4 9 14 3 7" xfId="60137" xr:uid="{00000000-0005-0000-0000-00007EE50000}"/>
    <cellStyle name="Normal 2 4 9 14 4" xfId="24540" xr:uid="{00000000-0005-0000-0000-00007FE50000}"/>
    <cellStyle name="Normal 2 4 9 14 4 2" xfId="24541" xr:uid="{00000000-0005-0000-0000-000080E50000}"/>
    <cellStyle name="Normal 2 4 9 14 4 2 2" xfId="60138" xr:uid="{00000000-0005-0000-0000-000081E50000}"/>
    <cellStyle name="Normal 2 4 9 14 4 3" xfId="24542" xr:uid="{00000000-0005-0000-0000-000082E50000}"/>
    <cellStyle name="Normal 2 4 9 14 4 3 2" xfId="60139" xr:uid="{00000000-0005-0000-0000-000083E50000}"/>
    <cellStyle name="Normal 2 4 9 14 4 4" xfId="60140" xr:uid="{00000000-0005-0000-0000-000084E50000}"/>
    <cellStyle name="Normal 2 4 9 14 5" xfId="24543" xr:uid="{00000000-0005-0000-0000-000085E50000}"/>
    <cellStyle name="Normal 2 4 9 14 5 2" xfId="24544" xr:uid="{00000000-0005-0000-0000-000086E50000}"/>
    <cellStyle name="Normal 2 4 9 14 5 2 2" xfId="60141" xr:uid="{00000000-0005-0000-0000-000087E50000}"/>
    <cellStyle name="Normal 2 4 9 14 5 3" xfId="60142" xr:uid="{00000000-0005-0000-0000-000088E50000}"/>
    <cellStyle name="Normal 2 4 9 14 6" xfId="24545" xr:uid="{00000000-0005-0000-0000-000089E50000}"/>
    <cellStyle name="Normal 2 4 9 14 6 2" xfId="60143" xr:uid="{00000000-0005-0000-0000-00008AE50000}"/>
    <cellStyle name="Normal 2 4 9 14 7" xfId="24546" xr:uid="{00000000-0005-0000-0000-00008BE50000}"/>
    <cellStyle name="Normal 2 4 9 14 7 2" xfId="60144" xr:uid="{00000000-0005-0000-0000-00008CE50000}"/>
    <cellStyle name="Normal 2 4 9 14 8" xfId="60145" xr:uid="{00000000-0005-0000-0000-00008DE50000}"/>
    <cellStyle name="Normal 2 4 9 14 8 2" xfId="60146" xr:uid="{00000000-0005-0000-0000-00008EE50000}"/>
    <cellStyle name="Normal 2 4 9 14 9" xfId="60147" xr:uid="{00000000-0005-0000-0000-00008FE50000}"/>
    <cellStyle name="Normal 2 4 9 15" xfId="24547" xr:uid="{00000000-0005-0000-0000-000090E50000}"/>
    <cellStyle name="Normal 2 4 9 15 10" xfId="60148" xr:uid="{00000000-0005-0000-0000-000091E50000}"/>
    <cellStyle name="Normal 2 4 9 15 11" xfId="60149" xr:uid="{00000000-0005-0000-0000-000092E50000}"/>
    <cellStyle name="Normal 2 4 9 15 2" xfId="24548" xr:uid="{00000000-0005-0000-0000-000093E50000}"/>
    <cellStyle name="Normal 2 4 9 15 2 10" xfId="60150" xr:uid="{00000000-0005-0000-0000-000094E50000}"/>
    <cellStyle name="Normal 2 4 9 15 2 2" xfId="24549" xr:uid="{00000000-0005-0000-0000-000095E50000}"/>
    <cellStyle name="Normal 2 4 9 15 2 2 2" xfId="24550" xr:uid="{00000000-0005-0000-0000-000096E50000}"/>
    <cellStyle name="Normal 2 4 9 15 2 2 2 2" xfId="24551" xr:uid="{00000000-0005-0000-0000-000097E50000}"/>
    <cellStyle name="Normal 2 4 9 15 2 2 2 2 2" xfId="60151" xr:uid="{00000000-0005-0000-0000-000098E50000}"/>
    <cellStyle name="Normal 2 4 9 15 2 2 2 3" xfId="24552" xr:uid="{00000000-0005-0000-0000-000099E50000}"/>
    <cellStyle name="Normal 2 4 9 15 2 2 2 3 2" xfId="60152" xr:uid="{00000000-0005-0000-0000-00009AE50000}"/>
    <cellStyle name="Normal 2 4 9 15 2 2 2 4" xfId="60153" xr:uid="{00000000-0005-0000-0000-00009BE50000}"/>
    <cellStyle name="Normal 2 4 9 15 2 2 3" xfId="24553" xr:uid="{00000000-0005-0000-0000-00009CE50000}"/>
    <cellStyle name="Normal 2 4 9 15 2 2 3 2" xfId="60154" xr:uid="{00000000-0005-0000-0000-00009DE50000}"/>
    <cellStyle name="Normal 2 4 9 15 2 2 4" xfId="24554" xr:uid="{00000000-0005-0000-0000-00009EE50000}"/>
    <cellStyle name="Normal 2 4 9 15 2 2 4 2" xfId="60155" xr:uid="{00000000-0005-0000-0000-00009FE50000}"/>
    <cellStyle name="Normal 2 4 9 15 2 2 5" xfId="24555" xr:uid="{00000000-0005-0000-0000-0000A0E50000}"/>
    <cellStyle name="Normal 2 4 9 15 2 2 5 2" xfId="60156" xr:uid="{00000000-0005-0000-0000-0000A1E50000}"/>
    <cellStyle name="Normal 2 4 9 15 2 2 6" xfId="60157" xr:uid="{00000000-0005-0000-0000-0000A2E50000}"/>
    <cellStyle name="Normal 2 4 9 15 2 2 6 2" xfId="60158" xr:uid="{00000000-0005-0000-0000-0000A3E50000}"/>
    <cellStyle name="Normal 2 4 9 15 2 2 7" xfId="60159" xr:uid="{00000000-0005-0000-0000-0000A4E50000}"/>
    <cellStyle name="Normal 2 4 9 15 2 3" xfId="24556" xr:uid="{00000000-0005-0000-0000-0000A5E50000}"/>
    <cellStyle name="Normal 2 4 9 15 2 3 2" xfId="24557" xr:uid="{00000000-0005-0000-0000-0000A6E50000}"/>
    <cellStyle name="Normal 2 4 9 15 2 3 2 2" xfId="60160" xr:uid="{00000000-0005-0000-0000-0000A7E50000}"/>
    <cellStyle name="Normal 2 4 9 15 2 3 3" xfId="24558" xr:uid="{00000000-0005-0000-0000-0000A8E50000}"/>
    <cellStyle name="Normal 2 4 9 15 2 3 3 2" xfId="60161" xr:uid="{00000000-0005-0000-0000-0000A9E50000}"/>
    <cellStyle name="Normal 2 4 9 15 2 3 4" xfId="60162" xr:uid="{00000000-0005-0000-0000-0000AAE50000}"/>
    <cellStyle name="Normal 2 4 9 15 2 4" xfId="24559" xr:uid="{00000000-0005-0000-0000-0000ABE50000}"/>
    <cellStyle name="Normal 2 4 9 15 2 4 2" xfId="24560" xr:uid="{00000000-0005-0000-0000-0000ACE50000}"/>
    <cellStyle name="Normal 2 4 9 15 2 4 2 2" xfId="60163" xr:uid="{00000000-0005-0000-0000-0000ADE50000}"/>
    <cellStyle name="Normal 2 4 9 15 2 4 3" xfId="60164" xr:uid="{00000000-0005-0000-0000-0000AEE50000}"/>
    <cellStyle name="Normal 2 4 9 15 2 5" xfId="24561" xr:uid="{00000000-0005-0000-0000-0000AFE50000}"/>
    <cellStyle name="Normal 2 4 9 15 2 5 2" xfId="60165" xr:uid="{00000000-0005-0000-0000-0000B0E50000}"/>
    <cellStyle name="Normal 2 4 9 15 2 6" xfId="24562" xr:uid="{00000000-0005-0000-0000-0000B1E50000}"/>
    <cellStyle name="Normal 2 4 9 15 2 6 2" xfId="60166" xr:uid="{00000000-0005-0000-0000-0000B2E50000}"/>
    <cellStyle name="Normal 2 4 9 15 2 7" xfId="60167" xr:uid="{00000000-0005-0000-0000-0000B3E50000}"/>
    <cellStyle name="Normal 2 4 9 15 2 7 2" xfId="60168" xr:uid="{00000000-0005-0000-0000-0000B4E50000}"/>
    <cellStyle name="Normal 2 4 9 15 2 8" xfId="60169" xr:uid="{00000000-0005-0000-0000-0000B5E50000}"/>
    <cellStyle name="Normal 2 4 9 15 2 9" xfId="60170" xr:uid="{00000000-0005-0000-0000-0000B6E50000}"/>
    <cellStyle name="Normal 2 4 9 15 3" xfId="24563" xr:uid="{00000000-0005-0000-0000-0000B7E50000}"/>
    <cellStyle name="Normal 2 4 9 15 3 2" xfId="24564" xr:uid="{00000000-0005-0000-0000-0000B8E50000}"/>
    <cellStyle name="Normal 2 4 9 15 3 2 2" xfId="24565" xr:uid="{00000000-0005-0000-0000-0000B9E50000}"/>
    <cellStyle name="Normal 2 4 9 15 3 2 2 2" xfId="60171" xr:uid="{00000000-0005-0000-0000-0000BAE50000}"/>
    <cellStyle name="Normal 2 4 9 15 3 2 3" xfId="24566" xr:uid="{00000000-0005-0000-0000-0000BBE50000}"/>
    <cellStyle name="Normal 2 4 9 15 3 2 3 2" xfId="60172" xr:uid="{00000000-0005-0000-0000-0000BCE50000}"/>
    <cellStyle name="Normal 2 4 9 15 3 2 4" xfId="60173" xr:uid="{00000000-0005-0000-0000-0000BDE50000}"/>
    <cellStyle name="Normal 2 4 9 15 3 3" xfId="24567" xr:uid="{00000000-0005-0000-0000-0000BEE50000}"/>
    <cellStyle name="Normal 2 4 9 15 3 3 2" xfId="60174" xr:uid="{00000000-0005-0000-0000-0000BFE50000}"/>
    <cellStyle name="Normal 2 4 9 15 3 4" xfId="24568" xr:uid="{00000000-0005-0000-0000-0000C0E50000}"/>
    <cellStyle name="Normal 2 4 9 15 3 4 2" xfId="60175" xr:uid="{00000000-0005-0000-0000-0000C1E50000}"/>
    <cellStyle name="Normal 2 4 9 15 3 5" xfId="24569" xr:uid="{00000000-0005-0000-0000-0000C2E50000}"/>
    <cellStyle name="Normal 2 4 9 15 3 5 2" xfId="60176" xr:uid="{00000000-0005-0000-0000-0000C3E50000}"/>
    <cellStyle name="Normal 2 4 9 15 3 6" xfId="60177" xr:uid="{00000000-0005-0000-0000-0000C4E50000}"/>
    <cellStyle name="Normal 2 4 9 15 3 6 2" xfId="60178" xr:uid="{00000000-0005-0000-0000-0000C5E50000}"/>
    <cellStyle name="Normal 2 4 9 15 3 7" xfId="60179" xr:uid="{00000000-0005-0000-0000-0000C6E50000}"/>
    <cellStyle name="Normal 2 4 9 15 4" xfId="24570" xr:uid="{00000000-0005-0000-0000-0000C7E50000}"/>
    <cellStyle name="Normal 2 4 9 15 4 2" xfId="24571" xr:uid="{00000000-0005-0000-0000-0000C8E50000}"/>
    <cellStyle name="Normal 2 4 9 15 4 2 2" xfId="60180" xr:uid="{00000000-0005-0000-0000-0000C9E50000}"/>
    <cellStyle name="Normal 2 4 9 15 4 3" xfId="24572" xr:uid="{00000000-0005-0000-0000-0000CAE50000}"/>
    <cellStyle name="Normal 2 4 9 15 4 3 2" xfId="60181" xr:uid="{00000000-0005-0000-0000-0000CBE50000}"/>
    <cellStyle name="Normal 2 4 9 15 4 4" xfId="60182" xr:uid="{00000000-0005-0000-0000-0000CCE50000}"/>
    <cellStyle name="Normal 2 4 9 15 5" xfId="24573" xr:uid="{00000000-0005-0000-0000-0000CDE50000}"/>
    <cellStyle name="Normal 2 4 9 15 5 2" xfId="24574" xr:uid="{00000000-0005-0000-0000-0000CEE50000}"/>
    <cellStyle name="Normal 2 4 9 15 5 2 2" xfId="60183" xr:uid="{00000000-0005-0000-0000-0000CFE50000}"/>
    <cellStyle name="Normal 2 4 9 15 5 3" xfId="60184" xr:uid="{00000000-0005-0000-0000-0000D0E50000}"/>
    <cellStyle name="Normal 2 4 9 15 6" xfId="24575" xr:uid="{00000000-0005-0000-0000-0000D1E50000}"/>
    <cellStyle name="Normal 2 4 9 15 6 2" xfId="60185" xr:uid="{00000000-0005-0000-0000-0000D2E50000}"/>
    <cellStyle name="Normal 2 4 9 15 7" xfId="24576" xr:uid="{00000000-0005-0000-0000-0000D3E50000}"/>
    <cellStyle name="Normal 2 4 9 15 7 2" xfId="60186" xr:uid="{00000000-0005-0000-0000-0000D4E50000}"/>
    <cellStyle name="Normal 2 4 9 15 8" xfId="60187" xr:uid="{00000000-0005-0000-0000-0000D5E50000}"/>
    <cellStyle name="Normal 2 4 9 15 8 2" xfId="60188" xr:uid="{00000000-0005-0000-0000-0000D6E50000}"/>
    <cellStyle name="Normal 2 4 9 15 9" xfId="60189" xr:uid="{00000000-0005-0000-0000-0000D7E50000}"/>
    <cellStyle name="Normal 2 4 9 16" xfId="24577" xr:uid="{00000000-0005-0000-0000-0000D8E50000}"/>
    <cellStyle name="Normal 2 4 9 16 10" xfId="60190" xr:uid="{00000000-0005-0000-0000-0000D9E50000}"/>
    <cellStyle name="Normal 2 4 9 16 11" xfId="60191" xr:uid="{00000000-0005-0000-0000-0000DAE50000}"/>
    <cellStyle name="Normal 2 4 9 16 2" xfId="24578" xr:uid="{00000000-0005-0000-0000-0000DBE50000}"/>
    <cellStyle name="Normal 2 4 9 16 2 10" xfId="60192" xr:uid="{00000000-0005-0000-0000-0000DCE50000}"/>
    <cellStyle name="Normal 2 4 9 16 2 2" xfId="24579" xr:uid="{00000000-0005-0000-0000-0000DDE50000}"/>
    <cellStyle name="Normal 2 4 9 16 2 2 2" xfId="24580" xr:uid="{00000000-0005-0000-0000-0000DEE50000}"/>
    <cellStyle name="Normal 2 4 9 16 2 2 2 2" xfId="24581" xr:uid="{00000000-0005-0000-0000-0000DFE50000}"/>
    <cellStyle name="Normal 2 4 9 16 2 2 2 2 2" xfId="60193" xr:uid="{00000000-0005-0000-0000-0000E0E50000}"/>
    <cellStyle name="Normal 2 4 9 16 2 2 2 3" xfId="24582" xr:uid="{00000000-0005-0000-0000-0000E1E50000}"/>
    <cellStyle name="Normal 2 4 9 16 2 2 2 3 2" xfId="60194" xr:uid="{00000000-0005-0000-0000-0000E2E50000}"/>
    <cellStyle name="Normal 2 4 9 16 2 2 2 4" xfId="60195" xr:uid="{00000000-0005-0000-0000-0000E3E50000}"/>
    <cellStyle name="Normal 2 4 9 16 2 2 3" xfId="24583" xr:uid="{00000000-0005-0000-0000-0000E4E50000}"/>
    <cellStyle name="Normal 2 4 9 16 2 2 3 2" xfId="60196" xr:uid="{00000000-0005-0000-0000-0000E5E50000}"/>
    <cellStyle name="Normal 2 4 9 16 2 2 4" xfId="24584" xr:uid="{00000000-0005-0000-0000-0000E6E50000}"/>
    <cellStyle name="Normal 2 4 9 16 2 2 4 2" xfId="60197" xr:uid="{00000000-0005-0000-0000-0000E7E50000}"/>
    <cellStyle name="Normal 2 4 9 16 2 2 5" xfId="24585" xr:uid="{00000000-0005-0000-0000-0000E8E50000}"/>
    <cellStyle name="Normal 2 4 9 16 2 2 5 2" xfId="60198" xr:uid="{00000000-0005-0000-0000-0000E9E50000}"/>
    <cellStyle name="Normal 2 4 9 16 2 2 6" xfId="60199" xr:uid="{00000000-0005-0000-0000-0000EAE50000}"/>
    <cellStyle name="Normal 2 4 9 16 2 2 6 2" xfId="60200" xr:uid="{00000000-0005-0000-0000-0000EBE50000}"/>
    <cellStyle name="Normal 2 4 9 16 2 2 7" xfId="60201" xr:uid="{00000000-0005-0000-0000-0000ECE50000}"/>
    <cellStyle name="Normal 2 4 9 16 2 3" xfId="24586" xr:uid="{00000000-0005-0000-0000-0000EDE50000}"/>
    <cellStyle name="Normal 2 4 9 16 2 3 2" xfId="24587" xr:uid="{00000000-0005-0000-0000-0000EEE50000}"/>
    <cellStyle name="Normal 2 4 9 16 2 3 2 2" xfId="60202" xr:uid="{00000000-0005-0000-0000-0000EFE50000}"/>
    <cellStyle name="Normal 2 4 9 16 2 3 3" xfId="24588" xr:uid="{00000000-0005-0000-0000-0000F0E50000}"/>
    <cellStyle name="Normal 2 4 9 16 2 3 3 2" xfId="60203" xr:uid="{00000000-0005-0000-0000-0000F1E50000}"/>
    <cellStyle name="Normal 2 4 9 16 2 3 4" xfId="60204" xr:uid="{00000000-0005-0000-0000-0000F2E50000}"/>
    <cellStyle name="Normal 2 4 9 16 2 4" xfId="24589" xr:uid="{00000000-0005-0000-0000-0000F3E50000}"/>
    <cellStyle name="Normal 2 4 9 16 2 4 2" xfId="24590" xr:uid="{00000000-0005-0000-0000-0000F4E50000}"/>
    <cellStyle name="Normal 2 4 9 16 2 4 2 2" xfId="60205" xr:uid="{00000000-0005-0000-0000-0000F5E50000}"/>
    <cellStyle name="Normal 2 4 9 16 2 4 3" xfId="60206" xr:uid="{00000000-0005-0000-0000-0000F6E50000}"/>
    <cellStyle name="Normal 2 4 9 16 2 5" xfId="24591" xr:uid="{00000000-0005-0000-0000-0000F7E50000}"/>
    <cellStyle name="Normal 2 4 9 16 2 5 2" xfId="60207" xr:uid="{00000000-0005-0000-0000-0000F8E50000}"/>
    <cellStyle name="Normal 2 4 9 16 2 6" xfId="24592" xr:uid="{00000000-0005-0000-0000-0000F9E50000}"/>
    <cellStyle name="Normal 2 4 9 16 2 6 2" xfId="60208" xr:uid="{00000000-0005-0000-0000-0000FAE50000}"/>
    <cellStyle name="Normal 2 4 9 16 2 7" xfId="60209" xr:uid="{00000000-0005-0000-0000-0000FBE50000}"/>
    <cellStyle name="Normal 2 4 9 16 2 7 2" xfId="60210" xr:uid="{00000000-0005-0000-0000-0000FCE50000}"/>
    <cellStyle name="Normal 2 4 9 16 2 8" xfId="60211" xr:uid="{00000000-0005-0000-0000-0000FDE50000}"/>
    <cellStyle name="Normal 2 4 9 16 2 9" xfId="60212" xr:uid="{00000000-0005-0000-0000-0000FEE50000}"/>
    <cellStyle name="Normal 2 4 9 16 3" xfId="24593" xr:uid="{00000000-0005-0000-0000-0000FFE50000}"/>
    <cellStyle name="Normal 2 4 9 16 3 2" xfId="24594" xr:uid="{00000000-0005-0000-0000-000000E60000}"/>
    <cellStyle name="Normal 2 4 9 16 3 2 2" xfId="24595" xr:uid="{00000000-0005-0000-0000-000001E60000}"/>
    <cellStyle name="Normal 2 4 9 16 3 2 2 2" xfId="60213" xr:uid="{00000000-0005-0000-0000-000002E60000}"/>
    <cellStyle name="Normal 2 4 9 16 3 2 3" xfId="24596" xr:uid="{00000000-0005-0000-0000-000003E60000}"/>
    <cellStyle name="Normal 2 4 9 16 3 2 3 2" xfId="60214" xr:uid="{00000000-0005-0000-0000-000004E60000}"/>
    <cellStyle name="Normal 2 4 9 16 3 2 4" xfId="60215" xr:uid="{00000000-0005-0000-0000-000005E60000}"/>
    <cellStyle name="Normal 2 4 9 16 3 3" xfId="24597" xr:uid="{00000000-0005-0000-0000-000006E60000}"/>
    <cellStyle name="Normal 2 4 9 16 3 3 2" xfId="60216" xr:uid="{00000000-0005-0000-0000-000007E60000}"/>
    <cellStyle name="Normal 2 4 9 16 3 4" xfId="24598" xr:uid="{00000000-0005-0000-0000-000008E60000}"/>
    <cellStyle name="Normal 2 4 9 16 3 4 2" xfId="60217" xr:uid="{00000000-0005-0000-0000-000009E60000}"/>
    <cellStyle name="Normal 2 4 9 16 3 5" xfId="24599" xr:uid="{00000000-0005-0000-0000-00000AE60000}"/>
    <cellStyle name="Normal 2 4 9 16 3 5 2" xfId="60218" xr:uid="{00000000-0005-0000-0000-00000BE60000}"/>
    <cellStyle name="Normal 2 4 9 16 3 6" xfId="60219" xr:uid="{00000000-0005-0000-0000-00000CE60000}"/>
    <cellStyle name="Normal 2 4 9 16 3 6 2" xfId="60220" xr:uid="{00000000-0005-0000-0000-00000DE60000}"/>
    <cellStyle name="Normal 2 4 9 16 3 7" xfId="60221" xr:uid="{00000000-0005-0000-0000-00000EE60000}"/>
    <cellStyle name="Normal 2 4 9 16 4" xfId="24600" xr:uid="{00000000-0005-0000-0000-00000FE60000}"/>
    <cellStyle name="Normal 2 4 9 16 4 2" xfId="24601" xr:uid="{00000000-0005-0000-0000-000010E60000}"/>
    <cellStyle name="Normal 2 4 9 16 4 2 2" xfId="60222" xr:uid="{00000000-0005-0000-0000-000011E60000}"/>
    <cellStyle name="Normal 2 4 9 16 4 3" xfId="24602" xr:uid="{00000000-0005-0000-0000-000012E60000}"/>
    <cellStyle name="Normal 2 4 9 16 4 3 2" xfId="60223" xr:uid="{00000000-0005-0000-0000-000013E60000}"/>
    <cellStyle name="Normal 2 4 9 16 4 4" xfId="60224" xr:uid="{00000000-0005-0000-0000-000014E60000}"/>
    <cellStyle name="Normal 2 4 9 16 5" xfId="24603" xr:uid="{00000000-0005-0000-0000-000015E60000}"/>
    <cellStyle name="Normal 2 4 9 16 5 2" xfId="24604" xr:uid="{00000000-0005-0000-0000-000016E60000}"/>
    <cellStyle name="Normal 2 4 9 16 5 2 2" xfId="60225" xr:uid="{00000000-0005-0000-0000-000017E60000}"/>
    <cellStyle name="Normal 2 4 9 16 5 3" xfId="60226" xr:uid="{00000000-0005-0000-0000-000018E60000}"/>
    <cellStyle name="Normal 2 4 9 16 6" xfId="24605" xr:uid="{00000000-0005-0000-0000-000019E60000}"/>
    <cellStyle name="Normal 2 4 9 16 6 2" xfId="60227" xr:uid="{00000000-0005-0000-0000-00001AE60000}"/>
    <cellStyle name="Normal 2 4 9 16 7" xfId="24606" xr:uid="{00000000-0005-0000-0000-00001BE60000}"/>
    <cellStyle name="Normal 2 4 9 16 7 2" xfId="60228" xr:uid="{00000000-0005-0000-0000-00001CE60000}"/>
    <cellStyle name="Normal 2 4 9 16 8" xfId="60229" xr:uid="{00000000-0005-0000-0000-00001DE60000}"/>
    <cellStyle name="Normal 2 4 9 16 8 2" xfId="60230" xr:uid="{00000000-0005-0000-0000-00001EE60000}"/>
    <cellStyle name="Normal 2 4 9 16 9" xfId="60231" xr:uid="{00000000-0005-0000-0000-00001FE60000}"/>
    <cellStyle name="Normal 2 4 9 17" xfId="24607" xr:uid="{00000000-0005-0000-0000-000020E60000}"/>
    <cellStyle name="Normal 2 4 9 17 10" xfId="60232" xr:uid="{00000000-0005-0000-0000-000021E60000}"/>
    <cellStyle name="Normal 2 4 9 17 11" xfId="60233" xr:uid="{00000000-0005-0000-0000-000022E60000}"/>
    <cellStyle name="Normal 2 4 9 17 2" xfId="24608" xr:uid="{00000000-0005-0000-0000-000023E60000}"/>
    <cellStyle name="Normal 2 4 9 17 2 10" xfId="60234" xr:uid="{00000000-0005-0000-0000-000024E60000}"/>
    <cellStyle name="Normal 2 4 9 17 2 2" xfId="24609" xr:uid="{00000000-0005-0000-0000-000025E60000}"/>
    <cellStyle name="Normal 2 4 9 17 2 2 2" xfId="24610" xr:uid="{00000000-0005-0000-0000-000026E60000}"/>
    <cellStyle name="Normal 2 4 9 17 2 2 2 2" xfId="24611" xr:uid="{00000000-0005-0000-0000-000027E60000}"/>
    <cellStyle name="Normal 2 4 9 17 2 2 2 2 2" xfId="60235" xr:uid="{00000000-0005-0000-0000-000028E60000}"/>
    <cellStyle name="Normal 2 4 9 17 2 2 2 3" xfId="24612" xr:uid="{00000000-0005-0000-0000-000029E60000}"/>
    <cellStyle name="Normal 2 4 9 17 2 2 2 3 2" xfId="60236" xr:uid="{00000000-0005-0000-0000-00002AE60000}"/>
    <cellStyle name="Normal 2 4 9 17 2 2 2 4" xfId="60237" xr:uid="{00000000-0005-0000-0000-00002BE60000}"/>
    <cellStyle name="Normal 2 4 9 17 2 2 3" xfId="24613" xr:uid="{00000000-0005-0000-0000-00002CE60000}"/>
    <cellStyle name="Normal 2 4 9 17 2 2 3 2" xfId="60238" xr:uid="{00000000-0005-0000-0000-00002DE60000}"/>
    <cellStyle name="Normal 2 4 9 17 2 2 4" xfId="24614" xr:uid="{00000000-0005-0000-0000-00002EE60000}"/>
    <cellStyle name="Normal 2 4 9 17 2 2 4 2" xfId="60239" xr:uid="{00000000-0005-0000-0000-00002FE60000}"/>
    <cellStyle name="Normal 2 4 9 17 2 2 5" xfId="24615" xr:uid="{00000000-0005-0000-0000-000030E60000}"/>
    <cellStyle name="Normal 2 4 9 17 2 2 5 2" xfId="60240" xr:uid="{00000000-0005-0000-0000-000031E60000}"/>
    <cellStyle name="Normal 2 4 9 17 2 2 6" xfId="60241" xr:uid="{00000000-0005-0000-0000-000032E60000}"/>
    <cellStyle name="Normal 2 4 9 17 2 2 6 2" xfId="60242" xr:uid="{00000000-0005-0000-0000-000033E60000}"/>
    <cellStyle name="Normal 2 4 9 17 2 2 7" xfId="60243" xr:uid="{00000000-0005-0000-0000-000034E60000}"/>
    <cellStyle name="Normal 2 4 9 17 2 3" xfId="24616" xr:uid="{00000000-0005-0000-0000-000035E60000}"/>
    <cellStyle name="Normal 2 4 9 17 2 3 2" xfId="24617" xr:uid="{00000000-0005-0000-0000-000036E60000}"/>
    <cellStyle name="Normal 2 4 9 17 2 3 2 2" xfId="60244" xr:uid="{00000000-0005-0000-0000-000037E60000}"/>
    <cellStyle name="Normal 2 4 9 17 2 3 3" xfId="24618" xr:uid="{00000000-0005-0000-0000-000038E60000}"/>
    <cellStyle name="Normal 2 4 9 17 2 3 3 2" xfId="60245" xr:uid="{00000000-0005-0000-0000-000039E60000}"/>
    <cellStyle name="Normal 2 4 9 17 2 3 4" xfId="60246" xr:uid="{00000000-0005-0000-0000-00003AE60000}"/>
    <cellStyle name="Normal 2 4 9 17 2 4" xfId="24619" xr:uid="{00000000-0005-0000-0000-00003BE60000}"/>
    <cellStyle name="Normal 2 4 9 17 2 4 2" xfId="24620" xr:uid="{00000000-0005-0000-0000-00003CE60000}"/>
    <cellStyle name="Normal 2 4 9 17 2 4 2 2" xfId="60247" xr:uid="{00000000-0005-0000-0000-00003DE60000}"/>
    <cellStyle name="Normal 2 4 9 17 2 4 3" xfId="60248" xr:uid="{00000000-0005-0000-0000-00003EE60000}"/>
    <cellStyle name="Normal 2 4 9 17 2 5" xfId="24621" xr:uid="{00000000-0005-0000-0000-00003FE60000}"/>
    <cellStyle name="Normal 2 4 9 17 2 5 2" xfId="60249" xr:uid="{00000000-0005-0000-0000-000040E60000}"/>
    <cellStyle name="Normal 2 4 9 17 2 6" xfId="24622" xr:uid="{00000000-0005-0000-0000-000041E60000}"/>
    <cellStyle name="Normal 2 4 9 17 2 6 2" xfId="60250" xr:uid="{00000000-0005-0000-0000-000042E60000}"/>
    <cellStyle name="Normal 2 4 9 17 2 7" xfId="60251" xr:uid="{00000000-0005-0000-0000-000043E60000}"/>
    <cellStyle name="Normal 2 4 9 17 2 7 2" xfId="60252" xr:uid="{00000000-0005-0000-0000-000044E60000}"/>
    <cellStyle name="Normal 2 4 9 17 2 8" xfId="60253" xr:uid="{00000000-0005-0000-0000-000045E60000}"/>
    <cellStyle name="Normal 2 4 9 17 2 9" xfId="60254" xr:uid="{00000000-0005-0000-0000-000046E60000}"/>
    <cellStyle name="Normal 2 4 9 17 3" xfId="24623" xr:uid="{00000000-0005-0000-0000-000047E60000}"/>
    <cellStyle name="Normal 2 4 9 17 3 2" xfId="24624" xr:uid="{00000000-0005-0000-0000-000048E60000}"/>
    <cellStyle name="Normal 2 4 9 17 3 2 2" xfId="24625" xr:uid="{00000000-0005-0000-0000-000049E60000}"/>
    <cellStyle name="Normal 2 4 9 17 3 2 2 2" xfId="60255" xr:uid="{00000000-0005-0000-0000-00004AE60000}"/>
    <cellStyle name="Normal 2 4 9 17 3 2 3" xfId="24626" xr:uid="{00000000-0005-0000-0000-00004BE60000}"/>
    <cellStyle name="Normal 2 4 9 17 3 2 3 2" xfId="60256" xr:uid="{00000000-0005-0000-0000-00004CE60000}"/>
    <cellStyle name="Normal 2 4 9 17 3 2 4" xfId="60257" xr:uid="{00000000-0005-0000-0000-00004DE60000}"/>
    <cellStyle name="Normal 2 4 9 17 3 3" xfId="24627" xr:uid="{00000000-0005-0000-0000-00004EE60000}"/>
    <cellStyle name="Normal 2 4 9 17 3 3 2" xfId="60258" xr:uid="{00000000-0005-0000-0000-00004FE60000}"/>
    <cellStyle name="Normal 2 4 9 17 3 4" xfId="24628" xr:uid="{00000000-0005-0000-0000-000050E60000}"/>
    <cellStyle name="Normal 2 4 9 17 3 4 2" xfId="60259" xr:uid="{00000000-0005-0000-0000-000051E60000}"/>
    <cellStyle name="Normal 2 4 9 17 3 5" xfId="24629" xr:uid="{00000000-0005-0000-0000-000052E60000}"/>
    <cellStyle name="Normal 2 4 9 17 3 5 2" xfId="60260" xr:uid="{00000000-0005-0000-0000-000053E60000}"/>
    <cellStyle name="Normal 2 4 9 17 3 6" xfId="60261" xr:uid="{00000000-0005-0000-0000-000054E60000}"/>
    <cellStyle name="Normal 2 4 9 17 3 6 2" xfId="60262" xr:uid="{00000000-0005-0000-0000-000055E60000}"/>
    <cellStyle name="Normal 2 4 9 17 3 7" xfId="60263" xr:uid="{00000000-0005-0000-0000-000056E60000}"/>
    <cellStyle name="Normal 2 4 9 17 4" xfId="24630" xr:uid="{00000000-0005-0000-0000-000057E60000}"/>
    <cellStyle name="Normal 2 4 9 17 4 2" xfId="24631" xr:uid="{00000000-0005-0000-0000-000058E60000}"/>
    <cellStyle name="Normal 2 4 9 17 4 2 2" xfId="60264" xr:uid="{00000000-0005-0000-0000-000059E60000}"/>
    <cellStyle name="Normal 2 4 9 17 4 3" xfId="24632" xr:uid="{00000000-0005-0000-0000-00005AE60000}"/>
    <cellStyle name="Normal 2 4 9 17 4 3 2" xfId="60265" xr:uid="{00000000-0005-0000-0000-00005BE60000}"/>
    <cellStyle name="Normal 2 4 9 17 4 4" xfId="60266" xr:uid="{00000000-0005-0000-0000-00005CE60000}"/>
    <cellStyle name="Normal 2 4 9 17 5" xfId="24633" xr:uid="{00000000-0005-0000-0000-00005DE60000}"/>
    <cellStyle name="Normal 2 4 9 17 5 2" xfId="24634" xr:uid="{00000000-0005-0000-0000-00005EE60000}"/>
    <cellStyle name="Normal 2 4 9 17 5 2 2" xfId="60267" xr:uid="{00000000-0005-0000-0000-00005FE60000}"/>
    <cellStyle name="Normal 2 4 9 17 5 3" xfId="60268" xr:uid="{00000000-0005-0000-0000-000060E60000}"/>
    <cellStyle name="Normal 2 4 9 17 6" xfId="24635" xr:uid="{00000000-0005-0000-0000-000061E60000}"/>
    <cellStyle name="Normal 2 4 9 17 6 2" xfId="60269" xr:uid="{00000000-0005-0000-0000-000062E60000}"/>
    <cellStyle name="Normal 2 4 9 17 7" xfId="24636" xr:uid="{00000000-0005-0000-0000-000063E60000}"/>
    <cellStyle name="Normal 2 4 9 17 7 2" xfId="60270" xr:uid="{00000000-0005-0000-0000-000064E60000}"/>
    <cellStyle name="Normal 2 4 9 17 8" xfId="60271" xr:uid="{00000000-0005-0000-0000-000065E60000}"/>
    <cellStyle name="Normal 2 4 9 17 8 2" xfId="60272" xr:uid="{00000000-0005-0000-0000-000066E60000}"/>
    <cellStyle name="Normal 2 4 9 17 9" xfId="60273" xr:uid="{00000000-0005-0000-0000-000067E60000}"/>
    <cellStyle name="Normal 2 4 9 18" xfId="24637" xr:uid="{00000000-0005-0000-0000-000068E60000}"/>
    <cellStyle name="Normal 2 4 9 18 10" xfId="60274" xr:uid="{00000000-0005-0000-0000-000069E60000}"/>
    <cellStyle name="Normal 2 4 9 18 11" xfId="60275" xr:uid="{00000000-0005-0000-0000-00006AE60000}"/>
    <cellStyle name="Normal 2 4 9 18 2" xfId="24638" xr:uid="{00000000-0005-0000-0000-00006BE60000}"/>
    <cellStyle name="Normal 2 4 9 18 2 10" xfId="60276" xr:uid="{00000000-0005-0000-0000-00006CE60000}"/>
    <cellStyle name="Normal 2 4 9 18 2 2" xfId="24639" xr:uid="{00000000-0005-0000-0000-00006DE60000}"/>
    <cellStyle name="Normal 2 4 9 18 2 2 2" xfId="24640" xr:uid="{00000000-0005-0000-0000-00006EE60000}"/>
    <cellStyle name="Normal 2 4 9 18 2 2 2 2" xfId="24641" xr:uid="{00000000-0005-0000-0000-00006FE60000}"/>
    <cellStyle name="Normal 2 4 9 18 2 2 2 2 2" xfId="60277" xr:uid="{00000000-0005-0000-0000-000070E60000}"/>
    <cellStyle name="Normal 2 4 9 18 2 2 2 3" xfId="24642" xr:uid="{00000000-0005-0000-0000-000071E60000}"/>
    <cellStyle name="Normal 2 4 9 18 2 2 2 3 2" xfId="60278" xr:uid="{00000000-0005-0000-0000-000072E60000}"/>
    <cellStyle name="Normal 2 4 9 18 2 2 2 4" xfId="60279" xr:uid="{00000000-0005-0000-0000-000073E60000}"/>
    <cellStyle name="Normal 2 4 9 18 2 2 3" xfId="24643" xr:uid="{00000000-0005-0000-0000-000074E60000}"/>
    <cellStyle name="Normal 2 4 9 18 2 2 3 2" xfId="60280" xr:uid="{00000000-0005-0000-0000-000075E60000}"/>
    <cellStyle name="Normal 2 4 9 18 2 2 4" xfId="24644" xr:uid="{00000000-0005-0000-0000-000076E60000}"/>
    <cellStyle name="Normal 2 4 9 18 2 2 4 2" xfId="60281" xr:uid="{00000000-0005-0000-0000-000077E60000}"/>
    <cellStyle name="Normal 2 4 9 18 2 2 5" xfId="24645" xr:uid="{00000000-0005-0000-0000-000078E60000}"/>
    <cellStyle name="Normal 2 4 9 18 2 2 5 2" xfId="60282" xr:uid="{00000000-0005-0000-0000-000079E60000}"/>
    <cellStyle name="Normal 2 4 9 18 2 2 6" xfId="60283" xr:uid="{00000000-0005-0000-0000-00007AE60000}"/>
    <cellStyle name="Normal 2 4 9 18 2 2 6 2" xfId="60284" xr:uid="{00000000-0005-0000-0000-00007BE60000}"/>
    <cellStyle name="Normal 2 4 9 18 2 2 7" xfId="60285" xr:uid="{00000000-0005-0000-0000-00007CE60000}"/>
    <cellStyle name="Normal 2 4 9 18 2 3" xfId="24646" xr:uid="{00000000-0005-0000-0000-00007DE60000}"/>
    <cellStyle name="Normal 2 4 9 18 2 3 2" xfId="24647" xr:uid="{00000000-0005-0000-0000-00007EE60000}"/>
    <cellStyle name="Normal 2 4 9 18 2 3 2 2" xfId="60286" xr:uid="{00000000-0005-0000-0000-00007FE60000}"/>
    <cellStyle name="Normal 2 4 9 18 2 3 3" xfId="24648" xr:uid="{00000000-0005-0000-0000-000080E60000}"/>
    <cellStyle name="Normal 2 4 9 18 2 3 3 2" xfId="60287" xr:uid="{00000000-0005-0000-0000-000081E60000}"/>
    <cellStyle name="Normal 2 4 9 18 2 3 4" xfId="60288" xr:uid="{00000000-0005-0000-0000-000082E60000}"/>
    <cellStyle name="Normal 2 4 9 18 2 4" xfId="24649" xr:uid="{00000000-0005-0000-0000-000083E60000}"/>
    <cellStyle name="Normal 2 4 9 18 2 4 2" xfId="24650" xr:uid="{00000000-0005-0000-0000-000084E60000}"/>
    <cellStyle name="Normal 2 4 9 18 2 4 2 2" xfId="60289" xr:uid="{00000000-0005-0000-0000-000085E60000}"/>
    <cellStyle name="Normal 2 4 9 18 2 4 3" xfId="60290" xr:uid="{00000000-0005-0000-0000-000086E60000}"/>
    <cellStyle name="Normal 2 4 9 18 2 5" xfId="24651" xr:uid="{00000000-0005-0000-0000-000087E60000}"/>
    <cellStyle name="Normal 2 4 9 18 2 5 2" xfId="60291" xr:uid="{00000000-0005-0000-0000-000088E60000}"/>
    <cellStyle name="Normal 2 4 9 18 2 6" xfId="24652" xr:uid="{00000000-0005-0000-0000-000089E60000}"/>
    <cellStyle name="Normal 2 4 9 18 2 6 2" xfId="60292" xr:uid="{00000000-0005-0000-0000-00008AE60000}"/>
    <cellStyle name="Normal 2 4 9 18 2 7" xfId="60293" xr:uid="{00000000-0005-0000-0000-00008BE60000}"/>
    <cellStyle name="Normal 2 4 9 18 2 7 2" xfId="60294" xr:uid="{00000000-0005-0000-0000-00008CE60000}"/>
    <cellStyle name="Normal 2 4 9 18 2 8" xfId="60295" xr:uid="{00000000-0005-0000-0000-00008DE60000}"/>
    <cellStyle name="Normal 2 4 9 18 2 9" xfId="60296" xr:uid="{00000000-0005-0000-0000-00008EE60000}"/>
    <cellStyle name="Normal 2 4 9 18 3" xfId="24653" xr:uid="{00000000-0005-0000-0000-00008FE60000}"/>
    <cellStyle name="Normal 2 4 9 18 3 2" xfId="24654" xr:uid="{00000000-0005-0000-0000-000090E60000}"/>
    <cellStyle name="Normal 2 4 9 18 3 2 2" xfId="24655" xr:uid="{00000000-0005-0000-0000-000091E60000}"/>
    <cellStyle name="Normal 2 4 9 18 3 2 2 2" xfId="60297" xr:uid="{00000000-0005-0000-0000-000092E60000}"/>
    <cellStyle name="Normal 2 4 9 18 3 2 3" xfId="24656" xr:uid="{00000000-0005-0000-0000-000093E60000}"/>
    <cellStyle name="Normal 2 4 9 18 3 2 3 2" xfId="60298" xr:uid="{00000000-0005-0000-0000-000094E60000}"/>
    <cellStyle name="Normal 2 4 9 18 3 2 4" xfId="60299" xr:uid="{00000000-0005-0000-0000-000095E60000}"/>
    <cellStyle name="Normal 2 4 9 18 3 3" xfId="24657" xr:uid="{00000000-0005-0000-0000-000096E60000}"/>
    <cellStyle name="Normal 2 4 9 18 3 3 2" xfId="60300" xr:uid="{00000000-0005-0000-0000-000097E60000}"/>
    <cellStyle name="Normal 2 4 9 18 3 4" xfId="24658" xr:uid="{00000000-0005-0000-0000-000098E60000}"/>
    <cellStyle name="Normal 2 4 9 18 3 4 2" xfId="60301" xr:uid="{00000000-0005-0000-0000-000099E60000}"/>
    <cellStyle name="Normal 2 4 9 18 3 5" xfId="24659" xr:uid="{00000000-0005-0000-0000-00009AE60000}"/>
    <cellStyle name="Normal 2 4 9 18 3 5 2" xfId="60302" xr:uid="{00000000-0005-0000-0000-00009BE60000}"/>
    <cellStyle name="Normal 2 4 9 18 3 6" xfId="60303" xr:uid="{00000000-0005-0000-0000-00009CE60000}"/>
    <cellStyle name="Normal 2 4 9 18 3 6 2" xfId="60304" xr:uid="{00000000-0005-0000-0000-00009DE60000}"/>
    <cellStyle name="Normal 2 4 9 18 3 7" xfId="60305" xr:uid="{00000000-0005-0000-0000-00009EE60000}"/>
    <cellStyle name="Normal 2 4 9 18 4" xfId="24660" xr:uid="{00000000-0005-0000-0000-00009FE60000}"/>
    <cellStyle name="Normal 2 4 9 18 4 2" xfId="24661" xr:uid="{00000000-0005-0000-0000-0000A0E60000}"/>
    <cellStyle name="Normal 2 4 9 18 4 2 2" xfId="60306" xr:uid="{00000000-0005-0000-0000-0000A1E60000}"/>
    <cellStyle name="Normal 2 4 9 18 4 3" xfId="24662" xr:uid="{00000000-0005-0000-0000-0000A2E60000}"/>
    <cellStyle name="Normal 2 4 9 18 4 3 2" xfId="60307" xr:uid="{00000000-0005-0000-0000-0000A3E60000}"/>
    <cellStyle name="Normal 2 4 9 18 4 4" xfId="60308" xr:uid="{00000000-0005-0000-0000-0000A4E60000}"/>
    <cellStyle name="Normal 2 4 9 18 5" xfId="24663" xr:uid="{00000000-0005-0000-0000-0000A5E60000}"/>
    <cellStyle name="Normal 2 4 9 18 5 2" xfId="24664" xr:uid="{00000000-0005-0000-0000-0000A6E60000}"/>
    <cellStyle name="Normal 2 4 9 18 5 2 2" xfId="60309" xr:uid="{00000000-0005-0000-0000-0000A7E60000}"/>
    <cellStyle name="Normal 2 4 9 18 5 3" xfId="60310" xr:uid="{00000000-0005-0000-0000-0000A8E60000}"/>
    <cellStyle name="Normal 2 4 9 18 6" xfId="24665" xr:uid="{00000000-0005-0000-0000-0000A9E60000}"/>
    <cellStyle name="Normal 2 4 9 18 6 2" xfId="60311" xr:uid="{00000000-0005-0000-0000-0000AAE60000}"/>
    <cellStyle name="Normal 2 4 9 18 7" xfId="24666" xr:uid="{00000000-0005-0000-0000-0000ABE60000}"/>
    <cellStyle name="Normal 2 4 9 18 7 2" xfId="60312" xr:uid="{00000000-0005-0000-0000-0000ACE60000}"/>
    <cellStyle name="Normal 2 4 9 18 8" xfId="60313" xr:uid="{00000000-0005-0000-0000-0000ADE60000}"/>
    <cellStyle name="Normal 2 4 9 18 8 2" xfId="60314" xr:uid="{00000000-0005-0000-0000-0000AEE60000}"/>
    <cellStyle name="Normal 2 4 9 18 9" xfId="60315" xr:uid="{00000000-0005-0000-0000-0000AFE60000}"/>
    <cellStyle name="Normal 2 4 9 19" xfId="24667" xr:uid="{00000000-0005-0000-0000-0000B0E60000}"/>
    <cellStyle name="Normal 2 4 9 19 10" xfId="60316" xr:uid="{00000000-0005-0000-0000-0000B1E60000}"/>
    <cellStyle name="Normal 2 4 9 19 11" xfId="60317" xr:uid="{00000000-0005-0000-0000-0000B2E60000}"/>
    <cellStyle name="Normal 2 4 9 19 2" xfId="24668" xr:uid="{00000000-0005-0000-0000-0000B3E60000}"/>
    <cellStyle name="Normal 2 4 9 19 2 10" xfId="60318" xr:uid="{00000000-0005-0000-0000-0000B4E60000}"/>
    <cellStyle name="Normal 2 4 9 19 2 2" xfId="24669" xr:uid="{00000000-0005-0000-0000-0000B5E60000}"/>
    <cellStyle name="Normal 2 4 9 19 2 2 2" xfId="24670" xr:uid="{00000000-0005-0000-0000-0000B6E60000}"/>
    <cellStyle name="Normal 2 4 9 19 2 2 2 2" xfId="24671" xr:uid="{00000000-0005-0000-0000-0000B7E60000}"/>
    <cellStyle name="Normal 2 4 9 19 2 2 2 2 2" xfId="60319" xr:uid="{00000000-0005-0000-0000-0000B8E60000}"/>
    <cellStyle name="Normal 2 4 9 19 2 2 2 3" xfId="24672" xr:uid="{00000000-0005-0000-0000-0000B9E60000}"/>
    <cellStyle name="Normal 2 4 9 19 2 2 2 3 2" xfId="60320" xr:uid="{00000000-0005-0000-0000-0000BAE60000}"/>
    <cellStyle name="Normal 2 4 9 19 2 2 2 4" xfId="60321" xr:uid="{00000000-0005-0000-0000-0000BBE60000}"/>
    <cellStyle name="Normal 2 4 9 19 2 2 3" xfId="24673" xr:uid="{00000000-0005-0000-0000-0000BCE60000}"/>
    <cellStyle name="Normal 2 4 9 19 2 2 3 2" xfId="60322" xr:uid="{00000000-0005-0000-0000-0000BDE60000}"/>
    <cellStyle name="Normal 2 4 9 19 2 2 4" xfId="24674" xr:uid="{00000000-0005-0000-0000-0000BEE60000}"/>
    <cellStyle name="Normal 2 4 9 19 2 2 4 2" xfId="60323" xr:uid="{00000000-0005-0000-0000-0000BFE60000}"/>
    <cellStyle name="Normal 2 4 9 19 2 2 5" xfId="24675" xr:uid="{00000000-0005-0000-0000-0000C0E60000}"/>
    <cellStyle name="Normal 2 4 9 19 2 2 5 2" xfId="60324" xr:uid="{00000000-0005-0000-0000-0000C1E60000}"/>
    <cellStyle name="Normal 2 4 9 19 2 2 6" xfId="60325" xr:uid="{00000000-0005-0000-0000-0000C2E60000}"/>
    <cellStyle name="Normal 2 4 9 19 2 2 6 2" xfId="60326" xr:uid="{00000000-0005-0000-0000-0000C3E60000}"/>
    <cellStyle name="Normal 2 4 9 19 2 2 7" xfId="60327" xr:uid="{00000000-0005-0000-0000-0000C4E60000}"/>
    <cellStyle name="Normal 2 4 9 19 2 3" xfId="24676" xr:uid="{00000000-0005-0000-0000-0000C5E60000}"/>
    <cellStyle name="Normal 2 4 9 19 2 3 2" xfId="24677" xr:uid="{00000000-0005-0000-0000-0000C6E60000}"/>
    <cellStyle name="Normal 2 4 9 19 2 3 2 2" xfId="60328" xr:uid="{00000000-0005-0000-0000-0000C7E60000}"/>
    <cellStyle name="Normal 2 4 9 19 2 3 3" xfId="24678" xr:uid="{00000000-0005-0000-0000-0000C8E60000}"/>
    <cellStyle name="Normal 2 4 9 19 2 3 3 2" xfId="60329" xr:uid="{00000000-0005-0000-0000-0000C9E60000}"/>
    <cellStyle name="Normal 2 4 9 19 2 3 4" xfId="60330" xr:uid="{00000000-0005-0000-0000-0000CAE60000}"/>
    <cellStyle name="Normal 2 4 9 19 2 4" xfId="24679" xr:uid="{00000000-0005-0000-0000-0000CBE60000}"/>
    <cellStyle name="Normal 2 4 9 19 2 4 2" xfId="24680" xr:uid="{00000000-0005-0000-0000-0000CCE60000}"/>
    <cellStyle name="Normal 2 4 9 19 2 4 2 2" xfId="60331" xr:uid="{00000000-0005-0000-0000-0000CDE60000}"/>
    <cellStyle name="Normal 2 4 9 19 2 4 3" xfId="60332" xr:uid="{00000000-0005-0000-0000-0000CEE60000}"/>
    <cellStyle name="Normal 2 4 9 19 2 5" xfId="24681" xr:uid="{00000000-0005-0000-0000-0000CFE60000}"/>
    <cellStyle name="Normal 2 4 9 19 2 5 2" xfId="60333" xr:uid="{00000000-0005-0000-0000-0000D0E60000}"/>
    <cellStyle name="Normal 2 4 9 19 2 6" xfId="24682" xr:uid="{00000000-0005-0000-0000-0000D1E60000}"/>
    <cellStyle name="Normal 2 4 9 19 2 6 2" xfId="60334" xr:uid="{00000000-0005-0000-0000-0000D2E60000}"/>
    <cellStyle name="Normal 2 4 9 19 2 7" xfId="60335" xr:uid="{00000000-0005-0000-0000-0000D3E60000}"/>
    <cellStyle name="Normal 2 4 9 19 2 7 2" xfId="60336" xr:uid="{00000000-0005-0000-0000-0000D4E60000}"/>
    <cellStyle name="Normal 2 4 9 19 2 8" xfId="60337" xr:uid="{00000000-0005-0000-0000-0000D5E60000}"/>
    <cellStyle name="Normal 2 4 9 19 2 9" xfId="60338" xr:uid="{00000000-0005-0000-0000-0000D6E60000}"/>
    <cellStyle name="Normal 2 4 9 19 3" xfId="24683" xr:uid="{00000000-0005-0000-0000-0000D7E60000}"/>
    <cellStyle name="Normal 2 4 9 19 3 2" xfId="24684" xr:uid="{00000000-0005-0000-0000-0000D8E60000}"/>
    <cellStyle name="Normal 2 4 9 19 3 2 2" xfId="24685" xr:uid="{00000000-0005-0000-0000-0000D9E60000}"/>
    <cellStyle name="Normal 2 4 9 19 3 2 2 2" xfId="60339" xr:uid="{00000000-0005-0000-0000-0000DAE60000}"/>
    <cellStyle name="Normal 2 4 9 19 3 2 3" xfId="24686" xr:uid="{00000000-0005-0000-0000-0000DBE60000}"/>
    <cellStyle name="Normal 2 4 9 19 3 2 3 2" xfId="60340" xr:uid="{00000000-0005-0000-0000-0000DCE60000}"/>
    <cellStyle name="Normal 2 4 9 19 3 2 4" xfId="60341" xr:uid="{00000000-0005-0000-0000-0000DDE60000}"/>
    <cellStyle name="Normal 2 4 9 19 3 3" xfId="24687" xr:uid="{00000000-0005-0000-0000-0000DEE60000}"/>
    <cellStyle name="Normal 2 4 9 19 3 3 2" xfId="60342" xr:uid="{00000000-0005-0000-0000-0000DFE60000}"/>
    <cellStyle name="Normal 2 4 9 19 3 4" xfId="24688" xr:uid="{00000000-0005-0000-0000-0000E0E60000}"/>
    <cellStyle name="Normal 2 4 9 19 3 4 2" xfId="60343" xr:uid="{00000000-0005-0000-0000-0000E1E60000}"/>
    <cellStyle name="Normal 2 4 9 19 3 5" xfId="24689" xr:uid="{00000000-0005-0000-0000-0000E2E60000}"/>
    <cellStyle name="Normal 2 4 9 19 3 5 2" xfId="60344" xr:uid="{00000000-0005-0000-0000-0000E3E60000}"/>
    <cellStyle name="Normal 2 4 9 19 3 6" xfId="60345" xr:uid="{00000000-0005-0000-0000-0000E4E60000}"/>
    <cellStyle name="Normal 2 4 9 19 3 6 2" xfId="60346" xr:uid="{00000000-0005-0000-0000-0000E5E60000}"/>
    <cellStyle name="Normal 2 4 9 19 3 7" xfId="60347" xr:uid="{00000000-0005-0000-0000-0000E6E60000}"/>
    <cellStyle name="Normal 2 4 9 19 4" xfId="24690" xr:uid="{00000000-0005-0000-0000-0000E7E60000}"/>
    <cellStyle name="Normal 2 4 9 19 4 2" xfId="24691" xr:uid="{00000000-0005-0000-0000-0000E8E60000}"/>
    <cellStyle name="Normal 2 4 9 19 4 2 2" xfId="60348" xr:uid="{00000000-0005-0000-0000-0000E9E60000}"/>
    <cellStyle name="Normal 2 4 9 19 4 3" xfId="24692" xr:uid="{00000000-0005-0000-0000-0000EAE60000}"/>
    <cellStyle name="Normal 2 4 9 19 4 3 2" xfId="60349" xr:uid="{00000000-0005-0000-0000-0000EBE60000}"/>
    <cellStyle name="Normal 2 4 9 19 4 4" xfId="60350" xr:uid="{00000000-0005-0000-0000-0000ECE60000}"/>
    <cellStyle name="Normal 2 4 9 19 5" xfId="24693" xr:uid="{00000000-0005-0000-0000-0000EDE60000}"/>
    <cellStyle name="Normal 2 4 9 19 5 2" xfId="24694" xr:uid="{00000000-0005-0000-0000-0000EEE60000}"/>
    <cellStyle name="Normal 2 4 9 19 5 2 2" xfId="60351" xr:uid="{00000000-0005-0000-0000-0000EFE60000}"/>
    <cellStyle name="Normal 2 4 9 19 5 3" xfId="60352" xr:uid="{00000000-0005-0000-0000-0000F0E60000}"/>
    <cellStyle name="Normal 2 4 9 19 6" xfId="24695" xr:uid="{00000000-0005-0000-0000-0000F1E60000}"/>
    <cellStyle name="Normal 2 4 9 19 6 2" xfId="60353" xr:uid="{00000000-0005-0000-0000-0000F2E60000}"/>
    <cellStyle name="Normal 2 4 9 19 7" xfId="24696" xr:uid="{00000000-0005-0000-0000-0000F3E60000}"/>
    <cellStyle name="Normal 2 4 9 19 7 2" xfId="60354" xr:uid="{00000000-0005-0000-0000-0000F4E60000}"/>
    <cellStyle name="Normal 2 4 9 19 8" xfId="60355" xr:uid="{00000000-0005-0000-0000-0000F5E60000}"/>
    <cellStyle name="Normal 2 4 9 19 8 2" xfId="60356" xr:uid="{00000000-0005-0000-0000-0000F6E60000}"/>
    <cellStyle name="Normal 2 4 9 19 9" xfId="60357" xr:uid="{00000000-0005-0000-0000-0000F7E60000}"/>
    <cellStyle name="Normal 2 4 9 2" xfId="24697" xr:uid="{00000000-0005-0000-0000-0000F8E60000}"/>
    <cellStyle name="Normal 2 4 9 2 10" xfId="60358" xr:uid="{00000000-0005-0000-0000-0000F9E60000}"/>
    <cellStyle name="Normal 2 4 9 2 11" xfId="60359" xr:uid="{00000000-0005-0000-0000-0000FAE60000}"/>
    <cellStyle name="Normal 2 4 9 2 2" xfId="24698" xr:uid="{00000000-0005-0000-0000-0000FBE60000}"/>
    <cellStyle name="Normal 2 4 9 2 2 10" xfId="60360" xr:uid="{00000000-0005-0000-0000-0000FCE60000}"/>
    <cellStyle name="Normal 2 4 9 2 2 2" xfId="24699" xr:uid="{00000000-0005-0000-0000-0000FDE60000}"/>
    <cellStyle name="Normal 2 4 9 2 2 2 2" xfId="24700" xr:uid="{00000000-0005-0000-0000-0000FEE60000}"/>
    <cellStyle name="Normal 2 4 9 2 2 2 2 2" xfId="24701" xr:uid="{00000000-0005-0000-0000-0000FFE60000}"/>
    <cellStyle name="Normal 2 4 9 2 2 2 2 2 2" xfId="60361" xr:uid="{00000000-0005-0000-0000-000000E70000}"/>
    <cellStyle name="Normal 2 4 9 2 2 2 2 3" xfId="24702" xr:uid="{00000000-0005-0000-0000-000001E70000}"/>
    <cellStyle name="Normal 2 4 9 2 2 2 2 3 2" xfId="60362" xr:uid="{00000000-0005-0000-0000-000002E70000}"/>
    <cellStyle name="Normal 2 4 9 2 2 2 2 4" xfId="60363" xr:uid="{00000000-0005-0000-0000-000003E70000}"/>
    <cellStyle name="Normal 2 4 9 2 2 2 3" xfId="24703" xr:uid="{00000000-0005-0000-0000-000004E70000}"/>
    <cellStyle name="Normal 2 4 9 2 2 2 3 2" xfId="60364" xr:uid="{00000000-0005-0000-0000-000005E70000}"/>
    <cellStyle name="Normal 2 4 9 2 2 2 4" xfId="24704" xr:uid="{00000000-0005-0000-0000-000006E70000}"/>
    <cellStyle name="Normal 2 4 9 2 2 2 4 2" xfId="60365" xr:uid="{00000000-0005-0000-0000-000007E70000}"/>
    <cellStyle name="Normal 2 4 9 2 2 2 5" xfId="24705" xr:uid="{00000000-0005-0000-0000-000008E70000}"/>
    <cellStyle name="Normal 2 4 9 2 2 2 5 2" xfId="60366" xr:uid="{00000000-0005-0000-0000-000009E70000}"/>
    <cellStyle name="Normal 2 4 9 2 2 2 6" xfId="60367" xr:uid="{00000000-0005-0000-0000-00000AE70000}"/>
    <cellStyle name="Normal 2 4 9 2 2 2 6 2" xfId="60368" xr:uid="{00000000-0005-0000-0000-00000BE70000}"/>
    <cellStyle name="Normal 2 4 9 2 2 2 7" xfId="60369" xr:uid="{00000000-0005-0000-0000-00000CE70000}"/>
    <cellStyle name="Normal 2 4 9 2 2 3" xfId="24706" xr:uid="{00000000-0005-0000-0000-00000DE70000}"/>
    <cellStyle name="Normal 2 4 9 2 2 3 2" xfId="24707" xr:uid="{00000000-0005-0000-0000-00000EE70000}"/>
    <cellStyle name="Normal 2 4 9 2 2 3 2 2" xfId="60370" xr:uid="{00000000-0005-0000-0000-00000FE70000}"/>
    <cellStyle name="Normal 2 4 9 2 2 3 3" xfId="24708" xr:uid="{00000000-0005-0000-0000-000010E70000}"/>
    <cellStyle name="Normal 2 4 9 2 2 3 3 2" xfId="60371" xr:uid="{00000000-0005-0000-0000-000011E70000}"/>
    <cellStyle name="Normal 2 4 9 2 2 3 4" xfId="60372" xr:uid="{00000000-0005-0000-0000-000012E70000}"/>
    <cellStyle name="Normal 2 4 9 2 2 4" xfId="24709" xr:uid="{00000000-0005-0000-0000-000013E70000}"/>
    <cellStyle name="Normal 2 4 9 2 2 4 2" xfId="24710" xr:uid="{00000000-0005-0000-0000-000014E70000}"/>
    <cellStyle name="Normal 2 4 9 2 2 4 2 2" xfId="60373" xr:uid="{00000000-0005-0000-0000-000015E70000}"/>
    <cellStyle name="Normal 2 4 9 2 2 4 3" xfId="60374" xr:uid="{00000000-0005-0000-0000-000016E70000}"/>
    <cellStyle name="Normal 2 4 9 2 2 5" xfId="24711" xr:uid="{00000000-0005-0000-0000-000017E70000}"/>
    <cellStyle name="Normal 2 4 9 2 2 5 2" xfId="60375" xr:uid="{00000000-0005-0000-0000-000018E70000}"/>
    <cellStyle name="Normal 2 4 9 2 2 6" xfId="24712" xr:uid="{00000000-0005-0000-0000-000019E70000}"/>
    <cellStyle name="Normal 2 4 9 2 2 6 2" xfId="60376" xr:uid="{00000000-0005-0000-0000-00001AE70000}"/>
    <cellStyle name="Normal 2 4 9 2 2 7" xfId="60377" xr:uid="{00000000-0005-0000-0000-00001BE70000}"/>
    <cellStyle name="Normal 2 4 9 2 2 7 2" xfId="60378" xr:uid="{00000000-0005-0000-0000-00001CE70000}"/>
    <cellStyle name="Normal 2 4 9 2 2 8" xfId="60379" xr:uid="{00000000-0005-0000-0000-00001DE70000}"/>
    <cellStyle name="Normal 2 4 9 2 2 9" xfId="60380" xr:uid="{00000000-0005-0000-0000-00001EE70000}"/>
    <cellStyle name="Normal 2 4 9 2 3" xfId="24713" xr:uid="{00000000-0005-0000-0000-00001FE70000}"/>
    <cellStyle name="Normal 2 4 9 2 3 2" xfId="24714" xr:uid="{00000000-0005-0000-0000-000020E70000}"/>
    <cellStyle name="Normal 2 4 9 2 3 2 2" xfId="24715" xr:uid="{00000000-0005-0000-0000-000021E70000}"/>
    <cellStyle name="Normal 2 4 9 2 3 2 2 2" xfId="60381" xr:uid="{00000000-0005-0000-0000-000022E70000}"/>
    <cellStyle name="Normal 2 4 9 2 3 2 3" xfId="24716" xr:uid="{00000000-0005-0000-0000-000023E70000}"/>
    <cellStyle name="Normal 2 4 9 2 3 2 3 2" xfId="60382" xr:uid="{00000000-0005-0000-0000-000024E70000}"/>
    <cellStyle name="Normal 2 4 9 2 3 2 4" xfId="60383" xr:uid="{00000000-0005-0000-0000-000025E70000}"/>
    <cellStyle name="Normal 2 4 9 2 3 3" xfId="24717" xr:uid="{00000000-0005-0000-0000-000026E70000}"/>
    <cellStyle name="Normal 2 4 9 2 3 3 2" xfId="60384" xr:uid="{00000000-0005-0000-0000-000027E70000}"/>
    <cellStyle name="Normal 2 4 9 2 3 4" xfId="24718" xr:uid="{00000000-0005-0000-0000-000028E70000}"/>
    <cellStyle name="Normal 2 4 9 2 3 4 2" xfId="60385" xr:uid="{00000000-0005-0000-0000-000029E70000}"/>
    <cellStyle name="Normal 2 4 9 2 3 5" xfId="24719" xr:uid="{00000000-0005-0000-0000-00002AE70000}"/>
    <cellStyle name="Normal 2 4 9 2 3 5 2" xfId="60386" xr:uid="{00000000-0005-0000-0000-00002BE70000}"/>
    <cellStyle name="Normal 2 4 9 2 3 6" xfId="60387" xr:uid="{00000000-0005-0000-0000-00002CE70000}"/>
    <cellStyle name="Normal 2 4 9 2 3 6 2" xfId="60388" xr:uid="{00000000-0005-0000-0000-00002DE70000}"/>
    <cellStyle name="Normal 2 4 9 2 3 7" xfId="60389" xr:uid="{00000000-0005-0000-0000-00002EE70000}"/>
    <cellStyle name="Normal 2 4 9 2 4" xfId="24720" xr:uid="{00000000-0005-0000-0000-00002FE70000}"/>
    <cellStyle name="Normal 2 4 9 2 4 2" xfId="24721" xr:uid="{00000000-0005-0000-0000-000030E70000}"/>
    <cellStyle name="Normal 2 4 9 2 4 2 2" xfId="60390" xr:uid="{00000000-0005-0000-0000-000031E70000}"/>
    <cellStyle name="Normal 2 4 9 2 4 3" xfId="24722" xr:uid="{00000000-0005-0000-0000-000032E70000}"/>
    <cellStyle name="Normal 2 4 9 2 4 3 2" xfId="60391" xr:uid="{00000000-0005-0000-0000-000033E70000}"/>
    <cellStyle name="Normal 2 4 9 2 4 4" xfId="60392" xr:uid="{00000000-0005-0000-0000-000034E70000}"/>
    <cellStyle name="Normal 2 4 9 2 5" xfId="24723" xr:uid="{00000000-0005-0000-0000-000035E70000}"/>
    <cellStyle name="Normal 2 4 9 2 5 2" xfId="24724" xr:uid="{00000000-0005-0000-0000-000036E70000}"/>
    <cellStyle name="Normal 2 4 9 2 5 2 2" xfId="60393" xr:uid="{00000000-0005-0000-0000-000037E70000}"/>
    <cellStyle name="Normal 2 4 9 2 5 3" xfId="60394" xr:uid="{00000000-0005-0000-0000-000038E70000}"/>
    <cellStyle name="Normal 2 4 9 2 6" xfId="24725" xr:uid="{00000000-0005-0000-0000-000039E70000}"/>
    <cellStyle name="Normal 2 4 9 2 6 2" xfId="60395" xr:uid="{00000000-0005-0000-0000-00003AE70000}"/>
    <cellStyle name="Normal 2 4 9 2 7" xfId="24726" xr:uid="{00000000-0005-0000-0000-00003BE70000}"/>
    <cellStyle name="Normal 2 4 9 2 7 2" xfId="60396" xr:uid="{00000000-0005-0000-0000-00003CE70000}"/>
    <cellStyle name="Normal 2 4 9 2 8" xfId="60397" xr:uid="{00000000-0005-0000-0000-00003DE70000}"/>
    <cellStyle name="Normal 2 4 9 2 8 2" xfId="60398" xr:uid="{00000000-0005-0000-0000-00003EE70000}"/>
    <cellStyle name="Normal 2 4 9 2 9" xfId="60399" xr:uid="{00000000-0005-0000-0000-00003FE70000}"/>
    <cellStyle name="Normal 2 4 9 20" xfId="24727" xr:uid="{00000000-0005-0000-0000-000040E70000}"/>
    <cellStyle name="Normal 2 4 9 20 10" xfId="60400" xr:uid="{00000000-0005-0000-0000-000041E70000}"/>
    <cellStyle name="Normal 2 4 9 20 11" xfId="60401" xr:uid="{00000000-0005-0000-0000-000042E70000}"/>
    <cellStyle name="Normal 2 4 9 20 2" xfId="24728" xr:uid="{00000000-0005-0000-0000-000043E70000}"/>
    <cellStyle name="Normal 2 4 9 20 2 10" xfId="60402" xr:uid="{00000000-0005-0000-0000-000044E70000}"/>
    <cellStyle name="Normal 2 4 9 20 2 2" xfId="24729" xr:uid="{00000000-0005-0000-0000-000045E70000}"/>
    <cellStyle name="Normal 2 4 9 20 2 2 2" xfId="24730" xr:uid="{00000000-0005-0000-0000-000046E70000}"/>
    <cellStyle name="Normal 2 4 9 20 2 2 2 2" xfId="24731" xr:uid="{00000000-0005-0000-0000-000047E70000}"/>
    <cellStyle name="Normal 2 4 9 20 2 2 2 2 2" xfId="60403" xr:uid="{00000000-0005-0000-0000-000048E70000}"/>
    <cellStyle name="Normal 2 4 9 20 2 2 2 3" xfId="24732" xr:uid="{00000000-0005-0000-0000-000049E70000}"/>
    <cellStyle name="Normal 2 4 9 20 2 2 2 3 2" xfId="60404" xr:uid="{00000000-0005-0000-0000-00004AE70000}"/>
    <cellStyle name="Normal 2 4 9 20 2 2 2 4" xfId="60405" xr:uid="{00000000-0005-0000-0000-00004BE70000}"/>
    <cellStyle name="Normal 2 4 9 20 2 2 3" xfId="24733" xr:uid="{00000000-0005-0000-0000-00004CE70000}"/>
    <cellStyle name="Normal 2 4 9 20 2 2 3 2" xfId="60406" xr:uid="{00000000-0005-0000-0000-00004DE70000}"/>
    <cellStyle name="Normal 2 4 9 20 2 2 4" xfId="24734" xr:uid="{00000000-0005-0000-0000-00004EE70000}"/>
    <cellStyle name="Normal 2 4 9 20 2 2 4 2" xfId="60407" xr:uid="{00000000-0005-0000-0000-00004FE70000}"/>
    <cellStyle name="Normal 2 4 9 20 2 2 5" xfId="24735" xr:uid="{00000000-0005-0000-0000-000050E70000}"/>
    <cellStyle name="Normal 2 4 9 20 2 2 5 2" xfId="60408" xr:uid="{00000000-0005-0000-0000-000051E70000}"/>
    <cellStyle name="Normal 2 4 9 20 2 2 6" xfId="60409" xr:uid="{00000000-0005-0000-0000-000052E70000}"/>
    <cellStyle name="Normal 2 4 9 20 2 2 6 2" xfId="60410" xr:uid="{00000000-0005-0000-0000-000053E70000}"/>
    <cellStyle name="Normal 2 4 9 20 2 2 7" xfId="60411" xr:uid="{00000000-0005-0000-0000-000054E70000}"/>
    <cellStyle name="Normal 2 4 9 20 2 3" xfId="24736" xr:uid="{00000000-0005-0000-0000-000055E70000}"/>
    <cellStyle name="Normal 2 4 9 20 2 3 2" xfId="24737" xr:uid="{00000000-0005-0000-0000-000056E70000}"/>
    <cellStyle name="Normal 2 4 9 20 2 3 2 2" xfId="60412" xr:uid="{00000000-0005-0000-0000-000057E70000}"/>
    <cellStyle name="Normal 2 4 9 20 2 3 3" xfId="24738" xr:uid="{00000000-0005-0000-0000-000058E70000}"/>
    <cellStyle name="Normal 2 4 9 20 2 3 3 2" xfId="60413" xr:uid="{00000000-0005-0000-0000-000059E70000}"/>
    <cellStyle name="Normal 2 4 9 20 2 3 4" xfId="60414" xr:uid="{00000000-0005-0000-0000-00005AE70000}"/>
    <cellStyle name="Normal 2 4 9 20 2 4" xfId="24739" xr:uid="{00000000-0005-0000-0000-00005BE70000}"/>
    <cellStyle name="Normal 2 4 9 20 2 4 2" xfId="24740" xr:uid="{00000000-0005-0000-0000-00005CE70000}"/>
    <cellStyle name="Normal 2 4 9 20 2 4 2 2" xfId="60415" xr:uid="{00000000-0005-0000-0000-00005DE70000}"/>
    <cellStyle name="Normal 2 4 9 20 2 4 3" xfId="60416" xr:uid="{00000000-0005-0000-0000-00005EE70000}"/>
    <cellStyle name="Normal 2 4 9 20 2 5" xfId="24741" xr:uid="{00000000-0005-0000-0000-00005FE70000}"/>
    <cellStyle name="Normal 2 4 9 20 2 5 2" xfId="60417" xr:uid="{00000000-0005-0000-0000-000060E70000}"/>
    <cellStyle name="Normal 2 4 9 20 2 6" xfId="24742" xr:uid="{00000000-0005-0000-0000-000061E70000}"/>
    <cellStyle name="Normal 2 4 9 20 2 6 2" xfId="60418" xr:uid="{00000000-0005-0000-0000-000062E70000}"/>
    <cellStyle name="Normal 2 4 9 20 2 7" xfId="60419" xr:uid="{00000000-0005-0000-0000-000063E70000}"/>
    <cellStyle name="Normal 2 4 9 20 2 7 2" xfId="60420" xr:uid="{00000000-0005-0000-0000-000064E70000}"/>
    <cellStyle name="Normal 2 4 9 20 2 8" xfId="60421" xr:uid="{00000000-0005-0000-0000-000065E70000}"/>
    <cellStyle name="Normal 2 4 9 20 2 9" xfId="60422" xr:uid="{00000000-0005-0000-0000-000066E70000}"/>
    <cellStyle name="Normal 2 4 9 20 3" xfId="24743" xr:uid="{00000000-0005-0000-0000-000067E70000}"/>
    <cellStyle name="Normal 2 4 9 20 3 2" xfId="24744" xr:uid="{00000000-0005-0000-0000-000068E70000}"/>
    <cellStyle name="Normal 2 4 9 20 3 2 2" xfId="24745" xr:uid="{00000000-0005-0000-0000-000069E70000}"/>
    <cellStyle name="Normal 2 4 9 20 3 2 2 2" xfId="60423" xr:uid="{00000000-0005-0000-0000-00006AE70000}"/>
    <cellStyle name="Normal 2 4 9 20 3 2 3" xfId="24746" xr:uid="{00000000-0005-0000-0000-00006BE70000}"/>
    <cellStyle name="Normal 2 4 9 20 3 2 3 2" xfId="60424" xr:uid="{00000000-0005-0000-0000-00006CE70000}"/>
    <cellStyle name="Normal 2 4 9 20 3 2 4" xfId="60425" xr:uid="{00000000-0005-0000-0000-00006DE70000}"/>
    <cellStyle name="Normal 2 4 9 20 3 3" xfId="24747" xr:uid="{00000000-0005-0000-0000-00006EE70000}"/>
    <cellStyle name="Normal 2 4 9 20 3 3 2" xfId="60426" xr:uid="{00000000-0005-0000-0000-00006FE70000}"/>
    <cellStyle name="Normal 2 4 9 20 3 4" xfId="24748" xr:uid="{00000000-0005-0000-0000-000070E70000}"/>
    <cellStyle name="Normal 2 4 9 20 3 4 2" xfId="60427" xr:uid="{00000000-0005-0000-0000-000071E70000}"/>
    <cellStyle name="Normal 2 4 9 20 3 5" xfId="24749" xr:uid="{00000000-0005-0000-0000-000072E70000}"/>
    <cellStyle name="Normal 2 4 9 20 3 5 2" xfId="60428" xr:uid="{00000000-0005-0000-0000-000073E70000}"/>
    <cellStyle name="Normal 2 4 9 20 3 6" xfId="60429" xr:uid="{00000000-0005-0000-0000-000074E70000}"/>
    <cellStyle name="Normal 2 4 9 20 3 6 2" xfId="60430" xr:uid="{00000000-0005-0000-0000-000075E70000}"/>
    <cellStyle name="Normal 2 4 9 20 3 7" xfId="60431" xr:uid="{00000000-0005-0000-0000-000076E70000}"/>
    <cellStyle name="Normal 2 4 9 20 4" xfId="24750" xr:uid="{00000000-0005-0000-0000-000077E70000}"/>
    <cellStyle name="Normal 2 4 9 20 4 2" xfId="24751" xr:uid="{00000000-0005-0000-0000-000078E70000}"/>
    <cellStyle name="Normal 2 4 9 20 4 2 2" xfId="60432" xr:uid="{00000000-0005-0000-0000-000079E70000}"/>
    <cellStyle name="Normal 2 4 9 20 4 3" xfId="24752" xr:uid="{00000000-0005-0000-0000-00007AE70000}"/>
    <cellStyle name="Normal 2 4 9 20 4 3 2" xfId="60433" xr:uid="{00000000-0005-0000-0000-00007BE70000}"/>
    <cellStyle name="Normal 2 4 9 20 4 4" xfId="60434" xr:uid="{00000000-0005-0000-0000-00007CE70000}"/>
    <cellStyle name="Normal 2 4 9 20 5" xfId="24753" xr:uid="{00000000-0005-0000-0000-00007DE70000}"/>
    <cellStyle name="Normal 2 4 9 20 5 2" xfId="24754" xr:uid="{00000000-0005-0000-0000-00007EE70000}"/>
    <cellStyle name="Normal 2 4 9 20 5 2 2" xfId="60435" xr:uid="{00000000-0005-0000-0000-00007FE70000}"/>
    <cellStyle name="Normal 2 4 9 20 5 3" xfId="60436" xr:uid="{00000000-0005-0000-0000-000080E70000}"/>
    <cellStyle name="Normal 2 4 9 20 6" xfId="24755" xr:uid="{00000000-0005-0000-0000-000081E70000}"/>
    <cellStyle name="Normal 2 4 9 20 6 2" xfId="60437" xr:uid="{00000000-0005-0000-0000-000082E70000}"/>
    <cellStyle name="Normal 2 4 9 20 7" xfId="24756" xr:uid="{00000000-0005-0000-0000-000083E70000}"/>
    <cellStyle name="Normal 2 4 9 20 7 2" xfId="60438" xr:uid="{00000000-0005-0000-0000-000084E70000}"/>
    <cellStyle name="Normal 2 4 9 20 8" xfId="60439" xr:uid="{00000000-0005-0000-0000-000085E70000}"/>
    <cellStyle name="Normal 2 4 9 20 8 2" xfId="60440" xr:uid="{00000000-0005-0000-0000-000086E70000}"/>
    <cellStyle name="Normal 2 4 9 20 9" xfId="60441" xr:uid="{00000000-0005-0000-0000-000087E70000}"/>
    <cellStyle name="Normal 2 4 9 21" xfId="24757" xr:uid="{00000000-0005-0000-0000-000088E70000}"/>
    <cellStyle name="Normal 2 4 9 21 10" xfId="60442" xr:uid="{00000000-0005-0000-0000-000089E70000}"/>
    <cellStyle name="Normal 2 4 9 21 11" xfId="60443" xr:uid="{00000000-0005-0000-0000-00008AE70000}"/>
    <cellStyle name="Normal 2 4 9 21 2" xfId="24758" xr:uid="{00000000-0005-0000-0000-00008BE70000}"/>
    <cellStyle name="Normal 2 4 9 21 2 10" xfId="60444" xr:uid="{00000000-0005-0000-0000-00008CE70000}"/>
    <cellStyle name="Normal 2 4 9 21 2 2" xfId="24759" xr:uid="{00000000-0005-0000-0000-00008DE70000}"/>
    <cellStyle name="Normal 2 4 9 21 2 2 2" xfId="24760" xr:uid="{00000000-0005-0000-0000-00008EE70000}"/>
    <cellStyle name="Normal 2 4 9 21 2 2 2 2" xfId="24761" xr:uid="{00000000-0005-0000-0000-00008FE70000}"/>
    <cellStyle name="Normal 2 4 9 21 2 2 2 2 2" xfId="60445" xr:uid="{00000000-0005-0000-0000-000090E70000}"/>
    <cellStyle name="Normal 2 4 9 21 2 2 2 3" xfId="24762" xr:uid="{00000000-0005-0000-0000-000091E70000}"/>
    <cellStyle name="Normal 2 4 9 21 2 2 2 3 2" xfId="60446" xr:uid="{00000000-0005-0000-0000-000092E70000}"/>
    <cellStyle name="Normal 2 4 9 21 2 2 2 4" xfId="60447" xr:uid="{00000000-0005-0000-0000-000093E70000}"/>
    <cellStyle name="Normal 2 4 9 21 2 2 3" xfId="24763" xr:uid="{00000000-0005-0000-0000-000094E70000}"/>
    <cellStyle name="Normal 2 4 9 21 2 2 3 2" xfId="60448" xr:uid="{00000000-0005-0000-0000-000095E70000}"/>
    <cellStyle name="Normal 2 4 9 21 2 2 4" xfId="24764" xr:uid="{00000000-0005-0000-0000-000096E70000}"/>
    <cellStyle name="Normal 2 4 9 21 2 2 4 2" xfId="60449" xr:uid="{00000000-0005-0000-0000-000097E70000}"/>
    <cellStyle name="Normal 2 4 9 21 2 2 5" xfId="24765" xr:uid="{00000000-0005-0000-0000-000098E70000}"/>
    <cellStyle name="Normal 2 4 9 21 2 2 5 2" xfId="60450" xr:uid="{00000000-0005-0000-0000-000099E70000}"/>
    <cellStyle name="Normal 2 4 9 21 2 2 6" xfId="60451" xr:uid="{00000000-0005-0000-0000-00009AE70000}"/>
    <cellStyle name="Normal 2 4 9 21 2 2 6 2" xfId="60452" xr:uid="{00000000-0005-0000-0000-00009BE70000}"/>
    <cellStyle name="Normal 2 4 9 21 2 2 7" xfId="60453" xr:uid="{00000000-0005-0000-0000-00009CE70000}"/>
    <cellStyle name="Normal 2 4 9 21 2 3" xfId="24766" xr:uid="{00000000-0005-0000-0000-00009DE70000}"/>
    <cellStyle name="Normal 2 4 9 21 2 3 2" xfId="24767" xr:uid="{00000000-0005-0000-0000-00009EE70000}"/>
    <cellStyle name="Normal 2 4 9 21 2 3 2 2" xfId="60454" xr:uid="{00000000-0005-0000-0000-00009FE70000}"/>
    <cellStyle name="Normal 2 4 9 21 2 3 3" xfId="24768" xr:uid="{00000000-0005-0000-0000-0000A0E70000}"/>
    <cellStyle name="Normal 2 4 9 21 2 3 3 2" xfId="60455" xr:uid="{00000000-0005-0000-0000-0000A1E70000}"/>
    <cellStyle name="Normal 2 4 9 21 2 3 4" xfId="60456" xr:uid="{00000000-0005-0000-0000-0000A2E70000}"/>
    <cellStyle name="Normal 2 4 9 21 2 4" xfId="24769" xr:uid="{00000000-0005-0000-0000-0000A3E70000}"/>
    <cellStyle name="Normal 2 4 9 21 2 4 2" xfId="24770" xr:uid="{00000000-0005-0000-0000-0000A4E70000}"/>
    <cellStyle name="Normal 2 4 9 21 2 4 2 2" xfId="60457" xr:uid="{00000000-0005-0000-0000-0000A5E70000}"/>
    <cellStyle name="Normal 2 4 9 21 2 4 3" xfId="60458" xr:uid="{00000000-0005-0000-0000-0000A6E70000}"/>
    <cellStyle name="Normal 2 4 9 21 2 5" xfId="24771" xr:uid="{00000000-0005-0000-0000-0000A7E70000}"/>
    <cellStyle name="Normal 2 4 9 21 2 5 2" xfId="60459" xr:uid="{00000000-0005-0000-0000-0000A8E70000}"/>
    <cellStyle name="Normal 2 4 9 21 2 6" xfId="24772" xr:uid="{00000000-0005-0000-0000-0000A9E70000}"/>
    <cellStyle name="Normal 2 4 9 21 2 6 2" xfId="60460" xr:uid="{00000000-0005-0000-0000-0000AAE70000}"/>
    <cellStyle name="Normal 2 4 9 21 2 7" xfId="60461" xr:uid="{00000000-0005-0000-0000-0000ABE70000}"/>
    <cellStyle name="Normal 2 4 9 21 2 7 2" xfId="60462" xr:uid="{00000000-0005-0000-0000-0000ACE70000}"/>
    <cellStyle name="Normal 2 4 9 21 2 8" xfId="60463" xr:uid="{00000000-0005-0000-0000-0000ADE70000}"/>
    <cellStyle name="Normal 2 4 9 21 2 9" xfId="60464" xr:uid="{00000000-0005-0000-0000-0000AEE70000}"/>
    <cellStyle name="Normal 2 4 9 21 3" xfId="24773" xr:uid="{00000000-0005-0000-0000-0000AFE70000}"/>
    <cellStyle name="Normal 2 4 9 21 3 2" xfId="24774" xr:uid="{00000000-0005-0000-0000-0000B0E70000}"/>
    <cellStyle name="Normal 2 4 9 21 3 2 2" xfId="24775" xr:uid="{00000000-0005-0000-0000-0000B1E70000}"/>
    <cellStyle name="Normal 2 4 9 21 3 2 2 2" xfId="60465" xr:uid="{00000000-0005-0000-0000-0000B2E70000}"/>
    <cellStyle name="Normal 2 4 9 21 3 2 3" xfId="24776" xr:uid="{00000000-0005-0000-0000-0000B3E70000}"/>
    <cellStyle name="Normal 2 4 9 21 3 2 3 2" xfId="60466" xr:uid="{00000000-0005-0000-0000-0000B4E70000}"/>
    <cellStyle name="Normal 2 4 9 21 3 2 4" xfId="60467" xr:uid="{00000000-0005-0000-0000-0000B5E70000}"/>
    <cellStyle name="Normal 2 4 9 21 3 3" xfId="24777" xr:uid="{00000000-0005-0000-0000-0000B6E70000}"/>
    <cellStyle name="Normal 2 4 9 21 3 3 2" xfId="60468" xr:uid="{00000000-0005-0000-0000-0000B7E70000}"/>
    <cellStyle name="Normal 2 4 9 21 3 4" xfId="24778" xr:uid="{00000000-0005-0000-0000-0000B8E70000}"/>
    <cellStyle name="Normal 2 4 9 21 3 4 2" xfId="60469" xr:uid="{00000000-0005-0000-0000-0000B9E70000}"/>
    <cellStyle name="Normal 2 4 9 21 3 5" xfId="24779" xr:uid="{00000000-0005-0000-0000-0000BAE70000}"/>
    <cellStyle name="Normal 2 4 9 21 3 5 2" xfId="60470" xr:uid="{00000000-0005-0000-0000-0000BBE70000}"/>
    <cellStyle name="Normal 2 4 9 21 3 6" xfId="60471" xr:uid="{00000000-0005-0000-0000-0000BCE70000}"/>
    <cellStyle name="Normal 2 4 9 21 3 6 2" xfId="60472" xr:uid="{00000000-0005-0000-0000-0000BDE70000}"/>
    <cellStyle name="Normal 2 4 9 21 3 7" xfId="60473" xr:uid="{00000000-0005-0000-0000-0000BEE70000}"/>
    <cellStyle name="Normal 2 4 9 21 4" xfId="24780" xr:uid="{00000000-0005-0000-0000-0000BFE70000}"/>
    <cellStyle name="Normal 2 4 9 21 4 2" xfId="24781" xr:uid="{00000000-0005-0000-0000-0000C0E70000}"/>
    <cellStyle name="Normal 2 4 9 21 4 2 2" xfId="60474" xr:uid="{00000000-0005-0000-0000-0000C1E70000}"/>
    <cellStyle name="Normal 2 4 9 21 4 3" xfId="24782" xr:uid="{00000000-0005-0000-0000-0000C2E70000}"/>
    <cellStyle name="Normal 2 4 9 21 4 3 2" xfId="60475" xr:uid="{00000000-0005-0000-0000-0000C3E70000}"/>
    <cellStyle name="Normal 2 4 9 21 4 4" xfId="60476" xr:uid="{00000000-0005-0000-0000-0000C4E70000}"/>
    <cellStyle name="Normal 2 4 9 21 5" xfId="24783" xr:uid="{00000000-0005-0000-0000-0000C5E70000}"/>
    <cellStyle name="Normal 2 4 9 21 5 2" xfId="24784" xr:uid="{00000000-0005-0000-0000-0000C6E70000}"/>
    <cellStyle name="Normal 2 4 9 21 5 2 2" xfId="60477" xr:uid="{00000000-0005-0000-0000-0000C7E70000}"/>
    <cellStyle name="Normal 2 4 9 21 5 3" xfId="60478" xr:uid="{00000000-0005-0000-0000-0000C8E70000}"/>
    <cellStyle name="Normal 2 4 9 21 6" xfId="24785" xr:uid="{00000000-0005-0000-0000-0000C9E70000}"/>
    <cellStyle name="Normal 2 4 9 21 6 2" xfId="60479" xr:uid="{00000000-0005-0000-0000-0000CAE70000}"/>
    <cellStyle name="Normal 2 4 9 21 7" xfId="24786" xr:uid="{00000000-0005-0000-0000-0000CBE70000}"/>
    <cellStyle name="Normal 2 4 9 21 7 2" xfId="60480" xr:uid="{00000000-0005-0000-0000-0000CCE70000}"/>
    <cellStyle name="Normal 2 4 9 21 8" xfId="60481" xr:uid="{00000000-0005-0000-0000-0000CDE70000}"/>
    <cellStyle name="Normal 2 4 9 21 8 2" xfId="60482" xr:uid="{00000000-0005-0000-0000-0000CEE70000}"/>
    <cellStyle name="Normal 2 4 9 21 9" xfId="60483" xr:uid="{00000000-0005-0000-0000-0000CFE70000}"/>
    <cellStyle name="Normal 2 4 9 22" xfId="24787" xr:uid="{00000000-0005-0000-0000-0000D0E70000}"/>
    <cellStyle name="Normal 2 4 9 22 10" xfId="60484" xr:uid="{00000000-0005-0000-0000-0000D1E70000}"/>
    <cellStyle name="Normal 2 4 9 22 11" xfId="60485" xr:uid="{00000000-0005-0000-0000-0000D2E70000}"/>
    <cellStyle name="Normal 2 4 9 22 2" xfId="24788" xr:uid="{00000000-0005-0000-0000-0000D3E70000}"/>
    <cellStyle name="Normal 2 4 9 22 2 10" xfId="60486" xr:uid="{00000000-0005-0000-0000-0000D4E70000}"/>
    <cellStyle name="Normal 2 4 9 22 2 2" xfId="24789" xr:uid="{00000000-0005-0000-0000-0000D5E70000}"/>
    <cellStyle name="Normal 2 4 9 22 2 2 2" xfId="24790" xr:uid="{00000000-0005-0000-0000-0000D6E70000}"/>
    <cellStyle name="Normal 2 4 9 22 2 2 2 2" xfId="24791" xr:uid="{00000000-0005-0000-0000-0000D7E70000}"/>
    <cellStyle name="Normal 2 4 9 22 2 2 2 2 2" xfId="60487" xr:uid="{00000000-0005-0000-0000-0000D8E70000}"/>
    <cellStyle name="Normal 2 4 9 22 2 2 2 3" xfId="24792" xr:uid="{00000000-0005-0000-0000-0000D9E70000}"/>
    <cellStyle name="Normal 2 4 9 22 2 2 2 3 2" xfId="60488" xr:uid="{00000000-0005-0000-0000-0000DAE70000}"/>
    <cellStyle name="Normal 2 4 9 22 2 2 2 4" xfId="60489" xr:uid="{00000000-0005-0000-0000-0000DBE70000}"/>
    <cellStyle name="Normal 2 4 9 22 2 2 3" xfId="24793" xr:uid="{00000000-0005-0000-0000-0000DCE70000}"/>
    <cellStyle name="Normal 2 4 9 22 2 2 3 2" xfId="60490" xr:uid="{00000000-0005-0000-0000-0000DDE70000}"/>
    <cellStyle name="Normal 2 4 9 22 2 2 4" xfId="24794" xr:uid="{00000000-0005-0000-0000-0000DEE70000}"/>
    <cellStyle name="Normal 2 4 9 22 2 2 4 2" xfId="60491" xr:uid="{00000000-0005-0000-0000-0000DFE70000}"/>
    <cellStyle name="Normal 2 4 9 22 2 2 5" xfId="24795" xr:uid="{00000000-0005-0000-0000-0000E0E70000}"/>
    <cellStyle name="Normal 2 4 9 22 2 2 5 2" xfId="60492" xr:uid="{00000000-0005-0000-0000-0000E1E70000}"/>
    <cellStyle name="Normal 2 4 9 22 2 2 6" xfId="60493" xr:uid="{00000000-0005-0000-0000-0000E2E70000}"/>
    <cellStyle name="Normal 2 4 9 22 2 2 6 2" xfId="60494" xr:uid="{00000000-0005-0000-0000-0000E3E70000}"/>
    <cellStyle name="Normal 2 4 9 22 2 2 7" xfId="60495" xr:uid="{00000000-0005-0000-0000-0000E4E70000}"/>
    <cellStyle name="Normal 2 4 9 22 2 3" xfId="24796" xr:uid="{00000000-0005-0000-0000-0000E5E70000}"/>
    <cellStyle name="Normal 2 4 9 22 2 3 2" xfId="24797" xr:uid="{00000000-0005-0000-0000-0000E6E70000}"/>
    <cellStyle name="Normal 2 4 9 22 2 3 2 2" xfId="60496" xr:uid="{00000000-0005-0000-0000-0000E7E70000}"/>
    <cellStyle name="Normal 2 4 9 22 2 3 3" xfId="24798" xr:uid="{00000000-0005-0000-0000-0000E8E70000}"/>
    <cellStyle name="Normal 2 4 9 22 2 3 3 2" xfId="60497" xr:uid="{00000000-0005-0000-0000-0000E9E70000}"/>
    <cellStyle name="Normal 2 4 9 22 2 3 4" xfId="60498" xr:uid="{00000000-0005-0000-0000-0000EAE70000}"/>
    <cellStyle name="Normal 2 4 9 22 2 4" xfId="24799" xr:uid="{00000000-0005-0000-0000-0000EBE70000}"/>
    <cellStyle name="Normal 2 4 9 22 2 4 2" xfId="24800" xr:uid="{00000000-0005-0000-0000-0000ECE70000}"/>
    <cellStyle name="Normal 2 4 9 22 2 4 2 2" xfId="60499" xr:uid="{00000000-0005-0000-0000-0000EDE70000}"/>
    <cellStyle name="Normal 2 4 9 22 2 4 3" xfId="60500" xr:uid="{00000000-0005-0000-0000-0000EEE70000}"/>
    <cellStyle name="Normal 2 4 9 22 2 5" xfId="24801" xr:uid="{00000000-0005-0000-0000-0000EFE70000}"/>
    <cellStyle name="Normal 2 4 9 22 2 5 2" xfId="60501" xr:uid="{00000000-0005-0000-0000-0000F0E70000}"/>
    <cellStyle name="Normal 2 4 9 22 2 6" xfId="24802" xr:uid="{00000000-0005-0000-0000-0000F1E70000}"/>
    <cellStyle name="Normal 2 4 9 22 2 6 2" xfId="60502" xr:uid="{00000000-0005-0000-0000-0000F2E70000}"/>
    <cellStyle name="Normal 2 4 9 22 2 7" xfId="60503" xr:uid="{00000000-0005-0000-0000-0000F3E70000}"/>
    <cellStyle name="Normal 2 4 9 22 2 7 2" xfId="60504" xr:uid="{00000000-0005-0000-0000-0000F4E70000}"/>
    <cellStyle name="Normal 2 4 9 22 2 8" xfId="60505" xr:uid="{00000000-0005-0000-0000-0000F5E70000}"/>
    <cellStyle name="Normal 2 4 9 22 2 9" xfId="60506" xr:uid="{00000000-0005-0000-0000-0000F6E70000}"/>
    <cellStyle name="Normal 2 4 9 22 3" xfId="24803" xr:uid="{00000000-0005-0000-0000-0000F7E70000}"/>
    <cellStyle name="Normal 2 4 9 22 3 2" xfId="24804" xr:uid="{00000000-0005-0000-0000-0000F8E70000}"/>
    <cellStyle name="Normal 2 4 9 22 3 2 2" xfId="24805" xr:uid="{00000000-0005-0000-0000-0000F9E70000}"/>
    <cellStyle name="Normal 2 4 9 22 3 2 2 2" xfId="60507" xr:uid="{00000000-0005-0000-0000-0000FAE70000}"/>
    <cellStyle name="Normal 2 4 9 22 3 2 3" xfId="24806" xr:uid="{00000000-0005-0000-0000-0000FBE70000}"/>
    <cellStyle name="Normal 2 4 9 22 3 2 3 2" xfId="60508" xr:uid="{00000000-0005-0000-0000-0000FCE70000}"/>
    <cellStyle name="Normal 2 4 9 22 3 2 4" xfId="60509" xr:uid="{00000000-0005-0000-0000-0000FDE70000}"/>
    <cellStyle name="Normal 2 4 9 22 3 3" xfId="24807" xr:uid="{00000000-0005-0000-0000-0000FEE70000}"/>
    <cellStyle name="Normal 2 4 9 22 3 3 2" xfId="60510" xr:uid="{00000000-0005-0000-0000-0000FFE70000}"/>
    <cellStyle name="Normal 2 4 9 22 3 4" xfId="24808" xr:uid="{00000000-0005-0000-0000-000000E80000}"/>
    <cellStyle name="Normal 2 4 9 22 3 4 2" xfId="60511" xr:uid="{00000000-0005-0000-0000-000001E80000}"/>
    <cellStyle name="Normal 2 4 9 22 3 5" xfId="24809" xr:uid="{00000000-0005-0000-0000-000002E80000}"/>
    <cellStyle name="Normal 2 4 9 22 3 5 2" xfId="60512" xr:uid="{00000000-0005-0000-0000-000003E80000}"/>
    <cellStyle name="Normal 2 4 9 22 3 6" xfId="60513" xr:uid="{00000000-0005-0000-0000-000004E80000}"/>
    <cellStyle name="Normal 2 4 9 22 3 6 2" xfId="60514" xr:uid="{00000000-0005-0000-0000-000005E80000}"/>
    <cellStyle name="Normal 2 4 9 22 3 7" xfId="60515" xr:uid="{00000000-0005-0000-0000-000006E80000}"/>
    <cellStyle name="Normal 2 4 9 22 4" xfId="24810" xr:uid="{00000000-0005-0000-0000-000007E80000}"/>
    <cellStyle name="Normal 2 4 9 22 4 2" xfId="24811" xr:uid="{00000000-0005-0000-0000-000008E80000}"/>
    <cellStyle name="Normal 2 4 9 22 4 2 2" xfId="60516" xr:uid="{00000000-0005-0000-0000-000009E80000}"/>
    <cellStyle name="Normal 2 4 9 22 4 3" xfId="24812" xr:uid="{00000000-0005-0000-0000-00000AE80000}"/>
    <cellStyle name="Normal 2 4 9 22 4 3 2" xfId="60517" xr:uid="{00000000-0005-0000-0000-00000BE80000}"/>
    <cellStyle name="Normal 2 4 9 22 4 4" xfId="60518" xr:uid="{00000000-0005-0000-0000-00000CE80000}"/>
    <cellStyle name="Normal 2 4 9 22 5" xfId="24813" xr:uid="{00000000-0005-0000-0000-00000DE80000}"/>
    <cellStyle name="Normal 2 4 9 22 5 2" xfId="24814" xr:uid="{00000000-0005-0000-0000-00000EE80000}"/>
    <cellStyle name="Normal 2 4 9 22 5 2 2" xfId="60519" xr:uid="{00000000-0005-0000-0000-00000FE80000}"/>
    <cellStyle name="Normal 2 4 9 22 5 3" xfId="60520" xr:uid="{00000000-0005-0000-0000-000010E80000}"/>
    <cellStyle name="Normal 2 4 9 22 6" xfId="24815" xr:uid="{00000000-0005-0000-0000-000011E80000}"/>
    <cellStyle name="Normal 2 4 9 22 6 2" xfId="60521" xr:uid="{00000000-0005-0000-0000-000012E80000}"/>
    <cellStyle name="Normal 2 4 9 22 7" xfId="24816" xr:uid="{00000000-0005-0000-0000-000013E80000}"/>
    <cellStyle name="Normal 2 4 9 22 7 2" xfId="60522" xr:uid="{00000000-0005-0000-0000-000014E80000}"/>
    <cellStyle name="Normal 2 4 9 22 8" xfId="60523" xr:uid="{00000000-0005-0000-0000-000015E80000}"/>
    <cellStyle name="Normal 2 4 9 22 8 2" xfId="60524" xr:uid="{00000000-0005-0000-0000-000016E80000}"/>
    <cellStyle name="Normal 2 4 9 22 9" xfId="60525" xr:uid="{00000000-0005-0000-0000-000017E80000}"/>
    <cellStyle name="Normal 2 4 9 23" xfId="24817" xr:uid="{00000000-0005-0000-0000-000018E80000}"/>
    <cellStyle name="Normal 2 4 9 23 10" xfId="60526" xr:uid="{00000000-0005-0000-0000-000019E80000}"/>
    <cellStyle name="Normal 2 4 9 23 11" xfId="60527" xr:uid="{00000000-0005-0000-0000-00001AE80000}"/>
    <cellStyle name="Normal 2 4 9 23 2" xfId="24818" xr:uid="{00000000-0005-0000-0000-00001BE80000}"/>
    <cellStyle name="Normal 2 4 9 23 2 10" xfId="60528" xr:uid="{00000000-0005-0000-0000-00001CE80000}"/>
    <cellStyle name="Normal 2 4 9 23 2 2" xfId="24819" xr:uid="{00000000-0005-0000-0000-00001DE80000}"/>
    <cellStyle name="Normal 2 4 9 23 2 2 2" xfId="24820" xr:uid="{00000000-0005-0000-0000-00001EE80000}"/>
    <cellStyle name="Normal 2 4 9 23 2 2 2 2" xfId="24821" xr:uid="{00000000-0005-0000-0000-00001FE80000}"/>
    <cellStyle name="Normal 2 4 9 23 2 2 2 2 2" xfId="60529" xr:uid="{00000000-0005-0000-0000-000020E80000}"/>
    <cellStyle name="Normal 2 4 9 23 2 2 2 3" xfId="24822" xr:uid="{00000000-0005-0000-0000-000021E80000}"/>
    <cellStyle name="Normal 2 4 9 23 2 2 2 3 2" xfId="60530" xr:uid="{00000000-0005-0000-0000-000022E80000}"/>
    <cellStyle name="Normal 2 4 9 23 2 2 2 4" xfId="60531" xr:uid="{00000000-0005-0000-0000-000023E80000}"/>
    <cellStyle name="Normal 2 4 9 23 2 2 3" xfId="24823" xr:uid="{00000000-0005-0000-0000-000024E80000}"/>
    <cellStyle name="Normal 2 4 9 23 2 2 3 2" xfId="60532" xr:uid="{00000000-0005-0000-0000-000025E80000}"/>
    <cellStyle name="Normal 2 4 9 23 2 2 4" xfId="24824" xr:uid="{00000000-0005-0000-0000-000026E80000}"/>
    <cellStyle name="Normal 2 4 9 23 2 2 4 2" xfId="60533" xr:uid="{00000000-0005-0000-0000-000027E80000}"/>
    <cellStyle name="Normal 2 4 9 23 2 2 5" xfId="24825" xr:uid="{00000000-0005-0000-0000-000028E80000}"/>
    <cellStyle name="Normal 2 4 9 23 2 2 5 2" xfId="60534" xr:uid="{00000000-0005-0000-0000-000029E80000}"/>
    <cellStyle name="Normal 2 4 9 23 2 2 6" xfId="60535" xr:uid="{00000000-0005-0000-0000-00002AE80000}"/>
    <cellStyle name="Normal 2 4 9 23 2 2 6 2" xfId="60536" xr:uid="{00000000-0005-0000-0000-00002BE80000}"/>
    <cellStyle name="Normal 2 4 9 23 2 2 7" xfId="60537" xr:uid="{00000000-0005-0000-0000-00002CE80000}"/>
    <cellStyle name="Normal 2 4 9 23 2 3" xfId="24826" xr:uid="{00000000-0005-0000-0000-00002DE80000}"/>
    <cellStyle name="Normal 2 4 9 23 2 3 2" xfId="24827" xr:uid="{00000000-0005-0000-0000-00002EE80000}"/>
    <cellStyle name="Normal 2 4 9 23 2 3 2 2" xfId="60538" xr:uid="{00000000-0005-0000-0000-00002FE80000}"/>
    <cellStyle name="Normal 2 4 9 23 2 3 3" xfId="24828" xr:uid="{00000000-0005-0000-0000-000030E80000}"/>
    <cellStyle name="Normal 2 4 9 23 2 3 3 2" xfId="60539" xr:uid="{00000000-0005-0000-0000-000031E80000}"/>
    <cellStyle name="Normal 2 4 9 23 2 3 4" xfId="60540" xr:uid="{00000000-0005-0000-0000-000032E80000}"/>
    <cellStyle name="Normal 2 4 9 23 2 4" xfId="24829" xr:uid="{00000000-0005-0000-0000-000033E80000}"/>
    <cellStyle name="Normal 2 4 9 23 2 4 2" xfId="24830" xr:uid="{00000000-0005-0000-0000-000034E80000}"/>
    <cellStyle name="Normal 2 4 9 23 2 4 2 2" xfId="60541" xr:uid="{00000000-0005-0000-0000-000035E80000}"/>
    <cellStyle name="Normal 2 4 9 23 2 4 3" xfId="60542" xr:uid="{00000000-0005-0000-0000-000036E80000}"/>
    <cellStyle name="Normal 2 4 9 23 2 5" xfId="24831" xr:uid="{00000000-0005-0000-0000-000037E80000}"/>
    <cellStyle name="Normal 2 4 9 23 2 5 2" xfId="60543" xr:uid="{00000000-0005-0000-0000-000038E80000}"/>
    <cellStyle name="Normal 2 4 9 23 2 6" xfId="24832" xr:uid="{00000000-0005-0000-0000-000039E80000}"/>
    <cellStyle name="Normal 2 4 9 23 2 6 2" xfId="60544" xr:uid="{00000000-0005-0000-0000-00003AE80000}"/>
    <cellStyle name="Normal 2 4 9 23 2 7" xfId="60545" xr:uid="{00000000-0005-0000-0000-00003BE80000}"/>
    <cellStyle name="Normal 2 4 9 23 2 7 2" xfId="60546" xr:uid="{00000000-0005-0000-0000-00003CE80000}"/>
    <cellStyle name="Normal 2 4 9 23 2 8" xfId="60547" xr:uid="{00000000-0005-0000-0000-00003DE80000}"/>
    <cellStyle name="Normal 2 4 9 23 2 9" xfId="60548" xr:uid="{00000000-0005-0000-0000-00003EE80000}"/>
    <cellStyle name="Normal 2 4 9 23 3" xfId="24833" xr:uid="{00000000-0005-0000-0000-00003FE80000}"/>
    <cellStyle name="Normal 2 4 9 23 3 2" xfId="24834" xr:uid="{00000000-0005-0000-0000-000040E80000}"/>
    <cellStyle name="Normal 2 4 9 23 3 2 2" xfId="24835" xr:uid="{00000000-0005-0000-0000-000041E80000}"/>
    <cellStyle name="Normal 2 4 9 23 3 2 2 2" xfId="60549" xr:uid="{00000000-0005-0000-0000-000042E80000}"/>
    <cellStyle name="Normal 2 4 9 23 3 2 3" xfId="24836" xr:uid="{00000000-0005-0000-0000-000043E80000}"/>
    <cellStyle name="Normal 2 4 9 23 3 2 3 2" xfId="60550" xr:uid="{00000000-0005-0000-0000-000044E80000}"/>
    <cellStyle name="Normal 2 4 9 23 3 2 4" xfId="60551" xr:uid="{00000000-0005-0000-0000-000045E80000}"/>
    <cellStyle name="Normal 2 4 9 23 3 3" xfId="24837" xr:uid="{00000000-0005-0000-0000-000046E80000}"/>
    <cellStyle name="Normal 2 4 9 23 3 3 2" xfId="60552" xr:uid="{00000000-0005-0000-0000-000047E80000}"/>
    <cellStyle name="Normal 2 4 9 23 3 4" xfId="24838" xr:uid="{00000000-0005-0000-0000-000048E80000}"/>
    <cellStyle name="Normal 2 4 9 23 3 4 2" xfId="60553" xr:uid="{00000000-0005-0000-0000-000049E80000}"/>
    <cellStyle name="Normal 2 4 9 23 3 5" xfId="24839" xr:uid="{00000000-0005-0000-0000-00004AE80000}"/>
    <cellStyle name="Normal 2 4 9 23 3 5 2" xfId="60554" xr:uid="{00000000-0005-0000-0000-00004BE80000}"/>
    <cellStyle name="Normal 2 4 9 23 3 6" xfId="60555" xr:uid="{00000000-0005-0000-0000-00004CE80000}"/>
    <cellStyle name="Normal 2 4 9 23 3 6 2" xfId="60556" xr:uid="{00000000-0005-0000-0000-00004DE80000}"/>
    <cellStyle name="Normal 2 4 9 23 3 7" xfId="60557" xr:uid="{00000000-0005-0000-0000-00004EE80000}"/>
    <cellStyle name="Normal 2 4 9 23 4" xfId="24840" xr:uid="{00000000-0005-0000-0000-00004FE80000}"/>
    <cellStyle name="Normal 2 4 9 23 4 2" xfId="24841" xr:uid="{00000000-0005-0000-0000-000050E80000}"/>
    <cellStyle name="Normal 2 4 9 23 4 2 2" xfId="60558" xr:uid="{00000000-0005-0000-0000-000051E80000}"/>
    <cellStyle name="Normal 2 4 9 23 4 3" xfId="24842" xr:uid="{00000000-0005-0000-0000-000052E80000}"/>
    <cellStyle name="Normal 2 4 9 23 4 3 2" xfId="60559" xr:uid="{00000000-0005-0000-0000-000053E80000}"/>
    <cellStyle name="Normal 2 4 9 23 4 4" xfId="60560" xr:uid="{00000000-0005-0000-0000-000054E80000}"/>
    <cellStyle name="Normal 2 4 9 23 5" xfId="24843" xr:uid="{00000000-0005-0000-0000-000055E80000}"/>
    <cellStyle name="Normal 2 4 9 23 5 2" xfId="24844" xr:uid="{00000000-0005-0000-0000-000056E80000}"/>
    <cellStyle name="Normal 2 4 9 23 5 2 2" xfId="60561" xr:uid="{00000000-0005-0000-0000-000057E80000}"/>
    <cellStyle name="Normal 2 4 9 23 5 3" xfId="60562" xr:uid="{00000000-0005-0000-0000-000058E80000}"/>
    <cellStyle name="Normal 2 4 9 23 6" xfId="24845" xr:uid="{00000000-0005-0000-0000-000059E80000}"/>
    <cellStyle name="Normal 2 4 9 23 6 2" xfId="60563" xr:uid="{00000000-0005-0000-0000-00005AE80000}"/>
    <cellStyle name="Normal 2 4 9 23 7" xfId="24846" xr:uid="{00000000-0005-0000-0000-00005BE80000}"/>
    <cellStyle name="Normal 2 4 9 23 7 2" xfId="60564" xr:uid="{00000000-0005-0000-0000-00005CE80000}"/>
    <cellStyle name="Normal 2 4 9 23 8" xfId="60565" xr:uid="{00000000-0005-0000-0000-00005DE80000}"/>
    <cellStyle name="Normal 2 4 9 23 8 2" xfId="60566" xr:uid="{00000000-0005-0000-0000-00005EE80000}"/>
    <cellStyle name="Normal 2 4 9 23 9" xfId="60567" xr:uid="{00000000-0005-0000-0000-00005FE80000}"/>
    <cellStyle name="Normal 2 4 9 24" xfId="24847" xr:uid="{00000000-0005-0000-0000-000060E80000}"/>
    <cellStyle name="Normal 2 4 9 24 10" xfId="60568" xr:uid="{00000000-0005-0000-0000-000061E80000}"/>
    <cellStyle name="Normal 2 4 9 24 11" xfId="60569" xr:uid="{00000000-0005-0000-0000-000062E80000}"/>
    <cellStyle name="Normal 2 4 9 24 2" xfId="24848" xr:uid="{00000000-0005-0000-0000-000063E80000}"/>
    <cellStyle name="Normal 2 4 9 24 2 10" xfId="60570" xr:uid="{00000000-0005-0000-0000-000064E80000}"/>
    <cellStyle name="Normal 2 4 9 24 2 2" xfId="24849" xr:uid="{00000000-0005-0000-0000-000065E80000}"/>
    <cellStyle name="Normal 2 4 9 24 2 2 2" xfId="24850" xr:uid="{00000000-0005-0000-0000-000066E80000}"/>
    <cellStyle name="Normal 2 4 9 24 2 2 2 2" xfId="24851" xr:uid="{00000000-0005-0000-0000-000067E80000}"/>
    <cellStyle name="Normal 2 4 9 24 2 2 2 2 2" xfId="60571" xr:uid="{00000000-0005-0000-0000-000068E80000}"/>
    <cellStyle name="Normal 2 4 9 24 2 2 2 3" xfId="24852" xr:uid="{00000000-0005-0000-0000-000069E80000}"/>
    <cellStyle name="Normal 2 4 9 24 2 2 2 3 2" xfId="60572" xr:uid="{00000000-0005-0000-0000-00006AE80000}"/>
    <cellStyle name="Normal 2 4 9 24 2 2 2 4" xfId="60573" xr:uid="{00000000-0005-0000-0000-00006BE80000}"/>
    <cellStyle name="Normal 2 4 9 24 2 2 3" xfId="24853" xr:uid="{00000000-0005-0000-0000-00006CE80000}"/>
    <cellStyle name="Normal 2 4 9 24 2 2 3 2" xfId="60574" xr:uid="{00000000-0005-0000-0000-00006DE80000}"/>
    <cellStyle name="Normal 2 4 9 24 2 2 4" xfId="24854" xr:uid="{00000000-0005-0000-0000-00006EE80000}"/>
    <cellStyle name="Normal 2 4 9 24 2 2 4 2" xfId="60575" xr:uid="{00000000-0005-0000-0000-00006FE80000}"/>
    <cellStyle name="Normal 2 4 9 24 2 2 5" xfId="24855" xr:uid="{00000000-0005-0000-0000-000070E80000}"/>
    <cellStyle name="Normal 2 4 9 24 2 2 5 2" xfId="60576" xr:uid="{00000000-0005-0000-0000-000071E80000}"/>
    <cellStyle name="Normal 2 4 9 24 2 2 6" xfId="60577" xr:uid="{00000000-0005-0000-0000-000072E80000}"/>
    <cellStyle name="Normal 2 4 9 24 2 2 6 2" xfId="60578" xr:uid="{00000000-0005-0000-0000-000073E80000}"/>
    <cellStyle name="Normal 2 4 9 24 2 2 7" xfId="60579" xr:uid="{00000000-0005-0000-0000-000074E80000}"/>
    <cellStyle name="Normal 2 4 9 24 2 3" xfId="24856" xr:uid="{00000000-0005-0000-0000-000075E80000}"/>
    <cellStyle name="Normal 2 4 9 24 2 3 2" xfId="24857" xr:uid="{00000000-0005-0000-0000-000076E80000}"/>
    <cellStyle name="Normal 2 4 9 24 2 3 2 2" xfId="60580" xr:uid="{00000000-0005-0000-0000-000077E80000}"/>
    <cellStyle name="Normal 2 4 9 24 2 3 3" xfId="24858" xr:uid="{00000000-0005-0000-0000-000078E80000}"/>
    <cellStyle name="Normal 2 4 9 24 2 3 3 2" xfId="60581" xr:uid="{00000000-0005-0000-0000-000079E80000}"/>
    <cellStyle name="Normal 2 4 9 24 2 3 4" xfId="60582" xr:uid="{00000000-0005-0000-0000-00007AE80000}"/>
    <cellStyle name="Normal 2 4 9 24 2 4" xfId="24859" xr:uid="{00000000-0005-0000-0000-00007BE80000}"/>
    <cellStyle name="Normal 2 4 9 24 2 4 2" xfId="24860" xr:uid="{00000000-0005-0000-0000-00007CE80000}"/>
    <cellStyle name="Normal 2 4 9 24 2 4 2 2" xfId="60583" xr:uid="{00000000-0005-0000-0000-00007DE80000}"/>
    <cellStyle name="Normal 2 4 9 24 2 4 3" xfId="60584" xr:uid="{00000000-0005-0000-0000-00007EE80000}"/>
    <cellStyle name="Normal 2 4 9 24 2 5" xfId="24861" xr:uid="{00000000-0005-0000-0000-00007FE80000}"/>
    <cellStyle name="Normal 2 4 9 24 2 5 2" xfId="60585" xr:uid="{00000000-0005-0000-0000-000080E80000}"/>
    <cellStyle name="Normal 2 4 9 24 2 6" xfId="24862" xr:uid="{00000000-0005-0000-0000-000081E80000}"/>
    <cellStyle name="Normal 2 4 9 24 2 6 2" xfId="60586" xr:uid="{00000000-0005-0000-0000-000082E80000}"/>
    <cellStyle name="Normal 2 4 9 24 2 7" xfId="60587" xr:uid="{00000000-0005-0000-0000-000083E80000}"/>
    <cellStyle name="Normal 2 4 9 24 2 7 2" xfId="60588" xr:uid="{00000000-0005-0000-0000-000084E80000}"/>
    <cellStyle name="Normal 2 4 9 24 2 8" xfId="60589" xr:uid="{00000000-0005-0000-0000-000085E80000}"/>
    <cellStyle name="Normal 2 4 9 24 2 9" xfId="60590" xr:uid="{00000000-0005-0000-0000-000086E80000}"/>
    <cellStyle name="Normal 2 4 9 24 3" xfId="24863" xr:uid="{00000000-0005-0000-0000-000087E80000}"/>
    <cellStyle name="Normal 2 4 9 24 3 2" xfId="24864" xr:uid="{00000000-0005-0000-0000-000088E80000}"/>
    <cellStyle name="Normal 2 4 9 24 3 2 2" xfId="24865" xr:uid="{00000000-0005-0000-0000-000089E80000}"/>
    <cellStyle name="Normal 2 4 9 24 3 2 2 2" xfId="60591" xr:uid="{00000000-0005-0000-0000-00008AE80000}"/>
    <cellStyle name="Normal 2 4 9 24 3 2 3" xfId="24866" xr:uid="{00000000-0005-0000-0000-00008BE80000}"/>
    <cellStyle name="Normal 2 4 9 24 3 2 3 2" xfId="60592" xr:uid="{00000000-0005-0000-0000-00008CE80000}"/>
    <cellStyle name="Normal 2 4 9 24 3 2 4" xfId="60593" xr:uid="{00000000-0005-0000-0000-00008DE80000}"/>
    <cellStyle name="Normal 2 4 9 24 3 3" xfId="24867" xr:uid="{00000000-0005-0000-0000-00008EE80000}"/>
    <cellStyle name="Normal 2 4 9 24 3 3 2" xfId="60594" xr:uid="{00000000-0005-0000-0000-00008FE80000}"/>
    <cellStyle name="Normal 2 4 9 24 3 4" xfId="24868" xr:uid="{00000000-0005-0000-0000-000090E80000}"/>
    <cellStyle name="Normal 2 4 9 24 3 4 2" xfId="60595" xr:uid="{00000000-0005-0000-0000-000091E80000}"/>
    <cellStyle name="Normal 2 4 9 24 3 5" xfId="24869" xr:uid="{00000000-0005-0000-0000-000092E80000}"/>
    <cellStyle name="Normal 2 4 9 24 3 5 2" xfId="60596" xr:uid="{00000000-0005-0000-0000-000093E80000}"/>
    <cellStyle name="Normal 2 4 9 24 3 6" xfId="60597" xr:uid="{00000000-0005-0000-0000-000094E80000}"/>
    <cellStyle name="Normal 2 4 9 24 3 6 2" xfId="60598" xr:uid="{00000000-0005-0000-0000-000095E80000}"/>
    <cellStyle name="Normal 2 4 9 24 3 7" xfId="60599" xr:uid="{00000000-0005-0000-0000-000096E80000}"/>
    <cellStyle name="Normal 2 4 9 24 4" xfId="24870" xr:uid="{00000000-0005-0000-0000-000097E80000}"/>
    <cellStyle name="Normal 2 4 9 24 4 2" xfId="24871" xr:uid="{00000000-0005-0000-0000-000098E80000}"/>
    <cellStyle name="Normal 2 4 9 24 4 2 2" xfId="60600" xr:uid="{00000000-0005-0000-0000-000099E80000}"/>
    <cellStyle name="Normal 2 4 9 24 4 3" xfId="24872" xr:uid="{00000000-0005-0000-0000-00009AE80000}"/>
    <cellStyle name="Normal 2 4 9 24 4 3 2" xfId="60601" xr:uid="{00000000-0005-0000-0000-00009BE80000}"/>
    <cellStyle name="Normal 2 4 9 24 4 4" xfId="60602" xr:uid="{00000000-0005-0000-0000-00009CE80000}"/>
    <cellStyle name="Normal 2 4 9 24 5" xfId="24873" xr:uid="{00000000-0005-0000-0000-00009DE80000}"/>
    <cellStyle name="Normal 2 4 9 24 5 2" xfId="24874" xr:uid="{00000000-0005-0000-0000-00009EE80000}"/>
    <cellStyle name="Normal 2 4 9 24 5 2 2" xfId="60603" xr:uid="{00000000-0005-0000-0000-00009FE80000}"/>
    <cellStyle name="Normal 2 4 9 24 5 3" xfId="60604" xr:uid="{00000000-0005-0000-0000-0000A0E80000}"/>
    <cellStyle name="Normal 2 4 9 24 6" xfId="24875" xr:uid="{00000000-0005-0000-0000-0000A1E80000}"/>
    <cellStyle name="Normal 2 4 9 24 6 2" xfId="60605" xr:uid="{00000000-0005-0000-0000-0000A2E80000}"/>
    <cellStyle name="Normal 2 4 9 24 7" xfId="24876" xr:uid="{00000000-0005-0000-0000-0000A3E80000}"/>
    <cellStyle name="Normal 2 4 9 24 7 2" xfId="60606" xr:uid="{00000000-0005-0000-0000-0000A4E80000}"/>
    <cellStyle name="Normal 2 4 9 24 8" xfId="60607" xr:uid="{00000000-0005-0000-0000-0000A5E80000}"/>
    <cellStyle name="Normal 2 4 9 24 8 2" xfId="60608" xr:uid="{00000000-0005-0000-0000-0000A6E80000}"/>
    <cellStyle name="Normal 2 4 9 24 9" xfId="60609" xr:uid="{00000000-0005-0000-0000-0000A7E80000}"/>
    <cellStyle name="Normal 2 4 9 25" xfId="24877" xr:uid="{00000000-0005-0000-0000-0000A8E80000}"/>
    <cellStyle name="Normal 2 4 9 25 10" xfId="60610" xr:uid="{00000000-0005-0000-0000-0000A9E80000}"/>
    <cellStyle name="Normal 2 4 9 25 11" xfId="60611" xr:uid="{00000000-0005-0000-0000-0000AAE80000}"/>
    <cellStyle name="Normal 2 4 9 25 2" xfId="24878" xr:uid="{00000000-0005-0000-0000-0000ABE80000}"/>
    <cellStyle name="Normal 2 4 9 25 2 10" xfId="60612" xr:uid="{00000000-0005-0000-0000-0000ACE80000}"/>
    <cellStyle name="Normal 2 4 9 25 2 2" xfId="24879" xr:uid="{00000000-0005-0000-0000-0000ADE80000}"/>
    <cellStyle name="Normal 2 4 9 25 2 2 2" xfId="24880" xr:uid="{00000000-0005-0000-0000-0000AEE80000}"/>
    <cellStyle name="Normal 2 4 9 25 2 2 2 2" xfId="24881" xr:uid="{00000000-0005-0000-0000-0000AFE80000}"/>
    <cellStyle name="Normal 2 4 9 25 2 2 2 2 2" xfId="60613" xr:uid="{00000000-0005-0000-0000-0000B0E80000}"/>
    <cellStyle name="Normal 2 4 9 25 2 2 2 3" xfId="24882" xr:uid="{00000000-0005-0000-0000-0000B1E80000}"/>
    <cellStyle name="Normal 2 4 9 25 2 2 2 3 2" xfId="60614" xr:uid="{00000000-0005-0000-0000-0000B2E80000}"/>
    <cellStyle name="Normal 2 4 9 25 2 2 2 4" xfId="60615" xr:uid="{00000000-0005-0000-0000-0000B3E80000}"/>
    <cellStyle name="Normal 2 4 9 25 2 2 3" xfId="24883" xr:uid="{00000000-0005-0000-0000-0000B4E80000}"/>
    <cellStyle name="Normal 2 4 9 25 2 2 3 2" xfId="60616" xr:uid="{00000000-0005-0000-0000-0000B5E80000}"/>
    <cellStyle name="Normal 2 4 9 25 2 2 4" xfId="24884" xr:uid="{00000000-0005-0000-0000-0000B6E80000}"/>
    <cellStyle name="Normal 2 4 9 25 2 2 4 2" xfId="60617" xr:uid="{00000000-0005-0000-0000-0000B7E80000}"/>
    <cellStyle name="Normal 2 4 9 25 2 2 5" xfId="24885" xr:uid="{00000000-0005-0000-0000-0000B8E80000}"/>
    <cellStyle name="Normal 2 4 9 25 2 2 5 2" xfId="60618" xr:uid="{00000000-0005-0000-0000-0000B9E80000}"/>
    <cellStyle name="Normal 2 4 9 25 2 2 6" xfId="60619" xr:uid="{00000000-0005-0000-0000-0000BAE80000}"/>
    <cellStyle name="Normal 2 4 9 25 2 2 6 2" xfId="60620" xr:uid="{00000000-0005-0000-0000-0000BBE80000}"/>
    <cellStyle name="Normal 2 4 9 25 2 2 7" xfId="60621" xr:uid="{00000000-0005-0000-0000-0000BCE80000}"/>
    <cellStyle name="Normal 2 4 9 25 2 3" xfId="24886" xr:uid="{00000000-0005-0000-0000-0000BDE80000}"/>
    <cellStyle name="Normal 2 4 9 25 2 3 2" xfId="24887" xr:uid="{00000000-0005-0000-0000-0000BEE80000}"/>
    <cellStyle name="Normal 2 4 9 25 2 3 2 2" xfId="60622" xr:uid="{00000000-0005-0000-0000-0000BFE80000}"/>
    <cellStyle name="Normal 2 4 9 25 2 3 3" xfId="24888" xr:uid="{00000000-0005-0000-0000-0000C0E80000}"/>
    <cellStyle name="Normal 2 4 9 25 2 3 3 2" xfId="60623" xr:uid="{00000000-0005-0000-0000-0000C1E80000}"/>
    <cellStyle name="Normal 2 4 9 25 2 3 4" xfId="60624" xr:uid="{00000000-0005-0000-0000-0000C2E80000}"/>
    <cellStyle name="Normal 2 4 9 25 2 4" xfId="24889" xr:uid="{00000000-0005-0000-0000-0000C3E80000}"/>
    <cellStyle name="Normal 2 4 9 25 2 4 2" xfId="24890" xr:uid="{00000000-0005-0000-0000-0000C4E80000}"/>
    <cellStyle name="Normal 2 4 9 25 2 4 2 2" xfId="60625" xr:uid="{00000000-0005-0000-0000-0000C5E80000}"/>
    <cellStyle name="Normal 2 4 9 25 2 4 3" xfId="60626" xr:uid="{00000000-0005-0000-0000-0000C6E80000}"/>
    <cellStyle name="Normal 2 4 9 25 2 5" xfId="24891" xr:uid="{00000000-0005-0000-0000-0000C7E80000}"/>
    <cellStyle name="Normal 2 4 9 25 2 5 2" xfId="60627" xr:uid="{00000000-0005-0000-0000-0000C8E80000}"/>
    <cellStyle name="Normal 2 4 9 25 2 6" xfId="24892" xr:uid="{00000000-0005-0000-0000-0000C9E80000}"/>
    <cellStyle name="Normal 2 4 9 25 2 6 2" xfId="60628" xr:uid="{00000000-0005-0000-0000-0000CAE80000}"/>
    <cellStyle name="Normal 2 4 9 25 2 7" xfId="60629" xr:uid="{00000000-0005-0000-0000-0000CBE80000}"/>
    <cellStyle name="Normal 2 4 9 25 2 7 2" xfId="60630" xr:uid="{00000000-0005-0000-0000-0000CCE80000}"/>
    <cellStyle name="Normal 2 4 9 25 2 8" xfId="60631" xr:uid="{00000000-0005-0000-0000-0000CDE80000}"/>
    <cellStyle name="Normal 2 4 9 25 2 9" xfId="60632" xr:uid="{00000000-0005-0000-0000-0000CEE80000}"/>
    <cellStyle name="Normal 2 4 9 25 3" xfId="24893" xr:uid="{00000000-0005-0000-0000-0000CFE80000}"/>
    <cellStyle name="Normal 2 4 9 25 3 2" xfId="24894" xr:uid="{00000000-0005-0000-0000-0000D0E80000}"/>
    <cellStyle name="Normal 2 4 9 25 3 2 2" xfId="24895" xr:uid="{00000000-0005-0000-0000-0000D1E80000}"/>
    <cellStyle name="Normal 2 4 9 25 3 2 2 2" xfId="60633" xr:uid="{00000000-0005-0000-0000-0000D2E80000}"/>
    <cellStyle name="Normal 2 4 9 25 3 2 3" xfId="24896" xr:uid="{00000000-0005-0000-0000-0000D3E80000}"/>
    <cellStyle name="Normal 2 4 9 25 3 2 3 2" xfId="60634" xr:uid="{00000000-0005-0000-0000-0000D4E80000}"/>
    <cellStyle name="Normal 2 4 9 25 3 2 4" xfId="60635" xr:uid="{00000000-0005-0000-0000-0000D5E80000}"/>
    <cellStyle name="Normal 2 4 9 25 3 3" xfId="24897" xr:uid="{00000000-0005-0000-0000-0000D6E80000}"/>
    <cellStyle name="Normal 2 4 9 25 3 3 2" xfId="60636" xr:uid="{00000000-0005-0000-0000-0000D7E80000}"/>
    <cellStyle name="Normal 2 4 9 25 3 4" xfId="24898" xr:uid="{00000000-0005-0000-0000-0000D8E80000}"/>
    <cellStyle name="Normal 2 4 9 25 3 4 2" xfId="60637" xr:uid="{00000000-0005-0000-0000-0000D9E80000}"/>
    <cellStyle name="Normal 2 4 9 25 3 5" xfId="24899" xr:uid="{00000000-0005-0000-0000-0000DAE80000}"/>
    <cellStyle name="Normal 2 4 9 25 3 5 2" xfId="60638" xr:uid="{00000000-0005-0000-0000-0000DBE80000}"/>
    <cellStyle name="Normal 2 4 9 25 3 6" xfId="60639" xr:uid="{00000000-0005-0000-0000-0000DCE80000}"/>
    <cellStyle name="Normal 2 4 9 25 3 6 2" xfId="60640" xr:uid="{00000000-0005-0000-0000-0000DDE80000}"/>
    <cellStyle name="Normal 2 4 9 25 3 7" xfId="60641" xr:uid="{00000000-0005-0000-0000-0000DEE80000}"/>
    <cellStyle name="Normal 2 4 9 25 4" xfId="24900" xr:uid="{00000000-0005-0000-0000-0000DFE80000}"/>
    <cellStyle name="Normal 2 4 9 25 4 2" xfId="24901" xr:uid="{00000000-0005-0000-0000-0000E0E80000}"/>
    <cellStyle name="Normal 2 4 9 25 4 2 2" xfId="60642" xr:uid="{00000000-0005-0000-0000-0000E1E80000}"/>
    <cellStyle name="Normal 2 4 9 25 4 3" xfId="24902" xr:uid="{00000000-0005-0000-0000-0000E2E80000}"/>
    <cellStyle name="Normal 2 4 9 25 4 3 2" xfId="60643" xr:uid="{00000000-0005-0000-0000-0000E3E80000}"/>
    <cellStyle name="Normal 2 4 9 25 4 4" xfId="60644" xr:uid="{00000000-0005-0000-0000-0000E4E80000}"/>
    <cellStyle name="Normal 2 4 9 25 5" xfId="24903" xr:uid="{00000000-0005-0000-0000-0000E5E80000}"/>
    <cellStyle name="Normal 2 4 9 25 5 2" xfId="24904" xr:uid="{00000000-0005-0000-0000-0000E6E80000}"/>
    <cellStyle name="Normal 2 4 9 25 5 2 2" xfId="60645" xr:uid="{00000000-0005-0000-0000-0000E7E80000}"/>
    <cellStyle name="Normal 2 4 9 25 5 3" xfId="60646" xr:uid="{00000000-0005-0000-0000-0000E8E80000}"/>
    <cellStyle name="Normal 2 4 9 25 6" xfId="24905" xr:uid="{00000000-0005-0000-0000-0000E9E80000}"/>
    <cellStyle name="Normal 2 4 9 25 6 2" xfId="60647" xr:uid="{00000000-0005-0000-0000-0000EAE80000}"/>
    <cellStyle name="Normal 2 4 9 25 7" xfId="24906" xr:uid="{00000000-0005-0000-0000-0000EBE80000}"/>
    <cellStyle name="Normal 2 4 9 25 7 2" xfId="60648" xr:uid="{00000000-0005-0000-0000-0000ECE80000}"/>
    <cellStyle name="Normal 2 4 9 25 8" xfId="60649" xr:uid="{00000000-0005-0000-0000-0000EDE80000}"/>
    <cellStyle name="Normal 2 4 9 25 8 2" xfId="60650" xr:uid="{00000000-0005-0000-0000-0000EEE80000}"/>
    <cellStyle name="Normal 2 4 9 25 9" xfId="60651" xr:uid="{00000000-0005-0000-0000-0000EFE80000}"/>
    <cellStyle name="Normal 2 4 9 26" xfId="24907" xr:uid="{00000000-0005-0000-0000-0000F0E80000}"/>
    <cellStyle name="Normal 2 4 9 26 10" xfId="60652" xr:uid="{00000000-0005-0000-0000-0000F1E80000}"/>
    <cellStyle name="Normal 2 4 9 26 11" xfId="60653" xr:uid="{00000000-0005-0000-0000-0000F2E80000}"/>
    <cellStyle name="Normal 2 4 9 26 2" xfId="24908" xr:uid="{00000000-0005-0000-0000-0000F3E80000}"/>
    <cellStyle name="Normal 2 4 9 26 2 10" xfId="60654" xr:uid="{00000000-0005-0000-0000-0000F4E80000}"/>
    <cellStyle name="Normal 2 4 9 26 2 2" xfId="24909" xr:uid="{00000000-0005-0000-0000-0000F5E80000}"/>
    <cellStyle name="Normal 2 4 9 26 2 2 2" xfId="24910" xr:uid="{00000000-0005-0000-0000-0000F6E80000}"/>
    <cellStyle name="Normal 2 4 9 26 2 2 2 2" xfId="24911" xr:uid="{00000000-0005-0000-0000-0000F7E80000}"/>
    <cellStyle name="Normal 2 4 9 26 2 2 2 2 2" xfId="60655" xr:uid="{00000000-0005-0000-0000-0000F8E80000}"/>
    <cellStyle name="Normal 2 4 9 26 2 2 2 3" xfId="24912" xr:uid="{00000000-0005-0000-0000-0000F9E80000}"/>
    <cellStyle name="Normal 2 4 9 26 2 2 2 3 2" xfId="60656" xr:uid="{00000000-0005-0000-0000-0000FAE80000}"/>
    <cellStyle name="Normal 2 4 9 26 2 2 2 4" xfId="60657" xr:uid="{00000000-0005-0000-0000-0000FBE80000}"/>
    <cellStyle name="Normal 2 4 9 26 2 2 3" xfId="24913" xr:uid="{00000000-0005-0000-0000-0000FCE80000}"/>
    <cellStyle name="Normal 2 4 9 26 2 2 3 2" xfId="60658" xr:uid="{00000000-0005-0000-0000-0000FDE80000}"/>
    <cellStyle name="Normal 2 4 9 26 2 2 4" xfId="24914" xr:uid="{00000000-0005-0000-0000-0000FEE80000}"/>
    <cellStyle name="Normal 2 4 9 26 2 2 4 2" xfId="60659" xr:uid="{00000000-0005-0000-0000-0000FFE80000}"/>
    <cellStyle name="Normal 2 4 9 26 2 2 5" xfId="24915" xr:uid="{00000000-0005-0000-0000-000000E90000}"/>
    <cellStyle name="Normal 2 4 9 26 2 2 5 2" xfId="60660" xr:uid="{00000000-0005-0000-0000-000001E90000}"/>
    <cellStyle name="Normal 2 4 9 26 2 2 6" xfId="60661" xr:uid="{00000000-0005-0000-0000-000002E90000}"/>
    <cellStyle name="Normal 2 4 9 26 2 2 6 2" xfId="60662" xr:uid="{00000000-0005-0000-0000-000003E90000}"/>
    <cellStyle name="Normal 2 4 9 26 2 2 7" xfId="60663" xr:uid="{00000000-0005-0000-0000-000004E90000}"/>
    <cellStyle name="Normal 2 4 9 26 2 3" xfId="24916" xr:uid="{00000000-0005-0000-0000-000005E90000}"/>
    <cellStyle name="Normal 2 4 9 26 2 3 2" xfId="24917" xr:uid="{00000000-0005-0000-0000-000006E90000}"/>
    <cellStyle name="Normal 2 4 9 26 2 3 2 2" xfId="60664" xr:uid="{00000000-0005-0000-0000-000007E90000}"/>
    <cellStyle name="Normal 2 4 9 26 2 3 3" xfId="24918" xr:uid="{00000000-0005-0000-0000-000008E90000}"/>
    <cellStyle name="Normal 2 4 9 26 2 3 3 2" xfId="60665" xr:uid="{00000000-0005-0000-0000-000009E90000}"/>
    <cellStyle name="Normal 2 4 9 26 2 3 4" xfId="60666" xr:uid="{00000000-0005-0000-0000-00000AE90000}"/>
    <cellStyle name="Normal 2 4 9 26 2 4" xfId="24919" xr:uid="{00000000-0005-0000-0000-00000BE90000}"/>
    <cellStyle name="Normal 2 4 9 26 2 4 2" xfId="24920" xr:uid="{00000000-0005-0000-0000-00000CE90000}"/>
    <cellStyle name="Normal 2 4 9 26 2 4 2 2" xfId="60667" xr:uid="{00000000-0005-0000-0000-00000DE90000}"/>
    <cellStyle name="Normal 2 4 9 26 2 4 3" xfId="60668" xr:uid="{00000000-0005-0000-0000-00000EE90000}"/>
    <cellStyle name="Normal 2 4 9 26 2 5" xfId="24921" xr:uid="{00000000-0005-0000-0000-00000FE90000}"/>
    <cellStyle name="Normal 2 4 9 26 2 5 2" xfId="60669" xr:uid="{00000000-0005-0000-0000-000010E90000}"/>
    <cellStyle name="Normal 2 4 9 26 2 6" xfId="24922" xr:uid="{00000000-0005-0000-0000-000011E90000}"/>
    <cellStyle name="Normal 2 4 9 26 2 6 2" xfId="60670" xr:uid="{00000000-0005-0000-0000-000012E90000}"/>
    <cellStyle name="Normal 2 4 9 26 2 7" xfId="60671" xr:uid="{00000000-0005-0000-0000-000013E90000}"/>
    <cellStyle name="Normal 2 4 9 26 2 7 2" xfId="60672" xr:uid="{00000000-0005-0000-0000-000014E90000}"/>
    <cellStyle name="Normal 2 4 9 26 2 8" xfId="60673" xr:uid="{00000000-0005-0000-0000-000015E90000}"/>
    <cellStyle name="Normal 2 4 9 26 2 9" xfId="60674" xr:uid="{00000000-0005-0000-0000-000016E90000}"/>
    <cellStyle name="Normal 2 4 9 26 3" xfId="24923" xr:uid="{00000000-0005-0000-0000-000017E90000}"/>
    <cellStyle name="Normal 2 4 9 26 3 2" xfId="24924" xr:uid="{00000000-0005-0000-0000-000018E90000}"/>
    <cellStyle name="Normal 2 4 9 26 3 2 2" xfId="24925" xr:uid="{00000000-0005-0000-0000-000019E90000}"/>
    <cellStyle name="Normal 2 4 9 26 3 2 2 2" xfId="60675" xr:uid="{00000000-0005-0000-0000-00001AE90000}"/>
    <cellStyle name="Normal 2 4 9 26 3 2 3" xfId="24926" xr:uid="{00000000-0005-0000-0000-00001BE90000}"/>
    <cellStyle name="Normal 2 4 9 26 3 2 3 2" xfId="60676" xr:uid="{00000000-0005-0000-0000-00001CE90000}"/>
    <cellStyle name="Normal 2 4 9 26 3 2 4" xfId="60677" xr:uid="{00000000-0005-0000-0000-00001DE90000}"/>
    <cellStyle name="Normal 2 4 9 26 3 3" xfId="24927" xr:uid="{00000000-0005-0000-0000-00001EE90000}"/>
    <cellStyle name="Normal 2 4 9 26 3 3 2" xfId="60678" xr:uid="{00000000-0005-0000-0000-00001FE90000}"/>
    <cellStyle name="Normal 2 4 9 26 3 4" xfId="24928" xr:uid="{00000000-0005-0000-0000-000020E90000}"/>
    <cellStyle name="Normal 2 4 9 26 3 4 2" xfId="60679" xr:uid="{00000000-0005-0000-0000-000021E90000}"/>
    <cellStyle name="Normal 2 4 9 26 3 5" xfId="24929" xr:uid="{00000000-0005-0000-0000-000022E90000}"/>
    <cellStyle name="Normal 2 4 9 26 3 5 2" xfId="60680" xr:uid="{00000000-0005-0000-0000-000023E90000}"/>
    <cellStyle name="Normal 2 4 9 26 3 6" xfId="60681" xr:uid="{00000000-0005-0000-0000-000024E90000}"/>
    <cellStyle name="Normal 2 4 9 26 3 6 2" xfId="60682" xr:uid="{00000000-0005-0000-0000-000025E90000}"/>
    <cellStyle name="Normal 2 4 9 26 3 7" xfId="60683" xr:uid="{00000000-0005-0000-0000-000026E90000}"/>
    <cellStyle name="Normal 2 4 9 26 4" xfId="24930" xr:uid="{00000000-0005-0000-0000-000027E90000}"/>
    <cellStyle name="Normal 2 4 9 26 4 2" xfId="24931" xr:uid="{00000000-0005-0000-0000-000028E90000}"/>
    <cellStyle name="Normal 2 4 9 26 4 2 2" xfId="60684" xr:uid="{00000000-0005-0000-0000-000029E90000}"/>
    <cellStyle name="Normal 2 4 9 26 4 3" xfId="24932" xr:uid="{00000000-0005-0000-0000-00002AE90000}"/>
    <cellStyle name="Normal 2 4 9 26 4 3 2" xfId="60685" xr:uid="{00000000-0005-0000-0000-00002BE90000}"/>
    <cellStyle name="Normal 2 4 9 26 4 4" xfId="60686" xr:uid="{00000000-0005-0000-0000-00002CE90000}"/>
    <cellStyle name="Normal 2 4 9 26 5" xfId="24933" xr:uid="{00000000-0005-0000-0000-00002DE90000}"/>
    <cellStyle name="Normal 2 4 9 26 5 2" xfId="24934" xr:uid="{00000000-0005-0000-0000-00002EE90000}"/>
    <cellStyle name="Normal 2 4 9 26 5 2 2" xfId="60687" xr:uid="{00000000-0005-0000-0000-00002FE90000}"/>
    <cellStyle name="Normal 2 4 9 26 5 3" xfId="60688" xr:uid="{00000000-0005-0000-0000-000030E90000}"/>
    <cellStyle name="Normal 2 4 9 26 6" xfId="24935" xr:uid="{00000000-0005-0000-0000-000031E90000}"/>
    <cellStyle name="Normal 2 4 9 26 6 2" xfId="60689" xr:uid="{00000000-0005-0000-0000-000032E90000}"/>
    <cellStyle name="Normal 2 4 9 26 7" xfId="24936" xr:uid="{00000000-0005-0000-0000-000033E90000}"/>
    <cellStyle name="Normal 2 4 9 26 7 2" xfId="60690" xr:uid="{00000000-0005-0000-0000-000034E90000}"/>
    <cellStyle name="Normal 2 4 9 26 8" xfId="60691" xr:uid="{00000000-0005-0000-0000-000035E90000}"/>
    <cellStyle name="Normal 2 4 9 26 8 2" xfId="60692" xr:uid="{00000000-0005-0000-0000-000036E90000}"/>
    <cellStyle name="Normal 2 4 9 26 9" xfId="60693" xr:uid="{00000000-0005-0000-0000-000037E90000}"/>
    <cellStyle name="Normal 2 4 9 27" xfId="24937" xr:uid="{00000000-0005-0000-0000-000038E90000}"/>
    <cellStyle name="Normal 2 4 9 27 10" xfId="60694" xr:uid="{00000000-0005-0000-0000-000039E90000}"/>
    <cellStyle name="Normal 2 4 9 27 11" xfId="60695" xr:uid="{00000000-0005-0000-0000-00003AE90000}"/>
    <cellStyle name="Normal 2 4 9 27 2" xfId="24938" xr:uid="{00000000-0005-0000-0000-00003BE90000}"/>
    <cellStyle name="Normal 2 4 9 27 2 10" xfId="60696" xr:uid="{00000000-0005-0000-0000-00003CE90000}"/>
    <cellStyle name="Normal 2 4 9 27 2 2" xfId="24939" xr:uid="{00000000-0005-0000-0000-00003DE90000}"/>
    <cellStyle name="Normal 2 4 9 27 2 2 2" xfId="24940" xr:uid="{00000000-0005-0000-0000-00003EE90000}"/>
    <cellStyle name="Normal 2 4 9 27 2 2 2 2" xfId="24941" xr:uid="{00000000-0005-0000-0000-00003FE90000}"/>
    <cellStyle name="Normal 2 4 9 27 2 2 2 2 2" xfId="60697" xr:uid="{00000000-0005-0000-0000-000040E90000}"/>
    <cellStyle name="Normal 2 4 9 27 2 2 2 3" xfId="24942" xr:uid="{00000000-0005-0000-0000-000041E90000}"/>
    <cellStyle name="Normal 2 4 9 27 2 2 2 3 2" xfId="60698" xr:uid="{00000000-0005-0000-0000-000042E90000}"/>
    <cellStyle name="Normal 2 4 9 27 2 2 2 4" xfId="60699" xr:uid="{00000000-0005-0000-0000-000043E90000}"/>
    <cellStyle name="Normal 2 4 9 27 2 2 3" xfId="24943" xr:uid="{00000000-0005-0000-0000-000044E90000}"/>
    <cellStyle name="Normal 2 4 9 27 2 2 3 2" xfId="60700" xr:uid="{00000000-0005-0000-0000-000045E90000}"/>
    <cellStyle name="Normal 2 4 9 27 2 2 4" xfId="24944" xr:uid="{00000000-0005-0000-0000-000046E90000}"/>
    <cellStyle name="Normal 2 4 9 27 2 2 4 2" xfId="60701" xr:uid="{00000000-0005-0000-0000-000047E90000}"/>
    <cellStyle name="Normal 2 4 9 27 2 2 5" xfId="24945" xr:uid="{00000000-0005-0000-0000-000048E90000}"/>
    <cellStyle name="Normal 2 4 9 27 2 2 5 2" xfId="60702" xr:uid="{00000000-0005-0000-0000-000049E90000}"/>
    <cellStyle name="Normal 2 4 9 27 2 2 6" xfId="60703" xr:uid="{00000000-0005-0000-0000-00004AE90000}"/>
    <cellStyle name="Normal 2 4 9 27 2 2 6 2" xfId="60704" xr:uid="{00000000-0005-0000-0000-00004BE90000}"/>
    <cellStyle name="Normal 2 4 9 27 2 2 7" xfId="60705" xr:uid="{00000000-0005-0000-0000-00004CE90000}"/>
    <cellStyle name="Normal 2 4 9 27 2 3" xfId="24946" xr:uid="{00000000-0005-0000-0000-00004DE90000}"/>
    <cellStyle name="Normal 2 4 9 27 2 3 2" xfId="24947" xr:uid="{00000000-0005-0000-0000-00004EE90000}"/>
    <cellStyle name="Normal 2 4 9 27 2 3 2 2" xfId="60706" xr:uid="{00000000-0005-0000-0000-00004FE90000}"/>
    <cellStyle name="Normal 2 4 9 27 2 3 3" xfId="24948" xr:uid="{00000000-0005-0000-0000-000050E90000}"/>
    <cellStyle name="Normal 2 4 9 27 2 3 3 2" xfId="60707" xr:uid="{00000000-0005-0000-0000-000051E90000}"/>
    <cellStyle name="Normal 2 4 9 27 2 3 4" xfId="60708" xr:uid="{00000000-0005-0000-0000-000052E90000}"/>
    <cellStyle name="Normal 2 4 9 27 2 4" xfId="24949" xr:uid="{00000000-0005-0000-0000-000053E90000}"/>
    <cellStyle name="Normal 2 4 9 27 2 4 2" xfId="24950" xr:uid="{00000000-0005-0000-0000-000054E90000}"/>
    <cellStyle name="Normal 2 4 9 27 2 4 2 2" xfId="60709" xr:uid="{00000000-0005-0000-0000-000055E90000}"/>
    <cellStyle name="Normal 2 4 9 27 2 4 3" xfId="60710" xr:uid="{00000000-0005-0000-0000-000056E90000}"/>
    <cellStyle name="Normal 2 4 9 27 2 5" xfId="24951" xr:uid="{00000000-0005-0000-0000-000057E90000}"/>
    <cellStyle name="Normal 2 4 9 27 2 5 2" xfId="60711" xr:uid="{00000000-0005-0000-0000-000058E90000}"/>
    <cellStyle name="Normal 2 4 9 27 2 6" xfId="24952" xr:uid="{00000000-0005-0000-0000-000059E90000}"/>
    <cellStyle name="Normal 2 4 9 27 2 6 2" xfId="60712" xr:uid="{00000000-0005-0000-0000-00005AE90000}"/>
    <cellStyle name="Normal 2 4 9 27 2 7" xfId="60713" xr:uid="{00000000-0005-0000-0000-00005BE90000}"/>
    <cellStyle name="Normal 2 4 9 27 2 7 2" xfId="60714" xr:uid="{00000000-0005-0000-0000-00005CE90000}"/>
    <cellStyle name="Normal 2 4 9 27 2 8" xfId="60715" xr:uid="{00000000-0005-0000-0000-00005DE90000}"/>
    <cellStyle name="Normal 2 4 9 27 2 9" xfId="60716" xr:uid="{00000000-0005-0000-0000-00005EE90000}"/>
    <cellStyle name="Normal 2 4 9 27 3" xfId="24953" xr:uid="{00000000-0005-0000-0000-00005FE90000}"/>
    <cellStyle name="Normal 2 4 9 27 3 2" xfId="24954" xr:uid="{00000000-0005-0000-0000-000060E90000}"/>
    <cellStyle name="Normal 2 4 9 27 3 2 2" xfId="24955" xr:uid="{00000000-0005-0000-0000-000061E90000}"/>
    <cellStyle name="Normal 2 4 9 27 3 2 2 2" xfId="60717" xr:uid="{00000000-0005-0000-0000-000062E90000}"/>
    <cellStyle name="Normal 2 4 9 27 3 2 3" xfId="24956" xr:uid="{00000000-0005-0000-0000-000063E90000}"/>
    <cellStyle name="Normal 2 4 9 27 3 2 3 2" xfId="60718" xr:uid="{00000000-0005-0000-0000-000064E90000}"/>
    <cellStyle name="Normal 2 4 9 27 3 2 4" xfId="60719" xr:uid="{00000000-0005-0000-0000-000065E90000}"/>
    <cellStyle name="Normal 2 4 9 27 3 3" xfId="24957" xr:uid="{00000000-0005-0000-0000-000066E90000}"/>
    <cellStyle name="Normal 2 4 9 27 3 3 2" xfId="60720" xr:uid="{00000000-0005-0000-0000-000067E90000}"/>
    <cellStyle name="Normal 2 4 9 27 3 4" xfId="24958" xr:uid="{00000000-0005-0000-0000-000068E90000}"/>
    <cellStyle name="Normal 2 4 9 27 3 4 2" xfId="60721" xr:uid="{00000000-0005-0000-0000-000069E90000}"/>
    <cellStyle name="Normal 2 4 9 27 3 5" xfId="24959" xr:uid="{00000000-0005-0000-0000-00006AE90000}"/>
    <cellStyle name="Normal 2 4 9 27 3 5 2" xfId="60722" xr:uid="{00000000-0005-0000-0000-00006BE90000}"/>
    <cellStyle name="Normal 2 4 9 27 3 6" xfId="60723" xr:uid="{00000000-0005-0000-0000-00006CE90000}"/>
    <cellStyle name="Normal 2 4 9 27 3 6 2" xfId="60724" xr:uid="{00000000-0005-0000-0000-00006DE90000}"/>
    <cellStyle name="Normal 2 4 9 27 3 7" xfId="60725" xr:uid="{00000000-0005-0000-0000-00006EE90000}"/>
    <cellStyle name="Normal 2 4 9 27 4" xfId="24960" xr:uid="{00000000-0005-0000-0000-00006FE90000}"/>
    <cellStyle name="Normal 2 4 9 27 4 2" xfId="24961" xr:uid="{00000000-0005-0000-0000-000070E90000}"/>
    <cellStyle name="Normal 2 4 9 27 4 2 2" xfId="60726" xr:uid="{00000000-0005-0000-0000-000071E90000}"/>
    <cellStyle name="Normal 2 4 9 27 4 3" xfId="24962" xr:uid="{00000000-0005-0000-0000-000072E90000}"/>
    <cellStyle name="Normal 2 4 9 27 4 3 2" xfId="60727" xr:uid="{00000000-0005-0000-0000-000073E90000}"/>
    <cellStyle name="Normal 2 4 9 27 4 4" xfId="60728" xr:uid="{00000000-0005-0000-0000-000074E90000}"/>
    <cellStyle name="Normal 2 4 9 27 5" xfId="24963" xr:uid="{00000000-0005-0000-0000-000075E90000}"/>
    <cellStyle name="Normal 2 4 9 27 5 2" xfId="24964" xr:uid="{00000000-0005-0000-0000-000076E90000}"/>
    <cellStyle name="Normal 2 4 9 27 5 2 2" xfId="60729" xr:uid="{00000000-0005-0000-0000-000077E90000}"/>
    <cellStyle name="Normal 2 4 9 27 5 3" xfId="60730" xr:uid="{00000000-0005-0000-0000-000078E90000}"/>
    <cellStyle name="Normal 2 4 9 27 6" xfId="24965" xr:uid="{00000000-0005-0000-0000-000079E90000}"/>
    <cellStyle name="Normal 2 4 9 27 6 2" xfId="60731" xr:uid="{00000000-0005-0000-0000-00007AE90000}"/>
    <cellStyle name="Normal 2 4 9 27 7" xfId="24966" xr:uid="{00000000-0005-0000-0000-00007BE90000}"/>
    <cellStyle name="Normal 2 4 9 27 7 2" xfId="60732" xr:uid="{00000000-0005-0000-0000-00007CE90000}"/>
    <cellStyle name="Normal 2 4 9 27 8" xfId="60733" xr:uid="{00000000-0005-0000-0000-00007DE90000}"/>
    <cellStyle name="Normal 2 4 9 27 8 2" xfId="60734" xr:uid="{00000000-0005-0000-0000-00007EE90000}"/>
    <cellStyle name="Normal 2 4 9 27 9" xfId="60735" xr:uid="{00000000-0005-0000-0000-00007FE90000}"/>
    <cellStyle name="Normal 2 4 9 28" xfId="24967" xr:uid="{00000000-0005-0000-0000-000080E90000}"/>
    <cellStyle name="Normal 2 4 9 28 10" xfId="60736" xr:uid="{00000000-0005-0000-0000-000081E90000}"/>
    <cellStyle name="Normal 2 4 9 28 11" xfId="60737" xr:uid="{00000000-0005-0000-0000-000082E90000}"/>
    <cellStyle name="Normal 2 4 9 28 2" xfId="24968" xr:uid="{00000000-0005-0000-0000-000083E90000}"/>
    <cellStyle name="Normal 2 4 9 28 2 10" xfId="60738" xr:uid="{00000000-0005-0000-0000-000084E90000}"/>
    <cellStyle name="Normal 2 4 9 28 2 2" xfId="24969" xr:uid="{00000000-0005-0000-0000-000085E90000}"/>
    <cellStyle name="Normal 2 4 9 28 2 2 2" xfId="24970" xr:uid="{00000000-0005-0000-0000-000086E90000}"/>
    <cellStyle name="Normal 2 4 9 28 2 2 2 2" xfId="24971" xr:uid="{00000000-0005-0000-0000-000087E90000}"/>
    <cellStyle name="Normal 2 4 9 28 2 2 2 2 2" xfId="60739" xr:uid="{00000000-0005-0000-0000-000088E90000}"/>
    <cellStyle name="Normal 2 4 9 28 2 2 2 3" xfId="24972" xr:uid="{00000000-0005-0000-0000-000089E90000}"/>
    <cellStyle name="Normal 2 4 9 28 2 2 2 3 2" xfId="60740" xr:uid="{00000000-0005-0000-0000-00008AE90000}"/>
    <cellStyle name="Normal 2 4 9 28 2 2 2 4" xfId="60741" xr:uid="{00000000-0005-0000-0000-00008BE90000}"/>
    <cellStyle name="Normal 2 4 9 28 2 2 3" xfId="24973" xr:uid="{00000000-0005-0000-0000-00008CE90000}"/>
    <cellStyle name="Normal 2 4 9 28 2 2 3 2" xfId="60742" xr:uid="{00000000-0005-0000-0000-00008DE90000}"/>
    <cellStyle name="Normal 2 4 9 28 2 2 4" xfId="24974" xr:uid="{00000000-0005-0000-0000-00008EE90000}"/>
    <cellStyle name="Normal 2 4 9 28 2 2 4 2" xfId="60743" xr:uid="{00000000-0005-0000-0000-00008FE90000}"/>
    <cellStyle name="Normal 2 4 9 28 2 2 5" xfId="24975" xr:uid="{00000000-0005-0000-0000-000090E90000}"/>
    <cellStyle name="Normal 2 4 9 28 2 2 5 2" xfId="60744" xr:uid="{00000000-0005-0000-0000-000091E90000}"/>
    <cellStyle name="Normal 2 4 9 28 2 2 6" xfId="60745" xr:uid="{00000000-0005-0000-0000-000092E90000}"/>
    <cellStyle name="Normal 2 4 9 28 2 2 6 2" xfId="60746" xr:uid="{00000000-0005-0000-0000-000093E90000}"/>
    <cellStyle name="Normal 2 4 9 28 2 2 7" xfId="60747" xr:uid="{00000000-0005-0000-0000-000094E90000}"/>
    <cellStyle name="Normal 2 4 9 28 2 3" xfId="24976" xr:uid="{00000000-0005-0000-0000-000095E90000}"/>
    <cellStyle name="Normal 2 4 9 28 2 3 2" xfId="24977" xr:uid="{00000000-0005-0000-0000-000096E90000}"/>
    <cellStyle name="Normal 2 4 9 28 2 3 2 2" xfId="60748" xr:uid="{00000000-0005-0000-0000-000097E90000}"/>
    <cellStyle name="Normal 2 4 9 28 2 3 3" xfId="24978" xr:uid="{00000000-0005-0000-0000-000098E90000}"/>
    <cellStyle name="Normal 2 4 9 28 2 3 3 2" xfId="60749" xr:uid="{00000000-0005-0000-0000-000099E90000}"/>
    <cellStyle name="Normal 2 4 9 28 2 3 4" xfId="60750" xr:uid="{00000000-0005-0000-0000-00009AE90000}"/>
    <cellStyle name="Normal 2 4 9 28 2 4" xfId="24979" xr:uid="{00000000-0005-0000-0000-00009BE90000}"/>
    <cellStyle name="Normal 2 4 9 28 2 4 2" xfId="24980" xr:uid="{00000000-0005-0000-0000-00009CE90000}"/>
    <cellStyle name="Normal 2 4 9 28 2 4 2 2" xfId="60751" xr:uid="{00000000-0005-0000-0000-00009DE90000}"/>
    <cellStyle name="Normal 2 4 9 28 2 4 3" xfId="60752" xr:uid="{00000000-0005-0000-0000-00009EE90000}"/>
    <cellStyle name="Normal 2 4 9 28 2 5" xfId="24981" xr:uid="{00000000-0005-0000-0000-00009FE90000}"/>
    <cellStyle name="Normal 2 4 9 28 2 5 2" xfId="60753" xr:uid="{00000000-0005-0000-0000-0000A0E90000}"/>
    <cellStyle name="Normal 2 4 9 28 2 6" xfId="24982" xr:uid="{00000000-0005-0000-0000-0000A1E90000}"/>
    <cellStyle name="Normal 2 4 9 28 2 6 2" xfId="60754" xr:uid="{00000000-0005-0000-0000-0000A2E90000}"/>
    <cellStyle name="Normal 2 4 9 28 2 7" xfId="60755" xr:uid="{00000000-0005-0000-0000-0000A3E90000}"/>
    <cellStyle name="Normal 2 4 9 28 2 7 2" xfId="60756" xr:uid="{00000000-0005-0000-0000-0000A4E90000}"/>
    <cellStyle name="Normal 2 4 9 28 2 8" xfId="60757" xr:uid="{00000000-0005-0000-0000-0000A5E90000}"/>
    <cellStyle name="Normal 2 4 9 28 2 9" xfId="60758" xr:uid="{00000000-0005-0000-0000-0000A6E90000}"/>
    <cellStyle name="Normal 2 4 9 28 3" xfId="24983" xr:uid="{00000000-0005-0000-0000-0000A7E90000}"/>
    <cellStyle name="Normal 2 4 9 28 3 2" xfId="24984" xr:uid="{00000000-0005-0000-0000-0000A8E90000}"/>
    <cellStyle name="Normal 2 4 9 28 3 2 2" xfId="24985" xr:uid="{00000000-0005-0000-0000-0000A9E90000}"/>
    <cellStyle name="Normal 2 4 9 28 3 2 2 2" xfId="60759" xr:uid="{00000000-0005-0000-0000-0000AAE90000}"/>
    <cellStyle name="Normal 2 4 9 28 3 2 3" xfId="24986" xr:uid="{00000000-0005-0000-0000-0000ABE90000}"/>
    <cellStyle name="Normal 2 4 9 28 3 2 3 2" xfId="60760" xr:uid="{00000000-0005-0000-0000-0000ACE90000}"/>
    <cellStyle name="Normal 2 4 9 28 3 2 4" xfId="60761" xr:uid="{00000000-0005-0000-0000-0000ADE90000}"/>
    <cellStyle name="Normal 2 4 9 28 3 3" xfId="24987" xr:uid="{00000000-0005-0000-0000-0000AEE90000}"/>
    <cellStyle name="Normal 2 4 9 28 3 3 2" xfId="60762" xr:uid="{00000000-0005-0000-0000-0000AFE90000}"/>
    <cellStyle name="Normal 2 4 9 28 3 4" xfId="24988" xr:uid="{00000000-0005-0000-0000-0000B0E90000}"/>
    <cellStyle name="Normal 2 4 9 28 3 4 2" xfId="60763" xr:uid="{00000000-0005-0000-0000-0000B1E90000}"/>
    <cellStyle name="Normal 2 4 9 28 3 5" xfId="24989" xr:uid="{00000000-0005-0000-0000-0000B2E90000}"/>
    <cellStyle name="Normal 2 4 9 28 3 5 2" xfId="60764" xr:uid="{00000000-0005-0000-0000-0000B3E90000}"/>
    <cellStyle name="Normal 2 4 9 28 3 6" xfId="60765" xr:uid="{00000000-0005-0000-0000-0000B4E90000}"/>
    <cellStyle name="Normal 2 4 9 28 3 6 2" xfId="60766" xr:uid="{00000000-0005-0000-0000-0000B5E90000}"/>
    <cellStyle name="Normal 2 4 9 28 3 7" xfId="60767" xr:uid="{00000000-0005-0000-0000-0000B6E90000}"/>
    <cellStyle name="Normal 2 4 9 28 4" xfId="24990" xr:uid="{00000000-0005-0000-0000-0000B7E90000}"/>
    <cellStyle name="Normal 2 4 9 28 4 2" xfId="24991" xr:uid="{00000000-0005-0000-0000-0000B8E90000}"/>
    <cellStyle name="Normal 2 4 9 28 4 2 2" xfId="60768" xr:uid="{00000000-0005-0000-0000-0000B9E90000}"/>
    <cellStyle name="Normal 2 4 9 28 4 3" xfId="24992" xr:uid="{00000000-0005-0000-0000-0000BAE90000}"/>
    <cellStyle name="Normal 2 4 9 28 4 3 2" xfId="60769" xr:uid="{00000000-0005-0000-0000-0000BBE90000}"/>
    <cellStyle name="Normal 2 4 9 28 4 4" xfId="60770" xr:uid="{00000000-0005-0000-0000-0000BCE90000}"/>
    <cellStyle name="Normal 2 4 9 28 5" xfId="24993" xr:uid="{00000000-0005-0000-0000-0000BDE90000}"/>
    <cellStyle name="Normal 2 4 9 28 5 2" xfId="24994" xr:uid="{00000000-0005-0000-0000-0000BEE90000}"/>
    <cellStyle name="Normal 2 4 9 28 5 2 2" xfId="60771" xr:uid="{00000000-0005-0000-0000-0000BFE90000}"/>
    <cellStyle name="Normal 2 4 9 28 5 3" xfId="60772" xr:uid="{00000000-0005-0000-0000-0000C0E90000}"/>
    <cellStyle name="Normal 2 4 9 28 6" xfId="24995" xr:uid="{00000000-0005-0000-0000-0000C1E90000}"/>
    <cellStyle name="Normal 2 4 9 28 6 2" xfId="60773" xr:uid="{00000000-0005-0000-0000-0000C2E90000}"/>
    <cellStyle name="Normal 2 4 9 28 7" xfId="24996" xr:uid="{00000000-0005-0000-0000-0000C3E90000}"/>
    <cellStyle name="Normal 2 4 9 28 7 2" xfId="60774" xr:uid="{00000000-0005-0000-0000-0000C4E90000}"/>
    <cellStyle name="Normal 2 4 9 28 8" xfId="60775" xr:uid="{00000000-0005-0000-0000-0000C5E90000}"/>
    <cellStyle name="Normal 2 4 9 28 8 2" xfId="60776" xr:uid="{00000000-0005-0000-0000-0000C6E90000}"/>
    <cellStyle name="Normal 2 4 9 28 9" xfId="60777" xr:uid="{00000000-0005-0000-0000-0000C7E90000}"/>
    <cellStyle name="Normal 2 4 9 29" xfId="24997" xr:uid="{00000000-0005-0000-0000-0000C8E90000}"/>
    <cellStyle name="Normal 2 4 9 29 10" xfId="60778" xr:uid="{00000000-0005-0000-0000-0000C9E90000}"/>
    <cellStyle name="Normal 2 4 9 29 11" xfId="60779" xr:uid="{00000000-0005-0000-0000-0000CAE90000}"/>
    <cellStyle name="Normal 2 4 9 29 2" xfId="24998" xr:uid="{00000000-0005-0000-0000-0000CBE90000}"/>
    <cellStyle name="Normal 2 4 9 29 2 10" xfId="60780" xr:uid="{00000000-0005-0000-0000-0000CCE90000}"/>
    <cellStyle name="Normal 2 4 9 29 2 2" xfId="24999" xr:uid="{00000000-0005-0000-0000-0000CDE90000}"/>
    <cellStyle name="Normal 2 4 9 29 2 2 2" xfId="25000" xr:uid="{00000000-0005-0000-0000-0000CEE90000}"/>
    <cellStyle name="Normal 2 4 9 29 2 2 2 2" xfId="25001" xr:uid="{00000000-0005-0000-0000-0000CFE90000}"/>
    <cellStyle name="Normal 2 4 9 29 2 2 2 2 2" xfId="60781" xr:uid="{00000000-0005-0000-0000-0000D0E90000}"/>
    <cellStyle name="Normal 2 4 9 29 2 2 2 3" xfId="25002" xr:uid="{00000000-0005-0000-0000-0000D1E90000}"/>
    <cellStyle name="Normal 2 4 9 29 2 2 2 3 2" xfId="60782" xr:uid="{00000000-0005-0000-0000-0000D2E90000}"/>
    <cellStyle name="Normal 2 4 9 29 2 2 2 4" xfId="60783" xr:uid="{00000000-0005-0000-0000-0000D3E90000}"/>
    <cellStyle name="Normal 2 4 9 29 2 2 3" xfId="25003" xr:uid="{00000000-0005-0000-0000-0000D4E90000}"/>
    <cellStyle name="Normal 2 4 9 29 2 2 3 2" xfId="60784" xr:uid="{00000000-0005-0000-0000-0000D5E90000}"/>
    <cellStyle name="Normal 2 4 9 29 2 2 4" xfId="25004" xr:uid="{00000000-0005-0000-0000-0000D6E90000}"/>
    <cellStyle name="Normal 2 4 9 29 2 2 4 2" xfId="60785" xr:uid="{00000000-0005-0000-0000-0000D7E90000}"/>
    <cellStyle name="Normal 2 4 9 29 2 2 5" xfId="25005" xr:uid="{00000000-0005-0000-0000-0000D8E90000}"/>
    <cellStyle name="Normal 2 4 9 29 2 2 5 2" xfId="60786" xr:uid="{00000000-0005-0000-0000-0000D9E90000}"/>
    <cellStyle name="Normal 2 4 9 29 2 2 6" xfId="60787" xr:uid="{00000000-0005-0000-0000-0000DAE90000}"/>
    <cellStyle name="Normal 2 4 9 29 2 2 6 2" xfId="60788" xr:uid="{00000000-0005-0000-0000-0000DBE90000}"/>
    <cellStyle name="Normal 2 4 9 29 2 2 7" xfId="60789" xr:uid="{00000000-0005-0000-0000-0000DCE90000}"/>
    <cellStyle name="Normal 2 4 9 29 2 3" xfId="25006" xr:uid="{00000000-0005-0000-0000-0000DDE90000}"/>
    <cellStyle name="Normal 2 4 9 29 2 3 2" xfId="25007" xr:uid="{00000000-0005-0000-0000-0000DEE90000}"/>
    <cellStyle name="Normal 2 4 9 29 2 3 2 2" xfId="60790" xr:uid="{00000000-0005-0000-0000-0000DFE90000}"/>
    <cellStyle name="Normal 2 4 9 29 2 3 3" xfId="25008" xr:uid="{00000000-0005-0000-0000-0000E0E90000}"/>
    <cellStyle name="Normal 2 4 9 29 2 3 3 2" xfId="60791" xr:uid="{00000000-0005-0000-0000-0000E1E90000}"/>
    <cellStyle name="Normal 2 4 9 29 2 3 4" xfId="60792" xr:uid="{00000000-0005-0000-0000-0000E2E90000}"/>
    <cellStyle name="Normal 2 4 9 29 2 4" xfId="25009" xr:uid="{00000000-0005-0000-0000-0000E3E90000}"/>
    <cellStyle name="Normal 2 4 9 29 2 4 2" xfId="25010" xr:uid="{00000000-0005-0000-0000-0000E4E90000}"/>
    <cellStyle name="Normal 2 4 9 29 2 4 2 2" xfId="60793" xr:uid="{00000000-0005-0000-0000-0000E5E90000}"/>
    <cellStyle name="Normal 2 4 9 29 2 4 3" xfId="60794" xr:uid="{00000000-0005-0000-0000-0000E6E90000}"/>
    <cellStyle name="Normal 2 4 9 29 2 5" xfId="25011" xr:uid="{00000000-0005-0000-0000-0000E7E90000}"/>
    <cellStyle name="Normal 2 4 9 29 2 5 2" xfId="60795" xr:uid="{00000000-0005-0000-0000-0000E8E90000}"/>
    <cellStyle name="Normal 2 4 9 29 2 6" xfId="25012" xr:uid="{00000000-0005-0000-0000-0000E9E90000}"/>
    <cellStyle name="Normal 2 4 9 29 2 6 2" xfId="60796" xr:uid="{00000000-0005-0000-0000-0000EAE90000}"/>
    <cellStyle name="Normal 2 4 9 29 2 7" xfId="60797" xr:uid="{00000000-0005-0000-0000-0000EBE90000}"/>
    <cellStyle name="Normal 2 4 9 29 2 7 2" xfId="60798" xr:uid="{00000000-0005-0000-0000-0000ECE90000}"/>
    <cellStyle name="Normal 2 4 9 29 2 8" xfId="60799" xr:uid="{00000000-0005-0000-0000-0000EDE90000}"/>
    <cellStyle name="Normal 2 4 9 29 2 9" xfId="60800" xr:uid="{00000000-0005-0000-0000-0000EEE90000}"/>
    <cellStyle name="Normal 2 4 9 29 3" xfId="25013" xr:uid="{00000000-0005-0000-0000-0000EFE90000}"/>
    <cellStyle name="Normal 2 4 9 29 3 2" xfId="25014" xr:uid="{00000000-0005-0000-0000-0000F0E90000}"/>
    <cellStyle name="Normal 2 4 9 29 3 2 2" xfId="25015" xr:uid="{00000000-0005-0000-0000-0000F1E90000}"/>
    <cellStyle name="Normal 2 4 9 29 3 2 2 2" xfId="60801" xr:uid="{00000000-0005-0000-0000-0000F2E90000}"/>
    <cellStyle name="Normal 2 4 9 29 3 2 3" xfId="25016" xr:uid="{00000000-0005-0000-0000-0000F3E90000}"/>
    <cellStyle name="Normal 2 4 9 29 3 2 3 2" xfId="60802" xr:uid="{00000000-0005-0000-0000-0000F4E90000}"/>
    <cellStyle name="Normal 2 4 9 29 3 2 4" xfId="60803" xr:uid="{00000000-0005-0000-0000-0000F5E90000}"/>
    <cellStyle name="Normal 2 4 9 29 3 3" xfId="25017" xr:uid="{00000000-0005-0000-0000-0000F6E90000}"/>
    <cellStyle name="Normal 2 4 9 29 3 3 2" xfId="60804" xr:uid="{00000000-0005-0000-0000-0000F7E90000}"/>
    <cellStyle name="Normal 2 4 9 29 3 4" xfId="25018" xr:uid="{00000000-0005-0000-0000-0000F8E90000}"/>
    <cellStyle name="Normal 2 4 9 29 3 4 2" xfId="60805" xr:uid="{00000000-0005-0000-0000-0000F9E90000}"/>
    <cellStyle name="Normal 2 4 9 29 3 5" xfId="25019" xr:uid="{00000000-0005-0000-0000-0000FAE90000}"/>
    <cellStyle name="Normal 2 4 9 29 3 5 2" xfId="60806" xr:uid="{00000000-0005-0000-0000-0000FBE90000}"/>
    <cellStyle name="Normal 2 4 9 29 3 6" xfId="60807" xr:uid="{00000000-0005-0000-0000-0000FCE90000}"/>
    <cellStyle name="Normal 2 4 9 29 3 6 2" xfId="60808" xr:uid="{00000000-0005-0000-0000-0000FDE90000}"/>
    <cellStyle name="Normal 2 4 9 29 3 7" xfId="60809" xr:uid="{00000000-0005-0000-0000-0000FEE90000}"/>
    <cellStyle name="Normal 2 4 9 29 4" xfId="25020" xr:uid="{00000000-0005-0000-0000-0000FFE90000}"/>
    <cellStyle name="Normal 2 4 9 29 4 2" xfId="25021" xr:uid="{00000000-0005-0000-0000-000000EA0000}"/>
    <cellStyle name="Normal 2 4 9 29 4 2 2" xfId="60810" xr:uid="{00000000-0005-0000-0000-000001EA0000}"/>
    <cellStyle name="Normal 2 4 9 29 4 3" xfId="25022" xr:uid="{00000000-0005-0000-0000-000002EA0000}"/>
    <cellStyle name="Normal 2 4 9 29 4 3 2" xfId="60811" xr:uid="{00000000-0005-0000-0000-000003EA0000}"/>
    <cellStyle name="Normal 2 4 9 29 4 4" xfId="60812" xr:uid="{00000000-0005-0000-0000-000004EA0000}"/>
    <cellStyle name="Normal 2 4 9 29 5" xfId="25023" xr:uid="{00000000-0005-0000-0000-000005EA0000}"/>
    <cellStyle name="Normal 2 4 9 29 5 2" xfId="25024" xr:uid="{00000000-0005-0000-0000-000006EA0000}"/>
    <cellStyle name="Normal 2 4 9 29 5 2 2" xfId="60813" xr:uid="{00000000-0005-0000-0000-000007EA0000}"/>
    <cellStyle name="Normal 2 4 9 29 5 3" xfId="60814" xr:uid="{00000000-0005-0000-0000-000008EA0000}"/>
    <cellStyle name="Normal 2 4 9 29 6" xfId="25025" xr:uid="{00000000-0005-0000-0000-000009EA0000}"/>
    <cellStyle name="Normal 2 4 9 29 6 2" xfId="60815" xr:uid="{00000000-0005-0000-0000-00000AEA0000}"/>
    <cellStyle name="Normal 2 4 9 29 7" xfId="25026" xr:uid="{00000000-0005-0000-0000-00000BEA0000}"/>
    <cellStyle name="Normal 2 4 9 29 7 2" xfId="60816" xr:uid="{00000000-0005-0000-0000-00000CEA0000}"/>
    <cellStyle name="Normal 2 4 9 29 8" xfId="60817" xr:uid="{00000000-0005-0000-0000-00000DEA0000}"/>
    <cellStyle name="Normal 2 4 9 29 8 2" xfId="60818" xr:uid="{00000000-0005-0000-0000-00000EEA0000}"/>
    <cellStyle name="Normal 2 4 9 29 9" xfId="60819" xr:uid="{00000000-0005-0000-0000-00000FEA0000}"/>
    <cellStyle name="Normal 2 4 9 3" xfId="25027" xr:uid="{00000000-0005-0000-0000-000010EA0000}"/>
    <cellStyle name="Normal 2 4 9 3 10" xfId="60820" xr:uid="{00000000-0005-0000-0000-000011EA0000}"/>
    <cellStyle name="Normal 2 4 9 3 11" xfId="60821" xr:uid="{00000000-0005-0000-0000-000012EA0000}"/>
    <cellStyle name="Normal 2 4 9 3 2" xfId="25028" xr:uid="{00000000-0005-0000-0000-000013EA0000}"/>
    <cellStyle name="Normal 2 4 9 3 2 10" xfId="60822" xr:uid="{00000000-0005-0000-0000-000014EA0000}"/>
    <cellStyle name="Normal 2 4 9 3 2 2" xfId="25029" xr:uid="{00000000-0005-0000-0000-000015EA0000}"/>
    <cellStyle name="Normal 2 4 9 3 2 2 2" xfId="25030" xr:uid="{00000000-0005-0000-0000-000016EA0000}"/>
    <cellStyle name="Normal 2 4 9 3 2 2 2 2" xfId="25031" xr:uid="{00000000-0005-0000-0000-000017EA0000}"/>
    <cellStyle name="Normal 2 4 9 3 2 2 2 2 2" xfId="60823" xr:uid="{00000000-0005-0000-0000-000018EA0000}"/>
    <cellStyle name="Normal 2 4 9 3 2 2 2 3" xfId="25032" xr:uid="{00000000-0005-0000-0000-000019EA0000}"/>
    <cellStyle name="Normal 2 4 9 3 2 2 2 3 2" xfId="60824" xr:uid="{00000000-0005-0000-0000-00001AEA0000}"/>
    <cellStyle name="Normal 2 4 9 3 2 2 2 4" xfId="60825" xr:uid="{00000000-0005-0000-0000-00001BEA0000}"/>
    <cellStyle name="Normal 2 4 9 3 2 2 3" xfId="25033" xr:uid="{00000000-0005-0000-0000-00001CEA0000}"/>
    <cellStyle name="Normal 2 4 9 3 2 2 3 2" xfId="60826" xr:uid="{00000000-0005-0000-0000-00001DEA0000}"/>
    <cellStyle name="Normal 2 4 9 3 2 2 4" xfId="25034" xr:uid="{00000000-0005-0000-0000-00001EEA0000}"/>
    <cellStyle name="Normal 2 4 9 3 2 2 4 2" xfId="60827" xr:uid="{00000000-0005-0000-0000-00001FEA0000}"/>
    <cellStyle name="Normal 2 4 9 3 2 2 5" xfId="25035" xr:uid="{00000000-0005-0000-0000-000020EA0000}"/>
    <cellStyle name="Normal 2 4 9 3 2 2 5 2" xfId="60828" xr:uid="{00000000-0005-0000-0000-000021EA0000}"/>
    <cellStyle name="Normal 2 4 9 3 2 2 6" xfId="60829" xr:uid="{00000000-0005-0000-0000-000022EA0000}"/>
    <cellStyle name="Normal 2 4 9 3 2 2 6 2" xfId="60830" xr:uid="{00000000-0005-0000-0000-000023EA0000}"/>
    <cellStyle name="Normal 2 4 9 3 2 2 7" xfId="60831" xr:uid="{00000000-0005-0000-0000-000024EA0000}"/>
    <cellStyle name="Normal 2 4 9 3 2 3" xfId="25036" xr:uid="{00000000-0005-0000-0000-000025EA0000}"/>
    <cellStyle name="Normal 2 4 9 3 2 3 2" xfId="25037" xr:uid="{00000000-0005-0000-0000-000026EA0000}"/>
    <cellStyle name="Normal 2 4 9 3 2 3 2 2" xfId="60832" xr:uid="{00000000-0005-0000-0000-000027EA0000}"/>
    <cellStyle name="Normal 2 4 9 3 2 3 3" xfId="25038" xr:uid="{00000000-0005-0000-0000-000028EA0000}"/>
    <cellStyle name="Normal 2 4 9 3 2 3 3 2" xfId="60833" xr:uid="{00000000-0005-0000-0000-000029EA0000}"/>
    <cellStyle name="Normal 2 4 9 3 2 3 4" xfId="60834" xr:uid="{00000000-0005-0000-0000-00002AEA0000}"/>
    <cellStyle name="Normal 2 4 9 3 2 4" xfId="25039" xr:uid="{00000000-0005-0000-0000-00002BEA0000}"/>
    <cellStyle name="Normal 2 4 9 3 2 4 2" xfId="25040" xr:uid="{00000000-0005-0000-0000-00002CEA0000}"/>
    <cellStyle name="Normal 2 4 9 3 2 4 2 2" xfId="60835" xr:uid="{00000000-0005-0000-0000-00002DEA0000}"/>
    <cellStyle name="Normal 2 4 9 3 2 4 3" xfId="60836" xr:uid="{00000000-0005-0000-0000-00002EEA0000}"/>
    <cellStyle name="Normal 2 4 9 3 2 5" xfId="25041" xr:uid="{00000000-0005-0000-0000-00002FEA0000}"/>
    <cellStyle name="Normal 2 4 9 3 2 5 2" xfId="60837" xr:uid="{00000000-0005-0000-0000-000030EA0000}"/>
    <cellStyle name="Normal 2 4 9 3 2 6" xfId="25042" xr:uid="{00000000-0005-0000-0000-000031EA0000}"/>
    <cellStyle name="Normal 2 4 9 3 2 6 2" xfId="60838" xr:uid="{00000000-0005-0000-0000-000032EA0000}"/>
    <cellStyle name="Normal 2 4 9 3 2 7" xfId="60839" xr:uid="{00000000-0005-0000-0000-000033EA0000}"/>
    <cellStyle name="Normal 2 4 9 3 2 7 2" xfId="60840" xr:uid="{00000000-0005-0000-0000-000034EA0000}"/>
    <cellStyle name="Normal 2 4 9 3 2 8" xfId="60841" xr:uid="{00000000-0005-0000-0000-000035EA0000}"/>
    <cellStyle name="Normal 2 4 9 3 2 9" xfId="60842" xr:uid="{00000000-0005-0000-0000-000036EA0000}"/>
    <cellStyle name="Normal 2 4 9 3 3" xfId="25043" xr:uid="{00000000-0005-0000-0000-000037EA0000}"/>
    <cellStyle name="Normal 2 4 9 3 3 2" xfId="25044" xr:uid="{00000000-0005-0000-0000-000038EA0000}"/>
    <cellStyle name="Normal 2 4 9 3 3 2 2" xfId="25045" xr:uid="{00000000-0005-0000-0000-000039EA0000}"/>
    <cellStyle name="Normal 2 4 9 3 3 2 2 2" xfId="60843" xr:uid="{00000000-0005-0000-0000-00003AEA0000}"/>
    <cellStyle name="Normal 2 4 9 3 3 2 3" xfId="25046" xr:uid="{00000000-0005-0000-0000-00003BEA0000}"/>
    <cellStyle name="Normal 2 4 9 3 3 2 3 2" xfId="60844" xr:uid="{00000000-0005-0000-0000-00003CEA0000}"/>
    <cellStyle name="Normal 2 4 9 3 3 2 4" xfId="60845" xr:uid="{00000000-0005-0000-0000-00003DEA0000}"/>
    <cellStyle name="Normal 2 4 9 3 3 3" xfId="25047" xr:uid="{00000000-0005-0000-0000-00003EEA0000}"/>
    <cellStyle name="Normal 2 4 9 3 3 3 2" xfId="60846" xr:uid="{00000000-0005-0000-0000-00003FEA0000}"/>
    <cellStyle name="Normal 2 4 9 3 3 4" xfId="25048" xr:uid="{00000000-0005-0000-0000-000040EA0000}"/>
    <cellStyle name="Normal 2 4 9 3 3 4 2" xfId="60847" xr:uid="{00000000-0005-0000-0000-000041EA0000}"/>
    <cellStyle name="Normal 2 4 9 3 3 5" xfId="25049" xr:uid="{00000000-0005-0000-0000-000042EA0000}"/>
    <cellStyle name="Normal 2 4 9 3 3 5 2" xfId="60848" xr:uid="{00000000-0005-0000-0000-000043EA0000}"/>
    <cellStyle name="Normal 2 4 9 3 3 6" xfId="60849" xr:uid="{00000000-0005-0000-0000-000044EA0000}"/>
    <cellStyle name="Normal 2 4 9 3 3 6 2" xfId="60850" xr:uid="{00000000-0005-0000-0000-000045EA0000}"/>
    <cellStyle name="Normal 2 4 9 3 3 7" xfId="60851" xr:uid="{00000000-0005-0000-0000-000046EA0000}"/>
    <cellStyle name="Normal 2 4 9 3 4" xfId="25050" xr:uid="{00000000-0005-0000-0000-000047EA0000}"/>
    <cellStyle name="Normal 2 4 9 3 4 2" xfId="25051" xr:uid="{00000000-0005-0000-0000-000048EA0000}"/>
    <cellStyle name="Normal 2 4 9 3 4 2 2" xfId="60852" xr:uid="{00000000-0005-0000-0000-000049EA0000}"/>
    <cellStyle name="Normal 2 4 9 3 4 3" xfId="25052" xr:uid="{00000000-0005-0000-0000-00004AEA0000}"/>
    <cellStyle name="Normal 2 4 9 3 4 3 2" xfId="60853" xr:uid="{00000000-0005-0000-0000-00004BEA0000}"/>
    <cellStyle name="Normal 2 4 9 3 4 4" xfId="60854" xr:uid="{00000000-0005-0000-0000-00004CEA0000}"/>
    <cellStyle name="Normal 2 4 9 3 5" xfId="25053" xr:uid="{00000000-0005-0000-0000-00004DEA0000}"/>
    <cellStyle name="Normal 2 4 9 3 5 2" xfId="25054" xr:uid="{00000000-0005-0000-0000-00004EEA0000}"/>
    <cellStyle name="Normal 2 4 9 3 5 2 2" xfId="60855" xr:uid="{00000000-0005-0000-0000-00004FEA0000}"/>
    <cellStyle name="Normal 2 4 9 3 5 3" xfId="60856" xr:uid="{00000000-0005-0000-0000-000050EA0000}"/>
    <cellStyle name="Normal 2 4 9 3 6" xfId="25055" xr:uid="{00000000-0005-0000-0000-000051EA0000}"/>
    <cellStyle name="Normal 2 4 9 3 6 2" xfId="60857" xr:uid="{00000000-0005-0000-0000-000052EA0000}"/>
    <cellStyle name="Normal 2 4 9 3 7" xfId="25056" xr:uid="{00000000-0005-0000-0000-000053EA0000}"/>
    <cellStyle name="Normal 2 4 9 3 7 2" xfId="60858" xr:uid="{00000000-0005-0000-0000-000054EA0000}"/>
    <cellStyle name="Normal 2 4 9 3 8" xfId="60859" xr:uid="{00000000-0005-0000-0000-000055EA0000}"/>
    <cellStyle name="Normal 2 4 9 3 8 2" xfId="60860" xr:uid="{00000000-0005-0000-0000-000056EA0000}"/>
    <cellStyle name="Normal 2 4 9 3 9" xfId="60861" xr:uid="{00000000-0005-0000-0000-000057EA0000}"/>
    <cellStyle name="Normal 2 4 9 30" xfId="25057" xr:uid="{00000000-0005-0000-0000-000058EA0000}"/>
    <cellStyle name="Normal 2 4 9 30 10" xfId="60862" xr:uid="{00000000-0005-0000-0000-000059EA0000}"/>
    <cellStyle name="Normal 2 4 9 30 11" xfId="60863" xr:uid="{00000000-0005-0000-0000-00005AEA0000}"/>
    <cellStyle name="Normal 2 4 9 30 2" xfId="25058" xr:uid="{00000000-0005-0000-0000-00005BEA0000}"/>
    <cellStyle name="Normal 2 4 9 30 2 10" xfId="60864" xr:uid="{00000000-0005-0000-0000-00005CEA0000}"/>
    <cellStyle name="Normal 2 4 9 30 2 2" xfId="25059" xr:uid="{00000000-0005-0000-0000-00005DEA0000}"/>
    <cellStyle name="Normal 2 4 9 30 2 2 2" xfId="25060" xr:uid="{00000000-0005-0000-0000-00005EEA0000}"/>
    <cellStyle name="Normal 2 4 9 30 2 2 2 2" xfId="25061" xr:uid="{00000000-0005-0000-0000-00005FEA0000}"/>
    <cellStyle name="Normal 2 4 9 30 2 2 2 2 2" xfId="60865" xr:uid="{00000000-0005-0000-0000-000060EA0000}"/>
    <cellStyle name="Normal 2 4 9 30 2 2 2 3" xfId="25062" xr:uid="{00000000-0005-0000-0000-000061EA0000}"/>
    <cellStyle name="Normal 2 4 9 30 2 2 2 3 2" xfId="60866" xr:uid="{00000000-0005-0000-0000-000062EA0000}"/>
    <cellStyle name="Normal 2 4 9 30 2 2 2 4" xfId="60867" xr:uid="{00000000-0005-0000-0000-000063EA0000}"/>
    <cellStyle name="Normal 2 4 9 30 2 2 3" xfId="25063" xr:uid="{00000000-0005-0000-0000-000064EA0000}"/>
    <cellStyle name="Normal 2 4 9 30 2 2 3 2" xfId="60868" xr:uid="{00000000-0005-0000-0000-000065EA0000}"/>
    <cellStyle name="Normal 2 4 9 30 2 2 4" xfId="25064" xr:uid="{00000000-0005-0000-0000-000066EA0000}"/>
    <cellStyle name="Normal 2 4 9 30 2 2 4 2" xfId="60869" xr:uid="{00000000-0005-0000-0000-000067EA0000}"/>
    <cellStyle name="Normal 2 4 9 30 2 2 5" xfId="25065" xr:uid="{00000000-0005-0000-0000-000068EA0000}"/>
    <cellStyle name="Normal 2 4 9 30 2 2 5 2" xfId="60870" xr:uid="{00000000-0005-0000-0000-000069EA0000}"/>
    <cellStyle name="Normal 2 4 9 30 2 2 6" xfId="60871" xr:uid="{00000000-0005-0000-0000-00006AEA0000}"/>
    <cellStyle name="Normal 2 4 9 30 2 2 6 2" xfId="60872" xr:uid="{00000000-0005-0000-0000-00006BEA0000}"/>
    <cellStyle name="Normal 2 4 9 30 2 2 7" xfId="60873" xr:uid="{00000000-0005-0000-0000-00006CEA0000}"/>
    <cellStyle name="Normal 2 4 9 30 2 3" xfId="25066" xr:uid="{00000000-0005-0000-0000-00006DEA0000}"/>
    <cellStyle name="Normal 2 4 9 30 2 3 2" xfId="25067" xr:uid="{00000000-0005-0000-0000-00006EEA0000}"/>
    <cellStyle name="Normal 2 4 9 30 2 3 2 2" xfId="60874" xr:uid="{00000000-0005-0000-0000-00006FEA0000}"/>
    <cellStyle name="Normal 2 4 9 30 2 3 3" xfId="25068" xr:uid="{00000000-0005-0000-0000-000070EA0000}"/>
    <cellStyle name="Normal 2 4 9 30 2 3 3 2" xfId="60875" xr:uid="{00000000-0005-0000-0000-000071EA0000}"/>
    <cellStyle name="Normal 2 4 9 30 2 3 4" xfId="60876" xr:uid="{00000000-0005-0000-0000-000072EA0000}"/>
    <cellStyle name="Normal 2 4 9 30 2 4" xfId="25069" xr:uid="{00000000-0005-0000-0000-000073EA0000}"/>
    <cellStyle name="Normal 2 4 9 30 2 4 2" xfId="25070" xr:uid="{00000000-0005-0000-0000-000074EA0000}"/>
    <cellStyle name="Normal 2 4 9 30 2 4 2 2" xfId="60877" xr:uid="{00000000-0005-0000-0000-000075EA0000}"/>
    <cellStyle name="Normal 2 4 9 30 2 4 3" xfId="60878" xr:uid="{00000000-0005-0000-0000-000076EA0000}"/>
    <cellStyle name="Normal 2 4 9 30 2 5" xfId="25071" xr:uid="{00000000-0005-0000-0000-000077EA0000}"/>
    <cellStyle name="Normal 2 4 9 30 2 5 2" xfId="60879" xr:uid="{00000000-0005-0000-0000-000078EA0000}"/>
    <cellStyle name="Normal 2 4 9 30 2 6" xfId="25072" xr:uid="{00000000-0005-0000-0000-000079EA0000}"/>
    <cellStyle name="Normal 2 4 9 30 2 6 2" xfId="60880" xr:uid="{00000000-0005-0000-0000-00007AEA0000}"/>
    <cellStyle name="Normal 2 4 9 30 2 7" xfId="60881" xr:uid="{00000000-0005-0000-0000-00007BEA0000}"/>
    <cellStyle name="Normal 2 4 9 30 2 7 2" xfId="60882" xr:uid="{00000000-0005-0000-0000-00007CEA0000}"/>
    <cellStyle name="Normal 2 4 9 30 2 8" xfId="60883" xr:uid="{00000000-0005-0000-0000-00007DEA0000}"/>
    <cellStyle name="Normal 2 4 9 30 2 9" xfId="60884" xr:uid="{00000000-0005-0000-0000-00007EEA0000}"/>
    <cellStyle name="Normal 2 4 9 30 3" xfId="25073" xr:uid="{00000000-0005-0000-0000-00007FEA0000}"/>
    <cellStyle name="Normal 2 4 9 30 3 2" xfId="25074" xr:uid="{00000000-0005-0000-0000-000080EA0000}"/>
    <cellStyle name="Normal 2 4 9 30 3 2 2" xfId="25075" xr:uid="{00000000-0005-0000-0000-000081EA0000}"/>
    <cellStyle name="Normal 2 4 9 30 3 2 2 2" xfId="60885" xr:uid="{00000000-0005-0000-0000-000082EA0000}"/>
    <cellStyle name="Normal 2 4 9 30 3 2 3" xfId="25076" xr:uid="{00000000-0005-0000-0000-000083EA0000}"/>
    <cellStyle name="Normal 2 4 9 30 3 2 3 2" xfId="60886" xr:uid="{00000000-0005-0000-0000-000084EA0000}"/>
    <cellStyle name="Normal 2 4 9 30 3 2 4" xfId="60887" xr:uid="{00000000-0005-0000-0000-000085EA0000}"/>
    <cellStyle name="Normal 2 4 9 30 3 3" xfId="25077" xr:uid="{00000000-0005-0000-0000-000086EA0000}"/>
    <cellStyle name="Normal 2 4 9 30 3 3 2" xfId="60888" xr:uid="{00000000-0005-0000-0000-000087EA0000}"/>
    <cellStyle name="Normal 2 4 9 30 3 4" xfId="25078" xr:uid="{00000000-0005-0000-0000-000088EA0000}"/>
    <cellStyle name="Normal 2 4 9 30 3 4 2" xfId="60889" xr:uid="{00000000-0005-0000-0000-000089EA0000}"/>
    <cellStyle name="Normal 2 4 9 30 3 5" xfId="25079" xr:uid="{00000000-0005-0000-0000-00008AEA0000}"/>
    <cellStyle name="Normal 2 4 9 30 3 5 2" xfId="60890" xr:uid="{00000000-0005-0000-0000-00008BEA0000}"/>
    <cellStyle name="Normal 2 4 9 30 3 6" xfId="60891" xr:uid="{00000000-0005-0000-0000-00008CEA0000}"/>
    <cellStyle name="Normal 2 4 9 30 3 6 2" xfId="60892" xr:uid="{00000000-0005-0000-0000-00008DEA0000}"/>
    <cellStyle name="Normal 2 4 9 30 3 7" xfId="60893" xr:uid="{00000000-0005-0000-0000-00008EEA0000}"/>
    <cellStyle name="Normal 2 4 9 30 4" xfId="25080" xr:uid="{00000000-0005-0000-0000-00008FEA0000}"/>
    <cellStyle name="Normal 2 4 9 30 4 2" xfId="25081" xr:uid="{00000000-0005-0000-0000-000090EA0000}"/>
    <cellStyle name="Normal 2 4 9 30 4 2 2" xfId="60894" xr:uid="{00000000-0005-0000-0000-000091EA0000}"/>
    <cellStyle name="Normal 2 4 9 30 4 3" xfId="25082" xr:uid="{00000000-0005-0000-0000-000092EA0000}"/>
    <cellStyle name="Normal 2 4 9 30 4 3 2" xfId="60895" xr:uid="{00000000-0005-0000-0000-000093EA0000}"/>
    <cellStyle name="Normal 2 4 9 30 4 4" xfId="60896" xr:uid="{00000000-0005-0000-0000-000094EA0000}"/>
    <cellStyle name="Normal 2 4 9 30 5" xfId="25083" xr:uid="{00000000-0005-0000-0000-000095EA0000}"/>
    <cellStyle name="Normal 2 4 9 30 5 2" xfId="25084" xr:uid="{00000000-0005-0000-0000-000096EA0000}"/>
    <cellStyle name="Normal 2 4 9 30 5 2 2" xfId="60897" xr:uid="{00000000-0005-0000-0000-000097EA0000}"/>
    <cellStyle name="Normal 2 4 9 30 5 3" xfId="60898" xr:uid="{00000000-0005-0000-0000-000098EA0000}"/>
    <cellStyle name="Normal 2 4 9 30 6" xfId="25085" xr:uid="{00000000-0005-0000-0000-000099EA0000}"/>
    <cellStyle name="Normal 2 4 9 30 6 2" xfId="60899" xr:uid="{00000000-0005-0000-0000-00009AEA0000}"/>
    <cellStyle name="Normal 2 4 9 30 7" xfId="25086" xr:uid="{00000000-0005-0000-0000-00009BEA0000}"/>
    <cellStyle name="Normal 2 4 9 30 7 2" xfId="60900" xr:uid="{00000000-0005-0000-0000-00009CEA0000}"/>
    <cellStyle name="Normal 2 4 9 30 8" xfId="60901" xr:uid="{00000000-0005-0000-0000-00009DEA0000}"/>
    <cellStyle name="Normal 2 4 9 30 8 2" xfId="60902" xr:uid="{00000000-0005-0000-0000-00009EEA0000}"/>
    <cellStyle name="Normal 2 4 9 30 9" xfId="60903" xr:uid="{00000000-0005-0000-0000-00009FEA0000}"/>
    <cellStyle name="Normal 2 4 9 31" xfId="25087" xr:uid="{00000000-0005-0000-0000-0000A0EA0000}"/>
    <cellStyle name="Normal 2 4 9 31 10" xfId="60904" xr:uid="{00000000-0005-0000-0000-0000A1EA0000}"/>
    <cellStyle name="Normal 2 4 9 31 2" xfId="25088" xr:uid="{00000000-0005-0000-0000-0000A2EA0000}"/>
    <cellStyle name="Normal 2 4 9 31 2 2" xfId="25089" xr:uid="{00000000-0005-0000-0000-0000A3EA0000}"/>
    <cellStyle name="Normal 2 4 9 31 2 2 2" xfId="25090" xr:uid="{00000000-0005-0000-0000-0000A4EA0000}"/>
    <cellStyle name="Normal 2 4 9 31 2 2 2 2" xfId="60905" xr:uid="{00000000-0005-0000-0000-0000A5EA0000}"/>
    <cellStyle name="Normal 2 4 9 31 2 2 3" xfId="25091" xr:uid="{00000000-0005-0000-0000-0000A6EA0000}"/>
    <cellStyle name="Normal 2 4 9 31 2 2 3 2" xfId="60906" xr:uid="{00000000-0005-0000-0000-0000A7EA0000}"/>
    <cellStyle name="Normal 2 4 9 31 2 2 4" xfId="60907" xr:uid="{00000000-0005-0000-0000-0000A8EA0000}"/>
    <cellStyle name="Normal 2 4 9 31 2 3" xfId="25092" xr:uid="{00000000-0005-0000-0000-0000A9EA0000}"/>
    <cellStyle name="Normal 2 4 9 31 2 3 2" xfId="60908" xr:uid="{00000000-0005-0000-0000-0000AAEA0000}"/>
    <cellStyle name="Normal 2 4 9 31 2 4" xfId="25093" xr:uid="{00000000-0005-0000-0000-0000ABEA0000}"/>
    <cellStyle name="Normal 2 4 9 31 2 4 2" xfId="60909" xr:uid="{00000000-0005-0000-0000-0000ACEA0000}"/>
    <cellStyle name="Normal 2 4 9 31 2 5" xfId="25094" xr:uid="{00000000-0005-0000-0000-0000ADEA0000}"/>
    <cellStyle name="Normal 2 4 9 31 2 5 2" xfId="60910" xr:uid="{00000000-0005-0000-0000-0000AEEA0000}"/>
    <cellStyle name="Normal 2 4 9 31 2 6" xfId="60911" xr:uid="{00000000-0005-0000-0000-0000AFEA0000}"/>
    <cellStyle name="Normal 2 4 9 31 2 6 2" xfId="60912" xr:uid="{00000000-0005-0000-0000-0000B0EA0000}"/>
    <cellStyle name="Normal 2 4 9 31 2 7" xfId="60913" xr:uid="{00000000-0005-0000-0000-0000B1EA0000}"/>
    <cellStyle name="Normal 2 4 9 31 3" xfId="25095" xr:uid="{00000000-0005-0000-0000-0000B2EA0000}"/>
    <cellStyle name="Normal 2 4 9 31 3 2" xfId="25096" xr:uid="{00000000-0005-0000-0000-0000B3EA0000}"/>
    <cellStyle name="Normal 2 4 9 31 3 2 2" xfId="60914" xr:uid="{00000000-0005-0000-0000-0000B4EA0000}"/>
    <cellStyle name="Normal 2 4 9 31 3 3" xfId="25097" xr:uid="{00000000-0005-0000-0000-0000B5EA0000}"/>
    <cellStyle name="Normal 2 4 9 31 3 3 2" xfId="60915" xr:uid="{00000000-0005-0000-0000-0000B6EA0000}"/>
    <cellStyle name="Normal 2 4 9 31 3 4" xfId="60916" xr:uid="{00000000-0005-0000-0000-0000B7EA0000}"/>
    <cellStyle name="Normal 2 4 9 31 4" xfId="25098" xr:uid="{00000000-0005-0000-0000-0000B8EA0000}"/>
    <cellStyle name="Normal 2 4 9 31 4 2" xfId="25099" xr:uid="{00000000-0005-0000-0000-0000B9EA0000}"/>
    <cellStyle name="Normal 2 4 9 31 4 2 2" xfId="60917" xr:uid="{00000000-0005-0000-0000-0000BAEA0000}"/>
    <cellStyle name="Normal 2 4 9 31 4 3" xfId="60918" xr:uid="{00000000-0005-0000-0000-0000BBEA0000}"/>
    <cellStyle name="Normal 2 4 9 31 5" xfId="25100" xr:uid="{00000000-0005-0000-0000-0000BCEA0000}"/>
    <cellStyle name="Normal 2 4 9 31 5 2" xfId="60919" xr:uid="{00000000-0005-0000-0000-0000BDEA0000}"/>
    <cellStyle name="Normal 2 4 9 31 6" xfId="25101" xr:uid="{00000000-0005-0000-0000-0000BEEA0000}"/>
    <cellStyle name="Normal 2 4 9 31 6 2" xfId="60920" xr:uid="{00000000-0005-0000-0000-0000BFEA0000}"/>
    <cellStyle name="Normal 2 4 9 31 7" xfId="60921" xr:uid="{00000000-0005-0000-0000-0000C0EA0000}"/>
    <cellStyle name="Normal 2 4 9 31 7 2" xfId="60922" xr:uid="{00000000-0005-0000-0000-0000C1EA0000}"/>
    <cellStyle name="Normal 2 4 9 31 8" xfId="60923" xr:uid="{00000000-0005-0000-0000-0000C2EA0000}"/>
    <cellStyle name="Normal 2 4 9 31 9" xfId="60924" xr:uid="{00000000-0005-0000-0000-0000C3EA0000}"/>
    <cellStyle name="Normal 2 4 9 32" xfId="25102" xr:uid="{00000000-0005-0000-0000-0000C4EA0000}"/>
    <cellStyle name="Normal 2 4 9 32 2" xfId="25103" xr:uid="{00000000-0005-0000-0000-0000C5EA0000}"/>
    <cellStyle name="Normal 2 4 9 32 2 2" xfId="25104" xr:uid="{00000000-0005-0000-0000-0000C6EA0000}"/>
    <cellStyle name="Normal 2 4 9 32 2 2 2" xfId="60925" xr:uid="{00000000-0005-0000-0000-0000C7EA0000}"/>
    <cellStyle name="Normal 2 4 9 32 2 3" xfId="25105" xr:uid="{00000000-0005-0000-0000-0000C8EA0000}"/>
    <cellStyle name="Normal 2 4 9 32 2 3 2" xfId="60926" xr:uid="{00000000-0005-0000-0000-0000C9EA0000}"/>
    <cellStyle name="Normal 2 4 9 32 2 4" xfId="60927" xr:uid="{00000000-0005-0000-0000-0000CAEA0000}"/>
    <cellStyle name="Normal 2 4 9 32 3" xfId="25106" xr:uid="{00000000-0005-0000-0000-0000CBEA0000}"/>
    <cellStyle name="Normal 2 4 9 32 3 2" xfId="60928" xr:uid="{00000000-0005-0000-0000-0000CCEA0000}"/>
    <cellStyle name="Normal 2 4 9 32 4" xfId="25107" xr:uid="{00000000-0005-0000-0000-0000CDEA0000}"/>
    <cellStyle name="Normal 2 4 9 32 4 2" xfId="60929" xr:uid="{00000000-0005-0000-0000-0000CEEA0000}"/>
    <cellStyle name="Normal 2 4 9 32 5" xfId="25108" xr:uid="{00000000-0005-0000-0000-0000CFEA0000}"/>
    <cellStyle name="Normal 2 4 9 32 5 2" xfId="60930" xr:uid="{00000000-0005-0000-0000-0000D0EA0000}"/>
    <cellStyle name="Normal 2 4 9 32 6" xfId="60931" xr:uid="{00000000-0005-0000-0000-0000D1EA0000}"/>
    <cellStyle name="Normal 2 4 9 32 6 2" xfId="60932" xr:uid="{00000000-0005-0000-0000-0000D2EA0000}"/>
    <cellStyle name="Normal 2 4 9 32 7" xfId="60933" xr:uid="{00000000-0005-0000-0000-0000D3EA0000}"/>
    <cellStyle name="Normal 2 4 9 33" xfId="25109" xr:uid="{00000000-0005-0000-0000-0000D4EA0000}"/>
    <cellStyle name="Normal 2 4 9 33 2" xfId="25110" xr:uid="{00000000-0005-0000-0000-0000D5EA0000}"/>
    <cellStyle name="Normal 2 4 9 33 2 2" xfId="60934" xr:uid="{00000000-0005-0000-0000-0000D6EA0000}"/>
    <cellStyle name="Normal 2 4 9 33 3" xfId="25111" xr:uid="{00000000-0005-0000-0000-0000D7EA0000}"/>
    <cellStyle name="Normal 2 4 9 33 3 2" xfId="60935" xr:uid="{00000000-0005-0000-0000-0000D8EA0000}"/>
    <cellStyle name="Normal 2 4 9 33 4" xfId="60936" xr:uid="{00000000-0005-0000-0000-0000D9EA0000}"/>
    <cellStyle name="Normal 2 4 9 34" xfId="25112" xr:uid="{00000000-0005-0000-0000-0000DAEA0000}"/>
    <cellStyle name="Normal 2 4 9 34 2" xfId="25113" xr:uid="{00000000-0005-0000-0000-0000DBEA0000}"/>
    <cellStyle name="Normal 2 4 9 34 2 2" xfId="60937" xr:uid="{00000000-0005-0000-0000-0000DCEA0000}"/>
    <cellStyle name="Normal 2 4 9 34 3" xfId="60938" xr:uid="{00000000-0005-0000-0000-0000DDEA0000}"/>
    <cellStyle name="Normal 2 4 9 35" xfId="25114" xr:uid="{00000000-0005-0000-0000-0000DEEA0000}"/>
    <cellStyle name="Normal 2 4 9 35 2" xfId="60939" xr:uid="{00000000-0005-0000-0000-0000DFEA0000}"/>
    <cellStyle name="Normal 2 4 9 36" xfId="25115" xr:uid="{00000000-0005-0000-0000-0000E0EA0000}"/>
    <cellStyle name="Normal 2 4 9 36 2" xfId="60940" xr:uid="{00000000-0005-0000-0000-0000E1EA0000}"/>
    <cellStyle name="Normal 2 4 9 37" xfId="60941" xr:uid="{00000000-0005-0000-0000-0000E2EA0000}"/>
    <cellStyle name="Normal 2 4 9 37 2" xfId="60942" xr:uid="{00000000-0005-0000-0000-0000E3EA0000}"/>
    <cellStyle name="Normal 2 4 9 38" xfId="60943" xr:uid="{00000000-0005-0000-0000-0000E4EA0000}"/>
    <cellStyle name="Normal 2 4 9 39" xfId="60944" xr:uid="{00000000-0005-0000-0000-0000E5EA0000}"/>
    <cellStyle name="Normal 2 4 9 4" xfId="25116" xr:uid="{00000000-0005-0000-0000-0000E6EA0000}"/>
    <cellStyle name="Normal 2 4 9 4 10" xfId="60945" xr:uid="{00000000-0005-0000-0000-0000E7EA0000}"/>
    <cellStyle name="Normal 2 4 9 4 11" xfId="60946" xr:uid="{00000000-0005-0000-0000-0000E8EA0000}"/>
    <cellStyle name="Normal 2 4 9 4 2" xfId="25117" xr:uid="{00000000-0005-0000-0000-0000E9EA0000}"/>
    <cellStyle name="Normal 2 4 9 4 2 10" xfId="60947" xr:uid="{00000000-0005-0000-0000-0000EAEA0000}"/>
    <cellStyle name="Normal 2 4 9 4 2 2" xfId="25118" xr:uid="{00000000-0005-0000-0000-0000EBEA0000}"/>
    <cellStyle name="Normal 2 4 9 4 2 2 2" xfId="25119" xr:uid="{00000000-0005-0000-0000-0000ECEA0000}"/>
    <cellStyle name="Normal 2 4 9 4 2 2 2 2" xfId="25120" xr:uid="{00000000-0005-0000-0000-0000EDEA0000}"/>
    <cellStyle name="Normal 2 4 9 4 2 2 2 2 2" xfId="60948" xr:uid="{00000000-0005-0000-0000-0000EEEA0000}"/>
    <cellStyle name="Normal 2 4 9 4 2 2 2 3" xfId="25121" xr:uid="{00000000-0005-0000-0000-0000EFEA0000}"/>
    <cellStyle name="Normal 2 4 9 4 2 2 2 3 2" xfId="60949" xr:uid="{00000000-0005-0000-0000-0000F0EA0000}"/>
    <cellStyle name="Normal 2 4 9 4 2 2 2 4" xfId="60950" xr:uid="{00000000-0005-0000-0000-0000F1EA0000}"/>
    <cellStyle name="Normal 2 4 9 4 2 2 3" xfId="25122" xr:uid="{00000000-0005-0000-0000-0000F2EA0000}"/>
    <cellStyle name="Normal 2 4 9 4 2 2 3 2" xfId="60951" xr:uid="{00000000-0005-0000-0000-0000F3EA0000}"/>
    <cellStyle name="Normal 2 4 9 4 2 2 4" xfId="25123" xr:uid="{00000000-0005-0000-0000-0000F4EA0000}"/>
    <cellStyle name="Normal 2 4 9 4 2 2 4 2" xfId="60952" xr:uid="{00000000-0005-0000-0000-0000F5EA0000}"/>
    <cellStyle name="Normal 2 4 9 4 2 2 5" xfId="25124" xr:uid="{00000000-0005-0000-0000-0000F6EA0000}"/>
    <cellStyle name="Normal 2 4 9 4 2 2 5 2" xfId="60953" xr:uid="{00000000-0005-0000-0000-0000F7EA0000}"/>
    <cellStyle name="Normal 2 4 9 4 2 2 6" xfId="60954" xr:uid="{00000000-0005-0000-0000-0000F8EA0000}"/>
    <cellStyle name="Normal 2 4 9 4 2 2 6 2" xfId="60955" xr:uid="{00000000-0005-0000-0000-0000F9EA0000}"/>
    <cellStyle name="Normal 2 4 9 4 2 2 7" xfId="60956" xr:uid="{00000000-0005-0000-0000-0000FAEA0000}"/>
    <cellStyle name="Normal 2 4 9 4 2 3" xfId="25125" xr:uid="{00000000-0005-0000-0000-0000FBEA0000}"/>
    <cellStyle name="Normal 2 4 9 4 2 3 2" xfId="25126" xr:uid="{00000000-0005-0000-0000-0000FCEA0000}"/>
    <cellStyle name="Normal 2 4 9 4 2 3 2 2" xfId="60957" xr:uid="{00000000-0005-0000-0000-0000FDEA0000}"/>
    <cellStyle name="Normal 2 4 9 4 2 3 3" xfId="25127" xr:uid="{00000000-0005-0000-0000-0000FEEA0000}"/>
    <cellStyle name="Normal 2 4 9 4 2 3 3 2" xfId="60958" xr:uid="{00000000-0005-0000-0000-0000FFEA0000}"/>
    <cellStyle name="Normal 2 4 9 4 2 3 4" xfId="60959" xr:uid="{00000000-0005-0000-0000-000000EB0000}"/>
    <cellStyle name="Normal 2 4 9 4 2 4" xfId="25128" xr:uid="{00000000-0005-0000-0000-000001EB0000}"/>
    <cellStyle name="Normal 2 4 9 4 2 4 2" xfId="25129" xr:uid="{00000000-0005-0000-0000-000002EB0000}"/>
    <cellStyle name="Normal 2 4 9 4 2 4 2 2" xfId="60960" xr:uid="{00000000-0005-0000-0000-000003EB0000}"/>
    <cellStyle name="Normal 2 4 9 4 2 4 3" xfId="60961" xr:uid="{00000000-0005-0000-0000-000004EB0000}"/>
    <cellStyle name="Normal 2 4 9 4 2 5" xfId="25130" xr:uid="{00000000-0005-0000-0000-000005EB0000}"/>
    <cellStyle name="Normal 2 4 9 4 2 5 2" xfId="60962" xr:uid="{00000000-0005-0000-0000-000006EB0000}"/>
    <cellStyle name="Normal 2 4 9 4 2 6" xfId="25131" xr:uid="{00000000-0005-0000-0000-000007EB0000}"/>
    <cellStyle name="Normal 2 4 9 4 2 6 2" xfId="60963" xr:uid="{00000000-0005-0000-0000-000008EB0000}"/>
    <cellStyle name="Normal 2 4 9 4 2 7" xfId="60964" xr:uid="{00000000-0005-0000-0000-000009EB0000}"/>
    <cellStyle name="Normal 2 4 9 4 2 7 2" xfId="60965" xr:uid="{00000000-0005-0000-0000-00000AEB0000}"/>
    <cellStyle name="Normal 2 4 9 4 2 8" xfId="60966" xr:uid="{00000000-0005-0000-0000-00000BEB0000}"/>
    <cellStyle name="Normal 2 4 9 4 2 9" xfId="60967" xr:uid="{00000000-0005-0000-0000-00000CEB0000}"/>
    <cellStyle name="Normal 2 4 9 4 3" xfId="25132" xr:uid="{00000000-0005-0000-0000-00000DEB0000}"/>
    <cellStyle name="Normal 2 4 9 4 3 2" xfId="25133" xr:uid="{00000000-0005-0000-0000-00000EEB0000}"/>
    <cellStyle name="Normal 2 4 9 4 3 2 2" xfId="25134" xr:uid="{00000000-0005-0000-0000-00000FEB0000}"/>
    <cellStyle name="Normal 2 4 9 4 3 2 2 2" xfId="60968" xr:uid="{00000000-0005-0000-0000-000010EB0000}"/>
    <cellStyle name="Normal 2 4 9 4 3 2 3" xfId="25135" xr:uid="{00000000-0005-0000-0000-000011EB0000}"/>
    <cellStyle name="Normal 2 4 9 4 3 2 3 2" xfId="60969" xr:uid="{00000000-0005-0000-0000-000012EB0000}"/>
    <cellStyle name="Normal 2 4 9 4 3 2 4" xfId="60970" xr:uid="{00000000-0005-0000-0000-000013EB0000}"/>
    <cellStyle name="Normal 2 4 9 4 3 3" xfId="25136" xr:uid="{00000000-0005-0000-0000-000014EB0000}"/>
    <cellStyle name="Normal 2 4 9 4 3 3 2" xfId="60971" xr:uid="{00000000-0005-0000-0000-000015EB0000}"/>
    <cellStyle name="Normal 2 4 9 4 3 4" xfId="25137" xr:uid="{00000000-0005-0000-0000-000016EB0000}"/>
    <cellStyle name="Normal 2 4 9 4 3 4 2" xfId="60972" xr:uid="{00000000-0005-0000-0000-000017EB0000}"/>
    <cellStyle name="Normal 2 4 9 4 3 5" xfId="25138" xr:uid="{00000000-0005-0000-0000-000018EB0000}"/>
    <cellStyle name="Normal 2 4 9 4 3 5 2" xfId="60973" xr:uid="{00000000-0005-0000-0000-000019EB0000}"/>
    <cellStyle name="Normal 2 4 9 4 3 6" xfId="60974" xr:uid="{00000000-0005-0000-0000-00001AEB0000}"/>
    <cellStyle name="Normal 2 4 9 4 3 6 2" xfId="60975" xr:uid="{00000000-0005-0000-0000-00001BEB0000}"/>
    <cellStyle name="Normal 2 4 9 4 3 7" xfId="60976" xr:uid="{00000000-0005-0000-0000-00001CEB0000}"/>
    <cellStyle name="Normal 2 4 9 4 4" xfId="25139" xr:uid="{00000000-0005-0000-0000-00001DEB0000}"/>
    <cellStyle name="Normal 2 4 9 4 4 2" xfId="25140" xr:uid="{00000000-0005-0000-0000-00001EEB0000}"/>
    <cellStyle name="Normal 2 4 9 4 4 2 2" xfId="60977" xr:uid="{00000000-0005-0000-0000-00001FEB0000}"/>
    <cellStyle name="Normal 2 4 9 4 4 3" xfId="25141" xr:uid="{00000000-0005-0000-0000-000020EB0000}"/>
    <cellStyle name="Normal 2 4 9 4 4 3 2" xfId="60978" xr:uid="{00000000-0005-0000-0000-000021EB0000}"/>
    <cellStyle name="Normal 2 4 9 4 4 4" xfId="60979" xr:uid="{00000000-0005-0000-0000-000022EB0000}"/>
    <cellStyle name="Normal 2 4 9 4 5" xfId="25142" xr:uid="{00000000-0005-0000-0000-000023EB0000}"/>
    <cellStyle name="Normal 2 4 9 4 5 2" xfId="25143" xr:uid="{00000000-0005-0000-0000-000024EB0000}"/>
    <cellStyle name="Normal 2 4 9 4 5 2 2" xfId="60980" xr:uid="{00000000-0005-0000-0000-000025EB0000}"/>
    <cellStyle name="Normal 2 4 9 4 5 3" xfId="60981" xr:uid="{00000000-0005-0000-0000-000026EB0000}"/>
    <cellStyle name="Normal 2 4 9 4 6" xfId="25144" xr:uid="{00000000-0005-0000-0000-000027EB0000}"/>
    <cellStyle name="Normal 2 4 9 4 6 2" xfId="60982" xr:uid="{00000000-0005-0000-0000-000028EB0000}"/>
    <cellStyle name="Normal 2 4 9 4 7" xfId="25145" xr:uid="{00000000-0005-0000-0000-000029EB0000}"/>
    <cellStyle name="Normal 2 4 9 4 7 2" xfId="60983" xr:uid="{00000000-0005-0000-0000-00002AEB0000}"/>
    <cellStyle name="Normal 2 4 9 4 8" xfId="60984" xr:uid="{00000000-0005-0000-0000-00002BEB0000}"/>
    <cellStyle name="Normal 2 4 9 4 8 2" xfId="60985" xr:uid="{00000000-0005-0000-0000-00002CEB0000}"/>
    <cellStyle name="Normal 2 4 9 4 9" xfId="60986" xr:uid="{00000000-0005-0000-0000-00002DEB0000}"/>
    <cellStyle name="Normal 2 4 9 40" xfId="60987" xr:uid="{00000000-0005-0000-0000-00002EEB0000}"/>
    <cellStyle name="Normal 2 4 9 5" xfId="25146" xr:uid="{00000000-0005-0000-0000-00002FEB0000}"/>
    <cellStyle name="Normal 2 4 9 5 10" xfId="60988" xr:uid="{00000000-0005-0000-0000-000030EB0000}"/>
    <cellStyle name="Normal 2 4 9 5 11" xfId="60989" xr:uid="{00000000-0005-0000-0000-000031EB0000}"/>
    <cellStyle name="Normal 2 4 9 5 2" xfId="25147" xr:uid="{00000000-0005-0000-0000-000032EB0000}"/>
    <cellStyle name="Normal 2 4 9 5 2 10" xfId="60990" xr:uid="{00000000-0005-0000-0000-000033EB0000}"/>
    <cellStyle name="Normal 2 4 9 5 2 2" xfId="25148" xr:uid="{00000000-0005-0000-0000-000034EB0000}"/>
    <cellStyle name="Normal 2 4 9 5 2 2 2" xfId="25149" xr:uid="{00000000-0005-0000-0000-000035EB0000}"/>
    <cellStyle name="Normal 2 4 9 5 2 2 2 2" xfId="25150" xr:uid="{00000000-0005-0000-0000-000036EB0000}"/>
    <cellStyle name="Normal 2 4 9 5 2 2 2 2 2" xfId="60991" xr:uid="{00000000-0005-0000-0000-000037EB0000}"/>
    <cellStyle name="Normal 2 4 9 5 2 2 2 3" xfId="25151" xr:uid="{00000000-0005-0000-0000-000038EB0000}"/>
    <cellStyle name="Normal 2 4 9 5 2 2 2 3 2" xfId="60992" xr:uid="{00000000-0005-0000-0000-000039EB0000}"/>
    <cellStyle name="Normal 2 4 9 5 2 2 2 4" xfId="60993" xr:uid="{00000000-0005-0000-0000-00003AEB0000}"/>
    <cellStyle name="Normal 2 4 9 5 2 2 3" xfId="25152" xr:uid="{00000000-0005-0000-0000-00003BEB0000}"/>
    <cellStyle name="Normal 2 4 9 5 2 2 3 2" xfId="60994" xr:uid="{00000000-0005-0000-0000-00003CEB0000}"/>
    <cellStyle name="Normal 2 4 9 5 2 2 4" xfId="25153" xr:uid="{00000000-0005-0000-0000-00003DEB0000}"/>
    <cellStyle name="Normal 2 4 9 5 2 2 4 2" xfId="60995" xr:uid="{00000000-0005-0000-0000-00003EEB0000}"/>
    <cellStyle name="Normal 2 4 9 5 2 2 5" xfId="25154" xr:uid="{00000000-0005-0000-0000-00003FEB0000}"/>
    <cellStyle name="Normal 2 4 9 5 2 2 5 2" xfId="60996" xr:uid="{00000000-0005-0000-0000-000040EB0000}"/>
    <cellStyle name="Normal 2 4 9 5 2 2 6" xfId="60997" xr:uid="{00000000-0005-0000-0000-000041EB0000}"/>
    <cellStyle name="Normal 2 4 9 5 2 2 6 2" xfId="60998" xr:uid="{00000000-0005-0000-0000-000042EB0000}"/>
    <cellStyle name="Normal 2 4 9 5 2 2 7" xfId="60999" xr:uid="{00000000-0005-0000-0000-000043EB0000}"/>
    <cellStyle name="Normal 2 4 9 5 2 3" xfId="25155" xr:uid="{00000000-0005-0000-0000-000044EB0000}"/>
    <cellStyle name="Normal 2 4 9 5 2 3 2" xfId="25156" xr:uid="{00000000-0005-0000-0000-000045EB0000}"/>
    <cellStyle name="Normal 2 4 9 5 2 3 2 2" xfId="61000" xr:uid="{00000000-0005-0000-0000-000046EB0000}"/>
    <cellStyle name="Normal 2 4 9 5 2 3 3" xfId="25157" xr:uid="{00000000-0005-0000-0000-000047EB0000}"/>
    <cellStyle name="Normal 2 4 9 5 2 3 3 2" xfId="61001" xr:uid="{00000000-0005-0000-0000-000048EB0000}"/>
    <cellStyle name="Normal 2 4 9 5 2 3 4" xfId="61002" xr:uid="{00000000-0005-0000-0000-000049EB0000}"/>
    <cellStyle name="Normal 2 4 9 5 2 4" xfId="25158" xr:uid="{00000000-0005-0000-0000-00004AEB0000}"/>
    <cellStyle name="Normal 2 4 9 5 2 4 2" xfId="25159" xr:uid="{00000000-0005-0000-0000-00004BEB0000}"/>
    <cellStyle name="Normal 2 4 9 5 2 4 2 2" xfId="61003" xr:uid="{00000000-0005-0000-0000-00004CEB0000}"/>
    <cellStyle name="Normal 2 4 9 5 2 4 3" xfId="61004" xr:uid="{00000000-0005-0000-0000-00004DEB0000}"/>
    <cellStyle name="Normal 2 4 9 5 2 5" xfId="25160" xr:uid="{00000000-0005-0000-0000-00004EEB0000}"/>
    <cellStyle name="Normal 2 4 9 5 2 5 2" xfId="61005" xr:uid="{00000000-0005-0000-0000-00004FEB0000}"/>
    <cellStyle name="Normal 2 4 9 5 2 6" xfId="25161" xr:uid="{00000000-0005-0000-0000-000050EB0000}"/>
    <cellStyle name="Normal 2 4 9 5 2 6 2" xfId="61006" xr:uid="{00000000-0005-0000-0000-000051EB0000}"/>
    <cellStyle name="Normal 2 4 9 5 2 7" xfId="61007" xr:uid="{00000000-0005-0000-0000-000052EB0000}"/>
    <cellStyle name="Normal 2 4 9 5 2 7 2" xfId="61008" xr:uid="{00000000-0005-0000-0000-000053EB0000}"/>
    <cellStyle name="Normal 2 4 9 5 2 8" xfId="61009" xr:uid="{00000000-0005-0000-0000-000054EB0000}"/>
    <cellStyle name="Normal 2 4 9 5 2 9" xfId="61010" xr:uid="{00000000-0005-0000-0000-000055EB0000}"/>
    <cellStyle name="Normal 2 4 9 5 3" xfId="25162" xr:uid="{00000000-0005-0000-0000-000056EB0000}"/>
    <cellStyle name="Normal 2 4 9 5 3 2" xfId="25163" xr:uid="{00000000-0005-0000-0000-000057EB0000}"/>
    <cellStyle name="Normal 2 4 9 5 3 2 2" xfId="25164" xr:uid="{00000000-0005-0000-0000-000058EB0000}"/>
    <cellStyle name="Normal 2 4 9 5 3 2 2 2" xfId="61011" xr:uid="{00000000-0005-0000-0000-000059EB0000}"/>
    <cellStyle name="Normal 2 4 9 5 3 2 3" xfId="25165" xr:uid="{00000000-0005-0000-0000-00005AEB0000}"/>
    <cellStyle name="Normal 2 4 9 5 3 2 3 2" xfId="61012" xr:uid="{00000000-0005-0000-0000-00005BEB0000}"/>
    <cellStyle name="Normal 2 4 9 5 3 2 4" xfId="61013" xr:uid="{00000000-0005-0000-0000-00005CEB0000}"/>
    <cellStyle name="Normal 2 4 9 5 3 3" xfId="25166" xr:uid="{00000000-0005-0000-0000-00005DEB0000}"/>
    <cellStyle name="Normal 2 4 9 5 3 3 2" xfId="61014" xr:uid="{00000000-0005-0000-0000-00005EEB0000}"/>
    <cellStyle name="Normal 2 4 9 5 3 4" xfId="25167" xr:uid="{00000000-0005-0000-0000-00005FEB0000}"/>
    <cellStyle name="Normal 2 4 9 5 3 4 2" xfId="61015" xr:uid="{00000000-0005-0000-0000-000060EB0000}"/>
    <cellStyle name="Normal 2 4 9 5 3 5" xfId="25168" xr:uid="{00000000-0005-0000-0000-000061EB0000}"/>
    <cellStyle name="Normal 2 4 9 5 3 5 2" xfId="61016" xr:uid="{00000000-0005-0000-0000-000062EB0000}"/>
    <cellStyle name="Normal 2 4 9 5 3 6" xfId="61017" xr:uid="{00000000-0005-0000-0000-000063EB0000}"/>
    <cellStyle name="Normal 2 4 9 5 3 6 2" xfId="61018" xr:uid="{00000000-0005-0000-0000-000064EB0000}"/>
    <cellStyle name="Normal 2 4 9 5 3 7" xfId="61019" xr:uid="{00000000-0005-0000-0000-000065EB0000}"/>
    <cellStyle name="Normal 2 4 9 5 4" xfId="25169" xr:uid="{00000000-0005-0000-0000-000066EB0000}"/>
    <cellStyle name="Normal 2 4 9 5 4 2" xfId="25170" xr:uid="{00000000-0005-0000-0000-000067EB0000}"/>
    <cellStyle name="Normal 2 4 9 5 4 2 2" xfId="61020" xr:uid="{00000000-0005-0000-0000-000068EB0000}"/>
    <cellStyle name="Normal 2 4 9 5 4 3" xfId="25171" xr:uid="{00000000-0005-0000-0000-000069EB0000}"/>
    <cellStyle name="Normal 2 4 9 5 4 3 2" xfId="61021" xr:uid="{00000000-0005-0000-0000-00006AEB0000}"/>
    <cellStyle name="Normal 2 4 9 5 4 4" xfId="61022" xr:uid="{00000000-0005-0000-0000-00006BEB0000}"/>
    <cellStyle name="Normal 2 4 9 5 5" xfId="25172" xr:uid="{00000000-0005-0000-0000-00006CEB0000}"/>
    <cellStyle name="Normal 2 4 9 5 5 2" xfId="25173" xr:uid="{00000000-0005-0000-0000-00006DEB0000}"/>
    <cellStyle name="Normal 2 4 9 5 5 2 2" xfId="61023" xr:uid="{00000000-0005-0000-0000-00006EEB0000}"/>
    <cellStyle name="Normal 2 4 9 5 5 3" xfId="61024" xr:uid="{00000000-0005-0000-0000-00006FEB0000}"/>
    <cellStyle name="Normal 2 4 9 5 6" xfId="25174" xr:uid="{00000000-0005-0000-0000-000070EB0000}"/>
    <cellStyle name="Normal 2 4 9 5 6 2" xfId="61025" xr:uid="{00000000-0005-0000-0000-000071EB0000}"/>
    <cellStyle name="Normal 2 4 9 5 7" xfId="25175" xr:uid="{00000000-0005-0000-0000-000072EB0000}"/>
    <cellStyle name="Normal 2 4 9 5 7 2" xfId="61026" xr:uid="{00000000-0005-0000-0000-000073EB0000}"/>
    <cellStyle name="Normal 2 4 9 5 8" xfId="61027" xr:uid="{00000000-0005-0000-0000-000074EB0000}"/>
    <cellStyle name="Normal 2 4 9 5 8 2" xfId="61028" xr:uid="{00000000-0005-0000-0000-000075EB0000}"/>
    <cellStyle name="Normal 2 4 9 5 9" xfId="61029" xr:uid="{00000000-0005-0000-0000-000076EB0000}"/>
    <cellStyle name="Normal 2 4 9 6" xfId="25176" xr:uid="{00000000-0005-0000-0000-000077EB0000}"/>
    <cellStyle name="Normal 2 4 9 6 10" xfId="61030" xr:uid="{00000000-0005-0000-0000-000078EB0000}"/>
    <cellStyle name="Normal 2 4 9 6 11" xfId="61031" xr:uid="{00000000-0005-0000-0000-000079EB0000}"/>
    <cellStyle name="Normal 2 4 9 6 2" xfId="25177" xr:uid="{00000000-0005-0000-0000-00007AEB0000}"/>
    <cellStyle name="Normal 2 4 9 6 2 10" xfId="61032" xr:uid="{00000000-0005-0000-0000-00007BEB0000}"/>
    <cellStyle name="Normal 2 4 9 6 2 2" xfId="25178" xr:uid="{00000000-0005-0000-0000-00007CEB0000}"/>
    <cellStyle name="Normal 2 4 9 6 2 2 2" xfId="25179" xr:uid="{00000000-0005-0000-0000-00007DEB0000}"/>
    <cellStyle name="Normal 2 4 9 6 2 2 2 2" xfId="25180" xr:uid="{00000000-0005-0000-0000-00007EEB0000}"/>
    <cellStyle name="Normal 2 4 9 6 2 2 2 2 2" xfId="61033" xr:uid="{00000000-0005-0000-0000-00007FEB0000}"/>
    <cellStyle name="Normal 2 4 9 6 2 2 2 3" xfId="25181" xr:uid="{00000000-0005-0000-0000-000080EB0000}"/>
    <cellStyle name="Normal 2 4 9 6 2 2 2 3 2" xfId="61034" xr:uid="{00000000-0005-0000-0000-000081EB0000}"/>
    <cellStyle name="Normal 2 4 9 6 2 2 2 4" xfId="61035" xr:uid="{00000000-0005-0000-0000-000082EB0000}"/>
    <cellStyle name="Normal 2 4 9 6 2 2 3" xfId="25182" xr:uid="{00000000-0005-0000-0000-000083EB0000}"/>
    <cellStyle name="Normal 2 4 9 6 2 2 3 2" xfId="61036" xr:uid="{00000000-0005-0000-0000-000084EB0000}"/>
    <cellStyle name="Normal 2 4 9 6 2 2 4" xfId="25183" xr:uid="{00000000-0005-0000-0000-000085EB0000}"/>
    <cellStyle name="Normal 2 4 9 6 2 2 4 2" xfId="61037" xr:uid="{00000000-0005-0000-0000-000086EB0000}"/>
    <cellStyle name="Normal 2 4 9 6 2 2 5" xfId="25184" xr:uid="{00000000-0005-0000-0000-000087EB0000}"/>
    <cellStyle name="Normal 2 4 9 6 2 2 5 2" xfId="61038" xr:uid="{00000000-0005-0000-0000-000088EB0000}"/>
    <cellStyle name="Normal 2 4 9 6 2 2 6" xfId="61039" xr:uid="{00000000-0005-0000-0000-000089EB0000}"/>
    <cellStyle name="Normal 2 4 9 6 2 2 6 2" xfId="61040" xr:uid="{00000000-0005-0000-0000-00008AEB0000}"/>
    <cellStyle name="Normal 2 4 9 6 2 2 7" xfId="61041" xr:uid="{00000000-0005-0000-0000-00008BEB0000}"/>
    <cellStyle name="Normal 2 4 9 6 2 3" xfId="25185" xr:uid="{00000000-0005-0000-0000-00008CEB0000}"/>
    <cellStyle name="Normal 2 4 9 6 2 3 2" xfId="25186" xr:uid="{00000000-0005-0000-0000-00008DEB0000}"/>
    <cellStyle name="Normal 2 4 9 6 2 3 2 2" xfId="61042" xr:uid="{00000000-0005-0000-0000-00008EEB0000}"/>
    <cellStyle name="Normal 2 4 9 6 2 3 3" xfId="25187" xr:uid="{00000000-0005-0000-0000-00008FEB0000}"/>
    <cellStyle name="Normal 2 4 9 6 2 3 3 2" xfId="61043" xr:uid="{00000000-0005-0000-0000-000090EB0000}"/>
    <cellStyle name="Normal 2 4 9 6 2 3 4" xfId="61044" xr:uid="{00000000-0005-0000-0000-000091EB0000}"/>
    <cellStyle name="Normal 2 4 9 6 2 4" xfId="25188" xr:uid="{00000000-0005-0000-0000-000092EB0000}"/>
    <cellStyle name="Normal 2 4 9 6 2 4 2" xfId="25189" xr:uid="{00000000-0005-0000-0000-000093EB0000}"/>
    <cellStyle name="Normal 2 4 9 6 2 4 2 2" xfId="61045" xr:uid="{00000000-0005-0000-0000-000094EB0000}"/>
    <cellStyle name="Normal 2 4 9 6 2 4 3" xfId="61046" xr:uid="{00000000-0005-0000-0000-000095EB0000}"/>
    <cellStyle name="Normal 2 4 9 6 2 5" xfId="25190" xr:uid="{00000000-0005-0000-0000-000096EB0000}"/>
    <cellStyle name="Normal 2 4 9 6 2 5 2" xfId="61047" xr:uid="{00000000-0005-0000-0000-000097EB0000}"/>
    <cellStyle name="Normal 2 4 9 6 2 6" xfId="25191" xr:uid="{00000000-0005-0000-0000-000098EB0000}"/>
    <cellStyle name="Normal 2 4 9 6 2 6 2" xfId="61048" xr:uid="{00000000-0005-0000-0000-000099EB0000}"/>
    <cellStyle name="Normal 2 4 9 6 2 7" xfId="61049" xr:uid="{00000000-0005-0000-0000-00009AEB0000}"/>
    <cellStyle name="Normal 2 4 9 6 2 7 2" xfId="61050" xr:uid="{00000000-0005-0000-0000-00009BEB0000}"/>
    <cellStyle name="Normal 2 4 9 6 2 8" xfId="61051" xr:uid="{00000000-0005-0000-0000-00009CEB0000}"/>
    <cellStyle name="Normal 2 4 9 6 2 9" xfId="61052" xr:uid="{00000000-0005-0000-0000-00009DEB0000}"/>
    <cellStyle name="Normal 2 4 9 6 3" xfId="25192" xr:uid="{00000000-0005-0000-0000-00009EEB0000}"/>
    <cellStyle name="Normal 2 4 9 6 3 2" xfId="25193" xr:uid="{00000000-0005-0000-0000-00009FEB0000}"/>
    <cellStyle name="Normal 2 4 9 6 3 2 2" xfId="25194" xr:uid="{00000000-0005-0000-0000-0000A0EB0000}"/>
    <cellStyle name="Normal 2 4 9 6 3 2 2 2" xfId="61053" xr:uid="{00000000-0005-0000-0000-0000A1EB0000}"/>
    <cellStyle name="Normal 2 4 9 6 3 2 3" xfId="25195" xr:uid="{00000000-0005-0000-0000-0000A2EB0000}"/>
    <cellStyle name="Normal 2 4 9 6 3 2 3 2" xfId="61054" xr:uid="{00000000-0005-0000-0000-0000A3EB0000}"/>
    <cellStyle name="Normal 2 4 9 6 3 2 4" xfId="61055" xr:uid="{00000000-0005-0000-0000-0000A4EB0000}"/>
    <cellStyle name="Normal 2 4 9 6 3 3" xfId="25196" xr:uid="{00000000-0005-0000-0000-0000A5EB0000}"/>
    <cellStyle name="Normal 2 4 9 6 3 3 2" xfId="61056" xr:uid="{00000000-0005-0000-0000-0000A6EB0000}"/>
    <cellStyle name="Normal 2 4 9 6 3 4" xfId="25197" xr:uid="{00000000-0005-0000-0000-0000A7EB0000}"/>
    <cellStyle name="Normal 2 4 9 6 3 4 2" xfId="61057" xr:uid="{00000000-0005-0000-0000-0000A8EB0000}"/>
    <cellStyle name="Normal 2 4 9 6 3 5" xfId="25198" xr:uid="{00000000-0005-0000-0000-0000A9EB0000}"/>
    <cellStyle name="Normal 2 4 9 6 3 5 2" xfId="61058" xr:uid="{00000000-0005-0000-0000-0000AAEB0000}"/>
    <cellStyle name="Normal 2 4 9 6 3 6" xfId="61059" xr:uid="{00000000-0005-0000-0000-0000ABEB0000}"/>
    <cellStyle name="Normal 2 4 9 6 3 6 2" xfId="61060" xr:uid="{00000000-0005-0000-0000-0000ACEB0000}"/>
    <cellStyle name="Normal 2 4 9 6 3 7" xfId="61061" xr:uid="{00000000-0005-0000-0000-0000ADEB0000}"/>
    <cellStyle name="Normal 2 4 9 6 4" xfId="25199" xr:uid="{00000000-0005-0000-0000-0000AEEB0000}"/>
    <cellStyle name="Normal 2 4 9 6 4 2" xfId="25200" xr:uid="{00000000-0005-0000-0000-0000AFEB0000}"/>
    <cellStyle name="Normal 2 4 9 6 4 2 2" xfId="61062" xr:uid="{00000000-0005-0000-0000-0000B0EB0000}"/>
    <cellStyle name="Normal 2 4 9 6 4 3" xfId="25201" xr:uid="{00000000-0005-0000-0000-0000B1EB0000}"/>
    <cellStyle name="Normal 2 4 9 6 4 3 2" xfId="61063" xr:uid="{00000000-0005-0000-0000-0000B2EB0000}"/>
    <cellStyle name="Normal 2 4 9 6 4 4" xfId="61064" xr:uid="{00000000-0005-0000-0000-0000B3EB0000}"/>
    <cellStyle name="Normal 2 4 9 6 5" xfId="25202" xr:uid="{00000000-0005-0000-0000-0000B4EB0000}"/>
    <cellStyle name="Normal 2 4 9 6 5 2" xfId="25203" xr:uid="{00000000-0005-0000-0000-0000B5EB0000}"/>
    <cellStyle name="Normal 2 4 9 6 5 2 2" xfId="61065" xr:uid="{00000000-0005-0000-0000-0000B6EB0000}"/>
    <cellStyle name="Normal 2 4 9 6 5 3" xfId="61066" xr:uid="{00000000-0005-0000-0000-0000B7EB0000}"/>
    <cellStyle name="Normal 2 4 9 6 6" xfId="25204" xr:uid="{00000000-0005-0000-0000-0000B8EB0000}"/>
    <cellStyle name="Normal 2 4 9 6 6 2" xfId="61067" xr:uid="{00000000-0005-0000-0000-0000B9EB0000}"/>
    <cellStyle name="Normal 2 4 9 6 7" xfId="25205" xr:uid="{00000000-0005-0000-0000-0000BAEB0000}"/>
    <cellStyle name="Normal 2 4 9 6 7 2" xfId="61068" xr:uid="{00000000-0005-0000-0000-0000BBEB0000}"/>
    <cellStyle name="Normal 2 4 9 6 8" xfId="61069" xr:uid="{00000000-0005-0000-0000-0000BCEB0000}"/>
    <cellStyle name="Normal 2 4 9 6 8 2" xfId="61070" xr:uid="{00000000-0005-0000-0000-0000BDEB0000}"/>
    <cellStyle name="Normal 2 4 9 6 9" xfId="61071" xr:uid="{00000000-0005-0000-0000-0000BEEB0000}"/>
    <cellStyle name="Normal 2 4 9 7" xfId="25206" xr:uid="{00000000-0005-0000-0000-0000BFEB0000}"/>
    <cellStyle name="Normal 2 4 9 7 10" xfId="61072" xr:uid="{00000000-0005-0000-0000-0000C0EB0000}"/>
    <cellStyle name="Normal 2 4 9 7 11" xfId="61073" xr:uid="{00000000-0005-0000-0000-0000C1EB0000}"/>
    <cellStyle name="Normal 2 4 9 7 2" xfId="25207" xr:uid="{00000000-0005-0000-0000-0000C2EB0000}"/>
    <cellStyle name="Normal 2 4 9 7 2 10" xfId="61074" xr:uid="{00000000-0005-0000-0000-0000C3EB0000}"/>
    <cellStyle name="Normal 2 4 9 7 2 2" xfId="25208" xr:uid="{00000000-0005-0000-0000-0000C4EB0000}"/>
    <cellStyle name="Normal 2 4 9 7 2 2 2" xfId="25209" xr:uid="{00000000-0005-0000-0000-0000C5EB0000}"/>
    <cellStyle name="Normal 2 4 9 7 2 2 2 2" xfId="25210" xr:uid="{00000000-0005-0000-0000-0000C6EB0000}"/>
    <cellStyle name="Normal 2 4 9 7 2 2 2 2 2" xfId="61075" xr:uid="{00000000-0005-0000-0000-0000C7EB0000}"/>
    <cellStyle name="Normal 2 4 9 7 2 2 2 3" xfId="25211" xr:uid="{00000000-0005-0000-0000-0000C8EB0000}"/>
    <cellStyle name="Normal 2 4 9 7 2 2 2 3 2" xfId="61076" xr:uid="{00000000-0005-0000-0000-0000C9EB0000}"/>
    <cellStyle name="Normal 2 4 9 7 2 2 2 4" xfId="61077" xr:uid="{00000000-0005-0000-0000-0000CAEB0000}"/>
    <cellStyle name="Normal 2 4 9 7 2 2 3" xfId="25212" xr:uid="{00000000-0005-0000-0000-0000CBEB0000}"/>
    <cellStyle name="Normal 2 4 9 7 2 2 3 2" xfId="61078" xr:uid="{00000000-0005-0000-0000-0000CCEB0000}"/>
    <cellStyle name="Normal 2 4 9 7 2 2 4" xfId="25213" xr:uid="{00000000-0005-0000-0000-0000CDEB0000}"/>
    <cellStyle name="Normal 2 4 9 7 2 2 4 2" xfId="61079" xr:uid="{00000000-0005-0000-0000-0000CEEB0000}"/>
    <cellStyle name="Normal 2 4 9 7 2 2 5" xfId="25214" xr:uid="{00000000-0005-0000-0000-0000CFEB0000}"/>
    <cellStyle name="Normal 2 4 9 7 2 2 5 2" xfId="61080" xr:uid="{00000000-0005-0000-0000-0000D0EB0000}"/>
    <cellStyle name="Normal 2 4 9 7 2 2 6" xfId="61081" xr:uid="{00000000-0005-0000-0000-0000D1EB0000}"/>
    <cellStyle name="Normal 2 4 9 7 2 2 6 2" xfId="61082" xr:uid="{00000000-0005-0000-0000-0000D2EB0000}"/>
    <cellStyle name="Normal 2 4 9 7 2 2 7" xfId="61083" xr:uid="{00000000-0005-0000-0000-0000D3EB0000}"/>
    <cellStyle name="Normal 2 4 9 7 2 3" xfId="25215" xr:uid="{00000000-0005-0000-0000-0000D4EB0000}"/>
    <cellStyle name="Normal 2 4 9 7 2 3 2" xfId="25216" xr:uid="{00000000-0005-0000-0000-0000D5EB0000}"/>
    <cellStyle name="Normal 2 4 9 7 2 3 2 2" xfId="61084" xr:uid="{00000000-0005-0000-0000-0000D6EB0000}"/>
    <cellStyle name="Normal 2 4 9 7 2 3 3" xfId="25217" xr:uid="{00000000-0005-0000-0000-0000D7EB0000}"/>
    <cellStyle name="Normal 2 4 9 7 2 3 3 2" xfId="61085" xr:uid="{00000000-0005-0000-0000-0000D8EB0000}"/>
    <cellStyle name="Normal 2 4 9 7 2 3 4" xfId="61086" xr:uid="{00000000-0005-0000-0000-0000D9EB0000}"/>
    <cellStyle name="Normal 2 4 9 7 2 4" xfId="25218" xr:uid="{00000000-0005-0000-0000-0000DAEB0000}"/>
    <cellStyle name="Normal 2 4 9 7 2 4 2" xfId="25219" xr:uid="{00000000-0005-0000-0000-0000DBEB0000}"/>
    <cellStyle name="Normal 2 4 9 7 2 4 2 2" xfId="61087" xr:uid="{00000000-0005-0000-0000-0000DCEB0000}"/>
    <cellStyle name="Normal 2 4 9 7 2 4 3" xfId="61088" xr:uid="{00000000-0005-0000-0000-0000DDEB0000}"/>
    <cellStyle name="Normal 2 4 9 7 2 5" xfId="25220" xr:uid="{00000000-0005-0000-0000-0000DEEB0000}"/>
    <cellStyle name="Normal 2 4 9 7 2 5 2" xfId="61089" xr:uid="{00000000-0005-0000-0000-0000DFEB0000}"/>
    <cellStyle name="Normal 2 4 9 7 2 6" xfId="25221" xr:uid="{00000000-0005-0000-0000-0000E0EB0000}"/>
    <cellStyle name="Normal 2 4 9 7 2 6 2" xfId="61090" xr:uid="{00000000-0005-0000-0000-0000E1EB0000}"/>
    <cellStyle name="Normal 2 4 9 7 2 7" xfId="61091" xr:uid="{00000000-0005-0000-0000-0000E2EB0000}"/>
    <cellStyle name="Normal 2 4 9 7 2 7 2" xfId="61092" xr:uid="{00000000-0005-0000-0000-0000E3EB0000}"/>
    <cellStyle name="Normal 2 4 9 7 2 8" xfId="61093" xr:uid="{00000000-0005-0000-0000-0000E4EB0000}"/>
    <cellStyle name="Normal 2 4 9 7 2 9" xfId="61094" xr:uid="{00000000-0005-0000-0000-0000E5EB0000}"/>
    <cellStyle name="Normal 2 4 9 7 3" xfId="25222" xr:uid="{00000000-0005-0000-0000-0000E6EB0000}"/>
    <cellStyle name="Normal 2 4 9 7 3 2" xfId="25223" xr:uid="{00000000-0005-0000-0000-0000E7EB0000}"/>
    <cellStyle name="Normal 2 4 9 7 3 2 2" xfId="25224" xr:uid="{00000000-0005-0000-0000-0000E8EB0000}"/>
    <cellStyle name="Normal 2 4 9 7 3 2 2 2" xfId="61095" xr:uid="{00000000-0005-0000-0000-0000E9EB0000}"/>
    <cellStyle name="Normal 2 4 9 7 3 2 3" xfId="25225" xr:uid="{00000000-0005-0000-0000-0000EAEB0000}"/>
    <cellStyle name="Normal 2 4 9 7 3 2 3 2" xfId="61096" xr:uid="{00000000-0005-0000-0000-0000EBEB0000}"/>
    <cellStyle name="Normal 2 4 9 7 3 2 4" xfId="61097" xr:uid="{00000000-0005-0000-0000-0000ECEB0000}"/>
    <cellStyle name="Normal 2 4 9 7 3 3" xfId="25226" xr:uid="{00000000-0005-0000-0000-0000EDEB0000}"/>
    <cellStyle name="Normal 2 4 9 7 3 3 2" xfId="61098" xr:uid="{00000000-0005-0000-0000-0000EEEB0000}"/>
    <cellStyle name="Normal 2 4 9 7 3 4" xfId="25227" xr:uid="{00000000-0005-0000-0000-0000EFEB0000}"/>
    <cellStyle name="Normal 2 4 9 7 3 4 2" xfId="61099" xr:uid="{00000000-0005-0000-0000-0000F0EB0000}"/>
    <cellStyle name="Normal 2 4 9 7 3 5" xfId="25228" xr:uid="{00000000-0005-0000-0000-0000F1EB0000}"/>
    <cellStyle name="Normal 2 4 9 7 3 5 2" xfId="61100" xr:uid="{00000000-0005-0000-0000-0000F2EB0000}"/>
    <cellStyle name="Normal 2 4 9 7 3 6" xfId="61101" xr:uid="{00000000-0005-0000-0000-0000F3EB0000}"/>
    <cellStyle name="Normal 2 4 9 7 3 6 2" xfId="61102" xr:uid="{00000000-0005-0000-0000-0000F4EB0000}"/>
    <cellStyle name="Normal 2 4 9 7 3 7" xfId="61103" xr:uid="{00000000-0005-0000-0000-0000F5EB0000}"/>
    <cellStyle name="Normal 2 4 9 7 4" xfId="25229" xr:uid="{00000000-0005-0000-0000-0000F6EB0000}"/>
    <cellStyle name="Normal 2 4 9 7 4 2" xfId="25230" xr:uid="{00000000-0005-0000-0000-0000F7EB0000}"/>
    <cellStyle name="Normal 2 4 9 7 4 2 2" xfId="61104" xr:uid="{00000000-0005-0000-0000-0000F8EB0000}"/>
    <cellStyle name="Normal 2 4 9 7 4 3" xfId="25231" xr:uid="{00000000-0005-0000-0000-0000F9EB0000}"/>
    <cellStyle name="Normal 2 4 9 7 4 3 2" xfId="61105" xr:uid="{00000000-0005-0000-0000-0000FAEB0000}"/>
    <cellStyle name="Normal 2 4 9 7 4 4" xfId="61106" xr:uid="{00000000-0005-0000-0000-0000FBEB0000}"/>
    <cellStyle name="Normal 2 4 9 7 5" xfId="25232" xr:uid="{00000000-0005-0000-0000-0000FCEB0000}"/>
    <cellStyle name="Normal 2 4 9 7 5 2" xfId="25233" xr:uid="{00000000-0005-0000-0000-0000FDEB0000}"/>
    <cellStyle name="Normal 2 4 9 7 5 2 2" xfId="61107" xr:uid="{00000000-0005-0000-0000-0000FEEB0000}"/>
    <cellStyle name="Normal 2 4 9 7 5 3" xfId="61108" xr:uid="{00000000-0005-0000-0000-0000FFEB0000}"/>
    <cellStyle name="Normal 2 4 9 7 6" xfId="25234" xr:uid="{00000000-0005-0000-0000-000000EC0000}"/>
    <cellStyle name="Normal 2 4 9 7 6 2" xfId="61109" xr:uid="{00000000-0005-0000-0000-000001EC0000}"/>
    <cellStyle name="Normal 2 4 9 7 7" xfId="25235" xr:uid="{00000000-0005-0000-0000-000002EC0000}"/>
    <cellStyle name="Normal 2 4 9 7 7 2" xfId="61110" xr:uid="{00000000-0005-0000-0000-000003EC0000}"/>
    <cellStyle name="Normal 2 4 9 7 8" xfId="61111" xr:uid="{00000000-0005-0000-0000-000004EC0000}"/>
    <cellStyle name="Normal 2 4 9 7 8 2" xfId="61112" xr:uid="{00000000-0005-0000-0000-000005EC0000}"/>
    <cellStyle name="Normal 2 4 9 7 9" xfId="61113" xr:uid="{00000000-0005-0000-0000-000006EC0000}"/>
    <cellStyle name="Normal 2 4 9 8" xfId="25236" xr:uid="{00000000-0005-0000-0000-000007EC0000}"/>
    <cellStyle name="Normal 2 4 9 8 10" xfId="61114" xr:uid="{00000000-0005-0000-0000-000008EC0000}"/>
    <cellStyle name="Normal 2 4 9 8 11" xfId="61115" xr:uid="{00000000-0005-0000-0000-000009EC0000}"/>
    <cellStyle name="Normal 2 4 9 8 2" xfId="25237" xr:uid="{00000000-0005-0000-0000-00000AEC0000}"/>
    <cellStyle name="Normal 2 4 9 8 2 10" xfId="61116" xr:uid="{00000000-0005-0000-0000-00000BEC0000}"/>
    <cellStyle name="Normal 2 4 9 8 2 2" xfId="25238" xr:uid="{00000000-0005-0000-0000-00000CEC0000}"/>
    <cellStyle name="Normal 2 4 9 8 2 2 2" xfId="25239" xr:uid="{00000000-0005-0000-0000-00000DEC0000}"/>
    <cellStyle name="Normal 2 4 9 8 2 2 2 2" xfId="25240" xr:uid="{00000000-0005-0000-0000-00000EEC0000}"/>
    <cellStyle name="Normal 2 4 9 8 2 2 2 2 2" xfId="61117" xr:uid="{00000000-0005-0000-0000-00000FEC0000}"/>
    <cellStyle name="Normal 2 4 9 8 2 2 2 3" xfId="25241" xr:uid="{00000000-0005-0000-0000-000010EC0000}"/>
    <cellStyle name="Normal 2 4 9 8 2 2 2 3 2" xfId="61118" xr:uid="{00000000-0005-0000-0000-000011EC0000}"/>
    <cellStyle name="Normal 2 4 9 8 2 2 2 4" xfId="61119" xr:uid="{00000000-0005-0000-0000-000012EC0000}"/>
    <cellStyle name="Normal 2 4 9 8 2 2 3" xfId="25242" xr:uid="{00000000-0005-0000-0000-000013EC0000}"/>
    <cellStyle name="Normal 2 4 9 8 2 2 3 2" xfId="61120" xr:uid="{00000000-0005-0000-0000-000014EC0000}"/>
    <cellStyle name="Normal 2 4 9 8 2 2 4" xfId="25243" xr:uid="{00000000-0005-0000-0000-000015EC0000}"/>
    <cellStyle name="Normal 2 4 9 8 2 2 4 2" xfId="61121" xr:uid="{00000000-0005-0000-0000-000016EC0000}"/>
    <cellStyle name="Normal 2 4 9 8 2 2 5" xfId="25244" xr:uid="{00000000-0005-0000-0000-000017EC0000}"/>
    <cellStyle name="Normal 2 4 9 8 2 2 5 2" xfId="61122" xr:uid="{00000000-0005-0000-0000-000018EC0000}"/>
    <cellStyle name="Normal 2 4 9 8 2 2 6" xfId="61123" xr:uid="{00000000-0005-0000-0000-000019EC0000}"/>
    <cellStyle name="Normal 2 4 9 8 2 2 6 2" xfId="61124" xr:uid="{00000000-0005-0000-0000-00001AEC0000}"/>
    <cellStyle name="Normal 2 4 9 8 2 2 7" xfId="61125" xr:uid="{00000000-0005-0000-0000-00001BEC0000}"/>
    <cellStyle name="Normal 2 4 9 8 2 3" xfId="25245" xr:uid="{00000000-0005-0000-0000-00001CEC0000}"/>
    <cellStyle name="Normal 2 4 9 8 2 3 2" xfId="25246" xr:uid="{00000000-0005-0000-0000-00001DEC0000}"/>
    <cellStyle name="Normal 2 4 9 8 2 3 2 2" xfId="61126" xr:uid="{00000000-0005-0000-0000-00001EEC0000}"/>
    <cellStyle name="Normal 2 4 9 8 2 3 3" xfId="25247" xr:uid="{00000000-0005-0000-0000-00001FEC0000}"/>
    <cellStyle name="Normal 2 4 9 8 2 3 3 2" xfId="61127" xr:uid="{00000000-0005-0000-0000-000020EC0000}"/>
    <cellStyle name="Normal 2 4 9 8 2 3 4" xfId="61128" xr:uid="{00000000-0005-0000-0000-000021EC0000}"/>
    <cellStyle name="Normal 2 4 9 8 2 4" xfId="25248" xr:uid="{00000000-0005-0000-0000-000022EC0000}"/>
    <cellStyle name="Normal 2 4 9 8 2 4 2" xfId="25249" xr:uid="{00000000-0005-0000-0000-000023EC0000}"/>
    <cellStyle name="Normal 2 4 9 8 2 4 2 2" xfId="61129" xr:uid="{00000000-0005-0000-0000-000024EC0000}"/>
    <cellStyle name="Normal 2 4 9 8 2 4 3" xfId="61130" xr:uid="{00000000-0005-0000-0000-000025EC0000}"/>
    <cellStyle name="Normal 2 4 9 8 2 5" xfId="25250" xr:uid="{00000000-0005-0000-0000-000026EC0000}"/>
    <cellStyle name="Normal 2 4 9 8 2 5 2" xfId="61131" xr:uid="{00000000-0005-0000-0000-000027EC0000}"/>
    <cellStyle name="Normal 2 4 9 8 2 6" xfId="25251" xr:uid="{00000000-0005-0000-0000-000028EC0000}"/>
    <cellStyle name="Normal 2 4 9 8 2 6 2" xfId="61132" xr:uid="{00000000-0005-0000-0000-000029EC0000}"/>
    <cellStyle name="Normal 2 4 9 8 2 7" xfId="61133" xr:uid="{00000000-0005-0000-0000-00002AEC0000}"/>
    <cellStyle name="Normal 2 4 9 8 2 7 2" xfId="61134" xr:uid="{00000000-0005-0000-0000-00002BEC0000}"/>
    <cellStyle name="Normal 2 4 9 8 2 8" xfId="61135" xr:uid="{00000000-0005-0000-0000-00002CEC0000}"/>
    <cellStyle name="Normal 2 4 9 8 2 9" xfId="61136" xr:uid="{00000000-0005-0000-0000-00002DEC0000}"/>
    <cellStyle name="Normal 2 4 9 8 3" xfId="25252" xr:uid="{00000000-0005-0000-0000-00002EEC0000}"/>
    <cellStyle name="Normal 2 4 9 8 3 2" xfId="25253" xr:uid="{00000000-0005-0000-0000-00002FEC0000}"/>
    <cellStyle name="Normal 2 4 9 8 3 2 2" xfId="25254" xr:uid="{00000000-0005-0000-0000-000030EC0000}"/>
    <cellStyle name="Normal 2 4 9 8 3 2 2 2" xfId="61137" xr:uid="{00000000-0005-0000-0000-000031EC0000}"/>
    <cellStyle name="Normal 2 4 9 8 3 2 3" xfId="25255" xr:uid="{00000000-0005-0000-0000-000032EC0000}"/>
    <cellStyle name="Normal 2 4 9 8 3 2 3 2" xfId="61138" xr:uid="{00000000-0005-0000-0000-000033EC0000}"/>
    <cellStyle name="Normal 2 4 9 8 3 2 4" xfId="61139" xr:uid="{00000000-0005-0000-0000-000034EC0000}"/>
    <cellStyle name="Normal 2 4 9 8 3 3" xfId="25256" xr:uid="{00000000-0005-0000-0000-000035EC0000}"/>
    <cellStyle name="Normal 2 4 9 8 3 3 2" xfId="61140" xr:uid="{00000000-0005-0000-0000-000036EC0000}"/>
    <cellStyle name="Normal 2 4 9 8 3 4" xfId="25257" xr:uid="{00000000-0005-0000-0000-000037EC0000}"/>
    <cellStyle name="Normal 2 4 9 8 3 4 2" xfId="61141" xr:uid="{00000000-0005-0000-0000-000038EC0000}"/>
    <cellStyle name="Normal 2 4 9 8 3 5" xfId="25258" xr:uid="{00000000-0005-0000-0000-000039EC0000}"/>
    <cellStyle name="Normal 2 4 9 8 3 5 2" xfId="61142" xr:uid="{00000000-0005-0000-0000-00003AEC0000}"/>
    <cellStyle name="Normal 2 4 9 8 3 6" xfId="61143" xr:uid="{00000000-0005-0000-0000-00003BEC0000}"/>
    <cellStyle name="Normal 2 4 9 8 3 6 2" xfId="61144" xr:uid="{00000000-0005-0000-0000-00003CEC0000}"/>
    <cellStyle name="Normal 2 4 9 8 3 7" xfId="61145" xr:uid="{00000000-0005-0000-0000-00003DEC0000}"/>
    <cellStyle name="Normal 2 4 9 8 4" xfId="25259" xr:uid="{00000000-0005-0000-0000-00003EEC0000}"/>
    <cellStyle name="Normal 2 4 9 8 4 2" xfId="25260" xr:uid="{00000000-0005-0000-0000-00003FEC0000}"/>
    <cellStyle name="Normal 2 4 9 8 4 2 2" xfId="61146" xr:uid="{00000000-0005-0000-0000-000040EC0000}"/>
    <cellStyle name="Normal 2 4 9 8 4 3" xfId="25261" xr:uid="{00000000-0005-0000-0000-000041EC0000}"/>
    <cellStyle name="Normal 2 4 9 8 4 3 2" xfId="61147" xr:uid="{00000000-0005-0000-0000-000042EC0000}"/>
    <cellStyle name="Normal 2 4 9 8 4 4" xfId="61148" xr:uid="{00000000-0005-0000-0000-000043EC0000}"/>
    <cellStyle name="Normal 2 4 9 8 5" xfId="25262" xr:uid="{00000000-0005-0000-0000-000044EC0000}"/>
    <cellStyle name="Normal 2 4 9 8 5 2" xfId="25263" xr:uid="{00000000-0005-0000-0000-000045EC0000}"/>
    <cellStyle name="Normal 2 4 9 8 5 2 2" xfId="61149" xr:uid="{00000000-0005-0000-0000-000046EC0000}"/>
    <cellStyle name="Normal 2 4 9 8 5 3" xfId="61150" xr:uid="{00000000-0005-0000-0000-000047EC0000}"/>
    <cellStyle name="Normal 2 4 9 8 6" xfId="25264" xr:uid="{00000000-0005-0000-0000-000048EC0000}"/>
    <cellStyle name="Normal 2 4 9 8 6 2" xfId="61151" xr:uid="{00000000-0005-0000-0000-000049EC0000}"/>
    <cellStyle name="Normal 2 4 9 8 7" xfId="25265" xr:uid="{00000000-0005-0000-0000-00004AEC0000}"/>
    <cellStyle name="Normal 2 4 9 8 7 2" xfId="61152" xr:uid="{00000000-0005-0000-0000-00004BEC0000}"/>
    <cellStyle name="Normal 2 4 9 8 8" xfId="61153" xr:uid="{00000000-0005-0000-0000-00004CEC0000}"/>
    <cellStyle name="Normal 2 4 9 8 8 2" xfId="61154" xr:uid="{00000000-0005-0000-0000-00004DEC0000}"/>
    <cellStyle name="Normal 2 4 9 8 9" xfId="61155" xr:uid="{00000000-0005-0000-0000-00004EEC0000}"/>
    <cellStyle name="Normal 2 4 9 9" xfId="25266" xr:uid="{00000000-0005-0000-0000-00004FEC0000}"/>
    <cellStyle name="Normal 2 4 9 9 10" xfId="61156" xr:uid="{00000000-0005-0000-0000-000050EC0000}"/>
    <cellStyle name="Normal 2 4 9 9 11" xfId="61157" xr:uid="{00000000-0005-0000-0000-000051EC0000}"/>
    <cellStyle name="Normal 2 4 9 9 2" xfId="25267" xr:uid="{00000000-0005-0000-0000-000052EC0000}"/>
    <cellStyle name="Normal 2 4 9 9 2 10" xfId="61158" xr:uid="{00000000-0005-0000-0000-000053EC0000}"/>
    <cellStyle name="Normal 2 4 9 9 2 2" xfId="25268" xr:uid="{00000000-0005-0000-0000-000054EC0000}"/>
    <cellStyle name="Normal 2 4 9 9 2 2 2" xfId="25269" xr:uid="{00000000-0005-0000-0000-000055EC0000}"/>
    <cellStyle name="Normal 2 4 9 9 2 2 2 2" xfId="25270" xr:uid="{00000000-0005-0000-0000-000056EC0000}"/>
    <cellStyle name="Normal 2 4 9 9 2 2 2 2 2" xfId="61159" xr:uid="{00000000-0005-0000-0000-000057EC0000}"/>
    <cellStyle name="Normal 2 4 9 9 2 2 2 3" xfId="25271" xr:uid="{00000000-0005-0000-0000-000058EC0000}"/>
    <cellStyle name="Normal 2 4 9 9 2 2 2 3 2" xfId="61160" xr:uid="{00000000-0005-0000-0000-000059EC0000}"/>
    <cellStyle name="Normal 2 4 9 9 2 2 2 4" xfId="61161" xr:uid="{00000000-0005-0000-0000-00005AEC0000}"/>
    <cellStyle name="Normal 2 4 9 9 2 2 3" xfId="25272" xr:uid="{00000000-0005-0000-0000-00005BEC0000}"/>
    <cellStyle name="Normal 2 4 9 9 2 2 3 2" xfId="61162" xr:uid="{00000000-0005-0000-0000-00005CEC0000}"/>
    <cellStyle name="Normal 2 4 9 9 2 2 4" xfId="25273" xr:uid="{00000000-0005-0000-0000-00005DEC0000}"/>
    <cellStyle name="Normal 2 4 9 9 2 2 4 2" xfId="61163" xr:uid="{00000000-0005-0000-0000-00005EEC0000}"/>
    <cellStyle name="Normal 2 4 9 9 2 2 5" xfId="25274" xr:uid="{00000000-0005-0000-0000-00005FEC0000}"/>
    <cellStyle name="Normal 2 4 9 9 2 2 5 2" xfId="61164" xr:uid="{00000000-0005-0000-0000-000060EC0000}"/>
    <cellStyle name="Normal 2 4 9 9 2 2 6" xfId="61165" xr:uid="{00000000-0005-0000-0000-000061EC0000}"/>
    <cellStyle name="Normal 2 4 9 9 2 2 6 2" xfId="61166" xr:uid="{00000000-0005-0000-0000-000062EC0000}"/>
    <cellStyle name="Normal 2 4 9 9 2 2 7" xfId="61167" xr:uid="{00000000-0005-0000-0000-000063EC0000}"/>
    <cellStyle name="Normal 2 4 9 9 2 3" xfId="25275" xr:uid="{00000000-0005-0000-0000-000064EC0000}"/>
    <cellStyle name="Normal 2 4 9 9 2 3 2" xfId="25276" xr:uid="{00000000-0005-0000-0000-000065EC0000}"/>
    <cellStyle name="Normal 2 4 9 9 2 3 2 2" xfId="61168" xr:uid="{00000000-0005-0000-0000-000066EC0000}"/>
    <cellStyle name="Normal 2 4 9 9 2 3 3" xfId="25277" xr:uid="{00000000-0005-0000-0000-000067EC0000}"/>
    <cellStyle name="Normal 2 4 9 9 2 3 3 2" xfId="61169" xr:uid="{00000000-0005-0000-0000-000068EC0000}"/>
    <cellStyle name="Normal 2 4 9 9 2 3 4" xfId="61170" xr:uid="{00000000-0005-0000-0000-000069EC0000}"/>
    <cellStyle name="Normal 2 4 9 9 2 4" xfId="25278" xr:uid="{00000000-0005-0000-0000-00006AEC0000}"/>
    <cellStyle name="Normal 2 4 9 9 2 4 2" xfId="25279" xr:uid="{00000000-0005-0000-0000-00006BEC0000}"/>
    <cellStyle name="Normal 2 4 9 9 2 4 2 2" xfId="61171" xr:uid="{00000000-0005-0000-0000-00006CEC0000}"/>
    <cellStyle name="Normal 2 4 9 9 2 4 3" xfId="61172" xr:uid="{00000000-0005-0000-0000-00006DEC0000}"/>
    <cellStyle name="Normal 2 4 9 9 2 5" xfId="25280" xr:uid="{00000000-0005-0000-0000-00006EEC0000}"/>
    <cellStyle name="Normal 2 4 9 9 2 5 2" xfId="61173" xr:uid="{00000000-0005-0000-0000-00006FEC0000}"/>
    <cellStyle name="Normal 2 4 9 9 2 6" xfId="25281" xr:uid="{00000000-0005-0000-0000-000070EC0000}"/>
    <cellStyle name="Normal 2 4 9 9 2 6 2" xfId="61174" xr:uid="{00000000-0005-0000-0000-000071EC0000}"/>
    <cellStyle name="Normal 2 4 9 9 2 7" xfId="61175" xr:uid="{00000000-0005-0000-0000-000072EC0000}"/>
    <cellStyle name="Normal 2 4 9 9 2 7 2" xfId="61176" xr:uid="{00000000-0005-0000-0000-000073EC0000}"/>
    <cellStyle name="Normal 2 4 9 9 2 8" xfId="61177" xr:uid="{00000000-0005-0000-0000-000074EC0000}"/>
    <cellStyle name="Normal 2 4 9 9 2 9" xfId="61178" xr:uid="{00000000-0005-0000-0000-000075EC0000}"/>
    <cellStyle name="Normal 2 4 9 9 3" xfId="25282" xr:uid="{00000000-0005-0000-0000-000076EC0000}"/>
    <cellStyle name="Normal 2 4 9 9 3 2" xfId="25283" xr:uid="{00000000-0005-0000-0000-000077EC0000}"/>
    <cellStyle name="Normal 2 4 9 9 3 2 2" xfId="25284" xr:uid="{00000000-0005-0000-0000-000078EC0000}"/>
    <cellStyle name="Normal 2 4 9 9 3 2 2 2" xfId="61179" xr:uid="{00000000-0005-0000-0000-000079EC0000}"/>
    <cellStyle name="Normal 2 4 9 9 3 2 3" xfId="25285" xr:uid="{00000000-0005-0000-0000-00007AEC0000}"/>
    <cellStyle name="Normal 2 4 9 9 3 2 3 2" xfId="61180" xr:uid="{00000000-0005-0000-0000-00007BEC0000}"/>
    <cellStyle name="Normal 2 4 9 9 3 2 4" xfId="61181" xr:uid="{00000000-0005-0000-0000-00007CEC0000}"/>
    <cellStyle name="Normal 2 4 9 9 3 3" xfId="25286" xr:uid="{00000000-0005-0000-0000-00007DEC0000}"/>
    <cellStyle name="Normal 2 4 9 9 3 3 2" xfId="61182" xr:uid="{00000000-0005-0000-0000-00007EEC0000}"/>
    <cellStyle name="Normal 2 4 9 9 3 4" xfId="25287" xr:uid="{00000000-0005-0000-0000-00007FEC0000}"/>
    <cellStyle name="Normal 2 4 9 9 3 4 2" xfId="61183" xr:uid="{00000000-0005-0000-0000-000080EC0000}"/>
    <cellStyle name="Normal 2 4 9 9 3 5" xfId="25288" xr:uid="{00000000-0005-0000-0000-000081EC0000}"/>
    <cellStyle name="Normal 2 4 9 9 3 5 2" xfId="61184" xr:uid="{00000000-0005-0000-0000-000082EC0000}"/>
    <cellStyle name="Normal 2 4 9 9 3 6" xfId="61185" xr:uid="{00000000-0005-0000-0000-000083EC0000}"/>
    <cellStyle name="Normal 2 4 9 9 3 6 2" xfId="61186" xr:uid="{00000000-0005-0000-0000-000084EC0000}"/>
    <cellStyle name="Normal 2 4 9 9 3 7" xfId="61187" xr:uid="{00000000-0005-0000-0000-000085EC0000}"/>
    <cellStyle name="Normal 2 4 9 9 4" xfId="25289" xr:uid="{00000000-0005-0000-0000-000086EC0000}"/>
    <cellStyle name="Normal 2 4 9 9 4 2" xfId="25290" xr:uid="{00000000-0005-0000-0000-000087EC0000}"/>
    <cellStyle name="Normal 2 4 9 9 4 2 2" xfId="61188" xr:uid="{00000000-0005-0000-0000-000088EC0000}"/>
    <cellStyle name="Normal 2 4 9 9 4 3" xfId="25291" xr:uid="{00000000-0005-0000-0000-000089EC0000}"/>
    <cellStyle name="Normal 2 4 9 9 4 3 2" xfId="61189" xr:uid="{00000000-0005-0000-0000-00008AEC0000}"/>
    <cellStyle name="Normal 2 4 9 9 4 4" xfId="61190" xr:uid="{00000000-0005-0000-0000-00008BEC0000}"/>
    <cellStyle name="Normal 2 4 9 9 5" xfId="25292" xr:uid="{00000000-0005-0000-0000-00008CEC0000}"/>
    <cellStyle name="Normal 2 4 9 9 5 2" xfId="25293" xr:uid="{00000000-0005-0000-0000-00008DEC0000}"/>
    <cellStyle name="Normal 2 4 9 9 5 2 2" xfId="61191" xr:uid="{00000000-0005-0000-0000-00008EEC0000}"/>
    <cellStyle name="Normal 2 4 9 9 5 3" xfId="61192" xr:uid="{00000000-0005-0000-0000-00008FEC0000}"/>
    <cellStyle name="Normal 2 4 9 9 6" xfId="25294" xr:uid="{00000000-0005-0000-0000-000090EC0000}"/>
    <cellStyle name="Normal 2 4 9 9 6 2" xfId="61193" xr:uid="{00000000-0005-0000-0000-000091EC0000}"/>
    <cellStyle name="Normal 2 4 9 9 7" xfId="25295" xr:uid="{00000000-0005-0000-0000-000092EC0000}"/>
    <cellStyle name="Normal 2 4 9 9 7 2" xfId="61194" xr:uid="{00000000-0005-0000-0000-000093EC0000}"/>
    <cellStyle name="Normal 2 4 9 9 8" xfId="61195" xr:uid="{00000000-0005-0000-0000-000094EC0000}"/>
    <cellStyle name="Normal 2 4 9 9 8 2" xfId="61196" xr:uid="{00000000-0005-0000-0000-000095EC0000}"/>
    <cellStyle name="Normal 2 4 9 9 9" xfId="61197" xr:uid="{00000000-0005-0000-0000-000096EC0000}"/>
    <cellStyle name="Normal 2 5" xfId="25296" xr:uid="{00000000-0005-0000-0000-000097EC0000}"/>
    <cellStyle name="Normal 2 5 10" xfId="61198" xr:uid="{00000000-0005-0000-0000-000098EC0000}"/>
    <cellStyle name="Normal 2 5 11" xfId="61199" xr:uid="{00000000-0005-0000-0000-000099EC0000}"/>
    <cellStyle name="Normal 2 5 2" xfId="25297" xr:uid="{00000000-0005-0000-0000-00009AEC0000}"/>
    <cellStyle name="Normal 2 5 2 10" xfId="61200" xr:uid="{00000000-0005-0000-0000-00009BEC0000}"/>
    <cellStyle name="Normal 2 5 2 2" xfId="25298" xr:uid="{00000000-0005-0000-0000-00009CEC0000}"/>
    <cellStyle name="Normal 2 5 2 2 2" xfId="25299" xr:uid="{00000000-0005-0000-0000-00009DEC0000}"/>
    <cellStyle name="Normal 2 5 2 2 2 2" xfId="25300" xr:uid="{00000000-0005-0000-0000-00009EEC0000}"/>
    <cellStyle name="Normal 2 5 2 2 2 2 2" xfId="61201" xr:uid="{00000000-0005-0000-0000-00009FEC0000}"/>
    <cellStyle name="Normal 2 5 2 2 2 3" xfId="25301" xr:uid="{00000000-0005-0000-0000-0000A0EC0000}"/>
    <cellStyle name="Normal 2 5 2 2 2 3 2" xfId="61202" xr:uid="{00000000-0005-0000-0000-0000A1EC0000}"/>
    <cellStyle name="Normal 2 5 2 2 2 4" xfId="61203" xr:uid="{00000000-0005-0000-0000-0000A2EC0000}"/>
    <cellStyle name="Normal 2 5 2 2 3" xfId="25302" xr:uid="{00000000-0005-0000-0000-0000A3EC0000}"/>
    <cellStyle name="Normal 2 5 2 2 3 2" xfId="61204" xr:uid="{00000000-0005-0000-0000-0000A4EC0000}"/>
    <cellStyle name="Normal 2 5 2 2 4" xfId="25303" xr:uid="{00000000-0005-0000-0000-0000A5EC0000}"/>
    <cellStyle name="Normal 2 5 2 2 4 2" xfId="61205" xr:uid="{00000000-0005-0000-0000-0000A6EC0000}"/>
    <cellStyle name="Normal 2 5 2 2 5" xfId="25304" xr:uid="{00000000-0005-0000-0000-0000A7EC0000}"/>
    <cellStyle name="Normal 2 5 2 2 5 2" xfId="61206" xr:uid="{00000000-0005-0000-0000-0000A8EC0000}"/>
    <cellStyle name="Normal 2 5 2 2 6" xfId="61207" xr:uid="{00000000-0005-0000-0000-0000A9EC0000}"/>
    <cellStyle name="Normal 2 5 2 2 6 2" xfId="61208" xr:uid="{00000000-0005-0000-0000-0000AAEC0000}"/>
    <cellStyle name="Normal 2 5 2 2 7" xfId="61209" xr:uid="{00000000-0005-0000-0000-0000ABEC0000}"/>
    <cellStyle name="Normal 2 5 2 3" xfId="25305" xr:uid="{00000000-0005-0000-0000-0000ACEC0000}"/>
    <cellStyle name="Normal 2 5 2 3 2" xfId="25306" xr:uid="{00000000-0005-0000-0000-0000ADEC0000}"/>
    <cellStyle name="Normal 2 5 2 3 2 2" xfId="61210" xr:uid="{00000000-0005-0000-0000-0000AEEC0000}"/>
    <cellStyle name="Normal 2 5 2 3 3" xfId="25307" xr:uid="{00000000-0005-0000-0000-0000AFEC0000}"/>
    <cellStyle name="Normal 2 5 2 3 3 2" xfId="61211" xr:uid="{00000000-0005-0000-0000-0000B0EC0000}"/>
    <cellStyle name="Normal 2 5 2 3 4" xfId="61212" xr:uid="{00000000-0005-0000-0000-0000B1EC0000}"/>
    <cellStyle name="Normal 2 5 2 4" xfId="25308" xr:uid="{00000000-0005-0000-0000-0000B2EC0000}"/>
    <cellStyle name="Normal 2 5 2 4 2" xfId="25309" xr:uid="{00000000-0005-0000-0000-0000B3EC0000}"/>
    <cellStyle name="Normal 2 5 2 4 2 2" xfId="61213" xr:uid="{00000000-0005-0000-0000-0000B4EC0000}"/>
    <cellStyle name="Normal 2 5 2 4 3" xfId="61214" xr:uid="{00000000-0005-0000-0000-0000B5EC0000}"/>
    <cellStyle name="Normal 2 5 2 5" xfId="25310" xr:uid="{00000000-0005-0000-0000-0000B6EC0000}"/>
    <cellStyle name="Normal 2 5 2 5 2" xfId="61215" xr:uid="{00000000-0005-0000-0000-0000B7EC0000}"/>
    <cellStyle name="Normal 2 5 2 6" xfId="25311" xr:uid="{00000000-0005-0000-0000-0000B8EC0000}"/>
    <cellStyle name="Normal 2 5 2 6 2" xfId="61216" xr:uid="{00000000-0005-0000-0000-0000B9EC0000}"/>
    <cellStyle name="Normal 2 5 2 7" xfId="61217" xr:uid="{00000000-0005-0000-0000-0000BAEC0000}"/>
    <cellStyle name="Normal 2 5 2 7 2" xfId="61218" xr:uid="{00000000-0005-0000-0000-0000BBEC0000}"/>
    <cellStyle name="Normal 2 5 2 8" xfId="61219" xr:uid="{00000000-0005-0000-0000-0000BCEC0000}"/>
    <cellStyle name="Normal 2 5 2 9" xfId="61220" xr:uid="{00000000-0005-0000-0000-0000BDEC0000}"/>
    <cellStyle name="Normal 2 5 3" xfId="25312" xr:uid="{00000000-0005-0000-0000-0000BEEC0000}"/>
    <cellStyle name="Normal 2 5 3 2" xfId="25313" xr:uid="{00000000-0005-0000-0000-0000BFEC0000}"/>
    <cellStyle name="Normal 2 5 3 2 2" xfId="25314" xr:uid="{00000000-0005-0000-0000-0000C0EC0000}"/>
    <cellStyle name="Normal 2 5 3 2 2 2" xfId="61221" xr:uid="{00000000-0005-0000-0000-0000C1EC0000}"/>
    <cellStyle name="Normal 2 5 3 2 3" xfId="25315" xr:uid="{00000000-0005-0000-0000-0000C2EC0000}"/>
    <cellStyle name="Normal 2 5 3 2 3 2" xfId="61222" xr:uid="{00000000-0005-0000-0000-0000C3EC0000}"/>
    <cellStyle name="Normal 2 5 3 2 4" xfId="61223" xr:uid="{00000000-0005-0000-0000-0000C4EC0000}"/>
    <cellStyle name="Normal 2 5 3 3" xfId="25316" xr:uid="{00000000-0005-0000-0000-0000C5EC0000}"/>
    <cellStyle name="Normal 2 5 3 3 2" xfId="61224" xr:uid="{00000000-0005-0000-0000-0000C6EC0000}"/>
    <cellStyle name="Normal 2 5 3 4" xfId="25317" xr:uid="{00000000-0005-0000-0000-0000C7EC0000}"/>
    <cellStyle name="Normal 2 5 3 4 2" xfId="61225" xr:uid="{00000000-0005-0000-0000-0000C8EC0000}"/>
    <cellStyle name="Normal 2 5 3 5" xfId="25318" xr:uid="{00000000-0005-0000-0000-0000C9EC0000}"/>
    <cellStyle name="Normal 2 5 3 5 2" xfId="61226" xr:uid="{00000000-0005-0000-0000-0000CAEC0000}"/>
    <cellStyle name="Normal 2 5 3 6" xfId="61227" xr:uid="{00000000-0005-0000-0000-0000CBEC0000}"/>
    <cellStyle name="Normal 2 5 3 6 2" xfId="61228" xr:uid="{00000000-0005-0000-0000-0000CCEC0000}"/>
    <cellStyle name="Normal 2 5 3 7" xfId="61229" xr:uid="{00000000-0005-0000-0000-0000CDEC0000}"/>
    <cellStyle name="Normal 2 5 4" xfId="25319" xr:uid="{00000000-0005-0000-0000-0000CEEC0000}"/>
    <cellStyle name="Normal 2 5 4 2" xfId="25320" xr:uid="{00000000-0005-0000-0000-0000CFEC0000}"/>
    <cellStyle name="Normal 2 5 4 2 2" xfId="61230" xr:uid="{00000000-0005-0000-0000-0000D0EC0000}"/>
    <cellStyle name="Normal 2 5 4 3" xfId="25321" xr:uid="{00000000-0005-0000-0000-0000D1EC0000}"/>
    <cellStyle name="Normal 2 5 4 3 2" xfId="61231" xr:uid="{00000000-0005-0000-0000-0000D2EC0000}"/>
    <cellStyle name="Normal 2 5 4 4" xfId="61232" xr:uid="{00000000-0005-0000-0000-0000D3EC0000}"/>
    <cellStyle name="Normal 2 5 5" xfId="25322" xr:uid="{00000000-0005-0000-0000-0000D4EC0000}"/>
    <cellStyle name="Normal 2 5 5 2" xfId="25323" xr:uid="{00000000-0005-0000-0000-0000D5EC0000}"/>
    <cellStyle name="Normal 2 5 5 2 2" xfId="61233" xr:uid="{00000000-0005-0000-0000-0000D6EC0000}"/>
    <cellStyle name="Normal 2 5 5 3" xfId="61234" xr:uid="{00000000-0005-0000-0000-0000D7EC0000}"/>
    <cellStyle name="Normal 2 5 6" xfId="25324" xr:uid="{00000000-0005-0000-0000-0000D8EC0000}"/>
    <cellStyle name="Normal 2 5 6 2" xfId="61235" xr:uid="{00000000-0005-0000-0000-0000D9EC0000}"/>
    <cellStyle name="Normal 2 5 7" xfId="25325" xr:uid="{00000000-0005-0000-0000-0000DAEC0000}"/>
    <cellStyle name="Normal 2 5 7 2" xfId="61236" xr:uid="{00000000-0005-0000-0000-0000DBEC0000}"/>
    <cellStyle name="Normal 2 5 8" xfId="61237" xr:uid="{00000000-0005-0000-0000-0000DCEC0000}"/>
    <cellStyle name="Normal 2 5 8 2" xfId="61238" xr:uid="{00000000-0005-0000-0000-0000DDEC0000}"/>
    <cellStyle name="Normal 2 5 9" xfId="61239" xr:uid="{00000000-0005-0000-0000-0000DEEC0000}"/>
    <cellStyle name="Normal 2 6" xfId="25326" xr:uid="{00000000-0005-0000-0000-0000DFEC0000}"/>
    <cellStyle name="Normal 2 6 10" xfId="61240" xr:uid="{00000000-0005-0000-0000-0000E0EC0000}"/>
    <cellStyle name="Normal 2 6 11" xfId="61241" xr:uid="{00000000-0005-0000-0000-0000E1EC0000}"/>
    <cellStyle name="Normal 2 6 2" xfId="25327" xr:uid="{00000000-0005-0000-0000-0000E2EC0000}"/>
    <cellStyle name="Normal 2 6 2 10" xfId="61242" xr:uid="{00000000-0005-0000-0000-0000E3EC0000}"/>
    <cellStyle name="Normal 2 6 2 2" xfId="25328" xr:uid="{00000000-0005-0000-0000-0000E4EC0000}"/>
    <cellStyle name="Normal 2 6 2 2 2" xfId="25329" xr:uid="{00000000-0005-0000-0000-0000E5EC0000}"/>
    <cellStyle name="Normal 2 6 2 2 2 2" xfId="25330" xr:uid="{00000000-0005-0000-0000-0000E6EC0000}"/>
    <cellStyle name="Normal 2 6 2 2 2 2 2" xfId="61243" xr:uid="{00000000-0005-0000-0000-0000E7EC0000}"/>
    <cellStyle name="Normal 2 6 2 2 2 3" xfId="25331" xr:uid="{00000000-0005-0000-0000-0000E8EC0000}"/>
    <cellStyle name="Normal 2 6 2 2 2 3 2" xfId="61244" xr:uid="{00000000-0005-0000-0000-0000E9EC0000}"/>
    <cellStyle name="Normal 2 6 2 2 2 4" xfId="61245" xr:uid="{00000000-0005-0000-0000-0000EAEC0000}"/>
    <cellStyle name="Normal 2 6 2 2 3" xfId="25332" xr:uid="{00000000-0005-0000-0000-0000EBEC0000}"/>
    <cellStyle name="Normal 2 6 2 2 3 2" xfId="61246" xr:uid="{00000000-0005-0000-0000-0000ECEC0000}"/>
    <cellStyle name="Normal 2 6 2 2 4" xfId="25333" xr:uid="{00000000-0005-0000-0000-0000EDEC0000}"/>
    <cellStyle name="Normal 2 6 2 2 4 2" xfId="61247" xr:uid="{00000000-0005-0000-0000-0000EEEC0000}"/>
    <cellStyle name="Normal 2 6 2 2 5" xfId="25334" xr:uid="{00000000-0005-0000-0000-0000EFEC0000}"/>
    <cellStyle name="Normal 2 6 2 2 5 2" xfId="61248" xr:uid="{00000000-0005-0000-0000-0000F0EC0000}"/>
    <cellStyle name="Normal 2 6 2 2 6" xfId="61249" xr:uid="{00000000-0005-0000-0000-0000F1EC0000}"/>
    <cellStyle name="Normal 2 6 2 2 6 2" xfId="61250" xr:uid="{00000000-0005-0000-0000-0000F2EC0000}"/>
    <cellStyle name="Normal 2 6 2 2 7" xfId="61251" xr:uid="{00000000-0005-0000-0000-0000F3EC0000}"/>
    <cellStyle name="Normal 2 6 2 3" xfId="25335" xr:uid="{00000000-0005-0000-0000-0000F4EC0000}"/>
    <cellStyle name="Normal 2 6 2 3 2" xfId="25336" xr:uid="{00000000-0005-0000-0000-0000F5EC0000}"/>
    <cellStyle name="Normal 2 6 2 3 2 2" xfId="61252" xr:uid="{00000000-0005-0000-0000-0000F6EC0000}"/>
    <cellStyle name="Normal 2 6 2 3 3" xfId="25337" xr:uid="{00000000-0005-0000-0000-0000F7EC0000}"/>
    <cellStyle name="Normal 2 6 2 3 3 2" xfId="61253" xr:uid="{00000000-0005-0000-0000-0000F8EC0000}"/>
    <cellStyle name="Normal 2 6 2 3 4" xfId="61254" xr:uid="{00000000-0005-0000-0000-0000F9EC0000}"/>
    <cellStyle name="Normal 2 6 2 4" xfId="25338" xr:uid="{00000000-0005-0000-0000-0000FAEC0000}"/>
    <cellStyle name="Normal 2 6 2 4 2" xfId="25339" xr:uid="{00000000-0005-0000-0000-0000FBEC0000}"/>
    <cellStyle name="Normal 2 6 2 4 2 2" xfId="61255" xr:uid="{00000000-0005-0000-0000-0000FCEC0000}"/>
    <cellStyle name="Normal 2 6 2 4 3" xfId="61256" xr:uid="{00000000-0005-0000-0000-0000FDEC0000}"/>
    <cellStyle name="Normal 2 6 2 5" xfId="25340" xr:uid="{00000000-0005-0000-0000-0000FEEC0000}"/>
    <cellStyle name="Normal 2 6 2 5 2" xfId="61257" xr:uid="{00000000-0005-0000-0000-0000FFEC0000}"/>
    <cellStyle name="Normal 2 6 2 6" xfId="25341" xr:uid="{00000000-0005-0000-0000-000000ED0000}"/>
    <cellStyle name="Normal 2 6 2 6 2" xfId="61258" xr:uid="{00000000-0005-0000-0000-000001ED0000}"/>
    <cellStyle name="Normal 2 6 2 7" xfId="61259" xr:uid="{00000000-0005-0000-0000-000002ED0000}"/>
    <cellStyle name="Normal 2 6 2 7 2" xfId="61260" xr:uid="{00000000-0005-0000-0000-000003ED0000}"/>
    <cellStyle name="Normal 2 6 2 8" xfId="61261" xr:uid="{00000000-0005-0000-0000-000004ED0000}"/>
    <cellStyle name="Normal 2 6 2 9" xfId="61262" xr:uid="{00000000-0005-0000-0000-000005ED0000}"/>
    <cellStyle name="Normal 2 6 3" xfId="25342" xr:uid="{00000000-0005-0000-0000-000006ED0000}"/>
    <cellStyle name="Normal 2 6 3 2" xfId="25343" xr:uid="{00000000-0005-0000-0000-000007ED0000}"/>
    <cellStyle name="Normal 2 6 3 2 2" xfId="25344" xr:uid="{00000000-0005-0000-0000-000008ED0000}"/>
    <cellStyle name="Normal 2 6 3 2 2 2" xfId="61263" xr:uid="{00000000-0005-0000-0000-000009ED0000}"/>
    <cellStyle name="Normal 2 6 3 2 3" xfId="25345" xr:uid="{00000000-0005-0000-0000-00000AED0000}"/>
    <cellStyle name="Normal 2 6 3 2 3 2" xfId="61264" xr:uid="{00000000-0005-0000-0000-00000BED0000}"/>
    <cellStyle name="Normal 2 6 3 2 4" xfId="61265" xr:uid="{00000000-0005-0000-0000-00000CED0000}"/>
    <cellStyle name="Normal 2 6 3 3" xfId="25346" xr:uid="{00000000-0005-0000-0000-00000DED0000}"/>
    <cellStyle name="Normal 2 6 3 3 2" xfId="61266" xr:uid="{00000000-0005-0000-0000-00000EED0000}"/>
    <cellStyle name="Normal 2 6 3 4" xfId="25347" xr:uid="{00000000-0005-0000-0000-00000FED0000}"/>
    <cellStyle name="Normal 2 6 3 4 2" xfId="61267" xr:uid="{00000000-0005-0000-0000-000010ED0000}"/>
    <cellStyle name="Normal 2 6 3 5" xfId="25348" xr:uid="{00000000-0005-0000-0000-000011ED0000}"/>
    <cellStyle name="Normal 2 6 3 5 2" xfId="61268" xr:uid="{00000000-0005-0000-0000-000012ED0000}"/>
    <cellStyle name="Normal 2 6 3 6" xfId="61269" xr:uid="{00000000-0005-0000-0000-000013ED0000}"/>
    <cellStyle name="Normal 2 6 3 6 2" xfId="61270" xr:uid="{00000000-0005-0000-0000-000014ED0000}"/>
    <cellStyle name="Normal 2 6 3 7" xfId="61271" xr:uid="{00000000-0005-0000-0000-000015ED0000}"/>
    <cellStyle name="Normal 2 6 4" xfId="25349" xr:uid="{00000000-0005-0000-0000-000016ED0000}"/>
    <cellStyle name="Normal 2 6 4 2" xfId="25350" xr:uid="{00000000-0005-0000-0000-000017ED0000}"/>
    <cellStyle name="Normal 2 6 4 2 2" xfId="61272" xr:uid="{00000000-0005-0000-0000-000018ED0000}"/>
    <cellStyle name="Normal 2 6 4 3" xfId="25351" xr:uid="{00000000-0005-0000-0000-000019ED0000}"/>
    <cellStyle name="Normal 2 6 4 3 2" xfId="61273" xr:uid="{00000000-0005-0000-0000-00001AED0000}"/>
    <cellStyle name="Normal 2 6 4 4" xfId="61274" xr:uid="{00000000-0005-0000-0000-00001BED0000}"/>
    <cellStyle name="Normal 2 6 5" xfId="25352" xr:uid="{00000000-0005-0000-0000-00001CED0000}"/>
    <cellStyle name="Normal 2 6 5 2" xfId="25353" xr:uid="{00000000-0005-0000-0000-00001DED0000}"/>
    <cellStyle name="Normal 2 6 5 2 2" xfId="61275" xr:uid="{00000000-0005-0000-0000-00001EED0000}"/>
    <cellStyle name="Normal 2 6 5 3" xfId="61276" xr:uid="{00000000-0005-0000-0000-00001FED0000}"/>
    <cellStyle name="Normal 2 6 6" xfId="25354" xr:uid="{00000000-0005-0000-0000-000020ED0000}"/>
    <cellStyle name="Normal 2 6 6 2" xfId="61277" xr:uid="{00000000-0005-0000-0000-000021ED0000}"/>
    <cellStyle name="Normal 2 6 7" xfId="25355" xr:uid="{00000000-0005-0000-0000-000022ED0000}"/>
    <cellStyle name="Normal 2 6 7 2" xfId="61278" xr:uid="{00000000-0005-0000-0000-000023ED0000}"/>
    <cellStyle name="Normal 2 6 8" xfId="61279" xr:uid="{00000000-0005-0000-0000-000024ED0000}"/>
    <cellStyle name="Normal 2 6 8 2" xfId="61280" xr:uid="{00000000-0005-0000-0000-000025ED0000}"/>
    <cellStyle name="Normal 2 6 9" xfId="61281" xr:uid="{00000000-0005-0000-0000-000026ED0000}"/>
    <cellStyle name="Normal 2 7" xfId="25356" xr:uid="{00000000-0005-0000-0000-000027ED0000}"/>
    <cellStyle name="Normal 2 7 10" xfId="61282" xr:uid="{00000000-0005-0000-0000-000028ED0000}"/>
    <cellStyle name="Normal 2 7 11" xfId="61283" xr:uid="{00000000-0005-0000-0000-000029ED0000}"/>
    <cellStyle name="Normal 2 7 2" xfId="25357" xr:uid="{00000000-0005-0000-0000-00002AED0000}"/>
    <cellStyle name="Normal 2 7 2 10" xfId="61284" xr:uid="{00000000-0005-0000-0000-00002BED0000}"/>
    <cellStyle name="Normal 2 7 2 2" xfId="25358" xr:uid="{00000000-0005-0000-0000-00002CED0000}"/>
    <cellStyle name="Normal 2 7 2 2 2" xfId="25359" xr:uid="{00000000-0005-0000-0000-00002DED0000}"/>
    <cellStyle name="Normal 2 7 2 2 2 2" xfId="25360" xr:uid="{00000000-0005-0000-0000-00002EED0000}"/>
    <cellStyle name="Normal 2 7 2 2 2 2 2" xfId="61285" xr:uid="{00000000-0005-0000-0000-00002FED0000}"/>
    <cellStyle name="Normal 2 7 2 2 2 3" xfId="25361" xr:uid="{00000000-0005-0000-0000-000030ED0000}"/>
    <cellStyle name="Normal 2 7 2 2 2 3 2" xfId="61286" xr:uid="{00000000-0005-0000-0000-000031ED0000}"/>
    <cellStyle name="Normal 2 7 2 2 2 4" xfId="61287" xr:uid="{00000000-0005-0000-0000-000032ED0000}"/>
    <cellStyle name="Normal 2 7 2 2 3" xfId="25362" xr:uid="{00000000-0005-0000-0000-000033ED0000}"/>
    <cellStyle name="Normal 2 7 2 2 3 2" xfId="61288" xr:uid="{00000000-0005-0000-0000-000034ED0000}"/>
    <cellStyle name="Normal 2 7 2 2 4" xfId="25363" xr:uid="{00000000-0005-0000-0000-000035ED0000}"/>
    <cellStyle name="Normal 2 7 2 2 4 2" xfId="61289" xr:uid="{00000000-0005-0000-0000-000036ED0000}"/>
    <cellStyle name="Normal 2 7 2 2 5" xfId="25364" xr:uid="{00000000-0005-0000-0000-000037ED0000}"/>
    <cellStyle name="Normal 2 7 2 2 5 2" xfId="61290" xr:uid="{00000000-0005-0000-0000-000038ED0000}"/>
    <cellStyle name="Normal 2 7 2 2 6" xfId="61291" xr:uid="{00000000-0005-0000-0000-000039ED0000}"/>
    <cellStyle name="Normal 2 7 2 2 6 2" xfId="61292" xr:uid="{00000000-0005-0000-0000-00003AED0000}"/>
    <cellStyle name="Normal 2 7 2 2 7" xfId="61293" xr:uid="{00000000-0005-0000-0000-00003BED0000}"/>
    <cellStyle name="Normal 2 7 2 3" xfId="25365" xr:uid="{00000000-0005-0000-0000-00003CED0000}"/>
    <cellStyle name="Normal 2 7 2 3 2" xfId="25366" xr:uid="{00000000-0005-0000-0000-00003DED0000}"/>
    <cellStyle name="Normal 2 7 2 3 2 2" xfId="61294" xr:uid="{00000000-0005-0000-0000-00003EED0000}"/>
    <cellStyle name="Normal 2 7 2 3 3" xfId="25367" xr:uid="{00000000-0005-0000-0000-00003FED0000}"/>
    <cellStyle name="Normal 2 7 2 3 3 2" xfId="61295" xr:uid="{00000000-0005-0000-0000-000040ED0000}"/>
    <cellStyle name="Normal 2 7 2 3 4" xfId="61296" xr:uid="{00000000-0005-0000-0000-000041ED0000}"/>
    <cellStyle name="Normal 2 7 2 4" xfId="25368" xr:uid="{00000000-0005-0000-0000-000042ED0000}"/>
    <cellStyle name="Normal 2 7 2 4 2" xfId="25369" xr:uid="{00000000-0005-0000-0000-000043ED0000}"/>
    <cellStyle name="Normal 2 7 2 4 2 2" xfId="61297" xr:uid="{00000000-0005-0000-0000-000044ED0000}"/>
    <cellStyle name="Normal 2 7 2 4 3" xfId="61298" xr:uid="{00000000-0005-0000-0000-000045ED0000}"/>
    <cellStyle name="Normal 2 7 2 5" xfId="25370" xr:uid="{00000000-0005-0000-0000-000046ED0000}"/>
    <cellStyle name="Normal 2 7 2 5 2" xfId="61299" xr:uid="{00000000-0005-0000-0000-000047ED0000}"/>
    <cellStyle name="Normal 2 7 2 6" xfId="25371" xr:uid="{00000000-0005-0000-0000-000048ED0000}"/>
    <cellStyle name="Normal 2 7 2 6 2" xfId="61300" xr:uid="{00000000-0005-0000-0000-000049ED0000}"/>
    <cellStyle name="Normal 2 7 2 7" xfId="61301" xr:uid="{00000000-0005-0000-0000-00004AED0000}"/>
    <cellStyle name="Normal 2 7 2 7 2" xfId="61302" xr:uid="{00000000-0005-0000-0000-00004BED0000}"/>
    <cellStyle name="Normal 2 7 2 8" xfId="61303" xr:uid="{00000000-0005-0000-0000-00004CED0000}"/>
    <cellStyle name="Normal 2 7 2 9" xfId="61304" xr:uid="{00000000-0005-0000-0000-00004DED0000}"/>
    <cellStyle name="Normal 2 7 3" xfId="25372" xr:uid="{00000000-0005-0000-0000-00004EED0000}"/>
    <cellStyle name="Normal 2 7 3 2" xfId="25373" xr:uid="{00000000-0005-0000-0000-00004FED0000}"/>
    <cellStyle name="Normal 2 7 3 2 2" xfId="25374" xr:uid="{00000000-0005-0000-0000-000050ED0000}"/>
    <cellStyle name="Normal 2 7 3 2 2 2" xfId="61305" xr:uid="{00000000-0005-0000-0000-000051ED0000}"/>
    <cellStyle name="Normal 2 7 3 2 3" xfId="25375" xr:uid="{00000000-0005-0000-0000-000052ED0000}"/>
    <cellStyle name="Normal 2 7 3 2 3 2" xfId="61306" xr:uid="{00000000-0005-0000-0000-000053ED0000}"/>
    <cellStyle name="Normal 2 7 3 2 4" xfId="61307" xr:uid="{00000000-0005-0000-0000-000054ED0000}"/>
    <cellStyle name="Normal 2 7 3 3" xfId="25376" xr:uid="{00000000-0005-0000-0000-000055ED0000}"/>
    <cellStyle name="Normal 2 7 3 3 2" xfId="61308" xr:uid="{00000000-0005-0000-0000-000056ED0000}"/>
    <cellStyle name="Normal 2 7 3 4" xfId="25377" xr:uid="{00000000-0005-0000-0000-000057ED0000}"/>
    <cellStyle name="Normal 2 7 3 4 2" xfId="61309" xr:uid="{00000000-0005-0000-0000-000058ED0000}"/>
    <cellStyle name="Normal 2 7 3 5" xfId="25378" xr:uid="{00000000-0005-0000-0000-000059ED0000}"/>
    <cellStyle name="Normal 2 7 3 5 2" xfId="61310" xr:uid="{00000000-0005-0000-0000-00005AED0000}"/>
    <cellStyle name="Normal 2 7 3 6" xfId="61311" xr:uid="{00000000-0005-0000-0000-00005BED0000}"/>
    <cellStyle name="Normal 2 7 3 6 2" xfId="61312" xr:uid="{00000000-0005-0000-0000-00005CED0000}"/>
    <cellStyle name="Normal 2 7 3 7" xfId="61313" xr:uid="{00000000-0005-0000-0000-00005DED0000}"/>
    <cellStyle name="Normal 2 7 4" xfId="25379" xr:uid="{00000000-0005-0000-0000-00005EED0000}"/>
    <cellStyle name="Normal 2 7 4 2" xfId="25380" xr:uid="{00000000-0005-0000-0000-00005FED0000}"/>
    <cellStyle name="Normal 2 7 4 2 2" xfId="61314" xr:uid="{00000000-0005-0000-0000-000060ED0000}"/>
    <cellStyle name="Normal 2 7 4 3" xfId="25381" xr:uid="{00000000-0005-0000-0000-000061ED0000}"/>
    <cellStyle name="Normal 2 7 4 3 2" xfId="61315" xr:uid="{00000000-0005-0000-0000-000062ED0000}"/>
    <cellStyle name="Normal 2 7 4 4" xfId="61316" xr:uid="{00000000-0005-0000-0000-000063ED0000}"/>
    <cellStyle name="Normal 2 7 5" xfId="25382" xr:uid="{00000000-0005-0000-0000-000064ED0000}"/>
    <cellStyle name="Normal 2 7 5 2" xfId="25383" xr:uid="{00000000-0005-0000-0000-000065ED0000}"/>
    <cellStyle name="Normal 2 7 5 2 2" xfId="61317" xr:uid="{00000000-0005-0000-0000-000066ED0000}"/>
    <cellStyle name="Normal 2 7 5 3" xfId="61318" xr:uid="{00000000-0005-0000-0000-000067ED0000}"/>
    <cellStyle name="Normal 2 7 6" xfId="25384" xr:uid="{00000000-0005-0000-0000-000068ED0000}"/>
    <cellStyle name="Normal 2 7 6 2" xfId="61319" xr:uid="{00000000-0005-0000-0000-000069ED0000}"/>
    <cellStyle name="Normal 2 7 7" xfId="25385" xr:uid="{00000000-0005-0000-0000-00006AED0000}"/>
    <cellStyle name="Normal 2 7 7 2" xfId="61320" xr:uid="{00000000-0005-0000-0000-00006BED0000}"/>
    <cellStyle name="Normal 2 7 8" xfId="61321" xr:uid="{00000000-0005-0000-0000-00006CED0000}"/>
    <cellStyle name="Normal 2 7 8 2" xfId="61322" xr:uid="{00000000-0005-0000-0000-00006DED0000}"/>
    <cellStyle name="Normal 2 7 9" xfId="61323" xr:uid="{00000000-0005-0000-0000-00006EED0000}"/>
    <cellStyle name="Normal 2 8" xfId="25386" xr:uid="{00000000-0005-0000-0000-00006FED0000}"/>
    <cellStyle name="Normal 2 8 10" xfId="61324" xr:uid="{00000000-0005-0000-0000-000070ED0000}"/>
    <cellStyle name="Normal 2 8 11" xfId="61325" xr:uid="{00000000-0005-0000-0000-000071ED0000}"/>
    <cellStyle name="Normal 2 8 2" xfId="25387" xr:uid="{00000000-0005-0000-0000-000072ED0000}"/>
    <cellStyle name="Normal 2 8 2 10" xfId="61326" xr:uid="{00000000-0005-0000-0000-000073ED0000}"/>
    <cellStyle name="Normal 2 8 2 2" xfId="25388" xr:uid="{00000000-0005-0000-0000-000074ED0000}"/>
    <cellStyle name="Normal 2 8 2 2 2" xfId="25389" xr:uid="{00000000-0005-0000-0000-000075ED0000}"/>
    <cellStyle name="Normal 2 8 2 2 2 2" xfId="25390" xr:uid="{00000000-0005-0000-0000-000076ED0000}"/>
    <cellStyle name="Normal 2 8 2 2 2 2 2" xfId="61327" xr:uid="{00000000-0005-0000-0000-000077ED0000}"/>
    <cellStyle name="Normal 2 8 2 2 2 3" xfId="25391" xr:uid="{00000000-0005-0000-0000-000078ED0000}"/>
    <cellStyle name="Normal 2 8 2 2 2 3 2" xfId="61328" xr:uid="{00000000-0005-0000-0000-000079ED0000}"/>
    <cellStyle name="Normal 2 8 2 2 2 4" xfId="61329" xr:uid="{00000000-0005-0000-0000-00007AED0000}"/>
    <cellStyle name="Normal 2 8 2 2 3" xfId="25392" xr:uid="{00000000-0005-0000-0000-00007BED0000}"/>
    <cellStyle name="Normal 2 8 2 2 3 2" xfId="61330" xr:uid="{00000000-0005-0000-0000-00007CED0000}"/>
    <cellStyle name="Normal 2 8 2 2 4" xfId="25393" xr:uid="{00000000-0005-0000-0000-00007DED0000}"/>
    <cellStyle name="Normal 2 8 2 2 4 2" xfId="61331" xr:uid="{00000000-0005-0000-0000-00007EED0000}"/>
    <cellStyle name="Normal 2 8 2 2 5" xfId="25394" xr:uid="{00000000-0005-0000-0000-00007FED0000}"/>
    <cellStyle name="Normal 2 8 2 2 5 2" xfId="61332" xr:uid="{00000000-0005-0000-0000-000080ED0000}"/>
    <cellStyle name="Normal 2 8 2 2 6" xfId="61333" xr:uid="{00000000-0005-0000-0000-000081ED0000}"/>
    <cellStyle name="Normal 2 8 2 2 6 2" xfId="61334" xr:uid="{00000000-0005-0000-0000-000082ED0000}"/>
    <cellStyle name="Normal 2 8 2 2 7" xfId="61335" xr:uid="{00000000-0005-0000-0000-000083ED0000}"/>
    <cellStyle name="Normal 2 8 2 3" xfId="25395" xr:uid="{00000000-0005-0000-0000-000084ED0000}"/>
    <cellStyle name="Normal 2 8 2 3 2" xfId="25396" xr:uid="{00000000-0005-0000-0000-000085ED0000}"/>
    <cellStyle name="Normal 2 8 2 3 2 2" xfId="61336" xr:uid="{00000000-0005-0000-0000-000086ED0000}"/>
    <cellStyle name="Normal 2 8 2 3 3" xfId="25397" xr:uid="{00000000-0005-0000-0000-000087ED0000}"/>
    <cellStyle name="Normal 2 8 2 3 3 2" xfId="61337" xr:uid="{00000000-0005-0000-0000-000088ED0000}"/>
    <cellStyle name="Normal 2 8 2 3 4" xfId="61338" xr:uid="{00000000-0005-0000-0000-000089ED0000}"/>
    <cellStyle name="Normal 2 8 2 4" xfId="25398" xr:uid="{00000000-0005-0000-0000-00008AED0000}"/>
    <cellStyle name="Normal 2 8 2 4 2" xfId="25399" xr:uid="{00000000-0005-0000-0000-00008BED0000}"/>
    <cellStyle name="Normal 2 8 2 4 2 2" xfId="61339" xr:uid="{00000000-0005-0000-0000-00008CED0000}"/>
    <cellStyle name="Normal 2 8 2 4 3" xfId="61340" xr:uid="{00000000-0005-0000-0000-00008DED0000}"/>
    <cellStyle name="Normal 2 8 2 5" xfId="25400" xr:uid="{00000000-0005-0000-0000-00008EED0000}"/>
    <cellStyle name="Normal 2 8 2 5 2" xfId="61341" xr:uid="{00000000-0005-0000-0000-00008FED0000}"/>
    <cellStyle name="Normal 2 8 2 6" xfId="25401" xr:uid="{00000000-0005-0000-0000-000090ED0000}"/>
    <cellStyle name="Normal 2 8 2 6 2" xfId="61342" xr:uid="{00000000-0005-0000-0000-000091ED0000}"/>
    <cellStyle name="Normal 2 8 2 7" xfId="61343" xr:uid="{00000000-0005-0000-0000-000092ED0000}"/>
    <cellStyle name="Normal 2 8 2 7 2" xfId="61344" xr:uid="{00000000-0005-0000-0000-000093ED0000}"/>
    <cellStyle name="Normal 2 8 2 8" xfId="61345" xr:uid="{00000000-0005-0000-0000-000094ED0000}"/>
    <cellStyle name="Normal 2 8 2 9" xfId="61346" xr:uid="{00000000-0005-0000-0000-000095ED0000}"/>
    <cellStyle name="Normal 2 8 3" xfId="25402" xr:uid="{00000000-0005-0000-0000-000096ED0000}"/>
    <cellStyle name="Normal 2 8 3 2" xfId="25403" xr:uid="{00000000-0005-0000-0000-000097ED0000}"/>
    <cellStyle name="Normal 2 8 3 2 2" xfId="25404" xr:uid="{00000000-0005-0000-0000-000098ED0000}"/>
    <cellStyle name="Normal 2 8 3 2 2 2" xfId="61347" xr:uid="{00000000-0005-0000-0000-000099ED0000}"/>
    <cellStyle name="Normal 2 8 3 2 3" xfId="25405" xr:uid="{00000000-0005-0000-0000-00009AED0000}"/>
    <cellStyle name="Normal 2 8 3 2 3 2" xfId="61348" xr:uid="{00000000-0005-0000-0000-00009BED0000}"/>
    <cellStyle name="Normal 2 8 3 2 4" xfId="61349" xr:uid="{00000000-0005-0000-0000-00009CED0000}"/>
    <cellStyle name="Normal 2 8 3 3" xfId="25406" xr:uid="{00000000-0005-0000-0000-00009DED0000}"/>
    <cellStyle name="Normal 2 8 3 3 2" xfId="61350" xr:uid="{00000000-0005-0000-0000-00009EED0000}"/>
    <cellStyle name="Normal 2 8 3 4" xfId="25407" xr:uid="{00000000-0005-0000-0000-00009FED0000}"/>
    <cellStyle name="Normal 2 8 3 4 2" xfId="61351" xr:uid="{00000000-0005-0000-0000-0000A0ED0000}"/>
    <cellStyle name="Normal 2 8 3 5" xfId="25408" xr:uid="{00000000-0005-0000-0000-0000A1ED0000}"/>
    <cellStyle name="Normal 2 8 3 5 2" xfId="61352" xr:uid="{00000000-0005-0000-0000-0000A2ED0000}"/>
    <cellStyle name="Normal 2 8 3 6" xfId="61353" xr:uid="{00000000-0005-0000-0000-0000A3ED0000}"/>
    <cellStyle name="Normal 2 8 3 6 2" xfId="61354" xr:uid="{00000000-0005-0000-0000-0000A4ED0000}"/>
    <cellStyle name="Normal 2 8 3 7" xfId="61355" xr:uid="{00000000-0005-0000-0000-0000A5ED0000}"/>
    <cellStyle name="Normal 2 8 4" xfId="25409" xr:uid="{00000000-0005-0000-0000-0000A6ED0000}"/>
    <cellStyle name="Normal 2 8 4 2" xfId="25410" xr:uid="{00000000-0005-0000-0000-0000A7ED0000}"/>
    <cellStyle name="Normal 2 8 4 2 2" xfId="61356" xr:uid="{00000000-0005-0000-0000-0000A8ED0000}"/>
    <cellStyle name="Normal 2 8 4 3" xfId="25411" xr:uid="{00000000-0005-0000-0000-0000A9ED0000}"/>
    <cellStyle name="Normal 2 8 4 3 2" xfId="61357" xr:uid="{00000000-0005-0000-0000-0000AAED0000}"/>
    <cellStyle name="Normal 2 8 4 4" xfId="61358" xr:uid="{00000000-0005-0000-0000-0000ABED0000}"/>
    <cellStyle name="Normal 2 8 5" xfId="25412" xr:uid="{00000000-0005-0000-0000-0000ACED0000}"/>
    <cellStyle name="Normal 2 8 5 2" xfId="25413" xr:uid="{00000000-0005-0000-0000-0000ADED0000}"/>
    <cellStyle name="Normal 2 8 5 2 2" xfId="61359" xr:uid="{00000000-0005-0000-0000-0000AEED0000}"/>
    <cellStyle name="Normal 2 8 5 3" xfId="61360" xr:uid="{00000000-0005-0000-0000-0000AFED0000}"/>
    <cellStyle name="Normal 2 8 6" xfId="25414" xr:uid="{00000000-0005-0000-0000-0000B0ED0000}"/>
    <cellStyle name="Normal 2 8 6 2" xfId="61361" xr:uid="{00000000-0005-0000-0000-0000B1ED0000}"/>
    <cellStyle name="Normal 2 8 7" xfId="25415" xr:uid="{00000000-0005-0000-0000-0000B2ED0000}"/>
    <cellStyle name="Normal 2 8 7 2" xfId="61362" xr:uid="{00000000-0005-0000-0000-0000B3ED0000}"/>
    <cellStyle name="Normal 2 8 8" xfId="61363" xr:uid="{00000000-0005-0000-0000-0000B4ED0000}"/>
    <cellStyle name="Normal 2 8 8 2" xfId="61364" xr:uid="{00000000-0005-0000-0000-0000B5ED0000}"/>
    <cellStyle name="Normal 2 8 9" xfId="61365" xr:uid="{00000000-0005-0000-0000-0000B6ED0000}"/>
    <cellStyle name="Normal 2 9" xfId="25416" xr:uid="{00000000-0005-0000-0000-0000B7ED0000}"/>
    <cellStyle name="Normal 2 9 10" xfId="61366" xr:uid="{00000000-0005-0000-0000-0000B8ED0000}"/>
    <cellStyle name="Normal 2 9 11" xfId="61367" xr:uid="{00000000-0005-0000-0000-0000B9ED0000}"/>
    <cellStyle name="Normal 2 9 2" xfId="25417" xr:uid="{00000000-0005-0000-0000-0000BAED0000}"/>
    <cellStyle name="Normal 2 9 2 10" xfId="61368" xr:uid="{00000000-0005-0000-0000-0000BBED0000}"/>
    <cellStyle name="Normal 2 9 2 2" xfId="25418" xr:uid="{00000000-0005-0000-0000-0000BCED0000}"/>
    <cellStyle name="Normal 2 9 2 2 2" xfId="25419" xr:uid="{00000000-0005-0000-0000-0000BDED0000}"/>
    <cellStyle name="Normal 2 9 2 2 2 2" xfId="25420" xr:uid="{00000000-0005-0000-0000-0000BEED0000}"/>
    <cellStyle name="Normal 2 9 2 2 2 2 2" xfId="61369" xr:uid="{00000000-0005-0000-0000-0000BFED0000}"/>
    <cellStyle name="Normal 2 9 2 2 2 3" xfId="25421" xr:uid="{00000000-0005-0000-0000-0000C0ED0000}"/>
    <cellStyle name="Normal 2 9 2 2 2 3 2" xfId="61370" xr:uid="{00000000-0005-0000-0000-0000C1ED0000}"/>
    <cellStyle name="Normal 2 9 2 2 2 4" xfId="61371" xr:uid="{00000000-0005-0000-0000-0000C2ED0000}"/>
    <cellStyle name="Normal 2 9 2 2 3" xfId="25422" xr:uid="{00000000-0005-0000-0000-0000C3ED0000}"/>
    <cellStyle name="Normal 2 9 2 2 3 2" xfId="61372" xr:uid="{00000000-0005-0000-0000-0000C4ED0000}"/>
    <cellStyle name="Normal 2 9 2 2 4" xfId="25423" xr:uid="{00000000-0005-0000-0000-0000C5ED0000}"/>
    <cellStyle name="Normal 2 9 2 2 4 2" xfId="61373" xr:uid="{00000000-0005-0000-0000-0000C6ED0000}"/>
    <cellStyle name="Normal 2 9 2 2 5" xfId="25424" xr:uid="{00000000-0005-0000-0000-0000C7ED0000}"/>
    <cellStyle name="Normal 2 9 2 2 5 2" xfId="61374" xr:uid="{00000000-0005-0000-0000-0000C8ED0000}"/>
    <cellStyle name="Normal 2 9 2 2 6" xfId="61375" xr:uid="{00000000-0005-0000-0000-0000C9ED0000}"/>
    <cellStyle name="Normal 2 9 2 2 6 2" xfId="61376" xr:uid="{00000000-0005-0000-0000-0000CAED0000}"/>
    <cellStyle name="Normal 2 9 2 2 7" xfId="61377" xr:uid="{00000000-0005-0000-0000-0000CBED0000}"/>
    <cellStyle name="Normal 2 9 2 3" xfId="25425" xr:uid="{00000000-0005-0000-0000-0000CCED0000}"/>
    <cellStyle name="Normal 2 9 2 3 2" xfId="25426" xr:uid="{00000000-0005-0000-0000-0000CDED0000}"/>
    <cellStyle name="Normal 2 9 2 3 2 2" xfId="61378" xr:uid="{00000000-0005-0000-0000-0000CEED0000}"/>
    <cellStyle name="Normal 2 9 2 3 3" xfId="25427" xr:uid="{00000000-0005-0000-0000-0000CFED0000}"/>
    <cellStyle name="Normal 2 9 2 3 3 2" xfId="61379" xr:uid="{00000000-0005-0000-0000-0000D0ED0000}"/>
    <cellStyle name="Normal 2 9 2 3 4" xfId="61380" xr:uid="{00000000-0005-0000-0000-0000D1ED0000}"/>
    <cellStyle name="Normal 2 9 2 4" xfId="25428" xr:uid="{00000000-0005-0000-0000-0000D2ED0000}"/>
    <cellStyle name="Normal 2 9 2 4 2" xfId="25429" xr:uid="{00000000-0005-0000-0000-0000D3ED0000}"/>
    <cellStyle name="Normal 2 9 2 4 2 2" xfId="61381" xr:uid="{00000000-0005-0000-0000-0000D4ED0000}"/>
    <cellStyle name="Normal 2 9 2 4 3" xfId="61382" xr:uid="{00000000-0005-0000-0000-0000D5ED0000}"/>
    <cellStyle name="Normal 2 9 2 5" xfId="25430" xr:uid="{00000000-0005-0000-0000-0000D6ED0000}"/>
    <cellStyle name="Normal 2 9 2 5 2" xfId="61383" xr:uid="{00000000-0005-0000-0000-0000D7ED0000}"/>
    <cellStyle name="Normal 2 9 2 6" xfId="25431" xr:uid="{00000000-0005-0000-0000-0000D8ED0000}"/>
    <cellStyle name="Normal 2 9 2 6 2" xfId="61384" xr:uid="{00000000-0005-0000-0000-0000D9ED0000}"/>
    <cellStyle name="Normal 2 9 2 7" xfId="61385" xr:uid="{00000000-0005-0000-0000-0000DAED0000}"/>
    <cellStyle name="Normal 2 9 2 7 2" xfId="61386" xr:uid="{00000000-0005-0000-0000-0000DBED0000}"/>
    <cellStyle name="Normal 2 9 2 8" xfId="61387" xr:uid="{00000000-0005-0000-0000-0000DCED0000}"/>
    <cellStyle name="Normal 2 9 2 9" xfId="61388" xr:uid="{00000000-0005-0000-0000-0000DDED0000}"/>
    <cellStyle name="Normal 2 9 3" xfId="25432" xr:uid="{00000000-0005-0000-0000-0000DEED0000}"/>
    <cellStyle name="Normal 2 9 3 2" xfId="25433" xr:uid="{00000000-0005-0000-0000-0000DFED0000}"/>
    <cellStyle name="Normal 2 9 3 2 2" xfId="25434" xr:uid="{00000000-0005-0000-0000-0000E0ED0000}"/>
    <cellStyle name="Normal 2 9 3 2 2 2" xfId="61389" xr:uid="{00000000-0005-0000-0000-0000E1ED0000}"/>
    <cellStyle name="Normal 2 9 3 2 3" xfId="25435" xr:uid="{00000000-0005-0000-0000-0000E2ED0000}"/>
    <cellStyle name="Normal 2 9 3 2 3 2" xfId="61390" xr:uid="{00000000-0005-0000-0000-0000E3ED0000}"/>
    <cellStyle name="Normal 2 9 3 2 4" xfId="61391" xr:uid="{00000000-0005-0000-0000-0000E4ED0000}"/>
    <cellStyle name="Normal 2 9 3 3" xfId="25436" xr:uid="{00000000-0005-0000-0000-0000E5ED0000}"/>
    <cellStyle name="Normal 2 9 3 3 2" xfId="61392" xr:uid="{00000000-0005-0000-0000-0000E6ED0000}"/>
    <cellStyle name="Normal 2 9 3 4" xfId="25437" xr:uid="{00000000-0005-0000-0000-0000E7ED0000}"/>
    <cellStyle name="Normal 2 9 3 4 2" xfId="61393" xr:uid="{00000000-0005-0000-0000-0000E8ED0000}"/>
    <cellStyle name="Normal 2 9 3 5" xfId="25438" xr:uid="{00000000-0005-0000-0000-0000E9ED0000}"/>
    <cellStyle name="Normal 2 9 3 5 2" xfId="61394" xr:uid="{00000000-0005-0000-0000-0000EAED0000}"/>
    <cellStyle name="Normal 2 9 3 6" xfId="61395" xr:uid="{00000000-0005-0000-0000-0000EBED0000}"/>
    <cellStyle name="Normal 2 9 3 6 2" xfId="61396" xr:uid="{00000000-0005-0000-0000-0000ECED0000}"/>
    <cellStyle name="Normal 2 9 3 7" xfId="61397" xr:uid="{00000000-0005-0000-0000-0000EDED0000}"/>
    <cellStyle name="Normal 2 9 4" xfId="25439" xr:uid="{00000000-0005-0000-0000-0000EEED0000}"/>
    <cellStyle name="Normal 2 9 4 2" xfId="25440" xr:uid="{00000000-0005-0000-0000-0000EFED0000}"/>
    <cellStyle name="Normal 2 9 4 2 2" xfId="61398" xr:uid="{00000000-0005-0000-0000-0000F0ED0000}"/>
    <cellStyle name="Normal 2 9 4 3" xfId="25441" xr:uid="{00000000-0005-0000-0000-0000F1ED0000}"/>
    <cellStyle name="Normal 2 9 4 3 2" xfId="61399" xr:uid="{00000000-0005-0000-0000-0000F2ED0000}"/>
    <cellStyle name="Normal 2 9 4 4" xfId="61400" xr:uid="{00000000-0005-0000-0000-0000F3ED0000}"/>
    <cellStyle name="Normal 2 9 5" xfId="25442" xr:uid="{00000000-0005-0000-0000-0000F4ED0000}"/>
    <cellStyle name="Normal 2 9 5 2" xfId="25443" xr:uid="{00000000-0005-0000-0000-0000F5ED0000}"/>
    <cellStyle name="Normal 2 9 5 2 2" xfId="61401" xr:uid="{00000000-0005-0000-0000-0000F6ED0000}"/>
    <cellStyle name="Normal 2 9 5 3" xfId="61402" xr:uid="{00000000-0005-0000-0000-0000F7ED0000}"/>
    <cellStyle name="Normal 2 9 6" xfId="25444" xr:uid="{00000000-0005-0000-0000-0000F8ED0000}"/>
    <cellStyle name="Normal 2 9 6 2" xfId="61403" xr:uid="{00000000-0005-0000-0000-0000F9ED0000}"/>
    <cellStyle name="Normal 2 9 7" xfId="25445" xr:uid="{00000000-0005-0000-0000-0000FAED0000}"/>
    <cellStyle name="Normal 2 9 7 2" xfId="61404" xr:uid="{00000000-0005-0000-0000-0000FBED0000}"/>
    <cellStyle name="Normal 2 9 8" xfId="61405" xr:uid="{00000000-0005-0000-0000-0000FCED0000}"/>
    <cellStyle name="Normal 2 9 8 2" xfId="61406" xr:uid="{00000000-0005-0000-0000-0000FDED0000}"/>
    <cellStyle name="Normal 2 9 9" xfId="61407" xr:uid="{00000000-0005-0000-0000-0000FEED0000}"/>
    <cellStyle name="Normal 20" xfId="25446" xr:uid="{00000000-0005-0000-0000-0000FFED0000}"/>
    <cellStyle name="Normal 20 2" xfId="61408" xr:uid="{00000000-0005-0000-0000-000000EE0000}"/>
    <cellStyle name="Normal 21" xfId="25447" xr:uid="{00000000-0005-0000-0000-000001EE0000}"/>
    <cellStyle name="Normal 21 2" xfId="61409" xr:uid="{00000000-0005-0000-0000-000002EE0000}"/>
    <cellStyle name="Normal 22" xfId="25448" xr:uid="{00000000-0005-0000-0000-000003EE0000}"/>
    <cellStyle name="Normal 23" xfId="25449" xr:uid="{00000000-0005-0000-0000-000004EE0000}"/>
    <cellStyle name="Normal 23 2" xfId="61410" xr:uid="{00000000-0005-0000-0000-000005EE0000}"/>
    <cellStyle name="Normal 23 3" xfId="61411" xr:uid="{00000000-0005-0000-0000-000006EE0000}"/>
    <cellStyle name="Normal 24" xfId="25905" xr:uid="{00000000-0005-0000-0000-000007EE0000}"/>
    <cellStyle name="Normal 24 2" xfId="61412" xr:uid="{00000000-0005-0000-0000-000008EE0000}"/>
    <cellStyle name="Normal 24 3" xfId="61413" xr:uid="{00000000-0005-0000-0000-000009EE0000}"/>
    <cellStyle name="Normal 24 4" xfId="61414" xr:uid="{00000000-0005-0000-0000-00000AEE0000}"/>
    <cellStyle name="Normal 24 5" xfId="61415" xr:uid="{00000000-0005-0000-0000-00000BEE0000}"/>
    <cellStyle name="Normal 24 6" xfId="61416" xr:uid="{00000000-0005-0000-0000-00000CEE0000}"/>
    <cellStyle name="Normal 25" xfId="25906" xr:uid="{00000000-0005-0000-0000-00000DEE0000}"/>
    <cellStyle name="Normal 26" xfId="25907" xr:uid="{00000000-0005-0000-0000-00000EEE0000}"/>
    <cellStyle name="Normal 27" xfId="25908" xr:uid="{00000000-0005-0000-0000-00000FEE0000}"/>
    <cellStyle name="Normal 28" xfId="25910" xr:uid="{00000000-0005-0000-0000-000010EE0000}"/>
    <cellStyle name="Normal 29" xfId="61417" xr:uid="{00000000-0005-0000-0000-000011EE0000}"/>
    <cellStyle name="Normal 3" xfId="17" xr:uid="{00000000-0005-0000-0000-000012EE0000}"/>
    <cellStyle name="Normal 3 10" xfId="25450" xr:uid="{00000000-0005-0000-0000-000013EE0000}"/>
    <cellStyle name="Normal 3 10 2" xfId="25451" xr:uid="{00000000-0005-0000-0000-000014EE0000}"/>
    <cellStyle name="Normal 3 10 2 2" xfId="61418" xr:uid="{00000000-0005-0000-0000-000015EE0000}"/>
    <cellStyle name="Normal 3 10 3" xfId="25452" xr:uid="{00000000-0005-0000-0000-000016EE0000}"/>
    <cellStyle name="Normal 3 10 3 2" xfId="61419" xr:uid="{00000000-0005-0000-0000-000017EE0000}"/>
    <cellStyle name="Normal 3 10 4" xfId="61420" xr:uid="{00000000-0005-0000-0000-000018EE0000}"/>
    <cellStyle name="Normal 3 11" xfId="25453" xr:uid="{00000000-0005-0000-0000-000019EE0000}"/>
    <cellStyle name="Normal 3 12" xfId="61421" xr:uid="{00000000-0005-0000-0000-00001AEE0000}"/>
    <cellStyle name="Normal 3 13" xfId="61422" xr:uid="{00000000-0005-0000-0000-00001BEE0000}"/>
    <cellStyle name="Normal 3 14" xfId="61423" xr:uid="{00000000-0005-0000-0000-00001CEE0000}"/>
    <cellStyle name="Normal 3 15" xfId="61424" xr:uid="{00000000-0005-0000-0000-00001DEE0000}"/>
    <cellStyle name="Normal 3 16" xfId="61" xr:uid="{00000000-0005-0000-0000-00001EEE0000}"/>
    <cellStyle name="Normal 3 2" xfId="67" xr:uid="{00000000-0005-0000-0000-00001FEE0000}"/>
    <cellStyle name="Normal 3 2 2" xfId="25454" xr:uid="{00000000-0005-0000-0000-000020EE0000}"/>
    <cellStyle name="Normal 3 2 2 2" xfId="61425" xr:uid="{00000000-0005-0000-0000-000021EE0000}"/>
    <cellStyle name="Normal 3 2 3" xfId="25455" xr:uid="{00000000-0005-0000-0000-000022EE0000}"/>
    <cellStyle name="Normal 3 2 4" xfId="25456" xr:uid="{00000000-0005-0000-0000-000023EE0000}"/>
    <cellStyle name="Normal 3 2 5" xfId="25457" xr:uid="{00000000-0005-0000-0000-000024EE0000}"/>
    <cellStyle name="Normal 3 2 6" xfId="61426" xr:uid="{00000000-0005-0000-0000-000025EE0000}"/>
    <cellStyle name="Normal 3 3" xfId="25458" xr:uid="{00000000-0005-0000-0000-000026EE0000}"/>
    <cellStyle name="Normal 3 3 2" xfId="25459" xr:uid="{00000000-0005-0000-0000-000027EE0000}"/>
    <cellStyle name="Normal 3 3 2 2" xfId="61427" xr:uid="{00000000-0005-0000-0000-000028EE0000}"/>
    <cellStyle name="Normal 3 3 3" xfId="61428" xr:uid="{00000000-0005-0000-0000-000029EE0000}"/>
    <cellStyle name="Normal 3 4" xfId="25460" xr:uid="{00000000-0005-0000-0000-00002AEE0000}"/>
    <cellStyle name="Normal 3 5" xfId="25461" xr:uid="{00000000-0005-0000-0000-00002BEE0000}"/>
    <cellStyle name="Normal 3 5 2" xfId="25462" xr:uid="{00000000-0005-0000-0000-00002CEE0000}"/>
    <cellStyle name="Normal 3 5 2 2" xfId="25463" xr:uid="{00000000-0005-0000-0000-00002DEE0000}"/>
    <cellStyle name="Normal 3 5 2 2 2" xfId="25464" xr:uid="{00000000-0005-0000-0000-00002EEE0000}"/>
    <cellStyle name="Normal 3 5 2 2 2 2" xfId="61429" xr:uid="{00000000-0005-0000-0000-00002FEE0000}"/>
    <cellStyle name="Normal 3 5 2 2 3" xfId="25465" xr:uid="{00000000-0005-0000-0000-000030EE0000}"/>
    <cellStyle name="Normal 3 5 2 2 3 2" xfId="61430" xr:uid="{00000000-0005-0000-0000-000031EE0000}"/>
    <cellStyle name="Normal 3 5 2 2 4" xfId="61431" xr:uid="{00000000-0005-0000-0000-000032EE0000}"/>
    <cellStyle name="Normal 3 5 2 3" xfId="25466" xr:uid="{00000000-0005-0000-0000-000033EE0000}"/>
    <cellStyle name="Normal 3 5 2 3 2" xfId="61432" xr:uid="{00000000-0005-0000-0000-000034EE0000}"/>
    <cellStyle name="Normal 3 5 2 4" xfId="25467" xr:uid="{00000000-0005-0000-0000-000035EE0000}"/>
    <cellStyle name="Normal 3 5 2 4 2" xfId="61433" xr:uid="{00000000-0005-0000-0000-000036EE0000}"/>
    <cellStyle name="Normal 3 5 2 5" xfId="61434" xr:uid="{00000000-0005-0000-0000-000037EE0000}"/>
    <cellStyle name="Normal 3 5 2 5 2" xfId="61435" xr:uid="{00000000-0005-0000-0000-000038EE0000}"/>
    <cellStyle name="Normal 3 5 2 6" xfId="61436" xr:uid="{00000000-0005-0000-0000-000039EE0000}"/>
    <cellStyle name="Normal 3 5 3" xfId="25468" xr:uid="{00000000-0005-0000-0000-00003AEE0000}"/>
    <cellStyle name="Normal 3 5 3 2" xfId="25469" xr:uid="{00000000-0005-0000-0000-00003BEE0000}"/>
    <cellStyle name="Normal 3 5 3 2 2" xfId="61437" xr:uid="{00000000-0005-0000-0000-00003CEE0000}"/>
    <cellStyle name="Normal 3 5 3 3" xfId="25470" xr:uid="{00000000-0005-0000-0000-00003DEE0000}"/>
    <cellStyle name="Normal 3 5 3 3 2" xfId="61438" xr:uid="{00000000-0005-0000-0000-00003EEE0000}"/>
    <cellStyle name="Normal 3 5 3 4" xfId="61439" xr:uid="{00000000-0005-0000-0000-00003FEE0000}"/>
    <cellStyle name="Normal 3 5 4" xfId="25471" xr:uid="{00000000-0005-0000-0000-000040EE0000}"/>
    <cellStyle name="Normal 3 5 4 2" xfId="61440" xr:uid="{00000000-0005-0000-0000-000041EE0000}"/>
    <cellStyle name="Normal 3 5 5" xfId="25472" xr:uid="{00000000-0005-0000-0000-000042EE0000}"/>
    <cellStyle name="Normal 3 5 5 2" xfId="61441" xr:uid="{00000000-0005-0000-0000-000043EE0000}"/>
    <cellStyle name="Normal 3 5 6" xfId="61442" xr:uid="{00000000-0005-0000-0000-000044EE0000}"/>
    <cellStyle name="Normal 3 5 6 2" xfId="61443" xr:uid="{00000000-0005-0000-0000-000045EE0000}"/>
    <cellStyle name="Normal 3 5 7" xfId="61444" xr:uid="{00000000-0005-0000-0000-000046EE0000}"/>
    <cellStyle name="Normal 3 5 8" xfId="61445" xr:uid="{00000000-0005-0000-0000-000047EE0000}"/>
    <cellStyle name="Normal 3 5 9" xfId="61446" xr:uid="{00000000-0005-0000-0000-000048EE0000}"/>
    <cellStyle name="Normal 3 6" xfId="25473" xr:uid="{00000000-0005-0000-0000-000049EE0000}"/>
    <cellStyle name="Normal 3 6 2" xfId="25474" xr:uid="{00000000-0005-0000-0000-00004AEE0000}"/>
    <cellStyle name="Normal 3 6 2 2" xfId="25475" xr:uid="{00000000-0005-0000-0000-00004BEE0000}"/>
    <cellStyle name="Normal 3 6 2 2 2" xfId="25476" xr:uid="{00000000-0005-0000-0000-00004CEE0000}"/>
    <cellStyle name="Normal 3 6 2 2 2 2" xfId="61447" xr:uid="{00000000-0005-0000-0000-00004DEE0000}"/>
    <cellStyle name="Normal 3 6 2 2 3" xfId="25477" xr:uid="{00000000-0005-0000-0000-00004EEE0000}"/>
    <cellStyle name="Normal 3 6 2 2 3 2" xfId="61448" xr:uid="{00000000-0005-0000-0000-00004FEE0000}"/>
    <cellStyle name="Normal 3 6 2 2 4" xfId="61449" xr:uid="{00000000-0005-0000-0000-000050EE0000}"/>
    <cellStyle name="Normal 3 6 2 3" xfId="25478" xr:uid="{00000000-0005-0000-0000-000051EE0000}"/>
    <cellStyle name="Normal 3 6 2 3 2" xfId="61450" xr:uid="{00000000-0005-0000-0000-000052EE0000}"/>
    <cellStyle name="Normal 3 6 2 4" xfId="25479" xr:uid="{00000000-0005-0000-0000-000053EE0000}"/>
    <cellStyle name="Normal 3 6 2 4 2" xfId="61451" xr:uid="{00000000-0005-0000-0000-000054EE0000}"/>
    <cellStyle name="Normal 3 6 2 5" xfId="61452" xr:uid="{00000000-0005-0000-0000-000055EE0000}"/>
    <cellStyle name="Normal 3 6 2 5 2" xfId="61453" xr:uid="{00000000-0005-0000-0000-000056EE0000}"/>
    <cellStyle name="Normal 3 6 2 6" xfId="61454" xr:uid="{00000000-0005-0000-0000-000057EE0000}"/>
    <cellStyle name="Normal 3 6 3" xfId="25480" xr:uid="{00000000-0005-0000-0000-000058EE0000}"/>
    <cellStyle name="Normal 3 6 3 2" xfId="25481" xr:uid="{00000000-0005-0000-0000-000059EE0000}"/>
    <cellStyle name="Normal 3 6 3 2 2" xfId="61455" xr:uid="{00000000-0005-0000-0000-00005AEE0000}"/>
    <cellStyle name="Normal 3 6 3 3" xfId="25482" xr:uid="{00000000-0005-0000-0000-00005BEE0000}"/>
    <cellStyle name="Normal 3 6 3 3 2" xfId="61456" xr:uid="{00000000-0005-0000-0000-00005CEE0000}"/>
    <cellStyle name="Normal 3 6 3 4" xfId="61457" xr:uid="{00000000-0005-0000-0000-00005DEE0000}"/>
    <cellStyle name="Normal 3 6 4" xfId="25483" xr:uid="{00000000-0005-0000-0000-00005EEE0000}"/>
    <cellStyle name="Normal 3 6 4 2" xfId="61458" xr:uid="{00000000-0005-0000-0000-00005FEE0000}"/>
    <cellStyle name="Normal 3 6 5" xfId="25484" xr:uid="{00000000-0005-0000-0000-000060EE0000}"/>
    <cellStyle name="Normal 3 6 5 2" xfId="61459" xr:uid="{00000000-0005-0000-0000-000061EE0000}"/>
    <cellStyle name="Normal 3 6 6" xfId="61460" xr:uid="{00000000-0005-0000-0000-000062EE0000}"/>
    <cellStyle name="Normal 3 6 6 2" xfId="61461" xr:uid="{00000000-0005-0000-0000-000063EE0000}"/>
    <cellStyle name="Normal 3 6 7" xfId="61462" xr:uid="{00000000-0005-0000-0000-000064EE0000}"/>
    <cellStyle name="Normal 3 6 8" xfId="61463" xr:uid="{00000000-0005-0000-0000-000065EE0000}"/>
    <cellStyle name="Normal 3 6 9" xfId="61464" xr:uid="{00000000-0005-0000-0000-000066EE0000}"/>
    <cellStyle name="Normal 3 7" xfId="25485" xr:uid="{00000000-0005-0000-0000-000067EE0000}"/>
    <cellStyle name="Normal 3 7 2" xfId="25486" xr:uid="{00000000-0005-0000-0000-000068EE0000}"/>
    <cellStyle name="Normal 3 7 2 2" xfId="25487" xr:uid="{00000000-0005-0000-0000-000069EE0000}"/>
    <cellStyle name="Normal 3 7 2 2 2" xfId="61465" xr:uid="{00000000-0005-0000-0000-00006AEE0000}"/>
    <cellStyle name="Normal 3 7 2 3" xfId="25488" xr:uid="{00000000-0005-0000-0000-00006BEE0000}"/>
    <cellStyle name="Normal 3 7 2 3 2" xfId="61466" xr:uid="{00000000-0005-0000-0000-00006CEE0000}"/>
    <cellStyle name="Normal 3 7 2 4" xfId="61467" xr:uid="{00000000-0005-0000-0000-00006DEE0000}"/>
    <cellStyle name="Normal 3 7 3" xfId="25489" xr:uid="{00000000-0005-0000-0000-00006EEE0000}"/>
    <cellStyle name="Normal 3 7 3 2" xfId="61468" xr:uid="{00000000-0005-0000-0000-00006FEE0000}"/>
    <cellStyle name="Normal 3 7 4" xfId="25490" xr:uid="{00000000-0005-0000-0000-000070EE0000}"/>
    <cellStyle name="Normal 3 7 4 2" xfId="61469" xr:uid="{00000000-0005-0000-0000-000071EE0000}"/>
    <cellStyle name="Normal 3 7 5" xfId="61470" xr:uid="{00000000-0005-0000-0000-000072EE0000}"/>
    <cellStyle name="Normal 3 7 5 2" xfId="61471" xr:uid="{00000000-0005-0000-0000-000073EE0000}"/>
    <cellStyle name="Normal 3 7 6" xfId="61472" xr:uid="{00000000-0005-0000-0000-000074EE0000}"/>
    <cellStyle name="Normal 3 8" xfId="25491" xr:uid="{00000000-0005-0000-0000-000075EE0000}"/>
    <cellStyle name="Normal 3 9" xfId="25492" xr:uid="{00000000-0005-0000-0000-000076EE0000}"/>
    <cellStyle name="Normal 3 9 2" xfId="25493" xr:uid="{00000000-0005-0000-0000-000077EE0000}"/>
    <cellStyle name="Normal 3 9 2 2" xfId="61473" xr:uid="{00000000-0005-0000-0000-000078EE0000}"/>
    <cellStyle name="Normal 3 9 3" xfId="25494" xr:uid="{00000000-0005-0000-0000-000079EE0000}"/>
    <cellStyle name="Normal 3 9 3 2" xfId="61474" xr:uid="{00000000-0005-0000-0000-00007AEE0000}"/>
    <cellStyle name="Normal 3 9 4" xfId="61475" xr:uid="{00000000-0005-0000-0000-00007BEE0000}"/>
    <cellStyle name="Normal 3_cod postos" xfId="61476" xr:uid="{00000000-0005-0000-0000-00007CEE0000}"/>
    <cellStyle name="Normal 30" xfId="25495" xr:uid="{00000000-0005-0000-0000-00007DEE0000}"/>
    <cellStyle name="Normal 30 10" xfId="61477" xr:uid="{00000000-0005-0000-0000-00007EEE0000}"/>
    <cellStyle name="Normal 30 11" xfId="61478" xr:uid="{00000000-0005-0000-0000-00007FEE0000}"/>
    <cellStyle name="Normal 30 2" xfId="25496" xr:uid="{00000000-0005-0000-0000-000080EE0000}"/>
    <cellStyle name="Normal 30 2 10" xfId="61479" xr:uid="{00000000-0005-0000-0000-000081EE0000}"/>
    <cellStyle name="Normal 30 2 2" xfId="25497" xr:uid="{00000000-0005-0000-0000-000082EE0000}"/>
    <cellStyle name="Normal 30 2 2 2" xfId="25498" xr:uid="{00000000-0005-0000-0000-000083EE0000}"/>
    <cellStyle name="Normal 30 2 2 2 2" xfId="25499" xr:uid="{00000000-0005-0000-0000-000084EE0000}"/>
    <cellStyle name="Normal 30 2 2 2 2 2" xfId="61480" xr:uid="{00000000-0005-0000-0000-000085EE0000}"/>
    <cellStyle name="Normal 30 2 2 2 3" xfId="25500" xr:uid="{00000000-0005-0000-0000-000086EE0000}"/>
    <cellStyle name="Normal 30 2 2 2 3 2" xfId="61481" xr:uid="{00000000-0005-0000-0000-000087EE0000}"/>
    <cellStyle name="Normal 30 2 2 2 4" xfId="61482" xr:uid="{00000000-0005-0000-0000-000088EE0000}"/>
    <cellStyle name="Normal 30 2 2 3" xfId="25501" xr:uid="{00000000-0005-0000-0000-000089EE0000}"/>
    <cellStyle name="Normal 30 2 2 3 2" xfId="61483" xr:uid="{00000000-0005-0000-0000-00008AEE0000}"/>
    <cellStyle name="Normal 30 2 2 4" xfId="25502" xr:uid="{00000000-0005-0000-0000-00008BEE0000}"/>
    <cellStyle name="Normal 30 2 2 4 2" xfId="61484" xr:uid="{00000000-0005-0000-0000-00008CEE0000}"/>
    <cellStyle name="Normal 30 2 2 5" xfId="25503" xr:uid="{00000000-0005-0000-0000-00008DEE0000}"/>
    <cellStyle name="Normal 30 2 2 5 2" xfId="61485" xr:uid="{00000000-0005-0000-0000-00008EEE0000}"/>
    <cellStyle name="Normal 30 2 2 6" xfId="61486" xr:uid="{00000000-0005-0000-0000-00008FEE0000}"/>
    <cellStyle name="Normal 30 2 2 6 2" xfId="61487" xr:uid="{00000000-0005-0000-0000-000090EE0000}"/>
    <cellStyle name="Normal 30 2 2 7" xfId="61488" xr:uid="{00000000-0005-0000-0000-000091EE0000}"/>
    <cellStyle name="Normal 30 2 3" xfId="25504" xr:uid="{00000000-0005-0000-0000-000092EE0000}"/>
    <cellStyle name="Normal 30 2 3 2" xfId="25505" xr:uid="{00000000-0005-0000-0000-000093EE0000}"/>
    <cellStyle name="Normal 30 2 3 2 2" xfId="61489" xr:uid="{00000000-0005-0000-0000-000094EE0000}"/>
    <cellStyle name="Normal 30 2 3 3" xfId="25506" xr:uid="{00000000-0005-0000-0000-000095EE0000}"/>
    <cellStyle name="Normal 30 2 3 3 2" xfId="61490" xr:uid="{00000000-0005-0000-0000-000096EE0000}"/>
    <cellStyle name="Normal 30 2 3 4" xfId="61491" xr:uid="{00000000-0005-0000-0000-000097EE0000}"/>
    <cellStyle name="Normal 30 2 4" xfId="25507" xr:uid="{00000000-0005-0000-0000-000098EE0000}"/>
    <cellStyle name="Normal 30 2 4 2" xfId="25508" xr:uid="{00000000-0005-0000-0000-000099EE0000}"/>
    <cellStyle name="Normal 30 2 4 2 2" xfId="61492" xr:uid="{00000000-0005-0000-0000-00009AEE0000}"/>
    <cellStyle name="Normal 30 2 4 3" xfId="61493" xr:uid="{00000000-0005-0000-0000-00009BEE0000}"/>
    <cellStyle name="Normal 30 2 5" xfId="25509" xr:uid="{00000000-0005-0000-0000-00009CEE0000}"/>
    <cellStyle name="Normal 30 2 5 2" xfId="61494" xr:uid="{00000000-0005-0000-0000-00009DEE0000}"/>
    <cellStyle name="Normal 30 2 6" xfId="25510" xr:uid="{00000000-0005-0000-0000-00009EEE0000}"/>
    <cellStyle name="Normal 30 2 6 2" xfId="61495" xr:uid="{00000000-0005-0000-0000-00009FEE0000}"/>
    <cellStyle name="Normal 30 2 7" xfId="61496" xr:uid="{00000000-0005-0000-0000-0000A0EE0000}"/>
    <cellStyle name="Normal 30 2 7 2" xfId="61497" xr:uid="{00000000-0005-0000-0000-0000A1EE0000}"/>
    <cellStyle name="Normal 30 2 8" xfId="61498" xr:uid="{00000000-0005-0000-0000-0000A2EE0000}"/>
    <cellStyle name="Normal 30 2 9" xfId="61499" xr:uid="{00000000-0005-0000-0000-0000A3EE0000}"/>
    <cellStyle name="Normal 30 3" xfId="25511" xr:uid="{00000000-0005-0000-0000-0000A4EE0000}"/>
    <cellStyle name="Normal 30 3 2" xfId="25512" xr:uid="{00000000-0005-0000-0000-0000A5EE0000}"/>
    <cellStyle name="Normal 30 3 2 2" xfId="25513" xr:uid="{00000000-0005-0000-0000-0000A6EE0000}"/>
    <cellStyle name="Normal 30 3 2 2 2" xfId="61500" xr:uid="{00000000-0005-0000-0000-0000A7EE0000}"/>
    <cellStyle name="Normal 30 3 2 3" xfId="25514" xr:uid="{00000000-0005-0000-0000-0000A8EE0000}"/>
    <cellStyle name="Normal 30 3 2 3 2" xfId="61501" xr:uid="{00000000-0005-0000-0000-0000A9EE0000}"/>
    <cellStyle name="Normal 30 3 2 4" xfId="61502" xr:uid="{00000000-0005-0000-0000-0000AAEE0000}"/>
    <cellStyle name="Normal 30 3 3" xfId="25515" xr:uid="{00000000-0005-0000-0000-0000ABEE0000}"/>
    <cellStyle name="Normal 30 3 3 2" xfId="61503" xr:uid="{00000000-0005-0000-0000-0000ACEE0000}"/>
    <cellStyle name="Normal 30 3 4" xfId="25516" xr:uid="{00000000-0005-0000-0000-0000ADEE0000}"/>
    <cellStyle name="Normal 30 3 4 2" xfId="61504" xr:uid="{00000000-0005-0000-0000-0000AEEE0000}"/>
    <cellStyle name="Normal 30 3 5" xfId="25517" xr:uid="{00000000-0005-0000-0000-0000AFEE0000}"/>
    <cellStyle name="Normal 30 3 5 2" xfId="61505" xr:uid="{00000000-0005-0000-0000-0000B0EE0000}"/>
    <cellStyle name="Normal 30 3 6" xfId="61506" xr:uid="{00000000-0005-0000-0000-0000B1EE0000}"/>
    <cellStyle name="Normal 30 3 6 2" xfId="61507" xr:uid="{00000000-0005-0000-0000-0000B2EE0000}"/>
    <cellStyle name="Normal 30 3 7" xfId="61508" xr:uid="{00000000-0005-0000-0000-0000B3EE0000}"/>
    <cellStyle name="Normal 30 4" xfId="25518" xr:uid="{00000000-0005-0000-0000-0000B4EE0000}"/>
    <cellStyle name="Normal 30 4 2" xfId="25519" xr:uid="{00000000-0005-0000-0000-0000B5EE0000}"/>
    <cellStyle name="Normal 30 4 2 2" xfId="61509" xr:uid="{00000000-0005-0000-0000-0000B6EE0000}"/>
    <cellStyle name="Normal 30 4 3" xfId="25520" xr:uid="{00000000-0005-0000-0000-0000B7EE0000}"/>
    <cellStyle name="Normal 30 4 3 2" xfId="61510" xr:uid="{00000000-0005-0000-0000-0000B8EE0000}"/>
    <cellStyle name="Normal 30 4 4" xfId="61511" xr:uid="{00000000-0005-0000-0000-0000B9EE0000}"/>
    <cellStyle name="Normal 30 5" xfId="25521" xr:uid="{00000000-0005-0000-0000-0000BAEE0000}"/>
    <cellStyle name="Normal 30 5 2" xfId="25522" xr:uid="{00000000-0005-0000-0000-0000BBEE0000}"/>
    <cellStyle name="Normal 30 5 2 2" xfId="61512" xr:uid="{00000000-0005-0000-0000-0000BCEE0000}"/>
    <cellStyle name="Normal 30 5 3" xfId="61513" xr:uid="{00000000-0005-0000-0000-0000BDEE0000}"/>
    <cellStyle name="Normal 30 6" xfId="25523" xr:uid="{00000000-0005-0000-0000-0000BEEE0000}"/>
    <cellStyle name="Normal 30 6 2" xfId="61514" xr:uid="{00000000-0005-0000-0000-0000BFEE0000}"/>
    <cellStyle name="Normal 30 7" xfId="25524" xr:uid="{00000000-0005-0000-0000-0000C0EE0000}"/>
    <cellStyle name="Normal 30 7 2" xfId="61515" xr:uid="{00000000-0005-0000-0000-0000C1EE0000}"/>
    <cellStyle name="Normal 30 8" xfId="61516" xr:uid="{00000000-0005-0000-0000-0000C2EE0000}"/>
    <cellStyle name="Normal 30 8 2" xfId="61517" xr:uid="{00000000-0005-0000-0000-0000C3EE0000}"/>
    <cellStyle name="Normal 30 9" xfId="61518" xr:uid="{00000000-0005-0000-0000-0000C4EE0000}"/>
    <cellStyle name="Normal 31" xfId="61519" xr:uid="{00000000-0005-0000-0000-0000C5EE0000}"/>
    <cellStyle name="Normal 32" xfId="61520" xr:uid="{00000000-0005-0000-0000-0000C6EE0000}"/>
    <cellStyle name="Normal 32 2" xfId="61521" xr:uid="{00000000-0005-0000-0000-0000C7EE0000}"/>
    <cellStyle name="Normal 33" xfId="61522" xr:uid="{00000000-0005-0000-0000-0000C8EE0000}"/>
    <cellStyle name="Normal 34" xfId="61523" xr:uid="{00000000-0005-0000-0000-0000C9EE0000}"/>
    <cellStyle name="Normal 35" xfId="61524" xr:uid="{00000000-0005-0000-0000-0000CAEE0000}"/>
    <cellStyle name="Normal 36" xfId="61525" xr:uid="{00000000-0005-0000-0000-0000CBEE0000}"/>
    <cellStyle name="Normal 37" xfId="62093" xr:uid="{00000000-0005-0000-0000-0000CCEE0000}"/>
    <cellStyle name="Normal 38" xfId="62095" xr:uid="{00000000-0005-0000-0000-0000CDEE0000}"/>
    <cellStyle name="Normal 39" xfId="71" xr:uid="{00000000-0005-0000-0000-0000CEEE0000}"/>
    <cellStyle name="Normal 4" xfId="4" xr:uid="{00000000-0005-0000-0000-0000CFEE0000}"/>
    <cellStyle name="Normal 4 10" xfId="61526" xr:uid="{00000000-0005-0000-0000-0000D0EE0000}"/>
    <cellStyle name="Normal 4 11" xfId="25525" xr:uid="{00000000-0005-0000-0000-0000D1EE0000}"/>
    <cellStyle name="Normal 4 12" xfId="69" xr:uid="{00000000-0005-0000-0000-0000D2EE0000}"/>
    <cellStyle name="Normal 4 2" xfId="25526" xr:uid="{00000000-0005-0000-0000-0000D3EE0000}"/>
    <cellStyle name="Normal 4 2 2" xfId="25527" xr:uid="{00000000-0005-0000-0000-0000D4EE0000}"/>
    <cellStyle name="Normal 4 3" xfId="25528" xr:uid="{00000000-0005-0000-0000-0000D5EE0000}"/>
    <cellStyle name="Normal 4 3 2" xfId="25529" xr:uid="{00000000-0005-0000-0000-0000D6EE0000}"/>
    <cellStyle name="Normal 4 4" xfId="25530" xr:uid="{00000000-0005-0000-0000-0000D7EE0000}"/>
    <cellStyle name="Normal 4 4 2" xfId="25531" xr:uid="{00000000-0005-0000-0000-0000D8EE0000}"/>
    <cellStyle name="Normal 4 5" xfId="25532" xr:uid="{00000000-0005-0000-0000-0000D9EE0000}"/>
    <cellStyle name="Normal 4 5 2" xfId="25533" xr:uid="{00000000-0005-0000-0000-0000DAEE0000}"/>
    <cellStyle name="Normal 4 6" xfId="25534" xr:uid="{00000000-0005-0000-0000-0000DBEE0000}"/>
    <cellStyle name="Normal 4 6 2" xfId="25535" xr:uid="{00000000-0005-0000-0000-0000DCEE0000}"/>
    <cellStyle name="Normal 4 7" xfId="25536" xr:uid="{00000000-0005-0000-0000-0000DDEE0000}"/>
    <cellStyle name="Normal 4 7 2" xfId="25537" xr:uid="{00000000-0005-0000-0000-0000DEEE0000}"/>
    <cellStyle name="Normal 4 7 2 2" xfId="25538" xr:uid="{00000000-0005-0000-0000-0000DFEE0000}"/>
    <cellStyle name="Normal 4 7 2 2 2" xfId="25539" xr:uid="{00000000-0005-0000-0000-0000E0EE0000}"/>
    <cellStyle name="Normal 4 7 2 2 2 2" xfId="61527" xr:uid="{00000000-0005-0000-0000-0000E1EE0000}"/>
    <cellStyle name="Normal 4 7 2 2 3" xfId="25540" xr:uid="{00000000-0005-0000-0000-0000E2EE0000}"/>
    <cellStyle name="Normal 4 7 2 2 3 2" xfId="61528" xr:uid="{00000000-0005-0000-0000-0000E3EE0000}"/>
    <cellStyle name="Normal 4 7 2 2 4" xfId="61529" xr:uid="{00000000-0005-0000-0000-0000E4EE0000}"/>
    <cellStyle name="Normal 4 7 2 3" xfId="25541" xr:uid="{00000000-0005-0000-0000-0000E5EE0000}"/>
    <cellStyle name="Normal 4 7 2 3 2" xfId="25542" xr:uid="{00000000-0005-0000-0000-0000E6EE0000}"/>
    <cellStyle name="Normal 4 7 2 3 2 2" xfId="61530" xr:uid="{00000000-0005-0000-0000-0000E7EE0000}"/>
    <cellStyle name="Normal 4 7 2 3 3" xfId="61531" xr:uid="{00000000-0005-0000-0000-0000E8EE0000}"/>
    <cellStyle name="Normal 4 7 2 4" xfId="25543" xr:uid="{00000000-0005-0000-0000-0000E9EE0000}"/>
    <cellStyle name="Normal 4 7 2 4 2" xfId="61532" xr:uid="{00000000-0005-0000-0000-0000EAEE0000}"/>
    <cellStyle name="Normal 4 7 2 5" xfId="25544" xr:uid="{00000000-0005-0000-0000-0000EBEE0000}"/>
    <cellStyle name="Normal 4 7 2 5 2" xfId="61533" xr:uid="{00000000-0005-0000-0000-0000ECEE0000}"/>
    <cellStyle name="Normal 4 7 2 6" xfId="61534" xr:uid="{00000000-0005-0000-0000-0000EDEE0000}"/>
    <cellStyle name="Normal 4 7 2 7" xfId="61535" xr:uid="{00000000-0005-0000-0000-0000EEEE0000}"/>
    <cellStyle name="Normal 4 7 2 8" xfId="61536" xr:uid="{00000000-0005-0000-0000-0000EFEE0000}"/>
    <cellStyle name="Normal 4 7 3" xfId="25545" xr:uid="{00000000-0005-0000-0000-0000F0EE0000}"/>
    <cellStyle name="Normal 4 7 3 2" xfId="25546" xr:uid="{00000000-0005-0000-0000-0000F1EE0000}"/>
    <cellStyle name="Normal 4 7 3 2 2" xfId="25547" xr:uid="{00000000-0005-0000-0000-0000F2EE0000}"/>
    <cellStyle name="Normal 4 7 3 2 2 2" xfId="61537" xr:uid="{00000000-0005-0000-0000-0000F3EE0000}"/>
    <cellStyle name="Normal 4 7 3 2 3" xfId="61538" xr:uid="{00000000-0005-0000-0000-0000F4EE0000}"/>
    <cellStyle name="Normal 4 7 3 3" xfId="25548" xr:uid="{00000000-0005-0000-0000-0000F5EE0000}"/>
    <cellStyle name="Normal 4 7 3 4" xfId="61539" xr:uid="{00000000-0005-0000-0000-0000F6EE0000}"/>
    <cellStyle name="Normal 4 7 3 5" xfId="61540" xr:uid="{00000000-0005-0000-0000-0000F7EE0000}"/>
    <cellStyle name="Normal 4 7 3 6" xfId="61541" xr:uid="{00000000-0005-0000-0000-0000F8EE0000}"/>
    <cellStyle name="Normal 4 7 4" xfId="25549" xr:uid="{00000000-0005-0000-0000-0000F9EE0000}"/>
    <cellStyle name="Normal 4 7 4 2" xfId="25550" xr:uid="{00000000-0005-0000-0000-0000FAEE0000}"/>
    <cellStyle name="Normal 4 7 4 2 2" xfId="61542" xr:uid="{00000000-0005-0000-0000-0000FBEE0000}"/>
    <cellStyle name="Normal 4 7 4 3" xfId="25551" xr:uid="{00000000-0005-0000-0000-0000FCEE0000}"/>
    <cellStyle name="Normal 4 7 4 3 2" xfId="61543" xr:uid="{00000000-0005-0000-0000-0000FDEE0000}"/>
    <cellStyle name="Normal 4 7 5" xfId="25552" xr:uid="{00000000-0005-0000-0000-0000FEEE0000}"/>
    <cellStyle name="Normal 4 7 5 2" xfId="61544" xr:uid="{00000000-0005-0000-0000-0000FFEE0000}"/>
    <cellStyle name="Normal 4 7 6" xfId="25553" xr:uid="{00000000-0005-0000-0000-000000EF0000}"/>
    <cellStyle name="Normal 4 7 6 2" xfId="61545" xr:uid="{00000000-0005-0000-0000-000001EF0000}"/>
    <cellStyle name="Normal 4 7 7" xfId="25554" xr:uid="{00000000-0005-0000-0000-000002EF0000}"/>
    <cellStyle name="Normal 4 7 7 2" xfId="61546" xr:uid="{00000000-0005-0000-0000-000003EF0000}"/>
    <cellStyle name="Normal 4 8" xfId="25555" xr:uid="{00000000-0005-0000-0000-000004EF0000}"/>
    <cellStyle name="Normal 4 8 2" xfId="61547" xr:uid="{00000000-0005-0000-0000-000005EF0000}"/>
    <cellStyle name="Normal 4 9" xfId="25556" xr:uid="{00000000-0005-0000-0000-000006EF0000}"/>
    <cellStyle name="Normal 4_cod postos" xfId="61548" xr:uid="{00000000-0005-0000-0000-000007EF0000}"/>
    <cellStyle name="Normal 40" xfId="58" xr:uid="{00000000-0005-0000-0000-000008EF0000}"/>
    <cellStyle name="Normal 44" xfId="62111" xr:uid="{00000000-0005-0000-0000-000009EF0000}"/>
    <cellStyle name="Normal 45" xfId="62112" xr:uid="{00000000-0005-0000-0000-00000AEF0000}"/>
    <cellStyle name="Normal 5" xfId="7" xr:uid="{00000000-0005-0000-0000-00000BEF0000}"/>
    <cellStyle name="Normal 5 2" xfId="63" xr:uid="{00000000-0005-0000-0000-00000CEF0000}"/>
    <cellStyle name="Normal 5 2 2" xfId="25558" xr:uid="{00000000-0005-0000-0000-00000DEF0000}"/>
    <cellStyle name="Normal 5 2 2 2" xfId="25559" xr:uid="{00000000-0005-0000-0000-00000EEF0000}"/>
    <cellStyle name="Normal 5 2 2 2 2" xfId="61549" xr:uid="{00000000-0005-0000-0000-00000FEF0000}"/>
    <cellStyle name="Normal 5 2 2 3" xfId="25560" xr:uid="{00000000-0005-0000-0000-000010EF0000}"/>
    <cellStyle name="Normal 5 2 2 3 2" xfId="61550" xr:uid="{00000000-0005-0000-0000-000011EF0000}"/>
    <cellStyle name="Normal 5 2 2 4" xfId="61551" xr:uid="{00000000-0005-0000-0000-000012EF0000}"/>
    <cellStyle name="Normal 5 2 3" xfId="25561" xr:uid="{00000000-0005-0000-0000-000013EF0000}"/>
    <cellStyle name="Normal 5 2 3 2" xfId="61552" xr:uid="{00000000-0005-0000-0000-000014EF0000}"/>
    <cellStyle name="Normal 5 2 4" xfId="25562" xr:uid="{00000000-0005-0000-0000-000015EF0000}"/>
    <cellStyle name="Normal 5 2 4 2" xfId="61553" xr:uid="{00000000-0005-0000-0000-000016EF0000}"/>
    <cellStyle name="Normal 5 2 5" xfId="25563" xr:uid="{00000000-0005-0000-0000-000017EF0000}"/>
    <cellStyle name="Normal 5 2 5 2" xfId="61554" xr:uid="{00000000-0005-0000-0000-000018EF0000}"/>
    <cellStyle name="Normal 5 2 6" xfId="61555" xr:uid="{00000000-0005-0000-0000-000019EF0000}"/>
    <cellStyle name="Normal 5 2 7" xfId="25557" xr:uid="{00000000-0005-0000-0000-00001AEF0000}"/>
    <cellStyle name="Normal 5 3" xfId="25564" xr:uid="{00000000-0005-0000-0000-00001BEF0000}"/>
    <cellStyle name="Normal 5 3 2" xfId="25565" xr:uid="{00000000-0005-0000-0000-00001CEF0000}"/>
    <cellStyle name="Normal 5 3 2 2" xfId="25566" xr:uid="{00000000-0005-0000-0000-00001DEF0000}"/>
    <cellStyle name="Normal 5 3 2 2 2" xfId="61556" xr:uid="{00000000-0005-0000-0000-00001EEF0000}"/>
    <cellStyle name="Normal 5 3 2 3" xfId="25567" xr:uid="{00000000-0005-0000-0000-00001FEF0000}"/>
    <cellStyle name="Normal 5 3 2 3 2" xfId="61557" xr:uid="{00000000-0005-0000-0000-000020EF0000}"/>
    <cellStyle name="Normal 5 3 2 4" xfId="61558" xr:uid="{00000000-0005-0000-0000-000021EF0000}"/>
    <cellStyle name="Normal 5 3 3" xfId="25568" xr:uid="{00000000-0005-0000-0000-000022EF0000}"/>
    <cellStyle name="Normal 5 3 3 2" xfId="61559" xr:uid="{00000000-0005-0000-0000-000023EF0000}"/>
    <cellStyle name="Normal 5 3 4" xfId="25569" xr:uid="{00000000-0005-0000-0000-000024EF0000}"/>
    <cellStyle name="Normal 5 3 4 2" xfId="61560" xr:uid="{00000000-0005-0000-0000-000025EF0000}"/>
    <cellStyle name="Normal 5 3 5" xfId="61561" xr:uid="{00000000-0005-0000-0000-000026EF0000}"/>
    <cellStyle name="Normal 5 3 5 2" xfId="61562" xr:uid="{00000000-0005-0000-0000-000027EF0000}"/>
    <cellStyle name="Normal 5 3 6" xfId="61563" xr:uid="{00000000-0005-0000-0000-000028EF0000}"/>
    <cellStyle name="Normal 5 4" xfId="25570" xr:uid="{00000000-0005-0000-0000-000029EF0000}"/>
    <cellStyle name="Normal 5 5" xfId="25571" xr:uid="{00000000-0005-0000-0000-00002AEF0000}"/>
    <cellStyle name="Normal 5 5 2" xfId="25572" xr:uid="{00000000-0005-0000-0000-00002BEF0000}"/>
    <cellStyle name="Normal 5 5 2 2" xfId="61564" xr:uid="{00000000-0005-0000-0000-00002CEF0000}"/>
    <cellStyle name="Normal 5 5 3" xfId="25573" xr:uid="{00000000-0005-0000-0000-00002DEF0000}"/>
    <cellStyle name="Normal 5 5 3 2" xfId="61565" xr:uid="{00000000-0005-0000-0000-00002EEF0000}"/>
    <cellStyle name="Normal 5 5 4" xfId="61566" xr:uid="{00000000-0005-0000-0000-00002FEF0000}"/>
    <cellStyle name="Normal 5 6" xfId="25574" xr:uid="{00000000-0005-0000-0000-000030EF0000}"/>
    <cellStyle name="Normal 5 6 2" xfId="25575" xr:uid="{00000000-0005-0000-0000-000031EF0000}"/>
    <cellStyle name="Normal 5 6 2 2" xfId="61567" xr:uid="{00000000-0005-0000-0000-000032EF0000}"/>
    <cellStyle name="Normal 5 6 3" xfId="61568" xr:uid="{00000000-0005-0000-0000-000033EF0000}"/>
    <cellStyle name="Normal 5 7" xfId="25576" xr:uid="{00000000-0005-0000-0000-000034EF0000}"/>
    <cellStyle name="Normal 5 8" xfId="61569" xr:uid="{00000000-0005-0000-0000-000035EF0000}"/>
    <cellStyle name="Normal 5 8 2" xfId="61570" xr:uid="{00000000-0005-0000-0000-000036EF0000}"/>
    <cellStyle name="Normal 5 9" xfId="62" xr:uid="{00000000-0005-0000-0000-000037EF0000}"/>
    <cellStyle name="Normal 6" xfId="21" xr:uid="{00000000-0005-0000-0000-000038EF0000}"/>
    <cellStyle name="Normal 6 2" xfId="25578" xr:uid="{00000000-0005-0000-0000-000039EF0000}"/>
    <cellStyle name="Normal 6 2 2" xfId="25579" xr:uid="{00000000-0005-0000-0000-00003AEF0000}"/>
    <cellStyle name="Normal 6 2 2 2" xfId="25580" xr:uid="{00000000-0005-0000-0000-00003BEF0000}"/>
    <cellStyle name="Normal 6 2 2 2 2" xfId="61571" xr:uid="{00000000-0005-0000-0000-00003CEF0000}"/>
    <cellStyle name="Normal 6 2 2 3" xfId="25581" xr:uid="{00000000-0005-0000-0000-00003DEF0000}"/>
    <cellStyle name="Normal 6 2 2 3 2" xfId="61572" xr:uid="{00000000-0005-0000-0000-00003EEF0000}"/>
    <cellStyle name="Normal 6 2 2 4" xfId="61573" xr:uid="{00000000-0005-0000-0000-00003FEF0000}"/>
    <cellStyle name="Normal 6 2 3" xfId="25582" xr:uid="{00000000-0005-0000-0000-000040EF0000}"/>
    <cellStyle name="Normal 6 2 3 2" xfId="61574" xr:uid="{00000000-0005-0000-0000-000041EF0000}"/>
    <cellStyle name="Normal 6 2 4" xfId="25583" xr:uid="{00000000-0005-0000-0000-000042EF0000}"/>
    <cellStyle name="Normal 6 2 4 2" xfId="61575" xr:uid="{00000000-0005-0000-0000-000043EF0000}"/>
    <cellStyle name="Normal 6 2 5" xfId="25584" xr:uid="{00000000-0005-0000-0000-000044EF0000}"/>
    <cellStyle name="Normal 6 2 5 2" xfId="61576" xr:uid="{00000000-0005-0000-0000-000045EF0000}"/>
    <cellStyle name="Normal 6 2 6" xfId="61577" xr:uid="{00000000-0005-0000-0000-000046EF0000}"/>
    <cellStyle name="Normal 6 3" xfId="62096" xr:uid="{00000000-0005-0000-0000-000047EF0000}"/>
    <cellStyle name="Normal 6 4" xfId="25577" xr:uid="{00000000-0005-0000-0000-000048EF0000}"/>
    <cellStyle name="Normal 7" xfId="25585" xr:uid="{00000000-0005-0000-0000-000049EF0000}"/>
    <cellStyle name="Normal 7 2" xfId="25586" xr:uid="{00000000-0005-0000-0000-00004AEF0000}"/>
    <cellStyle name="Normal 7 2 2" xfId="61578" xr:uid="{00000000-0005-0000-0000-00004BEF0000}"/>
    <cellStyle name="Normal 7 2 3" xfId="61579" xr:uid="{00000000-0005-0000-0000-00004CEF0000}"/>
    <cellStyle name="Normal 7 3" xfId="25587" xr:uid="{00000000-0005-0000-0000-00004DEF0000}"/>
    <cellStyle name="Normal 7 4" xfId="61580" xr:uid="{00000000-0005-0000-0000-00004EEF0000}"/>
    <cellStyle name="Normal 8" xfId="25588" xr:uid="{00000000-0005-0000-0000-00004FEF0000}"/>
    <cellStyle name="Normal 8 2" xfId="25589" xr:uid="{00000000-0005-0000-0000-000050EF0000}"/>
    <cellStyle name="Normal 8 2 10" xfId="61581" xr:uid="{00000000-0005-0000-0000-000051EF0000}"/>
    <cellStyle name="Normal 8 2 11" xfId="61582" xr:uid="{00000000-0005-0000-0000-000052EF0000}"/>
    <cellStyle name="Normal 8 2 2" xfId="25590" xr:uid="{00000000-0005-0000-0000-000053EF0000}"/>
    <cellStyle name="Normal 8 2 2 10" xfId="61583" xr:uid="{00000000-0005-0000-0000-000054EF0000}"/>
    <cellStyle name="Normal 8 2 2 2" xfId="25591" xr:uid="{00000000-0005-0000-0000-000055EF0000}"/>
    <cellStyle name="Normal 8 2 2 2 2" xfId="25592" xr:uid="{00000000-0005-0000-0000-000056EF0000}"/>
    <cellStyle name="Normal 8 2 2 2 2 2" xfId="25593" xr:uid="{00000000-0005-0000-0000-000057EF0000}"/>
    <cellStyle name="Normal 8 2 2 2 2 2 2" xfId="61584" xr:uid="{00000000-0005-0000-0000-000058EF0000}"/>
    <cellStyle name="Normal 8 2 2 2 2 3" xfId="25594" xr:uid="{00000000-0005-0000-0000-000059EF0000}"/>
    <cellStyle name="Normal 8 2 2 2 2 3 2" xfId="61585" xr:uid="{00000000-0005-0000-0000-00005AEF0000}"/>
    <cellStyle name="Normal 8 2 2 2 2 4" xfId="61586" xr:uid="{00000000-0005-0000-0000-00005BEF0000}"/>
    <cellStyle name="Normal 8 2 2 2 3" xfId="25595" xr:uid="{00000000-0005-0000-0000-00005CEF0000}"/>
    <cellStyle name="Normal 8 2 2 2 3 2" xfId="61587" xr:uid="{00000000-0005-0000-0000-00005DEF0000}"/>
    <cellStyle name="Normal 8 2 2 2 4" xfId="25596" xr:uid="{00000000-0005-0000-0000-00005EEF0000}"/>
    <cellStyle name="Normal 8 2 2 2 4 2" xfId="61588" xr:uid="{00000000-0005-0000-0000-00005FEF0000}"/>
    <cellStyle name="Normal 8 2 2 2 5" xfId="25597" xr:uid="{00000000-0005-0000-0000-000060EF0000}"/>
    <cellStyle name="Normal 8 2 2 2 5 2" xfId="61589" xr:uid="{00000000-0005-0000-0000-000061EF0000}"/>
    <cellStyle name="Normal 8 2 2 2 6" xfId="61590" xr:uid="{00000000-0005-0000-0000-000062EF0000}"/>
    <cellStyle name="Normal 8 2 2 2 6 2" xfId="61591" xr:uid="{00000000-0005-0000-0000-000063EF0000}"/>
    <cellStyle name="Normal 8 2 2 2 7" xfId="61592" xr:uid="{00000000-0005-0000-0000-000064EF0000}"/>
    <cellStyle name="Normal 8 2 2 3" xfId="25598" xr:uid="{00000000-0005-0000-0000-000065EF0000}"/>
    <cellStyle name="Normal 8 2 2 3 2" xfId="25599" xr:uid="{00000000-0005-0000-0000-000066EF0000}"/>
    <cellStyle name="Normal 8 2 2 3 2 2" xfId="61593" xr:uid="{00000000-0005-0000-0000-000067EF0000}"/>
    <cellStyle name="Normal 8 2 2 3 3" xfId="25600" xr:uid="{00000000-0005-0000-0000-000068EF0000}"/>
    <cellStyle name="Normal 8 2 2 3 3 2" xfId="61594" xr:uid="{00000000-0005-0000-0000-000069EF0000}"/>
    <cellStyle name="Normal 8 2 2 3 4" xfId="61595" xr:uid="{00000000-0005-0000-0000-00006AEF0000}"/>
    <cellStyle name="Normal 8 2 2 4" xfId="25601" xr:uid="{00000000-0005-0000-0000-00006BEF0000}"/>
    <cellStyle name="Normal 8 2 2 4 2" xfId="25602" xr:uid="{00000000-0005-0000-0000-00006CEF0000}"/>
    <cellStyle name="Normal 8 2 2 4 2 2" xfId="61596" xr:uid="{00000000-0005-0000-0000-00006DEF0000}"/>
    <cellStyle name="Normal 8 2 2 4 3" xfId="61597" xr:uid="{00000000-0005-0000-0000-00006EEF0000}"/>
    <cellStyle name="Normal 8 2 2 5" xfId="25603" xr:uid="{00000000-0005-0000-0000-00006FEF0000}"/>
    <cellStyle name="Normal 8 2 2 5 2" xfId="61598" xr:uid="{00000000-0005-0000-0000-000070EF0000}"/>
    <cellStyle name="Normal 8 2 2 6" xfId="25604" xr:uid="{00000000-0005-0000-0000-000071EF0000}"/>
    <cellStyle name="Normal 8 2 2 6 2" xfId="61599" xr:uid="{00000000-0005-0000-0000-000072EF0000}"/>
    <cellStyle name="Normal 8 2 2 7" xfId="61600" xr:uid="{00000000-0005-0000-0000-000073EF0000}"/>
    <cellStyle name="Normal 8 2 2 7 2" xfId="61601" xr:uid="{00000000-0005-0000-0000-000074EF0000}"/>
    <cellStyle name="Normal 8 2 2 8" xfId="61602" xr:uid="{00000000-0005-0000-0000-000075EF0000}"/>
    <cellStyle name="Normal 8 2 2 9" xfId="61603" xr:uid="{00000000-0005-0000-0000-000076EF0000}"/>
    <cellStyle name="Normal 8 2 3" xfId="25605" xr:uid="{00000000-0005-0000-0000-000077EF0000}"/>
    <cellStyle name="Normal 8 2 3 2" xfId="25606" xr:uid="{00000000-0005-0000-0000-000078EF0000}"/>
    <cellStyle name="Normal 8 2 3 2 2" xfId="25607" xr:uid="{00000000-0005-0000-0000-000079EF0000}"/>
    <cellStyle name="Normal 8 2 3 2 2 2" xfId="61604" xr:uid="{00000000-0005-0000-0000-00007AEF0000}"/>
    <cellStyle name="Normal 8 2 3 2 3" xfId="25608" xr:uid="{00000000-0005-0000-0000-00007BEF0000}"/>
    <cellStyle name="Normal 8 2 3 2 3 2" xfId="61605" xr:uid="{00000000-0005-0000-0000-00007CEF0000}"/>
    <cellStyle name="Normal 8 2 3 2 4" xfId="61606" xr:uid="{00000000-0005-0000-0000-00007DEF0000}"/>
    <cellStyle name="Normal 8 2 3 3" xfId="25609" xr:uid="{00000000-0005-0000-0000-00007EEF0000}"/>
    <cellStyle name="Normal 8 2 3 3 2" xfId="61607" xr:uid="{00000000-0005-0000-0000-00007FEF0000}"/>
    <cellStyle name="Normal 8 2 3 4" xfId="25610" xr:uid="{00000000-0005-0000-0000-000080EF0000}"/>
    <cellStyle name="Normal 8 2 3 4 2" xfId="61608" xr:uid="{00000000-0005-0000-0000-000081EF0000}"/>
    <cellStyle name="Normal 8 2 3 5" xfId="25611" xr:uid="{00000000-0005-0000-0000-000082EF0000}"/>
    <cellStyle name="Normal 8 2 3 5 2" xfId="61609" xr:uid="{00000000-0005-0000-0000-000083EF0000}"/>
    <cellStyle name="Normal 8 2 3 6" xfId="61610" xr:uid="{00000000-0005-0000-0000-000084EF0000}"/>
    <cellStyle name="Normal 8 2 3 6 2" xfId="61611" xr:uid="{00000000-0005-0000-0000-000085EF0000}"/>
    <cellStyle name="Normal 8 2 3 7" xfId="61612" xr:uid="{00000000-0005-0000-0000-000086EF0000}"/>
    <cellStyle name="Normal 8 2 3 8" xfId="61613" xr:uid="{00000000-0005-0000-0000-000087EF0000}"/>
    <cellStyle name="Normal 8 2 3 9" xfId="61614" xr:uid="{00000000-0005-0000-0000-000088EF0000}"/>
    <cellStyle name="Normal 8 2 4" xfId="25612" xr:uid="{00000000-0005-0000-0000-000089EF0000}"/>
    <cellStyle name="Normal 8 2 4 2" xfId="25613" xr:uid="{00000000-0005-0000-0000-00008AEF0000}"/>
    <cellStyle name="Normal 8 2 4 2 2" xfId="61615" xr:uid="{00000000-0005-0000-0000-00008BEF0000}"/>
    <cellStyle name="Normal 8 2 4 3" xfId="25614" xr:uid="{00000000-0005-0000-0000-00008CEF0000}"/>
    <cellStyle name="Normal 8 2 4 3 2" xfId="61616" xr:uid="{00000000-0005-0000-0000-00008DEF0000}"/>
    <cellStyle name="Normal 8 2 4 4" xfId="61617" xr:uid="{00000000-0005-0000-0000-00008EEF0000}"/>
    <cellStyle name="Normal 8 2 5" xfId="25615" xr:uid="{00000000-0005-0000-0000-00008FEF0000}"/>
    <cellStyle name="Normal 8 2 5 2" xfId="25616" xr:uid="{00000000-0005-0000-0000-000090EF0000}"/>
    <cellStyle name="Normal 8 2 5 2 2" xfId="61618" xr:uid="{00000000-0005-0000-0000-000091EF0000}"/>
    <cellStyle name="Normal 8 2 5 3" xfId="61619" xr:uid="{00000000-0005-0000-0000-000092EF0000}"/>
    <cellStyle name="Normal 8 2 6" xfId="25617" xr:uid="{00000000-0005-0000-0000-000093EF0000}"/>
    <cellStyle name="Normal 8 2 6 2" xfId="61620" xr:uid="{00000000-0005-0000-0000-000094EF0000}"/>
    <cellStyle name="Normal 8 2 7" xfId="25618" xr:uid="{00000000-0005-0000-0000-000095EF0000}"/>
    <cellStyle name="Normal 8 2 7 2" xfId="61621" xr:uid="{00000000-0005-0000-0000-000096EF0000}"/>
    <cellStyle name="Normal 8 2 8" xfId="61622" xr:uid="{00000000-0005-0000-0000-000097EF0000}"/>
    <cellStyle name="Normal 8 2 8 2" xfId="61623" xr:uid="{00000000-0005-0000-0000-000098EF0000}"/>
    <cellStyle name="Normal 8 2 9" xfId="61624" xr:uid="{00000000-0005-0000-0000-000099EF0000}"/>
    <cellStyle name="Normal 8 3" xfId="25619" xr:uid="{00000000-0005-0000-0000-00009AEF0000}"/>
    <cellStyle name="Normal 8 4" xfId="25620" xr:uid="{00000000-0005-0000-0000-00009BEF0000}"/>
    <cellStyle name="Normal 9" xfId="25621" xr:uid="{00000000-0005-0000-0000-00009CEF0000}"/>
    <cellStyle name="Normal 9 2" xfId="25622" xr:uid="{00000000-0005-0000-0000-00009DEF0000}"/>
    <cellStyle name="Normal 9 3" xfId="25623" xr:uid="{00000000-0005-0000-0000-00009EEF0000}"/>
    <cellStyle name="Normal_BD EmuladorMELP_PNE2030_BU" xfId="2" xr:uid="{00000000-0005-0000-0000-00009FEF0000}"/>
    <cellStyle name="Normal_BD EmuladorMELP_PNE2030_BU 2" xfId="6" xr:uid="{00000000-0005-0000-0000-0000A0EF0000}"/>
    <cellStyle name="Normal_BD_PLANEL" xfId="5" xr:uid="{00000000-0005-0000-0000-0000A1EF0000}"/>
    <cellStyle name="Normal_tab_PeriodoEstudo" xfId="8" xr:uid="{00000000-0005-0000-0000-0000A2EF0000}"/>
    <cellStyle name="Nota 10" xfId="25624" xr:uid="{00000000-0005-0000-0000-0000A3EF0000}"/>
    <cellStyle name="Nota 11" xfId="25625" xr:uid="{00000000-0005-0000-0000-0000A4EF0000}"/>
    <cellStyle name="Nota 12" xfId="25626" xr:uid="{00000000-0005-0000-0000-0000A5EF0000}"/>
    <cellStyle name="Nota 13" xfId="25627" xr:uid="{00000000-0005-0000-0000-0000A6EF0000}"/>
    <cellStyle name="Nota 14" xfId="25628" xr:uid="{00000000-0005-0000-0000-0000A7EF0000}"/>
    <cellStyle name="Nota 2" xfId="25629" xr:uid="{00000000-0005-0000-0000-0000A8EF0000}"/>
    <cellStyle name="Nota 2 10" xfId="25630" xr:uid="{00000000-0005-0000-0000-0000A9EF0000}"/>
    <cellStyle name="Nota 2 10 2" xfId="25631" xr:uid="{00000000-0005-0000-0000-0000AAEF0000}"/>
    <cellStyle name="Nota 2 10 2 2" xfId="61625" xr:uid="{00000000-0005-0000-0000-0000ABEF0000}"/>
    <cellStyle name="Nota 2 10 3" xfId="25632" xr:uid="{00000000-0005-0000-0000-0000ACEF0000}"/>
    <cellStyle name="Nota 2 10 3 2" xfId="61626" xr:uid="{00000000-0005-0000-0000-0000ADEF0000}"/>
    <cellStyle name="Nota 2 10 4" xfId="61627" xr:uid="{00000000-0005-0000-0000-0000AEEF0000}"/>
    <cellStyle name="Nota 2 11" xfId="25633" xr:uid="{00000000-0005-0000-0000-0000AFEF0000}"/>
    <cellStyle name="Nota 2 11 2" xfId="61628" xr:uid="{00000000-0005-0000-0000-0000B0EF0000}"/>
    <cellStyle name="Nota 2 12" xfId="25634" xr:uid="{00000000-0005-0000-0000-0000B1EF0000}"/>
    <cellStyle name="Nota 2 12 2" xfId="61629" xr:uid="{00000000-0005-0000-0000-0000B2EF0000}"/>
    <cellStyle name="Nota 2 13" xfId="61630" xr:uid="{00000000-0005-0000-0000-0000B3EF0000}"/>
    <cellStyle name="Nota 2 13 2" xfId="61631" xr:uid="{00000000-0005-0000-0000-0000B4EF0000}"/>
    <cellStyle name="Nota 2 14" xfId="61632" xr:uid="{00000000-0005-0000-0000-0000B5EF0000}"/>
    <cellStyle name="Nota 2 15" xfId="61633" xr:uid="{00000000-0005-0000-0000-0000B6EF0000}"/>
    <cellStyle name="Nota 2 16" xfId="61634" xr:uid="{00000000-0005-0000-0000-0000B7EF0000}"/>
    <cellStyle name="Nota 2 2" xfId="25635" xr:uid="{00000000-0005-0000-0000-0000B8EF0000}"/>
    <cellStyle name="Nota 2 2 2" xfId="25636" xr:uid="{00000000-0005-0000-0000-0000B9EF0000}"/>
    <cellStyle name="Nota 2 2 2 2" xfId="61635" xr:uid="{00000000-0005-0000-0000-0000BAEF0000}"/>
    <cellStyle name="Nota 2 2 3" xfId="25637" xr:uid="{00000000-0005-0000-0000-0000BBEF0000}"/>
    <cellStyle name="Nota 2 2 3 2" xfId="61636" xr:uid="{00000000-0005-0000-0000-0000BCEF0000}"/>
    <cellStyle name="Nota 2 2 4" xfId="61637" xr:uid="{00000000-0005-0000-0000-0000BDEF0000}"/>
    <cellStyle name="Nota 2 2 4 2" xfId="61638" xr:uid="{00000000-0005-0000-0000-0000BEEF0000}"/>
    <cellStyle name="Nota 2 2 5" xfId="61639" xr:uid="{00000000-0005-0000-0000-0000BFEF0000}"/>
    <cellStyle name="Nota 2 2 5 2" xfId="61640" xr:uid="{00000000-0005-0000-0000-0000C0EF0000}"/>
    <cellStyle name="Nota 2 2 6" xfId="61641" xr:uid="{00000000-0005-0000-0000-0000C1EF0000}"/>
    <cellStyle name="Nota 2 2 7" xfId="61642" xr:uid="{00000000-0005-0000-0000-0000C2EF0000}"/>
    <cellStyle name="Nota 2 3" xfId="25638" xr:uid="{00000000-0005-0000-0000-0000C3EF0000}"/>
    <cellStyle name="Nota 2 3 2" xfId="25639" xr:uid="{00000000-0005-0000-0000-0000C4EF0000}"/>
    <cellStyle name="Nota 2 3 2 2" xfId="61643" xr:uid="{00000000-0005-0000-0000-0000C5EF0000}"/>
    <cellStyle name="Nota 2 3 3" xfId="25640" xr:uid="{00000000-0005-0000-0000-0000C6EF0000}"/>
    <cellStyle name="Nota 2 3 3 2" xfId="61644" xr:uid="{00000000-0005-0000-0000-0000C7EF0000}"/>
    <cellStyle name="Nota 2 3 4" xfId="61645" xr:uid="{00000000-0005-0000-0000-0000C8EF0000}"/>
    <cellStyle name="Nota 2 3 4 2" xfId="61646" xr:uid="{00000000-0005-0000-0000-0000C9EF0000}"/>
    <cellStyle name="Nota 2 3 5" xfId="61647" xr:uid="{00000000-0005-0000-0000-0000CAEF0000}"/>
    <cellStyle name="Nota 2 3 5 2" xfId="61648" xr:uid="{00000000-0005-0000-0000-0000CBEF0000}"/>
    <cellStyle name="Nota 2 3 6" xfId="61649" xr:uid="{00000000-0005-0000-0000-0000CCEF0000}"/>
    <cellStyle name="Nota 2 3 7" xfId="61650" xr:uid="{00000000-0005-0000-0000-0000CDEF0000}"/>
    <cellStyle name="Nota 2 4" xfId="25641" xr:uid="{00000000-0005-0000-0000-0000CEEF0000}"/>
    <cellStyle name="Nota 2 4 2" xfId="25642" xr:uid="{00000000-0005-0000-0000-0000CFEF0000}"/>
    <cellStyle name="Nota 2 4 2 2" xfId="61651" xr:uid="{00000000-0005-0000-0000-0000D0EF0000}"/>
    <cellStyle name="Nota 2 4 3" xfId="25643" xr:uid="{00000000-0005-0000-0000-0000D1EF0000}"/>
    <cellStyle name="Nota 2 4 3 2" xfId="61652" xr:uid="{00000000-0005-0000-0000-0000D2EF0000}"/>
    <cellStyle name="Nota 2 4 4" xfId="61653" xr:uid="{00000000-0005-0000-0000-0000D3EF0000}"/>
    <cellStyle name="Nota 2 4 4 2" xfId="61654" xr:uid="{00000000-0005-0000-0000-0000D4EF0000}"/>
    <cellStyle name="Nota 2 4 5" xfId="61655" xr:uid="{00000000-0005-0000-0000-0000D5EF0000}"/>
    <cellStyle name="Nota 2 4 5 2" xfId="61656" xr:uid="{00000000-0005-0000-0000-0000D6EF0000}"/>
    <cellStyle name="Nota 2 4 6" xfId="61657" xr:uid="{00000000-0005-0000-0000-0000D7EF0000}"/>
    <cellStyle name="Nota 2 4 7" xfId="61658" xr:uid="{00000000-0005-0000-0000-0000D8EF0000}"/>
    <cellStyle name="Nota 2 5" xfId="25644" xr:uid="{00000000-0005-0000-0000-0000D9EF0000}"/>
    <cellStyle name="Nota 2 5 2" xfId="25645" xr:uid="{00000000-0005-0000-0000-0000DAEF0000}"/>
    <cellStyle name="Nota 2 5 2 2" xfId="25646" xr:uid="{00000000-0005-0000-0000-0000DBEF0000}"/>
    <cellStyle name="Nota 2 5 2 2 2" xfId="61659" xr:uid="{00000000-0005-0000-0000-0000DCEF0000}"/>
    <cellStyle name="Nota 2 5 2 3" xfId="25647" xr:uid="{00000000-0005-0000-0000-0000DDEF0000}"/>
    <cellStyle name="Nota 2 5 2 3 2" xfId="61660" xr:uid="{00000000-0005-0000-0000-0000DEEF0000}"/>
    <cellStyle name="Nota 2 5 2 4" xfId="61661" xr:uid="{00000000-0005-0000-0000-0000DFEF0000}"/>
    <cellStyle name="Nota 2 5 3" xfId="25648" xr:uid="{00000000-0005-0000-0000-0000E0EF0000}"/>
    <cellStyle name="Nota 2 5 3 2" xfId="61662" xr:uid="{00000000-0005-0000-0000-0000E1EF0000}"/>
    <cellStyle name="Nota 2 5 4" xfId="25649" xr:uid="{00000000-0005-0000-0000-0000E2EF0000}"/>
    <cellStyle name="Nota 2 5 4 2" xfId="61663" xr:uid="{00000000-0005-0000-0000-0000E3EF0000}"/>
    <cellStyle name="Nota 2 5 5" xfId="61664" xr:uid="{00000000-0005-0000-0000-0000E4EF0000}"/>
    <cellStyle name="Nota 2 5 5 2" xfId="61665" xr:uid="{00000000-0005-0000-0000-0000E5EF0000}"/>
    <cellStyle name="Nota 2 5 6" xfId="61666" xr:uid="{00000000-0005-0000-0000-0000E6EF0000}"/>
    <cellStyle name="Nota 2 6" xfId="25650" xr:uid="{00000000-0005-0000-0000-0000E7EF0000}"/>
    <cellStyle name="Nota 2 6 2" xfId="25651" xr:uid="{00000000-0005-0000-0000-0000E8EF0000}"/>
    <cellStyle name="Nota 2 6 2 2" xfId="25652" xr:uid="{00000000-0005-0000-0000-0000E9EF0000}"/>
    <cellStyle name="Nota 2 6 2 2 2" xfId="61667" xr:uid="{00000000-0005-0000-0000-0000EAEF0000}"/>
    <cellStyle name="Nota 2 6 2 3" xfId="25653" xr:uid="{00000000-0005-0000-0000-0000EBEF0000}"/>
    <cellStyle name="Nota 2 6 2 3 2" xfId="61668" xr:uid="{00000000-0005-0000-0000-0000ECEF0000}"/>
    <cellStyle name="Nota 2 6 2 4" xfId="61669" xr:uid="{00000000-0005-0000-0000-0000EDEF0000}"/>
    <cellStyle name="Nota 2 6 3" xfId="25654" xr:uid="{00000000-0005-0000-0000-0000EEEF0000}"/>
    <cellStyle name="Nota 2 6 3 2" xfId="61670" xr:uid="{00000000-0005-0000-0000-0000EFEF0000}"/>
    <cellStyle name="Nota 2 6 4" xfId="25655" xr:uid="{00000000-0005-0000-0000-0000F0EF0000}"/>
    <cellStyle name="Nota 2 6 4 2" xfId="61671" xr:uid="{00000000-0005-0000-0000-0000F1EF0000}"/>
    <cellStyle name="Nota 2 6 5" xfId="61672" xr:uid="{00000000-0005-0000-0000-0000F2EF0000}"/>
    <cellStyle name="Nota 2 6 5 2" xfId="61673" xr:uid="{00000000-0005-0000-0000-0000F3EF0000}"/>
    <cellStyle name="Nota 2 6 6" xfId="61674" xr:uid="{00000000-0005-0000-0000-0000F4EF0000}"/>
    <cellStyle name="Nota 2 7" xfId="25656" xr:uid="{00000000-0005-0000-0000-0000F5EF0000}"/>
    <cellStyle name="Nota 2 7 2" xfId="25657" xr:uid="{00000000-0005-0000-0000-0000F6EF0000}"/>
    <cellStyle name="Nota 2 7 2 2" xfId="25658" xr:uid="{00000000-0005-0000-0000-0000F7EF0000}"/>
    <cellStyle name="Nota 2 7 2 2 2" xfId="61675" xr:uid="{00000000-0005-0000-0000-0000F8EF0000}"/>
    <cellStyle name="Nota 2 7 2 3" xfId="25659" xr:uid="{00000000-0005-0000-0000-0000F9EF0000}"/>
    <cellStyle name="Nota 2 7 2 3 2" xfId="61676" xr:uid="{00000000-0005-0000-0000-0000FAEF0000}"/>
    <cellStyle name="Nota 2 7 2 4" xfId="61677" xr:uid="{00000000-0005-0000-0000-0000FBEF0000}"/>
    <cellStyle name="Nota 2 7 3" xfId="25660" xr:uid="{00000000-0005-0000-0000-0000FCEF0000}"/>
    <cellStyle name="Nota 2 7 3 2" xfId="61678" xr:uid="{00000000-0005-0000-0000-0000FDEF0000}"/>
    <cellStyle name="Nota 2 7 4" xfId="25661" xr:uid="{00000000-0005-0000-0000-0000FEEF0000}"/>
    <cellStyle name="Nota 2 7 4 2" xfId="61679" xr:uid="{00000000-0005-0000-0000-0000FFEF0000}"/>
    <cellStyle name="Nota 2 7 5" xfId="61680" xr:uid="{00000000-0005-0000-0000-000000F00000}"/>
    <cellStyle name="Nota 2 7 5 2" xfId="61681" xr:uid="{00000000-0005-0000-0000-000001F00000}"/>
    <cellStyle name="Nota 2 7 6" xfId="61682" xr:uid="{00000000-0005-0000-0000-000002F00000}"/>
    <cellStyle name="Nota 2 8" xfId="25662" xr:uid="{00000000-0005-0000-0000-000003F00000}"/>
    <cellStyle name="Nota 2 8 2" xfId="25663" xr:uid="{00000000-0005-0000-0000-000004F00000}"/>
    <cellStyle name="Nota 2 8 2 2" xfId="61683" xr:uid="{00000000-0005-0000-0000-000005F00000}"/>
    <cellStyle name="Nota 2 8 3" xfId="25664" xr:uid="{00000000-0005-0000-0000-000006F00000}"/>
    <cellStyle name="Nota 2 8 3 2" xfId="61684" xr:uid="{00000000-0005-0000-0000-000007F00000}"/>
    <cellStyle name="Nota 2 8 4" xfId="61685" xr:uid="{00000000-0005-0000-0000-000008F00000}"/>
    <cellStyle name="Nota 2 9" xfId="25665" xr:uid="{00000000-0005-0000-0000-000009F00000}"/>
    <cellStyle name="Nota 2 9 2" xfId="25666" xr:uid="{00000000-0005-0000-0000-00000AF00000}"/>
    <cellStyle name="Nota 2 9 2 2" xfId="61686" xr:uid="{00000000-0005-0000-0000-00000BF00000}"/>
    <cellStyle name="Nota 2 9 3" xfId="25667" xr:uid="{00000000-0005-0000-0000-00000CF00000}"/>
    <cellStyle name="Nota 2 9 3 2" xfId="61687" xr:uid="{00000000-0005-0000-0000-00000DF00000}"/>
    <cellStyle name="Nota 2 9 4" xfId="61688" xr:uid="{00000000-0005-0000-0000-00000EF00000}"/>
    <cellStyle name="Nota 3" xfId="25668" xr:uid="{00000000-0005-0000-0000-00000FF00000}"/>
    <cellStyle name="Nota 3 10" xfId="61689" xr:uid="{00000000-0005-0000-0000-000010F00000}"/>
    <cellStyle name="Nota 3 11" xfId="61690" xr:uid="{00000000-0005-0000-0000-000011F00000}"/>
    <cellStyle name="Nota 3 2" xfId="25669" xr:uid="{00000000-0005-0000-0000-000012F00000}"/>
    <cellStyle name="Nota 3 2 2" xfId="25670" xr:uid="{00000000-0005-0000-0000-000013F00000}"/>
    <cellStyle name="Nota 3 2 2 2" xfId="61691" xr:uid="{00000000-0005-0000-0000-000014F00000}"/>
    <cellStyle name="Nota 3 2 3" xfId="25671" xr:uid="{00000000-0005-0000-0000-000015F00000}"/>
    <cellStyle name="Nota 3 2 3 2" xfId="61692" xr:uid="{00000000-0005-0000-0000-000016F00000}"/>
    <cellStyle name="Nota 3 2 4" xfId="61693" xr:uid="{00000000-0005-0000-0000-000017F00000}"/>
    <cellStyle name="Nota 3 2 4 2" xfId="61694" xr:uid="{00000000-0005-0000-0000-000018F00000}"/>
    <cellStyle name="Nota 3 2 5" xfId="61695" xr:uid="{00000000-0005-0000-0000-000019F00000}"/>
    <cellStyle name="Nota 3 2 5 2" xfId="61696" xr:uid="{00000000-0005-0000-0000-00001AF00000}"/>
    <cellStyle name="Nota 3 2 6" xfId="61697" xr:uid="{00000000-0005-0000-0000-00001BF00000}"/>
    <cellStyle name="Nota 3 2 7" xfId="61698" xr:uid="{00000000-0005-0000-0000-00001CF00000}"/>
    <cellStyle name="Nota 3 3" xfId="25672" xr:uid="{00000000-0005-0000-0000-00001DF00000}"/>
    <cellStyle name="Nota 3 3 2" xfId="25673" xr:uid="{00000000-0005-0000-0000-00001EF00000}"/>
    <cellStyle name="Nota 3 3 2 2" xfId="61699" xr:uid="{00000000-0005-0000-0000-00001FF00000}"/>
    <cellStyle name="Nota 3 3 3" xfId="25674" xr:uid="{00000000-0005-0000-0000-000020F00000}"/>
    <cellStyle name="Nota 3 3 3 2" xfId="61700" xr:uid="{00000000-0005-0000-0000-000021F00000}"/>
    <cellStyle name="Nota 3 3 4" xfId="61701" xr:uid="{00000000-0005-0000-0000-000022F00000}"/>
    <cellStyle name="Nota 3 3 4 2" xfId="61702" xr:uid="{00000000-0005-0000-0000-000023F00000}"/>
    <cellStyle name="Nota 3 3 5" xfId="61703" xr:uid="{00000000-0005-0000-0000-000024F00000}"/>
    <cellStyle name="Nota 3 3 5 2" xfId="61704" xr:uid="{00000000-0005-0000-0000-000025F00000}"/>
    <cellStyle name="Nota 3 3 6" xfId="61705" xr:uid="{00000000-0005-0000-0000-000026F00000}"/>
    <cellStyle name="Nota 3 3 7" xfId="61706" xr:uid="{00000000-0005-0000-0000-000027F00000}"/>
    <cellStyle name="Nota 3 4" xfId="25675" xr:uid="{00000000-0005-0000-0000-000028F00000}"/>
    <cellStyle name="Nota 3 4 2" xfId="25676" xr:uid="{00000000-0005-0000-0000-000029F00000}"/>
    <cellStyle name="Nota 3 4 2 2" xfId="25677" xr:uid="{00000000-0005-0000-0000-00002AF00000}"/>
    <cellStyle name="Nota 3 4 2 2 2" xfId="61707" xr:uid="{00000000-0005-0000-0000-00002BF00000}"/>
    <cellStyle name="Nota 3 4 2 3" xfId="25678" xr:uid="{00000000-0005-0000-0000-00002CF00000}"/>
    <cellStyle name="Nota 3 4 2 3 2" xfId="61708" xr:uid="{00000000-0005-0000-0000-00002DF00000}"/>
    <cellStyle name="Nota 3 4 2 4" xfId="61709" xr:uid="{00000000-0005-0000-0000-00002EF00000}"/>
    <cellStyle name="Nota 3 4 3" xfId="25679" xr:uid="{00000000-0005-0000-0000-00002FF00000}"/>
    <cellStyle name="Nota 3 4 3 2" xfId="61710" xr:uid="{00000000-0005-0000-0000-000030F00000}"/>
    <cellStyle name="Nota 3 4 4" xfId="25680" xr:uid="{00000000-0005-0000-0000-000031F00000}"/>
    <cellStyle name="Nota 3 4 4 2" xfId="61711" xr:uid="{00000000-0005-0000-0000-000032F00000}"/>
    <cellStyle name="Nota 3 4 5" xfId="61712" xr:uid="{00000000-0005-0000-0000-000033F00000}"/>
    <cellStyle name="Nota 3 4 5 2" xfId="61713" xr:uid="{00000000-0005-0000-0000-000034F00000}"/>
    <cellStyle name="Nota 3 4 6" xfId="61714" xr:uid="{00000000-0005-0000-0000-000035F00000}"/>
    <cellStyle name="Nota 3 5" xfId="25681" xr:uid="{00000000-0005-0000-0000-000036F00000}"/>
    <cellStyle name="Nota 3 5 2" xfId="25682" xr:uid="{00000000-0005-0000-0000-000037F00000}"/>
    <cellStyle name="Nota 3 5 2 2" xfId="61715" xr:uid="{00000000-0005-0000-0000-000038F00000}"/>
    <cellStyle name="Nota 3 5 3" xfId="25683" xr:uid="{00000000-0005-0000-0000-000039F00000}"/>
    <cellStyle name="Nota 3 5 3 2" xfId="61716" xr:uid="{00000000-0005-0000-0000-00003AF00000}"/>
    <cellStyle name="Nota 3 5 4" xfId="61717" xr:uid="{00000000-0005-0000-0000-00003BF00000}"/>
    <cellStyle name="Nota 3 6" xfId="25684" xr:uid="{00000000-0005-0000-0000-00003CF00000}"/>
    <cellStyle name="Nota 3 6 2" xfId="61718" xr:uid="{00000000-0005-0000-0000-00003DF00000}"/>
    <cellStyle name="Nota 3 7" xfId="25685" xr:uid="{00000000-0005-0000-0000-00003EF00000}"/>
    <cellStyle name="Nota 3 7 2" xfId="61719" xr:uid="{00000000-0005-0000-0000-00003FF00000}"/>
    <cellStyle name="Nota 3 8" xfId="61720" xr:uid="{00000000-0005-0000-0000-000040F00000}"/>
    <cellStyle name="Nota 3 8 2" xfId="61721" xr:uid="{00000000-0005-0000-0000-000041F00000}"/>
    <cellStyle name="Nota 3 9" xfId="61722" xr:uid="{00000000-0005-0000-0000-000042F00000}"/>
    <cellStyle name="Nota 4" xfId="25686" xr:uid="{00000000-0005-0000-0000-000043F00000}"/>
    <cellStyle name="Nota 4 2" xfId="25687" xr:uid="{00000000-0005-0000-0000-000044F00000}"/>
    <cellStyle name="Nota 4 2 2" xfId="25688" xr:uid="{00000000-0005-0000-0000-000045F00000}"/>
    <cellStyle name="Nota 4 2 2 2" xfId="61723" xr:uid="{00000000-0005-0000-0000-000046F00000}"/>
    <cellStyle name="Nota 4 2 3" xfId="25689" xr:uid="{00000000-0005-0000-0000-000047F00000}"/>
    <cellStyle name="Nota 4 2 3 2" xfId="61724" xr:uid="{00000000-0005-0000-0000-000048F00000}"/>
    <cellStyle name="Nota 4 2 4" xfId="61725" xr:uid="{00000000-0005-0000-0000-000049F00000}"/>
    <cellStyle name="Nota 4 3" xfId="25690" xr:uid="{00000000-0005-0000-0000-00004AF00000}"/>
    <cellStyle name="Nota 4 3 2" xfId="61726" xr:uid="{00000000-0005-0000-0000-00004BF00000}"/>
    <cellStyle name="Nota 4 4" xfId="25691" xr:uid="{00000000-0005-0000-0000-00004CF00000}"/>
    <cellStyle name="Nota 4 4 2" xfId="61727" xr:uid="{00000000-0005-0000-0000-00004DF00000}"/>
    <cellStyle name="Nota 4 5" xfId="61728" xr:uid="{00000000-0005-0000-0000-00004EF00000}"/>
    <cellStyle name="Nota 4 5 2" xfId="61729" xr:uid="{00000000-0005-0000-0000-00004FF00000}"/>
    <cellStyle name="Nota 4 6" xfId="61730" xr:uid="{00000000-0005-0000-0000-000050F00000}"/>
    <cellStyle name="Nota 4 7" xfId="61731" xr:uid="{00000000-0005-0000-0000-000051F00000}"/>
    <cellStyle name="Nota 4 8" xfId="61732" xr:uid="{00000000-0005-0000-0000-000052F00000}"/>
    <cellStyle name="Nota 5" xfId="25692" xr:uid="{00000000-0005-0000-0000-000053F00000}"/>
    <cellStyle name="Nota 5 2" xfId="25693" xr:uid="{00000000-0005-0000-0000-000054F00000}"/>
    <cellStyle name="Nota 5 2 2" xfId="61733" xr:uid="{00000000-0005-0000-0000-000055F00000}"/>
    <cellStyle name="Nota 5 3" xfId="25694" xr:uid="{00000000-0005-0000-0000-000056F00000}"/>
    <cellStyle name="Nota 5 3 2" xfId="61734" xr:uid="{00000000-0005-0000-0000-000057F00000}"/>
    <cellStyle name="Nota 5 4" xfId="25695" xr:uid="{00000000-0005-0000-0000-000058F00000}"/>
    <cellStyle name="Nota 5 4 2" xfId="61735" xr:uid="{00000000-0005-0000-0000-000059F00000}"/>
    <cellStyle name="Nota 5 5" xfId="61736" xr:uid="{00000000-0005-0000-0000-00005AF00000}"/>
    <cellStyle name="Nota 5 5 2" xfId="61737" xr:uid="{00000000-0005-0000-0000-00005BF00000}"/>
    <cellStyle name="Nota 5 6" xfId="61738" xr:uid="{00000000-0005-0000-0000-00005CF00000}"/>
    <cellStyle name="Nota 6" xfId="25696" xr:uid="{00000000-0005-0000-0000-00005DF00000}"/>
    <cellStyle name="Nota 6 2" xfId="61739" xr:uid="{00000000-0005-0000-0000-00005EF00000}"/>
    <cellStyle name="Nota 7" xfId="25697" xr:uid="{00000000-0005-0000-0000-00005FF00000}"/>
    <cellStyle name="Nota 8" xfId="25698" xr:uid="{00000000-0005-0000-0000-000060F00000}"/>
    <cellStyle name="Nota 9" xfId="25699" xr:uid="{00000000-0005-0000-0000-000061F00000}"/>
    <cellStyle name="Note" xfId="25700" xr:uid="{00000000-0005-0000-0000-000062F00000}"/>
    <cellStyle name="Note 2" xfId="25701" xr:uid="{00000000-0005-0000-0000-000063F00000}"/>
    <cellStyle name="Note 2 2" xfId="25702" xr:uid="{00000000-0005-0000-0000-000064F00000}"/>
    <cellStyle name="Note 2 2 2" xfId="25703" xr:uid="{00000000-0005-0000-0000-000065F00000}"/>
    <cellStyle name="Note 2 2 2 2" xfId="25704" xr:uid="{00000000-0005-0000-0000-000066F00000}"/>
    <cellStyle name="Note 2 2 2 2 2" xfId="61740" xr:uid="{00000000-0005-0000-0000-000067F00000}"/>
    <cellStyle name="Note 2 2 2 3" xfId="61741" xr:uid="{00000000-0005-0000-0000-000068F00000}"/>
    <cellStyle name="Note 2 2 2 3 2" xfId="61742" xr:uid="{00000000-0005-0000-0000-000069F00000}"/>
    <cellStyle name="Note 2 2 2 4" xfId="61743" xr:uid="{00000000-0005-0000-0000-00006AF00000}"/>
    <cellStyle name="Note 2 2 2 4 2" xfId="61744" xr:uid="{00000000-0005-0000-0000-00006BF00000}"/>
    <cellStyle name="Note 2 2 2 5" xfId="61745" xr:uid="{00000000-0005-0000-0000-00006CF00000}"/>
    <cellStyle name="Note 2 2 3" xfId="25705" xr:uid="{00000000-0005-0000-0000-00006DF00000}"/>
    <cellStyle name="Note 2 2 3 2" xfId="61746" xr:uid="{00000000-0005-0000-0000-00006EF00000}"/>
    <cellStyle name="Note 2 2 4" xfId="61747" xr:uid="{00000000-0005-0000-0000-00006FF00000}"/>
    <cellStyle name="Note 2 2 4 2" xfId="61748" xr:uid="{00000000-0005-0000-0000-000070F00000}"/>
    <cellStyle name="Note 2 2 5" xfId="61749" xr:uid="{00000000-0005-0000-0000-000071F00000}"/>
    <cellStyle name="Note 2 2 5 2" xfId="61750" xr:uid="{00000000-0005-0000-0000-000072F00000}"/>
    <cellStyle name="Note 2 2 6" xfId="61751" xr:uid="{00000000-0005-0000-0000-000073F00000}"/>
    <cellStyle name="Note 2 2 7" xfId="61752" xr:uid="{00000000-0005-0000-0000-000074F00000}"/>
    <cellStyle name="Note 2 3" xfId="25706" xr:uid="{00000000-0005-0000-0000-000075F00000}"/>
    <cellStyle name="Note 2 3 2" xfId="25707" xr:uid="{00000000-0005-0000-0000-000076F00000}"/>
    <cellStyle name="Note 2 3 2 2" xfId="25708" xr:uid="{00000000-0005-0000-0000-000077F00000}"/>
    <cellStyle name="Note 2 3 2 2 2" xfId="61753" xr:uid="{00000000-0005-0000-0000-000078F00000}"/>
    <cellStyle name="Note 2 3 2 3" xfId="61754" xr:uid="{00000000-0005-0000-0000-000079F00000}"/>
    <cellStyle name="Note 2 3 2 3 2" xfId="61755" xr:uid="{00000000-0005-0000-0000-00007AF00000}"/>
    <cellStyle name="Note 2 3 2 4" xfId="61756" xr:uid="{00000000-0005-0000-0000-00007BF00000}"/>
    <cellStyle name="Note 2 3 2 4 2" xfId="61757" xr:uid="{00000000-0005-0000-0000-00007CF00000}"/>
    <cellStyle name="Note 2 3 2 5" xfId="61758" xr:uid="{00000000-0005-0000-0000-00007DF00000}"/>
    <cellStyle name="Note 2 3 3" xfId="25709" xr:uid="{00000000-0005-0000-0000-00007EF00000}"/>
    <cellStyle name="Note 2 3 3 2" xfId="61759" xr:uid="{00000000-0005-0000-0000-00007FF00000}"/>
    <cellStyle name="Note 2 3 4" xfId="61760" xr:uid="{00000000-0005-0000-0000-000080F00000}"/>
    <cellStyle name="Note 2 3 4 2" xfId="61761" xr:uid="{00000000-0005-0000-0000-000081F00000}"/>
    <cellStyle name="Note 2 3 5" xfId="61762" xr:uid="{00000000-0005-0000-0000-000082F00000}"/>
    <cellStyle name="Note 2 3 5 2" xfId="61763" xr:uid="{00000000-0005-0000-0000-000083F00000}"/>
    <cellStyle name="Note 2 3 6" xfId="61764" xr:uid="{00000000-0005-0000-0000-000084F00000}"/>
    <cellStyle name="Note 2 4" xfId="25710" xr:uid="{00000000-0005-0000-0000-000085F00000}"/>
    <cellStyle name="Note 2 4 2" xfId="25711" xr:uid="{00000000-0005-0000-0000-000086F00000}"/>
    <cellStyle name="Note 2 4 2 2" xfId="25712" xr:uid="{00000000-0005-0000-0000-000087F00000}"/>
    <cellStyle name="Note 2 4 2 2 2" xfId="61765" xr:uid="{00000000-0005-0000-0000-000088F00000}"/>
    <cellStyle name="Note 2 4 2 3" xfId="61766" xr:uid="{00000000-0005-0000-0000-000089F00000}"/>
    <cellStyle name="Note 2 4 2 3 2" xfId="61767" xr:uid="{00000000-0005-0000-0000-00008AF00000}"/>
    <cellStyle name="Note 2 4 2 4" xfId="61768" xr:uid="{00000000-0005-0000-0000-00008BF00000}"/>
    <cellStyle name="Note 2 4 2 4 2" xfId="61769" xr:uid="{00000000-0005-0000-0000-00008CF00000}"/>
    <cellStyle name="Note 2 4 2 5" xfId="61770" xr:uid="{00000000-0005-0000-0000-00008DF00000}"/>
    <cellStyle name="Note 2 4 3" xfId="25713" xr:uid="{00000000-0005-0000-0000-00008EF00000}"/>
    <cellStyle name="Note 2 4 3 2" xfId="61771" xr:uid="{00000000-0005-0000-0000-00008FF00000}"/>
    <cellStyle name="Note 2 4 4" xfId="61772" xr:uid="{00000000-0005-0000-0000-000090F00000}"/>
    <cellStyle name="Note 2 4 4 2" xfId="61773" xr:uid="{00000000-0005-0000-0000-000091F00000}"/>
    <cellStyle name="Note 2 4 5" xfId="61774" xr:uid="{00000000-0005-0000-0000-000092F00000}"/>
    <cellStyle name="Note 2 4 5 2" xfId="61775" xr:uid="{00000000-0005-0000-0000-000093F00000}"/>
    <cellStyle name="Note 2 4 6" xfId="61776" xr:uid="{00000000-0005-0000-0000-000094F00000}"/>
    <cellStyle name="Note 2 5" xfId="25714" xr:uid="{00000000-0005-0000-0000-000095F00000}"/>
    <cellStyle name="Note 2 5 2" xfId="25715" xr:uid="{00000000-0005-0000-0000-000096F00000}"/>
    <cellStyle name="Note 2 5 2 2" xfId="61777" xr:uid="{00000000-0005-0000-0000-000097F00000}"/>
    <cellStyle name="Note 2 5 3" xfId="61778" xr:uid="{00000000-0005-0000-0000-000098F00000}"/>
    <cellStyle name="Note 2 5 3 2" xfId="61779" xr:uid="{00000000-0005-0000-0000-000099F00000}"/>
    <cellStyle name="Note 2 5 4" xfId="61780" xr:uid="{00000000-0005-0000-0000-00009AF00000}"/>
    <cellStyle name="Note 2 5 4 2" xfId="61781" xr:uid="{00000000-0005-0000-0000-00009BF00000}"/>
    <cellStyle name="Note 2 5 5" xfId="61782" xr:uid="{00000000-0005-0000-0000-00009CF00000}"/>
    <cellStyle name="Note 2 6" xfId="61783" xr:uid="{00000000-0005-0000-0000-00009DF00000}"/>
    <cellStyle name="Note 3" xfId="25716" xr:uid="{00000000-0005-0000-0000-00009EF00000}"/>
    <cellStyle name="Note 3 2" xfId="25717" xr:uid="{00000000-0005-0000-0000-00009FF00000}"/>
    <cellStyle name="Note 3 2 2" xfId="25718" xr:uid="{00000000-0005-0000-0000-0000A0F00000}"/>
    <cellStyle name="Note 3 2 2 2" xfId="61784" xr:uid="{00000000-0005-0000-0000-0000A1F00000}"/>
    <cellStyle name="Note 3 2 3" xfId="61785" xr:uid="{00000000-0005-0000-0000-0000A2F00000}"/>
    <cellStyle name="Note 3 2 3 2" xfId="61786" xr:uid="{00000000-0005-0000-0000-0000A3F00000}"/>
    <cellStyle name="Note 3 2 4" xfId="61787" xr:uid="{00000000-0005-0000-0000-0000A4F00000}"/>
    <cellStyle name="Note 3 2 4 2" xfId="61788" xr:uid="{00000000-0005-0000-0000-0000A5F00000}"/>
    <cellStyle name="Note 3 2 5" xfId="61789" xr:uid="{00000000-0005-0000-0000-0000A6F00000}"/>
    <cellStyle name="Note 3 3" xfId="25719" xr:uid="{00000000-0005-0000-0000-0000A7F00000}"/>
    <cellStyle name="Note 3 3 2" xfId="61790" xr:uid="{00000000-0005-0000-0000-0000A8F00000}"/>
    <cellStyle name="Note 3 4" xfId="61791" xr:uid="{00000000-0005-0000-0000-0000A9F00000}"/>
    <cellStyle name="Note 3 4 2" xfId="61792" xr:uid="{00000000-0005-0000-0000-0000AAF00000}"/>
    <cellStyle name="Note 3 5" xfId="61793" xr:uid="{00000000-0005-0000-0000-0000ABF00000}"/>
    <cellStyle name="Note 3 5 2" xfId="61794" xr:uid="{00000000-0005-0000-0000-0000ACF00000}"/>
    <cellStyle name="Note 3 6" xfId="61795" xr:uid="{00000000-0005-0000-0000-0000ADF00000}"/>
    <cellStyle name="Note 3 7" xfId="61796" xr:uid="{00000000-0005-0000-0000-0000AEF00000}"/>
    <cellStyle name="Note 4" xfId="25720" xr:uid="{00000000-0005-0000-0000-0000AFF00000}"/>
    <cellStyle name="Note 4 2" xfId="25721" xr:uid="{00000000-0005-0000-0000-0000B0F00000}"/>
    <cellStyle name="Note 4 2 2" xfId="25722" xr:uid="{00000000-0005-0000-0000-0000B1F00000}"/>
    <cellStyle name="Note 4 2 2 2" xfId="61797" xr:uid="{00000000-0005-0000-0000-0000B2F00000}"/>
    <cellStyle name="Note 4 2 3" xfId="61798" xr:uid="{00000000-0005-0000-0000-0000B3F00000}"/>
    <cellStyle name="Note 4 2 3 2" xfId="61799" xr:uid="{00000000-0005-0000-0000-0000B4F00000}"/>
    <cellStyle name="Note 4 2 4" xfId="61800" xr:uid="{00000000-0005-0000-0000-0000B5F00000}"/>
    <cellStyle name="Note 4 2 4 2" xfId="61801" xr:uid="{00000000-0005-0000-0000-0000B6F00000}"/>
    <cellStyle name="Note 4 2 5" xfId="61802" xr:uid="{00000000-0005-0000-0000-0000B7F00000}"/>
    <cellStyle name="Note 4 3" xfId="25723" xr:uid="{00000000-0005-0000-0000-0000B8F00000}"/>
    <cellStyle name="Note 4 3 2" xfId="61803" xr:uid="{00000000-0005-0000-0000-0000B9F00000}"/>
    <cellStyle name="Note 4 4" xfId="61804" xr:uid="{00000000-0005-0000-0000-0000BAF00000}"/>
    <cellStyle name="Note 4 4 2" xfId="61805" xr:uid="{00000000-0005-0000-0000-0000BBF00000}"/>
    <cellStyle name="Note 4 5" xfId="61806" xr:uid="{00000000-0005-0000-0000-0000BCF00000}"/>
    <cellStyle name="Note 4 5 2" xfId="61807" xr:uid="{00000000-0005-0000-0000-0000BDF00000}"/>
    <cellStyle name="Note 4 6" xfId="61808" xr:uid="{00000000-0005-0000-0000-0000BEF00000}"/>
    <cellStyle name="Note 5" xfId="25724" xr:uid="{00000000-0005-0000-0000-0000BFF00000}"/>
    <cellStyle name="Note 5 2" xfId="25725" xr:uid="{00000000-0005-0000-0000-0000C0F00000}"/>
    <cellStyle name="Note 5 2 2" xfId="25726" xr:uid="{00000000-0005-0000-0000-0000C1F00000}"/>
    <cellStyle name="Note 5 2 2 2" xfId="61809" xr:uid="{00000000-0005-0000-0000-0000C2F00000}"/>
    <cellStyle name="Note 5 2 3" xfId="61810" xr:uid="{00000000-0005-0000-0000-0000C3F00000}"/>
    <cellStyle name="Note 5 2 3 2" xfId="61811" xr:uid="{00000000-0005-0000-0000-0000C4F00000}"/>
    <cellStyle name="Note 5 2 4" xfId="61812" xr:uid="{00000000-0005-0000-0000-0000C5F00000}"/>
    <cellStyle name="Note 5 2 4 2" xfId="61813" xr:uid="{00000000-0005-0000-0000-0000C6F00000}"/>
    <cellStyle name="Note 5 2 5" xfId="61814" xr:uid="{00000000-0005-0000-0000-0000C7F00000}"/>
    <cellStyle name="Note 5 3" xfId="25727" xr:uid="{00000000-0005-0000-0000-0000C8F00000}"/>
    <cellStyle name="Note 5 3 2" xfId="61815" xr:uid="{00000000-0005-0000-0000-0000C9F00000}"/>
    <cellStyle name="Note 5 4" xfId="61816" xr:uid="{00000000-0005-0000-0000-0000CAF00000}"/>
    <cellStyle name="Note 5 4 2" xfId="61817" xr:uid="{00000000-0005-0000-0000-0000CBF00000}"/>
    <cellStyle name="Note 5 5" xfId="61818" xr:uid="{00000000-0005-0000-0000-0000CCF00000}"/>
    <cellStyle name="Note 5 5 2" xfId="61819" xr:uid="{00000000-0005-0000-0000-0000CDF00000}"/>
    <cellStyle name="Note 5 6" xfId="61820" xr:uid="{00000000-0005-0000-0000-0000CEF00000}"/>
    <cellStyle name="Note 6" xfId="25728" xr:uid="{00000000-0005-0000-0000-0000CFF00000}"/>
    <cellStyle name="Note 6 2" xfId="25729" xr:uid="{00000000-0005-0000-0000-0000D0F00000}"/>
    <cellStyle name="Note 6 2 2" xfId="61821" xr:uid="{00000000-0005-0000-0000-0000D1F00000}"/>
    <cellStyle name="Note 6 3" xfId="61822" xr:uid="{00000000-0005-0000-0000-0000D2F00000}"/>
    <cellStyle name="Note 6 3 2" xfId="61823" xr:uid="{00000000-0005-0000-0000-0000D3F00000}"/>
    <cellStyle name="Note 6 4" xfId="61824" xr:uid="{00000000-0005-0000-0000-0000D4F00000}"/>
    <cellStyle name="Note 6 4 2" xfId="61825" xr:uid="{00000000-0005-0000-0000-0000D5F00000}"/>
    <cellStyle name="Note 6 5" xfId="61826" xr:uid="{00000000-0005-0000-0000-0000D6F00000}"/>
    <cellStyle name="Note 7" xfId="61827" xr:uid="{00000000-0005-0000-0000-0000D7F00000}"/>
    <cellStyle name="Output" xfId="25730" xr:uid="{00000000-0005-0000-0000-0000D8F00000}"/>
    <cellStyle name="Output 2" xfId="25731" xr:uid="{00000000-0005-0000-0000-0000D9F00000}"/>
    <cellStyle name="Output 2 2" xfId="25732" xr:uid="{00000000-0005-0000-0000-0000DAF00000}"/>
    <cellStyle name="Output 2 2 2" xfId="25733" xr:uid="{00000000-0005-0000-0000-0000DBF00000}"/>
    <cellStyle name="Output 2 2 2 2" xfId="25734" xr:uid="{00000000-0005-0000-0000-0000DCF00000}"/>
    <cellStyle name="Output 2 2 2 2 2" xfId="61828" xr:uid="{00000000-0005-0000-0000-0000DDF00000}"/>
    <cellStyle name="Output 2 2 2 3" xfId="61829" xr:uid="{00000000-0005-0000-0000-0000DEF00000}"/>
    <cellStyle name="Output 2 2 2 3 2" xfId="61830" xr:uid="{00000000-0005-0000-0000-0000DFF00000}"/>
    <cellStyle name="Output 2 2 2 4" xfId="61831" xr:uid="{00000000-0005-0000-0000-0000E0F00000}"/>
    <cellStyle name="Output 2 2 2 4 2" xfId="61832" xr:uid="{00000000-0005-0000-0000-0000E1F00000}"/>
    <cellStyle name="Output 2 2 2 5" xfId="61833" xr:uid="{00000000-0005-0000-0000-0000E2F00000}"/>
    <cellStyle name="Output 2 2 3" xfId="25735" xr:uid="{00000000-0005-0000-0000-0000E3F00000}"/>
    <cellStyle name="Output 2 2 3 2" xfId="61834" xr:uid="{00000000-0005-0000-0000-0000E4F00000}"/>
    <cellStyle name="Output 2 2 4" xfId="61835" xr:uid="{00000000-0005-0000-0000-0000E5F00000}"/>
    <cellStyle name="Output 2 2 4 2" xfId="61836" xr:uid="{00000000-0005-0000-0000-0000E6F00000}"/>
    <cellStyle name="Output 2 2 5" xfId="61837" xr:uid="{00000000-0005-0000-0000-0000E7F00000}"/>
    <cellStyle name="Output 2 2 5 2" xfId="61838" xr:uid="{00000000-0005-0000-0000-0000E8F00000}"/>
    <cellStyle name="Output 2 2 6" xfId="61839" xr:uid="{00000000-0005-0000-0000-0000E9F00000}"/>
    <cellStyle name="Output 2 3" xfId="25736" xr:uid="{00000000-0005-0000-0000-0000EAF00000}"/>
    <cellStyle name="Output 2 3 2" xfId="25737" xr:uid="{00000000-0005-0000-0000-0000EBF00000}"/>
    <cellStyle name="Output 2 3 2 2" xfId="25738" xr:uid="{00000000-0005-0000-0000-0000ECF00000}"/>
    <cellStyle name="Output 2 3 2 2 2" xfId="61840" xr:uid="{00000000-0005-0000-0000-0000EDF00000}"/>
    <cellStyle name="Output 2 3 2 3" xfId="61841" xr:uid="{00000000-0005-0000-0000-0000EEF00000}"/>
    <cellStyle name="Output 2 3 2 3 2" xfId="61842" xr:uid="{00000000-0005-0000-0000-0000EFF00000}"/>
    <cellStyle name="Output 2 3 2 4" xfId="61843" xr:uid="{00000000-0005-0000-0000-0000F0F00000}"/>
    <cellStyle name="Output 2 3 2 4 2" xfId="61844" xr:uid="{00000000-0005-0000-0000-0000F1F00000}"/>
    <cellStyle name="Output 2 3 2 5" xfId="61845" xr:uid="{00000000-0005-0000-0000-0000F2F00000}"/>
    <cellStyle name="Output 2 3 3" xfId="25739" xr:uid="{00000000-0005-0000-0000-0000F3F00000}"/>
    <cellStyle name="Output 2 3 3 2" xfId="61846" xr:uid="{00000000-0005-0000-0000-0000F4F00000}"/>
    <cellStyle name="Output 2 3 4" xfId="61847" xr:uid="{00000000-0005-0000-0000-0000F5F00000}"/>
    <cellStyle name="Output 2 3 4 2" xfId="61848" xr:uid="{00000000-0005-0000-0000-0000F6F00000}"/>
    <cellStyle name="Output 2 3 5" xfId="61849" xr:uid="{00000000-0005-0000-0000-0000F7F00000}"/>
    <cellStyle name="Output 2 3 5 2" xfId="61850" xr:uid="{00000000-0005-0000-0000-0000F8F00000}"/>
    <cellStyle name="Output 2 3 6" xfId="61851" xr:uid="{00000000-0005-0000-0000-0000F9F00000}"/>
    <cellStyle name="Output 2 4" xfId="25740" xr:uid="{00000000-0005-0000-0000-0000FAF00000}"/>
    <cellStyle name="Output 2 4 2" xfId="25741" xr:uid="{00000000-0005-0000-0000-0000FBF00000}"/>
    <cellStyle name="Output 2 4 2 2" xfId="25742" xr:uid="{00000000-0005-0000-0000-0000FCF00000}"/>
    <cellStyle name="Output 2 4 2 2 2" xfId="61852" xr:uid="{00000000-0005-0000-0000-0000FDF00000}"/>
    <cellStyle name="Output 2 4 2 3" xfId="61853" xr:uid="{00000000-0005-0000-0000-0000FEF00000}"/>
    <cellStyle name="Output 2 4 2 3 2" xfId="61854" xr:uid="{00000000-0005-0000-0000-0000FFF00000}"/>
    <cellStyle name="Output 2 4 2 4" xfId="61855" xr:uid="{00000000-0005-0000-0000-000000F10000}"/>
    <cellStyle name="Output 2 4 2 4 2" xfId="61856" xr:uid="{00000000-0005-0000-0000-000001F10000}"/>
    <cellStyle name="Output 2 4 2 5" xfId="61857" xr:uid="{00000000-0005-0000-0000-000002F10000}"/>
    <cellStyle name="Output 2 4 3" xfId="25743" xr:uid="{00000000-0005-0000-0000-000003F10000}"/>
    <cellStyle name="Output 2 4 3 2" xfId="61858" xr:uid="{00000000-0005-0000-0000-000004F10000}"/>
    <cellStyle name="Output 2 4 4" xfId="61859" xr:uid="{00000000-0005-0000-0000-000005F10000}"/>
    <cellStyle name="Output 2 4 4 2" xfId="61860" xr:uid="{00000000-0005-0000-0000-000006F10000}"/>
    <cellStyle name="Output 2 4 5" xfId="61861" xr:uid="{00000000-0005-0000-0000-000007F10000}"/>
    <cellStyle name="Output 2 4 5 2" xfId="61862" xr:uid="{00000000-0005-0000-0000-000008F10000}"/>
    <cellStyle name="Output 2 4 6" xfId="61863" xr:uid="{00000000-0005-0000-0000-000009F10000}"/>
    <cellStyle name="Output 2 5" xfId="25744" xr:uid="{00000000-0005-0000-0000-00000AF10000}"/>
    <cellStyle name="Output 2 5 2" xfId="25745" xr:uid="{00000000-0005-0000-0000-00000BF10000}"/>
    <cellStyle name="Output 2 5 2 2" xfId="61864" xr:uid="{00000000-0005-0000-0000-00000CF10000}"/>
    <cellStyle name="Output 2 5 3" xfId="61865" xr:uid="{00000000-0005-0000-0000-00000DF10000}"/>
    <cellStyle name="Output 2 5 3 2" xfId="61866" xr:uid="{00000000-0005-0000-0000-00000EF10000}"/>
    <cellStyle name="Output 2 5 4" xfId="61867" xr:uid="{00000000-0005-0000-0000-00000FF10000}"/>
    <cellStyle name="Output 2 5 4 2" xfId="61868" xr:uid="{00000000-0005-0000-0000-000010F10000}"/>
    <cellStyle name="Output 2 5 5" xfId="61869" xr:uid="{00000000-0005-0000-0000-000011F10000}"/>
    <cellStyle name="Output 3" xfId="25746" xr:uid="{00000000-0005-0000-0000-000012F10000}"/>
    <cellStyle name="Output 3 2" xfId="25747" xr:uid="{00000000-0005-0000-0000-000013F10000}"/>
    <cellStyle name="Output 3 2 2" xfId="25748" xr:uid="{00000000-0005-0000-0000-000014F10000}"/>
    <cellStyle name="Output 3 2 2 2" xfId="61870" xr:uid="{00000000-0005-0000-0000-000015F10000}"/>
    <cellStyle name="Output 3 2 3" xfId="61871" xr:uid="{00000000-0005-0000-0000-000016F10000}"/>
    <cellStyle name="Output 3 2 3 2" xfId="61872" xr:uid="{00000000-0005-0000-0000-000017F10000}"/>
    <cellStyle name="Output 3 2 4" xfId="61873" xr:uid="{00000000-0005-0000-0000-000018F10000}"/>
    <cellStyle name="Output 3 2 4 2" xfId="61874" xr:uid="{00000000-0005-0000-0000-000019F10000}"/>
    <cellStyle name="Output 3 2 5" xfId="61875" xr:uid="{00000000-0005-0000-0000-00001AF10000}"/>
    <cellStyle name="Output 3 3" xfId="25749" xr:uid="{00000000-0005-0000-0000-00001BF10000}"/>
    <cellStyle name="Output 3 3 2" xfId="61876" xr:uid="{00000000-0005-0000-0000-00001CF10000}"/>
    <cellStyle name="Output 3 4" xfId="61877" xr:uid="{00000000-0005-0000-0000-00001DF10000}"/>
    <cellStyle name="Output 3 4 2" xfId="61878" xr:uid="{00000000-0005-0000-0000-00001EF10000}"/>
    <cellStyle name="Output 3 5" xfId="61879" xr:uid="{00000000-0005-0000-0000-00001FF10000}"/>
    <cellStyle name="Output 3 5 2" xfId="61880" xr:uid="{00000000-0005-0000-0000-000020F10000}"/>
    <cellStyle name="Output 3 6" xfId="61881" xr:uid="{00000000-0005-0000-0000-000021F10000}"/>
    <cellStyle name="Output 4" xfId="25750" xr:uid="{00000000-0005-0000-0000-000022F10000}"/>
    <cellStyle name="Output 4 2" xfId="25751" xr:uid="{00000000-0005-0000-0000-000023F10000}"/>
    <cellStyle name="Output 4 2 2" xfId="25752" xr:uid="{00000000-0005-0000-0000-000024F10000}"/>
    <cellStyle name="Output 4 2 2 2" xfId="61882" xr:uid="{00000000-0005-0000-0000-000025F10000}"/>
    <cellStyle name="Output 4 2 3" xfId="61883" xr:uid="{00000000-0005-0000-0000-000026F10000}"/>
    <cellStyle name="Output 4 2 3 2" xfId="61884" xr:uid="{00000000-0005-0000-0000-000027F10000}"/>
    <cellStyle name="Output 4 2 4" xfId="61885" xr:uid="{00000000-0005-0000-0000-000028F10000}"/>
    <cellStyle name="Output 4 2 4 2" xfId="61886" xr:uid="{00000000-0005-0000-0000-000029F10000}"/>
    <cellStyle name="Output 4 2 5" xfId="61887" xr:uid="{00000000-0005-0000-0000-00002AF10000}"/>
    <cellStyle name="Output 4 3" xfId="25753" xr:uid="{00000000-0005-0000-0000-00002BF10000}"/>
    <cellStyle name="Output 4 3 2" xfId="61888" xr:uid="{00000000-0005-0000-0000-00002CF10000}"/>
    <cellStyle name="Output 4 4" xfId="61889" xr:uid="{00000000-0005-0000-0000-00002DF10000}"/>
    <cellStyle name="Output 4 4 2" xfId="61890" xr:uid="{00000000-0005-0000-0000-00002EF10000}"/>
    <cellStyle name="Output 4 5" xfId="61891" xr:uid="{00000000-0005-0000-0000-00002FF10000}"/>
    <cellStyle name="Output 4 5 2" xfId="61892" xr:uid="{00000000-0005-0000-0000-000030F10000}"/>
    <cellStyle name="Output 4 6" xfId="61893" xr:uid="{00000000-0005-0000-0000-000031F10000}"/>
    <cellStyle name="Output 5" xfId="25754" xr:uid="{00000000-0005-0000-0000-000032F10000}"/>
    <cellStyle name="Output 5 2" xfId="25755" xr:uid="{00000000-0005-0000-0000-000033F10000}"/>
    <cellStyle name="Output 5 2 2" xfId="25756" xr:uid="{00000000-0005-0000-0000-000034F10000}"/>
    <cellStyle name="Output 5 2 2 2" xfId="61894" xr:uid="{00000000-0005-0000-0000-000035F10000}"/>
    <cellStyle name="Output 5 2 3" xfId="61895" xr:uid="{00000000-0005-0000-0000-000036F10000}"/>
    <cellStyle name="Output 5 2 3 2" xfId="61896" xr:uid="{00000000-0005-0000-0000-000037F10000}"/>
    <cellStyle name="Output 5 2 4" xfId="61897" xr:uid="{00000000-0005-0000-0000-000038F10000}"/>
    <cellStyle name="Output 5 2 4 2" xfId="61898" xr:uid="{00000000-0005-0000-0000-000039F10000}"/>
    <cellStyle name="Output 5 2 5" xfId="61899" xr:uid="{00000000-0005-0000-0000-00003AF10000}"/>
    <cellStyle name="Output 5 3" xfId="25757" xr:uid="{00000000-0005-0000-0000-00003BF10000}"/>
    <cellStyle name="Output 5 3 2" xfId="61900" xr:uid="{00000000-0005-0000-0000-00003CF10000}"/>
    <cellStyle name="Output 5 4" xfId="61901" xr:uid="{00000000-0005-0000-0000-00003DF10000}"/>
    <cellStyle name="Output 5 4 2" xfId="61902" xr:uid="{00000000-0005-0000-0000-00003EF10000}"/>
    <cellStyle name="Output 5 5" xfId="61903" xr:uid="{00000000-0005-0000-0000-00003FF10000}"/>
    <cellStyle name="Output 5 5 2" xfId="61904" xr:uid="{00000000-0005-0000-0000-000040F10000}"/>
    <cellStyle name="Output 5 6" xfId="61905" xr:uid="{00000000-0005-0000-0000-000041F10000}"/>
    <cellStyle name="Output 6" xfId="25758" xr:uid="{00000000-0005-0000-0000-000042F10000}"/>
    <cellStyle name="Output 6 2" xfId="25759" xr:uid="{00000000-0005-0000-0000-000043F10000}"/>
    <cellStyle name="Output 6 2 2" xfId="61906" xr:uid="{00000000-0005-0000-0000-000044F10000}"/>
    <cellStyle name="Output 6 3" xfId="61907" xr:uid="{00000000-0005-0000-0000-000045F10000}"/>
    <cellStyle name="Output 6 3 2" xfId="61908" xr:uid="{00000000-0005-0000-0000-000046F10000}"/>
    <cellStyle name="Output 6 4" xfId="61909" xr:uid="{00000000-0005-0000-0000-000047F10000}"/>
    <cellStyle name="Output 6 4 2" xfId="61910" xr:uid="{00000000-0005-0000-0000-000048F10000}"/>
    <cellStyle name="Output 6 5" xfId="61911" xr:uid="{00000000-0005-0000-0000-000049F10000}"/>
    <cellStyle name="Parent row" xfId="62108" xr:uid="{00000000-0005-0000-0000-00004AF10000}"/>
    <cellStyle name="Porcentagem" xfId="22" builtinId="5"/>
    <cellStyle name="Porcentagem 2" xfId="10" xr:uid="{00000000-0005-0000-0000-00004CF10000}"/>
    <cellStyle name="Porcentagem 2 2" xfId="25761" xr:uid="{00000000-0005-0000-0000-00004DF10000}"/>
    <cellStyle name="Porcentagem 2 2 2" xfId="25762" xr:uid="{00000000-0005-0000-0000-00004EF10000}"/>
    <cellStyle name="Porcentagem 2 2 2 2" xfId="61912" xr:uid="{00000000-0005-0000-0000-00004FF10000}"/>
    <cellStyle name="Porcentagem 2 2 3" xfId="61913" xr:uid="{00000000-0005-0000-0000-000050F10000}"/>
    <cellStyle name="Porcentagem 2 3" xfId="25763" xr:uid="{00000000-0005-0000-0000-000051F10000}"/>
    <cellStyle name="Porcentagem 2 3 2" xfId="61914" xr:uid="{00000000-0005-0000-0000-000052F10000}"/>
    <cellStyle name="Porcentagem 2 4" xfId="25764" xr:uid="{00000000-0005-0000-0000-000053F10000}"/>
    <cellStyle name="Porcentagem 2 4 2" xfId="61915" xr:uid="{00000000-0005-0000-0000-000054F10000}"/>
    <cellStyle name="Porcentagem 2 5" xfId="61916" xr:uid="{00000000-0005-0000-0000-000055F10000}"/>
    <cellStyle name="Porcentagem 2 6" xfId="25760" xr:uid="{00000000-0005-0000-0000-000056F10000}"/>
    <cellStyle name="Porcentagem 3" xfId="25765" xr:uid="{00000000-0005-0000-0000-000057F10000}"/>
    <cellStyle name="Porcentagem 3 2" xfId="25766" xr:uid="{00000000-0005-0000-0000-000058F10000}"/>
    <cellStyle name="Porcentagem 3 2 2" xfId="25767" xr:uid="{00000000-0005-0000-0000-000059F10000}"/>
    <cellStyle name="Porcentagem 3 2 2 2" xfId="25768" xr:uid="{00000000-0005-0000-0000-00005AF10000}"/>
    <cellStyle name="Porcentagem 3 2 2 2 2" xfId="61917" xr:uid="{00000000-0005-0000-0000-00005BF10000}"/>
    <cellStyle name="Porcentagem 3 2 2 3" xfId="25769" xr:uid="{00000000-0005-0000-0000-00005CF10000}"/>
    <cellStyle name="Porcentagem 3 2 2 3 2" xfId="61918" xr:uid="{00000000-0005-0000-0000-00005DF10000}"/>
    <cellStyle name="Porcentagem 3 2 3" xfId="25770" xr:uid="{00000000-0005-0000-0000-00005EF10000}"/>
    <cellStyle name="Porcentagem 3 2 3 2" xfId="61919" xr:uid="{00000000-0005-0000-0000-00005FF10000}"/>
    <cellStyle name="Porcentagem 3 2 4" xfId="61920" xr:uid="{00000000-0005-0000-0000-000060F10000}"/>
    <cellStyle name="Porcentagem 3 3" xfId="25771" xr:uid="{00000000-0005-0000-0000-000061F10000}"/>
    <cellStyle name="Porcentagem 3 3 2" xfId="61921" xr:uid="{00000000-0005-0000-0000-000062F10000}"/>
    <cellStyle name="Porcentagem 3 3 3" xfId="61922" xr:uid="{00000000-0005-0000-0000-000063F10000}"/>
    <cellStyle name="Porcentagem 3 4" xfId="25772" xr:uid="{00000000-0005-0000-0000-000064F10000}"/>
    <cellStyle name="Porcentagem 3 4 2" xfId="25773" xr:uid="{00000000-0005-0000-0000-000065F10000}"/>
    <cellStyle name="Porcentagem 3 4 2 2" xfId="61923" xr:uid="{00000000-0005-0000-0000-000066F10000}"/>
    <cellStyle name="Porcentagem 3 4 3" xfId="61924" xr:uid="{00000000-0005-0000-0000-000067F10000}"/>
    <cellStyle name="Porcentagem 3 4 4" xfId="61925" xr:uid="{00000000-0005-0000-0000-000068F10000}"/>
    <cellStyle name="Porcentagem 3 4 5" xfId="61926" xr:uid="{00000000-0005-0000-0000-000069F10000}"/>
    <cellStyle name="Porcentagem 3 5" xfId="25774" xr:uid="{00000000-0005-0000-0000-00006AF10000}"/>
    <cellStyle name="Porcentagem 3 5 2" xfId="61927" xr:uid="{00000000-0005-0000-0000-00006BF10000}"/>
    <cellStyle name="Porcentagem 3 6" xfId="25775" xr:uid="{00000000-0005-0000-0000-00006CF10000}"/>
    <cellStyle name="Porcentagem 3 6 2" xfId="61928" xr:uid="{00000000-0005-0000-0000-00006DF10000}"/>
    <cellStyle name="Porcentagem 3 7" xfId="25776" xr:uid="{00000000-0005-0000-0000-00006EF10000}"/>
    <cellStyle name="Porcentagem 3 7 2" xfId="61929" xr:uid="{00000000-0005-0000-0000-00006FF10000}"/>
    <cellStyle name="Porcentagem 3 8" xfId="61930" xr:uid="{00000000-0005-0000-0000-000070F10000}"/>
    <cellStyle name="Porcentagem 4" xfId="25777" xr:uid="{00000000-0005-0000-0000-000071F10000}"/>
    <cellStyle name="Porcentagem 4 2" xfId="61931" xr:uid="{00000000-0005-0000-0000-000072F10000}"/>
    <cellStyle name="Porcentagem 4 3" xfId="61932" xr:uid="{00000000-0005-0000-0000-000073F10000}"/>
    <cellStyle name="Porcentagem 5" xfId="25778" xr:uid="{00000000-0005-0000-0000-000074F10000}"/>
    <cellStyle name="Porcentagem 5 2" xfId="61933" xr:uid="{00000000-0005-0000-0000-000075F10000}"/>
    <cellStyle name="Porcentagem 6" xfId="61934" xr:uid="{00000000-0005-0000-0000-000076F10000}"/>
    <cellStyle name="Porcentagem 7" xfId="61935" xr:uid="{00000000-0005-0000-0000-000077F10000}"/>
    <cellStyle name="Porcentagem 8" xfId="62094" xr:uid="{00000000-0005-0000-0000-000078F10000}"/>
    <cellStyle name="Porcentagem 9" xfId="65" xr:uid="{00000000-0005-0000-0000-000079F10000}"/>
    <cellStyle name="Ruim" xfId="29" builtinId="27" customBuiltin="1"/>
    <cellStyle name="Saída 2" xfId="25780" xr:uid="{00000000-0005-0000-0000-00007AF10000}"/>
    <cellStyle name="Saída 2 2" xfId="25781" xr:uid="{00000000-0005-0000-0000-00007BF10000}"/>
    <cellStyle name="Saída 2 3" xfId="61936" xr:uid="{00000000-0005-0000-0000-00007CF10000}"/>
    <cellStyle name="Saída 3" xfId="25782" xr:uid="{00000000-0005-0000-0000-00007DF10000}"/>
    <cellStyle name="Saída 3 2" xfId="25783" xr:uid="{00000000-0005-0000-0000-00007EF10000}"/>
    <cellStyle name="Saída 3 2 2" xfId="61937" xr:uid="{00000000-0005-0000-0000-00007FF10000}"/>
    <cellStyle name="Saída 3 3" xfId="25784" xr:uid="{00000000-0005-0000-0000-000080F10000}"/>
    <cellStyle name="Saída 3 3 2" xfId="61938" xr:uid="{00000000-0005-0000-0000-000081F10000}"/>
    <cellStyle name="Saída 3 4" xfId="61939" xr:uid="{00000000-0005-0000-0000-000082F10000}"/>
    <cellStyle name="Saída 3 4 2" xfId="61940" xr:uid="{00000000-0005-0000-0000-000083F10000}"/>
    <cellStyle name="Saída 3 5" xfId="61941" xr:uid="{00000000-0005-0000-0000-000084F10000}"/>
    <cellStyle name="Saída 3 5 2" xfId="61942" xr:uid="{00000000-0005-0000-0000-000085F10000}"/>
    <cellStyle name="Saída 3 6" xfId="61943" xr:uid="{00000000-0005-0000-0000-000086F10000}"/>
    <cellStyle name="Saída 4" xfId="25785" xr:uid="{00000000-0005-0000-0000-000087F10000}"/>
    <cellStyle name="Saída 4 2" xfId="25786" xr:uid="{00000000-0005-0000-0000-000088F10000}"/>
    <cellStyle name="Saída 4 2 2" xfId="61944" xr:uid="{00000000-0005-0000-0000-000089F10000}"/>
    <cellStyle name="Saída 4 3" xfId="25787" xr:uid="{00000000-0005-0000-0000-00008AF10000}"/>
    <cellStyle name="Saída 4 3 2" xfId="61945" xr:uid="{00000000-0005-0000-0000-00008BF10000}"/>
    <cellStyle name="Saída 4 4" xfId="61946" xr:uid="{00000000-0005-0000-0000-00008CF10000}"/>
    <cellStyle name="Saída 4 4 2" xfId="61947" xr:uid="{00000000-0005-0000-0000-00008DF10000}"/>
    <cellStyle name="Saída 4 5" xfId="61948" xr:uid="{00000000-0005-0000-0000-00008EF10000}"/>
    <cellStyle name="Saída 4 5 2" xfId="61949" xr:uid="{00000000-0005-0000-0000-00008FF10000}"/>
    <cellStyle name="Saída 4 6" xfId="61950" xr:uid="{00000000-0005-0000-0000-000090F10000}"/>
    <cellStyle name="Saída 5" xfId="61951" xr:uid="{00000000-0005-0000-0000-000091F10000}"/>
    <cellStyle name="Saída 6" xfId="25779" xr:uid="{00000000-0005-0000-0000-000092F10000}"/>
    <cellStyle name="Separador de milhares 2" xfId="18" xr:uid="{00000000-0005-0000-0000-000093F10000}"/>
    <cellStyle name="Separador de milhares 2 10" xfId="25789" xr:uid="{00000000-0005-0000-0000-000094F10000}"/>
    <cellStyle name="Separador de milhares 2 10 2" xfId="61952" xr:uid="{00000000-0005-0000-0000-000095F10000}"/>
    <cellStyle name="Separador de milhares 2 11" xfId="61953" xr:uid="{00000000-0005-0000-0000-000096F10000}"/>
    <cellStyle name="Separador de milhares 2 11 2" xfId="61954" xr:uid="{00000000-0005-0000-0000-000097F10000}"/>
    <cellStyle name="Separador de milhares 2 12" xfId="61955" xr:uid="{00000000-0005-0000-0000-000098F10000}"/>
    <cellStyle name="Separador de milhares 2 12 2" xfId="61956" xr:uid="{00000000-0005-0000-0000-000099F10000}"/>
    <cellStyle name="Separador de milhares 2 13" xfId="61957" xr:uid="{00000000-0005-0000-0000-00009AF10000}"/>
    <cellStyle name="Separador de milhares 2 14" xfId="25788" xr:uid="{00000000-0005-0000-0000-00009BF10000}"/>
    <cellStyle name="Separador de milhares 2 2" xfId="19" xr:uid="{00000000-0005-0000-0000-00009CF10000}"/>
    <cellStyle name="Separador de milhares 2 2 2" xfId="3" xr:uid="{00000000-0005-0000-0000-00009DF10000}"/>
    <cellStyle name="Separador de milhares 2 2 2 2" xfId="61958" xr:uid="{00000000-0005-0000-0000-00009EF10000}"/>
    <cellStyle name="Separador de milhares 2 2 2 3" xfId="25791" xr:uid="{00000000-0005-0000-0000-00009FF10000}"/>
    <cellStyle name="Separador de milhares 2 2 3" xfId="25792" xr:uid="{00000000-0005-0000-0000-0000A0F10000}"/>
    <cellStyle name="Separador de milhares 2 2 3 2" xfId="25793" xr:uid="{00000000-0005-0000-0000-0000A1F10000}"/>
    <cellStyle name="Separador de milhares 2 2 3 2 2" xfId="25794" xr:uid="{00000000-0005-0000-0000-0000A2F10000}"/>
    <cellStyle name="Separador de milhares 2 2 3 2 2 2" xfId="61959" xr:uid="{00000000-0005-0000-0000-0000A3F10000}"/>
    <cellStyle name="Separador de milhares 2 2 3 2 3" xfId="25795" xr:uid="{00000000-0005-0000-0000-0000A4F10000}"/>
    <cellStyle name="Separador de milhares 2 2 3 2 3 2" xfId="61960" xr:uid="{00000000-0005-0000-0000-0000A5F10000}"/>
    <cellStyle name="Separador de milhares 2 2 3 2 4" xfId="61961" xr:uid="{00000000-0005-0000-0000-0000A6F10000}"/>
    <cellStyle name="Separador de milhares 2 2 3 3" xfId="25796" xr:uid="{00000000-0005-0000-0000-0000A7F10000}"/>
    <cellStyle name="Separador de milhares 2 2 3 3 2" xfId="61962" xr:uid="{00000000-0005-0000-0000-0000A8F10000}"/>
    <cellStyle name="Separador de milhares 2 2 3 4" xfId="25797" xr:uid="{00000000-0005-0000-0000-0000A9F10000}"/>
    <cellStyle name="Separador de milhares 2 2 3 4 2" xfId="61963" xr:uid="{00000000-0005-0000-0000-0000AAF10000}"/>
    <cellStyle name="Separador de milhares 2 2 3 5" xfId="61964" xr:uid="{00000000-0005-0000-0000-0000ABF10000}"/>
    <cellStyle name="Separador de milhares 2 2 3 5 2" xfId="61965" xr:uid="{00000000-0005-0000-0000-0000ACF10000}"/>
    <cellStyle name="Separador de milhares 2 2 3 6" xfId="61966" xr:uid="{00000000-0005-0000-0000-0000ADF10000}"/>
    <cellStyle name="Separador de milhares 2 2 4" xfId="61967" xr:uid="{00000000-0005-0000-0000-0000AEF10000}"/>
    <cellStyle name="Separador de milhares 2 2 5" xfId="25790" xr:uid="{00000000-0005-0000-0000-0000AFF10000}"/>
    <cellStyle name="Separador de milhares 2 3" xfId="25798" xr:uid="{00000000-0005-0000-0000-0000B0F10000}"/>
    <cellStyle name="Separador de milhares 2 3 2" xfId="25799" xr:uid="{00000000-0005-0000-0000-0000B1F10000}"/>
    <cellStyle name="Separador de milhares 2 3 2 2" xfId="61968" xr:uid="{00000000-0005-0000-0000-0000B2F10000}"/>
    <cellStyle name="Separador de milhares 2 3 2 3" xfId="61969" xr:uid="{00000000-0005-0000-0000-0000B3F10000}"/>
    <cellStyle name="Separador de milhares 2 3 3" xfId="25800" xr:uid="{00000000-0005-0000-0000-0000B4F10000}"/>
    <cellStyle name="Separador de milhares 2 3 4" xfId="25801" xr:uid="{00000000-0005-0000-0000-0000B5F10000}"/>
    <cellStyle name="Separador de milhares 2 3 5" xfId="61970" xr:uid="{00000000-0005-0000-0000-0000B6F10000}"/>
    <cellStyle name="Separador de milhares 2 4" xfId="25802" xr:uid="{00000000-0005-0000-0000-0000B7F10000}"/>
    <cellStyle name="Separador de milhares 2 4 2" xfId="61971" xr:uid="{00000000-0005-0000-0000-0000B8F10000}"/>
    <cellStyle name="Separador de milhares 2 5" xfId="25803" xr:uid="{00000000-0005-0000-0000-0000B9F10000}"/>
    <cellStyle name="Separador de milhares 2 5 2" xfId="25804" xr:uid="{00000000-0005-0000-0000-0000BAF10000}"/>
    <cellStyle name="Separador de milhares 2 5 2 2" xfId="25805" xr:uid="{00000000-0005-0000-0000-0000BBF10000}"/>
    <cellStyle name="Separador de milhares 2 5 2 2 2" xfId="61972" xr:uid="{00000000-0005-0000-0000-0000BCF10000}"/>
    <cellStyle name="Separador de milhares 2 5 2 3" xfId="25806" xr:uid="{00000000-0005-0000-0000-0000BDF10000}"/>
    <cellStyle name="Separador de milhares 2 5 2 3 2" xfId="61973" xr:uid="{00000000-0005-0000-0000-0000BEF10000}"/>
    <cellStyle name="Separador de milhares 2 5 2 4" xfId="61974" xr:uid="{00000000-0005-0000-0000-0000BFF10000}"/>
    <cellStyle name="Separador de milhares 2 5 3" xfId="25807" xr:uid="{00000000-0005-0000-0000-0000C0F10000}"/>
    <cellStyle name="Separador de milhares 2 5 3 2" xfId="61975" xr:uid="{00000000-0005-0000-0000-0000C1F10000}"/>
    <cellStyle name="Separador de milhares 2 5 4" xfId="25808" xr:uid="{00000000-0005-0000-0000-0000C2F10000}"/>
    <cellStyle name="Separador de milhares 2 5 4 2" xfId="61976" xr:uid="{00000000-0005-0000-0000-0000C3F10000}"/>
    <cellStyle name="Separador de milhares 2 5 5" xfId="61977" xr:uid="{00000000-0005-0000-0000-0000C4F10000}"/>
    <cellStyle name="Separador de milhares 2 5 5 2" xfId="61978" xr:uid="{00000000-0005-0000-0000-0000C5F10000}"/>
    <cellStyle name="Separador de milhares 2 5 6" xfId="61979" xr:uid="{00000000-0005-0000-0000-0000C6F10000}"/>
    <cellStyle name="Separador de milhares 2 6" xfId="25809" xr:uid="{00000000-0005-0000-0000-0000C7F10000}"/>
    <cellStyle name="Separador de milhares 2 6 2" xfId="25810" xr:uid="{00000000-0005-0000-0000-0000C8F10000}"/>
    <cellStyle name="Separador de milhares 2 6 2 2" xfId="25811" xr:uid="{00000000-0005-0000-0000-0000C9F10000}"/>
    <cellStyle name="Separador de milhares 2 6 2 2 2" xfId="61980" xr:uid="{00000000-0005-0000-0000-0000CAF10000}"/>
    <cellStyle name="Separador de milhares 2 6 2 3" xfId="25812" xr:uid="{00000000-0005-0000-0000-0000CBF10000}"/>
    <cellStyle name="Separador de milhares 2 6 2 3 2" xfId="61981" xr:uid="{00000000-0005-0000-0000-0000CCF10000}"/>
    <cellStyle name="Separador de milhares 2 6 2 4" xfId="61982" xr:uid="{00000000-0005-0000-0000-0000CDF10000}"/>
    <cellStyle name="Separador de milhares 2 6 3" xfId="25813" xr:uid="{00000000-0005-0000-0000-0000CEF10000}"/>
    <cellStyle name="Separador de milhares 2 6 3 2" xfId="61983" xr:uid="{00000000-0005-0000-0000-0000CFF10000}"/>
    <cellStyle name="Separador de milhares 2 6 4" xfId="25814" xr:uid="{00000000-0005-0000-0000-0000D0F10000}"/>
    <cellStyle name="Separador de milhares 2 6 4 2" xfId="61984" xr:uid="{00000000-0005-0000-0000-0000D1F10000}"/>
    <cellStyle name="Separador de milhares 2 6 5" xfId="61985" xr:uid="{00000000-0005-0000-0000-0000D2F10000}"/>
    <cellStyle name="Separador de milhares 2 6 5 2" xfId="61986" xr:uid="{00000000-0005-0000-0000-0000D3F10000}"/>
    <cellStyle name="Separador de milhares 2 6 6" xfId="61987" xr:uid="{00000000-0005-0000-0000-0000D4F10000}"/>
    <cellStyle name="Separador de milhares 2 7" xfId="25815" xr:uid="{00000000-0005-0000-0000-0000D5F10000}"/>
    <cellStyle name="Separador de milhares 2 8" xfId="25816" xr:uid="{00000000-0005-0000-0000-0000D6F10000}"/>
    <cellStyle name="Separador de milhares 2 8 2" xfId="25817" xr:uid="{00000000-0005-0000-0000-0000D7F10000}"/>
    <cellStyle name="Separador de milhares 2 8 2 2" xfId="61988" xr:uid="{00000000-0005-0000-0000-0000D8F10000}"/>
    <cellStyle name="Separador de milhares 2 8 3" xfId="25818" xr:uid="{00000000-0005-0000-0000-0000D9F10000}"/>
    <cellStyle name="Separador de milhares 2 8 3 2" xfId="61989" xr:uid="{00000000-0005-0000-0000-0000DAF10000}"/>
    <cellStyle name="Separador de milhares 2 8 4" xfId="61990" xr:uid="{00000000-0005-0000-0000-0000DBF10000}"/>
    <cellStyle name="Separador de milhares 2 9" xfId="25819" xr:uid="{00000000-0005-0000-0000-0000DCF10000}"/>
    <cellStyle name="Separador de milhares 2 9 2" xfId="25820" xr:uid="{00000000-0005-0000-0000-0000DDF10000}"/>
    <cellStyle name="Separador de milhares 2 9 2 2" xfId="61991" xr:uid="{00000000-0005-0000-0000-0000DEF10000}"/>
    <cellStyle name="Separador de milhares 2 9 3" xfId="61992" xr:uid="{00000000-0005-0000-0000-0000DFF10000}"/>
    <cellStyle name="Separador de milhares 3" xfId="20" xr:uid="{00000000-0005-0000-0000-0000E0F10000}"/>
    <cellStyle name="Separador de milhares 3 10" xfId="61993" xr:uid="{00000000-0005-0000-0000-0000E1F10000}"/>
    <cellStyle name="Separador de milhares 3 11" xfId="61994" xr:uid="{00000000-0005-0000-0000-0000E2F10000}"/>
    <cellStyle name="Separador de milhares 3 12" xfId="25821" xr:uid="{00000000-0005-0000-0000-0000E3F10000}"/>
    <cellStyle name="Separador de milhares 3 2" xfId="25822" xr:uid="{00000000-0005-0000-0000-0000E4F10000}"/>
    <cellStyle name="Separador de milhares 3 2 2" xfId="25823" xr:uid="{00000000-0005-0000-0000-0000E5F10000}"/>
    <cellStyle name="Separador de milhares 3 2 2 2" xfId="25824" xr:uid="{00000000-0005-0000-0000-0000E6F10000}"/>
    <cellStyle name="Separador de milhares 3 2 2 2 2" xfId="25825" xr:uid="{00000000-0005-0000-0000-0000E7F10000}"/>
    <cellStyle name="Separador de milhares 3 2 2 2 2 2" xfId="61995" xr:uid="{00000000-0005-0000-0000-0000E8F10000}"/>
    <cellStyle name="Separador de milhares 3 2 2 2 3" xfId="25826" xr:uid="{00000000-0005-0000-0000-0000E9F10000}"/>
    <cellStyle name="Separador de milhares 3 2 2 2 3 2" xfId="61996" xr:uid="{00000000-0005-0000-0000-0000EAF10000}"/>
    <cellStyle name="Separador de milhares 3 2 2 2 4" xfId="61997" xr:uid="{00000000-0005-0000-0000-0000EBF10000}"/>
    <cellStyle name="Separador de milhares 3 2 2 3" xfId="25827" xr:uid="{00000000-0005-0000-0000-0000ECF10000}"/>
    <cellStyle name="Separador de milhares 3 2 2 3 2" xfId="61998" xr:uid="{00000000-0005-0000-0000-0000EDF10000}"/>
    <cellStyle name="Separador de milhares 3 2 2 4" xfId="25828" xr:uid="{00000000-0005-0000-0000-0000EEF10000}"/>
    <cellStyle name="Separador de milhares 3 2 2 4 2" xfId="61999" xr:uid="{00000000-0005-0000-0000-0000EFF10000}"/>
    <cellStyle name="Separador de milhares 3 2 2 5" xfId="62000" xr:uid="{00000000-0005-0000-0000-0000F0F10000}"/>
    <cellStyle name="Separador de milhares 3 2 2 5 2" xfId="62001" xr:uid="{00000000-0005-0000-0000-0000F1F10000}"/>
    <cellStyle name="Separador de milhares 3 2 2 6" xfId="62002" xr:uid="{00000000-0005-0000-0000-0000F2F10000}"/>
    <cellStyle name="Separador de milhares 3 2 2 7" xfId="62003" xr:uid="{00000000-0005-0000-0000-0000F3F10000}"/>
    <cellStyle name="Separador de milhares 3 2 2 8" xfId="62004" xr:uid="{00000000-0005-0000-0000-0000F4F10000}"/>
    <cellStyle name="Separador de milhares 3 2 3" xfId="25829" xr:uid="{00000000-0005-0000-0000-0000F5F10000}"/>
    <cellStyle name="Separador de milhares 3 2 3 2" xfId="25830" xr:uid="{00000000-0005-0000-0000-0000F6F10000}"/>
    <cellStyle name="Separador de milhares 3 2 3 2 2" xfId="62005" xr:uid="{00000000-0005-0000-0000-0000F7F10000}"/>
    <cellStyle name="Separador de milhares 3 2 3 3" xfId="25831" xr:uid="{00000000-0005-0000-0000-0000F8F10000}"/>
    <cellStyle name="Separador de milhares 3 2 3 3 2" xfId="62006" xr:uid="{00000000-0005-0000-0000-0000F9F10000}"/>
    <cellStyle name="Separador de milhares 3 2 3 4" xfId="62007" xr:uid="{00000000-0005-0000-0000-0000FAF10000}"/>
    <cellStyle name="Separador de milhares 3 2 3 5" xfId="62008" xr:uid="{00000000-0005-0000-0000-0000FBF10000}"/>
    <cellStyle name="Separador de milhares 3 2 3 6" xfId="62009" xr:uid="{00000000-0005-0000-0000-0000FCF10000}"/>
    <cellStyle name="Separador de milhares 3 2 4" xfId="25832" xr:uid="{00000000-0005-0000-0000-0000FDF10000}"/>
    <cellStyle name="Separador de milhares 3 2 4 2" xfId="62010" xr:uid="{00000000-0005-0000-0000-0000FEF10000}"/>
    <cellStyle name="Separador de milhares 3 2 4 3" xfId="62011" xr:uid="{00000000-0005-0000-0000-0000FFF10000}"/>
    <cellStyle name="Separador de milhares 3 2 4 4" xfId="62012" xr:uid="{00000000-0005-0000-0000-000000F20000}"/>
    <cellStyle name="Separador de milhares 3 2 5" xfId="25833" xr:uid="{00000000-0005-0000-0000-000001F20000}"/>
    <cellStyle name="Separador de milhares 3 2 5 2" xfId="62013" xr:uid="{00000000-0005-0000-0000-000002F20000}"/>
    <cellStyle name="Separador de milhares 3 2 6" xfId="62014" xr:uid="{00000000-0005-0000-0000-000003F20000}"/>
    <cellStyle name="Separador de milhares 3 2 6 2" xfId="62015" xr:uid="{00000000-0005-0000-0000-000004F20000}"/>
    <cellStyle name="Separador de milhares 3 2 7" xfId="62016" xr:uid="{00000000-0005-0000-0000-000005F20000}"/>
    <cellStyle name="Separador de milhares 3 2 8" xfId="62017" xr:uid="{00000000-0005-0000-0000-000006F20000}"/>
    <cellStyle name="Separador de milhares 3 2 9" xfId="62018" xr:uid="{00000000-0005-0000-0000-000007F20000}"/>
    <cellStyle name="Separador de milhares 3 3" xfId="25834" xr:uid="{00000000-0005-0000-0000-000008F20000}"/>
    <cellStyle name="Separador de milhares 3 3 2" xfId="25835" xr:uid="{00000000-0005-0000-0000-000009F20000}"/>
    <cellStyle name="Separador de milhares 3 3 2 2" xfId="25836" xr:uid="{00000000-0005-0000-0000-00000AF20000}"/>
    <cellStyle name="Separador de milhares 3 3 2 2 2" xfId="62019" xr:uid="{00000000-0005-0000-0000-00000BF20000}"/>
    <cellStyle name="Separador de milhares 3 3 2 3" xfId="25837" xr:uid="{00000000-0005-0000-0000-00000CF20000}"/>
    <cellStyle name="Separador de milhares 3 3 2 3 2" xfId="62020" xr:uid="{00000000-0005-0000-0000-00000DF20000}"/>
    <cellStyle name="Separador de milhares 3 3 2 4" xfId="62021" xr:uid="{00000000-0005-0000-0000-00000EF20000}"/>
    <cellStyle name="Separador de milhares 3 3 3" xfId="25838" xr:uid="{00000000-0005-0000-0000-00000FF20000}"/>
    <cellStyle name="Separador de milhares 3 3 3 2" xfId="62022" xr:uid="{00000000-0005-0000-0000-000010F20000}"/>
    <cellStyle name="Separador de milhares 3 3 4" xfId="25839" xr:uid="{00000000-0005-0000-0000-000011F20000}"/>
    <cellStyle name="Separador de milhares 3 3 4 2" xfId="62023" xr:uid="{00000000-0005-0000-0000-000012F20000}"/>
    <cellStyle name="Separador de milhares 3 3 5" xfId="62024" xr:uid="{00000000-0005-0000-0000-000013F20000}"/>
    <cellStyle name="Separador de milhares 3 3 5 2" xfId="62025" xr:uid="{00000000-0005-0000-0000-000014F20000}"/>
    <cellStyle name="Separador de milhares 3 3 6" xfId="62026" xr:uid="{00000000-0005-0000-0000-000015F20000}"/>
    <cellStyle name="Separador de milhares 3 3 7" xfId="62027" xr:uid="{00000000-0005-0000-0000-000016F20000}"/>
    <cellStyle name="Separador de milhares 3 3 8" xfId="62028" xr:uid="{00000000-0005-0000-0000-000017F20000}"/>
    <cellStyle name="Separador de milhares 3 4" xfId="25840" xr:uid="{00000000-0005-0000-0000-000018F20000}"/>
    <cellStyle name="Separador de milhares 3 4 2" xfId="25841" xr:uid="{00000000-0005-0000-0000-000019F20000}"/>
    <cellStyle name="Separador de milhares 3 4 2 2" xfId="62029" xr:uid="{00000000-0005-0000-0000-00001AF20000}"/>
    <cellStyle name="Separador de milhares 3 4 3" xfId="25842" xr:uid="{00000000-0005-0000-0000-00001BF20000}"/>
    <cellStyle name="Separador de milhares 3 4 3 2" xfId="62030" xr:uid="{00000000-0005-0000-0000-00001CF20000}"/>
    <cellStyle name="Separador de milhares 3 4 4" xfId="62031" xr:uid="{00000000-0005-0000-0000-00001DF20000}"/>
    <cellStyle name="Separador de milhares 3 4 5" xfId="62032" xr:uid="{00000000-0005-0000-0000-00001EF20000}"/>
    <cellStyle name="Separador de milhares 3 4 6" xfId="62033" xr:uid="{00000000-0005-0000-0000-00001FF20000}"/>
    <cellStyle name="Separador de milhares 3 5" xfId="25843" xr:uid="{00000000-0005-0000-0000-000020F20000}"/>
    <cellStyle name="Separador de milhares 3 5 2" xfId="25844" xr:uid="{00000000-0005-0000-0000-000021F20000}"/>
    <cellStyle name="Separador de milhares 3 5 2 2" xfId="62034" xr:uid="{00000000-0005-0000-0000-000022F20000}"/>
    <cellStyle name="Separador de milhares 3 5 3" xfId="62035" xr:uid="{00000000-0005-0000-0000-000023F20000}"/>
    <cellStyle name="Separador de milhares 3 5 4" xfId="62036" xr:uid="{00000000-0005-0000-0000-000024F20000}"/>
    <cellStyle name="Separador de milhares 3 5 5" xfId="62037" xr:uid="{00000000-0005-0000-0000-000025F20000}"/>
    <cellStyle name="Separador de milhares 3 6" xfId="25845" xr:uid="{00000000-0005-0000-0000-000026F20000}"/>
    <cellStyle name="Separador de milhares 3 6 2" xfId="62038" xr:uid="{00000000-0005-0000-0000-000027F20000}"/>
    <cellStyle name="Separador de milhares 3 6 3" xfId="62039" xr:uid="{00000000-0005-0000-0000-000028F20000}"/>
    <cellStyle name="Separador de milhares 3 7" xfId="62040" xr:uid="{00000000-0005-0000-0000-000029F20000}"/>
    <cellStyle name="Separador de milhares 3 7 2" xfId="62041" xr:uid="{00000000-0005-0000-0000-00002AF20000}"/>
    <cellStyle name="Separador de milhares 3 8" xfId="62042" xr:uid="{00000000-0005-0000-0000-00002BF20000}"/>
    <cellStyle name="Separador de milhares 3 9" xfId="62043" xr:uid="{00000000-0005-0000-0000-00002CF20000}"/>
    <cellStyle name="Separador de milhares 4" xfId="25846" xr:uid="{00000000-0005-0000-0000-00002DF20000}"/>
    <cellStyle name="Separador de milhares 4 2" xfId="25847" xr:uid="{00000000-0005-0000-0000-00002EF20000}"/>
    <cellStyle name="Separador de milhares 4 2 2" xfId="25848" xr:uid="{00000000-0005-0000-0000-00002FF20000}"/>
    <cellStyle name="Separador de milhares 4 2 2 2" xfId="25849" xr:uid="{00000000-0005-0000-0000-000030F20000}"/>
    <cellStyle name="Separador de milhares 4 2 2 2 2" xfId="62044" xr:uid="{00000000-0005-0000-0000-000031F20000}"/>
    <cellStyle name="Separador de milhares 4 2 2 3" xfId="62045" xr:uid="{00000000-0005-0000-0000-000032F20000}"/>
    <cellStyle name="Separador de milhares 4 2 3" xfId="25850" xr:uid="{00000000-0005-0000-0000-000033F20000}"/>
    <cellStyle name="Separador de milhares 4 2 4" xfId="62046" xr:uid="{00000000-0005-0000-0000-000034F20000}"/>
    <cellStyle name="Separador de milhares 4 2 5" xfId="62047" xr:uid="{00000000-0005-0000-0000-000035F20000}"/>
    <cellStyle name="Separador de milhares 4 2 6" xfId="62048" xr:uid="{00000000-0005-0000-0000-000036F20000}"/>
    <cellStyle name="Separador de milhares 4 3" xfId="25851" xr:uid="{00000000-0005-0000-0000-000037F20000}"/>
    <cellStyle name="Separador de milhares 4 3 2" xfId="25852" xr:uid="{00000000-0005-0000-0000-000038F20000}"/>
    <cellStyle name="Separador de milhares 4 3 2 2" xfId="62049" xr:uid="{00000000-0005-0000-0000-000039F20000}"/>
    <cellStyle name="Separador de milhares 4 3 3" xfId="25853" xr:uid="{00000000-0005-0000-0000-00003AF20000}"/>
    <cellStyle name="Separador de milhares 4 3 3 2" xfId="62050" xr:uid="{00000000-0005-0000-0000-00003BF20000}"/>
    <cellStyle name="Separador de milhares 4 4" xfId="25854" xr:uid="{00000000-0005-0000-0000-00003CF20000}"/>
    <cellStyle name="Separador de milhares 4 4 2" xfId="62051" xr:uid="{00000000-0005-0000-0000-00003DF20000}"/>
    <cellStyle name="Separador de milhares 4 4 3" xfId="62052" xr:uid="{00000000-0005-0000-0000-00003EF20000}"/>
    <cellStyle name="Separador de milhares 4 4 4" xfId="62053" xr:uid="{00000000-0005-0000-0000-00003FF20000}"/>
    <cellStyle name="Separador de milhares 4 5" xfId="25855" xr:uid="{00000000-0005-0000-0000-000040F20000}"/>
    <cellStyle name="Separador de milhares 4 5 2" xfId="62054" xr:uid="{00000000-0005-0000-0000-000041F20000}"/>
    <cellStyle name="Separador de milhares 4 5 3" xfId="62055" xr:uid="{00000000-0005-0000-0000-000042F20000}"/>
    <cellStyle name="Separador de milhares 4 5 4" xfId="62056" xr:uid="{00000000-0005-0000-0000-000043F20000}"/>
    <cellStyle name="Separador de milhares 4 6" xfId="25856" xr:uid="{00000000-0005-0000-0000-000044F20000}"/>
    <cellStyle name="Separador de milhares 4 6 2" xfId="62057" xr:uid="{00000000-0005-0000-0000-000045F20000}"/>
    <cellStyle name="Separador de milhares 4 7" xfId="62058" xr:uid="{00000000-0005-0000-0000-000046F20000}"/>
    <cellStyle name="Separador de milhares 5" xfId="25857" xr:uid="{00000000-0005-0000-0000-000047F20000}"/>
    <cellStyle name="Separador de milhares 5 2" xfId="62059" xr:uid="{00000000-0005-0000-0000-000048F20000}"/>
    <cellStyle name="Separador de milhares 5 3" xfId="62060" xr:uid="{00000000-0005-0000-0000-000049F20000}"/>
    <cellStyle name="Separador de milhares 6" xfId="25858" xr:uid="{00000000-0005-0000-0000-00004AF20000}"/>
    <cellStyle name="Separador de milhares 7" xfId="62061" xr:uid="{00000000-0005-0000-0000-00004BF20000}"/>
    <cellStyle name="Separador de milhares 8" xfId="62062" xr:uid="{00000000-0005-0000-0000-00004CF20000}"/>
    <cellStyle name="Table title" xfId="62109" xr:uid="{00000000-0005-0000-0000-00004DF20000}"/>
    <cellStyle name="Texto de Aviso 2" xfId="25860" xr:uid="{00000000-0005-0000-0000-00004EF20000}"/>
    <cellStyle name="Texto de Aviso 2 2" xfId="25861" xr:uid="{00000000-0005-0000-0000-00004FF20000}"/>
    <cellStyle name="Texto de Aviso 2 3" xfId="62063" xr:uid="{00000000-0005-0000-0000-000050F20000}"/>
    <cellStyle name="Texto de Aviso 3" xfId="25862" xr:uid="{00000000-0005-0000-0000-000051F20000}"/>
    <cellStyle name="Texto de Aviso 4" xfId="25863" xr:uid="{00000000-0005-0000-0000-000052F20000}"/>
    <cellStyle name="Texto de Aviso 5" xfId="62064" xr:uid="{00000000-0005-0000-0000-000053F20000}"/>
    <cellStyle name="Texto de Aviso 6" xfId="25859" xr:uid="{00000000-0005-0000-0000-000054F20000}"/>
    <cellStyle name="Texto Explicativo 2" xfId="25865" xr:uid="{00000000-0005-0000-0000-000055F20000}"/>
    <cellStyle name="Texto Explicativo 2 2" xfId="25866" xr:uid="{00000000-0005-0000-0000-000056F20000}"/>
    <cellStyle name="Texto Explicativo 2 3" xfId="62065" xr:uid="{00000000-0005-0000-0000-000057F20000}"/>
    <cellStyle name="Texto Explicativo 3" xfId="25867" xr:uid="{00000000-0005-0000-0000-000058F20000}"/>
    <cellStyle name="Texto Explicativo 4" xfId="25868" xr:uid="{00000000-0005-0000-0000-000059F20000}"/>
    <cellStyle name="Texto Explicativo 5" xfId="62066" xr:uid="{00000000-0005-0000-0000-00005AF20000}"/>
    <cellStyle name="Texto Explicativo 6" xfId="25864" xr:uid="{00000000-0005-0000-0000-00005BF20000}"/>
    <cellStyle name="Title" xfId="25869" xr:uid="{00000000-0005-0000-0000-00005CF20000}"/>
    <cellStyle name="Título 1 2" xfId="25872" xr:uid="{00000000-0005-0000-0000-00005DF20000}"/>
    <cellStyle name="Título 1 2 2" xfId="25873" xr:uid="{00000000-0005-0000-0000-00005EF20000}"/>
    <cellStyle name="Título 1 2 3" xfId="62067" xr:uid="{00000000-0005-0000-0000-00005FF20000}"/>
    <cellStyle name="Título 1 3" xfId="25874" xr:uid="{00000000-0005-0000-0000-000060F20000}"/>
    <cellStyle name="Título 1 4" xfId="25875" xr:uid="{00000000-0005-0000-0000-000061F20000}"/>
    <cellStyle name="Título 1 5" xfId="62068" xr:uid="{00000000-0005-0000-0000-000062F20000}"/>
    <cellStyle name="Título 1 6" xfId="25871" xr:uid="{00000000-0005-0000-0000-000063F20000}"/>
    <cellStyle name="Título 2 2" xfId="25877" xr:uid="{00000000-0005-0000-0000-000064F20000}"/>
    <cellStyle name="Título 2 2 2" xfId="25878" xr:uid="{00000000-0005-0000-0000-000065F20000}"/>
    <cellStyle name="Título 2 2 3" xfId="62069" xr:uid="{00000000-0005-0000-0000-000066F20000}"/>
    <cellStyle name="Título 2 3" xfId="25879" xr:uid="{00000000-0005-0000-0000-000067F20000}"/>
    <cellStyle name="Título 2 4" xfId="25880" xr:uid="{00000000-0005-0000-0000-000068F20000}"/>
    <cellStyle name="Título 2 5" xfId="62070" xr:uid="{00000000-0005-0000-0000-000069F20000}"/>
    <cellStyle name="Título 2 6" xfId="25876" xr:uid="{00000000-0005-0000-0000-00006AF20000}"/>
    <cellStyle name="Título 3 2" xfId="25882" xr:uid="{00000000-0005-0000-0000-00006BF20000}"/>
    <cellStyle name="Título 3 2 2" xfId="25883" xr:uid="{00000000-0005-0000-0000-00006CF20000}"/>
    <cellStyle name="Título 3 2 3" xfId="62071" xr:uid="{00000000-0005-0000-0000-00006DF20000}"/>
    <cellStyle name="Título 3 3" xfId="25884" xr:uid="{00000000-0005-0000-0000-00006EF20000}"/>
    <cellStyle name="Título 3 4" xfId="25885" xr:uid="{00000000-0005-0000-0000-00006FF20000}"/>
    <cellStyle name="Título 3 5" xfId="62072" xr:uid="{00000000-0005-0000-0000-000070F20000}"/>
    <cellStyle name="Título 3 6" xfId="25881" xr:uid="{00000000-0005-0000-0000-000071F20000}"/>
    <cellStyle name="Título 4 2" xfId="25887" xr:uid="{00000000-0005-0000-0000-000072F20000}"/>
    <cellStyle name="Título 4 2 2" xfId="25888" xr:uid="{00000000-0005-0000-0000-000073F20000}"/>
    <cellStyle name="Título 4 2 3" xfId="62073" xr:uid="{00000000-0005-0000-0000-000074F20000}"/>
    <cellStyle name="Título 4 3" xfId="25889" xr:uid="{00000000-0005-0000-0000-000075F20000}"/>
    <cellStyle name="Título 4 4" xfId="25890" xr:uid="{00000000-0005-0000-0000-000076F20000}"/>
    <cellStyle name="Título 4 5" xfId="62074" xr:uid="{00000000-0005-0000-0000-000077F20000}"/>
    <cellStyle name="Título 4 6" xfId="25886" xr:uid="{00000000-0005-0000-0000-000078F20000}"/>
    <cellStyle name="Título 5" xfId="25891" xr:uid="{00000000-0005-0000-0000-000079F20000}"/>
    <cellStyle name="Título 5 2" xfId="25892" xr:uid="{00000000-0005-0000-0000-00007AF20000}"/>
    <cellStyle name="Título 5 3" xfId="62075" xr:uid="{00000000-0005-0000-0000-00007BF20000}"/>
    <cellStyle name="Título 6" xfId="25893" xr:uid="{00000000-0005-0000-0000-00007CF20000}"/>
    <cellStyle name="Título 7" xfId="25894" xr:uid="{00000000-0005-0000-0000-00007DF20000}"/>
    <cellStyle name="Título 8" xfId="62076" xr:uid="{00000000-0005-0000-0000-00007EF20000}"/>
    <cellStyle name="Título 9" xfId="25870" xr:uid="{00000000-0005-0000-0000-00007FF20000}"/>
    <cellStyle name="Total 2" xfId="25896" xr:uid="{00000000-0005-0000-0000-000080F20000}"/>
    <cellStyle name="Total 2 2" xfId="25897" xr:uid="{00000000-0005-0000-0000-000081F20000}"/>
    <cellStyle name="Total 2 3" xfId="62077" xr:uid="{00000000-0005-0000-0000-000082F20000}"/>
    <cellStyle name="Total 3" xfId="25898" xr:uid="{00000000-0005-0000-0000-000083F20000}"/>
    <cellStyle name="Total 3 2" xfId="25899" xr:uid="{00000000-0005-0000-0000-000084F20000}"/>
    <cellStyle name="Total 3 2 2" xfId="62078" xr:uid="{00000000-0005-0000-0000-000085F20000}"/>
    <cellStyle name="Total 3 3" xfId="25900" xr:uid="{00000000-0005-0000-0000-000086F20000}"/>
    <cellStyle name="Total 3 3 2" xfId="62079" xr:uid="{00000000-0005-0000-0000-000087F20000}"/>
    <cellStyle name="Total 3 4" xfId="62080" xr:uid="{00000000-0005-0000-0000-000088F20000}"/>
    <cellStyle name="Total 3 4 2" xfId="62081" xr:uid="{00000000-0005-0000-0000-000089F20000}"/>
    <cellStyle name="Total 3 5" xfId="62082" xr:uid="{00000000-0005-0000-0000-00008AF20000}"/>
    <cellStyle name="Total 3 5 2" xfId="62083" xr:uid="{00000000-0005-0000-0000-00008BF20000}"/>
    <cellStyle name="Total 3 6" xfId="62084" xr:uid="{00000000-0005-0000-0000-00008CF20000}"/>
    <cellStyle name="Total 4" xfId="25901" xr:uid="{00000000-0005-0000-0000-00008DF20000}"/>
    <cellStyle name="Total 4 2" xfId="25902" xr:uid="{00000000-0005-0000-0000-00008EF20000}"/>
    <cellStyle name="Total 4 2 2" xfId="62085" xr:uid="{00000000-0005-0000-0000-00008FF20000}"/>
    <cellStyle name="Total 4 3" xfId="25903" xr:uid="{00000000-0005-0000-0000-000090F20000}"/>
    <cellStyle name="Total 4 3 2" xfId="62086" xr:uid="{00000000-0005-0000-0000-000091F20000}"/>
    <cellStyle name="Total 4 4" xfId="62087" xr:uid="{00000000-0005-0000-0000-000092F20000}"/>
    <cellStyle name="Total 4 4 2" xfId="62088" xr:uid="{00000000-0005-0000-0000-000093F20000}"/>
    <cellStyle name="Total 4 5" xfId="62089" xr:uid="{00000000-0005-0000-0000-000094F20000}"/>
    <cellStyle name="Total 4 5 2" xfId="62090" xr:uid="{00000000-0005-0000-0000-000095F20000}"/>
    <cellStyle name="Total 4 6" xfId="62091" xr:uid="{00000000-0005-0000-0000-000096F20000}"/>
    <cellStyle name="Total 5" xfId="62092" xr:uid="{00000000-0005-0000-0000-000097F20000}"/>
    <cellStyle name="Total 6" xfId="25895" xr:uid="{00000000-0005-0000-0000-000098F20000}"/>
    <cellStyle name="Vírgula" xfId="1" builtinId="3"/>
    <cellStyle name="Vírgula 2" xfId="11" xr:uid="{00000000-0005-0000-0000-00009AF20000}"/>
    <cellStyle name="Vírgula 2 2" xfId="14" xr:uid="{00000000-0005-0000-0000-00009BF20000}"/>
    <cellStyle name="Vírgula 2 3" xfId="68" xr:uid="{00000000-0005-0000-0000-00009CF20000}"/>
    <cellStyle name="Vírgula 3" xfId="66" xr:uid="{00000000-0005-0000-0000-00009DF20000}"/>
    <cellStyle name="Vírgula 4" xfId="27" xr:uid="{00000000-0005-0000-0000-00009EF20000}"/>
    <cellStyle name="Vírgula 4 2" xfId="62113" xr:uid="{00000000-0005-0000-0000-00009FF20000}"/>
    <cellStyle name="Vírgula 5" xfId="59" xr:uid="{00000000-0005-0000-0000-0000A0F20000}"/>
    <cellStyle name="Warning Text" xfId="25904" xr:uid="{00000000-0005-0000-0000-0000A1F20000}"/>
  </cellStyles>
  <dxfs count="96"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25"/>
      </font>
    </dxf>
    <dxf>
      <fill>
        <patternFill>
          <bgColor theme="1" tint="0.24994659260841701"/>
        </patternFill>
      </fill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ont>
        <condense val="0"/>
        <extend val="0"/>
        <color indexed="9"/>
      </font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ont>
        <condense val="0"/>
        <extend val="0"/>
        <color indexed="9"/>
      </font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ont>
        <condense val="0"/>
        <extend val="0"/>
        <color indexed="9"/>
      </font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ont>
        <condense val="0"/>
        <extend val="0"/>
        <color indexed="9"/>
      </font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ont>
        <condense val="0"/>
        <extend val="0"/>
        <color indexed="9"/>
      </font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42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42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42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numFmt numFmtId="3" formatCode="#,##0"/>
    </dxf>
  </dxfs>
  <tableStyles count="0" defaultTableStyle="TableStyleMedium9" defaultPivotStyle="PivotStyleLight16"/>
  <colors>
    <mruColors>
      <color rgb="FFFF99FF"/>
      <color rgb="FFFF00FF"/>
      <color rgb="FFFF7C80"/>
      <color rgb="FFFFFF99"/>
      <color rgb="FFFF66FF"/>
      <color rgb="FFFFFFCC"/>
      <color rgb="FFFF9933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5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theme" Target="theme/theme1.xml"/><Relationship Id="rId47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3.xml"/><Relationship Id="rId40" Type="http://schemas.openxmlformats.org/officeDocument/2006/relationships/externalLink" Target="externalLinks/externalLink6.xml"/><Relationship Id="rId45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1.xml"/><Relationship Id="rId43" Type="http://schemas.openxmlformats.org/officeDocument/2006/relationships/styles" Target="styles.xml"/><Relationship Id="rId48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externalLink" Target="externalLinks/externalLink4.xml"/><Relationship Id="rId46" Type="http://schemas.openxmlformats.org/officeDocument/2006/relationships/customXml" Target="../customXml/item1.xml"/><Relationship Id="rId20" Type="http://schemas.openxmlformats.org/officeDocument/2006/relationships/worksheet" Target="worksheets/sheet20.xml"/><Relationship Id="rId41" Type="http://schemas.openxmlformats.org/officeDocument/2006/relationships/pivotCacheDefinition" Target="pivotCache/pivotCacheDefinition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[19. Repotenciação e aumento do fator de capacidade das usinas a bagaço usando insumo com custo na entressafra.xlsx]Plan1!Tabela dinâmica1</c:name>
    <c:fmtId val="0"/>
  </c:pivotSource>
  <c:chart>
    <c:autoTitleDeleted val="1"/>
    <c:pivotFmts>
      <c:pivotFmt>
        <c:idx val="0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2"/>
          </a:solidFill>
        </c:spPr>
      </c:pivotFmt>
    </c:pivotFmts>
    <c:plotArea>
      <c:layout>
        <c:manualLayout>
          <c:layoutTarget val="inner"/>
          <c:xMode val="edge"/>
          <c:yMode val="edge"/>
          <c:x val="0.18615029540226391"/>
          <c:y val="0.10023384370040406"/>
          <c:w val="0.7881005583761489"/>
          <c:h val="0.5856054507305379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Plan1!$B$3</c:f>
              <c:strCache>
                <c:ptCount val="1"/>
                <c:pt idx="0">
                  <c:v>Total</c:v>
                </c:pt>
              </c:strCache>
            </c:strRef>
          </c:tx>
          <c:invertIfNegative val="0"/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E21A-4E77-898F-316471899D03}"/>
              </c:ext>
            </c:extLst>
          </c:dPt>
          <c:dLbls>
            <c:spPr/>
            <c:txPr>
              <a:bodyPr/>
              <a:lstStyle/>
              <a:p>
                <a:pPr>
                  <a:defRPr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Plan1!$A$4:$A$12</c:f>
              <c:multiLvlStrCache>
                <c:ptCount val="4"/>
                <c:lvl>
                  <c:pt idx="0">
                    <c:v>2027</c:v>
                  </c:pt>
                  <c:pt idx="1">
                    <c:v>2027</c:v>
                  </c:pt>
                  <c:pt idx="2">
                    <c:v>2030</c:v>
                  </c:pt>
                  <c:pt idx="3">
                    <c:v>2050</c:v>
                  </c:pt>
                </c:lvl>
                <c:lvl>
                  <c:pt idx="0">
                    <c:v>Não interfere em UC, TI e TQ</c:v>
                  </c:pt>
                  <c:pt idx="1">
                    <c:v>Interfere em UC de US</c:v>
                  </c:pt>
                  <c:pt idx="2">
                    <c:v>Interfere em UC de PI</c:v>
                  </c:pt>
                  <c:pt idx="3">
                    <c:v>Interfere em TI ou TQ</c:v>
                  </c:pt>
                </c:lvl>
              </c:multiLvlStrCache>
            </c:multiLvlStrRef>
          </c:cat>
          <c:val>
            <c:numRef>
              <c:f>Plan1!$B$4:$B$12</c:f>
              <c:numCache>
                <c:formatCode>#,##0</c:formatCode>
                <c:ptCount val="4"/>
                <c:pt idx="0">
                  <c:v>6045.5500000000011</c:v>
                </c:pt>
                <c:pt idx="1">
                  <c:v>3775.4</c:v>
                </c:pt>
                <c:pt idx="2">
                  <c:v>6070.37</c:v>
                </c:pt>
                <c:pt idx="3">
                  <c:v>29596.31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1A-4E77-898F-316471899D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48742752"/>
        <c:axId val="1634277168"/>
      </c:barChart>
      <c:catAx>
        <c:axId val="17487427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pt-BR"/>
                  <a:t>Data mínima</a:t>
                </a:r>
                <a:r>
                  <a:rPr lang="pt-BR" baseline="0"/>
                  <a:t> de acordo com classificação socioambiental</a:t>
                </a:r>
                <a:endParaRPr lang="pt-BR"/>
              </a:p>
            </c:rich>
          </c:tx>
          <c:layout>
            <c:manualLayout>
              <c:xMode val="edge"/>
              <c:yMode val="edge"/>
              <c:x val="0.25333705653366362"/>
              <c:y val="0.88969630986973747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1634277168"/>
        <c:crosses val="autoZero"/>
        <c:auto val="1"/>
        <c:lblAlgn val="ctr"/>
        <c:lblOffset val="100"/>
        <c:noMultiLvlLbl val="0"/>
      </c:catAx>
      <c:valAx>
        <c:axId val="163427716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pt-BR"/>
                  <a:t>Potência</a:t>
                </a:r>
              </a:p>
            </c:rich>
          </c:tx>
          <c:layout>
            <c:manualLayout>
              <c:xMode val="edge"/>
              <c:yMode val="edge"/>
              <c:x val="4.2106223208585427E-3"/>
              <c:y val="0.33689768277129373"/>
            </c:manualLayout>
          </c:layout>
          <c:overlay val="0"/>
        </c:title>
        <c:numFmt formatCode="#,##0" sourceLinked="1"/>
        <c:majorTickMark val="out"/>
        <c:minorTickMark val="none"/>
        <c:tickLblPos val="nextTo"/>
        <c:crossAx val="174874275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8740157499999996" l="0.511811024" r="0.511811024" t="0.78740157499999996" header="0.31496062000000002" footer="0.3149606200000000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</c:extLs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105008172152919E-2"/>
          <c:y val="4.1246198796816388E-2"/>
          <c:w val="0.70332391006905071"/>
          <c:h val="0.83617478809061585"/>
        </c:manualLayout>
      </c:layout>
      <c:lineChart>
        <c:grouping val="standard"/>
        <c:varyColors val="0"/>
        <c:ser>
          <c:idx val="0"/>
          <c:order val="0"/>
          <c:marker>
            <c:symbol val="none"/>
          </c:marker>
          <c:val>
            <c:numRef>
              <c:f>Mercado!$B$6:$AN$6</c:f>
              <c:numCache>
                <c:formatCode>#,##0</c:formatCode>
                <c:ptCount val="39"/>
                <c:pt idx="0">
                  <c:v>996</c:v>
                </c:pt>
                <c:pt idx="1">
                  <c:v>1074</c:v>
                </c:pt>
                <c:pt idx="2">
                  <c:v>1215</c:v>
                </c:pt>
                <c:pt idx="3">
                  <c:v>1214</c:v>
                </c:pt>
                <c:pt idx="4">
                  <c:v>1278</c:v>
                </c:pt>
                <c:pt idx="5">
                  <c:v>1536</c:v>
                </c:pt>
                <c:pt idx="6">
                  <c:v>1717</c:v>
                </c:pt>
                <c:pt idx="7">
                  <c:v>1743</c:v>
                </c:pt>
                <c:pt idx="8">
                  <c:v>1784</c:v>
                </c:pt>
                <c:pt idx="9">
                  <c:v>1890</c:v>
                </c:pt>
                <c:pt idx="10">
                  <c:v>2003</c:v>
                </c:pt>
                <c:pt idx="11">
                  <c:v>2125</c:v>
                </c:pt>
                <c:pt idx="12">
                  <c:v>2254</c:v>
                </c:pt>
                <c:pt idx="13">
                  <c:v>2391</c:v>
                </c:pt>
                <c:pt idx="14">
                  <c:v>2537</c:v>
                </c:pt>
                <c:pt idx="15">
                  <c:v>2693</c:v>
                </c:pt>
                <c:pt idx="16">
                  <c:v>2859</c:v>
                </c:pt>
                <c:pt idx="17">
                  <c:v>3035</c:v>
                </c:pt>
                <c:pt idx="18">
                  <c:v>3223</c:v>
                </c:pt>
                <c:pt idx="19">
                  <c:v>3423</c:v>
                </c:pt>
                <c:pt idx="20">
                  <c:v>3635</c:v>
                </c:pt>
                <c:pt idx="21">
                  <c:v>3862</c:v>
                </c:pt>
                <c:pt idx="22">
                  <c:v>4104</c:v>
                </c:pt>
                <c:pt idx="23">
                  <c:v>4361</c:v>
                </c:pt>
                <c:pt idx="24">
                  <c:v>4635</c:v>
                </c:pt>
                <c:pt idx="25">
                  <c:v>4871</c:v>
                </c:pt>
                <c:pt idx="26">
                  <c:v>4871</c:v>
                </c:pt>
                <c:pt idx="27">
                  <c:v>4871</c:v>
                </c:pt>
                <c:pt idx="28">
                  <c:v>4871</c:v>
                </c:pt>
                <c:pt idx="29">
                  <c:v>4871</c:v>
                </c:pt>
                <c:pt idx="30">
                  <c:v>4871</c:v>
                </c:pt>
                <c:pt idx="31">
                  <c:v>4871</c:v>
                </c:pt>
                <c:pt idx="32">
                  <c:v>4871</c:v>
                </c:pt>
                <c:pt idx="33">
                  <c:v>4871</c:v>
                </c:pt>
                <c:pt idx="34">
                  <c:v>4871</c:v>
                </c:pt>
                <c:pt idx="35">
                  <c:v>4871</c:v>
                </c:pt>
                <c:pt idx="36">
                  <c:v>4871</c:v>
                </c:pt>
                <c:pt idx="37">
                  <c:v>4871</c:v>
                </c:pt>
                <c:pt idx="38">
                  <c:v>4871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B43-4D42-81B4-F4BAEF2001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34279408"/>
        <c:axId val="1634278848"/>
      </c:lineChart>
      <c:catAx>
        <c:axId val="1634279408"/>
        <c:scaling>
          <c:orientation val="minMax"/>
        </c:scaling>
        <c:delete val="0"/>
        <c:axPos val="b"/>
        <c:majorTickMark val="out"/>
        <c:minorTickMark val="none"/>
        <c:tickLblPos val="nextTo"/>
        <c:crossAx val="1634278848"/>
        <c:crosses val="autoZero"/>
        <c:auto val="1"/>
        <c:lblAlgn val="ctr"/>
        <c:lblOffset val="100"/>
        <c:noMultiLvlLbl val="0"/>
      </c:catAx>
      <c:valAx>
        <c:axId val="1634278848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63427940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297180</xdr:colOff>
      <xdr:row>2</xdr:row>
      <xdr:rowOff>22860</xdr:rowOff>
    </xdr:from>
    <xdr:to>
      <xdr:col>7</xdr:col>
      <xdr:colOff>419100</xdr:colOff>
      <xdr:row>20</xdr:row>
      <xdr:rowOff>118110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41</xdr:col>
      <xdr:colOff>466725</xdr:colOff>
      <xdr:row>11</xdr:row>
      <xdr:rowOff>71437</xdr:rowOff>
    </xdr:from>
    <xdr:to>
      <xdr:col>49</xdr:col>
      <xdr:colOff>161925</xdr:colOff>
      <xdr:row>19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sclient\X\PLANEL_Interface_SEE-SMA\3_Rodadas\1_&#211;timoEcon&#244;mico\OtimoEcon_2Hidrologias_semEncargos_Fponta\Entrada-valores_new-Relat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PLANEL_Interface_SEE-SMA/3_Rodadas/FINAL/Setembro%2019%20(2)/q.%20FC%20Biomassa%20maior/BD_PLANEL_PNE_BalPontaTrim_FC_Biomassa_maior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PLANEL_Interface_SEE-SMA/3_Rodadas/EstudosLP/0_CasoBase/05_CB_Suav/BD_PLANEL_PNE_BalPontaTrim_SMA_CB_04_PCH1500MWaa_PDE27_plus_Contratada2018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PLANEL_Interface_SEE-SMA/3_Rodadas/EstudosLP/0_CasoBase/32_M&#237;nimo%20Custo%20com%20UHE%20sem%20interfer&#234;ncia%20Demanda%20Baixa/BD_PLANEL_PNE_BalPontaTrim_32_NovosAjustes_UHE_Sem_Inter_Dema_Baixa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PLANEL_Interface_SEE-SMA/3_Rodadas/FINAL/Agosto%2019/BASE/0_Base/FPMed/BD_PLANEL_PNE_BalPontaTrim_FP_Med_PotCompOleo200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PLANEL_Interface_SEE-SMA/3_Rodadas/EstudosLP/0_CasoBase/07_SolarPV_Redu&#231;&#227;oFCenergia_sem%20contratada/BD_PLANEL_PNE_BalPontaTrim_07_SolarPV_Redu&#231;&#227;oFC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icial"/>
      <sheetName val="AGRINT"/>
      <sheetName val="CVU IND"/>
      <sheetName val="TERM"/>
      <sheetName val="TermicasContinuas"/>
      <sheetName val="Restricoes_Adicionais"/>
      <sheetName val="aux_restrições"/>
      <sheetName val="GERAL"/>
      <sheetName val="EOL Projetos"/>
      <sheetName val="UHE"/>
      <sheetName val="Integracao"/>
      <sheetName val="Renovaveis"/>
      <sheetName val="Fatores"/>
      <sheetName val="Demanda Pot"/>
      <sheetName val="Demanda NW"/>
      <sheetName val="aux_Demanda_EePt_Projeção"/>
      <sheetName val="aux_GD_E"/>
      <sheetName val="aux_GD_P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"/>
      <sheetName val="tab_comentarios"/>
      <sheetName val="constantes"/>
      <sheetName val="tab_parametros_anuais"/>
      <sheetName val="tab_Bloco_TE_RE_projetos"/>
      <sheetName val="tab_Tecnologias_TE_RE"/>
      <sheetName val="tab_UTE_existente"/>
      <sheetName val="tab_URE_existente"/>
      <sheetName val="tab_UHE_existente"/>
      <sheetName val="tab_UHE_projetos"/>
      <sheetName val="Plan1"/>
      <sheetName val="cod_desembolso"/>
      <sheetName val="tab_complexos_UHE"/>
      <sheetName val="tab_cod_categoria"/>
      <sheetName val="tab_tipo_Combustivel"/>
      <sheetName val="tab_custo_combustível"/>
      <sheetName val="EvoluçãoCombustíveis"/>
      <sheetName val="Mercado"/>
      <sheetName val="MercadoPonta"/>
      <sheetName val="GerNaoDesp"/>
      <sheetName val="tab_Demandas"/>
      <sheetName val="CompPerdasIntercambio"/>
      <sheetName val="tab_subsistemas"/>
      <sheetName val="tab_regioes"/>
      <sheetName val="tab_Fator_sazonalidade"/>
      <sheetName val="tab_Fator_sazonalidade2"/>
      <sheetName val="tab_tipo_expansao"/>
      <sheetName val="tab_periodos"/>
      <sheetName val="tab_PeriodoEstudo"/>
      <sheetName val="tab_FatorPontaHidro"/>
      <sheetName val="tab_corredor"/>
      <sheetName val="tab_Intercambio_existente"/>
      <sheetName val="tab_Intercambio_projetos"/>
      <sheetName val="Dados PDE2026"/>
    </sheetNames>
    <sheetDataSet>
      <sheetData sheetId="0"/>
      <sheetData sheetId="1"/>
      <sheetData sheetId="2">
        <row r="3">
          <cell r="B3">
            <v>0.08</v>
          </cell>
        </row>
        <row r="4">
          <cell r="B4">
            <v>3.9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1">
          <cell r="A1" t="str">
            <v>cod_desembolso</v>
          </cell>
        </row>
      </sheetData>
      <sheetData sheetId="12"/>
      <sheetData sheetId="13">
        <row r="2">
          <cell r="A2">
            <v>1</v>
          </cell>
          <cell r="B2" t="str">
            <v>UHE</v>
          </cell>
        </row>
        <row r="3">
          <cell r="A3">
            <v>2</v>
          </cell>
          <cell r="B3" t="str">
            <v>PCH</v>
          </cell>
        </row>
        <row r="4">
          <cell r="A4">
            <v>3</v>
          </cell>
          <cell r="B4" t="str">
            <v>Gás Natural</v>
          </cell>
        </row>
        <row r="5">
          <cell r="A5">
            <v>4</v>
          </cell>
          <cell r="B5" t="str">
            <v>Carvão</v>
          </cell>
        </row>
        <row r="6">
          <cell r="A6">
            <v>5</v>
          </cell>
          <cell r="B6" t="str">
            <v>Nuclear</v>
          </cell>
        </row>
        <row r="7">
          <cell r="A7">
            <v>6</v>
          </cell>
          <cell r="B7" t="str">
            <v>Óleos Comb</v>
          </cell>
        </row>
        <row r="8">
          <cell r="A8">
            <v>7</v>
          </cell>
          <cell r="B8" t="str">
            <v>Biomassa</v>
          </cell>
        </row>
        <row r="9">
          <cell r="A9">
            <v>8</v>
          </cell>
          <cell r="B9" t="str">
            <v>Eólica</v>
          </cell>
        </row>
        <row r="10">
          <cell r="A10">
            <v>9</v>
          </cell>
          <cell r="B10" t="str">
            <v>Solar</v>
          </cell>
        </row>
        <row r="11">
          <cell r="A11">
            <v>10</v>
          </cell>
          <cell r="B11" t="str">
            <v>Outros</v>
          </cell>
        </row>
        <row r="12">
          <cell r="A12">
            <v>11</v>
          </cell>
          <cell r="B12" t="str">
            <v>Oceano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"/>
      <sheetName val="tab_comentarios"/>
      <sheetName val="constantes"/>
      <sheetName val="tab_parametros_anuais"/>
      <sheetName val="tab_Bloco_TE_RE_projetos"/>
      <sheetName val="tab_Tecnologias_TE_RE"/>
      <sheetName val="tab_UTE_existente"/>
      <sheetName val="tab_URE_existente"/>
      <sheetName val="tab_UHE_existente"/>
      <sheetName val="Plan1"/>
      <sheetName val="tab_UHE_projetos"/>
      <sheetName val="cod_desembolso"/>
      <sheetName val="tab_complexos_UHE"/>
      <sheetName val="tab_cod_categoria"/>
      <sheetName val="tab_custo_combustível"/>
      <sheetName val="tab_tipo_Combustivel"/>
      <sheetName val="EvoluçãoCombustíveis"/>
      <sheetName val="Mercado"/>
      <sheetName val="MercadoPonta"/>
      <sheetName val="GerNaoDesp"/>
      <sheetName val="tab_Demandas"/>
      <sheetName val="CompPerdasIntercambio"/>
      <sheetName val="tab_subsistemas"/>
      <sheetName val="tab_regioes"/>
      <sheetName val="tab_Fator_sazonalidade"/>
      <sheetName val="tab_Fator_sazonalidade2"/>
      <sheetName val="tab_tipo_expansao"/>
      <sheetName val="tab_periodos"/>
      <sheetName val="tab_PeriodoEstudo"/>
      <sheetName val="tab_FatorPontaHidro"/>
      <sheetName val="tab_corredor"/>
      <sheetName val="tab_Intercambio_existente"/>
      <sheetName val="tab_Intercambio_projetos"/>
      <sheetName val="Dados PDE2026"/>
    </sheetNames>
    <sheetDataSet>
      <sheetData sheetId="0"/>
      <sheetData sheetId="1"/>
      <sheetData sheetId="2">
        <row r="12">
          <cell r="B1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"/>
      <sheetName val="tab_comentarios"/>
      <sheetName val="constantes"/>
      <sheetName val="tab_parametros_anuais"/>
      <sheetName val="tab_Bloco_TE_RE_projetos"/>
      <sheetName val="tab_Tecnologias_TE_RE"/>
      <sheetName val="tab_UTE_existente"/>
      <sheetName val="tab_URE_existente"/>
      <sheetName val="tab_UHE_existente"/>
      <sheetName val="tab_UHE_projetos"/>
      <sheetName val="Plan1"/>
      <sheetName val="cod_desembolso"/>
      <sheetName val="tab_complexos_UHE"/>
      <sheetName val="tab_cod_categoria"/>
      <sheetName val="tab_tipo_Combustivel"/>
      <sheetName val="tab_custo_combustível"/>
      <sheetName val="EvoluçãoCombustíveis"/>
      <sheetName val="Mercado"/>
      <sheetName val="MercadoPonta"/>
      <sheetName val="GerNaoDesp"/>
      <sheetName val="tab_Demandas"/>
      <sheetName val="CompPerdasIntercambio"/>
      <sheetName val="tab_subsistemas"/>
      <sheetName val="tab_regioes"/>
      <sheetName val="tab_Fator_sazonalidade"/>
      <sheetName val="tab_Fator_sazonalidade2"/>
      <sheetName val="tab_tipo_expansao"/>
      <sheetName val="tab_periodos"/>
      <sheetName val="tab_PeriodoEstudo"/>
      <sheetName val="tab_FatorPontaHidro"/>
      <sheetName val="tab_corredor"/>
      <sheetName val="tab_Intercambio_existente"/>
      <sheetName val="tab_Intercambio_projetos"/>
      <sheetName val="Dados PDE2026"/>
    </sheetNames>
    <sheetDataSet>
      <sheetData sheetId="0"/>
      <sheetData sheetId="1"/>
      <sheetData sheetId="2">
        <row r="4">
          <cell r="B4">
            <v>3.9</v>
          </cell>
        </row>
        <row r="10">
          <cell r="B10">
            <v>50</v>
          </cell>
        </row>
        <row r="12">
          <cell r="B1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>
        <row r="2">
          <cell r="A2">
            <v>1</v>
          </cell>
          <cell r="B2" t="str">
            <v>opcional</v>
          </cell>
        </row>
        <row r="3">
          <cell r="A3">
            <v>2</v>
          </cell>
          <cell r="B3" t="str">
            <v>obrigatoria</v>
          </cell>
        </row>
        <row r="4">
          <cell r="A4">
            <v>3</v>
          </cell>
          <cell r="B4" t="str">
            <v>não_considerar</v>
          </cell>
        </row>
      </sheetData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"/>
      <sheetName val="tab_comentarios"/>
      <sheetName val="constantes"/>
      <sheetName val="tab_parametros_anuais"/>
      <sheetName val="tab_Bloco_TE_RE_projetos"/>
      <sheetName val="tab_Tecnologias_TE_RE"/>
      <sheetName val="tab_UTE_existente"/>
      <sheetName val="tab_URE_existente"/>
      <sheetName val="tab_UHE_existente"/>
      <sheetName val="tab_UHE_projetos"/>
      <sheetName val="Plan1"/>
      <sheetName val="cod_desembolso"/>
      <sheetName val="tab_complexos_UHE"/>
      <sheetName val="tab_cod_categoria"/>
      <sheetName val="tab_tipo_Combustivel"/>
      <sheetName val="tab_custo_combustível"/>
      <sheetName val="EvoluçãoCombustíveis"/>
      <sheetName val="Mercado"/>
      <sheetName val="MercadoPonta"/>
      <sheetName val="GerNaoDesp"/>
      <sheetName val="tab_Demandas"/>
      <sheetName val="CompPerdasIntercambio"/>
      <sheetName val="tab_subsistemas"/>
      <sheetName val="tab_regioes"/>
      <sheetName val="tab_Fator_sazonalidade"/>
      <sheetName val="tab_Fator_sazonalidade2"/>
      <sheetName val="tab_tipo_expansao"/>
      <sheetName val="tab_periodos"/>
      <sheetName val="tab_PeriodoEstudo"/>
      <sheetName val="tab_FatorPontaHidro"/>
      <sheetName val="tab_corredor"/>
      <sheetName val="tab_Intercambio_existente"/>
      <sheetName val="tab_Intercambio_projetos"/>
      <sheetName val="Dados PDE202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>
        <row r="2">
          <cell r="B2">
            <v>2012</v>
          </cell>
        </row>
        <row r="3">
          <cell r="B3">
            <v>2013</v>
          </cell>
        </row>
        <row r="4">
          <cell r="B4">
            <v>2014</v>
          </cell>
        </row>
        <row r="5">
          <cell r="B5">
            <v>2015</v>
          </cell>
        </row>
        <row r="6">
          <cell r="B6">
            <v>2016</v>
          </cell>
        </row>
        <row r="7">
          <cell r="B7">
            <v>2017</v>
          </cell>
        </row>
        <row r="8">
          <cell r="B8">
            <v>2018</v>
          </cell>
        </row>
        <row r="9">
          <cell r="B9">
            <v>2019</v>
          </cell>
        </row>
        <row r="10">
          <cell r="B10">
            <v>2020</v>
          </cell>
        </row>
        <row r="11">
          <cell r="B11">
            <v>2021</v>
          </cell>
        </row>
        <row r="12">
          <cell r="B12">
            <v>2022</v>
          </cell>
        </row>
        <row r="13">
          <cell r="B13">
            <v>2023</v>
          </cell>
        </row>
        <row r="14">
          <cell r="B14">
            <v>2024</v>
          </cell>
        </row>
        <row r="15">
          <cell r="B15">
            <v>2025</v>
          </cell>
        </row>
        <row r="16">
          <cell r="B16">
            <v>2026</v>
          </cell>
        </row>
        <row r="17">
          <cell r="B17">
            <v>2027</v>
          </cell>
        </row>
        <row r="18">
          <cell r="B18">
            <v>2028</v>
          </cell>
        </row>
        <row r="19">
          <cell r="B19">
            <v>2029</v>
          </cell>
        </row>
        <row r="20">
          <cell r="B20">
            <v>2030</v>
          </cell>
        </row>
        <row r="21">
          <cell r="B21">
            <v>2031</v>
          </cell>
        </row>
        <row r="22">
          <cell r="B22">
            <v>2032</v>
          </cell>
        </row>
        <row r="23">
          <cell r="B23">
            <v>2033</v>
          </cell>
        </row>
        <row r="24">
          <cell r="B24">
            <v>2034</v>
          </cell>
        </row>
        <row r="25">
          <cell r="B25">
            <v>2035</v>
          </cell>
        </row>
        <row r="26">
          <cell r="B26">
            <v>2036</v>
          </cell>
        </row>
        <row r="27">
          <cell r="B27">
            <v>2037</v>
          </cell>
        </row>
        <row r="28">
          <cell r="B28">
            <v>2038</v>
          </cell>
        </row>
        <row r="29">
          <cell r="B29">
            <v>2039</v>
          </cell>
        </row>
        <row r="30">
          <cell r="B30">
            <v>2040</v>
          </cell>
        </row>
        <row r="31">
          <cell r="B31">
            <v>2041</v>
          </cell>
        </row>
        <row r="32">
          <cell r="B32">
            <v>2042</v>
          </cell>
        </row>
        <row r="33">
          <cell r="B33">
            <v>2043</v>
          </cell>
        </row>
        <row r="34">
          <cell r="B34">
            <v>2044</v>
          </cell>
        </row>
        <row r="35">
          <cell r="B35">
            <v>2045</v>
          </cell>
        </row>
        <row r="36">
          <cell r="B36">
            <v>2046</v>
          </cell>
        </row>
        <row r="37">
          <cell r="B37">
            <v>2047</v>
          </cell>
        </row>
        <row r="38">
          <cell r="B38">
            <v>2048</v>
          </cell>
        </row>
        <row r="39">
          <cell r="B39">
            <v>2049</v>
          </cell>
        </row>
        <row r="40">
          <cell r="B40">
            <v>2050</v>
          </cell>
        </row>
      </sheetData>
      <sheetData sheetId="29"/>
      <sheetData sheetId="30"/>
      <sheetData sheetId="31"/>
      <sheetData sheetId="32"/>
      <sheetData sheetId="33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"/>
      <sheetName val="tab_comentarios"/>
      <sheetName val="constantes"/>
      <sheetName val="tab_parametros_anuais"/>
      <sheetName val="tab_Bloco_TE_RE_projetos"/>
      <sheetName val="tab_Tecnologias_TE_RE"/>
      <sheetName val="tab_UTE_existente"/>
      <sheetName val="tab_URE_existente"/>
      <sheetName val="tab_UHE_existente"/>
      <sheetName val="Plan1"/>
      <sheetName val="tab_UHE_projetos"/>
      <sheetName val="cod_desembolso"/>
      <sheetName val="tab_complexos_UHE"/>
      <sheetName val="tab_cod_categoria"/>
      <sheetName val="tab_custo_combustível"/>
      <sheetName val="tab_tipo_Combustivel"/>
      <sheetName val="EvoluçãoCombustíveis"/>
      <sheetName val="Mercado"/>
      <sheetName val="MercadoPonta"/>
      <sheetName val="GerNaoDesp"/>
      <sheetName val="tab_Demandas"/>
      <sheetName val="CompPerdasIntercambio"/>
      <sheetName val="tab_subsistemas"/>
      <sheetName val="tab_regioes"/>
      <sheetName val="tab_Fator_sazonalidade"/>
      <sheetName val="tab_Fator_sazonalidade2"/>
      <sheetName val="tab_tipo_expansao"/>
      <sheetName val="tab_periodos"/>
      <sheetName val="tab_PeriodoEstudo"/>
      <sheetName val="tab_FatorPontaHidro"/>
      <sheetName val="tab_corredor"/>
      <sheetName val="tab_Intercambio_existente"/>
      <sheetName val="tab_Intercambio_projetos"/>
      <sheetName val="Dados PDE202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>
        <row r="2">
          <cell r="B2">
            <v>2012</v>
          </cell>
        </row>
      </sheetData>
      <sheetData sheetId="29"/>
      <sheetData sheetId="30">
        <row r="2">
          <cell r="A2">
            <v>801</v>
          </cell>
          <cell r="B2" t="str">
            <v>SE-Sul</v>
          </cell>
          <cell r="C2">
            <v>1</v>
          </cell>
          <cell r="D2">
            <v>2</v>
          </cell>
        </row>
        <row r="3">
          <cell r="A3">
            <v>802</v>
          </cell>
          <cell r="B3" t="str">
            <v>SE-NE</v>
          </cell>
          <cell r="C3">
            <v>1</v>
          </cell>
          <cell r="D3">
            <v>3</v>
          </cell>
        </row>
        <row r="4">
          <cell r="A4">
            <v>803</v>
          </cell>
          <cell r="B4" t="str">
            <v>SE-Itaipu</v>
          </cell>
          <cell r="C4">
            <v>1</v>
          </cell>
          <cell r="D4">
            <v>5</v>
          </cell>
        </row>
        <row r="5">
          <cell r="A5">
            <v>804</v>
          </cell>
          <cell r="B5" t="str">
            <v>SE-Ivaip</v>
          </cell>
          <cell r="C5">
            <v>1</v>
          </cell>
          <cell r="D5">
            <v>100</v>
          </cell>
        </row>
        <row r="6">
          <cell r="A6">
            <v>805</v>
          </cell>
          <cell r="B6" t="str">
            <v>SE-Imp</v>
          </cell>
          <cell r="C6">
            <v>1</v>
          </cell>
          <cell r="D6">
            <v>200</v>
          </cell>
        </row>
        <row r="7">
          <cell r="A7">
            <v>806</v>
          </cell>
          <cell r="B7" t="str">
            <v>Sul-Itaipu</v>
          </cell>
          <cell r="C7">
            <v>2</v>
          </cell>
          <cell r="D7">
            <v>5</v>
          </cell>
        </row>
        <row r="8">
          <cell r="A8">
            <v>807</v>
          </cell>
          <cell r="B8" t="str">
            <v>Sul-Ivaip</v>
          </cell>
          <cell r="C8">
            <v>2</v>
          </cell>
          <cell r="D8">
            <v>100</v>
          </cell>
        </row>
        <row r="9">
          <cell r="A9">
            <v>808</v>
          </cell>
          <cell r="B9" t="str">
            <v>NE-Imp</v>
          </cell>
          <cell r="C9">
            <v>3</v>
          </cell>
          <cell r="D9">
            <v>200</v>
          </cell>
        </row>
        <row r="10">
          <cell r="A10">
            <v>809</v>
          </cell>
          <cell r="B10" t="str">
            <v>N-Manaus</v>
          </cell>
          <cell r="C10">
            <v>4</v>
          </cell>
          <cell r="D10">
            <v>7</v>
          </cell>
        </row>
        <row r="11">
          <cell r="A11">
            <v>810</v>
          </cell>
          <cell r="B11" t="str">
            <v>N-Imp</v>
          </cell>
          <cell r="C11">
            <v>4</v>
          </cell>
          <cell r="D11">
            <v>200</v>
          </cell>
        </row>
        <row r="12">
          <cell r="A12">
            <v>811</v>
          </cell>
          <cell r="B12" t="str">
            <v>Itaipu-Ivaip</v>
          </cell>
          <cell r="C12">
            <v>5</v>
          </cell>
          <cell r="D12">
            <v>100</v>
          </cell>
        </row>
        <row r="13">
          <cell r="A13">
            <v>812</v>
          </cell>
          <cell r="B13" t="str">
            <v>AC/RO/Mad-SE</v>
          </cell>
          <cell r="C13">
            <v>6</v>
          </cell>
          <cell r="D13">
            <v>1</v>
          </cell>
        </row>
        <row r="14">
          <cell r="A14">
            <v>813</v>
          </cell>
          <cell r="B14" t="str">
            <v>Manaus-AC/RO/Mad</v>
          </cell>
          <cell r="C14">
            <v>7</v>
          </cell>
          <cell r="D14">
            <v>6</v>
          </cell>
        </row>
        <row r="15">
          <cell r="A15">
            <v>814</v>
          </cell>
          <cell r="B15" t="str">
            <v>Tap-N</v>
          </cell>
          <cell r="C15">
            <v>9</v>
          </cell>
          <cell r="D15">
            <v>4</v>
          </cell>
        </row>
        <row r="16">
          <cell r="A16">
            <v>815</v>
          </cell>
          <cell r="B16" t="str">
            <v>Tap-SE/CO</v>
          </cell>
          <cell r="C16">
            <v>9</v>
          </cell>
          <cell r="D16">
            <v>1</v>
          </cell>
        </row>
        <row r="17">
          <cell r="A17">
            <v>816</v>
          </cell>
          <cell r="B17" t="str">
            <v>TelesP-SE</v>
          </cell>
          <cell r="C17">
            <v>10</v>
          </cell>
          <cell r="D17">
            <v>1</v>
          </cell>
        </row>
        <row r="18">
          <cell r="A18">
            <v>817</v>
          </cell>
          <cell r="B18" t="str">
            <v>N-SE/CO</v>
          </cell>
          <cell r="C18">
            <v>4</v>
          </cell>
          <cell r="D18">
            <v>1</v>
          </cell>
        </row>
      </sheetData>
      <sheetData sheetId="31"/>
      <sheetData sheetId="32"/>
      <sheetData sheetId="33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arcos Ribeiro Conde" refreshedDate="43647.680769675928" createdVersion="4" refreshedVersion="4" minRefreshableVersion="3" recordCount="192" xr:uid="{00000000-000A-0000-FFFF-FFFF55000000}">
  <cacheSource type="worksheet">
    <worksheetSource ref="A1:BG193" sheet="tab_UHE_projetos"/>
  </cacheSource>
  <cacheFields count="59">
    <cacheField name="cod_projeto_UHE" numFmtId="0">
      <sharedItems containsSemiMixedTypes="0" containsString="0" containsNumber="1" containsInteger="1" minValue="1001" maxValue="1301"/>
    </cacheField>
    <cacheField name="cod_NW" numFmtId="0">
      <sharedItems containsSemiMixedTypes="0" containsString="0" containsNumber="1" containsInteger="1" minValue="1001" maxValue="1301"/>
    </cacheField>
    <cacheField name="Nome_NW" numFmtId="0">
      <sharedItems/>
    </cacheField>
    <cacheField name="nome" numFmtId="0">
      <sharedItems/>
    </cacheField>
    <cacheField name="Potencia" numFmtId="1">
      <sharedItems containsSemiMixedTypes="0" containsString="0" containsNumber="1" minValue="1" maxValue="8040"/>
    </cacheField>
    <cacheField name="Bacia" numFmtId="0">
      <sharedItems containsBlank="1"/>
    </cacheField>
    <cacheField name="Rio" numFmtId="0">
      <sharedItems containsBlank="1"/>
    </cacheField>
    <cacheField name="Latitude" numFmtId="0">
      <sharedItems containsString="0" containsBlank="1" containsNumber="1" minValue="-62.174236999999998" maxValue="-39.184659000000003"/>
    </cacheField>
    <cacheField name="Longitude" numFmtId="0">
      <sharedItems containsString="0" containsBlank="1" containsNumber="1" minValue="-29.608886999999999" maxValue="2.940833"/>
    </cacheField>
    <cacheField name="UF_SMA" numFmtId="0">
      <sharedItems/>
    </cacheField>
    <cacheField name="UF" numFmtId="0">
      <sharedItems/>
    </cacheField>
    <cacheField name="cod_subsistema" numFmtId="0">
      <sharedItems containsSemiMixedTypes="0" containsString="0" containsNumber="1" containsInteger="1" minValue="1" maxValue="10"/>
    </cacheField>
    <cacheField name="cod_complexo" numFmtId="0">
      <sharedItems containsNonDate="0" containsString="0" containsBlank="1"/>
    </cacheField>
    <cacheField name="TEIF" numFmtId="167">
      <sharedItems containsSemiMixedTypes="0" containsString="0" containsNumber="1" minValue="1.6379999999999999E-2" maxValue="2.1330000000000002E-2"/>
    </cacheField>
    <cacheField name="IP" numFmtId="167">
      <sharedItems containsSemiMixedTypes="0" containsString="0" containsNumber="1" minValue="3.6880000000000003E-2" maxValue="6.1409999999999999E-2"/>
    </cacheField>
    <cacheField name="FC_Firme" numFmtId="2">
      <sharedItems containsSemiMixedTypes="0" containsString="0" containsNumber="1" minValue="0.35690316395014376" maxValue="2.3483262520525452"/>
    </cacheField>
    <cacheField name="Efirme_ano" numFmtId="166">
      <sharedItems containsSemiMixedTypes="0" containsString="0" containsNumber="1" minValue="0.54455888158338783" maxValue="3772.1969196428568"/>
    </cacheField>
    <cacheField name="PI-EF" numFmtId="166">
      <sharedItems containsSemiMixedTypes="0" containsString="0" containsNumber="1" minValue="-195.50730654761907" maxValue="4267.8030803571437"/>
    </cacheField>
    <cacheField name="Efirme_trim1" numFmtId="2">
      <sharedItems containsSemiMixedTypes="0" containsString="0" containsNumber="1" minValue="0.51274816274463664" maxValue="5904.6166666666659"/>
    </cacheField>
    <cacheField name="Efirme_trim2" numFmtId="2">
      <sharedItems containsSemiMixedTypes="0" containsString="0" containsNumber="1" minValue="0.50865090613562824" maxValue="5664.5035119047616"/>
    </cacheField>
    <cacheField name="Efirme_trim3" numFmtId="2">
      <sharedItems containsSemiMixedTypes="0" containsString="0" containsNumber="1" minValue="0.59339865393857982" maxValue="1382.50125"/>
    </cacheField>
    <cacheField name="Efirme_trim4" numFmtId="2">
      <sharedItems containsSemiMixedTypes="0" containsString="0" containsNumber="1" minValue="0.56343780351470685" maxValue="2137.1662500000002"/>
    </cacheField>
    <cacheField name="FC_Medio" numFmtId="2">
      <sharedItems containsSemiMixedTypes="0" containsString="0" containsNumber="1" minValue="0.35025977102250283" maxValue="2.5995870182555789"/>
    </cacheField>
    <cacheField name="Emedia_ano" numFmtId="166">
      <sharedItems containsSemiMixedTypes="0" containsString="0" containsNumber="1" minValue="0.54455888158338783" maxValue="3515.5964803921565"/>
    </cacheField>
    <cacheField name="EM-EF" numFmtId="166">
      <sharedItems containsSemiMixedTypes="0" containsString="0" containsNumber="1" minValue="-256.60043925070022" maxValue="102.38497934173643"/>
    </cacheField>
    <cacheField name="Emedia_trim1" numFmtId="2">
      <sharedItems containsSemiMixedTypes="0" containsString="0" containsNumber="1" minValue="0.51274816274463664" maxValue="5584.3556470588219"/>
    </cacheField>
    <cacheField name="Emedia_trim2" numFmtId="2">
      <sharedItems containsSemiMixedTypes="0" containsString="0" containsNumber="1" minValue="0.50865090613562824" maxValue="5098.2280000000001"/>
    </cacheField>
    <cacheField name="Emedia_trim3" numFmtId="2">
      <sharedItems containsSemiMixedTypes="0" containsString="0" containsNumber="1" minValue="0.59339865393857982" maxValue="1340.2716078431374"/>
    </cacheField>
    <cacheField name="Emedia_trim4" numFmtId="2">
      <sharedItems containsSemiMixedTypes="0" containsString="0" containsNumber="1" minValue="0.56343780351470685" maxValue="2039.5306666666668"/>
    </cacheField>
    <cacheField name="cod_expansao" numFmtId="1">
      <sharedItems containsSemiMixedTypes="0" containsString="0" containsNumber="1" containsInteger="1" minValue="1" maxValue="3"/>
    </cacheField>
    <cacheField name="tipo_expansão" numFmtId="0">
      <sharedItems/>
    </cacheField>
    <cacheField name="data_minima" numFmtId="0">
      <sharedItems containsSemiMixedTypes="0" containsString="0" containsNumber="1" containsInteger="1" minValue="2015" maxValue="2030"/>
    </cacheField>
    <cacheField name="data_maxima" numFmtId="0">
      <sharedItems containsSemiMixedTypes="0" containsString="0" containsNumber="1" containsInteger="1" minValue="2100" maxValue="2100"/>
    </cacheField>
    <cacheField name="vida_util_UHE" numFmtId="0">
      <sharedItems containsSemiMixedTypes="0" containsString="0" containsNumber="1" containsInteger="1" minValue="30" maxValue="30"/>
    </cacheField>
    <cacheField name="custo_capital" numFmtId="3">
      <sharedItems containsSemiMixedTypes="0" containsString="0" containsNumber="1" minValue="5.97" maxValue="31645.542746479408"/>
    </cacheField>
    <cacheField name="Custo (U$/kW)" numFmtId="1">
      <sharedItems containsSemiMixedTypes="0" containsString="0" containsNumber="1" minValue="1009.2340460032979" maxValue="11820.087098314603"/>
    </cacheField>
    <cacheField name="Custo (R$/kW)" numFmtId="0">
      <sharedItems containsSemiMixedTypes="0" containsString="0" containsNumber="1" minValue="3936.0127794128616" maxValue="46098.339683426952"/>
    </cacheField>
    <cacheField name="cod_desembolso" numFmtId="1">
      <sharedItems containsSemiMixedTypes="0" containsString="0" containsNumber="1" containsInteger="1" minValue="2" maxValue="6"/>
    </cacheField>
    <cacheField name="custo_conexão" numFmtId="2">
      <sharedItems containsSemiMixedTypes="0" containsString="0" containsNumber="1" containsInteger="1" minValue="0" maxValue="0"/>
    </cacheField>
    <cacheField name="custo_ambiental" numFmtId="0">
      <sharedItems containsNonDate="0" containsString="0" containsBlank="1"/>
    </cacheField>
    <cacheField name="custo total" numFmtId="2">
      <sharedItems containsSemiMixedTypes="0" containsString="0" containsNumber="1" minValue="5.97" maxValue="31645.542746479408"/>
    </cacheField>
    <cacheField name="custo new" numFmtId="0">
      <sharedItems containsNonDate="0" containsString="0" containsBlank="1"/>
    </cacheField>
    <cacheField name="Custo Unitario" numFmtId="166">
      <sharedItems containsSemiMixedTypes="0" containsString="0" containsNumber="1" minValue="3936.0127794128616" maxValue="46098.339683426952"/>
    </cacheField>
    <cacheField name="ICD" numFmtId="169">
      <sharedItems containsSemiMixedTypes="0" containsString="0" containsNumber="1" minValue="1.07328" maxValue="1.1255071012622904"/>
    </cacheField>
    <cacheField name="C0" numFmtId="3">
      <sharedItems containsSemiMixedTypes="0" containsString="0" containsNumber="1" minValue="6.4074815999999997" maxValue="34909.9038140989"/>
    </cacheField>
    <cacheField name="FRC" numFmtId="170">
      <sharedItems containsSemiMixedTypes="0" containsString="0" containsNumber="1" minValue="8.8827433387272267E-2" maxValue="8.8827433387272267E-2"/>
    </cacheField>
    <cacheField name="R (M R$/ano)" numFmtId="3">
      <sharedItems containsSemiMixedTypes="0" containsString="0" containsNumber="1" minValue="0.66916014500417265" maxValue="3502.9571556029518"/>
    </cacheField>
    <cacheField name="Vp" numFmtId="3">
      <sharedItems containsSemiMixedTypes="0" containsString="0" containsNumber="1" minValue="8.3645018125521577" maxValue="43786.964445036894"/>
    </cacheField>
    <cacheField name="custo_investimento" numFmtId="1">
      <sharedItems containsSemiMixedTypes="0" containsString="0" containsNumber="1" minValue="0.60266079474501977" maxValue="3154.8426174428919"/>
    </cacheField>
    <cacheField name="custoOMfixo" numFmtId="166">
      <sharedItems containsSemiMixedTypes="0" containsString="0" containsNumber="1" minValue="0.1" maxValue="402"/>
    </cacheField>
    <cacheField name="custoOMvar" numFmtId="2">
      <sharedItems containsSemiMixedTypes="0" containsString="0" containsNumber="1" containsInteger="1" minValue="0" maxValue="0"/>
    </cacheField>
    <cacheField name="cod_tecnologia" numFmtId="1">
      <sharedItems containsSemiMixedTypes="0" containsString="0" containsNumber="1" containsInteger="1" minValue="318" maxValue="319"/>
    </cacheField>
    <cacheField name="Classificação PLANEL" numFmtId="1">
      <sharedItems containsNonDate="0" containsString="0" containsBlank="1"/>
    </cacheField>
    <cacheField name="SMA" numFmtId="0">
      <sharedItems containsBlank="1" count="6">
        <s v="Interfere em TI ou TQ"/>
        <s v="Interfere em UC de PI"/>
        <s v="Interfere em UC de US"/>
        <s v="Não interfere em UC, TI e TQ"/>
        <s v="PDE 2026"/>
        <m/>
      </sharedItems>
    </cacheField>
    <cacheField name="Comentário" numFmtId="0">
      <sharedItems containsNonDate="0" containsString="0" containsBlank="1"/>
    </cacheField>
    <cacheField name="Cenário 1 SMA - cod exp." numFmtId="1">
      <sharedItems containsString="0" containsBlank="1" containsNumber="1" containsInteger="1" minValue="1" maxValue="1"/>
    </cacheField>
    <cacheField name="Cenário 1 SMA - Data mínima" numFmtId="0">
      <sharedItems containsString="0" containsBlank="1" containsNumber="1" containsInteger="1" minValue="2022" maxValue="2035"/>
    </cacheField>
    <cacheField name="Cenário 2 SMA - cod exp." numFmtId="0">
      <sharedItems containsString="0" containsBlank="1" containsNumber="1" containsInteger="1" minValue="1" maxValue="3"/>
    </cacheField>
    <cacheField name="Cenário 2 SMA - Data mínima" numFmtId="0">
      <sharedItems containsString="0" containsBlank="1" containsNumber="1" containsInteger="1" minValue="2022" maxValue="2050" count="9">
        <n v="2050"/>
        <n v="2030"/>
        <n v="2027"/>
        <n v="2026"/>
        <n v="2022"/>
        <n v="2025"/>
        <n v="2023"/>
        <n v="2024"/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92">
  <r>
    <n v="1017"/>
    <n v="1017"/>
    <s v="Apiaká-Kayabi (PEX-093)"/>
    <s v="Apiaká-Kayabi (PEX-093)"/>
    <n v="206"/>
    <s v="Amazônica"/>
    <s v="Peixes"/>
    <n v="-57.317599999999999"/>
    <n v="-10.940340000000001"/>
    <s v="MT"/>
    <s v="MT"/>
    <n v="10"/>
    <m/>
    <n v="1.6379999999999999E-2"/>
    <n v="6.1409999999999999E-2"/>
    <n v="0.54719060621821547"/>
    <n v="112.72126488095239"/>
    <n v="93.27873511904761"/>
    <n v="181.12428571428572"/>
    <n v="160.93250000000003"/>
    <n v="37.609166666666667"/>
    <n v="71.219107142857141"/>
    <n v="0.52646068913002109"/>
    <n v="108.45090196078435"/>
    <n v="-4.27036292016804"/>
    <n v="179.21196078431385"/>
    <n v="147.04239215686277"/>
    <n v="37.09901960784314"/>
    <n v="70.450235294117604"/>
    <n v="3"/>
    <s v="não_considerar"/>
    <n v="2022"/>
    <n v="2100"/>
    <n v="30"/>
    <n v="1558.7032538911642"/>
    <n v="1940.1334999890021"/>
    <n v="7566.5206499571077"/>
    <n v="2"/>
    <n v="0"/>
    <m/>
    <n v="1558.7032538911642"/>
    <m/>
    <n v="7566.5206499571077"/>
    <n v="1.1245293369208682"/>
    <n v="1752.8075365546306"/>
    <n v="8.8827433387272267E-2"/>
    <n v="165.99739469401527"/>
    <n v="2074.9674336751909"/>
    <n v="149.5010163991075"/>
    <n v="10.3"/>
    <n v="0"/>
    <n v="318"/>
    <m/>
    <x v="0"/>
    <m/>
    <n v="1"/>
    <n v="2035"/>
    <n v="3"/>
    <x v="0"/>
  </r>
  <r>
    <n v="1018"/>
    <n v="1018"/>
    <s v="Arraias"/>
    <s v="Arraias"/>
    <n v="70"/>
    <s v="Tocantins-Araguaia"/>
    <s v="Palma"/>
    <n v="-47.451388999999999"/>
    <n v="-12.425833000000001"/>
    <s v="TO"/>
    <s v="TO"/>
    <n v="1"/>
    <m/>
    <n v="1.9820000000000001E-2"/>
    <n v="5.2919999999999995E-2"/>
    <n v="0.56843409863945571"/>
    <n v="39.790386904761903"/>
    <n v="30.209613095238097"/>
    <n v="45.309047619047618"/>
    <n v="41.534642857142863"/>
    <n v="34.323749999999997"/>
    <n v="37.994107142857139"/>
    <n v="0.64590798319327725"/>
    <n v="45.213558823529411"/>
    <n v="5.4231719187675083"/>
    <n v="59.646156862745052"/>
    <n v="45.32494117647061"/>
    <n v="33.974862745098051"/>
    <n v="41.908274509803931"/>
    <n v="3"/>
    <s v="não_considerar"/>
    <n v="2022"/>
    <n v="2100"/>
    <n v="30"/>
    <n v="1010.4394724151807"/>
    <n v="3701.243488700296"/>
    <n v="14434.849605931155"/>
    <n v="2"/>
    <n v="0"/>
    <m/>
    <n v="1010.4394724151807"/>
    <m/>
    <n v="14434.849605931153"/>
    <n v="1.1245293369208682"/>
    <n v="1136.2688299137151"/>
    <n v="8.8827433387272267E-2"/>
    <n v="104.43184379919433"/>
    <n v="1305.398047489929"/>
    <n v="94.053685729172898"/>
    <n v="3.5"/>
    <n v="0"/>
    <n v="318"/>
    <m/>
    <x v="0"/>
    <m/>
    <n v="1"/>
    <n v="2035"/>
    <n v="3"/>
    <x v="0"/>
  </r>
  <r>
    <n v="1023"/>
    <n v="1023"/>
    <s v="Barra do Palma"/>
    <s v="Barra do Palma"/>
    <n v="85"/>
    <s v="Tocantins-Araguaia"/>
    <s v="Palma"/>
    <n v="-47.802287"/>
    <n v="-12.610586"/>
    <s v="TO"/>
    <s v="TO"/>
    <n v="1"/>
    <m/>
    <n v="1.9820000000000001E-2"/>
    <n v="5.2919999999999995E-2"/>
    <n v="0.56254866946778703"/>
    <n v="47.8166369047619"/>
    <n v="37.1833630952381"/>
    <n v="50.101428571428563"/>
    <n v="50.153214285714284"/>
    <n v="44.884999999999998"/>
    <n v="46.126904761904768"/>
    <n v="0.64140553633217978"/>
    <n v="54.519470588235279"/>
    <n v="6.7028336834733793"/>
    <n v="71.135764705882309"/>
    <n v="54.722156862745088"/>
    <n v="42.538509803921563"/>
    <n v="49.68145098039215"/>
    <n v="3"/>
    <s v="não_considerar"/>
    <n v="2022"/>
    <n v="2100"/>
    <n v="30"/>
    <n v="1171.3231681199093"/>
    <n v="3533.4032220811741"/>
    <n v="13780.272566116579"/>
    <n v="2"/>
    <n v="0"/>
    <m/>
    <n v="1171.3231681199093"/>
    <m/>
    <n v="13780.272566116579"/>
    <n v="1.1245293369208682"/>
    <n v="1317.1872655659322"/>
    <n v="8.8827433387272267E-2"/>
    <n v="121.25236409062114"/>
    <n v="1515.6545511327643"/>
    <n v="109.20262758193792"/>
    <n v="4.25"/>
    <n v="0"/>
    <n v="318"/>
    <m/>
    <x v="0"/>
    <m/>
    <n v="1"/>
    <n v="2035"/>
    <n v="3"/>
    <x v="0"/>
  </r>
  <r>
    <n v="1032"/>
    <n v="1032"/>
    <s v="Buritizal"/>
    <s v="Buritizal"/>
    <n v="42.8"/>
    <s v="Tocantins-Araguaia"/>
    <s v="Mortes"/>
    <n v="-53.854004000000003"/>
    <n v="-15.254529"/>
    <s v="MT"/>
    <s v="MT"/>
    <n v="1"/>
    <m/>
    <n v="2.068E-2"/>
    <n v="4.6600000000000003E-2"/>
    <n v="0.532119300920186"/>
    <n v="22.774706079383957"/>
    <n v="20.02529392061604"/>
    <n v="28.540554004885895"/>
    <n v="25.054269468380525"/>
    <n v="17.772287221096448"/>
    <n v="19.731713623172965"/>
    <n v="0.56765074645560576"/>
    <n v="24.295451948299924"/>
    <n v="1.5207458689159665"/>
    <n v="31.755492686810346"/>
    <n v="26.418389649331218"/>
    <n v="18.188624802016164"/>
    <n v="20.819300655041971"/>
    <n v="3"/>
    <s v="não_considerar"/>
    <n v="2022"/>
    <n v="2100"/>
    <n v="30"/>
    <n v="403.2823462702126"/>
    <n v="2416.0217245998842"/>
    <n v="9422.4847259395483"/>
    <n v="2"/>
    <n v="0"/>
    <m/>
    <n v="403.2823462702126"/>
    <m/>
    <n v="9422.4847259395483"/>
    <n v="1.1245293369208682"/>
    <n v="453.50282944313415"/>
    <n v="8.8827433387272267E-2"/>
    <n v="42.423492373299496"/>
    <n v="530.2936546662437"/>
    <n v="38.207558863794155"/>
    <n v="2.14"/>
    <n v="0"/>
    <n v="318"/>
    <m/>
    <x v="0"/>
    <m/>
    <n v="1"/>
    <n v="2035"/>
    <n v="3"/>
    <x v="0"/>
  </r>
  <r>
    <n v="1035"/>
    <n v="1035"/>
    <s v="Cachoeira do Caí"/>
    <s v="Cachoeira do Caí"/>
    <n v="802"/>
    <s v="Amazônica"/>
    <s v="Jamanxim"/>
    <n v="-56.468015000000001"/>
    <n v="-5.0850020000000002"/>
    <s v="PA"/>
    <s v="PA"/>
    <n v="9"/>
    <m/>
    <n v="1.6379999999999999E-2"/>
    <n v="6.1409999999999999E-2"/>
    <n v="0.50721540642441509"/>
    <n v="406.78675595238093"/>
    <n v="395.21324404761907"/>
    <n v="671.53761904761893"/>
    <n v="598.41065476190477"/>
    <n v="96.879166666666677"/>
    <n v="260.31958333333336"/>
    <n v="0.48044424478020625"/>
    <n v="385.31628431372542"/>
    <n v="-21.470471638655511"/>
    <n v="651.59345098039205"/>
    <n v="584.33788235294094"/>
    <n v="97.056431372549014"/>
    <n v="208.27737254901959"/>
    <n v="3"/>
    <s v="não_considerar"/>
    <n v="2022"/>
    <n v="2100"/>
    <n v="30"/>
    <n v="3897.3706644333784"/>
    <n v="1246.0421588443564"/>
    <n v="4859.5644194929901"/>
    <n v="3"/>
    <n v="0"/>
    <m/>
    <n v="3897.3706644333784"/>
    <m/>
    <n v="4859.5644194929901"/>
    <n v="1.1255071012622904"/>
    <n v="4386.5183590710985"/>
    <n v="8.8827433387272267E-2"/>
    <n v="429.7431673424349"/>
    <n v="5371.7895917804362"/>
    <n v="387.03643769044089"/>
    <n v="40.1"/>
    <n v="0"/>
    <n v="318"/>
    <m/>
    <x v="0"/>
    <m/>
    <n v="1"/>
    <n v="2035"/>
    <n v="3"/>
    <x v="0"/>
  </r>
  <r>
    <n v="1046"/>
    <n v="1046"/>
    <s v="Chacorão"/>
    <s v="Chacorão"/>
    <n v="3336"/>
    <s v="Amazônica"/>
    <s v="Tapajós"/>
    <n v="-58.314695"/>
    <n v="-6.5021950000000004"/>
    <s v="AM"/>
    <s v="AM"/>
    <n v="9"/>
    <m/>
    <n v="1.6379999999999999E-2"/>
    <n v="6.1409999999999999E-2"/>
    <n v="0.56329667962058927"/>
    <n v="1879.1577232142859"/>
    <n v="1456.8422767857141"/>
    <n v="2737.4409523809522"/>
    <n v="2422.8440476190476"/>
    <n v="990.22500000000002"/>
    <n v="1366.120892857143"/>
    <n v="0.538097380918794"/>
    <n v="1795.0928627450969"/>
    <n v="-84.064860469188943"/>
    <n v="2666.0634901960752"/>
    <n v="2284.1583921568617"/>
    <n v="928.6600000000002"/>
    <n v="1301.489568627451"/>
    <n v="3"/>
    <s v="não_considerar"/>
    <n v="2022"/>
    <n v="2100"/>
    <n v="30"/>
    <n v="15815.100808589106"/>
    <n v="1215.5737570396841"/>
    <n v="4740.7376524547681"/>
    <n v="4"/>
    <n v="0"/>
    <m/>
    <n v="15815.100808589106"/>
    <m/>
    <n v="4740.7376524547681"/>
    <n v="1.103153897336226"/>
    <n v="17446.490093760371"/>
    <n v="8.8827433387272267E-2"/>
    <n v="1716.5269366452048"/>
    <n v="21456.586708065061"/>
    <n v="1545.9430684315228"/>
    <n v="166.8"/>
    <n v="0"/>
    <n v="318"/>
    <m/>
    <x v="0"/>
    <m/>
    <n v="1"/>
    <n v="2035"/>
    <n v="3"/>
    <x v="0"/>
  </r>
  <r>
    <n v="1056"/>
    <n v="1056"/>
    <s v="Enawene-Nawe (JRN-720)"/>
    <s v="Enawene-Nawe (JRN-720)"/>
    <n v="150"/>
    <s v="Amazônica"/>
    <s v="Juruena"/>
    <n v="-58.818446999999999"/>
    <n v="-12.180674"/>
    <s v="MT"/>
    <s v="MT"/>
    <n v="10"/>
    <m/>
    <n v="1.9820000000000001E-2"/>
    <n v="5.2919999999999995E-2"/>
    <n v="0.76697103174603176"/>
    <n v="115.04565476190477"/>
    <n v="34.954345238095229"/>
    <n v="123.82952380952382"/>
    <n v="121.18220238095239"/>
    <n v="106.58958333333332"/>
    <n v="108.58130952380951"/>
    <n v="0.73920738562091504"/>
    <n v="110.88110784313726"/>
    <n v="-4.1645469187675133"/>
    <n v="124.31023529411766"/>
    <n v="114.68788235294112"/>
    <n v="99.686980392156855"/>
    <n v="104.83933333333339"/>
    <n v="3"/>
    <s v="não_considerar"/>
    <n v="2022"/>
    <n v="2100"/>
    <n v="30"/>
    <n v="2368.608742766402"/>
    <n v="4048.9038337887214"/>
    <n v="15790.724951776014"/>
    <n v="2"/>
    <n v="0"/>
    <m/>
    <n v="2368.608742766402"/>
    <m/>
    <n v="15790.724951776014"/>
    <n v="1.1245293369208682"/>
    <n v="2663.5700189280733"/>
    <n v="8.8827433387272267E-2"/>
    <n v="244.09808842866897"/>
    <n v="3051.226105358362"/>
    <n v="219.84027152012237"/>
    <n v="7.5"/>
    <n v="0"/>
    <n v="318"/>
    <m/>
    <x v="0"/>
    <m/>
    <n v="1"/>
    <n v="2035"/>
    <n v="3"/>
    <x v="0"/>
  </r>
  <r>
    <n v="1060"/>
    <n v="1060"/>
    <s v="Erikpatsa (JRN-530)"/>
    <s v="Erikpatsa (JRN-530)"/>
    <n v="415"/>
    <s v="Amazônica"/>
    <s v="Juruena"/>
    <n v="-58.375104"/>
    <n v="-11.029624"/>
    <s v="MT"/>
    <s v="MT"/>
    <n v="10"/>
    <m/>
    <n v="1.6379999999999999E-2"/>
    <n v="6.1409999999999999E-2"/>
    <n v="0.7477361589214"/>
    <n v="310.31050595238099"/>
    <n v="104.68949404761901"/>
    <n v="342.25190476190477"/>
    <n v="337.42428571428576"/>
    <n v="277.73625000000004"/>
    <n v="283.82958333333335"/>
    <n v="0.70983208126624153"/>
    <n v="294.58031372549021"/>
    <n v="-15.730192226890779"/>
    <n v="347.82317647058818"/>
    <n v="316.14474509803921"/>
    <n v="249.41431372549019"/>
    <n v="264.93901960784325"/>
    <n v="3"/>
    <s v="não_considerar"/>
    <n v="2022"/>
    <n v="2100"/>
    <n v="30"/>
    <n v="4391.0457241159384"/>
    <n v="2713.034120553561"/>
    <n v="10580.833070158887"/>
    <n v="3"/>
    <n v="0"/>
    <m/>
    <n v="4391.0457241159384"/>
    <m/>
    <n v="10580.833070158887"/>
    <n v="1.1255071012622904"/>
    <n v="4942.153144459905"/>
    <n v="8.8827433387272267E-2"/>
    <n v="459.74877922921036"/>
    <n v="5746.8597403651293"/>
    <n v="414.06017190638397"/>
    <n v="20.75"/>
    <n v="0"/>
    <n v="318"/>
    <m/>
    <x v="0"/>
    <m/>
    <n v="1"/>
    <n v="2035"/>
    <n v="3"/>
    <x v="0"/>
  </r>
  <r>
    <n v="1061"/>
    <n v="1061"/>
    <s v="Escondido (JRN-277)"/>
    <s v="Escondido (JRN-277)"/>
    <n v="1248"/>
    <s v="Amazônica"/>
    <s v="Juruena"/>
    <n v="-58.663167000000001"/>
    <n v="-9.1831390000000006"/>
    <s v="MT"/>
    <s v="MT"/>
    <n v="10"/>
    <m/>
    <n v="1.6379999999999999E-2"/>
    <n v="6.1409999999999999E-2"/>
    <n v="0.54146483182616001"/>
    <n v="675.74811011904762"/>
    <n v="572.25188988095238"/>
    <n v="918.86714285714288"/>
    <n v="841.72345238095238"/>
    <n v="429.25583333333333"/>
    <n v="513.14601190476185"/>
    <n v="0.5149959543112117"/>
    <n v="642.71495098039225"/>
    <n v="-33.033159138655378"/>
    <n v="919.50278431372578"/>
    <n v="756.00854901960781"/>
    <n v="399.16823529411766"/>
    <n v="496.18023529411767"/>
    <n v="3"/>
    <s v="não_considerar"/>
    <n v="2022"/>
    <n v="2100"/>
    <n v="30"/>
    <n v="14193.338840499773"/>
    <n v="2916.119912988941"/>
    <n v="11372.86766065687"/>
    <n v="4"/>
    <n v="0"/>
    <m/>
    <n v="14193.338840499773"/>
    <m/>
    <n v="11372.86766065687"/>
    <n v="1.103153897336226"/>
    <n v="15657.437058110956"/>
    <n v="8.8827433387272267E-2"/>
    <n v="1453.2099472947593"/>
    <n v="18165.124341184492"/>
    <n v="1308.7938190977691"/>
    <n v="62.4"/>
    <n v="0"/>
    <n v="318"/>
    <m/>
    <x v="0"/>
    <m/>
    <n v="1"/>
    <n v="2035"/>
    <n v="3"/>
    <x v="0"/>
  </r>
  <r>
    <n v="1067"/>
    <n v="1067"/>
    <s v="Fontanilhas (JRN-577)"/>
    <s v="Fontanilhas (JRN-577)"/>
    <n v="225"/>
    <s v="Amazônica"/>
    <s v="Juruena"/>
    <n v="-58.335524999999997"/>
    <n v="-11.340623000000001"/>
    <s v="MT"/>
    <s v="MT"/>
    <n v="10"/>
    <m/>
    <n v="1.9820000000000001E-2"/>
    <n v="5.2919999999999995E-2"/>
    <n v="0.73455304232804242"/>
    <n v="165.27443452380953"/>
    <n v="59.725565476190468"/>
    <n v="183.57285714285715"/>
    <n v="183.94684523809528"/>
    <n v="149.93"/>
    <n v="143.6480357142857"/>
    <n v="0.71055411764705889"/>
    <n v="159.87467647058824"/>
    <n v="-5.3997580532212908"/>
    <n v="189.23592156862742"/>
    <n v="172.85364705882353"/>
    <n v="136.30227450980394"/>
    <n v="141.10686274509808"/>
    <n v="3"/>
    <s v="não_considerar"/>
    <n v="2022"/>
    <n v="2100"/>
    <n v="30"/>
    <n v="3687.705268282099"/>
    <n v="4202.513126247406"/>
    <n v="16389.801192364885"/>
    <n v="2"/>
    <n v="0"/>
    <m/>
    <n v="3687.705268282099"/>
    <m/>
    <n v="16389.801192364885"/>
    <n v="1.1245293369208682"/>
    <n v="4146.9327601008608"/>
    <n v="8.8827433387272267E-2"/>
    <n v="379.61139350935633"/>
    <n v="4745.1424188669544"/>
    <n v="341.88662581688362"/>
    <n v="11.25"/>
    <n v="0"/>
    <n v="318"/>
    <m/>
    <x v="0"/>
    <m/>
    <n v="1"/>
    <n v="2035"/>
    <n v="3"/>
    <x v="0"/>
  </r>
  <r>
    <n v="1069"/>
    <n v="1069"/>
    <s v="Foz do Buriti (PPG-115)"/>
    <s v="Foz do Buriti (PPG-115)"/>
    <n v="68"/>
    <s v="Amazônica"/>
    <s v="Papagaio"/>
    <n v="-58.398121000000003"/>
    <n v="-12.76158"/>
    <s v="MT"/>
    <s v="MT"/>
    <n v="10"/>
    <m/>
    <n v="1.9820000000000001E-2"/>
    <n v="5.2919999999999995E-2"/>
    <n v="0.77794992997198886"/>
    <n v="52.900595238095242"/>
    <n v="15.099404761904758"/>
    <n v="57.445714285714295"/>
    <n v="55.21339285714285"/>
    <n v="47.524999999999999"/>
    <n v="51.418273809523811"/>
    <n v="0.74074855824682817"/>
    <n v="50.370901960784316"/>
    <n v="-2.5296932773109262"/>
    <n v="57.58600000000002"/>
    <n v="52.191254901960804"/>
    <n v="43.98023529411762"/>
    <n v="47.726117647058835"/>
    <n v="3"/>
    <s v="não_considerar"/>
    <n v="2022"/>
    <n v="2100"/>
    <n v="30"/>
    <n v="1575.3180717146856"/>
    <n v="5940.1133925893128"/>
    <n v="23166.442231098321"/>
    <n v="2"/>
    <n v="0"/>
    <m/>
    <n v="1575.3180717146856"/>
    <m/>
    <n v="23166.442231098317"/>
    <n v="1.1245293369208682"/>
    <n v="1771.4913866247762"/>
    <n v="8.8827433387272267E-2"/>
    <n v="160.7570331415389"/>
    <n v="2009.4629142692361"/>
    <n v="144.7814279993128"/>
    <n v="3.4"/>
    <n v="0"/>
    <n v="318"/>
    <m/>
    <x v="0"/>
    <m/>
    <n v="1"/>
    <n v="2035"/>
    <n v="3"/>
    <x v="0"/>
  </r>
  <r>
    <n v="1070"/>
    <n v="1070"/>
    <s v="Foz do formiga baixo (JUI-029b)"/>
    <s v="Foz do formiga baixo (JUI-029b)"/>
    <n v="107"/>
    <s v="Amazônica"/>
    <s v="Juína"/>
    <n v="-59.077153000000003"/>
    <n v="-12.794566"/>
    <s v="MT"/>
    <s v="MT"/>
    <n v="10"/>
    <m/>
    <n v="1.9820000000000001E-2"/>
    <n v="5.2919999999999995E-2"/>
    <n v="0.75401743991989312"/>
    <n v="80.679866071428563"/>
    <n v="26.320133928571437"/>
    <n v="78.757619047619045"/>
    <n v="84.339285714285708"/>
    <n v="82.755416666666662"/>
    <n v="76.867142857142866"/>
    <n v="0.72831299248671433"/>
    <n v="77.929490196078433"/>
    <n v="-2.7503758753501302"/>
    <n v="85.805215686274494"/>
    <n v="81.257137254901949"/>
    <n v="73.342431372549029"/>
    <n v="71.313176470588246"/>
    <n v="3"/>
    <s v="não_considerar"/>
    <n v="2022"/>
    <n v="2100"/>
    <n v="30"/>
    <n v="1246.8696984098867"/>
    <n v="2987.9455988734408"/>
    <n v="11652.987835606418"/>
    <n v="2"/>
    <n v="0"/>
    <m/>
    <n v="1246.8696984098867"/>
    <m/>
    <n v="11652.987835606418"/>
    <n v="1.1245293369208682"/>
    <n v="1402.1415551795928"/>
    <n v="8.8827433387272267E-2"/>
    <n v="129.89863559224162"/>
    <n v="1623.7329449030201"/>
    <n v="116.989655685226"/>
    <n v="5.35"/>
    <n v="0"/>
    <n v="318"/>
    <m/>
    <x v="0"/>
    <m/>
    <n v="1"/>
    <n v="2035"/>
    <n v="3"/>
    <x v="0"/>
  </r>
  <r>
    <n v="1073"/>
    <n v="1073"/>
    <s v="Foz do Sacre (PPG-147)"/>
    <s v="Foz do Sacre (PPG-147)"/>
    <n v="117"/>
    <s v="Amazônica"/>
    <s v="Papagaio"/>
    <n v="-58.295529999999999"/>
    <n v="-12.919869"/>
    <s v="MT"/>
    <s v="MT"/>
    <n v="10"/>
    <m/>
    <n v="1.9820000000000001E-2"/>
    <n v="5.2919999999999995E-2"/>
    <n v="0.75920991045991049"/>
    <n v="88.827559523809526"/>
    <n v="28.172440476190474"/>
    <n v="102.41000000000001"/>
    <n v="96.355892857142862"/>
    <n v="75.072083333333325"/>
    <n v="81.472261904761908"/>
    <n v="0.73659435227082282"/>
    <n v="86.181539215686271"/>
    <n v="-2.6460203081232549"/>
    <n v="101.29035294117647"/>
    <n v="90.4910588235294"/>
    <n v="72.246509803921583"/>
    <n v="80.698235294117637"/>
    <n v="3"/>
    <s v="não_considerar"/>
    <n v="2022"/>
    <n v="2100"/>
    <n v="30"/>
    <n v="1949.2162899785994"/>
    <n v="4271.7867411321486"/>
    <n v="16659.968290415378"/>
    <n v="2"/>
    <n v="0"/>
    <m/>
    <n v="1949.2162899785994"/>
    <m/>
    <n v="16659.968290415378"/>
    <n v="1.1245293369208682"/>
    <n v="2191.9509020849891"/>
    <n v="8.8827433387272267E-2"/>
    <n v="200.55537274312573"/>
    <n v="2506.9421592890717"/>
    <n v="180.6247147713828"/>
    <n v="5.85"/>
    <n v="0"/>
    <n v="318"/>
    <m/>
    <x v="0"/>
    <m/>
    <n v="1"/>
    <n v="2035"/>
    <n v="3"/>
    <x v="0"/>
  </r>
  <r>
    <n v="1080"/>
    <n v="1080"/>
    <s v="Ilha São Pedro"/>
    <s v="Ilha São Pedro"/>
    <n v="131"/>
    <s v="Amazônica"/>
    <s v="Roosevelt"/>
    <n v="-60.622656999999997"/>
    <n v="-10.035788999999999"/>
    <s v="MT"/>
    <s v="MT"/>
    <n v="7"/>
    <m/>
    <n v="1.6379999999999999E-2"/>
    <n v="6.1409999999999999E-2"/>
    <n v="0.57201574427480928"/>
    <n v="74.93406250000001"/>
    <n v="56.06593749999999"/>
    <n v="111.66190476190478"/>
    <n v="100.06309523809523"/>
    <n v="42.219166666666666"/>
    <n v="45.792083333333331"/>
    <n v="0.58409541984732793"/>
    <n v="76.516499999999965"/>
    <n v="1.5824374999999549"/>
    <n v="117.26274509803916"/>
    <n v="100.68039215686269"/>
    <n v="38.561333333333344"/>
    <n v="49.561529411764703"/>
    <n v="3"/>
    <s v="não_considerar"/>
    <n v="2022"/>
    <n v="2100"/>
    <n v="30"/>
    <n v="1802.8330468655877"/>
    <n v="3528.7395710815972"/>
    <n v="13762.084327218228"/>
    <n v="2"/>
    <n v="0"/>
    <m/>
    <n v="1802.8330468655877"/>
    <m/>
    <n v="13762.084327218226"/>
    <n v="1.1245293369208682"/>
    <n v="2027.3386507707878"/>
    <n v="8.8827433387272267E-2"/>
    <n v="186.6332889547846"/>
    <n v="2332.9161119348073"/>
    <n v="168.08617053346185"/>
    <n v="6.55"/>
    <n v="0"/>
    <n v="318"/>
    <m/>
    <x v="0"/>
    <m/>
    <n v="1"/>
    <n v="2035"/>
    <n v="3"/>
    <x v="0"/>
  </r>
  <r>
    <n v="1081"/>
    <n v="1081"/>
    <s v="Ilha Três Quedas"/>
    <s v="Ilha Três Quedas"/>
    <n v="115.5"/>
    <s v="Amazônica"/>
    <s v="Aripuanã"/>
    <n v="-59.457456000000001"/>
    <n v="-10.222343"/>
    <s v="MT"/>
    <s v="MT"/>
    <n v="7"/>
    <m/>
    <n v="1.9820000000000001E-2"/>
    <n v="5.2919999999999995E-2"/>
    <n v="0.53685606060606061"/>
    <n v="62.006875000000001"/>
    <n v="53.493124999999999"/>
    <n v="79.543809523809514"/>
    <n v="83.358630952380963"/>
    <n v="44.92208333333334"/>
    <n v="40.202976190476186"/>
    <n v="0.53938969527204828"/>
    <n v="62.29950980392158"/>
    <n v="0.29263480392157959"/>
    <n v="97.152078431372558"/>
    <n v="85.744431372549059"/>
    <n v="32.27101960784313"/>
    <n v="34.030509803921575"/>
    <n v="3"/>
    <s v="não_considerar"/>
    <n v="2022"/>
    <n v="2100"/>
    <n v="30"/>
    <n v="1915.1493509596571"/>
    <n v="4251.6358107662491"/>
    <n v="16581.379661988372"/>
    <n v="2"/>
    <n v="0"/>
    <m/>
    <n v="1915.1493509596571"/>
    <m/>
    <n v="16581.379661988376"/>
    <n v="1.1245293369208682"/>
    <n v="2153.6416297390942"/>
    <n v="8.8827433387272267E-2"/>
    <n v="197.0774584057059"/>
    <n v="2463.4682300713239"/>
    <n v="177.49242628365246"/>
    <n v="5.7750000000000004"/>
    <n v="0"/>
    <n v="318"/>
    <m/>
    <x v="0"/>
    <m/>
    <n v="1"/>
    <n v="2035"/>
    <n v="3"/>
    <x v="0"/>
  </r>
  <r>
    <n v="1082"/>
    <n v="1082"/>
    <s v="Inferninho"/>
    <s v="Inferninho"/>
    <n v="361.1"/>
    <s v="Amazônica"/>
    <s v="Roosevelt"/>
    <n v="-60.960239999999999"/>
    <n v="-8.4217779999999998"/>
    <s v="AM"/>
    <s v="AM"/>
    <n v="7"/>
    <m/>
    <n v="1.6379999999999999E-2"/>
    <n v="6.1409999999999999E-2"/>
    <n v="0.55609645131938112"/>
    <n v="200.80642857142854"/>
    <n v="160.29357142857148"/>
    <n v="307.08952380952377"/>
    <n v="287.9283928571428"/>
    <n v="93.359166666666667"/>
    <n v="114.84863095238096"/>
    <n v="0.55758187129739711"/>
    <n v="201.34281372549012"/>
    <n v="0.53638515406157694"/>
    <n v="320.5316862745097"/>
    <n v="284.66952941176459"/>
    <n v="81.670980392156864"/>
    <n v="118.49905882352941"/>
    <n v="3"/>
    <s v="não_considerar"/>
    <n v="2022"/>
    <n v="2100"/>
    <n v="30"/>
    <n v="3274.1668662863617"/>
    <n v="2324.923748863062"/>
    <n v="9067.2026205659422"/>
    <n v="2"/>
    <n v="0"/>
    <m/>
    <n v="3274.1668662863617"/>
    <m/>
    <n v="9067.2026205659404"/>
    <n v="1.1245293369208682"/>
    <n v="3681.8966951132793"/>
    <n v="8.8827433387272267E-2"/>
    <n v="345.10843342399272"/>
    <n v="4313.8554177999085"/>
    <n v="310.81247786987569"/>
    <n v="18.055"/>
    <n v="0"/>
    <n v="318"/>
    <m/>
    <x v="0"/>
    <m/>
    <n v="1"/>
    <n v="2035"/>
    <n v="3"/>
    <x v="0"/>
  </r>
  <r>
    <n v="1085"/>
    <n v="1085"/>
    <s v="Iraí"/>
    <s v="Iraí"/>
    <n v="381"/>
    <s v="Uruguai"/>
    <s v="Uruguai"/>
    <n v="-53.350555999999997"/>
    <n v="-27.113468000000001"/>
    <s v="RS"/>
    <s v="RS"/>
    <n v="2"/>
    <m/>
    <n v="1.6379999999999999E-2"/>
    <n v="6.1409999999999999E-2"/>
    <n v="0.43384518341457318"/>
    <n v="165.29501488095238"/>
    <n v="215.70498511904762"/>
    <n v="96.985238095238103"/>
    <n v="154.76130952380953"/>
    <n v="218.31166666666664"/>
    <n v="191.12184523809526"/>
    <n v="0.45519686325973968"/>
    <n v="173.43000490196081"/>
    <n v="8.1349900210084343"/>
    <n v="123.64415686274511"/>
    <n v="164.90709803921575"/>
    <n v="232.44109803921575"/>
    <n v="172.72766666666666"/>
    <n v="3"/>
    <s v="não_considerar"/>
    <n v="2022"/>
    <n v="2100"/>
    <n v="30"/>
    <n v="3200.3632195826231"/>
    <n v="2153.8214008901159"/>
    <n v="8399.9034634714517"/>
    <n v="2"/>
    <n v="0"/>
    <m/>
    <n v="3200.3632195826231"/>
    <m/>
    <n v="8399.9034634714517"/>
    <n v="1.1245293369208682"/>
    <n v="3598.9023292231818"/>
    <n v="8.8827433387272267E-2"/>
    <n v="338.73125691637119"/>
    <n v="4234.14071145464"/>
    <n v="305.06904815278085"/>
    <n v="19.05"/>
    <n v="0"/>
    <n v="318"/>
    <m/>
    <x v="0"/>
    <m/>
    <n v="1"/>
    <n v="2035"/>
    <n v="3"/>
    <x v="0"/>
  </r>
  <r>
    <n v="1089"/>
    <n v="1089"/>
    <s v="Jaboti (Jatobá no Despacho)"/>
    <s v="Jaboti (Jatobá no Despacho)"/>
    <n v="41.8"/>
    <s v="Tocantins-Araguaia"/>
    <s v="Mortes"/>
    <n v="-53.787706999999997"/>
    <n v="-15.290737999999999"/>
    <s v="MT"/>
    <s v="MT"/>
    <n v="1"/>
    <m/>
    <n v="2.068E-2"/>
    <n v="4.6600000000000003E-2"/>
    <n v="0.532119300920186"/>
    <n v="22.242586778463775"/>
    <n v="19.557413221536223"/>
    <n v="27.873718630939962"/>
    <n v="24.468889340614627"/>
    <n v="17.357046865463357"/>
    <n v="19.270692276837149"/>
    <n v="0.56765074645560576"/>
    <n v="23.727801201844319"/>
    <n v="1.485214423380544"/>
    <n v="31.013541923099822"/>
    <n v="25.801137554720672"/>
    <n v="17.763656932810179"/>
    <n v="20.332868396746601"/>
    <n v="3"/>
    <s v="não_considerar"/>
    <n v="2022"/>
    <n v="2100"/>
    <n v="30"/>
    <n v="331.20295849873855"/>
    <n v="2031.6707060406"/>
    <n v="7923.5157535583394"/>
    <n v="2"/>
    <n v="0"/>
    <m/>
    <n v="331.20295849873855"/>
    <m/>
    <n v="7923.5157535583385"/>
    <n v="1.1245293369208682"/>
    <n v="372.4474433068163"/>
    <n v="8.8827433387272267E-2"/>
    <n v="35.17355046059609"/>
    <n v="439.66938075745111"/>
    <n v="31.678096839516222"/>
    <n v="2.09"/>
    <n v="0"/>
    <n v="318"/>
    <m/>
    <x v="0"/>
    <m/>
    <n v="1"/>
    <n v="2035"/>
    <n v="3"/>
    <x v="0"/>
  </r>
  <r>
    <n v="1090"/>
    <n v="1090"/>
    <s v="Jacaré (JUI-048)"/>
    <s v="Jacaré (JUI-048)"/>
    <n v="53"/>
    <s v="Amazônica"/>
    <s v="Juína"/>
    <n v="-59.208621999999998"/>
    <n v="-12.903361"/>
    <s v="MT"/>
    <s v="MT"/>
    <n v="10"/>
    <m/>
    <n v="2.1330000000000002E-2"/>
    <n v="3.6880000000000003E-2"/>
    <n v="0.71355289757412399"/>
    <n v="37.818303571428572"/>
    <n v="15.181696428571428"/>
    <n v="34.408571428571427"/>
    <n v="41.097202380952382"/>
    <n v="42.073749999999997"/>
    <n v="33.693690476190476"/>
    <n v="0.71642452830188685"/>
    <n v="37.970500000000001"/>
    <n v="0.15219642857142901"/>
    <n v="41.077960784313724"/>
    <n v="40.32505882352941"/>
    <n v="37.13964705882352"/>
    <n v="33.339333333333336"/>
    <n v="3"/>
    <s v="não_considerar"/>
    <n v="2022"/>
    <n v="2100"/>
    <n v="30"/>
    <n v="964.17581106720957"/>
    <n v="4664.6144705718898"/>
    <n v="18191.996435230369"/>
    <n v="2"/>
    <n v="0"/>
    <m/>
    <n v="964.17581106720957"/>
    <m/>
    <n v="18191.996435230369"/>
    <n v="1.1245293369208682"/>
    <n v="1084.2439854945494"/>
    <n v="8.8827433387272267E-2"/>
    <n v="98.960610397067697"/>
    <n v="1237.0076299633463"/>
    <n v="89.126168908306994"/>
    <n v="2.65"/>
    <n v="0"/>
    <n v="318"/>
    <m/>
    <x v="0"/>
    <m/>
    <n v="1"/>
    <n v="2035"/>
    <n v="3"/>
    <x v="0"/>
  </r>
  <r>
    <n v="1100"/>
    <n v="1100"/>
    <s v="Kabiara"/>
    <s v="Kabiara"/>
    <n v="241.2"/>
    <s v="Amazônica"/>
    <s v="Sangue"/>
    <n v="-58.128953000000003"/>
    <n v="-11.322917"/>
    <s v="MT"/>
    <s v="MT"/>
    <n v="10"/>
    <m/>
    <n v="1.6379999999999999E-2"/>
    <n v="6.1409999999999999E-2"/>
    <n v="0.4207663320303246"/>
    <n v="101.48883928571429"/>
    <n v="139.71116071428571"/>
    <n v="140.56285714285715"/>
    <n v="117.53059523809524"/>
    <n v="67.623750000000015"/>
    <n v="80.238154761904767"/>
    <n v="0.38809274704906843"/>
    <n v="93.607970588235304"/>
    <n v="-7.8808686974789879"/>
    <n v="129.47937254901964"/>
    <n v="103.46572549019611"/>
    <n v="63.775686274509788"/>
    <n v="77.711098039215699"/>
    <n v="3"/>
    <s v="não_considerar"/>
    <n v="2022"/>
    <n v="2100"/>
    <n v="30"/>
    <n v="3429.6022493210062"/>
    <n v="3645.8755892769127"/>
    <n v="14218.91479817996"/>
    <n v="2"/>
    <n v="0"/>
    <m/>
    <n v="3429.6022493210062"/>
    <m/>
    <n v="14218.91479817996"/>
    <n v="1.1245293369208682"/>
    <n v="3856.6883433312692"/>
    <n v="8.8827433387272267E-2"/>
    <n v="354.63972691272772"/>
    <n v="4432.9965864090964"/>
    <n v="319.3965768359509"/>
    <n v="12.06"/>
    <n v="0"/>
    <n v="318"/>
    <m/>
    <x v="0"/>
    <m/>
    <n v="1"/>
    <n v="2035"/>
    <n v="3"/>
    <x v="0"/>
  </r>
  <r>
    <n v="1102"/>
    <n v="1102"/>
    <s v="Laguna"/>
    <s v="Laguna"/>
    <n v="36"/>
    <s v="Tocantins-Araguaia"/>
    <s v="Maranhão"/>
    <n v="-48.820276999999997"/>
    <n v="-14.680557"/>
    <s v="GO"/>
    <s v="GO"/>
    <n v="1"/>
    <m/>
    <n v="2.068E-2"/>
    <n v="4.6600000000000003E-2"/>
    <n v="0.73053778108465606"/>
    <n v="26.29936011904762"/>
    <n v="9.7006398809523802"/>
    <n v="30.50809523809524"/>
    <n v="22.025059523809528"/>
    <n v="23.251249999999999"/>
    <n v="29.413035714285712"/>
    <n v="0.75637418300653581"/>
    <n v="27.229470588235291"/>
    <n v="0.93011046918767093"/>
    <n v="31.359607843137251"/>
    <n v="24.343411764705881"/>
    <n v="24.023058823529407"/>
    <n v="29.191803921568624"/>
    <n v="3"/>
    <s v="não_considerar"/>
    <n v="2022"/>
    <n v="2100"/>
    <n v="30"/>
    <n v="360"/>
    <n v="2564.102564102564"/>
    <n v="10000"/>
    <n v="2"/>
    <n v="0"/>
    <m/>
    <n v="360"/>
    <m/>
    <n v="10000"/>
    <n v="1.1245293369208682"/>
    <n v="404.83056129151254"/>
    <n v="8.8827433387272267E-2"/>
    <n v="37.76005971625387"/>
    <n v="472.00074645317335"/>
    <n v="34.007565704731356"/>
    <n v="1.8"/>
    <n v="0"/>
    <n v="318"/>
    <m/>
    <x v="0"/>
    <m/>
    <n v="1"/>
    <n v="2035"/>
    <n v="3"/>
    <x v="0"/>
  </r>
  <r>
    <n v="1105"/>
    <n v="1105"/>
    <s v="Lua Cheia"/>
    <s v="Lua Cheia"/>
    <n v="102.81"/>
    <s v="Atlântico Leste"/>
    <s v="Jequitinhonha"/>
    <n v="-40.299948999999998"/>
    <n v="-16.134338"/>
    <s v="MG"/>
    <s v="MG"/>
    <n v="1"/>
    <m/>
    <n v="1.9820000000000001E-2"/>
    <n v="5.2919999999999995E-2"/>
    <n v="0.48763582614253759"/>
    <n v="50.133839285714288"/>
    <n v="52.676160714285714"/>
    <n v="35.064761904761909"/>
    <n v="30.178630952380946"/>
    <n v="65.874166666666667"/>
    <n v="69.417797619047619"/>
    <n v="0.49697633746621894"/>
    <n v="51.094137254901973"/>
    <n v="0.9602979691876854"/>
    <n v="58.040196078431372"/>
    <n v="34.596745098039221"/>
    <n v="51.895215686274518"/>
    <n v="59.84439215686276"/>
    <n v="3"/>
    <s v="não_considerar"/>
    <n v="2022"/>
    <n v="2100"/>
    <n v="30"/>
    <n v="1690.9853671985097"/>
    <n v="4217.3523158190983"/>
    <n v="16447.674031694482"/>
    <n v="2"/>
    <n v="0"/>
    <m/>
    <n v="1690.9853671985097"/>
    <m/>
    <n v="16447.674031694482"/>
    <n v="1.1245293369208682"/>
    <n v="1901.5626537186311"/>
    <n v="8.8827433387272267E-2"/>
    <n v="174.05142995491639"/>
    <n v="2175.6428744364548"/>
    <n v="156.75466311951823"/>
    <n v="5.1405000000000003"/>
    <n v="0"/>
    <n v="318"/>
    <m/>
    <x v="0"/>
    <m/>
    <n v="1"/>
    <n v="2035"/>
    <n v="3"/>
    <x v="0"/>
  </r>
  <r>
    <n v="1107"/>
    <n v="1107"/>
    <s v="Marabá"/>
    <s v="Marabá"/>
    <n v="1850"/>
    <s v="Tocantins-Araguaia"/>
    <s v="Tocantins"/>
    <n v="-49.036639000000001"/>
    <n v="-5.3251819999999999"/>
    <s v="PA"/>
    <s v="PA"/>
    <n v="4"/>
    <m/>
    <n v="1.6379999999999999E-2"/>
    <n v="6.1409999999999999E-2"/>
    <n v="0.56283653474903483"/>
    <n v="1041.2475892857144"/>
    <n v="808.75241071428559"/>
    <n v="1487.8661904761905"/>
    <n v="1415.1289880952384"/>
    <n v="579.72500000000002"/>
    <n v="682.27017857142857"/>
    <n v="0.61817976682564912"/>
    <n v="1143.6325686274508"/>
    <n v="102.38497934173643"/>
    <n v="1661.5771372549013"/>
    <n v="1487.1431372549014"/>
    <n v="609.27156862745107"/>
    <n v="816.53843137254898"/>
    <n v="3"/>
    <s v="não_considerar"/>
    <n v="2022"/>
    <n v="2100"/>
    <n v="30"/>
    <n v="15723.350134482474"/>
    <n v="2179.2585078977791"/>
    <n v="8499.1081808013387"/>
    <n v="4"/>
    <n v="0"/>
    <m/>
    <n v="15723.350134482474"/>
    <m/>
    <n v="8499.1081808013387"/>
    <n v="1.103153897336226"/>
    <n v="17345.274980036414"/>
    <n v="8.8827433387272267E-2"/>
    <n v="1633.2362578731049"/>
    <n v="20415.45322341381"/>
    <n v="1470.9295951420568"/>
    <n v="92.5"/>
    <n v="0"/>
    <n v="318"/>
    <m/>
    <x v="0"/>
    <m/>
    <n v="1"/>
    <n v="2035"/>
    <n v="3"/>
    <x v="0"/>
  </r>
  <r>
    <n v="1112"/>
    <n v="1112"/>
    <s v="Mortes 2-322"/>
    <s v="Mortes 2-322"/>
    <n v="310.39999999999998"/>
    <s v="Tocantins-Araguaia"/>
    <s v="Mortes"/>
    <n v="-52.611621999999997"/>
    <n v="-14.779544"/>
    <s v="MT"/>
    <s v="MT"/>
    <n v="1"/>
    <m/>
    <n v="1.6379999999999999E-2"/>
    <n v="6.1409999999999999E-2"/>
    <n v="0.58210699711585667"/>
    <n v="180.6860119047619"/>
    <n v="129.71398809523808"/>
    <n v="192.95761904761903"/>
    <n v="190.86946428571426"/>
    <n v="183.98958333333334"/>
    <n v="154.92738095238096"/>
    <n v="0.64861115322417617"/>
    <n v="201.32890196078426"/>
    <n v="20.642890056022367"/>
    <n v="259.43199999999985"/>
    <n v="208.69058823529406"/>
    <n v="162.01529411764707"/>
    <n v="175.17772549019605"/>
    <n v="3"/>
    <s v="não_considerar"/>
    <n v="2022"/>
    <n v="2100"/>
    <n v="30"/>
    <n v="3106.5128912067503"/>
    <n v="2566.1783729899803"/>
    <n v="10008.095654660923"/>
    <n v="2"/>
    <n v="0"/>
    <m/>
    <n v="3106.5128912067503"/>
    <m/>
    <n v="10008.095654660923"/>
    <n v="1.1245293369208682"/>
    <n v="3493.3648816848563"/>
    <n v="8.8827433387272267E-2"/>
    <n v="325.82663632529784"/>
    <n v="4072.832954066223"/>
    <n v="293.44685433361559"/>
    <n v="15.519999999999998"/>
    <n v="0"/>
    <n v="318"/>
    <m/>
    <x v="0"/>
    <m/>
    <n v="1"/>
    <n v="2035"/>
    <n v="3"/>
    <x v="0"/>
  </r>
  <r>
    <n v="1114"/>
    <n v="1114"/>
    <s v="Nambikwara (JUI-008)"/>
    <s v="Nambikwara (JUI-008)"/>
    <n v="73"/>
    <s v="Amazônica"/>
    <s v="Juína"/>
    <n v="-58.981906000000002"/>
    <n v="-12.688057000000001"/>
    <s v="MT"/>
    <s v="MT"/>
    <n v="10"/>
    <m/>
    <n v="1.9820000000000001E-2"/>
    <n v="5.2919999999999995E-2"/>
    <n v="0.75277825342465754"/>
    <n v="54.9528125"/>
    <n v="18.0471875"/>
    <n v="54.12"/>
    <n v="57.515773809523807"/>
    <n v="55.870416666666664"/>
    <n v="52.305059523809518"/>
    <n v="0.7272343540155789"/>
    <n v="53.088107843137259"/>
    <n v="-1.8647046568627417"/>
    <n v="58.660274509803912"/>
    <n v="55.339607843137266"/>
    <n v="49.744823529411768"/>
    <n v="48.607725490196081"/>
    <n v="3"/>
    <s v="não_considerar"/>
    <n v="2022"/>
    <n v="2100"/>
    <n v="30"/>
    <n v="912.12592082544711"/>
    <n v="3203.8142635245772"/>
    <n v="12494.875627745851"/>
    <n v="2"/>
    <n v="0"/>
    <m/>
    <n v="912.12592082544711"/>
    <m/>
    <n v="12494.875627745851"/>
    <n v="1.1245293369208682"/>
    <n v="1025.7123569341763"/>
    <n v="8.8827433387272267E-2"/>
    <n v="94.761396060072585"/>
    <n v="1184.5174507509073"/>
    <n v="85.344261290927335"/>
    <n v="3.65"/>
    <n v="0"/>
    <n v="318"/>
    <m/>
    <x v="0"/>
    <m/>
    <n v="1"/>
    <n v="2035"/>
    <n v="3"/>
    <x v="0"/>
  </r>
  <r>
    <n v="1116"/>
    <n v="1116"/>
    <s v="Nova União"/>
    <s v="Nova União"/>
    <n v="32.4"/>
    <s v="Uruguai"/>
    <s v="Chapecozinho"/>
    <n v="-52.581511999999996"/>
    <n v="-26.798359999999999"/>
    <s v="SC"/>
    <s v="SC"/>
    <n v="2"/>
    <m/>
    <n v="2.068E-2"/>
    <n v="4.6600000000000003E-2"/>
    <n v="0.54117982069370962"/>
    <n v="17.53422619047619"/>
    <n v="14.865773809523809"/>
    <n v="14.079523809523808"/>
    <n v="20.100178571428568"/>
    <n v="18.997083333333336"/>
    <n v="16.960119047619045"/>
    <n v="0.61365861776809483"/>
    <n v="19.882539215686272"/>
    <n v="2.3483130252100821"/>
    <n v="16.949568627450969"/>
    <n v="20.786745098039219"/>
    <n v="22.403254901960779"/>
    <n v="19.390588235294121"/>
    <n v="3"/>
    <s v="não_considerar"/>
    <n v="2022"/>
    <n v="2100"/>
    <n v="30"/>
    <n v="564.77103767364235"/>
    <n v="4469.5397093513966"/>
    <n v="17431.204866470445"/>
    <n v="2"/>
    <n v="0"/>
    <m/>
    <n v="564.77103767364235"/>
    <m/>
    <n v="17431.204866470445"/>
    <n v="1.1245293369208682"/>
    <n v="635.10160050725176"/>
    <n v="8.8827433387272267E-2"/>
    <n v="58.034445113207909"/>
    <n v="725.43056391509879"/>
    <n v="52.267136761849464"/>
    <n v="1.62"/>
    <n v="0"/>
    <n v="318"/>
    <m/>
    <x v="0"/>
    <m/>
    <n v="1"/>
    <n v="2035"/>
    <n v="3"/>
    <x v="0"/>
  </r>
  <r>
    <n v="1118"/>
    <n v="1118"/>
    <s v="Paca Grande I"/>
    <s v="Paca Grande I"/>
    <n v="45.5"/>
    <s v="Atlântico Sudeste"/>
    <s v="Bracuhy"/>
    <n v="-44.446559999999998"/>
    <n v="-22.874324000000001"/>
    <s v="RJ"/>
    <s v="RJ"/>
    <n v="1"/>
    <m/>
    <n v="2.068E-2"/>
    <n v="4.6600000000000003E-2"/>
    <n v="0.532119300920186"/>
    <n v="24.211428191868464"/>
    <n v="21.288571808131536"/>
    <n v="30.341009514539916"/>
    <n v="26.634795813348461"/>
    <n v="18.893436181305805"/>
    <n v="20.976471258279673"/>
    <n v="0.56765074645560576"/>
    <n v="25.828108963730063"/>
    <n v="1.6166807718615992"/>
    <n v="33.758759748828759"/>
    <n v="28.084970304779684"/>
    <n v="19.336038048872325"/>
    <n v="22.132667752439485"/>
    <n v="3"/>
    <s v="não_considerar"/>
    <n v="2022"/>
    <n v="2100"/>
    <n v="30"/>
    <n v="303.85450572611541"/>
    <n v="1712.3387192229666"/>
    <n v="6678.1210049695692"/>
    <n v="2"/>
    <n v="0"/>
    <m/>
    <n v="303.85450572611541"/>
    <m/>
    <n v="6678.1210049695701"/>
    <n v="1.1245293369208682"/>
    <n v="341.6933058446067"/>
    <n v="8.8827433387272267E-2"/>
    <n v="32.626739363788651"/>
    <n v="407.83424204735815"/>
    <n v="29.384381036017739"/>
    <n v="2.2749999999999999"/>
    <n v="0"/>
    <n v="318"/>
    <m/>
    <x v="0"/>
    <m/>
    <n v="1"/>
    <n v="2035"/>
    <n v="3"/>
    <x v="0"/>
  </r>
  <r>
    <n v="1124"/>
    <n v="1124"/>
    <s v="Parecis (uhe)"/>
    <s v="Parecis (uhe)"/>
    <n v="74.5"/>
    <s v="Amazônica"/>
    <s v="Sangue"/>
    <n v="-57.389727999999998"/>
    <n v="-12.818666"/>
    <s v="MT"/>
    <s v="MT"/>
    <n v="10"/>
    <m/>
    <n v="1.9820000000000001E-2"/>
    <n v="5.2919999999999995E-2"/>
    <n v="0.35690316395014376"/>
    <n v="26.589285714285712"/>
    <n v="47.910714285714292"/>
    <n v="33.089999999999996"/>
    <n v="27.067023809523807"/>
    <n v="20.861249999999998"/>
    <n v="25.338869047619045"/>
    <n v="0.35025977102250283"/>
    <n v="26.09435294117646"/>
    <n v="-0.49493277310925166"/>
    <n v="34.324549019607829"/>
    <n v="26.628352941176463"/>
    <n v="19.016980392156853"/>
    <n v="24.407529411764699"/>
    <n v="3"/>
    <s v="não_considerar"/>
    <n v="2022"/>
    <n v="2100"/>
    <n v="30"/>
    <n v="1287.3131015122779"/>
    <n v="4430.6078179737669"/>
    <n v="17279.370490097692"/>
    <n v="2"/>
    <n v="0"/>
    <m/>
    <n v="1287.3131015122779"/>
    <m/>
    <n v="17279.370490097692"/>
    <n v="1.1245293369208682"/>
    <n v="1447.6213484531481"/>
    <n v="8.8827433387272267E-2"/>
    <n v="132.31348889971525"/>
    <n v="1653.9186112464406"/>
    <n v="119.16452731250382"/>
    <n v="3.7250000000000001"/>
    <n v="0"/>
    <n v="318"/>
    <m/>
    <x v="0"/>
    <m/>
    <n v="1"/>
    <n v="2035"/>
    <n v="3"/>
    <x v="0"/>
  </r>
  <r>
    <n v="1129"/>
    <n v="1129"/>
    <s v="Pedra Branca"/>
    <s v="Pedra Branca"/>
    <n v="320"/>
    <s v="São Francisco"/>
    <s v="São Francisco"/>
    <n v="-39.493616000000003"/>
    <n v="-8.5941690000000008"/>
    <s v="BA"/>
    <s v="BA"/>
    <n v="3"/>
    <m/>
    <n v="1.9820000000000001E-2"/>
    <n v="5.2919999999999995E-2"/>
    <n v="0.46582700892857137"/>
    <n v="149.06464285714284"/>
    <n v="170.93535714285716"/>
    <n v="144.1552380952381"/>
    <n v="132.30232142857145"/>
    <n v="172.64208333333332"/>
    <n v="147.15892857142856"/>
    <n v="0.44057818627450979"/>
    <n v="140.98501960784313"/>
    <n v="-8.0796232492997149"/>
    <n v="145.22521568627451"/>
    <n v="130.62894117647059"/>
    <n v="150.17678431372548"/>
    <n v="137.90913725490196"/>
    <n v="3"/>
    <s v="não_considerar"/>
    <n v="2022"/>
    <n v="2100"/>
    <n v="30"/>
    <n v="3335.3557577208603"/>
    <n v="2672.5607033019714"/>
    <n v="10422.986742877689"/>
    <n v="2"/>
    <n v="0"/>
    <m/>
    <n v="3335.3557577208603"/>
    <m/>
    <n v="10422.986742877689"/>
    <n v="1.1245293369208682"/>
    <n v="3750.7053986250389"/>
    <n v="8.8827433387272267E-2"/>
    <n v="349.16553395164811"/>
    <n v="4364.5691743956013"/>
    <n v="314.46639456920627"/>
    <n v="16"/>
    <n v="0"/>
    <n v="318"/>
    <m/>
    <x v="0"/>
    <m/>
    <n v="1"/>
    <n v="2035"/>
    <n v="3"/>
    <x v="0"/>
  </r>
  <r>
    <n v="1132"/>
    <n v="1132"/>
    <s v="Pompéu"/>
    <s v="Pompéu"/>
    <n v="209.1"/>
    <s v="São Francisco"/>
    <s v="São Francisco"/>
    <n v="-45.107201000000003"/>
    <n v="-19.163833"/>
    <s v="MG"/>
    <s v="MG"/>
    <n v="1"/>
    <m/>
    <n v="1.6379999999999999E-2"/>
    <n v="6.1409999999999999E-2"/>
    <n v="0.47057663512559494"/>
    <n v="98.397574404761897"/>
    <n v="110.7024255952381"/>
    <n v="140.20285714285714"/>
    <n v="94.821845238095236"/>
    <n v="66.552916666666661"/>
    <n v="92.012678571428566"/>
    <n v="0.54728293995742749"/>
    <n v="114.4368627450981"/>
    <n v="16.039288340336199"/>
    <n v="174.50494117647085"/>
    <n v="102.72650980392159"/>
    <n v="68.185137254901932"/>
    <n v="112.33086274509803"/>
    <n v="3"/>
    <s v="não_considerar"/>
    <n v="2022"/>
    <n v="2100"/>
    <n v="30"/>
    <n v="1935.8291889221532"/>
    <n v="2373.8233318889911"/>
    <n v="9257.9109943670646"/>
    <n v="2"/>
    <n v="0"/>
    <m/>
    <n v="1935.8291889221532"/>
    <m/>
    <n v="9257.9109943670646"/>
    <n v="1.1245293369208682"/>
    <n v="2176.8967142106912"/>
    <n v="8.8827433387272267E-2"/>
    <n v="203.82314787252207"/>
    <n v="2547.7893484065257"/>
    <n v="183.56774712504713"/>
    <n v="10.455"/>
    <n v="0"/>
    <n v="318"/>
    <m/>
    <x v="0"/>
    <m/>
    <n v="1"/>
    <n v="2035"/>
    <n v="3"/>
    <x v="0"/>
  </r>
  <r>
    <n v="1141"/>
    <n v="1141"/>
    <s v="Quebra Remo"/>
    <s v="Quebra Remo"/>
    <n v="267.8"/>
    <s v="Amazônica"/>
    <s v="Aripuanã"/>
    <n v="-59.385260000000002"/>
    <n v="-9.1169449999999994"/>
    <s v="MT"/>
    <s v="MT"/>
    <n v="7"/>
    <m/>
    <n v="1.6379999999999999E-2"/>
    <n v="6.1409999999999999E-2"/>
    <n v="0.4905492060528468"/>
    <n v="131.36907738095238"/>
    <n v="136.43092261904764"/>
    <n v="212.71285714285716"/>
    <n v="181.49303571428572"/>
    <n v="53.44"/>
    <n v="77.830416666666665"/>
    <n v="0.47630679904523426"/>
    <n v="127.55496078431374"/>
    <n v="-3.814116596638641"/>
    <n v="217.82509803921573"/>
    <n v="182.10247058823529"/>
    <n v="41.628901960784326"/>
    <n v="68.663372549019599"/>
    <n v="3"/>
    <s v="não_considerar"/>
    <n v="2022"/>
    <n v="2100"/>
    <n v="30"/>
    <n v="2190.557621130175"/>
    <n v="2097.3914910957037"/>
    <n v="8179.8268152732444"/>
    <n v="2"/>
    <n v="0"/>
    <m/>
    <n v="2190.557621130175"/>
    <m/>
    <n v="8179.8268152732444"/>
    <n v="1.1245293369208682"/>
    <n v="2463.3463091764702"/>
    <n v="8.8827433387272267E-2"/>
    <n v="232.2027301881559"/>
    <n v="2902.5341273519484"/>
    <n v="209.12704225127578"/>
    <n v="13.39"/>
    <n v="0"/>
    <n v="318"/>
    <m/>
    <x v="0"/>
    <m/>
    <n v="1"/>
    <n v="2035"/>
    <n v="3"/>
    <x v="0"/>
  </r>
  <r>
    <n v="1142"/>
    <n v="1142"/>
    <s v="Resplendor"/>
    <s v="Resplendor"/>
    <n v="144"/>
    <s v="Atlântico Sudeste"/>
    <s v="Doce"/>
    <n v="-41.277549"/>
    <n v="-19.276880999999999"/>
    <s v="MG"/>
    <s v="MG"/>
    <n v="1"/>
    <m/>
    <n v="1.9820000000000001E-2"/>
    <n v="5.2919999999999995E-2"/>
    <n v="0.47395130621693127"/>
    <n v="68.248988095238104"/>
    <n v="75.751011904761896"/>
    <n v="96.627142857142871"/>
    <n v="64.835059523809534"/>
    <n v="42.294583333333335"/>
    <n v="69.239166666666662"/>
    <n v="0.4892988834422658"/>
    <n v="70.459039215686275"/>
    <n v="2.2100511204481705"/>
    <n v="103.71580392156865"/>
    <n v="62.34650980392157"/>
    <n v="40.213607843137254"/>
    <n v="75.560235294117646"/>
    <n v="3"/>
    <s v="não_considerar"/>
    <n v="2022"/>
    <n v="2100"/>
    <n v="30"/>
    <n v="1062.7975601808771"/>
    <n v="1892.4457980428722"/>
    <n v="7380.5386123672015"/>
    <n v="2"/>
    <n v="0"/>
    <m/>
    <n v="1062.7975601808771"/>
    <m/>
    <n v="7380.5386123672024"/>
    <n v="1.1245293369208682"/>
    <n v="1195.1470356313182"/>
    <n v="8.8827433387272267E-2"/>
    <n v="113.36184369553683"/>
    <n v="1417.0230461942103"/>
    <n v="102.09624605614688"/>
    <n v="7.2"/>
    <n v="0"/>
    <n v="318"/>
    <m/>
    <x v="0"/>
    <m/>
    <n v="1"/>
    <n v="2035"/>
    <n v="3"/>
    <x v="0"/>
  </r>
  <r>
    <n v="1143"/>
    <n v="1143"/>
    <s v="Riacho Seco"/>
    <s v="Riacho Seco"/>
    <n v="276"/>
    <s v="São Francisco"/>
    <s v="São Francisco"/>
    <n v="-39.679105"/>
    <n v="-8.7879959999999997"/>
    <s v="BA"/>
    <s v="BA"/>
    <n v="3"/>
    <m/>
    <n v="1.9820000000000001E-2"/>
    <n v="5.2919999999999995E-2"/>
    <n v="0.59613699102829532"/>
    <n v="164.53380952380951"/>
    <n v="111.46619047619049"/>
    <n v="156.19714285714284"/>
    <n v="145.5014880952381"/>
    <n v="194.47375"/>
    <n v="161.96285714285713"/>
    <n v="0.58565167661267392"/>
    <n v="161.63986274509801"/>
    <n v="-2.893946778711495"/>
    <n v="182.37780392156856"/>
    <n v="149.02117647058822"/>
    <n v="165.52505882352941"/>
    <n v="149.63541176470588"/>
    <n v="3"/>
    <s v="não_considerar"/>
    <n v="2022"/>
    <n v="2100"/>
    <n v="30"/>
    <n v="3188.8395977074038"/>
    <n v="2962.5042713743997"/>
    <n v="11553.766658360159"/>
    <n v="2"/>
    <n v="0"/>
    <m/>
    <n v="3188.8395977074038"/>
    <m/>
    <n v="11553.766658360159"/>
    <n v="1.1245293369208682"/>
    <n v="3585.9436783569149"/>
    <n v="8.8827433387272267E-2"/>
    <n v="332.33017321975893"/>
    <n v="4154.1271652469868"/>
    <n v="299.30408707936596"/>
    <n v="13.8"/>
    <n v="0"/>
    <n v="318"/>
    <m/>
    <x v="0"/>
    <m/>
    <n v="1"/>
    <n v="2035"/>
    <n v="3"/>
    <x v="0"/>
  </r>
  <r>
    <n v="1145"/>
    <n v="1145"/>
    <s v="Rio Sono Baixo"/>
    <s v="Rio Sono Baixo"/>
    <n v="56.7"/>
    <s v="Tocantins-Araguaia"/>
    <s v="Sono"/>
    <n v="-47.927337999999999"/>
    <n v="-9.5029710000000005"/>
    <s v="TO"/>
    <s v="TO"/>
    <n v="1"/>
    <m/>
    <n v="2.068E-2"/>
    <n v="4.6600000000000003E-2"/>
    <n v="0.532119300920186"/>
    <n v="30.171164362174547"/>
    <n v="26.528835637825456"/>
    <n v="37.809565702734353"/>
    <n v="33.191053244326547"/>
    <n v="23.544128164396469"/>
    <n v="26.139910337240821"/>
    <n v="0.56765074645560576"/>
    <n v="32.185797324032848"/>
    <n v="2.0146329618583003"/>
    <n v="42.068608302386608"/>
    <n v="34.998193764417756"/>
    <n v="24.095678183979363"/>
    <n v="27.580709045347664"/>
    <n v="3"/>
    <s v="não_considerar"/>
    <n v="2022"/>
    <n v="2100"/>
    <n v="30"/>
    <n v="543.7790305741438"/>
    <n v="2459.0920751329249"/>
    <n v="9590.4590930184077"/>
    <n v="2"/>
    <n v="0"/>
    <m/>
    <n v="543.7790305741438"/>
    <m/>
    <n v="9590.4590930184077"/>
    <n v="1.1245293369208682"/>
    <n v="611.49547268301444"/>
    <n v="8.8827433387272267E-2"/>
    <n v="57.152573366369033"/>
    <n v="714.40716707961292"/>
    <n v="51.472903076862465"/>
    <n v="2.835"/>
    <n v="0"/>
    <n v="318"/>
    <m/>
    <x v="0"/>
    <m/>
    <n v="1"/>
    <n v="2035"/>
    <n v="3"/>
    <x v="0"/>
  </r>
  <r>
    <n v="1146"/>
    <n v="1146"/>
    <s v="Roncador"/>
    <s v="Roncador"/>
    <n v="134"/>
    <s v="Amazônica"/>
    <s v="Sangue"/>
    <n v="-57.644294000000002"/>
    <n v="-12.266425"/>
    <s v="MT"/>
    <s v="MT"/>
    <n v="10"/>
    <m/>
    <n v="1.6379999999999999E-2"/>
    <n v="6.1409999999999999E-2"/>
    <n v="0.36069163113006397"/>
    <n v="48.332678571428573"/>
    <n v="85.667321428571427"/>
    <n v="60.083333333333336"/>
    <n v="49.228392857142865"/>
    <n v="37.947083333333332"/>
    <n v="46.071904761904761"/>
    <n v="0.3539332748024584"/>
    <n v="47.427058823529428"/>
    <n v="-0.90561974789914501"/>
    <n v="62.363921568627482"/>
    <n v="48.397725490196102"/>
    <n v="34.571960784313731"/>
    <n v="44.374627450980391"/>
    <n v="3"/>
    <s v="não_considerar"/>
    <n v="2022"/>
    <n v="2100"/>
    <n v="30"/>
    <n v="1858.4445228780801"/>
    <n v="3556.1510196672029"/>
    <n v="13868.98897670209"/>
    <n v="2"/>
    <n v="0"/>
    <m/>
    <n v="1858.4445228780801"/>
    <m/>
    <n v="13868.98897670209"/>
    <n v="1.1245293369208682"/>
    <n v="2089.8753870163068"/>
    <n v="8.8827433387272267E-2"/>
    <n v="192.33826672789084"/>
    <n v="2404.2283340986355"/>
    <n v="173.22420283322089"/>
    <n v="6.7"/>
    <n v="0"/>
    <n v="318"/>
    <m/>
    <x v="0"/>
    <m/>
    <n v="1"/>
    <n v="2035"/>
    <n v="3"/>
    <x v="0"/>
  </r>
  <r>
    <n v="1149"/>
    <n v="1149"/>
    <s v="Salto Augusto Baixo (JRN-234b)"/>
    <s v="Salto Augusto Baixo (JRN-234b)"/>
    <n v="1461"/>
    <s v="Amazônica"/>
    <s v="Juruena"/>
    <n v="-58.558360999999998"/>
    <n v="-8.8850829999999998"/>
    <s v="MT"/>
    <s v="MT"/>
    <n v="10"/>
    <m/>
    <n v="1.6379999999999999E-2"/>
    <n v="6.1409999999999999E-2"/>
    <n v="0.51934833447410456"/>
    <n v="758.76791666666668"/>
    <n v="702.23208333333332"/>
    <n v="1075.5152380952379"/>
    <n v="1009.4453571428572"/>
    <n v="445.95708333333329"/>
    <n v="504.15398809523805"/>
    <n v="0.49891822683899023"/>
    <n v="728.91952941176476"/>
    <n v="-29.848387254901922"/>
    <n v="1075.494274509804"/>
    <n v="916.8664313725493"/>
    <n v="408.28101960784306"/>
    <n v="515.03639215686269"/>
    <n v="3"/>
    <s v="não_considerar"/>
    <n v="2022"/>
    <n v="2100"/>
    <n v="30"/>
    <n v="13770.974615289537"/>
    <n v="2416.850877567093"/>
    <n v="9425.7184225116616"/>
    <n v="4"/>
    <n v="0"/>
    <m/>
    <n v="13770.974615289537"/>
    <m/>
    <n v="9425.7184225116616"/>
    <n v="1.103153897336226"/>
    <n v="15191.504316974888"/>
    <n v="8.8827433387272267E-2"/>
    <n v="1422.4723377685459"/>
    <n v="17780.904222106823"/>
    <n v="1281.110831215228"/>
    <n v="73.05"/>
    <n v="0"/>
    <n v="318"/>
    <m/>
    <x v="0"/>
    <m/>
    <n v="1"/>
    <n v="2035"/>
    <n v="3"/>
    <x v="0"/>
  </r>
  <r>
    <n v="1153"/>
    <n v="1153"/>
    <s v="Salto Utiariti (PPG-159)"/>
    <s v="Salto Utiariti (PPG-159)"/>
    <n v="76"/>
    <s v="Amazônica"/>
    <s v="Papagaio"/>
    <n v="-58.281908000000001"/>
    <n v="-13.028667"/>
    <s v="MT"/>
    <s v="MT"/>
    <n v="10"/>
    <m/>
    <n v="1.9820000000000001E-2"/>
    <n v="5.2919999999999995E-2"/>
    <n v="0.76250802788220551"/>
    <n v="57.950610119047617"/>
    <n v="18.049389880952383"/>
    <n v="67.869047619047635"/>
    <n v="63.530833333333334"/>
    <n v="47.625"/>
    <n v="52.777559523809522"/>
    <n v="0.73734146026831826"/>
    <n v="56.037950980392189"/>
    <n v="-1.9126591386554281"/>
    <n v="66.977019607843204"/>
    <n v="59.527176470588266"/>
    <n v="45.417176470588231"/>
    <n v="52.230431372549042"/>
    <n v="3"/>
    <s v="não_considerar"/>
    <n v="2022"/>
    <n v="2100"/>
    <n v="30"/>
    <n v="835.35992347801403"/>
    <n v="2818.35331807697"/>
    <n v="10991.577940500183"/>
    <n v="2"/>
    <n v="0"/>
    <m/>
    <n v="835.35992347801403"/>
    <m/>
    <n v="10991.577940500185"/>
    <n v="1.1245293369208682"/>
    <n v="939.38674083899832"/>
    <n v="8.8827433387272267E-2"/>
    <n v="87.243313146762915"/>
    <n v="1090.5414143345365"/>
    <n v="78.573305403430609"/>
    <n v="3.8"/>
    <n v="0"/>
    <n v="318"/>
    <m/>
    <x v="0"/>
    <m/>
    <n v="1"/>
    <n v="2035"/>
    <n v="3"/>
    <x v="0"/>
  </r>
  <r>
    <n v="1155"/>
    <n v="1155"/>
    <s v="Santa Isabel"/>
    <s v="Santa Isabel"/>
    <n v="1087"/>
    <s v="Tocantins-Araguaia"/>
    <s v="Araguaia"/>
    <n v="-48.336517000000001"/>
    <n v="-6.1365280000000002"/>
    <s v="TO"/>
    <s v="TO"/>
    <n v="4"/>
    <m/>
    <n v="1.6379999999999999E-2"/>
    <n v="6.1409999999999999E-2"/>
    <n v="0.53569966487054799"/>
    <n v="582.30553571428561"/>
    <n v="504.69446428571439"/>
    <n v="930.27809523809503"/>
    <n v="888.20249999999999"/>
    <n v="237.15499999999997"/>
    <n v="273.58654761904762"/>
    <n v="0.6135091004202966"/>
    <n v="666.88439215686242"/>
    <n v="84.578856442576807"/>
    <n v="978.35694117647006"/>
    <n v="926.24054901960733"/>
    <n v="311.98192156862746"/>
    <n v="450.95815686274517"/>
    <n v="3"/>
    <s v="não_considerar"/>
    <n v="2022"/>
    <n v="2100"/>
    <n v="30"/>
    <n v="4962.0843378228656"/>
    <n v="1170.4961521531541"/>
    <n v="4564.9349933973008"/>
    <n v="4"/>
    <n v="0"/>
    <m/>
    <n v="4962.0843378228656"/>
    <m/>
    <n v="4564.9349933973008"/>
    <n v="1.103153897336226"/>
    <n v="5473.9426761803406"/>
    <n v="8.8827433387272267E-2"/>
    <n v="540.58627843415604"/>
    <n v="6757.3284804269506"/>
    <n v="486.8642560703455"/>
    <n v="54.35"/>
    <n v="0"/>
    <n v="318"/>
    <m/>
    <x v="0"/>
    <m/>
    <n v="1"/>
    <n v="2035"/>
    <n v="3"/>
    <x v="0"/>
  </r>
  <r>
    <n v="1159"/>
    <n v="1159"/>
    <s v="São Domingos (TO)"/>
    <s v="São Domingos (TO)"/>
    <n v="50"/>
    <s v="Paraná"/>
    <s v="Paranã"/>
    <n v="-47.747132000000001"/>
    <n v="-12.991012"/>
    <s v="TO"/>
    <s v="TO"/>
    <n v="1"/>
    <m/>
    <n v="2.068E-2"/>
    <n v="4.6600000000000003E-2"/>
    <n v="0.532119300920186"/>
    <n v="26.605965046009299"/>
    <n v="23.394034953990701"/>
    <n v="33.341768697296608"/>
    <n v="29.269006388295008"/>
    <n v="20.762017781654734"/>
    <n v="23.051067316790849"/>
    <n v="0.56765074645560576"/>
    <n v="28.382537322780287"/>
    <n v="1.7765722767709882"/>
    <n v="37.097538185526105"/>
    <n v="30.862604730527124"/>
    <n v="21.248393460299258"/>
    <n v="24.321612914768664"/>
    <n v="3"/>
    <s v="não_considerar"/>
    <n v="2022"/>
    <n v="2100"/>
    <n v="30"/>
    <n v="500"/>
    <n v="2564.102564102564"/>
    <n v="10000"/>
    <n v="2"/>
    <n v="0"/>
    <m/>
    <n v="500"/>
    <m/>
    <n v="10000"/>
    <n v="1.1245293369208682"/>
    <n v="562.26466846043411"/>
    <n v="8.8827433387272267E-2"/>
    <n v="52.444527383685937"/>
    <n v="655.5565922960742"/>
    <n v="47.232730145460231"/>
    <n v="2.5"/>
    <n v="0"/>
    <n v="318"/>
    <m/>
    <x v="0"/>
    <m/>
    <n v="1"/>
    <n v="2035"/>
    <n v="3"/>
    <x v="0"/>
  </r>
  <r>
    <n v="1160"/>
    <n v="1160"/>
    <s v="São Jerônimo"/>
    <s v="São Jerônimo"/>
    <n v="331"/>
    <s v="Paraná"/>
    <s v="Tibagi"/>
    <n v="-50.913578999999999"/>
    <n v="-23.725216"/>
    <s v="PR"/>
    <s v="PR"/>
    <n v="2"/>
    <m/>
    <n v="1.6379999999999999E-2"/>
    <n v="6.1409999999999999E-2"/>
    <n v="0.48115527442094669"/>
    <n v="159.26239583333336"/>
    <n v="171.73760416666664"/>
    <n v="144.56190476190477"/>
    <n v="141.47898809523812"/>
    <n v="166.96916666666667"/>
    <n v="184.03952380952384"/>
    <n v="0.5994141046146555"/>
    <n v="198.40606862745096"/>
    <n v="39.143672794117606"/>
    <n v="213.00003921568626"/>
    <n v="171.61490196078429"/>
    <n v="198.0320392156863"/>
    <n v="210.97729411764703"/>
    <n v="3"/>
    <s v="não_considerar"/>
    <n v="2022"/>
    <n v="2100"/>
    <n v="30"/>
    <n v="1558.9687832303612"/>
    <n v="1207.6603789839346"/>
    <n v="4709.8754780373447"/>
    <n v="2"/>
    <n v="0"/>
    <m/>
    <n v="1558.9687832303612"/>
    <m/>
    <n v="4709.8754780373447"/>
    <n v="1.1245293369208682"/>
    <n v="1753.1061320863707"/>
    <n v="8.8827433387272267E-2"/>
    <n v="172.27391816872066"/>
    <n v="2153.4239771090083"/>
    <n v="155.15379571321049"/>
    <n v="16.55"/>
    <n v="0"/>
    <n v="318"/>
    <m/>
    <x v="0"/>
    <m/>
    <n v="1"/>
    <n v="2035"/>
    <n v="3"/>
    <x v="0"/>
  </r>
  <r>
    <n v="1162"/>
    <n v="1162"/>
    <s v="São Luiz do Tapajós"/>
    <s v="São Luiz do Tapajós"/>
    <n v="8040"/>
    <s v="Amazônica"/>
    <s v="Tapajós"/>
    <n v="-56.284027000000002"/>
    <n v="-4.5756649999999999"/>
    <s v="PA"/>
    <s v="PA"/>
    <n v="9"/>
    <m/>
    <n v="2.1330000000000002E-2"/>
    <n v="3.6880000000000003E-2"/>
    <n v="0.46917872134861405"/>
    <n v="3772.1969196428568"/>
    <n v="4267.8030803571437"/>
    <n v="5904.6166666666659"/>
    <n v="5664.5035119047616"/>
    <n v="1382.50125"/>
    <n v="2137.1662500000002"/>
    <n v="0.4372632438298702"/>
    <n v="3515.5964803921565"/>
    <n v="-256.60043925070022"/>
    <n v="5584.3556470588219"/>
    <n v="5098.2280000000001"/>
    <n v="1340.2716078431374"/>
    <n v="2039.5306666666668"/>
    <n v="3"/>
    <s v="não_considerar"/>
    <n v="2028"/>
    <n v="2100"/>
    <n v="30"/>
    <n v="31645.542746479408"/>
    <n v="1009.2340460032979"/>
    <n v="3936.0127794128616"/>
    <n v="4"/>
    <n v="0"/>
    <m/>
    <n v="31645.542746479408"/>
    <m/>
    <n v="3936.0127794128616"/>
    <n v="1.103153897336226"/>
    <n v="34909.9038140989"/>
    <n v="8.8827433387272267E-2"/>
    <n v="3502.9571556029518"/>
    <n v="43786.964445036894"/>
    <n v="3154.8426174428919"/>
    <n v="402"/>
    <n v="0"/>
    <n v="318"/>
    <m/>
    <x v="0"/>
    <m/>
    <n v="1"/>
    <n v="2035"/>
    <n v="3"/>
    <x v="0"/>
  </r>
  <r>
    <n v="1164"/>
    <n v="1164"/>
    <s v="São Simão Alto (JRN-117a)"/>
    <s v="São Simão Alto (JRN-117a)"/>
    <n v="3509"/>
    <s v="Amazônica"/>
    <s v="Juruena"/>
    <n v="-58.323306000000002"/>
    <n v="-8.2259720000000005"/>
    <s v="AM"/>
    <s v="AM"/>
    <n v="10"/>
    <m/>
    <n v="2.1330000000000002E-2"/>
    <n v="3.6880000000000003E-2"/>
    <n v="0.53518398268398271"/>
    <n v="1877.9605952380953"/>
    <n v="1631.0394047619047"/>
    <n v="2617.0190476190473"/>
    <n v="2463.0903571428571"/>
    <n v="1153.2470833333334"/>
    <n v="1278.485892857143"/>
    <n v="0.5114985052442178"/>
    <n v="1794.8482549019604"/>
    <n v="-83.112340336134821"/>
    <n v="2593.9278823529407"/>
    <n v="2217.2824313725487"/>
    <n v="1067.2225882352943"/>
    <n v="1300.9601176470587"/>
    <n v="3"/>
    <s v="não_considerar"/>
    <n v="2022"/>
    <n v="2100"/>
    <n v="30"/>
    <n v="18433.397137572651"/>
    <n v="1346.9683917233087"/>
    <n v="5253.1767277209037"/>
    <n v="4"/>
    <n v="0"/>
    <m/>
    <n v="18433.397137572651"/>
    <m/>
    <n v="5253.1767277209037"/>
    <n v="1.103153897336226"/>
    <n v="20334.873893459702"/>
    <n v="8.8827433387272267E-2"/>
    <n v="1981.7446562098737"/>
    <n v="24771.808202623422"/>
    <n v="1784.8041584809137"/>
    <n v="175.45"/>
    <n v="0"/>
    <n v="318"/>
    <m/>
    <x v="0"/>
    <m/>
    <n v="1"/>
    <n v="2035"/>
    <n v="3"/>
    <x v="0"/>
  </r>
  <r>
    <n v="1167"/>
    <n v="1167"/>
    <s v="Serra Quebrada"/>
    <s v="Serra Quebrada"/>
    <n v="1328"/>
    <s v="Tocantins-Araguaia"/>
    <s v="Tocantins"/>
    <n v="-47.489593999999997"/>
    <n v="-5.6981789999999997"/>
    <s v="TO"/>
    <s v="TO"/>
    <n v="4"/>
    <m/>
    <n v="1.6379999999999999E-2"/>
    <n v="6.1409999999999999E-2"/>
    <n v="0.58071010604919682"/>
    <n v="771.18302083333333"/>
    <n v="556.81697916666667"/>
    <n v="994.13714285714286"/>
    <n v="853.49404761904771"/>
    <n v="540.68166666666662"/>
    <n v="696.41922619047625"/>
    <n v="0.58737039333805818"/>
    <n v="780.02788235294133"/>
    <n v="8.8448615196080027"/>
    <n v="1056.7873725490197"/>
    <n v="886.88298039215681"/>
    <n v="498.09776470588241"/>
    <n v="678.34341176470605"/>
    <n v="3"/>
    <s v="não_considerar"/>
    <n v="2022"/>
    <n v="2100"/>
    <n v="30"/>
    <n v="7447.1149581533255"/>
    <n v="1437.8890481451431"/>
    <n v="5607.767287766058"/>
    <n v="4"/>
    <n v="0"/>
    <m/>
    <n v="7447.1149581533255"/>
    <m/>
    <n v="5607.767287766058"/>
    <n v="1.103153897336226"/>
    <n v="8215.3138899977475"/>
    <n v="8.8827433387272267E-2"/>
    <n v="796.14524731930749"/>
    <n v="9951.8155914913441"/>
    <n v="717.02645631851294"/>
    <n v="66.400000000000006"/>
    <n v="0"/>
    <n v="318"/>
    <m/>
    <x v="0"/>
    <m/>
    <n v="1"/>
    <n v="2035"/>
    <n v="3"/>
    <x v="0"/>
  </r>
  <r>
    <n v="1174"/>
    <n v="1174"/>
    <s v="Tapires (SAN-020)"/>
    <s v="Tapires (SAN-020)"/>
    <n v="75"/>
    <s v="Amazônica"/>
    <s v="Sangue"/>
    <n v="-58.253450000000001"/>
    <n v="-11.06396"/>
    <s v="MT"/>
    <s v="MT"/>
    <n v="10"/>
    <m/>
    <n v="1.9820000000000001E-2"/>
    <n v="5.2919999999999995E-2"/>
    <n v="0.54125853174603167"/>
    <n v="40.594389880952377"/>
    <n v="34.405610119047623"/>
    <n v="52.583809523809521"/>
    <n v="47.991190476190468"/>
    <n v="27.986666666666668"/>
    <n v="33.815892857142856"/>
    <n v="0.51652614379084971"/>
    <n v="38.739460784313728"/>
    <n v="-1.8549290966386494"/>
    <n v="52.185176470588239"/>
    <n v="43.34858823529413"/>
    <n v="26.66952941176471"/>
    <n v="32.754549019607843"/>
    <n v="3"/>
    <s v="não_considerar"/>
    <n v="2022"/>
    <n v="2100"/>
    <n v="30"/>
    <n v="2628.1098454648245"/>
    <n v="8984.9909246660663"/>
    <n v="35041.46460619766"/>
    <n v="2"/>
    <n v="0"/>
    <m/>
    <n v="2628.1098454648245"/>
    <m/>
    <n v="35041.46460619766"/>
    <n v="1.1245293369208682"/>
    <n v="2955.3866218757644"/>
    <n v="8.8827433387272267E-2"/>
    <n v="266.26940828830504"/>
    <n v="3328.3676036038128"/>
    <n v="239.80826475299935"/>
    <n v="3.75"/>
    <n v="0"/>
    <n v="318"/>
    <m/>
    <x v="0"/>
    <m/>
    <n v="1"/>
    <n v="2035"/>
    <n v="3"/>
    <x v="0"/>
  </r>
  <r>
    <n v="1178"/>
    <n v="1178"/>
    <s v="Tijuco Alto"/>
    <s v="Tijuco Alto"/>
    <n v="128.69999999999999"/>
    <s v="Atlântico Sudeste"/>
    <s v="Ribeira do Iguape"/>
    <n v="-49.034534999999998"/>
    <n v="-24.650016999999998"/>
    <s v="SP"/>
    <s v="SP"/>
    <n v="2"/>
    <m/>
    <n v="1.6379999999999999E-2"/>
    <n v="6.1409999999999999E-2"/>
    <n v="0.57349005161505173"/>
    <n v="73.808169642857152"/>
    <n v="54.891830357142837"/>
    <n v="80.357142857142847"/>
    <n v="74.109523809523822"/>
    <n v="72.894166666666663"/>
    <n v="67.871845238095247"/>
    <n v="0.71659490835961437"/>
    <n v="92.225764705882355"/>
    <n v="18.417595063025203"/>
    <n v="99.996627450980398"/>
    <n v="88.021411764705874"/>
    <n v="89.513568627450979"/>
    <n v="91.371450980392169"/>
    <n v="3"/>
    <s v="não_considerar"/>
    <n v="2022"/>
    <n v="2100"/>
    <n v="30"/>
    <n v="855.95826724299332"/>
    <n v="1705.3339454565244"/>
    <n v="6650.8023872804451"/>
    <n v="2"/>
    <n v="0"/>
    <m/>
    <n v="855.95826724299332"/>
    <m/>
    <n v="6650.8023872804461"/>
    <n v="1.1245293369208682"/>
    <n v="962.55018269469861"/>
    <n v="8.8827433387272267E-2"/>
    <n v="91.9358622352201"/>
    <n v="1149.1982779402513"/>
    <n v="82.799521480617912"/>
    <n v="6.4349999999999987"/>
    <n v="0"/>
    <n v="318"/>
    <m/>
    <x v="0"/>
    <m/>
    <n v="1"/>
    <n v="2035"/>
    <n v="3"/>
    <x v="0"/>
  </r>
  <r>
    <n v="1182"/>
    <n v="1182"/>
    <s v="Travessão dos Índios (ARN-026 )"/>
    <s v="Travessão dos Índios (ARN-026 )"/>
    <n v="252"/>
    <s v="Amazônica"/>
    <s v="Arinos"/>
    <n v="-58.178508999999998"/>
    <n v="-10.557206000000001"/>
    <s v="MT"/>
    <s v="MT"/>
    <n v="1"/>
    <m/>
    <n v="1.6379999999999999E-2"/>
    <n v="6.1409999999999999E-2"/>
    <n v="0.55078951719576719"/>
    <n v="138.79895833333333"/>
    <n v="113.20104166666667"/>
    <n v="202.78"/>
    <n v="180.1679761904762"/>
    <n v="72.969583333333333"/>
    <n v="99.27827380952381"/>
    <n v="0.54165522875816985"/>
    <n v="136.49711764705881"/>
    <n v="-2.3018406862745167"/>
    <n v="206.36741176470591"/>
    <n v="165.77745098039216"/>
    <n v="70.776352941176484"/>
    <n v="103.06725490196078"/>
    <n v="3"/>
    <s v="não_considerar"/>
    <n v="2022"/>
    <n v="2100"/>
    <n v="30"/>
    <n v="4088.5869013441875"/>
    <n v="4160.1413322590433"/>
    <n v="16224.551195810267"/>
    <n v="2"/>
    <n v="0"/>
    <m/>
    <n v="4088.5869013441875"/>
    <m/>
    <n v="16224.551195810269"/>
    <n v="1.1245293369208682"/>
    <n v="4597.735917111926"/>
    <n v="8.8827433387272267E-2"/>
    <n v="421.00508090952877"/>
    <n v="5262.5635113691096"/>
    <n v="379.16671897882662"/>
    <n v="12.6"/>
    <n v="0"/>
    <n v="318"/>
    <m/>
    <x v="0"/>
    <m/>
    <n v="1"/>
    <n v="2035"/>
    <n v="3"/>
    <x v="0"/>
  </r>
  <r>
    <n v="1183"/>
    <n v="1183"/>
    <s v="Tucumã (JRN-466)"/>
    <s v="Tucumã (JRN-466)"/>
    <n v="510"/>
    <s v="Amazônica"/>
    <s v="Juruena"/>
    <n v="-58.394278"/>
    <n v="-10.524333"/>
    <s v="MT"/>
    <s v="MT"/>
    <n v="10"/>
    <m/>
    <n v="1.9820000000000001E-2"/>
    <n v="5.2919999999999995E-2"/>
    <n v="0.59207764355742298"/>
    <n v="301.95959821428573"/>
    <n v="208.04040178571427"/>
    <n v="404.78952380952381"/>
    <n v="386.57327380952376"/>
    <n v="199.66041666666669"/>
    <n v="216.81517857142856"/>
    <n v="0.5692422914263745"/>
    <n v="290.31356862745099"/>
    <n v="-11.646029586834743"/>
    <n v="405.77941176470586"/>
    <n v="355.60203921568626"/>
    <n v="181.89188235294117"/>
    <n v="217.98094117647057"/>
    <n v="3"/>
    <s v="não_considerar"/>
    <n v="2022"/>
    <n v="2100"/>
    <n v="30"/>
    <n v="6045.6071863785164"/>
    <n v="3039.5209584607928"/>
    <n v="11854.131737997091"/>
    <n v="3"/>
    <n v="0"/>
    <m/>
    <n v="6045.6071863785164"/>
    <m/>
    <n v="11854.131737997091"/>
    <n v="1.1255071012622904"/>
    <n v="6804.3738197113553"/>
    <n v="8.8827433387272267E-2"/>
    <n v="629.91506221250972"/>
    <n v="7873.9382776563716"/>
    <n v="567.31578359688854"/>
    <n v="25.5"/>
    <n v="0"/>
    <n v="318"/>
    <m/>
    <x v="0"/>
    <m/>
    <n v="1"/>
    <n v="2035"/>
    <n v="3"/>
    <x v="0"/>
  </r>
  <r>
    <n v="1184"/>
    <n v="1184"/>
    <s v="Tupiratins"/>
    <s v="Tupiratins"/>
    <n v="620"/>
    <s v="Tocantins-Araguaia"/>
    <s v="Tocantins"/>
    <n v="-48.013154999999998"/>
    <n v="-8.0801049999999996"/>
    <s v="TO"/>
    <s v="TO"/>
    <n v="1"/>
    <m/>
    <n v="1.6379999999999999E-2"/>
    <n v="6.1409999999999999E-2"/>
    <n v="0.6829794546850998"/>
    <n v="423.44726190476189"/>
    <n v="196.55273809523811"/>
    <n v="518.28190476190468"/>
    <n v="410.4997619047619"/>
    <n v="341.38291666666669"/>
    <n v="423.62446428571428"/>
    <n v="0.70783659076533811"/>
    <n v="438.85868627450964"/>
    <n v="15.411424369747749"/>
    <n v="560.44980392156833"/>
    <n v="458.50109803921549"/>
    <n v="317.03486274509805"/>
    <n v="419.44898039215678"/>
    <n v="3"/>
    <s v="não_considerar"/>
    <n v="2022"/>
    <n v="2100"/>
    <n v="30"/>
    <n v="4787.1118085904909"/>
    <n v="1979.7815585568612"/>
    <n v="7721.1480783717589"/>
    <n v="3"/>
    <n v="0"/>
    <m/>
    <n v="4787.1118085904909"/>
    <m/>
    <n v="7721.1480783717598"/>
    <n v="1.1255071012622904"/>
    <n v="5387.9283351051636"/>
    <n v="8.8827433387272267E-2"/>
    <n v="509.59584528195069"/>
    <n v="6369.9480660243835"/>
    <n v="458.95356949936928"/>
    <n v="31"/>
    <n v="0"/>
    <n v="318"/>
    <m/>
    <x v="0"/>
    <m/>
    <n v="1"/>
    <n v="2035"/>
    <n v="3"/>
    <x v="0"/>
  </r>
  <r>
    <n v="1002"/>
    <n v="1002"/>
    <s v="A26PA184 (Miriti)"/>
    <s v="A26PA184 (Miriti)"/>
    <n v="140.5"/>
    <s v="Amazônica"/>
    <s v="Paru"/>
    <n v="-53.840142999999998"/>
    <n v="-5.8097999999999997E-2"/>
    <s v="PA"/>
    <s v="PA"/>
    <n v="4"/>
    <m/>
    <n v="1.6379999999999999E-2"/>
    <n v="6.1409999999999999E-2"/>
    <n v="0.52086627266564989"/>
    <n v="73.181711309523806"/>
    <n v="67.318288690476194"/>
    <n v="91.557619047619042"/>
    <n v="112.32255952380952"/>
    <n v="51.911666666666662"/>
    <n v="36.934999999999995"/>
    <n v="0.46787942223152607"/>
    <n v="65.737058823529409"/>
    <n v="-7.4446524859943963"/>
    <n v="74.862313725490182"/>
    <n v="108.9846274509804"/>
    <n v="53.718784313725486"/>
    <n v="25.382509803921561"/>
    <n v="3"/>
    <s v="não_considerar"/>
    <n v="2022"/>
    <n v="2100"/>
    <n v="30"/>
    <n v="1499.5630440458831"/>
    <n v="2736.6786094459039"/>
    <n v="10673.046576839026"/>
    <n v="2"/>
    <n v="0"/>
    <m/>
    <n v="1499.5630440458831"/>
    <m/>
    <n v="10673.046576839024"/>
    <n v="1.1245293369208682"/>
    <n v="1686.3026355919555"/>
    <n v="8.8827433387272267E-2"/>
    <n v="156.81493503382609"/>
    <n v="1960.186687922826"/>
    <n v="141.2310850861941"/>
    <n v="7.0250000000000004"/>
    <n v="0"/>
    <n v="318"/>
    <m/>
    <x v="1"/>
    <m/>
    <n v="1"/>
    <n v="2030"/>
    <n v="1"/>
    <x v="1"/>
  </r>
  <r>
    <n v="1004"/>
    <n v="1004"/>
    <s v="A34PA250 (Samuã)"/>
    <s v="A34PA250 (Samuã)"/>
    <n v="104.1"/>
    <s v="Amazônica"/>
    <s v="Paru"/>
    <n v="-53.814917999999999"/>
    <n v="0.102156"/>
    <s v="PA"/>
    <s v="PA"/>
    <n v="4"/>
    <m/>
    <n v="1.9820000000000001E-2"/>
    <n v="5.2919999999999995E-2"/>
    <n v="0.41709608435112755"/>
    <n v="43.419702380952373"/>
    <n v="60.680297619047622"/>
    <n v="54.339523809523804"/>
    <n v="66.708571428571418"/>
    <n v="30.785416666666666"/>
    <n v="21.845297619047617"/>
    <n v="0.37465012902375161"/>
    <n v="39.001078431372541"/>
    <n v="-4.4186239495798318"/>
    <n v="44.399647058823518"/>
    <n v="64.752784313725485"/>
    <n v="31.825647058823535"/>
    <n v="15.026235294117646"/>
    <n v="3"/>
    <s v="não_considerar"/>
    <n v="2022"/>
    <n v="2100"/>
    <n v="30"/>
    <n v="1251.0995301877967"/>
    <n v="3081.6018379462471"/>
    <n v="12018.247167990363"/>
    <n v="2"/>
    <n v="0"/>
    <m/>
    <n v="1251.0995301877967"/>
    <m/>
    <n v="12018.247167990365"/>
    <n v="1.1245293369208682"/>
    <n v="1406.8981251040927"/>
    <n v="8.8827433387272267E-2"/>
    <n v="130.17614949036204"/>
    <n v="1627.2018686295255"/>
    <n v="117.23959099240571"/>
    <n v="5.2050000000000001"/>
    <n v="0"/>
    <n v="318"/>
    <m/>
    <x v="1"/>
    <m/>
    <n v="1"/>
    <n v="2030"/>
    <n v="1"/>
    <x v="1"/>
  </r>
  <r>
    <n v="1006"/>
    <n v="1006"/>
    <s v="A41PA008 (Panamã)"/>
    <s v="A41PA008 (Panamã)"/>
    <n v="870.4"/>
    <s v="Amazônica"/>
    <s v="Paru"/>
    <n v="-53.159303999999999"/>
    <n v="-1.0408999999999999"/>
    <s v="PA"/>
    <s v="PA"/>
    <n v="4"/>
    <m/>
    <n v="1.6379999999999999E-2"/>
    <n v="6.1409999999999999E-2"/>
    <n v="0.5393438942959996"/>
    <n v="469.44492559523809"/>
    <n v="400.95507440476189"/>
    <n v="555.1847619047619"/>
    <n v="732.18488095238092"/>
    <n v="354.67624999999998"/>
    <n v="235.73380952380953"/>
    <n v="0.4833150974084488"/>
    <n v="420.67746078431384"/>
    <n v="-48.767464810924253"/>
    <n v="469.55643137254918"/>
    <n v="707.90094117647084"/>
    <n v="352.09639215686281"/>
    <n v="153.15607843137255"/>
    <n v="3"/>
    <s v="não_considerar"/>
    <n v="2022"/>
    <n v="2100"/>
    <n v="30"/>
    <n v="4788.7684501263866"/>
    <n v="1410.7184583941325"/>
    <n v="5501.8019877371171"/>
    <n v="3"/>
    <n v="0"/>
    <m/>
    <n v="4788.7684501263866"/>
    <m/>
    <n v="5501.8019877371171"/>
    <n v="1.1255071012622904"/>
    <n v="5389.7928969180603"/>
    <n v="8.8827433387272267E-2"/>
    <n v="522.28146952218219"/>
    <n v="6528.518369027277"/>
    <n v="470.37853024087747"/>
    <n v="43.52"/>
    <n v="0"/>
    <n v="318"/>
    <m/>
    <x v="1"/>
    <m/>
    <n v="1"/>
    <n v="2030"/>
    <n v="1"/>
    <x v="1"/>
  </r>
  <r>
    <n v="1007"/>
    <n v="1007"/>
    <s v="Açaipé B"/>
    <s v="Açaipé B"/>
    <n v="831.1"/>
    <s v="Amazônica"/>
    <s v="Jari"/>
    <n v="-52.670506000000003"/>
    <n v="-0.55420700000000001"/>
    <s v="AP"/>
    <s v="AP"/>
    <n v="4"/>
    <m/>
    <n v="1.6379999999999999E-2"/>
    <n v="6.1409999999999999E-2"/>
    <n v="0.52647108536592357"/>
    <n v="437.55011904761909"/>
    <n v="393.54988095238093"/>
    <n v="474.72666666666669"/>
    <n v="727.57047619047626"/>
    <n v="408.88666666666671"/>
    <n v="139.01666666666668"/>
    <n v="0.47421776242683311"/>
    <n v="394.12238235294103"/>
    <n v="-43.42773669467806"/>
    <n v="390.4068627450979"/>
    <n v="691.71980392156831"/>
    <n v="378.76435294117636"/>
    <n v="115.59850980392156"/>
    <n v="3"/>
    <s v="não_considerar"/>
    <n v="2022"/>
    <n v="2100"/>
    <n v="30"/>
    <n v="4769.7313944676198"/>
    <n v="1471.5534230098569"/>
    <n v="5739.0583497384423"/>
    <n v="3"/>
    <n v="0"/>
    <m/>
    <n v="4769.7313944676198"/>
    <m/>
    <n v="5739.0583497384432"/>
    <n v="1.1255071012622904"/>
    <n v="5368.3665555869929"/>
    <n v="8.8827433387272267E-2"/>
    <n v="518.41322261486391"/>
    <n v="6480.165282685799"/>
    <n v="466.89469939285249"/>
    <n v="41.555"/>
    <n v="0"/>
    <n v="318"/>
    <m/>
    <x v="1"/>
    <m/>
    <n v="1"/>
    <n v="2030"/>
    <n v="1"/>
    <x v="1"/>
  </r>
  <r>
    <n v="1008"/>
    <n v="1008"/>
    <s v="Água Branca"/>
    <s v="Água Branca"/>
    <n v="73"/>
    <s v="Amazônica"/>
    <s v="Amapari"/>
    <n v="-52.023097999999997"/>
    <n v="0.95645999999999998"/>
    <s v="AP"/>
    <s v="AP"/>
    <n v="4"/>
    <m/>
    <n v="1.9820000000000001E-2"/>
    <n v="5.2919999999999995E-2"/>
    <n v="0.47693555361105217"/>
    <n v="34.816295413606809"/>
    <n v="38.183704586393191"/>
    <n v="47.433326879263355"/>
    <n v="53.865729375286399"/>
    <n v="20.598248173075799"/>
    <n v="17.367877226801678"/>
    <n v="0.49042921298242015"/>
    <n v="35.801332547716669"/>
    <n v="0.98503713410985938"/>
    <n v="52.664204277829789"/>
    <n v="52.932001941424311"/>
    <n v="19.43744671678888"/>
    <n v="18.171677254823688"/>
    <n v="3"/>
    <s v="não_considerar"/>
    <n v="2022"/>
    <n v="2100"/>
    <n v="30"/>
    <n v="740.65365674820032"/>
    <n v="2601.5232060000012"/>
    <n v="10145.940503400005"/>
    <n v="2"/>
    <n v="0"/>
    <m/>
    <n v="740.65365674820032"/>
    <m/>
    <n v="10145.940503400005"/>
    <n v="1.1245293369208682"/>
    <n v="832.88676551107005"/>
    <n v="8.8827433387272267E-2"/>
    <n v="77.633193682575239"/>
    <n v="970.41492103219048"/>
    <n v="69.918213977078835"/>
    <n v="3.65"/>
    <n v="0"/>
    <n v="318"/>
    <m/>
    <x v="1"/>
    <m/>
    <n v="1"/>
    <n v="2030"/>
    <n v="1"/>
    <x v="1"/>
  </r>
  <r>
    <n v="1013"/>
    <n v="1013"/>
    <s v="Almenara"/>
    <s v="Almenara"/>
    <n v="116.79"/>
    <s v="Atlântico Leste"/>
    <s v="Jequitinhonha"/>
    <n v="-40.715055999999997"/>
    <n v="-16.186295999999999"/>
    <s v="MG"/>
    <s v="MG"/>
    <n v="1"/>
    <m/>
    <n v="1.9820000000000001E-2"/>
    <n v="5.2919999999999995E-2"/>
    <n v="0.48892752151806862"/>
    <n v="57.101845238095237"/>
    <n v="59.688154761904769"/>
    <n v="36.002857142857145"/>
    <n v="33.331369047619042"/>
    <n v="78.638333333333335"/>
    <n v="80.434821428571425"/>
    <n v="0.50182504545614803"/>
    <n v="58.608147058823533"/>
    <n v="1.5063018207282965"/>
    <n v="66.052980392156869"/>
    <n v="38.804039215686267"/>
    <n v="61.332823529411776"/>
    <n v="68.242745098039208"/>
    <n v="3"/>
    <s v="não_considerar"/>
    <n v="2022"/>
    <n v="2100"/>
    <n v="30"/>
    <n v="1771.6635580086472"/>
    <n v="3889.6541414650605"/>
    <n v="15169.651151713735"/>
    <n v="2"/>
    <n v="0"/>
    <m/>
    <n v="1771.6635580086472"/>
    <m/>
    <n v="15169.651151713735"/>
    <n v="1.1245293369208682"/>
    <n v="1992.2876461343301"/>
    <n v="8.8827433387272267E-2"/>
    <n v="182.80929817528266"/>
    <n v="2285.1162271910334"/>
    <n v="164.64219775732184"/>
    <n v="5.8395000000000001"/>
    <n v="0"/>
    <n v="318"/>
    <m/>
    <x v="1"/>
    <m/>
    <n v="1"/>
    <n v="2030"/>
    <n v="1"/>
    <x v="1"/>
  </r>
  <r>
    <n v="1034"/>
    <n v="1034"/>
    <s v="Cachoeira da Velha"/>
    <s v="Cachoeira da Velha"/>
    <n v="81"/>
    <s v="Tocantins-Araguaia"/>
    <s v="Sono"/>
    <n v="-46.880605000000003"/>
    <n v="-10.267543999999999"/>
    <s v="TO"/>
    <s v="TO"/>
    <n v="1"/>
    <m/>
    <n v="2.068E-2"/>
    <n v="4.6600000000000003E-2"/>
    <n v="0.53211930092018589"/>
    <n v="43.101663374535057"/>
    <n v="37.898336625464943"/>
    <n v="54.013665289620498"/>
    <n v="47.415790349037913"/>
    <n v="33.634468806280665"/>
    <n v="37.342729053201175"/>
    <n v="0.56765074645560576"/>
    <n v="45.979710462904066"/>
    <n v="2.8780470883690086"/>
    <n v="60.098011860552297"/>
    <n v="49.997419663453947"/>
    <n v="34.422397405684798"/>
    <n v="39.401012921925229"/>
    <n v="3"/>
    <s v="não_considerar"/>
    <n v="2022"/>
    <n v="2100"/>
    <n v="30"/>
    <n v="510.7018131916617"/>
    <n v="1616.6565786377389"/>
    <n v="6304.9606566871817"/>
    <n v="2"/>
    <n v="0"/>
    <m/>
    <n v="510.7018131916617"/>
    <m/>
    <n v="6304.9606566871817"/>
    <n v="1.1245293369208682"/>
    <n v="574.29917135270443"/>
    <n v="8.8827433387272267E-2"/>
    <n v="55.06352138769801"/>
    <n v="688.29401734622513"/>
    <n v="49.591455511389661"/>
    <n v="4.05"/>
    <n v="0"/>
    <n v="318"/>
    <m/>
    <x v="1"/>
    <m/>
    <n v="1"/>
    <n v="2030"/>
    <n v="1"/>
    <x v="1"/>
  </r>
  <r>
    <n v="1036"/>
    <n v="1036"/>
    <s v="Cachoeira dos Patos"/>
    <s v="Cachoeira dos Patos"/>
    <n v="528"/>
    <s v="Amazônica"/>
    <s v="Jamanxim"/>
    <n v="-55.76"/>
    <n v="-5.9163889999999997"/>
    <s v="PA"/>
    <s v="PA"/>
    <n v="9"/>
    <m/>
    <n v="1.6379999999999999E-2"/>
    <n v="6.1409999999999999E-2"/>
    <n v="0.50174901920995685"/>
    <n v="264.92348214285721"/>
    <n v="263.07651785714279"/>
    <n v="438.09333333333342"/>
    <n v="390.55434523809527"/>
    <n v="62.214583333333337"/>
    <n v="168.83166666666665"/>
    <n v="0.47580689245395119"/>
    <n v="251.22603921568623"/>
    <n v="-13.697442927170982"/>
    <n v="424.49309803921557"/>
    <n v="381.02643137254904"/>
    <n v="62.993725490196077"/>
    <n v="136.3909019607843"/>
    <n v="3"/>
    <s v="não_considerar"/>
    <n v="2027"/>
    <n v="2100"/>
    <n v="30"/>
    <n v="2859.7309077565897"/>
    <n v="1388.7582108375045"/>
    <n v="5416.1570222662676"/>
    <n v="3"/>
    <n v="0"/>
    <m/>
    <n v="2859.7309077565897"/>
    <m/>
    <n v="5416.1570222662685"/>
    <n v="1.1255071012622904"/>
    <n v="3218.6474443792977"/>
    <n v="8.8827433387272267E-2"/>
    <n v="312.30419146271618"/>
    <n v="3903.8023932839519"/>
    <n v="281.26823397102908"/>
    <n v="26.4"/>
    <n v="0"/>
    <n v="318"/>
    <m/>
    <x v="1"/>
    <m/>
    <n v="1"/>
    <n v="2030"/>
    <n v="1"/>
    <x v="1"/>
  </r>
  <r>
    <n v="1037"/>
    <n v="1037"/>
    <s v="Cachoeira Galinha"/>
    <s v="Cachoeira Galinha"/>
    <n v="399.8"/>
    <s v="Amazônica"/>
    <s v="Roosevelt"/>
    <n v="-60.914164999999997"/>
    <n v="-7.705279"/>
    <s v="AM"/>
    <s v="AM"/>
    <n v="7"/>
    <m/>
    <n v="1.6379999999999999E-2"/>
    <n v="6.1409999999999999E-2"/>
    <n v="0.51906172580337795"/>
    <n v="207.52087797619049"/>
    <n v="192.27912202380952"/>
    <n v="340.17047619047617"/>
    <n v="293.13261904761907"/>
    <n v="83.325416666666669"/>
    <n v="113.455"/>
    <n v="0.51766733857124614"/>
    <n v="206.96340196078421"/>
    <n v="-0.55747601540628011"/>
    <n v="353.13160784313692"/>
    <n v="292.07443137254887"/>
    <n v="72.390745098039233"/>
    <n v="110.25682352941176"/>
    <n v="3"/>
    <s v="não_considerar"/>
    <n v="2022"/>
    <n v="2100"/>
    <n v="30"/>
    <n v="3240.9377455207828"/>
    <n v="2078.5634775854487"/>
    <n v="8106.3975625832491"/>
    <n v="2"/>
    <n v="0"/>
    <m/>
    <n v="3240.9377455207828"/>
    <m/>
    <n v="8106.3975625832481"/>
    <n v="1.1245293369208682"/>
    <n v="3644.5295739722992"/>
    <n v="8.8827433387272267E-2"/>
    <n v="343.72420795996817"/>
    <n v="4296.5525994996024"/>
    <n v="309.56581304011337"/>
    <n v="19.989999999999998"/>
    <n v="0"/>
    <n v="318"/>
    <m/>
    <x v="1"/>
    <m/>
    <n v="1"/>
    <n v="2030"/>
    <n v="1"/>
    <x v="1"/>
  </r>
  <r>
    <n v="1091"/>
    <n v="1091"/>
    <s v="Jamanxim"/>
    <s v="Jamanxim"/>
    <n v="881"/>
    <s v="Amazônica"/>
    <s v="Jamanxim"/>
    <n v="-55.874301000000003"/>
    <n v="-5.6581469999999996"/>
    <s v="PA"/>
    <s v="PA"/>
    <n v="9"/>
    <m/>
    <n v="1.9820000000000001E-2"/>
    <n v="5.2919999999999995E-2"/>
    <n v="0.52012555064591104"/>
    <n v="458.23061011904758"/>
    <n v="422.76938988095242"/>
    <n v="744.49380952380943"/>
    <n v="666.98690476190473"/>
    <n v="112.86416666666666"/>
    <n v="308.5775595238095"/>
    <n v="0.49327111571075649"/>
    <n v="434.57185294117647"/>
    <n v="-23.658757177871109"/>
    <n v="724.57639215686288"/>
    <n v="653.60007843137248"/>
    <n v="113.79627450980395"/>
    <n v="246.31466666666665"/>
    <n v="3"/>
    <s v="não_considerar"/>
    <n v="2022"/>
    <n v="2100"/>
    <n v="30"/>
    <n v="3743.9208150419045"/>
    <n v="1089.6477822526572"/>
    <n v="4249.6263507853628"/>
    <n v="3"/>
    <n v="0"/>
    <m/>
    <n v="3743.9208150419045"/>
    <m/>
    <n v="4249.6263507853628"/>
    <n v="1.1255071012622904"/>
    <n v="4213.8094638933653"/>
    <n v="8.8827433387272267E-2"/>
    <n v="418.35187946064536"/>
    <n v="5229.398493258067"/>
    <n v="376.7771856126505"/>
    <n v="44.05"/>
    <n v="0"/>
    <n v="318"/>
    <m/>
    <x v="1"/>
    <m/>
    <n v="1"/>
    <n v="2030"/>
    <n v="1"/>
    <x v="1"/>
  </r>
  <r>
    <n v="1096"/>
    <n v="1096"/>
    <s v="Jequitinhonha"/>
    <s v="Jequitinhonha"/>
    <n v="101.28"/>
    <s v="Atlântico Leste"/>
    <s v="Jequitinhonha"/>
    <n v="-41.073332999999998"/>
    <n v="-16.429167"/>
    <s v="MG"/>
    <s v="MG"/>
    <n v="1"/>
    <m/>
    <n v="1.9820000000000001E-2"/>
    <n v="5.2919999999999995E-2"/>
    <n v="0.48988982688256971"/>
    <n v="49.616041666666661"/>
    <n v="51.663958333333341"/>
    <n v="29.167142857142853"/>
    <n v="28.931309523809521"/>
    <n v="71.055416666666659"/>
    <n v="69.310297619047631"/>
    <n v="0.49885466034755127"/>
    <n v="50.523999999999994"/>
    <n v="0.9079583333333332"/>
    <n v="54.779333333333319"/>
    <n v="33.705607843137244"/>
    <n v="55.381960784313726"/>
    <n v="58.229098039215692"/>
    <n v="3"/>
    <s v="não_considerar"/>
    <n v="2022"/>
    <n v="2100"/>
    <n v="30"/>
    <n v="1771.6635580086472"/>
    <n v="4485.3150393138276"/>
    <n v="17492.728653323928"/>
    <n v="2"/>
    <n v="0"/>
    <m/>
    <n v="1771.6635580086472"/>
    <m/>
    <n v="17492.728653323928"/>
    <n v="1.1245293369208682"/>
    <n v="1992.2876461343301"/>
    <n v="8.8827433387272267E-2"/>
    <n v="182.03379817528267"/>
    <n v="2275.4224771910335"/>
    <n v="163.94376487871421"/>
    <n v="5.0640000000000001"/>
    <n v="0"/>
    <n v="318"/>
    <m/>
    <x v="1"/>
    <m/>
    <n v="1"/>
    <n v="2030"/>
    <n v="1"/>
    <x v="1"/>
  </r>
  <r>
    <n v="1121"/>
    <n v="1121"/>
    <s v="Panambi (50%)"/>
    <s v="Panambi (50%)"/>
    <n v="524"/>
    <s v="Uruguai"/>
    <s v="Uruguai"/>
    <n v="-54.904443999999998"/>
    <n v="-27.651109000000002"/>
    <s v="RS"/>
    <s v="RS"/>
    <n v="2"/>
    <m/>
    <n v="1.6379999999999999E-2"/>
    <n v="6.1409999999999999E-2"/>
    <n v="0.47938573473282442"/>
    <n v="251.198125"/>
    <n v="272.801875"/>
    <n v="151.52071428571426"/>
    <n v="242.80437500000002"/>
    <n v="320.42770833333333"/>
    <n v="290.03970238095241"/>
    <n v="0.55372075662326004"/>
    <n v="290.14967647058825"/>
    <n v="38.951551470588242"/>
    <n v="200.40786274509807"/>
    <n v="278.69650980392157"/>
    <n v="364.19805882352944"/>
    <n v="317.29627450980388"/>
    <n v="3"/>
    <s v="não_considerar"/>
    <n v="2022"/>
    <n v="2100"/>
    <n v="30"/>
    <n v="5169.4175308654503"/>
    <n v="2529.5642644673371"/>
    <n v="9865.300631422615"/>
    <n v="3"/>
    <n v="0"/>
    <m/>
    <n v="5169.4175308654503"/>
    <m/>
    <n v="9865.300631422615"/>
    <n v="1.1255071012622904"/>
    <n v="5818.2161403788396"/>
    <n v="8.8827433387272267E-2"/>
    <n v="543.01720664225377"/>
    <n v="6787.7150830281716"/>
    <n v="489.05360511750246"/>
    <n v="26.2"/>
    <n v="0"/>
    <n v="318"/>
    <m/>
    <x v="1"/>
    <m/>
    <n v="1"/>
    <n v="2030"/>
    <n v="1"/>
    <x v="1"/>
  </r>
  <r>
    <n v="1136"/>
    <n v="1136"/>
    <s v="Porto da Serra I"/>
    <s v="Porto da Serra I"/>
    <n v="54"/>
    <s v="Amazônica"/>
    <s v="Araguari"/>
    <n v="-51.938205000000004"/>
    <n v="1.040449"/>
    <s v="AP"/>
    <s v="AP"/>
    <n v="7"/>
    <m/>
    <n v="2.068E-2"/>
    <n v="4.6600000000000003E-2"/>
    <n v="0.6001179453262786"/>
    <n v="32.406369047619044"/>
    <n v="21.593630952380956"/>
    <n v="33.820476190476199"/>
    <n v="46.045119047619046"/>
    <n v="38.448333333333331"/>
    <n v="11.311547619047618"/>
    <n v="0.59135475671750182"/>
    <n v="31.933156862745101"/>
    <n v="-0.4732121848739439"/>
    <n v="37.341725490196097"/>
    <n v="46.369372549019609"/>
    <n v="35.568745098039223"/>
    <n v="8.452784313725493"/>
    <n v="3"/>
    <s v="não_considerar"/>
    <n v="2022"/>
    <n v="2100"/>
    <n v="30"/>
    <n v="676.8548817936362"/>
    <n v="3213.9358109859268"/>
    <n v="12534.349662845114"/>
    <n v="2"/>
    <n v="0"/>
    <m/>
    <n v="676.8548817936362"/>
    <m/>
    <n v="12534.349662845116"/>
    <n v="1.1245293369208682"/>
    <n v="761.14317141505035"/>
    <n v="8.8827433387272267E-2"/>
    <n v="70.310394357047542"/>
    <n v="878.8799294630943"/>
    <n v="63.323134915319564"/>
    <n v="2.7"/>
    <n v="0"/>
    <n v="318"/>
    <m/>
    <x v="1"/>
    <m/>
    <n v="1"/>
    <n v="2030"/>
    <n v="1"/>
    <x v="1"/>
  </r>
  <r>
    <n v="1140"/>
    <n v="1140"/>
    <s v="Prainha"/>
    <s v="Prainha"/>
    <n v="796.4"/>
    <s v="Amazônica"/>
    <s v="Aripuanã"/>
    <n v="-60.652225999999999"/>
    <n v="-7.2280569999999997"/>
    <s v="AM"/>
    <s v="AM"/>
    <n v="7"/>
    <m/>
    <n v="1.6379999999999999E-2"/>
    <n v="6.1409999999999999E-2"/>
    <n v="0.48077739335940306"/>
    <n v="382.8911160714286"/>
    <n v="413.50888392857138"/>
    <n v="544.07809523809522"/>
    <n v="538.31083333333333"/>
    <n v="179.60958333333335"/>
    <n v="269.56595238095241"/>
    <n v="0.46974746654060917"/>
    <n v="374.10688235294111"/>
    <n v="-8.784233718487485"/>
    <n v="542.09407843137251"/>
    <n v="529.55772549019605"/>
    <n v="160.60800000000003"/>
    <n v="264.16772549019601"/>
    <n v="3"/>
    <s v="não_considerar"/>
    <n v="2027"/>
    <n v="2100"/>
    <n v="30"/>
    <n v="6443.0038127891939"/>
    <n v="2074.4001251752097"/>
    <n v="8090.1604881833173"/>
    <n v="3"/>
    <n v="0"/>
    <m/>
    <n v="6443.0038127891939"/>
    <m/>
    <n v="8090.1604881833182"/>
    <n v="1.1255071012622904"/>
    <n v="7251.6465447542505"/>
    <n v="8.8827433387272267E-2"/>
    <n v="683.96515040220129"/>
    <n v="8549.5643800275157"/>
    <n v="615.99451819820695"/>
    <n v="39.82"/>
    <n v="0"/>
    <n v="318"/>
    <m/>
    <x v="1"/>
    <m/>
    <n v="1"/>
    <n v="2030"/>
    <n v="1"/>
    <x v="1"/>
  </r>
  <r>
    <n v="1169"/>
    <n v="1169"/>
    <s v="Sumaúma"/>
    <s v="Sumaúma"/>
    <n v="458.2"/>
    <s v="Amazônica"/>
    <s v="Aripuanã"/>
    <n v="-60.196668000000003"/>
    <n v="-7.912223"/>
    <s v="AM"/>
    <s v="AM"/>
    <n v="7"/>
    <m/>
    <n v="1.6379999999999999E-2"/>
    <n v="6.1409999999999999E-2"/>
    <n v="0.51757965953731999"/>
    <n v="237.15500000000003"/>
    <n v="221.04499999999996"/>
    <n v="396.5109523809524"/>
    <n v="332.01154761904758"/>
    <n v="83.305416666666673"/>
    <n v="136.79208333333335"/>
    <n v="0.50526638765501841"/>
    <n v="231.51305882352943"/>
    <n v="-5.6419411764705956"/>
    <n v="397.93678431372547"/>
    <n v="329.6449411764707"/>
    <n v="71.439411764705866"/>
    <n v="127.03109803921569"/>
    <n v="3"/>
    <s v="não_considerar"/>
    <n v="2022"/>
    <n v="2100"/>
    <n v="30"/>
    <n v="3383.8399115177463"/>
    <n v="1893.6081609854314"/>
    <n v="7385.0718278431823"/>
    <n v="3"/>
    <n v="0"/>
    <m/>
    <n v="3383.8399115177463"/>
    <m/>
    <n v="7385.0718278431832"/>
    <n v="1.1255071012622904"/>
    <n v="3808.5358499479839"/>
    <n v="8.8827433387272267E-2"/>
    <n v="361.21246451429295"/>
    <n v="4515.1558064286619"/>
    <n v="325.31613330712281"/>
    <n v="22.91"/>
    <n v="0"/>
    <n v="318"/>
    <m/>
    <x v="1"/>
    <m/>
    <n v="1"/>
    <n v="2030"/>
    <n v="1"/>
    <x v="1"/>
  </r>
  <r>
    <n v="1175"/>
    <n v="1175"/>
    <s v="Taquara"/>
    <s v="Taquara"/>
    <n v="43"/>
    <s v="Parnaíba"/>
    <s v="Parnaíba"/>
    <n v="-45.915190000000003"/>
    <n v="-9.1628500000000006"/>
    <s v="PI"/>
    <s v="PI"/>
    <n v="3"/>
    <m/>
    <n v="2.068E-2"/>
    <n v="4.6600000000000003E-2"/>
    <n v="0.54343369324473978"/>
    <n v="23.367648809523811"/>
    <n v="19.632351190476189"/>
    <n v="30.301904761904762"/>
    <n v="24.629761904761907"/>
    <n v="15.379166666666668"/>
    <n v="23.159761904761904"/>
    <n v="0.5770225718194254"/>
    <n v="24.811970588235294"/>
    <n v="1.4443217787114833"/>
    <n v="33.302313725490194"/>
    <n v="25.08819607843137"/>
    <n v="16.487529411764708"/>
    <n v="24.369843137254907"/>
    <n v="3"/>
    <s v="não_considerar"/>
    <n v="2022"/>
    <n v="2100"/>
    <n v="30"/>
    <n v="1255.2356954004429"/>
    <n v="7485.0071282077688"/>
    <n v="29191.527800010299"/>
    <n v="2"/>
    <n v="0"/>
    <m/>
    <n v="1255.2356954004429"/>
    <m/>
    <n v="29191.527800010299"/>
    <n v="1.1245293369208682"/>
    <n v="1411.5493642280649"/>
    <n v="8.8827433387272267E-2"/>
    <n v="127.53430712381495"/>
    <n v="1594.178839047687"/>
    <n v="114.86028787326312"/>
    <n v="2.15"/>
    <n v="0"/>
    <n v="318"/>
    <m/>
    <x v="1"/>
    <m/>
    <n v="1"/>
    <n v="2030"/>
    <n v="1"/>
    <x v="1"/>
  </r>
  <r>
    <n v="1185"/>
    <n v="1185"/>
    <s v="União II Montante"/>
    <s v="União II Montante"/>
    <n v="67.8"/>
    <s v="Paraná"/>
    <s v="Ivaí"/>
    <n v="-52.105145"/>
    <n v="-23.705766000000001"/>
    <s v="PR"/>
    <s v="PR"/>
    <n v="2"/>
    <m/>
    <n v="1.9820000000000001E-2"/>
    <n v="5.2919999999999995E-2"/>
    <n v="0.53782746874561038"/>
    <n v="36.464702380952382"/>
    <n v="31.335297619047616"/>
    <n v="37.99"/>
    <n v="36.78339285714285"/>
    <n v="32.016250000000007"/>
    <n v="39.069166666666668"/>
    <n v="0.62590433223436903"/>
    <n v="42.436313725490216"/>
    <n v="5.971611344537834"/>
    <n v="46.595411764705908"/>
    <n v="38.63219607843137"/>
    <n v="38.917294117647081"/>
    <n v="45.600352941176503"/>
    <n v="3"/>
    <s v="não_considerar"/>
    <n v="2022"/>
    <n v="2100"/>
    <n v="30"/>
    <n v="748.31871284519434"/>
    <n v="2830.0382453868629"/>
    <n v="11037.149157008766"/>
    <n v="2"/>
    <n v="0"/>
    <m/>
    <n v="748.31871284519434"/>
    <m/>
    <n v="11037.149157008767"/>
    <n v="1.1245293369208682"/>
    <n v="841.50634596128396"/>
    <n v="8.8827433387272267E-2"/>
    <n v="78.138848890842837"/>
    <n v="976.73561113553546"/>
    <n v="70.373618519558875"/>
    <n v="3.39"/>
    <n v="0"/>
    <n v="318"/>
    <m/>
    <x v="1"/>
    <m/>
    <n v="1"/>
    <n v="2030"/>
    <n v="1"/>
    <x v="1"/>
  </r>
  <r>
    <n v="1001"/>
    <n v="1001"/>
    <s v="A17PA118 (Bacuri)"/>
    <s v="A17PA118 (Bacuri)"/>
    <n v="225.7"/>
    <s v="Amazônica"/>
    <s v="Paru"/>
    <n v="-53.770277999999998"/>
    <n v="-0.207203"/>
    <s v="PA"/>
    <s v="PA"/>
    <n v="4"/>
    <m/>
    <n v="1.9820000000000001E-2"/>
    <n v="5.2919999999999995E-2"/>
    <n v="0.64443464248792115"/>
    <n v="145.4488988095238"/>
    <n v="80.251101190476192"/>
    <n v="173.54857142857142"/>
    <n v="198.64827380952377"/>
    <n v="117.06374999999998"/>
    <n v="92.535000000000011"/>
    <n v="0.59020602569782876"/>
    <n v="133.20949999999993"/>
    <n v="-12.239398809523863"/>
    <n v="153.61364705882346"/>
    <n v="194.86137254901942"/>
    <n v="121.02274509803915"/>
    <n v="63.34023529411764"/>
    <n v="3"/>
    <s v="não_considerar"/>
    <n v="2022"/>
    <n v="2100"/>
    <n v="30"/>
    <n v="1919.0294896418484"/>
    <n v="2180.145518377979"/>
    <n v="8502.5675216741183"/>
    <n v="2"/>
    <n v="0"/>
    <m/>
    <n v="1919.0294896418484"/>
    <m/>
    <n v="8502.5675216741183"/>
    <n v="1.1245293369208682"/>
    <n v="2158.0049595185401"/>
    <n v="8.8827433387272267E-2"/>
    <n v="202.97504179103629"/>
    <n v="2537.1880223879534"/>
    <n v="182.80392356365869"/>
    <n v="11.285"/>
    <n v="0"/>
    <n v="318"/>
    <m/>
    <x v="2"/>
    <m/>
    <n v="1"/>
    <n v="2027"/>
    <n v="1"/>
    <x v="2"/>
  </r>
  <r>
    <n v="1003"/>
    <n v="1003"/>
    <s v="A29PA208 (Touré)"/>
    <s v="A29PA208 (Touré)"/>
    <n v="186.3"/>
    <s v="Amazônica"/>
    <s v="Paru"/>
    <n v="-53.841644000000002"/>
    <n v="2.1526E-2"/>
    <s v="PA"/>
    <s v="PA"/>
    <n v="4"/>
    <m/>
    <n v="1.6379999999999999E-2"/>
    <n v="6.1409999999999999E-2"/>
    <n v="0.48225244740945217"/>
    <n v="89.843630952380948"/>
    <n v="96.456369047619063"/>
    <n v="112.1947619047619"/>
    <n v="136.68886904761905"/>
    <n v="64.421250000000001"/>
    <n v="46.06964285714286"/>
    <n v="0.43390778104048916"/>
    <n v="80.837019607843132"/>
    <n v="-9.0066113445378164"/>
    <n v="92.238196078431358"/>
    <n v="132.83905882352943"/>
    <n v="66.606117647058838"/>
    <n v="31.664705882352933"/>
    <n v="3"/>
    <s v="não_considerar"/>
    <n v="2022"/>
    <n v="2100"/>
    <n v="30"/>
    <n v="1680.3260658097868"/>
    <n v="2312.6829704086144"/>
    <n v="9019.4635845935954"/>
    <n v="2"/>
    <n v="0"/>
    <m/>
    <n v="1680.3260658097868"/>
    <m/>
    <n v="9019.4635845935954"/>
    <n v="1.1245293369208682"/>
    <n v="1889.5759565959306"/>
    <n v="8.8827433387272267E-2"/>
    <n v="177.16118241471631"/>
    <n v="2214.5147801839539"/>
    <n v="159.55537667497308"/>
    <n v="9.3149999999999995"/>
    <n v="0"/>
    <n v="318"/>
    <m/>
    <x v="2"/>
    <m/>
    <n v="1"/>
    <n v="2027"/>
    <n v="1"/>
    <x v="2"/>
  </r>
  <r>
    <n v="1005"/>
    <n v="1005"/>
    <s v="A38PA100"/>
    <s v="A38PA101"/>
    <n v="177.8"/>
    <s v="Amazônica"/>
    <s v="Paru"/>
    <n v="-53.365701000000001"/>
    <n v="-0.67624200000000001"/>
    <s v="PA"/>
    <s v="PA"/>
    <n v="4"/>
    <m/>
    <n v="1.6379999999999999E-2"/>
    <n v="6.1409999999999999E-2"/>
    <n v="0.48795730890781502"/>
    <n v="86.758809523809518"/>
    <n v="91.041190476190494"/>
    <n v="108.07000000000001"/>
    <n v="134.18946428571428"/>
    <n v="58.524583333333339"/>
    <n v="46.25119047619048"/>
    <n v="0.42745489534396452"/>
    <n v="76.001480392156893"/>
    <n v="-10.757329131652625"/>
    <n v="85.058313725490208"/>
    <n v="129.46129411764716"/>
    <n v="59.889725490196078"/>
    <n v="29.596588235294121"/>
    <n v="3"/>
    <s v="não_considerar"/>
    <n v="2022"/>
    <n v="2100"/>
    <n v="30"/>
    <n v="1882.903775790257"/>
    <n v="2715.3871763004486"/>
    <n v="10590.00998757175"/>
    <n v="2"/>
    <n v="0"/>
    <m/>
    <n v="1882.903775790257"/>
    <m/>
    <n v="10590.009987571748"/>
    <n v="1.1245293369208682"/>
    <n v="2117.3805344752168"/>
    <n v="8.8827433387272267E-2"/>
    <n v="196.97147838160424"/>
    <n v="2462.1434797700531"/>
    <n v="177.39697827164957"/>
    <n v="8.89"/>
    <n v="0"/>
    <n v="318"/>
    <m/>
    <x v="2"/>
    <m/>
    <n v="1"/>
    <n v="2027"/>
    <n v="1"/>
    <x v="2"/>
  </r>
  <r>
    <n v="1020"/>
    <n v="1020"/>
    <s v="Bambu I"/>
    <s v="Bambu I"/>
    <n v="84"/>
    <s v="Amazônica"/>
    <s v="Araguari"/>
    <n v="-51.604526999999997"/>
    <n v="0.79082200000000002"/>
    <s v="AP"/>
    <s v="AP"/>
    <n v="7"/>
    <m/>
    <n v="1.9820000000000001E-2"/>
    <n v="5.2919999999999995E-2"/>
    <n v="0.47693555361105217"/>
    <n v="40.062586503328383"/>
    <n v="43.937413496671617"/>
    <n v="54.58081449120715"/>
    <n v="61.982483116767916"/>
    <n v="23.702093788196805"/>
    <n v="19.984954617141653"/>
    <n v="0.49042921298242009"/>
    <n v="41.196053890523288"/>
    <n v="1.133467387194905"/>
    <n v="60.599906292297305"/>
    <n v="60.908057028488237"/>
    <n v="22.366377043976243"/>
    <n v="20.90987519733137"/>
    <n v="3"/>
    <s v="não_considerar"/>
    <n v="2022"/>
    <n v="2100"/>
    <n v="30"/>
    <n v="935.98323797140904"/>
    <n v="2857.0916909994176"/>
    <n v="11142.657594897728"/>
    <n v="2"/>
    <n v="0"/>
    <m/>
    <n v="935.98323797140904"/>
    <m/>
    <n v="11142.657594897726"/>
    <n v="1.1245293369208682"/>
    <n v="1052.5406099650359"/>
    <n v="8.8827433387272267E-2"/>
    <n v="97.694480919068141"/>
    <n v="1221.1810114883517"/>
    <n v="87.985864000493692"/>
    <n v="4.2"/>
    <n v="0"/>
    <n v="318"/>
    <m/>
    <x v="2"/>
    <m/>
    <n v="1"/>
    <n v="2027"/>
    <n v="1"/>
    <x v="2"/>
  </r>
  <r>
    <n v="1028"/>
    <n v="1028"/>
    <s v="Biboca"/>
    <s v="Biboca"/>
    <n v="57"/>
    <s v="Atlântico Sudeste"/>
    <s v="Doce"/>
    <n v="-42.713569999999997"/>
    <n v="-20.016563999999999"/>
    <s v="MG"/>
    <s v="MG"/>
    <n v="1"/>
    <m/>
    <n v="2.068E-2"/>
    <n v="4.6600000000000003E-2"/>
    <n v="0.64876227025898081"/>
    <n v="36.979449404761908"/>
    <n v="20.020550595238092"/>
    <n v="47.745714285714293"/>
    <n v="36.475119047619046"/>
    <n v="24.776250000000001"/>
    <n v="38.92071428571429"/>
    <n v="0.67098692810457483"/>
    <n v="38.246254901960768"/>
    <n v="1.2668054971988596"/>
    <n v="49.77129411764701"/>
    <n v="36.546549019607845"/>
    <n v="26.258078431372549"/>
    <n v="40.409098039215657"/>
    <n v="3"/>
    <s v="não_considerar"/>
    <n v="2022"/>
    <n v="2100"/>
    <n v="30"/>
    <n v="378.8373290750967"/>
    <n v="1704.1715208056532"/>
    <n v="6646.2689311420472"/>
    <n v="2"/>
    <n v="0"/>
    <m/>
    <n v="378.8373290750967"/>
    <m/>
    <n v="6646.2689311420472"/>
    <n v="1.1245293369208682"/>
    <n v="426.01369046569124"/>
    <n v="8.8827433387272267E-2"/>
    <n v="40.691702711907219"/>
    <n v="508.64628389884024"/>
    <n v="36.647869839488365"/>
    <n v="2.85"/>
    <n v="0"/>
    <n v="318"/>
    <m/>
    <x v="2"/>
    <m/>
    <n v="1"/>
    <n v="2027"/>
    <n v="1"/>
    <x v="2"/>
  </r>
  <r>
    <n v="1042"/>
    <n v="1042"/>
    <s v="Carecuru"/>
    <s v="Carecuru"/>
    <n v="240.2"/>
    <s v="Amazônica"/>
    <s v="Jari"/>
    <n v="-52.960278000000002"/>
    <n v="-8.3055000000000004E-2"/>
    <s v="AP"/>
    <s v="AP"/>
    <n v="4"/>
    <m/>
    <n v="1.6379999999999999E-2"/>
    <n v="6.1409999999999999E-2"/>
    <n v="0.51330959319614611"/>
    <n v="123.2969642857143"/>
    <n v="116.90303571428569"/>
    <n v="140.76142857142858"/>
    <n v="196.91904761904763"/>
    <n v="115.43083333333334"/>
    <n v="40.076547619047624"/>
    <n v="0.46414164666699331"/>
    <n v="111.48682352941179"/>
    <n v="-11.810140756302502"/>
    <n v="114.56117647058828"/>
    <n v="187.78015686274512"/>
    <n v="108.58211764705885"/>
    <n v="35.023843137254893"/>
    <n v="3"/>
    <s v="não_considerar"/>
    <n v="2022"/>
    <n v="2100"/>
    <n v="30"/>
    <n v="3117.6972065403988"/>
    <n v="3328.0996675210822"/>
    <n v="12979.58870333222"/>
    <n v="2"/>
    <n v="0"/>
    <m/>
    <n v="3117.6972065403988"/>
    <m/>
    <n v="12979.588703332218"/>
    <n v="1.1245293369208682"/>
    <n v="3505.9419723909177"/>
    <n v="8.8827433387272267E-2"/>
    <n v="323.43382701219616"/>
    <n v="4042.922837652452"/>
    <n v="291.29183602735026"/>
    <n v="12.01"/>
    <n v="0"/>
    <n v="318"/>
    <m/>
    <x v="2"/>
    <m/>
    <n v="1"/>
    <n v="2027"/>
    <n v="1"/>
    <x v="2"/>
  </r>
  <r>
    <n v="1049"/>
    <n v="1049"/>
    <s v="Couto Magalhães"/>
    <s v="Couto Magalhães"/>
    <n v="150"/>
    <s v="Tocantins-Araguaia"/>
    <s v="Araguaia"/>
    <n v="-53.141140999999998"/>
    <n v="-17.168783000000001"/>
    <s v="MT"/>
    <s v="MT"/>
    <n v="1"/>
    <m/>
    <n v="1.9820000000000001E-2"/>
    <n v="5.2919999999999995E-2"/>
    <n v="0.64598531746031751"/>
    <n v="96.897797619047623"/>
    <n v="53.102202380952377"/>
    <n v="122.3057142857143"/>
    <n v="104.09642857142858"/>
    <n v="72.980833333333337"/>
    <n v="88.208214285714291"/>
    <n v="0.74441581699346404"/>
    <n v="111.66237254901961"/>
    <n v="14.764574929971985"/>
    <n v="134.37713725490195"/>
    <n v="115.59039215686273"/>
    <n v="86.284666666666681"/>
    <n v="110.39729411764705"/>
    <n v="3"/>
    <s v="não_considerar"/>
    <n v="2027"/>
    <n v="2100"/>
    <n v="30"/>
    <n v="842.54890067850022"/>
    <n v="1440.2545310743592"/>
    <n v="5616.9926711900007"/>
    <n v="2"/>
    <n v="0"/>
    <m/>
    <n v="842.54890067850022"/>
    <m/>
    <n v="5616.9926711900016"/>
    <n v="1.1245293369208682"/>
    <n v="947.47095660340028"/>
    <n v="8.8827433387272267E-2"/>
    <n v="91.66141328406367"/>
    <n v="1145.7676660507959"/>
    <n v="82.552346534148512"/>
    <n v="7.5"/>
    <n v="0"/>
    <n v="318"/>
    <m/>
    <x v="2"/>
    <m/>
    <n v="1"/>
    <n v="2027"/>
    <n v="1"/>
    <x v="2"/>
  </r>
  <r>
    <n v="1052"/>
    <n v="1052"/>
    <s v="Cubatão"/>
    <s v="Cubatão"/>
    <n v="50"/>
    <s v="Atlântico Sul"/>
    <s v="Cubatão"/>
    <n v="-49.113565999999999"/>
    <n v="-26.182623"/>
    <s v="SC"/>
    <s v="SC"/>
    <n v="2"/>
    <m/>
    <n v="1.9820000000000001E-2"/>
    <n v="5.2919999999999995E-2"/>
    <n v="0.47581671064467712"/>
    <n v="23.790835532233856"/>
    <n v="26.209164467766144"/>
    <n v="16.542730227716302"/>
    <n v="21.117201693274463"/>
    <n v="29.751596099974382"/>
    <n v="27.751814107970276"/>
    <n v="0.53804317847923133"/>
    <n v="26.902158923961565"/>
    <n v="3.1113233917277086"/>
    <n v="22.0011437449492"/>
    <n v="24.180249205315089"/>
    <n v="32.446964139707418"/>
    <n v="28.98027860587456"/>
    <n v="3"/>
    <s v="não_considerar"/>
    <n v="2022"/>
    <n v="2100"/>
    <n v="30"/>
    <n v="295.07280280334754"/>
    <n v="1513.1938605299874"/>
    <n v="5901.4560560669506"/>
    <n v="2"/>
    <n v="0"/>
    <m/>
    <n v="295.07280280334754"/>
    <m/>
    <n v="5901.4560560669506"/>
    <n v="1.1245293369208682"/>
    <n v="331.81802327983053"/>
    <n v="8.8827433387272267E-2"/>
    <n v="31.974543359585503"/>
    <n v="399.68179199481881"/>
    <n v="28.796998531011937"/>
    <n v="2.5"/>
    <n v="0"/>
    <n v="318"/>
    <m/>
    <x v="2"/>
    <m/>
    <n v="1"/>
    <n v="2027"/>
    <n v="1"/>
    <x v="2"/>
  </r>
  <r>
    <n v="1062"/>
    <n v="1062"/>
    <s v="Escura"/>
    <s v="Escura"/>
    <n v="75"/>
    <s v="Atlântico Sudeste"/>
    <s v="Doce"/>
    <n v="-42.368101000000003"/>
    <n v="-19.328077"/>
    <s v="MG"/>
    <s v="MG"/>
    <n v="1"/>
    <m/>
    <n v="2.068E-2"/>
    <n v="4.6600000000000003E-2"/>
    <n v="0.49932619047619048"/>
    <n v="37.449464285714285"/>
    <n v="37.550535714285715"/>
    <n v="50.732380952380957"/>
    <n v="36.821726190476184"/>
    <n v="23.950416666666666"/>
    <n v="38.293333333333337"/>
    <n v="0.52303738562091506"/>
    <n v="39.227803921568629"/>
    <n v="1.7783396358543442"/>
    <n v="56.711372549019586"/>
    <n v="35.159686274509788"/>
    <n v="23.775019607843131"/>
    <n v="41.265137254901994"/>
    <n v="3"/>
    <s v="não_considerar"/>
    <n v="2022"/>
    <n v="2100"/>
    <n v="30"/>
    <n v="439.39628620848828"/>
    <n v="1502.2095254991052"/>
    <n v="5858.6171494465098"/>
    <n v="2"/>
    <n v="0"/>
    <m/>
    <n v="439.39628620848828"/>
    <m/>
    <n v="5858.6171494465107"/>
    <n v="1.1245293369208682"/>
    <n v="494.11401437552337"/>
    <n v="8.8827433387272267E-2"/>
    <n v="47.640879697659493"/>
    <n v="595.51099622074366"/>
    <n v="42.90645615298012"/>
    <n v="3.75"/>
    <n v="0"/>
    <n v="318"/>
    <m/>
    <x v="2"/>
    <m/>
    <n v="1"/>
    <n v="2027"/>
    <n v="1"/>
    <x v="2"/>
  </r>
  <r>
    <n v="1065"/>
    <n v="1065"/>
    <s v="Fé Esperança"/>
    <s v="Fé Esperança"/>
    <n v="71.7"/>
    <s v="Amazônica"/>
    <s v="Mucajaí"/>
    <n v="-61.512281000000002"/>
    <n v="2.8940320000000002"/>
    <s v="RR"/>
    <s v="RR"/>
    <n v="4"/>
    <m/>
    <n v="1.9820000000000001E-2"/>
    <n v="5.2919999999999995E-2"/>
    <n v="0.51908809025702318"/>
    <n v="37.218616071428563"/>
    <n v="34.481383928571439"/>
    <n v="19.67285714285714"/>
    <n v="43.291666666666664"/>
    <n v="56.763749999999987"/>
    <n v="29.14619047619048"/>
    <n v="0.45264459758798908"/>
    <n v="32.454617647058818"/>
    <n v="-4.7639984243697455"/>
    <n v="16.261490196078434"/>
    <n v="38.77356862745097"/>
    <n v="50.408588235294111"/>
    <n v="24.374823529411756"/>
    <n v="3"/>
    <s v="não_considerar"/>
    <n v="2022"/>
    <n v="2100"/>
    <n v="30"/>
    <n v="931.72690442653266"/>
    <n v="3331.9990860298703"/>
    <n v="12994.796435516493"/>
    <n v="2"/>
    <n v="0"/>
    <m/>
    <n v="931.72690442653266"/>
    <m/>
    <n v="12994.796435516495"/>
    <n v="1.1245293369208682"/>
    <n v="1047.7542380261018"/>
    <n v="8.8827433387272267E-2"/>
    <n v="96.654319784495769"/>
    <n v="1208.1789973061971"/>
    <n v="87.049071304897112"/>
    <n v="3.585"/>
    <n v="0"/>
    <n v="318"/>
    <m/>
    <x v="2"/>
    <m/>
    <n v="1"/>
    <n v="2027"/>
    <n v="1"/>
    <x v="2"/>
  </r>
  <r>
    <n v="1077"/>
    <n v="1077"/>
    <s v="Gamela"/>
    <s v="Gamela"/>
    <n v="47"/>
    <s v="Paraná"/>
    <s v="Paranaíba"/>
    <n v="-47.274999999999999"/>
    <n v="-18.079000000000001"/>
    <s v="MG"/>
    <s v="MG"/>
    <n v="1"/>
    <m/>
    <n v="2.068E-2"/>
    <n v="4.6600000000000003E-2"/>
    <n v="0.46315824468085109"/>
    <n v="21.768437500000001"/>
    <n v="25.231562499999999"/>
    <n v="33.136190476190478"/>
    <n v="23.250595238095233"/>
    <n v="11.135833333333332"/>
    <n v="19.551130952380955"/>
    <n v="0.50524947851481028"/>
    <n v="23.746725490196081"/>
    <n v="1.9782879901960797"/>
    <n v="37.908235294117652"/>
    <n v="24.334705882352946"/>
    <n v="11.495921568627452"/>
    <n v="21.248039215686273"/>
    <n v="3"/>
    <s v="não_considerar"/>
    <n v="2022"/>
    <n v="2100"/>
    <n v="30"/>
    <n v="470"/>
    <n v="2564.102564102564"/>
    <n v="10000"/>
    <n v="2"/>
    <n v="0"/>
    <m/>
    <n v="470"/>
    <m/>
    <n v="10000"/>
    <n v="1.1245293369208682"/>
    <n v="528.52878835280808"/>
    <n v="8.8827433387272267E-2"/>
    <n v="49.297855740664787"/>
    <n v="616.22319675830977"/>
    <n v="44.398766336732614"/>
    <n v="2.35"/>
    <n v="0"/>
    <n v="318"/>
    <m/>
    <x v="2"/>
    <m/>
    <n v="1"/>
    <n v="2027"/>
    <n v="1"/>
    <x v="2"/>
  </r>
  <r>
    <n v="1084"/>
    <n v="1084"/>
    <s v="Ipueiras (Tocantins)"/>
    <s v="Ipueiras (Tocantins)"/>
    <n v="480"/>
    <s v="Tocantins-Araguaia"/>
    <s v="Tocantins"/>
    <n v="-48.460092000000003"/>
    <n v="-11.250871"/>
    <s v="TO"/>
    <s v="TO"/>
    <n v="1"/>
    <m/>
    <n v="1.6379999999999999E-2"/>
    <n v="6.1409999999999999E-2"/>
    <n v="0.54833779761904766"/>
    <n v="263.20214285714286"/>
    <n v="216.79785714285714"/>
    <n v="284.74952380952385"/>
    <n v="237.01577380952381"/>
    <n v="266.79916666666662"/>
    <n v="264.2441071428571"/>
    <n v="0.62962636846405229"/>
    <n v="302.2206568627451"/>
    <n v="39.018514005602242"/>
    <n v="387.79117647058837"/>
    <n v="297.19294117647058"/>
    <n v="238.74952941176466"/>
    <n v="285.14898039215683"/>
    <n v="3"/>
    <s v="não_considerar"/>
    <n v="2022"/>
    <n v="2100"/>
    <n v="30"/>
    <n v="4103.8529275311703"/>
    <n v="2192.2291279546848"/>
    <n v="8549.6935990232705"/>
    <n v="3"/>
    <n v="0"/>
    <m/>
    <n v="4103.8529275311703"/>
    <m/>
    <n v="8549.6935990232705"/>
    <n v="1.1255071012622904"/>
    <n v="4618.9156124723713"/>
    <n v="8.8827433387272267E-2"/>
    <n v="434.28641888832146"/>
    <n v="5428.5802361040178"/>
    <n v="391.12819301659448"/>
    <n v="24"/>
    <n v="0"/>
    <n v="318"/>
    <m/>
    <x v="2"/>
    <m/>
    <n v="1"/>
    <n v="2027"/>
    <n v="1"/>
    <x v="2"/>
  </r>
  <r>
    <n v="1092"/>
    <n v="1092"/>
    <s v="Jardim do Ouro"/>
    <s v="Jardim do Ouro"/>
    <n v="227"/>
    <s v="Amazônica"/>
    <s v="Jamanxim"/>
    <n v="-55.765546999999998"/>
    <n v="-6.2633910000000004"/>
    <s v="PA"/>
    <s v="PA"/>
    <n v="9"/>
    <m/>
    <n v="1.9820000000000001E-2"/>
    <n v="5.2919999999999995E-2"/>
    <n v="0.43379149622404028"/>
    <n v="98.470669642857146"/>
    <n v="128.52933035714284"/>
    <n v="162.88285714285715"/>
    <n v="142.03863095238094"/>
    <n v="24.238333333333333"/>
    <n v="64.722857142857137"/>
    <n v="0.42302824565949726"/>
    <n v="96.027411764705874"/>
    <n v="-2.4432578781512717"/>
    <n v="160.01843137254897"/>
    <n v="144.24972549019608"/>
    <n v="25.153372549019604"/>
    <n v="54.688117647058824"/>
    <n v="3"/>
    <s v="não_considerar"/>
    <n v="2022"/>
    <n v="2100"/>
    <n v="30"/>
    <n v="1893.9521597062976"/>
    <n v="2139.3337396433949"/>
    <n v="8343.4015846092407"/>
    <n v="2"/>
    <n v="0"/>
    <m/>
    <n v="1893.9521597062976"/>
    <m/>
    <n v="8343.4015846092407"/>
    <n v="1.1245293369208682"/>
    <n v="2129.8047663143693"/>
    <n v="8.8827433387272267E-2"/>
    <n v="200.5350910076846"/>
    <n v="2506.6886375960576"/>
    <n v="180.60644858070927"/>
    <n v="11.35"/>
    <n v="0"/>
    <n v="318"/>
    <m/>
    <x v="2"/>
    <m/>
    <n v="1"/>
    <n v="2027"/>
    <n v="1"/>
    <x v="2"/>
  </r>
  <r>
    <n v="1095"/>
    <n v="1095"/>
    <s v="Jequié"/>
    <s v="Jequié"/>
    <n v="46.1"/>
    <s v="Atlântico Leste"/>
    <s v="das Almas ou Jequié"/>
    <n v="-39.184659000000003"/>
    <n v="-13.625408"/>
    <s v="BA"/>
    <s v="BA"/>
    <n v="3"/>
    <m/>
    <n v="2.068E-2"/>
    <n v="4.6600000000000003E-2"/>
    <n v="0.50184473158491616"/>
    <n v="23.135042126064636"/>
    <n v="22.964957873935365"/>
    <n v="19.151254845595119"/>
    <n v="22.151529651942557"/>
    <n v="29.208277300150314"/>
    <n v="22.029106706570563"/>
    <n v="0.48889284425325702"/>
    <n v="22.537960120075148"/>
    <n v="-0.59708200598948835"/>
    <n v="23.768699130760414"/>
    <n v="22.405588394556641"/>
    <n v="24.422559911172133"/>
    <n v="19.554993043811404"/>
    <n v="3"/>
    <s v="não_considerar"/>
    <n v="2022"/>
    <n v="2100"/>
    <n v="30"/>
    <n v="334.97122066952517"/>
    <n v="1863.1248716253695"/>
    <n v="7266.186999338941"/>
    <n v="2"/>
    <n v="0"/>
    <m/>
    <n v="334.97122066952517"/>
    <m/>
    <n v="7266.18699933894"/>
    <n v="1.1245293369208682"/>
    <n v="376.68496466707495"/>
    <n v="8.8827433387272267E-2"/>
    <n v="35.764958606951609"/>
    <n v="447.06198258689511"/>
    <n v="32.210732421838699"/>
    <n v="2.3050000000000002"/>
    <n v="0"/>
    <n v="318"/>
    <m/>
    <x v="2"/>
    <m/>
    <n v="1"/>
    <n v="2027"/>
    <n v="1"/>
    <x v="2"/>
  </r>
  <r>
    <n v="1098"/>
    <n v="1098"/>
    <s v="Jurumirim"/>
    <s v="Jurumirim"/>
    <n v="48"/>
    <s v="Atlântico Sudeste"/>
    <s v="Piranga"/>
    <n v="-42.997968"/>
    <n v="-20.515218000000001"/>
    <s v="MG"/>
    <s v="MG"/>
    <n v="1"/>
    <m/>
    <n v="2.068E-2"/>
    <n v="4.6600000000000003E-2"/>
    <n v="0.5210212053571428"/>
    <n v="25.009017857142855"/>
    <n v="22.990982142857145"/>
    <n v="34.298095238095236"/>
    <n v="24.012440476190477"/>
    <n v="15.480416666666665"/>
    <n v="26.245119047619045"/>
    <n v="0.52257230392156873"/>
    <n v="25.083470588235297"/>
    <n v="7.4452731092442548E-2"/>
    <n v="35.852901960784315"/>
    <n v="22.376705882352951"/>
    <n v="15.457921568627464"/>
    <n v="26.646352941176463"/>
    <n v="3"/>
    <s v="não_considerar"/>
    <n v="2022"/>
    <n v="2100"/>
    <n v="30"/>
    <n v="480"/>
    <n v="2564.102564102564"/>
    <n v="10000"/>
    <n v="2"/>
    <n v="0"/>
    <m/>
    <n v="480"/>
    <m/>
    <n v="10000"/>
    <n v="1.1245293369208682"/>
    <n v="539.77408172201672"/>
    <n v="8.8827433387272267E-2"/>
    <n v="50.346746288338494"/>
    <n v="629.33432860423113"/>
    <n v="45.34342093964181"/>
    <n v="2.4"/>
    <n v="0"/>
    <n v="318"/>
    <m/>
    <x v="2"/>
    <m/>
    <n v="1"/>
    <n v="2027"/>
    <n v="1"/>
    <x v="2"/>
  </r>
  <r>
    <n v="1099"/>
    <n v="1099"/>
    <s v="Jutuarama"/>
    <s v="Jutuarama"/>
    <n v="66"/>
    <s v="Amazônica"/>
    <s v="Maicuru"/>
    <n v="-54.495033999999997"/>
    <n v="-1.3294509999999999"/>
    <s v="PA"/>
    <s v="PA"/>
    <n v="4"/>
    <m/>
    <n v="1.9820000000000001E-2"/>
    <n v="5.2919999999999995E-2"/>
    <n v="0.54172528860028857"/>
    <n v="35.753869047619048"/>
    <n v="30.246130952380952"/>
    <n v="29.589523809523811"/>
    <n v="58.083809523809521"/>
    <n v="45.85958333333334"/>
    <n v="9.4825595238095257"/>
    <n v="0.51411066547831274"/>
    <n v="33.931303921568642"/>
    <n v="-1.8225651260504065"/>
    <n v="29.401686274509814"/>
    <n v="55.842000000000006"/>
    <n v="40.579333333333345"/>
    <n v="9.9021960784313752"/>
    <n v="3"/>
    <s v="não_considerar"/>
    <n v="2022"/>
    <n v="2100"/>
    <n v="30"/>
    <n v="546.69656203951365"/>
    <n v="2123.918267441778"/>
    <n v="8283.2812430229333"/>
    <n v="2"/>
    <n v="0"/>
    <m/>
    <n v="546.69656203951365"/>
    <m/>
    <n v="8283.2812430229333"/>
    <n v="1.1245293369208682"/>
    <n v="614.77632240721255"/>
    <n v="8.8827433387272267E-2"/>
    <n v="57.909002826698888"/>
    <n v="723.8625353337361"/>
    <n v="52.154160595162651"/>
    <n v="3.3"/>
    <n v="0"/>
    <n v="318"/>
    <m/>
    <x v="2"/>
    <m/>
    <n v="1"/>
    <n v="2027"/>
    <n v="1"/>
    <x v="2"/>
  </r>
  <r>
    <n v="1106"/>
    <n v="1106"/>
    <s v="Magessi"/>
    <s v="Magessi"/>
    <n v="53"/>
    <s v="Amazônica"/>
    <s v="Teles Pires"/>
    <n v="-55.264957000000003"/>
    <n v="-13.576389000000001"/>
    <s v="MT"/>
    <s v="MT"/>
    <n v="10"/>
    <m/>
    <n v="2.068E-2"/>
    <n v="4.6600000000000003E-2"/>
    <n v="0.57763982479784359"/>
    <n v="30.614910714285713"/>
    <n v="22.385089285714287"/>
    <n v="46.404761904761905"/>
    <n v="39.669345238095239"/>
    <n v="11.758749999999999"/>
    <n v="24.626785714285717"/>
    <n v="0.56579874213836434"/>
    <n v="29.987333333333311"/>
    <n v="-0.62757738095240256"/>
    <n v="46.266470588235222"/>
    <n v="34.195019607843129"/>
    <n v="11.58098039215686"/>
    <n v="27.906862745098021"/>
    <n v="3"/>
    <s v="não_considerar"/>
    <n v="2022"/>
    <n v="2100"/>
    <n v="30"/>
    <n v="470.62370480673081"/>
    <n v="2276.8442419290313"/>
    <n v="8879.6925435232224"/>
    <n v="2"/>
    <n v="0"/>
    <m/>
    <n v="470.62370480673081"/>
    <m/>
    <n v="8879.6925435232224"/>
    <n v="1.1245293369208682"/>
    <n v="529.23016270555547"/>
    <n v="8.8827433387272267E-2"/>
    <n v="49.660157024262993"/>
    <n v="620.75196280328737"/>
    <n v="44.725063085187465"/>
    <n v="2.65"/>
    <n v="0"/>
    <n v="318"/>
    <m/>
    <x v="2"/>
    <m/>
    <n v="1"/>
    <n v="2027"/>
    <n v="1"/>
    <x v="2"/>
  </r>
  <r>
    <n v="1109"/>
    <n v="1109"/>
    <s v="Mirador"/>
    <s v="Mirador"/>
    <n v="80"/>
    <s v="Tocantins-Araguaia"/>
    <s v="Tocantinzinho"/>
    <n v="-47.926211000000002"/>
    <n v="-14.302897"/>
    <s v="GO"/>
    <s v="GO"/>
    <n v="1"/>
    <m/>
    <n v="1.9820000000000001E-2"/>
    <n v="5.2919999999999995E-2"/>
    <n v="0.59594345238095237"/>
    <n v="47.675476190476189"/>
    <n v="32.324523809523811"/>
    <n v="58.490476190476187"/>
    <n v="40.486964285714286"/>
    <n v="38.912916666666661"/>
    <n v="52.811547619047616"/>
    <n v="0.7116823529411771"/>
    <n v="56.934588235294164"/>
    <n v="9.2591120448179751"/>
    <n v="70.516313725490292"/>
    <n v="53.528039215686313"/>
    <n v="44.974352941176477"/>
    <n v="58.719647058823568"/>
    <n v="3"/>
    <s v="não_considerar"/>
    <n v="2027"/>
    <n v="2100"/>
    <n v="30"/>
    <n v="613.24520420396971"/>
    <n v="1965.529500653749"/>
    <n v="7665.5650525496212"/>
    <n v="2"/>
    <n v="0"/>
    <m/>
    <n v="613.24520420396971"/>
    <m/>
    <n v="7665.5650525496212"/>
    <n v="1.1245293369208682"/>
    <n v="689.6122228533925"/>
    <n v="8.8827433387272267E-2"/>
    <n v="65.256483788558484"/>
    <n v="815.706047356981"/>
    <n v="58.771468498072203"/>
    <n v="4"/>
    <n v="0"/>
    <n v="318"/>
    <m/>
    <x v="2"/>
    <m/>
    <n v="1"/>
    <n v="2027"/>
    <n v="1"/>
    <x v="2"/>
  </r>
  <r>
    <n v="1110"/>
    <n v="1110"/>
    <s v="Mocotó"/>
    <s v="Mocotó"/>
    <n v="95"/>
    <s v="Amazônica"/>
    <s v="Maicuru"/>
    <n v="-54.443610999999997"/>
    <n v="-1.485833"/>
    <s v="PA"/>
    <s v="PA"/>
    <n v="4"/>
    <m/>
    <n v="1.9820000000000001E-2"/>
    <n v="5.2919999999999995E-2"/>
    <n v="0.54104855889724313"/>
    <n v="51.399613095238095"/>
    <n v="43.600386904761905"/>
    <n v="41.82"/>
    <n v="88.186249999999987"/>
    <n v="63.396250000000002"/>
    <n v="12.195952380952383"/>
    <n v="0.5116284829721357"/>
    <n v="48.604705882352896"/>
    <n v="-2.7949072128851995"/>
    <n v="41.367411764705842"/>
    <n v="84.120156862744977"/>
    <n v="56.105843137254872"/>
    <n v="12.825411764705878"/>
    <n v="3"/>
    <s v="não_considerar"/>
    <n v="2022"/>
    <n v="2100"/>
    <n v="30"/>
    <n v="730.58188803158919"/>
    <n v="1971.8809393565159"/>
    <n v="7690.3356634904121"/>
    <n v="2"/>
    <n v="0"/>
    <m/>
    <n v="730.58188803158919"/>
    <m/>
    <n v="7690.335663490413"/>
    <n v="1.1245293369208682"/>
    <n v="821.56076611455899"/>
    <n v="8.8827433387272267E-2"/>
    <n v="77.727134225637357"/>
    <n v="971.58917782046694"/>
    <n v="70.002818959553167"/>
    <n v="4.75"/>
    <n v="0"/>
    <n v="318"/>
    <m/>
    <x v="2"/>
    <m/>
    <n v="1"/>
    <n v="2027"/>
    <n v="1"/>
    <x v="2"/>
  </r>
  <r>
    <n v="1117"/>
    <n v="1117"/>
    <s v="Olho D'Água"/>
    <s v="Olho D'Água"/>
    <n v="33"/>
    <s v="Paraná"/>
    <s v="Corrente"/>
    <n v="-51.615808999999999"/>
    <n v="-18.796824999999998"/>
    <s v="GO"/>
    <s v="GO"/>
    <n v="1"/>
    <m/>
    <n v="2.068E-2"/>
    <n v="4.6600000000000003E-2"/>
    <n v="0.77294462481962489"/>
    <n v="25.507172619047623"/>
    <n v="7.4928273809523773"/>
    <n v="28.912380952380957"/>
    <n v="24.89559523809524"/>
    <n v="21.827500000000001"/>
    <n v="26.39321428571429"/>
    <n v="0.82486185383244215"/>
    <n v="27.22044117647059"/>
    <n v="1.7132685574229676"/>
    <n v="29.043176470588236"/>
    <n v="27.426980392156867"/>
    <n v="24.505529411764712"/>
    <n v="27.906078431372546"/>
    <n v="3"/>
    <s v="não_considerar"/>
    <n v="2022"/>
    <n v="2100"/>
    <n v="30"/>
    <n v="298.8487686472705"/>
    <n v="2322.0572544465463"/>
    <n v="9056.0232923415297"/>
    <n v="2"/>
    <n v="0"/>
    <m/>
    <n v="298.8487686472705"/>
    <m/>
    <n v="9056.0232923415315"/>
    <n v="1.1245293369208682"/>
    <n v="336.06420764653302"/>
    <n v="8.8827433387272267E-2"/>
    <n v="31.501721018568844"/>
    <n v="393.77151273211052"/>
    <n v="28.371164013015463"/>
    <n v="1.65"/>
    <n v="0"/>
    <n v="318"/>
    <m/>
    <x v="2"/>
    <m/>
    <n v="1"/>
    <n v="2027"/>
    <n v="1"/>
    <x v="2"/>
  </r>
  <r>
    <n v="1123"/>
    <n v="1123"/>
    <s v="Paranã"/>
    <s v="Paranã"/>
    <n v="90"/>
    <s v="Tocantins-Araguaia"/>
    <s v="Paranã"/>
    <n v="-47.81671"/>
    <n v="-12.667058000000001"/>
    <s v="TO"/>
    <s v="TO"/>
    <n v="1"/>
    <m/>
    <n v="1.9820000000000001E-2"/>
    <n v="5.2919999999999995E-2"/>
    <n v="0.48875744047619052"/>
    <n v="43.988169642857144"/>
    <n v="46.011830357142856"/>
    <n v="64.278571428571425"/>
    <n v="39.370059523809523"/>
    <n v="28.348333333333333"/>
    <n v="43.955714285714286"/>
    <n v="0.53799673202614373"/>
    <n v="48.419705882352936"/>
    <n v="4.4315362394957916"/>
    <n v="70.503490196078431"/>
    <n v="45.979294117647036"/>
    <n v="27.821058823529413"/>
    <n v="49.37498039215685"/>
    <n v="3"/>
    <s v="não_considerar"/>
    <n v="2027"/>
    <n v="2100"/>
    <n v="30"/>
    <n v="660.09883238526129"/>
    <n v="1880.6234540890634"/>
    <n v="7334.4314709473474"/>
    <n v="2"/>
    <n v="0"/>
    <m/>
    <n v="660.09883238526129"/>
    <m/>
    <n v="7334.4314709473483"/>
    <n v="1.1245293369208682"/>
    <n v="742.30050228443724"/>
    <n v="8.8827433387272267E-2"/>
    <n v="70.43664842000959"/>
    <n v="880.45810525011984"/>
    <n v="63.436842186280863"/>
    <n v="4.5"/>
    <n v="0"/>
    <n v="318"/>
    <m/>
    <x v="2"/>
    <m/>
    <n v="1"/>
    <n v="2027"/>
    <n v="1"/>
    <x v="2"/>
  </r>
  <r>
    <n v="1125"/>
    <n v="1125"/>
    <s v="Paredão A"/>
    <s v="Paredão A"/>
    <n v="199.3"/>
    <s v="Amazônica"/>
    <s v="Mucajaí"/>
    <n v="-61.588611"/>
    <n v="2.940833"/>
    <s v="RR"/>
    <s v="RR"/>
    <n v="4"/>
    <m/>
    <n v="1.6379999999999999E-2"/>
    <n v="6.1409999999999999E-2"/>
    <n v="0.51988044465151839"/>
    <n v="103.61217261904761"/>
    <n v="95.687827380952399"/>
    <n v="51.911428571428566"/>
    <n v="119.79119047619048"/>
    <n v="165.94541666666666"/>
    <n v="76.800654761904767"/>
    <n v="0.44201942091437679"/>
    <n v="88.094470588235296"/>
    <n v="-15.517702030812316"/>
    <n v="43.095176470588228"/>
    <n v="105.64650980392157"/>
    <n v="139.45988235294121"/>
    <n v="64.176313725490161"/>
    <n v="3"/>
    <s v="não_considerar"/>
    <n v="2022"/>
    <n v="2100"/>
    <n v="30"/>
    <n v="1402.9147658261079"/>
    <n v="1804.9259148379685"/>
    <n v="7039.2110678680774"/>
    <n v="2"/>
    <n v="0"/>
    <m/>
    <n v="1402.9147658261079"/>
    <m/>
    <n v="7039.2110678680774"/>
    <n v="1.1245293369208682"/>
    <n v="1577.6188113709281"/>
    <n v="8.8827433387272267E-2"/>
    <n v="150.10082987755877"/>
    <n v="1876.2603734694846"/>
    <n v="135.18420979081549"/>
    <n v="9.9649999999999999"/>
    <n v="0"/>
    <n v="318"/>
    <m/>
    <x v="2"/>
    <m/>
    <n v="1"/>
    <n v="2027"/>
    <n v="1"/>
    <x v="2"/>
  </r>
  <r>
    <n v="1126"/>
    <n v="1126"/>
    <s v="Paredão M1"/>
    <s v="Paredão M1"/>
    <n v="69.900000000000006"/>
    <s v="Amazônica"/>
    <s v="Mucajaí"/>
    <n v="-61.663888999999998"/>
    <n v="2.895556"/>
    <s v="RR"/>
    <s v="RR"/>
    <n v="4"/>
    <m/>
    <n v="1.9820000000000001E-2"/>
    <n v="5.2919999999999995E-2"/>
    <n v="0.51053758771033453"/>
    <n v="35.686577380952386"/>
    <n v="34.21342261904762"/>
    <n v="18.95571428571429"/>
    <n v="41.366250000000001"/>
    <n v="54.29"/>
    <n v="28.134345238095239"/>
    <n v="0.4469433925215292"/>
    <n v="31.241343137254894"/>
    <n v="-4.4452342436974916"/>
    <n v="15.782980392156858"/>
    <n v="37.200235294117647"/>
    <n v="48.481215686274481"/>
    <n v="23.500941176470594"/>
    <n v="3"/>
    <s v="não_considerar"/>
    <n v="2022"/>
    <n v="2100"/>
    <n v="30"/>
    <n v="923.23114173989666"/>
    <n v="3386.6371070022983"/>
    <n v="13207.884717308963"/>
    <n v="2"/>
    <n v="0"/>
    <m/>
    <n v="923.23114173989666"/>
    <m/>
    <n v="13207.884717308963"/>
    <n v="1.1245293369208682"/>
    <n v="1038.200503645462"/>
    <n v="8.8827433387272267E-2"/>
    <n v="95.715686080199802"/>
    <n v="1196.4460760024974"/>
    <n v="86.203716514375415"/>
    <n v="3.4950000000000006"/>
    <n v="0"/>
    <n v="318"/>
    <m/>
    <x v="2"/>
    <m/>
    <n v="1"/>
    <n v="2027"/>
    <n v="1"/>
    <x v="2"/>
  </r>
  <r>
    <n v="1128"/>
    <n v="1128"/>
    <s v="Pedra Azul"/>
    <s v="Pedra Azul"/>
    <n v="52"/>
    <s v="Paraná"/>
    <s v="Tietê"/>
    <n v="-47.221384999999998"/>
    <n v="-23.285927999999998"/>
    <s v="SP"/>
    <s v="SP"/>
    <n v="1"/>
    <m/>
    <n v="2.068E-2"/>
    <n v="4.6600000000000003E-2"/>
    <n v="0.53211930092018589"/>
    <n v="27.670203647849668"/>
    <n v="24.329796352150332"/>
    <n v="34.675439445188466"/>
    <n v="30.439766643826804"/>
    <n v="21.592498492920924"/>
    <n v="23.973110009462477"/>
    <n v="0.56765074645560576"/>
    <n v="29.517838815691501"/>
    <n v="1.8476351678418332"/>
    <n v="38.581439712947152"/>
    <n v="32.097108919748209"/>
    <n v="22.09832919871123"/>
    <n v="25.294477431359411"/>
    <n v="3"/>
    <s v="não_considerar"/>
    <n v="2022"/>
    <n v="2100"/>
    <n v="30"/>
    <n v="520"/>
    <n v="2564.102564102564"/>
    <n v="10000"/>
    <n v="2"/>
    <n v="0"/>
    <m/>
    <n v="520"/>
    <m/>
    <n v="10000"/>
    <n v="1.1245293369208682"/>
    <n v="584.7552551988515"/>
    <n v="8.8827433387272267E-2"/>
    <n v="54.54230847903338"/>
    <n v="681.77885598791727"/>
    <n v="49.122039351278637"/>
    <n v="2.6"/>
    <n v="0"/>
    <n v="318"/>
    <m/>
    <x v="2"/>
    <m/>
    <n v="1"/>
    <n v="2027"/>
    <n v="1"/>
    <x v="2"/>
  </r>
  <r>
    <n v="1131"/>
    <n v="1131"/>
    <s v="Piraí I"/>
    <s v="Piraí I"/>
    <n v="41"/>
    <s v="Paraná"/>
    <s v="Tietê"/>
    <n v="-47.102479000000002"/>
    <n v="-23.375617999999999"/>
    <s v="SP"/>
    <s v="SP"/>
    <n v="1"/>
    <m/>
    <n v="2.068E-2"/>
    <n v="4.6600000000000003E-2"/>
    <n v="0.532119300920186"/>
    <n v="21.816891337727625"/>
    <n v="19.183108662272375"/>
    <n v="27.340250331783221"/>
    <n v="24.000585238401907"/>
    <n v="17.02485458095688"/>
    <n v="18.901875199768497"/>
    <n v="0.56765074645560576"/>
    <n v="23.273680604679836"/>
    <n v="1.4567892669522102"/>
    <n v="30.419981312131409"/>
    <n v="25.307335879032241"/>
    <n v="17.423682637445392"/>
    <n v="19.943722590110301"/>
    <n v="3"/>
    <s v="não_considerar"/>
    <n v="2022"/>
    <n v="2100"/>
    <n v="30"/>
    <n v="410"/>
    <n v="2564.102564102564"/>
    <n v="10000"/>
    <n v="2"/>
    <n v="0"/>
    <m/>
    <n v="410"/>
    <m/>
    <n v="10000"/>
    <n v="1.1245293369208682"/>
    <n v="461.05702813755596"/>
    <n v="8.8827433387272267E-2"/>
    <n v="43.004512454622464"/>
    <n v="537.55640568278079"/>
    <n v="38.730838719277379"/>
    <n v="2.0499999999999998"/>
    <n v="0"/>
    <n v="318"/>
    <m/>
    <x v="2"/>
    <m/>
    <n v="1"/>
    <n v="2027"/>
    <n v="1"/>
    <x v="2"/>
  </r>
  <r>
    <n v="1168"/>
    <n v="1168"/>
    <s v="Sucuri"/>
    <s v="Sucuri"/>
    <n v="38"/>
    <s v="Paraguai"/>
    <s v="Coxim"/>
    <n v="-54.614687000000004"/>
    <n v="-18.663208999999998"/>
    <s v="MS"/>
    <s v="MS"/>
    <n v="2"/>
    <m/>
    <n v="2.068E-2"/>
    <n v="4.6600000000000003E-2"/>
    <n v="0.54119008458646611"/>
    <n v="20.565223214285712"/>
    <n v="17.434776785714288"/>
    <n v="25.837142857142855"/>
    <n v="21.84136904761905"/>
    <n v="15.860833333333332"/>
    <n v="18.721547619047616"/>
    <n v="0.65361068111455123"/>
    <n v="24.837205882352947"/>
    <n v="4.2719826680672348"/>
    <n v="31.481058823529413"/>
    <n v="24.872980392156865"/>
    <n v="18.699764705882355"/>
    <n v="24.295019607843155"/>
    <n v="3"/>
    <s v="não_considerar"/>
    <n v="2022"/>
    <n v="2100"/>
    <n v="30"/>
    <n v="380"/>
    <n v="2564.102564102564"/>
    <n v="10000"/>
    <n v="2"/>
    <n v="0"/>
    <m/>
    <n v="380"/>
    <m/>
    <n v="10000"/>
    <n v="1.1245293369208682"/>
    <n v="427.32114802992993"/>
    <n v="8.8827433387272267E-2"/>
    <n v="39.857840811601314"/>
    <n v="498.22301014501642"/>
    <n v="35.896874910549776"/>
    <n v="1.9"/>
    <n v="0"/>
    <n v="318"/>
    <m/>
    <x v="2"/>
    <m/>
    <n v="1"/>
    <n v="2027"/>
    <n v="1"/>
    <x v="2"/>
  </r>
  <r>
    <n v="1170"/>
    <n v="1170"/>
    <s v="Sumaúma (PA)"/>
    <s v="Sumaúma (PA)"/>
    <n v="34"/>
    <s v="Amazônica"/>
    <s v="Cupari"/>
    <n v="-55.235255000000002"/>
    <n v="-4.0977379999999997"/>
    <s v="PA"/>
    <s v="PA"/>
    <n v="9"/>
    <m/>
    <n v="2.068E-2"/>
    <n v="4.6600000000000003E-2"/>
    <n v="0.47693555361105217"/>
    <n v="16.215808822775774"/>
    <n v="17.784191177224226"/>
    <n v="22.092234436917181"/>
    <n v="25.088147928215587"/>
    <n v="9.5937046285558498"/>
    <n v="8.0891482974144804"/>
    <n v="0.49042921298242015"/>
    <n v="16.674593241402285"/>
    <n v="0.45878441862651087"/>
    <n v="24.528533499263194"/>
    <n v="24.653261178197624"/>
    <n v="9.0530573749427656"/>
    <n v="8.4635209132055547"/>
    <n v="3"/>
    <s v="não_considerar"/>
    <n v="2022"/>
    <n v="2100"/>
    <n v="30"/>
    <n v="293.47367837390738"/>
    <n v="2213.2253271033737"/>
    <n v="8631.5787757031576"/>
    <n v="2"/>
    <n v="0"/>
    <m/>
    <n v="293.47367837390738"/>
    <m/>
    <n v="8631.5787757031594"/>
    <n v="1.1245293369208682"/>
    <n v="330.01976094553822"/>
    <n v="8.8827433387272267E-2"/>
    <n v="31.014808331873315"/>
    <n v="387.68510414841643"/>
    <n v="27.932639410308397"/>
    <n v="1.7"/>
    <n v="0"/>
    <n v="318"/>
    <m/>
    <x v="2"/>
    <m/>
    <n v="1"/>
    <n v="2027"/>
    <n v="1"/>
    <x v="2"/>
  </r>
  <r>
    <n v="1180"/>
    <n v="1180"/>
    <s v="Torixoréu"/>
    <s v="Torixoréu"/>
    <n v="408"/>
    <s v="Tocantins-Araguaia"/>
    <s v="Araguaia"/>
    <n v="-52.622920000000001"/>
    <n v="-16.285907999999999"/>
    <s v="GO"/>
    <s v="GO"/>
    <n v="1"/>
    <m/>
    <n v="1.6379999999999999E-2"/>
    <n v="6.1409999999999999E-2"/>
    <n v="0.46363470909197013"/>
    <n v="189.16296130952381"/>
    <n v="218.83703869047619"/>
    <n v="195.61666666666665"/>
    <n v="192.3609523809524"/>
    <n v="164.33041666666665"/>
    <n v="204.34380952380954"/>
    <n v="0.54359205594002313"/>
    <n v="221.78555882352944"/>
    <n v="32.622597514005633"/>
    <n v="240.94294117647061"/>
    <n v="197.58227450980394"/>
    <n v="206.083568627451"/>
    <n v="242.53345098039219"/>
    <n v="3"/>
    <s v="não_considerar"/>
    <n v="2022"/>
    <n v="2100"/>
    <n v="30"/>
    <n v="2490.798592417671"/>
    <n v="1565.3585925199038"/>
    <n v="6104.8985108276247"/>
    <n v="3"/>
    <n v="0"/>
    <m/>
    <n v="2490.798592417671"/>
    <m/>
    <n v="6104.8985108276247"/>
    <n v="1.1255071012622904"/>
    <n v="2803.411503580206"/>
    <n v="8.8827433387272267E-2"/>
    <n v="269.41984859138353"/>
    <n v="3367.7481073922941"/>
    <n v="242.64562270240052"/>
    <n v="20.399999999999999"/>
    <n v="0"/>
    <n v="318"/>
    <m/>
    <x v="2"/>
    <m/>
    <n v="1"/>
    <n v="2027"/>
    <n v="1"/>
    <x v="2"/>
  </r>
  <r>
    <n v="1187"/>
    <n v="1187"/>
    <s v="Urucupatá"/>
    <s v="Urucupatá"/>
    <n v="291.5"/>
    <s v="Amazônica"/>
    <s v="Jari"/>
    <n v="-53.158130999999997"/>
    <n v="0.52365600000000001"/>
    <s v="AP"/>
    <s v="AP"/>
    <n v="4"/>
    <m/>
    <n v="1.6379999999999999E-2"/>
    <n v="6.1409999999999999E-2"/>
    <n v="0.52926233357837127"/>
    <n v="154.27997023809522"/>
    <n v="137.22002976190478"/>
    <n v="175.87761904761908"/>
    <n v="253.20083333333332"/>
    <n v="141.18208333333331"/>
    <n v="46.859345238095244"/>
    <n v="0.4818203343086806"/>
    <n v="140.45062745098039"/>
    <n v="-13.829342787114825"/>
    <n v="142.94003921568631"/>
    <n v="244.68368627450982"/>
    <n v="132.33317647058817"/>
    <n v="41.845607843137252"/>
    <n v="3"/>
    <s v="não_considerar"/>
    <n v="2022"/>
    <n v="2100"/>
    <n v="30"/>
    <n v="2956.3251841469773"/>
    <n v="2600.453168093396"/>
    <n v="10141.767355564245"/>
    <n v="2"/>
    <n v="0"/>
    <m/>
    <n v="2956.3251841469773"/>
    <m/>
    <n v="10141.767355564245"/>
    <n v="1.1245293369208682"/>
    <n v="3324.4743990512638"/>
    <n v="8.8827433387272267E-2"/>
    <n v="309.87952822941816"/>
    <n v="3873.4941028677267"/>
    <n v="279.08452730218772"/>
    <n v="14.574999999999999"/>
    <n v="0"/>
    <n v="318"/>
    <m/>
    <x v="2"/>
    <m/>
    <n v="1"/>
    <n v="2027"/>
    <n v="1"/>
    <x v="2"/>
  </r>
  <r>
    <n v="1189"/>
    <n v="1189"/>
    <s v="Vermelho"/>
    <s v="Vermelho"/>
    <n v="58.9"/>
    <s v="Tocantins-Araguaia"/>
    <s v="do Sono"/>
    <n v="-47.387498999999998"/>
    <n v="-10.044995"/>
    <s v="TO"/>
    <s v="TO"/>
    <n v="1"/>
    <m/>
    <n v="1.9820000000000001E-2"/>
    <n v="5.2919999999999995E-2"/>
    <n v="0.61346966205837172"/>
    <n v="36.133363095238096"/>
    <n v="22.766636904761903"/>
    <n v="47.618095238095236"/>
    <n v="38.589702380952382"/>
    <n v="22.743333333333329"/>
    <n v="35.582321428571426"/>
    <n v="0.6597498252272046"/>
    <n v="38.859264705882353"/>
    <n v="2.7259016106442573"/>
    <n v="49.217999999999996"/>
    <n v="40.725921568627449"/>
    <n v="26.280901960784316"/>
    <n v="39.212235294117647"/>
    <n v="3"/>
    <s v="não_considerar"/>
    <n v="2022"/>
    <n v="2100"/>
    <n v="30"/>
    <n v="646.05142336367828"/>
    <n v="2812.4653840219335"/>
    <n v="10968.614997685539"/>
    <n v="2"/>
    <n v="0"/>
    <m/>
    <n v="646.05142336367828"/>
    <m/>
    <n v="10968.614997685539"/>
    <n v="1.1245293369208682"/>
    <n v="726.5037787319402"/>
    <n v="8.8827433387272267E-2"/>
    <n v="67.478466010912996"/>
    <n v="843.48082513641248"/>
    <n v="60.772636054196035"/>
    <n v="2.9449999999999998"/>
    <n v="0"/>
    <n v="318"/>
    <m/>
    <x v="2"/>
    <m/>
    <n v="1"/>
    <n v="2027"/>
    <n v="1"/>
    <x v="2"/>
  </r>
  <r>
    <n v="1009"/>
    <n v="1009"/>
    <s v="Água Clara"/>
    <s v="Água Clara"/>
    <n v="32.799999999999997"/>
    <s v="Paraná"/>
    <s v="Verde"/>
    <n v="-52.930658000000001"/>
    <n v="-20.413506999999999"/>
    <s v="MS"/>
    <s v="MS"/>
    <n v="1"/>
    <m/>
    <n v="2.068E-2"/>
    <n v="4.6600000000000003E-2"/>
    <n v="0.532119300920186"/>
    <n v="17.453513070182098"/>
    <n v="15.3464869298179"/>
    <n v="21.872200265426574"/>
    <n v="19.200468190721523"/>
    <n v="13.619883664765503"/>
    <n v="15.121500159814795"/>
    <n v="0.56765074645560576"/>
    <n v="18.618944483743867"/>
    <n v="1.1654314135617696"/>
    <n v="24.335985049705119"/>
    <n v="20.245868703225792"/>
    <n v="13.938946109956314"/>
    <n v="15.954978072088243"/>
    <n v="1"/>
    <s v="opcional"/>
    <n v="2028"/>
    <n v="2100"/>
    <n v="30"/>
    <n v="350.00082686605094"/>
    <n v="2736.0915170892044"/>
    <n v="10670.756916647897"/>
    <n v="2"/>
    <n v="0"/>
    <m/>
    <n v="350.00082686605094"/>
    <m/>
    <n v="10670.756916647895"/>
    <n v="1.1245293369208682"/>
    <n v="393.58619775743585"/>
    <n v="8.8827433387272267E-2"/>
    <n v="36.601251763448403"/>
    <n v="457.51564704310505"/>
    <n v="32.963916995213197"/>
    <n v="1.6399999999999997"/>
    <n v="0"/>
    <n v="318"/>
    <m/>
    <x v="3"/>
    <m/>
    <n v="1"/>
    <n v="2027"/>
    <n v="1"/>
    <x v="2"/>
  </r>
  <r>
    <n v="1010"/>
    <n v="1010"/>
    <s v="Água Limpa"/>
    <s v="Água Limpa"/>
    <n v="380"/>
    <s v="Tocantins-Araguaia"/>
    <s v="Mortes"/>
    <n v="-53.369421000000003"/>
    <n v="-15.371221999999999"/>
    <s v="MT"/>
    <s v="MT"/>
    <n v="1"/>
    <m/>
    <n v="1.6379999999999999E-2"/>
    <n v="6.1409999999999999E-2"/>
    <n v="0.60040319548872167"/>
    <n v="228.15321428571426"/>
    <n v="151.84678571428574"/>
    <n v="300.05"/>
    <n v="248.39874999999998"/>
    <n v="167.14249999999998"/>
    <n v="197.02160714285711"/>
    <n v="0.61439703302373572"/>
    <n v="233.47087254901959"/>
    <n v="5.3176582633053329"/>
    <n v="307.16607843137251"/>
    <n v="248.08301960784308"/>
    <n v="162.55168627450982"/>
    <n v="216.08270588235291"/>
    <n v="1"/>
    <s v="opcional"/>
    <n v="2028"/>
    <n v="2100"/>
    <n v="30"/>
    <n v="3707.811775825829"/>
    <n v="2501.8972846328134"/>
    <n v="9757.399410067972"/>
    <n v="2"/>
    <n v="0"/>
    <m/>
    <n v="3707.811775825829"/>
    <m/>
    <n v="9757.399410067972"/>
    <n v="1.1245293369208682"/>
    <n v="4169.5431176968068"/>
    <n v="8.8827433387272267E-2"/>
    <n v="389.36981354257262"/>
    <n v="4867.1226692821574"/>
    <n v="350.67528009729824"/>
    <n v="19"/>
    <n v="0"/>
    <n v="318"/>
    <m/>
    <x v="3"/>
    <m/>
    <n v="1"/>
    <n v="2027"/>
    <n v="1"/>
    <x v="2"/>
  </r>
  <r>
    <n v="1011"/>
    <n v="1011"/>
    <s v="Águas de Chapecó"/>
    <s v="Águas de Chapecó"/>
    <n v="42"/>
    <s v="Uruguai"/>
    <s v="Chapecó"/>
    <n v="-52.969864000000001"/>
    <n v="-27.062424"/>
    <s v="SC"/>
    <s v="SC"/>
    <n v="2"/>
    <m/>
    <n v="2.068E-2"/>
    <n v="4.6600000000000003E-2"/>
    <n v="0.49730513038548757"/>
    <n v="20.886815476190478"/>
    <n v="21.113184523809522"/>
    <n v="14.337142857142858"/>
    <n v="21.904583333333335"/>
    <n v="24.02"/>
    <n v="23.285535714285714"/>
    <n v="0.56798599439775921"/>
    <n v="23.855411764705885"/>
    <n v="2.9685962885154069"/>
    <n v="18.553647058823522"/>
    <n v="23.273568627450985"/>
    <n v="27.772666666666669"/>
    <n v="25.821764705882355"/>
    <n v="1"/>
    <s v="opcional"/>
    <n v="2028"/>
    <n v="2100"/>
    <n v="30"/>
    <n v="673.68708017606536"/>
    <n v="4112.8637373386164"/>
    <n v="16040.168575620604"/>
    <n v="2"/>
    <n v="0"/>
    <m/>
    <n v="673.68708017606536"/>
    <m/>
    <n v="16040.168575620602"/>
    <n v="1.1245293369208682"/>
    <n v="757.58088556254654"/>
    <n v="8.8827433387272267E-2"/>
    <n v="69.393965647777833"/>
    <n v="867.4245705972229"/>
    <n v="62.497778446649136"/>
    <n v="2.1"/>
    <n v="0"/>
    <n v="318"/>
    <m/>
    <x v="3"/>
    <m/>
    <n v="1"/>
    <n v="2027"/>
    <n v="1"/>
    <x v="2"/>
  </r>
  <r>
    <n v="1012"/>
    <n v="1012"/>
    <s v="Águas Lindas"/>
    <s v="Águas Lindas"/>
    <n v="40"/>
    <s v="Amazônica"/>
    <s v="Cupari"/>
    <n v="-55.419454999999999"/>
    <n v="-4.1925840000000001"/>
    <s v="PA"/>
    <s v="PA"/>
    <n v="9"/>
    <m/>
    <n v="2.068E-2"/>
    <n v="4.6600000000000003E-2"/>
    <n v="0.47693555361105222"/>
    <n v="19.077422144442089"/>
    <n v="20.922577855557911"/>
    <n v="25.99086404343198"/>
    <n v="29.515468150841865"/>
    <n v="11.286711327712766"/>
    <n v="9.5166450557817388"/>
    <n v="0.49042921298242009"/>
    <n v="19.617168519296804"/>
    <n v="0.53974637485471533"/>
    <n v="28.857098234427287"/>
    <n v="29.003836680232496"/>
    <n v="10.650655735226783"/>
    <n v="9.9570834273006525"/>
    <n v="1"/>
    <s v="opcional"/>
    <n v="2028"/>
    <n v="2100"/>
    <n v="30"/>
    <n v="358.69976385605344"/>
    <n v="2299.3574606157272"/>
    <n v="8967.4940964013349"/>
    <n v="2"/>
    <n v="0"/>
    <m/>
    <n v="358.69976385605344"/>
    <m/>
    <n v="8967.4940964013349"/>
    <n v="1.1245293369208682"/>
    <n v="403.3684076027198"/>
    <n v="8.8827433387272267E-2"/>
    <n v="37.83018035686068"/>
    <n v="472.87725446075848"/>
    <n v="34.070717943117977"/>
    <n v="2"/>
    <n v="0"/>
    <n v="318"/>
    <m/>
    <x v="3"/>
    <m/>
    <n v="1"/>
    <n v="2027"/>
    <n v="1"/>
    <x v="2"/>
  </r>
  <r>
    <n v="1015"/>
    <n v="1015"/>
    <s v="Angueretá"/>
    <s v="Angueretá"/>
    <n v="53.9"/>
    <s v="São Francisco"/>
    <s v="Paraopeba"/>
    <n v="-44.677104"/>
    <n v="-19.163523000000001"/>
    <s v="MG"/>
    <s v="MG"/>
    <n v="1"/>
    <m/>
    <n v="2.068E-2"/>
    <n v="4.6600000000000003E-2"/>
    <n v="0.43291285670112201"/>
    <n v="23.334002976190476"/>
    <n v="30.565997023809523"/>
    <n v="33.341428571428573"/>
    <n v="21.045178571428568"/>
    <n v="16.130416666666665"/>
    <n v="22.818988095238097"/>
    <n v="0.49237531376186833"/>
    <n v="26.539029411764702"/>
    <n v="3.2050264355742257"/>
    <n v="40.511098039215675"/>
    <n v="22.019686274509798"/>
    <n v="16.782901960784312"/>
    <n v="26.842431372549015"/>
    <n v="1"/>
    <s v="opcional"/>
    <n v="2028"/>
    <n v="2100"/>
    <n v="30"/>
    <n v="751.06484489152785"/>
    <n v="3572.9263350531751"/>
    <n v="13934.412706707382"/>
    <n v="2"/>
    <n v="0"/>
    <m/>
    <n v="751.06484489152785"/>
    <m/>
    <n v="13934.412706707382"/>
    <n v="1.1245293369208682"/>
    <n v="844.59445201044457"/>
    <n v="8.8827433387272267E-2"/>
    <n v="77.718157425217484"/>
    <n v="971.47696781521859"/>
    <n v="69.994734249613842"/>
    <n v="2.6949999999999998"/>
    <n v="0"/>
    <n v="318"/>
    <m/>
    <x v="3"/>
    <m/>
    <n v="1"/>
    <n v="2027"/>
    <n v="1"/>
    <x v="2"/>
  </r>
  <r>
    <n v="1019"/>
    <n v="1019"/>
    <s v="Arroio do Meio"/>
    <s v="Arroio do Meio"/>
    <n v="68.599999999999994"/>
    <s v="Atlântico Sul"/>
    <s v="Taquari"/>
    <n v="-51.924261000000001"/>
    <n v="-29.437124000000001"/>
    <s v="RS"/>
    <s v="RS"/>
    <n v="2"/>
    <m/>
    <n v="1.9820000000000001E-2"/>
    <n v="5.2919999999999995E-2"/>
    <n v="0.47694797306677772"/>
    <n v="32.718630952380948"/>
    <n v="35.881369047619046"/>
    <n v="23.613809523809522"/>
    <n v="33.234821428571429"/>
    <n v="43.563333333333325"/>
    <n v="30.462559523809521"/>
    <n v="0.55611801863602583"/>
    <n v="38.149696078431369"/>
    <n v="5.4310651260504201"/>
    <n v="28.172745098039211"/>
    <n v="37.216156862745081"/>
    <n v="48.626313725490206"/>
    <n v="38.583568627450973"/>
    <n v="1"/>
    <s v="opcional"/>
    <n v="2028"/>
    <n v="2100"/>
    <n v="30"/>
    <n v="954.19151926512541"/>
    <n v="3566.5377859950872"/>
    <n v="13909.497365380839"/>
    <n v="2"/>
    <n v="0"/>
    <m/>
    <n v="954.19151926512541"/>
    <m/>
    <n v="13909.497365380837"/>
    <n v="1.1245293369208682"/>
    <n v="1073.0163564547272"/>
    <n v="8.8827433387272267E-2"/>
    <n v="98.743288926435866"/>
    <n v="1234.2911115804484"/>
    <n v="88.930444265732348"/>
    <n v="3.4299999999999997"/>
    <n v="0"/>
    <n v="318"/>
    <m/>
    <x v="3"/>
    <m/>
    <n v="1"/>
    <n v="2027"/>
    <n v="1"/>
    <x v="2"/>
  </r>
  <r>
    <n v="1021"/>
    <n v="1021"/>
    <s v="Banharão"/>
    <s v="Banharão"/>
    <n v="67"/>
    <s v="Paraná"/>
    <s v="Pardo"/>
    <n v="-48.333340999999997"/>
    <n v="-20.667614"/>
    <s v="SP"/>
    <s v="SP"/>
    <n v="1"/>
    <m/>
    <n v="1.9820000000000001E-2"/>
    <n v="5.2919999999999995E-2"/>
    <n v="0.52843750000000012"/>
    <n v="35.405312500000008"/>
    <n v="31.594687499999992"/>
    <n v="48.756666666666661"/>
    <n v="38.331666666666671"/>
    <n v="24.384583333333335"/>
    <n v="30.148333333333341"/>
    <n v="0.65277729002048601"/>
    <n v="43.736078431372562"/>
    <n v="8.3307659313725537"/>
    <n v="58.483490196078456"/>
    <n v="46.004705882352937"/>
    <n v="29.847019607843141"/>
    <n v="40.609098039215681"/>
    <n v="1"/>
    <s v="opcional"/>
    <n v="2028"/>
    <n v="2100"/>
    <n v="30"/>
    <n v="667.77606637226347"/>
    <n v="2555.5915284051416"/>
    <n v="9966.8069607800517"/>
    <n v="2"/>
    <n v="0"/>
    <m/>
    <n v="667.77606637226347"/>
    <m/>
    <n v="9966.8069607800517"/>
    <n v="1.1245293369208682"/>
    <n v="750.93377712922711"/>
    <n v="8.8827433387272267E-2"/>
    <n v="70.053520066199169"/>
    <n v="875.66900082748964"/>
    <n v="63.091788106296327"/>
    <n v="3.35"/>
    <n v="0"/>
    <n v="318"/>
    <m/>
    <x v="3"/>
    <m/>
    <n v="1"/>
    <n v="2027"/>
    <n v="1"/>
    <x v="2"/>
  </r>
  <r>
    <n v="1022"/>
    <n v="1022"/>
    <s v="Barra do Claro"/>
    <s v="Barra do Claro"/>
    <n v="61"/>
    <s v="Amazônica"/>
    <s v="Arinos"/>
    <n v="-56.581667000000003"/>
    <n v="-13.411944"/>
    <s v="MT"/>
    <s v="MT"/>
    <n v="1"/>
    <m/>
    <n v="2.068E-2"/>
    <n v="4.6600000000000003E-2"/>
    <n v="0.54678766588602656"/>
    <n v="33.35404761904762"/>
    <n v="27.64595238095238"/>
    <n v="48.90428571428572"/>
    <n v="39.11434523809524"/>
    <n v="18.324583333333333"/>
    <n v="27.072976190476187"/>
    <n v="0.54064593378334935"/>
    <n v="32.979401960784308"/>
    <n v="-0.37464565826331153"/>
    <n v="48.316470588235291"/>
    <n v="36.560078431372546"/>
    <n v="19.065921568627445"/>
    <n v="27.975137254901963"/>
    <n v="1"/>
    <s v="opcional"/>
    <n v="2028"/>
    <n v="2100"/>
    <n v="30"/>
    <n v="507.88966031173118"/>
    <n v="2134.8871807975252"/>
    <n v="8326.0600051103484"/>
    <n v="2"/>
    <n v="0"/>
    <m/>
    <n v="507.88966031173118"/>
    <m/>
    <n v="8326.0600051103465"/>
    <n v="1.1245293369208682"/>
    <n v="571.13682293931606"/>
    <n v="8.8827433387272267E-2"/>
    <n v="53.782618094660407"/>
    <n v="672.28272618325502"/>
    <n v="48.437844970868383"/>
    <n v="3.05"/>
    <n v="0"/>
    <n v="318"/>
    <m/>
    <x v="3"/>
    <m/>
    <n v="1"/>
    <n v="2027"/>
    <n v="1"/>
    <x v="2"/>
  </r>
  <r>
    <n v="1024"/>
    <n v="1024"/>
    <s v="Barra do Pomba"/>
    <s v="Barra do Pomba"/>
    <n v="80"/>
    <s v="Atlântico Sudeste"/>
    <s v="Paraíba do Sul"/>
    <n v="-42.008727999999998"/>
    <n v="-21.639526"/>
    <s v="RJ"/>
    <s v="RJ"/>
    <n v="1"/>
    <m/>
    <n v="1.9820000000000001E-2"/>
    <n v="5.2919999999999995E-2"/>
    <n v="0.57942150297619055"/>
    <n v="46.353720238095242"/>
    <n v="33.646279761904758"/>
    <n v="59.52"/>
    <n v="48.710416666666667"/>
    <n v="28.935416666666669"/>
    <n v="48.249047619047623"/>
    <n v="0.60012500000000002"/>
    <n v="48.01"/>
    <n v="1.6562797619047558"/>
    <n v="63.143098039215687"/>
    <n v="49.197372549019597"/>
    <n v="29.388117647058831"/>
    <n v="50.311411764705873"/>
    <n v="1"/>
    <s v="opcional"/>
    <n v="2028"/>
    <n v="2100"/>
    <n v="30"/>
    <n v="788.72514709160987"/>
    <n v="2527.9652150372112"/>
    <n v="9859.0643386451229"/>
    <n v="2"/>
    <n v="0"/>
    <m/>
    <n v="788.72514709160987"/>
    <m/>
    <n v="9859.0643386451229"/>
    <n v="1.1245293369208682"/>
    <n v="886.94456667174234"/>
    <n v="8.8827433387272267E-2"/>
    <n v="82.785009414237265"/>
    <n v="1034.8126176779658"/>
    <n v="74.558056003540173"/>
    <n v="4"/>
    <n v="0"/>
    <n v="318"/>
    <m/>
    <x v="3"/>
    <m/>
    <n v="1"/>
    <n v="2027"/>
    <n v="1"/>
    <x v="2"/>
  </r>
  <r>
    <n v="1025"/>
    <n v="1025"/>
    <s v="Barretos"/>
    <s v="Barretos"/>
    <n v="46.5"/>
    <s v="Paraná"/>
    <s v="Pardo"/>
    <n v="-48.445278000000002"/>
    <n v="-20.460277999999999"/>
    <s v="SP"/>
    <s v="SP"/>
    <n v="1"/>
    <m/>
    <n v="2.068E-2"/>
    <n v="4.6600000000000003E-2"/>
    <n v="0.53898905529953922"/>
    <n v="25.062991071428574"/>
    <n v="21.437008928571426"/>
    <n v="32.779523809523816"/>
    <n v="27.254523809523807"/>
    <n v="18.245416666666667"/>
    <n v="21.972499999999997"/>
    <n v="0.64809972591187015"/>
    <n v="30.136637254901959"/>
    <n v="5.0736461834733859"/>
    <n v="38.007372549019614"/>
    <n v="32.007686274509794"/>
    <n v="21.919490196078428"/>
    <n v="28.611999999999995"/>
    <n v="1"/>
    <s v="opcional"/>
    <n v="2028"/>
    <n v="2100"/>
    <n v="30"/>
    <n v="593.0580785001664"/>
    <n v="3270.2403005247666"/>
    <n v="12753.93717204659"/>
    <n v="2"/>
    <n v="0"/>
    <m/>
    <n v="593.0580785001664"/>
    <m/>
    <n v="12753.93717204659"/>
    <n v="1.1245293369208682"/>
    <n v="666.91120777135632"/>
    <n v="8.8827433387272267E-2"/>
    <n v="61.56501088353545"/>
    <n v="769.56263604419314"/>
    <n v="55.446844323530222"/>
    <n v="2.3250000000000002"/>
    <n v="0"/>
    <n v="318"/>
    <m/>
    <x v="3"/>
    <m/>
    <n v="1"/>
    <n v="2027"/>
    <n v="1"/>
    <x v="2"/>
  </r>
  <r>
    <n v="1026"/>
    <n v="1026"/>
    <s v="Baú I"/>
    <s v="Baú I"/>
    <n v="110"/>
    <s v="Atlântico Sudeste"/>
    <s v="Doce"/>
    <n v="-42.897592000000003"/>
    <n v="-20.257141000000001"/>
    <s v="MG"/>
    <s v="MG"/>
    <n v="1"/>
    <m/>
    <n v="1.9820000000000001E-2"/>
    <n v="5.2919999999999995E-2"/>
    <n v="0.43944764610389614"/>
    <n v="48.339241071428575"/>
    <n v="61.660758928571425"/>
    <n v="68.688571428571436"/>
    <n v="46.244107142857139"/>
    <n v="28.671250000000001"/>
    <n v="49.753035714285716"/>
    <n v="0.43621265597147951"/>
    <n v="47.983392156862749"/>
    <n v="-0.35584891456582568"/>
    <n v="70.099176470588262"/>
    <n v="42.02023529411764"/>
    <n v="28.750823529411761"/>
    <n v="51.063333333333333"/>
    <n v="1"/>
    <s v="opcional"/>
    <n v="2028"/>
    <n v="2100"/>
    <n v="30"/>
    <n v="552.40776587152448"/>
    <n v="1287.6637899103134"/>
    <n v="5021.8887806502225"/>
    <n v="2"/>
    <n v="0"/>
    <m/>
    <n v="552.40776587152448"/>
    <m/>
    <n v="5021.8887806502225"/>
    <n v="1.1245293369208682"/>
    <n v="621.19873866544367"/>
    <n v="8.8827433387272267E-2"/>
    <n v="60.679489579062249"/>
    <n v="758.49361973827808"/>
    <n v="54.649323764211587"/>
    <n v="5.5"/>
    <n v="0"/>
    <n v="318"/>
    <m/>
    <x v="3"/>
    <m/>
    <n v="1"/>
    <n v="2027"/>
    <n v="1"/>
    <x v="2"/>
  </r>
  <r>
    <n v="1029"/>
    <n v="1029"/>
    <s v="Boaventura"/>
    <s v="Boaventura"/>
    <n v="32.1"/>
    <s v="Tocantins-Araguaia"/>
    <s v="das Garças"/>
    <n v="-52.516509999999997"/>
    <n v="-15.855024"/>
    <s v="MT"/>
    <s v="MT"/>
    <n v="1"/>
    <m/>
    <n v="2.068E-2"/>
    <n v="4.6600000000000003E-2"/>
    <n v="0.532119300920186"/>
    <n v="17.081029559537971"/>
    <n v="15.018970440462031"/>
    <n v="21.405415503664425"/>
    <n v="18.790702101285397"/>
    <n v="13.32921541582234"/>
    <n v="14.798785217379725"/>
    <n v="0.56765074645560576"/>
    <n v="18.221588961224946"/>
    <n v="1.1405594016869749"/>
    <n v="23.81661951510776"/>
    <n v="19.813792236998417"/>
    <n v="13.641468601512125"/>
    <n v="15.614475491281482"/>
    <n v="1"/>
    <s v="opcional"/>
    <n v="2028"/>
    <n v="2100"/>
    <n v="30"/>
    <n v="421.44080914670968"/>
    <n v="3366.4095306870331"/>
    <n v="13128.997169679429"/>
    <n v="2"/>
    <n v="0"/>
    <m/>
    <n v="421.44080914670968"/>
    <m/>
    <n v="13128.997169679429"/>
    <n v="1.1245293369208682"/>
    <n v="473.92255366114358"/>
    <n v="8.8827433387272267E-2"/>
    <n v="43.702324066061195"/>
    <n v="546.2790508257649"/>
    <n v="39.359303674149054"/>
    <n v="1.605"/>
    <n v="0"/>
    <n v="318"/>
    <m/>
    <x v="3"/>
    <m/>
    <n v="1"/>
    <n v="2027"/>
    <n v="1"/>
    <x v="2"/>
  </r>
  <r>
    <n v="1030"/>
    <n v="1030"/>
    <s v="Bom Retiro"/>
    <s v="Bom Retiro"/>
    <n v="45"/>
    <s v="Atlântico Sudeste"/>
    <s v="Piranga"/>
    <n v="-42.990372000000001"/>
    <n v="-20.429535000000001"/>
    <s v="MG"/>
    <s v="MG"/>
    <n v="1"/>
    <m/>
    <n v="2.068E-2"/>
    <n v="4.6600000000000003E-2"/>
    <n v="0.50448578042328041"/>
    <n v="22.70186011904762"/>
    <n v="22.29813988095238"/>
    <n v="31.205238095238098"/>
    <n v="21.778869047619043"/>
    <n v="14.015000000000001"/>
    <n v="23.808333333333334"/>
    <n v="0.50590871459694953"/>
    <n v="22.76589215686273"/>
    <n v="6.4032037815110243E-2"/>
    <n v="32.618274509803918"/>
    <n v="20.281058823529388"/>
    <n v="14.019803921568631"/>
    <n v="24.144431372548997"/>
    <n v="1"/>
    <s v="opcional"/>
    <n v="2028"/>
    <n v="2100"/>
    <n v="30"/>
    <n v="420.55108839887566"/>
    <n v="2396.302497999292"/>
    <n v="9345.5797421972384"/>
    <n v="2"/>
    <n v="0"/>
    <m/>
    <n v="420.55108839887566"/>
    <m/>
    <n v="9345.5797421972366"/>
    <n v="1.1245293369208682"/>
    <n v="472.92203657853707"/>
    <n v="8.8827433387272267E-2"/>
    <n v="44.258450701553137"/>
    <n v="553.23063376941423"/>
    <n v="39.860163928045907"/>
    <n v="2.25"/>
    <n v="0"/>
    <n v="318"/>
    <m/>
    <x v="3"/>
    <m/>
    <n v="1"/>
    <n v="2027"/>
    <n v="1"/>
    <x v="2"/>
  </r>
  <r>
    <n v="1033"/>
    <n v="1033"/>
    <s v="Cachoeira"/>
    <s v="Cachoeira"/>
    <n v="63"/>
    <s v="Parnaíba"/>
    <s v="Parnaíba"/>
    <n v="-43.082168000000003"/>
    <n v="-6.748907"/>
    <s v="PI"/>
    <s v="PI"/>
    <n v="3"/>
    <m/>
    <n v="1.9820000000000001E-2"/>
    <n v="5.2919999999999995E-2"/>
    <n v="0.64864205404383979"/>
    <n v="40.864449404761906"/>
    <n v="22.135550595238094"/>
    <n v="39.008095238095244"/>
    <n v="41.502916666666664"/>
    <n v="40.159166666666664"/>
    <n v="42.787619047619053"/>
    <n v="0.68383286647992514"/>
    <n v="43.081470588235284"/>
    <n v="2.2170211834733777"/>
    <n v="51.260196078431342"/>
    <n v="45.987764705882341"/>
    <n v="35.800470588235292"/>
    <n v="39.277450980392153"/>
    <n v="1"/>
    <s v="opcional"/>
    <n v="2028"/>
    <n v="2100"/>
    <n v="30"/>
    <n v="872.63266033167201"/>
    <n v="3551.6184791683845"/>
    <n v="13851.312068756699"/>
    <n v="2"/>
    <n v="0"/>
    <m/>
    <n v="872.63266033167201"/>
    <m/>
    <n v="13851.312068756699"/>
    <n v="1.1245293369208682"/>
    <n v="981.30102689826833"/>
    <n v="8.8827433387272267E-2"/>
    <n v="90.316451599667801"/>
    <n v="1128.9556449958475"/>
    <n v="81.341043554329588"/>
    <n v="3.15"/>
    <n v="0"/>
    <n v="318"/>
    <m/>
    <x v="3"/>
    <m/>
    <n v="1"/>
    <n v="2027"/>
    <n v="1"/>
    <x v="2"/>
  </r>
  <r>
    <n v="1038"/>
    <n v="1038"/>
    <s v="Cachoeirão"/>
    <s v="Cachoeirão"/>
    <n v="39"/>
    <s v="Amazônica"/>
    <s v="Juruena"/>
    <n v="-58.957948999999999"/>
    <n v="-12.989414"/>
    <s v="MT"/>
    <s v="MT"/>
    <n v="10"/>
    <m/>
    <n v="2.068E-2"/>
    <n v="4.6600000000000003E-2"/>
    <n v="0.532119300920186"/>
    <n v="20.752652735887253"/>
    <n v="18.247347264112747"/>
    <n v="26.006579583891352"/>
    <n v="22.829824982870107"/>
    <n v="16.19437386969069"/>
    <n v="17.979832507096862"/>
    <n v="0.56765074645560565"/>
    <n v="22.138379111768621"/>
    <n v="1.3857263758813687"/>
    <n v="28.936079784710362"/>
    <n v="24.072831689811157"/>
    <n v="16.57374689903342"/>
    <n v="18.970858073519558"/>
    <n v="1"/>
    <s v="opcional"/>
    <n v="2028"/>
    <n v="2100"/>
    <n v="30"/>
    <n v="390"/>
    <n v="2564.102564102564"/>
    <n v="10000"/>
    <n v="2"/>
    <n v="0"/>
    <m/>
    <n v="390"/>
    <m/>
    <n v="10000"/>
    <n v="1.1245293369208682"/>
    <n v="438.56644139913863"/>
    <n v="8.8827433387272267E-2"/>
    <n v="40.906731359275035"/>
    <n v="511.33414199093795"/>
    <n v="36.84152951345898"/>
    <n v="1.95"/>
    <n v="0"/>
    <n v="318"/>
    <m/>
    <x v="3"/>
    <m/>
    <n v="1"/>
    <n v="2027"/>
    <n v="1"/>
    <x v="2"/>
  </r>
  <r>
    <n v="1039"/>
    <n v="1039"/>
    <s v="Cambuci"/>
    <s v="Cambuci"/>
    <n v="50"/>
    <s v="Atlântico Sudeste"/>
    <s v="Paraíba do Sul"/>
    <n v="-41.873842000000003"/>
    <n v="-21.577017000000001"/>
    <s v="RJ"/>
    <s v="RJ"/>
    <n v="1"/>
    <m/>
    <n v="2.068E-2"/>
    <n v="4.6600000000000003E-2"/>
    <n v="0.67460952380952388"/>
    <n v="33.730476190476196"/>
    <n v="16.269523809523804"/>
    <n v="39.814761904761909"/>
    <n v="36.822083333333332"/>
    <n v="23.075833333333335"/>
    <n v="35.209226190476194"/>
    <n v="0.69738019607843116"/>
    <n v="34.869009803921557"/>
    <n v="1.138533613445361"/>
    <n v="41.596980392156851"/>
    <n v="37.394549019607823"/>
    <n v="23.430235294117651"/>
    <n v="37.054274509803911"/>
    <n v="1"/>
    <s v="opcional"/>
    <n v="2028"/>
    <n v="2100"/>
    <n v="30"/>
    <n v="599.65695138697652"/>
    <n v="3075.1638532665465"/>
    <n v="11993.139027739531"/>
    <n v="2"/>
    <n v="0"/>
    <m/>
    <n v="599.65695138697652"/>
    <m/>
    <n v="11993.139027739531"/>
    <n v="1.1245293369208682"/>
    <n v="674.33183392318597"/>
    <n v="8.8827433387272267E-2"/>
    <n v="62.399166058728945"/>
    <n v="779.98957573411178"/>
    <n v="56.198103382480369"/>
    <n v="2.5"/>
    <n v="0"/>
    <n v="318"/>
    <m/>
    <x v="3"/>
    <m/>
    <n v="1"/>
    <n v="2027"/>
    <n v="1"/>
    <x v="2"/>
  </r>
  <r>
    <n v="1040"/>
    <n v="1040"/>
    <s v="Canto do Rio"/>
    <s v="Canto do Rio"/>
    <n v="44"/>
    <s v="Parnaíba"/>
    <s v="Parnaíba"/>
    <n v="-45.788333000000002"/>
    <n v="-8.6169440000000002"/>
    <s v="PI"/>
    <s v="PI"/>
    <n v="3"/>
    <m/>
    <n v="2.068E-2"/>
    <n v="4.6600000000000003E-2"/>
    <n v="0.71498782467532462"/>
    <n v="31.459464285714283"/>
    <n v="12.540535714285717"/>
    <n v="38.439999999999991"/>
    <n v="33.632023809523808"/>
    <n v="21.752499999999998"/>
    <n v="32.013333333333328"/>
    <n v="0.716985294117647"/>
    <n v="31.54735294117647"/>
    <n v="8.788865546218716E-2"/>
    <n v="37.614196078431377"/>
    <n v="33.307647058823541"/>
    <n v="22.576509803921567"/>
    <n v="32.691058823529403"/>
    <n v="1"/>
    <s v="opcional"/>
    <n v="2028"/>
    <n v="2100"/>
    <n v="30"/>
    <n v="440"/>
    <n v="2564.102564102564"/>
    <n v="10000"/>
    <n v="2"/>
    <n v="0"/>
    <m/>
    <n v="440"/>
    <m/>
    <n v="10000"/>
    <n v="1.1245293369208682"/>
    <n v="494.79290824518199"/>
    <n v="8.8827433387272267E-2"/>
    <n v="46.151184097643622"/>
    <n v="576.88980122054522"/>
    <n v="41.564802528004996"/>
    <n v="2.2000000000000002"/>
    <n v="0"/>
    <n v="318"/>
    <m/>
    <x v="3"/>
    <m/>
    <n v="1"/>
    <n v="2027"/>
    <n v="1"/>
    <x v="2"/>
  </r>
  <r>
    <n v="1041"/>
    <n v="1041"/>
    <s v="Cantu"/>
    <s v="Cantu"/>
    <n v="36.700000000000003"/>
    <s v="Paraná"/>
    <s v="Piquiri"/>
    <n v="-52.864167000000002"/>
    <n v="-24.756111000000001"/>
    <s v="PR"/>
    <s v="PR"/>
    <n v="2"/>
    <m/>
    <n v="2.068E-2"/>
    <n v="4.6600000000000003E-2"/>
    <n v="0.54647885039574406"/>
    <n v="20.05577380952381"/>
    <n v="16.644226190476193"/>
    <n v="19.867619047619048"/>
    <n v="22.756071428571431"/>
    <n v="17.15666666666667"/>
    <n v="20.442738095238095"/>
    <n v="0.60612117326494619"/>
    <n v="22.244647058823528"/>
    <n v="2.1888732492997178"/>
    <n v="21.977176470588237"/>
    <n v="22.118431372549011"/>
    <n v="20.650313725490193"/>
    <n v="24.23266666666667"/>
    <n v="1"/>
    <s v="opcional"/>
    <n v="2028"/>
    <n v="2100"/>
    <n v="30"/>
    <n v="394.28893403564325"/>
    <n v="2754.7609448448493"/>
    <n v="10743.567684894912"/>
    <n v="2"/>
    <n v="0"/>
    <m/>
    <n v="394.28893403564325"/>
    <m/>
    <n v="10743.56768489491"/>
    <n v="1.1245293369208682"/>
    <n v="443.38947354633785"/>
    <n v="8.8827433387272267E-2"/>
    <n v="41.220148926055046"/>
    <n v="515.25186157568805"/>
    <n v="37.123800478478145"/>
    <n v="1.8350000000000002"/>
    <n v="0"/>
    <n v="318"/>
    <m/>
    <x v="3"/>
    <m/>
    <n v="1"/>
    <n v="2027"/>
    <n v="1"/>
    <x v="2"/>
  </r>
  <r>
    <n v="1044"/>
    <n v="1044"/>
    <s v="Castelhano"/>
    <s v="Castelhano"/>
    <n v="64"/>
    <s v="Parnaíba"/>
    <s v="Parnaíba"/>
    <n v="-43.090111999999998"/>
    <n v="-5.7409730000000003"/>
    <s v="PI"/>
    <s v="PI"/>
    <n v="3"/>
    <m/>
    <n v="1.9820000000000001E-2"/>
    <n v="5.2919999999999995E-2"/>
    <n v="0.62974772135416657"/>
    <n v="40.30385416666666"/>
    <n v="23.69614583333334"/>
    <n v="43.90761904761905"/>
    <n v="40.80398809523809"/>
    <n v="33.936250000000001"/>
    <n v="42.567559523809514"/>
    <n v="0.65974310661764668"/>
    <n v="42.223558823529387"/>
    <n v="1.9197046568627272"/>
    <n v="54.28690196078427"/>
    <n v="45.251372549019585"/>
    <n v="29.970274509803911"/>
    <n v="39.385686274509801"/>
    <n v="1"/>
    <s v="opcional"/>
    <n v="2028"/>
    <n v="2100"/>
    <n v="30"/>
    <n v="648.0442789739858"/>
    <n v="2596.3312458893661"/>
    <n v="10125.691858968528"/>
    <n v="2"/>
    <n v="0"/>
    <m/>
    <n v="648.0442789739858"/>
    <m/>
    <n v="10125.691858968528"/>
    <n v="1.1245293369208682"/>
    <n v="728.74480332997837"/>
    <n v="8.8827433387272267E-2"/>
    <n v="67.932530474114486"/>
    <n v="849.15663092643103"/>
    <n v="61.181576802238908"/>
    <n v="3.2"/>
    <n v="0"/>
    <n v="318"/>
    <m/>
    <x v="3"/>
    <m/>
    <n v="1"/>
    <n v="2027"/>
    <n v="1"/>
    <x v="2"/>
  </r>
  <r>
    <n v="1045"/>
    <n v="1045"/>
    <s v="Cebolão Médio"/>
    <s v="Cebolão Médio"/>
    <n v="120"/>
    <s v="Paraná"/>
    <s v="Tibagi"/>
    <n v="-50.958883999999998"/>
    <n v="-23.461390000000002"/>
    <s v="PR"/>
    <s v="PR"/>
    <n v="2"/>
    <m/>
    <n v="1.6379999999999999E-2"/>
    <n v="6.1409999999999999E-2"/>
    <n v="0.54792336309523815"/>
    <n v="65.750803571428577"/>
    <n v="54.249196428571423"/>
    <n v="60.145714285714284"/>
    <n v="59.083452380952373"/>
    <n v="67.298749999999998"/>
    <n v="76.475297619047623"/>
    <n v="0.67325784313725534"/>
    <n v="80.790941176470639"/>
    <n v="15.040137605042062"/>
    <n v="86.658666666666718"/>
    <n v="70.886627450980427"/>
    <n v="79.544039215686311"/>
    <n v="86.074431372549085"/>
    <n v="1"/>
    <s v="opcional"/>
    <n v="2028"/>
    <n v="2100"/>
    <n v="30"/>
    <n v="1321.5310590052932"/>
    <n v="2823.7843141138742"/>
    <n v="11012.758825044109"/>
    <n v="2"/>
    <n v="0"/>
    <m/>
    <n v="1321.5310590052932"/>
    <m/>
    <n v="11012.758825044109"/>
    <n v="1.1245293369208682"/>
    <n v="1486.1004455035552"/>
    <n v="8.8827433387272267E-2"/>
    <n v="138.00648832976267"/>
    <n v="1725.0811041220334"/>
    <n v="124.2917716449856"/>
    <n v="6"/>
    <n v="0"/>
    <n v="318"/>
    <m/>
    <x v="3"/>
    <m/>
    <n v="1"/>
    <n v="2027"/>
    <n v="1"/>
    <x v="2"/>
  </r>
  <r>
    <n v="1047"/>
    <n v="1047"/>
    <s v="Choro"/>
    <s v="Choro"/>
    <n v="57.4"/>
    <s v="São Francisco"/>
    <s v="Paraopeba"/>
    <n v="-44.734316999999997"/>
    <n v="-19.01624"/>
    <s v="MG"/>
    <s v="MG"/>
    <n v="1"/>
    <m/>
    <n v="2.068E-2"/>
    <n v="4.6600000000000003E-2"/>
    <n v="0.53226340841214526"/>
    <n v="30.55191964285714"/>
    <n v="26.848080357142859"/>
    <n v="43.211904761904755"/>
    <n v="26.742261904761904"/>
    <n v="20.703749999999999"/>
    <n v="31.549761904761908"/>
    <n v="0.5604377604700419"/>
    <n v="32.169127450980405"/>
    <n v="1.6172078081232648"/>
    <n v="47.566823529411806"/>
    <n v="26.632431372549018"/>
    <n v="20.492313725490195"/>
    <n v="33.984941176470592"/>
    <n v="1"/>
    <s v="opcional"/>
    <n v="2028"/>
    <n v="2100"/>
    <n v="30"/>
    <n v="578.2519421187269"/>
    <n v="2583.0963196583889"/>
    <n v="10074.075646667716"/>
    <n v="2"/>
    <n v="0"/>
    <m/>
    <n v="578.2519421187269"/>
    <m/>
    <n v="10074.075646667716"/>
    <n v="1.1245293369208682"/>
    <n v="650.26127304397619"/>
    <n v="8.8827433387272267E-2"/>
    <n v="60.631039915636656"/>
    <n v="757.88799894545821"/>
    <n v="54.605688899100159"/>
    <n v="2.87"/>
    <n v="0"/>
    <n v="318"/>
    <m/>
    <x v="3"/>
    <m/>
    <n v="1"/>
    <n v="2027"/>
    <n v="1"/>
    <x v="2"/>
  </r>
  <r>
    <n v="1050"/>
    <n v="1050"/>
    <s v="Crenaque"/>
    <s v="Crenaque"/>
    <n v="81"/>
    <s v="Atlântico Sudeste"/>
    <s v="Doce"/>
    <n v="-41.369053999999998"/>
    <n v="-19.220268999999998"/>
    <s v="MG"/>
    <s v="MG"/>
    <n v="1"/>
    <m/>
    <n v="2.068E-2"/>
    <n v="4.6600000000000003E-2"/>
    <n v="0.50454034391534397"/>
    <n v="40.867767857142859"/>
    <n v="40.132232142857141"/>
    <n v="56.295238095238098"/>
    <n v="37.565535714285708"/>
    <n v="25.015833333333333"/>
    <n v="44.594464285714288"/>
    <n v="0.50757310578552395"/>
    <n v="41.113421568627437"/>
    <n v="0.24565371148457871"/>
    <n v="59.69607843137252"/>
    <n v="36.121725490196063"/>
    <n v="23.538705882352939"/>
    <n v="45.097176470588217"/>
    <n v="1"/>
    <s v="opcional"/>
    <n v="2028"/>
    <n v="2100"/>
    <n v="30"/>
    <n v="748.36932271776061"/>
    <n v="2369.0070361435919"/>
    <n v="9239.1274409600082"/>
    <n v="2"/>
    <n v="0"/>
    <m/>
    <n v="748.36932271776061"/>
    <m/>
    <n v="9239.1274409600064"/>
    <n v="1.1245293369208682"/>
    <n v="841.56325824772262"/>
    <n v="8.8827433387272267E-2"/>
    <n v="78.803904263175383"/>
    <n v="985.04880328969227"/>
    <n v="70.972582462991099"/>
    <n v="4.05"/>
    <n v="0"/>
    <n v="318"/>
    <m/>
    <x v="3"/>
    <m/>
    <n v="1"/>
    <n v="2027"/>
    <n v="1"/>
    <x v="2"/>
  </r>
  <r>
    <n v="1051"/>
    <n v="1051"/>
    <s v="Cruzeiro do Sul"/>
    <s v="Cruzeiro do Sul"/>
    <n v="43"/>
    <s v="Atlântico Sul"/>
    <s v="Taquari"/>
    <n v="-51.950277999999997"/>
    <n v="-29.608886999999999"/>
    <s v="RS"/>
    <s v="RS"/>
    <n v="2"/>
    <m/>
    <n v="2.068E-2"/>
    <n v="4.6600000000000003E-2"/>
    <n v="0.48053675249169436"/>
    <n v="20.663080357142857"/>
    <n v="22.336919642857143"/>
    <n v="14.915714285714282"/>
    <n v="20.656488095238092"/>
    <n v="27.149583333333336"/>
    <n v="19.930535714285714"/>
    <n v="0.56330665754673981"/>
    <n v="24.222186274509813"/>
    <n v="3.5591059173669564"/>
    <n v="17.482980392156872"/>
    <n v="23.306117647058823"/>
    <n v="31.527725490196094"/>
    <n v="24.571921568627459"/>
    <n v="1"/>
    <s v="opcional"/>
    <n v="2028"/>
    <n v="2100"/>
    <n v="30"/>
    <n v="466.28829457858711"/>
    <n v="2780.490724976667"/>
    <n v="10843.913827409002"/>
    <n v="2"/>
    <n v="0"/>
    <m/>
    <n v="466.28829457858711"/>
    <m/>
    <n v="10843.913827409002"/>
    <n v="1.1245293369208682"/>
    <n v="524.35486671642104"/>
    <n v="8.8827433387272267E-2"/>
    <n v="48.727096994544915"/>
    <n v="609.08871243181147"/>
    <n v="43.884728072331612"/>
    <n v="2.15"/>
    <n v="0"/>
    <n v="318"/>
    <m/>
    <x v="3"/>
    <m/>
    <n v="1"/>
    <n v="2027"/>
    <n v="1"/>
    <x v="2"/>
  </r>
  <r>
    <n v="1054"/>
    <n v="1054"/>
    <s v="Doresópolis"/>
    <s v="Doresópolis"/>
    <n v="60"/>
    <s v="São Francisco"/>
    <s v="São Francisco"/>
    <n v="-45.956516000000001"/>
    <n v="-20.288177999999998"/>
    <s v="MG"/>
    <s v="MG"/>
    <n v="1"/>
    <m/>
    <n v="1.9820000000000001E-2"/>
    <n v="5.2919999999999995E-2"/>
    <n v="0.42929265873015876"/>
    <n v="25.757559523809526"/>
    <n v="34.242440476190474"/>
    <n v="39.536190476190477"/>
    <n v="26.032083333333333"/>
    <n v="15.620833333333332"/>
    <n v="21.841130952380951"/>
    <n v="0.56890473856209112"/>
    <n v="34.134284313725466"/>
    <n v="8.3767247899159401"/>
    <n v="51.749254901960718"/>
    <n v="32.530274509803895"/>
    <n v="19.639098039215682"/>
    <n v="32.618509803921562"/>
    <n v="1"/>
    <s v="opcional"/>
    <n v="2028"/>
    <n v="2100"/>
    <n v="30"/>
    <n v="494.40790416499607"/>
    <n v="2112.8542913034021"/>
    <n v="8240.1317360832672"/>
    <n v="2"/>
    <n v="0"/>
    <m/>
    <n v="494.40790416499607"/>
    <m/>
    <n v="8240.1317360832672"/>
    <n v="1.1245293369208682"/>
    <n v="555.97619263909917"/>
    <n v="8.8827433387272267E-2"/>
    <n v="52.385938216558834"/>
    <n v="654.82422770698543"/>
    <n v="47.179963413478525"/>
    <n v="3"/>
    <n v="0"/>
    <n v="318"/>
    <m/>
    <x v="3"/>
    <m/>
    <n v="1"/>
    <n v="2027"/>
    <n v="1"/>
    <x v="2"/>
  </r>
  <r>
    <n v="1055"/>
    <n v="1055"/>
    <s v="E01a"/>
    <s v="E01a"/>
    <n v="50"/>
    <s v="Atlântico Sul"/>
    <s v="da Prata"/>
    <n v="-51.475541"/>
    <n v="-29.008347000000001"/>
    <s v="RS"/>
    <s v="RS"/>
    <n v="2"/>
    <m/>
    <n v="2.068E-2"/>
    <n v="4.6600000000000003E-2"/>
    <n v="0.47581671064467712"/>
    <n v="23.790835532233856"/>
    <n v="26.209164467766144"/>
    <n v="16.542730227716302"/>
    <n v="21.117201693274463"/>
    <n v="29.751596099974382"/>
    <n v="27.751814107970276"/>
    <n v="0.53804317847923133"/>
    <n v="26.902158923961565"/>
    <n v="3.1113233917277086"/>
    <n v="22.0011437449492"/>
    <n v="24.180249205315089"/>
    <n v="32.446964139707418"/>
    <n v="28.98027860587456"/>
    <n v="1"/>
    <s v="opcional"/>
    <n v="2028"/>
    <n v="2100"/>
    <n v="30"/>
    <n v="500"/>
    <n v="2564.102564102564"/>
    <n v="10000"/>
    <n v="2"/>
    <n v="0"/>
    <m/>
    <n v="500"/>
    <m/>
    <n v="10000"/>
    <n v="1.1245293369208682"/>
    <n v="562.26466846043411"/>
    <n v="8.8827433387272267E-2"/>
    <n v="52.444527383685937"/>
    <n v="655.5565922960742"/>
    <n v="47.232730145460231"/>
    <n v="2.5"/>
    <n v="0"/>
    <n v="318"/>
    <m/>
    <x v="3"/>
    <m/>
    <n v="1"/>
    <n v="2027"/>
    <n v="1"/>
    <x v="2"/>
  </r>
  <r>
    <n v="1057"/>
    <n v="1057"/>
    <s v="Encantado"/>
    <s v="Encantado"/>
    <n v="36.200000000000003"/>
    <s v="Atlântico Sul"/>
    <s v="Taquari-Antas"/>
    <n v="-51.875005999999999"/>
    <n v="-29.216107000000001"/>
    <s v="RS"/>
    <s v="RS"/>
    <n v="2"/>
    <m/>
    <n v="2.068E-2"/>
    <n v="4.6600000000000003E-2"/>
    <n v="0.47199914496185214"/>
    <n v="17.086369047619048"/>
    <n v="19.113630952380955"/>
    <n v="12.170952380952381"/>
    <n v="17.419285714285714"/>
    <n v="22.862916666666663"/>
    <n v="15.89232142857143"/>
    <n v="0.55146490087747801"/>
    <n v="19.963029411764705"/>
    <n v="2.876660364145657"/>
    <n v="14.528627450980395"/>
    <n v="19.482627450980388"/>
    <n v="25.702862745098034"/>
    <n v="20.138000000000002"/>
    <n v="1"/>
    <s v="opcional"/>
    <n v="2028"/>
    <n v="2100"/>
    <n v="30"/>
    <n v="644.96294877679543"/>
    <n v="4568.3733445020216"/>
    <n v="17816.656043557883"/>
    <n v="2"/>
    <n v="0"/>
    <m/>
    <n v="644.96294877679543"/>
    <m/>
    <n v="17816.656043557883"/>
    <n v="1.1245293369208682"/>
    <n v="725.27975712649766"/>
    <n v="8.8827433387272267E-2"/>
    <n v="66.234739313290987"/>
    <n v="827.9342414161373"/>
    <n v="59.652507598204679"/>
    <n v="1.8100000000000003"/>
    <n v="0"/>
    <n v="318"/>
    <m/>
    <x v="3"/>
    <m/>
    <n v="1"/>
    <n v="2027"/>
    <n v="1"/>
    <x v="2"/>
  </r>
  <r>
    <n v="1058"/>
    <n v="1058"/>
    <s v="Eng. Érico Bitencourt de Freitas"/>
    <s v="Eng. Érico Bitencourt de Freitas "/>
    <n v="35.799999999999997"/>
    <s v="Paraná"/>
    <s v="Claro"/>
    <n v="-51.222613000000003"/>
    <n v="-18.402984"/>
    <s v="GO"/>
    <s v="GO"/>
    <n v="1"/>
    <m/>
    <n v="2.068E-2"/>
    <n v="4.6600000000000003E-2"/>
    <n v="0.61870053538175063"/>
    <n v="22.149479166666669"/>
    <n v="13.650520833333328"/>
    <n v="30.583333333333332"/>
    <n v="21.652916666666666"/>
    <n v="13.385"/>
    <n v="22.97666666666667"/>
    <n v="0.69396976667762145"/>
    <n v="24.844117647058845"/>
    <n v="2.6946384803921752"/>
    <n v="32.627764705882413"/>
    <n v="25.85262745098041"/>
    <n v="15.847372549019605"/>
    <n v="25.048705882352948"/>
    <n v="1"/>
    <s v="opcional"/>
    <n v="2028"/>
    <n v="2100"/>
    <n v="30"/>
    <n v="276.36321840123406"/>
    <n v="1979.3956338721823"/>
    <n v="7719.6429721015111"/>
    <n v="2"/>
    <n v="0"/>
    <m/>
    <n v="276.36321840123406"/>
    <m/>
    <n v="7719.6429721015111"/>
    <n v="1.1245293369208682"/>
    <n v="310.77854673805683"/>
    <n v="8.8827433387272267E-2"/>
    <n v="29.395660658568023"/>
    <n v="367.44575823210027"/>
    <n v="26.474398313780398"/>
    <n v="1.7899999999999998"/>
    <n v="0"/>
    <n v="318"/>
    <m/>
    <x v="3"/>
    <m/>
    <n v="1"/>
    <n v="2027"/>
    <n v="1"/>
    <x v="2"/>
  </r>
  <r>
    <n v="1063"/>
    <n v="1063"/>
    <s v="Estreito (PI)"/>
    <s v="Estreito (PI)"/>
    <n v="56"/>
    <s v="Parnaíba"/>
    <s v="Parnaíba"/>
    <n v="-42.859171000000003"/>
    <n v="-6.3271230000000003"/>
    <s v="PI"/>
    <s v="PI"/>
    <n v="3"/>
    <m/>
    <n v="2.068E-2"/>
    <n v="4.6600000000000003E-2"/>
    <n v="0.67229326105442178"/>
    <n v="37.648422619047622"/>
    <n v="18.351577380952378"/>
    <n v="37.400476190476198"/>
    <n v="37.799999999999997"/>
    <n v="35.519583333333337"/>
    <n v="39.87363095238095"/>
    <n v="0.69930934873949568"/>
    <n v="39.16132352941176"/>
    <n v="1.512900910364138"/>
    <n v="46.906627450980373"/>
    <n v="41.650745098039209"/>
    <n v="31.485411764705884"/>
    <n v="36.602509803921571"/>
    <n v="1"/>
    <s v="opcional"/>
    <n v="2028"/>
    <n v="2100"/>
    <n v="30"/>
    <n v="627.9928971061579"/>
    <n v="2875.4253530501737"/>
    <n v="11214.158876895677"/>
    <n v="2"/>
    <n v="0"/>
    <m/>
    <n v="627.9928971061579"/>
    <m/>
    <n v="11214.158876895675"/>
    <n v="1.1245293369208682"/>
    <n v="706.19643617380279"/>
    <n v="8.8827433387272267E-2"/>
    <n v="65.529616892557542"/>
    <n v="819.12021115696928"/>
    <n v="59.017458362764785"/>
    <n v="2.8"/>
    <n v="0"/>
    <n v="318"/>
    <m/>
    <x v="3"/>
    <m/>
    <n v="1"/>
    <n v="2027"/>
    <n v="1"/>
    <x v="2"/>
  </r>
  <r>
    <n v="1064"/>
    <n v="1064"/>
    <s v="Estrela"/>
    <s v="Estrela"/>
    <n v="48.38"/>
    <s v="Paraná"/>
    <s v="Verde"/>
    <n v="-51.642118000000004"/>
    <n v="-18.493563000000002"/>
    <s v="GO"/>
    <s v="GO"/>
    <n v="1"/>
    <m/>
    <n v="2.068E-2"/>
    <n v="4.6600000000000003E-2"/>
    <n v="0.63213043071714003"/>
    <n v="30.582470238095237"/>
    <n v="17.797529761904766"/>
    <n v="33.109523809523814"/>
    <n v="26.97"/>
    <n v="30.294999999999998"/>
    <n v="31.955357142857142"/>
    <n v="0.68270837892825598"/>
    <n v="33.029431372549027"/>
    <n v="2.4469611344537903"/>
    <n v="38.312156862745127"/>
    <n v="31.728274509803914"/>
    <n v="29.129254901960788"/>
    <n v="32.948039215686286"/>
    <n v="1"/>
    <s v="opcional"/>
    <n v="2028"/>
    <n v="2100"/>
    <n v="30"/>
    <n v="530.55434696333657"/>
    <n v="2811.8969852096993"/>
    <n v="10966.398242317828"/>
    <n v="2"/>
    <n v="0"/>
    <m/>
    <n v="530.55434696333657"/>
    <m/>
    <n v="10966.398242317828"/>
    <n v="1.1245293369208682"/>
    <n v="596.62392799116515"/>
    <n v="8.8827433387272267E-2"/>
    <n v="55.415572220887945"/>
    <n v="692.69465276109929"/>
    <n v="49.90852047185524"/>
    <n v="2.419"/>
    <n v="0"/>
    <n v="318"/>
    <m/>
    <x v="3"/>
    <m/>
    <n v="1"/>
    <n v="2027"/>
    <n v="1"/>
    <x v="2"/>
  </r>
  <r>
    <n v="1066"/>
    <n v="1066"/>
    <s v="Floresta"/>
    <s v="Floresta"/>
    <n v="37.79"/>
    <s v="Paraná"/>
    <s v="Verde"/>
    <n v="-52.085746"/>
    <n v="-18.187338"/>
    <s v="GO"/>
    <s v="GO"/>
    <n v="1"/>
    <m/>
    <n v="2.068E-2"/>
    <n v="4.6600000000000003E-2"/>
    <n v="0.52740788694413987"/>
    <n v="19.930744047619044"/>
    <n v="17.859255952380956"/>
    <n v="19.342857142857145"/>
    <n v="17.685773809523809"/>
    <n v="22.447499999999994"/>
    <n v="20.246845238095236"/>
    <n v="0.62939360449128046"/>
    <n v="23.784784313725488"/>
    <n v="3.8540402661064448"/>
    <n v="26.491882352941172"/>
    <n v="23.14960784313725"/>
    <n v="22.586274509803925"/>
    <n v="22.911372549019607"/>
    <n v="1"/>
    <s v="opcional"/>
    <n v="2028"/>
    <n v="2100"/>
    <n v="30"/>
    <n v="657.56327516843544"/>
    <n v="4461.6556758906199"/>
    <n v="17400.457135973418"/>
    <n v="2"/>
    <n v="0"/>
    <m/>
    <n v="657.56327516843544"/>
    <m/>
    <n v="17400.457135973418"/>
    <n v="1.1245293369208682"/>
    <n v="739.44919380867509"/>
    <n v="8.8827433387272267E-2"/>
    <n v="67.572874006312261"/>
    <n v="844.66092507890323"/>
    <n v="60.857662034841155"/>
    <n v="1.8895"/>
    <n v="0"/>
    <n v="318"/>
    <m/>
    <x v="3"/>
    <m/>
    <n v="1"/>
    <n v="2027"/>
    <n v="1"/>
    <x v="2"/>
  </r>
  <r>
    <n v="1068"/>
    <n v="1068"/>
    <s v="Foz do Apiacás"/>
    <s v="Foz do Apiacás"/>
    <n v="230"/>
    <s v="Amazônica"/>
    <s v="Apiacás"/>
    <n v="-57.088135000000001"/>
    <n v="-9.2062869999999997"/>
    <s v="MT"/>
    <s v="MT"/>
    <n v="10"/>
    <m/>
    <n v="1.6379999999999999E-2"/>
    <n v="6.1409999999999999E-2"/>
    <n v="0.43473744824016558"/>
    <n v="99.989613095238084"/>
    <n v="130.0103869047619"/>
    <n v="194.38238095238094"/>
    <n v="91.408273809523806"/>
    <n v="21.577500000000001"/>
    <n v="92.590297619047604"/>
    <n v="0.45859467178175639"/>
    <n v="105.47677450980397"/>
    <n v="5.4871614145658896"/>
    <n v="196.70403921568641"/>
    <n v="116.35537254901966"/>
    <n v="21.022078431372549"/>
    <n v="87.825607843137291"/>
    <n v="1"/>
    <s v="opcional"/>
    <n v="2028"/>
    <n v="2100"/>
    <n v="30"/>
    <n v="1198.580883987458"/>
    <n v="1336.2105730071999"/>
    <n v="5211.2212347280793"/>
    <n v="2"/>
    <n v="0"/>
    <m/>
    <n v="1198.580883987458"/>
    <m/>
    <n v="5211.2212347280783"/>
    <n v="1.1245293369208682"/>
    <n v="1347.8393667164441"/>
    <n v="8.8827433387272267E-2"/>
    <n v="131.22511156374819"/>
    <n v="1640.3138945468522"/>
    <n v="118.18431001299282"/>
    <n v="11.5"/>
    <n v="0"/>
    <n v="318"/>
    <m/>
    <x v="3"/>
    <m/>
    <n v="1"/>
    <n v="2027"/>
    <n v="1"/>
    <x v="2"/>
  </r>
  <r>
    <n v="1071"/>
    <n v="1071"/>
    <s v="Foz do Laje II"/>
    <s v="Foz do Laje II"/>
    <n v="36"/>
    <s v="Paraná"/>
    <s v="Veríssimo"/>
    <n v="-48.069082999999999"/>
    <n v="-17.918664"/>
    <s v="GO"/>
    <s v="GO"/>
    <n v="1"/>
    <m/>
    <n v="2.068E-2"/>
    <n v="4.6600000000000003E-2"/>
    <n v="0.532119300920186"/>
    <n v="19.156294833126697"/>
    <n v="16.843705166873303"/>
    <n v="24.006073462053561"/>
    <n v="21.073684599572406"/>
    <n v="14.948652802791408"/>
    <n v="16.596768468089412"/>
    <n v="0.56765074645560576"/>
    <n v="20.435426872401806"/>
    <n v="1.2791320392751082"/>
    <n v="26.710227493578795"/>
    <n v="22.22107540597953"/>
    <n v="15.298843291415466"/>
    <n v="17.511561298633438"/>
    <n v="1"/>
    <s v="opcional"/>
    <n v="2028"/>
    <n v="2100"/>
    <n v="30"/>
    <n v="360"/>
    <n v="2564.102564102564"/>
    <n v="10000"/>
    <n v="2"/>
    <n v="0"/>
    <m/>
    <n v="360"/>
    <m/>
    <n v="10000"/>
    <n v="1.1245293369208682"/>
    <n v="404.83056129151254"/>
    <n v="8.8827433387272267E-2"/>
    <n v="37.76005971625387"/>
    <n v="472.00074645317335"/>
    <n v="34.007565704731356"/>
    <n v="1.8"/>
    <n v="0"/>
    <n v="318"/>
    <m/>
    <x v="3"/>
    <m/>
    <n v="1"/>
    <n v="2027"/>
    <n v="1"/>
    <x v="2"/>
  </r>
  <r>
    <n v="1075"/>
    <n v="1075"/>
    <s v="Foz dos Bois"/>
    <s v="Foz dos Bois"/>
    <n v="47.5"/>
    <s v="Paraná"/>
    <s v="Bois"/>
    <n v="-50.126040000000003"/>
    <n v="-18.219864000000001"/>
    <s v="GO"/>
    <s v="GO"/>
    <n v="1"/>
    <m/>
    <n v="2.068E-2"/>
    <n v="4.6600000000000003E-2"/>
    <n v="0.532119300920186"/>
    <n v="25.275666793708833"/>
    <n v="22.224333206291167"/>
    <n v="31.674680262431778"/>
    <n v="27.805556068880254"/>
    <n v="19.723916892571996"/>
    <n v="21.898513950951308"/>
    <n v="0.56765074645560587"/>
    <n v="26.963410456641277"/>
    <n v="1.6877436629324443"/>
    <n v="35.242661276249805"/>
    <n v="29.319474494000769"/>
    <n v="20.185973787284297"/>
    <n v="23.105532269030231"/>
    <n v="1"/>
    <s v="opcional"/>
    <n v="2028"/>
    <n v="2100"/>
    <n v="30"/>
    <n v="442.28079965097891"/>
    <n v="2387.4806998703316"/>
    <n v="9311.1747294942925"/>
    <n v="2"/>
    <n v="0"/>
    <m/>
    <n v="442.28079965097891"/>
    <m/>
    <n v="9311.1747294942925"/>
    <n v="1.1245293369208682"/>
    <n v="497.35773436434664"/>
    <n v="8.8827433387272267E-2"/>
    <n v="46.554011018893654"/>
    <n v="581.92513773617065"/>
    <n v="41.927597584341946"/>
    <n v="2.375"/>
    <n v="0"/>
    <n v="318"/>
    <m/>
    <x v="3"/>
    <m/>
    <n v="1"/>
    <n v="2027"/>
    <n v="1"/>
    <x v="2"/>
  </r>
  <r>
    <n v="1076"/>
    <n v="1076"/>
    <s v="Galiléia"/>
    <s v="Galiléia"/>
    <n v="238"/>
    <s v="Atlântico Sudeste"/>
    <s v="Doce"/>
    <n v="-41.564042000000001"/>
    <n v="-19.005355999999999"/>
    <s v="MG"/>
    <s v="MG"/>
    <n v="1"/>
    <m/>
    <n v="1.9820000000000001E-2"/>
    <n v="5.2919999999999995E-2"/>
    <n v="0.55262117346938766"/>
    <n v="131.52383928571427"/>
    <n v="106.47616071428573"/>
    <n v="179.08238095238096"/>
    <n v="122.93136904761907"/>
    <n v="82.611249999999998"/>
    <n v="141.47035714285713"/>
    <n v="0.55873727137913998"/>
    <n v="132.9794705882353"/>
    <n v="1.4556313025210272"/>
    <n v="187.79447058823533"/>
    <n v="119.94231372549018"/>
    <n v="79.122549019607874"/>
    <n v="145.05854901960785"/>
    <n v="1"/>
    <s v="opcional"/>
    <n v="2028"/>
    <n v="2100"/>
    <n v="30"/>
    <n v="1473.0791410517393"/>
    <n v="1587.0277322255326"/>
    <n v="6189.4081556795772"/>
    <n v="2"/>
    <n v="0"/>
    <m/>
    <n v="1473.0791410517393"/>
    <m/>
    <n v="6189.4081556795763"/>
    <n v="1.1245293369208682"/>
    <n v="1656.5207097188745"/>
    <n v="8.8827433387272267E-2"/>
    <n v="159.0444829971903"/>
    <n v="1988.0560374648787"/>
    <n v="143.23906652016734"/>
    <n v="11.9"/>
    <n v="0"/>
    <n v="318"/>
    <m/>
    <x v="3"/>
    <m/>
    <n v="1"/>
    <n v="2027"/>
    <n v="1"/>
    <x v="2"/>
  </r>
  <r>
    <n v="1078"/>
    <n v="1078"/>
    <s v="Garabi (50%)"/>
    <s v="Garabi (50%)"/>
    <n v="576"/>
    <s v="Uruguai"/>
    <s v="Uruguai"/>
    <m/>
    <m/>
    <s v="RS"/>
    <s v="RS"/>
    <n v="2"/>
    <m/>
    <n v="1.6379999999999999E-2"/>
    <n v="6.1409999999999999E-2"/>
    <n v="0.47915718522652118"/>
    <n v="275.99453869047619"/>
    <n v="300.00546130952381"/>
    <n v="164.14261904761904"/>
    <n v="274.19348214285714"/>
    <n v="351.55145833333336"/>
    <n v="314.0905952380952"/>
    <n v="0.55556686580882353"/>
    <n v="320.00651470588235"/>
    <n v="44.011976015406162"/>
    <n v="225.00399999999999"/>
    <n v="311.33458823529412"/>
    <n v="396.12464705882348"/>
    <n v="347.56282352941179"/>
    <n v="1"/>
    <s v="opcional"/>
    <n v="2028"/>
    <n v="2100"/>
    <n v="30"/>
    <n v="5701.7490283295992"/>
    <n v="2538.1717540641021"/>
    <n v="9898.8698408499986"/>
    <n v="3"/>
    <n v="0"/>
    <m/>
    <n v="5701.7490283295992"/>
    <m/>
    <n v="9898.8698408499986"/>
    <n v="1.1255071012622904"/>
    <n v="6417.3590210003276"/>
    <n v="8.8827433387272267E-2"/>
    <n v="598.83753096011731"/>
    <n v="7485.4691370014662"/>
    <n v="539.32665450259185"/>
    <n v="28.8"/>
    <n v="0"/>
    <n v="318"/>
    <m/>
    <x v="3"/>
    <m/>
    <n v="1"/>
    <n v="2027"/>
    <n v="1"/>
    <x v="2"/>
  </r>
  <r>
    <n v="1079"/>
    <n v="1079"/>
    <s v="Guatambú"/>
    <s v="Guatambú"/>
    <n v="34.5"/>
    <s v="Uruguai"/>
    <s v="Pelotas"/>
    <n v="-50.161948000000002"/>
    <n v="-28.495774000000001"/>
    <s v="RS"/>
    <s v="RS"/>
    <n v="2"/>
    <m/>
    <n v="2.068E-2"/>
    <n v="4.6600000000000003E-2"/>
    <n v="0.40680469289164944"/>
    <n v="14.034761904761906"/>
    <n v="20.465238095238092"/>
    <n v="9.6266666666666669"/>
    <n v="14.065"/>
    <n v="18.463333333333335"/>
    <n v="13.984047619047621"/>
    <n v="0.50946405228758185"/>
    <n v="17.576509803921574"/>
    <n v="3.5417478991596685"/>
    <n v="14.553647058823524"/>
    <n v="15.567647058823534"/>
    <n v="23.12270588235296"/>
    <n v="17.062039215686287"/>
    <n v="1"/>
    <s v="opcional"/>
    <n v="2028"/>
    <n v="2100"/>
    <n v="30"/>
    <n v="345"/>
    <n v="2564.102564102564"/>
    <n v="10000"/>
    <n v="2"/>
    <n v="0"/>
    <m/>
    <n v="345"/>
    <m/>
    <n v="10000"/>
    <n v="1.1245293369208682"/>
    <n v="387.96262123769952"/>
    <n v="8.8827433387272267E-2"/>
    <n v="36.186723894743295"/>
    <n v="452.33404868429119"/>
    <n v="32.590583800367554"/>
    <n v="1.7250000000000001"/>
    <n v="0"/>
    <n v="318"/>
    <m/>
    <x v="3"/>
    <m/>
    <n v="1"/>
    <n v="2027"/>
    <n v="1"/>
    <x v="2"/>
  </r>
  <r>
    <n v="1083"/>
    <n v="1083"/>
    <s v="Inocência"/>
    <s v="Inocência"/>
    <n v="46"/>
    <s v="Paraná"/>
    <s v="Sucuriú"/>
    <n v="-52.241897000000002"/>
    <n v="-19.836089000000001"/>
    <s v="MS"/>
    <s v="MS"/>
    <n v="1"/>
    <m/>
    <n v="2.068E-2"/>
    <n v="4.6600000000000003E-2"/>
    <n v="0.532119300920186"/>
    <n v="24.477487842328557"/>
    <n v="21.522512157671443"/>
    <n v="30.674427201512874"/>
    <n v="26.927485877231408"/>
    <n v="19.101056359122353"/>
    <n v="21.206981931447583"/>
    <n v="0.56765074645560576"/>
    <n v="26.111934336957866"/>
    <n v="1.6344464946293087"/>
    <n v="34.129735130684018"/>
    <n v="28.393596352084955"/>
    <n v="19.548521983475322"/>
    <n v="22.375883881587171"/>
    <n v="1"/>
    <s v="opcional"/>
    <n v="2028"/>
    <n v="2100"/>
    <n v="30"/>
    <n v="600.05230080374645"/>
    <n v="3344.7731371446293"/>
    <n v="13044.615234864053"/>
    <n v="2"/>
    <n v="0"/>
    <m/>
    <n v="600.05230080374645"/>
    <m/>
    <n v="13044.615234864053"/>
    <n v="1.1245293369208682"/>
    <n v="674.77641594067836"/>
    <n v="8.8827433387272267E-2"/>
    <n v="62.238657138272927"/>
    <n v="777.98321422841161"/>
    <n v="56.053545410389717"/>
    <n v="2.2999999999999998"/>
    <n v="0"/>
    <n v="318"/>
    <m/>
    <x v="3"/>
    <m/>
    <n v="1"/>
    <n v="2027"/>
    <n v="1"/>
    <x v="2"/>
  </r>
  <r>
    <n v="1086"/>
    <n v="1086"/>
    <s v="Itaguaçu"/>
    <s v="Itaguaçu"/>
    <n v="92"/>
    <s v="Paraná"/>
    <s v="Claro"/>
    <n v="-50.687998999999998"/>
    <n v="-19.008541999999998"/>
    <s v="GO"/>
    <s v="GO"/>
    <n v="1"/>
    <m/>
    <n v="1.9820000000000001E-2"/>
    <n v="5.2919999999999995E-2"/>
    <n v="0.532119300920186"/>
    <n v="48.954975684657114"/>
    <n v="43.045024315342886"/>
    <n v="61.348854403025747"/>
    <n v="53.854971754462817"/>
    <n v="38.202112718244706"/>
    <n v="42.413963862895166"/>
    <n v="0.56765074645560576"/>
    <n v="52.223868673915732"/>
    <n v="3.2688929892586174"/>
    <n v="68.259470261368037"/>
    <n v="56.787192704169911"/>
    <n v="39.097043966950643"/>
    <n v="44.751767763174342"/>
    <n v="1"/>
    <s v="opcional"/>
    <n v="2028"/>
    <n v="2100"/>
    <n v="30"/>
    <n v="591.57043740196946"/>
    <n v="1648.7470384670276"/>
    <n v="6430.1134500214075"/>
    <n v="2"/>
    <n v="0"/>
    <m/>
    <n v="591.57043740196946"/>
    <m/>
    <n v="6430.1134500214075"/>
    <n v="1.1245293369208682"/>
    <n v="665.23831171362474"/>
    <n v="8.8827433387272267E-2"/>
    <n v="63.691411820403466"/>
    <n v="796.1426477550433"/>
    <n v="57.361929207360895"/>
    <n v="4.5999999999999996"/>
    <n v="0"/>
    <n v="318"/>
    <m/>
    <x v="3"/>
    <m/>
    <n v="1"/>
    <n v="2027"/>
    <n v="1"/>
    <x v="2"/>
  </r>
  <r>
    <n v="1088"/>
    <n v="1088"/>
    <s v="Itumirim"/>
    <s v="Itumirim"/>
    <n v="50"/>
    <s v="Paraná"/>
    <s v="Corrente"/>
    <n v="-52.069043000000001"/>
    <n v="-18.508013999999999"/>
    <s v="GO"/>
    <s v="GO"/>
    <n v="1"/>
    <m/>
    <n v="2.068E-2"/>
    <n v="4.6600000000000003E-2"/>
    <n v="0.60760238095238095"/>
    <n v="30.380119047619047"/>
    <n v="19.619880952380953"/>
    <n v="39.072857142857139"/>
    <n v="29.139523809523808"/>
    <n v="23.081250000000001"/>
    <n v="30.226845238095237"/>
    <n v="0.74494450980392202"/>
    <n v="37.247225490196101"/>
    <n v="6.8671064425770538"/>
    <n v="44.331058823529453"/>
    <n v="37.529882352941208"/>
    <n v="29.934156862745102"/>
    <n v="37.193803921568637"/>
    <n v="1"/>
    <s v="opcional"/>
    <n v="2028"/>
    <n v="2100"/>
    <n v="30"/>
    <n v="500"/>
    <n v="2564.102564102564"/>
    <n v="10000"/>
    <n v="2"/>
    <n v="0"/>
    <m/>
    <n v="500"/>
    <m/>
    <n v="10000"/>
    <n v="1.1245293369208682"/>
    <n v="562.26466846043411"/>
    <n v="8.8827433387272267E-2"/>
    <n v="52.444527383685937"/>
    <n v="655.5565922960742"/>
    <n v="47.232730145460231"/>
    <n v="2.5"/>
    <n v="0"/>
    <n v="318"/>
    <m/>
    <x v="3"/>
    <m/>
    <n v="1"/>
    <n v="2027"/>
    <n v="1"/>
    <x v="2"/>
  </r>
  <r>
    <n v="1094"/>
    <n v="1094"/>
    <s v="Jenipapo"/>
    <s v="Jenipapo"/>
    <n v="96.1"/>
    <s v="Atlântico Leste"/>
    <s v="Jequitinhonha"/>
    <n v="-41.845948"/>
    <n v="-16.628520000000002"/>
    <s v="MG"/>
    <s v="MG"/>
    <n v="1"/>
    <m/>
    <n v="1.9820000000000001E-2"/>
    <n v="5.2919999999999995E-2"/>
    <n v="0.48880351568306823"/>
    <n v="46.974017857142854"/>
    <n v="49.12598214285714"/>
    <n v="22.710000000000004"/>
    <n v="26.640059523809523"/>
    <n v="72.352500000000006"/>
    <n v="66.193511904761905"/>
    <n v="0.49651129338311817"/>
    <n v="47.714735294117652"/>
    <n v="0.74071743697479775"/>
    <n v="49.42203921568629"/>
    <n v="31.504235294117649"/>
    <n v="55.96243137254902"/>
    <n v="53.97023529411765"/>
    <n v="1"/>
    <s v="opcional"/>
    <n v="2028"/>
    <n v="2100"/>
    <n v="30"/>
    <n v="1676.5813416460971"/>
    <n v="4473.3886753811394"/>
    <n v="17446.215833986444"/>
    <n v="2"/>
    <n v="0"/>
    <m/>
    <n v="1676.5813416460971"/>
    <m/>
    <n v="17446.215833986444"/>
    <n v="1.1245293369208682"/>
    <n v="1885.3649044151853"/>
    <n v="8.8827433387272267E-2"/>
    <n v="172.27712545764081"/>
    <n v="2153.4640682205099"/>
    <n v="155.15668427031301"/>
    <n v="4.8049999999999997"/>
    <n v="0"/>
    <n v="318"/>
    <m/>
    <x v="3"/>
    <m/>
    <n v="1"/>
    <n v="2027"/>
    <n v="1"/>
    <x v="2"/>
  </r>
  <r>
    <n v="1097"/>
    <n v="1097"/>
    <s v="Juruena"/>
    <s v="Juruena"/>
    <n v="46"/>
    <s v="Amazônica"/>
    <s v="Juruena"/>
    <n v="-59.007601999999999"/>
    <n v="-13.401799"/>
    <s v="MT"/>
    <s v="MT"/>
    <n v="10"/>
    <m/>
    <n v="2.068E-2"/>
    <n v="4.6600000000000003E-2"/>
    <n v="0.93326086956521737"/>
    <n v="42.93"/>
    <n v="3.0700000000000003"/>
    <n v="42.93"/>
    <n v="42.93"/>
    <n v="42.93"/>
    <n v="42.93"/>
    <n v="0.92986508951406555"/>
    <n v="42.773794117647014"/>
    <n v="-0.15620588235298527"/>
    <n v="42.920039215686224"/>
    <n v="42.829215686274459"/>
    <n v="42.615254901960746"/>
    <n v="42.730666666666622"/>
    <n v="1"/>
    <s v="opcional"/>
    <n v="2028"/>
    <n v="2100"/>
    <n v="30"/>
    <n v="356.92037914653076"/>
    <n v="1989.5227377175627"/>
    <n v="7759.1386770984946"/>
    <n v="2"/>
    <n v="0"/>
    <m/>
    <n v="356.92037914653076"/>
    <m/>
    <n v="7759.1386770984946"/>
    <n v="1.1245293369208682"/>
    <n v="401.3674372951931"/>
    <n v="8.8827433387272267E-2"/>
    <n v="37.952439300158943"/>
    <n v="474.4054912519868"/>
    <n v="34.180827118750905"/>
    <n v="2.2999999999999998"/>
    <n v="0"/>
    <n v="318"/>
    <m/>
    <x v="3"/>
    <m/>
    <n v="1"/>
    <n v="2027"/>
    <n v="1"/>
    <x v="2"/>
  </r>
  <r>
    <n v="1101"/>
    <n v="1101"/>
    <s v="Lagoinha"/>
    <s v="Lagoinha"/>
    <n v="37.1"/>
    <s v="São Francisco"/>
    <s v="Indaiá"/>
    <n v="-45.711328000000002"/>
    <n v="-18.964921"/>
    <s v="MG"/>
    <s v="MG"/>
    <n v="1"/>
    <m/>
    <n v="2.068E-2"/>
    <n v="4.6600000000000003E-2"/>
    <n v="0.38648801501732771"/>
    <n v="14.338705357142858"/>
    <n v="22.761294642857145"/>
    <n v="14.304761904761904"/>
    <n v="11.733571428571429"/>
    <n v="16.490833333333331"/>
    <n v="14.825654761904763"/>
    <n v="0.40237091062840236"/>
    <n v="14.927960784313727"/>
    <n v="0.58925542717086898"/>
    <n v="21.450117647058828"/>
    <n v="9.6152156862745102"/>
    <n v="12.953333333333333"/>
    <n v="15.693176470588236"/>
    <n v="1"/>
    <s v="opcional"/>
    <n v="2028"/>
    <n v="2100"/>
    <n v="30"/>
    <n v="469.35976325244377"/>
    <n v="3243.8991170947802"/>
    <n v="12651.206556669642"/>
    <n v="2"/>
    <n v="0"/>
    <m/>
    <n v="469.35976325244377"/>
    <m/>
    <n v="12651.206556669642"/>
    <n v="1.1245293369208682"/>
    <n v="527.80882334760622"/>
    <n v="8.8827433387272267E-2"/>
    <n v="48.738903097124044"/>
    <n v="609.23628871405049"/>
    <n v="43.895360915928613"/>
    <n v="1.855"/>
    <n v="0"/>
    <n v="318"/>
    <m/>
    <x v="3"/>
    <m/>
    <n v="1"/>
    <n v="2027"/>
    <n v="1"/>
    <x v="2"/>
  </r>
  <r>
    <n v="1103"/>
    <n v="1103"/>
    <s v="Lajeadão III"/>
    <s v="Lajeadão III"/>
    <n v="46.8"/>
    <s v="Paraná"/>
    <s v="Ivaí"/>
    <n v="-51.619371999999998"/>
    <n v="-24.047984"/>
    <s v="PR"/>
    <s v="PR"/>
    <n v="2"/>
    <m/>
    <n v="2.068E-2"/>
    <n v="4.6600000000000003E-2"/>
    <n v="0.56577953296703298"/>
    <n v="26.478482142857143"/>
    <n v="20.321517857142855"/>
    <n v="27.841428571428565"/>
    <n v="26.957857142857147"/>
    <n v="23.168333333333333"/>
    <n v="27.946309523809521"/>
    <n v="0.65399300318417963"/>
    <n v="30.606872549019606"/>
    <n v="4.1283904061624632"/>
    <n v="33.039372549019596"/>
    <n v="27.561803921568625"/>
    <n v="28.956313725490194"/>
    <n v="32.869999999999997"/>
    <n v="1"/>
    <s v="opcional"/>
    <n v="2028"/>
    <n v="2100"/>
    <n v="30"/>
    <n v="459.80002795178706"/>
    <n v="2519.1761338581364"/>
    <n v="9824.786922046731"/>
    <n v="2"/>
    <n v="0"/>
    <m/>
    <n v="459.80002795178706"/>
    <m/>
    <n v="9824.7869220467328"/>
    <n v="1.1245293369208682"/>
    <n v="517.05862054881982"/>
    <n v="8.8827433387272267E-2"/>
    <n v="48.268990174115174"/>
    <n v="603.36237717643962"/>
    <n v="43.472146685739048"/>
    <n v="2.34"/>
    <n v="0"/>
    <n v="318"/>
    <m/>
    <x v="3"/>
    <m/>
    <n v="1"/>
    <n v="2027"/>
    <n v="1"/>
    <x v="2"/>
  </r>
  <r>
    <n v="1104"/>
    <n v="1104"/>
    <s v="Limoeiro"/>
    <s v="Limoeiro"/>
    <n v="142"/>
    <s v="Paraná"/>
    <s v="Tibagi"/>
    <n v="-50.982348999999999"/>
    <n v="-23.328268999999999"/>
    <s v="PR"/>
    <s v="PR"/>
    <n v="2"/>
    <m/>
    <n v="1.6379999999999999E-2"/>
    <n v="6.1409999999999999E-2"/>
    <n v="0.55127818997317235"/>
    <n v="78.281502976190467"/>
    <n v="63.718497023809533"/>
    <n v="73.271428571428558"/>
    <n v="71.209285714285727"/>
    <n v="78.861666666666665"/>
    <n v="89.783630952380932"/>
    <n v="0.67696499585749781"/>
    <n v="96.129029411764691"/>
    <n v="17.847526435574224"/>
    <n v="103.81121568627452"/>
    <n v="84.898313725490183"/>
    <n v="93.679450980392133"/>
    <n v="102.12713725490194"/>
    <n v="1"/>
    <s v="opcional"/>
    <n v="2028"/>
    <n v="2100"/>
    <n v="30"/>
    <n v="1475.9395837929367"/>
    <n v="2665.1130079323525"/>
    <n v="10393.940730936174"/>
    <n v="2"/>
    <n v="0"/>
    <m/>
    <n v="1475.9395837929367"/>
    <m/>
    <n v="10393.940730936174"/>
    <n v="1.1245293369208682"/>
    <n v="1659.7373614979333"/>
    <n v="8.8827433387272267E-2"/>
    <n v="154.53020991882468"/>
    <n v="1931.6276239853084"/>
    <n v="139.17340985873105"/>
    <n v="7.1"/>
    <n v="0"/>
    <n v="318"/>
    <m/>
    <x v="3"/>
    <m/>
    <n v="1"/>
    <n v="2027"/>
    <n v="1"/>
    <x v="2"/>
  </r>
  <r>
    <n v="1111"/>
    <n v="1111"/>
    <s v="Monte Santo"/>
    <s v="Monte Santo"/>
    <n v="48.9"/>
    <s v="Tocantins-Araguaia"/>
    <s v="do Sono"/>
    <n v="-47.622494000000003"/>
    <n v="-9.9872219999999992"/>
    <s v="TO"/>
    <s v="TO"/>
    <n v="1"/>
    <m/>
    <n v="2.068E-2"/>
    <n v="4.6600000000000003E-2"/>
    <n v="0.61856223828999912"/>
    <n v="30.247693452380954"/>
    <n v="18.652306547619045"/>
    <n v="40.68333333333333"/>
    <n v="32.407023809523814"/>
    <n v="18.169583333333335"/>
    <n v="29.730833333333333"/>
    <n v="0.66614880307951396"/>
    <n v="32.57467647058823"/>
    <n v="2.3269830182072759"/>
    <n v="41.925960784313723"/>
    <n v="34.305921568627447"/>
    <n v="21.351450980392155"/>
    <n v="32.715372549019605"/>
    <n v="1"/>
    <s v="opcional"/>
    <n v="2028"/>
    <n v="2100"/>
    <n v="30"/>
    <n v="438.34438516626267"/>
    <n v="2298.4866297848184"/>
    <n v="8964.0978561607917"/>
    <n v="2"/>
    <n v="0"/>
    <m/>
    <n v="438.34438516626267"/>
    <m/>
    <n v="8964.0978561607917"/>
    <n v="1.1245293369208682"/>
    <n v="492.93112079400299"/>
    <n v="8.8827433387272267E-2"/>
    <n v="46.230806296842758"/>
    <n v="577.88507871053446"/>
    <n v="41.636512085435974"/>
    <n v="2.4449999999999998"/>
    <n v="0"/>
    <n v="318"/>
    <m/>
    <x v="3"/>
    <m/>
    <n v="1"/>
    <n v="2027"/>
    <n v="1"/>
    <x v="2"/>
  </r>
  <r>
    <n v="1113"/>
    <n v="1113"/>
    <s v="Muçum 65"/>
    <s v="Muçum 65"/>
    <n v="79.5"/>
    <s v="Atlântico Sul"/>
    <s v="Taquari"/>
    <n v="-51.859344999999998"/>
    <n v="-29.146484999999998"/>
    <s v="RS"/>
    <s v="RS"/>
    <n v="2"/>
    <m/>
    <n v="1.9820000000000001E-2"/>
    <n v="5.2919999999999995E-2"/>
    <n v="0.51886848607367475"/>
    <n v="41.250044642857141"/>
    <n v="38.249955357142859"/>
    <n v="30.340476190476192"/>
    <n v="39.762559523809522"/>
    <n v="55.279166666666669"/>
    <n v="39.617976190476192"/>
    <n v="0.61425292884449412"/>
    <n v="48.833107843137284"/>
    <n v="7.5830632002801437"/>
    <n v="35.563372549019618"/>
    <n v="47.129490196078471"/>
    <n v="63.016941176470631"/>
    <n v="49.62262745098041"/>
    <n v="1"/>
    <s v="opcional"/>
    <n v="2028"/>
    <n v="2100"/>
    <n v="30"/>
    <n v="1076.1879772438726"/>
    <n v="3471.0142791287617"/>
    <n v="13536.955688602171"/>
    <n v="2"/>
    <n v="0"/>
    <m/>
    <n v="1076.1879772438726"/>
    <m/>
    <n v="13536.955688602171"/>
    <n v="1.1245293369208682"/>
    <n v="1210.2049524522624"/>
    <n v="8.8827433387272267E-2"/>
    <n v="111.47439979890034"/>
    <n v="1393.4299974862543"/>
    <n v="100.39637129929552"/>
    <n v="3.9750000000000001"/>
    <n v="0"/>
    <n v="318"/>
    <m/>
    <x v="3"/>
    <m/>
    <n v="1"/>
    <n v="2027"/>
    <n v="1"/>
    <x v="2"/>
  </r>
  <r>
    <n v="1115"/>
    <n v="1115"/>
    <s v="Nova Roma"/>
    <s v="Nova Roma"/>
    <n v="49.79"/>
    <s v="Tocantins-Araguaia"/>
    <s v="Paranã"/>
    <n v="-46.88805"/>
    <n v="-13.599548"/>
    <s v="GO"/>
    <s v="GO"/>
    <n v="1"/>
    <m/>
    <n v="2.068E-2"/>
    <n v="4.6600000000000003E-2"/>
    <n v="0.532119300920186"/>
    <n v="26.49421999281606"/>
    <n v="23.295780007183939"/>
    <n v="33.20173326876796"/>
    <n v="29.14607656146417"/>
    <n v="20.674817306971786"/>
    <n v="22.954252834060327"/>
    <n v="0.56765074645560576"/>
    <n v="28.263330666024611"/>
    <n v="1.7691106732085515"/>
    <n v="36.941728525146893"/>
    <n v="30.732981790658911"/>
    <n v="21.159150207766"/>
    <n v="24.219462140526634"/>
    <n v="1"/>
    <s v="opcional"/>
    <n v="2028"/>
    <n v="2100"/>
    <n v="30"/>
    <n v="586.57527263478221"/>
    <n v="3020.7655364571315"/>
    <n v="11780.985592182813"/>
    <n v="2"/>
    <n v="0"/>
    <m/>
    <n v="586.57527263478221"/>
    <m/>
    <n v="11780.985592182813"/>
    <n v="1.1245293369208682"/>
    <n v="659.62110239016909"/>
    <n v="8.8827433387272267E-2"/>
    <n v="61.081949533401847"/>
    <n v="763.5243691675231"/>
    <n v="55.011788321830799"/>
    <n v="2.4895"/>
    <n v="0"/>
    <n v="318"/>
    <m/>
    <x v="3"/>
    <m/>
    <n v="1"/>
    <n v="2027"/>
    <n v="1"/>
    <x v="2"/>
  </r>
  <r>
    <n v="1119"/>
    <n v="1119"/>
    <s v="Pai Querê"/>
    <s v="Pai Querê"/>
    <n v="292"/>
    <s v="Uruguai"/>
    <s v="Pelotas"/>
    <n v="-50.663587999999997"/>
    <n v="-28.339153"/>
    <s v="SC"/>
    <s v="SC"/>
    <n v="2"/>
    <m/>
    <n v="1.6379999999999999E-2"/>
    <n v="6.1409999999999999E-2"/>
    <n v="0.54002278008806259"/>
    <n v="157.68665178571428"/>
    <n v="134.31334821428572"/>
    <n v="87.609523809523807"/>
    <n v="131.0975"/>
    <n v="239.09708333333336"/>
    <n v="172.9425"/>
    <n v="0.55607339511146914"/>
    <n v="162.37343137254899"/>
    <n v="4.6867795868347173"/>
    <n v="116.26337254901961"/>
    <n v="137.708"/>
    <n v="232.25733333333324"/>
    <n v="163.26501960784307"/>
    <n v="1"/>
    <s v="opcional"/>
    <n v="2028"/>
    <n v="2100"/>
    <n v="30"/>
    <n v="1435.5827055077154"/>
    <n v="1260.6100329361743"/>
    <n v="4916.3791284510799"/>
    <n v="2"/>
    <n v="0"/>
    <m/>
    <n v="1435.5827055077154"/>
    <m/>
    <n v="4916.3791284510808"/>
    <n v="1.1245293369208682"/>
    <n v="1614.3548679196572"/>
    <n v="8.8827433387272267E-2"/>
    <n v="157.99899949355205"/>
    <n v="1974.9874936694005"/>
    <n v="142.29748037834545"/>
    <n v="14.6"/>
    <n v="0"/>
    <n v="318"/>
    <m/>
    <x v="3"/>
    <m/>
    <n v="1"/>
    <n v="2027"/>
    <n v="1"/>
    <x v="2"/>
  </r>
  <r>
    <n v="1120"/>
    <n v="1120"/>
    <s v="Paiçandu"/>
    <s v="Paiçandu"/>
    <n v="103.29"/>
    <s v="Paraná"/>
    <s v="Ivaí"/>
    <n v="-52.300275999999997"/>
    <n v="-23.578451000000001"/>
    <s v="PR"/>
    <s v="PR"/>
    <n v="2"/>
    <m/>
    <n v="1.9820000000000001E-2"/>
    <n v="5.2919999999999995E-2"/>
    <n v="0.56770782908961814"/>
    <n v="58.638541666666661"/>
    <n v="44.651458333333345"/>
    <n v="61.397142857142853"/>
    <n v="58.371309523809515"/>
    <n v="51.513749999999995"/>
    <n v="63.271964285714283"/>
    <n v="0.65428851567735236"/>
    <n v="67.581460784313734"/>
    <n v="8.9429191176470724"/>
    <n v="74.203372549019619"/>
    <n v="61.752549019607848"/>
    <n v="62.025411764705865"/>
    <n v="72.344509803921582"/>
    <n v="1"/>
    <s v="opcional"/>
    <n v="2028"/>
    <n v="2100"/>
    <n v="30"/>
    <n v="1174.1818208158463"/>
    <n v="2914.8248789587847"/>
    <n v="11367.81702793926"/>
    <n v="2"/>
    <n v="0"/>
    <m/>
    <n v="1174.1818208158463"/>
    <m/>
    <n v="11367.817027939262"/>
    <n v="1.1245293369208682"/>
    <n v="1320.4019043865812"/>
    <n v="8.8827433387272267E-2"/>
    <n v="122.4524122063265"/>
    <n v="1530.6551525790812"/>
    <n v="110.28341811697305"/>
    <n v="5.1645000000000003"/>
    <n v="0"/>
    <n v="318"/>
    <m/>
    <x v="3"/>
    <m/>
    <n v="1"/>
    <n v="2027"/>
    <n v="1"/>
    <x v="2"/>
  </r>
  <r>
    <n v="1122"/>
    <n v="1122"/>
    <s v="Panorama"/>
    <s v="Panorama"/>
    <n v="54"/>
    <s v="Atlântico Sudeste"/>
    <s v="José Pedro"/>
    <n v="-41.708378000000003"/>
    <n v="-19.806308999999999"/>
    <s v="MG"/>
    <s v="MG"/>
    <n v="1"/>
    <m/>
    <n v="2.068E-2"/>
    <n v="4.6600000000000003E-2"/>
    <n v="0.532119300920186"/>
    <n v="28.734442249690044"/>
    <n v="25.265557750309956"/>
    <n v="36.009110193080339"/>
    <n v="31.610526899358607"/>
    <n v="22.422979204187111"/>
    <n v="24.895152702134116"/>
    <n v="0.56765074645560576"/>
    <n v="30.653140308602708"/>
    <n v="1.9186980589126641"/>
    <n v="40.065341240368191"/>
    <n v="33.331613108969293"/>
    <n v="22.948264937123202"/>
    <n v="26.267341947950158"/>
    <n v="1"/>
    <s v="opcional"/>
    <n v="2028"/>
    <n v="2100"/>
    <n v="30"/>
    <n v="540"/>
    <n v="2564.102564102564"/>
    <n v="10000"/>
    <n v="2"/>
    <n v="0"/>
    <m/>
    <n v="540"/>
    <m/>
    <n v="10000"/>
    <n v="1.1245293369208682"/>
    <n v="607.24584193726878"/>
    <n v="8.8827433387272267E-2"/>
    <n v="56.640089574380809"/>
    <n v="708.00111967976011"/>
    <n v="51.011348557097037"/>
    <n v="2.7"/>
    <n v="0"/>
    <n v="318"/>
    <m/>
    <x v="3"/>
    <m/>
    <n v="1"/>
    <n v="2027"/>
    <n v="1"/>
    <x v="2"/>
  </r>
  <r>
    <n v="1127"/>
    <n v="1127"/>
    <s v="Pau D'Arco"/>
    <s v="Pau D'Arco"/>
    <n v="64"/>
    <s v="Tocantins-Araguaia"/>
    <s v="Palma"/>
    <n v="-47.134112999999999"/>
    <n v="-12.364687999999999"/>
    <s v="TO"/>
    <s v="TO"/>
    <n v="1"/>
    <m/>
    <n v="1.9820000000000001E-2"/>
    <n v="5.2919999999999995E-2"/>
    <n v="0.51287062872023814"/>
    <n v="32.823720238095241"/>
    <n v="31.176279761904759"/>
    <n v="42.313809523809518"/>
    <n v="31.258333333333336"/>
    <n v="25.91416666666667"/>
    <n v="31.80857142857143"/>
    <n v="0.59711672794117643"/>
    <n v="38.215470588235291"/>
    <n v="5.3917503501400503"/>
    <n v="51.365333333333332"/>
    <n v="36.814784313725475"/>
    <n v="28.142980392156868"/>
    <n v="36.538784313725493"/>
    <n v="1"/>
    <s v="opcional"/>
    <n v="2028"/>
    <n v="2100"/>
    <n v="30"/>
    <n v="653.83668530205478"/>
    <n v="2619.5380020114371"/>
    <n v="10216.198207844605"/>
    <n v="2"/>
    <n v="0"/>
    <m/>
    <n v="653.83668530205478"/>
    <m/>
    <n v="10216.198207844605"/>
    <n v="1.1245293369208682"/>
    <n v="735.25853417725807"/>
    <n v="8.8827433387272267E-2"/>
    <n v="68.511128467053837"/>
    <n v="856.3891058381729"/>
    <n v="61.702675270021274"/>
    <n v="3.2"/>
    <n v="0"/>
    <n v="318"/>
    <m/>
    <x v="3"/>
    <m/>
    <n v="1"/>
    <n v="2027"/>
    <n v="1"/>
    <x v="2"/>
  </r>
  <r>
    <n v="1130"/>
    <n v="1130"/>
    <s v="Peixe Bravo"/>
    <s v="Peixe Bravo"/>
    <n v="45.96"/>
    <s v="São Francisco"/>
    <s v="Paraopeba"/>
    <n v="-44.524222000000002"/>
    <n v="-19.610628999999999"/>
    <s v="MG"/>
    <s v="MG"/>
    <n v="1"/>
    <m/>
    <n v="2.068E-2"/>
    <n v="4.6600000000000003E-2"/>
    <n v="0.49621532958265985"/>
    <n v="22.806056547619047"/>
    <n v="23.153943452380954"/>
    <n v="32.758571428571429"/>
    <n v="21.418571428571429"/>
    <n v="14.559583333333331"/>
    <n v="22.487500000000001"/>
    <n v="0.54871072885202798"/>
    <n v="25.218745098039207"/>
    <n v="2.4126885504201603"/>
    <n v="38.146117647058794"/>
    <n v="21.867764705882347"/>
    <n v="15.050823529411765"/>
    <n v="25.810274509803918"/>
    <n v="1"/>
    <s v="opcional"/>
    <n v="2028"/>
    <n v="2100"/>
    <n v="30"/>
    <n v="703.50988653255195"/>
    <n v="3924.8727239547879"/>
    <n v="15307.003623423672"/>
    <n v="2"/>
    <n v="0"/>
    <m/>
    <n v="703.50988653255195"/>
    <m/>
    <n v="15307.003623423672"/>
    <n v="1.1245293369208682"/>
    <n v="791.1175062197259"/>
    <n v="8.8827433387272267E-2"/>
    <n v="72.570937585237658"/>
    <n v="907.13671981547066"/>
    <n v="65.359031387378622"/>
    <n v="2.298"/>
    <n v="0"/>
    <n v="318"/>
    <m/>
    <x v="3"/>
    <m/>
    <n v="1"/>
    <n v="2027"/>
    <n v="1"/>
    <x v="2"/>
  </r>
  <r>
    <n v="1133"/>
    <n v="1133"/>
    <s v="Ponte Indaiá"/>
    <s v="Ponte Indaiá"/>
    <n v="51.4"/>
    <s v="São Francisco"/>
    <s v="Indaiá"/>
    <n v="-45.568610999999997"/>
    <n v="-18.683889000000001"/>
    <s v="MG"/>
    <s v="MG"/>
    <n v="1"/>
    <m/>
    <n v="2.068E-2"/>
    <n v="4.6600000000000003E-2"/>
    <n v="0.37477736473967016"/>
    <n v="19.263556547619046"/>
    <n v="32.136443452380952"/>
    <n v="15.178571428571431"/>
    <n v="14.779583333333333"/>
    <n v="26.232916666666668"/>
    <n v="20.863154761904759"/>
    <n v="0.38010872053101397"/>
    <n v="19.537588235294116"/>
    <n v="0.27403168767506969"/>
    <n v="24.76"/>
    <n v="11.806862745098035"/>
    <n v="20.072431372549023"/>
    <n v="21.511058823529407"/>
    <n v="1"/>
    <s v="opcional"/>
    <n v="2028"/>
    <n v="2100"/>
    <n v="30"/>
    <n v="468.24991803033868"/>
    <n v="2335.8770728840605"/>
    <n v="9109.920584247835"/>
    <n v="2"/>
    <n v="0"/>
    <m/>
    <n v="468.24991803033868"/>
    <m/>
    <n v="9109.9205842478332"/>
    <n v="1.1245293369208682"/>
    <n v="526.56076983590765"/>
    <n v="8.8827433387272267E-2"/>
    <n v="49.34304170694989"/>
    <n v="616.78802133687361"/>
    <n v="44.439461842219615"/>
    <n v="2.57"/>
    <n v="0"/>
    <n v="318"/>
    <m/>
    <x v="3"/>
    <m/>
    <n v="1"/>
    <n v="2027"/>
    <n v="1"/>
    <x v="2"/>
  </r>
  <r>
    <n v="1134"/>
    <n v="1134"/>
    <s v="Ponte Nova"/>
    <s v="Ponte Nova"/>
    <n v="73"/>
    <s v="Tocantins-Araguaia"/>
    <s v="do Sono"/>
    <n v="-47.879998999999998"/>
    <n v="-9.8308160000000004"/>
    <s v="TO"/>
    <s v="TO"/>
    <n v="1"/>
    <m/>
    <n v="1.9820000000000001E-2"/>
    <n v="5.2919999999999995E-2"/>
    <n v="0.64508765492498366"/>
    <n v="47.09139880952381"/>
    <n v="25.90860119047619"/>
    <n v="63.467142857142846"/>
    <n v="50.906845238095237"/>
    <n v="27.707083333333333"/>
    <n v="46.284523809523812"/>
    <n v="0.68069339242546334"/>
    <n v="49.690617647058822"/>
    <n v="2.5992188375350125"/>
    <n v="60.986431372549028"/>
    <n v="53.710941176470584"/>
    <n v="33.266352941176471"/>
    <n v="50.798745098039213"/>
    <n v="1"/>
    <s v="opcional"/>
    <n v="2028"/>
    <n v="2100"/>
    <n v="30"/>
    <n v="489.19277661235088"/>
    <n v="1718.2745929481941"/>
    <n v="6701.2709124979574"/>
    <n v="2"/>
    <n v="0"/>
    <m/>
    <n v="489.19277661235088"/>
    <m/>
    <n v="6701.2709124979574"/>
    <n v="1.1245293369208682"/>
    <n v="550.11162871036538"/>
    <n v="8.8827433387272267E-2"/>
    <n v="52.515004054833831"/>
    <n v="656.43755068542282"/>
    <n v="47.296203033022451"/>
    <n v="3.65"/>
    <n v="0"/>
    <n v="318"/>
    <m/>
    <x v="3"/>
    <m/>
    <n v="1"/>
    <n v="2027"/>
    <n v="1"/>
    <x v="2"/>
  </r>
  <r>
    <n v="1137"/>
    <n v="1137"/>
    <s v="Porto Ferreira"/>
    <s v="Porto Ferreira"/>
    <n v="49.3"/>
    <s v="Uruguai"/>
    <s v="Chapecó"/>
    <n v="-52.916153000000001"/>
    <n v="-26.942931000000002"/>
    <s v="SC"/>
    <s v="SC"/>
    <n v="2"/>
    <m/>
    <n v="2.068E-2"/>
    <n v="4.6600000000000003E-2"/>
    <n v="0.51852301265333722"/>
    <n v="25.563184523809525"/>
    <n v="23.736815476190472"/>
    <n v="17.926190476190474"/>
    <n v="26.555714285714284"/>
    <n v="29.350833333333338"/>
    <n v="28.419999999999998"/>
    <n v="0.59374438213419256"/>
    <n v="29.271598039215689"/>
    <n v="3.7084135154061642"/>
    <n v="23.012901960784308"/>
    <n v="28.526039215686264"/>
    <n v="33.955529411764722"/>
    <n v="31.591921568627466"/>
    <n v="1"/>
    <s v="opcional"/>
    <n v="2028"/>
    <n v="2100"/>
    <n v="30"/>
    <n v="612.04883631501502"/>
    <n v="3183.2778713008529"/>
    <n v="12414.783698073326"/>
    <n v="2"/>
    <n v="0"/>
    <m/>
    <n v="612.04883631501502"/>
    <m/>
    <n v="12414.783698073326"/>
    <n v="1.1245293369208682"/>
    <n v="688.26687206451288"/>
    <n v="8.8827433387272267E-2"/>
    <n v="63.601979730976765"/>
    <n v="795.02474663720955"/>
    <n v="57.28138464042577"/>
    <n v="2.4649999999999999"/>
    <n v="0"/>
    <n v="318"/>
    <m/>
    <x v="3"/>
    <m/>
    <n v="1"/>
    <n v="2027"/>
    <n v="1"/>
    <x v="2"/>
  </r>
  <r>
    <n v="1139"/>
    <n v="1139"/>
    <s v="Porto Guaritá"/>
    <s v="Porto Guaritá"/>
    <n v="47.35"/>
    <s v="Paraná"/>
    <s v="Ivaí"/>
    <n v="-51.643335999999998"/>
    <n v="-23.995552"/>
    <s v="PR"/>
    <s v="PR"/>
    <n v="2"/>
    <m/>
    <n v="2.068E-2"/>
    <n v="4.6600000000000003E-2"/>
    <n v="0.56527002564489359"/>
    <n v="26.765535714285711"/>
    <n v="20.58446428571429"/>
    <n v="28.27333333333333"/>
    <n v="26.978095238095236"/>
    <n v="23.407083333333333"/>
    <n v="28.403630952380951"/>
    <n v="0.64948154129656066"/>
    <n v="30.75295098039215"/>
    <n v="3.9874152661064386"/>
    <n v="33.300117647058805"/>
    <n v="27.703019607843135"/>
    <n v="28.998745098039212"/>
    <n v="33.009921568627441"/>
    <n v="1"/>
    <s v="opcional"/>
    <n v="2028"/>
    <n v="2100"/>
    <n v="30"/>
    <n v="434.91472931684729"/>
    <n v="2355.1551691812056"/>
    <n v="9185.1051598067006"/>
    <n v="2"/>
    <n v="0"/>
    <m/>
    <n v="434.91472931684729"/>
    <m/>
    <n v="9185.1051598067006"/>
    <n v="1.1245293369208682"/>
    <n v="489.07437217579314"/>
    <n v="8.8827433387272267E-2"/>
    <n v="45.810721215867268"/>
    <n v="572.63401519834088"/>
    <n v="41.25817393925179"/>
    <n v="2.3675000000000002"/>
    <n v="0"/>
    <n v="318"/>
    <m/>
    <x v="3"/>
    <m/>
    <n v="1"/>
    <n v="2027"/>
    <n v="1"/>
    <x v="2"/>
  </r>
  <r>
    <n v="1144"/>
    <n v="1144"/>
    <s v="Ribeiro Gonçalves"/>
    <s v="Ribeiro Gonçalves"/>
    <n v="113"/>
    <s v="Parnaíba"/>
    <s v="Parnaíba"/>
    <n v="-45.320118999999998"/>
    <n v="-7.5749339999999998"/>
    <s v="PI"/>
    <s v="PI"/>
    <n v="3"/>
    <m/>
    <n v="1.9820000000000001E-2"/>
    <n v="5.2919999999999995E-2"/>
    <n v="0.70435471976401176"/>
    <n v="79.592083333333335"/>
    <n v="33.407916666666665"/>
    <n v="97.428095238095239"/>
    <n v="83.004107142857137"/>
    <n v="57.84708333333333"/>
    <n v="80.089047619047619"/>
    <n v="0.72819226097518608"/>
    <n v="82.285725490196029"/>
    <n v="2.693642156862694"/>
    <n v="102.30639215686263"/>
    <n v="87.638117647058777"/>
    <n v="56.799607843137245"/>
    <n v="82.398784313725457"/>
    <n v="1"/>
    <s v="opcional"/>
    <n v="2028"/>
    <n v="2100"/>
    <n v="30"/>
    <n v="902.79813764465632"/>
    <n v="2048.5548846032593"/>
    <n v="7989.364049952711"/>
    <n v="2"/>
    <n v="0"/>
    <m/>
    <n v="902.79813764465632"/>
    <m/>
    <n v="7989.364049952711"/>
    <n v="1.1245293369208682"/>
    <n v="1015.22299109894"/>
    <n v="8.8827433387272267E-2"/>
    <n v="95.829652615068412"/>
    <n v="1197.8706576883551"/>
    <n v="86.306357359008842"/>
    <n v="5.65"/>
    <n v="0"/>
    <n v="318"/>
    <m/>
    <x v="3"/>
    <m/>
    <n v="1"/>
    <n v="2027"/>
    <n v="1"/>
    <x v="2"/>
  </r>
  <r>
    <n v="1147"/>
    <n v="1147"/>
    <s v="Sacos"/>
    <s v="Sacos"/>
    <n v="50"/>
    <s v="São Francisco"/>
    <s v="Formoso"/>
    <n v="-44.490765000000003"/>
    <n v="-13.653444"/>
    <s v="BA"/>
    <s v="BA"/>
    <n v="3"/>
    <m/>
    <n v="2.068E-2"/>
    <n v="4.6600000000000003E-2"/>
    <n v="0.82545535714285723"/>
    <n v="41.27276785714286"/>
    <n v="8.7272321428571402"/>
    <n v="44.300476190476189"/>
    <n v="40.772321428571423"/>
    <n v="37.080833333333338"/>
    <n v="42.937440476190481"/>
    <n v="0.82813549019607857"/>
    <n v="41.406774509803931"/>
    <n v="0.13400665266107126"/>
    <n v="44.933803921568632"/>
    <n v="41.363372549019623"/>
    <n v="37.023019607843132"/>
    <n v="42.306901960784323"/>
    <n v="1"/>
    <s v="opcional"/>
    <n v="2028"/>
    <n v="2100"/>
    <n v="30"/>
    <n v="474.62946604084328"/>
    <n v="2433.9972617479143"/>
    <n v="9492.5893208168654"/>
    <n v="2"/>
    <n v="0"/>
    <m/>
    <n v="474.62946604084328"/>
    <m/>
    <n v="9492.5893208168654"/>
    <n v="1.1245293369208682"/>
    <n v="533.73475873001519"/>
    <n v="8.8827433387272267E-2"/>
    <n v="49.910288727562261"/>
    <n v="623.8786090945282"/>
    <n v="44.950337367026712"/>
    <n v="2.5"/>
    <n v="0"/>
    <n v="318"/>
    <m/>
    <x v="3"/>
    <m/>
    <n v="1"/>
    <n v="2027"/>
    <n v="1"/>
    <x v="2"/>
  </r>
  <r>
    <n v="1148"/>
    <n v="1148"/>
    <s v="Salto Ariranha II"/>
    <s v="Salto Ariranha II"/>
    <n v="36.67"/>
    <s v="Paraná"/>
    <s v="Ivaí"/>
    <n v="-51.444417000000001"/>
    <n v="-24.374361"/>
    <s v="PR"/>
    <s v="PR"/>
    <n v="2"/>
    <m/>
    <n v="2.068E-2"/>
    <n v="4.6600000000000003E-2"/>
    <n v="0.59806332541197549"/>
    <n v="21.930982142857143"/>
    <n v="14.739017857142859"/>
    <n v="22.81904761904762"/>
    <n v="22.133452380952381"/>
    <n v="19.377916666666668"/>
    <n v="23.393511904761908"/>
    <n v="0.68116775480303915"/>
    <n v="24.978421568627446"/>
    <n v="3.0474394257703032"/>
    <n v="26.405176470588231"/>
    <n v="22.577490196078429"/>
    <n v="23.939294117647052"/>
    <n v="26.991725490196071"/>
    <n v="1"/>
    <s v="opcional"/>
    <n v="2028"/>
    <n v="2100"/>
    <n v="30"/>
    <n v="496.87769434735964"/>
    <n v="3474.3533409365555"/>
    <n v="13549.978029652566"/>
    <n v="2"/>
    <n v="0"/>
    <m/>
    <n v="496.87769434735964"/>
    <m/>
    <n v="13549.978029652566"/>
    <n v="1.1245293369208682"/>
    <n v="558.7535441552061"/>
    <n v="8.8827433387272267E-2"/>
    <n v="51.466143223348865"/>
    <n v="643.32679029186079"/>
    <n v="46.351575193186427"/>
    <n v="1.8334999999999999"/>
    <n v="0"/>
    <n v="318"/>
    <m/>
    <x v="3"/>
    <m/>
    <n v="1"/>
    <n v="2027"/>
    <n v="1"/>
    <x v="2"/>
  </r>
  <r>
    <n v="1150"/>
    <n v="1150"/>
    <s v="Salto da Divisa"/>
    <s v="Salto da Divisa"/>
    <n v="201.65"/>
    <s v="Atlântico Leste"/>
    <s v="Jequitinhonha"/>
    <n v="-39.963774999999998"/>
    <n v="-16.001995999999998"/>
    <s v="MG"/>
    <s v="MG"/>
    <n v="1"/>
    <m/>
    <n v="1.6379999999999999E-2"/>
    <n v="6.1409999999999999E-2"/>
    <n v="0.50260794870886616"/>
    <n v="101.35089285714285"/>
    <n v="100.29910714285715"/>
    <n v="73.247142857142848"/>
    <n v="60.233630952380963"/>
    <n v="130.33833333333334"/>
    <n v="141.58446428571426"/>
    <n v="0.5166190205315947"/>
    <n v="104.17622549019607"/>
    <n v="2.8253326330532218"/>
    <n v="122.45149019607844"/>
    <n v="69.298705882352934"/>
    <n v="102.32196078431372"/>
    <n v="122.63274509803922"/>
    <n v="1"/>
    <s v="opcional"/>
    <n v="2028"/>
    <n v="2100"/>
    <n v="30"/>
    <n v="3209.014583875422"/>
    <n v="4080.4574871100876"/>
    <n v="15913.784199729342"/>
    <n v="2"/>
    <n v="0"/>
    <m/>
    <n v="3209.014583875422"/>
    <m/>
    <n v="15913.784199729342"/>
    <n v="1.1245293369208682"/>
    <n v="3608.631042174824"/>
    <n v="8.8827433387272267E-2"/>
    <n v="330.62793351802708"/>
    <n v="4132.8491689753382"/>
    <n v="297.77101141855252"/>
    <n v="10.0825"/>
    <n v="0"/>
    <n v="318"/>
    <m/>
    <x v="3"/>
    <m/>
    <n v="1"/>
    <n v="2027"/>
    <n v="1"/>
    <x v="2"/>
  </r>
  <r>
    <n v="1151"/>
    <n v="1151"/>
    <s v="Salto Duran"/>
    <s v="Salto Duran"/>
    <n v="36.1"/>
    <s v="Paraná"/>
    <s v="Claro"/>
    <n v="-51.255222000000003"/>
    <n v="-18.348807999999998"/>
    <s v="GO"/>
    <s v="GO"/>
    <n v="1"/>
    <m/>
    <n v="2.068E-2"/>
    <n v="4.6600000000000003E-2"/>
    <n v="0.61520989974937335"/>
    <n v="22.20907738095238"/>
    <n v="13.890922619047622"/>
    <n v="31.156666666666666"/>
    <n v="21.716547619047621"/>
    <n v="12.855416666666665"/>
    <n v="23.107678571428568"/>
    <n v="0.69260197707892046"/>
    <n v="25.002931372549028"/>
    <n v="2.7938539915966487"/>
    <n v="33.217803921568652"/>
    <n v="26.13427450980392"/>
    <n v="15.419490196078437"/>
    <n v="25.240156862745096"/>
    <n v="1"/>
    <s v="opcional"/>
    <n v="2028"/>
    <n v="2100"/>
    <n v="30"/>
    <n v="315.1798739040384"/>
    <n v="2238.652417814038"/>
    <n v="8730.7444294747474"/>
    <n v="2"/>
    <n v="0"/>
    <m/>
    <n v="315.1798739040384"/>
    <m/>
    <n v="8730.7444294747474"/>
    <n v="1.1245293369208682"/>
    <n v="354.42901461211113"/>
    <n v="8.8827433387272267E-2"/>
    <n v="33.28801968597385"/>
    <n v="416.10024607467312"/>
    <n v="29.979945083716498"/>
    <n v="1.8049999999999999"/>
    <n v="0"/>
    <n v="318"/>
    <m/>
    <x v="3"/>
    <m/>
    <n v="1"/>
    <n v="2027"/>
    <n v="1"/>
    <x v="2"/>
  </r>
  <r>
    <n v="1152"/>
    <n v="1152"/>
    <s v="Salto Grande"/>
    <s v="Salto Grande"/>
    <n v="47"/>
    <s v="Paraná"/>
    <s v="Chopim"/>
    <n v="-52.739159000000001"/>
    <n v="-25.99306"/>
    <s v="PR"/>
    <s v="PR"/>
    <n v="2"/>
    <m/>
    <n v="2.068E-2"/>
    <n v="4.6600000000000003E-2"/>
    <n v="1.7012075734549137"/>
    <n v="79.956755952380945"/>
    <n v="-32.956755952380945"/>
    <n v="95.765238095238089"/>
    <n v="83.166785714285709"/>
    <n v="63.122916666666676"/>
    <n v="77.772083333333342"/>
    <n v="1.6434134334584889"/>
    <n v="77.240431372548983"/>
    <n v="-2.7163245798319622"/>
    <n v="94.289647058823462"/>
    <n v="78.379058823529405"/>
    <n v="53.735137254901964"/>
    <n v="82.557882352941135"/>
    <n v="1"/>
    <s v="opcional"/>
    <n v="2028"/>
    <n v="2100"/>
    <n v="30"/>
    <n v="470"/>
    <n v="2564.102564102564"/>
    <n v="10000"/>
    <n v="2"/>
    <n v="0"/>
    <m/>
    <n v="470"/>
    <m/>
    <n v="10000"/>
    <n v="1.1245293369208682"/>
    <n v="528.52878835280808"/>
    <n v="8.8827433387272267E-2"/>
    <n v="49.297855740664787"/>
    <n v="616.22319675830977"/>
    <n v="44.398766336732614"/>
    <n v="2.35"/>
    <n v="0"/>
    <n v="318"/>
    <m/>
    <x v="3"/>
    <m/>
    <n v="1"/>
    <n v="2027"/>
    <n v="1"/>
    <x v="2"/>
  </r>
  <r>
    <n v="1154"/>
    <n v="1154"/>
    <s v="Santa Barbara"/>
    <s v="Santa Barbara"/>
    <n v="48.5"/>
    <s v="Paraná"/>
    <s v="Bois"/>
    <n v="-50.186543999999998"/>
    <n v="-18.126525000000001"/>
    <s v="GO"/>
    <s v="GO"/>
    <n v="1"/>
    <m/>
    <n v="2.068E-2"/>
    <n v="4.6600000000000003E-2"/>
    <n v="0.532119300920186"/>
    <n v="25.807786094629019"/>
    <n v="22.692213905370981"/>
    <n v="32.341515636377707"/>
    <n v="28.390936196646155"/>
    <n v="20.139157248205091"/>
    <n v="22.359535297287124"/>
    <n v="0.56765074645560576"/>
    <n v="27.531061203096879"/>
    <n v="1.7232751084678597"/>
    <n v="35.984612039960325"/>
    <n v="29.936726588611311"/>
    <n v="20.610941656490279"/>
    <n v="23.591964527325604"/>
    <n v="1"/>
    <s v="opcional"/>
    <n v="2028"/>
    <n v="2100"/>
    <n v="30"/>
    <n v="477.61009648318816"/>
    <n v="2525.0335526470431"/>
    <n v="9847.6308553234685"/>
    <n v="2"/>
    <n v="0"/>
    <m/>
    <n v="477.61009648318816"/>
    <m/>
    <n v="9847.6308553234667"/>
    <n v="1.1245293369208682"/>
    <n v="537.08656510495143"/>
    <n v="8.8827433387272267E-2"/>
    <n v="50.133021085058942"/>
    <n v="626.66276356323681"/>
    <n v="45.15093517696284"/>
    <n v="2.4249999999999998"/>
    <n v="0"/>
    <n v="318"/>
    <m/>
    <x v="3"/>
    <m/>
    <n v="1"/>
    <n v="2027"/>
    <n v="1"/>
    <x v="2"/>
  </r>
  <r>
    <n v="1156"/>
    <n v="1156"/>
    <s v="Santa Rita (MS)"/>
    <s v="Santa Rita (MS)"/>
    <n v="48"/>
    <s v="Paraná"/>
    <s v="Sucuriú"/>
    <n v="-52.150545000000001"/>
    <n v="-20.093761000000001"/>
    <s v="MS"/>
    <s v="MS"/>
    <n v="1"/>
    <m/>
    <n v="2.068E-2"/>
    <n v="4.6600000000000003E-2"/>
    <n v="0.532119300920186"/>
    <n v="25.541726444168926"/>
    <n v="22.458273555831074"/>
    <n v="32.008097949404743"/>
    <n v="28.098246132763212"/>
    <n v="19.931537070388543"/>
    <n v="22.129024624119211"/>
    <n v="0.56765074645560565"/>
    <n v="27.247235829869073"/>
    <n v="1.7055093857001467"/>
    <n v="35.613636658105058"/>
    <n v="29.62810054130604"/>
    <n v="20.398457721887286"/>
    <n v="23.348748398177918"/>
    <n v="1"/>
    <s v="opcional"/>
    <n v="2028"/>
    <n v="2100"/>
    <n v="30"/>
    <n v="480"/>
    <n v="2564.102564102564"/>
    <n v="10000"/>
    <n v="2"/>
    <n v="0"/>
    <m/>
    <n v="480"/>
    <m/>
    <n v="10000"/>
    <n v="1.1245293369208682"/>
    <n v="539.77408172201672"/>
    <n v="8.8827433387272267E-2"/>
    <n v="50.346746288338494"/>
    <n v="629.33432860423113"/>
    <n v="45.34342093964181"/>
    <n v="2.4"/>
    <n v="0"/>
    <n v="318"/>
    <m/>
    <x v="3"/>
    <m/>
    <n v="1"/>
    <n v="2027"/>
    <n v="1"/>
    <x v="2"/>
  </r>
  <r>
    <n v="1158"/>
    <n v="1158"/>
    <s v="São Cristovão II"/>
    <s v="São Cristovão II"/>
    <n v="47.82"/>
    <s v="Paraná"/>
    <s v="Ivaí"/>
    <n v="-51.766666999999998"/>
    <n v="-23.937781000000001"/>
    <s v="PR"/>
    <s v="PR"/>
    <n v="2"/>
    <m/>
    <n v="2.068E-2"/>
    <n v="4.6600000000000003E-2"/>
    <n v="0.56511925922606598"/>
    <n v="27.024002976190477"/>
    <n v="20.795997023809523"/>
    <n v="28.258095238095237"/>
    <n v="27.348988095238095"/>
    <n v="23.662499999999998"/>
    <n v="28.826428571428576"/>
    <n v="0.65602073953797335"/>
    <n v="31.370911764705887"/>
    <n v="4.3469087885154103"/>
    <n v="34.061686274509825"/>
    <n v="28.29545098039215"/>
    <n v="29.320274509803923"/>
    <n v="33.806235294117663"/>
    <n v="1"/>
    <s v="opcional"/>
    <n v="2028"/>
    <n v="2100"/>
    <n v="30"/>
    <n v="515.55455071968947"/>
    <n v="2764.3972091909272"/>
    <n v="10781.149115844615"/>
    <n v="2"/>
    <n v="0"/>
    <m/>
    <n v="515.55455071968947"/>
    <m/>
    <n v="10781.149115844615"/>
    <n v="1.1245293369208682"/>
    <n v="579.75621706734853"/>
    <n v="8.8827433387272267E-2"/>
    <n v="53.889256752406858"/>
    <n v="673.61570940508568"/>
    <n v="48.533886163261307"/>
    <n v="2.391"/>
    <n v="0"/>
    <n v="318"/>
    <m/>
    <x v="3"/>
    <m/>
    <n v="1"/>
    <n v="2027"/>
    <n v="1"/>
    <x v="2"/>
  </r>
  <r>
    <n v="1161"/>
    <n v="1161"/>
    <s v="São João IV"/>
    <s v="São João IV"/>
    <n v="46.55"/>
    <s v="Paraná"/>
    <s v="Ivaí"/>
    <n v="-51.859470999999999"/>
    <n v="-23.927645999999999"/>
    <s v="PR"/>
    <s v="PR"/>
    <n v="2"/>
    <m/>
    <n v="2.068E-2"/>
    <n v="4.6600000000000003E-2"/>
    <n v="0.56379628919236879"/>
    <n v="26.244717261904764"/>
    <n v="20.305282738095233"/>
    <n v="27.576190476190476"/>
    <n v="26.279226190476191"/>
    <n v="22.977083333333336"/>
    <n v="28.146369047619046"/>
    <n v="0.65059644910595815"/>
    <n v="30.285264705882348"/>
    <n v="4.0405474439775837"/>
    <n v="32.97023529411765"/>
    <n v="27.343019607843136"/>
    <n v="28.255333333333329"/>
    <n v="32.572470588235284"/>
    <n v="1"/>
    <s v="opcional"/>
    <n v="2028"/>
    <n v="2100"/>
    <n v="30"/>
    <n v="456.56259471868611"/>
    <n v="2514.8728674360964"/>
    <n v="9808.0041830007758"/>
    <n v="2"/>
    <n v="0"/>
    <m/>
    <n v="456.56259471868611"/>
    <m/>
    <n v="9808.0041830007776"/>
    <n v="1.1245293369208682"/>
    <n v="513.41803190187522"/>
    <n v="8.8827433387272267E-2"/>
    <n v="47.933106028588249"/>
    <n v="599.16382535735306"/>
    <n v="43.16964181064035"/>
    <n v="2.3275000000000001"/>
    <n v="0"/>
    <n v="318"/>
    <m/>
    <x v="3"/>
    <m/>
    <n v="1"/>
    <n v="2027"/>
    <n v="1"/>
    <x v="2"/>
  </r>
  <r>
    <n v="1166"/>
    <n v="1166"/>
    <s v="Serra Azul"/>
    <s v="Serra Azul"/>
    <n v="37.909999999999997"/>
    <s v="Paraná"/>
    <s v="Verde"/>
    <n v="-52.325333000000001"/>
    <n v="-17.862704000000001"/>
    <s v="GO"/>
    <s v="GO"/>
    <n v="1"/>
    <m/>
    <n v="2.068E-2"/>
    <n v="4.6600000000000003E-2"/>
    <n v="0.55288135433545615"/>
    <n v="20.959732142857142"/>
    <n v="16.950267857142855"/>
    <n v="21.484761904761907"/>
    <n v="18.734107142857141"/>
    <n v="22.547499999999999"/>
    <n v="21.07255952380952"/>
    <n v="0.65668973471741665"/>
    <n v="24.895107843137264"/>
    <n v="3.9353757002801224"/>
    <n v="28.252509803921594"/>
    <n v="24.287529411764719"/>
    <n v="22.893960784313723"/>
    <n v="24.146431372549017"/>
    <n v="1"/>
    <s v="opcional"/>
    <n v="2028"/>
    <n v="2100"/>
    <n v="30"/>
    <n v="772.91053013951569"/>
    <n v="5227.7021159393425"/>
    <n v="20388.038252163435"/>
    <n v="2"/>
    <n v="0"/>
    <m/>
    <n v="772.91053013951569"/>
    <m/>
    <n v="20388.038252163431"/>
    <n v="1.1245293369208682"/>
    <n v="869.16056595694624"/>
    <n v="8.8827433387272267E-2"/>
    <n v="79.10080227538451"/>
    <n v="988.76002844230641"/>
    <n v="71.239975542707541"/>
    <n v="1.8954999999999997"/>
    <n v="0"/>
    <n v="318"/>
    <m/>
    <x v="3"/>
    <m/>
    <n v="1"/>
    <n v="2027"/>
    <n v="1"/>
    <x v="2"/>
  </r>
  <r>
    <n v="1172"/>
    <n v="1172"/>
    <s v="Taboa"/>
    <s v="Taboa"/>
    <n v="98"/>
    <s v="Parnaíba"/>
    <s v="Balsas"/>
    <n v="-45.464986000000003"/>
    <n v="-7.2074670000000003"/>
    <s v="MA"/>
    <s v="MA"/>
    <n v="3"/>
    <m/>
    <n v="1.9820000000000001E-2"/>
    <n v="5.2919999999999995E-2"/>
    <n v="0.45565445821185618"/>
    <n v="44.654136904761906"/>
    <n v="53.345863095238094"/>
    <n v="43.769047619047626"/>
    <n v="50.49"/>
    <n v="41.576666666666661"/>
    <n v="42.780833333333334"/>
    <n v="0.49733853541416556"/>
    <n v="48.739176470588227"/>
    <n v="4.085039565826321"/>
    <n v="65.419764705882343"/>
    <n v="54.044666666666693"/>
    <n v="34.134352941176452"/>
    <n v="41.35792156862744"/>
    <n v="1"/>
    <s v="opcional"/>
    <n v="2028"/>
    <n v="2100"/>
    <n v="30"/>
    <n v="2762.7557303410445"/>
    <n v="7228.5602573025762"/>
    <n v="28191.385003480045"/>
    <n v="2"/>
    <n v="0"/>
    <m/>
    <n v="2762.7557303410445"/>
    <m/>
    <n v="28191.385003480042"/>
    <n v="1.1245293369208682"/>
    <n v="3106.7998695147435"/>
    <n v="8.8827433387272267E-2"/>
    <n v="280.869058456907"/>
    <n v="3510.8632307113376"/>
    <n v="252.95704063168543"/>
    <n v="4.9000000000000004"/>
    <n v="0"/>
    <n v="318"/>
    <m/>
    <x v="3"/>
    <m/>
    <n v="1"/>
    <n v="2027"/>
    <n v="1"/>
    <x v="2"/>
  </r>
  <r>
    <n v="1173"/>
    <n v="1173"/>
    <s v="Taboca"/>
    <s v="Taboca"/>
    <n v="35.799999999999997"/>
    <s v="São Francisco"/>
    <s v="Indaiá"/>
    <n v="-45.805171999999999"/>
    <n v="-19.185206000000001"/>
    <s v="MG"/>
    <s v="MG"/>
    <n v="1"/>
    <m/>
    <n v="2.068E-2"/>
    <n v="4.6600000000000003E-2"/>
    <n v="0.41792323423782923"/>
    <n v="14.961651785714286"/>
    <n v="20.838348214285709"/>
    <n v="15.39142857142857"/>
    <n v="12.043452380952381"/>
    <n v="16.451249999999998"/>
    <n v="15.960476190476191"/>
    <n v="0.42786614086975583"/>
    <n v="15.317607843137257"/>
    <n v="0.35595605742297032"/>
    <n v="22.173254901960785"/>
    <n v="9.8749803921568624"/>
    <n v="12.907372549019611"/>
    <n v="16.314823529411765"/>
    <n v="1"/>
    <s v="opcional"/>
    <n v="2028"/>
    <n v="2100"/>
    <n v="30"/>
    <n v="772.24471472303173"/>
    <n v="5531.0465171396063"/>
    <n v="21571.081416844463"/>
    <n v="2"/>
    <n v="0"/>
    <m/>
    <n v="772.24471472303173"/>
    <m/>
    <n v="21571.081416844463"/>
    <n v="1.1245293369208682"/>
    <n v="868.41183698813586"/>
    <n v="8.8827433387272267E-2"/>
    <n v="78.928794602782389"/>
    <n v="986.60993253477989"/>
    <n v="71.085061533786728"/>
    <n v="1.7899999999999998"/>
    <n v="0"/>
    <n v="318"/>
    <m/>
    <x v="3"/>
    <m/>
    <n v="1"/>
    <n v="2027"/>
    <n v="1"/>
    <x v="2"/>
  </r>
  <r>
    <n v="1177"/>
    <n v="1177"/>
    <s v="Terra Branca"/>
    <s v="Terra Branca"/>
    <n v="142.49"/>
    <s v="Atlântico Leste"/>
    <s v="Jequitinhonha"/>
    <n v="-43.039397000000001"/>
    <n v="-17.197610999999998"/>
    <s v="MG"/>
    <s v="MG"/>
    <n v="1"/>
    <m/>
    <n v="1.6379999999999999E-2"/>
    <n v="6.1409999999999999E-2"/>
    <n v="0.53169259580455108"/>
    <n v="75.760877976190486"/>
    <n v="66.729122023809524"/>
    <n v="69.092857142857156"/>
    <n v="43.130357142857143"/>
    <n v="100.30874999999999"/>
    <n v="90.511547619047619"/>
    <n v="0.53069916155106867"/>
    <n v="75.619323529411773"/>
    <n v="-0.14155444677871287"/>
    <n v="90.952823529411774"/>
    <n v="47.123058823529419"/>
    <n v="79.781764705882338"/>
    <n v="84.619647058823531"/>
    <n v="1"/>
    <s v="opcional"/>
    <n v="2028"/>
    <n v="2100"/>
    <n v="30"/>
    <n v="2558.4353758476263"/>
    <n v="4603.8955065629907"/>
    <n v="17955.192475595664"/>
    <n v="2"/>
    <n v="0"/>
    <m/>
    <n v="2558.4353758476263"/>
    <m/>
    <n v="17955.192475595664"/>
    <n v="1.1245293369208682"/>
    <n v="2877.0356367568234"/>
    <n v="8.8827433387272267E-2"/>
    <n v="262.6841913768252"/>
    <n v="3283.5523922103148"/>
    <n v="236.5793371347948"/>
    <n v="7.1245000000000003"/>
    <n v="0"/>
    <n v="318"/>
    <m/>
    <x v="3"/>
    <m/>
    <n v="1"/>
    <n v="2027"/>
    <n v="1"/>
    <x v="2"/>
  </r>
  <r>
    <n v="1179"/>
    <n v="1179"/>
    <s v="Toricoejo"/>
    <s v="Toricoejo"/>
    <n v="76"/>
    <s v="Tocantins-Araguaia"/>
    <s v="Mortes"/>
    <n v="-53.081797000000002"/>
    <n v="-15.250735000000001"/>
    <s v="MT"/>
    <s v="MT"/>
    <n v="1"/>
    <m/>
    <n v="1.9820000000000001E-2"/>
    <n v="5.2919999999999995E-2"/>
    <n v="0.63927788220551374"/>
    <n v="48.585119047619045"/>
    <n v="27.414880952380955"/>
    <n v="66.933333333333337"/>
    <n v="51.30797619047619"/>
    <n v="35.06"/>
    <n v="41.039166666666667"/>
    <n v="0.69997613519091895"/>
    <n v="53.198186274509837"/>
    <n v="4.6130672268907915"/>
    <n v="68.90584313725499"/>
    <n v="55.644235294117664"/>
    <n v="38.169960784313744"/>
    <n v="50.072705882352942"/>
    <n v="1"/>
    <s v="opcional"/>
    <n v="2028"/>
    <n v="2100"/>
    <n v="30"/>
    <n v="542.60614507525361"/>
    <n v="1830.6550103753495"/>
    <n v="7139.5545404638633"/>
    <n v="2"/>
    <n v="0"/>
    <m/>
    <n v="542.60614507525361"/>
    <m/>
    <n v="7139.5545404638624"/>
    <n v="1.1245293369208682"/>
    <n v="610.1765285306634"/>
    <n v="8.8827433387272267E-2"/>
    <n v="58.000414942534533"/>
    <n v="725.00518678168169"/>
    <n v="52.23648841876382"/>
    <n v="3.8"/>
    <n v="0"/>
    <n v="318"/>
    <m/>
    <x v="3"/>
    <m/>
    <n v="1"/>
    <n v="2027"/>
    <n v="1"/>
    <x v="2"/>
  </r>
  <r>
    <n v="1181"/>
    <n v="1181"/>
    <s v="Travessão"/>
    <s v="Travessão"/>
    <n v="38"/>
    <s v="Atlântico Sudeste"/>
    <s v="Manhuaçu"/>
    <n v="-41.147545999999998"/>
    <n v="-19.492186"/>
    <s v="MG"/>
    <s v="MG"/>
    <n v="1"/>
    <m/>
    <n v="2.068E-2"/>
    <n v="4.6600000000000003E-2"/>
    <n v="0.60530740914786962"/>
    <n v="23.001681547619047"/>
    <n v="14.998318452380953"/>
    <n v="32.133333333333333"/>
    <n v="22.627321428571431"/>
    <n v="13.5"/>
    <n v="23.74607142857143"/>
    <n v="0.60993317853457185"/>
    <n v="23.17746078431373"/>
    <n v="0.17577923669468376"/>
    <n v="32.104196078431386"/>
    <n v="22.139215686274511"/>
    <n v="13.287058823529415"/>
    <n v="25.179372549019604"/>
    <n v="1"/>
    <s v="opcional"/>
    <n v="2028"/>
    <n v="2100"/>
    <n v="30"/>
    <n v="380"/>
    <n v="2564.102564102564"/>
    <n v="10000"/>
    <n v="2"/>
    <n v="0"/>
    <m/>
    <n v="380"/>
    <m/>
    <n v="10000"/>
    <n v="1.1245293369208682"/>
    <n v="427.32114802992993"/>
    <n v="8.8827433387272267E-2"/>
    <n v="39.857840811601314"/>
    <n v="498.22301014501642"/>
    <n v="35.896874910549776"/>
    <n v="1.9"/>
    <n v="0"/>
    <n v="318"/>
    <m/>
    <x v="3"/>
    <m/>
    <n v="1"/>
    <n v="2027"/>
    <n v="1"/>
    <x v="2"/>
  </r>
  <r>
    <n v="1186"/>
    <n v="1186"/>
    <s v="Uruçuí"/>
    <s v="Uruçuí"/>
    <n v="134"/>
    <s v="Parnaíba"/>
    <s v="Parnaíba"/>
    <n v="-44.568579999999997"/>
    <n v="-7.2323339999999998"/>
    <s v="PI"/>
    <s v="PI"/>
    <n v="3"/>
    <m/>
    <n v="1.6379999999999999E-2"/>
    <n v="6.1409999999999999E-2"/>
    <n v="0.62194607320540152"/>
    <n v="83.34077380952381"/>
    <n v="50.65922619047619"/>
    <n v="105.01714285714286"/>
    <n v="83.256785714285712"/>
    <n v="56.24"/>
    <n v="88.849166666666676"/>
    <n v="0.6462346356453027"/>
    <n v="86.595441176470558"/>
    <n v="3.2546673669467481"/>
    <n v="117.82541176470581"/>
    <n v="92.403450980392108"/>
    <n v="49.57050980392156"/>
    <n v="86.582392156862781"/>
    <n v="1"/>
    <s v="opcional"/>
    <n v="2028"/>
    <n v="2100"/>
    <n v="30"/>
    <n v="1306.8586318038888"/>
    <n v="2500.6862453193435"/>
    <n v="9752.67635674544"/>
    <n v="2"/>
    <n v="0"/>
    <m/>
    <n v="1306.8586318038888"/>
    <m/>
    <n v="9752.6763567454382"/>
    <n v="1.1245293369208682"/>
    <n v="1469.60087067174"/>
    <n v="8.8827433387272267E-2"/>
    <n v="137.24087344547129"/>
    <n v="1715.5109180683912"/>
    <n v="123.60224152565551"/>
    <n v="6.7"/>
    <n v="0"/>
    <n v="318"/>
    <m/>
    <x v="3"/>
    <m/>
    <n v="1"/>
    <n v="2027"/>
    <n v="1"/>
    <x v="2"/>
  </r>
  <r>
    <n v="1188"/>
    <n v="1188"/>
    <s v="Verde 11 Alto"/>
    <s v="Verde 11 Alto"/>
    <n v="48.3"/>
    <s v="Paraná"/>
    <s v="Verde"/>
    <n v="-50.423791000000001"/>
    <n v="-17.878122000000001"/>
    <s v="GO"/>
    <s v="GO"/>
    <n v="1"/>
    <m/>
    <n v="2.068E-2"/>
    <n v="4.6600000000000003E-2"/>
    <n v="0.72261504239376917"/>
    <n v="34.902306547619048"/>
    <n v="13.397693452380949"/>
    <n v="43.077619047619045"/>
    <n v="35.296369047619052"/>
    <n v="25.99625"/>
    <n v="35.238988095238099"/>
    <n v="0.7583361750497295"/>
    <n v="36.627637254901934"/>
    <n v="1.7253307072828861"/>
    <n v="44.272274509803879"/>
    <n v="38.246117647058803"/>
    <n v="27.292039215686259"/>
    <n v="36.700117647058796"/>
    <n v="1"/>
    <s v="opcional"/>
    <n v="2028"/>
    <n v="2100"/>
    <n v="30"/>
    <n v="541.34337180672844"/>
    <n v="2873.8300780736236"/>
    <n v="11207.937304487132"/>
    <n v="2"/>
    <n v="0"/>
    <m/>
    <n v="541.34337180672844"/>
    <m/>
    <n v="11207.937304487132"/>
    <n v="1.1245293369208682"/>
    <n v="608.75650294432739"/>
    <n v="8.8827433387272267E-2"/>
    <n v="56.489277714356056"/>
    <n v="706.11597142945072"/>
    <n v="50.875523977438426"/>
    <n v="2.415"/>
    <n v="0"/>
    <n v="318"/>
    <m/>
    <x v="3"/>
    <m/>
    <n v="1"/>
    <n v="2027"/>
    <n v="1"/>
    <x v="2"/>
  </r>
  <r>
    <n v="1190"/>
    <n v="1190"/>
    <s v="Vila Rica"/>
    <s v="Vila Rica"/>
    <n v="39.1"/>
    <s v="Paraná"/>
    <s v="Ivaí"/>
    <n v="-51.931888000000001"/>
    <n v="-23.91966"/>
    <s v="PR"/>
    <s v="PR"/>
    <n v="2"/>
    <m/>
    <n v="2.068E-2"/>
    <n v="4.6600000000000003E-2"/>
    <n v="0.57485842162952128"/>
    <n v="22.476964285714285"/>
    <n v="16.623035714285717"/>
    <n v="23.674761904761905"/>
    <n v="22.375952380952381"/>
    <n v="19.672916666666666"/>
    <n v="24.184226190476192"/>
    <n v="0.65642445213379463"/>
    <n v="25.666196078431373"/>
    <n v="3.1892317927170879"/>
    <n v="28.006588235294107"/>
    <n v="23.318274509803928"/>
    <n v="23.874941176470585"/>
    <n v="27.464980392156871"/>
    <n v="1"/>
    <s v="opcional"/>
    <n v="2028"/>
    <n v="2100"/>
    <n v="30"/>
    <n v="556.40596070375307"/>
    <n v="3648.8029425126438"/>
    <n v="14230.33147579931"/>
    <n v="2"/>
    <n v="0"/>
    <m/>
    <n v="556.40596070375307"/>
    <m/>
    <n v="14230.33147579931"/>
    <n v="1.1245293369208682"/>
    <n v="625.69482604901009"/>
    <n v="8.8827433387272267E-2"/>
    <n v="57.533865481629348"/>
    <n v="719.17331852036682"/>
    <n v="51.816303398785941"/>
    <n v="1.9550000000000001"/>
    <n v="0"/>
    <n v="318"/>
    <m/>
    <x v="3"/>
    <m/>
    <n v="1"/>
    <n v="2027"/>
    <n v="1"/>
    <x v="2"/>
  </r>
  <r>
    <n v="1191"/>
    <n v="1191"/>
    <s v="Viradouro"/>
    <s v="Viradouro"/>
    <n v="63"/>
    <s v="Paraná"/>
    <s v="Pardo"/>
    <n v="-48.246110999999999"/>
    <n v="-20.767778"/>
    <s v="SP"/>
    <s v="SP"/>
    <n v="1"/>
    <m/>
    <n v="1.9820000000000001E-2"/>
    <n v="5.2919999999999995E-2"/>
    <n v="0.52047241118669685"/>
    <n v="32.789761904761903"/>
    <n v="30.210238095238097"/>
    <n v="43.269047619047626"/>
    <n v="35.929642857142859"/>
    <n v="23.40291666666667"/>
    <n v="28.557440476190475"/>
    <n v="0.64174089635854337"/>
    <n v="40.429676470588234"/>
    <n v="7.6399145658263308"/>
    <n v="50.264745098039221"/>
    <n v="42.877686274509813"/>
    <n v="30.598156862745089"/>
    <n v="37.978117647058831"/>
    <n v="1"/>
    <s v="opcional"/>
    <n v="2028"/>
    <n v="2100"/>
    <n v="30"/>
    <n v="740.06252959159667"/>
    <n v="3012.0575074953058"/>
    <n v="11747.024279231693"/>
    <n v="2"/>
    <n v="0"/>
    <m/>
    <n v="740.06252959159667"/>
    <m/>
    <n v="11747.024279231693"/>
    <n v="1.1245293369208682"/>
    <n v="832.22202568161856"/>
    <n v="8.8827433387272267E-2"/>
    <n v="77.07414654965477"/>
    <n v="963.42683187068462"/>
    <n v="69.414723456997606"/>
    <n v="3.15"/>
    <n v="0"/>
    <n v="318"/>
    <m/>
    <x v="3"/>
    <m/>
    <n v="1"/>
    <n v="2027"/>
    <n v="1"/>
    <x v="2"/>
  </r>
  <r>
    <n v="1014"/>
    <n v="1014"/>
    <s v="Alta Floresta"/>
    <s v="Alta Floresta"/>
    <n v="127.8"/>
    <s v="Amazônica"/>
    <s v="Teles Pires"/>
    <n v="-55.56279"/>
    <n v="-10.087645999999999"/>
    <s v="MT"/>
    <s v="MT"/>
    <n v="10"/>
    <m/>
    <n v="1.6379999999999999E-2"/>
    <n v="6.1409999999999999E-2"/>
    <n v="0.532119300920186"/>
    <n v="68.004846657599771"/>
    <n v="59.795153342400226"/>
    <n v="85.221560790290127"/>
    <n v="74.811580328482037"/>
    <n v="53.067717449909502"/>
    <n v="58.91852806171741"/>
    <n v="0.56765074645560576"/>
    <n v="72.545765397026415"/>
    <n v="4.5409187394266439"/>
    <n v="94.821307602204726"/>
    <n v="78.88481769122734"/>
    <n v="54.310893684524906"/>
    <n v="62.1660426101487"/>
    <n v="1"/>
    <s v="opcional"/>
    <n v="2028"/>
    <n v="2100"/>
    <n v="30"/>
    <n v="1946.5889369611953"/>
    <n v="3905.5193149576567"/>
    <n v="15231.525328334861"/>
    <n v="2"/>
    <n v="0"/>
    <m/>
    <n v="1946.5889369611953"/>
    <m/>
    <n v="15231.525328334861"/>
    <n v="1.1245293369208682"/>
    <n v="2188.9963665384707"/>
    <n v="8.8827433387272267E-2"/>
    <n v="200.83292893367701"/>
    <n v="2510.4116116709624"/>
    <n v="180.87468816808439"/>
    <n v="6.39"/>
    <n v="0"/>
    <n v="318"/>
    <m/>
    <x v="4"/>
    <m/>
    <n v="1"/>
    <n v="2026"/>
    <n v="1"/>
    <x v="3"/>
  </r>
  <r>
    <n v="1016"/>
    <n v="1016"/>
    <s v="Apertados"/>
    <s v="Apertados"/>
    <n v="139"/>
    <s v="Paraná"/>
    <s v="Piquiri"/>
    <n v="-53.335569"/>
    <n v="-24.214742000000001"/>
    <s v="PR"/>
    <s v="PR"/>
    <n v="2"/>
    <m/>
    <n v="1.9820000000000001E-2"/>
    <n v="5.2919999999999995E-2"/>
    <n v="0.5565509378211716"/>
    <n v="77.360580357142851"/>
    <n v="61.639419642857149"/>
    <n v="73.569047619047623"/>
    <n v="79.94440476190475"/>
    <n v="71.517916666666679"/>
    <n v="84.410952380952381"/>
    <n v="0.57013020172097606"/>
    <n v="79.248098039215677"/>
    <n v="1.8875176820728257"/>
    <n v="77.447999999999979"/>
    <n v="76.335803921568626"/>
    <n v="76.115137254901953"/>
    <n v="87.093450980392163"/>
    <n v="1"/>
    <s v="opcional"/>
    <n v="2023"/>
    <n v="2100"/>
    <n v="30"/>
    <n v="1120.5070143309872"/>
    <n v="2066.9747543460385"/>
    <n v="8061.2015419495492"/>
    <n v="2"/>
    <n v="0"/>
    <m/>
    <n v="1120.5070143309872"/>
    <m/>
    <n v="8061.2015419495474"/>
    <n v="1.1245293369208682"/>
    <n v="1260.0430098408069"/>
    <n v="8.8827433387272267E-2"/>
    <n v="118.87638652173233"/>
    <n v="1485.9548315216541"/>
    <n v="107.06276832604344"/>
    <n v="6.95"/>
    <n v="0"/>
    <n v="318"/>
    <m/>
    <x v="4"/>
    <m/>
    <n v="1"/>
    <n v="2022"/>
    <n v="1"/>
    <x v="4"/>
  </r>
  <r>
    <n v="1027"/>
    <n v="1027"/>
    <s v="Bem Querer J1A"/>
    <s v="Bem Querer J1A"/>
    <n v="164"/>
    <s v="Amazônica"/>
    <s v="Branco"/>
    <n v="-61.035497999999997"/>
    <n v="1.8773139999999999"/>
    <s v="RR"/>
    <s v="RR"/>
    <n v="7"/>
    <m/>
    <n v="1.6379999999999999E-2"/>
    <n v="6.1409999999999999E-2"/>
    <n v="1.8902933527267312"/>
    <n v="310.0081098471839"/>
    <n v="-146.0081098471839"/>
    <n v="422.35154070576965"/>
    <n v="479.62635745118024"/>
    <n v="183.40905907533241"/>
    <n v="154.64548215645328"/>
    <n v="1.9437743197473967"/>
    <n v="318.77898843857304"/>
    <n v="8.7708785913891347"/>
    <n v="468.9278463094434"/>
    <n v="471.31234605377807"/>
    <n v="173.07315569743523"/>
    <n v="161.80260569363557"/>
    <n v="1"/>
    <s v="opcional"/>
    <n v="2026"/>
    <n v="2100"/>
    <n v="30"/>
    <n v="4997.337747407707"/>
    <n v="7813.2234950089223"/>
    <n v="30471.571630534796"/>
    <n v="3"/>
    <n v="0"/>
    <m/>
    <n v="4997.337747407707"/>
    <m/>
    <n v="30471.5716305348"/>
    <n v="1.1255071012622904"/>
    <n v="5624.5391221134723"/>
    <n v="8.8827433387272267E-2"/>
    <n v="507.81337420364127"/>
    <n v="6347.6671775455161"/>
    <n v="457.34823564216941"/>
    <n v="8.1999999999999993"/>
    <n v="0"/>
    <n v="318"/>
    <m/>
    <x v="4"/>
    <m/>
    <n v="1"/>
    <n v="2025"/>
    <n v="1"/>
    <x v="5"/>
  </r>
  <r>
    <n v="1031"/>
    <n v="1031"/>
    <s v="Buriti Queimado"/>
    <s v="Buriti Queimado"/>
    <n v="142"/>
    <s v="Tocantins-Araguaia"/>
    <s v="Almas"/>
    <n v="-49.213498999999999"/>
    <n v="-14.832181"/>
    <s v="GO"/>
    <s v="GO"/>
    <n v="1"/>
    <m/>
    <n v="1.9820000000000001E-2"/>
    <n v="5.2919999999999995E-2"/>
    <n v="0.47942760731052986"/>
    <n v="68.078720238095244"/>
    <n v="73.921279761904756"/>
    <n v="99.826666666666668"/>
    <n v="65.579226190476192"/>
    <n v="36.11333333333333"/>
    <n v="70.795654761904757"/>
    <n v="0.5994388290527477"/>
    <n v="85.120313725490178"/>
    <n v="17.041593487394934"/>
    <n v="124.40411764705873"/>
    <n v="88.126039215686262"/>
    <n v="47.311058823529414"/>
    <n v="80.640039215686244"/>
    <n v="1"/>
    <s v="opcional"/>
    <n v="2026"/>
    <n v="2100"/>
    <n v="30"/>
    <n v="1729.6536299706161"/>
    <n v="3123.2459912795525"/>
    <n v="12180.659365990254"/>
    <n v="2"/>
    <n v="0"/>
    <m/>
    <n v="1729.6536299706161"/>
    <m/>
    <n v="12180.659365990254"/>
    <n v="1.1245293369208682"/>
    <n v="1945.0462496136297"/>
    <n v="8.8827433387272267E-2"/>
    <n v="179.87346617271842"/>
    <n v="2248.4183271589804"/>
    <n v="161.99812090798679"/>
    <n v="7.1"/>
    <n v="0"/>
    <n v="318"/>
    <m/>
    <x v="4"/>
    <m/>
    <n v="1"/>
    <n v="2026"/>
    <n v="1"/>
    <x v="3"/>
  </r>
  <r>
    <n v="1043"/>
    <n v="1043"/>
    <s v="Castanheira (ARN-120)"/>
    <s v="Castanheira (ARN-120)"/>
    <n v="140"/>
    <s v="Amazônica"/>
    <s v="Arinos"/>
    <n v="-57.754694000000001"/>
    <n v="-11.076651999999999"/>
    <s v="MT"/>
    <s v="MT"/>
    <n v="1"/>
    <m/>
    <n v="1.9820000000000001E-2"/>
    <n v="5.2919999999999995E-2"/>
    <n v="0.71695248724489802"/>
    <n v="100.37334821428573"/>
    <n v="39.626651785714273"/>
    <n v="129.21952380952385"/>
    <n v="113.44666666666667"/>
    <n v="61.807083333333331"/>
    <n v="97.020119047619048"/>
    <n v="0.70039929971988768"/>
    <n v="98.055901960784283"/>
    <n v="-2.3174462535014442"/>
    <n v="127.23831372549012"/>
    <n v="108.47945098039213"/>
    <n v="62.598980392156847"/>
    <n v="93.906862745098053"/>
    <n v="1"/>
    <s v="opcional"/>
    <n v="2023"/>
    <n v="2100"/>
    <n v="30"/>
    <n v="1458.2249055877151"/>
    <n v="2670.7415853254856"/>
    <n v="10415.892182769394"/>
    <n v="2"/>
    <n v="0"/>
    <m/>
    <n v="1458.2249055877151"/>
    <m/>
    <n v="10415.892182769394"/>
    <n v="1.1245293369208682"/>
    <n v="1639.8166861620489"/>
    <n v="8.8827433387272267E-2"/>
    <n v="152.66070745739694"/>
    <n v="1908.2588432174616"/>
    <n v="137.48969356511532"/>
    <n v="7"/>
    <n v="0"/>
    <n v="318"/>
    <m/>
    <x v="4"/>
    <m/>
    <n v="1"/>
    <n v="2023"/>
    <n v="1"/>
    <x v="6"/>
  </r>
  <r>
    <n v="1048"/>
    <n v="1048"/>
    <s v="Comissário"/>
    <s v="Comissário"/>
    <n v="140"/>
    <s v="Paraná"/>
    <s v="Piquiri"/>
    <n v="-53.154198000000001"/>
    <n v="-24.421531000000002"/>
    <s v="PR"/>
    <s v="PR"/>
    <n v="2"/>
    <m/>
    <n v="1.9820000000000001E-2"/>
    <n v="5.2919999999999995E-2"/>
    <n v="0.5089765093537415"/>
    <n v="71.256711309523808"/>
    <n v="68.743288690476192"/>
    <n v="66.41"/>
    <n v="74.26428571428572"/>
    <n v="65.345833333333331"/>
    <n v="79.006726190476186"/>
    <n v="0.52546792717086843"/>
    <n v="73.565509803921586"/>
    <n v="2.3087984943977773"/>
    <n v="70.297450980392171"/>
    <n v="70.469411764705896"/>
    <n v="70.83698039215686"/>
    <n v="82.658196078431388"/>
    <n v="1"/>
    <s v="opcional"/>
    <n v="2023"/>
    <n v="2100"/>
    <n v="30"/>
    <n v="1488.2708268916704"/>
    <n v="2725.7707452228392"/>
    <n v="10630.505906369073"/>
    <n v="2"/>
    <n v="0"/>
    <m/>
    <n v="1488.2708268916704"/>
    <m/>
    <n v="10630.505906369075"/>
    <n v="1.1245293369208682"/>
    <n v="1673.6042061231624"/>
    <n v="8.8827433387272267E-2"/>
    <n v="155.66196613606388"/>
    <n v="1945.7745767007984"/>
    <n v="140.19269516200436"/>
    <n v="7"/>
    <n v="0"/>
    <n v="318"/>
    <m/>
    <x v="4"/>
    <m/>
    <n v="1"/>
    <n v="2023"/>
    <n v="1"/>
    <x v="6"/>
  </r>
  <r>
    <n v="1053"/>
    <n v="1053"/>
    <s v="Davinópolis"/>
    <s v="Davinópolis"/>
    <n v="74"/>
    <s v="Paraná"/>
    <s v="Paranaíba"/>
    <n v="-47.516401000000002"/>
    <n v="-18.209211"/>
    <s v="MG"/>
    <s v="MG"/>
    <n v="1"/>
    <m/>
    <n v="2.068E-2"/>
    <n v="4.6600000000000003E-2"/>
    <n v="0.49997908622908621"/>
    <n v="36.998452380952379"/>
    <n v="37.001547619047621"/>
    <n v="58.40761904761905"/>
    <n v="40.085714285714282"/>
    <n v="13.834583333333333"/>
    <n v="35.665892857142858"/>
    <n v="0.5447005829358772"/>
    <n v="40.307843137254913"/>
    <n v="3.309390756302534"/>
    <n v="64.058000000000035"/>
    <n v="42.431098039215684"/>
    <n v="15.500470588235293"/>
    <n v="39.241803921568639"/>
    <n v="1"/>
    <s v="opcional"/>
    <n v="2023"/>
    <n v="2100"/>
    <n v="30"/>
    <n v="918.70338202065761"/>
    <n v="3183.3104020119808"/>
    <n v="12414.910567846726"/>
    <n v="2"/>
    <n v="0"/>
    <m/>
    <n v="918.70338202065761"/>
    <m/>
    <n v="12414.910567846726"/>
    <n v="1.1245293369208682"/>
    <n v="1033.1089050106491"/>
    <n v="8.8827433387272267E-2"/>
    <n v="95.46841244163123"/>
    <n v="1193.3551555203903"/>
    <n v="85.981016270417655"/>
    <n v="3.7"/>
    <n v="0"/>
    <n v="318"/>
    <m/>
    <x v="4"/>
    <m/>
    <n v="1"/>
    <n v="2022"/>
    <n v="1"/>
    <x v="4"/>
  </r>
  <r>
    <n v="1059"/>
    <n v="1059"/>
    <s v="Ercilândia"/>
    <s v="Ercilândia "/>
    <n v="87.1"/>
    <s v="Paraná"/>
    <s v="Piquiri"/>
    <n v="-53.678654999999999"/>
    <n v="-24.200353"/>
    <s v="PR"/>
    <s v="PR"/>
    <n v="2"/>
    <m/>
    <n v="1.9820000000000001E-2"/>
    <n v="5.2919999999999995E-2"/>
    <n v="0.596947781695916"/>
    <n v="51.99415178571428"/>
    <n v="35.105848214285714"/>
    <n v="50.238095238095241"/>
    <n v="53.243273809523807"/>
    <n v="48.417083333333331"/>
    <n v="56.078154761904763"/>
    <n v="0.60825352873640848"/>
    <n v="52.978882352941177"/>
    <n v="0.98473056722689734"/>
    <n v="52.270549019607849"/>
    <n v="50.998509803921571"/>
    <n v="50.816352941176483"/>
    <n v="57.830117647058813"/>
    <n v="1"/>
    <s v="opcional"/>
    <n v="2023"/>
    <n v="2100"/>
    <n v="30"/>
    <n v="814.19400545885162"/>
    <n v="2396.8736361354522"/>
    <n v="9347.8071809282628"/>
    <n v="2"/>
    <n v="0"/>
    <m/>
    <n v="814.19400545885162"/>
    <m/>
    <n v="9347.8071809282628"/>
    <n v="1.1245293369208682"/>
    <n v="915.58504508358817"/>
    <n v="8.8827433387272267E-2"/>
    <n v="85.684069602545108"/>
    <n v="1071.0508700318139"/>
    <n v="77.169015323432674"/>
    <n v="4.3550000000000004"/>
    <n v="0"/>
    <n v="318"/>
    <m/>
    <x v="4"/>
    <m/>
    <n v="1"/>
    <n v="2022"/>
    <n v="1"/>
    <x v="4"/>
  </r>
  <r>
    <n v="1072"/>
    <n v="1072"/>
    <s v="Foz do Piquiri"/>
    <s v="Foz do Piquiri"/>
    <n v="93.2"/>
    <s v="Paraná"/>
    <s v="Piquiri"/>
    <n v="-53.991165000000002"/>
    <n v="-24.112266999999999"/>
    <s v="PR"/>
    <s v="PR"/>
    <n v="2"/>
    <m/>
    <n v="1.9820000000000001E-2"/>
    <n v="5.2919999999999995E-2"/>
    <n v="0.61306490138974035"/>
    <n v="57.137648809523803"/>
    <n v="36.0623511904762"/>
    <n v="55.609047619047629"/>
    <n v="58.277142857142856"/>
    <n v="53.320416666666659"/>
    <n v="61.343988095238082"/>
    <n v="0.62247780442649181"/>
    <n v="58.014931372549036"/>
    <n v="0.87728256302523278"/>
    <n v="57.475254901960788"/>
    <n v="55.529137254901968"/>
    <n v="55.48635294117647"/>
    <n v="63.568980392156902"/>
    <n v="1"/>
    <s v="opcional"/>
    <n v="2024"/>
    <n v="2100"/>
    <n v="30"/>
    <n v="852.20135706181622"/>
    <n v="2344.5618935342141"/>
    <n v="9143.7913847834352"/>
    <n v="2"/>
    <n v="0"/>
    <m/>
    <n v="852.20135706181622"/>
    <m/>
    <n v="9143.7913847834352"/>
    <n v="1.1245293369208682"/>
    <n v="958.32542697978829"/>
    <n v="8.8827433387272267E-2"/>
    <n v="89.785588028376395"/>
    <n v="1122.3198503547048"/>
    <n v="80.862935788700995"/>
    <n v="4.66"/>
    <n v="0"/>
    <n v="318"/>
    <m/>
    <x v="4"/>
    <m/>
    <n v="1"/>
    <n v="2024"/>
    <n v="1"/>
    <x v="7"/>
  </r>
  <r>
    <n v="1074"/>
    <n v="1074"/>
    <s v="Foz do Xaxim"/>
    <s v="Foz do Xaxim"/>
    <n v="63.2"/>
    <s v="Uruguai"/>
    <s v="Chapecó"/>
    <n v="-52.739455999999997"/>
    <n v="-26.860178999999999"/>
    <s v="SC"/>
    <s v="SC"/>
    <n v="2"/>
    <m/>
    <n v="1.9820000000000001E-2"/>
    <n v="5.2919999999999995E-2"/>
    <n v="0.48434815777576845"/>
    <n v="30.610803571428569"/>
    <n v="32.589196428571434"/>
    <n v="20.89"/>
    <n v="32.073749999999997"/>
    <n v="35.258333333333333"/>
    <n v="34.221130952380953"/>
    <n v="0.55762146314221894"/>
    <n v="35.241676470588239"/>
    <n v="4.6308728991596695"/>
    <n v="27.289411764705903"/>
    <n v="34.268941176470577"/>
    <n v="41.050627450980386"/>
    <n v="38.357725490196088"/>
    <n v="1"/>
    <s v="opcional"/>
    <n v="2028"/>
    <n v="2100"/>
    <n v="30"/>
    <n v="525.81563620732982"/>
    <n v="2133.2994003867648"/>
    <n v="8319.8676615083823"/>
    <n v="2"/>
    <n v="0"/>
    <m/>
    <n v="525.81563620732982"/>
    <m/>
    <n v="8319.8676615083823"/>
    <n v="1.1245293369208682"/>
    <n v="591.29510872685307"/>
    <n v="8.8827433387272267E-2"/>
    <n v="55.683226882654452"/>
    <n v="696.04033603318067"/>
    <n v="50.149576327290873"/>
    <n v="3.16"/>
    <n v="0"/>
    <n v="318"/>
    <m/>
    <x v="4"/>
    <m/>
    <n v="1"/>
    <n v="2026"/>
    <n v="1"/>
    <x v="3"/>
  </r>
  <r>
    <n v="1087"/>
    <n v="1087"/>
    <s v="Itapiranga"/>
    <s v="Itapiranga"/>
    <n v="145"/>
    <s v="Uruguai"/>
    <s v="Uruguai"/>
    <n v="-53.681198000000002"/>
    <n v="-27.162948"/>
    <s v="SC"/>
    <s v="SC"/>
    <n v="2"/>
    <m/>
    <n v="1.6379999999999999E-2"/>
    <n v="6.1409999999999999E-2"/>
    <n v="2.3483262520525452"/>
    <n v="340.50730654761907"/>
    <n v="-195.50730654761907"/>
    <n v="201.83523809523808"/>
    <n v="313.48053571428568"/>
    <n v="451.89625000000001"/>
    <n v="394.81720238095244"/>
    <n v="2.5995870182555789"/>
    <n v="376.94011764705891"/>
    <n v="36.432811099439846"/>
    <n v="261.32168627450989"/>
    <n v="346.95800000000003"/>
    <n v="491.96996078431386"/>
    <n v="407.51082352941194"/>
    <n v="1"/>
    <s v="opcional"/>
    <n v="2026"/>
    <n v="2100"/>
    <n v="30"/>
    <n v="6684.2592540969081"/>
    <n v="11820.087098314603"/>
    <n v="46098.339683426952"/>
    <n v="3"/>
    <n v="0"/>
    <m/>
    <n v="6684.2592540969081"/>
    <m/>
    <n v="46098.339683426952"/>
    <n v="1.1255071012622904"/>
    <n v="7523.1812571642504"/>
    <n v="8.8827433387272267E-2"/>
    <n v="675.5148819811327"/>
    <n v="8443.936024764158"/>
    <n v="608.38401491215404"/>
    <n v="7.25"/>
    <n v="0"/>
    <n v="318"/>
    <m/>
    <x v="4"/>
    <m/>
    <n v="1"/>
    <n v="2026"/>
    <n v="1"/>
    <x v="3"/>
  </r>
  <r>
    <n v="1093"/>
    <n v="1093"/>
    <s v="Jatobá"/>
    <s v="Jatobá"/>
    <n v="2338"/>
    <s v="Amazônica"/>
    <s v="Tapajós"/>
    <n v="-56.919674000000001"/>
    <n v="-5.1966190000000001"/>
    <s v="PA"/>
    <s v="PA"/>
    <n v="9"/>
    <m/>
    <n v="2.068E-2"/>
    <n v="4.6600000000000003E-2"/>
    <n v="0.5618491588252067"/>
    <n v="1313.6033333333332"/>
    <n v="1024.3966666666668"/>
    <n v="1994.7014285714288"/>
    <n v="1774.0823214285713"/>
    <n v="622.59916666666663"/>
    <n v="863.03041666666661"/>
    <n v="0.54012106040020791"/>
    <n v="1262.8030392156861"/>
    <n v="-50.800294117647127"/>
    <n v="1931.2147450980385"/>
    <n v="1677.1333333333332"/>
    <n v="598.74643137254907"/>
    <n v="844.11764705882376"/>
    <n v="1"/>
    <s v="opcional"/>
    <n v="2030"/>
    <n v="2100"/>
    <n v="30"/>
    <n v="14697.024028436779"/>
    <n v="1611.8339177070891"/>
    <n v="6286.1522790576473"/>
    <n v="4"/>
    <n v="0"/>
    <m/>
    <n v="14697.024028436779"/>
    <m/>
    <n v="6286.1522790576473"/>
    <n v="1.103153897336226"/>
    <n v="16213.079336214194"/>
    <n v="8.8827433387272267E-2"/>
    <n v="1557.0662247401269"/>
    <n v="19463.327809251587"/>
    <n v="1402.3291367220638"/>
    <n v="116.9"/>
    <n v="0"/>
    <n v="318"/>
    <m/>
    <x v="4"/>
    <m/>
    <n v="1"/>
    <n v="2025"/>
    <n v="1"/>
    <x v="5"/>
  </r>
  <r>
    <n v="1108"/>
    <n v="1108"/>
    <s v="Maranhão"/>
    <s v="Maranhão"/>
    <n v="125"/>
    <s v="Tocantins-Araguaia"/>
    <s v="Maranhão"/>
    <n v="-48.627907"/>
    <n v="-15.121651999999999"/>
    <s v="GO"/>
    <s v="GO"/>
    <n v="1"/>
    <m/>
    <n v="1.9820000000000001E-2"/>
    <n v="5.2919999999999995E-2"/>
    <n v="0.43234511904761908"/>
    <n v="54.043139880952381"/>
    <n v="70.956860119047619"/>
    <n v="67.068571428571431"/>
    <n v="44.035654761904766"/>
    <n v="42.879583333333329"/>
    <n v="62.188749999999999"/>
    <n v="0.57181835294117633"/>
    <n v="71.477294117647048"/>
    <n v="17.434154236694667"/>
    <n v="95.242039215686248"/>
    <n v="66.547294117647041"/>
    <n v="55.148666666666678"/>
    <n v="68.971176470588247"/>
    <n v="1"/>
    <s v="opcional"/>
    <n v="2026"/>
    <n v="2100"/>
    <n v="30"/>
    <n v="1067.7441362336494"/>
    <n v="2190.2443820177423"/>
    <n v="8541.9530898691955"/>
    <n v="2"/>
    <n v="0"/>
    <m/>
    <n v="1067.7441362336494"/>
    <m/>
    <n v="8541.9530898691955"/>
    <n v="1.1245293369208682"/>
    <n v="1200.7096055199709"/>
    <n v="8.8827433387272267E-2"/>
    <n v="112.90595250178318"/>
    <n v="1411.3244062722897"/>
    <n v="101.68566011316142"/>
    <n v="6.25"/>
    <n v="0"/>
    <n v="318"/>
    <m/>
    <x v="4"/>
    <m/>
    <n v="1"/>
    <n v="2026"/>
    <n v="1"/>
    <x v="3"/>
  </r>
  <r>
    <n v="1135"/>
    <n v="1135"/>
    <s v="Porteiras"/>
    <s v="Porteiras"/>
    <n v="86"/>
    <s v="Tocantins-Araguaia"/>
    <s v="Maranhão"/>
    <n v="-48.715268000000002"/>
    <n v="-14.760691"/>
    <s v="GO"/>
    <s v="GO"/>
    <n v="1"/>
    <m/>
    <n v="2.068E-2"/>
    <n v="4.6600000000000003E-2"/>
    <n v="0.46599425526024363"/>
    <n v="40.075505952380951"/>
    <n v="45.924494047619049"/>
    <n v="49.13047619047618"/>
    <n v="33.704702380952376"/>
    <n v="32.401250000000005"/>
    <n v="45.065595238095234"/>
    <n v="0.59706304149566791"/>
    <n v="51.347421568627439"/>
    <n v="11.271915616246488"/>
    <n v="67.081411764705848"/>
    <n v="47.931098039215669"/>
    <n v="40.531019607843149"/>
    <n v="49.84615686274509"/>
    <n v="1"/>
    <s v="opcional"/>
    <n v="2026"/>
    <n v="2100"/>
    <n v="30"/>
    <n v="1696.8176661984116"/>
    <n v="5059.086661295205"/>
    <n v="19730.437979051298"/>
    <n v="2"/>
    <n v="0"/>
    <m/>
    <n v="1696.8176661984116"/>
    <m/>
    <n v="19730.437979051298"/>
    <n v="1.1245293369208682"/>
    <n v="1908.1212450457149"/>
    <n v="8.8827433387272267E-2"/>
    <n v="173.79351278913728"/>
    <n v="2172.4189098642159"/>
    <n v="156.52237707369306"/>
    <n v="4.3"/>
    <n v="0"/>
    <n v="318"/>
    <m/>
    <x v="4"/>
    <m/>
    <n v="1"/>
    <n v="2026"/>
    <n v="1"/>
    <x v="3"/>
  </r>
  <r>
    <n v="1138"/>
    <n v="1138"/>
    <s v="Porto Galeano"/>
    <s v="Porto Galeano"/>
    <n v="81"/>
    <s v="Paraná"/>
    <s v="Sucuriú"/>
    <n v="-52.102997000000002"/>
    <n v="-20.169316999999999"/>
    <s v="MS"/>
    <s v="MS"/>
    <n v="1"/>
    <m/>
    <n v="1.9820000000000001E-2"/>
    <n v="5.2919999999999995E-2"/>
    <n v="0.59667621987066433"/>
    <n v="48.330773809523812"/>
    <n v="32.669226190476188"/>
    <n v="60.674761904761908"/>
    <n v="48.636785714285715"/>
    <n v="36.809166666666663"/>
    <n v="47.202380952380956"/>
    <n v="0.68330985233599595"/>
    <n v="55.348098039215671"/>
    <n v="7.0173242296918588"/>
    <n v="68.168862745097996"/>
    <n v="55.666000000000004"/>
    <n v="43.822509803921569"/>
    <n v="53.735019607843107"/>
    <n v="1"/>
    <s v="opcional"/>
    <n v="2026"/>
    <n v="2100"/>
    <n v="30"/>
    <n v="659.8264682337508"/>
    <n v="2088.7194309393822"/>
    <n v="8146.0057806635896"/>
    <n v="2"/>
    <n v="0"/>
    <m/>
    <n v="659.8264682337508"/>
    <m/>
    <n v="8146.0057806635896"/>
    <n v="1.1245293369208682"/>
    <n v="741.99422080573811"/>
    <n v="8.8827433387272267E-2"/>
    <n v="69.959442222362682"/>
    <n v="874.49302777953346"/>
    <n v="63.007059467632345"/>
    <n v="4.05"/>
    <n v="0"/>
    <n v="318"/>
    <m/>
    <x v="4"/>
    <m/>
    <n v="1"/>
    <n v="2026"/>
    <n v="1"/>
    <x v="3"/>
  </r>
  <r>
    <n v="1157"/>
    <n v="1157"/>
    <s v="Santo Antônio"/>
    <s v="Santo Antônio"/>
    <n v="84.3"/>
    <s v="Uruguai"/>
    <s v="Chapecó"/>
    <n v="-52.810988000000002"/>
    <n v="-26.876702999999999"/>
    <s v="SC"/>
    <s v="SC"/>
    <n v="2"/>
    <m/>
    <n v="1.9820000000000001E-2"/>
    <n v="5.2919999999999995E-2"/>
    <n v="0.48581790515731804"/>
    <n v="40.95444940476191"/>
    <n v="43.345550595238088"/>
    <n v="27.774761904761903"/>
    <n v="42.96595238095238"/>
    <n v="47.243749999999999"/>
    <n v="45.833333333333336"/>
    <n v="0.55823855046170312"/>
    <n v="47.059509803921571"/>
    <n v="6.1050603991596617"/>
    <n v="36.420588235294119"/>
    <n v="45.816039215686281"/>
    <n v="54.859176470588245"/>
    <n v="51.142235294117654"/>
    <n v="1"/>
    <s v="opcional"/>
    <n v="2028"/>
    <n v="2100"/>
    <n v="30"/>
    <n v="505.77370515722032"/>
    <n v="1538.3815590145705"/>
    <n v="5999.688080156825"/>
    <n v="2"/>
    <n v="0"/>
    <m/>
    <n v="505.77370515722032"/>
    <m/>
    <n v="5999.688080156825"/>
    <n v="1.1245293369208682"/>
    <n v="568.75736929245966"/>
    <n v="8.8827433387272267E-2"/>
    <n v="54.736257334346178"/>
    <n v="684.20321667932717"/>
    <n v="49.29671408669936"/>
    <n v="4.2149999999999999"/>
    <n v="0"/>
    <n v="318"/>
    <m/>
    <x v="4"/>
    <m/>
    <n v="1"/>
    <n v="2026"/>
    <n v="1"/>
    <x v="3"/>
  </r>
  <r>
    <n v="1163"/>
    <n v="1163"/>
    <s v="São Miguel"/>
    <s v="São Miguel"/>
    <n v="64.5"/>
    <s v="Paraná"/>
    <s v="Grande"/>
    <n v="-44.765278000000002"/>
    <n v="-21.220977999999999"/>
    <s v="MG"/>
    <s v="MG"/>
    <n v="1"/>
    <m/>
    <n v="2.068E-2"/>
    <n v="4.6600000000000003E-2"/>
    <n v="0.50864202657807311"/>
    <n v="32.807410714285716"/>
    <n v="31.692589285714284"/>
    <n v="46.591428571428573"/>
    <n v="29.337440476190476"/>
    <n v="20.935416666666665"/>
    <n v="34.365357142857142"/>
    <n v="0.53649278005775936"/>
    <n v="34.603784313725477"/>
    <n v="1.7963735994397609"/>
    <n v="49.594705882352891"/>
    <n v="30.600156862745099"/>
    <n v="23.475372549019607"/>
    <n v="34.744901960784311"/>
    <n v="1"/>
    <s v="opcional"/>
    <n v="2025"/>
    <n v="2100"/>
    <n v="30"/>
    <n v="586.6467489525777"/>
    <n v="2332.1278034290508"/>
    <n v="9095.2984333732984"/>
    <n v="2"/>
    <n v="0"/>
    <m/>
    <n v="586.6467489525777"/>
    <m/>
    <n v="9095.2984333732984"/>
    <n v="1.1245293369208682"/>
    <n v="659.70147960642521"/>
    <n v="8.8827433387272267E-2"/>
    <n v="61.824589235224693"/>
    <n v="772.80736544030867"/>
    <n v="55.680626471040917"/>
    <n v="3.2250000000000001"/>
    <n v="0"/>
    <n v="318"/>
    <m/>
    <x v="4"/>
    <m/>
    <n v="1"/>
    <n v="2025"/>
    <n v="1"/>
    <x v="5"/>
  </r>
  <r>
    <n v="1165"/>
    <n v="1165"/>
    <s v="Saudade"/>
    <s v="Saudade"/>
    <n v="61.4"/>
    <s v="Uruguai"/>
    <s v="Chapecó"/>
    <n v="-52.606102"/>
    <n v="-26.675001000000002"/>
    <s v="SC"/>
    <s v="SC"/>
    <n v="2"/>
    <m/>
    <n v="1.9820000000000001E-2"/>
    <n v="5.2919999999999995E-2"/>
    <n v="0.51761962928493876"/>
    <n v="31.78184523809524"/>
    <n v="29.618154761904758"/>
    <n v="22.373809523809523"/>
    <n v="33.022261904761905"/>
    <n v="36.51"/>
    <n v="35.221309523809524"/>
    <n v="0.6113572204125951"/>
    <n v="37.537333333333336"/>
    <n v="5.7554880952380962"/>
    <n v="30.087019607843157"/>
    <n v="36.450941176470579"/>
    <n v="43.299019607843128"/>
    <n v="40.312352941176471"/>
    <n v="1"/>
    <s v="opcional"/>
    <n v="2028"/>
    <n v="2100"/>
    <n v="30"/>
    <n v="548.55725259341693"/>
    <n v="2290.8095406056"/>
    <n v="8934.1572083618394"/>
    <n v="2"/>
    <n v="0"/>
    <m/>
    <n v="548.55725259341693"/>
    <m/>
    <n v="8934.1572083618394"/>
    <n v="1.1245293369208682"/>
    <n v="616.86872352200839"/>
    <n v="8.8827433387272267E-2"/>
    <n v="57.864865447342872"/>
    <n v="723.3108180917859"/>
    <n v="52.114409470832783"/>
    <n v="3.07"/>
    <n v="0"/>
    <n v="318"/>
    <m/>
    <x v="4"/>
    <m/>
    <n v="1"/>
    <n v="2026"/>
    <n v="1"/>
    <x v="3"/>
  </r>
  <r>
    <n v="1171"/>
    <n v="1171"/>
    <s v="Tabajara"/>
    <s v="Tabajara"/>
    <n v="400"/>
    <s v="Amazônica"/>
    <s v="Ji-Paraná"/>
    <n v="-62.174236999999998"/>
    <n v="-8.9072820000000004"/>
    <s v="RO"/>
    <s v="RO"/>
    <n v="7"/>
    <m/>
    <n v="1.6379999999999999E-2"/>
    <n v="6.1409999999999999E-2"/>
    <n v="0.532119300920186"/>
    <n v="212.84772036807439"/>
    <n v="187.15227963192561"/>
    <n v="266.73414957837286"/>
    <n v="234.15205110636006"/>
    <n v="166.09614225323787"/>
    <n v="184.40853853432679"/>
    <n v="0.56765074645560576"/>
    <n v="227.0602985822423"/>
    <n v="14.212578214167905"/>
    <n v="296.78030548420884"/>
    <n v="246.90083784421699"/>
    <n v="169.98714768239407"/>
    <n v="194.57290331814932"/>
    <n v="1"/>
    <s v="opcional"/>
    <n v="2023"/>
    <n v="2100"/>
    <n v="30"/>
    <n v="3464.2760867266525"/>
    <n v="2220.6897991837513"/>
    <n v="8660.6902168166307"/>
    <n v="2"/>
    <n v="0"/>
    <m/>
    <n v="3464.2760867266525"/>
    <m/>
    <n v="8660.6902168166307"/>
    <n v="1.1245293369208682"/>
    <n v="3895.6800907175425"/>
    <n v="8.8827433387272267E-2"/>
    <n v="366.04326375633531"/>
    <n v="4575.5407969541911"/>
    <n v="329.66686060640734"/>
    <n v="20"/>
    <n v="0"/>
    <n v="318"/>
    <m/>
    <x v="4"/>
    <m/>
    <n v="1"/>
    <n v="2022"/>
    <n v="1"/>
    <x v="4"/>
  </r>
  <r>
    <n v="1176"/>
    <n v="1176"/>
    <s v="Telêmaco Borba"/>
    <s v="Telêmaco Borba"/>
    <n v="118"/>
    <s v="Paraná"/>
    <s v="Tibagi"/>
    <n v="-50.591594000000001"/>
    <n v="-24.350384999999999"/>
    <s v="PR"/>
    <s v="PR"/>
    <n v="2"/>
    <m/>
    <n v="1.9820000000000001E-2"/>
    <n v="5.2919999999999995E-2"/>
    <n v="0.54326082021791766"/>
    <n v="64.104776785714279"/>
    <n v="53.895223214285721"/>
    <n v="69.42190476190477"/>
    <n v="60.537738095238097"/>
    <n v="56.529583333333335"/>
    <n v="69.929880952380941"/>
    <n v="0.64808765370554999"/>
    <n v="76.474343137254905"/>
    <n v="12.369566351540627"/>
    <n v="84.313450980392147"/>
    <n v="67.832901960784312"/>
    <n v="72.327333333333328"/>
    <n v="81.423686274509805"/>
    <n v="1"/>
    <s v="opcional"/>
    <n v="2023"/>
    <n v="2100"/>
    <n v="30"/>
    <n v="772.80326367333271"/>
    <n v="1679.2769745183239"/>
    <n v="6549.180200621463"/>
    <n v="2"/>
    <n v="0"/>
    <m/>
    <n v="772.80326367333271"/>
    <m/>
    <n v="6549.1802006214639"/>
    <n v="1.1245293369208682"/>
    <n v="869.0399416688557"/>
    <n v="8.8827433387272267E-2"/>
    <n v="83.094587529469266"/>
    <n v="1038.6823441183658"/>
    <n v="74.836869071464633"/>
    <n v="5.9"/>
    <n v="0"/>
    <n v="318"/>
    <m/>
    <x v="4"/>
    <m/>
    <n v="1"/>
    <n v="2022"/>
    <n v="1"/>
    <x v="4"/>
  </r>
  <r>
    <n v="1301"/>
    <n v="1301"/>
    <s v="PCH_PDE_2015_S"/>
    <s v="PCH_PDE_2015_S"/>
    <n v="1"/>
    <m/>
    <m/>
    <m/>
    <m/>
    <s v="RS"/>
    <s v="RS"/>
    <n v="2"/>
    <m/>
    <n v="1.6719999999999999E-2"/>
    <n v="5.4030000000000002E-2"/>
    <n v="0.54455888158338783"/>
    <n v="0.54455888158338783"/>
    <n v="0.45544111841661217"/>
    <n v="0.51274816274463664"/>
    <n v="0.50865090613562824"/>
    <n v="0.59339865393857982"/>
    <n v="0.56343780351470685"/>
    <n v="0.54455888158338783"/>
    <n v="0.54455888158338783"/>
    <n v="0"/>
    <n v="0.51274816274463664"/>
    <n v="0.50865090613562824"/>
    <n v="0.59339865393857982"/>
    <n v="0.56343780351470685"/>
    <n v="2"/>
    <s v="obrigatoria"/>
    <n v="2015"/>
    <n v="2100"/>
    <n v="30"/>
    <n v="5.97"/>
    <n v="1530.7692307692307"/>
    <n v="5970"/>
    <n v="6"/>
    <n v="0"/>
    <m/>
    <n v="5.97"/>
    <m/>
    <n v="5970"/>
    <n v="1.07328"/>
    <n v="6.4074815999999997"/>
    <n v="8.8827433387272267E-2"/>
    <n v="0.66916014500417265"/>
    <n v="8.3645018125521577"/>
    <n v="0.60266079474501977"/>
    <n v="0.1"/>
    <n v="0"/>
    <n v="319"/>
    <m/>
    <x v="5"/>
    <m/>
    <m/>
    <m/>
    <m/>
    <x v="8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A00-000000000000}" name="Tabela dinâmica1" cacheId="10204" applyNumberFormats="0" applyBorderFormats="0" applyFontFormats="0" applyPatternFormats="0" applyAlignmentFormats="0" applyWidthHeightFormats="1" dataCaption="Valores" updatedVersion="4" minRefreshableVersion="3" useAutoFormatting="1" itemPrintTitles="1" createdVersion="4" indent="0" outline="1" outlineData="1" multipleFieldFilters="0" chartFormat="24">
  <location ref="A3:B12" firstHeaderRow="1" firstDataRow="1" firstDataCol="1"/>
  <pivotFields count="59">
    <pivotField showAll="0"/>
    <pivotField showAll="0"/>
    <pivotField showAll="0"/>
    <pivotField showAll="0"/>
    <pivotField dataField="1" numFmtId="1"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7" showAll="0"/>
    <pivotField numFmtId="167" showAll="0"/>
    <pivotField numFmtId="2" showAll="0"/>
    <pivotField numFmtId="166" showAll="0"/>
    <pivotField numFmtId="166" showAll="0"/>
    <pivotField numFmtId="2" showAll="0"/>
    <pivotField numFmtId="2" showAll="0"/>
    <pivotField numFmtId="2" showAll="0"/>
    <pivotField numFmtId="2" showAll="0"/>
    <pivotField numFmtId="2" showAll="0"/>
    <pivotField numFmtId="166" showAll="0"/>
    <pivotField numFmtId="166" showAll="0"/>
    <pivotField numFmtId="2" showAll="0"/>
    <pivotField numFmtId="2" showAll="0"/>
    <pivotField numFmtId="2" showAll="0"/>
    <pivotField numFmtId="2" showAll="0"/>
    <pivotField numFmtId="1" showAll="0"/>
    <pivotField showAll="0"/>
    <pivotField showAll="0"/>
    <pivotField showAll="0"/>
    <pivotField showAll="0"/>
    <pivotField numFmtId="3" showAll="0"/>
    <pivotField numFmtId="1" showAll="0"/>
    <pivotField numFmtId="2" showAll="0"/>
    <pivotField numFmtId="1" showAll="0"/>
    <pivotField numFmtId="2" showAll="0"/>
    <pivotField showAll="0"/>
    <pivotField numFmtId="2" showAll="0"/>
    <pivotField showAll="0"/>
    <pivotField numFmtId="166" showAll="0"/>
    <pivotField numFmtId="169" showAll="0"/>
    <pivotField numFmtId="3" showAll="0"/>
    <pivotField numFmtId="170" showAll="0"/>
    <pivotField numFmtId="3" showAll="0"/>
    <pivotField numFmtId="3" showAll="0"/>
    <pivotField numFmtId="1" showAll="0"/>
    <pivotField numFmtId="166" showAll="0"/>
    <pivotField numFmtId="2" showAll="0"/>
    <pivotField numFmtId="1" showAll="0"/>
    <pivotField showAll="0"/>
    <pivotField axis="axisRow" showAll="0" sortType="descending">
      <items count="7">
        <item h="1" x="5"/>
        <item h="1" x="4"/>
        <item x="3"/>
        <item x="2"/>
        <item x="1"/>
        <item x="0"/>
        <item t="default"/>
      </items>
    </pivotField>
    <pivotField showAll="0"/>
    <pivotField numFmtId="1" showAll="0"/>
    <pivotField showAll="0"/>
    <pivotField showAll="0"/>
    <pivotField axis="axisRow" showAll="0">
      <items count="10">
        <item x="4"/>
        <item x="6"/>
        <item x="7"/>
        <item x="5"/>
        <item x="3"/>
        <item x="2"/>
        <item x="1"/>
        <item x="0"/>
        <item x="8"/>
        <item t="default"/>
      </items>
    </pivotField>
  </pivotFields>
  <rowFields count="2">
    <field x="53"/>
    <field x="58"/>
  </rowFields>
  <rowItems count="9">
    <i>
      <x v="2"/>
    </i>
    <i r="1">
      <x v="5"/>
    </i>
    <i>
      <x v="3"/>
    </i>
    <i r="1">
      <x v="5"/>
    </i>
    <i>
      <x v="4"/>
    </i>
    <i r="1">
      <x v="6"/>
    </i>
    <i>
      <x v="5"/>
    </i>
    <i r="1">
      <x v="7"/>
    </i>
    <i t="grand">
      <x/>
    </i>
  </rowItems>
  <colItems count="1">
    <i/>
  </colItems>
  <dataFields count="1">
    <dataField name="Soma de Potencia" fld="4" baseField="0" baseItem="0" numFmtId="3"/>
  </dataFields>
  <formats count="1">
    <format dxfId="95">
      <pivotArea outline="0" collapsedLevelsAreSubtotals="1" fieldPosition="0"/>
    </format>
  </formats>
  <chartFormats count="3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9.bin"/><Relationship Id="rId1" Type="http://schemas.openxmlformats.org/officeDocument/2006/relationships/pivotTable" Target="../pivotTables/pivotTable1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0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1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2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comments" Target="../comments8.xml"/><Relationship Id="rId1" Type="http://schemas.openxmlformats.org/officeDocument/2006/relationships/vmlDrawing" Target="../drawings/vmlDrawing8.vml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comments" Target="../comments9.xml"/><Relationship Id="rId1" Type="http://schemas.openxmlformats.org/officeDocument/2006/relationships/vmlDrawing" Target="../drawings/vmlDrawing9.vml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comments" Target="../comments10.xml"/><Relationship Id="rId1" Type="http://schemas.openxmlformats.org/officeDocument/2006/relationships/vmlDrawing" Target="../drawings/vmlDrawing10.v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>
    <tabColor rgb="FF00B0F0"/>
  </sheetPr>
  <dimension ref="A3:XFD45"/>
  <sheetViews>
    <sheetView zoomScale="82" zoomScaleNormal="82" workbookViewId="0">
      <pane xSplit="2" ySplit="4" topLeftCell="C5" activePane="bottomRight" state="frozen"/>
      <selection pane="bottomRight" activeCell="I47" sqref="I47"/>
      <selection pane="bottomLeft" activeCell="A5" sqref="A5"/>
      <selection pane="topRight" activeCell="C1" sqref="C1"/>
    </sheetView>
  </sheetViews>
  <sheetFormatPr defaultColWidth="9.140625" defaultRowHeight="12.75"/>
  <cols>
    <col min="1" max="1" width="7.85546875" style="185" bestFit="1" customWidth="1"/>
    <col min="2" max="2" width="25.42578125" style="185" customWidth="1"/>
    <col min="3" max="3" width="12.85546875" style="185" customWidth="1"/>
    <col min="4" max="4" width="15.42578125" style="185" customWidth="1"/>
    <col min="5" max="6" width="9.140625" style="185"/>
    <col min="7" max="7" width="20.42578125" style="185" customWidth="1"/>
    <col min="8" max="8" width="24.5703125" style="185" bestFit="1" customWidth="1"/>
    <col min="9" max="9" width="21.7109375" style="185" bestFit="1" customWidth="1"/>
    <col min="10" max="10" width="12.28515625" style="185" customWidth="1"/>
    <col min="11" max="11" width="11.7109375" style="185" customWidth="1"/>
    <col min="12" max="13" width="11.140625" style="185" customWidth="1"/>
    <col min="14" max="14" width="19.42578125" style="185" customWidth="1"/>
    <col min="15" max="16384" width="9.140625" style="185"/>
  </cols>
  <sheetData>
    <row r="3" spans="1:16384" s="172" customFormat="1" ht="18.75" customHeight="1">
      <c r="A3" s="169" t="s">
        <v>0</v>
      </c>
      <c r="B3" s="170" t="s">
        <v>1</v>
      </c>
      <c r="C3" s="170" t="s">
        <v>2</v>
      </c>
      <c r="D3" s="170" t="s">
        <v>3</v>
      </c>
      <c r="E3" s="170" t="s">
        <v>4</v>
      </c>
      <c r="F3" s="170" t="s">
        <v>5</v>
      </c>
      <c r="G3" s="171" t="s">
        <v>6</v>
      </c>
      <c r="H3" s="170" t="s">
        <v>7</v>
      </c>
      <c r="I3" s="170" t="s">
        <v>8</v>
      </c>
      <c r="J3" s="648" t="s">
        <v>9</v>
      </c>
      <c r="K3" s="649"/>
      <c r="L3" s="648" t="s">
        <v>10</v>
      </c>
      <c r="M3" s="649"/>
      <c r="N3" s="170" t="s">
        <v>11</v>
      </c>
    </row>
    <row r="4" spans="1:16384" s="175" customFormat="1" ht="19.5" customHeight="1">
      <c r="A4" s="173"/>
      <c r="B4" s="173" t="s">
        <v>12</v>
      </c>
      <c r="C4" s="173" t="s">
        <v>13</v>
      </c>
      <c r="D4" s="173" t="s">
        <v>14</v>
      </c>
      <c r="E4" s="173"/>
      <c r="F4" s="173"/>
      <c r="G4" s="173" t="s">
        <v>15</v>
      </c>
      <c r="H4" s="174" t="s">
        <v>16</v>
      </c>
      <c r="I4" s="174" t="s">
        <v>17</v>
      </c>
      <c r="J4" s="174">
        <v>2010</v>
      </c>
      <c r="K4" s="174">
        <v>2035</v>
      </c>
      <c r="L4" s="174">
        <v>2010</v>
      </c>
      <c r="M4" s="174">
        <v>2035</v>
      </c>
      <c r="N4" s="174" t="s">
        <v>18</v>
      </c>
    </row>
    <row r="5" spans="1:16384" s="175" customFormat="1" ht="21.75" customHeight="1">
      <c r="A5" s="176" t="s">
        <v>19</v>
      </c>
      <c r="B5" s="177"/>
      <c r="C5" s="177"/>
      <c r="D5" s="177"/>
      <c r="E5" s="177"/>
      <c r="F5" s="177"/>
      <c r="G5" s="177"/>
      <c r="H5" s="177"/>
      <c r="I5" s="177"/>
      <c r="J5" s="177"/>
      <c r="K5" s="178"/>
      <c r="L5" s="178"/>
      <c r="M5" s="178"/>
      <c r="N5" s="178"/>
      <c r="O5" s="179"/>
      <c r="P5" s="180"/>
      <c r="Q5" s="180"/>
      <c r="R5" s="180"/>
      <c r="S5" s="180"/>
      <c r="T5" s="181"/>
      <c r="U5" s="180"/>
      <c r="V5" s="182"/>
      <c r="W5" s="182"/>
      <c r="X5" s="182"/>
      <c r="Y5" s="182"/>
      <c r="Z5" s="182"/>
      <c r="AA5" s="182"/>
      <c r="AB5" s="179"/>
      <c r="AC5" s="180"/>
      <c r="AD5" s="180"/>
      <c r="AE5" s="180"/>
      <c r="AF5" s="180"/>
      <c r="AG5" s="181"/>
      <c r="AH5" s="180"/>
      <c r="AI5" s="182"/>
      <c r="AJ5" s="182"/>
      <c r="AK5" s="182"/>
      <c r="AL5" s="182"/>
      <c r="AM5" s="182"/>
      <c r="AN5" s="182"/>
      <c r="AO5" s="179"/>
      <c r="AP5" s="180"/>
      <c r="AQ5" s="180"/>
      <c r="AR5" s="180"/>
      <c r="AS5" s="180"/>
      <c r="AT5" s="181"/>
      <c r="AU5" s="180"/>
      <c r="AV5" s="182"/>
      <c r="AW5" s="182"/>
      <c r="AX5" s="182"/>
      <c r="AY5" s="182"/>
      <c r="AZ5" s="182"/>
      <c r="BA5" s="182"/>
      <c r="BB5" s="179"/>
      <c r="BC5" s="180"/>
      <c r="BD5" s="180"/>
      <c r="BE5" s="180"/>
      <c r="BF5" s="180"/>
      <c r="BG5" s="181"/>
      <c r="BH5" s="180"/>
      <c r="BI5" s="182"/>
      <c r="BJ5" s="182"/>
      <c r="BK5" s="182"/>
      <c r="BL5" s="182"/>
      <c r="BM5" s="182"/>
      <c r="BN5" s="182"/>
      <c r="BO5" s="179"/>
      <c r="BP5" s="180"/>
      <c r="BQ5" s="180"/>
      <c r="BR5" s="180"/>
      <c r="BS5" s="180"/>
      <c r="BT5" s="181"/>
      <c r="BU5" s="180"/>
      <c r="BV5" s="182"/>
      <c r="BW5" s="182"/>
      <c r="BX5" s="182"/>
      <c r="BY5" s="182"/>
      <c r="BZ5" s="182"/>
      <c r="CA5" s="182"/>
      <c r="CB5" s="179"/>
      <c r="CC5" s="180"/>
      <c r="CD5" s="180"/>
      <c r="CE5" s="180"/>
      <c r="CF5" s="180"/>
      <c r="CG5" s="181"/>
      <c r="CH5" s="180"/>
      <c r="CI5" s="182"/>
      <c r="CJ5" s="182"/>
      <c r="CK5" s="182"/>
      <c r="CL5" s="182"/>
      <c r="CM5" s="182"/>
      <c r="CN5" s="182"/>
      <c r="CO5" s="179"/>
      <c r="CP5" s="180"/>
      <c r="CQ5" s="180"/>
      <c r="CR5" s="180"/>
      <c r="CS5" s="180"/>
      <c r="CT5" s="181"/>
      <c r="CU5" s="180"/>
      <c r="CV5" s="182"/>
      <c r="CW5" s="182"/>
      <c r="CX5" s="182"/>
      <c r="CY5" s="182"/>
      <c r="CZ5" s="182"/>
      <c r="DA5" s="182"/>
      <c r="DB5" s="179"/>
      <c r="DC5" s="180"/>
      <c r="DD5" s="180"/>
      <c r="DE5" s="180"/>
      <c r="DF5" s="180"/>
      <c r="DG5" s="181"/>
      <c r="DH5" s="180"/>
      <c r="DI5" s="182"/>
      <c r="DJ5" s="182"/>
      <c r="DK5" s="182"/>
      <c r="DL5" s="182"/>
      <c r="DM5" s="182"/>
      <c r="DN5" s="182"/>
      <c r="DO5" s="179"/>
      <c r="DP5" s="180"/>
      <c r="DQ5" s="180"/>
      <c r="DR5" s="180"/>
      <c r="DS5" s="180"/>
      <c r="DT5" s="181"/>
      <c r="DU5" s="180"/>
      <c r="DV5" s="182"/>
      <c r="DW5" s="182"/>
      <c r="DX5" s="182"/>
      <c r="DY5" s="182"/>
      <c r="DZ5" s="182"/>
      <c r="EA5" s="182"/>
      <c r="EB5" s="179"/>
      <c r="EC5" s="180"/>
      <c r="ED5" s="180"/>
      <c r="EE5" s="180"/>
      <c r="EF5" s="180"/>
      <c r="EG5" s="181"/>
      <c r="EH5" s="180"/>
      <c r="EI5" s="182"/>
      <c r="EJ5" s="182"/>
      <c r="EK5" s="182"/>
      <c r="EL5" s="182"/>
      <c r="EM5" s="182"/>
      <c r="EN5" s="182"/>
      <c r="EO5" s="179"/>
      <c r="EP5" s="180"/>
      <c r="EQ5" s="180"/>
      <c r="ER5" s="180"/>
      <c r="ES5" s="180"/>
      <c r="ET5" s="181"/>
      <c r="EU5" s="180"/>
      <c r="EV5" s="182"/>
      <c r="EW5" s="182"/>
      <c r="EX5" s="182"/>
      <c r="EY5" s="182"/>
      <c r="EZ5" s="182"/>
      <c r="FA5" s="182"/>
      <c r="FB5" s="179"/>
      <c r="FC5" s="180"/>
      <c r="FD5" s="180"/>
      <c r="FE5" s="180"/>
      <c r="FF5" s="180"/>
      <c r="FG5" s="181"/>
      <c r="FH5" s="180"/>
      <c r="FI5" s="182"/>
      <c r="FJ5" s="182"/>
      <c r="FK5" s="182"/>
      <c r="FL5" s="182"/>
      <c r="FM5" s="182"/>
      <c r="FN5" s="182"/>
      <c r="FO5" s="179"/>
      <c r="FP5" s="180"/>
      <c r="FQ5" s="180"/>
      <c r="FR5" s="180"/>
      <c r="FS5" s="180"/>
      <c r="FT5" s="181"/>
      <c r="FU5" s="180"/>
      <c r="FV5" s="182"/>
      <c r="FW5" s="182"/>
      <c r="FX5" s="182"/>
      <c r="FY5" s="182"/>
      <c r="FZ5" s="182"/>
      <c r="GA5" s="182"/>
      <c r="GB5" s="179"/>
      <c r="GC5" s="180"/>
      <c r="GD5" s="180"/>
      <c r="GE5" s="180"/>
      <c r="GF5" s="180"/>
      <c r="GG5" s="181"/>
      <c r="GH5" s="180"/>
      <c r="GI5" s="182"/>
      <c r="GJ5" s="182"/>
      <c r="GK5" s="182"/>
      <c r="GL5" s="182"/>
      <c r="GM5" s="182"/>
      <c r="GN5" s="182"/>
      <c r="GO5" s="179"/>
      <c r="GP5" s="180"/>
      <c r="GQ5" s="180"/>
      <c r="GR5" s="180"/>
      <c r="GS5" s="180"/>
      <c r="GT5" s="181"/>
      <c r="GU5" s="180"/>
      <c r="GV5" s="182"/>
      <c r="GW5" s="182"/>
      <c r="GX5" s="182"/>
      <c r="GY5" s="182"/>
      <c r="GZ5" s="182"/>
      <c r="HA5" s="182"/>
      <c r="HB5" s="179"/>
      <c r="HC5" s="180"/>
      <c r="HD5" s="180"/>
      <c r="HE5" s="180"/>
      <c r="HF5" s="180"/>
      <c r="HG5" s="181"/>
      <c r="HH5" s="180"/>
      <c r="HI5" s="182"/>
      <c r="HJ5" s="182"/>
      <c r="HK5" s="182"/>
      <c r="HL5" s="182"/>
      <c r="HM5" s="182"/>
      <c r="HN5" s="182"/>
      <c r="HO5" s="179"/>
      <c r="HP5" s="180"/>
      <c r="HQ5" s="180"/>
      <c r="HR5" s="180"/>
      <c r="HS5" s="180"/>
      <c r="HT5" s="181"/>
      <c r="HU5" s="180"/>
      <c r="HV5" s="182"/>
      <c r="HW5" s="182"/>
      <c r="HX5" s="182"/>
      <c r="HY5" s="182"/>
      <c r="HZ5" s="182"/>
      <c r="IA5" s="182"/>
      <c r="IB5" s="179"/>
      <c r="IC5" s="180"/>
      <c r="ID5" s="180"/>
      <c r="IE5" s="180"/>
      <c r="IF5" s="180"/>
      <c r="IG5" s="181"/>
      <c r="IH5" s="180"/>
      <c r="II5" s="182"/>
      <c r="IJ5" s="182"/>
      <c r="IK5" s="182"/>
      <c r="IL5" s="182"/>
      <c r="IM5" s="182"/>
      <c r="IN5" s="182"/>
      <c r="IO5" s="179"/>
      <c r="IP5" s="180"/>
      <c r="IQ5" s="180"/>
      <c r="IR5" s="180"/>
      <c r="IS5" s="180"/>
      <c r="IT5" s="181"/>
      <c r="IU5" s="180"/>
      <c r="IV5" s="182"/>
      <c r="IW5" s="182"/>
      <c r="IX5" s="182"/>
      <c r="IY5" s="182"/>
      <c r="IZ5" s="182"/>
      <c r="JA5" s="182"/>
      <c r="JB5" s="179"/>
      <c r="JC5" s="180"/>
      <c r="JD5" s="180"/>
      <c r="JE5" s="180"/>
      <c r="JF5" s="180"/>
      <c r="JG5" s="181"/>
      <c r="JH5" s="180"/>
      <c r="JI5" s="182"/>
      <c r="JJ5" s="182"/>
      <c r="JK5" s="182"/>
      <c r="JL5" s="182"/>
      <c r="JM5" s="182"/>
      <c r="JN5" s="182"/>
      <c r="JO5" s="179"/>
      <c r="JP5" s="180"/>
      <c r="JQ5" s="180"/>
      <c r="JR5" s="180"/>
      <c r="JS5" s="180"/>
      <c r="JT5" s="181"/>
      <c r="JU5" s="180"/>
      <c r="JV5" s="182"/>
      <c r="JW5" s="182"/>
      <c r="JX5" s="182"/>
      <c r="JY5" s="182"/>
      <c r="JZ5" s="182"/>
      <c r="KA5" s="182"/>
      <c r="KB5" s="179"/>
      <c r="KC5" s="180"/>
      <c r="KD5" s="180"/>
      <c r="KE5" s="180"/>
      <c r="KF5" s="180"/>
      <c r="KG5" s="181"/>
      <c r="KH5" s="180"/>
      <c r="KI5" s="182"/>
      <c r="KJ5" s="182"/>
      <c r="KK5" s="182"/>
      <c r="KL5" s="182"/>
      <c r="KM5" s="182"/>
      <c r="KN5" s="182"/>
      <c r="KO5" s="179"/>
      <c r="KP5" s="180"/>
      <c r="KQ5" s="180"/>
      <c r="KR5" s="180"/>
      <c r="KS5" s="180"/>
      <c r="KT5" s="181"/>
      <c r="KU5" s="180"/>
      <c r="KV5" s="182"/>
      <c r="KW5" s="182"/>
      <c r="KX5" s="182"/>
      <c r="KY5" s="182"/>
      <c r="KZ5" s="182"/>
      <c r="LA5" s="182"/>
      <c r="LB5" s="179"/>
      <c r="LC5" s="180"/>
      <c r="LD5" s="180"/>
      <c r="LE5" s="180"/>
      <c r="LF5" s="180"/>
      <c r="LG5" s="181"/>
      <c r="LH5" s="180"/>
      <c r="LI5" s="182"/>
      <c r="LJ5" s="182"/>
      <c r="LK5" s="182"/>
      <c r="LL5" s="182"/>
      <c r="LM5" s="182"/>
      <c r="LN5" s="182"/>
      <c r="LO5" s="179"/>
      <c r="LP5" s="180"/>
      <c r="LQ5" s="180"/>
      <c r="LR5" s="180"/>
      <c r="LS5" s="180"/>
      <c r="LT5" s="181"/>
      <c r="LU5" s="180"/>
      <c r="LV5" s="182"/>
      <c r="LW5" s="182"/>
      <c r="LX5" s="182"/>
      <c r="LY5" s="182"/>
      <c r="LZ5" s="182"/>
      <c r="MA5" s="182"/>
      <c r="MB5" s="179"/>
      <c r="MC5" s="180"/>
      <c r="MD5" s="180"/>
      <c r="ME5" s="180"/>
      <c r="MF5" s="180"/>
      <c r="MG5" s="181"/>
      <c r="MH5" s="180"/>
      <c r="MI5" s="182"/>
      <c r="MJ5" s="182"/>
      <c r="MK5" s="182"/>
      <c r="ML5" s="182"/>
      <c r="MM5" s="182"/>
      <c r="MN5" s="182"/>
      <c r="MO5" s="179"/>
      <c r="MP5" s="180"/>
      <c r="MQ5" s="180"/>
      <c r="MR5" s="180"/>
      <c r="MS5" s="180"/>
      <c r="MT5" s="181"/>
      <c r="MU5" s="180"/>
      <c r="MV5" s="182"/>
      <c r="MW5" s="182"/>
      <c r="MX5" s="182"/>
      <c r="MY5" s="182"/>
      <c r="MZ5" s="182"/>
      <c r="NA5" s="182"/>
      <c r="NB5" s="179"/>
      <c r="NC5" s="180"/>
      <c r="ND5" s="180"/>
      <c r="NE5" s="180"/>
      <c r="NF5" s="180"/>
      <c r="NG5" s="181"/>
      <c r="NH5" s="180"/>
      <c r="NI5" s="182"/>
      <c r="NJ5" s="182"/>
      <c r="NK5" s="182"/>
      <c r="NL5" s="182"/>
      <c r="NM5" s="182"/>
      <c r="NN5" s="182"/>
      <c r="NO5" s="179"/>
      <c r="NP5" s="180"/>
      <c r="NQ5" s="180"/>
      <c r="NR5" s="180"/>
      <c r="NS5" s="180"/>
      <c r="NT5" s="181"/>
      <c r="NU5" s="180"/>
      <c r="NV5" s="182"/>
      <c r="NW5" s="182"/>
      <c r="NX5" s="182"/>
      <c r="NY5" s="182"/>
      <c r="NZ5" s="182"/>
      <c r="OA5" s="182"/>
      <c r="OB5" s="179"/>
      <c r="OC5" s="180"/>
      <c r="OD5" s="180"/>
      <c r="OE5" s="180"/>
      <c r="OF5" s="180"/>
      <c r="OG5" s="181"/>
      <c r="OH5" s="180"/>
      <c r="OI5" s="182"/>
      <c r="OJ5" s="182"/>
      <c r="OK5" s="182"/>
      <c r="OL5" s="182"/>
      <c r="OM5" s="182"/>
      <c r="ON5" s="182"/>
      <c r="OO5" s="179"/>
      <c r="OP5" s="180"/>
      <c r="OQ5" s="180"/>
      <c r="OR5" s="180"/>
      <c r="OS5" s="180"/>
      <c r="OT5" s="181"/>
      <c r="OU5" s="180"/>
      <c r="OV5" s="182"/>
      <c r="OW5" s="182"/>
      <c r="OX5" s="182"/>
      <c r="OY5" s="182"/>
      <c r="OZ5" s="182"/>
      <c r="PA5" s="182"/>
      <c r="PB5" s="179"/>
      <c r="PC5" s="180"/>
      <c r="PD5" s="180"/>
      <c r="PE5" s="180"/>
      <c r="PF5" s="180"/>
      <c r="PG5" s="181"/>
      <c r="PH5" s="180"/>
      <c r="PI5" s="182"/>
      <c r="PJ5" s="182"/>
      <c r="PK5" s="182"/>
      <c r="PL5" s="182"/>
      <c r="PM5" s="182"/>
      <c r="PN5" s="182"/>
      <c r="PO5" s="179"/>
      <c r="PP5" s="180"/>
      <c r="PQ5" s="180"/>
      <c r="PR5" s="180"/>
      <c r="PS5" s="180"/>
      <c r="PT5" s="181"/>
      <c r="PU5" s="180"/>
      <c r="PV5" s="182"/>
      <c r="PW5" s="182"/>
      <c r="PX5" s="182"/>
      <c r="PY5" s="182"/>
      <c r="PZ5" s="182"/>
      <c r="QA5" s="182"/>
      <c r="QB5" s="179"/>
      <c r="QC5" s="180"/>
      <c r="QD5" s="180"/>
      <c r="QE5" s="180"/>
      <c r="QF5" s="180"/>
      <c r="QG5" s="181"/>
      <c r="QH5" s="180"/>
      <c r="QI5" s="182"/>
      <c r="QJ5" s="182"/>
      <c r="QK5" s="182"/>
      <c r="QL5" s="182"/>
      <c r="QM5" s="182"/>
      <c r="QN5" s="182"/>
      <c r="QO5" s="179"/>
      <c r="QP5" s="180"/>
      <c r="QQ5" s="180"/>
      <c r="QR5" s="180"/>
      <c r="QS5" s="180"/>
      <c r="QT5" s="181"/>
      <c r="QU5" s="180"/>
      <c r="QV5" s="182"/>
      <c r="QW5" s="182"/>
      <c r="QX5" s="182"/>
      <c r="QY5" s="182"/>
      <c r="QZ5" s="182"/>
      <c r="RA5" s="182"/>
      <c r="RB5" s="179"/>
      <c r="RC5" s="180"/>
      <c r="RD5" s="180"/>
      <c r="RE5" s="180"/>
      <c r="RF5" s="180"/>
      <c r="RG5" s="181"/>
      <c r="RH5" s="180"/>
      <c r="RI5" s="182"/>
      <c r="RJ5" s="182"/>
      <c r="RK5" s="182"/>
      <c r="RL5" s="182"/>
      <c r="RM5" s="182"/>
      <c r="RN5" s="182"/>
      <c r="RO5" s="179"/>
      <c r="RP5" s="180"/>
      <c r="RQ5" s="180"/>
      <c r="RR5" s="180"/>
      <c r="RS5" s="180"/>
      <c r="RT5" s="181"/>
      <c r="RU5" s="180"/>
      <c r="RV5" s="182"/>
      <c r="RW5" s="182"/>
      <c r="RX5" s="182"/>
      <c r="RY5" s="182"/>
      <c r="RZ5" s="182"/>
      <c r="SA5" s="182"/>
      <c r="SB5" s="179"/>
      <c r="SC5" s="180"/>
      <c r="SD5" s="180"/>
      <c r="SE5" s="180"/>
      <c r="SF5" s="180"/>
      <c r="SG5" s="181"/>
      <c r="SH5" s="180"/>
      <c r="SI5" s="182"/>
      <c r="SJ5" s="182"/>
      <c r="SK5" s="182"/>
      <c r="SL5" s="182"/>
      <c r="SM5" s="182"/>
      <c r="SN5" s="182"/>
      <c r="SO5" s="179"/>
      <c r="SP5" s="180"/>
      <c r="SQ5" s="180"/>
      <c r="SR5" s="180"/>
      <c r="SS5" s="180"/>
      <c r="ST5" s="181"/>
      <c r="SU5" s="180"/>
      <c r="SV5" s="182"/>
      <c r="SW5" s="182"/>
      <c r="SX5" s="182"/>
      <c r="SY5" s="182"/>
      <c r="SZ5" s="182"/>
      <c r="TA5" s="182"/>
      <c r="TB5" s="179"/>
      <c r="TC5" s="180"/>
      <c r="TD5" s="180"/>
      <c r="TE5" s="180"/>
      <c r="TF5" s="180"/>
      <c r="TG5" s="181"/>
      <c r="TH5" s="180"/>
      <c r="TI5" s="182"/>
      <c r="TJ5" s="182"/>
      <c r="TK5" s="182"/>
      <c r="TL5" s="182"/>
      <c r="TM5" s="182"/>
      <c r="TN5" s="182"/>
      <c r="TO5" s="179"/>
      <c r="TP5" s="180"/>
      <c r="TQ5" s="180"/>
      <c r="TR5" s="180"/>
      <c r="TS5" s="180"/>
      <c r="TT5" s="181"/>
      <c r="TU5" s="180"/>
      <c r="TV5" s="182"/>
      <c r="TW5" s="182"/>
      <c r="TX5" s="182"/>
      <c r="TY5" s="182"/>
      <c r="TZ5" s="182"/>
      <c r="UA5" s="182"/>
      <c r="UB5" s="179"/>
      <c r="UC5" s="180"/>
      <c r="UD5" s="180"/>
      <c r="UE5" s="180"/>
      <c r="UF5" s="180"/>
      <c r="UG5" s="181"/>
      <c r="UH5" s="180"/>
      <c r="UI5" s="182"/>
      <c r="UJ5" s="182"/>
      <c r="UK5" s="182"/>
      <c r="UL5" s="182"/>
      <c r="UM5" s="182"/>
      <c r="UN5" s="182"/>
      <c r="UO5" s="179"/>
      <c r="UP5" s="180"/>
      <c r="UQ5" s="180"/>
      <c r="UR5" s="180"/>
      <c r="US5" s="180"/>
      <c r="UT5" s="181"/>
      <c r="UU5" s="180"/>
      <c r="UV5" s="182"/>
      <c r="UW5" s="182"/>
      <c r="UX5" s="182"/>
      <c r="UY5" s="182"/>
      <c r="UZ5" s="182"/>
      <c r="VA5" s="182"/>
      <c r="VB5" s="179"/>
      <c r="VC5" s="180"/>
      <c r="VD5" s="180"/>
      <c r="VE5" s="180"/>
      <c r="VF5" s="180"/>
      <c r="VG5" s="181"/>
      <c r="VH5" s="180"/>
      <c r="VI5" s="182"/>
      <c r="VJ5" s="182"/>
      <c r="VK5" s="182"/>
      <c r="VL5" s="182"/>
      <c r="VM5" s="182"/>
      <c r="VN5" s="182"/>
      <c r="VO5" s="179"/>
      <c r="VP5" s="180"/>
      <c r="VQ5" s="180"/>
      <c r="VR5" s="180"/>
      <c r="VS5" s="180"/>
      <c r="VT5" s="181"/>
      <c r="VU5" s="180"/>
      <c r="VV5" s="182"/>
      <c r="VW5" s="182"/>
      <c r="VX5" s="182"/>
      <c r="VY5" s="182"/>
      <c r="VZ5" s="182"/>
      <c r="WA5" s="182"/>
      <c r="WB5" s="179"/>
      <c r="WC5" s="180"/>
      <c r="WD5" s="180"/>
      <c r="WE5" s="180"/>
      <c r="WF5" s="180"/>
      <c r="WG5" s="181"/>
      <c r="WH5" s="180"/>
      <c r="WI5" s="182"/>
      <c r="WJ5" s="182"/>
      <c r="WK5" s="182"/>
      <c r="WL5" s="182"/>
      <c r="WM5" s="182"/>
      <c r="WN5" s="182"/>
      <c r="WO5" s="179"/>
      <c r="WP5" s="180"/>
      <c r="WQ5" s="180"/>
      <c r="WR5" s="180"/>
      <c r="WS5" s="180"/>
      <c r="WT5" s="181"/>
      <c r="WU5" s="180"/>
      <c r="WV5" s="182"/>
      <c r="WW5" s="182"/>
      <c r="WX5" s="182"/>
      <c r="WY5" s="182"/>
      <c r="WZ5" s="182"/>
      <c r="XA5" s="182"/>
      <c r="XB5" s="179"/>
      <c r="XC5" s="180"/>
      <c r="XD5" s="180"/>
      <c r="XE5" s="180"/>
      <c r="XF5" s="180"/>
      <c r="XG5" s="181"/>
      <c r="XH5" s="180"/>
      <c r="XI5" s="182"/>
      <c r="XJ5" s="182"/>
      <c r="XK5" s="182"/>
      <c r="XL5" s="182"/>
      <c r="XM5" s="182"/>
      <c r="XN5" s="182"/>
      <c r="XO5" s="179"/>
      <c r="XP5" s="180"/>
      <c r="XQ5" s="180"/>
      <c r="XR5" s="180"/>
      <c r="XS5" s="180"/>
      <c r="XT5" s="181"/>
      <c r="XU5" s="180"/>
      <c r="XV5" s="182"/>
      <c r="XW5" s="182"/>
      <c r="XX5" s="182"/>
      <c r="XY5" s="182"/>
      <c r="XZ5" s="182"/>
      <c r="YA5" s="182"/>
      <c r="YB5" s="179"/>
      <c r="YC5" s="180"/>
      <c r="YD5" s="180"/>
      <c r="YE5" s="180"/>
      <c r="YF5" s="180"/>
      <c r="YG5" s="181"/>
      <c r="YH5" s="180"/>
      <c r="YI5" s="182"/>
      <c r="YJ5" s="182"/>
      <c r="YK5" s="182"/>
      <c r="YL5" s="182"/>
      <c r="YM5" s="182"/>
      <c r="YN5" s="182"/>
      <c r="YO5" s="179"/>
      <c r="YP5" s="180"/>
      <c r="YQ5" s="180"/>
      <c r="YR5" s="180"/>
      <c r="YS5" s="180"/>
      <c r="YT5" s="181"/>
      <c r="YU5" s="180"/>
      <c r="YV5" s="182"/>
      <c r="YW5" s="182"/>
      <c r="YX5" s="182"/>
      <c r="YY5" s="182"/>
      <c r="YZ5" s="182"/>
      <c r="ZA5" s="182"/>
      <c r="ZB5" s="179"/>
      <c r="ZC5" s="180"/>
      <c r="ZD5" s="180"/>
      <c r="ZE5" s="180"/>
      <c r="ZF5" s="180"/>
      <c r="ZG5" s="181"/>
      <c r="ZH5" s="180"/>
      <c r="ZI5" s="182"/>
      <c r="ZJ5" s="182"/>
      <c r="ZK5" s="182"/>
      <c r="ZL5" s="182"/>
      <c r="ZM5" s="182"/>
      <c r="ZN5" s="182"/>
      <c r="ZO5" s="179"/>
      <c r="ZP5" s="180"/>
      <c r="ZQ5" s="180"/>
      <c r="ZR5" s="180"/>
      <c r="ZS5" s="180"/>
      <c r="ZT5" s="181"/>
      <c r="ZU5" s="180"/>
      <c r="ZV5" s="182"/>
      <c r="ZW5" s="182"/>
      <c r="ZX5" s="182"/>
      <c r="ZY5" s="182"/>
      <c r="ZZ5" s="182"/>
      <c r="AAA5" s="182"/>
      <c r="AAB5" s="179"/>
      <c r="AAC5" s="180"/>
      <c r="AAD5" s="180"/>
      <c r="AAE5" s="180"/>
      <c r="AAF5" s="180"/>
      <c r="AAG5" s="181"/>
      <c r="AAH5" s="180"/>
      <c r="AAI5" s="182"/>
      <c r="AAJ5" s="182"/>
      <c r="AAK5" s="182"/>
      <c r="AAL5" s="182"/>
      <c r="AAM5" s="182"/>
      <c r="AAN5" s="182"/>
      <c r="AAO5" s="179"/>
      <c r="AAP5" s="180"/>
      <c r="AAQ5" s="180"/>
      <c r="AAR5" s="180"/>
      <c r="AAS5" s="180"/>
      <c r="AAT5" s="181"/>
      <c r="AAU5" s="180"/>
      <c r="AAV5" s="182"/>
      <c r="AAW5" s="182"/>
      <c r="AAX5" s="182"/>
      <c r="AAY5" s="182"/>
      <c r="AAZ5" s="182"/>
      <c r="ABA5" s="182"/>
      <c r="ABB5" s="179"/>
      <c r="ABC5" s="180"/>
      <c r="ABD5" s="180"/>
      <c r="ABE5" s="180"/>
      <c r="ABF5" s="180"/>
      <c r="ABG5" s="181"/>
      <c r="ABH5" s="180"/>
      <c r="ABI5" s="182"/>
      <c r="ABJ5" s="182"/>
      <c r="ABK5" s="182"/>
      <c r="ABL5" s="182"/>
      <c r="ABM5" s="182"/>
      <c r="ABN5" s="182"/>
      <c r="ABO5" s="179"/>
      <c r="ABP5" s="180"/>
      <c r="ABQ5" s="180"/>
      <c r="ABR5" s="180"/>
      <c r="ABS5" s="180"/>
      <c r="ABT5" s="181"/>
      <c r="ABU5" s="180"/>
      <c r="ABV5" s="182"/>
      <c r="ABW5" s="182"/>
      <c r="ABX5" s="182"/>
      <c r="ABY5" s="182"/>
      <c r="ABZ5" s="182"/>
      <c r="ACA5" s="182"/>
      <c r="ACB5" s="179"/>
      <c r="ACC5" s="180"/>
      <c r="ACD5" s="180"/>
      <c r="ACE5" s="180"/>
      <c r="ACF5" s="180"/>
      <c r="ACG5" s="181"/>
      <c r="ACH5" s="180"/>
      <c r="ACI5" s="182"/>
      <c r="ACJ5" s="182"/>
      <c r="ACK5" s="182"/>
      <c r="ACL5" s="182"/>
      <c r="ACM5" s="182"/>
      <c r="ACN5" s="182"/>
      <c r="ACO5" s="179"/>
      <c r="ACP5" s="180"/>
      <c r="ACQ5" s="180"/>
      <c r="ACR5" s="180"/>
      <c r="ACS5" s="180"/>
      <c r="ACT5" s="181"/>
      <c r="ACU5" s="180"/>
      <c r="ACV5" s="182"/>
      <c r="ACW5" s="182"/>
      <c r="ACX5" s="182"/>
      <c r="ACY5" s="182"/>
      <c r="ACZ5" s="182"/>
      <c r="ADA5" s="182"/>
      <c r="ADB5" s="179"/>
      <c r="ADC5" s="180"/>
      <c r="ADD5" s="180"/>
      <c r="ADE5" s="180"/>
      <c r="ADF5" s="180"/>
      <c r="ADG5" s="181"/>
      <c r="ADH5" s="180"/>
      <c r="ADI5" s="182"/>
      <c r="ADJ5" s="182"/>
      <c r="ADK5" s="182"/>
      <c r="ADL5" s="182"/>
      <c r="ADM5" s="182"/>
      <c r="ADN5" s="182"/>
      <c r="ADO5" s="179"/>
      <c r="ADP5" s="180"/>
      <c r="ADQ5" s="180"/>
      <c r="ADR5" s="180"/>
      <c r="ADS5" s="180"/>
      <c r="ADT5" s="181"/>
      <c r="ADU5" s="180"/>
      <c r="ADV5" s="182"/>
      <c r="ADW5" s="182"/>
      <c r="ADX5" s="182"/>
      <c r="ADY5" s="182"/>
      <c r="ADZ5" s="182"/>
      <c r="AEA5" s="182"/>
      <c r="AEB5" s="179"/>
      <c r="AEC5" s="180"/>
      <c r="AED5" s="180"/>
      <c r="AEE5" s="180"/>
      <c r="AEF5" s="180"/>
      <c r="AEG5" s="181"/>
      <c r="AEH5" s="180"/>
      <c r="AEI5" s="182"/>
      <c r="AEJ5" s="182"/>
      <c r="AEK5" s="182"/>
      <c r="AEL5" s="182"/>
      <c r="AEM5" s="182"/>
      <c r="AEN5" s="182"/>
      <c r="AEO5" s="179"/>
      <c r="AEP5" s="180"/>
      <c r="AEQ5" s="180"/>
      <c r="AER5" s="180"/>
      <c r="AES5" s="180"/>
      <c r="AET5" s="181"/>
      <c r="AEU5" s="180"/>
      <c r="AEV5" s="182"/>
      <c r="AEW5" s="182"/>
      <c r="AEX5" s="182"/>
      <c r="AEY5" s="182"/>
      <c r="AEZ5" s="182"/>
      <c r="AFA5" s="182"/>
      <c r="AFB5" s="179"/>
      <c r="AFC5" s="180"/>
      <c r="AFD5" s="180"/>
      <c r="AFE5" s="180"/>
      <c r="AFF5" s="180"/>
      <c r="AFG5" s="181"/>
      <c r="AFH5" s="180"/>
      <c r="AFI5" s="182"/>
      <c r="AFJ5" s="182"/>
      <c r="AFK5" s="182"/>
      <c r="AFL5" s="182"/>
      <c r="AFM5" s="182"/>
      <c r="AFN5" s="182"/>
      <c r="AFO5" s="179"/>
      <c r="AFP5" s="180"/>
      <c r="AFQ5" s="180"/>
      <c r="AFR5" s="180"/>
      <c r="AFS5" s="180"/>
      <c r="AFT5" s="181"/>
      <c r="AFU5" s="180"/>
      <c r="AFV5" s="182"/>
      <c r="AFW5" s="182"/>
      <c r="AFX5" s="182"/>
      <c r="AFY5" s="182"/>
      <c r="AFZ5" s="182"/>
      <c r="AGA5" s="182"/>
      <c r="AGB5" s="179"/>
      <c r="AGC5" s="180"/>
      <c r="AGD5" s="180"/>
      <c r="AGE5" s="180"/>
      <c r="AGF5" s="180"/>
      <c r="AGG5" s="181"/>
      <c r="AGH5" s="180"/>
      <c r="AGI5" s="182"/>
      <c r="AGJ5" s="182"/>
      <c r="AGK5" s="182"/>
      <c r="AGL5" s="182"/>
      <c r="AGM5" s="182"/>
      <c r="AGN5" s="182"/>
      <c r="AGO5" s="179"/>
      <c r="AGP5" s="180"/>
      <c r="AGQ5" s="180"/>
      <c r="AGR5" s="180"/>
      <c r="AGS5" s="180"/>
      <c r="AGT5" s="181"/>
      <c r="AGU5" s="180"/>
      <c r="AGV5" s="182"/>
      <c r="AGW5" s="182"/>
      <c r="AGX5" s="182"/>
      <c r="AGY5" s="182"/>
      <c r="AGZ5" s="182"/>
      <c r="AHA5" s="182"/>
      <c r="AHB5" s="179"/>
      <c r="AHC5" s="180"/>
      <c r="AHD5" s="180"/>
      <c r="AHE5" s="180"/>
      <c r="AHF5" s="180"/>
      <c r="AHG5" s="181"/>
      <c r="AHH5" s="180"/>
      <c r="AHI5" s="182"/>
      <c r="AHJ5" s="182"/>
      <c r="AHK5" s="182"/>
      <c r="AHL5" s="182"/>
      <c r="AHM5" s="182"/>
      <c r="AHN5" s="182"/>
      <c r="AHO5" s="179"/>
      <c r="AHP5" s="180"/>
      <c r="AHQ5" s="180"/>
      <c r="AHR5" s="180"/>
      <c r="AHS5" s="180"/>
      <c r="AHT5" s="181"/>
      <c r="AHU5" s="180"/>
      <c r="AHV5" s="182"/>
      <c r="AHW5" s="182"/>
      <c r="AHX5" s="182"/>
      <c r="AHY5" s="182"/>
      <c r="AHZ5" s="182"/>
      <c r="AIA5" s="182"/>
      <c r="AIB5" s="179"/>
      <c r="AIC5" s="180"/>
      <c r="AID5" s="180"/>
      <c r="AIE5" s="180"/>
      <c r="AIF5" s="180"/>
      <c r="AIG5" s="181"/>
      <c r="AIH5" s="180"/>
      <c r="AII5" s="182"/>
      <c r="AIJ5" s="182"/>
      <c r="AIK5" s="182"/>
      <c r="AIL5" s="182"/>
      <c r="AIM5" s="182"/>
      <c r="AIN5" s="182"/>
      <c r="AIO5" s="179"/>
      <c r="AIP5" s="180"/>
      <c r="AIQ5" s="180"/>
      <c r="AIR5" s="180"/>
      <c r="AIS5" s="180"/>
      <c r="AIT5" s="181"/>
      <c r="AIU5" s="180"/>
      <c r="AIV5" s="182"/>
      <c r="AIW5" s="182"/>
      <c r="AIX5" s="182"/>
      <c r="AIY5" s="182"/>
      <c r="AIZ5" s="182"/>
      <c r="AJA5" s="182"/>
      <c r="AJB5" s="179"/>
      <c r="AJC5" s="180"/>
      <c r="AJD5" s="180"/>
      <c r="AJE5" s="180"/>
      <c r="AJF5" s="180"/>
      <c r="AJG5" s="181"/>
      <c r="AJH5" s="180"/>
      <c r="AJI5" s="182"/>
      <c r="AJJ5" s="182"/>
      <c r="AJK5" s="182"/>
      <c r="AJL5" s="182"/>
      <c r="AJM5" s="182"/>
      <c r="AJN5" s="182"/>
      <c r="AJO5" s="179"/>
      <c r="AJP5" s="180"/>
      <c r="AJQ5" s="180"/>
      <c r="AJR5" s="180"/>
      <c r="AJS5" s="180"/>
      <c r="AJT5" s="181"/>
      <c r="AJU5" s="180"/>
      <c r="AJV5" s="182"/>
      <c r="AJW5" s="182"/>
      <c r="AJX5" s="182"/>
      <c r="AJY5" s="182"/>
      <c r="AJZ5" s="182"/>
      <c r="AKA5" s="182"/>
      <c r="AKB5" s="179"/>
      <c r="AKC5" s="180"/>
      <c r="AKD5" s="180"/>
      <c r="AKE5" s="180"/>
      <c r="AKF5" s="180"/>
      <c r="AKG5" s="181"/>
      <c r="AKH5" s="180"/>
      <c r="AKI5" s="182"/>
      <c r="AKJ5" s="182"/>
      <c r="AKK5" s="182"/>
      <c r="AKL5" s="182"/>
      <c r="AKM5" s="182"/>
      <c r="AKN5" s="182"/>
      <c r="AKO5" s="179"/>
      <c r="AKP5" s="180"/>
      <c r="AKQ5" s="180"/>
      <c r="AKR5" s="180"/>
      <c r="AKS5" s="180"/>
      <c r="AKT5" s="181"/>
      <c r="AKU5" s="180"/>
      <c r="AKV5" s="182"/>
      <c r="AKW5" s="182"/>
      <c r="AKX5" s="182"/>
      <c r="AKY5" s="182"/>
      <c r="AKZ5" s="182"/>
      <c r="ALA5" s="182"/>
      <c r="ALB5" s="179"/>
      <c r="ALC5" s="180"/>
      <c r="ALD5" s="180"/>
      <c r="ALE5" s="180"/>
      <c r="ALF5" s="180"/>
      <c r="ALG5" s="181"/>
      <c r="ALH5" s="180"/>
      <c r="ALI5" s="182"/>
      <c r="ALJ5" s="182"/>
      <c r="ALK5" s="182"/>
      <c r="ALL5" s="182"/>
      <c r="ALM5" s="182"/>
      <c r="ALN5" s="182"/>
      <c r="ALO5" s="179"/>
      <c r="ALP5" s="180"/>
      <c r="ALQ5" s="180"/>
      <c r="ALR5" s="180"/>
      <c r="ALS5" s="180"/>
      <c r="ALT5" s="181"/>
      <c r="ALU5" s="180"/>
      <c r="ALV5" s="182"/>
      <c r="ALW5" s="182"/>
      <c r="ALX5" s="182"/>
      <c r="ALY5" s="182"/>
      <c r="ALZ5" s="182"/>
      <c r="AMA5" s="182"/>
      <c r="AMB5" s="179"/>
      <c r="AMC5" s="180"/>
      <c r="AMD5" s="180"/>
      <c r="AME5" s="180"/>
      <c r="AMF5" s="180"/>
      <c r="AMG5" s="181"/>
      <c r="AMH5" s="180"/>
      <c r="AMI5" s="182"/>
      <c r="AMJ5" s="182"/>
      <c r="AMK5" s="182"/>
      <c r="AML5" s="182"/>
      <c r="AMM5" s="182"/>
      <c r="AMN5" s="182"/>
      <c r="AMO5" s="179"/>
      <c r="AMP5" s="180"/>
      <c r="AMQ5" s="180"/>
      <c r="AMR5" s="180"/>
      <c r="AMS5" s="180"/>
      <c r="AMT5" s="181"/>
      <c r="AMU5" s="180"/>
      <c r="AMV5" s="182"/>
      <c r="AMW5" s="182"/>
      <c r="AMX5" s="182"/>
      <c r="AMY5" s="182"/>
      <c r="AMZ5" s="182"/>
      <c r="ANA5" s="182"/>
      <c r="ANB5" s="179"/>
      <c r="ANC5" s="180"/>
      <c r="AND5" s="180"/>
      <c r="ANE5" s="180"/>
      <c r="ANF5" s="180"/>
      <c r="ANG5" s="181"/>
      <c r="ANH5" s="180"/>
      <c r="ANI5" s="182"/>
      <c r="ANJ5" s="182"/>
      <c r="ANK5" s="182"/>
      <c r="ANL5" s="182"/>
      <c r="ANM5" s="182"/>
      <c r="ANN5" s="182"/>
      <c r="ANO5" s="179"/>
      <c r="ANP5" s="180"/>
      <c r="ANQ5" s="180"/>
      <c r="ANR5" s="180"/>
      <c r="ANS5" s="180"/>
      <c r="ANT5" s="181"/>
      <c r="ANU5" s="180"/>
      <c r="ANV5" s="182"/>
      <c r="ANW5" s="182"/>
      <c r="ANX5" s="182"/>
      <c r="ANY5" s="182"/>
      <c r="ANZ5" s="182"/>
      <c r="AOA5" s="182"/>
      <c r="AOB5" s="179"/>
      <c r="AOC5" s="180"/>
      <c r="AOD5" s="180"/>
      <c r="AOE5" s="180"/>
      <c r="AOF5" s="180"/>
      <c r="AOG5" s="181"/>
      <c r="AOH5" s="180"/>
      <c r="AOI5" s="182"/>
      <c r="AOJ5" s="182"/>
      <c r="AOK5" s="182"/>
      <c r="AOL5" s="182"/>
      <c r="AOM5" s="182"/>
      <c r="AON5" s="182"/>
      <c r="AOO5" s="179"/>
      <c r="AOP5" s="180"/>
      <c r="AOQ5" s="180"/>
      <c r="AOR5" s="180"/>
      <c r="AOS5" s="180"/>
      <c r="AOT5" s="181"/>
      <c r="AOU5" s="180"/>
      <c r="AOV5" s="182"/>
      <c r="AOW5" s="182"/>
      <c r="AOX5" s="182"/>
      <c r="AOY5" s="182"/>
      <c r="AOZ5" s="182"/>
      <c r="APA5" s="182"/>
      <c r="APB5" s="179"/>
      <c r="APC5" s="180"/>
      <c r="APD5" s="180"/>
      <c r="APE5" s="180"/>
      <c r="APF5" s="180"/>
      <c r="APG5" s="181"/>
      <c r="APH5" s="180"/>
      <c r="API5" s="182"/>
      <c r="APJ5" s="182"/>
      <c r="APK5" s="182"/>
      <c r="APL5" s="182"/>
      <c r="APM5" s="182"/>
      <c r="APN5" s="182"/>
      <c r="APO5" s="179"/>
      <c r="APP5" s="180"/>
      <c r="APQ5" s="180"/>
      <c r="APR5" s="180"/>
      <c r="APS5" s="180"/>
      <c r="APT5" s="181"/>
      <c r="APU5" s="180"/>
      <c r="APV5" s="182"/>
      <c r="APW5" s="182"/>
      <c r="APX5" s="182"/>
      <c r="APY5" s="182"/>
      <c r="APZ5" s="182"/>
      <c r="AQA5" s="182"/>
      <c r="AQB5" s="179"/>
      <c r="AQC5" s="180"/>
      <c r="AQD5" s="180"/>
      <c r="AQE5" s="180"/>
      <c r="AQF5" s="180"/>
      <c r="AQG5" s="181"/>
      <c r="AQH5" s="180"/>
      <c r="AQI5" s="182"/>
      <c r="AQJ5" s="182"/>
      <c r="AQK5" s="182"/>
      <c r="AQL5" s="182"/>
      <c r="AQM5" s="182"/>
      <c r="AQN5" s="182"/>
      <c r="AQO5" s="179"/>
      <c r="AQP5" s="180"/>
      <c r="AQQ5" s="180"/>
      <c r="AQR5" s="180"/>
      <c r="AQS5" s="180"/>
      <c r="AQT5" s="181"/>
      <c r="AQU5" s="180"/>
      <c r="AQV5" s="182"/>
      <c r="AQW5" s="182"/>
      <c r="AQX5" s="182"/>
      <c r="AQY5" s="182"/>
      <c r="AQZ5" s="182"/>
      <c r="ARA5" s="182"/>
      <c r="ARB5" s="179"/>
      <c r="ARC5" s="180"/>
      <c r="ARD5" s="180"/>
      <c r="ARE5" s="180"/>
      <c r="ARF5" s="180"/>
      <c r="ARG5" s="181"/>
      <c r="ARH5" s="180"/>
      <c r="ARI5" s="182"/>
      <c r="ARJ5" s="182"/>
      <c r="ARK5" s="182"/>
      <c r="ARL5" s="182"/>
      <c r="ARM5" s="182"/>
      <c r="ARN5" s="182"/>
      <c r="ARO5" s="179"/>
      <c r="ARP5" s="180"/>
      <c r="ARQ5" s="180"/>
      <c r="ARR5" s="180"/>
      <c r="ARS5" s="180"/>
      <c r="ART5" s="181"/>
      <c r="ARU5" s="180"/>
      <c r="ARV5" s="182"/>
      <c r="ARW5" s="182"/>
      <c r="ARX5" s="182"/>
      <c r="ARY5" s="182"/>
      <c r="ARZ5" s="182"/>
      <c r="ASA5" s="182"/>
      <c r="ASB5" s="179"/>
      <c r="ASC5" s="180"/>
      <c r="ASD5" s="180"/>
      <c r="ASE5" s="180"/>
      <c r="ASF5" s="180"/>
      <c r="ASG5" s="181"/>
      <c r="ASH5" s="180"/>
      <c r="ASI5" s="182"/>
      <c r="ASJ5" s="182"/>
      <c r="ASK5" s="182"/>
      <c r="ASL5" s="182"/>
      <c r="ASM5" s="182"/>
      <c r="ASN5" s="182"/>
      <c r="ASO5" s="179"/>
      <c r="ASP5" s="180"/>
      <c r="ASQ5" s="180"/>
      <c r="ASR5" s="180"/>
      <c r="ASS5" s="180"/>
      <c r="AST5" s="181"/>
      <c r="ASU5" s="180"/>
      <c r="ASV5" s="182"/>
      <c r="ASW5" s="182"/>
      <c r="ASX5" s="182"/>
      <c r="ASY5" s="182"/>
      <c r="ASZ5" s="182"/>
      <c r="ATA5" s="182"/>
      <c r="ATB5" s="179"/>
      <c r="ATC5" s="180"/>
      <c r="ATD5" s="180"/>
      <c r="ATE5" s="180"/>
      <c r="ATF5" s="180"/>
      <c r="ATG5" s="181"/>
      <c r="ATH5" s="180"/>
      <c r="ATI5" s="182"/>
      <c r="ATJ5" s="182"/>
      <c r="ATK5" s="182"/>
      <c r="ATL5" s="182"/>
      <c r="ATM5" s="182"/>
      <c r="ATN5" s="182"/>
      <c r="ATO5" s="179"/>
      <c r="ATP5" s="180"/>
      <c r="ATQ5" s="180"/>
      <c r="ATR5" s="180"/>
      <c r="ATS5" s="180"/>
      <c r="ATT5" s="181"/>
      <c r="ATU5" s="180"/>
      <c r="ATV5" s="182"/>
      <c r="ATW5" s="182"/>
      <c r="ATX5" s="182"/>
      <c r="ATY5" s="182"/>
      <c r="ATZ5" s="182"/>
      <c r="AUA5" s="182"/>
      <c r="AUB5" s="179"/>
      <c r="AUC5" s="180"/>
      <c r="AUD5" s="180"/>
      <c r="AUE5" s="180"/>
      <c r="AUF5" s="180"/>
      <c r="AUG5" s="181"/>
      <c r="AUH5" s="180"/>
      <c r="AUI5" s="182"/>
      <c r="AUJ5" s="182"/>
      <c r="AUK5" s="182"/>
      <c r="AUL5" s="182"/>
      <c r="AUM5" s="182"/>
      <c r="AUN5" s="182"/>
      <c r="AUO5" s="179"/>
      <c r="AUP5" s="180"/>
      <c r="AUQ5" s="180"/>
      <c r="AUR5" s="180"/>
      <c r="AUS5" s="180"/>
      <c r="AUT5" s="181"/>
      <c r="AUU5" s="180"/>
      <c r="AUV5" s="182"/>
      <c r="AUW5" s="182"/>
      <c r="AUX5" s="182"/>
      <c r="AUY5" s="182"/>
      <c r="AUZ5" s="182"/>
      <c r="AVA5" s="182"/>
      <c r="AVB5" s="179"/>
      <c r="AVC5" s="180"/>
      <c r="AVD5" s="180"/>
      <c r="AVE5" s="180"/>
      <c r="AVF5" s="180"/>
      <c r="AVG5" s="181"/>
      <c r="AVH5" s="180"/>
      <c r="AVI5" s="182"/>
      <c r="AVJ5" s="182"/>
      <c r="AVK5" s="182"/>
      <c r="AVL5" s="182"/>
      <c r="AVM5" s="182"/>
      <c r="AVN5" s="182"/>
      <c r="AVO5" s="179"/>
      <c r="AVP5" s="180"/>
      <c r="AVQ5" s="180"/>
      <c r="AVR5" s="180"/>
      <c r="AVS5" s="180"/>
      <c r="AVT5" s="181"/>
      <c r="AVU5" s="180"/>
      <c r="AVV5" s="182"/>
      <c r="AVW5" s="182"/>
      <c r="AVX5" s="182"/>
      <c r="AVY5" s="182"/>
      <c r="AVZ5" s="182"/>
      <c r="AWA5" s="182"/>
      <c r="AWB5" s="179"/>
      <c r="AWC5" s="180"/>
      <c r="AWD5" s="180"/>
      <c r="AWE5" s="180"/>
      <c r="AWF5" s="180"/>
      <c r="AWG5" s="181"/>
      <c r="AWH5" s="180"/>
      <c r="AWI5" s="182"/>
      <c r="AWJ5" s="182"/>
      <c r="AWK5" s="182"/>
      <c r="AWL5" s="182"/>
      <c r="AWM5" s="182"/>
      <c r="AWN5" s="182"/>
      <c r="AWO5" s="179"/>
      <c r="AWP5" s="180"/>
      <c r="AWQ5" s="180"/>
      <c r="AWR5" s="180"/>
      <c r="AWS5" s="180"/>
      <c r="AWT5" s="181"/>
      <c r="AWU5" s="180"/>
      <c r="AWV5" s="182"/>
      <c r="AWW5" s="182"/>
      <c r="AWX5" s="182"/>
      <c r="AWY5" s="182"/>
      <c r="AWZ5" s="182"/>
      <c r="AXA5" s="182"/>
      <c r="AXB5" s="179"/>
      <c r="AXC5" s="180"/>
      <c r="AXD5" s="180"/>
      <c r="AXE5" s="180"/>
      <c r="AXF5" s="180"/>
      <c r="AXG5" s="181"/>
      <c r="AXH5" s="180"/>
      <c r="AXI5" s="182"/>
      <c r="AXJ5" s="182"/>
      <c r="AXK5" s="182"/>
      <c r="AXL5" s="182"/>
      <c r="AXM5" s="182"/>
      <c r="AXN5" s="182"/>
      <c r="AXO5" s="179"/>
      <c r="AXP5" s="180"/>
      <c r="AXQ5" s="180"/>
      <c r="AXR5" s="180"/>
      <c r="AXS5" s="180"/>
      <c r="AXT5" s="181"/>
      <c r="AXU5" s="180"/>
      <c r="AXV5" s="182"/>
      <c r="AXW5" s="182"/>
      <c r="AXX5" s="182"/>
      <c r="AXY5" s="182"/>
      <c r="AXZ5" s="182"/>
      <c r="AYA5" s="182"/>
      <c r="AYB5" s="179"/>
      <c r="AYC5" s="180"/>
      <c r="AYD5" s="180"/>
      <c r="AYE5" s="180"/>
      <c r="AYF5" s="180"/>
      <c r="AYG5" s="181"/>
      <c r="AYH5" s="180"/>
      <c r="AYI5" s="182"/>
      <c r="AYJ5" s="182"/>
      <c r="AYK5" s="182"/>
      <c r="AYL5" s="182"/>
      <c r="AYM5" s="182"/>
      <c r="AYN5" s="182"/>
      <c r="AYO5" s="179"/>
      <c r="AYP5" s="180"/>
      <c r="AYQ5" s="180"/>
      <c r="AYR5" s="180"/>
      <c r="AYS5" s="180"/>
      <c r="AYT5" s="181"/>
      <c r="AYU5" s="180"/>
      <c r="AYV5" s="182"/>
      <c r="AYW5" s="182"/>
      <c r="AYX5" s="182"/>
      <c r="AYY5" s="182"/>
      <c r="AYZ5" s="182"/>
      <c r="AZA5" s="182"/>
      <c r="AZB5" s="179"/>
      <c r="AZC5" s="180"/>
      <c r="AZD5" s="180"/>
      <c r="AZE5" s="180"/>
      <c r="AZF5" s="180"/>
      <c r="AZG5" s="181"/>
      <c r="AZH5" s="180"/>
      <c r="AZI5" s="182"/>
      <c r="AZJ5" s="182"/>
      <c r="AZK5" s="182"/>
      <c r="AZL5" s="182"/>
      <c r="AZM5" s="182"/>
      <c r="AZN5" s="182"/>
      <c r="AZO5" s="179"/>
      <c r="AZP5" s="180"/>
      <c r="AZQ5" s="180"/>
      <c r="AZR5" s="180"/>
      <c r="AZS5" s="180"/>
      <c r="AZT5" s="181"/>
      <c r="AZU5" s="180"/>
      <c r="AZV5" s="182"/>
      <c r="AZW5" s="182"/>
      <c r="AZX5" s="182"/>
      <c r="AZY5" s="182"/>
      <c r="AZZ5" s="182"/>
      <c r="BAA5" s="182"/>
      <c r="BAB5" s="179"/>
      <c r="BAC5" s="180"/>
      <c r="BAD5" s="180"/>
      <c r="BAE5" s="180"/>
      <c r="BAF5" s="180"/>
      <c r="BAG5" s="181"/>
      <c r="BAH5" s="180"/>
      <c r="BAI5" s="182"/>
      <c r="BAJ5" s="182"/>
      <c r="BAK5" s="182"/>
      <c r="BAL5" s="182"/>
      <c r="BAM5" s="182"/>
      <c r="BAN5" s="182"/>
      <c r="BAO5" s="179"/>
      <c r="BAP5" s="180"/>
      <c r="BAQ5" s="180"/>
      <c r="BAR5" s="180"/>
      <c r="BAS5" s="180"/>
      <c r="BAT5" s="181"/>
      <c r="BAU5" s="180"/>
      <c r="BAV5" s="182"/>
      <c r="BAW5" s="182"/>
      <c r="BAX5" s="182"/>
      <c r="BAY5" s="182"/>
      <c r="BAZ5" s="182"/>
      <c r="BBA5" s="182"/>
      <c r="BBB5" s="179"/>
      <c r="BBC5" s="180"/>
      <c r="BBD5" s="180"/>
      <c r="BBE5" s="180"/>
      <c r="BBF5" s="180"/>
      <c r="BBG5" s="181"/>
      <c r="BBH5" s="180"/>
      <c r="BBI5" s="182"/>
      <c r="BBJ5" s="182"/>
      <c r="BBK5" s="182"/>
      <c r="BBL5" s="182"/>
      <c r="BBM5" s="182"/>
      <c r="BBN5" s="182"/>
      <c r="BBO5" s="179"/>
      <c r="BBP5" s="180"/>
      <c r="BBQ5" s="180"/>
      <c r="BBR5" s="180"/>
      <c r="BBS5" s="180"/>
      <c r="BBT5" s="181"/>
      <c r="BBU5" s="180"/>
      <c r="BBV5" s="182"/>
      <c r="BBW5" s="182"/>
      <c r="BBX5" s="182"/>
      <c r="BBY5" s="182"/>
      <c r="BBZ5" s="182"/>
      <c r="BCA5" s="182"/>
      <c r="BCB5" s="179"/>
      <c r="BCC5" s="180"/>
      <c r="BCD5" s="180"/>
      <c r="BCE5" s="180"/>
      <c r="BCF5" s="180"/>
      <c r="BCG5" s="181"/>
      <c r="BCH5" s="180"/>
      <c r="BCI5" s="182"/>
      <c r="BCJ5" s="182"/>
      <c r="BCK5" s="182"/>
      <c r="BCL5" s="182"/>
      <c r="BCM5" s="182"/>
      <c r="BCN5" s="182"/>
      <c r="BCO5" s="179"/>
      <c r="BCP5" s="180"/>
      <c r="BCQ5" s="180"/>
      <c r="BCR5" s="180"/>
      <c r="BCS5" s="180"/>
      <c r="BCT5" s="181"/>
      <c r="BCU5" s="180"/>
      <c r="BCV5" s="182"/>
      <c r="BCW5" s="182"/>
      <c r="BCX5" s="182"/>
      <c r="BCY5" s="182"/>
      <c r="BCZ5" s="182"/>
      <c r="BDA5" s="182"/>
      <c r="BDB5" s="179"/>
      <c r="BDC5" s="180"/>
      <c r="BDD5" s="180"/>
      <c r="BDE5" s="180"/>
      <c r="BDF5" s="180"/>
      <c r="BDG5" s="181"/>
      <c r="BDH5" s="180"/>
      <c r="BDI5" s="182"/>
      <c r="BDJ5" s="182"/>
      <c r="BDK5" s="182"/>
      <c r="BDL5" s="182"/>
      <c r="BDM5" s="182"/>
      <c r="BDN5" s="182"/>
      <c r="BDO5" s="179"/>
      <c r="BDP5" s="180"/>
      <c r="BDQ5" s="180"/>
      <c r="BDR5" s="180"/>
      <c r="BDS5" s="180"/>
      <c r="BDT5" s="181"/>
      <c r="BDU5" s="180"/>
      <c r="BDV5" s="182"/>
      <c r="BDW5" s="182"/>
      <c r="BDX5" s="182"/>
      <c r="BDY5" s="182"/>
      <c r="BDZ5" s="182"/>
      <c r="BEA5" s="182"/>
      <c r="BEB5" s="179"/>
      <c r="BEC5" s="180"/>
      <c r="BED5" s="180"/>
      <c r="BEE5" s="180"/>
      <c r="BEF5" s="180"/>
      <c r="BEG5" s="181"/>
      <c r="BEH5" s="180"/>
      <c r="BEI5" s="182"/>
      <c r="BEJ5" s="182"/>
      <c r="BEK5" s="182"/>
      <c r="BEL5" s="182"/>
      <c r="BEM5" s="182"/>
      <c r="BEN5" s="182"/>
      <c r="BEO5" s="179"/>
      <c r="BEP5" s="180"/>
      <c r="BEQ5" s="180"/>
      <c r="BER5" s="180"/>
      <c r="BES5" s="180"/>
      <c r="BET5" s="181"/>
      <c r="BEU5" s="180"/>
      <c r="BEV5" s="182"/>
      <c r="BEW5" s="182"/>
      <c r="BEX5" s="182"/>
      <c r="BEY5" s="182"/>
      <c r="BEZ5" s="182"/>
      <c r="BFA5" s="182"/>
      <c r="BFB5" s="179"/>
      <c r="BFC5" s="180"/>
      <c r="BFD5" s="180"/>
      <c r="BFE5" s="180"/>
      <c r="BFF5" s="180"/>
      <c r="BFG5" s="181"/>
      <c r="BFH5" s="180"/>
      <c r="BFI5" s="182"/>
      <c r="BFJ5" s="182"/>
      <c r="BFK5" s="182"/>
      <c r="BFL5" s="182"/>
      <c r="BFM5" s="182"/>
      <c r="BFN5" s="182"/>
      <c r="BFO5" s="179"/>
      <c r="BFP5" s="180"/>
      <c r="BFQ5" s="180"/>
      <c r="BFR5" s="180"/>
      <c r="BFS5" s="180"/>
      <c r="BFT5" s="181"/>
      <c r="BFU5" s="180"/>
      <c r="BFV5" s="182"/>
      <c r="BFW5" s="182"/>
      <c r="BFX5" s="182"/>
      <c r="BFY5" s="182"/>
      <c r="BFZ5" s="182"/>
      <c r="BGA5" s="182"/>
      <c r="BGB5" s="179"/>
      <c r="BGC5" s="180"/>
      <c r="BGD5" s="180"/>
      <c r="BGE5" s="180"/>
      <c r="BGF5" s="180"/>
      <c r="BGG5" s="181"/>
      <c r="BGH5" s="180"/>
      <c r="BGI5" s="182"/>
      <c r="BGJ5" s="182"/>
      <c r="BGK5" s="182"/>
      <c r="BGL5" s="182"/>
      <c r="BGM5" s="182"/>
      <c r="BGN5" s="182"/>
      <c r="BGO5" s="179"/>
      <c r="BGP5" s="180"/>
      <c r="BGQ5" s="180"/>
      <c r="BGR5" s="180"/>
      <c r="BGS5" s="180"/>
      <c r="BGT5" s="181"/>
      <c r="BGU5" s="180"/>
      <c r="BGV5" s="182"/>
      <c r="BGW5" s="182"/>
      <c r="BGX5" s="182"/>
      <c r="BGY5" s="182"/>
      <c r="BGZ5" s="182"/>
      <c r="BHA5" s="182"/>
      <c r="BHB5" s="179"/>
      <c r="BHC5" s="180"/>
      <c r="BHD5" s="180"/>
      <c r="BHE5" s="180"/>
      <c r="BHF5" s="180"/>
      <c r="BHG5" s="181"/>
      <c r="BHH5" s="180"/>
      <c r="BHI5" s="182"/>
      <c r="BHJ5" s="182"/>
      <c r="BHK5" s="182"/>
      <c r="BHL5" s="182"/>
      <c r="BHM5" s="182"/>
      <c r="BHN5" s="182"/>
      <c r="BHO5" s="179"/>
      <c r="BHP5" s="180"/>
      <c r="BHQ5" s="180"/>
      <c r="BHR5" s="180"/>
      <c r="BHS5" s="180"/>
      <c r="BHT5" s="181"/>
      <c r="BHU5" s="180"/>
      <c r="BHV5" s="182"/>
      <c r="BHW5" s="182"/>
      <c r="BHX5" s="182"/>
      <c r="BHY5" s="182"/>
      <c r="BHZ5" s="182"/>
      <c r="BIA5" s="182"/>
      <c r="BIB5" s="179"/>
      <c r="BIC5" s="180"/>
      <c r="BID5" s="180"/>
      <c r="BIE5" s="180"/>
      <c r="BIF5" s="180"/>
      <c r="BIG5" s="181"/>
      <c r="BIH5" s="180"/>
      <c r="BII5" s="182"/>
      <c r="BIJ5" s="182"/>
      <c r="BIK5" s="182"/>
      <c r="BIL5" s="182"/>
      <c r="BIM5" s="182"/>
      <c r="BIN5" s="182"/>
      <c r="BIO5" s="179"/>
      <c r="BIP5" s="180"/>
      <c r="BIQ5" s="180"/>
      <c r="BIR5" s="180"/>
      <c r="BIS5" s="180"/>
      <c r="BIT5" s="181"/>
      <c r="BIU5" s="180"/>
      <c r="BIV5" s="182"/>
      <c r="BIW5" s="182"/>
      <c r="BIX5" s="182"/>
      <c r="BIY5" s="182"/>
      <c r="BIZ5" s="182"/>
      <c r="BJA5" s="182"/>
      <c r="BJB5" s="179"/>
      <c r="BJC5" s="180"/>
      <c r="BJD5" s="180"/>
      <c r="BJE5" s="180"/>
      <c r="BJF5" s="180"/>
      <c r="BJG5" s="181"/>
      <c r="BJH5" s="180"/>
      <c r="BJI5" s="182"/>
      <c r="BJJ5" s="182"/>
      <c r="BJK5" s="182"/>
      <c r="BJL5" s="182"/>
      <c r="BJM5" s="182"/>
      <c r="BJN5" s="182"/>
      <c r="BJO5" s="179"/>
      <c r="BJP5" s="180"/>
      <c r="BJQ5" s="180"/>
      <c r="BJR5" s="180"/>
      <c r="BJS5" s="180"/>
      <c r="BJT5" s="181"/>
      <c r="BJU5" s="180"/>
      <c r="BJV5" s="182"/>
      <c r="BJW5" s="182"/>
      <c r="BJX5" s="182"/>
      <c r="BJY5" s="182"/>
      <c r="BJZ5" s="182"/>
      <c r="BKA5" s="182"/>
      <c r="BKB5" s="179"/>
      <c r="BKC5" s="180"/>
      <c r="BKD5" s="180"/>
      <c r="BKE5" s="180"/>
      <c r="BKF5" s="180"/>
      <c r="BKG5" s="181"/>
      <c r="BKH5" s="180"/>
      <c r="BKI5" s="182"/>
      <c r="BKJ5" s="182"/>
      <c r="BKK5" s="182"/>
      <c r="BKL5" s="182"/>
      <c r="BKM5" s="182"/>
      <c r="BKN5" s="182"/>
      <c r="BKO5" s="179"/>
      <c r="BKP5" s="180"/>
      <c r="BKQ5" s="180"/>
      <c r="BKR5" s="180"/>
      <c r="BKS5" s="180"/>
      <c r="BKT5" s="181"/>
      <c r="BKU5" s="180"/>
      <c r="BKV5" s="182"/>
      <c r="BKW5" s="182"/>
      <c r="BKX5" s="182"/>
      <c r="BKY5" s="182"/>
      <c r="BKZ5" s="182"/>
      <c r="BLA5" s="182"/>
      <c r="BLB5" s="179"/>
      <c r="BLC5" s="180"/>
      <c r="BLD5" s="180"/>
      <c r="BLE5" s="180"/>
      <c r="BLF5" s="180"/>
      <c r="BLG5" s="181"/>
      <c r="BLH5" s="180"/>
      <c r="BLI5" s="182"/>
      <c r="BLJ5" s="182"/>
      <c r="BLK5" s="182"/>
      <c r="BLL5" s="182"/>
      <c r="BLM5" s="182"/>
      <c r="BLN5" s="182"/>
      <c r="BLO5" s="179"/>
      <c r="BLP5" s="180"/>
      <c r="BLQ5" s="180"/>
      <c r="BLR5" s="180"/>
      <c r="BLS5" s="180"/>
      <c r="BLT5" s="181"/>
      <c r="BLU5" s="180"/>
      <c r="BLV5" s="182"/>
      <c r="BLW5" s="182"/>
      <c r="BLX5" s="182"/>
      <c r="BLY5" s="182"/>
      <c r="BLZ5" s="182"/>
      <c r="BMA5" s="182"/>
      <c r="BMB5" s="179"/>
      <c r="BMC5" s="180"/>
      <c r="BMD5" s="180"/>
      <c r="BME5" s="180"/>
      <c r="BMF5" s="180"/>
      <c r="BMG5" s="181"/>
      <c r="BMH5" s="180"/>
      <c r="BMI5" s="182"/>
      <c r="BMJ5" s="182"/>
      <c r="BMK5" s="182"/>
      <c r="BML5" s="182"/>
      <c r="BMM5" s="182"/>
      <c r="BMN5" s="182"/>
      <c r="BMO5" s="179"/>
      <c r="BMP5" s="180"/>
      <c r="BMQ5" s="180"/>
      <c r="BMR5" s="180"/>
      <c r="BMS5" s="180"/>
      <c r="BMT5" s="181"/>
      <c r="BMU5" s="180"/>
      <c r="BMV5" s="182"/>
      <c r="BMW5" s="182"/>
      <c r="BMX5" s="182"/>
      <c r="BMY5" s="182"/>
      <c r="BMZ5" s="182"/>
      <c r="BNA5" s="182"/>
      <c r="BNB5" s="179"/>
      <c r="BNC5" s="180"/>
      <c r="BND5" s="180"/>
      <c r="BNE5" s="180"/>
      <c r="BNF5" s="180"/>
      <c r="BNG5" s="181"/>
      <c r="BNH5" s="180"/>
      <c r="BNI5" s="182"/>
      <c r="BNJ5" s="182"/>
      <c r="BNK5" s="182"/>
      <c r="BNL5" s="182"/>
      <c r="BNM5" s="182"/>
      <c r="BNN5" s="182"/>
      <c r="BNO5" s="179"/>
      <c r="BNP5" s="180"/>
      <c r="BNQ5" s="180"/>
      <c r="BNR5" s="180"/>
      <c r="BNS5" s="180"/>
      <c r="BNT5" s="181"/>
      <c r="BNU5" s="180"/>
      <c r="BNV5" s="182"/>
      <c r="BNW5" s="182"/>
      <c r="BNX5" s="182"/>
      <c r="BNY5" s="182"/>
      <c r="BNZ5" s="182"/>
      <c r="BOA5" s="182"/>
      <c r="BOB5" s="179"/>
      <c r="BOC5" s="180"/>
      <c r="BOD5" s="180"/>
      <c r="BOE5" s="180"/>
      <c r="BOF5" s="180"/>
      <c r="BOG5" s="181"/>
      <c r="BOH5" s="180"/>
      <c r="BOI5" s="182"/>
      <c r="BOJ5" s="182"/>
      <c r="BOK5" s="182"/>
      <c r="BOL5" s="182"/>
      <c r="BOM5" s="182"/>
      <c r="BON5" s="182"/>
      <c r="BOO5" s="179"/>
      <c r="BOP5" s="180"/>
      <c r="BOQ5" s="180"/>
      <c r="BOR5" s="180"/>
      <c r="BOS5" s="180"/>
      <c r="BOT5" s="181"/>
      <c r="BOU5" s="180"/>
      <c r="BOV5" s="182"/>
      <c r="BOW5" s="182"/>
      <c r="BOX5" s="182"/>
      <c r="BOY5" s="182"/>
      <c r="BOZ5" s="182"/>
      <c r="BPA5" s="182"/>
      <c r="BPB5" s="179"/>
      <c r="BPC5" s="180"/>
      <c r="BPD5" s="180"/>
      <c r="BPE5" s="180"/>
      <c r="BPF5" s="180"/>
      <c r="BPG5" s="181"/>
      <c r="BPH5" s="180"/>
      <c r="BPI5" s="182"/>
      <c r="BPJ5" s="182"/>
      <c r="BPK5" s="182"/>
      <c r="BPL5" s="182"/>
      <c r="BPM5" s="182"/>
      <c r="BPN5" s="182"/>
      <c r="BPO5" s="179"/>
      <c r="BPP5" s="180"/>
      <c r="BPQ5" s="180"/>
      <c r="BPR5" s="180"/>
      <c r="BPS5" s="180"/>
      <c r="BPT5" s="181"/>
      <c r="BPU5" s="180"/>
      <c r="BPV5" s="182"/>
      <c r="BPW5" s="182"/>
      <c r="BPX5" s="182"/>
      <c r="BPY5" s="182"/>
      <c r="BPZ5" s="182"/>
      <c r="BQA5" s="182"/>
      <c r="BQB5" s="179"/>
      <c r="BQC5" s="180"/>
      <c r="BQD5" s="180"/>
      <c r="BQE5" s="180"/>
      <c r="BQF5" s="180"/>
      <c r="BQG5" s="181"/>
      <c r="BQH5" s="180"/>
      <c r="BQI5" s="182"/>
      <c r="BQJ5" s="182"/>
      <c r="BQK5" s="182"/>
      <c r="BQL5" s="182"/>
      <c r="BQM5" s="182"/>
      <c r="BQN5" s="182"/>
      <c r="BQO5" s="179"/>
      <c r="BQP5" s="180"/>
      <c r="BQQ5" s="180"/>
      <c r="BQR5" s="180"/>
      <c r="BQS5" s="180"/>
      <c r="BQT5" s="181"/>
      <c r="BQU5" s="180"/>
      <c r="BQV5" s="182"/>
      <c r="BQW5" s="182"/>
      <c r="BQX5" s="182"/>
      <c r="BQY5" s="182"/>
      <c r="BQZ5" s="182"/>
      <c r="BRA5" s="182"/>
      <c r="BRB5" s="179"/>
      <c r="BRC5" s="180"/>
      <c r="BRD5" s="180"/>
      <c r="BRE5" s="180"/>
      <c r="BRF5" s="180"/>
      <c r="BRG5" s="181"/>
      <c r="BRH5" s="180"/>
      <c r="BRI5" s="182"/>
      <c r="BRJ5" s="182"/>
      <c r="BRK5" s="182"/>
      <c r="BRL5" s="182"/>
      <c r="BRM5" s="182"/>
      <c r="BRN5" s="182"/>
      <c r="BRO5" s="179"/>
      <c r="BRP5" s="180"/>
      <c r="BRQ5" s="180"/>
      <c r="BRR5" s="180"/>
      <c r="BRS5" s="180"/>
      <c r="BRT5" s="181"/>
      <c r="BRU5" s="180"/>
      <c r="BRV5" s="182"/>
      <c r="BRW5" s="182"/>
      <c r="BRX5" s="182"/>
      <c r="BRY5" s="182"/>
      <c r="BRZ5" s="182"/>
      <c r="BSA5" s="182"/>
      <c r="BSB5" s="179"/>
      <c r="BSC5" s="180"/>
      <c r="BSD5" s="180"/>
      <c r="BSE5" s="180"/>
      <c r="BSF5" s="180"/>
      <c r="BSG5" s="181"/>
      <c r="BSH5" s="180"/>
      <c r="BSI5" s="182"/>
      <c r="BSJ5" s="182"/>
      <c r="BSK5" s="182"/>
      <c r="BSL5" s="182"/>
      <c r="BSM5" s="182"/>
      <c r="BSN5" s="182"/>
      <c r="BSO5" s="179"/>
      <c r="BSP5" s="180"/>
      <c r="BSQ5" s="180"/>
      <c r="BSR5" s="180"/>
      <c r="BSS5" s="180"/>
      <c r="BST5" s="181"/>
      <c r="BSU5" s="180"/>
      <c r="BSV5" s="182"/>
      <c r="BSW5" s="182"/>
      <c r="BSX5" s="182"/>
      <c r="BSY5" s="182"/>
      <c r="BSZ5" s="182"/>
      <c r="BTA5" s="182"/>
      <c r="BTB5" s="179"/>
      <c r="BTC5" s="180"/>
      <c r="BTD5" s="180"/>
      <c r="BTE5" s="180"/>
      <c r="BTF5" s="180"/>
      <c r="BTG5" s="181"/>
      <c r="BTH5" s="180"/>
      <c r="BTI5" s="182"/>
      <c r="BTJ5" s="182"/>
      <c r="BTK5" s="182"/>
      <c r="BTL5" s="182"/>
      <c r="BTM5" s="182"/>
      <c r="BTN5" s="182"/>
      <c r="BTO5" s="179"/>
      <c r="BTP5" s="180"/>
      <c r="BTQ5" s="180"/>
      <c r="BTR5" s="180"/>
      <c r="BTS5" s="180"/>
      <c r="BTT5" s="181"/>
      <c r="BTU5" s="180"/>
      <c r="BTV5" s="182"/>
      <c r="BTW5" s="182"/>
      <c r="BTX5" s="182"/>
      <c r="BTY5" s="182"/>
      <c r="BTZ5" s="182"/>
      <c r="BUA5" s="182"/>
      <c r="BUB5" s="179"/>
      <c r="BUC5" s="180"/>
      <c r="BUD5" s="180"/>
      <c r="BUE5" s="180"/>
      <c r="BUF5" s="180"/>
      <c r="BUG5" s="181"/>
      <c r="BUH5" s="180"/>
      <c r="BUI5" s="182"/>
      <c r="BUJ5" s="182"/>
      <c r="BUK5" s="182"/>
      <c r="BUL5" s="182"/>
      <c r="BUM5" s="182"/>
      <c r="BUN5" s="182"/>
      <c r="BUO5" s="179"/>
      <c r="BUP5" s="180"/>
      <c r="BUQ5" s="180"/>
      <c r="BUR5" s="180"/>
      <c r="BUS5" s="180"/>
      <c r="BUT5" s="181"/>
      <c r="BUU5" s="180"/>
      <c r="BUV5" s="182"/>
      <c r="BUW5" s="182"/>
      <c r="BUX5" s="182"/>
      <c r="BUY5" s="182"/>
      <c r="BUZ5" s="182"/>
      <c r="BVA5" s="182"/>
      <c r="BVB5" s="179"/>
      <c r="BVC5" s="180"/>
      <c r="BVD5" s="180"/>
      <c r="BVE5" s="180"/>
      <c r="BVF5" s="180"/>
      <c r="BVG5" s="181"/>
      <c r="BVH5" s="180"/>
      <c r="BVI5" s="182"/>
      <c r="BVJ5" s="182"/>
      <c r="BVK5" s="182"/>
      <c r="BVL5" s="182"/>
      <c r="BVM5" s="182"/>
      <c r="BVN5" s="182"/>
      <c r="BVO5" s="179"/>
      <c r="BVP5" s="180"/>
      <c r="BVQ5" s="180"/>
      <c r="BVR5" s="180"/>
      <c r="BVS5" s="180"/>
      <c r="BVT5" s="181"/>
      <c r="BVU5" s="180"/>
      <c r="BVV5" s="182"/>
      <c r="BVW5" s="182"/>
      <c r="BVX5" s="182"/>
      <c r="BVY5" s="182"/>
      <c r="BVZ5" s="182"/>
      <c r="BWA5" s="182"/>
      <c r="BWB5" s="179"/>
      <c r="BWC5" s="180"/>
      <c r="BWD5" s="180"/>
      <c r="BWE5" s="180"/>
      <c r="BWF5" s="180"/>
      <c r="BWG5" s="181"/>
      <c r="BWH5" s="180"/>
      <c r="BWI5" s="182"/>
      <c r="BWJ5" s="182"/>
      <c r="BWK5" s="182"/>
      <c r="BWL5" s="182"/>
      <c r="BWM5" s="182"/>
      <c r="BWN5" s="182"/>
      <c r="BWO5" s="179"/>
      <c r="BWP5" s="180"/>
      <c r="BWQ5" s="180"/>
      <c r="BWR5" s="180"/>
      <c r="BWS5" s="180"/>
      <c r="BWT5" s="181"/>
      <c r="BWU5" s="180"/>
      <c r="BWV5" s="182"/>
      <c r="BWW5" s="182"/>
      <c r="BWX5" s="182"/>
      <c r="BWY5" s="182"/>
      <c r="BWZ5" s="182"/>
      <c r="BXA5" s="182"/>
      <c r="BXB5" s="179"/>
      <c r="BXC5" s="180"/>
      <c r="BXD5" s="180"/>
      <c r="BXE5" s="180"/>
      <c r="BXF5" s="180"/>
      <c r="BXG5" s="181"/>
      <c r="BXH5" s="180"/>
      <c r="BXI5" s="182"/>
      <c r="BXJ5" s="182"/>
      <c r="BXK5" s="182"/>
      <c r="BXL5" s="182"/>
      <c r="BXM5" s="182"/>
      <c r="BXN5" s="182"/>
      <c r="BXO5" s="179"/>
      <c r="BXP5" s="180"/>
      <c r="BXQ5" s="180"/>
      <c r="BXR5" s="180"/>
      <c r="BXS5" s="180"/>
      <c r="BXT5" s="181"/>
      <c r="BXU5" s="180"/>
      <c r="BXV5" s="182"/>
      <c r="BXW5" s="182"/>
      <c r="BXX5" s="182"/>
      <c r="BXY5" s="182"/>
      <c r="BXZ5" s="182"/>
      <c r="BYA5" s="182"/>
      <c r="BYB5" s="179"/>
      <c r="BYC5" s="180"/>
      <c r="BYD5" s="180"/>
      <c r="BYE5" s="180"/>
      <c r="BYF5" s="180"/>
      <c r="BYG5" s="181"/>
      <c r="BYH5" s="180"/>
      <c r="BYI5" s="182"/>
      <c r="BYJ5" s="182"/>
      <c r="BYK5" s="182"/>
      <c r="BYL5" s="182"/>
      <c r="BYM5" s="182"/>
      <c r="BYN5" s="182"/>
      <c r="BYO5" s="179"/>
      <c r="BYP5" s="180"/>
      <c r="BYQ5" s="180"/>
      <c r="BYR5" s="180"/>
      <c r="BYS5" s="180"/>
      <c r="BYT5" s="181"/>
      <c r="BYU5" s="180"/>
      <c r="BYV5" s="182"/>
      <c r="BYW5" s="182"/>
      <c r="BYX5" s="182"/>
      <c r="BYY5" s="182"/>
      <c r="BYZ5" s="182"/>
      <c r="BZA5" s="182"/>
      <c r="BZB5" s="179"/>
      <c r="BZC5" s="180"/>
      <c r="BZD5" s="180"/>
      <c r="BZE5" s="180"/>
      <c r="BZF5" s="180"/>
      <c r="BZG5" s="181"/>
      <c r="BZH5" s="180"/>
      <c r="BZI5" s="182"/>
      <c r="BZJ5" s="182"/>
      <c r="BZK5" s="182"/>
      <c r="BZL5" s="182"/>
      <c r="BZM5" s="182"/>
      <c r="BZN5" s="182"/>
      <c r="BZO5" s="179"/>
      <c r="BZP5" s="180"/>
      <c r="BZQ5" s="180"/>
      <c r="BZR5" s="180"/>
      <c r="BZS5" s="180"/>
      <c r="BZT5" s="181"/>
      <c r="BZU5" s="180"/>
      <c r="BZV5" s="182"/>
      <c r="BZW5" s="182"/>
      <c r="BZX5" s="182"/>
      <c r="BZY5" s="182"/>
      <c r="BZZ5" s="182"/>
      <c r="CAA5" s="182"/>
      <c r="CAB5" s="179"/>
      <c r="CAC5" s="180"/>
      <c r="CAD5" s="180"/>
      <c r="CAE5" s="180"/>
      <c r="CAF5" s="180"/>
      <c r="CAG5" s="181"/>
      <c r="CAH5" s="180"/>
      <c r="CAI5" s="182"/>
      <c r="CAJ5" s="182"/>
      <c r="CAK5" s="182"/>
      <c r="CAL5" s="182"/>
      <c r="CAM5" s="182"/>
      <c r="CAN5" s="182"/>
      <c r="CAO5" s="179"/>
      <c r="CAP5" s="180"/>
      <c r="CAQ5" s="180"/>
      <c r="CAR5" s="180"/>
      <c r="CAS5" s="180"/>
      <c r="CAT5" s="181"/>
      <c r="CAU5" s="180"/>
      <c r="CAV5" s="182"/>
      <c r="CAW5" s="182"/>
      <c r="CAX5" s="182"/>
      <c r="CAY5" s="182"/>
      <c r="CAZ5" s="182"/>
      <c r="CBA5" s="182"/>
      <c r="CBB5" s="179"/>
      <c r="CBC5" s="180"/>
      <c r="CBD5" s="180"/>
      <c r="CBE5" s="180"/>
      <c r="CBF5" s="180"/>
      <c r="CBG5" s="181"/>
      <c r="CBH5" s="180"/>
      <c r="CBI5" s="182"/>
      <c r="CBJ5" s="182"/>
      <c r="CBK5" s="182"/>
      <c r="CBL5" s="182"/>
      <c r="CBM5" s="182"/>
      <c r="CBN5" s="182"/>
      <c r="CBO5" s="179"/>
      <c r="CBP5" s="180"/>
      <c r="CBQ5" s="180"/>
      <c r="CBR5" s="180"/>
      <c r="CBS5" s="180"/>
      <c r="CBT5" s="181"/>
      <c r="CBU5" s="180"/>
      <c r="CBV5" s="182"/>
      <c r="CBW5" s="182"/>
      <c r="CBX5" s="182"/>
      <c r="CBY5" s="182"/>
      <c r="CBZ5" s="182"/>
      <c r="CCA5" s="182"/>
      <c r="CCB5" s="179"/>
      <c r="CCC5" s="180"/>
      <c r="CCD5" s="180"/>
      <c r="CCE5" s="180"/>
      <c r="CCF5" s="180"/>
      <c r="CCG5" s="181"/>
      <c r="CCH5" s="180"/>
      <c r="CCI5" s="182"/>
      <c r="CCJ5" s="182"/>
      <c r="CCK5" s="182"/>
      <c r="CCL5" s="182"/>
      <c r="CCM5" s="182"/>
      <c r="CCN5" s="182"/>
      <c r="CCO5" s="179"/>
      <c r="CCP5" s="180"/>
      <c r="CCQ5" s="180"/>
      <c r="CCR5" s="180"/>
      <c r="CCS5" s="180"/>
      <c r="CCT5" s="181"/>
      <c r="CCU5" s="180"/>
      <c r="CCV5" s="182"/>
      <c r="CCW5" s="182"/>
      <c r="CCX5" s="182"/>
      <c r="CCY5" s="182"/>
      <c r="CCZ5" s="182"/>
      <c r="CDA5" s="182"/>
      <c r="CDB5" s="179"/>
      <c r="CDC5" s="180"/>
      <c r="CDD5" s="180"/>
      <c r="CDE5" s="180"/>
      <c r="CDF5" s="180"/>
      <c r="CDG5" s="181"/>
      <c r="CDH5" s="180"/>
      <c r="CDI5" s="182"/>
      <c r="CDJ5" s="182"/>
      <c r="CDK5" s="182"/>
      <c r="CDL5" s="182"/>
      <c r="CDM5" s="182"/>
      <c r="CDN5" s="182"/>
      <c r="CDO5" s="179"/>
      <c r="CDP5" s="180"/>
      <c r="CDQ5" s="180"/>
      <c r="CDR5" s="180"/>
      <c r="CDS5" s="180"/>
      <c r="CDT5" s="181"/>
      <c r="CDU5" s="180"/>
      <c r="CDV5" s="182"/>
      <c r="CDW5" s="182"/>
      <c r="CDX5" s="182"/>
      <c r="CDY5" s="182"/>
      <c r="CDZ5" s="182"/>
      <c r="CEA5" s="182"/>
      <c r="CEB5" s="179"/>
      <c r="CEC5" s="180"/>
      <c r="CED5" s="180"/>
      <c r="CEE5" s="180"/>
      <c r="CEF5" s="180"/>
      <c r="CEG5" s="181"/>
      <c r="CEH5" s="180"/>
      <c r="CEI5" s="182"/>
      <c r="CEJ5" s="182"/>
      <c r="CEK5" s="182"/>
      <c r="CEL5" s="182"/>
      <c r="CEM5" s="182"/>
      <c r="CEN5" s="182"/>
      <c r="CEO5" s="179"/>
      <c r="CEP5" s="180"/>
      <c r="CEQ5" s="180"/>
      <c r="CER5" s="180"/>
      <c r="CES5" s="180"/>
      <c r="CET5" s="181"/>
      <c r="CEU5" s="180"/>
      <c r="CEV5" s="182"/>
      <c r="CEW5" s="182"/>
      <c r="CEX5" s="182"/>
      <c r="CEY5" s="182"/>
      <c r="CEZ5" s="182"/>
      <c r="CFA5" s="182"/>
      <c r="CFB5" s="179"/>
      <c r="CFC5" s="180"/>
      <c r="CFD5" s="180"/>
      <c r="CFE5" s="180"/>
      <c r="CFF5" s="180"/>
      <c r="CFG5" s="181"/>
      <c r="CFH5" s="180"/>
      <c r="CFI5" s="182"/>
      <c r="CFJ5" s="182"/>
      <c r="CFK5" s="182"/>
      <c r="CFL5" s="182"/>
      <c r="CFM5" s="182"/>
      <c r="CFN5" s="182"/>
      <c r="CFO5" s="179"/>
      <c r="CFP5" s="180"/>
      <c r="CFQ5" s="180"/>
      <c r="CFR5" s="180"/>
      <c r="CFS5" s="180"/>
      <c r="CFT5" s="181"/>
      <c r="CFU5" s="180"/>
      <c r="CFV5" s="182"/>
      <c r="CFW5" s="182"/>
      <c r="CFX5" s="182"/>
      <c r="CFY5" s="182"/>
      <c r="CFZ5" s="182"/>
      <c r="CGA5" s="182"/>
      <c r="CGB5" s="179"/>
      <c r="CGC5" s="180"/>
      <c r="CGD5" s="180"/>
      <c r="CGE5" s="180"/>
      <c r="CGF5" s="180"/>
      <c r="CGG5" s="181"/>
      <c r="CGH5" s="180"/>
      <c r="CGI5" s="182"/>
      <c r="CGJ5" s="182"/>
      <c r="CGK5" s="182"/>
      <c r="CGL5" s="182"/>
      <c r="CGM5" s="182"/>
      <c r="CGN5" s="182"/>
      <c r="CGO5" s="179"/>
      <c r="CGP5" s="180"/>
      <c r="CGQ5" s="180"/>
      <c r="CGR5" s="180"/>
      <c r="CGS5" s="180"/>
      <c r="CGT5" s="181"/>
      <c r="CGU5" s="180"/>
      <c r="CGV5" s="182"/>
      <c r="CGW5" s="182"/>
      <c r="CGX5" s="182"/>
      <c r="CGY5" s="182"/>
      <c r="CGZ5" s="182"/>
      <c r="CHA5" s="182"/>
      <c r="CHB5" s="179"/>
      <c r="CHC5" s="180"/>
      <c r="CHD5" s="180"/>
      <c r="CHE5" s="180"/>
      <c r="CHF5" s="180"/>
      <c r="CHG5" s="181"/>
      <c r="CHH5" s="180"/>
      <c r="CHI5" s="182"/>
      <c r="CHJ5" s="182"/>
      <c r="CHK5" s="182"/>
      <c r="CHL5" s="182"/>
      <c r="CHM5" s="182"/>
      <c r="CHN5" s="182"/>
      <c r="CHO5" s="179"/>
      <c r="CHP5" s="180"/>
      <c r="CHQ5" s="180"/>
      <c r="CHR5" s="180"/>
      <c r="CHS5" s="180"/>
      <c r="CHT5" s="181"/>
      <c r="CHU5" s="180"/>
      <c r="CHV5" s="182"/>
      <c r="CHW5" s="182"/>
      <c r="CHX5" s="182"/>
      <c r="CHY5" s="182"/>
      <c r="CHZ5" s="182"/>
      <c r="CIA5" s="182"/>
      <c r="CIB5" s="179"/>
      <c r="CIC5" s="180"/>
      <c r="CID5" s="180"/>
      <c r="CIE5" s="180"/>
      <c r="CIF5" s="180"/>
      <c r="CIG5" s="181"/>
      <c r="CIH5" s="180"/>
      <c r="CII5" s="182"/>
      <c r="CIJ5" s="182"/>
      <c r="CIK5" s="182"/>
      <c r="CIL5" s="182"/>
      <c r="CIM5" s="182"/>
      <c r="CIN5" s="182"/>
      <c r="CIO5" s="179"/>
      <c r="CIP5" s="180"/>
      <c r="CIQ5" s="180"/>
      <c r="CIR5" s="180"/>
      <c r="CIS5" s="180"/>
      <c r="CIT5" s="181"/>
      <c r="CIU5" s="180"/>
      <c r="CIV5" s="182"/>
      <c r="CIW5" s="182"/>
      <c r="CIX5" s="182"/>
      <c r="CIY5" s="182"/>
      <c r="CIZ5" s="182"/>
      <c r="CJA5" s="182"/>
      <c r="CJB5" s="179"/>
      <c r="CJC5" s="180"/>
      <c r="CJD5" s="180"/>
      <c r="CJE5" s="180"/>
      <c r="CJF5" s="180"/>
      <c r="CJG5" s="181"/>
      <c r="CJH5" s="180"/>
      <c r="CJI5" s="182"/>
      <c r="CJJ5" s="182"/>
      <c r="CJK5" s="182"/>
      <c r="CJL5" s="182"/>
      <c r="CJM5" s="182"/>
      <c r="CJN5" s="182"/>
      <c r="CJO5" s="179"/>
      <c r="CJP5" s="180"/>
      <c r="CJQ5" s="180"/>
      <c r="CJR5" s="180"/>
      <c r="CJS5" s="180"/>
      <c r="CJT5" s="181"/>
      <c r="CJU5" s="180"/>
      <c r="CJV5" s="182"/>
      <c r="CJW5" s="182"/>
      <c r="CJX5" s="182"/>
      <c r="CJY5" s="182"/>
      <c r="CJZ5" s="182"/>
      <c r="CKA5" s="182"/>
      <c r="CKB5" s="179"/>
      <c r="CKC5" s="180"/>
      <c r="CKD5" s="180"/>
      <c r="CKE5" s="180"/>
      <c r="CKF5" s="180"/>
      <c r="CKG5" s="181"/>
      <c r="CKH5" s="180"/>
      <c r="CKI5" s="182"/>
      <c r="CKJ5" s="182"/>
      <c r="CKK5" s="182"/>
      <c r="CKL5" s="182"/>
      <c r="CKM5" s="182"/>
      <c r="CKN5" s="182"/>
      <c r="CKO5" s="179"/>
      <c r="CKP5" s="180"/>
      <c r="CKQ5" s="180"/>
      <c r="CKR5" s="180"/>
      <c r="CKS5" s="180"/>
      <c r="CKT5" s="181"/>
      <c r="CKU5" s="180"/>
      <c r="CKV5" s="182"/>
      <c r="CKW5" s="182"/>
      <c r="CKX5" s="182"/>
      <c r="CKY5" s="182"/>
      <c r="CKZ5" s="182"/>
      <c r="CLA5" s="182"/>
      <c r="CLB5" s="179"/>
      <c r="CLC5" s="180"/>
      <c r="CLD5" s="180"/>
      <c r="CLE5" s="180"/>
      <c r="CLF5" s="180"/>
      <c r="CLG5" s="181"/>
      <c r="CLH5" s="180"/>
      <c r="CLI5" s="182"/>
      <c r="CLJ5" s="182"/>
      <c r="CLK5" s="182"/>
      <c r="CLL5" s="182"/>
      <c r="CLM5" s="182"/>
      <c r="CLN5" s="182"/>
      <c r="CLO5" s="179"/>
      <c r="CLP5" s="180"/>
      <c r="CLQ5" s="180"/>
      <c r="CLR5" s="180"/>
      <c r="CLS5" s="180"/>
      <c r="CLT5" s="181"/>
      <c r="CLU5" s="180"/>
      <c r="CLV5" s="182"/>
      <c r="CLW5" s="182"/>
      <c r="CLX5" s="182"/>
      <c r="CLY5" s="182"/>
      <c r="CLZ5" s="182"/>
      <c r="CMA5" s="182"/>
      <c r="CMB5" s="179"/>
      <c r="CMC5" s="180"/>
      <c r="CMD5" s="180"/>
      <c r="CME5" s="180"/>
      <c r="CMF5" s="180"/>
      <c r="CMG5" s="181"/>
      <c r="CMH5" s="180"/>
      <c r="CMI5" s="182"/>
      <c r="CMJ5" s="182"/>
      <c r="CMK5" s="182"/>
      <c r="CML5" s="182"/>
      <c r="CMM5" s="182"/>
      <c r="CMN5" s="182"/>
      <c r="CMO5" s="179"/>
      <c r="CMP5" s="180"/>
      <c r="CMQ5" s="180"/>
      <c r="CMR5" s="180"/>
      <c r="CMS5" s="180"/>
      <c r="CMT5" s="181"/>
      <c r="CMU5" s="180"/>
      <c r="CMV5" s="182"/>
      <c r="CMW5" s="182"/>
      <c r="CMX5" s="182"/>
      <c r="CMY5" s="182"/>
      <c r="CMZ5" s="182"/>
      <c r="CNA5" s="182"/>
      <c r="CNB5" s="179"/>
      <c r="CNC5" s="180"/>
      <c r="CND5" s="180"/>
      <c r="CNE5" s="180"/>
      <c r="CNF5" s="180"/>
      <c r="CNG5" s="181"/>
      <c r="CNH5" s="180"/>
      <c r="CNI5" s="182"/>
      <c r="CNJ5" s="182"/>
      <c r="CNK5" s="182"/>
      <c r="CNL5" s="182"/>
      <c r="CNM5" s="182"/>
      <c r="CNN5" s="182"/>
      <c r="CNO5" s="179"/>
      <c r="CNP5" s="180"/>
      <c r="CNQ5" s="180"/>
      <c r="CNR5" s="180"/>
      <c r="CNS5" s="180"/>
      <c r="CNT5" s="181"/>
      <c r="CNU5" s="180"/>
      <c r="CNV5" s="182"/>
      <c r="CNW5" s="182"/>
      <c r="CNX5" s="182"/>
      <c r="CNY5" s="182"/>
      <c r="CNZ5" s="182"/>
      <c r="COA5" s="182"/>
      <c r="COB5" s="179"/>
      <c r="COC5" s="180"/>
      <c r="COD5" s="180"/>
      <c r="COE5" s="180"/>
      <c r="COF5" s="180"/>
      <c r="COG5" s="181"/>
      <c r="COH5" s="180"/>
      <c r="COI5" s="182"/>
      <c r="COJ5" s="182"/>
      <c r="COK5" s="182"/>
      <c r="COL5" s="182"/>
      <c r="COM5" s="182"/>
      <c r="CON5" s="182"/>
      <c r="COO5" s="179"/>
      <c r="COP5" s="180"/>
      <c r="COQ5" s="180"/>
      <c r="COR5" s="180"/>
      <c r="COS5" s="180"/>
      <c r="COT5" s="181"/>
      <c r="COU5" s="180"/>
      <c r="COV5" s="182"/>
      <c r="COW5" s="182"/>
      <c r="COX5" s="182"/>
      <c r="COY5" s="182"/>
      <c r="COZ5" s="182"/>
      <c r="CPA5" s="182"/>
      <c r="CPB5" s="179"/>
      <c r="CPC5" s="180"/>
      <c r="CPD5" s="180"/>
      <c r="CPE5" s="180"/>
      <c r="CPF5" s="180"/>
      <c r="CPG5" s="181"/>
      <c r="CPH5" s="180"/>
      <c r="CPI5" s="182"/>
      <c r="CPJ5" s="182"/>
      <c r="CPK5" s="182"/>
      <c r="CPL5" s="182"/>
      <c r="CPM5" s="182"/>
      <c r="CPN5" s="182"/>
      <c r="CPO5" s="179"/>
      <c r="CPP5" s="180"/>
      <c r="CPQ5" s="180"/>
      <c r="CPR5" s="180"/>
      <c r="CPS5" s="180"/>
      <c r="CPT5" s="181"/>
      <c r="CPU5" s="180"/>
      <c r="CPV5" s="182"/>
      <c r="CPW5" s="182"/>
      <c r="CPX5" s="182"/>
      <c r="CPY5" s="182"/>
      <c r="CPZ5" s="182"/>
      <c r="CQA5" s="182"/>
      <c r="CQB5" s="179"/>
      <c r="CQC5" s="180"/>
      <c r="CQD5" s="180"/>
      <c r="CQE5" s="180"/>
      <c r="CQF5" s="180"/>
      <c r="CQG5" s="181"/>
      <c r="CQH5" s="180"/>
      <c r="CQI5" s="182"/>
      <c r="CQJ5" s="182"/>
      <c r="CQK5" s="182"/>
      <c r="CQL5" s="182"/>
      <c r="CQM5" s="182"/>
      <c r="CQN5" s="182"/>
      <c r="CQO5" s="179"/>
      <c r="CQP5" s="180"/>
      <c r="CQQ5" s="180"/>
      <c r="CQR5" s="180"/>
      <c r="CQS5" s="180"/>
      <c r="CQT5" s="181"/>
      <c r="CQU5" s="180"/>
      <c r="CQV5" s="182"/>
      <c r="CQW5" s="182"/>
      <c r="CQX5" s="182"/>
      <c r="CQY5" s="182"/>
      <c r="CQZ5" s="182"/>
      <c r="CRA5" s="182"/>
      <c r="CRB5" s="179"/>
      <c r="CRC5" s="180"/>
      <c r="CRD5" s="180"/>
      <c r="CRE5" s="180"/>
      <c r="CRF5" s="180"/>
      <c r="CRG5" s="181"/>
      <c r="CRH5" s="180"/>
      <c r="CRI5" s="182"/>
      <c r="CRJ5" s="182"/>
      <c r="CRK5" s="182"/>
      <c r="CRL5" s="182"/>
      <c r="CRM5" s="182"/>
      <c r="CRN5" s="182"/>
      <c r="CRO5" s="179"/>
      <c r="CRP5" s="180"/>
      <c r="CRQ5" s="180"/>
      <c r="CRR5" s="180"/>
      <c r="CRS5" s="180"/>
      <c r="CRT5" s="181"/>
      <c r="CRU5" s="180"/>
      <c r="CRV5" s="182"/>
      <c r="CRW5" s="182"/>
      <c r="CRX5" s="182"/>
      <c r="CRY5" s="182"/>
      <c r="CRZ5" s="182"/>
      <c r="CSA5" s="182"/>
      <c r="CSB5" s="179"/>
      <c r="CSC5" s="180"/>
      <c r="CSD5" s="180"/>
      <c r="CSE5" s="180"/>
      <c r="CSF5" s="180"/>
      <c r="CSG5" s="181"/>
      <c r="CSH5" s="180"/>
      <c r="CSI5" s="182"/>
      <c r="CSJ5" s="182"/>
      <c r="CSK5" s="182"/>
      <c r="CSL5" s="182"/>
      <c r="CSM5" s="182"/>
      <c r="CSN5" s="182"/>
      <c r="CSO5" s="179"/>
      <c r="CSP5" s="180"/>
      <c r="CSQ5" s="180"/>
      <c r="CSR5" s="180"/>
      <c r="CSS5" s="180"/>
      <c r="CST5" s="181"/>
      <c r="CSU5" s="180"/>
      <c r="CSV5" s="182"/>
      <c r="CSW5" s="182"/>
      <c r="CSX5" s="182"/>
      <c r="CSY5" s="182"/>
      <c r="CSZ5" s="182"/>
      <c r="CTA5" s="182"/>
      <c r="CTB5" s="179"/>
      <c r="CTC5" s="180"/>
      <c r="CTD5" s="180"/>
      <c r="CTE5" s="180"/>
      <c r="CTF5" s="180"/>
      <c r="CTG5" s="181"/>
      <c r="CTH5" s="180"/>
      <c r="CTI5" s="182"/>
      <c r="CTJ5" s="182"/>
      <c r="CTK5" s="182"/>
      <c r="CTL5" s="182"/>
      <c r="CTM5" s="182"/>
      <c r="CTN5" s="182"/>
      <c r="CTO5" s="179"/>
      <c r="CTP5" s="180"/>
      <c r="CTQ5" s="180"/>
      <c r="CTR5" s="180"/>
      <c r="CTS5" s="180"/>
      <c r="CTT5" s="181"/>
      <c r="CTU5" s="180"/>
      <c r="CTV5" s="182"/>
      <c r="CTW5" s="182"/>
      <c r="CTX5" s="182"/>
      <c r="CTY5" s="182"/>
      <c r="CTZ5" s="182"/>
      <c r="CUA5" s="182"/>
      <c r="CUB5" s="179"/>
      <c r="CUC5" s="180"/>
      <c r="CUD5" s="180"/>
      <c r="CUE5" s="180"/>
      <c r="CUF5" s="180"/>
      <c r="CUG5" s="181"/>
      <c r="CUH5" s="180"/>
      <c r="CUI5" s="182"/>
      <c r="CUJ5" s="182"/>
      <c r="CUK5" s="182"/>
      <c r="CUL5" s="182"/>
      <c r="CUM5" s="182"/>
      <c r="CUN5" s="182"/>
      <c r="CUO5" s="179"/>
      <c r="CUP5" s="180"/>
      <c r="CUQ5" s="180"/>
      <c r="CUR5" s="180"/>
      <c r="CUS5" s="180"/>
      <c r="CUT5" s="181"/>
      <c r="CUU5" s="180"/>
      <c r="CUV5" s="182"/>
      <c r="CUW5" s="182"/>
      <c r="CUX5" s="182"/>
      <c r="CUY5" s="182"/>
      <c r="CUZ5" s="182"/>
      <c r="CVA5" s="182"/>
      <c r="CVB5" s="179"/>
      <c r="CVC5" s="180"/>
      <c r="CVD5" s="180"/>
      <c r="CVE5" s="180"/>
      <c r="CVF5" s="180"/>
      <c r="CVG5" s="181"/>
      <c r="CVH5" s="180"/>
      <c r="CVI5" s="182"/>
      <c r="CVJ5" s="182"/>
      <c r="CVK5" s="182"/>
      <c r="CVL5" s="182"/>
      <c r="CVM5" s="182"/>
      <c r="CVN5" s="182"/>
      <c r="CVO5" s="179"/>
      <c r="CVP5" s="180"/>
      <c r="CVQ5" s="180"/>
      <c r="CVR5" s="180"/>
      <c r="CVS5" s="180"/>
      <c r="CVT5" s="181"/>
      <c r="CVU5" s="180"/>
      <c r="CVV5" s="182"/>
      <c r="CVW5" s="182"/>
      <c r="CVX5" s="182"/>
      <c r="CVY5" s="182"/>
      <c r="CVZ5" s="182"/>
      <c r="CWA5" s="182"/>
      <c r="CWB5" s="179"/>
      <c r="CWC5" s="180"/>
      <c r="CWD5" s="180"/>
      <c r="CWE5" s="180"/>
      <c r="CWF5" s="180"/>
      <c r="CWG5" s="181"/>
      <c r="CWH5" s="180"/>
      <c r="CWI5" s="182"/>
      <c r="CWJ5" s="182"/>
      <c r="CWK5" s="182"/>
      <c r="CWL5" s="182"/>
      <c r="CWM5" s="182"/>
      <c r="CWN5" s="182"/>
      <c r="CWO5" s="179"/>
      <c r="CWP5" s="180"/>
      <c r="CWQ5" s="180"/>
      <c r="CWR5" s="180"/>
      <c r="CWS5" s="180"/>
      <c r="CWT5" s="181"/>
      <c r="CWU5" s="180"/>
      <c r="CWV5" s="182"/>
      <c r="CWW5" s="182"/>
      <c r="CWX5" s="182"/>
      <c r="CWY5" s="182"/>
      <c r="CWZ5" s="182"/>
      <c r="CXA5" s="182"/>
      <c r="CXB5" s="179"/>
      <c r="CXC5" s="180"/>
      <c r="CXD5" s="180"/>
      <c r="CXE5" s="180"/>
      <c r="CXF5" s="180"/>
      <c r="CXG5" s="181"/>
      <c r="CXH5" s="180"/>
      <c r="CXI5" s="182"/>
      <c r="CXJ5" s="182"/>
      <c r="CXK5" s="182"/>
      <c r="CXL5" s="182"/>
      <c r="CXM5" s="182"/>
      <c r="CXN5" s="182"/>
      <c r="CXO5" s="179"/>
      <c r="CXP5" s="180"/>
      <c r="CXQ5" s="180"/>
      <c r="CXR5" s="180"/>
      <c r="CXS5" s="180"/>
      <c r="CXT5" s="181"/>
      <c r="CXU5" s="180"/>
      <c r="CXV5" s="182"/>
      <c r="CXW5" s="182"/>
      <c r="CXX5" s="182"/>
      <c r="CXY5" s="182"/>
      <c r="CXZ5" s="182"/>
      <c r="CYA5" s="182"/>
      <c r="CYB5" s="179"/>
      <c r="CYC5" s="180"/>
      <c r="CYD5" s="180"/>
      <c r="CYE5" s="180"/>
      <c r="CYF5" s="180"/>
      <c r="CYG5" s="181"/>
      <c r="CYH5" s="180"/>
      <c r="CYI5" s="182"/>
      <c r="CYJ5" s="182"/>
      <c r="CYK5" s="182"/>
      <c r="CYL5" s="182"/>
      <c r="CYM5" s="182"/>
      <c r="CYN5" s="182"/>
      <c r="CYO5" s="179"/>
      <c r="CYP5" s="180"/>
      <c r="CYQ5" s="180"/>
      <c r="CYR5" s="180"/>
      <c r="CYS5" s="180"/>
      <c r="CYT5" s="181"/>
      <c r="CYU5" s="180"/>
      <c r="CYV5" s="182"/>
      <c r="CYW5" s="182"/>
      <c r="CYX5" s="182"/>
      <c r="CYY5" s="182"/>
      <c r="CYZ5" s="182"/>
      <c r="CZA5" s="182"/>
      <c r="CZB5" s="179"/>
      <c r="CZC5" s="180"/>
      <c r="CZD5" s="180"/>
      <c r="CZE5" s="180"/>
      <c r="CZF5" s="180"/>
      <c r="CZG5" s="181"/>
      <c r="CZH5" s="180"/>
      <c r="CZI5" s="182"/>
      <c r="CZJ5" s="182"/>
      <c r="CZK5" s="182"/>
      <c r="CZL5" s="182"/>
      <c r="CZM5" s="182"/>
      <c r="CZN5" s="182"/>
      <c r="CZO5" s="179"/>
      <c r="CZP5" s="180"/>
      <c r="CZQ5" s="180"/>
      <c r="CZR5" s="180"/>
      <c r="CZS5" s="180"/>
      <c r="CZT5" s="181"/>
      <c r="CZU5" s="180"/>
      <c r="CZV5" s="182"/>
      <c r="CZW5" s="182"/>
      <c r="CZX5" s="182"/>
      <c r="CZY5" s="182"/>
      <c r="CZZ5" s="182"/>
      <c r="DAA5" s="182"/>
      <c r="DAB5" s="179"/>
      <c r="DAC5" s="180"/>
      <c r="DAD5" s="180"/>
      <c r="DAE5" s="180"/>
      <c r="DAF5" s="180"/>
      <c r="DAG5" s="181"/>
      <c r="DAH5" s="180"/>
      <c r="DAI5" s="182"/>
      <c r="DAJ5" s="182"/>
      <c r="DAK5" s="182"/>
      <c r="DAL5" s="182"/>
      <c r="DAM5" s="182"/>
      <c r="DAN5" s="182"/>
      <c r="DAO5" s="179"/>
      <c r="DAP5" s="180"/>
      <c r="DAQ5" s="180"/>
      <c r="DAR5" s="180"/>
      <c r="DAS5" s="180"/>
      <c r="DAT5" s="181"/>
      <c r="DAU5" s="180"/>
      <c r="DAV5" s="182"/>
      <c r="DAW5" s="182"/>
      <c r="DAX5" s="182"/>
      <c r="DAY5" s="182"/>
      <c r="DAZ5" s="182"/>
      <c r="DBA5" s="182"/>
      <c r="DBB5" s="179"/>
      <c r="DBC5" s="180"/>
      <c r="DBD5" s="180"/>
      <c r="DBE5" s="180"/>
      <c r="DBF5" s="180"/>
      <c r="DBG5" s="181"/>
      <c r="DBH5" s="180"/>
      <c r="DBI5" s="182"/>
      <c r="DBJ5" s="182"/>
      <c r="DBK5" s="182"/>
      <c r="DBL5" s="182"/>
      <c r="DBM5" s="182"/>
      <c r="DBN5" s="182"/>
      <c r="DBO5" s="179"/>
      <c r="DBP5" s="180"/>
      <c r="DBQ5" s="180"/>
      <c r="DBR5" s="180"/>
      <c r="DBS5" s="180"/>
      <c r="DBT5" s="181"/>
      <c r="DBU5" s="180"/>
      <c r="DBV5" s="182"/>
      <c r="DBW5" s="182"/>
      <c r="DBX5" s="182"/>
      <c r="DBY5" s="182"/>
      <c r="DBZ5" s="182"/>
      <c r="DCA5" s="182"/>
      <c r="DCB5" s="179"/>
      <c r="DCC5" s="180"/>
      <c r="DCD5" s="180"/>
      <c r="DCE5" s="180"/>
      <c r="DCF5" s="180"/>
      <c r="DCG5" s="181"/>
      <c r="DCH5" s="180"/>
      <c r="DCI5" s="182"/>
      <c r="DCJ5" s="182"/>
      <c r="DCK5" s="182"/>
      <c r="DCL5" s="182"/>
      <c r="DCM5" s="182"/>
      <c r="DCN5" s="182"/>
      <c r="DCO5" s="179"/>
      <c r="DCP5" s="180"/>
      <c r="DCQ5" s="180"/>
      <c r="DCR5" s="180"/>
      <c r="DCS5" s="180"/>
      <c r="DCT5" s="181"/>
      <c r="DCU5" s="180"/>
      <c r="DCV5" s="182"/>
      <c r="DCW5" s="182"/>
      <c r="DCX5" s="182"/>
      <c r="DCY5" s="182"/>
      <c r="DCZ5" s="182"/>
      <c r="DDA5" s="182"/>
      <c r="DDB5" s="179"/>
      <c r="DDC5" s="180"/>
      <c r="DDD5" s="180"/>
      <c r="DDE5" s="180"/>
      <c r="DDF5" s="180"/>
      <c r="DDG5" s="181"/>
      <c r="DDH5" s="180"/>
      <c r="DDI5" s="182"/>
      <c r="DDJ5" s="182"/>
      <c r="DDK5" s="182"/>
      <c r="DDL5" s="182"/>
      <c r="DDM5" s="182"/>
      <c r="DDN5" s="182"/>
      <c r="DDO5" s="179"/>
      <c r="DDP5" s="180"/>
      <c r="DDQ5" s="180"/>
      <c r="DDR5" s="180"/>
      <c r="DDS5" s="180"/>
      <c r="DDT5" s="181"/>
      <c r="DDU5" s="180"/>
      <c r="DDV5" s="182"/>
      <c r="DDW5" s="182"/>
      <c r="DDX5" s="182"/>
      <c r="DDY5" s="182"/>
      <c r="DDZ5" s="182"/>
      <c r="DEA5" s="182"/>
      <c r="DEB5" s="179"/>
      <c r="DEC5" s="180"/>
      <c r="DED5" s="180"/>
      <c r="DEE5" s="180"/>
      <c r="DEF5" s="180"/>
      <c r="DEG5" s="181"/>
      <c r="DEH5" s="180"/>
      <c r="DEI5" s="182"/>
      <c r="DEJ5" s="182"/>
      <c r="DEK5" s="182"/>
      <c r="DEL5" s="182"/>
      <c r="DEM5" s="182"/>
      <c r="DEN5" s="182"/>
      <c r="DEO5" s="179"/>
      <c r="DEP5" s="180"/>
      <c r="DEQ5" s="180"/>
      <c r="DER5" s="180"/>
      <c r="DES5" s="180"/>
      <c r="DET5" s="181"/>
      <c r="DEU5" s="180"/>
      <c r="DEV5" s="182"/>
      <c r="DEW5" s="182"/>
      <c r="DEX5" s="182"/>
      <c r="DEY5" s="182"/>
      <c r="DEZ5" s="182"/>
      <c r="DFA5" s="182"/>
      <c r="DFB5" s="179"/>
      <c r="DFC5" s="180"/>
      <c r="DFD5" s="180"/>
      <c r="DFE5" s="180"/>
      <c r="DFF5" s="180"/>
      <c r="DFG5" s="181"/>
      <c r="DFH5" s="180"/>
      <c r="DFI5" s="182"/>
      <c r="DFJ5" s="182"/>
      <c r="DFK5" s="182"/>
      <c r="DFL5" s="182"/>
      <c r="DFM5" s="182"/>
      <c r="DFN5" s="182"/>
      <c r="DFO5" s="179"/>
      <c r="DFP5" s="180"/>
      <c r="DFQ5" s="180"/>
      <c r="DFR5" s="180"/>
      <c r="DFS5" s="180"/>
      <c r="DFT5" s="181"/>
      <c r="DFU5" s="180"/>
      <c r="DFV5" s="182"/>
      <c r="DFW5" s="182"/>
      <c r="DFX5" s="182"/>
      <c r="DFY5" s="182"/>
      <c r="DFZ5" s="182"/>
      <c r="DGA5" s="182"/>
      <c r="DGB5" s="179"/>
      <c r="DGC5" s="180"/>
      <c r="DGD5" s="180"/>
      <c r="DGE5" s="180"/>
      <c r="DGF5" s="180"/>
      <c r="DGG5" s="181"/>
      <c r="DGH5" s="180"/>
      <c r="DGI5" s="182"/>
      <c r="DGJ5" s="182"/>
      <c r="DGK5" s="182"/>
      <c r="DGL5" s="182"/>
      <c r="DGM5" s="182"/>
      <c r="DGN5" s="182"/>
      <c r="DGO5" s="179"/>
      <c r="DGP5" s="180"/>
      <c r="DGQ5" s="180"/>
      <c r="DGR5" s="180"/>
      <c r="DGS5" s="180"/>
      <c r="DGT5" s="181"/>
      <c r="DGU5" s="180"/>
      <c r="DGV5" s="182"/>
      <c r="DGW5" s="182"/>
      <c r="DGX5" s="182"/>
      <c r="DGY5" s="182"/>
      <c r="DGZ5" s="182"/>
      <c r="DHA5" s="182"/>
      <c r="DHB5" s="179"/>
      <c r="DHC5" s="180"/>
      <c r="DHD5" s="180"/>
      <c r="DHE5" s="180"/>
      <c r="DHF5" s="180"/>
      <c r="DHG5" s="181"/>
      <c r="DHH5" s="180"/>
      <c r="DHI5" s="182"/>
      <c r="DHJ5" s="182"/>
      <c r="DHK5" s="182"/>
      <c r="DHL5" s="182"/>
      <c r="DHM5" s="182"/>
      <c r="DHN5" s="182"/>
      <c r="DHO5" s="179"/>
      <c r="DHP5" s="180"/>
      <c r="DHQ5" s="180"/>
      <c r="DHR5" s="180"/>
      <c r="DHS5" s="180"/>
      <c r="DHT5" s="181"/>
      <c r="DHU5" s="180"/>
      <c r="DHV5" s="182"/>
      <c r="DHW5" s="182"/>
      <c r="DHX5" s="182"/>
      <c r="DHY5" s="182"/>
      <c r="DHZ5" s="182"/>
      <c r="DIA5" s="182"/>
      <c r="DIB5" s="179"/>
      <c r="DIC5" s="180"/>
      <c r="DID5" s="180"/>
      <c r="DIE5" s="180"/>
      <c r="DIF5" s="180"/>
      <c r="DIG5" s="181"/>
      <c r="DIH5" s="180"/>
      <c r="DII5" s="182"/>
      <c r="DIJ5" s="182"/>
      <c r="DIK5" s="182"/>
      <c r="DIL5" s="182"/>
      <c r="DIM5" s="182"/>
      <c r="DIN5" s="182"/>
      <c r="DIO5" s="179"/>
      <c r="DIP5" s="180"/>
      <c r="DIQ5" s="180"/>
      <c r="DIR5" s="180"/>
      <c r="DIS5" s="180"/>
      <c r="DIT5" s="181"/>
      <c r="DIU5" s="180"/>
      <c r="DIV5" s="182"/>
      <c r="DIW5" s="182"/>
      <c r="DIX5" s="182"/>
      <c r="DIY5" s="182"/>
      <c r="DIZ5" s="182"/>
      <c r="DJA5" s="182"/>
      <c r="DJB5" s="179"/>
      <c r="DJC5" s="180"/>
      <c r="DJD5" s="180"/>
      <c r="DJE5" s="180"/>
      <c r="DJF5" s="180"/>
      <c r="DJG5" s="181"/>
      <c r="DJH5" s="180"/>
      <c r="DJI5" s="182"/>
      <c r="DJJ5" s="182"/>
      <c r="DJK5" s="182"/>
      <c r="DJL5" s="182"/>
      <c r="DJM5" s="182"/>
      <c r="DJN5" s="182"/>
      <c r="DJO5" s="179"/>
      <c r="DJP5" s="180"/>
      <c r="DJQ5" s="180"/>
      <c r="DJR5" s="180"/>
      <c r="DJS5" s="180"/>
      <c r="DJT5" s="181"/>
      <c r="DJU5" s="180"/>
      <c r="DJV5" s="182"/>
      <c r="DJW5" s="182"/>
      <c r="DJX5" s="182"/>
      <c r="DJY5" s="182"/>
      <c r="DJZ5" s="182"/>
      <c r="DKA5" s="182"/>
      <c r="DKB5" s="179"/>
      <c r="DKC5" s="180"/>
      <c r="DKD5" s="180"/>
      <c r="DKE5" s="180"/>
      <c r="DKF5" s="180"/>
      <c r="DKG5" s="181"/>
      <c r="DKH5" s="180"/>
      <c r="DKI5" s="182"/>
      <c r="DKJ5" s="182"/>
      <c r="DKK5" s="182"/>
      <c r="DKL5" s="182"/>
      <c r="DKM5" s="182"/>
      <c r="DKN5" s="182"/>
      <c r="DKO5" s="179"/>
      <c r="DKP5" s="180"/>
      <c r="DKQ5" s="180"/>
      <c r="DKR5" s="180"/>
      <c r="DKS5" s="180"/>
      <c r="DKT5" s="181"/>
      <c r="DKU5" s="180"/>
      <c r="DKV5" s="182"/>
      <c r="DKW5" s="182"/>
      <c r="DKX5" s="182"/>
      <c r="DKY5" s="182"/>
      <c r="DKZ5" s="182"/>
      <c r="DLA5" s="182"/>
      <c r="DLB5" s="179"/>
      <c r="DLC5" s="180"/>
      <c r="DLD5" s="180"/>
      <c r="DLE5" s="180"/>
      <c r="DLF5" s="180"/>
      <c r="DLG5" s="181"/>
      <c r="DLH5" s="180"/>
      <c r="DLI5" s="182"/>
      <c r="DLJ5" s="182"/>
      <c r="DLK5" s="182"/>
      <c r="DLL5" s="182"/>
      <c r="DLM5" s="182"/>
      <c r="DLN5" s="182"/>
      <c r="DLO5" s="179"/>
      <c r="DLP5" s="180"/>
      <c r="DLQ5" s="180"/>
      <c r="DLR5" s="180"/>
      <c r="DLS5" s="180"/>
      <c r="DLT5" s="181"/>
      <c r="DLU5" s="180"/>
      <c r="DLV5" s="182"/>
      <c r="DLW5" s="182"/>
      <c r="DLX5" s="182"/>
      <c r="DLY5" s="182"/>
      <c r="DLZ5" s="182"/>
      <c r="DMA5" s="182"/>
      <c r="DMB5" s="179"/>
      <c r="DMC5" s="180"/>
      <c r="DMD5" s="180"/>
      <c r="DME5" s="180"/>
      <c r="DMF5" s="180"/>
      <c r="DMG5" s="181"/>
      <c r="DMH5" s="180"/>
      <c r="DMI5" s="182"/>
      <c r="DMJ5" s="182"/>
      <c r="DMK5" s="182"/>
      <c r="DML5" s="182"/>
      <c r="DMM5" s="182"/>
      <c r="DMN5" s="182"/>
      <c r="DMO5" s="179"/>
      <c r="DMP5" s="180"/>
      <c r="DMQ5" s="180"/>
      <c r="DMR5" s="180"/>
      <c r="DMS5" s="180"/>
      <c r="DMT5" s="181"/>
      <c r="DMU5" s="180"/>
      <c r="DMV5" s="182"/>
      <c r="DMW5" s="182"/>
      <c r="DMX5" s="182"/>
      <c r="DMY5" s="182"/>
      <c r="DMZ5" s="182"/>
      <c r="DNA5" s="182"/>
      <c r="DNB5" s="179"/>
      <c r="DNC5" s="180"/>
      <c r="DND5" s="180"/>
      <c r="DNE5" s="180"/>
      <c r="DNF5" s="180"/>
      <c r="DNG5" s="181"/>
      <c r="DNH5" s="180"/>
      <c r="DNI5" s="182"/>
      <c r="DNJ5" s="182"/>
      <c r="DNK5" s="182"/>
      <c r="DNL5" s="182"/>
      <c r="DNM5" s="182"/>
      <c r="DNN5" s="182"/>
      <c r="DNO5" s="179"/>
      <c r="DNP5" s="180"/>
      <c r="DNQ5" s="180"/>
      <c r="DNR5" s="180"/>
      <c r="DNS5" s="180"/>
      <c r="DNT5" s="181"/>
      <c r="DNU5" s="180"/>
      <c r="DNV5" s="182"/>
      <c r="DNW5" s="182"/>
      <c r="DNX5" s="182"/>
      <c r="DNY5" s="182"/>
      <c r="DNZ5" s="182"/>
      <c r="DOA5" s="182"/>
      <c r="DOB5" s="179"/>
      <c r="DOC5" s="180"/>
      <c r="DOD5" s="180"/>
      <c r="DOE5" s="180"/>
      <c r="DOF5" s="180"/>
      <c r="DOG5" s="181"/>
      <c r="DOH5" s="180"/>
      <c r="DOI5" s="182"/>
      <c r="DOJ5" s="182"/>
      <c r="DOK5" s="182"/>
      <c r="DOL5" s="182"/>
      <c r="DOM5" s="182"/>
      <c r="DON5" s="182"/>
      <c r="DOO5" s="179"/>
      <c r="DOP5" s="180"/>
      <c r="DOQ5" s="180"/>
      <c r="DOR5" s="180"/>
      <c r="DOS5" s="180"/>
      <c r="DOT5" s="181"/>
      <c r="DOU5" s="180"/>
      <c r="DOV5" s="182"/>
      <c r="DOW5" s="182"/>
      <c r="DOX5" s="182"/>
      <c r="DOY5" s="182"/>
      <c r="DOZ5" s="182"/>
      <c r="DPA5" s="182"/>
      <c r="DPB5" s="179"/>
      <c r="DPC5" s="180"/>
      <c r="DPD5" s="180"/>
      <c r="DPE5" s="180"/>
      <c r="DPF5" s="180"/>
      <c r="DPG5" s="181"/>
      <c r="DPH5" s="180"/>
      <c r="DPI5" s="182"/>
      <c r="DPJ5" s="182"/>
      <c r="DPK5" s="182"/>
      <c r="DPL5" s="182"/>
      <c r="DPM5" s="182"/>
      <c r="DPN5" s="182"/>
      <c r="DPO5" s="179"/>
      <c r="DPP5" s="180"/>
      <c r="DPQ5" s="180"/>
      <c r="DPR5" s="180"/>
      <c r="DPS5" s="180"/>
      <c r="DPT5" s="181"/>
      <c r="DPU5" s="180"/>
      <c r="DPV5" s="182"/>
      <c r="DPW5" s="182"/>
      <c r="DPX5" s="182"/>
      <c r="DPY5" s="182"/>
      <c r="DPZ5" s="182"/>
      <c r="DQA5" s="182"/>
      <c r="DQB5" s="179"/>
      <c r="DQC5" s="180"/>
      <c r="DQD5" s="180"/>
      <c r="DQE5" s="180"/>
      <c r="DQF5" s="180"/>
      <c r="DQG5" s="181"/>
      <c r="DQH5" s="180"/>
      <c r="DQI5" s="182"/>
      <c r="DQJ5" s="182"/>
      <c r="DQK5" s="182"/>
      <c r="DQL5" s="182"/>
      <c r="DQM5" s="182"/>
      <c r="DQN5" s="182"/>
      <c r="DQO5" s="179"/>
      <c r="DQP5" s="180"/>
      <c r="DQQ5" s="180"/>
      <c r="DQR5" s="180"/>
      <c r="DQS5" s="180"/>
      <c r="DQT5" s="181"/>
      <c r="DQU5" s="180"/>
      <c r="DQV5" s="182"/>
      <c r="DQW5" s="182"/>
      <c r="DQX5" s="182"/>
      <c r="DQY5" s="182"/>
      <c r="DQZ5" s="182"/>
      <c r="DRA5" s="182"/>
      <c r="DRB5" s="179"/>
      <c r="DRC5" s="180"/>
      <c r="DRD5" s="180"/>
      <c r="DRE5" s="180"/>
      <c r="DRF5" s="180"/>
      <c r="DRG5" s="181"/>
      <c r="DRH5" s="180"/>
      <c r="DRI5" s="182"/>
      <c r="DRJ5" s="182"/>
      <c r="DRK5" s="182"/>
      <c r="DRL5" s="182"/>
      <c r="DRM5" s="182"/>
      <c r="DRN5" s="182"/>
      <c r="DRO5" s="179"/>
      <c r="DRP5" s="180"/>
      <c r="DRQ5" s="180"/>
      <c r="DRR5" s="180"/>
      <c r="DRS5" s="180"/>
      <c r="DRT5" s="181"/>
      <c r="DRU5" s="180"/>
      <c r="DRV5" s="182"/>
      <c r="DRW5" s="182"/>
      <c r="DRX5" s="182"/>
      <c r="DRY5" s="182"/>
      <c r="DRZ5" s="182"/>
      <c r="DSA5" s="182"/>
      <c r="DSB5" s="179"/>
      <c r="DSC5" s="180"/>
      <c r="DSD5" s="180"/>
      <c r="DSE5" s="180"/>
      <c r="DSF5" s="180"/>
      <c r="DSG5" s="181"/>
      <c r="DSH5" s="180"/>
      <c r="DSI5" s="182"/>
      <c r="DSJ5" s="182"/>
      <c r="DSK5" s="182"/>
      <c r="DSL5" s="182"/>
      <c r="DSM5" s="182"/>
      <c r="DSN5" s="182"/>
      <c r="DSO5" s="179"/>
      <c r="DSP5" s="180"/>
      <c r="DSQ5" s="180"/>
      <c r="DSR5" s="180"/>
      <c r="DSS5" s="180"/>
      <c r="DST5" s="181"/>
      <c r="DSU5" s="180"/>
      <c r="DSV5" s="182"/>
      <c r="DSW5" s="182"/>
      <c r="DSX5" s="182"/>
      <c r="DSY5" s="182"/>
      <c r="DSZ5" s="182"/>
      <c r="DTA5" s="182"/>
      <c r="DTB5" s="179"/>
      <c r="DTC5" s="180"/>
      <c r="DTD5" s="180"/>
      <c r="DTE5" s="180"/>
      <c r="DTF5" s="180"/>
      <c r="DTG5" s="181"/>
      <c r="DTH5" s="180"/>
      <c r="DTI5" s="182"/>
      <c r="DTJ5" s="182"/>
      <c r="DTK5" s="182"/>
      <c r="DTL5" s="182"/>
      <c r="DTM5" s="182"/>
      <c r="DTN5" s="182"/>
      <c r="DTO5" s="179"/>
      <c r="DTP5" s="180"/>
      <c r="DTQ5" s="180"/>
      <c r="DTR5" s="180"/>
      <c r="DTS5" s="180"/>
      <c r="DTT5" s="181"/>
      <c r="DTU5" s="180"/>
      <c r="DTV5" s="182"/>
      <c r="DTW5" s="182"/>
      <c r="DTX5" s="182"/>
      <c r="DTY5" s="182"/>
      <c r="DTZ5" s="182"/>
      <c r="DUA5" s="182"/>
      <c r="DUB5" s="179"/>
      <c r="DUC5" s="180"/>
      <c r="DUD5" s="180"/>
      <c r="DUE5" s="180"/>
      <c r="DUF5" s="180"/>
      <c r="DUG5" s="181"/>
      <c r="DUH5" s="180"/>
      <c r="DUI5" s="182"/>
      <c r="DUJ5" s="182"/>
      <c r="DUK5" s="182"/>
      <c r="DUL5" s="182"/>
      <c r="DUM5" s="182"/>
      <c r="DUN5" s="182"/>
      <c r="DUO5" s="179"/>
      <c r="DUP5" s="180"/>
      <c r="DUQ5" s="180"/>
      <c r="DUR5" s="180"/>
      <c r="DUS5" s="180"/>
      <c r="DUT5" s="181"/>
      <c r="DUU5" s="180"/>
      <c r="DUV5" s="182"/>
      <c r="DUW5" s="182"/>
      <c r="DUX5" s="182"/>
      <c r="DUY5" s="182"/>
      <c r="DUZ5" s="182"/>
      <c r="DVA5" s="182"/>
      <c r="DVB5" s="179"/>
      <c r="DVC5" s="180"/>
      <c r="DVD5" s="180"/>
      <c r="DVE5" s="180"/>
      <c r="DVF5" s="180"/>
      <c r="DVG5" s="181"/>
      <c r="DVH5" s="180"/>
      <c r="DVI5" s="182"/>
      <c r="DVJ5" s="182"/>
      <c r="DVK5" s="182"/>
      <c r="DVL5" s="182"/>
      <c r="DVM5" s="182"/>
      <c r="DVN5" s="182"/>
      <c r="DVO5" s="179"/>
      <c r="DVP5" s="180"/>
      <c r="DVQ5" s="180"/>
      <c r="DVR5" s="180"/>
      <c r="DVS5" s="180"/>
      <c r="DVT5" s="181"/>
      <c r="DVU5" s="180"/>
      <c r="DVV5" s="182"/>
      <c r="DVW5" s="182"/>
      <c r="DVX5" s="182"/>
      <c r="DVY5" s="182"/>
      <c r="DVZ5" s="182"/>
      <c r="DWA5" s="182"/>
      <c r="DWB5" s="179"/>
      <c r="DWC5" s="180"/>
      <c r="DWD5" s="180"/>
      <c r="DWE5" s="180"/>
      <c r="DWF5" s="180"/>
      <c r="DWG5" s="181"/>
      <c r="DWH5" s="180"/>
      <c r="DWI5" s="182"/>
      <c r="DWJ5" s="182"/>
      <c r="DWK5" s="182"/>
      <c r="DWL5" s="182"/>
      <c r="DWM5" s="182"/>
      <c r="DWN5" s="182"/>
      <c r="DWO5" s="179"/>
      <c r="DWP5" s="180"/>
      <c r="DWQ5" s="180"/>
      <c r="DWR5" s="180"/>
      <c r="DWS5" s="180"/>
      <c r="DWT5" s="181"/>
      <c r="DWU5" s="180"/>
      <c r="DWV5" s="182"/>
      <c r="DWW5" s="182"/>
      <c r="DWX5" s="182"/>
      <c r="DWY5" s="182"/>
      <c r="DWZ5" s="182"/>
      <c r="DXA5" s="182"/>
      <c r="DXB5" s="179"/>
      <c r="DXC5" s="180"/>
      <c r="DXD5" s="180"/>
      <c r="DXE5" s="180"/>
      <c r="DXF5" s="180"/>
      <c r="DXG5" s="181"/>
      <c r="DXH5" s="180"/>
      <c r="DXI5" s="182"/>
      <c r="DXJ5" s="182"/>
      <c r="DXK5" s="182"/>
      <c r="DXL5" s="182"/>
      <c r="DXM5" s="182"/>
      <c r="DXN5" s="182"/>
      <c r="DXO5" s="179"/>
      <c r="DXP5" s="180"/>
      <c r="DXQ5" s="180"/>
      <c r="DXR5" s="180"/>
      <c r="DXS5" s="180"/>
      <c r="DXT5" s="181"/>
      <c r="DXU5" s="180"/>
      <c r="DXV5" s="182"/>
      <c r="DXW5" s="182"/>
      <c r="DXX5" s="182"/>
      <c r="DXY5" s="182"/>
      <c r="DXZ5" s="182"/>
      <c r="DYA5" s="182"/>
      <c r="DYB5" s="179"/>
      <c r="DYC5" s="180"/>
      <c r="DYD5" s="180"/>
      <c r="DYE5" s="180"/>
      <c r="DYF5" s="180"/>
      <c r="DYG5" s="181"/>
      <c r="DYH5" s="180"/>
      <c r="DYI5" s="182"/>
      <c r="DYJ5" s="182"/>
      <c r="DYK5" s="182"/>
      <c r="DYL5" s="182"/>
      <c r="DYM5" s="182"/>
      <c r="DYN5" s="182"/>
      <c r="DYO5" s="179"/>
      <c r="DYP5" s="180"/>
      <c r="DYQ5" s="180"/>
      <c r="DYR5" s="180"/>
      <c r="DYS5" s="180"/>
      <c r="DYT5" s="181"/>
      <c r="DYU5" s="180"/>
      <c r="DYV5" s="182"/>
      <c r="DYW5" s="182"/>
      <c r="DYX5" s="182"/>
      <c r="DYY5" s="182"/>
      <c r="DYZ5" s="182"/>
      <c r="DZA5" s="182"/>
      <c r="DZB5" s="179"/>
      <c r="DZC5" s="180"/>
      <c r="DZD5" s="180"/>
      <c r="DZE5" s="180"/>
      <c r="DZF5" s="180"/>
      <c r="DZG5" s="181"/>
      <c r="DZH5" s="180"/>
      <c r="DZI5" s="182"/>
      <c r="DZJ5" s="182"/>
      <c r="DZK5" s="182"/>
      <c r="DZL5" s="182"/>
      <c r="DZM5" s="182"/>
      <c r="DZN5" s="182"/>
      <c r="DZO5" s="179"/>
      <c r="DZP5" s="180"/>
      <c r="DZQ5" s="180"/>
      <c r="DZR5" s="180"/>
      <c r="DZS5" s="180"/>
      <c r="DZT5" s="181"/>
      <c r="DZU5" s="180"/>
      <c r="DZV5" s="182"/>
      <c r="DZW5" s="182"/>
      <c r="DZX5" s="182"/>
      <c r="DZY5" s="182"/>
      <c r="DZZ5" s="182"/>
      <c r="EAA5" s="182"/>
      <c r="EAB5" s="179"/>
      <c r="EAC5" s="180"/>
      <c r="EAD5" s="180"/>
      <c r="EAE5" s="180"/>
      <c r="EAF5" s="180"/>
      <c r="EAG5" s="181"/>
      <c r="EAH5" s="180"/>
      <c r="EAI5" s="182"/>
      <c r="EAJ5" s="182"/>
      <c r="EAK5" s="182"/>
      <c r="EAL5" s="182"/>
      <c r="EAM5" s="182"/>
      <c r="EAN5" s="182"/>
      <c r="EAO5" s="179"/>
      <c r="EAP5" s="180"/>
      <c r="EAQ5" s="180"/>
      <c r="EAR5" s="180"/>
      <c r="EAS5" s="180"/>
      <c r="EAT5" s="181"/>
      <c r="EAU5" s="180"/>
      <c r="EAV5" s="182"/>
      <c r="EAW5" s="182"/>
      <c r="EAX5" s="182"/>
      <c r="EAY5" s="182"/>
      <c r="EAZ5" s="182"/>
      <c r="EBA5" s="182"/>
      <c r="EBB5" s="179"/>
      <c r="EBC5" s="180"/>
      <c r="EBD5" s="180"/>
      <c r="EBE5" s="180"/>
      <c r="EBF5" s="180"/>
      <c r="EBG5" s="181"/>
      <c r="EBH5" s="180"/>
      <c r="EBI5" s="182"/>
      <c r="EBJ5" s="182"/>
      <c r="EBK5" s="182"/>
      <c r="EBL5" s="182"/>
      <c r="EBM5" s="182"/>
      <c r="EBN5" s="182"/>
      <c r="EBO5" s="179"/>
      <c r="EBP5" s="180"/>
      <c r="EBQ5" s="180"/>
      <c r="EBR5" s="180"/>
      <c r="EBS5" s="180"/>
      <c r="EBT5" s="181"/>
      <c r="EBU5" s="180"/>
      <c r="EBV5" s="182"/>
      <c r="EBW5" s="182"/>
      <c r="EBX5" s="182"/>
      <c r="EBY5" s="182"/>
      <c r="EBZ5" s="182"/>
      <c r="ECA5" s="182"/>
      <c r="ECB5" s="179"/>
      <c r="ECC5" s="180"/>
      <c r="ECD5" s="180"/>
      <c r="ECE5" s="180"/>
      <c r="ECF5" s="180"/>
      <c r="ECG5" s="181"/>
      <c r="ECH5" s="180"/>
      <c r="ECI5" s="182"/>
      <c r="ECJ5" s="182"/>
      <c r="ECK5" s="182"/>
      <c r="ECL5" s="182"/>
      <c r="ECM5" s="182"/>
      <c r="ECN5" s="182"/>
      <c r="ECO5" s="179"/>
      <c r="ECP5" s="180"/>
      <c r="ECQ5" s="180"/>
      <c r="ECR5" s="180"/>
      <c r="ECS5" s="180"/>
      <c r="ECT5" s="181"/>
      <c r="ECU5" s="180"/>
      <c r="ECV5" s="182"/>
      <c r="ECW5" s="182"/>
      <c r="ECX5" s="182"/>
      <c r="ECY5" s="182"/>
      <c r="ECZ5" s="182"/>
      <c r="EDA5" s="182"/>
      <c r="EDB5" s="179"/>
      <c r="EDC5" s="180"/>
      <c r="EDD5" s="180"/>
      <c r="EDE5" s="180"/>
      <c r="EDF5" s="180"/>
      <c r="EDG5" s="181"/>
      <c r="EDH5" s="180"/>
      <c r="EDI5" s="182"/>
      <c r="EDJ5" s="182"/>
      <c r="EDK5" s="182"/>
      <c r="EDL5" s="182"/>
      <c r="EDM5" s="182"/>
      <c r="EDN5" s="182"/>
      <c r="EDO5" s="179"/>
      <c r="EDP5" s="180"/>
      <c r="EDQ5" s="180"/>
      <c r="EDR5" s="180"/>
      <c r="EDS5" s="180"/>
      <c r="EDT5" s="181"/>
      <c r="EDU5" s="180"/>
      <c r="EDV5" s="182"/>
      <c r="EDW5" s="182"/>
      <c r="EDX5" s="182"/>
      <c r="EDY5" s="182"/>
      <c r="EDZ5" s="182"/>
      <c r="EEA5" s="182"/>
      <c r="EEB5" s="179"/>
      <c r="EEC5" s="180"/>
      <c r="EED5" s="180"/>
      <c r="EEE5" s="180"/>
      <c r="EEF5" s="180"/>
      <c r="EEG5" s="181"/>
      <c r="EEH5" s="180"/>
      <c r="EEI5" s="182"/>
      <c r="EEJ5" s="182"/>
      <c r="EEK5" s="182"/>
      <c r="EEL5" s="182"/>
      <c r="EEM5" s="182"/>
      <c r="EEN5" s="182"/>
      <c r="EEO5" s="179"/>
      <c r="EEP5" s="180"/>
      <c r="EEQ5" s="180"/>
      <c r="EER5" s="180"/>
      <c r="EES5" s="180"/>
      <c r="EET5" s="181"/>
      <c r="EEU5" s="180"/>
      <c r="EEV5" s="182"/>
      <c r="EEW5" s="182"/>
      <c r="EEX5" s="182"/>
      <c r="EEY5" s="182"/>
      <c r="EEZ5" s="182"/>
      <c r="EFA5" s="182"/>
      <c r="EFB5" s="179"/>
      <c r="EFC5" s="180"/>
      <c r="EFD5" s="180"/>
      <c r="EFE5" s="180"/>
      <c r="EFF5" s="180"/>
      <c r="EFG5" s="181"/>
      <c r="EFH5" s="180"/>
      <c r="EFI5" s="182"/>
      <c r="EFJ5" s="182"/>
      <c r="EFK5" s="182"/>
      <c r="EFL5" s="182"/>
      <c r="EFM5" s="182"/>
      <c r="EFN5" s="182"/>
      <c r="EFO5" s="179"/>
      <c r="EFP5" s="180"/>
      <c r="EFQ5" s="180"/>
      <c r="EFR5" s="180"/>
      <c r="EFS5" s="180"/>
      <c r="EFT5" s="181"/>
      <c r="EFU5" s="180"/>
      <c r="EFV5" s="182"/>
      <c r="EFW5" s="182"/>
      <c r="EFX5" s="182"/>
      <c r="EFY5" s="182"/>
      <c r="EFZ5" s="182"/>
      <c r="EGA5" s="182"/>
      <c r="EGB5" s="179"/>
      <c r="EGC5" s="180"/>
      <c r="EGD5" s="180"/>
      <c r="EGE5" s="180"/>
      <c r="EGF5" s="180"/>
      <c r="EGG5" s="181"/>
      <c r="EGH5" s="180"/>
      <c r="EGI5" s="182"/>
      <c r="EGJ5" s="182"/>
      <c r="EGK5" s="182"/>
      <c r="EGL5" s="182"/>
      <c r="EGM5" s="182"/>
      <c r="EGN5" s="182"/>
      <c r="EGO5" s="179"/>
      <c r="EGP5" s="180"/>
      <c r="EGQ5" s="180"/>
      <c r="EGR5" s="180"/>
      <c r="EGS5" s="180"/>
      <c r="EGT5" s="181"/>
      <c r="EGU5" s="180"/>
      <c r="EGV5" s="182"/>
      <c r="EGW5" s="182"/>
      <c r="EGX5" s="182"/>
      <c r="EGY5" s="182"/>
      <c r="EGZ5" s="182"/>
      <c r="EHA5" s="182"/>
      <c r="EHB5" s="179"/>
      <c r="EHC5" s="180"/>
      <c r="EHD5" s="180"/>
      <c r="EHE5" s="180"/>
      <c r="EHF5" s="180"/>
      <c r="EHG5" s="181"/>
      <c r="EHH5" s="180"/>
      <c r="EHI5" s="182"/>
      <c r="EHJ5" s="182"/>
      <c r="EHK5" s="182"/>
      <c r="EHL5" s="182"/>
      <c r="EHM5" s="182"/>
      <c r="EHN5" s="182"/>
      <c r="EHO5" s="179"/>
      <c r="EHP5" s="180"/>
      <c r="EHQ5" s="180"/>
      <c r="EHR5" s="180"/>
      <c r="EHS5" s="180"/>
      <c r="EHT5" s="181"/>
      <c r="EHU5" s="180"/>
      <c r="EHV5" s="182"/>
      <c r="EHW5" s="182"/>
      <c r="EHX5" s="182"/>
      <c r="EHY5" s="182"/>
      <c r="EHZ5" s="182"/>
      <c r="EIA5" s="182"/>
      <c r="EIB5" s="179"/>
      <c r="EIC5" s="180"/>
      <c r="EID5" s="180"/>
      <c r="EIE5" s="180"/>
      <c r="EIF5" s="180"/>
      <c r="EIG5" s="181"/>
      <c r="EIH5" s="180"/>
      <c r="EII5" s="182"/>
      <c r="EIJ5" s="182"/>
      <c r="EIK5" s="182"/>
      <c r="EIL5" s="182"/>
      <c r="EIM5" s="182"/>
      <c r="EIN5" s="182"/>
      <c r="EIO5" s="179"/>
      <c r="EIP5" s="180"/>
      <c r="EIQ5" s="180"/>
      <c r="EIR5" s="180"/>
      <c r="EIS5" s="180"/>
      <c r="EIT5" s="181"/>
      <c r="EIU5" s="180"/>
      <c r="EIV5" s="182"/>
      <c r="EIW5" s="182"/>
      <c r="EIX5" s="182"/>
      <c r="EIY5" s="182"/>
      <c r="EIZ5" s="182"/>
      <c r="EJA5" s="182"/>
      <c r="EJB5" s="179"/>
      <c r="EJC5" s="180"/>
      <c r="EJD5" s="180"/>
      <c r="EJE5" s="180"/>
      <c r="EJF5" s="180"/>
      <c r="EJG5" s="181"/>
      <c r="EJH5" s="180"/>
      <c r="EJI5" s="182"/>
      <c r="EJJ5" s="182"/>
      <c r="EJK5" s="182"/>
      <c r="EJL5" s="182"/>
      <c r="EJM5" s="182"/>
      <c r="EJN5" s="182"/>
      <c r="EJO5" s="179"/>
      <c r="EJP5" s="180"/>
      <c r="EJQ5" s="180"/>
      <c r="EJR5" s="180"/>
      <c r="EJS5" s="180"/>
      <c r="EJT5" s="181"/>
      <c r="EJU5" s="180"/>
      <c r="EJV5" s="182"/>
      <c r="EJW5" s="182"/>
      <c r="EJX5" s="182"/>
      <c r="EJY5" s="182"/>
      <c r="EJZ5" s="182"/>
      <c r="EKA5" s="182"/>
      <c r="EKB5" s="179"/>
      <c r="EKC5" s="180"/>
      <c r="EKD5" s="180"/>
      <c r="EKE5" s="180"/>
      <c r="EKF5" s="180"/>
      <c r="EKG5" s="181"/>
      <c r="EKH5" s="180"/>
      <c r="EKI5" s="182"/>
      <c r="EKJ5" s="182"/>
      <c r="EKK5" s="182"/>
      <c r="EKL5" s="182"/>
      <c r="EKM5" s="182"/>
      <c r="EKN5" s="182"/>
      <c r="EKO5" s="179"/>
      <c r="EKP5" s="180"/>
      <c r="EKQ5" s="180"/>
      <c r="EKR5" s="180"/>
      <c r="EKS5" s="180"/>
      <c r="EKT5" s="181"/>
      <c r="EKU5" s="180"/>
      <c r="EKV5" s="182"/>
      <c r="EKW5" s="182"/>
      <c r="EKX5" s="182"/>
      <c r="EKY5" s="182"/>
      <c r="EKZ5" s="182"/>
      <c r="ELA5" s="182"/>
      <c r="ELB5" s="179"/>
      <c r="ELC5" s="180"/>
      <c r="ELD5" s="180"/>
      <c r="ELE5" s="180"/>
      <c r="ELF5" s="180"/>
      <c r="ELG5" s="181"/>
      <c r="ELH5" s="180"/>
      <c r="ELI5" s="182"/>
      <c r="ELJ5" s="182"/>
      <c r="ELK5" s="182"/>
      <c r="ELL5" s="182"/>
      <c r="ELM5" s="182"/>
      <c r="ELN5" s="182"/>
      <c r="ELO5" s="179"/>
      <c r="ELP5" s="180"/>
      <c r="ELQ5" s="180"/>
      <c r="ELR5" s="180"/>
      <c r="ELS5" s="180"/>
      <c r="ELT5" s="181"/>
      <c r="ELU5" s="180"/>
      <c r="ELV5" s="182"/>
      <c r="ELW5" s="182"/>
      <c r="ELX5" s="182"/>
      <c r="ELY5" s="182"/>
      <c r="ELZ5" s="182"/>
      <c r="EMA5" s="182"/>
      <c r="EMB5" s="179"/>
      <c r="EMC5" s="180"/>
      <c r="EMD5" s="180"/>
      <c r="EME5" s="180"/>
      <c r="EMF5" s="180"/>
      <c r="EMG5" s="181"/>
      <c r="EMH5" s="180"/>
      <c r="EMI5" s="182"/>
      <c r="EMJ5" s="182"/>
      <c r="EMK5" s="182"/>
      <c r="EML5" s="182"/>
      <c r="EMM5" s="182"/>
      <c r="EMN5" s="182"/>
      <c r="EMO5" s="179"/>
      <c r="EMP5" s="180"/>
      <c r="EMQ5" s="180"/>
      <c r="EMR5" s="180"/>
      <c r="EMS5" s="180"/>
      <c r="EMT5" s="181"/>
      <c r="EMU5" s="180"/>
      <c r="EMV5" s="182"/>
      <c r="EMW5" s="182"/>
      <c r="EMX5" s="182"/>
      <c r="EMY5" s="182"/>
      <c r="EMZ5" s="182"/>
      <c r="ENA5" s="182"/>
      <c r="ENB5" s="179"/>
      <c r="ENC5" s="180"/>
      <c r="END5" s="180"/>
      <c r="ENE5" s="180"/>
      <c r="ENF5" s="180"/>
      <c r="ENG5" s="181"/>
      <c r="ENH5" s="180"/>
      <c r="ENI5" s="182"/>
      <c r="ENJ5" s="182"/>
      <c r="ENK5" s="182"/>
      <c r="ENL5" s="182"/>
      <c r="ENM5" s="182"/>
      <c r="ENN5" s="182"/>
      <c r="ENO5" s="179"/>
      <c r="ENP5" s="180"/>
      <c r="ENQ5" s="180"/>
      <c r="ENR5" s="180"/>
      <c r="ENS5" s="180"/>
      <c r="ENT5" s="181"/>
      <c r="ENU5" s="180"/>
      <c r="ENV5" s="182"/>
      <c r="ENW5" s="182"/>
      <c r="ENX5" s="182"/>
      <c r="ENY5" s="182"/>
      <c r="ENZ5" s="182"/>
      <c r="EOA5" s="182"/>
      <c r="EOB5" s="179"/>
      <c r="EOC5" s="180"/>
      <c r="EOD5" s="180"/>
      <c r="EOE5" s="180"/>
      <c r="EOF5" s="180"/>
      <c r="EOG5" s="181"/>
      <c r="EOH5" s="180"/>
      <c r="EOI5" s="182"/>
      <c r="EOJ5" s="182"/>
      <c r="EOK5" s="182"/>
      <c r="EOL5" s="182"/>
      <c r="EOM5" s="182"/>
      <c r="EON5" s="182"/>
      <c r="EOO5" s="179"/>
      <c r="EOP5" s="180"/>
      <c r="EOQ5" s="180"/>
      <c r="EOR5" s="180"/>
      <c r="EOS5" s="180"/>
      <c r="EOT5" s="181"/>
      <c r="EOU5" s="180"/>
      <c r="EOV5" s="182"/>
      <c r="EOW5" s="182"/>
      <c r="EOX5" s="182"/>
      <c r="EOY5" s="182"/>
      <c r="EOZ5" s="182"/>
      <c r="EPA5" s="182"/>
      <c r="EPB5" s="179"/>
      <c r="EPC5" s="180"/>
      <c r="EPD5" s="180"/>
      <c r="EPE5" s="180"/>
      <c r="EPF5" s="180"/>
      <c r="EPG5" s="181"/>
      <c r="EPH5" s="180"/>
      <c r="EPI5" s="182"/>
      <c r="EPJ5" s="182"/>
      <c r="EPK5" s="182"/>
      <c r="EPL5" s="182"/>
      <c r="EPM5" s="182"/>
      <c r="EPN5" s="182"/>
      <c r="EPO5" s="179"/>
      <c r="EPP5" s="180"/>
      <c r="EPQ5" s="180"/>
      <c r="EPR5" s="180"/>
      <c r="EPS5" s="180"/>
      <c r="EPT5" s="181"/>
      <c r="EPU5" s="180"/>
      <c r="EPV5" s="182"/>
      <c r="EPW5" s="182"/>
      <c r="EPX5" s="182"/>
      <c r="EPY5" s="182"/>
      <c r="EPZ5" s="182"/>
      <c r="EQA5" s="182"/>
      <c r="EQB5" s="179"/>
      <c r="EQC5" s="180"/>
      <c r="EQD5" s="180"/>
      <c r="EQE5" s="180"/>
      <c r="EQF5" s="180"/>
      <c r="EQG5" s="181"/>
      <c r="EQH5" s="180"/>
      <c r="EQI5" s="182"/>
      <c r="EQJ5" s="182"/>
      <c r="EQK5" s="182"/>
      <c r="EQL5" s="182"/>
      <c r="EQM5" s="182"/>
      <c r="EQN5" s="182"/>
      <c r="EQO5" s="179"/>
      <c r="EQP5" s="180"/>
      <c r="EQQ5" s="180"/>
      <c r="EQR5" s="180"/>
      <c r="EQS5" s="180"/>
      <c r="EQT5" s="181"/>
      <c r="EQU5" s="180"/>
      <c r="EQV5" s="182"/>
      <c r="EQW5" s="182"/>
      <c r="EQX5" s="182"/>
      <c r="EQY5" s="182"/>
      <c r="EQZ5" s="182"/>
      <c r="ERA5" s="182"/>
      <c r="ERB5" s="179"/>
      <c r="ERC5" s="180"/>
      <c r="ERD5" s="180"/>
      <c r="ERE5" s="180"/>
      <c r="ERF5" s="180"/>
      <c r="ERG5" s="181"/>
      <c r="ERH5" s="180"/>
      <c r="ERI5" s="182"/>
      <c r="ERJ5" s="182"/>
      <c r="ERK5" s="182"/>
      <c r="ERL5" s="182"/>
      <c r="ERM5" s="182"/>
      <c r="ERN5" s="182"/>
      <c r="ERO5" s="179"/>
      <c r="ERP5" s="180"/>
      <c r="ERQ5" s="180"/>
      <c r="ERR5" s="180"/>
      <c r="ERS5" s="180"/>
      <c r="ERT5" s="181"/>
      <c r="ERU5" s="180"/>
      <c r="ERV5" s="182"/>
      <c r="ERW5" s="182"/>
      <c r="ERX5" s="182"/>
      <c r="ERY5" s="182"/>
      <c r="ERZ5" s="182"/>
      <c r="ESA5" s="182"/>
      <c r="ESB5" s="179"/>
      <c r="ESC5" s="180"/>
      <c r="ESD5" s="180"/>
      <c r="ESE5" s="180"/>
      <c r="ESF5" s="180"/>
      <c r="ESG5" s="181"/>
      <c r="ESH5" s="180"/>
      <c r="ESI5" s="182"/>
      <c r="ESJ5" s="182"/>
      <c r="ESK5" s="182"/>
      <c r="ESL5" s="182"/>
      <c r="ESM5" s="182"/>
      <c r="ESN5" s="182"/>
      <c r="ESO5" s="179"/>
      <c r="ESP5" s="180"/>
      <c r="ESQ5" s="180"/>
      <c r="ESR5" s="180"/>
      <c r="ESS5" s="180"/>
      <c r="EST5" s="181"/>
      <c r="ESU5" s="180"/>
      <c r="ESV5" s="182"/>
      <c r="ESW5" s="182"/>
      <c r="ESX5" s="182"/>
      <c r="ESY5" s="182"/>
      <c r="ESZ5" s="182"/>
      <c r="ETA5" s="182"/>
      <c r="ETB5" s="179"/>
      <c r="ETC5" s="180"/>
      <c r="ETD5" s="180"/>
      <c r="ETE5" s="180"/>
      <c r="ETF5" s="180"/>
      <c r="ETG5" s="181"/>
      <c r="ETH5" s="180"/>
      <c r="ETI5" s="182"/>
      <c r="ETJ5" s="182"/>
      <c r="ETK5" s="182"/>
      <c r="ETL5" s="182"/>
      <c r="ETM5" s="182"/>
      <c r="ETN5" s="182"/>
      <c r="ETO5" s="179"/>
      <c r="ETP5" s="180"/>
      <c r="ETQ5" s="180"/>
      <c r="ETR5" s="180"/>
      <c r="ETS5" s="180"/>
      <c r="ETT5" s="181"/>
      <c r="ETU5" s="180"/>
      <c r="ETV5" s="182"/>
      <c r="ETW5" s="182"/>
      <c r="ETX5" s="182"/>
      <c r="ETY5" s="182"/>
      <c r="ETZ5" s="182"/>
      <c r="EUA5" s="182"/>
      <c r="EUB5" s="179"/>
      <c r="EUC5" s="180"/>
      <c r="EUD5" s="180"/>
      <c r="EUE5" s="180"/>
      <c r="EUF5" s="180"/>
      <c r="EUG5" s="181"/>
      <c r="EUH5" s="180"/>
      <c r="EUI5" s="182"/>
      <c r="EUJ5" s="182"/>
      <c r="EUK5" s="182"/>
      <c r="EUL5" s="182"/>
      <c r="EUM5" s="182"/>
      <c r="EUN5" s="182"/>
      <c r="EUO5" s="179"/>
      <c r="EUP5" s="180"/>
      <c r="EUQ5" s="180"/>
      <c r="EUR5" s="180"/>
      <c r="EUS5" s="180"/>
      <c r="EUT5" s="181"/>
      <c r="EUU5" s="180"/>
      <c r="EUV5" s="182"/>
      <c r="EUW5" s="182"/>
      <c r="EUX5" s="182"/>
      <c r="EUY5" s="182"/>
      <c r="EUZ5" s="182"/>
      <c r="EVA5" s="182"/>
      <c r="EVB5" s="179"/>
      <c r="EVC5" s="180"/>
      <c r="EVD5" s="180"/>
      <c r="EVE5" s="180"/>
      <c r="EVF5" s="180"/>
      <c r="EVG5" s="181"/>
      <c r="EVH5" s="180"/>
      <c r="EVI5" s="182"/>
      <c r="EVJ5" s="182"/>
      <c r="EVK5" s="182"/>
      <c r="EVL5" s="182"/>
      <c r="EVM5" s="182"/>
      <c r="EVN5" s="182"/>
      <c r="EVO5" s="179"/>
      <c r="EVP5" s="180"/>
      <c r="EVQ5" s="180"/>
      <c r="EVR5" s="180"/>
      <c r="EVS5" s="180"/>
      <c r="EVT5" s="181"/>
      <c r="EVU5" s="180"/>
      <c r="EVV5" s="182"/>
      <c r="EVW5" s="182"/>
      <c r="EVX5" s="182"/>
      <c r="EVY5" s="182"/>
      <c r="EVZ5" s="182"/>
      <c r="EWA5" s="182"/>
      <c r="EWB5" s="179"/>
      <c r="EWC5" s="180"/>
      <c r="EWD5" s="180"/>
      <c r="EWE5" s="180"/>
      <c r="EWF5" s="180"/>
      <c r="EWG5" s="181"/>
      <c r="EWH5" s="180"/>
      <c r="EWI5" s="182"/>
      <c r="EWJ5" s="182"/>
      <c r="EWK5" s="182"/>
      <c r="EWL5" s="182"/>
      <c r="EWM5" s="182"/>
      <c r="EWN5" s="182"/>
      <c r="EWO5" s="179"/>
      <c r="EWP5" s="180"/>
      <c r="EWQ5" s="180"/>
      <c r="EWR5" s="180"/>
      <c r="EWS5" s="180"/>
      <c r="EWT5" s="181"/>
      <c r="EWU5" s="180"/>
      <c r="EWV5" s="182"/>
      <c r="EWW5" s="182"/>
      <c r="EWX5" s="182"/>
      <c r="EWY5" s="182"/>
      <c r="EWZ5" s="182"/>
      <c r="EXA5" s="182"/>
      <c r="EXB5" s="179"/>
      <c r="EXC5" s="180"/>
      <c r="EXD5" s="180"/>
      <c r="EXE5" s="180"/>
      <c r="EXF5" s="180"/>
      <c r="EXG5" s="181"/>
      <c r="EXH5" s="180"/>
      <c r="EXI5" s="182"/>
      <c r="EXJ5" s="182"/>
      <c r="EXK5" s="182"/>
      <c r="EXL5" s="182"/>
      <c r="EXM5" s="182"/>
      <c r="EXN5" s="182"/>
      <c r="EXO5" s="179"/>
      <c r="EXP5" s="180"/>
      <c r="EXQ5" s="180"/>
      <c r="EXR5" s="180"/>
      <c r="EXS5" s="180"/>
      <c r="EXT5" s="181"/>
      <c r="EXU5" s="180"/>
      <c r="EXV5" s="182"/>
      <c r="EXW5" s="182"/>
      <c r="EXX5" s="182"/>
      <c r="EXY5" s="182"/>
      <c r="EXZ5" s="182"/>
      <c r="EYA5" s="182"/>
      <c r="EYB5" s="179"/>
      <c r="EYC5" s="180"/>
      <c r="EYD5" s="180"/>
      <c r="EYE5" s="180"/>
      <c r="EYF5" s="180"/>
      <c r="EYG5" s="181"/>
      <c r="EYH5" s="180"/>
      <c r="EYI5" s="182"/>
      <c r="EYJ5" s="182"/>
      <c r="EYK5" s="182"/>
      <c r="EYL5" s="182"/>
      <c r="EYM5" s="182"/>
      <c r="EYN5" s="182"/>
      <c r="EYO5" s="179"/>
      <c r="EYP5" s="180"/>
      <c r="EYQ5" s="180"/>
      <c r="EYR5" s="180"/>
      <c r="EYS5" s="180"/>
      <c r="EYT5" s="181"/>
      <c r="EYU5" s="180"/>
      <c r="EYV5" s="182"/>
      <c r="EYW5" s="182"/>
      <c r="EYX5" s="182"/>
      <c r="EYY5" s="182"/>
      <c r="EYZ5" s="182"/>
      <c r="EZA5" s="182"/>
      <c r="EZB5" s="179"/>
      <c r="EZC5" s="180"/>
      <c r="EZD5" s="180"/>
      <c r="EZE5" s="180"/>
      <c r="EZF5" s="180"/>
      <c r="EZG5" s="181"/>
      <c r="EZH5" s="180"/>
      <c r="EZI5" s="182"/>
      <c r="EZJ5" s="182"/>
      <c r="EZK5" s="182"/>
      <c r="EZL5" s="182"/>
      <c r="EZM5" s="182"/>
      <c r="EZN5" s="182"/>
      <c r="EZO5" s="179"/>
      <c r="EZP5" s="180"/>
      <c r="EZQ5" s="180"/>
      <c r="EZR5" s="180"/>
      <c r="EZS5" s="180"/>
      <c r="EZT5" s="181"/>
      <c r="EZU5" s="180"/>
      <c r="EZV5" s="182"/>
      <c r="EZW5" s="182"/>
      <c r="EZX5" s="182"/>
      <c r="EZY5" s="182"/>
      <c r="EZZ5" s="182"/>
      <c r="FAA5" s="182"/>
      <c r="FAB5" s="179"/>
      <c r="FAC5" s="180"/>
      <c r="FAD5" s="180"/>
      <c r="FAE5" s="180"/>
      <c r="FAF5" s="180"/>
      <c r="FAG5" s="181"/>
      <c r="FAH5" s="180"/>
      <c r="FAI5" s="182"/>
      <c r="FAJ5" s="182"/>
      <c r="FAK5" s="182"/>
      <c r="FAL5" s="182"/>
      <c r="FAM5" s="182"/>
      <c r="FAN5" s="182"/>
      <c r="FAO5" s="179"/>
      <c r="FAP5" s="180"/>
      <c r="FAQ5" s="180"/>
      <c r="FAR5" s="180"/>
      <c r="FAS5" s="180"/>
      <c r="FAT5" s="181"/>
      <c r="FAU5" s="180"/>
      <c r="FAV5" s="182"/>
      <c r="FAW5" s="182"/>
      <c r="FAX5" s="182"/>
      <c r="FAY5" s="182"/>
      <c r="FAZ5" s="182"/>
      <c r="FBA5" s="182"/>
      <c r="FBB5" s="179"/>
      <c r="FBC5" s="180"/>
      <c r="FBD5" s="180"/>
      <c r="FBE5" s="180"/>
      <c r="FBF5" s="180"/>
      <c r="FBG5" s="181"/>
      <c r="FBH5" s="180"/>
      <c r="FBI5" s="182"/>
      <c r="FBJ5" s="182"/>
      <c r="FBK5" s="182"/>
      <c r="FBL5" s="182"/>
      <c r="FBM5" s="182"/>
      <c r="FBN5" s="182"/>
      <c r="FBO5" s="179"/>
      <c r="FBP5" s="180"/>
      <c r="FBQ5" s="180"/>
      <c r="FBR5" s="180"/>
      <c r="FBS5" s="180"/>
      <c r="FBT5" s="181"/>
      <c r="FBU5" s="180"/>
      <c r="FBV5" s="182"/>
      <c r="FBW5" s="182"/>
      <c r="FBX5" s="182"/>
      <c r="FBY5" s="182"/>
      <c r="FBZ5" s="182"/>
      <c r="FCA5" s="182"/>
      <c r="FCB5" s="179"/>
      <c r="FCC5" s="180"/>
      <c r="FCD5" s="180"/>
      <c r="FCE5" s="180"/>
      <c r="FCF5" s="180"/>
      <c r="FCG5" s="181"/>
      <c r="FCH5" s="180"/>
      <c r="FCI5" s="182"/>
      <c r="FCJ5" s="182"/>
      <c r="FCK5" s="182"/>
      <c r="FCL5" s="182"/>
      <c r="FCM5" s="182"/>
      <c r="FCN5" s="182"/>
      <c r="FCO5" s="179"/>
      <c r="FCP5" s="180"/>
      <c r="FCQ5" s="180"/>
      <c r="FCR5" s="180"/>
      <c r="FCS5" s="180"/>
      <c r="FCT5" s="181"/>
      <c r="FCU5" s="180"/>
      <c r="FCV5" s="182"/>
      <c r="FCW5" s="182"/>
      <c r="FCX5" s="182"/>
      <c r="FCY5" s="182"/>
      <c r="FCZ5" s="182"/>
      <c r="FDA5" s="182"/>
      <c r="FDB5" s="179"/>
      <c r="FDC5" s="180"/>
      <c r="FDD5" s="180"/>
      <c r="FDE5" s="180"/>
      <c r="FDF5" s="180"/>
      <c r="FDG5" s="181"/>
      <c r="FDH5" s="180"/>
      <c r="FDI5" s="182"/>
      <c r="FDJ5" s="182"/>
      <c r="FDK5" s="182"/>
      <c r="FDL5" s="182"/>
      <c r="FDM5" s="182"/>
      <c r="FDN5" s="182"/>
      <c r="FDO5" s="179"/>
      <c r="FDP5" s="180"/>
      <c r="FDQ5" s="180"/>
      <c r="FDR5" s="180"/>
      <c r="FDS5" s="180"/>
      <c r="FDT5" s="181"/>
      <c r="FDU5" s="180"/>
      <c r="FDV5" s="182"/>
      <c r="FDW5" s="182"/>
      <c r="FDX5" s="182"/>
      <c r="FDY5" s="182"/>
      <c r="FDZ5" s="182"/>
      <c r="FEA5" s="182"/>
      <c r="FEB5" s="179"/>
      <c r="FEC5" s="180"/>
      <c r="FED5" s="180"/>
      <c r="FEE5" s="180"/>
      <c r="FEF5" s="180"/>
      <c r="FEG5" s="181"/>
      <c r="FEH5" s="180"/>
      <c r="FEI5" s="182"/>
      <c r="FEJ5" s="182"/>
      <c r="FEK5" s="182"/>
      <c r="FEL5" s="182"/>
      <c r="FEM5" s="182"/>
      <c r="FEN5" s="182"/>
      <c r="FEO5" s="179"/>
      <c r="FEP5" s="180"/>
      <c r="FEQ5" s="180"/>
      <c r="FER5" s="180"/>
      <c r="FES5" s="180"/>
      <c r="FET5" s="181"/>
      <c r="FEU5" s="180"/>
      <c r="FEV5" s="182"/>
      <c r="FEW5" s="182"/>
      <c r="FEX5" s="182"/>
      <c r="FEY5" s="182"/>
      <c r="FEZ5" s="182"/>
      <c r="FFA5" s="182"/>
      <c r="FFB5" s="179"/>
      <c r="FFC5" s="180"/>
      <c r="FFD5" s="180"/>
      <c r="FFE5" s="180"/>
      <c r="FFF5" s="180"/>
      <c r="FFG5" s="181"/>
      <c r="FFH5" s="180"/>
      <c r="FFI5" s="182"/>
      <c r="FFJ5" s="182"/>
      <c r="FFK5" s="182"/>
      <c r="FFL5" s="182"/>
      <c r="FFM5" s="182"/>
      <c r="FFN5" s="182"/>
      <c r="FFO5" s="179"/>
      <c r="FFP5" s="180"/>
      <c r="FFQ5" s="180"/>
      <c r="FFR5" s="180"/>
      <c r="FFS5" s="180"/>
      <c r="FFT5" s="181"/>
      <c r="FFU5" s="180"/>
      <c r="FFV5" s="182"/>
      <c r="FFW5" s="182"/>
      <c r="FFX5" s="182"/>
      <c r="FFY5" s="182"/>
      <c r="FFZ5" s="182"/>
      <c r="FGA5" s="182"/>
      <c r="FGB5" s="179"/>
      <c r="FGC5" s="180"/>
      <c r="FGD5" s="180"/>
      <c r="FGE5" s="180"/>
      <c r="FGF5" s="180"/>
      <c r="FGG5" s="181"/>
      <c r="FGH5" s="180"/>
      <c r="FGI5" s="182"/>
      <c r="FGJ5" s="182"/>
      <c r="FGK5" s="182"/>
      <c r="FGL5" s="182"/>
      <c r="FGM5" s="182"/>
      <c r="FGN5" s="182"/>
      <c r="FGO5" s="179"/>
      <c r="FGP5" s="180"/>
      <c r="FGQ5" s="180"/>
      <c r="FGR5" s="180"/>
      <c r="FGS5" s="180"/>
      <c r="FGT5" s="181"/>
      <c r="FGU5" s="180"/>
      <c r="FGV5" s="182"/>
      <c r="FGW5" s="182"/>
      <c r="FGX5" s="182"/>
      <c r="FGY5" s="182"/>
      <c r="FGZ5" s="182"/>
      <c r="FHA5" s="182"/>
      <c r="FHB5" s="179"/>
      <c r="FHC5" s="180"/>
      <c r="FHD5" s="180"/>
      <c r="FHE5" s="180"/>
      <c r="FHF5" s="180"/>
      <c r="FHG5" s="181"/>
      <c r="FHH5" s="180"/>
      <c r="FHI5" s="182"/>
      <c r="FHJ5" s="182"/>
      <c r="FHK5" s="182"/>
      <c r="FHL5" s="182"/>
      <c r="FHM5" s="182"/>
      <c r="FHN5" s="182"/>
      <c r="FHO5" s="179"/>
      <c r="FHP5" s="180"/>
      <c r="FHQ5" s="180"/>
      <c r="FHR5" s="180"/>
      <c r="FHS5" s="180"/>
      <c r="FHT5" s="181"/>
      <c r="FHU5" s="180"/>
      <c r="FHV5" s="182"/>
      <c r="FHW5" s="182"/>
      <c r="FHX5" s="182"/>
      <c r="FHY5" s="182"/>
      <c r="FHZ5" s="182"/>
      <c r="FIA5" s="182"/>
      <c r="FIB5" s="179"/>
      <c r="FIC5" s="180"/>
      <c r="FID5" s="180"/>
      <c r="FIE5" s="180"/>
      <c r="FIF5" s="180"/>
      <c r="FIG5" s="181"/>
      <c r="FIH5" s="180"/>
      <c r="FII5" s="182"/>
      <c r="FIJ5" s="182"/>
      <c r="FIK5" s="182"/>
      <c r="FIL5" s="182"/>
      <c r="FIM5" s="182"/>
      <c r="FIN5" s="182"/>
      <c r="FIO5" s="179"/>
      <c r="FIP5" s="180"/>
      <c r="FIQ5" s="180"/>
      <c r="FIR5" s="180"/>
      <c r="FIS5" s="180"/>
      <c r="FIT5" s="181"/>
      <c r="FIU5" s="180"/>
      <c r="FIV5" s="182"/>
      <c r="FIW5" s="182"/>
      <c r="FIX5" s="182"/>
      <c r="FIY5" s="182"/>
      <c r="FIZ5" s="182"/>
      <c r="FJA5" s="182"/>
      <c r="FJB5" s="179"/>
      <c r="FJC5" s="180"/>
      <c r="FJD5" s="180"/>
      <c r="FJE5" s="180"/>
      <c r="FJF5" s="180"/>
      <c r="FJG5" s="181"/>
      <c r="FJH5" s="180"/>
      <c r="FJI5" s="182"/>
      <c r="FJJ5" s="182"/>
      <c r="FJK5" s="182"/>
      <c r="FJL5" s="182"/>
      <c r="FJM5" s="182"/>
      <c r="FJN5" s="182"/>
      <c r="FJO5" s="179"/>
      <c r="FJP5" s="180"/>
      <c r="FJQ5" s="180"/>
      <c r="FJR5" s="180"/>
      <c r="FJS5" s="180"/>
      <c r="FJT5" s="181"/>
      <c r="FJU5" s="180"/>
      <c r="FJV5" s="182"/>
      <c r="FJW5" s="182"/>
      <c r="FJX5" s="182"/>
      <c r="FJY5" s="182"/>
      <c r="FJZ5" s="182"/>
      <c r="FKA5" s="182"/>
      <c r="FKB5" s="179"/>
      <c r="FKC5" s="180"/>
      <c r="FKD5" s="180"/>
      <c r="FKE5" s="180"/>
      <c r="FKF5" s="180"/>
      <c r="FKG5" s="181"/>
      <c r="FKH5" s="180"/>
      <c r="FKI5" s="182"/>
      <c r="FKJ5" s="182"/>
      <c r="FKK5" s="182"/>
      <c r="FKL5" s="182"/>
      <c r="FKM5" s="182"/>
      <c r="FKN5" s="182"/>
      <c r="FKO5" s="179"/>
      <c r="FKP5" s="180"/>
      <c r="FKQ5" s="180"/>
      <c r="FKR5" s="180"/>
      <c r="FKS5" s="180"/>
      <c r="FKT5" s="181"/>
      <c r="FKU5" s="180"/>
      <c r="FKV5" s="182"/>
      <c r="FKW5" s="182"/>
      <c r="FKX5" s="182"/>
      <c r="FKY5" s="182"/>
      <c r="FKZ5" s="182"/>
      <c r="FLA5" s="182"/>
      <c r="FLB5" s="179"/>
      <c r="FLC5" s="180"/>
      <c r="FLD5" s="180"/>
      <c r="FLE5" s="180"/>
      <c r="FLF5" s="180"/>
      <c r="FLG5" s="181"/>
      <c r="FLH5" s="180"/>
      <c r="FLI5" s="182"/>
      <c r="FLJ5" s="182"/>
      <c r="FLK5" s="182"/>
      <c r="FLL5" s="182"/>
      <c r="FLM5" s="182"/>
      <c r="FLN5" s="182"/>
      <c r="FLO5" s="179"/>
      <c r="FLP5" s="180"/>
      <c r="FLQ5" s="180"/>
      <c r="FLR5" s="180"/>
      <c r="FLS5" s="180"/>
      <c r="FLT5" s="181"/>
      <c r="FLU5" s="180"/>
      <c r="FLV5" s="182"/>
      <c r="FLW5" s="182"/>
      <c r="FLX5" s="182"/>
      <c r="FLY5" s="182"/>
      <c r="FLZ5" s="182"/>
      <c r="FMA5" s="182"/>
      <c r="FMB5" s="179"/>
      <c r="FMC5" s="180"/>
      <c r="FMD5" s="180"/>
      <c r="FME5" s="180"/>
      <c r="FMF5" s="180"/>
      <c r="FMG5" s="181"/>
      <c r="FMH5" s="180"/>
      <c r="FMI5" s="182"/>
      <c r="FMJ5" s="182"/>
      <c r="FMK5" s="182"/>
      <c r="FML5" s="182"/>
      <c r="FMM5" s="182"/>
      <c r="FMN5" s="182"/>
      <c r="FMO5" s="179"/>
      <c r="FMP5" s="180"/>
      <c r="FMQ5" s="180"/>
      <c r="FMR5" s="180"/>
      <c r="FMS5" s="180"/>
      <c r="FMT5" s="181"/>
      <c r="FMU5" s="180"/>
      <c r="FMV5" s="182"/>
      <c r="FMW5" s="182"/>
      <c r="FMX5" s="182"/>
      <c r="FMY5" s="182"/>
      <c r="FMZ5" s="182"/>
      <c r="FNA5" s="182"/>
      <c r="FNB5" s="179"/>
      <c r="FNC5" s="180"/>
      <c r="FND5" s="180"/>
      <c r="FNE5" s="180"/>
      <c r="FNF5" s="180"/>
      <c r="FNG5" s="181"/>
      <c r="FNH5" s="180"/>
      <c r="FNI5" s="182"/>
      <c r="FNJ5" s="182"/>
      <c r="FNK5" s="182"/>
      <c r="FNL5" s="182"/>
      <c r="FNM5" s="182"/>
      <c r="FNN5" s="182"/>
      <c r="FNO5" s="179"/>
      <c r="FNP5" s="180"/>
      <c r="FNQ5" s="180"/>
      <c r="FNR5" s="180"/>
      <c r="FNS5" s="180"/>
      <c r="FNT5" s="181"/>
      <c r="FNU5" s="180"/>
      <c r="FNV5" s="182"/>
      <c r="FNW5" s="182"/>
      <c r="FNX5" s="182"/>
      <c r="FNY5" s="182"/>
      <c r="FNZ5" s="182"/>
      <c r="FOA5" s="182"/>
      <c r="FOB5" s="179"/>
      <c r="FOC5" s="180"/>
      <c r="FOD5" s="180"/>
      <c r="FOE5" s="180"/>
      <c r="FOF5" s="180"/>
      <c r="FOG5" s="181"/>
      <c r="FOH5" s="180"/>
      <c r="FOI5" s="182"/>
      <c r="FOJ5" s="182"/>
      <c r="FOK5" s="182"/>
      <c r="FOL5" s="182"/>
      <c r="FOM5" s="182"/>
      <c r="FON5" s="182"/>
      <c r="FOO5" s="179"/>
      <c r="FOP5" s="180"/>
      <c r="FOQ5" s="180"/>
      <c r="FOR5" s="180"/>
      <c r="FOS5" s="180"/>
      <c r="FOT5" s="181"/>
      <c r="FOU5" s="180"/>
      <c r="FOV5" s="182"/>
      <c r="FOW5" s="182"/>
      <c r="FOX5" s="182"/>
      <c r="FOY5" s="182"/>
      <c r="FOZ5" s="182"/>
      <c r="FPA5" s="182"/>
      <c r="FPB5" s="179"/>
      <c r="FPC5" s="180"/>
      <c r="FPD5" s="180"/>
      <c r="FPE5" s="180"/>
      <c r="FPF5" s="180"/>
      <c r="FPG5" s="181"/>
      <c r="FPH5" s="180"/>
      <c r="FPI5" s="182"/>
      <c r="FPJ5" s="182"/>
      <c r="FPK5" s="182"/>
      <c r="FPL5" s="182"/>
      <c r="FPM5" s="182"/>
      <c r="FPN5" s="182"/>
      <c r="FPO5" s="179"/>
      <c r="FPP5" s="180"/>
      <c r="FPQ5" s="180"/>
      <c r="FPR5" s="180"/>
      <c r="FPS5" s="180"/>
      <c r="FPT5" s="181"/>
      <c r="FPU5" s="180"/>
      <c r="FPV5" s="182"/>
      <c r="FPW5" s="182"/>
      <c r="FPX5" s="182"/>
      <c r="FPY5" s="182"/>
      <c r="FPZ5" s="182"/>
      <c r="FQA5" s="182"/>
      <c r="FQB5" s="179"/>
      <c r="FQC5" s="180"/>
      <c r="FQD5" s="180"/>
      <c r="FQE5" s="180"/>
      <c r="FQF5" s="180"/>
      <c r="FQG5" s="181"/>
      <c r="FQH5" s="180"/>
      <c r="FQI5" s="182"/>
      <c r="FQJ5" s="182"/>
      <c r="FQK5" s="182"/>
      <c r="FQL5" s="182"/>
      <c r="FQM5" s="182"/>
      <c r="FQN5" s="182"/>
      <c r="FQO5" s="179"/>
      <c r="FQP5" s="180"/>
      <c r="FQQ5" s="180"/>
      <c r="FQR5" s="180"/>
      <c r="FQS5" s="180"/>
      <c r="FQT5" s="181"/>
      <c r="FQU5" s="180"/>
      <c r="FQV5" s="182"/>
      <c r="FQW5" s="182"/>
      <c r="FQX5" s="182"/>
      <c r="FQY5" s="182"/>
      <c r="FQZ5" s="182"/>
      <c r="FRA5" s="182"/>
      <c r="FRB5" s="179"/>
      <c r="FRC5" s="180"/>
      <c r="FRD5" s="180"/>
      <c r="FRE5" s="180"/>
      <c r="FRF5" s="180"/>
      <c r="FRG5" s="181"/>
      <c r="FRH5" s="180"/>
      <c r="FRI5" s="182"/>
      <c r="FRJ5" s="182"/>
      <c r="FRK5" s="182"/>
      <c r="FRL5" s="182"/>
      <c r="FRM5" s="182"/>
      <c r="FRN5" s="182"/>
      <c r="FRO5" s="179"/>
      <c r="FRP5" s="180"/>
      <c r="FRQ5" s="180"/>
      <c r="FRR5" s="180"/>
      <c r="FRS5" s="180"/>
      <c r="FRT5" s="181"/>
      <c r="FRU5" s="180"/>
      <c r="FRV5" s="182"/>
      <c r="FRW5" s="182"/>
      <c r="FRX5" s="182"/>
      <c r="FRY5" s="182"/>
      <c r="FRZ5" s="182"/>
      <c r="FSA5" s="182"/>
      <c r="FSB5" s="179"/>
      <c r="FSC5" s="180"/>
      <c r="FSD5" s="180"/>
      <c r="FSE5" s="180"/>
      <c r="FSF5" s="180"/>
      <c r="FSG5" s="181"/>
      <c r="FSH5" s="180"/>
      <c r="FSI5" s="182"/>
      <c r="FSJ5" s="182"/>
      <c r="FSK5" s="182"/>
      <c r="FSL5" s="182"/>
      <c r="FSM5" s="182"/>
      <c r="FSN5" s="182"/>
      <c r="FSO5" s="179"/>
      <c r="FSP5" s="180"/>
      <c r="FSQ5" s="180"/>
      <c r="FSR5" s="180"/>
      <c r="FSS5" s="180"/>
      <c r="FST5" s="181"/>
      <c r="FSU5" s="180"/>
      <c r="FSV5" s="182"/>
      <c r="FSW5" s="182"/>
      <c r="FSX5" s="182"/>
      <c r="FSY5" s="182"/>
      <c r="FSZ5" s="182"/>
      <c r="FTA5" s="182"/>
      <c r="FTB5" s="179"/>
      <c r="FTC5" s="180"/>
      <c r="FTD5" s="180"/>
      <c r="FTE5" s="180"/>
      <c r="FTF5" s="180"/>
      <c r="FTG5" s="181"/>
      <c r="FTH5" s="180"/>
      <c r="FTI5" s="182"/>
      <c r="FTJ5" s="182"/>
      <c r="FTK5" s="182"/>
      <c r="FTL5" s="182"/>
      <c r="FTM5" s="182"/>
      <c r="FTN5" s="182"/>
      <c r="FTO5" s="179"/>
      <c r="FTP5" s="180"/>
      <c r="FTQ5" s="180"/>
      <c r="FTR5" s="180"/>
      <c r="FTS5" s="180"/>
      <c r="FTT5" s="181"/>
      <c r="FTU5" s="180"/>
      <c r="FTV5" s="182"/>
      <c r="FTW5" s="182"/>
      <c r="FTX5" s="182"/>
      <c r="FTY5" s="182"/>
      <c r="FTZ5" s="182"/>
      <c r="FUA5" s="182"/>
      <c r="FUB5" s="179"/>
      <c r="FUC5" s="180"/>
      <c r="FUD5" s="180"/>
      <c r="FUE5" s="180"/>
      <c r="FUF5" s="180"/>
      <c r="FUG5" s="181"/>
      <c r="FUH5" s="180"/>
      <c r="FUI5" s="182"/>
      <c r="FUJ5" s="182"/>
      <c r="FUK5" s="182"/>
      <c r="FUL5" s="182"/>
      <c r="FUM5" s="182"/>
      <c r="FUN5" s="182"/>
      <c r="FUO5" s="179"/>
      <c r="FUP5" s="180"/>
      <c r="FUQ5" s="180"/>
      <c r="FUR5" s="180"/>
      <c r="FUS5" s="180"/>
      <c r="FUT5" s="181"/>
      <c r="FUU5" s="180"/>
      <c r="FUV5" s="182"/>
      <c r="FUW5" s="182"/>
      <c r="FUX5" s="182"/>
      <c r="FUY5" s="182"/>
      <c r="FUZ5" s="182"/>
      <c r="FVA5" s="182"/>
      <c r="FVB5" s="179"/>
      <c r="FVC5" s="180"/>
      <c r="FVD5" s="180"/>
      <c r="FVE5" s="180"/>
      <c r="FVF5" s="180"/>
      <c r="FVG5" s="181"/>
      <c r="FVH5" s="180"/>
      <c r="FVI5" s="182"/>
      <c r="FVJ5" s="182"/>
      <c r="FVK5" s="182"/>
      <c r="FVL5" s="182"/>
      <c r="FVM5" s="182"/>
      <c r="FVN5" s="182"/>
      <c r="FVO5" s="179"/>
      <c r="FVP5" s="180"/>
      <c r="FVQ5" s="180"/>
      <c r="FVR5" s="180"/>
      <c r="FVS5" s="180"/>
      <c r="FVT5" s="181"/>
      <c r="FVU5" s="180"/>
      <c r="FVV5" s="182"/>
      <c r="FVW5" s="182"/>
      <c r="FVX5" s="182"/>
      <c r="FVY5" s="182"/>
      <c r="FVZ5" s="182"/>
      <c r="FWA5" s="182"/>
      <c r="FWB5" s="179"/>
      <c r="FWC5" s="180"/>
      <c r="FWD5" s="180"/>
      <c r="FWE5" s="180"/>
      <c r="FWF5" s="180"/>
      <c r="FWG5" s="181"/>
      <c r="FWH5" s="180"/>
      <c r="FWI5" s="182"/>
      <c r="FWJ5" s="182"/>
      <c r="FWK5" s="182"/>
      <c r="FWL5" s="182"/>
      <c r="FWM5" s="182"/>
      <c r="FWN5" s="182"/>
      <c r="FWO5" s="179"/>
      <c r="FWP5" s="180"/>
      <c r="FWQ5" s="180"/>
      <c r="FWR5" s="180"/>
      <c r="FWS5" s="180"/>
      <c r="FWT5" s="181"/>
      <c r="FWU5" s="180"/>
      <c r="FWV5" s="182"/>
      <c r="FWW5" s="182"/>
      <c r="FWX5" s="182"/>
      <c r="FWY5" s="182"/>
      <c r="FWZ5" s="182"/>
      <c r="FXA5" s="182"/>
      <c r="FXB5" s="179"/>
      <c r="FXC5" s="180"/>
      <c r="FXD5" s="180"/>
      <c r="FXE5" s="180"/>
      <c r="FXF5" s="180"/>
      <c r="FXG5" s="181"/>
      <c r="FXH5" s="180"/>
      <c r="FXI5" s="182"/>
      <c r="FXJ5" s="182"/>
      <c r="FXK5" s="182"/>
      <c r="FXL5" s="182"/>
      <c r="FXM5" s="182"/>
      <c r="FXN5" s="182"/>
      <c r="FXO5" s="179"/>
      <c r="FXP5" s="180"/>
      <c r="FXQ5" s="180"/>
      <c r="FXR5" s="180"/>
      <c r="FXS5" s="180"/>
      <c r="FXT5" s="181"/>
      <c r="FXU5" s="180"/>
      <c r="FXV5" s="182"/>
      <c r="FXW5" s="182"/>
      <c r="FXX5" s="182"/>
      <c r="FXY5" s="182"/>
      <c r="FXZ5" s="182"/>
      <c r="FYA5" s="182"/>
      <c r="FYB5" s="179"/>
      <c r="FYC5" s="180"/>
      <c r="FYD5" s="180"/>
      <c r="FYE5" s="180"/>
      <c r="FYF5" s="180"/>
      <c r="FYG5" s="181"/>
      <c r="FYH5" s="180"/>
      <c r="FYI5" s="182"/>
      <c r="FYJ5" s="182"/>
      <c r="FYK5" s="182"/>
      <c r="FYL5" s="182"/>
      <c r="FYM5" s="182"/>
      <c r="FYN5" s="182"/>
      <c r="FYO5" s="179"/>
      <c r="FYP5" s="180"/>
      <c r="FYQ5" s="180"/>
      <c r="FYR5" s="180"/>
      <c r="FYS5" s="180"/>
      <c r="FYT5" s="181"/>
      <c r="FYU5" s="180"/>
      <c r="FYV5" s="182"/>
      <c r="FYW5" s="182"/>
      <c r="FYX5" s="182"/>
      <c r="FYY5" s="182"/>
      <c r="FYZ5" s="182"/>
      <c r="FZA5" s="182"/>
      <c r="FZB5" s="179"/>
      <c r="FZC5" s="180"/>
      <c r="FZD5" s="180"/>
      <c r="FZE5" s="180"/>
      <c r="FZF5" s="180"/>
      <c r="FZG5" s="181"/>
      <c r="FZH5" s="180"/>
      <c r="FZI5" s="182"/>
      <c r="FZJ5" s="182"/>
      <c r="FZK5" s="182"/>
      <c r="FZL5" s="182"/>
      <c r="FZM5" s="182"/>
      <c r="FZN5" s="182"/>
      <c r="FZO5" s="179"/>
      <c r="FZP5" s="180"/>
      <c r="FZQ5" s="180"/>
      <c r="FZR5" s="180"/>
      <c r="FZS5" s="180"/>
      <c r="FZT5" s="181"/>
      <c r="FZU5" s="180"/>
      <c r="FZV5" s="182"/>
      <c r="FZW5" s="182"/>
      <c r="FZX5" s="182"/>
      <c r="FZY5" s="182"/>
      <c r="FZZ5" s="182"/>
      <c r="GAA5" s="182"/>
      <c r="GAB5" s="179"/>
      <c r="GAC5" s="180"/>
      <c r="GAD5" s="180"/>
      <c r="GAE5" s="180"/>
      <c r="GAF5" s="180"/>
      <c r="GAG5" s="181"/>
      <c r="GAH5" s="180"/>
      <c r="GAI5" s="182"/>
      <c r="GAJ5" s="182"/>
      <c r="GAK5" s="182"/>
      <c r="GAL5" s="182"/>
      <c r="GAM5" s="182"/>
      <c r="GAN5" s="182"/>
      <c r="GAO5" s="179"/>
      <c r="GAP5" s="180"/>
      <c r="GAQ5" s="180"/>
      <c r="GAR5" s="180"/>
      <c r="GAS5" s="180"/>
      <c r="GAT5" s="181"/>
      <c r="GAU5" s="180"/>
      <c r="GAV5" s="182"/>
      <c r="GAW5" s="182"/>
      <c r="GAX5" s="182"/>
      <c r="GAY5" s="182"/>
      <c r="GAZ5" s="182"/>
      <c r="GBA5" s="182"/>
      <c r="GBB5" s="179"/>
      <c r="GBC5" s="180"/>
      <c r="GBD5" s="180"/>
      <c r="GBE5" s="180"/>
      <c r="GBF5" s="180"/>
      <c r="GBG5" s="181"/>
      <c r="GBH5" s="180"/>
      <c r="GBI5" s="182"/>
      <c r="GBJ5" s="182"/>
      <c r="GBK5" s="182"/>
      <c r="GBL5" s="182"/>
      <c r="GBM5" s="182"/>
      <c r="GBN5" s="182"/>
      <c r="GBO5" s="179"/>
      <c r="GBP5" s="180"/>
      <c r="GBQ5" s="180"/>
      <c r="GBR5" s="180"/>
      <c r="GBS5" s="180"/>
      <c r="GBT5" s="181"/>
      <c r="GBU5" s="180"/>
      <c r="GBV5" s="182"/>
      <c r="GBW5" s="182"/>
      <c r="GBX5" s="182"/>
      <c r="GBY5" s="182"/>
      <c r="GBZ5" s="182"/>
      <c r="GCA5" s="182"/>
      <c r="GCB5" s="179"/>
      <c r="GCC5" s="180"/>
      <c r="GCD5" s="180"/>
      <c r="GCE5" s="180"/>
      <c r="GCF5" s="180"/>
      <c r="GCG5" s="181"/>
      <c r="GCH5" s="180"/>
      <c r="GCI5" s="182"/>
      <c r="GCJ5" s="182"/>
      <c r="GCK5" s="182"/>
      <c r="GCL5" s="182"/>
      <c r="GCM5" s="182"/>
      <c r="GCN5" s="182"/>
      <c r="GCO5" s="179"/>
      <c r="GCP5" s="180"/>
      <c r="GCQ5" s="180"/>
      <c r="GCR5" s="180"/>
      <c r="GCS5" s="180"/>
      <c r="GCT5" s="181"/>
      <c r="GCU5" s="180"/>
      <c r="GCV5" s="182"/>
      <c r="GCW5" s="182"/>
      <c r="GCX5" s="182"/>
      <c r="GCY5" s="182"/>
      <c r="GCZ5" s="182"/>
      <c r="GDA5" s="182"/>
      <c r="GDB5" s="179"/>
      <c r="GDC5" s="180"/>
      <c r="GDD5" s="180"/>
      <c r="GDE5" s="180"/>
      <c r="GDF5" s="180"/>
      <c r="GDG5" s="181"/>
      <c r="GDH5" s="180"/>
      <c r="GDI5" s="182"/>
      <c r="GDJ5" s="182"/>
      <c r="GDK5" s="182"/>
      <c r="GDL5" s="182"/>
      <c r="GDM5" s="182"/>
      <c r="GDN5" s="182"/>
      <c r="GDO5" s="179"/>
      <c r="GDP5" s="180"/>
      <c r="GDQ5" s="180"/>
      <c r="GDR5" s="180"/>
      <c r="GDS5" s="180"/>
      <c r="GDT5" s="181"/>
      <c r="GDU5" s="180"/>
      <c r="GDV5" s="182"/>
      <c r="GDW5" s="182"/>
      <c r="GDX5" s="182"/>
      <c r="GDY5" s="182"/>
      <c r="GDZ5" s="182"/>
      <c r="GEA5" s="182"/>
      <c r="GEB5" s="179"/>
      <c r="GEC5" s="180"/>
      <c r="GED5" s="180"/>
      <c r="GEE5" s="180"/>
      <c r="GEF5" s="180"/>
      <c r="GEG5" s="181"/>
      <c r="GEH5" s="180"/>
      <c r="GEI5" s="182"/>
      <c r="GEJ5" s="182"/>
      <c r="GEK5" s="182"/>
      <c r="GEL5" s="182"/>
      <c r="GEM5" s="182"/>
      <c r="GEN5" s="182"/>
      <c r="GEO5" s="179"/>
      <c r="GEP5" s="180"/>
      <c r="GEQ5" s="180"/>
      <c r="GER5" s="180"/>
      <c r="GES5" s="180"/>
      <c r="GET5" s="181"/>
      <c r="GEU5" s="180"/>
      <c r="GEV5" s="182"/>
      <c r="GEW5" s="182"/>
      <c r="GEX5" s="182"/>
      <c r="GEY5" s="182"/>
      <c r="GEZ5" s="182"/>
      <c r="GFA5" s="182"/>
      <c r="GFB5" s="179"/>
      <c r="GFC5" s="180"/>
      <c r="GFD5" s="180"/>
      <c r="GFE5" s="180"/>
      <c r="GFF5" s="180"/>
      <c r="GFG5" s="181"/>
      <c r="GFH5" s="180"/>
      <c r="GFI5" s="182"/>
      <c r="GFJ5" s="182"/>
      <c r="GFK5" s="182"/>
      <c r="GFL5" s="182"/>
      <c r="GFM5" s="182"/>
      <c r="GFN5" s="182"/>
      <c r="GFO5" s="179"/>
      <c r="GFP5" s="180"/>
      <c r="GFQ5" s="180"/>
      <c r="GFR5" s="180"/>
      <c r="GFS5" s="180"/>
      <c r="GFT5" s="181"/>
      <c r="GFU5" s="180"/>
      <c r="GFV5" s="182"/>
      <c r="GFW5" s="182"/>
      <c r="GFX5" s="182"/>
      <c r="GFY5" s="182"/>
      <c r="GFZ5" s="182"/>
      <c r="GGA5" s="182"/>
      <c r="GGB5" s="179"/>
      <c r="GGC5" s="180"/>
      <c r="GGD5" s="180"/>
      <c r="GGE5" s="180"/>
      <c r="GGF5" s="180"/>
      <c r="GGG5" s="181"/>
      <c r="GGH5" s="180"/>
      <c r="GGI5" s="182"/>
      <c r="GGJ5" s="182"/>
      <c r="GGK5" s="182"/>
      <c r="GGL5" s="182"/>
      <c r="GGM5" s="182"/>
      <c r="GGN5" s="182"/>
      <c r="GGO5" s="179"/>
      <c r="GGP5" s="180"/>
      <c r="GGQ5" s="180"/>
      <c r="GGR5" s="180"/>
      <c r="GGS5" s="180"/>
      <c r="GGT5" s="181"/>
      <c r="GGU5" s="180"/>
      <c r="GGV5" s="182"/>
      <c r="GGW5" s="182"/>
      <c r="GGX5" s="182"/>
      <c r="GGY5" s="182"/>
      <c r="GGZ5" s="182"/>
      <c r="GHA5" s="182"/>
      <c r="GHB5" s="179"/>
      <c r="GHC5" s="180"/>
      <c r="GHD5" s="180"/>
      <c r="GHE5" s="180"/>
      <c r="GHF5" s="180"/>
      <c r="GHG5" s="181"/>
      <c r="GHH5" s="180"/>
      <c r="GHI5" s="182"/>
      <c r="GHJ5" s="182"/>
      <c r="GHK5" s="182"/>
      <c r="GHL5" s="182"/>
      <c r="GHM5" s="182"/>
      <c r="GHN5" s="182"/>
      <c r="GHO5" s="179"/>
      <c r="GHP5" s="180"/>
      <c r="GHQ5" s="180"/>
      <c r="GHR5" s="180"/>
      <c r="GHS5" s="180"/>
      <c r="GHT5" s="181"/>
      <c r="GHU5" s="180"/>
      <c r="GHV5" s="182"/>
      <c r="GHW5" s="182"/>
      <c r="GHX5" s="182"/>
      <c r="GHY5" s="182"/>
      <c r="GHZ5" s="182"/>
      <c r="GIA5" s="182"/>
      <c r="GIB5" s="179"/>
      <c r="GIC5" s="180"/>
      <c r="GID5" s="180"/>
      <c r="GIE5" s="180"/>
      <c r="GIF5" s="180"/>
      <c r="GIG5" s="181"/>
      <c r="GIH5" s="180"/>
      <c r="GII5" s="182"/>
      <c r="GIJ5" s="182"/>
      <c r="GIK5" s="182"/>
      <c r="GIL5" s="182"/>
      <c r="GIM5" s="182"/>
      <c r="GIN5" s="182"/>
      <c r="GIO5" s="179"/>
      <c r="GIP5" s="180"/>
      <c r="GIQ5" s="180"/>
      <c r="GIR5" s="180"/>
      <c r="GIS5" s="180"/>
      <c r="GIT5" s="181"/>
      <c r="GIU5" s="180"/>
      <c r="GIV5" s="182"/>
      <c r="GIW5" s="182"/>
      <c r="GIX5" s="182"/>
      <c r="GIY5" s="182"/>
      <c r="GIZ5" s="182"/>
      <c r="GJA5" s="182"/>
      <c r="GJB5" s="179"/>
      <c r="GJC5" s="180"/>
      <c r="GJD5" s="180"/>
      <c r="GJE5" s="180"/>
      <c r="GJF5" s="180"/>
      <c r="GJG5" s="181"/>
      <c r="GJH5" s="180"/>
      <c r="GJI5" s="182"/>
      <c r="GJJ5" s="182"/>
      <c r="GJK5" s="182"/>
      <c r="GJL5" s="182"/>
      <c r="GJM5" s="182"/>
      <c r="GJN5" s="182"/>
      <c r="GJO5" s="179"/>
      <c r="GJP5" s="180"/>
      <c r="GJQ5" s="180"/>
      <c r="GJR5" s="180"/>
      <c r="GJS5" s="180"/>
      <c r="GJT5" s="181"/>
      <c r="GJU5" s="180"/>
      <c r="GJV5" s="182"/>
      <c r="GJW5" s="182"/>
      <c r="GJX5" s="182"/>
      <c r="GJY5" s="182"/>
      <c r="GJZ5" s="182"/>
      <c r="GKA5" s="182"/>
      <c r="GKB5" s="179"/>
      <c r="GKC5" s="180"/>
      <c r="GKD5" s="180"/>
      <c r="GKE5" s="180"/>
      <c r="GKF5" s="180"/>
      <c r="GKG5" s="181"/>
      <c r="GKH5" s="180"/>
      <c r="GKI5" s="182"/>
      <c r="GKJ5" s="182"/>
      <c r="GKK5" s="182"/>
      <c r="GKL5" s="182"/>
      <c r="GKM5" s="182"/>
      <c r="GKN5" s="182"/>
      <c r="GKO5" s="179"/>
      <c r="GKP5" s="180"/>
      <c r="GKQ5" s="180"/>
      <c r="GKR5" s="180"/>
      <c r="GKS5" s="180"/>
      <c r="GKT5" s="181"/>
      <c r="GKU5" s="180"/>
      <c r="GKV5" s="182"/>
      <c r="GKW5" s="182"/>
      <c r="GKX5" s="182"/>
      <c r="GKY5" s="182"/>
      <c r="GKZ5" s="182"/>
      <c r="GLA5" s="182"/>
      <c r="GLB5" s="179"/>
      <c r="GLC5" s="180"/>
      <c r="GLD5" s="180"/>
      <c r="GLE5" s="180"/>
      <c r="GLF5" s="180"/>
      <c r="GLG5" s="181"/>
      <c r="GLH5" s="180"/>
      <c r="GLI5" s="182"/>
      <c r="GLJ5" s="182"/>
      <c r="GLK5" s="182"/>
      <c r="GLL5" s="182"/>
      <c r="GLM5" s="182"/>
      <c r="GLN5" s="182"/>
      <c r="GLO5" s="179"/>
      <c r="GLP5" s="180"/>
      <c r="GLQ5" s="180"/>
      <c r="GLR5" s="180"/>
      <c r="GLS5" s="180"/>
      <c r="GLT5" s="181"/>
      <c r="GLU5" s="180"/>
      <c r="GLV5" s="182"/>
      <c r="GLW5" s="182"/>
      <c r="GLX5" s="182"/>
      <c r="GLY5" s="182"/>
      <c r="GLZ5" s="182"/>
      <c r="GMA5" s="182"/>
      <c r="GMB5" s="179"/>
      <c r="GMC5" s="180"/>
      <c r="GMD5" s="180"/>
      <c r="GME5" s="180"/>
      <c r="GMF5" s="180"/>
      <c r="GMG5" s="181"/>
      <c r="GMH5" s="180"/>
      <c r="GMI5" s="182"/>
      <c r="GMJ5" s="182"/>
      <c r="GMK5" s="182"/>
      <c r="GML5" s="182"/>
      <c r="GMM5" s="182"/>
      <c r="GMN5" s="182"/>
      <c r="GMO5" s="179"/>
      <c r="GMP5" s="180"/>
      <c r="GMQ5" s="180"/>
      <c r="GMR5" s="180"/>
      <c r="GMS5" s="180"/>
      <c r="GMT5" s="181"/>
      <c r="GMU5" s="180"/>
      <c r="GMV5" s="182"/>
      <c r="GMW5" s="182"/>
      <c r="GMX5" s="182"/>
      <c r="GMY5" s="182"/>
      <c r="GMZ5" s="182"/>
      <c r="GNA5" s="182"/>
      <c r="GNB5" s="179"/>
      <c r="GNC5" s="180"/>
      <c r="GND5" s="180"/>
      <c r="GNE5" s="180"/>
      <c r="GNF5" s="180"/>
      <c r="GNG5" s="181"/>
      <c r="GNH5" s="180"/>
      <c r="GNI5" s="182"/>
      <c r="GNJ5" s="182"/>
      <c r="GNK5" s="182"/>
      <c r="GNL5" s="182"/>
      <c r="GNM5" s="182"/>
      <c r="GNN5" s="182"/>
      <c r="GNO5" s="179"/>
      <c r="GNP5" s="180"/>
      <c r="GNQ5" s="180"/>
      <c r="GNR5" s="180"/>
      <c r="GNS5" s="180"/>
      <c r="GNT5" s="181"/>
      <c r="GNU5" s="180"/>
      <c r="GNV5" s="182"/>
      <c r="GNW5" s="182"/>
      <c r="GNX5" s="182"/>
      <c r="GNY5" s="182"/>
      <c r="GNZ5" s="182"/>
      <c r="GOA5" s="182"/>
      <c r="GOB5" s="179"/>
      <c r="GOC5" s="180"/>
      <c r="GOD5" s="180"/>
      <c r="GOE5" s="180"/>
      <c r="GOF5" s="180"/>
      <c r="GOG5" s="181"/>
      <c r="GOH5" s="180"/>
      <c r="GOI5" s="182"/>
      <c r="GOJ5" s="182"/>
      <c r="GOK5" s="182"/>
      <c r="GOL5" s="182"/>
      <c r="GOM5" s="182"/>
      <c r="GON5" s="182"/>
      <c r="GOO5" s="179"/>
      <c r="GOP5" s="180"/>
      <c r="GOQ5" s="180"/>
      <c r="GOR5" s="180"/>
      <c r="GOS5" s="180"/>
      <c r="GOT5" s="181"/>
      <c r="GOU5" s="180"/>
      <c r="GOV5" s="182"/>
      <c r="GOW5" s="182"/>
      <c r="GOX5" s="182"/>
      <c r="GOY5" s="182"/>
      <c r="GOZ5" s="182"/>
      <c r="GPA5" s="182"/>
      <c r="GPB5" s="179"/>
      <c r="GPC5" s="180"/>
      <c r="GPD5" s="180"/>
      <c r="GPE5" s="180"/>
      <c r="GPF5" s="180"/>
      <c r="GPG5" s="181"/>
      <c r="GPH5" s="180"/>
      <c r="GPI5" s="182"/>
      <c r="GPJ5" s="182"/>
      <c r="GPK5" s="182"/>
      <c r="GPL5" s="182"/>
      <c r="GPM5" s="182"/>
      <c r="GPN5" s="182"/>
      <c r="GPO5" s="179"/>
      <c r="GPP5" s="180"/>
      <c r="GPQ5" s="180"/>
      <c r="GPR5" s="180"/>
      <c r="GPS5" s="180"/>
      <c r="GPT5" s="181"/>
      <c r="GPU5" s="180"/>
      <c r="GPV5" s="182"/>
      <c r="GPW5" s="182"/>
      <c r="GPX5" s="182"/>
      <c r="GPY5" s="182"/>
      <c r="GPZ5" s="182"/>
      <c r="GQA5" s="182"/>
      <c r="GQB5" s="179"/>
      <c r="GQC5" s="180"/>
      <c r="GQD5" s="180"/>
      <c r="GQE5" s="180"/>
      <c r="GQF5" s="180"/>
      <c r="GQG5" s="181"/>
      <c r="GQH5" s="180"/>
      <c r="GQI5" s="182"/>
      <c r="GQJ5" s="182"/>
      <c r="GQK5" s="182"/>
      <c r="GQL5" s="182"/>
      <c r="GQM5" s="182"/>
      <c r="GQN5" s="182"/>
      <c r="GQO5" s="179"/>
      <c r="GQP5" s="180"/>
      <c r="GQQ5" s="180"/>
      <c r="GQR5" s="180"/>
      <c r="GQS5" s="180"/>
      <c r="GQT5" s="181"/>
      <c r="GQU5" s="180"/>
      <c r="GQV5" s="182"/>
      <c r="GQW5" s="182"/>
      <c r="GQX5" s="182"/>
      <c r="GQY5" s="182"/>
      <c r="GQZ5" s="182"/>
      <c r="GRA5" s="182"/>
      <c r="GRB5" s="179"/>
      <c r="GRC5" s="180"/>
      <c r="GRD5" s="180"/>
      <c r="GRE5" s="180"/>
      <c r="GRF5" s="180"/>
      <c r="GRG5" s="181"/>
      <c r="GRH5" s="180"/>
      <c r="GRI5" s="182"/>
      <c r="GRJ5" s="182"/>
      <c r="GRK5" s="182"/>
      <c r="GRL5" s="182"/>
      <c r="GRM5" s="182"/>
      <c r="GRN5" s="182"/>
      <c r="GRO5" s="179"/>
      <c r="GRP5" s="180"/>
      <c r="GRQ5" s="180"/>
      <c r="GRR5" s="180"/>
      <c r="GRS5" s="180"/>
      <c r="GRT5" s="181"/>
      <c r="GRU5" s="180"/>
      <c r="GRV5" s="182"/>
      <c r="GRW5" s="182"/>
      <c r="GRX5" s="182"/>
      <c r="GRY5" s="182"/>
      <c r="GRZ5" s="182"/>
      <c r="GSA5" s="182"/>
      <c r="GSB5" s="179"/>
      <c r="GSC5" s="180"/>
      <c r="GSD5" s="180"/>
      <c r="GSE5" s="180"/>
      <c r="GSF5" s="180"/>
      <c r="GSG5" s="181"/>
      <c r="GSH5" s="180"/>
      <c r="GSI5" s="182"/>
      <c r="GSJ5" s="182"/>
      <c r="GSK5" s="182"/>
      <c r="GSL5" s="182"/>
      <c r="GSM5" s="182"/>
      <c r="GSN5" s="182"/>
      <c r="GSO5" s="179"/>
      <c r="GSP5" s="180"/>
      <c r="GSQ5" s="180"/>
      <c r="GSR5" s="180"/>
      <c r="GSS5" s="180"/>
      <c r="GST5" s="181"/>
      <c r="GSU5" s="180"/>
      <c r="GSV5" s="182"/>
      <c r="GSW5" s="182"/>
      <c r="GSX5" s="182"/>
      <c r="GSY5" s="182"/>
      <c r="GSZ5" s="182"/>
      <c r="GTA5" s="182"/>
      <c r="GTB5" s="179"/>
      <c r="GTC5" s="180"/>
      <c r="GTD5" s="180"/>
      <c r="GTE5" s="180"/>
      <c r="GTF5" s="180"/>
      <c r="GTG5" s="181"/>
      <c r="GTH5" s="180"/>
      <c r="GTI5" s="182"/>
      <c r="GTJ5" s="182"/>
      <c r="GTK5" s="182"/>
      <c r="GTL5" s="182"/>
      <c r="GTM5" s="182"/>
      <c r="GTN5" s="182"/>
      <c r="GTO5" s="179"/>
      <c r="GTP5" s="180"/>
      <c r="GTQ5" s="180"/>
      <c r="GTR5" s="180"/>
      <c r="GTS5" s="180"/>
      <c r="GTT5" s="181"/>
      <c r="GTU5" s="180"/>
      <c r="GTV5" s="182"/>
      <c r="GTW5" s="182"/>
      <c r="GTX5" s="182"/>
      <c r="GTY5" s="182"/>
      <c r="GTZ5" s="182"/>
      <c r="GUA5" s="182"/>
      <c r="GUB5" s="179"/>
      <c r="GUC5" s="180"/>
      <c r="GUD5" s="180"/>
      <c r="GUE5" s="180"/>
      <c r="GUF5" s="180"/>
      <c r="GUG5" s="181"/>
      <c r="GUH5" s="180"/>
      <c r="GUI5" s="182"/>
      <c r="GUJ5" s="182"/>
      <c r="GUK5" s="182"/>
      <c r="GUL5" s="182"/>
      <c r="GUM5" s="182"/>
      <c r="GUN5" s="182"/>
      <c r="GUO5" s="179"/>
      <c r="GUP5" s="180"/>
      <c r="GUQ5" s="180"/>
      <c r="GUR5" s="180"/>
      <c r="GUS5" s="180"/>
      <c r="GUT5" s="181"/>
      <c r="GUU5" s="180"/>
      <c r="GUV5" s="182"/>
      <c r="GUW5" s="182"/>
      <c r="GUX5" s="182"/>
      <c r="GUY5" s="182"/>
      <c r="GUZ5" s="182"/>
      <c r="GVA5" s="182"/>
      <c r="GVB5" s="179"/>
      <c r="GVC5" s="180"/>
      <c r="GVD5" s="180"/>
      <c r="GVE5" s="180"/>
      <c r="GVF5" s="180"/>
      <c r="GVG5" s="181"/>
      <c r="GVH5" s="180"/>
      <c r="GVI5" s="182"/>
      <c r="GVJ5" s="182"/>
      <c r="GVK5" s="182"/>
      <c r="GVL5" s="182"/>
      <c r="GVM5" s="182"/>
      <c r="GVN5" s="182"/>
      <c r="GVO5" s="179"/>
      <c r="GVP5" s="180"/>
      <c r="GVQ5" s="180"/>
      <c r="GVR5" s="180"/>
      <c r="GVS5" s="180"/>
      <c r="GVT5" s="181"/>
      <c r="GVU5" s="180"/>
      <c r="GVV5" s="182"/>
      <c r="GVW5" s="182"/>
      <c r="GVX5" s="182"/>
      <c r="GVY5" s="182"/>
      <c r="GVZ5" s="182"/>
      <c r="GWA5" s="182"/>
      <c r="GWB5" s="179"/>
      <c r="GWC5" s="180"/>
      <c r="GWD5" s="180"/>
      <c r="GWE5" s="180"/>
      <c r="GWF5" s="180"/>
      <c r="GWG5" s="181"/>
      <c r="GWH5" s="180"/>
      <c r="GWI5" s="182"/>
      <c r="GWJ5" s="182"/>
      <c r="GWK5" s="182"/>
      <c r="GWL5" s="182"/>
      <c r="GWM5" s="182"/>
      <c r="GWN5" s="182"/>
      <c r="GWO5" s="179"/>
      <c r="GWP5" s="180"/>
      <c r="GWQ5" s="180"/>
      <c r="GWR5" s="180"/>
      <c r="GWS5" s="180"/>
      <c r="GWT5" s="181"/>
      <c r="GWU5" s="180"/>
      <c r="GWV5" s="182"/>
      <c r="GWW5" s="182"/>
      <c r="GWX5" s="182"/>
      <c r="GWY5" s="182"/>
      <c r="GWZ5" s="182"/>
      <c r="GXA5" s="182"/>
      <c r="GXB5" s="179"/>
      <c r="GXC5" s="180"/>
      <c r="GXD5" s="180"/>
      <c r="GXE5" s="180"/>
      <c r="GXF5" s="180"/>
      <c r="GXG5" s="181"/>
      <c r="GXH5" s="180"/>
      <c r="GXI5" s="182"/>
      <c r="GXJ5" s="182"/>
      <c r="GXK5" s="182"/>
      <c r="GXL5" s="182"/>
      <c r="GXM5" s="182"/>
      <c r="GXN5" s="182"/>
      <c r="GXO5" s="179"/>
      <c r="GXP5" s="180"/>
      <c r="GXQ5" s="180"/>
      <c r="GXR5" s="180"/>
      <c r="GXS5" s="180"/>
      <c r="GXT5" s="181"/>
      <c r="GXU5" s="180"/>
      <c r="GXV5" s="182"/>
      <c r="GXW5" s="182"/>
      <c r="GXX5" s="182"/>
      <c r="GXY5" s="182"/>
      <c r="GXZ5" s="182"/>
      <c r="GYA5" s="182"/>
      <c r="GYB5" s="179"/>
      <c r="GYC5" s="180"/>
      <c r="GYD5" s="180"/>
      <c r="GYE5" s="180"/>
      <c r="GYF5" s="180"/>
      <c r="GYG5" s="181"/>
      <c r="GYH5" s="180"/>
      <c r="GYI5" s="182"/>
      <c r="GYJ5" s="182"/>
      <c r="GYK5" s="182"/>
      <c r="GYL5" s="182"/>
      <c r="GYM5" s="182"/>
      <c r="GYN5" s="182"/>
      <c r="GYO5" s="179"/>
      <c r="GYP5" s="180"/>
      <c r="GYQ5" s="180"/>
      <c r="GYR5" s="180"/>
      <c r="GYS5" s="180"/>
      <c r="GYT5" s="181"/>
      <c r="GYU5" s="180"/>
      <c r="GYV5" s="182"/>
      <c r="GYW5" s="182"/>
      <c r="GYX5" s="182"/>
      <c r="GYY5" s="182"/>
      <c r="GYZ5" s="182"/>
      <c r="GZA5" s="182"/>
      <c r="GZB5" s="179"/>
      <c r="GZC5" s="180"/>
      <c r="GZD5" s="180"/>
      <c r="GZE5" s="180"/>
      <c r="GZF5" s="180"/>
      <c r="GZG5" s="181"/>
      <c r="GZH5" s="180"/>
      <c r="GZI5" s="182"/>
      <c r="GZJ5" s="182"/>
      <c r="GZK5" s="182"/>
      <c r="GZL5" s="182"/>
      <c r="GZM5" s="182"/>
      <c r="GZN5" s="182"/>
      <c r="GZO5" s="179"/>
      <c r="GZP5" s="180"/>
      <c r="GZQ5" s="180"/>
      <c r="GZR5" s="180"/>
      <c r="GZS5" s="180"/>
      <c r="GZT5" s="181"/>
      <c r="GZU5" s="180"/>
      <c r="GZV5" s="182"/>
      <c r="GZW5" s="182"/>
      <c r="GZX5" s="182"/>
      <c r="GZY5" s="182"/>
      <c r="GZZ5" s="182"/>
      <c r="HAA5" s="182"/>
      <c r="HAB5" s="179"/>
      <c r="HAC5" s="180"/>
      <c r="HAD5" s="180"/>
      <c r="HAE5" s="180"/>
      <c r="HAF5" s="180"/>
      <c r="HAG5" s="181"/>
      <c r="HAH5" s="180"/>
      <c r="HAI5" s="182"/>
      <c r="HAJ5" s="182"/>
      <c r="HAK5" s="182"/>
      <c r="HAL5" s="182"/>
      <c r="HAM5" s="182"/>
      <c r="HAN5" s="182"/>
      <c r="HAO5" s="179"/>
      <c r="HAP5" s="180"/>
      <c r="HAQ5" s="180"/>
      <c r="HAR5" s="180"/>
      <c r="HAS5" s="180"/>
      <c r="HAT5" s="181"/>
      <c r="HAU5" s="180"/>
      <c r="HAV5" s="182"/>
      <c r="HAW5" s="182"/>
      <c r="HAX5" s="182"/>
      <c r="HAY5" s="182"/>
      <c r="HAZ5" s="182"/>
      <c r="HBA5" s="182"/>
      <c r="HBB5" s="179"/>
      <c r="HBC5" s="180"/>
      <c r="HBD5" s="180"/>
      <c r="HBE5" s="180"/>
      <c r="HBF5" s="180"/>
      <c r="HBG5" s="181"/>
      <c r="HBH5" s="180"/>
      <c r="HBI5" s="182"/>
      <c r="HBJ5" s="182"/>
      <c r="HBK5" s="182"/>
      <c r="HBL5" s="182"/>
      <c r="HBM5" s="182"/>
      <c r="HBN5" s="182"/>
      <c r="HBO5" s="179"/>
      <c r="HBP5" s="180"/>
      <c r="HBQ5" s="180"/>
      <c r="HBR5" s="180"/>
      <c r="HBS5" s="180"/>
      <c r="HBT5" s="181"/>
      <c r="HBU5" s="180"/>
      <c r="HBV5" s="182"/>
      <c r="HBW5" s="182"/>
      <c r="HBX5" s="182"/>
      <c r="HBY5" s="182"/>
      <c r="HBZ5" s="182"/>
      <c r="HCA5" s="182"/>
      <c r="HCB5" s="179"/>
      <c r="HCC5" s="180"/>
      <c r="HCD5" s="180"/>
      <c r="HCE5" s="180"/>
      <c r="HCF5" s="180"/>
      <c r="HCG5" s="181"/>
      <c r="HCH5" s="180"/>
      <c r="HCI5" s="182"/>
      <c r="HCJ5" s="182"/>
      <c r="HCK5" s="182"/>
      <c r="HCL5" s="182"/>
      <c r="HCM5" s="182"/>
      <c r="HCN5" s="182"/>
      <c r="HCO5" s="179"/>
      <c r="HCP5" s="180"/>
      <c r="HCQ5" s="180"/>
      <c r="HCR5" s="180"/>
      <c r="HCS5" s="180"/>
      <c r="HCT5" s="181"/>
      <c r="HCU5" s="180"/>
      <c r="HCV5" s="182"/>
      <c r="HCW5" s="182"/>
      <c r="HCX5" s="182"/>
      <c r="HCY5" s="182"/>
      <c r="HCZ5" s="182"/>
      <c r="HDA5" s="182"/>
      <c r="HDB5" s="179"/>
      <c r="HDC5" s="180"/>
      <c r="HDD5" s="180"/>
      <c r="HDE5" s="180"/>
      <c r="HDF5" s="180"/>
      <c r="HDG5" s="181"/>
      <c r="HDH5" s="180"/>
      <c r="HDI5" s="182"/>
      <c r="HDJ5" s="182"/>
      <c r="HDK5" s="182"/>
      <c r="HDL5" s="182"/>
      <c r="HDM5" s="182"/>
      <c r="HDN5" s="182"/>
      <c r="HDO5" s="179"/>
      <c r="HDP5" s="180"/>
      <c r="HDQ5" s="180"/>
      <c r="HDR5" s="180"/>
      <c r="HDS5" s="180"/>
      <c r="HDT5" s="181"/>
      <c r="HDU5" s="180"/>
      <c r="HDV5" s="182"/>
      <c r="HDW5" s="182"/>
      <c r="HDX5" s="182"/>
      <c r="HDY5" s="182"/>
      <c r="HDZ5" s="182"/>
      <c r="HEA5" s="182"/>
      <c r="HEB5" s="179"/>
      <c r="HEC5" s="180"/>
      <c r="HED5" s="180"/>
      <c r="HEE5" s="180"/>
      <c r="HEF5" s="180"/>
      <c r="HEG5" s="181"/>
      <c r="HEH5" s="180"/>
      <c r="HEI5" s="182"/>
      <c r="HEJ5" s="182"/>
      <c r="HEK5" s="182"/>
      <c r="HEL5" s="182"/>
      <c r="HEM5" s="182"/>
      <c r="HEN5" s="182"/>
      <c r="HEO5" s="179"/>
      <c r="HEP5" s="180"/>
      <c r="HEQ5" s="180"/>
      <c r="HER5" s="180"/>
      <c r="HES5" s="180"/>
      <c r="HET5" s="181"/>
      <c r="HEU5" s="180"/>
      <c r="HEV5" s="182"/>
      <c r="HEW5" s="182"/>
      <c r="HEX5" s="182"/>
      <c r="HEY5" s="182"/>
      <c r="HEZ5" s="182"/>
      <c r="HFA5" s="182"/>
      <c r="HFB5" s="179"/>
      <c r="HFC5" s="180"/>
      <c r="HFD5" s="180"/>
      <c r="HFE5" s="180"/>
      <c r="HFF5" s="180"/>
      <c r="HFG5" s="181"/>
      <c r="HFH5" s="180"/>
      <c r="HFI5" s="182"/>
      <c r="HFJ5" s="182"/>
      <c r="HFK5" s="182"/>
      <c r="HFL5" s="182"/>
      <c r="HFM5" s="182"/>
      <c r="HFN5" s="182"/>
      <c r="HFO5" s="179"/>
      <c r="HFP5" s="180"/>
      <c r="HFQ5" s="180"/>
      <c r="HFR5" s="180"/>
      <c r="HFS5" s="180"/>
      <c r="HFT5" s="181"/>
      <c r="HFU5" s="180"/>
      <c r="HFV5" s="182"/>
      <c r="HFW5" s="182"/>
      <c r="HFX5" s="182"/>
      <c r="HFY5" s="182"/>
      <c r="HFZ5" s="182"/>
      <c r="HGA5" s="182"/>
      <c r="HGB5" s="179"/>
      <c r="HGC5" s="180"/>
      <c r="HGD5" s="180"/>
      <c r="HGE5" s="180"/>
      <c r="HGF5" s="180"/>
      <c r="HGG5" s="181"/>
      <c r="HGH5" s="180"/>
      <c r="HGI5" s="182"/>
      <c r="HGJ5" s="182"/>
      <c r="HGK5" s="182"/>
      <c r="HGL5" s="182"/>
      <c r="HGM5" s="182"/>
      <c r="HGN5" s="182"/>
      <c r="HGO5" s="179"/>
      <c r="HGP5" s="180"/>
      <c r="HGQ5" s="180"/>
      <c r="HGR5" s="180"/>
      <c r="HGS5" s="180"/>
      <c r="HGT5" s="181"/>
      <c r="HGU5" s="180"/>
      <c r="HGV5" s="182"/>
      <c r="HGW5" s="182"/>
      <c r="HGX5" s="182"/>
      <c r="HGY5" s="182"/>
      <c r="HGZ5" s="182"/>
      <c r="HHA5" s="182"/>
      <c r="HHB5" s="179"/>
      <c r="HHC5" s="180"/>
      <c r="HHD5" s="180"/>
      <c r="HHE5" s="180"/>
      <c r="HHF5" s="180"/>
      <c r="HHG5" s="181"/>
      <c r="HHH5" s="180"/>
      <c r="HHI5" s="182"/>
      <c r="HHJ5" s="182"/>
      <c r="HHK5" s="182"/>
      <c r="HHL5" s="182"/>
      <c r="HHM5" s="182"/>
      <c r="HHN5" s="182"/>
      <c r="HHO5" s="179"/>
      <c r="HHP5" s="180"/>
      <c r="HHQ5" s="180"/>
      <c r="HHR5" s="180"/>
      <c r="HHS5" s="180"/>
      <c r="HHT5" s="181"/>
      <c r="HHU5" s="180"/>
      <c r="HHV5" s="182"/>
      <c r="HHW5" s="182"/>
      <c r="HHX5" s="182"/>
      <c r="HHY5" s="182"/>
      <c r="HHZ5" s="182"/>
      <c r="HIA5" s="182"/>
      <c r="HIB5" s="179"/>
      <c r="HIC5" s="180"/>
      <c r="HID5" s="180"/>
      <c r="HIE5" s="180"/>
      <c r="HIF5" s="180"/>
      <c r="HIG5" s="181"/>
      <c r="HIH5" s="180"/>
      <c r="HII5" s="182"/>
      <c r="HIJ5" s="182"/>
      <c r="HIK5" s="182"/>
      <c r="HIL5" s="182"/>
      <c r="HIM5" s="182"/>
      <c r="HIN5" s="182"/>
      <c r="HIO5" s="179"/>
      <c r="HIP5" s="180"/>
      <c r="HIQ5" s="180"/>
      <c r="HIR5" s="180"/>
      <c r="HIS5" s="180"/>
      <c r="HIT5" s="181"/>
      <c r="HIU5" s="180"/>
      <c r="HIV5" s="182"/>
      <c r="HIW5" s="182"/>
      <c r="HIX5" s="182"/>
      <c r="HIY5" s="182"/>
      <c r="HIZ5" s="182"/>
      <c r="HJA5" s="182"/>
      <c r="HJB5" s="179"/>
      <c r="HJC5" s="180"/>
      <c r="HJD5" s="180"/>
      <c r="HJE5" s="180"/>
      <c r="HJF5" s="180"/>
      <c r="HJG5" s="181"/>
      <c r="HJH5" s="180"/>
      <c r="HJI5" s="182"/>
      <c r="HJJ5" s="182"/>
      <c r="HJK5" s="182"/>
      <c r="HJL5" s="182"/>
      <c r="HJM5" s="182"/>
      <c r="HJN5" s="182"/>
      <c r="HJO5" s="179"/>
      <c r="HJP5" s="180"/>
      <c r="HJQ5" s="180"/>
      <c r="HJR5" s="180"/>
      <c r="HJS5" s="180"/>
      <c r="HJT5" s="181"/>
      <c r="HJU5" s="180"/>
      <c r="HJV5" s="182"/>
      <c r="HJW5" s="182"/>
      <c r="HJX5" s="182"/>
      <c r="HJY5" s="182"/>
      <c r="HJZ5" s="182"/>
      <c r="HKA5" s="182"/>
      <c r="HKB5" s="179"/>
      <c r="HKC5" s="180"/>
      <c r="HKD5" s="180"/>
      <c r="HKE5" s="180"/>
      <c r="HKF5" s="180"/>
      <c r="HKG5" s="181"/>
      <c r="HKH5" s="180"/>
      <c r="HKI5" s="182"/>
      <c r="HKJ5" s="182"/>
      <c r="HKK5" s="182"/>
      <c r="HKL5" s="182"/>
      <c r="HKM5" s="182"/>
      <c r="HKN5" s="182"/>
      <c r="HKO5" s="179"/>
      <c r="HKP5" s="180"/>
      <c r="HKQ5" s="180"/>
      <c r="HKR5" s="180"/>
      <c r="HKS5" s="180"/>
      <c r="HKT5" s="181"/>
      <c r="HKU5" s="180"/>
      <c r="HKV5" s="182"/>
      <c r="HKW5" s="182"/>
      <c r="HKX5" s="182"/>
      <c r="HKY5" s="182"/>
      <c r="HKZ5" s="182"/>
      <c r="HLA5" s="182"/>
      <c r="HLB5" s="179"/>
      <c r="HLC5" s="180"/>
      <c r="HLD5" s="180"/>
      <c r="HLE5" s="180"/>
      <c r="HLF5" s="180"/>
      <c r="HLG5" s="181"/>
      <c r="HLH5" s="180"/>
      <c r="HLI5" s="182"/>
      <c r="HLJ5" s="182"/>
      <c r="HLK5" s="182"/>
      <c r="HLL5" s="182"/>
      <c r="HLM5" s="182"/>
      <c r="HLN5" s="182"/>
      <c r="HLO5" s="179"/>
      <c r="HLP5" s="180"/>
      <c r="HLQ5" s="180"/>
      <c r="HLR5" s="180"/>
      <c r="HLS5" s="180"/>
      <c r="HLT5" s="181"/>
      <c r="HLU5" s="180"/>
      <c r="HLV5" s="182"/>
      <c r="HLW5" s="182"/>
      <c r="HLX5" s="182"/>
      <c r="HLY5" s="182"/>
      <c r="HLZ5" s="182"/>
      <c r="HMA5" s="182"/>
      <c r="HMB5" s="179"/>
      <c r="HMC5" s="180"/>
      <c r="HMD5" s="180"/>
      <c r="HME5" s="180"/>
      <c r="HMF5" s="180"/>
      <c r="HMG5" s="181"/>
      <c r="HMH5" s="180"/>
      <c r="HMI5" s="182"/>
      <c r="HMJ5" s="182"/>
      <c r="HMK5" s="182"/>
      <c r="HML5" s="182"/>
      <c r="HMM5" s="182"/>
      <c r="HMN5" s="182"/>
      <c r="HMO5" s="179"/>
      <c r="HMP5" s="180"/>
      <c r="HMQ5" s="180"/>
      <c r="HMR5" s="180"/>
      <c r="HMS5" s="180"/>
      <c r="HMT5" s="181"/>
      <c r="HMU5" s="180"/>
      <c r="HMV5" s="182"/>
      <c r="HMW5" s="182"/>
      <c r="HMX5" s="182"/>
      <c r="HMY5" s="182"/>
      <c r="HMZ5" s="182"/>
      <c r="HNA5" s="182"/>
      <c r="HNB5" s="179"/>
      <c r="HNC5" s="180"/>
      <c r="HND5" s="180"/>
      <c r="HNE5" s="180"/>
      <c r="HNF5" s="180"/>
      <c r="HNG5" s="181"/>
      <c r="HNH5" s="180"/>
      <c r="HNI5" s="182"/>
      <c r="HNJ5" s="182"/>
      <c r="HNK5" s="182"/>
      <c r="HNL5" s="182"/>
      <c r="HNM5" s="182"/>
      <c r="HNN5" s="182"/>
      <c r="HNO5" s="179"/>
      <c r="HNP5" s="180"/>
      <c r="HNQ5" s="180"/>
      <c r="HNR5" s="180"/>
      <c r="HNS5" s="180"/>
      <c r="HNT5" s="181"/>
      <c r="HNU5" s="180"/>
      <c r="HNV5" s="182"/>
      <c r="HNW5" s="182"/>
      <c r="HNX5" s="182"/>
      <c r="HNY5" s="182"/>
      <c r="HNZ5" s="182"/>
      <c r="HOA5" s="182"/>
      <c r="HOB5" s="179"/>
      <c r="HOC5" s="180"/>
      <c r="HOD5" s="180"/>
      <c r="HOE5" s="180"/>
      <c r="HOF5" s="180"/>
      <c r="HOG5" s="181"/>
      <c r="HOH5" s="180"/>
      <c r="HOI5" s="182"/>
      <c r="HOJ5" s="182"/>
      <c r="HOK5" s="182"/>
      <c r="HOL5" s="182"/>
      <c r="HOM5" s="182"/>
      <c r="HON5" s="182"/>
      <c r="HOO5" s="179"/>
      <c r="HOP5" s="180"/>
      <c r="HOQ5" s="180"/>
      <c r="HOR5" s="180"/>
      <c r="HOS5" s="180"/>
      <c r="HOT5" s="181"/>
      <c r="HOU5" s="180"/>
      <c r="HOV5" s="182"/>
      <c r="HOW5" s="182"/>
      <c r="HOX5" s="182"/>
      <c r="HOY5" s="182"/>
      <c r="HOZ5" s="182"/>
      <c r="HPA5" s="182"/>
      <c r="HPB5" s="179"/>
      <c r="HPC5" s="180"/>
      <c r="HPD5" s="180"/>
      <c r="HPE5" s="180"/>
      <c r="HPF5" s="180"/>
      <c r="HPG5" s="181"/>
      <c r="HPH5" s="180"/>
      <c r="HPI5" s="182"/>
      <c r="HPJ5" s="182"/>
      <c r="HPK5" s="182"/>
      <c r="HPL5" s="182"/>
      <c r="HPM5" s="182"/>
      <c r="HPN5" s="182"/>
      <c r="HPO5" s="179"/>
      <c r="HPP5" s="180"/>
      <c r="HPQ5" s="180"/>
      <c r="HPR5" s="180"/>
      <c r="HPS5" s="180"/>
      <c r="HPT5" s="181"/>
      <c r="HPU5" s="180"/>
      <c r="HPV5" s="182"/>
      <c r="HPW5" s="182"/>
      <c r="HPX5" s="182"/>
      <c r="HPY5" s="182"/>
      <c r="HPZ5" s="182"/>
      <c r="HQA5" s="182"/>
      <c r="HQB5" s="179"/>
      <c r="HQC5" s="180"/>
      <c r="HQD5" s="180"/>
      <c r="HQE5" s="180"/>
      <c r="HQF5" s="180"/>
      <c r="HQG5" s="181"/>
      <c r="HQH5" s="180"/>
      <c r="HQI5" s="182"/>
      <c r="HQJ5" s="182"/>
      <c r="HQK5" s="182"/>
      <c r="HQL5" s="182"/>
      <c r="HQM5" s="182"/>
      <c r="HQN5" s="182"/>
      <c r="HQO5" s="179"/>
      <c r="HQP5" s="180"/>
      <c r="HQQ5" s="180"/>
      <c r="HQR5" s="180"/>
      <c r="HQS5" s="180"/>
      <c r="HQT5" s="181"/>
      <c r="HQU5" s="180"/>
      <c r="HQV5" s="182"/>
      <c r="HQW5" s="182"/>
      <c r="HQX5" s="182"/>
      <c r="HQY5" s="182"/>
      <c r="HQZ5" s="182"/>
      <c r="HRA5" s="182"/>
      <c r="HRB5" s="179"/>
      <c r="HRC5" s="180"/>
      <c r="HRD5" s="180"/>
      <c r="HRE5" s="180"/>
      <c r="HRF5" s="180"/>
      <c r="HRG5" s="181"/>
      <c r="HRH5" s="180"/>
      <c r="HRI5" s="182"/>
      <c r="HRJ5" s="182"/>
      <c r="HRK5" s="182"/>
      <c r="HRL5" s="182"/>
      <c r="HRM5" s="182"/>
      <c r="HRN5" s="182"/>
      <c r="HRO5" s="179"/>
      <c r="HRP5" s="180"/>
      <c r="HRQ5" s="180"/>
      <c r="HRR5" s="180"/>
      <c r="HRS5" s="180"/>
      <c r="HRT5" s="181"/>
      <c r="HRU5" s="180"/>
      <c r="HRV5" s="182"/>
      <c r="HRW5" s="182"/>
      <c r="HRX5" s="182"/>
      <c r="HRY5" s="182"/>
      <c r="HRZ5" s="182"/>
      <c r="HSA5" s="182"/>
      <c r="HSB5" s="179"/>
      <c r="HSC5" s="180"/>
      <c r="HSD5" s="180"/>
      <c r="HSE5" s="180"/>
      <c r="HSF5" s="180"/>
      <c r="HSG5" s="181"/>
      <c r="HSH5" s="180"/>
      <c r="HSI5" s="182"/>
      <c r="HSJ5" s="182"/>
      <c r="HSK5" s="182"/>
      <c r="HSL5" s="182"/>
      <c r="HSM5" s="182"/>
      <c r="HSN5" s="182"/>
      <c r="HSO5" s="179"/>
      <c r="HSP5" s="180"/>
      <c r="HSQ5" s="180"/>
      <c r="HSR5" s="180"/>
      <c r="HSS5" s="180"/>
      <c r="HST5" s="181"/>
      <c r="HSU5" s="180"/>
      <c r="HSV5" s="182"/>
      <c r="HSW5" s="182"/>
      <c r="HSX5" s="182"/>
      <c r="HSY5" s="182"/>
      <c r="HSZ5" s="182"/>
      <c r="HTA5" s="182"/>
      <c r="HTB5" s="179"/>
      <c r="HTC5" s="180"/>
      <c r="HTD5" s="180"/>
      <c r="HTE5" s="180"/>
      <c r="HTF5" s="180"/>
      <c r="HTG5" s="181"/>
      <c r="HTH5" s="180"/>
      <c r="HTI5" s="182"/>
      <c r="HTJ5" s="182"/>
      <c r="HTK5" s="182"/>
      <c r="HTL5" s="182"/>
      <c r="HTM5" s="182"/>
      <c r="HTN5" s="182"/>
      <c r="HTO5" s="179"/>
      <c r="HTP5" s="180"/>
      <c r="HTQ5" s="180"/>
      <c r="HTR5" s="180"/>
      <c r="HTS5" s="180"/>
      <c r="HTT5" s="181"/>
      <c r="HTU5" s="180"/>
      <c r="HTV5" s="182"/>
      <c r="HTW5" s="182"/>
      <c r="HTX5" s="182"/>
      <c r="HTY5" s="182"/>
      <c r="HTZ5" s="182"/>
      <c r="HUA5" s="182"/>
      <c r="HUB5" s="179"/>
      <c r="HUC5" s="180"/>
      <c r="HUD5" s="180"/>
      <c r="HUE5" s="180"/>
      <c r="HUF5" s="180"/>
      <c r="HUG5" s="181"/>
      <c r="HUH5" s="180"/>
      <c r="HUI5" s="182"/>
      <c r="HUJ5" s="182"/>
      <c r="HUK5" s="182"/>
      <c r="HUL5" s="182"/>
      <c r="HUM5" s="182"/>
      <c r="HUN5" s="182"/>
      <c r="HUO5" s="179"/>
      <c r="HUP5" s="180"/>
      <c r="HUQ5" s="180"/>
      <c r="HUR5" s="180"/>
      <c r="HUS5" s="180"/>
      <c r="HUT5" s="181"/>
      <c r="HUU5" s="180"/>
      <c r="HUV5" s="182"/>
      <c r="HUW5" s="182"/>
      <c r="HUX5" s="182"/>
      <c r="HUY5" s="182"/>
      <c r="HUZ5" s="182"/>
      <c r="HVA5" s="182"/>
      <c r="HVB5" s="179"/>
      <c r="HVC5" s="180"/>
      <c r="HVD5" s="180"/>
      <c r="HVE5" s="180"/>
      <c r="HVF5" s="180"/>
      <c r="HVG5" s="181"/>
      <c r="HVH5" s="180"/>
      <c r="HVI5" s="182"/>
      <c r="HVJ5" s="182"/>
      <c r="HVK5" s="182"/>
      <c r="HVL5" s="182"/>
      <c r="HVM5" s="182"/>
      <c r="HVN5" s="182"/>
      <c r="HVO5" s="179"/>
      <c r="HVP5" s="180"/>
      <c r="HVQ5" s="180"/>
      <c r="HVR5" s="180"/>
      <c r="HVS5" s="180"/>
      <c r="HVT5" s="181"/>
      <c r="HVU5" s="180"/>
      <c r="HVV5" s="182"/>
      <c r="HVW5" s="182"/>
      <c r="HVX5" s="182"/>
      <c r="HVY5" s="182"/>
      <c r="HVZ5" s="182"/>
      <c r="HWA5" s="182"/>
      <c r="HWB5" s="179"/>
      <c r="HWC5" s="180"/>
      <c r="HWD5" s="180"/>
      <c r="HWE5" s="180"/>
      <c r="HWF5" s="180"/>
      <c r="HWG5" s="181"/>
      <c r="HWH5" s="180"/>
      <c r="HWI5" s="182"/>
      <c r="HWJ5" s="182"/>
      <c r="HWK5" s="182"/>
      <c r="HWL5" s="182"/>
      <c r="HWM5" s="182"/>
      <c r="HWN5" s="182"/>
      <c r="HWO5" s="179"/>
      <c r="HWP5" s="180"/>
      <c r="HWQ5" s="180"/>
      <c r="HWR5" s="180"/>
      <c r="HWS5" s="180"/>
      <c r="HWT5" s="181"/>
      <c r="HWU5" s="180"/>
      <c r="HWV5" s="182"/>
      <c r="HWW5" s="182"/>
      <c r="HWX5" s="182"/>
      <c r="HWY5" s="182"/>
      <c r="HWZ5" s="182"/>
      <c r="HXA5" s="182"/>
      <c r="HXB5" s="179"/>
      <c r="HXC5" s="180"/>
      <c r="HXD5" s="180"/>
      <c r="HXE5" s="180"/>
      <c r="HXF5" s="180"/>
      <c r="HXG5" s="181"/>
      <c r="HXH5" s="180"/>
      <c r="HXI5" s="182"/>
      <c r="HXJ5" s="182"/>
      <c r="HXK5" s="182"/>
      <c r="HXL5" s="182"/>
      <c r="HXM5" s="182"/>
      <c r="HXN5" s="182"/>
      <c r="HXO5" s="179"/>
      <c r="HXP5" s="180"/>
      <c r="HXQ5" s="180"/>
      <c r="HXR5" s="180"/>
      <c r="HXS5" s="180"/>
      <c r="HXT5" s="181"/>
      <c r="HXU5" s="180"/>
      <c r="HXV5" s="182"/>
      <c r="HXW5" s="182"/>
      <c r="HXX5" s="182"/>
      <c r="HXY5" s="182"/>
      <c r="HXZ5" s="182"/>
      <c r="HYA5" s="182"/>
      <c r="HYB5" s="179"/>
      <c r="HYC5" s="180"/>
      <c r="HYD5" s="180"/>
      <c r="HYE5" s="180"/>
      <c r="HYF5" s="180"/>
      <c r="HYG5" s="181"/>
      <c r="HYH5" s="180"/>
      <c r="HYI5" s="182"/>
      <c r="HYJ5" s="182"/>
      <c r="HYK5" s="182"/>
      <c r="HYL5" s="182"/>
      <c r="HYM5" s="182"/>
      <c r="HYN5" s="182"/>
      <c r="HYO5" s="179"/>
      <c r="HYP5" s="180"/>
      <c r="HYQ5" s="180"/>
      <c r="HYR5" s="180"/>
      <c r="HYS5" s="180"/>
      <c r="HYT5" s="181"/>
      <c r="HYU5" s="180"/>
      <c r="HYV5" s="182"/>
      <c r="HYW5" s="182"/>
      <c r="HYX5" s="182"/>
      <c r="HYY5" s="182"/>
      <c r="HYZ5" s="182"/>
      <c r="HZA5" s="182"/>
      <c r="HZB5" s="179"/>
      <c r="HZC5" s="180"/>
      <c r="HZD5" s="180"/>
      <c r="HZE5" s="180"/>
      <c r="HZF5" s="180"/>
      <c r="HZG5" s="181"/>
      <c r="HZH5" s="180"/>
      <c r="HZI5" s="182"/>
      <c r="HZJ5" s="182"/>
      <c r="HZK5" s="182"/>
      <c r="HZL5" s="182"/>
      <c r="HZM5" s="182"/>
      <c r="HZN5" s="182"/>
      <c r="HZO5" s="179"/>
      <c r="HZP5" s="180"/>
      <c r="HZQ5" s="180"/>
      <c r="HZR5" s="180"/>
      <c r="HZS5" s="180"/>
      <c r="HZT5" s="181"/>
      <c r="HZU5" s="180"/>
      <c r="HZV5" s="182"/>
      <c r="HZW5" s="182"/>
      <c r="HZX5" s="182"/>
      <c r="HZY5" s="182"/>
      <c r="HZZ5" s="182"/>
      <c r="IAA5" s="182"/>
      <c r="IAB5" s="179"/>
      <c r="IAC5" s="180"/>
      <c r="IAD5" s="180"/>
      <c r="IAE5" s="180"/>
      <c r="IAF5" s="180"/>
      <c r="IAG5" s="181"/>
      <c r="IAH5" s="180"/>
      <c r="IAI5" s="182"/>
      <c r="IAJ5" s="182"/>
      <c r="IAK5" s="182"/>
      <c r="IAL5" s="182"/>
      <c r="IAM5" s="182"/>
      <c r="IAN5" s="182"/>
      <c r="IAO5" s="179"/>
      <c r="IAP5" s="180"/>
      <c r="IAQ5" s="180"/>
      <c r="IAR5" s="180"/>
      <c r="IAS5" s="180"/>
      <c r="IAT5" s="181"/>
      <c r="IAU5" s="180"/>
      <c r="IAV5" s="182"/>
      <c r="IAW5" s="182"/>
      <c r="IAX5" s="182"/>
      <c r="IAY5" s="182"/>
      <c r="IAZ5" s="182"/>
      <c r="IBA5" s="182"/>
      <c r="IBB5" s="179"/>
      <c r="IBC5" s="180"/>
      <c r="IBD5" s="180"/>
      <c r="IBE5" s="180"/>
      <c r="IBF5" s="180"/>
      <c r="IBG5" s="181"/>
      <c r="IBH5" s="180"/>
      <c r="IBI5" s="182"/>
      <c r="IBJ5" s="182"/>
      <c r="IBK5" s="182"/>
      <c r="IBL5" s="182"/>
      <c r="IBM5" s="182"/>
      <c r="IBN5" s="182"/>
      <c r="IBO5" s="179"/>
      <c r="IBP5" s="180"/>
      <c r="IBQ5" s="180"/>
      <c r="IBR5" s="180"/>
      <c r="IBS5" s="180"/>
      <c r="IBT5" s="181"/>
      <c r="IBU5" s="180"/>
      <c r="IBV5" s="182"/>
      <c r="IBW5" s="182"/>
      <c r="IBX5" s="182"/>
      <c r="IBY5" s="182"/>
      <c r="IBZ5" s="182"/>
      <c r="ICA5" s="182"/>
      <c r="ICB5" s="179"/>
      <c r="ICC5" s="180"/>
      <c r="ICD5" s="180"/>
      <c r="ICE5" s="180"/>
      <c r="ICF5" s="180"/>
      <c r="ICG5" s="181"/>
      <c r="ICH5" s="180"/>
      <c r="ICI5" s="182"/>
      <c r="ICJ5" s="182"/>
      <c r="ICK5" s="182"/>
      <c r="ICL5" s="182"/>
      <c r="ICM5" s="182"/>
      <c r="ICN5" s="182"/>
      <c r="ICO5" s="179"/>
      <c r="ICP5" s="180"/>
      <c r="ICQ5" s="180"/>
      <c r="ICR5" s="180"/>
      <c r="ICS5" s="180"/>
      <c r="ICT5" s="181"/>
      <c r="ICU5" s="180"/>
      <c r="ICV5" s="182"/>
      <c r="ICW5" s="182"/>
      <c r="ICX5" s="182"/>
      <c r="ICY5" s="182"/>
      <c r="ICZ5" s="182"/>
      <c r="IDA5" s="182"/>
      <c r="IDB5" s="179"/>
      <c r="IDC5" s="180"/>
      <c r="IDD5" s="180"/>
      <c r="IDE5" s="180"/>
      <c r="IDF5" s="180"/>
      <c r="IDG5" s="181"/>
      <c r="IDH5" s="180"/>
      <c r="IDI5" s="182"/>
      <c r="IDJ5" s="182"/>
      <c r="IDK5" s="182"/>
      <c r="IDL5" s="182"/>
      <c r="IDM5" s="182"/>
      <c r="IDN5" s="182"/>
      <c r="IDO5" s="179"/>
      <c r="IDP5" s="180"/>
      <c r="IDQ5" s="180"/>
      <c r="IDR5" s="180"/>
      <c r="IDS5" s="180"/>
      <c r="IDT5" s="181"/>
      <c r="IDU5" s="180"/>
      <c r="IDV5" s="182"/>
      <c r="IDW5" s="182"/>
      <c r="IDX5" s="182"/>
      <c r="IDY5" s="182"/>
      <c r="IDZ5" s="182"/>
      <c r="IEA5" s="182"/>
      <c r="IEB5" s="179"/>
      <c r="IEC5" s="180"/>
      <c r="IED5" s="180"/>
      <c r="IEE5" s="180"/>
      <c r="IEF5" s="180"/>
      <c r="IEG5" s="181"/>
      <c r="IEH5" s="180"/>
      <c r="IEI5" s="182"/>
      <c r="IEJ5" s="182"/>
      <c r="IEK5" s="182"/>
      <c r="IEL5" s="182"/>
      <c r="IEM5" s="182"/>
      <c r="IEN5" s="182"/>
      <c r="IEO5" s="179"/>
      <c r="IEP5" s="180"/>
      <c r="IEQ5" s="180"/>
      <c r="IER5" s="180"/>
      <c r="IES5" s="180"/>
      <c r="IET5" s="181"/>
      <c r="IEU5" s="180"/>
      <c r="IEV5" s="182"/>
      <c r="IEW5" s="182"/>
      <c r="IEX5" s="182"/>
      <c r="IEY5" s="182"/>
      <c r="IEZ5" s="182"/>
      <c r="IFA5" s="182"/>
      <c r="IFB5" s="179"/>
      <c r="IFC5" s="180"/>
      <c r="IFD5" s="180"/>
      <c r="IFE5" s="180"/>
      <c r="IFF5" s="180"/>
      <c r="IFG5" s="181"/>
      <c r="IFH5" s="180"/>
      <c r="IFI5" s="182"/>
      <c r="IFJ5" s="182"/>
      <c r="IFK5" s="182"/>
      <c r="IFL5" s="182"/>
      <c r="IFM5" s="182"/>
      <c r="IFN5" s="182"/>
      <c r="IFO5" s="179"/>
      <c r="IFP5" s="180"/>
      <c r="IFQ5" s="180"/>
      <c r="IFR5" s="180"/>
      <c r="IFS5" s="180"/>
      <c r="IFT5" s="181"/>
      <c r="IFU5" s="180"/>
      <c r="IFV5" s="182"/>
      <c r="IFW5" s="182"/>
      <c r="IFX5" s="182"/>
      <c r="IFY5" s="182"/>
      <c r="IFZ5" s="182"/>
      <c r="IGA5" s="182"/>
      <c r="IGB5" s="179"/>
      <c r="IGC5" s="180"/>
      <c r="IGD5" s="180"/>
      <c r="IGE5" s="180"/>
      <c r="IGF5" s="180"/>
      <c r="IGG5" s="181"/>
      <c r="IGH5" s="180"/>
      <c r="IGI5" s="182"/>
      <c r="IGJ5" s="182"/>
      <c r="IGK5" s="182"/>
      <c r="IGL5" s="182"/>
      <c r="IGM5" s="182"/>
      <c r="IGN5" s="182"/>
      <c r="IGO5" s="179"/>
      <c r="IGP5" s="180"/>
      <c r="IGQ5" s="180"/>
      <c r="IGR5" s="180"/>
      <c r="IGS5" s="180"/>
      <c r="IGT5" s="181"/>
      <c r="IGU5" s="180"/>
      <c r="IGV5" s="182"/>
      <c r="IGW5" s="182"/>
      <c r="IGX5" s="182"/>
      <c r="IGY5" s="182"/>
      <c r="IGZ5" s="182"/>
      <c r="IHA5" s="182"/>
      <c r="IHB5" s="179"/>
      <c r="IHC5" s="180"/>
      <c r="IHD5" s="180"/>
      <c r="IHE5" s="180"/>
      <c r="IHF5" s="180"/>
      <c r="IHG5" s="181"/>
      <c r="IHH5" s="180"/>
      <c r="IHI5" s="182"/>
      <c r="IHJ5" s="182"/>
      <c r="IHK5" s="182"/>
      <c r="IHL5" s="182"/>
      <c r="IHM5" s="182"/>
      <c r="IHN5" s="182"/>
      <c r="IHO5" s="179"/>
      <c r="IHP5" s="180"/>
      <c r="IHQ5" s="180"/>
      <c r="IHR5" s="180"/>
      <c r="IHS5" s="180"/>
      <c r="IHT5" s="181"/>
      <c r="IHU5" s="180"/>
      <c r="IHV5" s="182"/>
      <c r="IHW5" s="182"/>
      <c r="IHX5" s="182"/>
      <c r="IHY5" s="182"/>
      <c r="IHZ5" s="182"/>
      <c r="IIA5" s="182"/>
      <c r="IIB5" s="179"/>
      <c r="IIC5" s="180"/>
      <c r="IID5" s="180"/>
      <c r="IIE5" s="180"/>
      <c r="IIF5" s="180"/>
      <c r="IIG5" s="181"/>
      <c r="IIH5" s="180"/>
      <c r="III5" s="182"/>
      <c r="IIJ5" s="182"/>
      <c r="IIK5" s="182"/>
      <c r="IIL5" s="182"/>
      <c r="IIM5" s="182"/>
      <c r="IIN5" s="182"/>
      <c r="IIO5" s="179"/>
      <c r="IIP5" s="180"/>
      <c r="IIQ5" s="180"/>
      <c r="IIR5" s="180"/>
      <c r="IIS5" s="180"/>
      <c r="IIT5" s="181"/>
      <c r="IIU5" s="180"/>
      <c r="IIV5" s="182"/>
      <c r="IIW5" s="182"/>
      <c r="IIX5" s="182"/>
      <c r="IIY5" s="182"/>
      <c r="IIZ5" s="182"/>
      <c r="IJA5" s="182"/>
      <c r="IJB5" s="179"/>
      <c r="IJC5" s="180"/>
      <c r="IJD5" s="180"/>
      <c r="IJE5" s="180"/>
      <c r="IJF5" s="180"/>
      <c r="IJG5" s="181"/>
      <c r="IJH5" s="180"/>
      <c r="IJI5" s="182"/>
      <c r="IJJ5" s="182"/>
      <c r="IJK5" s="182"/>
      <c r="IJL5" s="182"/>
      <c r="IJM5" s="182"/>
      <c r="IJN5" s="182"/>
      <c r="IJO5" s="179"/>
      <c r="IJP5" s="180"/>
      <c r="IJQ5" s="180"/>
      <c r="IJR5" s="180"/>
      <c r="IJS5" s="180"/>
      <c r="IJT5" s="181"/>
      <c r="IJU5" s="180"/>
      <c r="IJV5" s="182"/>
      <c r="IJW5" s="182"/>
      <c r="IJX5" s="182"/>
      <c r="IJY5" s="182"/>
      <c r="IJZ5" s="182"/>
      <c r="IKA5" s="182"/>
      <c r="IKB5" s="179"/>
      <c r="IKC5" s="180"/>
      <c r="IKD5" s="180"/>
      <c r="IKE5" s="180"/>
      <c r="IKF5" s="180"/>
      <c r="IKG5" s="181"/>
      <c r="IKH5" s="180"/>
      <c r="IKI5" s="182"/>
      <c r="IKJ5" s="182"/>
      <c r="IKK5" s="182"/>
      <c r="IKL5" s="182"/>
      <c r="IKM5" s="182"/>
      <c r="IKN5" s="182"/>
      <c r="IKO5" s="179"/>
      <c r="IKP5" s="180"/>
      <c r="IKQ5" s="180"/>
      <c r="IKR5" s="180"/>
      <c r="IKS5" s="180"/>
      <c r="IKT5" s="181"/>
      <c r="IKU5" s="180"/>
      <c r="IKV5" s="182"/>
      <c r="IKW5" s="182"/>
      <c r="IKX5" s="182"/>
      <c r="IKY5" s="182"/>
      <c r="IKZ5" s="182"/>
      <c r="ILA5" s="182"/>
      <c r="ILB5" s="179"/>
      <c r="ILC5" s="180"/>
      <c r="ILD5" s="180"/>
      <c r="ILE5" s="180"/>
      <c r="ILF5" s="180"/>
      <c r="ILG5" s="181"/>
      <c r="ILH5" s="180"/>
      <c r="ILI5" s="182"/>
      <c r="ILJ5" s="182"/>
      <c r="ILK5" s="182"/>
      <c r="ILL5" s="182"/>
      <c r="ILM5" s="182"/>
      <c r="ILN5" s="182"/>
      <c r="ILO5" s="179"/>
      <c r="ILP5" s="180"/>
      <c r="ILQ5" s="180"/>
      <c r="ILR5" s="180"/>
      <c r="ILS5" s="180"/>
      <c r="ILT5" s="181"/>
      <c r="ILU5" s="180"/>
      <c r="ILV5" s="182"/>
      <c r="ILW5" s="182"/>
      <c r="ILX5" s="182"/>
      <c r="ILY5" s="182"/>
      <c r="ILZ5" s="182"/>
      <c r="IMA5" s="182"/>
      <c r="IMB5" s="179"/>
      <c r="IMC5" s="180"/>
      <c r="IMD5" s="180"/>
      <c r="IME5" s="180"/>
      <c r="IMF5" s="180"/>
      <c r="IMG5" s="181"/>
      <c r="IMH5" s="180"/>
      <c r="IMI5" s="182"/>
      <c r="IMJ5" s="182"/>
      <c r="IMK5" s="182"/>
      <c r="IML5" s="182"/>
      <c r="IMM5" s="182"/>
      <c r="IMN5" s="182"/>
      <c r="IMO5" s="179"/>
      <c r="IMP5" s="180"/>
      <c r="IMQ5" s="180"/>
      <c r="IMR5" s="180"/>
      <c r="IMS5" s="180"/>
      <c r="IMT5" s="181"/>
      <c r="IMU5" s="180"/>
      <c r="IMV5" s="182"/>
      <c r="IMW5" s="182"/>
      <c r="IMX5" s="182"/>
      <c r="IMY5" s="182"/>
      <c r="IMZ5" s="182"/>
      <c r="INA5" s="182"/>
      <c r="INB5" s="179"/>
      <c r="INC5" s="180"/>
      <c r="IND5" s="180"/>
      <c r="INE5" s="180"/>
      <c r="INF5" s="180"/>
      <c r="ING5" s="181"/>
      <c r="INH5" s="180"/>
      <c r="INI5" s="182"/>
      <c r="INJ5" s="182"/>
      <c r="INK5" s="182"/>
      <c r="INL5" s="182"/>
      <c r="INM5" s="182"/>
      <c r="INN5" s="182"/>
      <c r="INO5" s="179"/>
      <c r="INP5" s="180"/>
      <c r="INQ5" s="180"/>
      <c r="INR5" s="180"/>
      <c r="INS5" s="180"/>
      <c r="INT5" s="181"/>
      <c r="INU5" s="180"/>
      <c r="INV5" s="182"/>
      <c r="INW5" s="182"/>
      <c r="INX5" s="182"/>
      <c r="INY5" s="182"/>
      <c r="INZ5" s="182"/>
      <c r="IOA5" s="182"/>
      <c r="IOB5" s="179"/>
      <c r="IOC5" s="180"/>
      <c r="IOD5" s="180"/>
      <c r="IOE5" s="180"/>
      <c r="IOF5" s="180"/>
      <c r="IOG5" s="181"/>
      <c r="IOH5" s="180"/>
      <c r="IOI5" s="182"/>
      <c r="IOJ5" s="182"/>
      <c r="IOK5" s="182"/>
      <c r="IOL5" s="182"/>
      <c r="IOM5" s="182"/>
      <c r="ION5" s="182"/>
      <c r="IOO5" s="179"/>
      <c r="IOP5" s="180"/>
      <c r="IOQ5" s="180"/>
      <c r="IOR5" s="180"/>
      <c r="IOS5" s="180"/>
      <c r="IOT5" s="181"/>
      <c r="IOU5" s="180"/>
      <c r="IOV5" s="182"/>
      <c r="IOW5" s="182"/>
      <c r="IOX5" s="182"/>
      <c r="IOY5" s="182"/>
      <c r="IOZ5" s="182"/>
      <c r="IPA5" s="182"/>
      <c r="IPB5" s="179"/>
      <c r="IPC5" s="180"/>
      <c r="IPD5" s="180"/>
      <c r="IPE5" s="180"/>
      <c r="IPF5" s="180"/>
      <c r="IPG5" s="181"/>
      <c r="IPH5" s="180"/>
      <c r="IPI5" s="182"/>
      <c r="IPJ5" s="182"/>
      <c r="IPK5" s="182"/>
      <c r="IPL5" s="182"/>
      <c r="IPM5" s="182"/>
      <c r="IPN5" s="182"/>
      <c r="IPO5" s="179"/>
      <c r="IPP5" s="180"/>
      <c r="IPQ5" s="180"/>
      <c r="IPR5" s="180"/>
      <c r="IPS5" s="180"/>
      <c r="IPT5" s="181"/>
      <c r="IPU5" s="180"/>
      <c r="IPV5" s="182"/>
      <c r="IPW5" s="182"/>
      <c r="IPX5" s="182"/>
      <c r="IPY5" s="182"/>
      <c r="IPZ5" s="182"/>
      <c r="IQA5" s="182"/>
      <c r="IQB5" s="179"/>
      <c r="IQC5" s="180"/>
      <c r="IQD5" s="180"/>
      <c r="IQE5" s="180"/>
      <c r="IQF5" s="180"/>
      <c r="IQG5" s="181"/>
      <c r="IQH5" s="180"/>
      <c r="IQI5" s="182"/>
      <c r="IQJ5" s="182"/>
      <c r="IQK5" s="182"/>
      <c r="IQL5" s="182"/>
      <c r="IQM5" s="182"/>
      <c r="IQN5" s="182"/>
      <c r="IQO5" s="179"/>
      <c r="IQP5" s="180"/>
      <c r="IQQ5" s="180"/>
      <c r="IQR5" s="180"/>
      <c r="IQS5" s="180"/>
      <c r="IQT5" s="181"/>
      <c r="IQU5" s="180"/>
      <c r="IQV5" s="182"/>
      <c r="IQW5" s="182"/>
      <c r="IQX5" s="182"/>
      <c r="IQY5" s="182"/>
      <c r="IQZ5" s="182"/>
      <c r="IRA5" s="182"/>
      <c r="IRB5" s="179"/>
      <c r="IRC5" s="180"/>
      <c r="IRD5" s="180"/>
      <c r="IRE5" s="180"/>
      <c r="IRF5" s="180"/>
      <c r="IRG5" s="181"/>
      <c r="IRH5" s="180"/>
      <c r="IRI5" s="182"/>
      <c r="IRJ5" s="182"/>
      <c r="IRK5" s="182"/>
      <c r="IRL5" s="182"/>
      <c r="IRM5" s="182"/>
      <c r="IRN5" s="182"/>
      <c r="IRO5" s="179"/>
      <c r="IRP5" s="180"/>
      <c r="IRQ5" s="180"/>
      <c r="IRR5" s="180"/>
      <c r="IRS5" s="180"/>
      <c r="IRT5" s="181"/>
      <c r="IRU5" s="180"/>
      <c r="IRV5" s="182"/>
      <c r="IRW5" s="182"/>
      <c r="IRX5" s="182"/>
      <c r="IRY5" s="182"/>
      <c r="IRZ5" s="182"/>
      <c r="ISA5" s="182"/>
      <c r="ISB5" s="179"/>
      <c r="ISC5" s="180"/>
      <c r="ISD5" s="180"/>
      <c r="ISE5" s="180"/>
      <c r="ISF5" s="180"/>
      <c r="ISG5" s="181"/>
      <c r="ISH5" s="180"/>
      <c r="ISI5" s="182"/>
      <c r="ISJ5" s="182"/>
      <c r="ISK5" s="182"/>
      <c r="ISL5" s="182"/>
      <c r="ISM5" s="182"/>
      <c r="ISN5" s="182"/>
      <c r="ISO5" s="179"/>
      <c r="ISP5" s="180"/>
      <c r="ISQ5" s="180"/>
      <c r="ISR5" s="180"/>
      <c r="ISS5" s="180"/>
      <c r="IST5" s="181"/>
      <c r="ISU5" s="180"/>
      <c r="ISV5" s="182"/>
      <c r="ISW5" s="182"/>
      <c r="ISX5" s="182"/>
      <c r="ISY5" s="182"/>
      <c r="ISZ5" s="182"/>
      <c r="ITA5" s="182"/>
      <c r="ITB5" s="179"/>
      <c r="ITC5" s="180"/>
      <c r="ITD5" s="180"/>
      <c r="ITE5" s="180"/>
      <c r="ITF5" s="180"/>
      <c r="ITG5" s="181"/>
      <c r="ITH5" s="180"/>
      <c r="ITI5" s="182"/>
      <c r="ITJ5" s="182"/>
      <c r="ITK5" s="182"/>
      <c r="ITL5" s="182"/>
      <c r="ITM5" s="182"/>
      <c r="ITN5" s="182"/>
      <c r="ITO5" s="179"/>
      <c r="ITP5" s="180"/>
      <c r="ITQ5" s="180"/>
      <c r="ITR5" s="180"/>
      <c r="ITS5" s="180"/>
      <c r="ITT5" s="181"/>
      <c r="ITU5" s="180"/>
      <c r="ITV5" s="182"/>
      <c r="ITW5" s="182"/>
      <c r="ITX5" s="182"/>
      <c r="ITY5" s="182"/>
      <c r="ITZ5" s="182"/>
      <c r="IUA5" s="182"/>
      <c r="IUB5" s="179"/>
      <c r="IUC5" s="180"/>
      <c r="IUD5" s="180"/>
      <c r="IUE5" s="180"/>
      <c r="IUF5" s="180"/>
      <c r="IUG5" s="181"/>
      <c r="IUH5" s="180"/>
      <c r="IUI5" s="182"/>
      <c r="IUJ5" s="182"/>
      <c r="IUK5" s="182"/>
      <c r="IUL5" s="182"/>
      <c r="IUM5" s="182"/>
      <c r="IUN5" s="182"/>
      <c r="IUO5" s="179"/>
      <c r="IUP5" s="180"/>
      <c r="IUQ5" s="180"/>
      <c r="IUR5" s="180"/>
      <c r="IUS5" s="180"/>
      <c r="IUT5" s="181"/>
      <c r="IUU5" s="180"/>
      <c r="IUV5" s="182"/>
      <c r="IUW5" s="182"/>
      <c r="IUX5" s="182"/>
      <c r="IUY5" s="182"/>
      <c r="IUZ5" s="182"/>
      <c r="IVA5" s="182"/>
      <c r="IVB5" s="179"/>
      <c r="IVC5" s="180"/>
      <c r="IVD5" s="180"/>
      <c r="IVE5" s="180"/>
      <c r="IVF5" s="180"/>
      <c r="IVG5" s="181"/>
      <c r="IVH5" s="180"/>
      <c r="IVI5" s="182"/>
      <c r="IVJ5" s="182"/>
      <c r="IVK5" s="182"/>
      <c r="IVL5" s="182"/>
      <c r="IVM5" s="182"/>
      <c r="IVN5" s="182"/>
      <c r="IVO5" s="179"/>
      <c r="IVP5" s="180"/>
      <c r="IVQ5" s="180"/>
      <c r="IVR5" s="180"/>
      <c r="IVS5" s="180"/>
      <c r="IVT5" s="181"/>
      <c r="IVU5" s="180"/>
      <c r="IVV5" s="182"/>
      <c r="IVW5" s="182"/>
      <c r="IVX5" s="182"/>
      <c r="IVY5" s="182"/>
      <c r="IVZ5" s="182"/>
      <c r="IWA5" s="182"/>
      <c r="IWB5" s="179"/>
      <c r="IWC5" s="180"/>
      <c r="IWD5" s="180"/>
      <c r="IWE5" s="180"/>
      <c r="IWF5" s="180"/>
      <c r="IWG5" s="181"/>
      <c r="IWH5" s="180"/>
      <c r="IWI5" s="182"/>
      <c r="IWJ5" s="182"/>
      <c r="IWK5" s="182"/>
      <c r="IWL5" s="182"/>
      <c r="IWM5" s="182"/>
      <c r="IWN5" s="182"/>
      <c r="IWO5" s="179"/>
      <c r="IWP5" s="180"/>
      <c r="IWQ5" s="180"/>
      <c r="IWR5" s="180"/>
      <c r="IWS5" s="180"/>
      <c r="IWT5" s="181"/>
      <c r="IWU5" s="180"/>
      <c r="IWV5" s="182"/>
      <c r="IWW5" s="182"/>
      <c r="IWX5" s="182"/>
      <c r="IWY5" s="182"/>
      <c r="IWZ5" s="182"/>
      <c r="IXA5" s="182"/>
      <c r="IXB5" s="179"/>
      <c r="IXC5" s="180"/>
      <c r="IXD5" s="180"/>
      <c r="IXE5" s="180"/>
      <c r="IXF5" s="180"/>
      <c r="IXG5" s="181"/>
      <c r="IXH5" s="180"/>
      <c r="IXI5" s="182"/>
      <c r="IXJ5" s="182"/>
      <c r="IXK5" s="182"/>
      <c r="IXL5" s="182"/>
      <c r="IXM5" s="182"/>
      <c r="IXN5" s="182"/>
      <c r="IXO5" s="179"/>
      <c r="IXP5" s="180"/>
      <c r="IXQ5" s="180"/>
      <c r="IXR5" s="180"/>
      <c r="IXS5" s="180"/>
      <c r="IXT5" s="181"/>
      <c r="IXU5" s="180"/>
      <c r="IXV5" s="182"/>
      <c r="IXW5" s="182"/>
      <c r="IXX5" s="182"/>
      <c r="IXY5" s="182"/>
      <c r="IXZ5" s="182"/>
      <c r="IYA5" s="182"/>
      <c r="IYB5" s="179"/>
      <c r="IYC5" s="180"/>
      <c r="IYD5" s="180"/>
      <c r="IYE5" s="180"/>
      <c r="IYF5" s="180"/>
      <c r="IYG5" s="181"/>
      <c r="IYH5" s="180"/>
      <c r="IYI5" s="182"/>
      <c r="IYJ5" s="182"/>
      <c r="IYK5" s="182"/>
      <c r="IYL5" s="182"/>
      <c r="IYM5" s="182"/>
      <c r="IYN5" s="182"/>
      <c r="IYO5" s="179"/>
      <c r="IYP5" s="180"/>
      <c r="IYQ5" s="180"/>
      <c r="IYR5" s="180"/>
      <c r="IYS5" s="180"/>
      <c r="IYT5" s="181"/>
      <c r="IYU5" s="180"/>
      <c r="IYV5" s="182"/>
      <c r="IYW5" s="182"/>
      <c r="IYX5" s="182"/>
      <c r="IYY5" s="182"/>
      <c r="IYZ5" s="182"/>
      <c r="IZA5" s="182"/>
      <c r="IZB5" s="179"/>
      <c r="IZC5" s="180"/>
      <c r="IZD5" s="180"/>
      <c r="IZE5" s="180"/>
      <c r="IZF5" s="180"/>
      <c r="IZG5" s="181"/>
      <c r="IZH5" s="180"/>
      <c r="IZI5" s="182"/>
      <c r="IZJ5" s="182"/>
      <c r="IZK5" s="182"/>
      <c r="IZL5" s="182"/>
      <c r="IZM5" s="182"/>
      <c r="IZN5" s="182"/>
      <c r="IZO5" s="179"/>
      <c r="IZP5" s="180"/>
      <c r="IZQ5" s="180"/>
      <c r="IZR5" s="180"/>
      <c r="IZS5" s="180"/>
      <c r="IZT5" s="181"/>
      <c r="IZU5" s="180"/>
      <c r="IZV5" s="182"/>
      <c r="IZW5" s="182"/>
      <c r="IZX5" s="182"/>
      <c r="IZY5" s="182"/>
      <c r="IZZ5" s="182"/>
      <c r="JAA5" s="182"/>
      <c r="JAB5" s="179"/>
      <c r="JAC5" s="180"/>
      <c r="JAD5" s="180"/>
      <c r="JAE5" s="180"/>
      <c r="JAF5" s="180"/>
      <c r="JAG5" s="181"/>
      <c r="JAH5" s="180"/>
      <c r="JAI5" s="182"/>
      <c r="JAJ5" s="182"/>
      <c r="JAK5" s="182"/>
      <c r="JAL5" s="182"/>
      <c r="JAM5" s="182"/>
      <c r="JAN5" s="182"/>
      <c r="JAO5" s="179"/>
      <c r="JAP5" s="180"/>
      <c r="JAQ5" s="180"/>
      <c r="JAR5" s="180"/>
      <c r="JAS5" s="180"/>
      <c r="JAT5" s="181"/>
      <c r="JAU5" s="180"/>
      <c r="JAV5" s="182"/>
      <c r="JAW5" s="182"/>
      <c r="JAX5" s="182"/>
      <c r="JAY5" s="182"/>
      <c r="JAZ5" s="182"/>
      <c r="JBA5" s="182"/>
      <c r="JBB5" s="179"/>
      <c r="JBC5" s="180"/>
      <c r="JBD5" s="180"/>
      <c r="JBE5" s="180"/>
      <c r="JBF5" s="180"/>
      <c r="JBG5" s="181"/>
      <c r="JBH5" s="180"/>
      <c r="JBI5" s="182"/>
      <c r="JBJ5" s="182"/>
      <c r="JBK5" s="182"/>
      <c r="JBL5" s="182"/>
      <c r="JBM5" s="182"/>
      <c r="JBN5" s="182"/>
      <c r="JBO5" s="179"/>
      <c r="JBP5" s="180"/>
      <c r="JBQ5" s="180"/>
      <c r="JBR5" s="180"/>
      <c r="JBS5" s="180"/>
      <c r="JBT5" s="181"/>
      <c r="JBU5" s="180"/>
      <c r="JBV5" s="182"/>
      <c r="JBW5" s="182"/>
      <c r="JBX5" s="182"/>
      <c r="JBY5" s="182"/>
      <c r="JBZ5" s="182"/>
      <c r="JCA5" s="182"/>
      <c r="JCB5" s="179"/>
      <c r="JCC5" s="180"/>
      <c r="JCD5" s="180"/>
      <c r="JCE5" s="180"/>
      <c r="JCF5" s="180"/>
      <c r="JCG5" s="181"/>
      <c r="JCH5" s="180"/>
      <c r="JCI5" s="182"/>
      <c r="JCJ5" s="182"/>
      <c r="JCK5" s="182"/>
      <c r="JCL5" s="182"/>
      <c r="JCM5" s="182"/>
      <c r="JCN5" s="182"/>
      <c r="JCO5" s="179"/>
      <c r="JCP5" s="180"/>
      <c r="JCQ5" s="180"/>
      <c r="JCR5" s="180"/>
      <c r="JCS5" s="180"/>
      <c r="JCT5" s="181"/>
      <c r="JCU5" s="180"/>
      <c r="JCV5" s="182"/>
      <c r="JCW5" s="182"/>
      <c r="JCX5" s="182"/>
      <c r="JCY5" s="182"/>
      <c r="JCZ5" s="182"/>
      <c r="JDA5" s="182"/>
      <c r="JDB5" s="179"/>
      <c r="JDC5" s="180"/>
      <c r="JDD5" s="180"/>
      <c r="JDE5" s="180"/>
      <c r="JDF5" s="180"/>
      <c r="JDG5" s="181"/>
      <c r="JDH5" s="180"/>
      <c r="JDI5" s="182"/>
      <c r="JDJ5" s="182"/>
      <c r="JDK5" s="182"/>
      <c r="JDL5" s="182"/>
      <c r="JDM5" s="182"/>
      <c r="JDN5" s="182"/>
      <c r="JDO5" s="179"/>
      <c r="JDP5" s="180"/>
      <c r="JDQ5" s="180"/>
      <c r="JDR5" s="180"/>
      <c r="JDS5" s="180"/>
      <c r="JDT5" s="181"/>
      <c r="JDU5" s="180"/>
      <c r="JDV5" s="182"/>
      <c r="JDW5" s="182"/>
      <c r="JDX5" s="182"/>
      <c r="JDY5" s="182"/>
      <c r="JDZ5" s="182"/>
      <c r="JEA5" s="182"/>
      <c r="JEB5" s="179"/>
      <c r="JEC5" s="180"/>
      <c r="JED5" s="180"/>
      <c r="JEE5" s="180"/>
      <c r="JEF5" s="180"/>
      <c r="JEG5" s="181"/>
      <c r="JEH5" s="180"/>
      <c r="JEI5" s="182"/>
      <c r="JEJ5" s="182"/>
      <c r="JEK5" s="182"/>
      <c r="JEL5" s="182"/>
      <c r="JEM5" s="182"/>
      <c r="JEN5" s="182"/>
      <c r="JEO5" s="179"/>
      <c r="JEP5" s="180"/>
      <c r="JEQ5" s="180"/>
      <c r="JER5" s="180"/>
      <c r="JES5" s="180"/>
      <c r="JET5" s="181"/>
      <c r="JEU5" s="180"/>
      <c r="JEV5" s="182"/>
      <c r="JEW5" s="182"/>
      <c r="JEX5" s="182"/>
      <c r="JEY5" s="182"/>
      <c r="JEZ5" s="182"/>
      <c r="JFA5" s="182"/>
      <c r="JFB5" s="179"/>
      <c r="JFC5" s="180"/>
      <c r="JFD5" s="180"/>
      <c r="JFE5" s="180"/>
      <c r="JFF5" s="180"/>
      <c r="JFG5" s="181"/>
      <c r="JFH5" s="180"/>
      <c r="JFI5" s="182"/>
      <c r="JFJ5" s="182"/>
      <c r="JFK5" s="182"/>
      <c r="JFL5" s="182"/>
      <c r="JFM5" s="182"/>
      <c r="JFN5" s="182"/>
      <c r="JFO5" s="179"/>
      <c r="JFP5" s="180"/>
      <c r="JFQ5" s="180"/>
      <c r="JFR5" s="180"/>
      <c r="JFS5" s="180"/>
      <c r="JFT5" s="181"/>
      <c r="JFU5" s="180"/>
      <c r="JFV5" s="182"/>
      <c r="JFW5" s="182"/>
      <c r="JFX5" s="182"/>
      <c r="JFY5" s="182"/>
      <c r="JFZ5" s="182"/>
      <c r="JGA5" s="182"/>
      <c r="JGB5" s="179"/>
      <c r="JGC5" s="180"/>
      <c r="JGD5" s="180"/>
      <c r="JGE5" s="180"/>
      <c r="JGF5" s="180"/>
      <c r="JGG5" s="181"/>
      <c r="JGH5" s="180"/>
      <c r="JGI5" s="182"/>
      <c r="JGJ5" s="182"/>
      <c r="JGK5" s="182"/>
      <c r="JGL5" s="182"/>
      <c r="JGM5" s="182"/>
      <c r="JGN5" s="182"/>
      <c r="JGO5" s="179"/>
      <c r="JGP5" s="180"/>
      <c r="JGQ5" s="180"/>
      <c r="JGR5" s="180"/>
      <c r="JGS5" s="180"/>
      <c r="JGT5" s="181"/>
      <c r="JGU5" s="180"/>
      <c r="JGV5" s="182"/>
      <c r="JGW5" s="182"/>
      <c r="JGX5" s="182"/>
      <c r="JGY5" s="182"/>
      <c r="JGZ5" s="182"/>
      <c r="JHA5" s="182"/>
      <c r="JHB5" s="179"/>
      <c r="JHC5" s="180"/>
      <c r="JHD5" s="180"/>
      <c r="JHE5" s="180"/>
      <c r="JHF5" s="180"/>
      <c r="JHG5" s="181"/>
      <c r="JHH5" s="180"/>
      <c r="JHI5" s="182"/>
      <c r="JHJ5" s="182"/>
      <c r="JHK5" s="182"/>
      <c r="JHL5" s="182"/>
      <c r="JHM5" s="182"/>
      <c r="JHN5" s="182"/>
      <c r="JHO5" s="179"/>
      <c r="JHP5" s="180"/>
      <c r="JHQ5" s="180"/>
      <c r="JHR5" s="180"/>
      <c r="JHS5" s="180"/>
      <c r="JHT5" s="181"/>
      <c r="JHU5" s="180"/>
      <c r="JHV5" s="182"/>
      <c r="JHW5" s="182"/>
      <c r="JHX5" s="182"/>
      <c r="JHY5" s="182"/>
      <c r="JHZ5" s="182"/>
      <c r="JIA5" s="182"/>
      <c r="JIB5" s="179"/>
      <c r="JIC5" s="180"/>
      <c r="JID5" s="180"/>
      <c r="JIE5" s="180"/>
      <c r="JIF5" s="180"/>
      <c r="JIG5" s="181"/>
      <c r="JIH5" s="180"/>
      <c r="JII5" s="182"/>
      <c r="JIJ5" s="182"/>
      <c r="JIK5" s="182"/>
      <c r="JIL5" s="182"/>
      <c r="JIM5" s="182"/>
      <c r="JIN5" s="182"/>
      <c r="JIO5" s="179"/>
      <c r="JIP5" s="180"/>
      <c r="JIQ5" s="180"/>
      <c r="JIR5" s="180"/>
      <c r="JIS5" s="180"/>
      <c r="JIT5" s="181"/>
      <c r="JIU5" s="180"/>
      <c r="JIV5" s="182"/>
      <c r="JIW5" s="182"/>
      <c r="JIX5" s="182"/>
      <c r="JIY5" s="182"/>
      <c r="JIZ5" s="182"/>
      <c r="JJA5" s="182"/>
      <c r="JJB5" s="179"/>
      <c r="JJC5" s="180"/>
      <c r="JJD5" s="180"/>
      <c r="JJE5" s="180"/>
      <c r="JJF5" s="180"/>
      <c r="JJG5" s="181"/>
      <c r="JJH5" s="180"/>
      <c r="JJI5" s="182"/>
      <c r="JJJ5" s="182"/>
      <c r="JJK5" s="182"/>
      <c r="JJL5" s="182"/>
      <c r="JJM5" s="182"/>
      <c r="JJN5" s="182"/>
      <c r="JJO5" s="179"/>
      <c r="JJP5" s="180"/>
      <c r="JJQ5" s="180"/>
      <c r="JJR5" s="180"/>
      <c r="JJS5" s="180"/>
      <c r="JJT5" s="181"/>
      <c r="JJU5" s="180"/>
      <c r="JJV5" s="182"/>
      <c r="JJW5" s="182"/>
      <c r="JJX5" s="182"/>
      <c r="JJY5" s="182"/>
      <c r="JJZ5" s="182"/>
      <c r="JKA5" s="182"/>
      <c r="JKB5" s="179"/>
      <c r="JKC5" s="180"/>
      <c r="JKD5" s="180"/>
      <c r="JKE5" s="180"/>
      <c r="JKF5" s="180"/>
      <c r="JKG5" s="181"/>
      <c r="JKH5" s="180"/>
      <c r="JKI5" s="182"/>
      <c r="JKJ5" s="182"/>
      <c r="JKK5" s="182"/>
      <c r="JKL5" s="182"/>
      <c r="JKM5" s="182"/>
      <c r="JKN5" s="182"/>
      <c r="JKO5" s="179"/>
      <c r="JKP5" s="180"/>
      <c r="JKQ5" s="180"/>
      <c r="JKR5" s="180"/>
      <c r="JKS5" s="180"/>
      <c r="JKT5" s="181"/>
      <c r="JKU5" s="180"/>
      <c r="JKV5" s="182"/>
      <c r="JKW5" s="182"/>
      <c r="JKX5" s="182"/>
      <c r="JKY5" s="182"/>
      <c r="JKZ5" s="182"/>
      <c r="JLA5" s="182"/>
      <c r="JLB5" s="179"/>
      <c r="JLC5" s="180"/>
      <c r="JLD5" s="180"/>
      <c r="JLE5" s="180"/>
      <c r="JLF5" s="180"/>
      <c r="JLG5" s="181"/>
      <c r="JLH5" s="180"/>
      <c r="JLI5" s="182"/>
      <c r="JLJ5" s="182"/>
      <c r="JLK5" s="182"/>
      <c r="JLL5" s="182"/>
      <c r="JLM5" s="182"/>
      <c r="JLN5" s="182"/>
      <c r="JLO5" s="179"/>
      <c r="JLP5" s="180"/>
      <c r="JLQ5" s="180"/>
      <c r="JLR5" s="180"/>
      <c r="JLS5" s="180"/>
      <c r="JLT5" s="181"/>
      <c r="JLU5" s="180"/>
      <c r="JLV5" s="182"/>
      <c r="JLW5" s="182"/>
      <c r="JLX5" s="182"/>
      <c r="JLY5" s="182"/>
      <c r="JLZ5" s="182"/>
      <c r="JMA5" s="182"/>
      <c r="JMB5" s="179"/>
      <c r="JMC5" s="180"/>
      <c r="JMD5" s="180"/>
      <c r="JME5" s="180"/>
      <c r="JMF5" s="180"/>
      <c r="JMG5" s="181"/>
      <c r="JMH5" s="180"/>
      <c r="JMI5" s="182"/>
      <c r="JMJ5" s="182"/>
      <c r="JMK5" s="182"/>
      <c r="JML5" s="182"/>
      <c r="JMM5" s="182"/>
      <c r="JMN5" s="182"/>
      <c r="JMO5" s="179"/>
      <c r="JMP5" s="180"/>
      <c r="JMQ5" s="180"/>
      <c r="JMR5" s="180"/>
      <c r="JMS5" s="180"/>
      <c r="JMT5" s="181"/>
      <c r="JMU5" s="180"/>
      <c r="JMV5" s="182"/>
      <c r="JMW5" s="182"/>
      <c r="JMX5" s="182"/>
      <c r="JMY5" s="182"/>
      <c r="JMZ5" s="182"/>
      <c r="JNA5" s="182"/>
      <c r="JNB5" s="179"/>
      <c r="JNC5" s="180"/>
      <c r="JND5" s="180"/>
      <c r="JNE5" s="180"/>
      <c r="JNF5" s="180"/>
      <c r="JNG5" s="181"/>
      <c r="JNH5" s="180"/>
      <c r="JNI5" s="182"/>
      <c r="JNJ5" s="182"/>
      <c r="JNK5" s="182"/>
      <c r="JNL5" s="182"/>
      <c r="JNM5" s="182"/>
      <c r="JNN5" s="182"/>
      <c r="JNO5" s="179"/>
      <c r="JNP5" s="180"/>
      <c r="JNQ5" s="180"/>
      <c r="JNR5" s="180"/>
      <c r="JNS5" s="180"/>
      <c r="JNT5" s="181"/>
      <c r="JNU5" s="180"/>
      <c r="JNV5" s="182"/>
      <c r="JNW5" s="182"/>
      <c r="JNX5" s="182"/>
      <c r="JNY5" s="182"/>
      <c r="JNZ5" s="182"/>
      <c r="JOA5" s="182"/>
      <c r="JOB5" s="179"/>
      <c r="JOC5" s="180"/>
      <c r="JOD5" s="180"/>
      <c r="JOE5" s="180"/>
      <c r="JOF5" s="180"/>
      <c r="JOG5" s="181"/>
      <c r="JOH5" s="180"/>
      <c r="JOI5" s="182"/>
      <c r="JOJ5" s="182"/>
      <c r="JOK5" s="182"/>
      <c r="JOL5" s="182"/>
      <c r="JOM5" s="182"/>
      <c r="JON5" s="182"/>
      <c r="JOO5" s="179"/>
      <c r="JOP5" s="180"/>
      <c r="JOQ5" s="180"/>
      <c r="JOR5" s="180"/>
      <c r="JOS5" s="180"/>
      <c r="JOT5" s="181"/>
      <c r="JOU5" s="180"/>
      <c r="JOV5" s="182"/>
      <c r="JOW5" s="182"/>
      <c r="JOX5" s="182"/>
      <c r="JOY5" s="182"/>
      <c r="JOZ5" s="182"/>
      <c r="JPA5" s="182"/>
      <c r="JPB5" s="179"/>
      <c r="JPC5" s="180"/>
      <c r="JPD5" s="180"/>
      <c r="JPE5" s="180"/>
      <c r="JPF5" s="180"/>
      <c r="JPG5" s="181"/>
      <c r="JPH5" s="180"/>
      <c r="JPI5" s="182"/>
      <c r="JPJ5" s="182"/>
      <c r="JPK5" s="182"/>
      <c r="JPL5" s="182"/>
      <c r="JPM5" s="182"/>
      <c r="JPN5" s="182"/>
      <c r="JPO5" s="179"/>
      <c r="JPP5" s="180"/>
      <c r="JPQ5" s="180"/>
      <c r="JPR5" s="180"/>
      <c r="JPS5" s="180"/>
      <c r="JPT5" s="181"/>
      <c r="JPU5" s="180"/>
      <c r="JPV5" s="182"/>
      <c r="JPW5" s="182"/>
      <c r="JPX5" s="182"/>
      <c r="JPY5" s="182"/>
      <c r="JPZ5" s="182"/>
      <c r="JQA5" s="182"/>
      <c r="JQB5" s="179"/>
      <c r="JQC5" s="180"/>
      <c r="JQD5" s="180"/>
      <c r="JQE5" s="180"/>
      <c r="JQF5" s="180"/>
      <c r="JQG5" s="181"/>
      <c r="JQH5" s="180"/>
      <c r="JQI5" s="182"/>
      <c r="JQJ5" s="182"/>
      <c r="JQK5" s="182"/>
      <c r="JQL5" s="182"/>
      <c r="JQM5" s="182"/>
      <c r="JQN5" s="182"/>
      <c r="JQO5" s="179"/>
      <c r="JQP5" s="180"/>
      <c r="JQQ5" s="180"/>
      <c r="JQR5" s="180"/>
      <c r="JQS5" s="180"/>
      <c r="JQT5" s="181"/>
      <c r="JQU5" s="180"/>
      <c r="JQV5" s="182"/>
      <c r="JQW5" s="182"/>
      <c r="JQX5" s="182"/>
      <c r="JQY5" s="182"/>
      <c r="JQZ5" s="182"/>
      <c r="JRA5" s="182"/>
      <c r="JRB5" s="179"/>
      <c r="JRC5" s="180"/>
      <c r="JRD5" s="180"/>
      <c r="JRE5" s="180"/>
      <c r="JRF5" s="180"/>
      <c r="JRG5" s="181"/>
      <c r="JRH5" s="180"/>
      <c r="JRI5" s="182"/>
      <c r="JRJ5" s="182"/>
      <c r="JRK5" s="182"/>
      <c r="JRL5" s="182"/>
      <c r="JRM5" s="182"/>
      <c r="JRN5" s="182"/>
      <c r="JRO5" s="179"/>
      <c r="JRP5" s="180"/>
      <c r="JRQ5" s="180"/>
      <c r="JRR5" s="180"/>
      <c r="JRS5" s="180"/>
      <c r="JRT5" s="181"/>
      <c r="JRU5" s="180"/>
      <c r="JRV5" s="182"/>
      <c r="JRW5" s="182"/>
      <c r="JRX5" s="182"/>
      <c r="JRY5" s="182"/>
      <c r="JRZ5" s="182"/>
      <c r="JSA5" s="182"/>
      <c r="JSB5" s="179"/>
      <c r="JSC5" s="180"/>
      <c r="JSD5" s="180"/>
      <c r="JSE5" s="180"/>
      <c r="JSF5" s="180"/>
      <c r="JSG5" s="181"/>
      <c r="JSH5" s="180"/>
      <c r="JSI5" s="182"/>
      <c r="JSJ5" s="182"/>
      <c r="JSK5" s="182"/>
      <c r="JSL5" s="182"/>
      <c r="JSM5" s="182"/>
      <c r="JSN5" s="182"/>
      <c r="JSO5" s="179"/>
      <c r="JSP5" s="180"/>
      <c r="JSQ5" s="180"/>
      <c r="JSR5" s="180"/>
      <c r="JSS5" s="180"/>
      <c r="JST5" s="181"/>
      <c r="JSU5" s="180"/>
      <c r="JSV5" s="182"/>
      <c r="JSW5" s="182"/>
      <c r="JSX5" s="182"/>
      <c r="JSY5" s="182"/>
      <c r="JSZ5" s="182"/>
      <c r="JTA5" s="182"/>
      <c r="JTB5" s="179"/>
      <c r="JTC5" s="180"/>
      <c r="JTD5" s="180"/>
      <c r="JTE5" s="180"/>
      <c r="JTF5" s="180"/>
      <c r="JTG5" s="181"/>
      <c r="JTH5" s="180"/>
      <c r="JTI5" s="182"/>
      <c r="JTJ5" s="182"/>
      <c r="JTK5" s="182"/>
      <c r="JTL5" s="182"/>
      <c r="JTM5" s="182"/>
      <c r="JTN5" s="182"/>
      <c r="JTO5" s="179"/>
      <c r="JTP5" s="180"/>
      <c r="JTQ5" s="180"/>
      <c r="JTR5" s="180"/>
      <c r="JTS5" s="180"/>
      <c r="JTT5" s="181"/>
      <c r="JTU5" s="180"/>
      <c r="JTV5" s="182"/>
      <c r="JTW5" s="182"/>
      <c r="JTX5" s="182"/>
      <c r="JTY5" s="182"/>
      <c r="JTZ5" s="182"/>
      <c r="JUA5" s="182"/>
      <c r="JUB5" s="179"/>
      <c r="JUC5" s="180"/>
      <c r="JUD5" s="180"/>
      <c r="JUE5" s="180"/>
      <c r="JUF5" s="180"/>
      <c r="JUG5" s="181"/>
      <c r="JUH5" s="180"/>
      <c r="JUI5" s="182"/>
      <c r="JUJ5" s="182"/>
      <c r="JUK5" s="182"/>
      <c r="JUL5" s="182"/>
      <c r="JUM5" s="182"/>
      <c r="JUN5" s="182"/>
      <c r="JUO5" s="179"/>
      <c r="JUP5" s="180"/>
      <c r="JUQ5" s="180"/>
      <c r="JUR5" s="180"/>
      <c r="JUS5" s="180"/>
      <c r="JUT5" s="181"/>
      <c r="JUU5" s="180"/>
      <c r="JUV5" s="182"/>
      <c r="JUW5" s="182"/>
      <c r="JUX5" s="182"/>
      <c r="JUY5" s="182"/>
      <c r="JUZ5" s="182"/>
      <c r="JVA5" s="182"/>
      <c r="JVB5" s="179"/>
      <c r="JVC5" s="180"/>
      <c r="JVD5" s="180"/>
      <c r="JVE5" s="180"/>
      <c r="JVF5" s="180"/>
      <c r="JVG5" s="181"/>
      <c r="JVH5" s="180"/>
      <c r="JVI5" s="182"/>
      <c r="JVJ5" s="182"/>
      <c r="JVK5" s="182"/>
      <c r="JVL5" s="182"/>
      <c r="JVM5" s="182"/>
      <c r="JVN5" s="182"/>
      <c r="JVO5" s="179"/>
      <c r="JVP5" s="180"/>
      <c r="JVQ5" s="180"/>
      <c r="JVR5" s="180"/>
      <c r="JVS5" s="180"/>
      <c r="JVT5" s="181"/>
      <c r="JVU5" s="180"/>
      <c r="JVV5" s="182"/>
      <c r="JVW5" s="182"/>
      <c r="JVX5" s="182"/>
      <c r="JVY5" s="182"/>
      <c r="JVZ5" s="182"/>
      <c r="JWA5" s="182"/>
      <c r="JWB5" s="179"/>
      <c r="JWC5" s="180"/>
      <c r="JWD5" s="180"/>
      <c r="JWE5" s="180"/>
      <c r="JWF5" s="180"/>
      <c r="JWG5" s="181"/>
      <c r="JWH5" s="180"/>
      <c r="JWI5" s="182"/>
      <c r="JWJ5" s="182"/>
      <c r="JWK5" s="182"/>
      <c r="JWL5" s="182"/>
      <c r="JWM5" s="182"/>
      <c r="JWN5" s="182"/>
      <c r="JWO5" s="179"/>
      <c r="JWP5" s="180"/>
      <c r="JWQ5" s="180"/>
      <c r="JWR5" s="180"/>
      <c r="JWS5" s="180"/>
      <c r="JWT5" s="181"/>
      <c r="JWU5" s="180"/>
      <c r="JWV5" s="182"/>
      <c r="JWW5" s="182"/>
      <c r="JWX5" s="182"/>
      <c r="JWY5" s="182"/>
      <c r="JWZ5" s="182"/>
      <c r="JXA5" s="182"/>
      <c r="JXB5" s="179"/>
      <c r="JXC5" s="180"/>
      <c r="JXD5" s="180"/>
      <c r="JXE5" s="180"/>
      <c r="JXF5" s="180"/>
      <c r="JXG5" s="181"/>
      <c r="JXH5" s="180"/>
      <c r="JXI5" s="182"/>
      <c r="JXJ5" s="182"/>
      <c r="JXK5" s="182"/>
      <c r="JXL5" s="182"/>
      <c r="JXM5" s="182"/>
      <c r="JXN5" s="182"/>
      <c r="JXO5" s="179"/>
      <c r="JXP5" s="180"/>
      <c r="JXQ5" s="180"/>
      <c r="JXR5" s="180"/>
      <c r="JXS5" s="180"/>
      <c r="JXT5" s="181"/>
      <c r="JXU5" s="180"/>
      <c r="JXV5" s="182"/>
      <c r="JXW5" s="182"/>
      <c r="JXX5" s="182"/>
      <c r="JXY5" s="182"/>
      <c r="JXZ5" s="182"/>
      <c r="JYA5" s="182"/>
      <c r="JYB5" s="179"/>
      <c r="JYC5" s="180"/>
      <c r="JYD5" s="180"/>
      <c r="JYE5" s="180"/>
      <c r="JYF5" s="180"/>
      <c r="JYG5" s="181"/>
      <c r="JYH5" s="180"/>
      <c r="JYI5" s="182"/>
      <c r="JYJ5" s="182"/>
      <c r="JYK5" s="182"/>
      <c r="JYL5" s="182"/>
      <c r="JYM5" s="182"/>
      <c r="JYN5" s="182"/>
      <c r="JYO5" s="179"/>
      <c r="JYP5" s="180"/>
      <c r="JYQ5" s="180"/>
      <c r="JYR5" s="180"/>
      <c r="JYS5" s="180"/>
      <c r="JYT5" s="181"/>
      <c r="JYU5" s="180"/>
      <c r="JYV5" s="182"/>
      <c r="JYW5" s="182"/>
      <c r="JYX5" s="182"/>
      <c r="JYY5" s="182"/>
      <c r="JYZ5" s="182"/>
      <c r="JZA5" s="182"/>
      <c r="JZB5" s="179"/>
      <c r="JZC5" s="180"/>
      <c r="JZD5" s="180"/>
      <c r="JZE5" s="180"/>
      <c r="JZF5" s="180"/>
      <c r="JZG5" s="181"/>
      <c r="JZH5" s="180"/>
      <c r="JZI5" s="182"/>
      <c r="JZJ5" s="182"/>
      <c r="JZK5" s="182"/>
      <c r="JZL5" s="182"/>
      <c r="JZM5" s="182"/>
      <c r="JZN5" s="182"/>
      <c r="JZO5" s="179"/>
      <c r="JZP5" s="180"/>
      <c r="JZQ5" s="180"/>
      <c r="JZR5" s="180"/>
      <c r="JZS5" s="180"/>
      <c r="JZT5" s="181"/>
      <c r="JZU5" s="180"/>
      <c r="JZV5" s="182"/>
      <c r="JZW5" s="182"/>
      <c r="JZX5" s="182"/>
      <c r="JZY5" s="182"/>
      <c r="JZZ5" s="182"/>
      <c r="KAA5" s="182"/>
      <c r="KAB5" s="179"/>
      <c r="KAC5" s="180"/>
      <c r="KAD5" s="180"/>
      <c r="KAE5" s="180"/>
      <c r="KAF5" s="180"/>
      <c r="KAG5" s="181"/>
      <c r="KAH5" s="180"/>
      <c r="KAI5" s="182"/>
      <c r="KAJ5" s="182"/>
      <c r="KAK5" s="182"/>
      <c r="KAL5" s="182"/>
      <c r="KAM5" s="182"/>
      <c r="KAN5" s="182"/>
      <c r="KAO5" s="179"/>
      <c r="KAP5" s="180"/>
      <c r="KAQ5" s="180"/>
      <c r="KAR5" s="180"/>
      <c r="KAS5" s="180"/>
      <c r="KAT5" s="181"/>
      <c r="KAU5" s="180"/>
      <c r="KAV5" s="182"/>
      <c r="KAW5" s="182"/>
      <c r="KAX5" s="182"/>
      <c r="KAY5" s="182"/>
      <c r="KAZ5" s="182"/>
      <c r="KBA5" s="182"/>
      <c r="KBB5" s="179"/>
      <c r="KBC5" s="180"/>
      <c r="KBD5" s="180"/>
      <c r="KBE5" s="180"/>
      <c r="KBF5" s="180"/>
      <c r="KBG5" s="181"/>
      <c r="KBH5" s="180"/>
      <c r="KBI5" s="182"/>
      <c r="KBJ5" s="182"/>
      <c r="KBK5" s="182"/>
      <c r="KBL5" s="182"/>
      <c r="KBM5" s="182"/>
      <c r="KBN5" s="182"/>
      <c r="KBO5" s="179"/>
      <c r="KBP5" s="180"/>
      <c r="KBQ5" s="180"/>
      <c r="KBR5" s="180"/>
      <c r="KBS5" s="180"/>
      <c r="KBT5" s="181"/>
      <c r="KBU5" s="180"/>
      <c r="KBV5" s="182"/>
      <c r="KBW5" s="182"/>
      <c r="KBX5" s="182"/>
      <c r="KBY5" s="182"/>
      <c r="KBZ5" s="182"/>
      <c r="KCA5" s="182"/>
      <c r="KCB5" s="179"/>
      <c r="KCC5" s="180"/>
      <c r="KCD5" s="180"/>
      <c r="KCE5" s="180"/>
      <c r="KCF5" s="180"/>
      <c r="KCG5" s="181"/>
      <c r="KCH5" s="180"/>
      <c r="KCI5" s="182"/>
      <c r="KCJ5" s="182"/>
      <c r="KCK5" s="182"/>
      <c r="KCL5" s="182"/>
      <c r="KCM5" s="182"/>
      <c r="KCN5" s="182"/>
      <c r="KCO5" s="179"/>
      <c r="KCP5" s="180"/>
      <c r="KCQ5" s="180"/>
      <c r="KCR5" s="180"/>
      <c r="KCS5" s="180"/>
      <c r="KCT5" s="181"/>
      <c r="KCU5" s="180"/>
      <c r="KCV5" s="182"/>
      <c r="KCW5" s="182"/>
      <c r="KCX5" s="182"/>
      <c r="KCY5" s="182"/>
      <c r="KCZ5" s="182"/>
      <c r="KDA5" s="182"/>
      <c r="KDB5" s="179"/>
      <c r="KDC5" s="180"/>
      <c r="KDD5" s="180"/>
      <c r="KDE5" s="180"/>
      <c r="KDF5" s="180"/>
      <c r="KDG5" s="181"/>
      <c r="KDH5" s="180"/>
      <c r="KDI5" s="182"/>
      <c r="KDJ5" s="182"/>
      <c r="KDK5" s="182"/>
      <c r="KDL5" s="182"/>
      <c r="KDM5" s="182"/>
      <c r="KDN5" s="182"/>
      <c r="KDO5" s="179"/>
      <c r="KDP5" s="180"/>
      <c r="KDQ5" s="180"/>
      <c r="KDR5" s="180"/>
      <c r="KDS5" s="180"/>
      <c r="KDT5" s="181"/>
      <c r="KDU5" s="180"/>
      <c r="KDV5" s="182"/>
      <c r="KDW5" s="182"/>
      <c r="KDX5" s="182"/>
      <c r="KDY5" s="182"/>
      <c r="KDZ5" s="182"/>
      <c r="KEA5" s="182"/>
      <c r="KEB5" s="179"/>
      <c r="KEC5" s="180"/>
      <c r="KED5" s="180"/>
      <c r="KEE5" s="180"/>
      <c r="KEF5" s="180"/>
      <c r="KEG5" s="181"/>
      <c r="KEH5" s="180"/>
      <c r="KEI5" s="182"/>
      <c r="KEJ5" s="182"/>
      <c r="KEK5" s="182"/>
      <c r="KEL5" s="182"/>
      <c r="KEM5" s="182"/>
      <c r="KEN5" s="182"/>
      <c r="KEO5" s="179"/>
      <c r="KEP5" s="180"/>
      <c r="KEQ5" s="180"/>
      <c r="KER5" s="180"/>
      <c r="KES5" s="180"/>
      <c r="KET5" s="181"/>
      <c r="KEU5" s="180"/>
      <c r="KEV5" s="182"/>
      <c r="KEW5" s="182"/>
      <c r="KEX5" s="182"/>
      <c r="KEY5" s="182"/>
      <c r="KEZ5" s="182"/>
      <c r="KFA5" s="182"/>
      <c r="KFB5" s="179"/>
      <c r="KFC5" s="180"/>
      <c r="KFD5" s="180"/>
      <c r="KFE5" s="180"/>
      <c r="KFF5" s="180"/>
      <c r="KFG5" s="181"/>
      <c r="KFH5" s="180"/>
      <c r="KFI5" s="182"/>
      <c r="KFJ5" s="182"/>
      <c r="KFK5" s="182"/>
      <c r="KFL5" s="182"/>
      <c r="KFM5" s="182"/>
      <c r="KFN5" s="182"/>
      <c r="KFO5" s="179"/>
      <c r="KFP5" s="180"/>
      <c r="KFQ5" s="180"/>
      <c r="KFR5" s="180"/>
      <c r="KFS5" s="180"/>
      <c r="KFT5" s="181"/>
      <c r="KFU5" s="180"/>
      <c r="KFV5" s="182"/>
      <c r="KFW5" s="182"/>
      <c r="KFX5" s="182"/>
      <c r="KFY5" s="182"/>
      <c r="KFZ5" s="182"/>
      <c r="KGA5" s="182"/>
      <c r="KGB5" s="179"/>
      <c r="KGC5" s="180"/>
      <c r="KGD5" s="180"/>
      <c r="KGE5" s="180"/>
      <c r="KGF5" s="180"/>
      <c r="KGG5" s="181"/>
      <c r="KGH5" s="180"/>
      <c r="KGI5" s="182"/>
      <c r="KGJ5" s="182"/>
      <c r="KGK5" s="182"/>
      <c r="KGL5" s="182"/>
      <c r="KGM5" s="182"/>
      <c r="KGN5" s="182"/>
      <c r="KGO5" s="179"/>
      <c r="KGP5" s="180"/>
      <c r="KGQ5" s="180"/>
      <c r="KGR5" s="180"/>
      <c r="KGS5" s="180"/>
      <c r="KGT5" s="181"/>
      <c r="KGU5" s="180"/>
      <c r="KGV5" s="182"/>
      <c r="KGW5" s="182"/>
      <c r="KGX5" s="182"/>
      <c r="KGY5" s="182"/>
      <c r="KGZ5" s="182"/>
      <c r="KHA5" s="182"/>
      <c r="KHB5" s="179"/>
      <c r="KHC5" s="180"/>
      <c r="KHD5" s="180"/>
      <c r="KHE5" s="180"/>
      <c r="KHF5" s="180"/>
      <c r="KHG5" s="181"/>
      <c r="KHH5" s="180"/>
      <c r="KHI5" s="182"/>
      <c r="KHJ5" s="182"/>
      <c r="KHK5" s="182"/>
      <c r="KHL5" s="182"/>
      <c r="KHM5" s="182"/>
      <c r="KHN5" s="182"/>
      <c r="KHO5" s="179"/>
      <c r="KHP5" s="180"/>
      <c r="KHQ5" s="180"/>
      <c r="KHR5" s="180"/>
      <c r="KHS5" s="180"/>
      <c r="KHT5" s="181"/>
      <c r="KHU5" s="180"/>
      <c r="KHV5" s="182"/>
      <c r="KHW5" s="182"/>
      <c r="KHX5" s="182"/>
      <c r="KHY5" s="182"/>
      <c r="KHZ5" s="182"/>
      <c r="KIA5" s="182"/>
      <c r="KIB5" s="179"/>
      <c r="KIC5" s="180"/>
      <c r="KID5" s="180"/>
      <c r="KIE5" s="180"/>
      <c r="KIF5" s="180"/>
      <c r="KIG5" s="181"/>
      <c r="KIH5" s="180"/>
      <c r="KII5" s="182"/>
      <c r="KIJ5" s="182"/>
      <c r="KIK5" s="182"/>
      <c r="KIL5" s="182"/>
      <c r="KIM5" s="182"/>
      <c r="KIN5" s="182"/>
      <c r="KIO5" s="179"/>
      <c r="KIP5" s="180"/>
      <c r="KIQ5" s="180"/>
      <c r="KIR5" s="180"/>
      <c r="KIS5" s="180"/>
      <c r="KIT5" s="181"/>
      <c r="KIU5" s="180"/>
      <c r="KIV5" s="182"/>
      <c r="KIW5" s="182"/>
      <c r="KIX5" s="182"/>
      <c r="KIY5" s="182"/>
      <c r="KIZ5" s="182"/>
      <c r="KJA5" s="182"/>
      <c r="KJB5" s="179"/>
      <c r="KJC5" s="180"/>
      <c r="KJD5" s="180"/>
      <c r="KJE5" s="180"/>
      <c r="KJF5" s="180"/>
      <c r="KJG5" s="181"/>
      <c r="KJH5" s="180"/>
      <c r="KJI5" s="182"/>
      <c r="KJJ5" s="182"/>
      <c r="KJK5" s="182"/>
      <c r="KJL5" s="182"/>
      <c r="KJM5" s="182"/>
      <c r="KJN5" s="182"/>
      <c r="KJO5" s="179"/>
      <c r="KJP5" s="180"/>
      <c r="KJQ5" s="180"/>
      <c r="KJR5" s="180"/>
      <c r="KJS5" s="180"/>
      <c r="KJT5" s="181"/>
      <c r="KJU5" s="180"/>
      <c r="KJV5" s="182"/>
      <c r="KJW5" s="182"/>
      <c r="KJX5" s="182"/>
      <c r="KJY5" s="182"/>
      <c r="KJZ5" s="182"/>
      <c r="KKA5" s="182"/>
      <c r="KKB5" s="179"/>
      <c r="KKC5" s="180"/>
      <c r="KKD5" s="180"/>
      <c r="KKE5" s="180"/>
      <c r="KKF5" s="180"/>
      <c r="KKG5" s="181"/>
      <c r="KKH5" s="180"/>
      <c r="KKI5" s="182"/>
      <c r="KKJ5" s="182"/>
      <c r="KKK5" s="182"/>
      <c r="KKL5" s="182"/>
      <c r="KKM5" s="182"/>
      <c r="KKN5" s="182"/>
      <c r="KKO5" s="179"/>
      <c r="KKP5" s="180"/>
      <c r="KKQ5" s="180"/>
      <c r="KKR5" s="180"/>
      <c r="KKS5" s="180"/>
      <c r="KKT5" s="181"/>
      <c r="KKU5" s="180"/>
      <c r="KKV5" s="182"/>
      <c r="KKW5" s="182"/>
      <c r="KKX5" s="182"/>
      <c r="KKY5" s="182"/>
      <c r="KKZ5" s="182"/>
      <c r="KLA5" s="182"/>
      <c r="KLB5" s="179"/>
      <c r="KLC5" s="180"/>
      <c r="KLD5" s="180"/>
      <c r="KLE5" s="180"/>
      <c r="KLF5" s="180"/>
      <c r="KLG5" s="181"/>
      <c r="KLH5" s="180"/>
      <c r="KLI5" s="182"/>
      <c r="KLJ5" s="182"/>
      <c r="KLK5" s="182"/>
      <c r="KLL5" s="182"/>
      <c r="KLM5" s="182"/>
      <c r="KLN5" s="182"/>
      <c r="KLO5" s="179"/>
      <c r="KLP5" s="180"/>
      <c r="KLQ5" s="180"/>
      <c r="KLR5" s="180"/>
      <c r="KLS5" s="180"/>
      <c r="KLT5" s="181"/>
      <c r="KLU5" s="180"/>
      <c r="KLV5" s="182"/>
      <c r="KLW5" s="182"/>
      <c r="KLX5" s="182"/>
      <c r="KLY5" s="182"/>
      <c r="KLZ5" s="182"/>
      <c r="KMA5" s="182"/>
      <c r="KMB5" s="179"/>
      <c r="KMC5" s="180"/>
      <c r="KMD5" s="180"/>
      <c r="KME5" s="180"/>
      <c r="KMF5" s="180"/>
      <c r="KMG5" s="181"/>
      <c r="KMH5" s="180"/>
      <c r="KMI5" s="182"/>
      <c r="KMJ5" s="182"/>
      <c r="KMK5" s="182"/>
      <c r="KML5" s="182"/>
      <c r="KMM5" s="182"/>
      <c r="KMN5" s="182"/>
      <c r="KMO5" s="179"/>
      <c r="KMP5" s="180"/>
      <c r="KMQ5" s="180"/>
      <c r="KMR5" s="180"/>
      <c r="KMS5" s="180"/>
      <c r="KMT5" s="181"/>
      <c r="KMU5" s="180"/>
      <c r="KMV5" s="182"/>
      <c r="KMW5" s="182"/>
      <c r="KMX5" s="182"/>
      <c r="KMY5" s="182"/>
      <c r="KMZ5" s="182"/>
      <c r="KNA5" s="182"/>
      <c r="KNB5" s="179"/>
      <c r="KNC5" s="180"/>
      <c r="KND5" s="180"/>
      <c r="KNE5" s="180"/>
      <c r="KNF5" s="180"/>
      <c r="KNG5" s="181"/>
      <c r="KNH5" s="180"/>
      <c r="KNI5" s="182"/>
      <c r="KNJ5" s="182"/>
      <c r="KNK5" s="182"/>
      <c r="KNL5" s="182"/>
      <c r="KNM5" s="182"/>
      <c r="KNN5" s="182"/>
      <c r="KNO5" s="179"/>
      <c r="KNP5" s="180"/>
      <c r="KNQ5" s="180"/>
      <c r="KNR5" s="180"/>
      <c r="KNS5" s="180"/>
      <c r="KNT5" s="181"/>
      <c r="KNU5" s="180"/>
      <c r="KNV5" s="182"/>
      <c r="KNW5" s="182"/>
      <c r="KNX5" s="182"/>
      <c r="KNY5" s="182"/>
      <c r="KNZ5" s="182"/>
      <c r="KOA5" s="182"/>
      <c r="KOB5" s="179"/>
      <c r="KOC5" s="180"/>
      <c r="KOD5" s="180"/>
      <c r="KOE5" s="180"/>
      <c r="KOF5" s="180"/>
      <c r="KOG5" s="181"/>
      <c r="KOH5" s="180"/>
      <c r="KOI5" s="182"/>
      <c r="KOJ5" s="182"/>
      <c r="KOK5" s="182"/>
      <c r="KOL5" s="182"/>
      <c r="KOM5" s="182"/>
      <c r="KON5" s="182"/>
      <c r="KOO5" s="179"/>
      <c r="KOP5" s="180"/>
      <c r="KOQ5" s="180"/>
      <c r="KOR5" s="180"/>
      <c r="KOS5" s="180"/>
      <c r="KOT5" s="181"/>
      <c r="KOU5" s="180"/>
      <c r="KOV5" s="182"/>
      <c r="KOW5" s="182"/>
      <c r="KOX5" s="182"/>
      <c r="KOY5" s="182"/>
      <c r="KOZ5" s="182"/>
      <c r="KPA5" s="182"/>
      <c r="KPB5" s="179"/>
      <c r="KPC5" s="180"/>
      <c r="KPD5" s="180"/>
      <c r="KPE5" s="180"/>
      <c r="KPF5" s="180"/>
      <c r="KPG5" s="181"/>
      <c r="KPH5" s="180"/>
      <c r="KPI5" s="182"/>
      <c r="KPJ5" s="182"/>
      <c r="KPK5" s="182"/>
      <c r="KPL5" s="182"/>
      <c r="KPM5" s="182"/>
      <c r="KPN5" s="182"/>
      <c r="KPO5" s="179"/>
      <c r="KPP5" s="180"/>
      <c r="KPQ5" s="180"/>
      <c r="KPR5" s="180"/>
      <c r="KPS5" s="180"/>
      <c r="KPT5" s="181"/>
      <c r="KPU5" s="180"/>
      <c r="KPV5" s="182"/>
      <c r="KPW5" s="182"/>
      <c r="KPX5" s="182"/>
      <c r="KPY5" s="182"/>
      <c r="KPZ5" s="182"/>
      <c r="KQA5" s="182"/>
      <c r="KQB5" s="179"/>
      <c r="KQC5" s="180"/>
      <c r="KQD5" s="180"/>
      <c r="KQE5" s="180"/>
      <c r="KQF5" s="180"/>
      <c r="KQG5" s="181"/>
      <c r="KQH5" s="180"/>
      <c r="KQI5" s="182"/>
      <c r="KQJ5" s="182"/>
      <c r="KQK5" s="182"/>
      <c r="KQL5" s="182"/>
      <c r="KQM5" s="182"/>
      <c r="KQN5" s="182"/>
      <c r="KQO5" s="179"/>
      <c r="KQP5" s="180"/>
      <c r="KQQ5" s="180"/>
      <c r="KQR5" s="180"/>
      <c r="KQS5" s="180"/>
      <c r="KQT5" s="181"/>
      <c r="KQU5" s="180"/>
      <c r="KQV5" s="182"/>
      <c r="KQW5" s="182"/>
      <c r="KQX5" s="182"/>
      <c r="KQY5" s="182"/>
      <c r="KQZ5" s="182"/>
      <c r="KRA5" s="182"/>
      <c r="KRB5" s="179"/>
      <c r="KRC5" s="180"/>
      <c r="KRD5" s="180"/>
      <c r="KRE5" s="180"/>
      <c r="KRF5" s="180"/>
      <c r="KRG5" s="181"/>
      <c r="KRH5" s="180"/>
      <c r="KRI5" s="182"/>
      <c r="KRJ5" s="182"/>
      <c r="KRK5" s="182"/>
      <c r="KRL5" s="182"/>
      <c r="KRM5" s="182"/>
      <c r="KRN5" s="182"/>
      <c r="KRO5" s="179"/>
      <c r="KRP5" s="180"/>
      <c r="KRQ5" s="180"/>
      <c r="KRR5" s="180"/>
      <c r="KRS5" s="180"/>
      <c r="KRT5" s="181"/>
      <c r="KRU5" s="180"/>
      <c r="KRV5" s="182"/>
      <c r="KRW5" s="182"/>
      <c r="KRX5" s="182"/>
      <c r="KRY5" s="182"/>
      <c r="KRZ5" s="182"/>
      <c r="KSA5" s="182"/>
      <c r="KSB5" s="179"/>
      <c r="KSC5" s="180"/>
      <c r="KSD5" s="180"/>
      <c r="KSE5" s="180"/>
      <c r="KSF5" s="180"/>
      <c r="KSG5" s="181"/>
      <c r="KSH5" s="180"/>
      <c r="KSI5" s="182"/>
      <c r="KSJ5" s="182"/>
      <c r="KSK5" s="182"/>
      <c r="KSL5" s="182"/>
      <c r="KSM5" s="182"/>
      <c r="KSN5" s="182"/>
      <c r="KSO5" s="179"/>
      <c r="KSP5" s="180"/>
      <c r="KSQ5" s="180"/>
      <c r="KSR5" s="180"/>
      <c r="KSS5" s="180"/>
      <c r="KST5" s="181"/>
      <c r="KSU5" s="180"/>
      <c r="KSV5" s="182"/>
      <c r="KSW5" s="182"/>
      <c r="KSX5" s="182"/>
      <c r="KSY5" s="182"/>
      <c r="KSZ5" s="182"/>
      <c r="KTA5" s="182"/>
      <c r="KTB5" s="179"/>
      <c r="KTC5" s="180"/>
      <c r="KTD5" s="180"/>
      <c r="KTE5" s="180"/>
      <c r="KTF5" s="180"/>
      <c r="KTG5" s="181"/>
      <c r="KTH5" s="180"/>
      <c r="KTI5" s="182"/>
      <c r="KTJ5" s="182"/>
      <c r="KTK5" s="182"/>
      <c r="KTL5" s="182"/>
      <c r="KTM5" s="182"/>
      <c r="KTN5" s="182"/>
      <c r="KTO5" s="179"/>
      <c r="KTP5" s="180"/>
      <c r="KTQ5" s="180"/>
      <c r="KTR5" s="180"/>
      <c r="KTS5" s="180"/>
      <c r="KTT5" s="181"/>
      <c r="KTU5" s="180"/>
      <c r="KTV5" s="182"/>
      <c r="KTW5" s="182"/>
      <c r="KTX5" s="182"/>
      <c r="KTY5" s="182"/>
      <c r="KTZ5" s="182"/>
      <c r="KUA5" s="182"/>
      <c r="KUB5" s="179"/>
      <c r="KUC5" s="180"/>
      <c r="KUD5" s="180"/>
      <c r="KUE5" s="180"/>
      <c r="KUF5" s="180"/>
      <c r="KUG5" s="181"/>
      <c r="KUH5" s="180"/>
      <c r="KUI5" s="182"/>
      <c r="KUJ5" s="182"/>
      <c r="KUK5" s="182"/>
      <c r="KUL5" s="182"/>
      <c r="KUM5" s="182"/>
      <c r="KUN5" s="182"/>
      <c r="KUO5" s="179"/>
      <c r="KUP5" s="180"/>
      <c r="KUQ5" s="180"/>
      <c r="KUR5" s="180"/>
      <c r="KUS5" s="180"/>
      <c r="KUT5" s="181"/>
      <c r="KUU5" s="180"/>
      <c r="KUV5" s="182"/>
      <c r="KUW5" s="182"/>
      <c r="KUX5" s="182"/>
      <c r="KUY5" s="182"/>
      <c r="KUZ5" s="182"/>
      <c r="KVA5" s="182"/>
      <c r="KVB5" s="179"/>
      <c r="KVC5" s="180"/>
      <c r="KVD5" s="180"/>
      <c r="KVE5" s="180"/>
      <c r="KVF5" s="180"/>
      <c r="KVG5" s="181"/>
      <c r="KVH5" s="180"/>
      <c r="KVI5" s="182"/>
      <c r="KVJ5" s="182"/>
      <c r="KVK5" s="182"/>
      <c r="KVL5" s="182"/>
      <c r="KVM5" s="182"/>
      <c r="KVN5" s="182"/>
      <c r="KVO5" s="179"/>
      <c r="KVP5" s="180"/>
      <c r="KVQ5" s="180"/>
      <c r="KVR5" s="180"/>
      <c r="KVS5" s="180"/>
      <c r="KVT5" s="181"/>
      <c r="KVU5" s="180"/>
      <c r="KVV5" s="182"/>
      <c r="KVW5" s="182"/>
      <c r="KVX5" s="182"/>
      <c r="KVY5" s="182"/>
      <c r="KVZ5" s="182"/>
      <c r="KWA5" s="182"/>
      <c r="KWB5" s="179"/>
      <c r="KWC5" s="180"/>
      <c r="KWD5" s="180"/>
      <c r="KWE5" s="180"/>
      <c r="KWF5" s="180"/>
      <c r="KWG5" s="181"/>
      <c r="KWH5" s="180"/>
      <c r="KWI5" s="182"/>
      <c r="KWJ5" s="182"/>
      <c r="KWK5" s="182"/>
      <c r="KWL5" s="182"/>
      <c r="KWM5" s="182"/>
      <c r="KWN5" s="182"/>
      <c r="KWO5" s="179"/>
      <c r="KWP5" s="180"/>
      <c r="KWQ5" s="180"/>
      <c r="KWR5" s="180"/>
      <c r="KWS5" s="180"/>
      <c r="KWT5" s="181"/>
      <c r="KWU5" s="180"/>
      <c r="KWV5" s="182"/>
      <c r="KWW5" s="182"/>
      <c r="KWX5" s="182"/>
      <c r="KWY5" s="182"/>
      <c r="KWZ5" s="182"/>
      <c r="KXA5" s="182"/>
      <c r="KXB5" s="179"/>
      <c r="KXC5" s="180"/>
      <c r="KXD5" s="180"/>
      <c r="KXE5" s="180"/>
      <c r="KXF5" s="180"/>
      <c r="KXG5" s="181"/>
      <c r="KXH5" s="180"/>
      <c r="KXI5" s="182"/>
      <c r="KXJ5" s="182"/>
      <c r="KXK5" s="182"/>
      <c r="KXL5" s="182"/>
      <c r="KXM5" s="182"/>
      <c r="KXN5" s="182"/>
      <c r="KXO5" s="179"/>
      <c r="KXP5" s="180"/>
      <c r="KXQ5" s="180"/>
      <c r="KXR5" s="180"/>
      <c r="KXS5" s="180"/>
      <c r="KXT5" s="181"/>
      <c r="KXU5" s="180"/>
      <c r="KXV5" s="182"/>
      <c r="KXW5" s="182"/>
      <c r="KXX5" s="182"/>
      <c r="KXY5" s="182"/>
      <c r="KXZ5" s="182"/>
      <c r="KYA5" s="182"/>
      <c r="KYB5" s="179"/>
      <c r="KYC5" s="180"/>
      <c r="KYD5" s="180"/>
      <c r="KYE5" s="180"/>
      <c r="KYF5" s="180"/>
      <c r="KYG5" s="181"/>
      <c r="KYH5" s="180"/>
      <c r="KYI5" s="182"/>
      <c r="KYJ5" s="182"/>
      <c r="KYK5" s="182"/>
      <c r="KYL5" s="182"/>
      <c r="KYM5" s="182"/>
      <c r="KYN5" s="182"/>
      <c r="KYO5" s="179"/>
      <c r="KYP5" s="180"/>
      <c r="KYQ5" s="180"/>
      <c r="KYR5" s="180"/>
      <c r="KYS5" s="180"/>
      <c r="KYT5" s="181"/>
      <c r="KYU5" s="180"/>
      <c r="KYV5" s="182"/>
      <c r="KYW5" s="182"/>
      <c r="KYX5" s="182"/>
      <c r="KYY5" s="182"/>
      <c r="KYZ5" s="182"/>
      <c r="KZA5" s="182"/>
      <c r="KZB5" s="179"/>
      <c r="KZC5" s="180"/>
      <c r="KZD5" s="180"/>
      <c r="KZE5" s="180"/>
      <c r="KZF5" s="180"/>
      <c r="KZG5" s="181"/>
      <c r="KZH5" s="180"/>
      <c r="KZI5" s="182"/>
      <c r="KZJ5" s="182"/>
      <c r="KZK5" s="182"/>
      <c r="KZL5" s="182"/>
      <c r="KZM5" s="182"/>
      <c r="KZN5" s="182"/>
      <c r="KZO5" s="179"/>
      <c r="KZP5" s="180"/>
      <c r="KZQ5" s="180"/>
      <c r="KZR5" s="180"/>
      <c r="KZS5" s="180"/>
      <c r="KZT5" s="181"/>
      <c r="KZU5" s="180"/>
      <c r="KZV5" s="182"/>
      <c r="KZW5" s="182"/>
      <c r="KZX5" s="182"/>
      <c r="KZY5" s="182"/>
      <c r="KZZ5" s="182"/>
      <c r="LAA5" s="182"/>
      <c r="LAB5" s="179"/>
      <c r="LAC5" s="180"/>
      <c r="LAD5" s="180"/>
      <c r="LAE5" s="180"/>
      <c r="LAF5" s="180"/>
      <c r="LAG5" s="181"/>
      <c r="LAH5" s="180"/>
      <c r="LAI5" s="182"/>
      <c r="LAJ5" s="182"/>
      <c r="LAK5" s="182"/>
      <c r="LAL5" s="182"/>
      <c r="LAM5" s="182"/>
      <c r="LAN5" s="182"/>
      <c r="LAO5" s="179"/>
      <c r="LAP5" s="180"/>
      <c r="LAQ5" s="180"/>
      <c r="LAR5" s="180"/>
      <c r="LAS5" s="180"/>
      <c r="LAT5" s="181"/>
      <c r="LAU5" s="180"/>
      <c r="LAV5" s="182"/>
      <c r="LAW5" s="182"/>
      <c r="LAX5" s="182"/>
      <c r="LAY5" s="182"/>
      <c r="LAZ5" s="182"/>
      <c r="LBA5" s="182"/>
      <c r="LBB5" s="179"/>
      <c r="LBC5" s="180"/>
      <c r="LBD5" s="180"/>
      <c r="LBE5" s="180"/>
      <c r="LBF5" s="180"/>
      <c r="LBG5" s="181"/>
      <c r="LBH5" s="180"/>
      <c r="LBI5" s="182"/>
      <c r="LBJ5" s="182"/>
      <c r="LBK5" s="182"/>
      <c r="LBL5" s="182"/>
      <c r="LBM5" s="182"/>
      <c r="LBN5" s="182"/>
      <c r="LBO5" s="179"/>
      <c r="LBP5" s="180"/>
      <c r="LBQ5" s="180"/>
      <c r="LBR5" s="180"/>
      <c r="LBS5" s="180"/>
      <c r="LBT5" s="181"/>
      <c r="LBU5" s="180"/>
      <c r="LBV5" s="182"/>
      <c r="LBW5" s="182"/>
      <c r="LBX5" s="182"/>
      <c r="LBY5" s="182"/>
      <c r="LBZ5" s="182"/>
      <c r="LCA5" s="182"/>
      <c r="LCB5" s="179"/>
      <c r="LCC5" s="180"/>
      <c r="LCD5" s="180"/>
      <c r="LCE5" s="180"/>
      <c r="LCF5" s="180"/>
      <c r="LCG5" s="181"/>
      <c r="LCH5" s="180"/>
      <c r="LCI5" s="182"/>
      <c r="LCJ5" s="182"/>
      <c r="LCK5" s="182"/>
      <c r="LCL5" s="182"/>
      <c r="LCM5" s="182"/>
      <c r="LCN5" s="182"/>
      <c r="LCO5" s="179"/>
      <c r="LCP5" s="180"/>
      <c r="LCQ5" s="180"/>
      <c r="LCR5" s="180"/>
      <c r="LCS5" s="180"/>
      <c r="LCT5" s="181"/>
      <c r="LCU5" s="180"/>
      <c r="LCV5" s="182"/>
      <c r="LCW5" s="182"/>
      <c r="LCX5" s="182"/>
      <c r="LCY5" s="182"/>
      <c r="LCZ5" s="182"/>
      <c r="LDA5" s="182"/>
      <c r="LDB5" s="179"/>
      <c r="LDC5" s="180"/>
      <c r="LDD5" s="180"/>
      <c r="LDE5" s="180"/>
      <c r="LDF5" s="180"/>
      <c r="LDG5" s="181"/>
      <c r="LDH5" s="180"/>
      <c r="LDI5" s="182"/>
      <c r="LDJ5" s="182"/>
      <c r="LDK5" s="182"/>
      <c r="LDL5" s="182"/>
      <c r="LDM5" s="182"/>
      <c r="LDN5" s="182"/>
      <c r="LDO5" s="179"/>
      <c r="LDP5" s="180"/>
      <c r="LDQ5" s="180"/>
      <c r="LDR5" s="180"/>
      <c r="LDS5" s="180"/>
      <c r="LDT5" s="181"/>
      <c r="LDU5" s="180"/>
      <c r="LDV5" s="182"/>
      <c r="LDW5" s="182"/>
      <c r="LDX5" s="182"/>
      <c r="LDY5" s="182"/>
      <c r="LDZ5" s="182"/>
      <c r="LEA5" s="182"/>
      <c r="LEB5" s="179"/>
      <c r="LEC5" s="180"/>
      <c r="LED5" s="180"/>
      <c r="LEE5" s="180"/>
      <c r="LEF5" s="180"/>
      <c r="LEG5" s="181"/>
      <c r="LEH5" s="180"/>
      <c r="LEI5" s="182"/>
      <c r="LEJ5" s="182"/>
      <c r="LEK5" s="182"/>
      <c r="LEL5" s="182"/>
      <c r="LEM5" s="182"/>
      <c r="LEN5" s="182"/>
      <c r="LEO5" s="179"/>
      <c r="LEP5" s="180"/>
      <c r="LEQ5" s="180"/>
      <c r="LER5" s="180"/>
      <c r="LES5" s="180"/>
      <c r="LET5" s="181"/>
      <c r="LEU5" s="180"/>
      <c r="LEV5" s="182"/>
      <c r="LEW5" s="182"/>
      <c r="LEX5" s="182"/>
      <c r="LEY5" s="182"/>
      <c r="LEZ5" s="182"/>
      <c r="LFA5" s="182"/>
      <c r="LFB5" s="179"/>
      <c r="LFC5" s="180"/>
      <c r="LFD5" s="180"/>
      <c r="LFE5" s="180"/>
      <c r="LFF5" s="180"/>
      <c r="LFG5" s="181"/>
      <c r="LFH5" s="180"/>
      <c r="LFI5" s="182"/>
      <c r="LFJ5" s="182"/>
      <c r="LFK5" s="182"/>
      <c r="LFL5" s="182"/>
      <c r="LFM5" s="182"/>
      <c r="LFN5" s="182"/>
      <c r="LFO5" s="179"/>
      <c r="LFP5" s="180"/>
      <c r="LFQ5" s="180"/>
      <c r="LFR5" s="180"/>
      <c r="LFS5" s="180"/>
      <c r="LFT5" s="181"/>
      <c r="LFU5" s="180"/>
      <c r="LFV5" s="182"/>
      <c r="LFW5" s="182"/>
      <c r="LFX5" s="182"/>
      <c r="LFY5" s="182"/>
      <c r="LFZ5" s="182"/>
      <c r="LGA5" s="182"/>
      <c r="LGB5" s="179"/>
      <c r="LGC5" s="180"/>
      <c r="LGD5" s="180"/>
      <c r="LGE5" s="180"/>
      <c r="LGF5" s="180"/>
      <c r="LGG5" s="181"/>
      <c r="LGH5" s="180"/>
      <c r="LGI5" s="182"/>
      <c r="LGJ5" s="182"/>
      <c r="LGK5" s="182"/>
      <c r="LGL5" s="182"/>
      <c r="LGM5" s="182"/>
      <c r="LGN5" s="182"/>
      <c r="LGO5" s="179"/>
      <c r="LGP5" s="180"/>
      <c r="LGQ5" s="180"/>
      <c r="LGR5" s="180"/>
      <c r="LGS5" s="180"/>
      <c r="LGT5" s="181"/>
      <c r="LGU5" s="180"/>
      <c r="LGV5" s="182"/>
      <c r="LGW5" s="182"/>
      <c r="LGX5" s="182"/>
      <c r="LGY5" s="182"/>
      <c r="LGZ5" s="182"/>
      <c r="LHA5" s="182"/>
      <c r="LHB5" s="179"/>
      <c r="LHC5" s="180"/>
      <c r="LHD5" s="180"/>
      <c r="LHE5" s="180"/>
      <c r="LHF5" s="180"/>
      <c r="LHG5" s="181"/>
      <c r="LHH5" s="180"/>
      <c r="LHI5" s="182"/>
      <c r="LHJ5" s="182"/>
      <c r="LHK5" s="182"/>
      <c r="LHL5" s="182"/>
      <c r="LHM5" s="182"/>
      <c r="LHN5" s="182"/>
      <c r="LHO5" s="179"/>
      <c r="LHP5" s="180"/>
      <c r="LHQ5" s="180"/>
      <c r="LHR5" s="180"/>
      <c r="LHS5" s="180"/>
      <c r="LHT5" s="181"/>
      <c r="LHU5" s="180"/>
      <c r="LHV5" s="182"/>
      <c r="LHW5" s="182"/>
      <c r="LHX5" s="182"/>
      <c r="LHY5" s="182"/>
      <c r="LHZ5" s="182"/>
      <c r="LIA5" s="182"/>
      <c r="LIB5" s="179"/>
      <c r="LIC5" s="180"/>
      <c r="LID5" s="180"/>
      <c r="LIE5" s="180"/>
      <c r="LIF5" s="180"/>
      <c r="LIG5" s="181"/>
      <c r="LIH5" s="180"/>
      <c r="LII5" s="182"/>
      <c r="LIJ5" s="182"/>
      <c r="LIK5" s="182"/>
      <c r="LIL5" s="182"/>
      <c r="LIM5" s="182"/>
      <c r="LIN5" s="182"/>
      <c r="LIO5" s="179"/>
      <c r="LIP5" s="180"/>
      <c r="LIQ5" s="180"/>
      <c r="LIR5" s="180"/>
      <c r="LIS5" s="180"/>
      <c r="LIT5" s="181"/>
      <c r="LIU5" s="180"/>
      <c r="LIV5" s="182"/>
      <c r="LIW5" s="182"/>
      <c r="LIX5" s="182"/>
      <c r="LIY5" s="182"/>
      <c r="LIZ5" s="182"/>
      <c r="LJA5" s="182"/>
      <c r="LJB5" s="179"/>
      <c r="LJC5" s="180"/>
      <c r="LJD5" s="180"/>
      <c r="LJE5" s="180"/>
      <c r="LJF5" s="180"/>
      <c r="LJG5" s="181"/>
      <c r="LJH5" s="180"/>
      <c r="LJI5" s="182"/>
      <c r="LJJ5" s="182"/>
      <c r="LJK5" s="182"/>
      <c r="LJL5" s="182"/>
      <c r="LJM5" s="182"/>
      <c r="LJN5" s="182"/>
      <c r="LJO5" s="179"/>
      <c r="LJP5" s="180"/>
      <c r="LJQ5" s="180"/>
      <c r="LJR5" s="180"/>
      <c r="LJS5" s="180"/>
      <c r="LJT5" s="181"/>
      <c r="LJU5" s="180"/>
      <c r="LJV5" s="182"/>
      <c r="LJW5" s="182"/>
      <c r="LJX5" s="182"/>
      <c r="LJY5" s="182"/>
      <c r="LJZ5" s="182"/>
      <c r="LKA5" s="182"/>
      <c r="LKB5" s="179"/>
      <c r="LKC5" s="180"/>
      <c r="LKD5" s="180"/>
      <c r="LKE5" s="180"/>
      <c r="LKF5" s="180"/>
      <c r="LKG5" s="181"/>
      <c r="LKH5" s="180"/>
      <c r="LKI5" s="182"/>
      <c r="LKJ5" s="182"/>
      <c r="LKK5" s="182"/>
      <c r="LKL5" s="182"/>
      <c r="LKM5" s="182"/>
      <c r="LKN5" s="182"/>
      <c r="LKO5" s="179"/>
      <c r="LKP5" s="180"/>
      <c r="LKQ5" s="180"/>
      <c r="LKR5" s="180"/>
      <c r="LKS5" s="180"/>
      <c r="LKT5" s="181"/>
      <c r="LKU5" s="180"/>
      <c r="LKV5" s="182"/>
      <c r="LKW5" s="182"/>
      <c r="LKX5" s="182"/>
      <c r="LKY5" s="182"/>
      <c r="LKZ5" s="182"/>
      <c r="LLA5" s="182"/>
      <c r="LLB5" s="179"/>
      <c r="LLC5" s="180"/>
      <c r="LLD5" s="180"/>
      <c r="LLE5" s="180"/>
      <c r="LLF5" s="180"/>
      <c r="LLG5" s="181"/>
      <c r="LLH5" s="180"/>
      <c r="LLI5" s="182"/>
      <c r="LLJ5" s="182"/>
      <c r="LLK5" s="182"/>
      <c r="LLL5" s="182"/>
      <c r="LLM5" s="182"/>
      <c r="LLN5" s="182"/>
      <c r="LLO5" s="179"/>
      <c r="LLP5" s="180"/>
      <c r="LLQ5" s="180"/>
      <c r="LLR5" s="180"/>
      <c r="LLS5" s="180"/>
      <c r="LLT5" s="181"/>
      <c r="LLU5" s="180"/>
      <c r="LLV5" s="182"/>
      <c r="LLW5" s="182"/>
      <c r="LLX5" s="182"/>
      <c r="LLY5" s="182"/>
      <c r="LLZ5" s="182"/>
      <c r="LMA5" s="182"/>
      <c r="LMB5" s="179"/>
      <c r="LMC5" s="180"/>
      <c r="LMD5" s="180"/>
      <c r="LME5" s="180"/>
      <c r="LMF5" s="180"/>
      <c r="LMG5" s="181"/>
      <c r="LMH5" s="180"/>
      <c r="LMI5" s="182"/>
      <c r="LMJ5" s="182"/>
      <c r="LMK5" s="182"/>
      <c r="LML5" s="182"/>
      <c r="LMM5" s="182"/>
      <c r="LMN5" s="182"/>
      <c r="LMO5" s="179"/>
      <c r="LMP5" s="180"/>
      <c r="LMQ5" s="180"/>
      <c r="LMR5" s="180"/>
      <c r="LMS5" s="180"/>
      <c r="LMT5" s="181"/>
      <c r="LMU5" s="180"/>
      <c r="LMV5" s="182"/>
      <c r="LMW5" s="182"/>
      <c r="LMX5" s="182"/>
      <c r="LMY5" s="182"/>
      <c r="LMZ5" s="182"/>
      <c r="LNA5" s="182"/>
      <c r="LNB5" s="179"/>
      <c r="LNC5" s="180"/>
      <c r="LND5" s="180"/>
      <c r="LNE5" s="180"/>
      <c r="LNF5" s="180"/>
      <c r="LNG5" s="181"/>
      <c r="LNH5" s="180"/>
      <c r="LNI5" s="182"/>
      <c r="LNJ5" s="182"/>
      <c r="LNK5" s="182"/>
      <c r="LNL5" s="182"/>
      <c r="LNM5" s="182"/>
      <c r="LNN5" s="182"/>
      <c r="LNO5" s="179"/>
      <c r="LNP5" s="180"/>
      <c r="LNQ5" s="180"/>
      <c r="LNR5" s="180"/>
      <c r="LNS5" s="180"/>
      <c r="LNT5" s="181"/>
      <c r="LNU5" s="180"/>
      <c r="LNV5" s="182"/>
      <c r="LNW5" s="182"/>
      <c r="LNX5" s="182"/>
      <c r="LNY5" s="182"/>
      <c r="LNZ5" s="182"/>
      <c r="LOA5" s="182"/>
      <c r="LOB5" s="179"/>
      <c r="LOC5" s="180"/>
      <c r="LOD5" s="180"/>
      <c r="LOE5" s="180"/>
      <c r="LOF5" s="180"/>
      <c r="LOG5" s="181"/>
      <c r="LOH5" s="180"/>
      <c r="LOI5" s="182"/>
      <c r="LOJ5" s="182"/>
      <c r="LOK5" s="182"/>
      <c r="LOL5" s="182"/>
      <c r="LOM5" s="182"/>
      <c r="LON5" s="182"/>
      <c r="LOO5" s="179"/>
      <c r="LOP5" s="180"/>
      <c r="LOQ5" s="180"/>
      <c r="LOR5" s="180"/>
      <c r="LOS5" s="180"/>
      <c r="LOT5" s="181"/>
      <c r="LOU5" s="180"/>
      <c r="LOV5" s="182"/>
      <c r="LOW5" s="182"/>
      <c r="LOX5" s="182"/>
      <c r="LOY5" s="182"/>
      <c r="LOZ5" s="182"/>
      <c r="LPA5" s="182"/>
      <c r="LPB5" s="179"/>
      <c r="LPC5" s="180"/>
      <c r="LPD5" s="180"/>
      <c r="LPE5" s="180"/>
      <c r="LPF5" s="180"/>
      <c r="LPG5" s="181"/>
      <c r="LPH5" s="180"/>
      <c r="LPI5" s="182"/>
      <c r="LPJ5" s="182"/>
      <c r="LPK5" s="182"/>
      <c r="LPL5" s="182"/>
      <c r="LPM5" s="182"/>
      <c r="LPN5" s="182"/>
      <c r="LPO5" s="179"/>
      <c r="LPP5" s="180"/>
      <c r="LPQ5" s="180"/>
      <c r="LPR5" s="180"/>
      <c r="LPS5" s="180"/>
      <c r="LPT5" s="181"/>
      <c r="LPU5" s="180"/>
      <c r="LPV5" s="182"/>
      <c r="LPW5" s="182"/>
      <c r="LPX5" s="182"/>
      <c r="LPY5" s="182"/>
      <c r="LPZ5" s="182"/>
      <c r="LQA5" s="182"/>
      <c r="LQB5" s="179"/>
      <c r="LQC5" s="180"/>
      <c r="LQD5" s="180"/>
      <c r="LQE5" s="180"/>
      <c r="LQF5" s="180"/>
      <c r="LQG5" s="181"/>
      <c r="LQH5" s="180"/>
      <c r="LQI5" s="182"/>
      <c r="LQJ5" s="182"/>
      <c r="LQK5" s="182"/>
      <c r="LQL5" s="182"/>
      <c r="LQM5" s="182"/>
      <c r="LQN5" s="182"/>
      <c r="LQO5" s="179"/>
      <c r="LQP5" s="180"/>
      <c r="LQQ5" s="180"/>
      <c r="LQR5" s="180"/>
      <c r="LQS5" s="180"/>
      <c r="LQT5" s="181"/>
      <c r="LQU5" s="180"/>
      <c r="LQV5" s="182"/>
      <c r="LQW5" s="182"/>
      <c r="LQX5" s="182"/>
      <c r="LQY5" s="182"/>
      <c r="LQZ5" s="182"/>
      <c r="LRA5" s="182"/>
      <c r="LRB5" s="179"/>
      <c r="LRC5" s="180"/>
      <c r="LRD5" s="180"/>
      <c r="LRE5" s="180"/>
      <c r="LRF5" s="180"/>
      <c r="LRG5" s="181"/>
      <c r="LRH5" s="180"/>
      <c r="LRI5" s="182"/>
      <c r="LRJ5" s="182"/>
      <c r="LRK5" s="182"/>
      <c r="LRL5" s="182"/>
      <c r="LRM5" s="182"/>
      <c r="LRN5" s="182"/>
      <c r="LRO5" s="179"/>
      <c r="LRP5" s="180"/>
      <c r="LRQ5" s="180"/>
      <c r="LRR5" s="180"/>
      <c r="LRS5" s="180"/>
      <c r="LRT5" s="181"/>
      <c r="LRU5" s="180"/>
      <c r="LRV5" s="182"/>
      <c r="LRW5" s="182"/>
      <c r="LRX5" s="182"/>
      <c r="LRY5" s="182"/>
      <c r="LRZ5" s="182"/>
      <c r="LSA5" s="182"/>
      <c r="LSB5" s="179"/>
      <c r="LSC5" s="180"/>
      <c r="LSD5" s="180"/>
      <c r="LSE5" s="180"/>
      <c r="LSF5" s="180"/>
      <c r="LSG5" s="181"/>
      <c r="LSH5" s="180"/>
      <c r="LSI5" s="182"/>
      <c r="LSJ5" s="182"/>
      <c r="LSK5" s="182"/>
      <c r="LSL5" s="182"/>
      <c r="LSM5" s="182"/>
      <c r="LSN5" s="182"/>
      <c r="LSO5" s="179"/>
      <c r="LSP5" s="180"/>
      <c r="LSQ5" s="180"/>
      <c r="LSR5" s="180"/>
      <c r="LSS5" s="180"/>
      <c r="LST5" s="181"/>
      <c r="LSU5" s="180"/>
      <c r="LSV5" s="182"/>
      <c r="LSW5" s="182"/>
      <c r="LSX5" s="182"/>
      <c r="LSY5" s="182"/>
      <c r="LSZ5" s="182"/>
      <c r="LTA5" s="182"/>
      <c r="LTB5" s="179"/>
      <c r="LTC5" s="180"/>
      <c r="LTD5" s="180"/>
      <c r="LTE5" s="180"/>
      <c r="LTF5" s="180"/>
      <c r="LTG5" s="181"/>
      <c r="LTH5" s="180"/>
      <c r="LTI5" s="182"/>
      <c r="LTJ5" s="182"/>
      <c r="LTK5" s="182"/>
      <c r="LTL5" s="182"/>
      <c r="LTM5" s="182"/>
      <c r="LTN5" s="182"/>
      <c r="LTO5" s="179"/>
      <c r="LTP5" s="180"/>
      <c r="LTQ5" s="180"/>
      <c r="LTR5" s="180"/>
      <c r="LTS5" s="180"/>
      <c r="LTT5" s="181"/>
      <c r="LTU5" s="180"/>
      <c r="LTV5" s="182"/>
      <c r="LTW5" s="182"/>
      <c r="LTX5" s="182"/>
      <c r="LTY5" s="182"/>
      <c r="LTZ5" s="182"/>
      <c r="LUA5" s="182"/>
      <c r="LUB5" s="179"/>
      <c r="LUC5" s="180"/>
      <c r="LUD5" s="180"/>
      <c r="LUE5" s="180"/>
      <c r="LUF5" s="180"/>
      <c r="LUG5" s="181"/>
      <c r="LUH5" s="180"/>
      <c r="LUI5" s="182"/>
      <c r="LUJ5" s="182"/>
      <c r="LUK5" s="182"/>
      <c r="LUL5" s="182"/>
      <c r="LUM5" s="182"/>
      <c r="LUN5" s="182"/>
      <c r="LUO5" s="179"/>
      <c r="LUP5" s="180"/>
      <c r="LUQ5" s="180"/>
      <c r="LUR5" s="180"/>
      <c r="LUS5" s="180"/>
      <c r="LUT5" s="181"/>
      <c r="LUU5" s="180"/>
      <c r="LUV5" s="182"/>
      <c r="LUW5" s="182"/>
      <c r="LUX5" s="182"/>
      <c r="LUY5" s="182"/>
      <c r="LUZ5" s="182"/>
      <c r="LVA5" s="182"/>
      <c r="LVB5" s="179"/>
      <c r="LVC5" s="180"/>
      <c r="LVD5" s="180"/>
      <c r="LVE5" s="180"/>
      <c r="LVF5" s="180"/>
      <c r="LVG5" s="181"/>
      <c r="LVH5" s="180"/>
      <c r="LVI5" s="182"/>
      <c r="LVJ5" s="182"/>
      <c r="LVK5" s="182"/>
      <c r="LVL5" s="182"/>
      <c r="LVM5" s="182"/>
      <c r="LVN5" s="182"/>
      <c r="LVO5" s="179"/>
      <c r="LVP5" s="180"/>
      <c r="LVQ5" s="180"/>
      <c r="LVR5" s="180"/>
      <c r="LVS5" s="180"/>
      <c r="LVT5" s="181"/>
      <c r="LVU5" s="180"/>
      <c r="LVV5" s="182"/>
      <c r="LVW5" s="182"/>
      <c r="LVX5" s="182"/>
      <c r="LVY5" s="182"/>
      <c r="LVZ5" s="182"/>
      <c r="LWA5" s="182"/>
      <c r="LWB5" s="179"/>
      <c r="LWC5" s="180"/>
      <c r="LWD5" s="180"/>
      <c r="LWE5" s="180"/>
      <c r="LWF5" s="180"/>
      <c r="LWG5" s="181"/>
      <c r="LWH5" s="180"/>
      <c r="LWI5" s="182"/>
      <c r="LWJ5" s="182"/>
      <c r="LWK5" s="182"/>
      <c r="LWL5" s="182"/>
      <c r="LWM5" s="182"/>
      <c r="LWN5" s="182"/>
      <c r="LWO5" s="179"/>
      <c r="LWP5" s="180"/>
      <c r="LWQ5" s="180"/>
      <c r="LWR5" s="180"/>
      <c r="LWS5" s="180"/>
      <c r="LWT5" s="181"/>
      <c r="LWU5" s="180"/>
      <c r="LWV5" s="182"/>
      <c r="LWW5" s="182"/>
      <c r="LWX5" s="182"/>
      <c r="LWY5" s="182"/>
      <c r="LWZ5" s="182"/>
      <c r="LXA5" s="182"/>
      <c r="LXB5" s="179"/>
      <c r="LXC5" s="180"/>
      <c r="LXD5" s="180"/>
      <c r="LXE5" s="180"/>
      <c r="LXF5" s="180"/>
      <c r="LXG5" s="181"/>
      <c r="LXH5" s="180"/>
      <c r="LXI5" s="182"/>
      <c r="LXJ5" s="182"/>
      <c r="LXK5" s="182"/>
      <c r="LXL5" s="182"/>
      <c r="LXM5" s="182"/>
      <c r="LXN5" s="182"/>
      <c r="LXO5" s="179"/>
      <c r="LXP5" s="180"/>
      <c r="LXQ5" s="180"/>
      <c r="LXR5" s="180"/>
      <c r="LXS5" s="180"/>
      <c r="LXT5" s="181"/>
      <c r="LXU5" s="180"/>
      <c r="LXV5" s="182"/>
      <c r="LXW5" s="182"/>
      <c r="LXX5" s="182"/>
      <c r="LXY5" s="182"/>
      <c r="LXZ5" s="182"/>
      <c r="LYA5" s="182"/>
      <c r="LYB5" s="179"/>
      <c r="LYC5" s="180"/>
      <c r="LYD5" s="180"/>
      <c r="LYE5" s="180"/>
      <c r="LYF5" s="180"/>
      <c r="LYG5" s="181"/>
      <c r="LYH5" s="180"/>
      <c r="LYI5" s="182"/>
      <c r="LYJ5" s="182"/>
      <c r="LYK5" s="182"/>
      <c r="LYL5" s="182"/>
      <c r="LYM5" s="182"/>
      <c r="LYN5" s="182"/>
      <c r="LYO5" s="179"/>
      <c r="LYP5" s="180"/>
      <c r="LYQ5" s="180"/>
      <c r="LYR5" s="180"/>
      <c r="LYS5" s="180"/>
      <c r="LYT5" s="181"/>
      <c r="LYU5" s="180"/>
      <c r="LYV5" s="182"/>
      <c r="LYW5" s="182"/>
      <c r="LYX5" s="182"/>
      <c r="LYY5" s="182"/>
      <c r="LYZ5" s="182"/>
      <c r="LZA5" s="182"/>
      <c r="LZB5" s="179"/>
      <c r="LZC5" s="180"/>
      <c r="LZD5" s="180"/>
      <c r="LZE5" s="180"/>
      <c r="LZF5" s="180"/>
      <c r="LZG5" s="181"/>
      <c r="LZH5" s="180"/>
      <c r="LZI5" s="182"/>
      <c r="LZJ5" s="182"/>
      <c r="LZK5" s="182"/>
      <c r="LZL5" s="182"/>
      <c r="LZM5" s="182"/>
      <c r="LZN5" s="182"/>
      <c r="LZO5" s="179"/>
      <c r="LZP5" s="180"/>
      <c r="LZQ5" s="180"/>
      <c r="LZR5" s="180"/>
      <c r="LZS5" s="180"/>
      <c r="LZT5" s="181"/>
      <c r="LZU5" s="180"/>
      <c r="LZV5" s="182"/>
      <c r="LZW5" s="182"/>
      <c r="LZX5" s="182"/>
      <c r="LZY5" s="182"/>
      <c r="LZZ5" s="182"/>
      <c r="MAA5" s="182"/>
      <c r="MAB5" s="179"/>
      <c r="MAC5" s="180"/>
      <c r="MAD5" s="180"/>
      <c r="MAE5" s="180"/>
      <c r="MAF5" s="180"/>
      <c r="MAG5" s="181"/>
      <c r="MAH5" s="180"/>
      <c r="MAI5" s="182"/>
      <c r="MAJ5" s="182"/>
      <c r="MAK5" s="182"/>
      <c r="MAL5" s="182"/>
      <c r="MAM5" s="182"/>
      <c r="MAN5" s="182"/>
      <c r="MAO5" s="179"/>
      <c r="MAP5" s="180"/>
      <c r="MAQ5" s="180"/>
      <c r="MAR5" s="180"/>
      <c r="MAS5" s="180"/>
      <c r="MAT5" s="181"/>
      <c r="MAU5" s="180"/>
      <c r="MAV5" s="182"/>
      <c r="MAW5" s="182"/>
      <c r="MAX5" s="182"/>
      <c r="MAY5" s="182"/>
      <c r="MAZ5" s="182"/>
      <c r="MBA5" s="182"/>
      <c r="MBB5" s="179"/>
      <c r="MBC5" s="180"/>
      <c r="MBD5" s="180"/>
      <c r="MBE5" s="180"/>
      <c r="MBF5" s="180"/>
      <c r="MBG5" s="181"/>
      <c r="MBH5" s="180"/>
      <c r="MBI5" s="182"/>
      <c r="MBJ5" s="182"/>
      <c r="MBK5" s="182"/>
      <c r="MBL5" s="182"/>
      <c r="MBM5" s="182"/>
      <c r="MBN5" s="182"/>
      <c r="MBO5" s="179"/>
      <c r="MBP5" s="180"/>
      <c r="MBQ5" s="180"/>
      <c r="MBR5" s="180"/>
      <c r="MBS5" s="180"/>
      <c r="MBT5" s="181"/>
      <c r="MBU5" s="180"/>
      <c r="MBV5" s="182"/>
      <c r="MBW5" s="182"/>
      <c r="MBX5" s="182"/>
      <c r="MBY5" s="182"/>
      <c r="MBZ5" s="182"/>
      <c r="MCA5" s="182"/>
      <c r="MCB5" s="179"/>
      <c r="MCC5" s="180"/>
      <c r="MCD5" s="180"/>
      <c r="MCE5" s="180"/>
      <c r="MCF5" s="180"/>
      <c r="MCG5" s="181"/>
      <c r="MCH5" s="180"/>
      <c r="MCI5" s="182"/>
      <c r="MCJ5" s="182"/>
      <c r="MCK5" s="182"/>
      <c r="MCL5" s="182"/>
      <c r="MCM5" s="182"/>
      <c r="MCN5" s="182"/>
      <c r="MCO5" s="179"/>
      <c r="MCP5" s="180"/>
      <c r="MCQ5" s="180"/>
      <c r="MCR5" s="180"/>
      <c r="MCS5" s="180"/>
      <c r="MCT5" s="181"/>
      <c r="MCU5" s="180"/>
      <c r="MCV5" s="182"/>
      <c r="MCW5" s="182"/>
      <c r="MCX5" s="182"/>
      <c r="MCY5" s="182"/>
      <c r="MCZ5" s="182"/>
      <c r="MDA5" s="182"/>
      <c r="MDB5" s="179"/>
      <c r="MDC5" s="180"/>
      <c r="MDD5" s="180"/>
      <c r="MDE5" s="180"/>
      <c r="MDF5" s="180"/>
      <c r="MDG5" s="181"/>
      <c r="MDH5" s="180"/>
      <c r="MDI5" s="182"/>
      <c r="MDJ5" s="182"/>
      <c r="MDK5" s="182"/>
      <c r="MDL5" s="182"/>
      <c r="MDM5" s="182"/>
      <c r="MDN5" s="182"/>
      <c r="MDO5" s="179"/>
      <c r="MDP5" s="180"/>
      <c r="MDQ5" s="180"/>
      <c r="MDR5" s="180"/>
      <c r="MDS5" s="180"/>
      <c r="MDT5" s="181"/>
      <c r="MDU5" s="180"/>
      <c r="MDV5" s="182"/>
      <c r="MDW5" s="182"/>
      <c r="MDX5" s="182"/>
      <c r="MDY5" s="182"/>
      <c r="MDZ5" s="182"/>
      <c r="MEA5" s="182"/>
      <c r="MEB5" s="179"/>
      <c r="MEC5" s="180"/>
      <c r="MED5" s="180"/>
      <c r="MEE5" s="180"/>
      <c r="MEF5" s="180"/>
      <c r="MEG5" s="181"/>
      <c r="MEH5" s="180"/>
      <c r="MEI5" s="182"/>
      <c r="MEJ5" s="182"/>
      <c r="MEK5" s="182"/>
      <c r="MEL5" s="182"/>
      <c r="MEM5" s="182"/>
      <c r="MEN5" s="182"/>
      <c r="MEO5" s="179"/>
      <c r="MEP5" s="180"/>
      <c r="MEQ5" s="180"/>
      <c r="MER5" s="180"/>
      <c r="MES5" s="180"/>
      <c r="MET5" s="181"/>
      <c r="MEU5" s="180"/>
      <c r="MEV5" s="182"/>
      <c r="MEW5" s="182"/>
      <c r="MEX5" s="182"/>
      <c r="MEY5" s="182"/>
      <c r="MEZ5" s="182"/>
      <c r="MFA5" s="182"/>
      <c r="MFB5" s="179"/>
      <c r="MFC5" s="180"/>
      <c r="MFD5" s="180"/>
      <c r="MFE5" s="180"/>
      <c r="MFF5" s="180"/>
      <c r="MFG5" s="181"/>
      <c r="MFH5" s="180"/>
      <c r="MFI5" s="182"/>
      <c r="MFJ5" s="182"/>
      <c r="MFK5" s="182"/>
      <c r="MFL5" s="182"/>
      <c r="MFM5" s="182"/>
      <c r="MFN5" s="182"/>
      <c r="MFO5" s="179"/>
      <c r="MFP5" s="180"/>
      <c r="MFQ5" s="180"/>
      <c r="MFR5" s="180"/>
      <c r="MFS5" s="180"/>
      <c r="MFT5" s="181"/>
      <c r="MFU5" s="180"/>
      <c r="MFV5" s="182"/>
      <c r="MFW5" s="182"/>
      <c r="MFX5" s="182"/>
      <c r="MFY5" s="182"/>
      <c r="MFZ5" s="182"/>
      <c r="MGA5" s="182"/>
      <c r="MGB5" s="179"/>
      <c r="MGC5" s="180"/>
      <c r="MGD5" s="180"/>
      <c r="MGE5" s="180"/>
      <c r="MGF5" s="180"/>
      <c r="MGG5" s="181"/>
      <c r="MGH5" s="180"/>
      <c r="MGI5" s="182"/>
      <c r="MGJ5" s="182"/>
      <c r="MGK5" s="182"/>
      <c r="MGL5" s="182"/>
      <c r="MGM5" s="182"/>
      <c r="MGN5" s="182"/>
      <c r="MGO5" s="179"/>
      <c r="MGP5" s="180"/>
      <c r="MGQ5" s="180"/>
      <c r="MGR5" s="180"/>
      <c r="MGS5" s="180"/>
      <c r="MGT5" s="181"/>
      <c r="MGU5" s="180"/>
      <c r="MGV5" s="182"/>
      <c r="MGW5" s="182"/>
      <c r="MGX5" s="182"/>
      <c r="MGY5" s="182"/>
      <c r="MGZ5" s="182"/>
      <c r="MHA5" s="182"/>
      <c r="MHB5" s="179"/>
      <c r="MHC5" s="180"/>
      <c r="MHD5" s="180"/>
      <c r="MHE5" s="180"/>
      <c r="MHF5" s="180"/>
      <c r="MHG5" s="181"/>
      <c r="MHH5" s="180"/>
      <c r="MHI5" s="182"/>
      <c r="MHJ5" s="182"/>
      <c r="MHK5" s="182"/>
      <c r="MHL5" s="182"/>
      <c r="MHM5" s="182"/>
      <c r="MHN5" s="182"/>
      <c r="MHO5" s="179"/>
      <c r="MHP5" s="180"/>
      <c r="MHQ5" s="180"/>
      <c r="MHR5" s="180"/>
      <c r="MHS5" s="180"/>
      <c r="MHT5" s="181"/>
      <c r="MHU5" s="180"/>
      <c r="MHV5" s="182"/>
      <c r="MHW5" s="182"/>
      <c r="MHX5" s="182"/>
      <c r="MHY5" s="182"/>
      <c r="MHZ5" s="182"/>
      <c r="MIA5" s="182"/>
      <c r="MIB5" s="179"/>
      <c r="MIC5" s="180"/>
      <c r="MID5" s="180"/>
      <c r="MIE5" s="180"/>
      <c r="MIF5" s="180"/>
      <c r="MIG5" s="181"/>
      <c r="MIH5" s="180"/>
      <c r="MII5" s="182"/>
      <c r="MIJ5" s="182"/>
      <c r="MIK5" s="182"/>
      <c r="MIL5" s="182"/>
      <c r="MIM5" s="182"/>
      <c r="MIN5" s="182"/>
      <c r="MIO5" s="179"/>
      <c r="MIP5" s="180"/>
      <c r="MIQ5" s="180"/>
      <c r="MIR5" s="180"/>
      <c r="MIS5" s="180"/>
      <c r="MIT5" s="181"/>
      <c r="MIU5" s="180"/>
      <c r="MIV5" s="182"/>
      <c r="MIW5" s="182"/>
      <c r="MIX5" s="182"/>
      <c r="MIY5" s="182"/>
      <c r="MIZ5" s="182"/>
      <c r="MJA5" s="182"/>
      <c r="MJB5" s="179"/>
      <c r="MJC5" s="180"/>
      <c r="MJD5" s="180"/>
      <c r="MJE5" s="180"/>
      <c r="MJF5" s="180"/>
      <c r="MJG5" s="181"/>
      <c r="MJH5" s="180"/>
      <c r="MJI5" s="182"/>
      <c r="MJJ5" s="182"/>
      <c r="MJK5" s="182"/>
      <c r="MJL5" s="182"/>
      <c r="MJM5" s="182"/>
      <c r="MJN5" s="182"/>
      <c r="MJO5" s="179"/>
      <c r="MJP5" s="180"/>
      <c r="MJQ5" s="180"/>
      <c r="MJR5" s="180"/>
      <c r="MJS5" s="180"/>
      <c r="MJT5" s="181"/>
      <c r="MJU5" s="180"/>
      <c r="MJV5" s="182"/>
      <c r="MJW5" s="182"/>
      <c r="MJX5" s="182"/>
      <c r="MJY5" s="182"/>
      <c r="MJZ5" s="182"/>
      <c r="MKA5" s="182"/>
      <c r="MKB5" s="179"/>
      <c r="MKC5" s="180"/>
      <c r="MKD5" s="180"/>
      <c r="MKE5" s="180"/>
      <c r="MKF5" s="180"/>
      <c r="MKG5" s="181"/>
      <c r="MKH5" s="180"/>
      <c r="MKI5" s="182"/>
      <c r="MKJ5" s="182"/>
      <c r="MKK5" s="182"/>
      <c r="MKL5" s="182"/>
      <c r="MKM5" s="182"/>
      <c r="MKN5" s="182"/>
      <c r="MKO5" s="179"/>
      <c r="MKP5" s="180"/>
      <c r="MKQ5" s="180"/>
      <c r="MKR5" s="180"/>
      <c r="MKS5" s="180"/>
      <c r="MKT5" s="181"/>
      <c r="MKU5" s="180"/>
      <c r="MKV5" s="182"/>
      <c r="MKW5" s="182"/>
      <c r="MKX5" s="182"/>
      <c r="MKY5" s="182"/>
      <c r="MKZ5" s="182"/>
      <c r="MLA5" s="182"/>
      <c r="MLB5" s="179"/>
      <c r="MLC5" s="180"/>
      <c r="MLD5" s="180"/>
      <c r="MLE5" s="180"/>
      <c r="MLF5" s="180"/>
      <c r="MLG5" s="181"/>
      <c r="MLH5" s="180"/>
      <c r="MLI5" s="182"/>
      <c r="MLJ5" s="182"/>
      <c r="MLK5" s="182"/>
      <c r="MLL5" s="182"/>
      <c r="MLM5" s="182"/>
      <c r="MLN5" s="182"/>
      <c r="MLO5" s="179"/>
      <c r="MLP5" s="180"/>
      <c r="MLQ5" s="180"/>
      <c r="MLR5" s="180"/>
      <c r="MLS5" s="180"/>
      <c r="MLT5" s="181"/>
      <c r="MLU5" s="180"/>
      <c r="MLV5" s="182"/>
      <c r="MLW5" s="182"/>
      <c r="MLX5" s="182"/>
      <c r="MLY5" s="182"/>
      <c r="MLZ5" s="182"/>
      <c r="MMA5" s="182"/>
      <c r="MMB5" s="179"/>
      <c r="MMC5" s="180"/>
      <c r="MMD5" s="180"/>
      <c r="MME5" s="180"/>
      <c r="MMF5" s="180"/>
      <c r="MMG5" s="181"/>
      <c r="MMH5" s="180"/>
      <c r="MMI5" s="182"/>
      <c r="MMJ5" s="182"/>
      <c r="MMK5" s="182"/>
      <c r="MML5" s="182"/>
      <c r="MMM5" s="182"/>
      <c r="MMN5" s="182"/>
      <c r="MMO5" s="179"/>
      <c r="MMP5" s="180"/>
      <c r="MMQ5" s="180"/>
      <c r="MMR5" s="180"/>
      <c r="MMS5" s="180"/>
      <c r="MMT5" s="181"/>
      <c r="MMU5" s="180"/>
      <c r="MMV5" s="182"/>
      <c r="MMW5" s="182"/>
      <c r="MMX5" s="182"/>
      <c r="MMY5" s="182"/>
      <c r="MMZ5" s="182"/>
      <c r="MNA5" s="182"/>
      <c r="MNB5" s="179"/>
      <c r="MNC5" s="180"/>
      <c r="MND5" s="180"/>
      <c r="MNE5" s="180"/>
      <c r="MNF5" s="180"/>
      <c r="MNG5" s="181"/>
      <c r="MNH5" s="180"/>
      <c r="MNI5" s="182"/>
      <c r="MNJ5" s="182"/>
      <c r="MNK5" s="182"/>
      <c r="MNL5" s="182"/>
      <c r="MNM5" s="182"/>
      <c r="MNN5" s="182"/>
      <c r="MNO5" s="179"/>
      <c r="MNP5" s="180"/>
      <c r="MNQ5" s="180"/>
      <c r="MNR5" s="180"/>
      <c r="MNS5" s="180"/>
      <c r="MNT5" s="181"/>
      <c r="MNU5" s="180"/>
      <c r="MNV5" s="182"/>
      <c r="MNW5" s="182"/>
      <c r="MNX5" s="182"/>
      <c r="MNY5" s="182"/>
      <c r="MNZ5" s="182"/>
      <c r="MOA5" s="182"/>
      <c r="MOB5" s="179"/>
      <c r="MOC5" s="180"/>
      <c r="MOD5" s="180"/>
      <c r="MOE5" s="180"/>
      <c r="MOF5" s="180"/>
      <c r="MOG5" s="181"/>
      <c r="MOH5" s="180"/>
      <c r="MOI5" s="182"/>
      <c r="MOJ5" s="182"/>
      <c r="MOK5" s="182"/>
      <c r="MOL5" s="182"/>
      <c r="MOM5" s="182"/>
      <c r="MON5" s="182"/>
      <c r="MOO5" s="179"/>
      <c r="MOP5" s="180"/>
      <c r="MOQ5" s="180"/>
      <c r="MOR5" s="180"/>
      <c r="MOS5" s="180"/>
      <c r="MOT5" s="181"/>
      <c r="MOU5" s="180"/>
      <c r="MOV5" s="182"/>
      <c r="MOW5" s="182"/>
      <c r="MOX5" s="182"/>
      <c r="MOY5" s="182"/>
      <c r="MOZ5" s="182"/>
      <c r="MPA5" s="182"/>
      <c r="MPB5" s="179"/>
      <c r="MPC5" s="180"/>
      <c r="MPD5" s="180"/>
      <c r="MPE5" s="180"/>
      <c r="MPF5" s="180"/>
      <c r="MPG5" s="181"/>
      <c r="MPH5" s="180"/>
      <c r="MPI5" s="182"/>
      <c r="MPJ5" s="182"/>
      <c r="MPK5" s="182"/>
      <c r="MPL5" s="182"/>
      <c r="MPM5" s="182"/>
      <c r="MPN5" s="182"/>
      <c r="MPO5" s="179"/>
      <c r="MPP5" s="180"/>
      <c r="MPQ5" s="180"/>
      <c r="MPR5" s="180"/>
      <c r="MPS5" s="180"/>
      <c r="MPT5" s="181"/>
      <c r="MPU5" s="180"/>
      <c r="MPV5" s="182"/>
      <c r="MPW5" s="182"/>
      <c r="MPX5" s="182"/>
      <c r="MPY5" s="182"/>
      <c r="MPZ5" s="182"/>
      <c r="MQA5" s="182"/>
      <c r="MQB5" s="179"/>
      <c r="MQC5" s="180"/>
      <c r="MQD5" s="180"/>
      <c r="MQE5" s="180"/>
      <c r="MQF5" s="180"/>
      <c r="MQG5" s="181"/>
      <c r="MQH5" s="180"/>
      <c r="MQI5" s="182"/>
      <c r="MQJ5" s="182"/>
      <c r="MQK5" s="182"/>
      <c r="MQL5" s="182"/>
      <c r="MQM5" s="182"/>
      <c r="MQN5" s="182"/>
      <c r="MQO5" s="179"/>
      <c r="MQP5" s="180"/>
      <c r="MQQ5" s="180"/>
      <c r="MQR5" s="180"/>
      <c r="MQS5" s="180"/>
      <c r="MQT5" s="181"/>
      <c r="MQU5" s="180"/>
      <c r="MQV5" s="182"/>
      <c r="MQW5" s="182"/>
      <c r="MQX5" s="182"/>
      <c r="MQY5" s="182"/>
      <c r="MQZ5" s="182"/>
      <c r="MRA5" s="182"/>
      <c r="MRB5" s="179"/>
      <c r="MRC5" s="180"/>
      <c r="MRD5" s="180"/>
      <c r="MRE5" s="180"/>
      <c r="MRF5" s="180"/>
      <c r="MRG5" s="181"/>
      <c r="MRH5" s="180"/>
      <c r="MRI5" s="182"/>
      <c r="MRJ5" s="182"/>
      <c r="MRK5" s="182"/>
      <c r="MRL5" s="182"/>
      <c r="MRM5" s="182"/>
      <c r="MRN5" s="182"/>
      <c r="MRO5" s="179"/>
      <c r="MRP5" s="180"/>
      <c r="MRQ5" s="180"/>
      <c r="MRR5" s="180"/>
      <c r="MRS5" s="180"/>
      <c r="MRT5" s="181"/>
      <c r="MRU5" s="180"/>
      <c r="MRV5" s="182"/>
      <c r="MRW5" s="182"/>
      <c r="MRX5" s="182"/>
      <c r="MRY5" s="182"/>
      <c r="MRZ5" s="182"/>
      <c r="MSA5" s="182"/>
      <c r="MSB5" s="179"/>
      <c r="MSC5" s="180"/>
      <c r="MSD5" s="180"/>
      <c r="MSE5" s="180"/>
      <c r="MSF5" s="180"/>
      <c r="MSG5" s="181"/>
      <c r="MSH5" s="180"/>
      <c r="MSI5" s="182"/>
      <c r="MSJ5" s="182"/>
      <c r="MSK5" s="182"/>
      <c r="MSL5" s="182"/>
      <c r="MSM5" s="182"/>
      <c r="MSN5" s="182"/>
      <c r="MSO5" s="179"/>
      <c r="MSP5" s="180"/>
      <c r="MSQ5" s="180"/>
      <c r="MSR5" s="180"/>
      <c r="MSS5" s="180"/>
      <c r="MST5" s="181"/>
      <c r="MSU5" s="180"/>
      <c r="MSV5" s="182"/>
      <c r="MSW5" s="182"/>
      <c r="MSX5" s="182"/>
      <c r="MSY5" s="182"/>
      <c r="MSZ5" s="182"/>
      <c r="MTA5" s="182"/>
      <c r="MTB5" s="179"/>
      <c r="MTC5" s="180"/>
      <c r="MTD5" s="180"/>
      <c r="MTE5" s="180"/>
      <c r="MTF5" s="180"/>
      <c r="MTG5" s="181"/>
      <c r="MTH5" s="180"/>
      <c r="MTI5" s="182"/>
      <c r="MTJ5" s="182"/>
      <c r="MTK5" s="182"/>
      <c r="MTL5" s="182"/>
      <c r="MTM5" s="182"/>
      <c r="MTN5" s="182"/>
      <c r="MTO5" s="179"/>
      <c r="MTP5" s="180"/>
      <c r="MTQ5" s="180"/>
      <c r="MTR5" s="180"/>
      <c r="MTS5" s="180"/>
      <c r="MTT5" s="181"/>
      <c r="MTU5" s="180"/>
      <c r="MTV5" s="182"/>
      <c r="MTW5" s="182"/>
      <c r="MTX5" s="182"/>
      <c r="MTY5" s="182"/>
      <c r="MTZ5" s="182"/>
      <c r="MUA5" s="182"/>
      <c r="MUB5" s="179"/>
      <c r="MUC5" s="180"/>
      <c r="MUD5" s="180"/>
      <c r="MUE5" s="180"/>
      <c r="MUF5" s="180"/>
      <c r="MUG5" s="181"/>
      <c r="MUH5" s="180"/>
      <c r="MUI5" s="182"/>
      <c r="MUJ5" s="182"/>
      <c r="MUK5" s="182"/>
      <c r="MUL5" s="182"/>
      <c r="MUM5" s="182"/>
      <c r="MUN5" s="182"/>
      <c r="MUO5" s="179"/>
      <c r="MUP5" s="180"/>
      <c r="MUQ5" s="180"/>
      <c r="MUR5" s="180"/>
      <c r="MUS5" s="180"/>
      <c r="MUT5" s="181"/>
      <c r="MUU5" s="180"/>
      <c r="MUV5" s="182"/>
      <c r="MUW5" s="182"/>
      <c r="MUX5" s="182"/>
      <c r="MUY5" s="182"/>
      <c r="MUZ5" s="182"/>
      <c r="MVA5" s="182"/>
      <c r="MVB5" s="179"/>
      <c r="MVC5" s="180"/>
      <c r="MVD5" s="180"/>
      <c r="MVE5" s="180"/>
      <c r="MVF5" s="180"/>
      <c r="MVG5" s="181"/>
      <c r="MVH5" s="180"/>
      <c r="MVI5" s="182"/>
      <c r="MVJ5" s="182"/>
      <c r="MVK5" s="182"/>
      <c r="MVL5" s="182"/>
      <c r="MVM5" s="182"/>
      <c r="MVN5" s="182"/>
      <c r="MVO5" s="179"/>
      <c r="MVP5" s="180"/>
      <c r="MVQ5" s="180"/>
      <c r="MVR5" s="180"/>
      <c r="MVS5" s="180"/>
      <c r="MVT5" s="181"/>
      <c r="MVU5" s="180"/>
      <c r="MVV5" s="182"/>
      <c r="MVW5" s="182"/>
      <c r="MVX5" s="182"/>
      <c r="MVY5" s="182"/>
      <c r="MVZ5" s="182"/>
      <c r="MWA5" s="182"/>
      <c r="MWB5" s="179"/>
      <c r="MWC5" s="180"/>
      <c r="MWD5" s="180"/>
      <c r="MWE5" s="180"/>
      <c r="MWF5" s="180"/>
      <c r="MWG5" s="181"/>
      <c r="MWH5" s="180"/>
      <c r="MWI5" s="182"/>
      <c r="MWJ5" s="182"/>
      <c r="MWK5" s="182"/>
      <c r="MWL5" s="182"/>
      <c r="MWM5" s="182"/>
      <c r="MWN5" s="182"/>
      <c r="MWO5" s="179"/>
      <c r="MWP5" s="180"/>
      <c r="MWQ5" s="180"/>
      <c r="MWR5" s="180"/>
      <c r="MWS5" s="180"/>
      <c r="MWT5" s="181"/>
      <c r="MWU5" s="180"/>
      <c r="MWV5" s="182"/>
      <c r="MWW5" s="182"/>
      <c r="MWX5" s="182"/>
      <c r="MWY5" s="182"/>
      <c r="MWZ5" s="182"/>
      <c r="MXA5" s="182"/>
      <c r="MXB5" s="179"/>
      <c r="MXC5" s="180"/>
      <c r="MXD5" s="180"/>
      <c r="MXE5" s="180"/>
      <c r="MXF5" s="180"/>
      <c r="MXG5" s="181"/>
      <c r="MXH5" s="180"/>
      <c r="MXI5" s="182"/>
      <c r="MXJ5" s="182"/>
      <c r="MXK5" s="182"/>
      <c r="MXL5" s="182"/>
      <c r="MXM5" s="182"/>
      <c r="MXN5" s="182"/>
      <c r="MXO5" s="179"/>
      <c r="MXP5" s="180"/>
      <c r="MXQ5" s="180"/>
      <c r="MXR5" s="180"/>
      <c r="MXS5" s="180"/>
      <c r="MXT5" s="181"/>
      <c r="MXU5" s="180"/>
      <c r="MXV5" s="182"/>
      <c r="MXW5" s="182"/>
      <c r="MXX5" s="182"/>
      <c r="MXY5" s="182"/>
      <c r="MXZ5" s="182"/>
      <c r="MYA5" s="182"/>
      <c r="MYB5" s="179"/>
      <c r="MYC5" s="180"/>
      <c r="MYD5" s="180"/>
      <c r="MYE5" s="180"/>
      <c r="MYF5" s="180"/>
      <c r="MYG5" s="181"/>
      <c r="MYH5" s="180"/>
      <c r="MYI5" s="182"/>
      <c r="MYJ5" s="182"/>
      <c r="MYK5" s="182"/>
      <c r="MYL5" s="182"/>
      <c r="MYM5" s="182"/>
      <c r="MYN5" s="182"/>
      <c r="MYO5" s="179"/>
      <c r="MYP5" s="180"/>
      <c r="MYQ5" s="180"/>
      <c r="MYR5" s="180"/>
      <c r="MYS5" s="180"/>
      <c r="MYT5" s="181"/>
      <c r="MYU5" s="180"/>
      <c r="MYV5" s="182"/>
      <c r="MYW5" s="182"/>
      <c r="MYX5" s="182"/>
      <c r="MYY5" s="182"/>
      <c r="MYZ5" s="182"/>
      <c r="MZA5" s="182"/>
      <c r="MZB5" s="179"/>
      <c r="MZC5" s="180"/>
      <c r="MZD5" s="180"/>
      <c r="MZE5" s="180"/>
      <c r="MZF5" s="180"/>
      <c r="MZG5" s="181"/>
      <c r="MZH5" s="180"/>
      <c r="MZI5" s="182"/>
      <c r="MZJ5" s="182"/>
      <c r="MZK5" s="182"/>
      <c r="MZL5" s="182"/>
      <c r="MZM5" s="182"/>
      <c r="MZN5" s="182"/>
      <c r="MZO5" s="179"/>
      <c r="MZP5" s="180"/>
      <c r="MZQ5" s="180"/>
      <c r="MZR5" s="180"/>
      <c r="MZS5" s="180"/>
      <c r="MZT5" s="181"/>
      <c r="MZU5" s="180"/>
      <c r="MZV5" s="182"/>
      <c r="MZW5" s="182"/>
      <c r="MZX5" s="182"/>
      <c r="MZY5" s="182"/>
      <c r="MZZ5" s="182"/>
      <c r="NAA5" s="182"/>
      <c r="NAB5" s="179"/>
      <c r="NAC5" s="180"/>
      <c r="NAD5" s="180"/>
      <c r="NAE5" s="180"/>
      <c r="NAF5" s="180"/>
      <c r="NAG5" s="181"/>
      <c r="NAH5" s="180"/>
      <c r="NAI5" s="182"/>
      <c r="NAJ5" s="182"/>
      <c r="NAK5" s="182"/>
      <c r="NAL5" s="182"/>
      <c r="NAM5" s="182"/>
      <c r="NAN5" s="182"/>
      <c r="NAO5" s="179"/>
      <c r="NAP5" s="180"/>
      <c r="NAQ5" s="180"/>
      <c r="NAR5" s="180"/>
      <c r="NAS5" s="180"/>
      <c r="NAT5" s="181"/>
      <c r="NAU5" s="180"/>
      <c r="NAV5" s="182"/>
      <c r="NAW5" s="182"/>
      <c r="NAX5" s="182"/>
      <c r="NAY5" s="182"/>
      <c r="NAZ5" s="182"/>
      <c r="NBA5" s="182"/>
      <c r="NBB5" s="179"/>
      <c r="NBC5" s="180"/>
      <c r="NBD5" s="180"/>
      <c r="NBE5" s="180"/>
      <c r="NBF5" s="180"/>
      <c r="NBG5" s="181"/>
      <c r="NBH5" s="180"/>
      <c r="NBI5" s="182"/>
      <c r="NBJ5" s="182"/>
      <c r="NBK5" s="182"/>
      <c r="NBL5" s="182"/>
      <c r="NBM5" s="182"/>
      <c r="NBN5" s="182"/>
      <c r="NBO5" s="179"/>
      <c r="NBP5" s="180"/>
      <c r="NBQ5" s="180"/>
      <c r="NBR5" s="180"/>
      <c r="NBS5" s="180"/>
      <c r="NBT5" s="181"/>
      <c r="NBU5" s="180"/>
      <c r="NBV5" s="182"/>
      <c r="NBW5" s="182"/>
      <c r="NBX5" s="182"/>
      <c r="NBY5" s="182"/>
      <c r="NBZ5" s="182"/>
      <c r="NCA5" s="182"/>
      <c r="NCB5" s="179"/>
      <c r="NCC5" s="180"/>
      <c r="NCD5" s="180"/>
      <c r="NCE5" s="180"/>
      <c r="NCF5" s="180"/>
      <c r="NCG5" s="181"/>
      <c r="NCH5" s="180"/>
      <c r="NCI5" s="182"/>
      <c r="NCJ5" s="182"/>
      <c r="NCK5" s="182"/>
      <c r="NCL5" s="182"/>
      <c r="NCM5" s="182"/>
      <c r="NCN5" s="182"/>
      <c r="NCO5" s="179"/>
      <c r="NCP5" s="180"/>
      <c r="NCQ5" s="180"/>
      <c r="NCR5" s="180"/>
      <c r="NCS5" s="180"/>
      <c r="NCT5" s="181"/>
      <c r="NCU5" s="180"/>
      <c r="NCV5" s="182"/>
      <c r="NCW5" s="182"/>
      <c r="NCX5" s="182"/>
      <c r="NCY5" s="182"/>
      <c r="NCZ5" s="182"/>
      <c r="NDA5" s="182"/>
      <c r="NDB5" s="179"/>
      <c r="NDC5" s="180"/>
      <c r="NDD5" s="180"/>
      <c r="NDE5" s="180"/>
      <c r="NDF5" s="180"/>
      <c r="NDG5" s="181"/>
      <c r="NDH5" s="180"/>
      <c r="NDI5" s="182"/>
      <c r="NDJ5" s="182"/>
      <c r="NDK5" s="182"/>
      <c r="NDL5" s="182"/>
      <c r="NDM5" s="182"/>
      <c r="NDN5" s="182"/>
      <c r="NDO5" s="179"/>
      <c r="NDP5" s="180"/>
      <c r="NDQ5" s="180"/>
      <c r="NDR5" s="180"/>
      <c r="NDS5" s="180"/>
      <c r="NDT5" s="181"/>
      <c r="NDU5" s="180"/>
      <c r="NDV5" s="182"/>
      <c r="NDW5" s="182"/>
      <c r="NDX5" s="182"/>
      <c r="NDY5" s="182"/>
      <c r="NDZ5" s="182"/>
      <c r="NEA5" s="182"/>
      <c r="NEB5" s="179"/>
      <c r="NEC5" s="180"/>
      <c r="NED5" s="180"/>
      <c r="NEE5" s="180"/>
      <c r="NEF5" s="180"/>
      <c r="NEG5" s="181"/>
      <c r="NEH5" s="180"/>
      <c r="NEI5" s="182"/>
      <c r="NEJ5" s="182"/>
      <c r="NEK5" s="182"/>
      <c r="NEL5" s="182"/>
      <c r="NEM5" s="182"/>
      <c r="NEN5" s="182"/>
      <c r="NEO5" s="179"/>
      <c r="NEP5" s="180"/>
      <c r="NEQ5" s="180"/>
      <c r="NER5" s="180"/>
      <c r="NES5" s="180"/>
      <c r="NET5" s="181"/>
      <c r="NEU5" s="180"/>
      <c r="NEV5" s="182"/>
      <c r="NEW5" s="182"/>
      <c r="NEX5" s="182"/>
      <c r="NEY5" s="182"/>
      <c r="NEZ5" s="182"/>
      <c r="NFA5" s="182"/>
      <c r="NFB5" s="179"/>
      <c r="NFC5" s="180"/>
      <c r="NFD5" s="180"/>
      <c r="NFE5" s="180"/>
      <c r="NFF5" s="180"/>
      <c r="NFG5" s="181"/>
      <c r="NFH5" s="180"/>
      <c r="NFI5" s="182"/>
      <c r="NFJ5" s="182"/>
      <c r="NFK5" s="182"/>
      <c r="NFL5" s="182"/>
      <c r="NFM5" s="182"/>
      <c r="NFN5" s="182"/>
      <c r="NFO5" s="179"/>
      <c r="NFP5" s="180"/>
      <c r="NFQ5" s="180"/>
      <c r="NFR5" s="180"/>
      <c r="NFS5" s="180"/>
      <c r="NFT5" s="181"/>
      <c r="NFU5" s="180"/>
      <c r="NFV5" s="182"/>
      <c r="NFW5" s="182"/>
      <c r="NFX5" s="182"/>
      <c r="NFY5" s="182"/>
      <c r="NFZ5" s="182"/>
      <c r="NGA5" s="182"/>
      <c r="NGB5" s="179"/>
      <c r="NGC5" s="180"/>
      <c r="NGD5" s="180"/>
      <c r="NGE5" s="180"/>
      <c r="NGF5" s="180"/>
      <c r="NGG5" s="181"/>
      <c r="NGH5" s="180"/>
      <c r="NGI5" s="182"/>
      <c r="NGJ5" s="182"/>
      <c r="NGK5" s="182"/>
      <c r="NGL5" s="182"/>
      <c r="NGM5" s="182"/>
      <c r="NGN5" s="182"/>
      <c r="NGO5" s="179"/>
      <c r="NGP5" s="180"/>
      <c r="NGQ5" s="180"/>
      <c r="NGR5" s="180"/>
      <c r="NGS5" s="180"/>
      <c r="NGT5" s="181"/>
      <c r="NGU5" s="180"/>
      <c r="NGV5" s="182"/>
      <c r="NGW5" s="182"/>
      <c r="NGX5" s="182"/>
      <c r="NGY5" s="182"/>
      <c r="NGZ5" s="182"/>
      <c r="NHA5" s="182"/>
      <c r="NHB5" s="179"/>
      <c r="NHC5" s="180"/>
      <c r="NHD5" s="180"/>
      <c r="NHE5" s="180"/>
      <c r="NHF5" s="180"/>
      <c r="NHG5" s="181"/>
      <c r="NHH5" s="180"/>
      <c r="NHI5" s="182"/>
      <c r="NHJ5" s="182"/>
      <c r="NHK5" s="182"/>
      <c r="NHL5" s="182"/>
      <c r="NHM5" s="182"/>
      <c r="NHN5" s="182"/>
      <c r="NHO5" s="179"/>
      <c r="NHP5" s="180"/>
      <c r="NHQ5" s="180"/>
      <c r="NHR5" s="180"/>
      <c r="NHS5" s="180"/>
      <c r="NHT5" s="181"/>
      <c r="NHU5" s="180"/>
      <c r="NHV5" s="182"/>
      <c r="NHW5" s="182"/>
      <c r="NHX5" s="182"/>
      <c r="NHY5" s="182"/>
      <c r="NHZ5" s="182"/>
      <c r="NIA5" s="182"/>
      <c r="NIB5" s="179"/>
      <c r="NIC5" s="180"/>
      <c r="NID5" s="180"/>
      <c r="NIE5" s="180"/>
      <c r="NIF5" s="180"/>
      <c r="NIG5" s="181"/>
      <c r="NIH5" s="180"/>
      <c r="NII5" s="182"/>
      <c r="NIJ5" s="182"/>
      <c r="NIK5" s="182"/>
      <c r="NIL5" s="182"/>
      <c r="NIM5" s="182"/>
      <c r="NIN5" s="182"/>
      <c r="NIO5" s="179"/>
      <c r="NIP5" s="180"/>
      <c r="NIQ5" s="180"/>
      <c r="NIR5" s="180"/>
      <c r="NIS5" s="180"/>
      <c r="NIT5" s="181"/>
      <c r="NIU5" s="180"/>
      <c r="NIV5" s="182"/>
      <c r="NIW5" s="182"/>
      <c r="NIX5" s="182"/>
      <c r="NIY5" s="182"/>
      <c r="NIZ5" s="182"/>
      <c r="NJA5" s="182"/>
      <c r="NJB5" s="179"/>
      <c r="NJC5" s="180"/>
      <c r="NJD5" s="180"/>
      <c r="NJE5" s="180"/>
      <c r="NJF5" s="180"/>
      <c r="NJG5" s="181"/>
      <c r="NJH5" s="180"/>
      <c r="NJI5" s="182"/>
      <c r="NJJ5" s="182"/>
      <c r="NJK5" s="182"/>
      <c r="NJL5" s="182"/>
      <c r="NJM5" s="182"/>
      <c r="NJN5" s="182"/>
      <c r="NJO5" s="179"/>
      <c r="NJP5" s="180"/>
      <c r="NJQ5" s="180"/>
      <c r="NJR5" s="180"/>
      <c r="NJS5" s="180"/>
      <c r="NJT5" s="181"/>
      <c r="NJU5" s="180"/>
      <c r="NJV5" s="182"/>
      <c r="NJW5" s="182"/>
      <c r="NJX5" s="182"/>
      <c r="NJY5" s="182"/>
      <c r="NJZ5" s="182"/>
      <c r="NKA5" s="182"/>
      <c r="NKB5" s="179"/>
      <c r="NKC5" s="180"/>
      <c r="NKD5" s="180"/>
      <c r="NKE5" s="180"/>
      <c r="NKF5" s="180"/>
      <c r="NKG5" s="181"/>
      <c r="NKH5" s="180"/>
      <c r="NKI5" s="182"/>
      <c r="NKJ5" s="182"/>
      <c r="NKK5" s="182"/>
      <c r="NKL5" s="182"/>
      <c r="NKM5" s="182"/>
      <c r="NKN5" s="182"/>
      <c r="NKO5" s="179"/>
      <c r="NKP5" s="180"/>
      <c r="NKQ5" s="180"/>
      <c r="NKR5" s="180"/>
      <c r="NKS5" s="180"/>
      <c r="NKT5" s="181"/>
      <c r="NKU5" s="180"/>
      <c r="NKV5" s="182"/>
      <c r="NKW5" s="182"/>
      <c r="NKX5" s="182"/>
      <c r="NKY5" s="182"/>
      <c r="NKZ5" s="182"/>
      <c r="NLA5" s="182"/>
      <c r="NLB5" s="179"/>
      <c r="NLC5" s="180"/>
      <c r="NLD5" s="180"/>
      <c r="NLE5" s="180"/>
      <c r="NLF5" s="180"/>
      <c r="NLG5" s="181"/>
      <c r="NLH5" s="180"/>
      <c r="NLI5" s="182"/>
      <c r="NLJ5" s="182"/>
      <c r="NLK5" s="182"/>
      <c r="NLL5" s="182"/>
      <c r="NLM5" s="182"/>
      <c r="NLN5" s="182"/>
      <c r="NLO5" s="179"/>
      <c r="NLP5" s="180"/>
      <c r="NLQ5" s="180"/>
      <c r="NLR5" s="180"/>
      <c r="NLS5" s="180"/>
      <c r="NLT5" s="181"/>
      <c r="NLU5" s="180"/>
      <c r="NLV5" s="182"/>
      <c r="NLW5" s="182"/>
      <c r="NLX5" s="182"/>
      <c r="NLY5" s="182"/>
      <c r="NLZ5" s="182"/>
      <c r="NMA5" s="182"/>
      <c r="NMB5" s="179"/>
      <c r="NMC5" s="180"/>
      <c r="NMD5" s="180"/>
      <c r="NME5" s="180"/>
      <c r="NMF5" s="180"/>
      <c r="NMG5" s="181"/>
      <c r="NMH5" s="180"/>
      <c r="NMI5" s="182"/>
      <c r="NMJ5" s="182"/>
      <c r="NMK5" s="182"/>
      <c r="NML5" s="182"/>
      <c r="NMM5" s="182"/>
      <c r="NMN5" s="182"/>
      <c r="NMO5" s="179"/>
      <c r="NMP5" s="180"/>
      <c r="NMQ5" s="180"/>
      <c r="NMR5" s="180"/>
      <c r="NMS5" s="180"/>
      <c r="NMT5" s="181"/>
      <c r="NMU5" s="180"/>
      <c r="NMV5" s="182"/>
      <c r="NMW5" s="182"/>
      <c r="NMX5" s="182"/>
      <c r="NMY5" s="182"/>
      <c r="NMZ5" s="182"/>
      <c r="NNA5" s="182"/>
      <c r="NNB5" s="179"/>
      <c r="NNC5" s="180"/>
      <c r="NND5" s="180"/>
      <c r="NNE5" s="180"/>
      <c r="NNF5" s="180"/>
      <c r="NNG5" s="181"/>
      <c r="NNH5" s="180"/>
      <c r="NNI5" s="182"/>
      <c r="NNJ5" s="182"/>
      <c r="NNK5" s="182"/>
      <c r="NNL5" s="182"/>
      <c r="NNM5" s="182"/>
      <c r="NNN5" s="182"/>
      <c r="NNO5" s="179"/>
      <c r="NNP5" s="180"/>
      <c r="NNQ5" s="180"/>
      <c r="NNR5" s="180"/>
      <c r="NNS5" s="180"/>
      <c r="NNT5" s="181"/>
      <c r="NNU5" s="180"/>
      <c r="NNV5" s="182"/>
      <c r="NNW5" s="182"/>
      <c r="NNX5" s="182"/>
      <c r="NNY5" s="182"/>
      <c r="NNZ5" s="182"/>
      <c r="NOA5" s="182"/>
      <c r="NOB5" s="179"/>
      <c r="NOC5" s="180"/>
      <c r="NOD5" s="180"/>
      <c r="NOE5" s="180"/>
      <c r="NOF5" s="180"/>
      <c r="NOG5" s="181"/>
      <c r="NOH5" s="180"/>
      <c r="NOI5" s="182"/>
      <c r="NOJ5" s="182"/>
      <c r="NOK5" s="182"/>
      <c r="NOL5" s="182"/>
      <c r="NOM5" s="182"/>
      <c r="NON5" s="182"/>
      <c r="NOO5" s="179"/>
      <c r="NOP5" s="180"/>
      <c r="NOQ5" s="180"/>
      <c r="NOR5" s="180"/>
      <c r="NOS5" s="180"/>
      <c r="NOT5" s="181"/>
      <c r="NOU5" s="180"/>
      <c r="NOV5" s="182"/>
      <c r="NOW5" s="182"/>
      <c r="NOX5" s="182"/>
      <c r="NOY5" s="182"/>
      <c r="NOZ5" s="182"/>
      <c r="NPA5" s="182"/>
      <c r="NPB5" s="179"/>
      <c r="NPC5" s="180"/>
      <c r="NPD5" s="180"/>
      <c r="NPE5" s="180"/>
      <c r="NPF5" s="180"/>
      <c r="NPG5" s="181"/>
      <c r="NPH5" s="180"/>
      <c r="NPI5" s="182"/>
      <c r="NPJ5" s="182"/>
      <c r="NPK5" s="182"/>
      <c r="NPL5" s="182"/>
      <c r="NPM5" s="182"/>
      <c r="NPN5" s="182"/>
      <c r="NPO5" s="179"/>
      <c r="NPP5" s="180"/>
      <c r="NPQ5" s="180"/>
      <c r="NPR5" s="180"/>
      <c r="NPS5" s="180"/>
      <c r="NPT5" s="181"/>
      <c r="NPU5" s="180"/>
      <c r="NPV5" s="182"/>
      <c r="NPW5" s="182"/>
      <c r="NPX5" s="182"/>
      <c r="NPY5" s="182"/>
      <c r="NPZ5" s="182"/>
      <c r="NQA5" s="182"/>
      <c r="NQB5" s="179"/>
      <c r="NQC5" s="180"/>
      <c r="NQD5" s="180"/>
      <c r="NQE5" s="180"/>
      <c r="NQF5" s="180"/>
      <c r="NQG5" s="181"/>
      <c r="NQH5" s="180"/>
      <c r="NQI5" s="182"/>
      <c r="NQJ5" s="182"/>
      <c r="NQK5" s="182"/>
      <c r="NQL5" s="182"/>
      <c r="NQM5" s="182"/>
      <c r="NQN5" s="182"/>
      <c r="NQO5" s="179"/>
      <c r="NQP5" s="180"/>
      <c r="NQQ5" s="180"/>
      <c r="NQR5" s="180"/>
      <c r="NQS5" s="180"/>
      <c r="NQT5" s="181"/>
      <c r="NQU5" s="180"/>
      <c r="NQV5" s="182"/>
      <c r="NQW5" s="182"/>
      <c r="NQX5" s="182"/>
      <c r="NQY5" s="182"/>
      <c r="NQZ5" s="182"/>
      <c r="NRA5" s="182"/>
      <c r="NRB5" s="179"/>
      <c r="NRC5" s="180"/>
      <c r="NRD5" s="180"/>
      <c r="NRE5" s="180"/>
      <c r="NRF5" s="180"/>
      <c r="NRG5" s="181"/>
      <c r="NRH5" s="180"/>
      <c r="NRI5" s="182"/>
      <c r="NRJ5" s="182"/>
      <c r="NRK5" s="182"/>
      <c r="NRL5" s="182"/>
      <c r="NRM5" s="182"/>
      <c r="NRN5" s="182"/>
      <c r="NRO5" s="179"/>
      <c r="NRP5" s="180"/>
      <c r="NRQ5" s="180"/>
      <c r="NRR5" s="180"/>
      <c r="NRS5" s="180"/>
      <c r="NRT5" s="181"/>
      <c r="NRU5" s="180"/>
      <c r="NRV5" s="182"/>
      <c r="NRW5" s="182"/>
      <c r="NRX5" s="182"/>
      <c r="NRY5" s="182"/>
      <c r="NRZ5" s="182"/>
      <c r="NSA5" s="182"/>
      <c r="NSB5" s="179"/>
      <c r="NSC5" s="180"/>
      <c r="NSD5" s="180"/>
      <c r="NSE5" s="180"/>
      <c r="NSF5" s="180"/>
      <c r="NSG5" s="181"/>
      <c r="NSH5" s="180"/>
      <c r="NSI5" s="182"/>
      <c r="NSJ5" s="182"/>
      <c r="NSK5" s="182"/>
      <c r="NSL5" s="182"/>
      <c r="NSM5" s="182"/>
      <c r="NSN5" s="182"/>
      <c r="NSO5" s="179"/>
      <c r="NSP5" s="180"/>
      <c r="NSQ5" s="180"/>
      <c r="NSR5" s="180"/>
      <c r="NSS5" s="180"/>
      <c r="NST5" s="181"/>
      <c r="NSU5" s="180"/>
      <c r="NSV5" s="182"/>
      <c r="NSW5" s="182"/>
      <c r="NSX5" s="182"/>
      <c r="NSY5" s="182"/>
      <c r="NSZ5" s="182"/>
      <c r="NTA5" s="182"/>
      <c r="NTB5" s="179"/>
      <c r="NTC5" s="180"/>
      <c r="NTD5" s="180"/>
      <c r="NTE5" s="180"/>
      <c r="NTF5" s="180"/>
      <c r="NTG5" s="181"/>
      <c r="NTH5" s="180"/>
      <c r="NTI5" s="182"/>
      <c r="NTJ5" s="182"/>
      <c r="NTK5" s="182"/>
      <c r="NTL5" s="182"/>
      <c r="NTM5" s="182"/>
      <c r="NTN5" s="182"/>
      <c r="NTO5" s="179"/>
      <c r="NTP5" s="180"/>
      <c r="NTQ5" s="180"/>
      <c r="NTR5" s="180"/>
      <c r="NTS5" s="180"/>
      <c r="NTT5" s="181"/>
      <c r="NTU5" s="180"/>
      <c r="NTV5" s="182"/>
      <c r="NTW5" s="182"/>
      <c r="NTX5" s="182"/>
      <c r="NTY5" s="182"/>
      <c r="NTZ5" s="182"/>
      <c r="NUA5" s="182"/>
      <c r="NUB5" s="179"/>
      <c r="NUC5" s="180"/>
      <c r="NUD5" s="180"/>
      <c r="NUE5" s="180"/>
      <c r="NUF5" s="180"/>
      <c r="NUG5" s="181"/>
      <c r="NUH5" s="180"/>
      <c r="NUI5" s="182"/>
      <c r="NUJ5" s="182"/>
      <c r="NUK5" s="182"/>
      <c r="NUL5" s="182"/>
      <c r="NUM5" s="182"/>
      <c r="NUN5" s="182"/>
      <c r="NUO5" s="179"/>
      <c r="NUP5" s="180"/>
      <c r="NUQ5" s="180"/>
      <c r="NUR5" s="180"/>
      <c r="NUS5" s="180"/>
      <c r="NUT5" s="181"/>
      <c r="NUU5" s="180"/>
      <c r="NUV5" s="182"/>
      <c r="NUW5" s="182"/>
      <c r="NUX5" s="182"/>
      <c r="NUY5" s="182"/>
      <c r="NUZ5" s="182"/>
      <c r="NVA5" s="182"/>
      <c r="NVB5" s="179"/>
      <c r="NVC5" s="180"/>
      <c r="NVD5" s="180"/>
      <c r="NVE5" s="180"/>
      <c r="NVF5" s="180"/>
      <c r="NVG5" s="181"/>
      <c r="NVH5" s="180"/>
      <c r="NVI5" s="182"/>
      <c r="NVJ5" s="182"/>
      <c r="NVK5" s="182"/>
      <c r="NVL5" s="182"/>
      <c r="NVM5" s="182"/>
      <c r="NVN5" s="182"/>
      <c r="NVO5" s="179"/>
      <c r="NVP5" s="180"/>
      <c r="NVQ5" s="180"/>
      <c r="NVR5" s="180"/>
      <c r="NVS5" s="180"/>
      <c r="NVT5" s="181"/>
      <c r="NVU5" s="180"/>
      <c r="NVV5" s="182"/>
      <c r="NVW5" s="182"/>
      <c r="NVX5" s="182"/>
      <c r="NVY5" s="182"/>
      <c r="NVZ5" s="182"/>
      <c r="NWA5" s="182"/>
      <c r="NWB5" s="179"/>
      <c r="NWC5" s="180"/>
      <c r="NWD5" s="180"/>
      <c r="NWE5" s="180"/>
      <c r="NWF5" s="180"/>
      <c r="NWG5" s="181"/>
      <c r="NWH5" s="180"/>
      <c r="NWI5" s="182"/>
      <c r="NWJ5" s="182"/>
      <c r="NWK5" s="182"/>
      <c r="NWL5" s="182"/>
      <c r="NWM5" s="182"/>
      <c r="NWN5" s="182"/>
      <c r="NWO5" s="179"/>
      <c r="NWP5" s="180"/>
      <c r="NWQ5" s="180"/>
      <c r="NWR5" s="180"/>
      <c r="NWS5" s="180"/>
      <c r="NWT5" s="181"/>
      <c r="NWU5" s="180"/>
      <c r="NWV5" s="182"/>
      <c r="NWW5" s="182"/>
      <c r="NWX5" s="182"/>
      <c r="NWY5" s="182"/>
      <c r="NWZ5" s="182"/>
      <c r="NXA5" s="182"/>
      <c r="NXB5" s="179"/>
      <c r="NXC5" s="180"/>
      <c r="NXD5" s="180"/>
      <c r="NXE5" s="180"/>
      <c r="NXF5" s="180"/>
      <c r="NXG5" s="181"/>
      <c r="NXH5" s="180"/>
      <c r="NXI5" s="182"/>
      <c r="NXJ5" s="182"/>
      <c r="NXK5" s="182"/>
      <c r="NXL5" s="182"/>
      <c r="NXM5" s="182"/>
      <c r="NXN5" s="182"/>
      <c r="NXO5" s="179"/>
      <c r="NXP5" s="180"/>
      <c r="NXQ5" s="180"/>
      <c r="NXR5" s="180"/>
      <c r="NXS5" s="180"/>
      <c r="NXT5" s="181"/>
      <c r="NXU5" s="180"/>
      <c r="NXV5" s="182"/>
      <c r="NXW5" s="182"/>
      <c r="NXX5" s="182"/>
      <c r="NXY5" s="182"/>
      <c r="NXZ5" s="182"/>
      <c r="NYA5" s="182"/>
      <c r="NYB5" s="179"/>
      <c r="NYC5" s="180"/>
      <c r="NYD5" s="180"/>
      <c r="NYE5" s="180"/>
      <c r="NYF5" s="180"/>
      <c r="NYG5" s="181"/>
      <c r="NYH5" s="180"/>
      <c r="NYI5" s="182"/>
      <c r="NYJ5" s="182"/>
      <c r="NYK5" s="182"/>
      <c r="NYL5" s="182"/>
      <c r="NYM5" s="182"/>
      <c r="NYN5" s="182"/>
      <c r="NYO5" s="179"/>
      <c r="NYP5" s="180"/>
      <c r="NYQ5" s="180"/>
      <c r="NYR5" s="180"/>
      <c r="NYS5" s="180"/>
      <c r="NYT5" s="181"/>
      <c r="NYU5" s="180"/>
      <c r="NYV5" s="182"/>
      <c r="NYW5" s="182"/>
      <c r="NYX5" s="182"/>
      <c r="NYY5" s="182"/>
      <c r="NYZ5" s="182"/>
      <c r="NZA5" s="182"/>
      <c r="NZB5" s="179"/>
      <c r="NZC5" s="180"/>
      <c r="NZD5" s="180"/>
      <c r="NZE5" s="180"/>
      <c r="NZF5" s="180"/>
      <c r="NZG5" s="181"/>
      <c r="NZH5" s="180"/>
      <c r="NZI5" s="182"/>
      <c r="NZJ5" s="182"/>
      <c r="NZK5" s="182"/>
      <c r="NZL5" s="182"/>
      <c r="NZM5" s="182"/>
      <c r="NZN5" s="182"/>
      <c r="NZO5" s="179"/>
      <c r="NZP5" s="180"/>
      <c r="NZQ5" s="180"/>
      <c r="NZR5" s="180"/>
      <c r="NZS5" s="180"/>
      <c r="NZT5" s="181"/>
      <c r="NZU5" s="180"/>
      <c r="NZV5" s="182"/>
      <c r="NZW5" s="182"/>
      <c r="NZX5" s="182"/>
      <c r="NZY5" s="182"/>
      <c r="NZZ5" s="182"/>
      <c r="OAA5" s="182"/>
      <c r="OAB5" s="179"/>
      <c r="OAC5" s="180"/>
      <c r="OAD5" s="180"/>
      <c r="OAE5" s="180"/>
      <c r="OAF5" s="180"/>
      <c r="OAG5" s="181"/>
      <c r="OAH5" s="180"/>
      <c r="OAI5" s="182"/>
      <c r="OAJ5" s="182"/>
      <c r="OAK5" s="182"/>
      <c r="OAL5" s="182"/>
      <c r="OAM5" s="182"/>
      <c r="OAN5" s="182"/>
      <c r="OAO5" s="179"/>
      <c r="OAP5" s="180"/>
      <c r="OAQ5" s="180"/>
      <c r="OAR5" s="180"/>
      <c r="OAS5" s="180"/>
      <c r="OAT5" s="181"/>
      <c r="OAU5" s="180"/>
      <c r="OAV5" s="182"/>
      <c r="OAW5" s="182"/>
      <c r="OAX5" s="182"/>
      <c r="OAY5" s="182"/>
      <c r="OAZ5" s="182"/>
      <c r="OBA5" s="182"/>
      <c r="OBB5" s="179"/>
      <c r="OBC5" s="180"/>
      <c r="OBD5" s="180"/>
      <c r="OBE5" s="180"/>
      <c r="OBF5" s="180"/>
      <c r="OBG5" s="181"/>
      <c r="OBH5" s="180"/>
      <c r="OBI5" s="182"/>
      <c r="OBJ5" s="182"/>
      <c r="OBK5" s="182"/>
      <c r="OBL5" s="182"/>
      <c r="OBM5" s="182"/>
      <c r="OBN5" s="182"/>
      <c r="OBO5" s="179"/>
      <c r="OBP5" s="180"/>
      <c r="OBQ5" s="180"/>
      <c r="OBR5" s="180"/>
      <c r="OBS5" s="180"/>
      <c r="OBT5" s="181"/>
      <c r="OBU5" s="180"/>
      <c r="OBV5" s="182"/>
      <c r="OBW5" s="182"/>
      <c r="OBX5" s="182"/>
      <c r="OBY5" s="182"/>
      <c r="OBZ5" s="182"/>
      <c r="OCA5" s="182"/>
      <c r="OCB5" s="179"/>
      <c r="OCC5" s="180"/>
      <c r="OCD5" s="180"/>
      <c r="OCE5" s="180"/>
      <c r="OCF5" s="180"/>
      <c r="OCG5" s="181"/>
      <c r="OCH5" s="180"/>
      <c r="OCI5" s="182"/>
      <c r="OCJ5" s="182"/>
      <c r="OCK5" s="182"/>
      <c r="OCL5" s="182"/>
      <c r="OCM5" s="182"/>
      <c r="OCN5" s="182"/>
      <c r="OCO5" s="179"/>
      <c r="OCP5" s="180"/>
      <c r="OCQ5" s="180"/>
      <c r="OCR5" s="180"/>
      <c r="OCS5" s="180"/>
      <c r="OCT5" s="181"/>
      <c r="OCU5" s="180"/>
      <c r="OCV5" s="182"/>
      <c r="OCW5" s="182"/>
      <c r="OCX5" s="182"/>
      <c r="OCY5" s="182"/>
      <c r="OCZ5" s="182"/>
      <c r="ODA5" s="182"/>
      <c r="ODB5" s="179"/>
      <c r="ODC5" s="180"/>
      <c r="ODD5" s="180"/>
      <c r="ODE5" s="180"/>
      <c r="ODF5" s="180"/>
      <c r="ODG5" s="181"/>
      <c r="ODH5" s="180"/>
      <c r="ODI5" s="182"/>
      <c r="ODJ5" s="182"/>
      <c r="ODK5" s="182"/>
      <c r="ODL5" s="182"/>
      <c r="ODM5" s="182"/>
      <c r="ODN5" s="182"/>
      <c r="ODO5" s="179"/>
      <c r="ODP5" s="180"/>
      <c r="ODQ5" s="180"/>
      <c r="ODR5" s="180"/>
      <c r="ODS5" s="180"/>
      <c r="ODT5" s="181"/>
      <c r="ODU5" s="180"/>
      <c r="ODV5" s="182"/>
      <c r="ODW5" s="182"/>
      <c r="ODX5" s="182"/>
      <c r="ODY5" s="182"/>
      <c r="ODZ5" s="182"/>
      <c r="OEA5" s="182"/>
      <c r="OEB5" s="179"/>
      <c r="OEC5" s="180"/>
      <c r="OED5" s="180"/>
      <c r="OEE5" s="180"/>
      <c r="OEF5" s="180"/>
      <c r="OEG5" s="181"/>
      <c r="OEH5" s="180"/>
      <c r="OEI5" s="182"/>
      <c r="OEJ5" s="182"/>
      <c r="OEK5" s="182"/>
      <c r="OEL5" s="182"/>
      <c r="OEM5" s="182"/>
      <c r="OEN5" s="182"/>
      <c r="OEO5" s="179"/>
      <c r="OEP5" s="180"/>
      <c r="OEQ5" s="180"/>
      <c r="OER5" s="180"/>
      <c r="OES5" s="180"/>
      <c r="OET5" s="181"/>
      <c r="OEU5" s="180"/>
      <c r="OEV5" s="182"/>
      <c r="OEW5" s="182"/>
      <c r="OEX5" s="182"/>
      <c r="OEY5" s="182"/>
      <c r="OEZ5" s="182"/>
      <c r="OFA5" s="182"/>
      <c r="OFB5" s="179"/>
      <c r="OFC5" s="180"/>
      <c r="OFD5" s="180"/>
      <c r="OFE5" s="180"/>
      <c r="OFF5" s="180"/>
      <c r="OFG5" s="181"/>
      <c r="OFH5" s="180"/>
      <c r="OFI5" s="182"/>
      <c r="OFJ5" s="182"/>
      <c r="OFK5" s="182"/>
      <c r="OFL5" s="182"/>
      <c r="OFM5" s="182"/>
      <c r="OFN5" s="182"/>
      <c r="OFO5" s="179"/>
      <c r="OFP5" s="180"/>
      <c r="OFQ5" s="180"/>
      <c r="OFR5" s="180"/>
      <c r="OFS5" s="180"/>
      <c r="OFT5" s="181"/>
      <c r="OFU5" s="180"/>
      <c r="OFV5" s="182"/>
      <c r="OFW5" s="182"/>
      <c r="OFX5" s="182"/>
      <c r="OFY5" s="182"/>
      <c r="OFZ5" s="182"/>
      <c r="OGA5" s="182"/>
      <c r="OGB5" s="179"/>
      <c r="OGC5" s="180"/>
      <c r="OGD5" s="180"/>
      <c r="OGE5" s="180"/>
      <c r="OGF5" s="180"/>
      <c r="OGG5" s="181"/>
      <c r="OGH5" s="180"/>
      <c r="OGI5" s="182"/>
      <c r="OGJ5" s="182"/>
      <c r="OGK5" s="182"/>
      <c r="OGL5" s="182"/>
      <c r="OGM5" s="182"/>
      <c r="OGN5" s="182"/>
      <c r="OGO5" s="179"/>
      <c r="OGP5" s="180"/>
      <c r="OGQ5" s="180"/>
      <c r="OGR5" s="180"/>
      <c r="OGS5" s="180"/>
      <c r="OGT5" s="181"/>
      <c r="OGU5" s="180"/>
      <c r="OGV5" s="182"/>
      <c r="OGW5" s="182"/>
      <c r="OGX5" s="182"/>
      <c r="OGY5" s="182"/>
      <c r="OGZ5" s="182"/>
      <c r="OHA5" s="182"/>
      <c r="OHB5" s="179"/>
      <c r="OHC5" s="180"/>
      <c r="OHD5" s="180"/>
      <c r="OHE5" s="180"/>
      <c r="OHF5" s="180"/>
      <c r="OHG5" s="181"/>
      <c r="OHH5" s="180"/>
      <c r="OHI5" s="182"/>
      <c r="OHJ5" s="182"/>
      <c r="OHK5" s="182"/>
      <c r="OHL5" s="182"/>
      <c r="OHM5" s="182"/>
      <c r="OHN5" s="182"/>
      <c r="OHO5" s="179"/>
      <c r="OHP5" s="180"/>
      <c r="OHQ5" s="180"/>
      <c r="OHR5" s="180"/>
      <c r="OHS5" s="180"/>
      <c r="OHT5" s="181"/>
      <c r="OHU5" s="180"/>
      <c r="OHV5" s="182"/>
      <c r="OHW5" s="182"/>
      <c r="OHX5" s="182"/>
      <c r="OHY5" s="182"/>
      <c r="OHZ5" s="182"/>
      <c r="OIA5" s="182"/>
      <c r="OIB5" s="179"/>
      <c r="OIC5" s="180"/>
      <c r="OID5" s="180"/>
      <c r="OIE5" s="180"/>
      <c r="OIF5" s="180"/>
      <c r="OIG5" s="181"/>
      <c r="OIH5" s="180"/>
      <c r="OII5" s="182"/>
      <c r="OIJ5" s="182"/>
      <c r="OIK5" s="182"/>
      <c r="OIL5" s="182"/>
      <c r="OIM5" s="182"/>
      <c r="OIN5" s="182"/>
      <c r="OIO5" s="179"/>
      <c r="OIP5" s="180"/>
      <c r="OIQ5" s="180"/>
      <c r="OIR5" s="180"/>
      <c r="OIS5" s="180"/>
      <c r="OIT5" s="181"/>
      <c r="OIU5" s="180"/>
      <c r="OIV5" s="182"/>
      <c r="OIW5" s="182"/>
      <c r="OIX5" s="182"/>
      <c r="OIY5" s="182"/>
      <c r="OIZ5" s="182"/>
      <c r="OJA5" s="182"/>
      <c r="OJB5" s="179"/>
      <c r="OJC5" s="180"/>
      <c r="OJD5" s="180"/>
      <c r="OJE5" s="180"/>
      <c r="OJF5" s="180"/>
      <c r="OJG5" s="181"/>
      <c r="OJH5" s="180"/>
      <c r="OJI5" s="182"/>
      <c r="OJJ5" s="182"/>
      <c r="OJK5" s="182"/>
      <c r="OJL5" s="182"/>
      <c r="OJM5" s="182"/>
      <c r="OJN5" s="182"/>
      <c r="OJO5" s="179"/>
      <c r="OJP5" s="180"/>
      <c r="OJQ5" s="180"/>
      <c r="OJR5" s="180"/>
      <c r="OJS5" s="180"/>
      <c r="OJT5" s="181"/>
      <c r="OJU5" s="180"/>
      <c r="OJV5" s="182"/>
      <c r="OJW5" s="182"/>
      <c r="OJX5" s="182"/>
      <c r="OJY5" s="182"/>
      <c r="OJZ5" s="182"/>
      <c r="OKA5" s="182"/>
      <c r="OKB5" s="179"/>
      <c r="OKC5" s="180"/>
      <c r="OKD5" s="180"/>
      <c r="OKE5" s="180"/>
      <c r="OKF5" s="180"/>
      <c r="OKG5" s="181"/>
      <c r="OKH5" s="180"/>
      <c r="OKI5" s="182"/>
      <c r="OKJ5" s="182"/>
      <c r="OKK5" s="182"/>
      <c r="OKL5" s="182"/>
      <c r="OKM5" s="182"/>
      <c r="OKN5" s="182"/>
      <c r="OKO5" s="179"/>
      <c r="OKP5" s="180"/>
      <c r="OKQ5" s="180"/>
      <c r="OKR5" s="180"/>
      <c r="OKS5" s="180"/>
      <c r="OKT5" s="181"/>
      <c r="OKU5" s="180"/>
      <c r="OKV5" s="182"/>
      <c r="OKW5" s="182"/>
      <c r="OKX5" s="182"/>
      <c r="OKY5" s="182"/>
      <c r="OKZ5" s="182"/>
      <c r="OLA5" s="182"/>
      <c r="OLB5" s="179"/>
      <c r="OLC5" s="180"/>
      <c r="OLD5" s="180"/>
      <c r="OLE5" s="180"/>
      <c r="OLF5" s="180"/>
      <c r="OLG5" s="181"/>
      <c r="OLH5" s="180"/>
      <c r="OLI5" s="182"/>
      <c r="OLJ5" s="182"/>
      <c r="OLK5" s="182"/>
      <c r="OLL5" s="182"/>
      <c r="OLM5" s="182"/>
      <c r="OLN5" s="182"/>
      <c r="OLO5" s="179"/>
      <c r="OLP5" s="180"/>
      <c r="OLQ5" s="180"/>
      <c r="OLR5" s="180"/>
      <c r="OLS5" s="180"/>
      <c r="OLT5" s="181"/>
      <c r="OLU5" s="180"/>
      <c r="OLV5" s="182"/>
      <c r="OLW5" s="182"/>
      <c r="OLX5" s="182"/>
      <c r="OLY5" s="182"/>
      <c r="OLZ5" s="182"/>
      <c r="OMA5" s="182"/>
      <c r="OMB5" s="179"/>
      <c r="OMC5" s="180"/>
      <c r="OMD5" s="180"/>
      <c r="OME5" s="180"/>
      <c r="OMF5" s="180"/>
      <c r="OMG5" s="181"/>
      <c r="OMH5" s="180"/>
      <c r="OMI5" s="182"/>
      <c r="OMJ5" s="182"/>
      <c r="OMK5" s="182"/>
      <c r="OML5" s="182"/>
      <c r="OMM5" s="182"/>
      <c r="OMN5" s="182"/>
      <c r="OMO5" s="179"/>
      <c r="OMP5" s="180"/>
      <c r="OMQ5" s="180"/>
      <c r="OMR5" s="180"/>
      <c r="OMS5" s="180"/>
      <c r="OMT5" s="181"/>
      <c r="OMU5" s="180"/>
      <c r="OMV5" s="182"/>
      <c r="OMW5" s="182"/>
      <c r="OMX5" s="182"/>
      <c r="OMY5" s="182"/>
      <c r="OMZ5" s="182"/>
      <c r="ONA5" s="182"/>
      <c r="ONB5" s="179"/>
      <c r="ONC5" s="180"/>
      <c r="OND5" s="180"/>
      <c r="ONE5" s="180"/>
      <c r="ONF5" s="180"/>
      <c r="ONG5" s="181"/>
      <c r="ONH5" s="180"/>
      <c r="ONI5" s="182"/>
      <c r="ONJ5" s="182"/>
      <c r="ONK5" s="182"/>
      <c r="ONL5" s="182"/>
      <c r="ONM5" s="182"/>
      <c r="ONN5" s="182"/>
      <c r="ONO5" s="179"/>
      <c r="ONP5" s="180"/>
      <c r="ONQ5" s="180"/>
      <c r="ONR5" s="180"/>
      <c r="ONS5" s="180"/>
      <c r="ONT5" s="181"/>
      <c r="ONU5" s="180"/>
      <c r="ONV5" s="182"/>
      <c r="ONW5" s="182"/>
      <c r="ONX5" s="182"/>
      <c r="ONY5" s="182"/>
      <c r="ONZ5" s="182"/>
      <c r="OOA5" s="182"/>
      <c r="OOB5" s="179"/>
      <c r="OOC5" s="180"/>
      <c r="OOD5" s="180"/>
      <c r="OOE5" s="180"/>
      <c r="OOF5" s="180"/>
      <c r="OOG5" s="181"/>
      <c r="OOH5" s="180"/>
      <c r="OOI5" s="182"/>
      <c r="OOJ5" s="182"/>
      <c r="OOK5" s="182"/>
      <c r="OOL5" s="182"/>
      <c r="OOM5" s="182"/>
      <c r="OON5" s="182"/>
      <c r="OOO5" s="179"/>
      <c r="OOP5" s="180"/>
      <c r="OOQ5" s="180"/>
      <c r="OOR5" s="180"/>
      <c r="OOS5" s="180"/>
      <c r="OOT5" s="181"/>
      <c r="OOU5" s="180"/>
      <c r="OOV5" s="182"/>
      <c r="OOW5" s="182"/>
      <c r="OOX5" s="182"/>
      <c r="OOY5" s="182"/>
      <c r="OOZ5" s="182"/>
      <c r="OPA5" s="182"/>
      <c r="OPB5" s="179"/>
      <c r="OPC5" s="180"/>
      <c r="OPD5" s="180"/>
      <c r="OPE5" s="180"/>
      <c r="OPF5" s="180"/>
      <c r="OPG5" s="181"/>
      <c r="OPH5" s="180"/>
      <c r="OPI5" s="182"/>
      <c r="OPJ5" s="182"/>
      <c r="OPK5" s="182"/>
      <c r="OPL5" s="182"/>
      <c r="OPM5" s="182"/>
      <c r="OPN5" s="182"/>
      <c r="OPO5" s="179"/>
      <c r="OPP5" s="180"/>
      <c r="OPQ5" s="180"/>
      <c r="OPR5" s="180"/>
      <c r="OPS5" s="180"/>
      <c r="OPT5" s="181"/>
      <c r="OPU5" s="180"/>
      <c r="OPV5" s="182"/>
      <c r="OPW5" s="182"/>
      <c r="OPX5" s="182"/>
      <c r="OPY5" s="182"/>
      <c r="OPZ5" s="182"/>
      <c r="OQA5" s="182"/>
      <c r="OQB5" s="179"/>
      <c r="OQC5" s="180"/>
      <c r="OQD5" s="180"/>
      <c r="OQE5" s="180"/>
      <c r="OQF5" s="180"/>
      <c r="OQG5" s="181"/>
      <c r="OQH5" s="180"/>
      <c r="OQI5" s="182"/>
      <c r="OQJ5" s="182"/>
      <c r="OQK5" s="182"/>
      <c r="OQL5" s="182"/>
      <c r="OQM5" s="182"/>
      <c r="OQN5" s="182"/>
      <c r="OQO5" s="179"/>
      <c r="OQP5" s="180"/>
      <c r="OQQ5" s="180"/>
      <c r="OQR5" s="180"/>
      <c r="OQS5" s="180"/>
      <c r="OQT5" s="181"/>
      <c r="OQU5" s="180"/>
      <c r="OQV5" s="182"/>
      <c r="OQW5" s="182"/>
      <c r="OQX5" s="182"/>
      <c r="OQY5" s="182"/>
      <c r="OQZ5" s="182"/>
      <c r="ORA5" s="182"/>
      <c r="ORB5" s="179"/>
      <c r="ORC5" s="180"/>
      <c r="ORD5" s="180"/>
      <c r="ORE5" s="180"/>
      <c r="ORF5" s="180"/>
      <c r="ORG5" s="181"/>
      <c r="ORH5" s="180"/>
      <c r="ORI5" s="182"/>
      <c r="ORJ5" s="182"/>
      <c r="ORK5" s="182"/>
      <c r="ORL5" s="182"/>
      <c r="ORM5" s="182"/>
      <c r="ORN5" s="182"/>
      <c r="ORO5" s="179"/>
      <c r="ORP5" s="180"/>
      <c r="ORQ5" s="180"/>
      <c r="ORR5" s="180"/>
      <c r="ORS5" s="180"/>
      <c r="ORT5" s="181"/>
      <c r="ORU5" s="180"/>
      <c r="ORV5" s="182"/>
      <c r="ORW5" s="182"/>
      <c r="ORX5" s="182"/>
      <c r="ORY5" s="182"/>
      <c r="ORZ5" s="182"/>
      <c r="OSA5" s="182"/>
      <c r="OSB5" s="179"/>
      <c r="OSC5" s="180"/>
      <c r="OSD5" s="180"/>
      <c r="OSE5" s="180"/>
      <c r="OSF5" s="180"/>
      <c r="OSG5" s="181"/>
      <c r="OSH5" s="180"/>
      <c r="OSI5" s="182"/>
      <c r="OSJ5" s="182"/>
      <c r="OSK5" s="182"/>
      <c r="OSL5" s="182"/>
      <c r="OSM5" s="182"/>
      <c r="OSN5" s="182"/>
      <c r="OSO5" s="179"/>
      <c r="OSP5" s="180"/>
      <c r="OSQ5" s="180"/>
      <c r="OSR5" s="180"/>
      <c r="OSS5" s="180"/>
      <c r="OST5" s="181"/>
      <c r="OSU5" s="180"/>
      <c r="OSV5" s="182"/>
      <c r="OSW5" s="182"/>
      <c r="OSX5" s="182"/>
      <c r="OSY5" s="182"/>
      <c r="OSZ5" s="182"/>
      <c r="OTA5" s="182"/>
      <c r="OTB5" s="179"/>
      <c r="OTC5" s="180"/>
      <c r="OTD5" s="180"/>
      <c r="OTE5" s="180"/>
      <c r="OTF5" s="180"/>
      <c r="OTG5" s="181"/>
      <c r="OTH5" s="180"/>
      <c r="OTI5" s="182"/>
      <c r="OTJ5" s="182"/>
      <c r="OTK5" s="182"/>
      <c r="OTL5" s="182"/>
      <c r="OTM5" s="182"/>
      <c r="OTN5" s="182"/>
      <c r="OTO5" s="179"/>
      <c r="OTP5" s="180"/>
      <c r="OTQ5" s="180"/>
      <c r="OTR5" s="180"/>
      <c r="OTS5" s="180"/>
      <c r="OTT5" s="181"/>
      <c r="OTU5" s="180"/>
      <c r="OTV5" s="182"/>
      <c r="OTW5" s="182"/>
      <c r="OTX5" s="182"/>
      <c r="OTY5" s="182"/>
      <c r="OTZ5" s="182"/>
      <c r="OUA5" s="182"/>
      <c r="OUB5" s="179"/>
      <c r="OUC5" s="180"/>
      <c r="OUD5" s="180"/>
      <c r="OUE5" s="180"/>
      <c r="OUF5" s="180"/>
      <c r="OUG5" s="181"/>
      <c r="OUH5" s="180"/>
      <c r="OUI5" s="182"/>
      <c r="OUJ5" s="182"/>
      <c r="OUK5" s="182"/>
      <c r="OUL5" s="182"/>
      <c r="OUM5" s="182"/>
      <c r="OUN5" s="182"/>
      <c r="OUO5" s="179"/>
      <c r="OUP5" s="180"/>
      <c r="OUQ5" s="180"/>
      <c r="OUR5" s="180"/>
      <c r="OUS5" s="180"/>
      <c r="OUT5" s="181"/>
      <c r="OUU5" s="180"/>
      <c r="OUV5" s="182"/>
      <c r="OUW5" s="182"/>
      <c r="OUX5" s="182"/>
      <c r="OUY5" s="182"/>
      <c r="OUZ5" s="182"/>
      <c r="OVA5" s="182"/>
      <c r="OVB5" s="179"/>
      <c r="OVC5" s="180"/>
      <c r="OVD5" s="180"/>
      <c r="OVE5" s="180"/>
      <c r="OVF5" s="180"/>
      <c r="OVG5" s="181"/>
      <c r="OVH5" s="180"/>
      <c r="OVI5" s="182"/>
      <c r="OVJ5" s="182"/>
      <c r="OVK5" s="182"/>
      <c r="OVL5" s="182"/>
      <c r="OVM5" s="182"/>
      <c r="OVN5" s="182"/>
      <c r="OVO5" s="179"/>
      <c r="OVP5" s="180"/>
      <c r="OVQ5" s="180"/>
      <c r="OVR5" s="180"/>
      <c r="OVS5" s="180"/>
      <c r="OVT5" s="181"/>
      <c r="OVU5" s="180"/>
      <c r="OVV5" s="182"/>
      <c r="OVW5" s="182"/>
      <c r="OVX5" s="182"/>
      <c r="OVY5" s="182"/>
      <c r="OVZ5" s="182"/>
      <c r="OWA5" s="182"/>
      <c r="OWB5" s="179"/>
      <c r="OWC5" s="180"/>
      <c r="OWD5" s="180"/>
      <c r="OWE5" s="180"/>
      <c r="OWF5" s="180"/>
      <c r="OWG5" s="181"/>
      <c r="OWH5" s="180"/>
      <c r="OWI5" s="182"/>
      <c r="OWJ5" s="182"/>
      <c r="OWK5" s="182"/>
      <c r="OWL5" s="182"/>
      <c r="OWM5" s="182"/>
      <c r="OWN5" s="182"/>
      <c r="OWO5" s="179"/>
      <c r="OWP5" s="180"/>
      <c r="OWQ5" s="180"/>
      <c r="OWR5" s="180"/>
      <c r="OWS5" s="180"/>
      <c r="OWT5" s="181"/>
      <c r="OWU5" s="180"/>
      <c r="OWV5" s="182"/>
      <c r="OWW5" s="182"/>
      <c r="OWX5" s="182"/>
      <c r="OWY5" s="182"/>
      <c r="OWZ5" s="182"/>
      <c r="OXA5" s="182"/>
      <c r="OXB5" s="179"/>
      <c r="OXC5" s="180"/>
      <c r="OXD5" s="180"/>
      <c r="OXE5" s="180"/>
      <c r="OXF5" s="180"/>
      <c r="OXG5" s="181"/>
      <c r="OXH5" s="180"/>
      <c r="OXI5" s="182"/>
      <c r="OXJ5" s="182"/>
      <c r="OXK5" s="182"/>
      <c r="OXL5" s="182"/>
      <c r="OXM5" s="182"/>
      <c r="OXN5" s="182"/>
      <c r="OXO5" s="179"/>
      <c r="OXP5" s="180"/>
      <c r="OXQ5" s="180"/>
      <c r="OXR5" s="180"/>
      <c r="OXS5" s="180"/>
      <c r="OXT5" s="181"/>
      <c r="OXU5" s="180"/>
      <c r="OXV5" s="182"/>
      <c r="OXW5" s="182"/>
      <c r="OXX5" s="182"/>
      <c r="OXY5" s="182"/>
      <c r="OXZ5" s="182"/>
      <c r="OYA5" s="182"/>
      <c r="OYB5" s="179"/>
      <c r="OYC5" s="180"/>
      <c r="OYD5" s="180"/>
      <c r="OYE5" s="180"/>
      <c r="OYF5" s="180"/>
      <c r="OYG5" s="181"/>
      <c r="OYH5" s="180"/>
      <c r="OYI5" s="182"/>
      <c r="OYJ5" s="182"/>
      <c r="OYK5" s="182"/>
      <c r="OYL5" s="182"/>
      <c r="OYM5" s="182"/>
      <c r="OYN5" s="182"/>
      <c r="OYO5" s="179"/>
      <c r="OYP5" s="180"/>
      <c r="OYQ5" s="180"/>
      <c r="OYR5" s="180"/>
      <c r="OYS5" s="180"/>
      <c r="OYT5" s="181"/>
      <c r="OYU5" s="180"/>
      <c r="OYV5" s="182"/>
      <c r="OYW5" s="182"/>
      <c r="OYX5" s="182"/>
      <c r="OYY5" s="182"/>
      <c r="OYZ5" s="182"/>
      <c r="OZA5" s="182"/>
      <c r="OZB5" s="179"/>
      <c r="OZC5" s="180"/>
      <c r="OZD5" s="180"/>
      <c r="OZE5" s="180"/>
      <c r="OZF5" s="180"/>
      <c r="OZG5" s="181"/>
      <c r="OZH5" s="180"/>
      <c r="OZI5" s="182"/>
      <c r="OZJ5" s="182"/>
      <c r="OZK5" s="182"/>
      <c r="OZL5" s="182"/>
      <c r="OZM5" s="182"/>
      <c r="OZN5" s="182"/>
      <c r="OZO5" s="179"/>
      <c r="OZP5" s="180"/>
      <c r="OZQ5" s="180"/>
      <c r="OZR5" s="180"/>
      <c r="OZS5" s="180"/>
      <c r="OZT5" s="181"/>
      <c r="OZU5" s="180"/>
      <c r="OZV5" s="182"/>
      <c r="OZW5" s="182"/>
      <c r="OZX5" s="182"/>
      <c r="OZY5" s="182"/>
      <c r="OZZ5" s="182"/>
      <c r="PAA5" s="182"/>
      <c r="PAB5" s="179"/>
      <c r="PAC5" s="180"/>
      <c r="PAD5" s="180"/>
      <c r="PAE5" s="180"/>
      <c r="PAF5" s="180"/>
      <c r="PAG5" s="181"/>
      <c r="PAH5" s="180"/>
      <c r="PAI5" s="182"/>
      <c r="PAJ5" s="182"/>
      <c r="PAK5" s="182"/>
      <c r="PAL5" s="182"/>
      <c r="PAM5" s="182"/>
      <c r="PAN5" s="182"/>
      <c r="PAO5" s="179"/>
      <c r="PAP5" s="180"/>
      <c r="PAQ5" s="180"/>
      <c r="PAR5" s="180"/>
      <c r="PAS5" s="180"/>
      <c r="PAT5" s="181"/>
      <c r="PAU5" s="180"/>
      <c r="PAV5" s="182"/>
      <c r="PAW5" s="182"/>
      <c r="PAX5" s="182"/>
      <c r="PAY5" s="182"/>
      <c r="PAZ5" s="182"/>
      <c r="PBA5" s="182"/>
      <c r="PBB5" s="179"/>
      <c r="PBC5" s="180"/>
      <c r="PBD5" s="180"/>
      <c r="PBE5" s="180"/>
      <c r="PBF5" s="180"/>
      <c r="PBG5" s="181"/>
      <c r="PBH5" s="180"/>
      <c r="PBI5" s="182"/>
      <c r="PBJ5" s="182"/>
      <c r="PBK5" s="182"/>
      <c r="PBL5" s="182"/>
      <c r="PBM5" s="182"/>
      <c r="PBN5" s="182"/>
      <c r="PBO5" s="179"/>
      <c r="PBP5" s="180"/>
      <c r="PBQ5" s="180"/>
      <c r="PBR5" s="180"/>
      <c r="PBS5" s="180"/>
      <c r="PBT5" s="181"/>
      <c r="PBU5" s="180"/>
      <c r="PBV5" s="182"/>
      <c r="PBW5" s="182"/>
      <c r="PBX5" s="182"/>
      <c r="PBY5" s="182"/>
      <c r="PBZ5" s="182"/>
      <c r="PCA5" s="182"/>
      <c r="PCB5" s="179"/>
      <c r="PCC5" s="180"/>
      <c r="PCD5" s="180"/>
      <c r="PCE5" s="180"/>
      <c r="PCF5" s="180"/>
      <c r="PCG5" s="181"/>
      <c r="PCH5" s="180"/>
      <c r="PCI5" s="182"/>
      <c r="PCJ5" s="182"/>
      <c r="PCK5" s="182"/>
      <c r="PCL5" s="182"/>
      <c r="PCM5" s="182"/>
      <c r="PCN5" s="182"/>
      <c r="PCO5" s="179"/>
      <c r="PCP5" s="180"/>
      <c r="PCQ5" s="180"/>
      <c r="PCR5" s="180"/>
      <c r="PCS5" s="180"/>
      <c r="PCT5" s="181"/>
      <c r="PCU5" s="180"/>
      <c r="PCV5" s="182"/>
      <c r="PCW5" s="182"/>
      <c r="PCX5" s="182"/>
      <c r="PCY5" s="182"/>
      <c r="PCZ5" s="182"/>
      <c r="PDA5" s="182"/>
      <c r="PDB5" s="179"/>
      <c r="PDC5" s="180"/>
      <c r="PDD5" s="180"/>
      <c r="PDE5" s="180"/>
      <c r="PDF5" s="180"/>
      <c r="PDG5" s="181"/>
      <c r="PDH5" s="180"/>
      <c r="PDI5" s="182"/>
      <c r="PDJ5" s="182"/>
      <c r="PDK5" s="182"/>
      <c r="PDL5" s="182"/>
      <c r="PDM5" s="182"/>
      <c r="PDN5" s="182"/>
      <c r="PDO5" s="179"/>
      <c r="PDP5" s="180"/>
      <c r="PDQ5" s="180"/>
      <c r="PDR5" s="180"/>
      <c r="PDS5" s="180"/>
      <c r="PDT5" s="181"/>
      <c r="PDU5" s="180"/>
      <c r="PDV5" s="182"/>
      <c r="PDW5" s="182"/>
      <c r="PDX5" s="182"/>
      <c r="PDY5" s="182"/>
      <c r="PDZ5" s="182"/>
      <c r="PEA5" s="182"/>
      <c r="PEB5" s="179"/>
      <c r="PEC5" s="180"/>
      <c r="PED5" s="180"/>
      <c r="PEE5" s="180"/>
      <c r="PEF5" s="180"/>
      <c r="PEG5" s="181"/>
      <c r="PEH5" s="180"/>
      <c r="PEI5" s="182"/>
      <c r="PEJ5" s="182"/>
      <c r="PEK5" s="182"/>
      <c r="PEL5" s="182"/>
      <c r="PEM5" s="182"/>
      <c r="PEN5" s="182"/>
      <c r="PEO5" s="179"/>
      <c r="PEP5" s="180"/>
      <c r="PEQ5" s="180"/>
      <c r="PER5" s="180"/>
      <c r="PES5" s="180"/>
      <c r="PET5" s="181"/>
      <c r="PEU5" s="180"/>
      <c r="PEV5" s="182"/>
      <c r="PEW5" s="182"/>
      <c r="PEX5" s="182"/>
      <c r="PEY5" s="182"/>
      <c r="PEZ5" s="182"/>
      <c r="PFA5" s="182"/>
      <c r="PFB5" s="179"/>
      <c r="PFC5" s="180"/>
      <c r="PFD5" s="180"/>
      <c r="PFE5" s="180"/>
      <c r="PFF5" s="180"/>
      <c r="PFG5" s="181"/>
      <c r="PFH5" s="180"/>
      <c r="PFI5" s="182"/>
      <c r="PFJ5" s="182"/>
      <c r="PFK5" s="182"/>
      <c r="PFL5" s="182"/>
      <c r="PFM5" s="182"/>
      <c r="PFN5" s="182"/>
      <c r="PFO5" s="179"/>
      <c r="PFP5" s="180"/>
      <c r="PFQ5" s="180"/>
      <c r="PFR5" s="180"/>
      <c r="PFS5" s="180"/>
      <c r="PFT5" s="181"/>
      <c r="PFU5" s="180"/>
      <c r="PFV5" s="182"/>
      <c r="PFW5" s="182"/>
      <c r="PFX5" s="182"/>
      <c r="PFY5" s="182"/>
      <c r="PFZ5" s="182"/>
      <c r="PGA5" s="182"/>
      <c r="PGB5" s="179"/>
      <c r="PGC5" s="180"/>
      <c r="PGD5" s="180"/>
      <c r="PGE5" s="180"/>
      <c r="PGF5" s="180"/>
      <c r="PGG5" s="181"/>
      <c r="PGH5" s="180"/>
      <c r="PGI5" s="182"/>
      <c r="PGJ5" s="182"/>
      <c r="PGK5" s="182"/>
      <c r="PGL5" s="182"/>
      <c r="PGM5" s="182"/>
      <c r="PGN5" s="182"/>
      <c r="PGO5" s="179"/>
      <c r="PGP5" s="180"/>
      <c r="PGQ5" s="180"/>
      <c r="PGR5" s="180"/>
      <c r="PGS5" s="180"/>
      <c r="PGT5" s="181"/>
      <c r="PGU5" s="180"/>
      <c r="PGV5" s="182"/>
      <c r="PGW5" s="182"/>
      <c r="PGX5" s="182"/>
      <c r="PGY5" s="182"/>
      <c r="PGZ5" s="182"/>
      <c r="PHA5" s="182"/>
      <c r="PHB5" s="179"/>
      <c r="PHC5" s="180"/>
      <c r="PHD5" s="180"/>
      <c r="PHE5" s="180"/>
      <c r="PHF5" s="180"/>
      <c r="PHG5" s="181"/>
      <c r="PHH5" s="180"/>
      <c r="PHI5" s="182"/>
      <c r="PHJ5" s="182"/>
      <c r="PHK5" s="182"/>
      <c r="PHL5" s="182"/>
      <c r="PHM5" s="182"/>
      <c r="PHN5" s="182"/>
      <c r="PHO5" s="179"/>
      <c r="PHP5" s="180"/>
      <c r="PHQ5" s="180"/>
      <c r="PHR5" s="180"/>
      <c r="PHS5" s="180"/>
      <c r="PHT5" s="181"/>
      <c r="PHU5" s="180"/>
      <c r="PHV5" s="182"/>
      <c r="PHW5" s="182"/>
      <c r="PHX5" s="182"/>
      <c r="PHY5" s="182"/>
      <c r="PHZ5" s="182"/>
      <c r="PIA5" s="182"/>
      <c r="PIB5" s="179"/>
      <c r="PIC5" s="180"/>
      <c r="PID5" s="180"/>
      <c r="PIE5" s="180"/>
      <c r="PIF5" s="180"/>
      <c r="PIG5" s="181"/>
      <c r="PIH5" s="180"/>
      <c r="PII5" s="182"/>
      <c r="PIJ5" s="182"/>
      <c r="PIK5" s="182"/>
      <c r="PIL5" s="182"/>
      <c r="PIM5" s="182"/>
      <c r="PIN5" s="182"/>
      <c r="PIO5" s="179"/>
      <c r="PIP5" s="180"/>
      <c r="PIQ5" s="180"/>
      <c r="PIR5" s="180"/>
      <c r="PIS5" s="180"/>
      <c r="PIT5" s="181"/>
      <c r="PIU5" s="180"/>
      <c r="PIV5" s="182"/>
      <c r="PIW5" s="182"/>
      <c r="PIX5" s="182"/>
      <c r="PIY5" s="182"/>
      <c r="PIZ5" s="182"/>
      <c r="PJA5" s="182"/>
      <c r="PJB5" s="179"/>
      <c r="PJC5" s="180"/>
      <c r="PJD5" s="180"/>
      <c r="PJE5" s="180"/>
      <c r="PJF5" s="180"/>
      <c r="PJG5" s="181"/>
      <c r="PJH5" s="180"/>
      <c r="PJI5" s="182"/>
      <c r="PJJ5" s="182"/>
      <c r="PJK5" s="182"/>
      <c r="PJL5" s="182"/>
      <c r="PJM5" s="182"/>
      <c r="PJN5" s="182"/>
      <c r="PJO5" s="179"/>
      <c r="PJP5" s="180"/>
      <c r="PJQ5" s="180"/>
      <c r="PJR5" s="180"/>
      <c r="PJS5" s="180"/>
      <c r="PJT5" s="181"/>
      <c r="PJU5" s="180"/>
      <c r="PJV5" s="182"/>
      <c r="PJW5" s="182"/>
      <c r="PJX5" s="182"/>
      <c r="PJY5" s="182"/>
      <c r="PJZ5" s="182"/>
      <c r="PKA5" s="182"/>
      <c r="PKB5" s="179"/>
      <c r="PKC5" s="180"/>
      <c r="PKD5" s="180"/>
      <c r="PKE5" s="180"/>
      <c r="PKF5" s="180"/>
      <c r="PKG5" s="181"/>
      <c r="PKH5" s="180"/>
      <c r="PKI5" s="182"/>
      <c r="PKJ5" s="182"/>
      <c r="PKK5" s="182"/>
      <c r="PKL5" s="182"/>
      <c r="PKM5" s="182"/>
      <c r="PKN5" s="182"/>
      <c r="PKO5" s="179"/>
      <c r="PKP5" s="180"/>
      <c r="PKQ5" s="180"/>
      <c r="PKR5" s="180"/>
      <c r="PKS5" s="180"/>
      <c r="PKT5" s="181"/>
      <c r="PKU5" s="180"/>
      <c r="PKV5" s="182"/>
      <c r="PKW5" s="182"/>
      <c r="PKX5" s="182"/>
      <c r="PKY5" s="182"/>
      <c r="PKZ5" s="182"/>
      <c r="PLA5" s="182"/>
      <c r="PLB5" s="179"/>
      <c r="PLC5" s="180"/>
      <c r="PLD5" s="180"/>
      <c r="PLE5" s="180"/>
      <c r="PLF5" s="180"/>
      <c r="PLG5" s="181"/>
      <c r="PLH5" s="180"/>
      <c r="PLI5" s="182"/>
      <c r="PLJ5" s="182"/>
      <c r="PLK5" s="182"/>
      <c r="PLL5" s="182"/>
      <c r="PLM5" s="182"/>
      <c r="PLN5" s="182"/>
      <c r="PLO5" s="179"/>
      <c r="PLP5" s="180"/>
      <c r="PLQ5" s="180"/>
      <c r="PLR5" s="180"/>
      <c r="PLS5" s="180"/>
      <c r="PLT5" s="181"/>
      <c r="PLU5" s="180"/>
      <c r="PLV5" s="182"/>
      <c r="PLW5" s="182"/>
      <c r="PLX5" s="182"/>
      <c r="PLY5" s="182"/>
      <c r="PLZ5" s="182"/>
      <c r="PMA5" s="182"/>
      <c r="PMB5" s="179"/>
      <c r="PMC5" s="180"/>
      <c r="PMD5" s="180"/>
      <c r="PME5" s="180"/>
      <c r="PMF5" s="180"/>
      <c r="PMG5" s="181"/>
      <c r="PMH5" s="180"/>
      <c r="PMI5" s="182"/>
      <c r="PMJ5" s="182"/>
      <c r="PMK5" s="182"/>
      <c r="PML5" s="182"/>
      <c r="PMM5" s="182"/>
      <c r="PMN5" s="182"/>
      <c r="PMO5" s="179"/>
      <c r="PMP5" s="180"/>
      <c r="PMQ5" s="180"/>
      <c r="PMR5" s="180"/>
      <c r="PMS5" s="180"/>
      <c r="PMT5" s="181"/>
      <c r="PMU5" s="180"/>
      <c r="PMV5" s="182"/>
      <c r="PMW5" s="182"/>
      <c r="PMX5" s="182"/>
      <c r="PMY5" s="182"/>
      <c r="PMZ5" s="182"/>
      <c r="PNA5" s="182"/>
      <c r="PNB5" s="179"/>
      <c r="PNC5" s="180"/>
      <c r="PND5" s="180"/>
      <c r="PNE5" s="180"/>
      <c r="PNF5" s="180"/>
      <c r="PNG5" s="181"/>
      <c r="PNH5" s="180"/>
      <c r="PNI5" s="182"/>
      <c r="PNJ5" s="182"/>
      <c r="PNK5" s="182"/>
      <c r="PNL5" s="182"/>
      <c r="PNM5" s="182"/>
      <c r="PNN5" s="182"/>
      <c r="PNO5" s="179"/>
      <c r="PNP5" s="180"/>
      <c r="PNQ5" s="180"/>
      <c r="PNR5" s="180"/>
      <c r="PNS5" s="180"/>
      <c r="PNT5" s="181"/>
      <c r="PNU5" s="180"/>
      <c r="PNV5" s="182"/>
      <c r="PNW5" s="182"/>
      <c r="PNX5" s="182"/>
      <c r="PNY5" s="182"/>
      <c r="PNZ5" s="182"/>
      <c r="POA5" s="182"/>
      <c r="POB5" s="179"/>
      <c r="POC5" s="180"/>
      <c r="POD5" s="180"/>
      <c r="POE5" s="180"/>
      <c r="POF5" s="180"/>
      <c r="POG5" s="181"/>
      <c r="POH5" s="180"/>
      <c r="POI5" s="182"/>
      <c r="POJ5" s="182"/>
      <c r="POK5" s="182"/>
      <c r="POL5" s="182"/>
      <c r="POM5" s="182"/>
      <c r="PON5" s="182"/>
      <c r="POO5" s="179"/>
      <c r="POP5" s="180"/>
      <c r="POQ5" s="180"/>
      <c r="POR5" s="180"/>
      <c r="POS5" s="180"/>
      <c r="POT5" s="181"/>
      <c r="POU5" s="180"/>
      <c r="POV5" s="182"/>
      <c r="POW5" s="182"/>
      <c r="POX5" s="182"/>
      <c r="POY5" s="182"/>
      <c r="POZ5" s="182"/>
      <c r="PPA5" s="182"/>
      <c r="PPB5" s="179"/>
      <c r="PPC5" s="180"/>
      <c r="PPD5" s="180"/>
      <c r="PPE5" s="180"/>
      <c r="PPF5" s="180"/>
      <c r="PPG5" s="181"/>
      <c r="PPH5" s="180"/>
      <c r="PPI5" s="182"/>
      <c r="PPJ5" s="182"/>
      <c r="PPK5" s="182"/>
      <c r="PPL5" s="182"/>
      <c r="PPM5" s="182"/>
      <c r="PPN5" s="182"/>
      <c r="PPO5" s="179"/>
      <c r="PPP5" s="180"/>
      <c r="PPQ5" s="180"/>
      <c r="PPR5" s="180"/>
      <c r="PPS5" s="180"/>
      <c r="PPT5" s="181"/>
      <c r="PPU5" s="180"/>
      <c r="PPV5" s="182"/>
      <c r="PPW5" s="182"/>
      <c r="PPX5" s="182"/>
      <c r="PPY5" s="182"/>
      <c r="PPZ5" s="182"/>
      <c r="PQA5" s="182"/>
      <c r="PQB5" s="179"/>
      <c r="PQC5" s="180"/>
      <c r="PQD5" s="180"/>
      <c r="PQE5" s="180"/>
      <c r="PQF5" s="180"/>
      <c r="PQG5" s="181"/>
      <c r="PQH5" s="180"/>
      <c r="PQI5" s="182"/>
      <c r="PQJ5" s="182"/>
      <c r="PQK5" s="182"/>
      <c r="PQL5" s="182"/>
      <c r="PQM5" s="182"/>
      <c r="PQN5" s="182"/>
      <c r="PQO5" s="179"/>
      <c r="PQP5" s="180"/>
      <c r="PQQ5" s="180"/>
      <c r="PQR5" s="180"/>
      <c r="PQS5" s="180"/>
      <c r="PQT5" s="181"/>
      <c r="PQU5" s="180"/>
      <c r="PQV5" s="182"/>
      <c r="PQW5" s="182"/>
      <c r="PQX5" s="182"/>
      <c r="PQY5" s="182"/>
      <c r="PQZ5" s="182"/>
      <c r="PRA5" s="182"/>
      <c r="PRB5" s="179"/>
      <c r="PRC5" s="180"/>
      <c r="PRD5" s="180"/>
      <c r="PRE5" s="180"/>
      <c r="PRF5" s="180"/>
      <c r="PRG5" s="181"/>
      <c r="PRH5" s="180"/>
      <c r="PRI5" s="182"/>
      <c r="PRJ5" s="182"/>
      <c r="PRK5" s="182"/>
      <c r="PRL5" s="182"/>
      <c r="PRM5" s="182"/>
      <c r="PRN5" s="182"/>
      <c r="PRO5" s="179"/>
      <c r="PRP5" s="180"/>
      <c r="PRQ5" s="180"/>
      <c r="PRR5" s="180"/>
      <c r="PRS5" s="180"/>
      <c r="PRT5" s="181"/>
      <c r="PRU5" s="180"/>
      <c r="PRV5" s="182"/>
      <c r="PRW5" s="182"/>
      <c r="PRX5" s="182"/>
      <c r="PRY5" s="182"/>
      <c r="PRZ5" s="182"/>
      <c r="PSA5" s="182"/>
      <c r="PSB5" s="179"/>
      <c r="PSC5" s="180"/>
      <c r="PSD5" s="180"/>
      <c r="PSE5" s="180"/>
      <c r="PSF5" s="180"/>
      <c r="PSG5" s="181"/>
      <c r="PSH5" s="180"/>
      <c r="PSI5" s="182"/>
      <c r="PSJ5" s="182"/>
      <c r="PSK5" s="182"/>
      <c r="PSL5" s="182"/>
      <c r="PSM5" s="182"/>
      <c r="PSN5" s="182"/>
      <c r="PSO5" s="179"/>
      <c r="PSP5" s="180"/>
      <c r="PSQ5" s="180"/>
      <c r="PSR5" s="180"/>
      <c r="PSS5" s="180"/>
      <c r="PST5" s="181"/>
      <c r="PSU5" s="180"/>
      <c r="PSV5" s="182"/>
      <c r="PSW5" s="182"/>
      <c r="PSX5" s="182"/>
      <c r="PSY5" s="182"/>
      <c r="PSZ5" s="182"/>
      <c r="PTA5" s="182"/>
      <c r="PTB5" s="179"/>
      <c r="PTC5" s="180"/>
      <c r="PTD5" s="180"/>
      <c r="PTE5" s="180"/>
      <c r="PTF5" s="180"/>
      <c r="PTG5" s="181"/>
      <c r="PTH5" s="180"/>
      <c r="PTI5" s="182"/>
      <c r="PTJ5" s="182"/>
      <c r="PTK5" s="182"/>
      <c r="PTL5" s="182"/>
      <c r="PTM5" s="182"/>
      <c r="PTN5" s="182"/>
      <c r="PTO5" s="179"/>
      <c r="PTP5" s="180"/>
      <c r="PTQ5" s="180"/>
      <c r="PTR5" s="180"/>
      <c r="PTS5" s="180"/>
      <c r="PTT5" s="181"/>
      <c r="PTU5" s="180"/>
      <c r="PTV5" s="182"/>
      <c r="PTW5" s="182"/>
      <c r="PTX5" s="182"/>
      <c r="PTY5" s="182"/>
      <c r="PTZ5" s="182"/>
      <c r="PUA5" s="182"/>
      <c r="PUB5" s="179"/>
      <c r="PUC5" s="180"/>
      <c r="PUD5" s="180"/>
      <c r="PUE5" s="180"/>
      <c r="PUF5" s="180"/>
      <c r="PUG5" s="181"/>
      <c r="PUH5" s="180"/>
      <c r="PUI5" s="182"/>
      <c r="PUJ5" s="182"/>
      <c r="PUK5" s="182"/>
      <c r="PUL5" s="182"/>
      <c r="PUM5" s="182"/>
      <c r="PUN5" s="182"/>
      <c r="PUO5" s="179"/>
      <c r="PUP5" s="180"/>
      <c r="PUQ5" s="180"/>
      <c r="PUR5" s="180"/>
      <c r="PUS5" s="180"/>
      <c r="PUT5" s="181"/>
      <c r="PUU5" s="180"/>
      <c r="PUV5" s="182"/>
      <c r="PUW5" s="182"/>
      <c r="PUX5" s="182"/>
      <c r="PUY5" s="182"/>
      <c r="PUZ5" s="182"/>
      <c r="PVA5" s="182"/>
      <c r="PVB5" s="179"/>
      <c r="PVC5" s="180"/>
      <c r="PVD5" s="180"/>
      <c r="PVE5" s="180"/>
      <c r="PVF5" s="180"/>
      <c r="PVG5" s="181"/>
      <c r="PVH5" s="180"/>
      <c r="PVI5" s="182"/>
      <c r="PVJ5" s="182"/>
      <c r="PVK5" s="182"/>
      <c r="PVL5" s="182"/>
      <c r="PVM5" s="182"/>
      <c r="PVN5" s="182"/>
      <c r="PVO5" s="179"/>
      <c r="PVP5" s="180"/>
      <c r="PVQ5" s="180"/>
      <c r="PVR5" s="180"/>
      <c r="PVS5" s="180"/>
      <c r="PVT5" s="181"/>
      <c r="PVU5" s="180"/>
      <c r="PVV5" s="182"/>
      <c r="PVW5" s="182"/>
      <c r="PVX5" s="182"/>
      <c r="PVY5" s="182"/>
      <c r="PVZ5" s="182"/>
      <c r="PWA5" s="182"/>
      <c r="PWB5" s="179"/>
      <c r="PWC5" s="180"/>
      <c r="PWD5" s="180"/>
      <c r="PWE5" s="180"/>
      <c r="PWF5" s="180"/>
      <c r="PWG5" s="181"/>
      <c r="PWH5" s="180"/>
      <c r="PWI5" s="182"/>
      <c r="PWJ5" s="182"/>
      <c r="PWK5" s="182"/>
      <c r="PWL5" s="182"/>
      <c r="PWM5" s="182"/>
      <c r="PWN5" s="182"/>
      <c r="PWO5" s="179"/>
      <c r="PWP5" s="180"/>
      <c r="PWQ5" s="180"/>
      <c r="PWR5" s="180"/>
      <c r="PWS5" s="180"/>
      <c r="PWT5" s="181"/>
      <c r="PWU5" s="180"/>
      <c r="PWV5" s="182"/>
      <c r="PWW5" s="182"/>
      <c r="PWX5" s="182"/>
      <c r="PWY5" s="182"/>
      <c r="PWZ5" s="182"/>
      <c r="PXA5" s="182"/>
      <c r="PXB5" s="179"/>
      <c r="PXC5" s="180"/>
      <c r="PXD5" s="180"/>
      <c r="PXE5" s="180"/>
      <c r="PXF5" s="180"/>
      <c r="PXG5" s="181"/>
      <c r="PXH5" s="180"/>
      <c r="PXI5" s="182"/>
      <c r="PXJ5" s="182"/>
      <c r="PXK5" s="182"/>
      <c r="PXL5" s="182"/>
      <c r="PXM5" s="182"/>
      <c r="PXN5" s="182"/>
      <c r="PXO5" s="179"/>
      <c r="PXP5" s="180"/>
      <c r="PXQ5" s="180"/>
      <c r="PXR5" s="180"/>
      <c r="PXS5" s="180"/>
      <c r="PXT5" s="181"/>
      <c r="PXU5" s="180"/>
      <c r="PXV5" s="182"/>
      <c r="PXW5" s="182"/>
      <c r="PXX5" s="182"/>
      <c r="PXY5" s="182"/>
      <c r="PXZ5" s="182"/>
      <c r="PYA5" s="182"/>
      <c r="PYB5" s="179"/>
      <c r="PYC5" s="180"/>
      <c r="PYD5" s="180"/>
      <c r="PYE5" s="180"/>
      <c r="PYF5" s="180"/>
      <c r="PYG5" s="181"/>
      <c r="PYH5" s="180"/>
      <c r="PYI5" s="182"/>
      <c r="PYJ5" s="182"/>
      <c r="PYK5" s="182"/>
      <c r="PYL5" s="182"/>
      <c r="PYM5" s="182"/>
      <c r="PYN5" s="182"/>
      <c r="PYO5" s="179"/>
      <c r="PYP5" s="180"/>
      <c r="PYQ5" s="180"/>
      <c r="PYR5" s="180"/>
      <c r="PYS5" s="180"/>
      <c r="PYT5" s="181"/>
      <c r="PYU5" s="180"/>
      <c r="PYV5" s="182"/>
      <c r="PYW5" s="182"/>
      <c r="PYX5" s="182"/>
      <c r="PYY5" s="182"/>
      <c r="PYZ5" s="182"/>
      <c r="PZA5" s="182"/>
      <c r="PZB5" s="179"/>
      <c r="PZC5" s="180"/>
      <c r="PZD5" s="180"/>
      <c r="PZE5" s="180"/>
      <c r="PZF5" s="180"/>
      <c r="PZG5" s="181"/>
      <c r="PZH5" s="180"/>
      <c r="PZI5" s="182"/>
      <c r="PZJ5" s="182"/>
      <c r="PZK5" s="182"/>
      <c r="PZL5" s="182"/>
      <c r="PZM5" s="182"/>
      <c r="PZN5" s="182"/>
      <c r="PZO5" s="179"/>
      <c r="PZP5" s="180"/>
      <c r="PZQ5" s="180"/>
      <c r="PZR5" s="180"/>
      <c r="PZS5" s="180"/>
      <c r="PZT5" s="181"/>
      <c r="PZU5" s="180"/>
      <c r="PZV5" s="182"/>
      <c r="PZW5" s="182"/>
      <c r="PZX5" s="182"/>
      <c r="PZY5" s="182"/>
      <c r="PZZ5" s="182"/>
      <c r="QAA5" s="182"/>
      <c r="QAB5" s="179"/>
      <c r="QAC5" s="180"/>
      <c r="QAD5" s="180"/>
      <c r="QAE5" s="180"/>
      <c r="QAF5" s="180"/>
      <c r="QAG5" s="181"/>
      <c r="QAH5" s="180"/>
      <c r="QAI5" s="182"/>
      <c r="QAJ5" s="182"/>
      <c r="QAK5" s="182"/>
      <c r="QAL5" s="182"/>
      <c r="QAM5" s="182"/>
      <c r="QAN5" s="182"/>
      <c r="QAO5" s="179"/>
      <c r="QAP5" s="180"/>
      <c r="QAQ5" s="180"/>
      <c r="QAR5" s="180"/>
      <c r="QAS5" s="180"/>
      <c r="QAT5" s="181"/>
      <c r="QAU5" s="180"/>
      <c r="QAV5" s="182"/>
      <c r="QAW5" s="182"/>
      <c r="QAX5" s="182"/>
      <c r="QAY5" s="182"/>
      <c r="QAZ5" s="182"/>
      <c r="QBA5" s="182"/>
      <c r="QBB5" s="179"/>
      <c r="QBC5" s="180"/>
      <c r="QBD5" s="180"/>
      <c r="QBE5" s="180"/>
      <c r="QBF5" s="180"/>
      <c r="QBG5" s="181"/>
      <c r="QBH5" s="180"/>
      <c r="QBI5" s="182"/>
      <c r="QBJ5" s="182"/>
      <c r="QBK5" s="182"/>
      <c r="QBL5" s="182"/>
      <c r="QBM5" s="182"/>
      <c r="QBN5" s="182"/>
      <c r="QBO5" s="179"/>
      <c r="QBP5" s="180"/>
      <c r="QBQ5" s="180"/>
      <c r="QBR5" s="180"/>
      <c r="QBS5" s="180"/>
      <c r="QBT5" s="181"/>
      <c r="QBU5" s="180"/>
      <c r="QBV5" s="182"/>
      <c r="QBW5" s="182"/>
      <c r="QBX5" s="182"/>
      <c r="QBY5" s="182"/>
      <c r="QBZ5" s="182"/>
      <c r="QCA5" s="182"/>
      <c r="QCB5" s="179"/>
      <c r="QCC5" s="180"/>
      <c r="QCD5" s="180"/>
      <c r="QCE5" s="180"/>
      <c r="QCF5" s="180"/>
      <c r="QCG5" s="181"/>
      <c r="QCH5" s="180"/>
      <c r="QCI5" s="182"/>
      <c r="QCJ5" s="182"/>
      <c r="QCK5" s="182"/>
      <c r="QCL5" s="182"/>
      <c r="QCM5" s="182"/>
      <c r="QCN5" s="182"/>
      <c r="QCO5" s="179"/>
      <c r="QCP5" s="180"/>
      <c r="QCQ5" s="180"/>
      <c r="QCR5" s="180"/>
      <c r="QCS5" s="180"/>
      <c r="QCT5" s="181"/>
      <c r="QCU5" s="180"/>
      <c r="QCV5" s="182"/>
      <c r="QCW5" s="182"/>
      <c r="QCX5" s="182"/>
      <c r="QCY5" s="182"/>
      <c r="QCZ5" s="182"/>
      <c r="QDA5" s="182"/>
      <c r="QDB5" s="179"/>
      <c r="QDC5" s="180"/>
      <c r="QDD5" s="180"/>
      <c r="QDE5" s="180"/>
      <c r="QDF5" s="180"/>
      <c r="QDG5" s="181"/>
      <c r="QDH5" s="180"/>
      <c r="QDI5" s="182"/>
      <c r="QDJ5" s="182"/>
      <c r="QDK5" s="182"/>
      <c r="QDL5" s="182"/>
      <c r="QDM5" s="182"/>
      <c r="QDN5" s="182"/>
      <c r="QDO5" s="179"/>
      <c r="QDP5" s="180"/>
      <c r="QDQ5" s="180"/>
      <c r="QDR5" s="180"/>
      <c r="QDS5" s="180"/>
      <c r="QDT5" s="181"/>
      <c r="QDU5" s="180"/>
      <c r="QDV5" s="182"/>
      <c r="QDW5" s="182"/>
      <c r="QDX5" s="182"/>
      <c r="QDY5" s="182"/>
      <c r="QDZ5" s="182"/>
      <c r="QEA5" s="182"/>
      <c r="QEB5" s="179"/>
      <c r="QEC5" s="180"/>
      <c r="QED5" s="180"/>
      <c r="QEE5" s="180"/>
      <c r="QEF5" s="180"/>
      <c r="QEG5" s="181"/>
      <c r="QEH5" s="180"/>
      <c r="QEI5" s="182"/>
      <c r="QEJ5" s="182"/>
      <c r="QEK5" s="182"/>
      <c r="QEL5" s="182"/>
      <c r="QEM5" s="182"/>
      <c r="QEN5" s="182"/>
      <c r="QEO5" s="179"/>
      <c r="QEP5" s="180"/>
      <c r="QEQ5" s="180"/>
      <c r="QER5" s="180"/>
      <c r="QES5" s="180"/>
      <c r="QET5" s="181"/>
      <c r="QEU5" s="180"/>
      <c r="QEV5" s="182"/>
      <c r="QEW5" s="182"/>
      <c r="QEX5" s="182"/>
      <c r="QEY5" s="182"/>
      <c r="QEZ5" s="182"/>
      <c r="QFA5" s="182"/>
      <c r="QFB5" s="179"/>
      <c r="QFC5" s="180"/>
      <c r="QFD5" s="180"/>
      <c r="QFE5" s="180"/>
      <c r="QFF5" s="180"/>
      <c r="QFG5" s="181"/>
      <c r="QFH5" s="180"/>
      <c r="QFI5" s="182"/>
      <c r="QFJ5" s="182"/>
      <c r="QFK5" s="182"/>
      <c r="QFL5" s="182"/>
      <c r="QFM5" s="182"/>
      <c r="QFN5" s="182"/>
      <c r="QFO5" s="179"/>
      <c r="QFP5" s="180"/>
      <c r="QFQ5" s="180"/>
      <c r="QFR5" s="180"/>
      <c r="QFS5" s="180"/>
      <c r="QFT5" s="181"/>
      <c r="QFU5" s="180"/>
      <c r="QFV5" s="182"/>
      <c r="QFW5" s="182"/>
      <c r="QFX5" s="182"/>
      <c r="QFY5" s="182"/>
      <c r="QFZ5" s="182"/>
      <c r="QGA5" s="182"/>
      <c r="QGB5" s="179"/>
      <c r="QGC5" s="180"/>
      <c r="QGD5" s="180"/>
      <c r="QGE5" s="180"/>
      <c r="QGF5" s="180"/>
      <c r="QGG5" s="181"/>
      <c r="QGH5" s="180"/>
      <c r="QGI5" s="182"/>
      <c r="QGJ5" s="182"/>
      <c r="QGK5" s="182"/>
      <c r="QGL5" s="182"/>
      <c r="QGM5" s="182"/>
      <c r="QGN5" s="182"/>
      <c r="QGO5" s="179"/>
      <c r="QGP5" s="180"/>
      <c r="QGQ5" s="180"/>
      <c r="QGR5" s="180"/>
      <c r="QGS5" s="180"/>
      <c r="QGT5" s="181"/>
      <c r="QGU5" s="180"/>
      <c r="QGV5" s="182"/>
      <c r="QGW5" s="182"/>
      <c r="QGX5" s="182"/>
      <c r="QGY5" s="182"/>
      <c r="QGZ5" s="182"/>
      <c r="QHA5" s="182"/>
      <c r="QHB5" s="179"/>
      <c r="QHC5" s="180"/>
      <c r="QHD5" s="180"/>
      <c r="QHE5" s="180"/>
      <c r="QHF5" s="180"/>
      <c r="QHG5" s="181"/>
      <c r="QHH5" s="180"/>
      <c r="QHI5" s="182"/>
      <c r="QHJ5" s="182"/>
      <c r="QHK5" s="182"/>
      <c r="QHL5" s="182"/>
      <c r="QHM5" s="182"/>
      <c r="QHN5" s="182"/>
      <c r="QHO5" s="179"/>
      <c r="QHP5" s="180"/>
      <c r="QHQ5" s="180"/>
      <c r="QHR5" s="180"/>
      <c r="QHS5" s="180"/>
      <c r="QHT5" s="181"/>
      <c r="QHU5" s="180"/>
      <c r="QHV5" s="182"/>
      <c r="QHW5" s="182"/>
      <c r="QHX5" s="182"/>
      <c r="QHY5" s="182"/>
      <c r="QHZ5" s="182"/>
      <c r="QIA5" s="182"/>
      <c r="QIB5" s="179"/>
      <c r="QIC5" s="180"/>
      <c r="QID5" s="180"/>
      <c r="QIE5" s="180"/>
      <c r="QIF5" s="180"/>
      <c r="QIG5" s="181"/>
      <c r="QIH5" s="180"/>
      <c r="QII5" s="182"/>
      <c r="QIJ5" s="182"/>
      <c r="QIK5" s="182"/>
      <c r="QIL5" s="182"/>
      <c r="QIM5" s="182"/>
      <c r="QIN5" s="182"/>
      <c r="QIO5" s="179"/>
      <c r="QIP5" s="180"/>
      <c r="QIQ5" s="180"/>
      <c r="QIR5" s="180"/>
      <c r="QIS5" s="180"/>
      <c r="QIT5" s="181"/>
      <c r="QIU5" s="180"/>
      <c r="QIV5" s="182"/>
      <c r="QIW5" s="182"/>
      <c r="QIX5" s="182"/>
      <c r="QIY5" s="182"/>
      <c r="QIZ5" s="182"/>
      <c r="QJA5" s="182"/>
      <c r="QJB5" s="179"/>
      <c r="QJC5" s="180"/>
      <c r="QJD5" s="180"/>
      <c r="QJE5" s="180"/>
      <c r="QJF5" s="180"/>
      <c r="QJG5" s="181"/>
      <c r="QJH5" s="180"/>
      <c r="QJI5" s="182"/>
      <c r="QJJ5" s="182"/>
      <c r="QJK5" s="182"/>
      <c r="QJL5" s="182"/>
      <c r="QJM5" s="182"/>
      <c r="QJN5" s="182"/>
      <c r="QJO5" s="179"/>
      <c r="QJP5" s="180"/>
      <c r="QJQ5" s="180"/>
      <c r="QJR5" s="180"/>
      <c r="QJS5" s="180"/>
      <c r="QJT5" s="181"/>
      <c r="QJU5" s="180"/>
      <c r="QJV5" s="182"/>
      <c r="QJW5" s="182"/>
      <c r="QJX5" s="182"/>
      <c r="QJY5" s="182"/>
      <c r="QJZ5" s="182"/>
      <c r="QKA5" s="182"/>
      <c r="QKB5" s="179"/>
      <c r="QKC5" s="180"/>
      <c r="QKD5" s="180"/>
      <c r="QKE5" s="180"/>
      <c r="QKF5" s="180"/>
      <c r="QKG5" s="181"/>
      <c r="QKH5" s="180"/>
      <c r="QKI5" s="182"/>
      <c r="QKJ5" s="182"/>
      <c r="QKK5" s="182"/>
      <c r="QKL5" s="182"/>
      <c r="QKM5" s="182"/>
      <c r="QKN5" s="182"/>
      <c r="QKO5" s="179"/>
      <c r="QKP5" s="180"/>
      <c r="QKQ5" s="180"/>
      <c r="QKR5" s="180"/>
      <c r="QKS5" s="180"/>
      <c r="QKT5" s="181"/>
      <c r="QKU5" s="180"/>
      <c r="QKV5" s="182"/>
      <c r="QKW5" s="182"/>
      <c r="QKX5" s="182"/>
      <c r="QKY5" s="182"/>
      <c r="QKZ5" s="182"/>
      <c r="QLA5" s="182"/>
      <c r="QLB5" s="179"/>
      <c r="QLC5" s="180"/>
      <c r="QLD5" s="180"/>
      <c r="QLE5" s="180"/>
      <c r="QLF5" s="180"/>
      <c r="QLG5" s="181"/>
      <c r="QLH5" s="180"/>
      <c r="QLI5" s="182"/>
      <c r="QLJ5" s="182"/>
      <c r="QLK5" s="182"/>
      <c r="QLL5" s="182"/>
      <c r="QLM5" s="182"/>
      <c r="QLN5" s="182"/>
      <c r="QLO5" s="179"/>
      <c r="QLP5" s="180"/>
      <c r="QLQ5" s="180"/>
      <c r="QLR5" s="180"/>
      <c r="QLS5" s="180"/>
      <c r="QLT5" s="181"/>
      <c r="QLU5" s="180"/>
      <c r="QLV5" s="182"/>
      <c r="QLW5" s="182"/>
      <c r="QLX5" s="182"/>
      <c r="QLY5" s="182"/>
      <c r="QLZ5" s="182"/>
      <c r="QMA5" s="182"/>
      <c r="QMB5" s="179"/>
      <c r="QMC5" s="180"/>
      <c r="QMD5" s="180"/>
      <c r="QME5" s="180"/>
      <c r="QMF5" s="180"/>
      <c r="QMG5" s="181"/>
      <c r="QMH5" s="180"/>
      <c r="QMI5" s="182"/>
      <c r="QMJ5" s="182"/>
      <c r="QMK5" s="182"/>
      <c r="QML5" s="182"/>
      <c r="QMM5" s="182"/>
      <c r="QMN5" s="182"/>
      <c r="QMO5" s="179"/>
      <c r="QMP5" s="180"/>
      <c r="QMQ5" s="180"/>
      <c r="QMR5" s="180"/>
      <c r="QMS5" s="180"/>
      <c r="QMT5" s="181"/>
      <c r="QMU5" s="180"/>
      <c r="QMV5" s="182"/>
      <c r="QMW5" s="182"/>
      <c r="QMX5" s="182"/>
      <c r="QMY5" s="182"/>
      <c r="QMZ5" s="182"/>
      <c r="QNA5" s="182"/>
      <c r="QNB5" s="179"/>
      <c r="QNC5" s="180"/>
      <c r="QND5" s="180"/>
      <c r="QNE5" s="180"/>
      <c r="QNF5" s="180"/>
      <c r="QNG5" s="181"/>
      <c r="QNH5" s="180"/>
      <c r="QNI5" s="182"/>
      <c r="QNJ5" s="182"/>
      <c r="QNK5" s="182"/>
      <c r="QNL5" s="182"/>
      <c r="QNM5" s="182"/>
      <c r="QNN5" s="182"/>
      <c r="QNO5" s="179"/>
      <c r="QNP5" s="180"/>
      <c r="QNQ5" s="180"/>
      <c r="QNR5" s="180"/>
      <c r="QNS5" s="180"/>
      <c r="QNT5" s="181"/>
      <c r="QNU5" s="180"/>
      <c r="QNV5" s="182"/>
      <c r="QNW5" s="182"/>
      <c r="QNX5" s="182"/>
      <c r="QNY5" s="182"/>
      <c r="QNZ5" s="182"/>
      <c r="QOA5" s="182"/>
      <c r="QOB5" s="179"/>
      <c r="QOC5" s="180"/>
      <c r="QOD5" s="180"/>
      <c r="QOE5" s="180"/>
      <c r="QOF5" s="180"/>
      <c r="QOG5" s="181"/>
      <c r="QOH5" s="180"/>
      <c r="QOI5" s="182"/>
      <c r="QOJ5" s="182"/>
      <c r="QOK5" s="182"/>
      <c r="QOL5" s="182"/>
      <c r="QOM5" s="182"/>
      <c r="QON5" s="182"/>
      <c r="QOO5" s="179"/>
      <c r="QOP5" s="180"/>
      <c r="QOQ5" s="180"/>
      <c r="QOR5" s="180"/>
      <c r="QOS5" s="180"/>
      <c r="QOT5" s="181"/>
      <c r="QOU5" s="180"/>
      <c r="QOV5" s="182"/>
      <c r="QOW5" s="182"/>
      <c r="QOX5" s="182"/>
      <c r="QOY5" s="182"/>
      <c r="QOZ5" s="182"/>
      <c r="QPA5" s="182"/>
      <c r="QPB5" s="179"/>
      <c r="QPC5" s="180"/>
      <c r="QPD5" s="180"/>
      <c r="QPE5" s="180"/>
      <c r="QPF5" s="180"/>
      <c r="QPG5" s="181"/>
      <c r="QPH5" s="180"/>
      <c r="QPI5" s="182"/>
      <c r="QPJ5" s="182"/>
      <c r="QPK5" s="182"/>
      <c r="QPL5" s="182"/>
      <c r="QPM5" s="182"/>
      <c r="QPN5" s="182"/>
      <c r="QPO5" s="179"/>
      <c r="QPP5" s="180"/>
      <c r="QPQ5" s="180"/>
      <c r="QPR5" s="180"/>
      <c r="QPS5" s="180"/>
      <c r="QPT5" s="181"/>
      <c r="QPU5" s="180"/>
      <c r="QPV5" s="182"/>
      <c r="QPW5" s="182"/>
      <c r="QPX5" s="182"/>
      <c r="QPY5" s="182"/>
      <c r="QPZ5" s="182"/>
      <c r="QQA5" s="182"/>
      <c r="QQB5" s="179"/>
      <c r="QQC5" s="180"/>
      <c r="QQD5" s="180"/>
      <c r="QQE5" s="180"/>
      <c r="QQF5" s="180"/>
      <c r="QQG5" s="181"/>
      <c r="QQH5" s="180"/>
      <c r="QQI5" s="182"/>
      <c r="QQJ5" s="182"/>
      <c r="QQK5" s="182"/>
      <c r="QQL5" s="182"/>
      <c r="QQM5" s="182"/>
      <c r="QQN5" s="182"/>
      <c r="QQO5" s="179"/>
      <c r="QQP5" s="180"/>
      <c r="QQQ5" s="180"/>
      <c r="QQR5" s="180"/>
      <c r="QQS5" s="180"/>
      <c r="QQT5" s="181"/>
      <c r="QQU5" s="180"/>
      <c r="QQV5" s="182"/>
      <c r="QQW5" s="182"/>
      <c r="QQX5" s="182"/>
      <c r="QQY5" s="182"/>
      <c r="QQZ5" s="182"/>
      <c r="QRA5" s="182"/>
      <c r="QRB5" s="179"/>
      <c r="QRC5" s="180"/>
      <c r="QRD5" s="180"/>
      <c r="QRE5" s="180"/>
      <c r="QRF5" s="180"/>
      <c r="QRG5" s="181"/>
      <c r="QRH5" s="180"/>
      <c r="QRI5" s="182"/>
      <c r="QRJ5" s="182"/>
      <c r="QRK5" s="182"/>
      <c r="QRL5" s="182"/>
      <c r="QRM5" s="182"/>
      <c r="QRN5" s="182"/>
      <c r="QRO5" s="179"/>
      <c r="QRP5" s="180"/>
      <c r="QRQ5" s="180"/>
      <c r="QRR5" s="180"/>
      <c r="QRS5" s="180"/>
      <c r="QRT5" s="181"/>
      <c r="QRU5" s="180"/>
      <c r="QRV5" s="182"/>
      <c r="QRW5" s="182"/>
      <c r="QRX5" s="182"/>
      <c r="QRY5" s="182"/>
      <c r="QRZ5" s="182"/>
      <c r="QSA5" s="182"/>
      <c r="QSB5" s="179"/>
      <c r="QSC5" s="180"/>
      <c r="QSD5" s="180"/>
      <c r="QSE5" s="180"/>
      <c r="QSF5" s="180"/>
      <c r="QSG5" s="181"/>
      <c r="QSH5" s="180"/>
      <c r="QSI5" s="182"/>
      <c r="QSJ5" s="182"/>
      <c r="QSK5" s="182"/>
      <c r="QSL5" s="182"/>
      <c r="QSM5" s="182"/>
      <c r="QSN5" s="182"/>
      <c r="QSO5" s="179"/>
      <c r="QSP5" s="180"/>
      <c r="QSQ5" s="180"/>
      <c r="QSR5" s="180"/>
      <c r="QSS5" s="180"/>
      <c r="QST5" s="181"/>
      <c r="QSU5" s="180"/>
      <c r="QSV5" s="182"/>
      <c r="QSW5" s="182"/>
      <c r="QSX5" s="182"/>
      <c r="QSY5" s="182"/>
      <c r="QSZ5" s="182"/>
      <c r="QTA5" s="182"/>
      <c r="QTB5" s="179"/>
      <c r="QTC5" s="180"/>
      <c r="QTD5" s="180"/>
      <c r="QTE5" s="180"/>
      <c r="QTF5" s="180"/>
      <c r="QTG5" s="181"/>
      <c r="QTH5" s="180"/>
      <c r="QTI5" s="182"/>
      <c r="QTJ5" s="182"/>
      <c r="QTK5" s="182"/>
      <c r="QTL5" s="182"/>
      <c r="QTM5" s="182"/>
      <c r="QTN5" s="182"/>
      <c r="QTO5" s="179"/>
      <c r="QTP5" s="180"/>
      <c r="QTQ5" s="180"/>
      <c r="QTR5" s="180"/>
      <c r="QTS5" s="180"/>
      <c r="QTT5" s="181"/>
      <c r="QTU5" s="180"/>
      <c r="QTV5" s="182"/>
      <c r="QTW5" s="182"/>
      <c r="QTX5" s="182"/>
      <c r="QTY5" s="182"/>
      <c r="QTZ5" s="182"/>
      <c r="QUA5" s="182"/>
      <c r="QUB5" s="179"/>
      <c r="QUC5" s="180"/>
      <c r="QUD5" s="180"/>
      <c r="QUE5" s="180"/>
      <c r="QUF5" s="180"/>
      <c r="QUG5" s="181"/>
      <c r="QUH5" s="180"/>
      <c r="QUI5" s="182"/>
      <c r="QUJ5" s="182"/>
      <c r="QUK5" s="182"/>
      <c r="QUL5" s="182"/>
      <c r="QUM5" s="182"/>
      <c r="QUN5" s="182"/>
      <c r="QUO5" s="179"/>
      <c r="QUP5" s="180"/>
      <c r="QUQ5" s="180"/>
      <c r="QUR5" s="180"/>
      <c r="QUS5" s="180"/>
      <c r="QUT5" s="181"/>
      <c r="QUU5" s="180"/>
      <c r="QUV5" s="182"/>
      <c r="QUW5" s="182"/>
      <c r="QUX5" s="182"/>
      <c r="QUY5" s="182"/>
      <c r="QUZ5" s="182"/>
      <c r="QVA5" s="182"/>
      <c r="QVB5" s="179"/>
      <c r="QVC5" s="180"/>
      <c r="QVD5" s="180"/>
      <c r="QVE5" s="180"/>
      <c r="QVF5" s="180"/>
      <c r="QVG5" s="181"/>
      <c r="QVH5" s="180"/>
      <c r="QVI5" s="182"/>
      <c r="QVJ5" s="182"/>
      <c r="QVK5" s="182"/>
      <c r="QVL5" s="182"/>
      <c r="QVM5" s="182"/>
      <c r="QVN5" s="182"/>
      <c r="QVO5" s="179"/>
      <c r="QVP5" s="180"/>
      <c r="QVQ5" s="180"/>
      <c r="QVR5" s="180"/>
      <c r="QVS5" s="180"/>
      <c r="QVT5" s="181"/>
      <c r="QVU5" s="180"/>
      <c r="QVV5" s="182"/>
      <c r="QVW5" s="182"/>
      <c r="QVX5" s="182"/>
      <c r="QVY5" s="182"/>
      <c r="QVZ5" s="182"/>
      <c r="QWA5" s="182"/>
      <c r="QWB5" s="179"/>
      <c r="QWC5" s="180"/>
      <c r="QWD5" s="180"/>
      <c r="QWE5" s="180"/>
      <c r="QWF5" s="180"/>
      <c r="QWG5" s="181"/>
      <c r="QWH5" s="180"/>
      <c r="QWI5" s="182"/>
      <c r="QWJ5" s="182"/>
      <c r="QWK5" s="182"/>
      <c r="QWL5" s="182"/>
      <c r="QWM5" s="182"/>
      <c r="QWN5" s="182"/>
      <c r="QWO5" s="179"/>
      <c r="QWP5" s="180"/>
      <c r="QWQ5" s="180"/>
      <c r="QWR5" s="180"/>
      <c r="QWS5" s="180"/>
      <c r="QWT5" s="181"/>
      <c r="QWU5" s="180"/>
      <c r="QWV5" s="182"/>
      <c r="QWW5" s="182"/>
      <c r="QWX5" s="182"/>
      <c r="QWY5" s="182"/>
      <c r="QWZ5" s="182"/>
      <c r="QXA5" s="182"/>
      <c r="QXB5" s="179"/>
      <c r="QXC5" s="180"/>
      <c r="QXD5" s="180"/>
      <c r="QXE5" s="180"/>
      <c r="QXF5" s="180"/>
      <c r="QXG5" s="181"/>
      <c r="QXH5" s="180"/>
      <c r="QXI5" s="182"/>
      <c r="QXJ5" s="182"/>
      <c r="QXK5" s="182"/>
      <c r="QXL5" s="182"/>
      <c r="QXM5" s="182"/>
      <c r="QXN5" s="182"/>
      <c r="QXO5" s="179"/>
      <c r="QXP5" s="180"/>
      <c r="QXQ5" s="180"/>
      <c r="QXR5" s="180"/>
      <c r="QXS5" s="180"/>
      <c r="QXT5" s="181"/>
      <c r="QXU5" s="180"/>
      <c r="QXV5" s="182"/>
      <c r="QXW5" s="182"/>
      <c r="QXX5" s="182"/>
      <c r="QXY5" s="182"/>
      <c r="QXZ5" s="182"/>
      <c r="QYA5" s="182"/>
      <c r="QYB5" s="179"/>
      <c r="QYC5" s="180"/>
      <c r="QYD5" s="180"/>
      <c r="QYE5" s="180"/>
      <c r="QYF5" s="180"/>
      <c r="QYG5" s="181"/>
      <c r="QYH5" s="180"/>
      <c r="QYI5" s="182"/>
      <c r="QYJ5" s="182"/>
      <c r="QYK5" s="182"/>
      <c r="QYL5" s="182"/>
      <c r="QYM5" s="182"/>
      <c r="QYN5" s="182"/>
      <c r="QYO5" s="179"/>
      <c r="QYP5" s="180"/>
      <c r="QYQ5" s="180"/>
      <c r="QYR5" s="180"/>
      <c r="QYS5" s="180"/>
      <c r="QYT5" s="181"/>
      <c r="QYU5" s="180"/>
      <c r="QYV5" s="182"/>
      <c r="QYW5" s="182"/>
      <c r="QYX5" s="182"/>
      <c r="QYY5" s="182"/>
      <c r="QYZ5" s="182"/>
      <c r="QZA5" s="182"/>
      <c r="QZB5" s="179"/>
      <c r="QZC5" s="180"/>
      <c r="QZD5" s="180"/>
      <c r="QZE5" s="180"/>
      <c r="QZF5" s="180"/>
      <c r="QZG5" s="181"/>
      <c r="QZH5" s="180"/>
      <c r="QZI5" s="182"/>
      <c r="QZJ5" s="182"/>
      <c r="QZK5" s="182"/>
      <c r="QZL5" s="182"/>
      <c r="QZM5" s="182"/>
      <c r="QZN5" s="182"/>
      <c r="QZO5" s="179"/>
      <c r="QZP5" s="180"/>
      <c r="QZQ5" s="180"/>
      <c r="QZR5" s="180"/>
      <c r="QZS5" s="180"/>
      <c r="QZT5" s="181"/>
      <c r="QZU5" s="180"/>
      <c r="QZV5" s="182"/>
      <c r="QZW5" s="182"/>
      <c r="QZX5" s="182"/>
      <c r="QZY5" s="182"/>
      <c r="QZZ5" s="182"/>
      <c r="RAA5" s="182"/>
      <c r="RAB5" s="179"/>
      <c r="RAC5" s="180"/>
      <c r="RAD5" s="180"/>
      <c r="RAE5" s="180"/>
      <c r="RAF5" s="180"/>
      <c r="RAG5" s="181"/>
      <c r="RAH5" s="180"/>
      <c r="RAI5" s="182"/>
      <c r="RAJ5" s="182"/>
      <c r="RAK5" s="182"/>
      <c r="RAL5" s="182"/>
      <c r="RAM5" s="182"/>
      <c r="RAN5" s="182"/>
      <c r="RAO5" s="179"/>
      <c r="RAP5" s="180"/>
      <c r="RAQ5" s="180"/>
      <c r="RAR5" s="180"/>
      <c r="RAS5" s="180"/>
      <c r="RAT5" s="181"/>
      <c r="RAU5" s="180"/>
      <c r="RAV5" s="182"/>
      <c r="RAW5" s="182"/>
      <c r="RAX5" s="182"/>
      <c r="RAY5" s="182"/>
      <c r="RAZ5" s="182"/>
      <c r="RBA5" s="182"/>
      <c r="RBB5" s="179"/>
      <c r="RBC5" s="180"/>
      <c r="RBD5" s="180"/>
      <c r="RBE5" s="180"/>
      <c r="RBF5" s="180"/>
      <c r="RBG5" s="181"/>
      <c r="RBH5" s="180"/>
      <c r="RBI5" s="182"/>
      <c r="RBJ5" s="182"/>
      <c r="RBK5" s="182"/>
      <c r="RBL5" s="182"/>
      <c r="RBM5" s="182"/>
      <c r="RBN5" s="182"/>
      <c r="RBO5" s="179"/>
      <c r="RBP5" s="180"/>
      <c r="RBQ5" s="180"/>
      <c r="RBR5" s="180"/>
      <c r="RBS5" s="180"/>
      <c r="RBT5" s="181"/>
      <c r="RBU5" s="180"/>
      <c r="RBV5" s="182"/>
      <c r="RBW5" s="182"/>
      <c r="RBX5" s="182"/>
      <c r="RBY5" s="182"/>
      <c r="RBZ5" s="182"/>
      <c r="RCA5" s="182"/>
      <c r="RCB5" s="179"/>
      <c r="RCC5" s="180"/>
      <c r="RCD5" s="180"/>
      <c r="RCE5" s="180"/>
      <c r="RCF5" s="180"/>
      <c r="RCG5" s="181"/>
      <c r="RCH5" s="180"/>
      <c r="RCI5" s="182"/>
      <c r="RCJ5" s="182"/>
      <c r="RCK5" s="182"/>
      <c r="RCL5" s="182"/>
      <c r="RCM5" s="182"/>
      <c r="RCN5" s="182"/>
      <c r="RCO5" s="179"/>
      <c r="RCP5" s="180"/>
      <c r="RCQ5" s="180"/>
      <c r="RCR5" s="180"/>
      <c r="RCS5" s="180"/>
      <c r="RCT5" s="181"/>
      <c r="RCU5" s="180"/>
      <c r="RCV5" s="182"/>
      <c r="RCW5" s="182"/>
      <c r="RCX5" s="182"/>
      <c r="RCY5" s="182"/>
      <c r="RCZ5" s="182"/>
      <c r="RDA5" s="182"/>
      <c r="RDB5" s="179"/>
      <c r="RDC5" s="180"/>
      <c r="RDD5" s="180"/>
      <c r="RDE5" s="180"/>
      <c r="RDF5" s="180"/>
      <c r="RDG5" s="181"/>
      <c r="RDH5" s="180"/>
      <c r="RDI5" s="182"/>
      <c r="RDJ5" s="182"/>
      <c r="RDK5" s="182"/>
      <c r="RDL5" s="182"/>
      <c r="RDM5" s="182"/>
      <c r="RDN5" s="182"/>
      <c r="RDO5" s="179"/>
      <c r="RDP5" s="180"/>
      <c r="RDQ5" s="180"/>
      <c r="RDR5" s="180"/>
      <c r="RDS5" s="180"/>
      <c r="RDT5" s="181"/>
      <c r="RDU5" s="180"/>
      <c r="RDV5" s="182"/>
      <c r="RDW5" s="182"/>
      <c r="RDX5" s="182"/>
      <c r="RDY5" s="182"/>
      <c r="RDZ5" s="182"/>
      <c r="REA5" s="182"/>
      <c r="REB5" s="179"/>
      <c r="REC5" s="180"/>
      <c r="RED5" s="180"/>
      <c r="REE5" s="180"/>
      <c r="REF5" s="180"/>
      <c r="REG5" s="181"/>
      <c r="REH5" s="180"/>
      <c r="REI5" s="182"/>
      <c r="REJ5" s="182"/>
      <c r="REK5" s="182"/>
      <c r="REL5" s="182"/>
      <c r="REM5" s="182"/>
      <c r="REN5" s="182"/>
      <c r="REO5" s="179"/>
      <c r="REP5" s="180"/>
      <c r="REQ5" s="180"/>
      <c r="RER5" s="180"/>
      <c r="RES5" s="180"/>
      <c r="RET5" s="181"/>
      <c r="REU5" s="180"/>
      <c r="REV5" s="182"/>
      <c r="REW5" s="182"/>
      <c r="REX5" s="182"/>
      <c r="REY5" s="182"/>
      <c r="REZ5" s="182"/>
      <c r="RFA5" s="182"/>
      <c r="RFB5" s="179"/>
      <c r="RFC5" s="180"/>
      <c r="RFD5" s="180"/>
      <c r="RFE5" s="180"/>
      <c r="RFF5" s="180"/>
      <c r="RFG5" s="181"/>
      <c r="RFH5" s="180"/>
      <c r="RFI5" s="182"/>
      <c r="RFJ5" s="182"/>
      <c r="RFK5" s="182"/>
      <c r="RFL5" s="182"/>
      <c r="RFM5" s="182"/>
      <c r="RFN5" s="182"/>
      <c r="RFO5" s="179"/>
      <c r="RFP5" s="180"/>
      <c r="RFQ5" s="180"/>
      <c r="RFR5" s="180"/>
      <c r="RFS5" s="180"/>
      <c r="RFT5" s="181"/>
      <c r="RFU5" s="180"/>
      <c r="RFV5" s="182"/>
      <c r="RFW5" s="182"/>
      <c r="RFX5" s="182"/>
      <c r="RFY5" s="182"/>
      <c r="RFZ5" s="182"/>
      <c r="RGA5" s="182"/>
      <c r="RGB5" s="179"/>
      <c r="RGC5" s="180"/>
      <c r="RGD5" s="180"/>
      <c r="RGE5" s="180"/>
      <c r="RGF5" s="180"/>
      <c r="RGG5" s="181"/>
      <c r="RGH5" s="180"/>
      <c r="RGI5" s="182"/>
      <c r="RGJ5" s="182"/>
      <c r="RGK5" s="182"/>
      <c r="RGL5" s="182"/>
      <c r="RGM5" s="182"/>
      <c r="RGN5" s="182"/>
      <c r="RGO5" s="179"/>
      <c r="RGP5" s="180"/>
      <c r="RGQ5" s="180"/>
      <c r="RGR5" s="180"/>
      <c r="RGS5" s="180"/>
      <c r="RGT5" s="181"/>
      <c r="RGU5" s="180"/>
      <c r="RGV5" s="182"/>
      <c r="RGW5" s="182"/>
      <c r="RGX5" s="182"/>
      <c r="RGY5" s="182"/>
      <c r="RGZ5" s="182"/>
      <c r="RHA5" s="182"/>
      <c r="RHB5" s="179"/>
      <c r="RHC5" s="180"/>
      <c r="RHD5" s="180"/>
      <c r="RHE5" s="180"/>
      <c r="RHF5" s="180"/>
      <c r="RHG5" s="181"/>
      <c r="RHH5" s="180"/>
      <c r="RHI5" s="182"/>
      <c r="RHJ5" s="182"/>
      <c r="RHK5" s="182"/>
      <c r="RHL5" s="182"/>
      <c r="RHM5" s="182"/>
      <c r="RHN5" s="182"/>
      <c r="RHO5" s="179"/>
      <c r="RHP5" s="180"/>
      <c r="RHQ5" s="180"/>
      <c r="RHR5" s="180"/>
      <c r="RHS5" s="180"/>
      <c r="RHT5" s="181"/>
      <c r="RHU5" s="180"/>
      <c r="RHV5" s="182"/>
      <c r="RHW5" s="182"/>
      <c r="RHX5" s="182"/>
      <c r="RHY5" s="182"/>
      <c r="RHZ5" s="182"/>
      <c r="RIA5" s="182"/>
      <c r="RIB5" s="179"/>
      <c r="RIC5" s="180"/>
      <c r="RID5" s="180"/>
      <c r="RIE5" s="180"/>
      <c r="RIF5" s="180"/>
      <c r="RIG5" s="181"/>
      <c r="RIH5" s="180"/>
      <c r="RII5" s="182"/>
      <c r="RIJ5" s="182"/>
      <c r="RIK5" s="182"/>
      <c r="RIL5" s="182"/>
      <c r="RIM5" s="182"/>
      <c r="RIN5" s="182"/>
      <c r="RIO5" s="179"/>
      <c r="RIP5" s="180"/>
      <c r="RIQ5" s="180"/>
      <c r="RIR5" s="180"/>
      <c r="RIS5" s="180"/>
      <c r="RIT5" s="181"/>
      <c r="RIU5" s="180"/>
      <c r="RIV5" s="182"/>
      <c r="RIW5" s="182"/>
      <c r="RIX5" s="182"/>
      <c r="RIY5" s="182"/>
      <c r="RIZ5" s="182"/>
      <c r="RJA5" s="182"/>
      <c r="RJB5" s="179"/>
      <c r="RJC5" s="180"/>
      <c r="RJD5" s="180"/>
      <c r="RJE5" s="180"/>
      <c r="RJF5" s="180"/>
      <c r="RJG5" s="181"/>
      <c r="RJH5" s="180"/>
      <c r="RJI5" s="182"/>
      <c r="RJJ5" s="182"/>
      <c r="RJK5" s="182"/>
      <c r="RJL5" s="182"/>
      <c r="RJM5" s="182"/>
      <c r="RJN5" s="182"/>
      <c r="RJO5" s="179"/>
      <c r="RJP5" s="180"/>
      <c r="RJQ5" s="180"/>
      <c r="RJR5" s="180"/>
      <c r="RJS5" s="180"/>
      <c r="RJT5" s="181"/>
      <c r="RJU5" s="180"/>
      <c r="RJV5" s="182"/>
      <c r="RJW5" s="182"/>
      <c r="RJX5" s="182"/>
      <c r="RJY5" s="182"/>
      <c r="RJZ5" s="182"/>
      <c r="RKA5" s="182"/>
      <c r="RKB5" s="179"/>
      <c r="RKC5" s="180"/>
      <c r="RKD5" s="180"/>
      <c r="RKE5" s="180"/>
      <c r="RKF5" s="180"/>
      <c r="RKG5" s="181"/>
      <c r="RKH5" s="180"/>
      <c r="RKI5" s="182"/>
      <c r="RKJ5" s="182"/>
      <c r="RKK5" s="182"/>
      <c r="RKL5" s="182"/>
      <c r="RKM5" s="182"/>
      <c r="RKN5" s="182"/>
      <c r="RKO5" s="179"/>
      <c r="RKP5" s="180"/>
      <c r="RKQ5" s="180"/>
      <c r="RKR5" s="180"/>
      <c r="RKS5" s="180"/>
      <c r="RKT5" s="181"/>
      <c r="RKU5" s="180"/>
      <c r="RKV5" s="182"/>
      <c r="RKW5" s="182"/>
      <c r="RKX5" s="182"/>
      <c r="RKY5" s="182"/>
      <c r="RKZ5" s="182"/>
      <c r="RLA5" s="182"/>
      <c r="RLB5" s="179"/>
      <c r="RLC5" s="180"/>
      <c r="RLD5" s="180"/>
      <c r="RLE5" s="180"/>
      <c r="RLF5" s="180"/>
      <c r="RLG5" s="181"/>
      <c r="RLH5" s="180"/>
      <c r="RLI5" s="182"/>
      <c r="RLJ5" s="182"/>
      <c r="RLK5" s="182"/>
      <c r="RLL5" s="182"/>
      <c r="RLM5" s="182"/>
      <c r="RLN5" s="182"/>
      <c r="RLO5" s="179"/>
      <c r="RLP5" s="180"/>
      <c r="RLQ5" s="180"/>
      <c r="RLR5" s="180"/>
      <c r="RLS5" s="180"/>
      <c r="RLT5" s="181"/>
      <c r="RLU5" s="180"/>
      <c r="RLV5" s="182"/>
      <c r="RLW5" s="182"/>
      <c r="RLX5" s="182"/>
      <c r="RLY5" s="182"/>
      <c r="RLZ5" s="182"/>
      <c r="RMA5" s="182"/>
      <c r="RMB5" s="179"/>
      <c r="RMC5" s="180"/>
      <c r="RMD5" s="180"/>
      <c r="RME5" s="180"/>
      <c r="RMF5" s="180"/>
      <c r="RMG5" s="181"/>
      <c r="RMH5" s="180"/>
      <c r="RMI5" s="182"/>
      <c r="RMJ5" s="182"/>
      <c r="RMK5" s="182"/>
      <c r="RML5" s="182"/>
      <c r="RMM5" s="182"/>
      <c r="RMN5" s="182"/>
      <c r="RMO5" s="179"/>
      <c r="RMP5" s="180"/>
      <c r="RMQ5" s="180"/>
      <c r="RMR5" s="180"/>
      <c r="RMS5" s="180"/>
      <c r="RMT5" s="181"/>
      <c r="RMU5" s="180"/>
      <c r="RMV5" s="182"/>
      <c r="RMW5" s="182"/>
      <c r="RMX5" s="182"/>
      <c r="RMY5" s="182"/>
      <c r="RMZ5" s="182"/>
      <c r="RNA5" s="182"/>
      <c r="RNB5" s="179"/>
      <c r="RNC5" s="180"/>
      <c r="RND5" s="180"/>
      <c r="RNE5" s="180"/>
      <c r="RNF5" s="180"/>
      <c r="RNG5" s="181"/>
      <c r="RNH5" s="180"/>
      <c r="RNI5" s="182"/>
      <c r="RNJ5" s="182"/>
      <c r="RNK5" s="182"/>
      <c r="RNL5" s="182"/>
      <c r="RNM5" s="182"/>
      <c r="RNN5" s="182"/>
      <c r="RNO5" s="179"/>
      <c r="RNP5" s="180"/>
      <c r="RNQ5" s="180"/>
      <c r="RNR5" s="180"/>
      <c r="RNS5" s="180"/>
      <c r="RNT5" s="181"/>
      <c r="RNU5" s="180"/>
      <c r="RNV5" s="182"/>
      <c r="RNW5" s="182"/>
      <c r="RNX5" s="182"/>
      <c r="RNY5" s="182"/>
      <c r="RNZ5" s="182"/>
      <c r="ROA5" s="182"/>
      <c r="ROB5" s="179"/>
      <c r="ROC5" s="180"/>
      <c r="ROD5" s="180"/>
      <c r="ROE5" s="180"/>
      <c r="ROF5" s="180"/>
      <c r="ROG5" s="181"/>
      <c r="ROH5" s="180"/>
      <c r="ROI5" s="182"/>
      <c r="ROJ5" s="182"/>
      <c r="ROK5" s="182"/>
      <c r="ROL5" s="182"/>
      <c r="ROM5" s="182"/>
      <c r="RON5" s="182"/>
      <c r="ROO5" s="179"/>
      <c r="ROP5" s="180"/>
      <c r="ROQ5" s="180"/>
      <c r="ROR5" s="180"/>
      <c r="ROS5" s="180"/>
      <c r="ROT5" s="181"/>
      <c r="ROU5" s="180"/>
      <c r="ROV5" s="182"/>
      <c r="ROW5" s="182"/>
      <c r="ROX5" s="182"/>
      <c r="ROY5" s="182"/>
      <c r="ROZ5" s="182"/>
      <c r="RPA5" s="182"/>
      <c r="RPB5" s="179"/>
      <c r="RPC5" s="180"/>
      <c r="RPD5" s="180"/>
      <c r="RPE5" s="180"/>
      <c r="RPF5" s="180"/>
      <c r="RPG5" s="181"/>
      <c r="RPH5" s="180"/>
      <c r="RPI5" s="182"/>
      <c r="RPJ5" s="182"/>
      <c r="RPK5" s="182"/>
      <c r="RPL5" s="182"/>
      <c r="RPM5" s="182"/>
      <c r="RPN5" s="182"/>
      <c r="RPO5" s="179"/>
      <c r="RPP5" s="180"/>
      <c r="RPQ5" s="180"/>
      <c r="RPR5" s="180"/>
      <c r="RPS5" s="180"/>
      <c r="RPT5" s="181"/>
      <c r="RPU5" s="180"/>
      <c r="RPV5" s="182"/>
      <c r="RPW5" s="182"/>
      <c r="RPX5" s="182"/>
      <c r="RPY5" s="182"/>
      <c r="RPZ5" s="182"/>
      <c r="RQA5" s="182"/>
      <c r="RQB5" s="179"/>
      <c r="RQC5" s="180"/>
      <c r="RQD5" s="180"/>
      <c r="RQE5" s="180"/>
      <c r="RQF5" s="180"/>
      <c r="RQG5" s="181"/>
      <c r="RQH5" s="180"/>
      <c r="RQI5" s="182"/>
      <c r="RQJ5" s="182"/>
      <c r="RQK5" s="182"/>
      <c r="RQL5" s="182"/>
      <c r="RQM5" s="182"/>
      <c r="RQN5" s="182"/>
      <c r="RQO5" s="179"/>
      <c r="RQP5" s="180"/>
      <c r="RQQ5" s="180"/>
      <c r="RQR5" s="180"/>
      <c r="RQS5" s="180"/>
      <c r="RQT5" s="181"/>
      <c r="RQU5" s="180"/>
      <c r="RQV5" s="182"/>
      <c r="RQW5" s="182"/>
      <c r="RQX5" s="182"/>
      <c r="RQY5" s="182"/>
      <c r="RQZ5" s="182"/>
      <c r="RRA5" s="182"/>
      <c r="RRB5" s="179"/>
      <c r="RRC5" s="180"/>
      <c r="RRD5" s="180"/>
      <c r="RRE5" s="180"/>
      <c r="RRF5" s="180"/>
      <c r="RRG5" s="181"/>
      <c r="RRH5" s="180"/>
      <c r="RRI5" s="182"/>
      <c r="RRJ5" s="182"/>
      <c r="RRK5" s="182"/>
      <c r="RRL5" s="182"/>
      <c r="RRM5" s="182"/>
      <c r="RRN5" s="182"/>
      <c r="RRO5" s="179"/>
      <c r="RRP5" s="180"/>
      <c r="RRQ5" s="180"/>
      <c r="RRR5" s="180"/>
      <c r="RRS5" s="180"/>
      <c r="RRT5" s="181"/>
      <c r="RRU5" s="180"/>
      <c r="RRV5" s="182"/>
      <c r="RRW5" s="182"/>
      <c r="RRX5" s="182"/>
      <c r="RRY5" s="182"/>
      <c r="RRZ5" s="182"/>
      <c r="RSA5" s="182"/>
      <c r="RSB5" s="179"/>
      <c r="RSC5" s="180"/>
      <c r="RSD5" s="180"/>
      <c r="RSE5" s="180"/>
      <c r="RSF5" s="180"/>
      <c r="RSG5" s="181"/>
      <c r="RSH5" s="180"/>
      <c r="RSI5" s="182"/>
      <c r="RSJ5" s="182"/>
      <c r="RSK5" s="182"/>
      <c r="RSL5" s="182"/>
      <c r="RSM5" s="182"/>
      <c r="RSN5" s="182"/>
      <c r="RSO5" s="179"/>
      <c r="RSP5" s="180"/>
      <c r="RSQ5" s="180"/>
      <c r="RSR5" s="180"/>
      <c r="RSS5" s="180"/>
      <c r="RST5" s="181"/>
      <c r="RSU5" s="180"/>
      <c r="RSV5" s="182"/>
      <c r="RSW5" s="182"/>
      <c r="RSX5" s="182"/>
      <c r="RSY5" s="182"/>
      <c r="RSZ5" s="182"/>
      <c r="RTA5" s="182"/>
      <c r="RTB5" s="179"/>
      <c r="RTC5" s="180"/>
      <c r="RTD5" s="180"/>
      <c r="RTE5" s="180"/>
      <c r="RTF5" s="180"/>
      <c r="RTG5" s="181"/>
      <c r="RTH5" s="180"/>
      <c r="RTI5" s="182"/>
      <c r="RTJ5" s="182"/>
      <c r="RTK5" s="182"/>
      <c r="RTL5" s="182"/>
      <c r="RTM5" s="182"/>
      <c r="RTN5" s="182"/>
      <c r="RTO5" s="179"/>
      <c r="RTP5" s="180"/>
      <c r="RTQ5" s="180"/>
      <c r="RTR5" s="180"/>
      <c r="RTS5" s="180"/>
      <c r="RTT5" s="181"/>
      <c r="RTU5" s="180"/>
      <c r="RTV5" s="182"/>
      <c r="RTW5" s="182"/>
      <c r="RTX5" s="182"/>
      <c r="RTY5" s="182"/>
      <c r="RTZ5" s="182"/>
      <c r="RUA5" s="182"/>
      <c r="RUB5" s="179"/>
      <c r="RUC5" s="180"/>
      <c r="RUD5" s="180"/>
      <c r="RUE5" s="180"/>
      <c r="RUF5" s="180"/>
      <c r="RUG5" s="181"/>
      <c r="RUH5" s="180"/>
      <c r="RUI5" s="182"/>
      <c r="RUJ5" s="182"/>
      <c r="RUK5" s="182"/>
      <c r="RUL5" s="182"/>
      <c r="RUM5" s="182"/>
      <c r="RUN5" s="182"/>
      <c r="RUO5" s="179"/>
      <c r="RUP5" s="180"/>
      <c r="RUQ5" s="180"/>
      <c r="RUR5" s="180"/>
      <c r="RUS5" s="180"/>
      <c r="RUT5" s="181"/>
      <c r="RUU5" s="180"/>
      <c r="RUV5" s="182"/>
      <c r="RUW5" s="182"/>
      <c r="RUX5" s="182"/>
      <c r="RUY5" s="182"/>
      <c r="RUZ5" s="182"/>
      <c r="RVA5" s="182"/>
      <c r="RVB5" s="179"/>
      <c r="RVC5" s="180"/>
      <c r="RVD5" s="180"/>
      <c r="RVE5" s="180"/>
      <c r="RVF5" s="180"/>
      <c r="RVG5" s="181"/>
      <c r="RVH5" s="180"/>
      <c r="RVI5" s="182"/>
      <c r="RVJ5" s="182"/>
      <c r="RVK5" s="182"/>
      <c r="RVL5" s="182"/>
      <c r="RVM5" s="182"/>
      <c r="RVN5" s="182"/>
      <c r="RVO5" s="179"/>
      <c r="RVP5" s="180"/>
      <c r="RVQ5" s="180"/>
      <c r="RVR5" s="180"/>
      <c r="RVS5" s="180"/>
      <c r="RVT5" s="181"/>
      <c r="RVU5" s="180"/>
      <c r="RVV5" s="182"/>
      <c r="RVW5" s="182"/>
      <c r="RVX5" s="182"/>
      <c r="RVY5" s="182"/>
      <c r="RVZ5" s="182"/>
      <c r="RWA5" s="182"/>
      <c r="RWB5" s="179"/>
      <c r="RWC5" s="180"/>
      <c r="RWD5" s="180"/>
      <c r="RWE5" s="180"/>
      <c r="RWF5" s="180"/>
      <c r="RWG5" s="181"/>
      <c r="RWH5" s="180"/>
      <c r="RWI5" s="182"/>
      <c r="RWJ5" s="182"/>
      <c r="RWK5" s="182"/>
      <c r="RWL5" s="182"/>
      <c r="RWM5" s="182"/>
      <c r="RWN5" s="182"/>
      <c r="RWO5" s="179"/>
      <c r="RWP5" s="180"/>
      <c r="RWQ5" s="180"/>
      <c r="RWR5" s="180"/>
      <c r="RWS5" s="180"/>
      <c r="RWT5" s="181"/>
      <c r="RWU5" s="180"/>
      <c r="RWV5" s="182"/>
      <c r="RWW5" s="182"/>
      <c r="RWX5" s="182"/>
      <c r="RWY5" s="182"/>
      <c r="RWZ5" s="182"/>
      <c r="RXA5" s="182"/>
      <c r="RXB5" s="179"/>
      <c r="RXC5" s="180"/>
      <c r="RXD5" s="180"/>
      <c r="RXE5" s="180"/>
      <c r="RXF5" s="180"/>
      <c r="RXG5" s="181"/>
      <c r="RXH5" s="180"/>
      <c r="RXI5" s="182"/>
      <c r="RXJ5" s="182"/>
      <c r="RXK5" s="182"/>
      <c r="RXL5" s="182"/>
      <c r="RXM5" s="182"/>
      <c r="RXN5" s="182"/>
      <c r="RXO5" s="179"/>
      <c r="RXP5" s="180"/>
      <c r="RXQ5" s="180"/>
      <c r="RXR5" s="180"/>
      <c r="RXS5" s="180"/>
      <c r="RXT5" s="181"/>
      <c r="RXU5" s="180"/>
      <c r="RXV5" s="182"/>
      <c r="RXW5" s="182"/>
      <c r="RXX5" s="182"/>
      <c r="RXY5" s="182"/>
      <c r="RXZ5" s="182"/>
      <c r="RYA5" s="182"/>
      <c r="RYB5" s="179"/>
      <c r="RYC5" s="180"/>
      <c r="RYD5" s="180"/>
      <c r="RYE5" s="180"/>
      <c r="RYF5" s="180"/>
      <c r="RYG5" s="181"/>
      <c r="RYH5" s="180"/>
      <c r="RYI5" s="182"/>
      <c r="RYJ5" s="182"/>
      <c r="RYK5" s="182"/>
      <c r="RYL5" s="182"/>
      <c r="RYM5" s="182"/>
      <c r="RYN5" s="182"/>
      <c r="RYO5" s="179"/>
      <c r="RYP5" s="180"/>
      <c r="RYQ5" s="180"/>
      <c r="RYR5" s="180"/>
      <c r="RYS5" s="180"/>
      <c r="RYT5" s="181"/>
      <c r="RYU5" s="180"/>
      <c r="RYV5" s="182"/>
      <c r="RYW5" s="182"/>
      <c r="RYX5" s="182"/>
      <c r="RYY5" s="182"/>
      <c r="RYZ5" s="182"/>
      <c r="RZA5" s="182"/>
      <c r="RZB5" s="179"/>
      <c r="RZC5" s="180"/>
      <c r="RZD5" s="180"/>
      <c r="RZE5" s="180"/>
      <c r="RZF5" s="180"/>
      <c r="RZG5" s="181"/>
      <c r="RZH5" s="180"/>
      <c r="RZI5" s="182"/>
      <c r="RZJ5" s="182"/>
      <c r="RZK5" s="182"/>
      <c r="RZL5" s="182"/>
      <c r="RZM5" s="182"/>
      <c r="RZN5" s="182"/>
      <c r="RZO5" s="179"/>
      <c r="RZP5" s="180"/>
      <c r="RZQ5" s="180"/>
      <c r="RZR5" s="180"/>
      <c r="RZS5" s="180"/>
      <c r="RZT5" s="181"/>
      <c r="RZU5" s="180"/>
      <c r="RZV5" s="182"/>
      <c r="RZW5" s="182"/>
      <c r="RZX5" s="182"/>
      <c r="RZY5" s="182"/>
      <c r="RZZ5" s="182"/>
      <c r="SAA5" s="182"/>
      <c r="SAB5" s="179"/>
      <c r="SAC5" s="180"/>
      <c r="SAD5" s="180"/>
      <c r="SAE5" s="180"/>
      <c r="SAF5" s="180"/>
      <c r="SAG5" s="181"/>
      <c r="SAH5" s="180"/>
      <c r="SAI5" s="182"/>
      <c r="SAJ5" s="182"/>
      <c r="SAK5" s="182"/>
      <c r="SAL5" s="182"/>
      <c r="SAM5" s="182"/>
      <c r="SAN5" s="182"/>
      <c r="SAO5" s="179"/>
      <c r="SAP5" s="180"/>
      <c r="SAQ5" s="180"/>
      <c r="SAR5" s="180"/>
      <c r="SAS5" s="180"/>
      <c r="SAT5" s="181"/>
      <c r="SAU5" s="180"/>
      <c r="SAV5" s="182"/>
      <c r="SAW5" s="182"/>
      <c r="SAX5" s="182"/>
      <c r="SAY5" s="182"/>
      <c r="SAZ5" s="182"/>
      <c r="SBA5" s="182"/>
      <c r="SBB5" s="179"/>
      <c r="SBC5" s="180"/>
      <c r="SBD5" s="180"/>
      <c r="SBE5" s="180"/>
      <c r="SBF5" s="180"/>
      <c r="SBG5" s="181"/>
      <c r="SBH5" s="180"/>
      <c r="SBI5" s="182"/>
      <c r="SBJ5" s="182"/>
      <c r="SBK5" s="182"/>
      <c r="SBL5" s="182"/>
      <c r="SBM5" s="182"/>
      <c r="SBN5" s="182"/>
      <c r="SBO5" s="179"/>
      <c r="SBP5" s="180"/>
      <c r="SBQ5" s="180"/>
      <c r="SBR5" s="180"/>
      <c r="SBS5" s="180"/>
      <c r="SBT5" s="181"/>
      <c r="SBU5" s="180"/>
      <c r="SBV5" s="182"/>
      <c r="SBW5" s="182"/>
      <c r="SBX5" s="182"/>
      <c r="SBY5" s="182"/>
      <c r="SBZ5" s="182"/>
      <c r="SCA5" s="182"/>
      <c r="SCB5" s="179"/>
      <c r="SCC5" s="180"/>
      <c r="SCD5" s="180"/>
      <c r="SCE5" s="180"/>
      <c r="SCF5" s="180"/>
      <c r="SCG5" s="181"/>
      <c r="SCH5" s="180"/>
      <c r="SCI5" s="182"/>
      <c r="SCJ5" s="182"/>
      <c r="SCK5" s="182"/>
      <c r="SCL5" s="182"/>
      <c r="SCM5" s="182"/>
      <c r="SCN5" s="182"/>
      <c r="SCO5" s="179"/>
      <c r="SCP5" s="180"/>
      <c r="SCQ5" s="180"/>
      <c r="SCR5" s="180"/>
      <c r="SCS5" s="180"/>
      <c r="SCT5" s="181"/>
      <c r="SCU5" s="180"/>
      <c r="SCV5" s="182"/>
      <c r="SCW5" s="182"/>
      <c r="SCX5" s="182"/>
      <c r="SCY5" s="182"/>
      <c r="SCZ5" s="182"/>
      <c r="SDA5" s="182"/>
      <c r="SDB5" s="179"/>
      <c r="SDC5" s="180"/>
      <c r="SDD5" s="180"/>
      <c r="SDE5" s="180"/>
      <c r="SDF5" s="180"/>
      <c r="SDG5" s="181"/>
      <c r="SDH5" s="180"/>
      <c r="SDI5" s="182"/>
      <c r="SDJ5" s="182"/>
      <c r="SDK5" s="182"/>
      <c r="SDL5" s="182"/>
      <c r="SDM5" s="182"/>
      <c r="SDN5" s="182"/>
      <c r="SDO5" s="179"/>
      <c r="SDP5" s="180"/>
      <c r="SDQ5" s="180"/>
      <c r="SDR5" s="180"/>
      <c r="SDS5" s="180"/>
      <c r="SDT5" s="181"/>
      <c r="SDU5" s="180"/>
      <c r="SDV5" s="182"/>
      <c r="SDW5" s="182"/>
      <c r="SDX5" s="182"/>
      <c r="SDY5" s="182"/>
      <c r="SDZ5" s="182"/>
      <c r="SEA5" s="182"/>
      <c r="SEB5" s="179"/>
      <c r="SEC5" s="180"/>
      <c r="SED5" s="180"/>
      <c r="SEE5" s="180"/>
      <c r="SEF5" s="180"/>
      <c r="SEG5" s="181"/>
      <c r="SEH5" s="180"/>
      <c r="SEI5" s="182"/>
      <c r="SEJ5" s="182"/>
      <c r="SEK5" s="182"/>
      <c r="SEL5" s="182"/>
      <c r="SEM5" s="182"/>
      <c r="SEN5" s="182"/>
      <c r="SEO5" s="179"/>
      <c r="SEP5" s="180"/>
      <c r="SEQ5" s="180"/>
      <c r="SER5" s="180"/>
      <c r="SES5" s="180"/>
      <c r="SET5" s="181"/>
      <c r="SEU5" s="180"/>
      <c r="SEV5" s="182"/>
      <c r="SEW5" s="182"/>
      <c r="SEX5" s="182"/>
      <c r="SEY5" s="182"/>
      <c r="SEZ5" s="182"/>
      <c r="SFA5" s="182"/>
      <c r="SFB5" s="179"/>
      <c r="SFC5" s="180"/>
      <c r="SFD5" s="180"/>
      <c r="SFE5" s="180"/>
      <c r="SFF5" s="180"/>
      <c r="SFG5" s="181"/>
      <c r="SFH5" s="180"/>
      <c r="SFI5" s="182"/>
      <c r="SFJ5" s="182"/>
      <c r="SFK5" s="182"/>
      <c r="SFL5" s="182"/>
      <c r="SFM5" s="182"/>
      <c r="SFN5" s="182"/>
      <c r="SFO5" s="179"/>
      <c r="SFP5" s="180"/>
      <c r="SFQ5" s="180"/>
      <c r="SFR5" s="180"/>
      <c r="SFS5" s="180"/>
      <c r="SFT5" s="181"/>
      <c r="SFU5" s="180"/>
      <c r="SFV5" s="182"/>
      <c r="SFW5" s="182"/>
      <c r="SFX5" s="182"/>
      <c r="SFY5" s="182"/>
      <c r="SFZ5" s="182"/>
      <c r="SGA5" s="182"/>
      <c r="SGB5" s="179"/>
      <c r="SGC5" s="180"/>
      <c r="SGD5" s="180"/>
      <c r="SGE5" s="180"/>
      <c r="SGF5" s="180"/>
      <c r="SGG5" s="181"/>
      <c r="SGH5" s="180"/>
      <c r="SGI5" s="182"/>
      <c r="SGJ5" s="182"/>
      <c r="SGK5" s="182"/>
      <c r="SGL5" s="182"/>
      <c r="SGM5" s="182"/>
      <c r="SGN5" s="182"/>
      <c r="SGO5" s="179"/>
      <c r="SGP5" s="180"/>
      <c r="SGQ5" s="180"/>
      <c r="SGR5" s="180"/>
      <c r="SGS5" s="180"/>
      <c r="SGT5" s="181"/>
      <c r="SGU5" s="180"/>
      <c r="SGV5" s="182"/>
      <c r="SGW5" s="182"/>
      <c r="SGX5" s="182"/>
      <c r="SGY5" s="182"/>
      <c r="SGZ5" s="182"/>
      <c r="SHA5" s="182"/>
      <c r="SHB5" s="179"/>
      <c r="SHC5" s="180"/>
      <c r="SHD5" s="180"/>
      <c r="SHE5" s="180"/>
      <c r="SHF5" s="180"/>
      <c r="SHG5" s="181"/>
      <c r="SHH5" s="180"/>
      <c r="SHI5" s="182"/>
      <c r="SHJ5" s="182"/>
      <c r="SHK5" s="182"/>
      <c r="SHL5" s="182"/>
      <c r="SHM5" s="182"/>
      <c r="SHN5" s="182"/>
      <c r="SHO5" s="179"/>
      <c r="SHP5" s="180"/>
      <c r="SHQ5" s="180"/>
      <c r="SHR5" s="180"/>
      <c r="SHS5" s="180"/>
      <c r="SHT5" s="181"/>
      <c r="SHU5" s="180"/>
      <c r="SHV5" s="182"/>
      <c r="SHW5" s="182"/>
      <c r="SHX5" s="182"/>
      <c r="SHY5" s="182"/>
      <c r="SHZ5" s="182"/>
      <c r="SIA5" s="182"/>
      <c r="SIB5" s="179"/>
      <c r="SIC5" s="180"/>
      <c r="SID5" s="180"/>
      <c r="SIE5" s="180"/>
      <c r="SIF5" s="180"/>
      <c r="SIG5" s="181"/>
      <c r="SIH5" s="180"/>
      <c r="SII5" s="182"/>
      <c r="SIJ5" s="182"/>
      <c r="SIK5" s="182"/>
      <c r="SIL5" s="182"/>
      <c r="SIM5" s="182"/>
      <c r="SIN5" s="182"/>
      <c r="SIO5" s="179"/>
      <c r="SIP5" s="180"/>
      <c r="SIQ5" s="180"/>
      <c r="SIR5" s="180"/>
      <c r="SIS5" s="180"/>
      <c r="SIT5" s="181"/>
      <c r="SIU5" s="180"/>
      <c r="SIV5" s="182"/>
      <c r="SIW5" s="182"/>
      <c r="SIX5" s="182"/>
      <c r="SIY5" s="182"/>
      <c r="SIZ5" s="182"/>
      <c r="SJA5" s="182"/>
      <c r="SJB5" s="179"/>
      <c r="SJC5" s="180"/>
      <c r="SJD5" s="180"/>
      <c r="SJE5" s="180"/>
      <c r="SJF5" s="180"/>
      <c r="SJG5" s="181"/>
      <c r="SJH5" s="180"/>
      <c r="SJI5" s="182"/>
      <c r="SJJ5" s="182"/>
      <c r="SJK5" s="182"/>
      <c r="SJL5" s="182"/>
      <c r="SJM5" s="182"/>
      <c r="SJN5" s="182"/>
      <c r="SJO5" s="179"/>
      <c r="SJP5" s="180"/>
      <c r="SJQ5" s="180"/>
      <c r="SJR5" s="180"/>
      <c r="SJS5" s="180"/>
      <c r="SJT5" s="181"/>
      <c r="SJU5" s="180"/>
      <c r="SJV5" s="182"/>
      <c r="SJW5" s="182"/>
      <c r="SJX5" s="182"/>
      <c r="SJY5" s="182"/>
      <c r="SJZ5" s="182"/>
      <c r="SKA5" s="182"/>
      <c r="SKB5" s="179"/>
      <c r="SKC5" s="180"/>
      <c r="SKD5" s="180"/>
      <c r="SKE5" s="180"/>
      <c r="SKF5" s="180"/>
      <c r="SKG5" s="181"/>
      <c r="SKH5" s="180"/>
      <c r="SKI5" s="182"/>
      <c r="SKJ5" s="182"/>
      <c r="SKK5" s="182"/>
      <c r="SKL5" s="182"/>
      <c r="SKM5" s="182"/>
      <c r="SKN5" s="182"/>
      <c r="SKO5" s="179"/>
      <c r="SKP5" s="180"/>
      <c r="SKQ5" s="180"/>
      <c r="SKR5" s="180"/>
      <c r="SKS5" s="180"/>
      <c r="SKT5" s="181"/>
      <c r="SKU5" s="180"/>
      <c r="SKV5" s="182"/>
      <c r="SKW5" s="182"/>
      <c r="SKX5" s="182"/>
      <c r="SKY5" s="182"/>
      <c r="SKZ5" s="182"/>
      <c r="SLA5" s="182"/>
      <c r="SLB5" s="179"/>
      <c r="SLC5" s="180"/>
      <c r="SLD5" s="180"/>
      <c r="SLE5" s="180"/>
      <c r="SLF5" s="180"/>
      <c r="SLG5" s="181"/>
      <c r="SLH5" s="180"/>
      <c r="SLI5" s="182"/>
      <c r="SLJ5" s="182"/>
      <c r="SLK5" s="182"/>
      <c r="SLL5" s="182"/>
      <c r="SLM5" s="182"/>
      <c r="SLN5" s="182"/>
      <c r="SLO5" s="179"/>
      <c r="SLP5" s="180"/>
      <c r="SLQ5" s="180"/>
      <c r="SLR5" s="180"/>
      <c r="SLS5" s="180"/>
      <c r="SLT5" s="181"/>
      <c r="SLU5" s="180"/>
      <c r="SLV5" s="182"/>
      <c r="SLW5" s="182"/>
      <c r="SLX5" s="182"/>
      <c r="SLY5" s="182"/>
      <c r="SLZ5" s="182"/>
      <c r="SMA5" s="182"/>
      <c r="SMB5" s="179"/>
      <c r="SMC5" s="180"/>
      <c r="SMD5" s="180"/>
      <c r="SME5" s="180"/>
      <c r="SMF5" s="180"/>
      <c r="SMG5" s="181"/>
      <c r="SMH5" s="180"/>
      <c r="SMI5" s="182"/>
      <c r="SMJ5" s="182"/>
      <c r="SMK5" s="182"/>
      <c r="SML5" s="182"/>
      <c r="SMM5" s="182"/>
      <c r="SMN5" s="182"/>
      <c r="SMO5" s="179"/>
      <c r="SMP5" s="180"/>
      <c r="SMQ5" s="180"/>
      <c r="SMR5" s="180"/>
      <c r="SMS5" s="180"/>
      <c r="SMT5" s="181"/>
      <c r="SMU5" s="180"/>
      <c r="SMV5" s="182"/>
      <c r="SMW5" s="182"/>
      <c r="SMX5" s="182"/>
      <c r="SMY5" s="182"/>
      <c r="SMZ5" s="182"/>
      <c r="SNA5" s="182"/>
      <c r="SNB5" s="179"/>
      <c r="SNC5" s="180"/>
      <c r="SND5" s="180"/>
      <c r="SNE5" s="180"/>
      <c r="SNF5" s="180"/>
      <c r="SNG5" s="181"/>
      <c r="SNH5" s="180"/>
      <c r="SNI5" s="182"/>
      <c r="SNJ5" s="182"/>
      <c r="SNK5" s="182"/>
      <c r="SNL5" s="182"/>
      <c r="SNM5" s="182"/>
      <c r="SNN5" s="182"/>
      <c r="SNO5" s="179"/>
      <c r="SNP5" s="180"/>
      <c r="SNQ5" s="180"/>
      <c r="SNR5" s="180"/>
      <c r="SNS5" s="180"/>
      <c r="SNT5" s="181"/>
      <c r="SNU5" s="180"/>
      <c r="SNV5" s="182"/>
      <c r="SNW5" s="182"/>
      <c r="SNX5" s="182"/>
      <c r="SNY5" s="182"/>
      <c r="SNZ5" s="182"/>
      <c r="SOA5" s="182"/>
      <c r="SOB5" s="179"/>
      <c r="SOC5" s="180"/>
      <c r="SOD5" s="180"/>
      <c r="SOE5" s="180"/>
      <c r="SOF5" s="180"/>
      <c r="SOG5" s="181"/>
      <c r="SOH5" s="180"/>
      <c r="SOI5" s="182"/>
      <c r="SOJ5" s="182"/>
      <c r="SOK5" s="182"/>
      <c r="SOL5" s="182"/>
      <c r="SOM5" s="182"/>
      <c r="SON5" s="182"/>
      <c r="SOO5" s="179"/>
      <c r="SOP5" s="180"/>
      <c r="SOQ5" s="180"/>
      <c r="SOR5" s="180"/>
      <c r="SOS5" s="180"/>
      <c r="SOT5" s="181"/>
      <c r="SOU5" s="180"/>
      <c r="SOV5" s="182"/>
      <c r="SOW5" s="182"/>
      <c r="SOX5" s="182"/>
      <c r="SOY5" s="182"/>
      <c r="SOZ5" s="182"/>
      <c r="SPA5" s="182"/>
      <c r="SPB5" s="179"/>
      <c r="SPC5" s="180"/>
      <c r="SPD5" s="180"/>
      <c r="SPE5" s="180"/>
      <c r="SPF5" s="180"/>
      <c r="SPG5" s="181"/>
      <c r="SPH5" s="180"/>
      <c r="SPI5" s="182"/>
      <c r="SPJ5" s="182"/>
      <c r="SPK5" s="182"/>
      <c r="SPL5" s="182"/>
      <c r="SPM5" s="182"/>
      <c r="SPN5" s="182"/>
      <c r="SPO5" s="179"/>
      <c r="SPP5" s="180"/>
      <c r="SPQ5" s="180"/>
      <c r="SPR5" s="180"/>
      <c r="SPS5" s="180"/>
      <c r="SPT5" s="181"/>
      <c r="SPU5" s="180"/>
      <c r="SPV5" s="182"/>
      <c r="SPW5" s="182"/>
      <c r="SPX5" s="182"/>
      <c r="SPY5" s="182"/>
      <c r="SPZ5" s="182"/>
      <c r="SQA5" s="182"/>
      <c r="SQB5" s="179"/>
      <c r="SQC5" s="180"/>
      <c r="SQD5" s="180"/>
      <c r="SQE5" s="180"/>
      <c r="SQF5" s="180"/>
      <c r="SQG5" s="181"/>
      <c r="SQH5" s="180"/>
      <c r="SQI5" s="182"/>
      <c r="SQJ5" s="182"/>
      <c r="SQK5" s="182"/>
      <c r="SQL5" s="182"/>
      <c r="SQM5" s="182"/>
      <c r="SQN5" s="182"/>
      <c r="SQO5" s="179"/>
      <c r="SQP5" s="180"/>
      <c r="SQQ5" s="180"/>
      <c r="SQR5" s="180"/>
      <c r="SQS5" s="180"/>
      <c r="SQT5" s="181"/>
      <c r="SQU5" s="180"/>
      <c r="SQV5" s="182"/>
      <c r="SQW5" s="182"/>
      <c r="SQX5" s="182"/>
      <c r="SQY5" s="182"/>
      <c r="SQZ5" s="182"/>
      <c r="SRA5" s="182"/>
      <c r="SRB5" s="179"/>
      <c r="SRC5" s="180"/>
      <c r="SRD5" s="180"/>
      <c r="SRE5" s="180"/>
      <c r="SRF5" s="180"/>
      <c r="SRG5" s="181"/>
      <c r="SRH5" s="180"/>
      <c r="SRI5" s="182"/>
      <c r="SRJ5" s="182"/>
      <c r="SRK5" s="182"/>
      <c r="SRL5" s="182"/>
      <c r="SRM5" s="182"/>
      <c r="SRN5" s="182"/>
      <c r="SRO5" s="179"/>
      <c r="SRP5" s="180"/>
      <c r="SRQ5" s="180"/>
      <c r="SRR5" s="180"/>
      <c r="SRS5" s="180"/>
      <c r="SRT5" s="181"/>
      <c r="SRU5" s="180"/>
      <c r="SRV5" s="182"/>
      <c r="SRW5" s="182"/>
      <c r="SRX5" s="182"/>
      <c r="SRY5" s="182"/>
      <c r="SRZ5" s="182"/>
      <c r="SSA5" s="182"/>
      <c r="SSB5" s="179"/>
      <c r="SSC5" s="180"/>
      <c r="SSD5" s="180"/>
      <c r="SSE5" s="180"/>
      <c r="SSF5" s="180"/>
      <c r="SSG5" s="181"/>
      <c r="SSH5" s="180"/>
      <c r="SSI5" s="182"/>
      <c r="SSJ5" s="182"/>
      <c r="SSK5" s="182"/>
      <c r="SSL5" s="182"/>
      <c r="SSM5" s="182"/>
      <c r="SSN5" s="182"/>
      <c r="SSO5" s="179"/>
      <c r="SSP5" s="180"/>
      <c r="SSQ5" s="180"/>
      <c r="SSR5" s="180"/>
      <c r="SSS5" s="180"/>
      <c r="SST5" s="181"/>
      <c r="SSU5" s="180"/>
      <c r="SSV5" s="182"/>
      <c r="SSW5" s="182"/>
      <c r="SSX5" s="182"/>
      <c r="SSY5" s="182"/>
      <c r="SSZ5" s="182"/>
      <c r="STA5" s="182"/>
      <c r="STB5" s="179"/>
      <c r="STC5" s="180"/>
      <c r="STD5" s="180"/>
      <c r="STE5" s="180"/>
      <c r="STF5" s="180"/>
      <c r="STG5" s="181"/>
      <c r="STH5" s="180"/>
      <c r="STI5" s="182"/>
      <c r="STJ5" s="182"/>
      <c r="STK5" s="182"/>
      <c r="STL5" s="182"/>
      <c r="STM5" s="182"/>
      <c r="STN5" s="182"/>
      <c r="STO5" s="179"/>
      <c r="STP5" s="180"/>
      <c r="STQ5" s="180"/>
      <c r="STR5" s="180"/>
      <c r="STS5" s="180"/>
      <c r="STT5" s="181"/>
      <c r="STU5" s="180"/>
      <c r="STV5" s="182"/>
      <c r="STW5" s="182"/>
      <c r="STX5" s="182"/>
      <c r="STY5" s="182"/>
      <c r="STZ5" s="182"/>
      <c r="SUA5" s="182"/>
      <c r="SUB5" s="179"/>
      <c r="SUC5" s="180"/>
      <c r="SUD5" s="180"/>
      <c r="SUE5" s="180"/>
      <c r="SUF5" s="180"/>
      <c r="SUG5" s="181"/>
      <c r="SUH5" s="180"/>
      <c r="SUI5" s="182"/>
      <c r="SUJ5" s="182"/>
      <c r="SUK5" s="182"/>
      <c r="SUL5" s="182"/>
      <c r="SUM5" s="182"/>
      <c r="SUN5" s="182"/>
      <c r="SUO5" s="179"/>
      <c r="SUP5" s="180"/>
      <c r="SUQ5" s="180"/>
      <c r="SUR5" s="180"/>
      <c r="SUS5" s="180"/>
      <c r="SUT5" s="181"/>
      <c r="SUU5" s="180"/>
      <c r="SUV5" s="182"/>
      <c r="SUW5" s="182"/>
      <c r="SUX5" s="182"/>
      <c r="SUY5" s="182"/>
      <c r="SUZ5" s="182"/>
      <c r="SVA5" s="182"/>
      <c r="SVB5" s="179"/>
      <c r="SVC5" s="180"/>
      <c r="SVD5" s="180"/>
      <c r="SVE5" s="180"/>
      <c r="SVF5" s="180"/>
      <c r="SVG5" s="181"/>
      <c r="SVH5" s="180"/>
      <c r="SVI5" s="182"/>
      <c r="SVJ5" s="182"/>
      <c r="SVK5" s="182"/>
      <c r="SVL5" s="182"/>
      <c r="SVM5" s="182"/>
      <c r="SVN5" s="182"/>
      <c r="SVO5" s="179"/>
      <c r="SVP5" s="180"/>
      <c r="SVQ5" s="180"/>
      <c r="SVR5" s="180"/>
      <c r="SVS5" s="180"/>
      <c r="SVT5" s="181"/>
      <c r="SVU5" s="180"/>
      <c r="SVV5" s="182"/>
      <c r="SVW5" s="182"/>
      <c r="SVX5" s="182"/>
      <c r="SVY5" s="182"/>
      <c r="SVZ5" s="182"/>
      <c r="SWA5" s="182"/>
      <c r="SWB5" s="179"/>
      <c r="SWC5" s="180"/>
      <c r="SWD5" s="180"/>
      <c r="SWE5" s="180"/>
      <c r="SWF5" s="180"/>
      <c r="SWG5" s="181"/>
      <c r="SWH5" s="180"/>
      <c r="SWI5" s="182"/>
      <c r="SWJ5" s="182"/>
      <c r="SWK5" s="182"/>
      <c r="SWL5" s="182"/>
      <c r="SWM5" s="182"/>
      <c r="SWN5" s="182"/>
      <c r="SWO5" s="179"/>
      <c r="SWP5" s="180"/>
      <c r="SWQ5" s="180"/>
      <c r="SWR5" s="180"/>
      <c r="SWS5" s="180"/>
      <c r="SWT5" s="181"/>
      <c r="SWU5" s="180"/>
      <c r="SWV5" s="182"/>
      <c r="SWW5" s="182"/>
      <c r="SWX5" s="182"/>
      <c r="SWY5" s="182"/>
      <c r="SWZ5" s="182"/>
      <c r="SXA5" s="182"/>
      <c r="SXB5" s="179"/>
      <c r="SXC5" s="180"/>
      <c r="SXD5" s="180"/>
      <c r="SXE5" s="180"/>
      <c r="SXF5" s="180"/>
      <c r="SXG5" s="181"/>
      <c r="SXH5" s="180"/>
      <c r="SXI5" s="182"/>
      <c r="SXJ5" s="182"/>
      <c r="SXK5" s="182"/>
      <c r="SXL5" s="182"/>
      <c r="SXM5" s="182"/>
      <c r="SXN5" s="182"/>
      <c r="SXO5" s="179"/>
      <c r="SXP5" s="180"/>
      <c r="SXQ5" s="180"/>
      <c r="SXR5" s="180"/>
      <c r="SXS5" s="180"/>
      <c r="SXT5" s="181"/>
      <c r="SXU5" s="180"/>
      <c r="SXV5" s="182"/>
      <c r="SXW5" s="182"/>
      <c r="SXX5" s="182"/>
      <c r="SXY5" s="182"/>
      <c r="SXZ5" s="182"/>
      <c r="SYA5" s="182"/>
      <c r="SYB5" s="179"/>
      <c r="SYC5" s="180"/>
      <c r="SYD5" s="180"/>
      <c r="SYE5" s="180"/>
      <c r="SYF5" s="180"/>
      <c r="SYG5" s="181"/>
      <c r="SYH5" s="180"/>
      <c r="SYI5" s="182"/>
      <c r="SYJ5" s="182"/>
      <c r="SYK5" s="182"/>
      <c r="SYL5" s="182"/>
      <c r="SYM5" s="182"/>
      <c r="SYN5" s="182"/>
      <c r="SYO5" s="179"/>
      <c r="SYP5" s="180"/>
      <c r="SYQ5" s="180"/>
      <c r="SYR5" s="180"/>
      <c r="SYS5" s="180"/>
      <c r="SYT5" s="181"/>
      <c r="SYU5" s="180"/>
      <c r="SYV5" s="182"/>
      <c r="SYW5" s="182"/>
      <c r="SYX5" s="182"/>
      <c r="SYY5" s="182"/>
      <c r="SYZ5" s="182"/>
      <c r="SZA5" s="182"/>
      <c r="SZB5" s="179"/>
      <c r="SZC5" s="180"/>
      <c r="SZD5" s="180"/>
      <c r="SZE5" s="180"/>
      <c r="SZF5" s="180"/>
      <c r="SZG5" s="181"/>
      <c r="SZH5" s="180"/>
      <c r="SZI5" s="182"/>
      <c r="SZJ5" s="182"/>
      <c r="SZK5" s="182"/>
      <c r="SZL5" s="182"/>
      <c r="SZM5" s="182"/>
      <c r="SZN5" s="182"/>
      <c r="SZO5" s="179"/>
      <c r="SZP5" s="180"/>
      <c r="SZQ5" s="180"/>
      <c r="SZR5" s="180"/>
      <c r="SZS5" s="180"/>
      <c r="SZT5" s="181"/>
      <c r="SZU5" s="180"/>
      <c r="SZV5" s="182"/>
      <c r="SZW5" s="182"/>
      <c r="SZX5" s="182"/>
      <c r="SZY5" s="182"/>
      <c r="SZZ5" s="182"/>
      <c r="TAA5" s="182"/>
      <c r="TAB5" s="179"/>
      <c r="TAC5" s="180"/>
      <c r="TAD5" s="180"/>
      <c r="TAE5" s="180"/>
      <c r="TAF5" s="180"/>
      <c r="TAG5" s="181"/>
      <c r="TAH5" s="180"/>
      <c r="TAI5" s="182"/>
      <c r="TAJ5" s="182"/>
      <c r="TAK5" s="182"/>
      <c r="TAL5" s="182"/>
      <c r="TAM5" s="182"/>
      <c r="TAN5" s="182"/>
      <c r="TAO5" s="179"/>
      <c r="TAP5" s="180"/>
      <c r="TAQ5" s="180"/>
      <c r="TAR5" s="180"/>
      <c r="TAS5" s="180"/>
      <c r="TAT5" s="181"/>
      <c r="TAU5" s="180"/>
      <c r="TAV5" s="182"/>
      <c r="TAW5" s="182"/>
      <c r="TAX5" s="182"/>
      <c r="TAY5" s="182"/>
      <c r="TAZ5" s="182"/>
      <c r="TBA5" s="182"/>
      <c r="TBB5" s="179"/>
      <c r="TBC5" s="180"/>
      <c r="TBD5" s="180"/>
      <c r="TBE5" s="180"/>
      <c r="TBF5" s="180"/>
      <c r="TBG5" s="181"/>
      <c r="TBH5" s="180"/>
      <c r="TBI5" s="182"/>
      <c r="TBJ5" s="182"/>
      <c r="TBK5" s="182"/>
      <c r="TBL5" s="182"/>
      <c r="TBM5" s="182"/>
      <c r="TBN5" s="182"/>
      <c r="TBO5" s="179"/>
      <c r="TBP5" s="180"/>
      <c r="TBQ5" s="180"/>
      <c r="TBR5" s="180"/>
      <c r="TBS5" s="180"/>
      <c r="TBT5" s="181"/>
      <c r="TBU5" s="180"/>
      <c r="TBV5" s="182"/>
      <c r="TBW5" s="182"/>
      <c r="TBX5" s="182"/>
      <c r="TBY5" s="182"/>
      <c r="TBZ5" s="182"/>
      <c r="TCA5" s="182"/>
      <c r="TCB5" s="179"/>
      <c r="TCC5" s="180"/>
      <c r="TCD5" s="180"/>
      <c r="TCE5" s="180"/>
      <c r="TCF5" s="180"/>
      <c r="TCG5" s="181"/>
      <c r="TCH5" s="180"/>
      <c r="TCI5" s="182"/>
      <c r="TCJ5" s="182"/>
      <c r="TCK5" s="182"/>
      <c r="TCL5" s="182"/>
      <c r="TCM5" s="182"/>
      <c r="TCN5" s="182"/>
      <c r="TCO5" s="179"/>
      <c r="TCP5" s="180"/>
      <c r="TCQ5" s="180"/>
      <c r="TCR5" s="180"/>
      <c r="TCS5" s="180"/>
      <c r="TCT5" s="181"/>
      <c r="TCU5" s="180"/>
      <c r="TCV5" s="182"/>
      <c r="TCW5" s="182"/>
      <c r="TCX5" s="182"/>
      <c r="TCY5" s="182"/>
      <c r="TCZ5" s="182"/>
      <c r="TDA5" s="182"/>
      <c r="TDB5" s="179"/>
      <c r="TDC5" s="180"/>
      <c r="TDD5" s="180"/>
      <c r="TDE5" s="180"/>
      <c r="TDF5" s="180"/>
      <c r="TDG5" s="181"/>
      <c r="TDH5" s="180"/>
      <c r="TDI5" s="182"/>
      <c r="TDJ5" s="182"/>
      <c r="TDK5" s="182"/>
      <c r="TDL5" s="182"/>
      <c r="TDM5" s="182"/>
      <c r="TDN5" s="182"/>
      <c r="TDO5" s="179"/>
      <c r="TDP5" s="180"/>
      <c r="TDQ5" s="180"/>
      <c r="TDR5" s="180"/>
      <c r="TDS5" s="180"/>
      <c r="TDT5" s="181"/>
      <c r="TDU5" s="180"/>
      <c r="TDV5" s="182"/>
      <c r="TDW5" s="182"/>
      <c r="TDX5" s="182"/>
      <c r="TDY5" s="182"/>
      <c r="TDZ5" s="182"/>
      <c r="TEA5" s="182"/>
      <c r="TEB5" s="179"/>
      <c r="TEC5" s="180"/>
      <c r="TED5" s="180"/>
      <c r="TEE5" s="180"/>
      <c r="TEF5" s="180"/>
      <c r="TEG5" s="181"/>
      <c r="TEH5" s="180"/>
      <c r="TEI5" s="182"/>
      <c r="TEJ5" s="182"/>
      <c r="TEK5" s="182"/>
      <c r="TEL5" s="182"/>
      <c r="TEM5" s="182"/>
      <c r="TEN5" s="182"/>
      <c r="TEO5" s="179"/>
      <c r="TEP5" s="180"/>
      <c r="TEQ5" s="180"/>
      <c r="TER5" s="180"/>
      <c r="TES5" s="180"/>
      <c r="TET5" s="181"/>
      <c r="TEU5" s="180"/>
      <c r="TEV5" s="182"/>
      <c r="TEW5" s="182"/>
      <c r="TEX5" s="182"/>
      <c r="TEY5" s="182"/>
      <c r="TEZ5" s="182"/>
      <c r="TFA5" s="182"/>
      <c r="TFB5" s="179"/>
      <c r="TFC5" s="180"/>
      <c r="TFD5" s="180"/>
      <c r="TFE5" s="180"/>
      <c r="TFF5" s="180"/>
      <c r="TFG5" s="181"/>
      <c r="TFH5" s="180"/>
      <c r="TFI5" s="182"/>
      <c r="TFJ5" s="182"/>
      <c r="TFK5" s="182"/>
      <c r="TFL5" s="182"/>
      <c r="TFM5" s="182"/>
      <c r="TFN5" s="182"/>
      <c r="TFO5" s="179"/>
      <c r="TFP5" s="180"/>
      <c r="TFQ5" s="180"/>
      <c r="TFR5" s="180"/>
      <c r="TFS5" s="180"/>
      <c r="TFT5" s="181"/>
      <c r="TFU5" s="180"/>
      <c r="TFV5" s="182"/>
      <c r="TFW5" s="182"/>
      <c r="TFX5" s="182"/>
      <c r="TFY5" s="182"/>
      <c r="TFZ5" s="182"/>
      <c r="TGA5" s="182"/>
      <c r="TGB5" s="179"/>
      <c r="TGC5" s="180"/>
      <c r="TGD5" s="180"/>
      <c r="TGE5" s="180"/>
      <c r="TGF5" s="180"/>
      <c r="TGG5" s="181"/>
      <c r="TGH5" s="180"/>
      <c r="TGI5" s="182"/>
      <c r="TGJ5" s="182"/>
      <c r="TGK5" s="182"/>
      <c r="TGL5" s="182"/>
      <c r="TGM5" s="182"/>
      <c r="TGN5" s="182"/>
      <c r="TGO5" s="179"/>
      <c r="TGP5" s="180"/>
      <c r="TGQ5" s="180"/>
      <c r="TGR5" s="180"/>
      <c r="TGS5" s="180"/>
      <c r="TGT5" s="181"/>
      <c r="TGU5" s="180"/>
      <c r="TGV5" s="182"/>
      <c r="TGW5" s="182"/>
      <c r="TGX5" s="182"/>
      <c r="TGY5" s="182"/>
      <c r="TGZ5" s="182"/>
      <c r="THA5" s="182"/>
      <c r="THB5" s="179"/>
      <c r="THC5" s="180"/>
      <c r="THD5" s="180"/>
      <c r="THE5" s="180"/>
      <c r="THF5" s="180"/>
      <c r="THG5" s="181"/>
      <c r="THH5" s="180"/>
      <c r="THI5" s="182"/>
      <c r="THJ5" s="182"/>
      <c r="THK5" s="182"/>
      <c r="THL5" s="182"/>
      <c r="THM5" s="182"/>
      <c r="THN5" s="182"/>
      <c r="THO5" s="179"/>
      <c r="THP5" s="180"/>
      <c r="THQ5" s="180"/>
      <c r="THR5" s="180"/>
      <c r="THS5" s="180"/>
      <c r="THT5" s="181"/>
      <c r="THU5" s="180"/>
      <c r="THV5" s="182"/>
      <c r="THW5" s="182"/>
      <c r="THX5" s="182"/>
      <c r="THY5" s="182"/>
      <c r="THZ5" s="182"/>
      <c r="TIA5" s="182"/>
      <c r="TIB5" s="179"/>
      <c r="TIC5" s="180"/>
      <c r="TID5" s="180"/>
      <c r="TIE5" s="180"/>
      <c r="TIF5" s="180"/>
      <c r="TIG5" s="181"/>
      <c r="TIH5" s="180"/>
      <c r="TII5" s="182"/>
      <c r="TIJ5" s="182"/>
      <c r="TIK5" s="182"/>
      <c r="TIL5" s="182"/>
      <c r="TIM5" s="182"/>
      <c r="TIN5" s="182"/>
      <c r="TIO5" s="179"/>
      <c r="TIP5" s="180"/>
      <c r="TIQ5" s="180"/>
      <c r="TIR5" s="180"/>
      <c r="TIS5" s="180"/>
      <c r="TIT5" s="181"/>
      <c r="TIU5" s="180"/>
      <c r="TIV5" s="182"/>
      <c r="TIW5" s="182"/>
      <c r="TIX5" s="182"/>
      <c r="TIY5" s="182"/>
      <c r="TIZ5" s="182"/>
      <c r="TJA5" s="182"/>
      <c r="TJB5" s="179"/>
      <c r="TJC5" s="180"/>
      <c r="TJD5" s="180"/>
      <c r="TJE5" s="180"/>
      <c r="TJF5" s="180"/>
      <c r="TJG5" s="181"/>
      <c r="TJH5" s="180"/>
      <c r="TJI5" s="182"/>
      <c r="TJJ5" s="182"/>
      <c r="TJK5" s="182"/>
      <c r="TJL5" s="182"/>
      <c r="TJM5" s="182"/>
      <c r="TJN5" s="182"/>
      <c r="TJO5" s="179"/>
      <c r="TJP5" s="180"/>
      <c r="TJQ5" s="180"/>
      <c r="TJR5" s="180"/>
      <c r="TJS5" s="180"/>
      <c r="TJT5" s="181"/>
      <c r="TJU5" s="180"/>
      <c r="TJV5" s="182"/>
      <c r="TJW5" s="182"/>
      <c r="TJX5" s="182"/>
      <c r="TJY5" s="182"/>
      <c r="TJZ5" s="182"/>
      <c r="TKA5" s="182"/>
      <c r="TKB5" s="179"/>
      <c r="TKC5" s="180"/>
      <c r="TKD5" s="180"/>
      <c r="TKE5" s="180"/>
      <c r="TKF5" s="180"/>
      <c r="TKG5" s="181"/>
      <c r="TKH5" s="180"/>
      <c r="TKI5" s="182"/>
      <c r="TKJ5" s="182"/>
      <c r="TKK5" s="182"/>
      <c r="TKL5" s="182"/>
      <c r="TKM5" s="182"/>
      <c r="TKN5" s="182"/>
      <c r="TKO5" s="179"/>
      <c r="TKP5" s="180"/>
      <c r="TKQ5" s="180"/>
      <c r="TKR5" s="180"/>
      <c r="TKS5" s="180"/>
      <c r="TKT5" s="181"/>
      <c r="TKU5" s="180"/>
      <c r="TKV5" s="182"/>
      <c r="TKW5" s="182"/>
      <c r="TKX5" s="182"/>
      <c r="TKY5" s="182"/>
      <c r="TKZ5" s="182"/>
      <c r="TLA5" s="182"/>
      <c r="TLB5" s="179"/>
      <c r="TLC5" s="180"/>
      <c r="TLD5" s="180"/>
      <c r="TLE5" s="180"/>
      <c r="TLF5" s="180"/>
      <c r="TLG5" s="181"/>
      <c r="TLH5" s="180"/>
      <c r="TLI5" s="182"/>
      <c r="TLJ5" s="182"/>
      <c r="TLK5" s="182"/>
      <c r="TLL5" s="182"/>
      <c r="TLM5" s="182"/>
      <c r="TLN5" s="182"/>
      <c r="TLO5" s="179"/>
      <c r="TLP5" s="180"/>
      <c r="TLQ5" s="180"/>
      <c r="TLR5" s="180"/>
      <c r="TLS5" s="180"/>
      <c r="TLT5" s="181"/>
      <c r="TLU5" s="180"/>
      <c r="TLV5" s="182"/>
      <c r="TLW5" s="182"/>
      <c r="TLX5" s="182"/>
      <c r="TLY5" s="182"/>
      <c r="TLZ5" s="182"/>
      <c r="TMA5" s="182"/>
      <c r="TMB5" s="179"/>
      <c r="TMC5" s="180"/>
      <c r="TMD5" s="180"/>
      <c r="TME5" s="180"/>
      <c r="TMF5" s="180"/>
      <c r="TMG5" s="181"/>
      <c r="TMH5" s="180"/>
      <c r="TMI5" s="182"/>
      <c r="TMJ5" s="182"/>
      <c r="TMK5" s="182"/>
      <c r="TML5" s="182"/>
      <c r="TMM5" s="182"/>
      <c r="TMN5" s="182"/>
      <c r="TMO5" s="179"/>
      <c r="TMP5" s="180"/>
      <c r="TMQ5" s="180"/>
      <c r="TMR5" s="180"/>
      <c r="TMS5" s="180"/>
      <c r="TMT5" s="181"/>
      <c r="TMU5" s="180"/>
      <c r="TMV5" s="182"/>
      <c r="TMW5" s="182"/>
      <c r="TMX5" s="182"/>
      <c r="TMY5" s="182"/>
      <c r="TMZ5" s="182"/>
      <c r="TNA5" s="182"/>
      <c r="TNB5" s="179"/>
      <c r="TNC5" s="180"/>
      <c r="TND5" s="180"/>
      <c r="TNE5" s="180"/>
      <c r="TNF5" s="180"/>
      <c r="TNG5" s="181"/>
      <c r="TNH5" s="180"/>
      <c r="TNI5" s="182"/>
      <c r="TNJ5" s="182"/>
      <c r="TNK5" s="182"/>
      <c r="TNL5" s="182"/>
      <c r="TNM5" s="182"/>
      <c r="TNN5" s="182"/>
      <c r="TNO5" s="179"/>
      <c r="TNP5" s="180"/>
      <c r="TNQ5" s="180"/>
      <c r="TNR5" s="180"/>
      <c r="TNS5" s="180"/>
      <c r="TNT5" s="181"/>
      <c r="TNU5" s="180"/>
      <c r="TNV5" s="182"/>
      <c r="TNW5" s="182"/>
      <c r="TNX5" s="182"/>
      <c r="TNY5" s="182"/>
      <c r="TNZ5" s="182"/>
      <c r="TOA5" s="182"/>
      <c r="TOB5" s="179"/>
      <c r="TOC5" s="180"/>
      <c r="TOD5" s="180"/>
      <c r="TOE5" s="180"/>
      <c r="TOF5" s="180"/>
      <c r="TOG5" s="181"/>
      <c r="TOH5" s="180"/>
      <c r="TOI5" s="182"/>
      <c r="TOJ5" s="182"/>
      <c r="TOK5" s="182"/>
      <c r="TOL5" s="182"/>
      <c r="TOM5" s="182"/>
      <c r="TON5" s="182"/>
      <c r="TOO5" s="179"/>
      <c r="TOP5" s="180"/>
      <c r="TOQ5" s="180"/>
      <c r="TOR5" s="180"/>
      <c r="TOS5" s="180"/>
      <c r="TOT5" s="181"/>
      <c r="TOU5" s="180"/>
      <c r="TOV5" s="182"/>
      <c r="TOW5" s="182"/>
      <c r="TOX5" s="182"/>
      <c r="TOY5" s="182"/>
      <c r="TOZ5" s="182"/>
      <c r="TPA5" s="182"/>
      <c r="TPB5" s="179"/>
      <c r="TPC5" s="180"/>
      <c r="TPD5" s="180"/>
      <c r="TPE5" s="180"/>
      <c r="TPF5" s="180"/>
      <c r="TPG5" s="181"/>
      <c r="TPH5" s="180"/>
      <c r="TPI5" s="182"/>
      <c r="TPJ5" s="182"/>
      <c r="TPK5" s="182"/>
      <c r="TPL5" s="182"/>
      <c r="TPM5" s="182"/>
      <c r="TPN5" s="182"/>
      <c r="TPO5" s="179"/>
      <c r="TPP5" s="180"/>
      <c r="TPQ5" s="180"/>
      <c r="TPR5" s="180"/>
      <c r="TPS5" s="180"/>
      <c r="TPT5" s="181"/>
      <c r="TPU5" s="180"/>
      <c r="TPV5" s="182"/>
      <c r="TPW5" s="182"/>
      <c r="TPX5" s="182"/>
      <c r="TPY5" s="182"/>
      <c r="TPZ5" s="182"/>
      <c r="TQA5" s="182"/>
      <c r="TQB5" s="179"/>
      <c r="TQC5" s="180"/>
      <c r="TQD5" s="180"/>
      <c r="TQE5" s="180"/>
      <c r="TQF5" s="180"/>
      <c r="TQG5" s="181"/>
      <c r="TQH5" s="180"/>
      <c r="TQI5" s="182"/>
      <c r="TQJ5" s="182"/>
      <c r="TQK5" s="182"/>
      <c r="TQL5" s="182"/>
      <c r="TQM5" s="182"/>
      <c r="TQN5" s="182"/>
      <c r="TQO5" s="179"/>
      <c r="TQP5" s="180"/>
      <c r="TQQ5" s="180"/>
      <c r="TQR5" s="180"/>
      <c r="TQS5" s="180"/>
      <c r="TQT5" s="181"/>
      <c r="TQU5" s="180"/>
      <c r="TQV5" s="182"/>
      <c r="TQW5" s="182"/>
      <c r="TQX5" s="182"/>
      <c r="TQY5" s="182"/>
      <c r="TQZ5" s="182"/>
      <c r="TRA5" s="182"/>
      <c r="TRB5" s="179"/>
      <c r="TRC5" s="180"/>
      <c r="TRD5" s="180"/>
      <c r="TRE5" s="180"/>
      <c r="TRF5" s="180"/>
      <c r="TRG5" s="181"/>
      <c r="TRH5" s="180"/>
      <c r="TRI5" s="182"/>
      <c r="TRJ5" s="182"/>
      <c r="TRK5" s="182"/>
      <c r="TRL5" s="182"/>
      <c r="TRM5" s="182"/>
      <c r="TRN5" s="182"/>
      <c r="TRO5" s="179"/>
      <c r="TRP5" s="180"/>
      <c r="TRQ5" s="180"/>
      <c r="TRR5" s="180"/>
      <c r="TRS5" s="180"/>
      <c r="TRT5" s="181"/>
      <c r="TRU5" s="180"/>
      <c r="TRV5" s="182"/>
      <c r="TRW5" s="182"/>
      <c r="TRX5" s="182"/>
      <c r="TRY5" s="182"/>
      <c r="TRZ5" s="182"/>
      <c r="TSA5" s="182"/>
      <c r="TSB5" s="179"/>
      <c r="TSC5" s="180"/>
      <c r="TSD5" s="180"/>
      <c r="TSE5" s="180"/>
      <c r="TSF5" s="180"/>
      <c r="TSG5" s="181"/>
      <c r="TSH5" s="180"/>
      <c r="TSI5" s="182"/>
      <c r="TSJ5" s="182"/>
      <c r="TSK5" s="182"/>
      <c r="TSL5" s="182"/>
      <c r="TSM5" s="182"/>
      <c r="TSN5" s="182"/>
      <c r="TSO5" s="179"/>
      <c r="TSP5" s="180"/>
      <c r="TSQ5" s="180"/>
      <c r="TSR5" s="180"/>
      <c r="TSS5" s="180"/>
      <c r="TST5" s="181"/>
      <c r="TSU5" s="180"/>
      <c r="TSV5" s="182"/>
      <c r="TSW5" s="182"/>
      <c r="TSX5" s="182"/>
      <c r="TSY5" s="182"/>
      <c r="TSZ5" s="182"/>
      <c r="TTA5" s="182"/>
      <c r="TTB5" s="179"/>
      <c r="TTC5" s="180"/>
      <c r="TTD5" s="180"/>
      <c r="TTE5" s="180"/>
      <c r="TTF5" s="180"/>
      <c r="TTG5" s="181"/>
      <c r="TTH5" s="180"/>
      <c r="TTI5" s="182"/>
      <c r="TTJ5" s="182"/>
      <c r="TTK5" s="182"/>
      <c r="TTL5" s="182"/>
      <c r="TTM5" s="182"/>
      <c r="TTN5" s="182"/>
      <c r="TTO5" s="179"/>
      <c r="TTP5" s="180"/>
      <c r="TTQ5" s="180"/>
      <c r="TTR5" s="180"/>
      <c r="TTS5" s="180"/>
      <c r="TTT5" s="181"/>
      <c r="TTU5" s="180"/>
      <c r="TTV5" s="182"/>
      <c r="TTW5" s="182"/>
      <c r="TTX5" s="182"/>
      <c r="TTY5" s="182"/>
      <c r="TTZ5" s="182"/>
      <c r="TUA5" s="182"/>
      <c r="TUB5" s="179"/>
      <c r="TUC5" s="180"/>
      <c r="TUD5" s="180"/>
      <c r="TUE5" s="180"/>
      <c r="TUF5" s="180"/>
      <c r="TUG5" s="181"/>
      <c r="TUH5" s="180"/>
      <c r="TUI5" s="182"/>
      <c r="TUJ5" s="182"/>
      <c r="TUK5" s="182"/>
      <c r="TUL5" s="182"/>
      <c r="TUM5" s="182"/>
      <c r="TUN5" s="182"/>
      <c r="TUO5" s="179"/>
      <c r="TUP5" s="180"/>
      <c r="TUQ5" s="180"/>
      <c r="TUR5" s="180"/>
      <c r="TUS5" s="180"/>
      <c r="TUT5" s="181"/>
      <c r="TUU5" s="180"/>
      <c r="TUV5" s="182"/>
      <c r="TUW5" s="182"/>
      <c r="TUX5" s="182"/>
      <c r="TUY5" s="182"/>
      <c r="TUZ5" s="182"/>
      <c r="TVA5" s="182"/>
      <c r="TVB5" s="179"/>
      <c r="TVC5" s="180"/>
      <c r="TVD5" s="180"/>
      <c r="TVE5" s="180"/>
      <c r="TVF5" s="180"/>
      <c r="TVG5" s="181"/>
      <c r="TVH5" s="180"/>
      <c r="TVI5" s="182"/>
      <c r="TVJ5" s="182"/>
      <c r="TVK5" s="182"/>
      <c r="TVL5" s="182"/>
      <c r="TVM5" s="182"/>
      <c r="TVN5" s="182"/>
      <c r="TVO5" s="179"/>
      <c r="TVP5" s="180"/>
      <c r="TVQ5" s="180"/>
      <c r="TVR5" s="180"/>
      <c r="TVS5" s="180"/>
      <c r="TVT5" s="181"/>
      <c r="TVU5" s="180"/>
      <c r="TVV5" s="182"/>
      <c r="TVW5" s="182"/>
      <c r="TVX5" s="182"/>
      <c r="TVY5" s="182"/>
      <c r="TVZ5" s="182"/>
      <c r="TWA5" s="182"/>
      <c r="TWB5" s="179"/>
      <c r="TWC5" s="180"/>
      <c r="TWD5" s="180"/>
      <c r="TWE5" s="180"/>
      <c r="TWF5" s="180"/>
      <c r="TWG5" s="181"/>
      <c r="TWH5" s="180"/>
      <c r="TWI5" s="182"/>
      <c r="TWJ5" s="182"/>
      <c r="TWK5" s="182"/>
      <c r="TWL5" s="182"/>
      <c r="TWM5" s="182"/>
      <c r="TWN5" s="182"/>
      <c r="TWO5" s="179"/>
      <c r="TWP5" s="180"/>
      <c r="TWQ5" s="180"/>
      <c r="TWR5" s="180"/>
      <c r="TWS5" s="180"/>
      <c r="TWT5" s="181"/>
      <c r="TWU5" s="180"/>
      <c r="TWV5" s="182"/>
      <c r="TWW5" s="182"/>
      <c r="TWX5" s="182"/>
      <c r="TWY5" s="182"/>
      <c r="TWZ5" s="182"/>
      <c r="TXA5" s="182"/>
      <c r="TXB5" s="179"/>
      <c r="TXC5" s="180"/>
      <c r="TXD5" s="180"/>
      <c r="TXE5" s="180"/>
      <c r="TXF5" s="180"/>
      <c r="TXG5" s="181"/>
      <c r="TXH5" s="180"/>
      <c r="TXI5" s="182"/>
      <c r="TXJ5" s="182"/>
      <c r="TXK5" s="182"/>
      <c r="TXL5" s="182"/>
      <c r="TXM5" s="182"/>
      <c r="TXN5" s="182"/>
      <c r="TXO5" s="179"/>
      <c r="TXP5" s="180"/>
      <c r="TXQ5" s="180"/>
      <c r="TXR5" s="180"/>
      <c r="TXS5" s="180"/>
      <c r="TXT5" s="181"/>
      <c r="TXU5" s="180"/>
      <c r="TXV5" s="182"/>
      <c r="TXW5" s="182"/>
      <c r="TXX5" s="182"/>
      <c r="TXY5" s="182"/>
      <c r="TXZ5" s="182"/>
      <c r="TYA5" s="182"/>
      <c r="TYB5" s="179"/>
      <c r="TYC5" s="180"/>
      <c r="TYD5" s="180"/>
      <c r="TYE5" s="180"/>
      <c r="TYF5" s="180"/>
      <c r="TYG5" s="181"/>
      <c r="TYH5" s="180"/>
      <c r="TYI5" s="182"/>
      <c r="TYJ5" s="182"/>
      <c r="TYK5" s="182"/>
      <c r="TYL5" s="182"/>
      <c r="TYM5" s="182"/>
      <c r="TYN5" s="182"/>
      <c r="TYO5" s="179"/>
      <c r="TYP5" s="180"/>
      <c r="TYQ5" s="180"/>
      <c r="TYR5" s="180"/>
      <c r="TYS5" s="180"/>
      <c r="TYT5" s="181"/>
      <c r="TYU5" s="180"/>
      <c r="TYV5" s="182"/>
      <c r="TYW5" s="182"/>
      <c r="TYX5" s="182"/>
      <c r="TYY5" s="182"/>
      <c r="TYZ5" s="182"/>
      <c r="TZA5" s="182"/>
      <c r="TZB5" s="179"/>
      <c r="TZC5" s="180"/>
      <c r="TZD5" s="180"/>
      <c r="TZE5" s="180"/>
      <c r="TZF5" s="180"/>
      <c r="TZG5" s="181"/>
      <c r="TZH5" s="180"/>
      <c r="TZI5" s="182"/>
      <c r="TZJ5" s="182"/>
      <c r="TZK5" s="182"/>
      <c r="TZL5" s="182"/>
      <c r="TZM5" s="182"/>
      <c r="TZN5" s="182"/>
      <c r="TZO5" s="179"/>
      <c r="TZP5" s="180"/>
      <c r="TZQ5" s="180"/>
      <c r="TZR5" s="180"/>
      <c r="TZS5" s="180"/>
      <c r="TZT5" s="181"/>
      <c r="TZU5" s="180"/>
      <c r="TZV5" s="182"/>
      <c r="TZW5" s="182"/>
      <c r="TZX5" s="182"/>
      <c r="TZY5" s="182"/>
      <c r="TZZ5" s="182"/>
      <c r="UAA5" s="182"/>
      <c r="UAB5" s="179"/>
      <c r="UAC5" s="180"/>
      <c r="UAD5" s="180"/>
      <c r="UAE5" s="180"/>
      <c r="UAF5" s="180"/>
      <c r="UAG5" s="181"/>
      <c r="UAH5" s="180"/>
      <c r="UAI5" s="182"/>
      <c r="UAJ5" s="182"/>
      <c r="UAK5" s="182"/>
      <c r="UAL5" s="182"/>
      <c r="UAM5" s="182"/>
      <c r="UAN5" s="182"/>
      <c r="UAO5" s="179"/>
      <c r="UAP5" s="180"/>
      <c r="UAQ5" s="180"/>
      <c r="UAR5" s="180"/>
      <c r="UAS5" s="180"/>
      <c r="UAT5" s="181"/>
      <c r="UAU5" s="180"/>
      <c r="UAV5" s="182"/>
      <c r="UAW5" s="182"/>
      <c r="UAX5" s="182"/>
      <c r="UAY5" s="182"/>
      <c r="UAZ5" s="182"/>
      <c r="UBA5" s="182"/>
      <c r="UBB5" s="179"/>
      <c r="UBC5" s="180"/>
      <c r="UBD5" s="180"/>
      <c r="UBE5" s="180"/>
      <c r="UBF5" s="180"/>
      <c r="UBG5" s="181"/>
      <c r="UBH5" s="180"/>
      <c r="UBI5" s="182"/>
      <c r="UBJ5" s="182"/>
      <c r="UBK5" s="182"/>
      <c r="UBL5" s="182"/>
      <c r="UBM5" s="182"/>
      <c r="UBN5" s="182"/>
      <c r="UBO5" s="179"/>
      <c r="UBP5" s="180"/>
      <c r="UBQ5" s="180"/>
      <c r="UBR5" s="180"/>
      <c r="UBS5" s="180"/>
      <c r="UBT5" s="181"/>
      <c r="UBU5" s="180"/>
      <c r="UBV5" s="182"/>
      <c r="UBW5" s="182"/>
      <c r="UBX5" s="182"/>
      <c r="UBY5" s="182"/>
      <c r="UBZ5" s="182"/>
      <c r="UCA5" s="182"/>
      <c r="UCB5" s="179"/>
      <c r="UCC5" s="180"/>
      <c r="UCD5" s="180"/>
      <c r="UCE5" s="180"/>
      <c r="UCF5" s="180"/>
      <c r="UCG5" s="181"/>
      <c r="UCH5" s="180"/>
      <c r="UCI5" s="182"/>
      <c r="UCJ5" s="182"/>
      <c r="UCK5" s="182"/>
      <c r="UCL5" s="182"/>
      <c r="UCM5" s="182"/>
      <c r="UCN5" s="182"/>
      <c r="UCO5" s="179"/>
      <c r="UCP5" s="180"/>
      <c r="UCQ5" s="180"/>
      <c r="UCR5" s="180"/>
      <c r="UCS5" s="180"/>
      <c r="UCT5" s="181"/>
      <c r="UCU5" s="180"/>
      <c r="UCV5" s="182"/>
      <c r="UCW5" s="182"/>
      <c r="UCX5" s="182"/>
      <c r="UCY5" s="182"/>
      <c r="UCZ5" s="182"/>
      <c r="UDA5" s="182"/>
      <c r="UDB5" s="179"/>
      <c r="UDC5" s="180"/>
      <c r="UDD5" s="180"/>
      <c r="UDE5" s="180"/>
      <c r="UDF5" s="180"/>
      <c r="UDG5" s="181"/>
      <c r="UDH5" s="180"/>
      <c r="UDI5" s="182"/>
      <c r="UDJ5" s="182"/>
      <c r="UDK5" s="182"/>
      <c r="UDL5" s="182"/>
      <c r="UDM5" s="182"/>
      <c r="UDN5" s="182"/>
      <c r="UDO5" s="179"/>
      <c r="UDP5" s="180"/>
      <c r="UDQ5" s="180"/>
      <c r="UDR5" s="180"/>
      <c r="UDS5" s="180"/>
      <c r="UDT5" s="181"/>
      <c r="UDU5" s="180"/>
      <c r="UDV5" s="182"/>
      <c r="UDW5" s="182"/>
      <c r="UDX5" s="182"/>
      <c r="UDY5" s="182"/>
      <c r="UDZ5" s="182"/>
      <c r="UEA5" s="182"/>
      <c r="UEB5" s="179"/>
      <c r="UEC5" s="180"/>
      <c r="UED5" s="180"/>
      <c r="UEE5" s="180"/>
      <c r="UEF5" s="180"/>
      <c r="UEG5" s="181"/>
      <c r="UEH5" s="180"/>
      <c r="UEI5" s="182"/>
      <c r="UEJ5" s="182"/>
      <c r="UEK5" s="182"/>
      <c r="UEL5" s="182"/>
      <c r="UEM5" s="182"/>
      <c r="UEN5" s="182"/>
      <c r="UEO5" s="179"/>
      <c r="UEP5" s="180"/>
      <c r="UEQ5" s="180"/>
      <c r="UER5" s="180"/>
      <c r="UES5" s="180"/>
      <c r="UET5" s="181"/>
      <c r="UEU5" s="180"/>
      <c r="UEV5" s="182"/>
      <c r="UEW5" s="182"/>
      <c r="UEX5" s="182"/>
      <c r="UEY5" s="182"/>
      <c r="UEZ5" s="182"/>
      <c r="UFA5" s="182"/>
      <c r="UFB5" s="179"/>
      <c r="UFC5" s="180"/>
      <c r="UFD5" s="180"/>
      <c r="UFE5" s="180"/>
      <c r="UFF5" s="180"/>
      <c r="UFG5" s="181"/>
      <c r="UFH5" s="180"/>
      <c r="UFI5" s="182"/>
      <c r="UFJ5" s="182"/>
      <c r="UFK5" s="182"/>
      <c r="UFL5" s="182"/>
      <c r="UFM5" s="182"/>
      <c r="UFN5" s="182"/>
      <c r="UFO5" s="179"/>
      <c r="UFP5" s="180"/>
      <c r="UFQ5" s="180"/>
      <c r="UFR5" s="180"/>
      <c r="UFS5" s="180"/>
      <c r="UFT5" s="181"/>
      <c r="UFU5" s="180"/>
      <c r="UFV5" s="182"/>
      <c r="UFW5" s="182"/>
      <c r="UFX5" s="182"/>
      <c r="UFY5" s="182"/>
      <c r="UFZ5" s="182"/>
      <c r="UGA5" s="182"/>
      <c r="UGB5" s="179"/>
      <c r="UGC5" s="180"/>
      <c r="UGD5" s="180"/>
      <c r="UGE5" s="180"/>
      <c r="UGF5" s="180"/>
      <c r="UGG5" s="181"/>
      <c r="UGH5" s="180"/>
      <c r="UGI5" s="182"/>
      <c r="UGJ5" s="182"/>
      <c r="UGK5" s="182"/>
      <c r="UGL5" s="182"/>
      <c r="UGM5" s="182"/>
      <c r="UGN5" s="182"/>
      <c r="UGO5" s="179"/>
      <c r="UGP5" s="180"/>
      <c r="UGQ5" s="180"/>
      <c r="UGR5" s="180"/>
      <c r="UGS5" s="180"/>
      <c r="UGT5" s="181"/>
      <c r="UGU5" s="180"/>
      <c r="UGV5" s="182"/>
      <c r="UGW5" s="182"/>
      <c r="UGX5" s="182"/>
      <c r="UGY5" s="182"/>
      <c r="UGZ5" s="182"/>
      <c r="UHA5" s="182"/>
      <c r="UHB5" s="179"/>
      <c r="UHC5" s="180"/>
      <c r="UHD5" s="180"/>
      <c r="UHE5" s="180"/>
      <c r="UHF5" s="180"/>
      <c r="UHG5" s="181"/>
      <c r="UHH5" s="180"/>
      <c r="UHI5" s="182"/>
      <c r="UHJ5" s="182"/>
      <c r="UHK5" s="182"/>
      <c r="UHL5" s="182"/>
      <c r="UHM5" s="182"/>
      <c r="UHN5" s="182"/>
      <c r="UHO5" s="179"/>
      <c r="UHP5" s="180"/>
      <c r="UHQ5" s="180"/>
      <c r="UHR5" s="180"/>
      <c r="UHS5" s="180"/>
      <c r="UHT5" s="181"/>
      <c r="UHU5" s="180"/>
      <c r="UHV5" s="182"/>
      <c r="UHW5" s="182"/>
      <c r="UHX5" s="182"/>
      <c r="UHY5" s="182"/>
      <c r="UHZ5" s="182"/>
      <c r="UIA5" s="182"/>
      <c r="UIB5" s="179"/>
      <c r="UIC5" s="180"/>
      <c r="UID5" s="180"/>
      <c r="UIE5" s="180"/>
      <c r="UIF5" s="180"/>
      <c r="UIG5" s="181"/>
      <c r="UIH5" s="180"/>
      <c r="UII5" s="182"/>
      <c r="UIJ5" s="182"/>
      <c r="UIK5" s="182"/>
      <c r="UIL5" s="182"/>
      <c r="UIM5" s="182"/>
      <c r="UIN5" s="182"/>
      <c r="UIO5" s="179"/>
      <c r="UIP5" s="180"/>
      <c r="UIQ5" s="180"/>
      <c r="UIR5" s="180"/>
      <c r="UIS5" s="180"/>
      <c r="UIT5" s="181"/>
      <c r="UIU5" s="180"/>
      <c r="UIV5" s="182"/>
      <c r="UIW5" s="182"/>
      <c r="UIX5" s="182"/>
      <c r="UIY5" s="182"/>
      <c r="UIZ5" s="182"/>
      <c r="UJA5" s="182"/>
      <c r="UJB5" s="179"/>
      <c r="UJC5" s="180"/>
      <c r="UJD5" s="180"/>
      <c r="UJE5" s="180"/>
      <c r="UJF5" s="180"/>
      <c r="UJG5" s="181"/>
      <c r="UJH5" s="180"/>
      <c r="UJI5" s="182"/>
      <c r="UJJ5" s="182"/>
      <c r="UJK5" s="182"/>
      <c r="UJL5" s="182"/>
      <c r="UJM5" s="182"/>
      <c r="UJN5" s="182"/>
      <c r="UJO5" s="179"/>
      <c r="UJP5" s="180"/>
      <c r="UJQ5" s="180"/>
      <c r="UJR5" s="180"/>
      <c r="UJS5" s="180"/>
      <c r="UJT5" s="181"/>
      <c r="UJU5" s="180"/>
      <c r="UJV5" s="182"/>
      <c r="UJW5" s="182"/>
      <c r="UJX5" s="182"/>
      <c r="UJY5" s="182"/>
      <c r="UJZ5" s="182"/>
      <c r="UKA5" s="182"/>
      <c r="UKB5" s="179"/>
      <c r="UKC5" s="180"/>
      <c r="UKD5" s="180"/>
      <c r="UKE5" s="180"/>
      <c r="UKF5" s="180"/>
      <c r="UKG5" s="181"/>
      <c r="UKH5" s="180"/>
      <c r="UKI5" s="182"/>
      <c r="UKJ5" s="182"/>
      <c r="UKK5" s="182"/>
      <c r="UKL5" s="182"/>
      <c r="UKM5" s="182"/>
      <c r="UKN5" s="182"/>
      <c r="UKO5" s="179"/>
      <c r="UKP5" s="180"/>
      <c r="UKQ5" s="180"/>
      <c r="UKR5" s="180"/>
      <c r="UKS5" s="180"/>
      <c r="UKT5" s="181"/>
      <c r="UKU5" s="180"/>
      <c r="UKV5" s="182"/>
      <c r="UKW5" s="182"/>
      <c r="UKX5" s="182"/>
      <c r="UKY5" s="182"/>
      <c r="UKZ5" s="182"/>
      <c r="ULA5" s="182"/>
      <c r="ULB5" s="179"/>
      <c r="ULC5" s="180"/>
      <c r="ULD5" s="180"/>
      <c r="ULE5" s="180"/>
      <c r="ULF5" s="180"/>
      <c r="ULG5" s="181"/>
      <c r="ULH5" s="180"/>
      <c r="ULI5" s="182"/>
      <c r="ULJ5" s="182"/>
      <c r="ULK5" s="182"/>
      <c r="ULL5" s="182"/>
      <c r="ULM5" s="182"/>
      <c r="ULN5" s="182"/>
      <c r="ULO5" s="179"/>
      <c r="ULP5" s="180"/>
      <c r="ULQ5" s="180"/>
      <c r="ULR5" s="180"/>
      <c r="ULS5" s="180"/>
      <c r="ULT5" s="181"/>
      <c r="ULU5" s="180"/>
      <c r="ULV5" s="182"/>
      <c r="ULW5" s="182"/>
      <c r="ULX5" s="182"/>
      <c r="ULY5" s="182"/>
      <c r="ULZ5" s="182"/>
      <c r="UMA5" s="182"/>
      <c r="UMB5" s="179"/>
      <c r="UMC5" s="180"/>
      <c r="UMD5" s="180"/>
      <c r="UME5" s="180"/>
      <c r="UMF5" s="180"/>
      <c r="UMG5" s="181"/>
      <c r="UMH5" s="180"/>
      <c r="UMI5" s="182"/>
      <c r="UMJ5" s="182"/>
      <c r="UMK5" s="182"/>
      <c r="UML5" s="182"/>
      <c r="UMM5" s="182"/>
      <c r="UMN5" s="182"/>
      <c r="UMO5" s="179"/>
      <c r="UMP5" s="180"/>
      <c r="UMQ5" s="180"/>
      <c r="UMR5" s="180"/>
      <c r="UMS5" s="180"/>
      <c r="UMT5" s="181"/>
      <c r="UMU5" s="180"/>
      <c r="UMV5" s="182"/>
      <c r="UMW5" s="182"/>
      <c r="UMX5" s="182"/>
      <c r="UMY5" s="182"/>
      <c r="UMZ5" s="182"/>
      <c r="UNA5" s="182"/>
      <c r="UNB5" s="179"/>
      <c r="UNC5" s="180"/>
      <c r="UND5" s="180"/>
      <c r="UNE5" s="180"/>
      <c r="UNF5" s="180"/>
      <c r="UNG5" s="181"/>
      <c r="UNH5" s="180"/>
      <c r="UNI5" s="182"/>
      <c r="UNJ5" s="182"/>
      <c r="UNK5" s="182"/>
      <c r="UNL5" s="182"/>
      <c r="UNM5" s="182"/>
      <c r="UNN5" s="182"/>
      <c r="UNO5" s="179"/>
      <c r="UNP5" s="180"/>
      <c r="UNQ5" s="180"/>
      <c r="UNR5" s="180"/>
      <c r="UNS5" s="180"/>
      <c r="UNT5" s="181"/>
      <c r="UNU5" s="180"/>
      <c r="UNV5" s="182"/>
      <c r="UNW5" s="182"/>
      <c r="UNX5" s="182"/>
      <c r="UNY5" s="182"/>
      <c r="UNZ5" s="182"/>
      <c r="UOA5" s="182"/>
      <c r="UOB5" s="179"/>
      <c r="UOC5" s="180"/>
      <c r="UOD5" s="180"/>
      <c r="UOE5" s="180"/>
      <c r="UOF5" s="180"/>
      <c r="UOG5" s="181"/>
      <c r="UOH5" s="180"/>
      <c r="UOI5" s="182"/>
      <c r="UOJ5" s="182"/>
      <c r="UOK5" s="182"/>
      <c r="UOL5" s="182"/>
      <c r="UOM5" s="182"/>
      <c r="UON5" s="182"/>
      <c r="UOO5" s="179"/>
      <c r="UOP5" s="180"/>
      <c r="UOQ5" s="180"/>
      <c r="UOR5" s="180"/>
      <c r="UOS5" s="180"/>
      <c r="UOT5" s="181"/>
      <c r="UOU5" s="180"/>
      <c r="UOV5" s="182"/>
      <c r="UOW5" s="182"/>
      <c r="UOX5" s="182"/>
      <c r="UOY5" s="182"/>
      <c r="UOZ5" s="182"/>
      <c r="UPA5" s="182"/>
      <c r="UPB5" s="179"/>
      <c r="UPC5" s="180"/>
      <c r="UPD5" s="180"/>
      <c r="UPE5" s="180"/>
      <c r="UPF5" s="180"/>
      <c r="UPG5" s="181"/>
      <c r="UPH5" s="180"/>
      <c r="UPI5" s="182"/>
      <c r="UPJ5" s="182"/>
      <c r="UPK5" s="182"/>
      <c r="UPL5" s="182"/>
      <c r="UPM5" s="182"/>
      <c r="UPN5" s="182"/>
      <c r="UPO5" s="179"/>
      <c r="UPP5" s="180"/>
      <c r="UPQ5" s="180"/>
      <c r="UPR5" s="180"/>
      <c r="UPS5" s="180"/>
      <c r="UPT5" s="181"/>
      <c r="UPU5" s="180"/>
      <c r="UPV5" s="182"/>
      <c r="UPW5" s="182"/>
      <c r="UPX5" s="182"/>
      <c r="UPY5" s="182"/>
      <c r="UPZ5" s="182"/>
      <c r="UQA5" s="182"/>
      <c r="UQB5" s="179"/>
      <c r="UQC5" s="180"/>
      <c r="UQD5" s="180"/>
      <c r="UQE5" s="180"/>
      <c r="UQF5" s="180"/>
      <c r="UQG5" s="181"/>
      <c r="UQH5" s="180"/>
      <c r="UQI5" s="182"/>
      <c r="UQJ5" s="182"/>
      <c r="UQK5" s="182"/>
      <c r="UQL5" s="182"/>
      <c r="UQM5" s="182"/>
      <c r="UQN5" s="182"/>
      <c r="UQO5" s="179"/>
      <c r="UQP5" s="180"/>
      <c r="UQQ5" s="180"/>
      <c r="UQR5" s="180"/>
      <c r="UQS5" s="180"/>
      <c r="UQT5" s="181"/>
      <c r="UQU5" s="180"/>
      <c r="UQV5" s="182"/>
      <c r="UQW5" s="182"/>
      <c r="UQX5" s="182"/>
      <c r="UQY5" s="182"/>
      <c r="UQZ5" s="182"/>
      <c r="URA5" s="182"/>
      <c r="URB5" s="179"/>
      <c r="URC5" s="180"/>
      <c r="URD5" s="180"/>
      <c r="URE5" s="180"/>
      <c r="URF5" s="180"/>
      <c r="URG5" s="181"/>
      <c r="URH5" s="180"/>
      <c r="URI5" s="182"/>
      <c r="URJ5" s="182"/>
      <c r="URK5" s="182"/>
      <c r="URL5" s="182"/>
      <c r="URM5" s="182"/>
      <c r="URN5" s="182"/>
      <c r="URO5" s="179"/>
      <c r="URP5" s="180"/>
      <c r="URQ5" s="180"/>
      <c r="URR5" s="180"/>
      <c r="URS5" s="180"/>
      <c r="URT5" s="181"/>
      <c r="URU5" s="180"/>
      <c r="URV5" s="182"/>
      <c r="URW5" s="182"/>
      <c r="URX5" s="182"/>
      <c r="URY5" s="182"/>
      <c r="URZ5" s="182"/>
      <c r="USA5" s="182"/>
      <c r="USB5" s="179"/>
      <c r="USC5" s="180"/>
      <c r="USD5" s="180"/>
      <c r="USE5" s="180"/>
      <c r="USF5" s="180"/>
      <c r="USG5" s="181"/>
      <c r="USH5" s="180"/>
      <c r="USI5" s="182"/>
      <c r="USJ5" s="182"/>
      <c r="USK5" s="182"/>
      <c r="USL5" s="182"/>
      <c r="USM5" s="182"/>
      <c r="USN5" s="182"/>
      <c r="USO5" s="179"/>
      <c r="USP5" s="180"/>
      <c r="USQ5" s="180"/>
      <c r="USR5" s="180"/>
      <c r="USS5" s="180"/>
      <c r="UST5" s="181"/>
      <c r="USU5" s="180"/>
      <c r="USV5" s="182"/>
      <c r="USW5" s="182"/>
      <c r="USX5" s="182"/>
      <c r="USY5" s="182"/>
      <c r="USZ5" s="182"/>
      <c r="UTA5" s="182"/>
      <c r="UTB5" s="179"/>
      <c r="UTC5" s="180"/>
      <c r="UTD5" s="180"/>
      <c r="UTE5" s="180"/>
      <c r="UTF5" s="180"/>
      <c r="UTG5" s="181"/>
      <c r="UTH5" s="180"/>
      <c r="UTI5" s="182"/>
      <c r="UTJ5" s="182"/>
      <c r="UTK5" s="182"/>
      <c r="UTL5" s="182"/>
      <c r="UTM5" s="182"/>
      <c r="UTN5" s="182"/>
      <c r="UTO5" s="179"/>
      <c r="UTP5" s="180"/>
      <c r="UTQ5" s="180"/>
      <c r="UTR5" s="180"/>
      <c r="UTS5" s="180"/>
      <c r="UTT5" s="181"/>
      <c r="UTU5" s="180"/>
      <c r="UTV5" s="182"/>
      <c r="UTW5" s="182"/>
      <c r="UTX5" s="182"/>
      <c r="UTY5" s="182"/>
      <c r="UTZ5" s="182"/>
      <c r="UUA5" s="182"/>
      <c r="UUB5" s="179"/>
      <c r="UUC5" s="180"/>
      <c r="UUD5" s="180"/>
      <c r="UUE5" s="180"/>
      <c r="UUF5" s="180"/>
      <c r="UUG5" s="181"/>
      <c r="UUH5" s="180"/>
      <c r="UUI5" s="182"/>
      <c r="UUJ5" s="182"/>
      <c r="UUK5" s="182"/>
      <c r="UUL5" s="182"/>
      <c r="UUM5" s="182"/>
      <c r="UUN5" s="182"/>
      <c r="UUO5" s="179"/>
      <c r="UUP5" s="180"/>
      <c r="UUQ5" s="180"/>
      <c r="UUR5" s="180"/>
      <c r="UUS5" s="180"/>
      <c r="UUT5" s="181"/>
      <c r="UUU5" s="180"/>
      <c r="UUV5" s="182"/>
      <c r="UUW5" s="182"/>
      <c r="UUX5" s="182"/>
      <c r="UUY5" s="182"/>
      <c r="UUZ5" s="182"/>
      <c r="UVA5" s="182"/>
      <c r="UVB5" s="179"/>
      <c r="UVC5" s="180"/>
      <c r="UVD5" s="180"/>
      <c r="UVE5" s="180"/>
      <c r="UVF5" s="180"/>
      <c r="UVG5" s="181"/>
      <c r="UVH5" s="180"/>
      <c r="UVI5" s="182"/>
      <c r="UVJ5" s="182"/>
      <c r="UVK5" s="182"/>
      <c r="UVL5" s="182"/>
      <c r="UVM5" s="182"/>
      <c r="UVN5" s="182"/>
      <c r="UVO5" s="179"/>
      <c r="UVP5" s="180"/>
      <c r="UVQ5" s="180"/>
      <c r="UVR5" s="180"/>
      <c r="UVS5" s="180"/>
      <c r="UVT5" s="181"/>
      <c r="UVU5" s="180"/>
      <c r="UVV5" s="182"/>
      <c r="UVW5" s="182"/>
      <c r="UVX5" s="182"/>
      <c r="UVY5" s="182"/>
      <c r="UVZ5" s="182"/>
      <c r="UWA5" s="182"/>
      <c r="UWB5" s="179"/>
      <c r="UWC5" s="180"/>
      <c r="UWD5" s="180"/>
      <c r="UWE5" s="180"/>
      <c r="UWF5" s="180"/>
      <c r="UWG5" s="181"/>
      <c r="UWH5" s="180"/>
      <c r="UWI5" s="182"/>
      <c r="UWJ5" s="182"/>
      <c r="UWK5" s="182"/>
      <c r="UWL5" s="182"/>
      <c r="UWM5" s="182"/>
      <c r="UWN5" s="182"/>
      <c r="UWO5" s="179"/>
      <c r="UWP5" s="180"/>
      <c r="UWQ5" s="180"/>
      <c r="UWR5" s="180"/>
      <c r="UWS5" s="180"/>
      <c r="UWT5" s="181"/>
      <c r="UWU5" s="180"/>
      <c r="UWV5" s="182"/>
      <c r="UWW5" s="182"/>
      <c r="UWX5" s="182"/>
      <c r="UWY5" s="182"/>
      <c r="UWZ5" s="182"/>
      <c r="UXA5" s="182"/>
      <c r="UXB5" s="179"/>
      <c r="UXC5" s="180"/>
      <c r="UXD5" s="180"/>
      <c r="UXE5" s="180"/>
      <c r="UXF5" s="180"/>
      <c r="UXG5" s="181"/>
      <c r="UXH5" s="180"/>
      <c r="UXI5" s="182"/>
      <c r="UXJ5" s="182"/>
      <c r="UXK5" s="182"/>
      <c r="UXL5" s="182"/>
      <c r="UXM5" s="182"/>
      <c r="UXN5" s="182"/>
      <c r="UXO5" s="179"/>
      <c r="UXP5" s="180"/>
      <c r="UXQ5" s="180"/>
      <c r="UXR5" s="180"/>
      <c r="UXS5" s="180"/>
      <c r="UXT5" s="181"/>
      <c r="UXU5" s="180"/>
      <c r="UXV5" s="182"/>
      <c r="UXW5" s="182"/>
      <c r="UXX5" s="182"/>
      <c r="UXY5" s="182"/>
      <c r="UXZ5" s="182"/>
      <c r="UYA5" s="182"/>
      <c r="UYB5" s="179"/>
      <c r="UYC5" s="180"/>
      <c r="UYD5" s="180"/>
      <c r="UYE5" s="180"/>
      <c r="UYF5" s="180"/>
      <c r="UYG5" s="181"/>
      <c r="UYH5" s="180"/>
      <c r="UYI5" s="182"/>
      <c r="UYJ5" s="182"/>
      <c r="UYK5" s="182"/>
      <c r="UYL5" s="182"/>
      <c r="UYM5" s="182"/>
      <c r="UYN5" s="182"/>
      <c r="UYO5" s="179"/>
      <c r="UYP5" s="180"/>
      <c r="UYQ5" s="180"/>
      <c r="UYR5" s="180"/>
      <c r="UYS5" s="180"/>
      <c r="UYT5" s="181"/>
      <c r="UYU5" s="180"/>
      <c r="UYV5" s="182"/>
      <c r="UYW5" s="182"/>
      <c r="UYX5" s="182"/>
      <c r="UYY5" s="182"/>
      <c r="UYZ5" s="182"/>
      <c r="UZA5" s="182"/>
      <c r="UZB5" s="179"/>
      <c r="UZC5" s="180"/>
      <c r="UZD5" s="180"/>
      <c r="UZE5" s="180"/>
      <c r="UZF5" s="180"/>
      <c r="UZG5" s="181"/>
      <c r="UZH5" s="180"/>
      <c r="UZI5" s="182"/>
      <c r="UZJ5" s="182"/>
      <c r="UZK5" s="182"/>
      <c r="UZL5" s="182"/>
      <c r="UZM5" s="182"/>
      <c r="UZN5" s="182"/>
      <c r="UZO5" s="179"/>
      <c r="UZP5" s="180"/>
      <c r="UZQ5" s="180"/>
      <c r="UZR5" s="180"/>
      <c r="UZS5" s="180"/>
      <c r="UZT5" s="181"/>
      <c r="UZU5" s="180"/>
      <c r="UZV5" s="182"/>
      <c r="UZW5" s="182"/>
      <c r="UZX5" s="182"/>
      <c r="UZY5" s="182"/>
      <c r="UZZ5" s="182"/>
      <c r="VAA5" s="182"/>
      <c r="VAB5" s="179"/>
      <c r="VAC5" s="180"/>
      <c r="VAD5" s="180"/>
      <c r="VAE5" s="180"/>
      <c r="VAF5" s="180"/>
      <c r="VAG5" s="181"/>
      <c r="VAH5" s="180"/>
      <c r="VAI5" s="182"/>
      <c r="VAJ5" s="182"/>
      <c r="VAK5" s="182"/>
      <c r="VAL5" s="182"/>
      <c r="VAM5" s="182"/>
      <c r="VAN5" s="182"/>
      <c r="VAO5" s="179"/>
      <c r="VAP5" s="180"/>
      <c r="VAQ5" s="180"/>
      <c r="VAR5" s="180"/>
      <c r="VAS5" s="180"/>
      <c r="VAT5" s="181"/>
      <c r="VAU5" s="180"/>
      <c r="VAV5" s="182"/>
      <c r="VAW5" s="182"/>
      <c r="VAX5" s="182"/>
      <c r="VAY5" s="182"/>
      <c r="VAZ5" s="182"/>
      <c r="VBA5" s="182"/>
      <c r="VBB5" s="179"/>
      <c r="VBC5" s="180"/>
      <c r="VBD5" s="180"/>
      <c r="VBE5" s="180"/>
      <c r="VBF5" s="180"/>
      <c r="VBG5" s="181"/>
      <c r="VBH5" s="180"/>
      <c r="VBI5" s="182"/>
      <c r="VBJ5" s="182"/>
      <c r="VBK5" s="182"/>
      <c r="VBL5" s="182"/>
      <c r="VBM5" s="182"/>
      <c r="VBN5" s="182"/>
      <c r="VBO5" s="179"/>
      <c r="VBP5" s="180"/>
      <c r="VBQ5" s="180"/>
      <c r="VBR5" s="180"/>
      <c r="VBS5" s="180"/>
      <c r="VBT5" s="181"/>
      <c r="VBU5" s="180"/>
      <c r="VBV5" s="182"/>
      <c r="VBW5" s="182"/>
      <c r="VBX5" s="182"/>
      <c r="VBY5" s="182"/>
      <c r="VBZ5" s="182"/>
      <c r="VCA5" s="182"/>
      <c r="VCB5" s="179"/>
      <c r="VCC5" s="180"/>
      <c r="VCD5" s="180"/>
      <c r="VCE5" s="180"/>
      <c r="VCF5" s="180"/>
      <c r="VCG5" s="181"/>
      <c r="VCH5" s="180"/>
      <c r="VCI5" s="182"/>
      <c r="VCJ5" s="182"/>
      <c r="VCK5" s="182"/>
      <c r="VCL5" s="182"/>
      <c r="VCM5" s="182"/>
      <c r="VCN5" s="182"/>
      <c r="VCO5" s="179"/>
      <c r="VCP5" s="180"/>
      <c r="VCQ5" s="180"/>
      <c r="VCR5" s="180"/>
      <c r="VCS5" s="180"/>
      <c r="VCT5" s="181"/>
      <c r="VCU5" s="180"/>
      <c r="VCV5" s="182"/>
      <c r="VCW5" s="182"/>
      <c r="VCX5" s="182"/>
      <c r="VCY5" s="182"/>
      <c r="VCZ5" s="182"/>
      <c r="VDA5" s="182"/>
      <c r="VDB5" s="179"/>
      <c r="VDC5" s="180"/>
      <c r="VDD5" s="180"/>
      <c r="VDE5" s="180"/>
      <c r="VDF5" s="180"/>
      <c r="VDG5" s="181"/>
      <c r="VDH5" s="180"/>
      <c r="VDI5" s="182"/>
      <c r="VDJ5" s="182"/>
      <c r="VDK5" s="182"/>
      <c r="VDL5" s="182"/>
      <c r="VDM5" s="182"/>
      <c r="VDN5" s="182"/>
      <c r="VDO5" s="179"/>
      <c r="VDP5" s="180"/>
      <c r="VDQ5" s="180"/>
      <c r="VDR5" s="180"/>
      <c r="VDS5" s="180"/>
      <c r="VDT5" s="181"/>
      <c r="VDU5" s="180"/>
      <c r="VDV5" s="182"/>
      <c r="VDW5" s="182"/>
      <c r="VDX5" s="182"/>
      <c r="VDY5" s="182"/>
      <c r="VDZ5" s="182"/>
      <c r="VEA5" s="182"/>
      <c r="VEB5" s="179"/>
      <c r="VEC5" s="180"/>
      <c r="VED5" s="180"/>
      <c r="VEE5" s="180"/>
      <c r="VEF5" s="180"/>
      <c r="VEG5" s="181"/>
      <c r="VEH5" s="180"/>
      <c r="VEI5" s="182"/>
      <c r="VEJ5" s="182"/>
      <c r="VEK5" s="182"/>
      <c r="VEL5" s="182"/>
      <c r="VEM5" s="182"/>
      <c r="VEN5" s="182"/>
      <c r="VEO5" s="179"/>
      <c r="VEP5" s="180"/>
      <c r="VEQ5" s="180"/>
      <c r="VER5" s="180"/>
      <c r="VES5" s="180"/>
      <c r="VET5" s="181"/>
      <c r="VEU5" s="180"/>
      <c r="VEV5" s="182"/>
      <c r="VEW5" s="182"/>
      <c r="VEX5" s="182"/>
      <c r="VEY5" s="182"/>
      <c r="VEZ5" s="182"/>
      <c r="VFA5" s="182"/>
      <c r="VFB5" s="179"/>
      <c r="VFC5" s="180"/>
      <c r="VFD5" s="180"/>
      <c r="VFE5" s="180"/>
      <c r="VFF5" s="180"/>
      <c r="VFG5" s="181"/>
      <c r="VFH5" s="180"/>
      <c r="VFI5" s="182"/>
      <c r="VFJ5" s="182"/>
      <c r="VFK5" s="182"/>
      <c r="VFL5" s="182"/>
      <c r="VFM5" s="182"/>
      <c r="VFN5" s="182"/>
      <c r="VFO5" s="179"/>
      <c r="VFP5" s="180"/>
      <c r="VFQ5" s="180"/>
      <c r="VFR5" s="180"/>
      <c r="VFS5" s="180"/>
      <c r="VFT5" s="181"/>
      <c r="VFU5" s="180"/>
      <c r="VFV5" s="182"/>
      <c r="VFW5" s="182"/>
      <c r="VFX5" s="182"/>
      <c r="VFY5" s="182"/>
      <c r="VFZ5" s="182"/>
      <c r="VGA5" s="182"/>
      <c r="VGB5" s="179"/>
      <c r="VGC5" s="180"/>
      <c r="VGD5" s="180"/>
      <c r="VGE5" s="180"/>
      <c r="VGF5" s="180"/>
      <c r="VGG5" s="181"/>
      <c r="VGH5" s="180"/>
      <c r="VGI5" s="182"/>
      <c r="VGJ5" s="182"/>
      <c r="VGK5" s="182"/>
      <c r="VGL5" s="182"/>
      <c r="VGM5" s="182"/>
      <c r="VGN5" s="182"/>
      <c r="VGO5" s="179"/>
      <c r="VGP5" s="180"/>
      <c r="VGQ5" s="180"/>
      <c r="VGR5" s="180"/>
      <c r="VGS5" s="180"/>
      <c r="VGT5" s="181"/>
      <c r="VGU5" s="180"/>
      <c r="VGV5" s="182"/>
      <c r="VGW5" s="182"/>
      <c r="VGX5" s="182"/>
      <c r="VGY5" s="182"/>
      <c r="VGZ5" s="182"/>
      <c r="VHA5" s="182"/>
      <c r="VHB5" s="179"/>
      <c r="VHC5" s="180"/>
      <c r="VHD5" s="180"/>
      <c r="VHE5" s="180"/>
      <c r="VHF5" s="180"/>
      <c r="VHG5" s="181"/>
      <c r="VHH5" s="180"/>
      <c r="VHI5" s="182"/>
      <c r="VHJ5" s="182"/>
      <c r="VHK5" s="182"/>
      <c r="VHL5" s="182"/>
      <c r="VHM5" s="182"/>
      <c r="VHN5" s="182"/>
      <c r="VHO5" s="179"/>
      <c r="VHP5" s="180"/>
      <c r="VHQ5" s="180"/>
      <c r="VHR5" s="180"/>
      <c r="VHS5" s="180"/>
      <c r="VHT5" s="181"/>
      <c r="VHU5" s="180"/>
      <c r="VHV5" s="182"/>
      <c r="VHW5" s="182"/>
      <c r="VHX5" s="182"/>
      <c r="VHY5" s="182"/>
      <c r="VHZ5" s="182"/>
      <c r="VIA5" s="182"/>
      <c r="VIB5" s="179"/>
      <c r="VIC5" s="180"/>
      <c r="VID5" s="180"/>
      <c r="VIE5" s="180"/>
      <c r="VIF5" s="180"/>
      <c r="VIG5" s="181"/>
      <c r="VIH5" s="180"/>
      <c r="VII5" s="182"/>
      <c r="VIJ5" s="182"/>
      <c r="VIK5" s="182"/>
      <c r="VIL5" s="182"/>
      <c r="VIM5" s="182"/>
      <c r="VIN5" s="182"/>
      <c r="VIO5" s="179"/>
      <c r="VIP5" s="180"/>
      <c r="VIQ5" s="180"/>
      <c r="VIR5" s="180"/>
      <c r="VIS5" s="180"/>
      <c r="VIT5" s="181"/>
      <c r="VIU5" s="180"/>
      <c r="VIV5" s="182"/>
      <c r="VIW5" s="182"/>
      <c r="VIX5" s="182"/>
      <c r="VIY5" s="182"/>
      <c r="VIZ5" s="182"/>
      <c r="VJA5" s="182"/>
      <c r="VJB5" s="179"/>
      <c r="VJC5" s="180"/>
      <c r="VJD5" s="180"/>
      <c r="VJE5" s="180"/>
      <c r="VJF5" s="180"/>
      <c r="VJG5" s="181"/>
      <c r="VJH5" s="180"/>
      <c r="VJI5" s="182"/>
      <c r="VJJ5" s="182"/>
      <c r="VJK5" s="182"/>
      <c r="VJL5" s="182"/>
      <c r="VJM5" s="182"/>
      <c r="VJN5" s="182"/>
      <c r="VJO5" s="179"/>
      <c r="VJP5" s="180"/>
      <c r="VJQ5" s="180"/>
      <c r="VJR5" s="180"/>
      <c r="VJS5" s="180"/>
      <c r="VJT5" s="181"/>
      <c r="VJU5" s="180"/>
      <c r="VJV5" s="182"/>
      <c r="VJW5" s="182"/>
      <c r="VJX5" s="182"/>
      <c r="VJY5" s="182"/>
      <c r="VJZ5" s="182"/>
      <c r="VKA5" s="182"/>
      <c r="VKB5" s="179"/>
      <c r="VKC5" s="180"/>
      <c r="VKD5" s="180"/>
      <c r="VKE5" s="180"/>
      <c r="VKF5" s="180"/>
      <c r="VKG5" s="181"/>
      <c r="VKH5" s="180"/>
      <c r="VKI5" s="182"/>
      <c r="VKJ5" s="182"/>
      <c r="VKK5" s="182"/>
      <c r="VKL5" s="182"/>
      <c r="VKM5" s="182"/>
      <c r="VKN5" s="182"/>
      <c r="VKO5" s="179"/>
      <c r="VKP5" s="180"/>
      <c r="VKQ5" s="180"/>
      <c r="VKR5" s="180"/>
      <c r="VKS5" s="180"/>
      <c r="VKT5" s="181"/>
      <c r="VKU5" s="180"/>
      <c r="VKV5" s="182"/>
      <c r="VKW5" s="182"/>
      <c r="VKX5" s="182"/>
      <c r="VKY5" s="182"/>
      <c r="VKZ5" s="182"/>
      <c r="VLA5" s="182"/>
      <c r="VLB5" s="179"/>
      <c r="VLC5" s="180"/>
      <c r="VLD5" s="180"/>
      <c r="VLE5" s="180"/>
      <c r="VLF5" s="180"/>
      <c r="VLG5" s="181"/>
      <c r="VLH5" s="180"/>
      <c r="VLI5" s="182"/>
      <c r="VLJ5" s="182"/>
      <c r="VLK5" s="182"/>
      <c r="VLL5" s="182"/>
      <c r="VLM5" s="182"/>
      <c r="VLN5" s="182"/>
      <c r="VLO5" s="179"/>
      <c r="VLP5" s="180"/>
      <c r="VLQ5" s="180"/>
      <c r="VLR5" s="180"/>
      <c r="VLS5" s="180"/>
      <c r="VLT5" s="181"/>
      <c r="VLU5" s="180"/>
      <c r="VLV5" s="182"/>
      <c r="VLW5" s="182"/>
      <c r="VLX5" s="182"/>
      <c r="VLY5" s="182"/>
      <c r="VLZ5" s="182"/>
      <c r="VMA5" s="182"/>
      <c r="VMB5" s="179"/>
      <c r="VMC5" s="180"/>
      <c r="VMD5" s="180"/>
      <c r="VME5" s="180"/>
      <c r="VMF5" s="180"/>
      <c r="VMG5" s="181"/>
      <c r="VMH5" s="180"/>
      <c r="VMI5" s="182"/>
      <c r="VMJ5" s="182"/>
      <c r="VMK5" s="182"/>
      <c r="VML5" s="182"/>
      <c r="VMM5" s="182"/>
      <c r="VMN5" s="182"/>
      <c r="VMO5" s="179"/>
      <c r="VMP5" s="180"/>
      <c r="VMQ5" s="180"/>
      <c r="VMR5" s="180"/>
      <c r="VMS5" s="180"/>
      <c r="VMT5" s="181"/>
      <c r="VMU5" s="180"/>
      <c r="VMV5" s="182"/>
      <c r="VMW5" s="182"/>
      <c r="VMX5" s="182"/>
      <c r="VMY5" s="182"/>
      <c r="VMZ5" s="182"/>
      <c r="VNA5" s="182"/>
      <c r="VNB5" s="179"/>
      <c r="VNC5" s="180"/>
      <c r="VND5" s="180"/>
      <c r="VNE5" s="180"/>
      <c r="VNF5" s="180"/>
      <c r="VNG5" s="181"/>
      <c r="VNH5" s="180"/>
      <c r="VNI5" s="182"/>
      <c r="VNJ5" s="182"/>
      <c r="VNK5" s="182"/>
      <c r="VNL5" s="182"/>
      <c r="VNM5" s="182"/>
      <c r="VNN5" s="182"/>
      <c r="VNO5" s="179"/>
      <c r="VNP5" s="180"/>
      <c r="VNQ5" s="180"/>
      <c r="VNR5" s="180"/>
      <c r="VNS5" s="180"/>
      <c r="VNT5" s="181"/>
      <c r="VNU5" s="180"/>
      <c r="VNV5" s="182"/>
      <c r="VNW5" s="182"/>
      <c r="VNX5" s="182"/>
      <c r="VNY5" s="182"/>
      <c r="VNZ5" s="182"/>
      <c r="VOA5" s="182"/>
      <c r="VOB5" s="179"/>
      <c r="VOC5" s="180"/>
      <c r="VOD5" s="180"/>
      <c r="VOE5" s="180"/>
      <c r="VOF5" s="180"/>
      <c r="VOG5" s="181"/>
      <c r="VOH5" s="180"/>
      <c r="VOI5" s="182"/>
      <c r="VOJ5" s="182"/>
      <c r="VOK5" s="182"/>
      <c r="VOL5" s="182"/>
      <c r="VOM5" s="182"/>
      <c r="VON5" s="182"/>
      <c r="VOO5" s="179"/>
      <c r="VOP5" s="180"/>
      <c r="VOQ5" s="180"/>
      <c r="VOR5" s="180"/>
      <c r="VOS5" s="180"/>
      <c r="VOT5" s="181"/>
      <c r="VOU5" s="180"/>
      <c r="VOV5" s="182"/>
      <c r="VOW5" s="182"/>
      <c r="VOX5" s="182"/>
      <c r="VOY5" s="182"/>
      <c r="VOZ5" s="182"/>
      <c r="VPA5" s="182"/>
      <c r="VPB5" s="179"/>
      <c r="VPC5" s="180"/>
      <c r="VPD5" s="180"/>
      <c r="VPE5" s="180"/>
      <c r="VPF5" s="180"/>
      <c r="VPG5" s="181"/>
      <c r="VPH5" s="180"/>
      <c r="VPI5" s="182"/>
      <c r="VPJ5" s="182"/>
      <c r="VPK5" s="182"/>
      <c r="VPL5" s="182"/>
      <c r="VPM5" s="182"/>
      <c r="VPN5" s="182"/>
      <c r="VPO5" s="179"/>
      <c r="VPP5" s="180"/>
      <c r="VPQ5" s="180"/>
      <c r="VPR5" s="180"/>
      <c r="VPS5" s="180"/>
      <c r="VPT5" s="181"/>
      <c r="VPU5" s="180"/>
      <c r="VPV5" s="182"/>
      <c r="VPW5" s="182"/>
      <c r="VPX5" s="182"/>
      <c r="VPY5" s="182"/>
      <c r="VPZ5" s="182"/>
      <c r="VQA5" s="182"/>
      <c r="VQB5" s="179"/>
      <c r="VQC5" s="180"/>
      <c r="VQD5" s="180"/>
      <c r="VQE5" s="180"/>
      <c r="VQF5" s="180"/>
      <c r="VQG5" s="181"/>
      <c r="VQH5" s="180"/>
      <c r="VQI5" s="182"/>
      <c r="VQJ5" s="182"/>
      <c r="VQK5" s="182"/>
      <c r="VQL5" s="182"/>
      <c r="VQM5" s="182"/>
      <c r="VQN5" s="182"/>
      <c r="VQO5" s="179"/>
      <c r="VQP5" s="180"/>
      <c r="VQQ5" s="180"/>
      <c r="VQR5" s="180"/>
      <c r="VQS5" s="180"/>
      <c r="VQT5" s="181"/>
      <c r="VQU5" s="180"/>
      <c r="VQV5" s="182"/>
      <c r="VQW5" s="182"/>
      <c r="VQX5" s="182"/>
      <c r="VQY5" s="182"/>
      <c r="VQZ5" s="182"/>
      <c r="VRA5" s="182"/>
      <c r="VRB5" s="179"/>
      <c r="VRC5" s="180"/>
      <c r="VRD5" s="180"/>
      <c r="VRE5" s="180"/>
      <c r="VRF5" s="180"/>
      <c r="VRG5" s="181"/>
      <c r="VRH5" s="180"/>
      <c r="VRI5" s="182"/>
      <c r="VRJ5" s="182"/>
      <c r="VRK5" s="182"/>
      <c r="VRL5" s="182"/>
      <c r="VRM5" s="182"/>
      <c r="VRN5" s="182"/>
      <c r="VRO5" s="179"/>
      <c r="VRP5" s="180"/>
      <c r="VRQ5" s="180"/>
      <c r="VRR5" s="180"/>
      <c r="VRS5" s="180"/>
      <c r="VRT5" s="181"/>
      <c r="VRU5" s="180"/>
      <c r="VRV5" s="182"/>
      <c r="VRW5" s="182"/>
      <c r="VRX5" s="182"/>
      <c r="VRY5" s="182"/>
      <c r="VRZ5" s="182"/>
      <c r="VSA5" s="182"/>
      <c r="VSB5" s="179"/>
      <c r="VSC5" s="180"/>
      <c r="VSD5" s="180"/>
      <c r="VSE5" s="180"/>
      <c r="VSF5" s="180"/>
      <c r="VSG5" s="181"/>
      <c r="VSH5" s="180"/>
      <c r="VSI5" s="182"/>
      <c r="VSJ5" s="182"/>
      <c r="VSK5" s="182"/>
      <c r="VSL5" s="182"/>
      <c r="VSM5" s="182"/>
      <c r="VSN5" s="182"/>
      <c r="VSO5" s="179"/>
      <c r="VSP5" s="180"/>
      <c r="VSQ5" s="180"/>
      <c r="VSR5" s="180"/>
      <c r="VSS5" s="180"/>
      <c r="VST5" s="181"/>
      <c r="VSU5" s="180"/>
      <c r="VSV5" s="182"/>
      <c r="VSW5" s="182"/>
      <c r="VSX5" s="182"/>
      <c r="VSY5" s="182"/>
      <c r="VSZ5" s="182"/>
      <c r="VTA5" s="182"/>
      <c r="VTB5" s="179"/>
      <c r="VTC5" s="180"/>
      <c r="VTD5" s="180"/>
      <c r="VTE5" s="180"/>
      <c r="VTF5" s="180"/>
      <c r="VTG5" s="181"/>
      <c r="VTH5" s="180"/>
      <c r="VTI5" s="182"/>
      <c r="VTJ5" s="182"/>
      <c r="VTK5" s="182"/>
      <c r="VTL5" s="182"/>
      <c r="VTM5" s="182"/>
      <c r="VTN5" s="182"/>
      <c r="VTO5" s="179"/>
      <c r="VTP5" s="180"/>
      <c r="VTQ5" s="180"/>
      <c r="VTR5" s="180"/>
      <c r="VTS5" s="180"/>
      <c r="VTT5" s="181"/>
      <c r="VTU5" s="180"/>
      <c r="VTV5" s="182"/>
      <c r="VTW5" s="182"/>
      <c r="VTX5" s="182"/>
      <c r="VTY5" s="182"/>
      <c r="VTZ5" s="182"/>
      <c r="VUA5" s="182"/>
      <c r="VUB5" s="179"/>
      <c r="VUC5" s="180"/>
      <c r="VUD5" s="180"/>
      <c r="VUE5" s="180"/>
      <c r="VUF5" s="180"/>
      <c r="VUG5" s="181"/>
      <c r="VUH5" s="180"/>
      <c r="VUI5" s="182"/>
      <c r="VUJ5" s="182"/>
      <c r="VUK5" s="182"/>
      <c r="VUL5" s="182"/>
      <c r="VUM5" s="182"/>
      <c r="VUN5" s="182"/>
      <c r="VUO5" s="179"/>
      <c r="VUP5" s="180"/>
      <c r="VUQ5" s="180"/>
      <c r="VUR5" s="180"/>
      <c r="VUS5" s="180"/>
      <c r="VUT5" s="181"/>
      <c r="VUU5" s="180"/>
      <c r="VUV5" s="182"/>
      <c r="VUW5" s="182"/>
      <c r="VUX5" s="182"/>
      <c r="VUY5" s="182"/>
      <c r="VUZ5" s="182"/>
      <c r="VVA5" s="182"/>
      <c r="VVB5" s="179"/>
      <c r="VVC5" s="180"/>
      <c r="VVD5" s="180"/>
      <c r="VVE5" s="180"/>
      <c r="VVF5" s="180"/>
      <c r="VVG5" s="181"/>
      <c r="VVH5" s="180"/>
      <c r="VVI5" s="182"/>
      <c r="VVJ5" s="182"/>
      <c r="VVK5" s="182"/>
      <c r="VVL5" s="182"/>
      <c r="VVM5" s="182"/>
      <c r="VVN5" s="182"/>
      <c r="VVO5" s="179"/>
      <c r="VVP5" s="180"/>
      <c r="VVQ5" s="180"/>
      <c r="VVR5" s="180"/>
      <c r="VVS5" s="180"/>
      <c r="VVT5" s="181"/>
      <c r="VVU5" s="180"/>
      <c r="VVV5" s="182"/>
      <c r="VVW5" s="182"/>
      <c r="VVX5" s="182"/>
      <c r="VVY5" s="182"/>
      <c r="VVZ5" s="182"/>
      <c r="VWA5" s="182"/>
      <c r="VWB5" s="179"/>
      <c r="VWC5" s="180"/>
      <c r="VWD5" s="180"/>
      <c r="VWE5" s="180"/>
      <c r="VWF5" s="180"/>
      <c r="VWG5" s="181"/>
      <c r="VWH5" s="180"/>
      <c r="VWI5" s="182"/>
      <c r="VWJ5" s="182"/>
      <c r="VWK5" s="182"/>
      <c r="VWL5" s="182"/>
      <c r="VWM5" s="182"/>
      <c r="VWN5" s="182"/>
      <c r="VWO5" s="179"/>
      <c r="VWP5" s="180"/>
      <c r="VWQ5" s="180"/>
      <c r="VWR5" s="180"/>
      <c r="VWS5" s="180"/>
      <c r="VWT5" s="181"/>
      <c r="VWU5" s="180"/>
      <c r="VWV5" s="182"/>
      <c r="VWW5" s="182"/>
      <c r="VWX5" s="182"/>
      <c r="VWY5" s="182"/>
      <c r="VWZ5" s="182"/>
      <c r="VXA5" s="182"/>
      <c r="VXB5" s="179"/>
      <c r="VXC5" s="180"/>
      <c r="VXD5" s="180"/>
      <c r="VXE5" s="180"/>
      <c r="VXF5" s="180"/>
      <c r="VXG5" s="181"/>
      <c r="VXH5" s="180"/>
      <c r="VXI5" s="182"/>
      <c r="VXJ5" s="182"/>
      <c r="VXK5" s="182"/>
      <c r="VXL5" s="182"/>
      <c r="VXM5" s="182"/>
      <c r="VXN5" s="182"/>
      <c r="VXO5" s="179"/>
      <c r="VXP5" s="180"/>
      <c r="VXQ5" s="180"/>
      <c r="VXR5" s="180"/>
      <c r="VXS5" s="180"/>
      <c r="VXT5" s="181"/>
      <c r="VXU5" s="180"/>
      <c r="VXV5" s="182"/>
      <c r="VXW5" s="182"/>
      <c r="VXX5" s="182"/>
      <c r="VXY5" s="182"/>
      <c r="VXZ5" s="182"/>
      <c r="VYA5" s="182"/>
      <c r="VYB5" s="179"/>
      <c r="VYC5" s="180"/>
      <c r="VYD5" s="180"/>
      <c r="VYE5" s="180"/>
      <c r="VYF5" s="180"/>
      <c r="VYG5" s="181"/>
      <c r="VYH5" s="180"/>
      <c r="VYI5" s="182"/>
      <c r="VYJ5" s="182"/>
      <c r="VYK5" s="182"/>
      <c r="VYL5" s="182"/>
      <c r="VYM5" s="182"/>
      <c r="VYN5" s="182"/>
      <c r="VYO5" s="179"/>
      <c r="VYP5" s="180"/>
      <c r="VYQ5" s="180"/>
      <c r="VYR5" s="180"/>
      <c r="VYS5" s="180"/>
      <c r="VYT5" s="181"/>
      <c r="VYU5" s="180"/>
      <c r="VYV5" s="182"/>
      <c r="VYW5" s="182"/>
      <c r="VYX5" s="182"/>
      <c r="VYY5" s="182"/>
      <c r="VYZ5" s="182"/>
      <c r="VZA5" s="182"/>
      <c r="VZB5" s="179"/>
      <c r="VZC5" s="180"/>
      <c r="VZD5" s="180"/>
      <c r="VZE5" s="180"/>
      <c r="VZF5" s="180"/>
      <c r="VZG5" s="181"/>
      <c r="VZH5" s="180"/>
      <c r="VZI5" s="182"/>
      <c r="VZJ5" s="182"/>
      <c r="VZK5" s="182"/>
      <c r="VZL5" s="182"/>
      <c r="VZM5" s="182"/>
      <c r="VZN5" s="182"/>
      <c r="VZO5" s="179"/>
      <c r="VZP5" s="180"/>
      <c r="VZQ5" s="180"/>
      <c r="VZR5" s="180"/>
      <c r="VZS5" s="180"/>
      <c r="VZT5" s="181"/>
      <c r="VZU5" s="180"/>
      <c r="VZV5" s="182"/>
      <c r="VZW5" s="182"/>
      <c r="VZX5" s="182"/>
      <c r="VZY5" s="182"/>
      <c r="VZZ5" s="182"/>
      <c r="WAA5" s="182"/>
      <c r="WAB5" s="179"/>
      <c r="WAC5" s="180"/>
      <c r="WAD5" s="180"/>
      <c r="WAE5" s="180"/>
      <c r="WAF5" s="180"/>
      <c r="WAG5" s="181"/>
      <c r="WAH5" s="180"/>
      <c r="WAI5" s="182"/>
      <c r="WAJ5" s="182"/>
      <c r="WAK5" s="182"/>
      <c r="WAL5" s="182"/>
      <c r="WAM5" s="182"/>
      <c r="WAN5" s="182"/>
      <c r="WAO5" s="179"/>
      <c r="WAP5" s="180"/>
      <c r="WAQ5" s="180"/>
      <c r="WAR5" s="180"/>
      <c r="WAS5" s="180"/>
      <c r="WAT5" s="181"/>
      <c r="WAU5" s="180"/>
      <c r="WAV5" s="182"/>
      <c r="WAW5" s="182"/>
      <c r="WAX5" s="182"/>
      <c r="WAY5" s="182"/>
      <c r="WAZ5" s="182"/>
      <c r="WBA5" s="182"/>
      <c r="WBB5" s="179"/>
      <c r="WBC5" s="180"/>
      <c r="WBD5" s="180"/>
      <c r="WBE5" s="180"/>
      <c r="WBF5" s="180"/>
      <c r="WBG5" s="181"/>
      <c r="WBH5" s="180"/>
      <c r="WBI5" s="182"/>
      <c r="WBJ5" s="182"/>
      <c r="WBK5" s="182"/>
      <c r="WBL5" s="182"/>
      <c r="WBM5" s="182"/>
      <c r="WBN5" s="182"/>
      <c r="WBO5" s="179"/>
      <c r="WBP5" s="180"/>
      <c r="WBQ5" s="180"/>
      <c r="WBR5" s="180"/>
      <c r="WBS5" s="180"/>
      <c r="WBT5" s="181"/>
      <c r="WBU5" s="180"/>
      <c r="WBV5" s="182"/>
      <c r="WBW5" s="182"/>
      <c r="WBX5" s="182"/>
      <c r="WBY5" s="182"/>
      <c r="WBZ5" s="182"/>
      <c r="WCA5" s="182"/>
      <c r="WCB5" s="179"/>
      <c r="WCC5" s="180"/>
      <c r="WCD5" s="180"/>
      <c r="WCE5" s="180"/>
      <c r="WCF5" s="180"/>
      <c r="WCG5" s="181"/>
      <c r="WCH5" s="180"/>
      <c r="WCI5" s="182"/>
      <c r="WCJ5" s="182"/>
      <c r="WCK5" s="182"/>
      <c r="WCL5" s="182"/>
      <c r="WCM5" s="182"/>
      <c r="WCN5" s="182"/>
      <c r="WCO5" s="179"/>
      <c r="WCP5" s="180"/>
      <c r="WCQ5" s="180"/>
      <c r="WCR5" s="180"/>
      <c r="WCS5" s="180"/>
      <c r="WCT5" s="181"/>
      <c r="WCU5" s="180"/>
      <c r="WCV5" s="182"/>
      <c r="WCW5" s="182"/>
      <c r="WCX5" s="182"/>
      <c r="WCY5" s="182"/>
      <c r="WCZ5" s="182"/>
      <c r="WDA5" s="182"/>
      <c r="WDB5" s="179"/>
      <c r="WDC5" s="180"/>
      <c r="WDD5" s="180"/>
      <c r="WDE5" s="180"/>
      <c r="WDF5" s="180"/>
      <c r="WDG5" s="181"/>
      <c r="WDH5" s="180"/>
      <c r="WDI5" s="182"/>
      <c r="WDJ5" s="182"/>
      <c r="WDK5" s="182"/>
      <c r="WDL5" s="182"/>
      <c r="WDM5" s="182"/>
      <c r="WDN5" s="182"/>
      <c r="WDO5" s="179"/>
      <c r="WDP5" s="180"/>
      <c r="WDQ5" s="180"/>
      <c r="WDR5" s="180"/>
      <c r="WDS5" s="180"/>
      <c r="WDT5" s="181"/>
      <c r="WDU5" s="180"/>
      <c r="WDV5" s="182"/>
      <c r="WDW5" s="182"/>
      <c r="WDX5" s="182"/>
      <c r="WDY5" s="182"/>
      <c r="WDZ5" s="182"/>
      <c r="WEA5" s="182"/>
      <c r="WEB5" s="179"/>
      <c r="WEC5" s="180"/>
      <c r="WED5" s="180"/>
      <c r="WEE5" s="180"/>
      <c r="WEF5" s="180"/>
      <c r="WEG5" s="181"/>
      <c r="WEH5" s="180"/>
      <c r="WEI5" s="182"/>
      <c r="WEJ5" s="182"/>
      <c r="WEK5" s="182"/>
      <c r="WEL5" s="182"/>
      <c r="WEM5" s="182"/>
      <c r="WEN5" s="182"/>
      <c r="WEO5" s="179"/>
      <c r="WEP5" s="180"/>
      <c r="WEQ5" s="180"/>
      <c r="WER5" s="180"/>
      <c r="WES5" s="180"/>
      <c r="WET5" s="181"/>
      <c r="WEU5" s="180"/>
      <c r="WEV5" s="182"/>
      <c r="WEW5" s="182"/>
      <c r="WEX5" s="182"/>
      <c r="WEY5" s="182"/>
      <c r="WEZ5" s="182"/>
      <c r="WFA5" s="182"/>
      <c r="WFB5" s="179"/>
      <c r="WFC5" s="180"/>
      <c r="WFD5" s="180"/>
      <c r="WFE5" s="180"/>
      <c r="WFF5" s="180"/>
      <c r="WFG5" s="181"/>
      <c r="WFH5" s="180"/>
      <c r="WFI5" s="182"/>
      <c r="WFJ5" s="182"/>
      <c r="WFK5" s="182"/>
      <c r="WFL5" s="182"/>
      <c r="WFM5" s="182"/>
      <c r="WFN5" s="182"/>
      <c r="WFO5" s="179"/>
      <c r="WFP5" s="180"/>
      <c r="WFQ5" s="180"/>
      <c r="WFR5" s="180"/>
      <c r="WFS5" s="180"/>
      <c r="WFT5" s="181"/>
      <c r="WFU5" s="180"/>
      <c r="WFV5" s="182"/>
      <c r="WFW5" s="182"/>
      <c r="WFX5" s="182"/>
      <c r="WFY5" s="182"/>
      <c r="WFZ5" s="182"/>
      <c r="WGA5" s="182"/>
      <c r="WGB5" s="179"/>
      <c r="WGC5" s="180"/>
      <c r="WGD5" s="180"/>
      <c r="WGE5" s="180"/>
      <c r="WGF5" s="180"/>
      <c r="WGG5" s="181"/>
      <c r="WGH5" s="180"/>
      <c r="WGI5" s="182"/>
      <c r="WGJ5" s="182"/>
      <c r="WGK5" s="182"/>
      <c r="WGL5" s="182"/>
      <c r="WGM5" s="182"/>
      <c r="WGN5" s="182"/>
      <c r="WGO5" s="179"/>
      <c r="WGP5" s="180"/>
      <c r="WGQ5" s="180"/>
      <c r="WGR5" s="180"/>
      <c r="WGS5" s="180"/>
      <c r="WGT5" s="181"/>
      <c r="WGU5" s="180"/>
      <c r="WGV5" s="182"/>
      <c r="WGW5" s="182"/>
      <c r="WGX5" s="182"/>
      <c r="WGY5" s="182"/>
      <c r="WGZ5" s="182"/>
      <c r="WHA5" s="182"/>
      <c r="WHB5" s="179"/>
      <c r="WHC5" s="180"/>
      <c r="WHD5" s="180"/>
      <c r="WHE5" s="180"/>
      <c r="WHF5" s="180"/>
      <c r="WHG5" s="181"/>
      <c r="WHH5" s="180"/>
      <c r="WHI5" s="182"/>
      <c r="WHJ5" s="182"/>
      <c r="WHK5" s="182"/>
      <c r="WHL5" s="182"/>
      <c r="WHM5" s="182"/>
      <c r="WHN5" s="182"/>
      <c r="WHO5" s="179"/>
      <c r="WHP5" s="180"/>
      <c r="WHQ5" s="180"/>
      <c r="WHR5" s="180"/>
      <c r="WHS5" s="180"/>
      <c r="WHT5" s="181"/>
      <c r="WHU5" s="180"/>
      <c r="WHV5" s="182"/>
      <c r="WHW5" s="182"/>
      <c r="WHX5" s="182"/>
      <c r="WHY5" s="182"/>
      <c r="WHZ5" s="182"/>
      <c r="WIA5" s="182"/>
      <c r="WIB5" s="179"/>
      <c r="WIC5" s="180"/>
      <c r="WID5" s="180"/>
      <c r="WIE5" s="180"/>
      <c r="WIF5" s="180"/>
      <c r="WIG5" s="181"/>
      <c r="WIH5" s="180"/>
      <c r="WII5" s="182"/>
      <c r="WIJ5" s="182"/>
      <c r="WIK5" s="182"/>
      <c r="WIL5" s="182"/>
      <c r="WIM5" s="182"/>
      <c r="WIN5" s="182"/>
      <c r="WIO5" s="179"/>
      <c r="WIP5" s="180"/>
      <c r="WIQ5" s="180"/>
      <c r="WIR5" s="180"/>
      <c r="WIS5" s="180"/>
      <c r="WIT5" s="181"/>
      <c r="WIU5" s="180"/>
      <c r="WIV5" s="182"/>
      <c r="WIW5" s="182"/>
      <c r="WIX5" s="182"/>
      <c r="WIY5" s="182"/>
      <c r="WIZ5" s="182"/>
      <c r="WJA5" s="182"/>
      <c r="WJB5" s="179"/>
      <c r="WJC5" s="180"/>
      <c r="WJD5" s="180"/>
      <c r="WJE5" s="180"/>
      <c r="WJF5" s="180"/>
      <c r="WJG5" s="181"/>
      <c r="WJH5" s="180"/>
      <c r="WJI5" s="182"/>
      <c r="WJJ5" s="182"/>
      <c r="WJK5" s="182"/>
      <c r="WJL5" s="182"/>
      <c r="WJM5" s="182"/>
      <c r="WJN5" s="182"/>
      <c r="WJO5" s="179"/>
      <c r="WJP5" s="180"/>
      <c r="WJQ5" s="180"/>
      <c r="WJR5" s="180"/>
      <c r="WJS5" s="180"/>
      <c r="WJT5" s="181"/>
      <c r="WJU5" s="180"/>
      <c r="WJV5" s="182"/>
      <c r="WJW5" s="182"/>
      <c r="WJX5" s="182"/>
      <c r="WJY5" s="182"/>
      <c r="WJZ5" s="182"/>
      <c r="WKA5" s="182"/>
      <c r="WKB5" s="179"/>
      <c r="WKC5" s="180"/>
      <c r="WKD5" s="180"/>
      <c r="WKE5" s="180"/>
      <c r="WKF5" s="180"/>
      <c r="WKG5" s="181"/>
      <c r="WKH5" s="180"/>
      <c r="WKI5" s="182"/>
      <c r="WKJ5" s="182"/>
      <c r="WKK5" s="182"/>
      <c r="WKL5" s="182"/>
      <c r="WKM5" s="182"/>
      <c r="WKN5" s="182"/>
      <c r="WKO5" s="179"/>
      <c r="WKP5" s="180"/>
      <c r="WKQ5" s="180"/>
      <c r="WKR5" s="180"/>
      <c r="WKS5" s="180"/>
      <c r="WKT5" s="181"/>
      <c r="WKU5" s="180"/>
      <c r="WKV5" s="182"/>
      <c r="WKW5" s="182"/>
      <c r="WKX5" s="182"/>
      <c r="WKY5" s="182"/>
      <c r="WKZ5" s="182"/>
      <c r="WLA5" s="182"/>
      <c r="WLB5" s="179"/>
      <c r="WLC5" s="180"/>
      <c r="WLD5" s="180"/>
      <c r="WLE5" s="180"/>
      <c r="WLF5" s="180"/>
      <c r="WLG5" s="181"/>
      <c r="WLH5" s="180"/>
      <c r="WLI5" s="182"/>
      <c r="WLJ5" s="182"/>
      <c r="WLK5" s="182"/>
      <c r="WLL5" s="182"/>
      <c r="WLM5" s="182"/>
      <c r="WLN5" s="182"/>
      <c r="WLO5" s="179"/>
      <c r="WLP5" s="180"/>
      <c r="WLQ5" s="180"/>
      <c r="WLR5" s="180"/>
      <c r="WLS5" s="180"/>
      <c r="WLT5" s="181"/>
      <c r="WLU5" s="180"/>
      <c r="WLV5" s="182"/>
      <c r="WLW5" s="182"/>
      <c r="WLX5" s="182"/>
      <c r="WLY5" s="182"/>
      <c r="WLZ5" s="182"/>
      <c r="WMA5" s="182"/>
      <c r="WMB5" s="179"/>
      <c r="WMC5" s="180"/>
      <c r="WMD5" s="180"/>
      <c r="WME5" s="180"/>
      <c r="WMF5" s="180"/>
      <c r="WMG5" s="181"/>
      <c r="WMH5" s="180"/>
      <c r="WMI5" s="182"/>
      <c r="WMJ5" s="182"/>
      <c r="WMK5" s="182"/>
      <c r="WML5" s="182"/>
      <c r="WMM5" s="182"/>
      <c r="WMN5" s="182"/>
      <c r="WMO5" s="179"/>
      <c r="WMP5" s="180"/>
      <c r="WMQ5" s="180"/>
      <c r="WMR5" s="180"/>
      <c r="WMS5" s="180"/>
      <c r="WMT5" s="181"/>
      <c r="WMU5" s="180"/>
      <c r="WMV5" s="182"/>
      <c r="WMW5" s="182"/>
      <c r="WMX5" s="182"/>
      <c r="WMY5" s="182"/>
      <c r="WMZ5" s="182"/>
      <c r="WNA5" s="182"/>
      <c r="WNB5" s="179"/>
      <c r="WNC5" s="180"/>
      <c r="WND5" s="180"/>
      <c r="WNE5" s="180"/>
      <c r="WNF5" s="180"/>
      <c r="WNG5" s="181"/>
      <c r="WNH5" s="180"/>
      <c r="WNI5" s="182"/>
      <c r="WNJ5" s="182"/>
      <c r="WNK5" s="182"/>
      <c r="WNL5" s="182"/>
      <c r="WNM5" s="182"/>
      <c r="WNN5" s="182"/>
      <c r="WNO5" s="179"/>
      <c r="WNP5" s="180"/>
      <c r="WNQ5" s="180"/>
      <c r="WNR5" s="180"/>
      <c r="WNS5" s="180"/>
      <c r="WNT5" s="181"/>
      <c r="WNU5" s="180"/>
      <c r="WNV5" s="182"/>
      <c r="WNW5" s="182"/>
      <c r="WNX5" s="182"/>
      <c r="WNY5" s="182"/>
      <c r="WNZ5" s="182"/>
      <c r="WOA5" s="182"/>
      <c r="WOB5" s="179"/>
      <c r="WOC5" s="180"/>
      <c r="WOD5" s="180"/>
      <c r="WOE5" s="180"/>
      <c r="WOF5" s="180"/>
      <c r="WOG5" s="181"/>
      <c r="WOH5" s="180"/>
      <c r="WOI5" s="182"/>
      <c r="WOJ5" s="182"/>
      <c r="WOK5" s="182"/>
      <c r="WOL5" s="182"/>
      <c r="WOM5" s="182"/>
      <c r="WON5" s="182"/>
      <c r="WOO5" s="179"/>
      <c r="WOP5" s="180"/>
      <c r="WOQ5" s="180"/>
      <c r="WOR5" s="180"/>
      <c r="WOS5" s="180"/>
      <c r="WOT5" s="181"/>
      <c r="WOU5" s="180"/>
      <c r="WOV5" s="182"/>
      <c r="WOW5" s="182"/>
      <c r="WOX5" s="182"/>
      <c r="WOY5" s="182"/>
      <c r="WOZ5" s="182"/>
      <c r="WPA5" s="182"/>
      <c r="WPB5" s="179"/>
      <c r="WPC5" s="180"/>
      <c r="WPD5" s="180"/>
      <c r="WPE5" s="180"/>
      <c r="WPF5" s="180"/>
      <c r="WPG5" s="181"/>
      <c r="WPH5" s="180"/>
      <c r="WPI5" s="182"/>
      <c r="WPJ5" s="182"/>
      <c r="WPK5" s="182"/>
      <c r="WPL5" s="182"/>
      <c r="WPM5" s="182"/>
      <c r="WPN5" s="182"/>
      <c r="WPO5" s="179"/>
      <c r="WPP5" s="180"/>
      <c r="WPQ5" s="180"/>
      <c r="WPR5" s="180"/>
      <c r="WPS5" s="180"/>
      <c r="WPT5" s="181"/>
      <c r="WPU5" s="180"/>
      <c r="WPV5" s="182"/>
      <c r="WPW5" s="182"/>
      <c r="WPX5" s="182"/>
      <c r="WPY5" s="182"/>
      <c r="WPZ5" s="182"/>
      <c r="WQA5" s="182"/>
      <c r="WQB5" s="179"/>
      <c r="WQC5" s="180"/>
      <c r="WQD5" s="180"/>
      <c r="WQE5" s="180"/>
      <c r="WQF5" s="180"/>
      <c r="WQG5" s="181"/>
      <c r="WQH5" s="180"/>
      <c r="WQI5" s="182"/>
      <c r="WQJ5" s="182"/>
      <c r="WQK5" s="182"/>
      <c r="WQL5" s="182"/>
      <c r="WQM5" s="182"/>
      <c r="WQN5" s="182"/>
      <c r="WQO5" s="179"/>
      <c r="WQP5" s="180"/>
      <c r="WQQ5" s="180"/>
      <c r="WQR5" s="180"/>
      <c r="WQS5" s="180"/>
      <c r="WQT5" s="181"/>
      <c r="WQU5" s="180"/>
      <c r="WQV5" s="182"/>
      <c r="WQW5" s="182"/>
      <c r="WQX5" s="182"/>
      <c r="WQY5" s="182"/>
      <c r="WQZ5" s="182"/>
      <c r="WRA5" s="182"/>
      <c r="WRB5" s="179"/>
      <c r="WRC5" s="180"/>
      <c r="WRD5" s="180"/>
      <c r="WRE5" s="180"/>
      <c r="WRF5" s="180"/>
      <c r="WRG5" s="181"/>
      <c r="WRH5" s="180"/>
      <c r="WRI5" s="182"/>
      <c r="WRJ5" s="182"/>
      <c r="WRK5" s="182"/>
      <c r="WRL5" s="182"/>
      <c r="WRM5" s="182"/>
      <c r="WRN5" s="182"/>
      <c r="WRO5" s="179"/>
      <c r="WRP5" s="180"/>
      <c r="WRQ5" s="180"/>
      <c r="WRR5" s="180"/>
      <c r="WRS5" s="180"/>
      <c r="WRT5" s="181"/>
      <c r="WRU5" s="180"/>
      <c r="WRV5" s="182"/>
      <c r="WRW5" s="182"/>
      <c r="WRX5" s="182"/>
      <c r="WRY5" s="182"/>
      <c r="WRZ5" s="182"/>
      <c r="WSA5" s="182"/>
      <c r="WSB5" s="179"/>
      <c r="WSC5" s="180"/>
      <c r="WSD5" s="180"/>
      <c r="WSE5" s="180"/>
      <c r="WSF5" s="180"/>
      <c r="WSG5" s="181"/>
      <c r="WSH5" s="180"/>
      <c r="WSI5" s="182"/>
      <c r="WSJ5" s="182"/>
      <c r="WSK5" s="182"/>
      <c r="WSL5" s="182"/>
      <c r="WSM5" s="182"/>
      <c r="WSN5" s="182"/>
      <c r="WSO5" s="179"/>
      <c r="WSP5" s="180"/>
      <c r="WSQ5" s="180"/>
      <c r="WSR5" s="180"/>
      <c r="WSS5" s="180"/>
      <c r="WST5" s="181"/>
      <c r="WSU5" s="180"/>
      <c r="WSV5" s="182"/>
      <c r="WSW5" s="182"/>
      <c r="WSX5" s="182"/>
      <c r="WSY5" s="182"/>
      <c r="WSZ5" s="182"/>
      <c r="WTA5" s="182"/>
      <c r="WTB5" s="179"/>
      <c r="WTC5" s="180"/>
      <c r="WTD5" s="180"/>
      <c r="WTE5" s="180"/>
      <c r="WTF5" s="180"/>
      <c r="WTG5" s="181"/>
      <c r="WTH5" s="180"/>
      <c r="WTI5" s="182"/>
      <c r="WTJ5" s="182"/>
      <c r="WTK5" s="182"/>
      <c r="WTL5" s="182"/>
      <c r="WTM5" s="182"/>
      <c r="WTN5" s="182"/>
      <c r="WTO5" s="179"/>
      <c r="WTP5" s="180"/>
      <c r="WTQ5" s="180"/>
      <c r="WTR5" s="180"/>
      <c r="WTS5" s="180"/>
      <c r="WTT5" s="181"/>
      <c r="WTU5" s="180"/>
      <c r="WTV5" s="182"/>
      <c r="WTW5" s="182"/>
      <c r="WTX5" s="182"/>
      <c r="WTY5" s="182"/>
      <c r="WTZ5" s="182"/>
      <c r="WUA5" s="182"/>
      <c r="WUB5" s="179"/>
      <c r="WUC5" s="180"/>
      <c r="WUD5" s="180"/>
      <c r="WUE5" s="180"/>
      <c r="WUF5" s="180"/>
      <c r="WUG5" s="181"/>
      <c r="WUH5" s="180"/>
      <c r="WUI5" s="182"/>
      <c r="WUJ5" s="182"/>
      <c r="WUK5" s="182"/>
      <c r="WUL5" s="182"/>
      <c r="WUM5" s="182"/>
      <c r="WUN5" s="182"/>
      <c r="WUO5" s="179"/>
      <c r="WUP5" s="180"/>
      <c r="WUQ5" s="180"/>
      <c r="WUR5" s="180"/>
      <c r="WUS5" s="180"/>
      <c r="WUT5" s="181"/>
      <c r="WUU5" s="180"/>
      <c r="WUV5" s="182"/>
      <c r="WUW5" s="182"/>
      <c r="WUX5" s="182"/>
      <c r="WUY5" s="182"/>
      <c r="WUZ5" s="182"/>
      <c r="WVA5" s="182"/>
      <c r="WVB5" s="179"/>
      <c r="WVC5" s="180"/>
      <c r="WVD5" s="180"/>
      <c r="WVE5" s="180"/>
      <c r="WVF5" s="180"/>
      <c r="WVG5" s="181"/>
      <c r="WVH5" s="180"/>
      <c r="WVI5" s="182"/>
      <c r="WVJ5" s="182"/>
      <c r="WVK5" s="182"/>
      <c r="WVL5" s="182"/>
      <c r="WVM5" s="182"/>
      <c r="WVN5" s="182"/>
      <c r="WVO5" s="179"/>
      <c r="WVP5" s="180"/>
      <c r="WVQ5" s="180"/>
      <c r="WVR5" s="180"/>
      <c r="WVS5" s="180"/>
      <c r="WVT5" s="181"/>
      <c r="WVU5" s="180"/>
      <c r="WVV5" s="182"/>
      <c r="WVW5" s="182"/>
      <c r="WVX5" s="182"/>
      <c r="WVY5" s="182"/>
      <c r="WVZ5" s="182"/>
      <c r="WWA5" s="182"/>
      <c r="WWB5" s="179"/>
      <c r="WWC5" s="180"/>
      <c r="WWD5" s="180"/>
      <c r="WWE5" s="180"/>
      <c r="WWF5" s="180"/>
      <c r="WWG5" s="181"/>
      <c r="WWH5" s="180"/>
      <c r="WWI5" s="182"/>
      <c r="WWJ5" s="182"/>
      <c r="WWK5" s="182"/>
      <c r="WWL5" s="182"/>
      <c r="WWM5" s="182"/>
      <c r="WWN5" s="182"/>
      <c r="WWO5" s="179"/>
      <c r="WWP5" s="180"/>
      <c r="WWQ5" s="180"/>
      <c r="WWR5" s="180"/>
      <c r="WWS5" s="180"/>
      <c r="WWT5" s="181"/>
      <c r="WWU5" s="180"/>
      <c r="WWV5" s="182"/>
      <c r="WWW5" s="182"/>
      <c r="WWX5" s="182"/>
      <c r="WWY5" s="182"/>
      <c r="WWZ5" s="182"/>
      <c r="WXA5" s="182"/>
      <c r="WXB5" s="179"/>
      <c r="WXC5" s="180"/>
      <c r="WXD5" s="180"/>
      <c r="WXE5" s="180"/>
      <c r="WXF5" s="180"/>
      <c r="WXG5" s="181"/>
      <c r="WXH5" s="180"/>
      <c r="WXI5" s="182"/>
      <c r="WXJ5" s="182"/>
      <c r="WXK5" s="182"/>
      <c r="WXL5" s="182"/>
      <c r="WXM5" s="182"/>
      <c r="WXN5" s="182"/>
      <c r="WXO5" s="179"/>
      <c r="WXP5" s="180"/>
      <c r="WXQ5" s="180"/>
      <c r="WXR5" s="180"/>
      <c r="WXS5" s="180"/>
      <c r="WXT5" s="181"/>
      <c r="WXU5" s="180"/>
      <c r="WXV5" s="182"/>
      <c r="WXW5" s="182"/>
      <c r="WXX5" s="182"/>
      <c r="WXY5" s="182"/>
      <c r="WXZ5" s="182"/>
      <c r="WYA5" s="182"/>
      <c r="WYB5" s="179"/>
      <c r="WYC5" s="180"/>
      <c r="WYD5" s="180"/>
      <c r="WYE5" s="180"/>
      <c r="WYF5" s="180"/>
      <c r="WYG5" s="181"/>
      <c r="WYH5" s="180"/>
      <c r="WYI5" s="182"/>
      <c r="WYJ5" s="182"/>
      <c r="WYK5" s="182"/>
      <c r="WYL5" s="182"/>
      <c r="WYM5" s="182"/>
      <c r="WYN5" s="182"/>
      <c r="WYO5" s="179"/>
      <c r="WYP5" s="180"/>
      <c r="WYQ5" s="180"/>
      <c r="WYR5" s="180"/>
      <c r="WYS5" s="180"/>
      <c r="WYT5" s="181"/>
      <c r="WYU5" s="180"/>
      <c r="WYV5" s="182"/>
      <c r="WYW5" s="182"/>
      <c r="WYX5" s="182"/>
      <c r="WYY5" s="182"/>
      <c r="WYZ5" s="182"/>
      <c r="WZA5" s="182"/>
      <c r="WZB5" s="179"/>
      <c r="WZC5" s="180"/>
      <c r="WZD5" s="180"/>
      <c r="WZE5" s="180"/>
      <c r="WZF5" s="180"/>
      <c r="WZG5" s="181"/>
      <c r="WZH5" s="180"/>
      <c r="WZI5" s="182"/>
      <c r="WZJ5" s="182"/>
      <c r="WZK5" s="182"/>
      <c r="WZL5" s="182"/>
      <c r="WZM5" s="182"/>
      <c r="WZN5" s="182"/>
      <c r="WZO5" s="179"/>
      <c r="WZP5" s="180"/>
      <c r="WZQ5" s="180"/>
      <c r="WZR5" s="180"/>
      <c r="WZS5" s="180"/>
      <c r="WZT5" s="181"/>
      <c r="WZU5" s="180"/>
      <c r="WZV5" s="182"/>
      <c r="WZW5" s="182"/>
      <c r="WZX5" s="182"/>
      <c r="WZY5" s="182"/>
      <c r="WZZ5" s="182"/>
      <c r="XAA5" s="182"/>
      <c r="XAB5" s="179"/>
      <c r="XAC5" s="180"/>
      <c r="XAD5" s="180"/>
      <c r="XAE5" s="180"/>
      <c r="XAF5" s="180"/>
      <c r="XAG5" s="181"/>
      <c r="XAH5" s="180"/>
      <c r="XAI5" s="182"/>
      <c r="XAJ5" s="182"/>
      <c r="XAK5" s="182"/>
      <c r="XAL5" s="182"/>
      <c r="XAM5" s="182"/>
      <c r="XAN5" s="182"/>
      <c r="XAO5" s="179"/>
      <c r="XAP5" s="180"/>
      <c r="XAQ5" s="180"/>
      <c r="XAR5" s="180"/>
      <c r="XAS5" s="180"/>
      <c r="XAT5" s="181"/>
      <c r="XAU5" s="180"/>
      <c r="XAV5" s="182"/>
      <c r="XAW5" s="182"/>
      <c r="XAX5" s="182"/>
      <c r="XAY5" s="182"/>
      <c r="XAZ5" s="182"/>
      <c r="XBA5" s="182"/>
      <c r="XBB5" s="179"/>
      <c r="XBC5" s="180"/>
      <c r="XBD5" s="180"/>
      <c r="XBE5" s="180"/>
      <c r="XBF5" s="180"/>
      <c r="XBG5" s="181"/>
      <c r="XBH5" s="180"/>
      <c r="XBI5" s="182"/>
      <c r="XBJ5" s="182"/>
      <c r="XBK5" s="182"/>
      <c r="XBL5" s="182"/>
      <c r="XBM5" s="182"/>
      <c r="XBN5" s="182"/>
      <c r="XBO5" s="179"/>
      <c r="XBP5" s="180"/>
      <c r="XBQ5" s="180"/>
      <c r="XBR5" s="180"/>
      <c r="XBS5" s="180"/>
      <c r="XBT5" s="181"/>
      <c r="XBU5" s="180"/>
      <c r="XBV5" s="182"/>
      <c r="XBW5" s="182"/>
      <c r="XBX5" s="182"/>
      <c r="XBY5" s="182"/>
      <c r="XBZ5" s="182"/>
      <c r="XCA5" s="182"/>
      <c r="XCB5" s="179"/>
      <c r="XCC5" s="180"/>
      <c r="XCD5" s="180"/>
      <c r="XCE5" s="180"/>
      <c r="XCF5" s="180"/>
      <c r="XCG5" s="181"/>
      <c r="XCH5" s="180"/>
      <c r="XCI5" s="182"/>
      <c r="XCJ5" s="182"/>
      <c r="XCK5" s="182"/>
      <c r="XCL5" s="182"/>
      <c r="XCM5" s="182"/>
      <c r="XCN5" s="182"/>
      <c r="XCO5" s="179"/>
      <c r="XCP5" s="180"/>
      <c r="XCQ5" s="180"/>
      <c r="XCR5" s="180"/>
      <c r="XCS5" s="180"/>
      <c r="XCT5" s="181"/>
      <c r="XCU5" s="180"/>
      <c r="XCV5" s="182"/>
      <c r="XCW5" s="182"/>
      <c r="XCX5" s="182"/>
      <c r="XCY5" s="182"/>
      <c r="XCZ5" s="182"/>
      <c r="XDA5" s="182"/>
      <c r="XDB5" s="179"/>
      <c r="XDC5" s="180"/>
      <c r="XDD5" s="180"/>
      <c r="XDE5" s="180"/>
      <c r="XDF5" s="180"/>
      <c r="XDG5" s="181"/>
      <c r="XDH5" s="180"/>
      <c r="XDI5" s="182"/>
      <c r="XDJ5" s="182"/>
      <c r="XDK5" s="182"/>
      <c r="XDL5" s="182"/>
      <c r="XDM5" s="182"/>
      <c r="XDN5" s="182"/>
      <c r="XDO5" s="179"/>
      <c r="XDP5" s="180"/>
      <c r="XDQ5" s="180"/>
      <c r="XDR5" s="180"/>
      <c r="XDS5" s="180"/>
      <c r="XDT5" s="181"/>
      <c r="XDU5" s="180"/>
      <c r="XDV5" s="182"/>
      <c r="XDW5" s="182"/>
      <c r="XDX5" s="182"/>
      <c r="XDY5" s="182"/>
      <c r="XDZ5" s="182"/>
      <c r="XEA5" s="182"/>
      <c r="XEB5" s="179"/>
      <c r="XEC5" s="180"/>
      <c r="XED5" s="180"/>
      <c r="XEE5" s="180"/>
      <c r="XEF5" s="180"/>
      <c r="XEG5" s="181"/>
      <c r="XEH5" s="180"/>
      <c r="XEI5" s="182"/>
      <c r="XEJ5" s="182"/>
      <c r="XEK5" s="182"/>
      <c r="XEL5" s="182"/>
      <c r="XEM5" s="182"/>
      <c r="XEN5" s="182"/>
      <c r="XEO5" s="179"/>
      <c r="XEP5" s="180"/>
      <c r="XEQ5" s="180"/>
      <c r="XER5" s="180"/>
      <c r="XES5" s="180"/>
      <c r="XET5" s="181"/>
      <c r="XEU5" s="180"/>
      <c r="XEV5" s="182"/>
      <c r="XEW5" s="182"/>
      <c r="XEX5" s="182"/>
      <c r="XEY5" s="182"/>
      <c r="XEZ5" s="182"/>
      <c r="XFA5" s="182"/>
      <c r="XFB5" s="179"/>
      <c r="XFC5" s="180"/>
      <c r="XFD5" s="180"/>
    </row>
    <row r="6" spans="1:16384">
      <c r="A6" s="183" t="s">
        <v>20</v>
      </c>
      <c r="B6" s="184"/>
      <c r="C6" s="184"/>
      <c r="D6" s="184"/>
      <c r="E6" s="184"/>
      <c r="F6" s="184"/>
      <c r="G6" s="184"/>
      <c r="H6" s="184"/>
      <c r="I6" s="184"/>
      <c r="J6" s="184"/>
      <c r="K6" s="184"/>
      <c r="L6" s="184"/>
      <c r="M6" s="184"/>
      <c r="N6" s="184"/>
    </row>
    <row r="7" spans="1:16384">
      <c r="A7" s="186" t="e">
        <f>tab_Tecnologias_TE_RE!#REF!</f>
        <v>#REF!</v>
      </c>
      <c r="B7" s="186" t="s">
        <v>21</v>
      </c>
      <c r="C7" s="187" t="e">
        <f>#REF!</f>
        <v>#REF!</v>
      </c>
      <c r="D7" s="187"/>
      <c r="E7" s="187"/>
      <c r="F7" s="187"/>
      <c r="G7" s="187"/>
      <c r="H7" s="187"/>
      <c r="I7" s="187"/>
      <c r="J7" s="187"/>
      <c r="K7" s="188"/>
      <c r="L7" s="188"/>
      <c r="M7" s="188"/>
      <c r="N7" s="188"/>
      <c r="P7" s="185">
        <v>10</v>
      </c>
    </row>
    <row r="8" spans="1:16384">
      <c r="A8" s="186" t="e">
        <f>tab_Tecnologias_TE_RE!#REF!</f>
        <v>#REF!</v>
      </c>
      <c r="B8" s="186" t="s">
        <v>22</v>
      </c>
      <c r="C8" s="187" t="e">
        <f>#REF!</f>
        <v>#REF!</v>
      </c>
      <c r="D8" s="187"/>
      <c r="E8" s="187"/>
      <c r="F8" s="187"/>
      <c r="G8" s="187"/>
      <c r="H8" s="187"/>
      <c r="I8" s="187"/>
      <c r="J8" s="187"/>
      <c r="K8" s="188"/>
      <c r="L8" s="188"/>
      <c r="M8" s="188"/>
      <c r="N8" s="188"/>
    </row>
    <row r="9" spans="1:16384">
      <c r="A9" s="189" t="s">
        <v>23</v>
      </c>
      <c r="B9" s="190"/>
      <c r="C9" s="191"/>
      <c r="D9" s="191"/>
      <c r="E9" s="191"/>
      <c r="F9" s="191"/>
      <c r="G9" s="191"/>
      <c r="H9" s="191"/>
      <c r="I9" s="191"/>
      <c r="J9" s="191"/>
      <c r="K9" s="191"/>
      <c r="L9" s="191"/>
      <c r="M9" s="191"/>
      <c r="N9" s="191"/>
    </row>
    <row r="10" spans="1:16384">
      <c r="A10" s="192"/>
      <c r="B10" s="192"/>
      <c r="C10" s="193"/>
      <c r="D10" s="193"/>
      <c r="E10" s="193"/>
      <c r="F10" s="193"/>
      <c r="G10" s="193"/>
      <c r="H10" s="193"/>
      <c r="I10" s="193"/>
      <c r="J10" s="193"/>
      <c r="K10" s="194"/>
      <c r="L10" s="193"/>
      <c r="M10" s="193"/>
      <c r="N10" s="195"/>
    </row>
    <row r="11" spans="1:16384">
      <c r="A11" s="192">
        <v>311</v>
      </c>
      <c r="B11" s="192" t="str">
        <f>VLOOKUP(A11,tab_Tecnologias_TE_RE!$A$2:$B$27,2,0)</f>
        <v>CANA_condensação</v>
      </c>
      <c r="C11" s="193" t="e">
        <f>VLOOKUP(A11,#REF!,3,0)</f>
        <v>#REF!</v>
      </c>
      <c r="D11" s="193">
        <f>VLOOKUP(A11,tab_Tecnologias_TE_RE!$A$2:$AT$27,3,0)</f>
        <v>1</v>
      </c>
      <c r="E11" s="193">
        <f>VLOOKUP(A11,tab_Tecnologias_TE_RE!$A$2:$AT$27,4,0)</f>
        <v>1</v>
      </c>
      <c r="F11" s="193">
        <f>VLOOKUP(A11,tab_Tecnologias_TE_RE!$A$2:$AT$27,5,0)</f>
        <v>1</v>
      </c>
      <c r="G11" s="193">
        <f>VLOOKUP(A11,tab_Tecnologias_TE_RE!$A$2:$AT$27,26,0)</f>
        <v>2</v>
      </c>
      <c r="H11" s="193">
        <f>VLOOKUP(A11,tab_Tecnologias_TE_RE!$A$2:$AT$27,39,0)</f>
        <v>0.10185220882315059</v>
      </c>
      <c r="I11" s="193" t="e">
        <f ca="1">VLOOKUP(A11,tab_Tecnologias_TE_RE!$A$2:$AT$27,40,0)</f>
        <v>#VALUE!</v>
      </c>
      <c r="J11" s="193" t="e">
        <f>VLOOKUP("1"&amp;A11,tab_tipo_Combustivel!$A$2:$AC$381,3,0)</f>
        <v>#N/A</v>
      </c>
      <c r="K11" s="194">
        <f>tab_tipo_Combustivel!AC84</f>
        <v>1176.45</v>
      </c>
      <c r="L11" s="193"/>
      <c r="M11" s="193"/>
      <c r="N11" s="195" t="str">
        <f>VLOOKUP(A11,tab_Tecnologias_TE_RE!$A$2:$AT$27,24,0)</f>
        <v>Biomassa</v>
      </c>
      <c r="P11" s="185" t="e">
        <f>VLOOKUP(A10+1000,tab_tipo_Combustivel!$A$2:$AC$381,3,0)</f>
        <v>#N/A</v>
      </c>
    </row>
    <row r="12" spans="1:16384">
      <c r="A12" s="192">
        <v>312</v>
      </c>
      <c r="B12" s="192" t="str">
        <f>VLOOKUP(A12,tab_Tecnologias_TE_RE!$A$2:$B$27,2,0)</f>
        <v>CANA_gaseificação</v>
      </c>
      <c r="C12" s="193" t="e">
        <f>VLOOKUP(A12,#REF!,3,0)</f>
        <v>#REF!</v>
      </c>
      <c r="D12" s="193">
        <f>VLOOKUP(A12,tab_Tecnologias_TE_RE!$A$2:$AT$27,3,0)</f>
        <v>1</v>
      </c>
      <c r="E12" s="193">
        <f>VLOOKUP(A12,tab_Tecnologias_TE_RE!$A$2:$AT$27,4,0)</f>
        <v>1</v>
      </c>
      <c r="F12" s="193">
        <f>VLOOKUP(A12,tab_Tecnologias_TE_RE!$A$2:$AT$27,5,0)</f>
        <v>1</v>
      </c>
      <c r="G12" s="193">
        <f>VLOOKUP(A12,tab_Tecnologias_TE_RE!$A$2:$AT$27,26,0)</f>
        <v>2</v>
      </c>
      <c r="H12" s="193">
        <f>VLOOKUP(A12,tab_Tecnologias_TE_RE!$A$2:$AT$27,39,0)</f>
        <v>0.10185220882315059</v>
      </c>
      <c r="I12" s="193">
        <f ca="1">VLOOKUP(A12,tab_Tecnologias_TE_RE!$A$2:$AT$27,40,0)</f>
        <v>0.85088565831142171</v>
      </c>
      <c r="J12" s="193" t="e">
        <f>VLOOKUP("1"&amp;A12,tab_tipo_Combustivel!$A$2:$AC$381,3,0)</f>
        <v>#N/A</v>
      </c>
      <c r="K12" s="194">
        <f>tab_tipo_Combustivel!AC85</f>
        <v>495.08</v>
      </c>
      <c r="L12" s="193"/>
      <c r="M12" s="193"/>
      <c r="N12" s="195" t="str">
        <f>VLOOKUP(A12,tab_Tecnologias_TE_RE!$A$2:$AT$27,24,0)</f>
        <v>Biomassa</v>
      </c>
      <c r="P12" s="185" t="e">
        <f>VLOOKUP(1305,tab_tipo_Combustivel!$A$2:$AC$381,3,0)</f>
        <v>#N/A</v>
      </c>
    </row>
    <row r="13" spans="1:16384">
      <c r="A13" s="192">
        <v>314</v>
      </c>
      <c r="B13" s="192" t="str">
        <f>VLOOKUP(A13,tab_Tecnologias_TE_RE!$A$2:$B$27,2,0)</f>
        <v>X_OUTRAS</v>
      </c>
      <c r="C13" s="193" t="e">
        <f>VLOOKUP(A13,#REF!,3,0)</f>
        <v>#REF!</v>
      </c>
      <c r="D13" s="193">
        <f>VLOOKUP(A13,tab_Tecnologias_TE_RE!$A$2:$AT$27,3,0)</f>
        <v>1</v>
      </c>
      <c r="E13" s="193">
        <f>VLOOKUP(A13,tab_Tecnologias_TE_RE!$A$2:$AT$27,4,0)</f>
        <v>0</v>
      </c>
      <c r="F13" s="193">
        <f>VLOOKUP(A13,tab_Tecnologias_TE_RE!$A$2:$AT$27,5,0)</f>
        <v>1</v>
      </c>
      <c r="G13" s="193">
        <f>VLOOKUP(A13,tab_Tecnologias_TE_RE!$A$2:$AT$27,26,0)</f>
        <v>2</v>
      </c>
      <c r="H13" s="193">
        <f>VLOOKUP(A13,tab_Tecnologias_TE_RE!$A$2:$AT$27,39,0)</f>
        <v>0.10185220882315059</v>
      </c>
      <c r="I13" s="193">
        <f ca="1">VLOOKUP(A13,tab_Tecnologias_TE_RE!$A$2:$AT$27,40,0)</f>
        <v>1.1505786010421217</v>
      </c>
      <c r="J13" s="193" t="e">
        <f>VLOOKUP("1"&amp;A13,tab_tipo_Combustivel!$A$2:$AC$381,3,0)</f>
        <v>#N/A</v>
      </c>
      <c r="K13" s="193"/>
      <c r="L13" s="193"/>
      <c r="M13" s="193"/>
      <c r="N13" s="195" t="str">
        <f>VLOOKUP(A13,tab_Tecnologias_TE_RE!$A$2:$AT$27,24,0)</f>
        <v>Outros</v>
      </c>
    </row>
    <row r="14" spans="1:16384">
      <c r="A14" s="192"/>
      <c r="B14" s="192"/>
      <c r="C14" s="193"/>
      <c r="D14" s="193"/>
      <c r="E14" s="193"/>
      <c r="F14" s="193"/>
      <c r="G14" s="193"/>
      <c r="H14" s="193"/>
      <c r="I14" s="193"/>
      <c r="J14" s="193"/>
      <c r="K14" s="194"/>
      <c r="L14" s="193"/>
      <c r="M14" s="193"/>
      <c r="N14" s="195"/>
      <c r="P14" s="185" t="str">
        <f>VLOOKUP(P7+5,tab_tipo_Combustivel!$A$2:$AC$381,3,0)</f>
        <v>GAS</v>
      </c>
    </row>
    <row r="15" spans="1:16384">
      <c r="A15" s="192"/>
      <c r="B15" s="192"/>
      <c r="C15" s="193"/>
      <c r="D15" s="193"/>
      <c r="E15" s="193"/>
      <c r="F15" s="193"/>
      <c r="G15" s="193"/>
      <c r="H15" s="193"/>
      <c r="I15" s="193"/>
      <c r="J15" s="193"/>
      <c r="K15" s="193"/>
      <c r="L15" s="193"/>
      <c r="M15" s="193"/>
      <c r="N15" s="195"/>
    </row>
    <row r="16" spans="1:16384">
      <c r="A16" s="192"/>
      <c r="B16" s="192"/>
      <c r="C16" s="193"/>
      <c r="D16" s="193"/>
      <c r="E16" s="193"/>
      <c r="F16" s="193"/>
      <c r="G16" s="193"/>
      <c r="H16" s="193"/>
      <c r="I16" s="193"/>
      <c r="J16" s="193"/>
      <c r="K16" s="193"/>
      <c r="L16" s="193"/>
      <c r="M16" s="193"/>
      <c r="N16" s="195"/>
    </row>
    <row r="17" spans="1:14">
      <c r="A17" s="196" t="s">
        <v>24</v>
      </c>
      <c r="B17" s="197"/>
      <c r="C17" s="198"/>
      <c r="D17" s="198"/>
      <c r="E17" s="198"/>
      <c r="F17" s="198"/>
      <c r="G17" s="198"/>
      <c r="H17" s="198"/>
      <c r="I17" s="198"/>
      <c r="J17" s="198"/>
      <c r="K17" s="198"/>
      <c r="L17" s="198"/>
      <c r="M17" s="198"/>
      <c r="N17" s="195" t="e">
        <f>VLOOKUP(A17,tab_Tecnologias_TE_RE!$A$2:$AT$27,24,0)</f>
        <v>#N/A</v>
      </c>
    </row>
    <row r="18" spans="1:14">
      <c r="A18" s="199">
        <v>315</v>
      </c>
      <c r="B18" s="199" t="e">
        <f>VLOOKUP(A18,tab_Tecnologias_TE_RE!$A$2:$B$27,2,0)</f>
        <v>#N/A</v>
      </c>
      <c r="C18" s="200" t="e">
        <f>VLOOKUP(A18,#REF!,3,0)</f>
        <v>#REF!</v>
      </c>
      <c r="D18" s="200" t="e">
        <f>VLOOKUP(A18,tab_Tecnologias_TE_RE!$A$2:$AT$27,3,0)</f>
        <v>#N/A</v>
      </c>
      <c r="E18" s="200" t="e">
        <f>VLOOKUP(A18,tab_Tecnologias_TE_RE!$A$2:$AT$27,4,0)</f>
        <v>#N/A</v>
      </c>
      <c r="F18" s="200" t="e">
        <f>VLOOKUP(A18,tab_Tecnologias_TE_RE!$A$2:$AT$27,5,0)</f>
        <v>#N/A</v>
      </c>
      <c r="G18" s="200" t="e">
        <f>VLOOKUP(A18,tab_Tecnologias_TE_RE!$A$2:$AT$27,26,0)</f>
        <v>#N/A</v>
      </c>
      <c r="H18" s="200" t="e">
        <f>VLOOKUP(A18,tab_Tecnologias_TE_RE!$A$2:$AT$27,39,0)</f>
        <v>#N/A</v>
      </c>
      <c r="I18" s="200" t="e">
        <f>VLOOKUP(A18,tab_Tecnologias_TE_RE!$A$2:$AT$27,40,0)</f>
        <v>#N/A</v>
      </c>
      <c r="J18" s="200" t="e">
        <f>VLOOKUP("1"&amp;A18,tab_tipo_Combustivel!$A$2:$AC$381,3,0)</f>
        <v>#N/A</v>
      </c>
      <c r="K18" s="200"/>
      <c r="L18" s="200"/>
      <c r="M18" s="200"/>
      <c r="N18" s="195" t="e">
        <f>VLOOKUP(A18,tab_Tecnologias_TE_RE!$A$2:$AT$27,24,0)</f>
        <v>#N/A</v>
      </c>
    </row>
    <row r="19" spans="1:14" s="200" customFormat="1">
      <c r="A19" s="199">
        <v>316</v>
      </c>
      <c r="B19" s="199" t="e">
        <f>VLOOKUP(A19,tab_Tecnologias_TE_RE!$A$2:$B$27,2,0)</f>
        <v>#N/A</v>
      </c>
      <c r="C19" s="200" t="e">
        <f>VLOOKUP(A19,#REF!,3,0)</f>
        <v>#REF!</v>
      </c>
      <c r="D19" s="200" t="e">
        <f>VLOOKUP(A19,tab_Tecnologias_TE_RE!$A$2:$AT$27,3,0)</f>
        <v>#N/A</v>
      </c>
      <c r="E19" s="200" t="e">
        <f>VLOOKUP(A19,tab_Tecnologias_TE_RE!$A$2:$AT$27,4,0)</f>
        <v>#N/A</v>
      </c>
      <c r="F19" s="200" t="e">
        <f>VLOOKUP(A19,tab_Tecnologias_TE_RE!$A$2:$AT$27,5,0)</f>
        <v>#N/A</v>
      </c>
      <c r="G19" s="200" t="e">
        <f>VLOOKUP(A19,tab_Tecnologias_TE_RE!$A$2:$AT$27,26,0)</f>
        <v>#N/A</v>
      </c>
      <c r="H19" s="200" t="e">
        <f>VLOOKUP(A19,tab_Tecnologias_TE_RE!$A$2:$AT$27,39,0)</f>
        <v>#N/A</v>
      </c>
      <c r="I19" s="200" t="e">
        <f>VLOOKUP(A19,tab_Tecnologias_TE_RE!$A$2:$AT$27,40,0)</f>
        <v>#N/A</v>
      </c>
      <c r="J19" s="200" t="e">
        <f>VLOOKUP("1"&amp;A19,tab_tipo_Combustivel!$A$2:$AC$381,3,0)</f>
        <v>#N/A</v>
      </c>
      <c r="N19" s="195" t="e">
        <f>VLOOKUP(A19,tab_Tecnologias_TE_RE!$A$2:$AT$27,24,0)</f>
        <v>#N/A</v>
      </c>
    </row>
    <row r="20" spans="1:14">
      <c r="A20" s="199"/>
      <c r="B20" s="199"/>
      <c r="C20" s="200"/>
      <c r="D20" s="200"/>
      <c r="E20" s="200"/>
      <c r="F20" s="200"/>
      <c r="G20" s="200"/>
      <c r="H20" s="200"/>
      <c r="I20" s="200"/>
      <c r="J20" s="200"/>
      <c r="K20" s="200"/>
      <c r="L20" s="200"/>
      <c r="M20" s="200"/>
      <c r="N20" s="200"/>
    </row>
    <row r="21" spans="1:14">
      <c r="A21" s="201" t="s">
        <v>25</v>
      </c>
      <c r="B21" s="202"/>
      <c r="C21" s="203"/>
      <c r="D21" s="203"/>
      <c r="E21" s="203"/>
      <c r="F21" s="203"/>
      <c r="G21" s="203"/>
      <c r="H21" s="203"/>
      <c r="I21" s="203"/>
      <c r="J21" s="203"/>
      <c r="K21" s="203"/>
      <c r="L21" s="203"/>
      <c r="M21" s="203"/>
      <c r="N21" s="203"/>
    </row>
    <row r="22" spans="1:14">
      <c r="A22" s="204" t="e">
        <f>tab_Tecnologias_TE_RE!#REF!</f>
        <v>#REF!</v>
      </c>
      <c r="B22" s="205" t="e">
        <f>tab_Tecnologias_TE_RE!#REF!</f>
        <v>#REF!</v>
      </c>
      <c r="C22" s="206" t="e">
        <f>VLOOKUP(A22,#REF!,3,0)</f>
        <v>#REF!</v>
      </c>
      <c r="D22" s="206" t="e">
        <f>VLOOKUP(A22,tab_Tecnologias_TE_RE!$A$2:$AT$27,3,0)</f>
        <v>#REF!</v>
      </c>
      <c r="E22" s="206" t="e">
        <f>VLOOKUP(A22,tab_Tecnologias_TE_RE!$A$2:$AT$27,4,0)</f>
        <v>#REF!</v>
      </c>
      <c r="F22" s="206" t="e">
        <f>VLOOKUP(A22,tab_Tecnologias_TE_RE!$A$2:$AT$27,5,0)</f>
        <v>#REF!</v>
      </c>
      <c r="G22" s="206" t="e">
        <f>VLOOKUP(A22,tab_Tecnologias_TE_RE!$A$2:$AT$27,26,0)</f>
        <v>#REF!</v>
      </c>
      <c r="H22" s="206" t="e">
        <f>VLOOKUP(A22,tab_Tecnologias_TE_RE!$A$2:$AT$27,39,0)</f>
        <v>#REF!</v>
      </c>
      <c r="I22" s="206" t="e">
        <f>VLOOKUP(A22,tab_Tecnologias_TE_RE!$A$2:$AT$27,40,0)</f>
        <v>#REF!</v>
      </c>
      <c r="J22" s="206"/>
      <c r="K22" s="206"/>
      <c r="L22" s="206"/>
      <c r="M22" s="206"/>
      <c r="N22" s="206" t="e">
        <f>VLOOKUP(A22,tab_Tecnologias_TE_RE!$A$2:$AT$27,24,0)</f>
        <v>#REF!</v>
      </c>
    </row>
    <row r="23" spans="1:14">
      <c r="A23" s="207"/>
      <c r="B23" s="207"/>
      <c r="C23" s="208"/>
      <c r="D23" s="208"/>
      <c r="E23" s="208"/>
      <c r="F23" s="208"/>
      <c r="G23" s="208"/>
      <c r="H23" s="208"/>
      <c r="I23" s="208"/>
      <c r="J23" s="208"/>
      <c r="K23" s="208"/>
      <c r="L23" s="208"/>
      <c r="M23" s="208"/>
      <c r="N23" s="208"/>
    </row>
    <row r="24" spans="1:14" s="175" customFormat="1" ht="21.75" customHeight="1">
      <c r="A24" s="176" t="s">
        <v>26</v>
      </c>
      <c r="B24" s="177"/>
      <c r="C24" s="177"/>
      <c r="D24" s="177"/>
      <c r="E24" s="177"/>
      <c r="F24" s="177"/>
      <c r="G24" s="177"/>
      <c r="H24" s="177"/>
      <c r="I24" s="177"/>
      <c r="J24" s="177"/>
      <c r="K24" s="178"/>
      <c r="L24" s="178"/>
      <c r="M24" s="178"/>
      <c r="N24" s="178"/>
    </row>
    <row r="25" spans="1:14">
      <c r="A25" s="209" t="s">
        <v>27</v>
      </c>
      <c r="B25" s="210"/>
      <c r="C25" s="211"/>
      <c r="D25" s="211"/>
      <c r="E25" s="211"/>
      <c r="F25" s="211"/>
      <c r="G25" s="211"/>
      <c r="H25" s="211"/>
      <c r="I25" s="211"/>
      <c r="J25" s="211"/>
      <c r="K25" s="211"/>
      <c r="L25" s="211"/>
      <c r="M25" s="211"/>
      <c r="N25" s="211"/>
    </row>
    <row r="26" spans="1:14">
      <c r="A26" s="212">
        <v>305</v>
      </c>
      <c r="B26" s="213" t="str">
        <f>VLOOKUP(A26,tab_Tecnologias_TE_RE!$A$2:$B$27,2,0)</f>
        <v>CARVÃO NAC_Supercritico</v>
      </c>
      <c r="C26" s="214" t="e">
        <f>VLOOKUP(A26,#REF!,3,0)</f>
        <v>#REF!</v>
      </c>
      <c r="D26" s="214">
        <f>VLOOKUP(A26,tab_Tecnologias_TE_RE!$A$2:$AT$27,3,0)</f>
        <v>1</v>
      </c>
      <c r="E26" s="214">
        <f>VLOOKUP(A26,tab_Tecnologias_TE_RE!$A$2:$AT$27,4,0)</f>
        <v>0.5</v>
      </c>
      <c r="F26" s="214">
        <f>VLOOKUP(A26,tab_Tecnologias_TE_RE!$A$2:$AT$27,5,0)</f>
        <v>1</v>
      </c>
      <c r="G26" s="214">
        <f>VLOOKUP(A26,tab_Tecnologias_TE_RE!$A$2:$AT$27,26,0)</f>
        <v>4</v>
      </c>
      <c r="H26" s="214">
        <f>VLOOKUP(A26,tab_Tecnologias_TE_RE!$A$2:$AT$27,39,0)</f>
        <v>9.3678779051968114E-2</v>
      </c>
      <c r="I26" s="214">
        <f ca="1">VLOOKUP(A26,tab_Tecnologias_TE_RE!$A$2:$AT$27,40,0)</f>
        <v>1.4404039536461855</v>
      </c>
      <c r="J26" s="214"/>
      <c r="K26" s="215"/>
      <c r="L26" s="214"/>
      <c r="M26" s="214"/>
      <c r="N26" s="216" t="str">
        <f>VLOOKUP(A26,tab_Tecnologias_TE_RE!$A$2:$AT$27,24,0)</f>
        <v>Carvão</v>
      </c>
    </row>
    <row r="27" spans="1:14">
      <c r="A27" s="212">
        <v>306</v>
      </c>
      <c r="B27" s="213" t="str">
        <f>VLOOKUP(A27,tab_Tecnologias_TE_RE!$A$2:$B$27,2,0)</f>
        <v>CARVÃO NAC_gas</v>
      </c>
      <c r="C27" s="214" t="e">
        <f>VLOOKUP(A27,#REF!,3,0)</f>
        <v>#REF!</v>
      </c>
      <c r="D27" s="214">
        <f>VLOOKUP(A27,tab_Tecnologias_TE_RE!$A$2:$AT$27,3,0)</f>
        <v>1</v>
      </c>
      <c r="E27" s="214">
        <f>VLOOKUP(A27,tab_Tecnologias_TE_RE!$A$2:$AT$27,4,0)</f>
        <v>0.5</v>
      </c>
      <c r="F27" s="214">
        <f>VLOOKUP(A27,tab_Tecnologias_TE_RE!$A$2:$AT$27,5,0)</f>
        <v>1</v>
      </c>
      <c r="G27" s="214">
        <f>VLOOKUP(A27,tab_Tecnologias_TE_RE!$A$2:$AT$27,26,0)</f>
        <v>4</v>
      </c>
      <c r="H27" s="214">
        <f>VLOOKUP(A27,tab_Tecnologias_TE_RE!$A$2:$AT$27,39,0)</f>
        <v>9.3678779051968114E-2</v>
      </c>
      <c r="I27" s="214">
        <f ca="1">VLOOKUP(A27,tab_Tecnologias_TE_RE!$A$2:$AT$27,40,0)</f>
        <v>1.7414560550775158</v>
      </c>
      <c r="J27" s="214"/>
      <c r="K27" s="215"/>
      <c r="L27" s="214"/>
      <c r="M27" s="214"/>
      <c r="N27" s="216" t="str">
        <f>VLOOKUP(A27,tab_Tecnologias_TE_RE!$A$2:$AT$27,24,0)</f>
        <v>Carvão</v>
      </c>
    </row>
    <row r="28" spans="1:14">
      <c r="A28" s="212">
        <v>307</v>
      </c>
      <c r="B28" s="213" t="str">
        <f>VLOOKUP(A28,tab_Tecnologias_TE_RE!$A$2:$B$27,2,0)</f>
        <v>CARVÃO IMP_pulv_CCS</v>
      </c>
      <c r="C28" s="214" t="e">
        <f>VLOOKUP(A28,#REF!,3,0)</f>
        <v>#REF!</v>
      </c>
      <c r="D28" s="214">
        <f>VLOOKUP(A28,tab_Tecnologias_TE_RE!$A$2:$AT$27,3,0)</f>
        <v>1</v>
      </c>
      <c r="E28" s="214">
        <f>VLOOKUP(A28,tab_Tecnologias_TE_RE!$A$2:$AT$27,4,0)</f>
        <v>0.5</v>
      </c>
      <c r="F28" s="214">
        <f>VLOOKUP(A28,tab_Tecnologias_TE_RE!$A$2:$AT$27,5,0)</f>
        <v>1</v>
      </c>
      <c r="G28" s="214">
        <f>VLOOKUP(A28,tab_Tecnologias_TE_RE!$A$2:$AT$27,26,0)</f>
        <v>4</v>
      </c>
      <c r="H28" s="214">
        <f>VLOOKUP(A28,tab_Tecnologias_TE_RE!$A$2:$AT$27,39,0)</f>
        <v>9.3678779051968114E-2</v>
      </c>
      <c r="I28" s="214">
        <f ca="1">VLOOKUP(A28,tab_Tecnologias_TE_RE!$A$2:$AT$27,40,0)</f>
        <v>2.0636346197671847</v>
      </c>
      <c r="J28" s="214"/>
      <c r="K28" s="215"/>
      <c r="L28" s="214"/>
      <c r="M28" s="214"/>
      <c r="N28" s="216" t="str">
        <f>VLOOKUP(A28,tab_Tecnologias_TE_RE!$A$2:$AT$27,24,0)</f>
        <v>Carvão</v>
      </c>
    </row>
    <row r="29" spans="1:14">
      <c r="A29" s="212"/>
      <c r="B29" s="212"/>
      <c r="C29" s="214"/>
      <c r="D29" s="214"/>
      <c r="E29" s="214"/>
      <c r="F29" s="214"/>
      <c r="G29" s="214"/>
      <c r="H29" s="214"/>
      <c r="I29" s="214"/>
      <c r="J29" s="214"/>
      <c r="K29" s="214"/>
      <c r="L29" s="214"/>
      <c r="M29" s="214"/>
      <c r="N29" s="216"/>
    </row>
    <row r="30" spans="1:14">
      <c r="A30" s="217" t="s">
        <v>28</v>
      </c>
      <c r="B30" s="218"/>
      <c r="C30" s="219"/>
      <c r="D30" s="219"/>
      <c r="E30" s="219"/>
      <c r="F30" s="219"/>
      <c r="G30" s="219"/>
      <c r="H30" s="219"/>
      <c r="I30" s="219"/>
      <c r="J30" s="219"/>
      <c r="K30" s="219"/>
      <c r="L30" s="219"/>
      <c r="M30" s="219"/>
      <c r="N30" s="220"/>
    </row>
    <row r="31" spans="1:14">
      <c r="A31" s="221">
        <v>301</v>
      </c>
      <c r="B31" s="222" t="str">
        <f>VLOOKUP(A31,tab_Tecnologias_TE_RE!$A$2:$B$27,2,0)</f>
        <v>GAS_CS_Ponta</v>
      </c>
      <c r="C31" s="223" t="e">
        <f>VLOOKUP(A31,#REF!,3,0)</f>
        <v>#REF!</v>
      </c>
      <c r="D31" s="223">
        <f>VLOOKUP(A31,tab_Tecnologias_TE_RE!$A$2:$AT$27,3,0)</f>
        <v>1</v>
      </c>
      <c r="E31" s="223">
        <f>VLOOKUP(A31,tab_Tecnologias_TE_RE!$A$2:$AT$27,4,0)</f>
        <v>0</v>
      </c>
      <c r="F31" s="223">
        <f>VLOOKUP(A31,tab_Tecnologias_TE_RE!$A$2:$AT$27,5,0)</f>
        <v>1</v>
      </c>
      <c r="G31" s="223">
        <f>VLOOKUP(A31,tab_Tecnologias_TE_RE!$A$2:$AT$27,26,0)</f>
        <v>2</v>
      </c>
      <c r="H31" s="223">
        <f>VLOOKUP(A31,tab_Tecnologias_TE_RE!$A$2:$AT$27,39,0)</f>
        <v>0.10185220882315059</v>
      </c>
      <c r="I31" s="223">
        <f ca="1">VLOOKUP(A31,tab_Tecnologias_TE_RE!$A$2:$AT$27,40,0)</f>
        <v>0.62465725962404606</v>
      </c>
      <c r="J31" s="223"/>
      <c r="K31" s="224"/>
      <c r="L31" s="223"/>
      <c r="M31" s="223"/>
      <c r="N31" s="225" t="str">
        <f>VLOOKUP(A31,tab_Tecnologias_TE_RE!$A$2:$AT$27,24,0)</f>
        <v>Gás Natural</v>
      </c>
    </row>
    <row r="32" spans="1:14">
      <c r="A32" s="221">
        <v>302</v>
      </c>
      <c r="B32" s="222" t="str">
        <f>VLOOKUP(A32,tab_Tecnologias_TE_RE!$A$2:$B$27,2,0)</f>
        <v>GAS_CC_flexível_ate2030</v>
      </c>
      <c r="C32" s="223" t="e">
        <f>VLOOKUP(A32,#REF!,3,0)</f>
        <v>#REF!</v>
      </c>
      <c r="D32" s="223">
        <f>VLOOKUP(A32,tab_Tecnologias_TE_RE!$A$2:$AT$27,3,0)</f>
        <v>1</v>
      </c>
      <c r="E32" s="223">
        <f>VLOOKUP(A32,tab_Tecnologias_TE_RE!$A$2:$AT$27,4,0)</f>
        <v>0</v>
      </c>
      <c r="F32" s="223">
        <f>VLOOKUP(A32,tab_Tecnologias_TE_RE!$A$2:$AT$27,5,0)</f>
        <v>1</v>
      </c>
      <c r="G32" s="223">
        <f>VLOOKUP(A32,tab_Tecnologias_TE_RE!$A$2:$AT$27,26,0)</f>
        <v>3</v>
      </c>
      <c r="H32" s="223">
        <f>VLOOKUP(A32,tab_Tecnologias_TE_RE!$A$2:$AT$27,39,0)</f>
        <v>0.10185220882315059</v>
      </c>
      <c r="I32" s="223">
        <f ca="1">VLOOKUP(A32,tab_Tecnologias_TE_RE!$A$2:$AT$27,40,0)</f>
        <v>0.61332157453005753</v>
      </c>
      <c r="J32" s="223"/>
      <c r="K32" s="224"/>
      <c r="L32" s="223"/>
      <c r="M32" s="223"/>
      <c r="N32" s="225" t="str">
        <f>VLOOKUP(A32,tab_Tecnologias_TE_RE!$A$2:$AT$27,24,0)</f>
        <v>Gás Natural</v>
      </c>
    </row>
    <row r="33" spans="1:14">
      <c r="A33" s="221">
        <v>308</v>
      </c>
      <c r="B33" s="222" t="str">
        <f>VLOOKUP(A33,tab_Tecnologias_TE_RE!$A$2:$B$27,2,0)</f>
        <v>GAS_CC_flexível_pos2040</v>
      </c>
      <c r="C33" s="223" t="e">
        <f>VLOOKUP(A33,#REF!,3,0)</f>
        <v>#REF!</v>
      </c>
      <c r="D33" s="223">
        <f>VLOOKUP(A33,tab_Tecnologias_TE_RE!$A$2:$AT$27,3,0)</f>
        <v>1</v>
      </c>
      <c r="E33" s="223">
        <f>VLOOKUP(A33,tab_Tecnologias_TE_RE!$A$2:$AT$27,4,0)</f>
        <v>0</v>
      </c>
      <c r="F33" s="223">
        <f>VLOOKUP(A33,tab_Tecnologias_TE_RE!$A$2:$AT$27,5,0)</f>
        <v>1</v>
      </c>
      <c r="G33" s="223">
        <f>VLOOKUP(A33,tab_Tecnologias_TE_RE!$A$2:$AT$27,26,0)</f>
        <v>3</v>
      </c>
      <c r="H33" s="223">
        <f>VLOOKUP(A33,tab_Tecnologias_TE_RE!$A$2:$AT$27,39,0)</f>
        <v>0.10185220882315059</v>
      </c>
      <c r="I33" s="223">
        <f ca="1">VLOOKUP(A33,tab_Tecnologias_TE_RE!$A$2:$AT$27,40,0)</f>
        <v>0.61332157453005753</v>
      </c>
      <c r="J33" s="223"/>
      <c r="K33" s="224"/>
      <c r="L33" s="223"/>
      <c r="M33" s="223"/>
      <c r="N33" s="225" t="str">
        <f>VLOOKUP(A33,tab_Tecnologias_TE_RE!$A$2:$AT$27,24,0)</f>
        <v>Gás Natural</v>
      </c>
    </row>
    <row r="34" spans="1:14">
      <c r="A34" s="221">
        <v>320</v>
      </c>
      <c r="B34" s="222" t="str">
        <f>VLOOKUP(A34,tab_Tecnologias_TE_RE!$A$2:$B$27,2,0)</f>
        <v>GAS_CC_flexível_30_40</v>
      </c>
      <c r="C34" s="223" t="e">
        <f>VLOOKUP(A34,#REF!,3,0)</f>
        <v>#REF!</v>
      </c>
      <c r="D34" s="223">
        <f>VLOOKUP(A34,tab_Tecnologias_TE_RE!$A$2:$AT$27,3,0)</f>
        <v>1</v>
      </c>
      <c r="E34" s="223">
        <f>VLOOKUP(A34,tab_Tecnologias_TE_RE!$A$2:$AT$27,4,0)</f>
        <v>0</v>
      </c>
      <c r="F34" s="223">
        <f>VLOOKUP(A34,tab_Tecnologias_TE_RE!$A$2:$AT$27,5,0)</f>
        <v>1</v>
      </c>
      <c r="G34" s="223">
        <f>VLOOKUP(A34,tab_Tecnologias_TE_RE!$A$2:$AT$27,26,0)</f>
        <v>3</v>
      </c>
      <c r="H34" s="223">
        <f>VLOOKUP(A34,tab_Tecnologias_TE_RE!$A$2:$AT$27,39,0)</f>
        <v>0.10185220882315059</v>
      </c>
      <c r="I34" s="223">
        <f ca="1">VLOOKUP(A34,tab_Tecnologias_TE_RE!$A$2:$AT$27,40,0)</f>
        <v>0.61332157453005753</v>
      </c>
      <c r="J34" s="223"/>
      <c r="K34" s="224"/>
      <c r="L34" s="223"/>
      <c r="M34" s="223"/>
      <c r="N34" s="225" t="str">
        <f>VLOOKUP(A34,tab_Tecnologias_TE_RE!$A$2:$AT$27,24,0)</f>
        <v>Gás Natural</v>
      </c>
    </row>
    <row r="35" spans="1:14">
      <c r="A35" s="221"/>
      <c r="B35" s="221"/>
      <c r="C35" s="223"/>
      <c r="D35" s="223"/>
      <c r="E35" s="223"/>
      <c r="F35" s="223"/>
      <c r="G35" s="223"/>
      <c r="H35" s="223"/>
      <c r="I35" s="223"/>
      <c r="J35" s="223"/>
      <c r="K35" s="223"/>
      <c r="L35" s="223"/>
      <c r="M35" s="223"/>
      <c r="N35" s="225"/>
    </row>
    <row r="36" spans="1:14">
      <c r="A36" s="226" t="s">
        <v>29</v>
      </c>
      <c r="B36" s="227"/>
      <c r="C36" s="228"/>
      <c r="D36" s="228"/>
      <c r="E36" s="228"/>
      <c r="F36" s="228"/>
      <c r="G36" s="228"/>
      <c r="H36" s="228"/>
      <c r="I36" s="228"/>
      <c r="J36" s="228"/>
      <c r="K36" s="228"/>
      <c r="L36" s="228"/>
      <c r="M36" s="228"/>
      <c r="N36" s="229"/>
    </row>
    <row r="37" spans="1:14" s="232" customFormat="1">
      <c r="A37" s="230">
        <v>303</v>
      </c>
      <c r="B37" s="231" t="str">
        <f>VLOOKUP(A37,tab_Tecnologias_TE_RE!$A$2:$B$27,2,0)</f>
        <v>NUCLEAR</v>
      </c>
      <c r="C37" s="232" t="e">
        <f>VLOOKUP(A37,#REF!,3,0)</f>
        <v>#REF!</v>
      </c>
      <c r="D37" s="232">
        <f>VLOOKUP(A37,tab_Tecnologias_TE_RE!$A$2:$AT$27,3,0)</f>
        <v>1</v>
      </c>
      <c r="E37" s="232">
        <f>VLOOKUP(A37,tab_Tecnologias_TE_RE!$A$2:$AT$27,4,0)</f>
        <v>0.8</v>
      </c>
      <c r="F37" s="232">
        <f>VLOOKUP(A37,tab_Tecnologias_TE_RE!$A$2:$AT$27,5,0)</f>
        <v>1</v>
      </c>
      <c r="G37" s="232">
        <f>VLOOKUP(A37,tab_Tecnologias_TE_RE!$A$2:$AT$27,26,0)</f>
        <v>6</v>
      </c>
      <c r="H37" s="232">
        <f>VLOOKUP(A37,tab_Tecnologias_TE_RE!$A$2:$AT$27,39,0)</f>
        <v>8.8827433387272267E-2</v>
      </c>
      <c r="I37" s="232">
        <f ca="1">VLOOKUP(A37,tab_Tecnologias_TE_RE!$A$2:$AT$27,40,0)</f>
        <v>2.395244858204514</v>
      </c>
      <c r="K37" s="233"/>
      <c r="N37" s="234" t="str">
        <f>VLOOKUP(A37,tab_Tecnologias_TE_RE!$A$2:$AT$27,24,0)</f>
        <v>Nuclear</v>
      </c>
    </row>
    <row r="38" spans="1:14">
      <c r="A38" s="230"/>
      <c r="B38" s="230"/>
      <c r="C38" s="232"/>
      <c r="D38" s="232"/>
      <c r="E38" s="232"/>
      <c r="F38" s="232"/>
      <c r="G38" s="232"/>
      <c r="H38" s="232"/>
      <c r="I38" s="232"/>
      <c r="J38" s="232"/>
      <c r="K38" s="232"/>
      <c r="L38" s="232"/>
      <c r="M38" s="232"/>
      <c r="N38" s="234"/>
    </row>
    <row r="39" spans="1:14">
      <c r="A39" s="235" t="s">
        <v>30</v>
      </c>
      <c r="B39" s="236"/>
      <c r="C39" s="237"/>
      <c r="D39" s="237"/>
      <c r="E39" s="237"/>
      <c r="F39" s="237"/>
      <c r="G39" s="237"/>
      <c r="H39" s="237"/>
      <c r="I39" s="237"/>
      <c r="J39" s="237"/>
      <c r="K39" s="237"/>
      <c r="L39" s="237"/>
      <c r="M39" s="237"/>
      <c r="N39" s="238"/>
    </row>
    <row r="40" spans="1:14" s="240" customFormat="1">
      <c r="A40" s="239">
        <v>309</v>
      </c>
      <c r="B40" s="239" t="str">
        <f>VLOOKUP(A40,tab_Tecnologias_TE_RE!$A$2:$B$27,2,0)</f>
        <v>CARVÃO NAC_fluid_CCS</v>
      </c>
      <c r="C40" s="240" t="e">
        <f>VLOOKUP(A40,#REF!,3,0)</f>
        <v>#REF!</v>
      </c>
      <c r="D40" s="240">
        <f>VLOOKUP(A40,tab_Tecnologias_TE_RE!$A$2:$AT$27,3,0)</f>
        <v>1</v>
      </c>
      <c r="E40" s="240">
        <f>VLOOKUP(A40,tab_Tecnologias_TE_RE!$A$2:$AT$27,4,0)</f>
        <v>0.5</v>
      </c>
      <c r="F40" s="240">
        <f>VLOOKUP(A40,tab_Tecnologias_TE_RE!$A$2:$AT$27,5,0)</f>
        <v>1</v>
      </c>
      <c r="G40" s="240">
        <f>VLOOKUP(A40,tab_Tecnologias_TE_RE!$A$2:$AT$27,26,0)</f>
        <v>4</v>
      </c>
      <c r="H40" s="240">
        <f>VLOOKUP(A40,tab_Tecnologias_TE_RE!$A$2:$AT$27,39,0)</f>
        <v>9.3678779051968114E-2</v>
      </c>
      <c r="I40" s="240">
        <f ca="1">VLOOKUP(A40,tab_Tecnologias_TE_RE!$A$2:$AT$27,40,0)</f>
        <v>2.2273647100193115</v>
      </c>
      <c r="K40" s="241"/>
      <c r="N40" s="242" t="str">
        <f>VLOOKUP(A40,tab_Tecnologias_TE_RE!$A$2:$AT$27,24,0)</f>
        <v>Carvão</v>
      </c>
    </row>
    <row r="41" spans="1:14">
      <c r="A41" s="204"/>
      <c r="B41" s="204"/>
      <c r="C41" s="206"/>
      <c r="D41" s="206"/>
      <c r="E41" s="206"/>
      <c r="F41" s="206"/>
      <c r="G41" s="206"/>
      <c r="H41" s="206"/>
      <c r="I41" s="206"/>
      <c r="J41" s="206"/>
      <c r="K41" s="206"/>
      <c r="L41" s="206"/>
      <c r="M41" s="206"/>
      <c r="N41" s="206"/>
    </row>
    <row r="42" spans="1:14">
      <c r="A42" s="243" t="s">
        <v>31</v>
      </c>
      <c r="B42" s="244"/>
      <c r="C42" s="245"/>
      <c r="D42" s="245"/>
      <c r="E42" s="245"/>
      <c r="F42" s="245"/>
      <c r="G42" s="245"/>
      <c r="H42" s="245"/>
      <c r="I42" s="245"/>
      <c r="J42" s="245"/>
      <c r="K42" s="245"/>
      <c r="L42" s="245"/>
      <c r="M42" s="245"/>
      <c r="N42" s="245"/>
    </row>
    <row r="43" spans="1:14">
      <c r="A43" s="246">
        <v>313</v>
      </c>
      <c r="B43" s="247" t="e">
        <f>VLOOKUP(A43,tab_Tecnologias_TE_RE!$A$2:$B$27,2,0)</f>
        <v>#N/A</v>
      </c>
      <c r="C43" s="248" t="e">
        <f>VLOOKUP(A43,#REF!,3,0)</f>
        <v>#REF!</v>
      </c>
      <c r="D43" s="248" t="e">
        <f>VLOOKUP(A43,tab_Tecnologias_TE_RE!$A$2:$AT$27,3,0)</f>
        <v>#N/A</v>
      </c>
      <c r="E43" s="248" t="e">
        <f>VLOOKUP(A43,tab_Tecnologias_TE_RE!$A$2:$AT$27,4,0)</f>
        <v>#N/A</v>
      </c>
      <c r="F43" s="248" t="e">
        <f>VLOOKUP(A43,tab_Tecnologias_TE_RE!$A$2:$AT$27,5,0)</f>
        <v>#N/A</v>
      </c>
      <c r="G43" s="248" t="e">
        <f>VLOOKUP(A43,tab_Tecnologias_TE_RE!$A$2:$AT$27,26,0)</f>
        <v>#N/A</v>
      </c>
      <c r="H43" s="248" t="e">
        <f>VLOOKUP(A43,tab_Tecnologias_TE_RE!$A$2:$AT$27,39,0)</f>
        <v>#N/A</v>
      </c>
      <c r="I43" s="248" t="e">
        <f>VLOOKUP(A43,tab_Tecnologias_TE_RE!$A$2:$AT$27,40,0)</f>
        <v>#N/A</v>
      </c>
      <c r="J43" s="248"/>
      <c r="K43" s="248"/>
      <c r="L43" s="248"/>
      <c r="M43" s="248"/>
      <c r="N43" s="248" t="e">
        <f>VLOOKUP(A43,tab_Tecnologias_TE_RE!$A$2:$AT$27,24,0)</f>
        <v>#N/A</v>
      </c>
    </row>
    <row r="44" spans="1:14">
      <c r="A44" s="199"/>
      <c r="B44" s="199"/>
      <c r="C44" s="200"/>
      <c r="D44" s="200"/>
      <c r="E44" s="200"/>
      <c r="F44" s="200"/>
      <c r="G44" s="200"/>
      <c r="H44" s="200"/>
      <c r="I44" s="200"/>
      <c r="J44" s="200"/>
      <c r="K44" s="200"/>
      <c r="L44" s="200"/>
      <c r="M44" s="200"/>
      <c r="N44" s="200"/>
    </row>
    <row r="45" spans="1:14">
      <c r="B45" s="185" t="s">
        <v>32</v>
      </c>
      <c r="C45" s="249" t="e">
        <f>SUM(C7:C43)</f>
        <v>#REF!</v>
      </c>
      <c r="I45" s="185" t="s">
        <v>33</v>
      </c>
    </row>
  </sheetData>
  <mergeCells count="2">
    <mergeCell ref="J3:K3"/>
    <mergeCell ref="L3:M3"/>
  </mergeCells>
  <pageMargins left="0.511811024" right="0.511811024" top="0.78740157499999996" bottom="0.78740157499999996" header="0.31496062000000002" footer="0.31496062000000002"/>
  <pageSetup paperSize="9" orientation="portrait" horizontalDpi="300" verticalDpi="300"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Plan9">
    <tabColor theme="3" tint="0.39997558519241921"/>
  </sheetPr>
  <dimension ref="A1:BG1661"/>
  <sheetViews>
    <sheetView zoomScale="90" zoomScaleNormal="90" workbookViewId="0">
      <pane xSplit="5" ySplit="1" topLeftCell="F68" activePane="bottomRight" state="frozen"/>
      <selection pane="bottomRight" activeCell="AD2" sqref="AD2"/>
      <selection pane="bottomLeft" activeCell="A2" sqref="A2"/>
      <selection pane="topRight" activeCell="F1" sqref="F1"/>
    </sheetView>
  </sheetViews>
  <sheetFormatPr defaultColWidth="9.140625" defaultRowHeight="12.75"/>
  <cols>
    <col min="1" max="1" width="18.7109375" style="125" customWidth="1"/>
    <col min="2" max="2" width="14.140625" style="125" customWidth="1"/>
    <col min="3" max="3" width="28.7109375" style="3" bestFit="1" customWidth="1"/>
    <col min="4" max="4" width="28.5703125" style="3" customWidth="1"/>
    <col min="5" max="5" width="12" style="505" customWidth="1"/>
    <col min="6" max="6" width="29.42578125" style="3" customWidth="1"/>
    <col min="7" max="7" width="14.85546875" style="3" customWidth="1"/>
    <col min="8" max="9" width="18.7109375" style="3" customWidth="1"/>
    <col min="10" max="10" width="6" style="125" customWidth="1"/>
    <col min="11" max="11" width="7.5703125" style="125" customWidth="1"/>
    <col min="12" max="12" width="6.42578125" style="125" customWidth="1"/>
    <col min="13" max="13" width="10.5703125" style="3" customWidth="1"/>
    <col min="14" max="14" width="7.85546875" style="3" customWidth="1"/>
    <col min="15" max="15" width="7.140625" style="3" customWidth="1"/>
    <col min="16" max="17" width="18.7109375" style="3" customWidth="1"/>
    <col min="18" max="18" width="10.7109375" style="3" bestFit="1" customWidth="1"/>
    <col min="19" max="31" width="18.7109375" style="3" customWidth="1"/>
    <col min="32" max="33" width="18.7109375" style="125" customWidth="1"/>
    <col min="34" max="34" width="13.85546875" style="125" customWidth="1"/>
    <col min="35" max="35" width="20" style="3" customWidth="1"/>
    <col min="36" max="36" width="20.85546875" style="3" customWidth="1"/>
    <col min="37" max="37" width="18.5703125" style="3" customWidth="1"/>
    <col min="38" max="38" width="10.42578125" style="125" customWidth="1"/>
    <col min="39" max="39" width="16.42578125" style="3" customWidth="1"/>
    <col min="40" max="40" width="8.5703125" style="3" customWidth="1"/>
    <col min="41" max="41" width="12.140625" style="3" customWidth="1"/>
    <col min="42" max="42" width="15.85546875" style="422" customWidth="1"/>
    <col min="43" max="52" width="18.7109375" style="3" customWidth="1"/>
    <col min="53" max="53" width="17.85546875" style="3" customWidth="1"/>
    <col min="54" max="54" width="25.140625" style="3" bestFit="1" customWidth="1"/>
    <col min="55" max="55" width="18" style="3" customWidth="1"/>
    <col min="56" max="56" width="25.7109375" style="3" customWidth="1"/>
    <col min="57" max="57" width="13" style="3" customWidth="1"/>
    <col min="58" max="58" width="12.5703125" style="3" customWidth="1"/>
    <col min="59" max="59" width="33.140625" style="3" bestFit="1" customWidth="1"/>
    <col min="60" max="16384" width="9.140625" style="3"/>
  </cols>
  <sheetData>
    <row r="1" spans="1:59" s="125" customFormat="1" ht="13.5" thickBot="1">
      <c r="A1" s="15" t="s">
        <v>2158</v>
      </c>
      <c r="B1" s="2" t="s">
        <v>265</v>
      </c>
      <c r="C1" s="2" t="s">
        <v>267</v>
      </c>
      <c r="D1" s="2" t="s">
        <v>1959</v>
      </c>
      <c r="E1" s="521" t="s">
        <v>160</v>
      </c>
      <c r="F1" s="2" t="s">
        <v>1960</v>
      </c>
      <c r="G1" s="2" t="s">
        <v>1961</v>
      </c>
      <c r="H1" s="2" t="s">
        <v>1962</v>
      </c>
      <c r="I1" s="2" t="s">
        <v>1963</v>
      </c>
      <c r="J1" s="2" t="s">
        <v>2159</v>
      </c>
      <c r="K1" s="2" t="s">
        <v>135</v>
      </c>
      <c r="L1" s="2" t="s">
        <v>136</v>
      </c>
      <c r="M1" s="522" t="s">
        <v>2160</v>
      </c>
      <c r="N1" s="2" t="s">
        <v>175</v>
      </c>
      <c r="O1" s="2" t="s">
        <v>176</v>
      </c>
      <c r="P1" s="2" t="s">
        <v>2161</v>
      </c>
      <c r="Q1" s="337" t="s">
        <v>1964</v>
      </c>
      <c r="R1" s="337" t="s">
        <v>2162</v>
      </c>
      <c r="S1" s="13" t="s">
        <v>1965</v>
      </c>
      <c r="T1" s="13" t="s">
        <v>1966</v>
      </c>
      <c r="U1" s="13" t="s">
        <v>1967</v>
      </c>
      <c r="V1" s="13" t="s">
        <v>1968</v>
      </c>
      <c r="W1" s="13" t="s">
        <v>2163</v>
      </c>
      <c r="X1" s="337" t="s">
        <v>1969</v>
      </c>
      <c r="Y1" s="337" t="s">
        <v>2164</v>
      </c>
      <c r="Z1" s="13" t="s">
        <v>1970</v>
      </c>
      <c r="AA1" s="13" t="s">
        <v>1971</v>
      </c>
      <c r="AB1" s="13" t="s">
        <v>1972</v>
      </c>
      <c r="AC1" s="13" t="s">
        <v>1973</v>
      </c>
      <c r="AD1" s="15" t="s">
        <v>139</v>
      </c>
      <c r="AE1" s="27" t="s">
        <v>2165</v>
      </c>
      <c r="AF1" s="2" t="s">
        <v>141</v>
      </c>
      <c r="AG1" s="2" t="s">
        <v>142</v>
      </c>
      <c r="AH1" s="26" t="s">
        <v>2166</v>
      </c>
      <c r="AI1" s="2" t="s">
        <v>185</v>
      </c>
      <c r="AJ1" s="2" t="s">
        <v>186</v>
      </c>
      <c r="AK1" s="2" t="s">
        <v>187</v>
      </c>
      <c r="AL1" s="15" t="s">
        <v>188</v>
      </c>
      <c r="AM1" s="2" t="s">
        <v>2167</v>
      </c>
      <c r="AN1" s="2" t="s">
        <v>190</v>
      </c>
      <c r="AO1" s="27" t="s">
        <v>191</v>
      </c>
      <c r="AP1" s="392" t="s">
        <v>2168</v>
      </c>
      <c r="AQ1" s="338" t="s">
        <v>2169</v>
      </c>
      <c r="AR1" s="338" t="s">
        <v>2170</v>
      </c>
      <c r="AS1" s="339" t="s">
        <v>193</v>
      </c>
      <c r="AT1" s="339" t="s">
        <v>194</v>
      </c>
      <c r="AU1" s="339" t="s">
        <v>2171</v>
      </c>
      <c r="AV1" s="339" t="s">
        <v>196</v>
      </c>
      <c r="AW1" s="28" t="s">
        <v>197</v>
      </c>
      <c r="AX1" s="29" t="s">
        <v>198</v>
      </c>
      <c r="AY1" s="71" t="s">
        <v>199</v>
      </c>
      <c r="AZ1" s="15" t="s">
        <v>133</v>
      </c>
      <c r="BA1" s="16" t="s">
        <v>2172</v>
      </c>
      <c r="BB1" s="340" t="s">
        <v>2173</v>
      </c>
      <c r="BC1" s="125" t="s">
        <v>38</v>
      </c>
      <c r="BD1" s="523" t="s">
        <v>2174</v>
      </c>
      <c r="BE1" s="523" t="s">
        <v>2175</v>
      </c>
      <c r="BF1" s="524" t="s">
        <v>2176</v>
      </c>
      <c r="BG1" s="524" t="s">
        <v>2177</v>
      </c>
    </row>
    <row r="2" spans="1:59" ht="15.75" thickTop="1">
      <c r="A2" s="125">
        <v>1001</v>
      </c>
      <c r="B2" s="125">
        <v>1001</v>
      </c>
      <c r="C2" s="525" t="s">
        <v>2178</v>
      </c>
      <c r="D2" s="525" t="s">
        <v>2178</v>
      </c>
      <c r="E2" s="526">
        <v>225.7</v>
      </c>
      <c r="F2" s="3" t="s">
        <v>2179</v>
      </c>
      <c r="G2" s="3" t="s">
        <v>2180</v>
      </c>
      <c r="H2" s="527">
        <v>-53.770277999999998</v>
      </c>
      <c r="I2" s="527">
        <v>-0.207203</v>
      </c>
      <c r="J2" s="528" t="s">
        <v>153</v>
      </c>
      <c r="K2" s="528" t="s">
        <v>153</v>
      </c>
      <c r="L2" s="554">
        <v>4</v>
      </c>
      <c r="M2" s="107"/>
      <c r="N2" s="529">
        <v>1.9820000000000001E-2</v>
      </c>
      <c r="O2" s="529">
        <v>5.2919999999999995E-2</v>
      </c>
      <c r="P2" s="288">
        <f t="shared" ref="P2:P33" si="0">Q2/$E2</f>
        <v>0.64443464248792115</v>
      </c>
      <c r="Q2" s="30">
        <f t="shared" ref="Q2:Q65" si="1">AVERAGE(S2:V2)</f>
        <v>145.4488988095238</v>
      </c>
      <c r="R2" s="30">
        <f t="shared" ref="R2:R33" si="2">E2-Q2</f>
        <v>80.251101190476192</v>
      </c>
      <c r="S2" s="107">
        <v>173.54857142857142</v>
      </c>
      <c r="T2" s="107">
        <v>198.64827380952377</v>
      </c>
      <c r="U2" s="107">
        <v>117.06374999999998</v>
      </c>
      <c r="V2" s="107">
        <v>92.535000000000011</v>
      </c>
      <c r="W2" s="288">
        <f t="shared" ref="W2:W33" si="3">X2/$E2</f>
        <v>0.59020602569782876</v>
      </c>
      <c r="X2" s="289">
        <f t="shared" ref="X2:X65" si="4">AVERAGE(Z2:AC2)</f>
        <v>133.20949999999993</v>
      </c>
      <c r="Y2" s="289">
        <f t="shared" ref="Y2:Y65" si="5">X2-Q2</f>
        <v>-12.239398809523863</v>
      </c>
      <c r="Z2" s="107">
        <v>153.61364705882346</v>
      </c>
      <c r="AA2" s="107">
        <v>194.86137254901942</v>
      </c>
      <c r="AB2" s="107">
        <v>121.02274509803915</v>
      </c>
      <c r="AC2" s="107">
        <v>63.34023529411764</v>
      </c>
      <c r="AD2" s="106">
        <v>3</v>
      </c>
      <c r="AE2" s="32" t="str">
        <f>IF(AD2=0,"",VLOOKUP(AD2,tab_tipo_expansao!$A$2:$B$4,2,0))</f>
        <v>não_considerar</v>
      </c>
      <c r="AF2" s="125">
        <v>2030</v>
      </c>
      <c r="AG2" s="125">
        <v>2100</v>
      </c>
      <c r="AH2" s="125">
        <v>30</v>
      </c>
      <c r="AI2" s="530">
        <v>1919.0294896418484</v>
      </c>
      <c r="AJ2" s="24">
        <f>AK2/constantes!$B$4</f>
        <v>2180.145518377979</v>
      </c>
      <c r="AK2" s="33">
        <f t="shared" ref="AK2:AK33" si="6">AI2/E2*1000</f>
        <v>8502.5675216741183</v>
      </c>
      <c r="AL2" s="87">
        <v>2</v>
      </c>
      <c r="AM2" s="531">
        <v>0</v>
      </c>
      <c r="AN2" s="23"/>
      <c r="AO2" s="532">
        <f t="shared" ref="AO2:AO65" si="7">AI2+AM2+AN2</f>
        <v>1919.0294896418484</v>
      </c>
      <c r="AP2" s="34"/>
      <c r="AQ2" s="35">
        <f t="shared" ref="AQ2:AQ33" si="8">AO2*1000/E2</f>
        <v>8502.5675216741183</v>
      </c>
      <c r="AR2" s="36">
        <f ca="1">OFFSET(cod_desembolso!$A$1,AL2,23)</f>
        <v>1.1245293369208682</v>
      </c>
      <c r="AS2" s="37">
        <f ca="1">IF(AO2=0,0,AO2*(OFFSET(cod_desembolso!$A$1,AL2,23)))</f>
        <v>2158.0049595185401</v>
      </c>
      <c r="AT2" s="38">
        <f>(constantes!$B$3*(1+constantes!$B$3)^(AH2))/((1+constantes!$B$3)^(AH2)-1)</f>
        <v>8.8827433387272267E-2</v>
      </c>
      <c r="AU2" s="37">
        <f t="shared" ref="AU2:AU65" ca="1" si="9">IF(AND(AO2=0,AX2=0),0,AS2*AT2+AX2)</f>
        <v>202.97504179103629</v>
      </c>
      <c r="AV2" s="37">
        <f ca="1">IF(AO2=0,AX2/constantes!$B$3,AU2/constantes!$B$3)</f>
        <v>2537.1880223879534</v>
      </c>
      <c r="AW2" s="39">
        <f ca="1">IF(AO2=0,0,PV(constantes!$B$3,AH2,-AU2)*constantes!$B$3)</f>
        <v>182.80392356365869</v>
      </c>
      <c r="AX2" s="40">
        <f>constantes!$B$10*E2/1000</f>
        <v>11.285</v>
      </c>
      <c r="AY2" s="533">
        <f>constantes!$B$12</f>
        <v>0</v>
      </c>
      <c r="AZ2" s="20">
        <v>318</v>
      </c>
      <c r="BA2" s="43"/>
      <c r="BB2" s="3" t="s">
        <v>2181</v>
      </c>
      <c r="BD2" s="534">
        <v>1</v>
      </c>
      <c r="BE2" s="535">
        <v>2027</v>
      </c>
      <c r="BF2" s="536">
        <v>1</v>
      </c>
      <c r="BG2" s="537">
        <v>2027</v>
      </c>
    </row>
    <row r="3" spans="1:59" ht="15">
      <c r="A3" s="125">
        <v>1002</v>
      </c>
      <c r="B3" s="125">
        <v>1002</v>
      </c>
      <c r="C3" s="538" t="s">
        <v>2182</v>
      </c>
      <c r="D3" s="538" t="s">
        <v>2182</v>
      </c>
      <c r="E3" s="526">
        <v>140.5</v>
      </c>
      <c r="F3" s="3" t="s">
        <v>2179</v>
      </c>
      <c r="G3" s="3" t="s">
        <v>2180</v>
      </c>
      <c r="H3" s="527">
        <v>-53.840142999999998</v>
      </c>
      <c r="I3" s="527">
        <v>-5.8097999999999997E-2</v>
      </c>
      <c r="J3" s="539" t="s">
        <v>153</v>
      </c>
      <c r="K3" s="539" t="s">
        <v>153</v>
      </c>
      <c r="L3" s="554">
        <v>4</v>
      </c>
      <c r="M3" s="107"/>
      <c r="N3" s="529">
        <v>1.6379999999999999E-2</v>
      </c>
      <c r="O3" s="529">
        <v>6.1409999999999999E-2</v>
      </c>
      <c r="P3" s="288">
        <f t="shared" si="0"/>
        <v>0.52086627266564989</v>
      </c>
      <c r="Q3" s="30">
        <f t="shared" si="1"/>
        <v>73.181711309523806</v>
      </c>
      <c r="R3" s="30">
        <f t="shared" si="2"/>
        <v>67.318288690476194</v>
      </c>
      <c r="S3" s="107">
        <v>91.557619047619042</v>
      </c>
      <c r="T3" s="107">
        <v>112.32255952380952</v>
      </c>
      <c r="U3" s="107">
        <v>51.911666666666662</v>
      </c>
      <c r="V3" s="107">
        <v>36.934999999999995</v>
      </c>
      <c r="W3" s="288">
        <f t="shared" si="3"/>
        <v>0.46787942223152607</v>
      </c>
      <c r="X3" s="289">
        <f t="shared" si="4"/>
        <v>65.737058823529409</v>
      </c>
      <c r="Y3" s="289">
        <f t="shared" si="5"/>
        <v>-7.4446524859943963</v>
      </c>
      <c r="Z3" s="107">
        <v>74.862313725490182</v>
      </c>
      <c r="AA3" s="107">
        <v>108.9846274509804</v>
      </c>
      <c r="AB3" s="107">
        <v>53.718784313725486</v>
      </c>
      <c r="AC3" s="107">
        <v>25.382509803921561</v>
      </c>
      <c r="AD3" s="106">
        <v>3</v>
      </c>
      <c r="AE3" s="32" t="str">
        <f>IF(AD3=0,"",VLOOKUP(AD3,tab_tipo_expansao!$A$2:$B$4,2,0))</f>
        <v>não_considerar</v>
      </c>
      <c r="AF3" s="125">
        <v>2030</v>
      </c>
      <c r="AG3" s="125">
        <v>2100</v>
      </c>
      <c r="AH3" s="125">
        <v>30</v>
      </c>
      <c r="AI3" s="530">
        <v>1499.5630440458831</v>
      </c>
      <c r="AJ3" s="24">
        <f>AK3/constantes!$B$4</f>
        <v>2736.6786094459039</v>
      </c>
      <c r="AK3" s="33">
        <f t="shared" si="6"/>
        <v>10673.046576839026</v>
      </c>
      <c r="AL3" s="87">
        <v>2</v>
      </c>
      <c r="AM3" s="531">
        <v>0</v>
      </c>
      <c r="AN3" s="23"/>
      <c r="AO3" s="532">
        <f t="shared" si="7"/>
        <v>1499.5630440458831</v>
      </c>
      <c r="AQ3" s="35">
        <f t="shared" si="8"/>
        <v>10673.046576839024</v>
      </c>
      <c r="AR3" s="36">
        <f ca="1">OFFSET(cod_desembolso!$A$1,AL3,23)</f>
        <v>1.1245293369208682</v>
      </c>
      <c r="AS3" s="37">
        <f ca="1">IF(AO3=0,0,AO3*(OFFSET(cod_desembolso!$A$1,AL3,23)))</f>
        <v>1686.3026355919555</v>
      </c>
      <c r="AT3" s="38">
        <f>(constantes!$B$3*(1+constantes!$B$3)^(AH3))/((1+constantes!$B$3)^(AH3)-1)</f>
        <v>8.8827433387272267E-2</v>
      </c>
      <c r="AU3" s="37">
        <f t="shared" ca="1" si="9"/>
        <v>156.81493503382609</v>
      </c>
      <c r="AV3" s="37">
        <f ca="1">IF(AO3=0,AX3/constantes!$B$3,AU3/constantes!$B$3)</f>
        <v>1960.186687922826</v>
      </c>
      <c r="AW3" s="39">
        <f ca="1">IF(AO3=0,0,PV(constantes!$B$3,AH3,-AU3)*constantes!$B$3)</f>
        <v>141.2310850861941</v>
      </c>
      <c r="AX3" s="40">
        <f>constantes!$B$10*E3/1000</f>
        <v>7.0250000000000004</v>
      </c>
      <c r="AY3" s="533">
        <f>constantes!$B$12</f>
        <v>0</v>
      </c>
      <c r="AZ3" s="20">
        <v>318</v>
      </c>
      <c r="BA3" s="43"/>
      <c r="BB3" s="3" t="s">
        <v>2183</v>
      </c>
      <c r="BD3" s="534">
        <v>1</v>
      </c>
      <c r="BE3" s="535">
        <v>2030</v>
      </c>
      <c r="BF3" s="536">
        <v>1</v>
      </c>
      <c r="BG3" s="537">
        <v>2030</v>
      </c>
    </row>
    <row r="4" spans="1:59" ht="14.45" customHeight="1">
      <c r="A4" s="125">
        <v>1003</v>
      </c>
      <c r="B4" s="125">
        <v>1003</v>
      </c>
      <c r="C4" s="538" t="s">
        <v>2184</v>
      </c>
      <c r="D4" s="538" t="s">
        <v>2184</v>
      </c>
      <c r="E4" s="526">
        <v>186.3</v>
      </c>
      <c r="F4" s="3" t="s">
        <v>2179</v>
      </c>
      <c r="G4" s="3" t="s">
        <v>2180</v>
      </c>
      <c r="H4" s="527">
        <v>-53.841644000000002</v>
      </c>
      <c r="I4" s="527">
        <v>2.1526E-2</v>
      </c>
      <c r="J4" s="539" t="s">
        <v>153</v>
      </c>
      <c r="K4" s="539" t="s">
        <v>153</v>
      </c>
      <c r="L4" s="554">
        <v>4</v>
      </c>
      <c r="M4" s="107"/>
      <c r="N4" s="529">
        <v>1.6379999999999999E-2</v>
      </c>
      <c r="O4" s="529">
        <v>6.1409999999999999E-2</v>
      </c>
      <c r="P4" s="288">
        <f t="shared" si="0"/>
        <v>0.48225244740945217</v>
      </c>
      <c r="Q4" s="30">
        <f t="shared" si="1"/>
        <v>89.843630952380948</v>
      </c>
      <c r="R4" s="30">
        <f t="shared" si="2"/>
        <v>96.456369047619063</v>
      </c>
      <c r="S4" s="107">
        <v>112.1947619047619</v>
      </c>
      <c r="T4" s="107">
        <v>136.68886904761905</v>
      </c>
      <c r="U4" s="107">
        <v>64.421250000000001</v>
      </c>
      <c r="V4" s="107">
        <v>46.06964285714286</v>
      </c>
      <c r="W4" s="288">
        <f t="shared" si="3"/>
        <v>0.43390778104048916</v>
      </c>
      <c r="X4" s="289">
        <f t="shared" si="4"/>
        <v>80.837019607843132</v>
      </c>
      <c r="Y4" s="289">
        <f t="shared" si="5"/>
        <v>-9.0066113445378164</v>
      </c>
      <c r="Z4" s="107">
        <v>92.238196078431358</v>
      </c>
      <c r="AA4" s="107">
        <v>132.83905882352943</v>
      </c>
      <c r="AB4" s="107">
        <v>66.606117647058838</v>
      </c>
      <c r="AC4" s="107">
        <v>31.664705882352933</v>
      </c>
      <c r="AD4" s="106">
        <v>3</v>
      </c>
      <c r="AE4" s="32" t="str">
        <f>IF(AD4=0,"",VLOOKUP(AD4,tab_tipo_expansao!$A$2:$B$4,2,0))</f>
        <v>não_considerar</v>
      </c>
      <c r="AF4" s="125">
        <v>2030</v>
      </c>
      <c r="AG4" s="125">
        <v>2100</v>
      </c>
      <c r="AH4" s="125">
        <v>30</v>
      </c>
      <c r="AI4" s="530">
        <v>1680.3260658097868</v>
      </c>
      <c r="AJ4" s="24">
        <f>AK4/constantes!$B$4</f>
        <v>2312.6829704086144</v>
      </c>
      <c r="AK4" s="33">
        <f t="shared" si="6"/>
        <v>9019.4635845935954</v>
      </c>
      <c r="AL4" s="87">
        <v>2</v>
      </c>
      <c r="AM4" s="531">
        <v>0</v>
      </c>
      <c r="AN4" s="23"/>
      <c r="AO4" s="532">
        <f t="shared" si="7"/>
        <v>1680.3260658097868</v>
      </c>
      <c r="AQ4" s="35">
        <f t="shared" si="8"/>
        <v>9019.4635845935954</v>
      </c>
      <c r="AR4" s="36">
        <f ca="1">OFFSET(cod_desembolso!$A$1,AL4,23)</f>
        <v>1.1245293369208682</v>
      </c>
      <c r="AS4" s="37">
        <f ca="1">IF(AO4=0,0,AO4*(OFFSET(cod_desembolso!$A$1,AL4,23)))</f>
        <v>1889.5759565959306</v>
      </c>
      <c r="AT4" s="38">
        <f>(constantes!$B$3*(1+constantes!$B$3)^(AH4))/((1+constantes!$B$3)^(AH4)-1)</f>
        <v>8.8827433387272267E-2</v>
      </c>
      <c r="AU4" s="37">
        <f t="shared" ca="1" si="9"/>
        <v>177.16118241471631</v>
      </c>
      <c r="AV4" s="37">
        <f ca="1">IF(AO4=0,AX4/constantes!$B$3,AU4/constantes!$B$3)</f>
        <v>2214.5147801839539</v>
      </c>
      <c r="AW4" s="39">
        <f ca="1">IF(AO4=0,0,PV(constantes!$B$3,AH4,-AU4)*constantes!$B$3)</f>
        <v>159.55537667497308</v>
      </c>
      <c r="AX4" s="40">
        <f>constantes!$B$10*E4/1000</f>
        <v>9.3149999999999995</v>
      </c>
      <c r="AY4" s="533">
        <f>constantes!$B$12</f>
        <v>0</v>
      </c>
      <c r="AZ4" s="20">
        <v>318</v>
      </c>
      <c r="BA4" s="43"/>
      <c r="BB4" s="3" t="s">
        <v>2181</v>
      </c>
      <c r="BD4" s="534">
        <v>1</v>
      </c>
      <c r="BE4" s="535">
        <v>2027</v>
      </c>
      <c r="BF4" s="536">
        <v>1</v>
      </c>
      <c r="BG4" s="537">
        <v>2027</v>
      </c>
    </row>
    <row r="5" spans="1:59" ht="15">
      <c r="A5" s="125">
        <v>1004</v>
      </c>
      <c r="B5" s="125">
        <v>1004</v>
      </c>
      <c r="C5" s="538" t="s">
        <v>2185</v>
      </c>
      <c r="D5" s="538" t="s">
        <v>2185</v>
      </c>
      <c r="E5" s="526">
        <v>104.1</v>
      </c>
      <c r="F5" s="3" t="s">
        <v>2179</v>
      </c>
      <c r="G5" s="3" t="s">
        <v>2180</v>
      </c>
      <c r="H5" s="527">
        <v>-53.814917999999999</v>
      </c>
      <c r="I5" s="527">
        <v>0.102156</v>
      </c>
      <c r="J5" s="539" t="s">
        <v>153</v>
      </c>
      <c r="K5" s="539" t="s">
        <v>153</v>
      </c>
      <c r="L5" s="554">
        <v>4</v>
      </c>
      <c r="M5" s="107"/>
      <c r="N5" s="529">
        <v>1.9820000000000001E-2</v>
      </c>
      <c r="O5" s="529">
        <v>5.2919999999999995E-2</v>
      </c>
      <c r="P5" s="288">
        <f t="shared" si="0"/>
        <v>0.41709608435112755</v>
      </c>
      <c r="Q5" s="30">
        <f t="shared" si="1"/>
        <v>43.419702380952373</v>
      </c>
      <c r="R5" s="30">
        <f t="shared" si="2"/>
        <v>60.680297619047622</v>
      </c>
      <c r="S5" s="107">
        <v>54.339523809523804</v>
      </c>
      <c r="T5" s="107">
        <v>66.708571428571418</v>
      </c>
      <c r="U5" s="107">
        <v>30.785416666666666</v>
      </c>
      <c r="V5" s="107">
        <v>21.845297619047617</v>
      </c>
      <c r="W5" s="288">
        <f t="shared" si="3"/>
        <v>0.37465012902375161</v>
      </c>
      <c r="X5" s="289">
        <f t="shared" si="4"/>
        <v>39.001078431372541</v>
      </c>
      <c r="Y5" s="289">
        <f t="shared" si="5"/>
        <v>-4.4186239495798318</v>
      </c>
      <c r="Z5" s="107">
        <v>44.399647058823518</v>
      </c>
      <c r="AA5" s="107">
        <v>64.752784313725485</v>
      </c>
      <c r="AB5" s="107">
        <v>31.825647058823535</v>
      </c>
      <c r="AC5" s="107">
        <v>15.026235294117646</v>
      </c>
      <c r="AD5" s="106">
        <v>3</v>
      </c>
      <c r="AE5" s="32" t="str">
        <f>IF(AD5=0,"",VLOOKUP(AD5,tab_tipo_expansao!$A$2:$B$4,2,0))</f>
        <v>não_considerar</v>
      </c>
      <c r="AF5" s="125">
        <v>2030</v>
      </c>
      <c r="AG5" s="125">
        <v>2100</v>
      </c>
      <c r="AH5" s="125">
        <v>30</v>
      </c>
      <c r="AI5" s="530">
        <v>1251.0995301877967</v>
      </c>
      <c r="AJ5" s="24">
        <f>AK5/constantes!$B$4</f>
        <v>3081.6018379462471</v>
      </c>
      <c r="AK5" s="33">
        <f t="shared" si="6"/>
        <v>12018.247167990363</v>
      </c>
      <c r="AL5" s="87">
        <v>2</v>
      </c>
      <c r="AM5" s="531">
        <v>0</v>
      </c>
      <c r="AN5" s="23"/>
      <c r="AO5" s="532">
        <f t="shared" si="7"/>
        <v>1251.0995301877967</v>
      </c>
      <c r="AQ5" s="35">
        <f t="shared" si="8"/>
        <v>12018.247167990365</v>
      </c>
      <c r="AR5" s="36">
        <f ca="1">OFFSET(cod_desembolso!$A$1,AL5,23)</f>
        <v>1.1245293369208682</v>
      </c>
      <c r="AS5" s="37">
        <f ca="1">IF(AO5=0,0,AO5*(OFFSET(cod_desembolso!$A$1,AL5,23)))</f>
        <v>1406.8981251040927</v>
      </c>
      <c r="AT5" s="38">
        <f>(constantes!$B$3*(1+constantes!$B$3)^(AH5))/((1+constantes!$B$3)^(AH5)-1)</f>
        <v>8.8827433387272267E-2</v>
      </c>
      <c r="AU5" s="37">
        <f t="shared" ca="1" si="9"/>
        <v>130.17614949036204</v>
      </c>
      <c r="AV5" s="37">
        <f ca="1">IF(AO5=0,AX5/constantes!$B$3,AU5/constantes!$B$3)</f>
        <v>1627.2018686295255</v>
      </c>
      <c r="AW5" s="39">
        <f ca="1">IF(AO5=0,0,PV(constantes!$B$3,AH5,-AU5)*constantes!$B$3)</f>
        <v>117.23959099240571</v>
      </c>
      <c r="AX5" s="40">
        <f>constantes!$B$10*E5/1000</f>
        <v>5.2050000000000001</v>
      </c>
      <c r="AY5" s="533">
        <f>constantes!$B$12</f>
        <v>0</v>
      </c>
      <c r="AZ5" s="20">
        <v>318</v>
      </c>
      <c r="BA5" s="43"/>
      <c r="BB5" s="3" t="s">
        <v>2183</v>
      </c>
      <c r="BD5" s="534">
        <v>1</v>
      </c>
      <c r="BE5" s="535">
        <v>2030</v>
      </c>
      <c r="BF5" s="536">
        <v>1</v>
      </c>
      <c r="BG5" s="537">
        <v>2030</v>
      </c>
    </row>
    <row r="6" spans="1:59" ht="14.45" customHeight="1">
      <c r="A6" s="125">
        <v>1005</v>
      </c>
      <c r="B6" s="125">
        <v>1005</v>
      </c>
      <c r="C6" s="538" t="s">
        <v>2186</v>
      </c>
      <c r="D6" s="538" t="s">
        <v>2187</v>
      </c>
      <c r="E6" s="526">
        <v>177.8</v>
      </c>
      <c r="F6" s="3" t="s">
        <v>2179</v>
      </c>
      <c r="G6" s="3" t="s">
        <v>2180</v>
      </c>
      <c r="H6" s="527">
        <v>-53.365701000000001</v>
      </c>
      <c r="I6" s="527">
        <v>-0.67624200000000001</v>
      </c>
      <c r="J6" s="539" t="s">
        <v>153</v>
      </c>
      <c r="K6" s="539" t="s">
        <v>153</v>
      </c>
      <c r="L6" s="554">
        <v>4</v>
      </c>
      <c r="M6" s="107"/>
      <c r="N6" s="529">
        <v>1.6379999999999999E-2</v>
      </c>
      <c r="O6" s="529">
        <v>6.1409999999999999E-2</v>
      </c>
      <c r="P6" s="288">
        <f t="shared" si="0"/>
        <v>0.48795730890781502</v>
      </c>
      <c r="Q6" s="30">
        <f t="shared" si="1"/>
        <v>86.758809523809518</v>
      </c>
      <c r="R6" s="30">
        <f t="shared" si="2"/>
        <v>91.041190476190494</v>
      </c>
      <c r="S6" s="107">
        <v>108.07000000000001</v>
      </c>
      <c r="T6" s="107">
        <v>134.18946428571428</v>
      </c>
      <c r="U6" s="107">
        <v>58.524583333333339</v>
      </c>
      <c r="V6" s="107">
        <v>46.25119047619048</v>
      </c>
      <c r="W6" s="288">
        <f t="shared" si="3"/>
        <v>0.42745489534396452</v>
      </c>
      <c r="X6" s="289">
        <f t="shared" si="4"/>
        <v>76.001480392156893</v>
      </c>
      <c r="Y6" s="289">
        <f t="shared" si="5"/>
        <v>-10.757329131652625</v>
      </c>
      <c r="Z6" s="107">
        <v>85.058313725490208</v>
      </c>
      <c r="AA6" s="107">
        <v>129.46129411764716</v>
      </c>
      <c r="AB6" s="107">
        <v>59.889725490196078</v>
      </c>
      <c r="AC6" s="107">
        <v>29.596588235294121</v>
      </c>
      <c r="AD6" s="106">
        <v>3</v>
      </c>
      <c r="AE6" s="32" t="str">
        <f>IF(AD6=0,"",VLOOKUP(AD6,tab_tipo_expansao!$A$2:$B$4,2,0))</f>
        <v>não_considerar</v>
      </c>
      <c r="AF6" s="125">
        <v>2030</v>
      </c>
      <c r="AG6" s="125">
        <v>2100</v>
      </c>
      <c r="AH6" s="125">
        <v>30</v>
      </c>
      <c r="AI6" s="530">
        <v>1882.903775790257</v>
      </c>
      <c r="AJ6" s="24">
        <f>AK6/constantes!$B$4</f>
        <v>2715.3871763004486</v>
      </c>
      <c r="AK6" s="33">
        <f t="shared" si="6"/>
        <v>10590.00998757175</v>
      </c>
      <c r="AL6" s="87">
        <v>2</v>
      </c>
      <c r="AM6" s="531">
        <v>0</v>
      </c>
      <c r="AN6" s="23"/>
      <c r="AO6" s="532">
        <f t="shared" si="7"/>
        <v>1882.903775790257</v>
      </c>
      <c r="AQ6" s="35">
        <f t="shared" si="8"/>
        <v>10590.009987571748</v>
      </c>
      <c r="AR6" s="36">
        <f ca="1">OFFSET(cod_desembolso!$A$1,AL6,23)</f>
        <v>1.1245293369208682</v>
      </c>
      <c r="AS6" s="37">
        <f ca="1">IF(AO6=0,0,AO6*(OFFSET(cod_desembolso!$A$1,AL6,23)))</f>
        <v>2117.3805344752168</v>
      </c>
      <c r="AT6" s="38">
        <f>(constantes!$B$3*(1+constantes!$B$3)^(AH6))/((1+constantes!$B$3)^(AH6)-1)</f>
        <v>8.8827433387272267E-2</v>
      </c>
      <c r="AU6" s="37">
        <f t="shared" ca="1" si="9"/>
        <v>196.97147838160424</v>
      </c>
      <c r="AV6" s="37">
        <f ca="1">IF(AO6=0,AX6/constantes!$B$3,AU6/constantes!$B$3)</f>
        <v>2462.1434797700531</v>
      </c>
      <c r="AW6" s="39">
        <f ca="1">IF(AO6=0,0,PV(constantes!$B$3,AH6,-AU6)*constantes!$B$3)</f>
        <v>177.39697827164957</v>
      </c>
      <c r="AX6" s="40">
        <f>constantes!$B$10*E6/1000</f>
        <v>8.89</v>
      </c>
      <c r="AY6" s="533">
        <f>constantes!$B$12</f>
        <v>0</v>
      </c>
      <c r="AZ6" s="20">
        <v>318</v>
      </c>
      <c r="BA6" s="43"/>
      <c r="BB6" s="3" t="s">
        <v>2181</v>
      </c>
      <c r="BD6" s="534">
        <v>1</v>
      </c>
      <c r="BE6" s="535">
        <v>2027</v>
      </c>
      <c r="BF6" s="536">
        <v>1</v>
      </c>
      <c r="BG6" s="537">
        <v>2027</v>
      </c>
    </row>
    <row r="7" spans="1:59" ht="14.45" customHeight="1">
      <c r="A7" s="125">
        <v>1006</v>
      </c>
      <c r="B7" s="125">
        <v>1006</v>
      </c>
      <c r="C7" s="538" t="s">
        <v>2188</v>
      </c>
      <c r="D7" s="538" t="s">
        <v>2188</v>
      </c>
      <c r="E7" s="526">
        <v>870.4</v>
      </c>
      <c r="F7" s="3" t="s">
        <v>2179</v>
      </c>
      <c r="G7" s="3" t="s">
        <v>2180</v>
      </c>
      <c r="H7" s="527">
        <v>-53.159303999999999</v>
      </c>
      <c r="I7" s="527">
        <v>-1.0408999999999999</v>
      </c>
      <c r="J7" s="539" t="s">
        <v>153</v>
      </c>
      <c r="K7" s="539" t="s">
        <v>153</v>
      </c>
      <c r="L7" s="554">
        <v>4</v>
      </c>
      <c r="M7" s="107"/>
      <c r="N7" s="529">
        <v>1.6379999999999999E-2</v>
      </c>
      <c r="O7" s="529">
        <v>6.1409999999999999E-2</v>
      </c>
      <c r="P7" s="288">
        <f t="shared" si="0"/>
        <v>0.5393438942959996</v>
      </c>
      <c r="Q7" s="30">
        <f t="shared" si="1"/>
        <v>469.44492559523809</v>
      </c>
      <c r="R7" s="30">
        <f t="shared" si="2"/>
        <v>400.95507440476189</v>
      </c>
      <c r="S7" s="107">
        <v>555.1847619047619</v>
      </c>
      <c r="T7" s="107">
        <v>732.18488095238092</v>
      </c>
      <c r="U7" s="107">
        <v>354.67624999999998</v>
      </c>
      <c r="V7" s="107">
        <v>235.73380952380953</v>
      </c>
      <c r="W7" s="288">
        <f t="shared" si="3"/>
        <v>0.4833150974084488</v>
      </c>
      <c r="X7" s="289">
        <f t="shared" si="4"/>
        <v>420.67746078431384</v>
      </c>
      <c r="Y7" s="289">
        <f t="shared" si="5"/>
        <v>-48.767464810924253</v>
      </c>
      <c r="Z7" s="107">
        <v>469.55643137254918</v>
      </c>
      <c r="AA7" s="107">
        <v>707.90094117647084</v>
      </c>
      <c r="AB7" s="107">
        <v>352.09639215686281</v>
      </c>
      <c r="AC7" s="107">
        <v>153.15607843137255</v>
      </c>
      <c r="AD7" s="106">
        <v>3</v>
      </c>
      <c r="AE7" s="32" t="str">
        <f>IF(AD7=0,"",VLOOKUP(AD7,tab_tipo_expansao!$A$2:$B$4,2,0))</f>
        <v>não_considerar</v>
      </c>
      <c r="AF7" s="125">
        <v>2030</v>
      </c>
      <c r="AG7" s="125">
        <v>2100</v>
      </c>
      <c r="AH7" s="125">
        <v>30</v>
      </c>
      <c r="AI7" s="530">
        <v>4788.7684501263866</v>
      </c>
      <c r="AJ7" s="24">
        <f>AK7/constantes!$B$4</f>
        <v>1410.7184583941325</v>
      </c>
      <c r="AK7" s="33">
        <f t="shared" si="6"/>
        <v>5501.8019877371171</v>
      </c>
      <c r="AL7" s="87">
        <v>3</v>
      </c>
      <c r="AM7" s="531">
        <v>0</v>
      </c>
      <c r="AN7" s="23"/>
      <c r="AO7" s="532">
        <f t="shared" si="7"/>
        <v>4788.7684501263866</v>
      </c>
      <c r="AQ7" s="35">
        <f t="shared" si="8"/>
        <v>5501.8019877371171</v>
      </c>
      <c r="AR7" s="36">
        <f ca="1">OFFSET(cod_desembolso!$A$1,AL7,23)</f>
        <v>1.1255071012622904</v>
      </c>
      <c r="AS7" s="37">
        <f ca="1">IF(AO7=0,0,AO7*(OFFSET(cod_desembolso!$A$1,AL7,23)))</f>
        <v>5389.7928969180603</v>
      </c>
      <c r="AT7" s="38">
        <f>(constantes!$B$3*(1+constantes!$B$3)^(AH7))/((1+constantes!$B$3)^(AH7)-1)</f>
        <v>8.8827433387272267E-2</v>
      </c>
      <c r="AU7" s="37">
        <f t="shared" ca="1" si="9"/>
        <v>522.28146952218219</v>
      </c>
      <c r="AV7" s="37">
        <f ca="1">IF(AO7=0,AX7/constantes!$B$3,AU7/constantes!$B$3)</f>
        <v>6528.518369027277</v>
      </c>
      <c r="AW7" s="39">
        <f ca="1">IF(AO7=0,0,PV(constantes!$B$3,AH7,-AU7)*constantes!$B$3)</f>
        <v>470.37853024087747</v>
      </c>
      <c r="AX7" s="40">
        <f>constantes!$B$10*E7/1000</f>
        <v>43.52</v>
      </c>
      <c r="AY7" s="533">
        <f>constantes!$B$12</f>
        <v>0</v>
      </c>
      <c r="AZ7" s="20">
        <v>318</v>
      </c>
      <c r="BA7" s="43"/>
      <c r="BB7" s="3" t="s">
        <v>2183</v>
      </c>
      <c r="BD7" s="534">
        <v>1</v>
      </c>
      <c r="BE7" s="535">
        <v>2030</v>
      </c>
      <c r="BF7" s="536">
        <v>1</v>
      </c>
      <c r="BG7" s="537">
        <v>2030</v>
      </c>
    </row>
    <row r="8" spans="1:59" ht="15" customHeight="1">
      <c r="A8" s="125">
        <v>1007</v>
      </c>
      <c r="B8" s="125">
        <v>1007</v>
      </c>
      <c r="C8" s="538" t="s">
        <v>2189</v>
      </c>
      <c r="D8" s="538" t="s">
        <v>2189</v>
      </c>
      <c r="E8" s="526">
        <v>831.1</v>
      </c>
      <c r="F8" s="3" t="s">
        <v>2179</v>
      </c>
      <c r="G8" s="3" t="s">
        <v>2190</v>
      </c>
      <c r="H8" s="527">
        <v>-52.670506000000003</v>
      </c>
      <c r="I8" s="527">
        <v>-0.55420700000000001</v>
      </c>
      <c r="J8" s="539" t="s">
        <v>1999</v>
      </c>
      <c r="K8" s="539" t="s">
        <v>1999</v>
      </c>
      <c r="L8" s="554">
        <v>4</v>
      </c>
      <c r="M8" s="107"/>
      <c r="N8" s="529">
        <v>1.6379999999999999E-2</v>
      </c>
      <c r="O8" s="529">
        <v>6.1409999999999999E-2</v>
      </c>
      <c r="P8" s="288">
        <f t="shared" si="0"/>
        <v>0.52647108536592357</v>
      </c>
      <c r="Q8" s="30">
        <f t="shared" si="1"/>
        <v>437.55011904761909</v>
      </c>
      <c r="R8" s="30">
        <f t="shared" si="2"/>
        <v>393.54988095238093</v>
      </c>
      <c r="S8" s="107">
        <v>474.72666666666669</v>
      </c>
      <c r="T8" s="107">
        <v>727.57047619047626</v>
      </c>
      <c r="U8" s="107">
        <v>408.88666666666671</v>
      </c>
      <c r="V8" s="107">
        <v>139.01666666666668</v>
      </c>
      <c r="W8" s="288">
        <f t="shared" si="3"/>
        <v>0.47421776242683311</v>
      </c>
      <c r="X8" s="289">
        <f t="shared" si="4"/>
        <v>394.12238235294103</v>
      </c>
      <c r="Y8" s="289">
        <f t="shared" si="5"/>
        <v>-43.42773669467806</v>
      </c>
      <c r="Z8" s="107">
        <v>390.4068627450979</v>
      </c>
      <c r="AA8" s="107">
        <v>691.71980392156831</v>
      </c>
      <c r="AB8" s="107">
        <v>378.76435294117636</v>
      </c>
      <c r="AC8" s="107">
        <v>115.59850980392156</v>
      </c>
      <c r="AD8" s="106">
        <v>3</v>
      </c>
      <c r="AE8" s="32" t="str">
        <f>IF(AD8=0,"",VLOOKUP(AD8,tab_tipo_expansao!$A$2:$B$4,2,0))</f>
        <v>não_considerar</v>
      </c>
      <c r="AF8" s="125">
        <v>2030</v>
      </c>
      <c r="AG8" s="125">
        <v>2100</v>
      </c>
      <c r="AH8" s="125">
        <v>30</v>
      </c>
      <c r="AI8" s="530">
        <v>4769.7313944676198</v>
      </c>
      <c r="AJ8" s="24">
        <f>AK8/constantes!$B$4</f>
        <v>1471.5534230098569</v>
      </c>
      <c r="AK8" s="33">
        <f t="shared" si="6"/>
        <v>5739.0583497384423</v>
      </c>
      <c r="AL8" s="87">
        <v>3</v>
      </c>
      <c r="AM8" s="531">
        <v>0</v>
      </c>
      <c r="AN8" s="23"/>
      <c r="AO8" s="532">
        <f t="shared" si="7"/>
        <v>4769.7313944676198</v>
      </c>
      <c r="AQ8" s="35">
        <f t="shared" si="8"/>
        <v>5739.0583497384432</v>
      </c>
      <c r="AR8" s="36">
        <f ca="1">OFFSET(cod_desembolso!$A$1,AL8,23)</f>
        <v>1.1255071012622904</v>
      </c>
      <c r="AS8" s="37">
        <f ca="1">IF(AO8=0,0,AO8*(OFFSET(cod_desembolso!$A$1,AL8,23)))</f>
        <v>5368.3665555869929</v>
      </c>
      <c r="AT8" s="38">
        <f>(constantes!$B$3*(1+constantes!$B$3)^(AH8))/((1+constantes!$B$3)^(AH8)-1)</f>
        <v>8.8827433387272267E-2</v>
      </c>
      <c r="AU8" s="37">
        <f t="shared" ca="1" si="9"/>
        <v>518.41322261486391</v>
      </c>
      <c r="AV8" s="37">
        <f ca="1">IF(AO8=0,AX8/constantes!$B$3,AU8/constantes!$B$3)</f>
        <v>6480.165282685799</v>
      </c>
      <c r="AW8" s="39">
        <f ca="1">IF(AO8=0,0,PV(constantes!$B$3,AH8,-AU8)*constantes!$B$3)</f>
        <v>466.89469939285249</v>
      </c>
      <c r="AX8" s="40">
        <f>constantes!$B$10*E8/1000</f>
        <v>41.555</v>
      </c>
      <c r="AY8" s="533">
        <f>constantes!$B$12</f>
        <v>0</v>
      </c>
      <c r="AZ8" s="20">
        <v>318</v>
      </c>
      <c r="BA8" s="43"/>
      <c r="BB8" s="3" t="s">
        <v>2183</v>
      </c>
      <c r="BD8" s="534">
        <v>1</v>
      </c>
      <c r="BE8" s="535">
        <v>2030</v>
      </c>
      <c r="BF8" s="536">
        <v>1</v>
      </c>
      <c r="BG8" s="537">
        <v>2030</v>
      </c>
    </row>
    <row r="9" spans="1:59" ht="15" customHeight="1">
      <c r="A9" s="125">
        <v>1008</v>
      </c>
      <c r="B9" s="125">
        <v>1008</v>
      </c>
      <c r="C9" s="538" t="s">
        <v>2191</v>
      </c>
      <c r="D9" s="538" t="s">
        <v>2191</v>
      </c>
      <c r="E9" s="526">
        <v>73</v>
      </c>
      <c r="F9" s="3" t="s">
        <v>2179</v>
      </c>
      <c r="G9" s="3" t="s">
        <v>2192</v>
      </c>
      <c r="H9" s="527">
        <v>-52.023097999999997</v>
      </c>
      <c r="I9" s="527">
        <v>0.95645999999999998</v>
      </c>
      <c r="J9" s="539" t="s">
        <v>1999</v>
      </c>
      <c r="K9" s="539" t="s">
        <v>1999</v>
      </c>
      <c r="L9" s="554">
        <v>4</v>
      </c>
      <c r="M9" s="107"/>
      <c r="N9" s="529">
        <v>1.9820000000000001E-2</v>
      </c>
      <c r="O9" s="529">
        <v>5.2919999999999995E-2</v>
      </c>
      <c r="P9" s="288">
        <f t="shared" si="0"/>
        <v>0.47693555361105217</v>
      </c>
      <c r="Q9" s="30">
        <f t="shared" si="1"/>
        <v>34.816295413606809</v>
      </c>
      <c r="R9" s="30">
        <f t="shared" si="2"/>
        <v>38.183704586393191</v>
      </c>
      <c r="S9" s="107">
        <v>47.433326879263355</v>
      </c>
      <c r="T9" s="107">
        <v>53.865729375286399</v>
      </c>
      <c r="U9" s="107">
        <v>20.598248173075799</v>
      </c>
      <c r="V9" s="107">
        <v>17.367877226801678</v>
      </c>
      <c r="W9" s="288">
        <f t="shared" si="3"/>
        <v>0.49042921298242015</v>
      </c>
      <c r="X9" s="289">
        <f t="shared" si="4"/>
        <v>35.801332547716669</v>
      </c>
      <c r="Y9" s="289">
        <f t="shared" si="5"/>
        <v>0.98503713410985938</v>
      </c>
      <c r="Z9" s="107">
        <v>52.664204277829789</v>
      </c>
      <c r="AA9" s="107">
        <v>52.932001941424311</v>
      </c>
      <c r="AB9" s="107">
        <v>19.43744671678888</v>
      </c>
      <c r="AC9" s="107">
        <v>18.171677254823688</v>
      </c>
      <c r="AD9" s="106">
        <v>3</v>
      </c>
      <c r="AE9" s="32" t="str">
        <f>IF(AD9=0,"",VLOOKUP(AD9,tab_tipo_expansao!$A$2:$B$4,2,0))</f>
        <v>não_considerar</v>
      </c>
      <c r="AF9" s="125">
        <v>2030</v>
      </c>
      <c r="AG9" s="125">
        <v>2100</v>
      </c>
      <c r="AH9" s="125">
        <v>30</v>
      </c>
      <c r="AI9" s="530">
        <v>740.65365674820032</v>
      </c>
      <c r="AJ9" s="24">
        <f>AK9/constantes!$B$4</f>
        <v>2601.5232060000012</v>
      </c>
      <c r="AK9" s="33">
        <f t="shared" si="6"/>
        <v>10145.940503400005</v>
      </c>
      <c r="AL9" s="87">
        <v>2</v>
      </c>
      <c r="AM9" s="531">
        <v>0</v>
      </c>
      <c r="AN9" s="23"/>
      <c r="AO9" s="532">
        <f t="shared" si="7"/>
        <v>740.65365674820032</v>
      </c>
      <c r="AQ9" s="35">
        <f t="shared" si="8"/>
        <v>10145.940503400005</v>
      </c>
      <c r="AR9" s="36">
        <f ca="1">OFFSET(cod_desembolso!$A$1,AL9,23)</f>
        <v>1.1245293369208682</v>
      </c>
      <c r="AS9" s="37">
        <f ca="1">IF(AO9=0,0,AO9*(OFFSET(cod_desembolso!$A$1,AL9,23)))</f>
        <v>832.88676551107005</v>
      </c>
      <c r="AT9" s="38">
        <f>(constantes!$B$3*(1+constantes!$B$3)^(AH9))/((1+constantes!$B$3)^(AH9)-1)</f>
        <v>8.8827433387272267E-2</v>
      </c>
      <c r="AU9" s="37">
        <f t="shared" ca="1" si="9"/>
        <v>77.633193682575239</v>
      </c>
      <c r="AV9" s="37">
        <f ca="1">IF(AO9=0,AX9/constantes!$B$3,AU9/constantes!$B$3)</f>
        <v>970.41492103219048</v>
      </c>
      <c r="AW9" s="39">
        <f ca="1">IF(AO9=0,0,PV(constantes!$B$3,AH9,-AU9)*constantes!$B$3)</f>
        <v>69.918213977078835</v>
      </c>
      <c r="AX9" s="40">
        <f>constantes!$B$10*E9/1000</f>
        <v>3.65</v>
      </c>
      <c r="AY9" s="533">
        <f>constantes!$B$12</f>
        <v>0</v>
      </c>
      <c r="AZ9" s="20">
        <v>318</v>
      </c>
      <c r="BA9" s="43"/>
      <c r="BB9" s="3" t="s">
        <v>2183</v>
      </c>
      <c r="BD9" s="534">
        <v>1</v>
      </c>
      <c r="BE9" s="535">
        <v>2030</v>
      </c>
      <c r="BF9" s="536">
        <v>1</v>
      </c>
      <c r="BG9" s="537">
        <v>2030</v>
      </c>
    </row>
    <row r="10" spans="1:59" ht="15" customHeight="1">
      <c r="A10" s="125">
        <v>1009</v>
      </c>
      <c r="B10" s="125">
        <v>1009</v>
      </c>
      <c r="C10" s="538" t="s">
        <v>2193</v>
      </c>
      <c r="D10" s="538" t="s">
        <v>2193</v>
      </c>
      <c r="E10" s="526">
        <v>32.799999999999997</v>
      </c>
      <c r="F10" s="3" t="s">
        <v>2194</v>
      </c>
      <c r="G10" s="3" t="s">
        <v>2125</v>
      </c>
      <c r="H10" s="527">
        <v>-52.930658000000001</v>
      </c>
      <c r="I10" s="527">
        <v>-20.413506999999999</v>
      </c>
      <c r="J10" s="539" t="s">
        <v>2090</v>
      </c>
      <c r="K10" s="539" t="s">
        <v>2090</v>
      </c>
      <c r="L10" s="554">
        <v>1</v>
      </c>
      <c r="M10" s="107"/>
      <c r="N10" s="529">
        <v>2.068E-2</v>
      </c>
      <c r="O10" s="529">
        <v>4.6600000000000003E-2</v>
      </c>
      <c r="P10" s="288">
        <f t="shared" si="0"/>
        <v>0.532119300920186</v>
      </c>
      <c r="Q10" s="30">
        <f t="shared" si="1"/>
        <v>17.453513070182098</v>
      </c>
      <c r="R10" s="30">
        <f t="shared" si="2"/>
        <v>15.3464869298179</v>
      </c>
      <c r="S10" s="107">
        <v>21.872200265426574</v>
      </c>
      <c r="T10" s="107">
        <v>19.200468190721523</v>
      </c>
      <c r="U10" s="107">
        <v>13.619883664765503</v>
      </c>
      <c r="V10" s="107">
        <v>15.121500159814795</v>
      </c>
      <c r="W10" s="288">
        <f t="shared" si="3"/>
        <v>0.56765074645560576</v>
      </c>
      <c r="X10" s="289">
        <f t="shared" si="4"/>
        <v>18.618944483743867</v>
      </c>
      <c r="Y10" s="289">
        <f t="shared" si="5"/>
        <v>1.1654314135617696</v>
      </c>
      <c r="Z10" s="107">
        <v>24.335985049705119</v>
      </c>
      <c r="AA10" s="107">
        <v>20.245868703225792</v>
      </c>
      <c r="AB10" s="107">
        <v>13.938946109956314</v>
      </c>
      <c r="AC10" s="107">
        <v>15.954978072088243</v>
      </c>
      <c r="AD10" s="106">
        <v>1</v>
      </c>
      <c r="AE10" s="32" t="str">
        <f>IF(AD10=0,"",VLOOKUP(AD10,tab_tipo_expansao!$A$2:$B$4,2,0))</f>
        <v>opcional</v>
      </c>
      <c r="AF10" s="125">
        <v>2028</v>
      </c>
      <c r="AG10" s="125">
        <v>2100</v>
      </c>
      <c r="AH10" s="125">
        <v>30</v>
      </c>
      <c r="AI10" s="530">
        <v>350.00082686605094</v>
      </c>
      <c r="AJ10" s="24">
        <f>AK10/constantes!$B$4</f>
        <v>2736.0915170892044</v>
      </c>
      <c r="AK10" s="33">
        <f t="shared" si="6"/>
        <v>10670.756916647897</v>
      </c>
      <c r="AL10" s="87">
        <v>2</v>
      </c>
      <c r="AM10" s="531">
        <v>0</v>
      </c>
      <c r="AN10" s="23"/>
      <c r="AO10" s="532">
        <f t="shared" si="7"/>
        <v>350.00082686605094</v>
      </c>
      <c r="AQ10" s="35">
        <f t="shared" si="8"/>
        <v>10670.756916647895</v>
      </c>
      <c r="AR10" s="36">
        <f ca="1">OFFSET(cod_desembolso!$A$1,AL10,23)</f>
        <v>1.1245293369208682</v>
      </c>
      <c r="AS10" s="37">
        <f ca="1">IF(AO10=0,0,AO10*(OFFSET(cod_desembolso!$A$1,AL10,23)))</f>
        <v>393.58619775743585</v>
      </c>
      <c r="AT10" s="38">
        <f>(constantes!$B$3*(1+constantes!$B$3)^(AH10))/((1+constantes!$B$3)^(AH10)-1)</f>
        <v>8.8827433387272267E-2</v>
      </c>
      <c r="AU10" s="37">
        <f t="shared" ca="1" si="9"/>
        <v>36.601251763448403</v>
      </c>
      <c r="AV10" s="37">
        <f ca="1">IF(AO10=0,AX10/constantes!$B$3,AU10/constantes!$B$3)</f>
        <v>457.51564704310505</v>
      </c>
      <c r="AW10" s="39">
        <f ca="1">IF(AO10=0,0,PV(constantes!$B$3,AH10,-AU10)*constantes!$B$3)</f>
        <v>32.963916995213197</v>
      </c>
      <c r="AX10" s="40">
        <f>constantes!$B$10*E10/1000</f>
        <v>1.6399999999999997</v>
      </c>
      <c r="AY10" s="533">
        <f>constantes!$B$12</f>
        <v>0</v>
      </c>
      <c r="AZ10" s="20">
        <v>318</v>
      </c>
      <c r="BA10" s="43"/>
      <c r="BB10" s="3" t="s">
        <v>2195</v>
      </c>
      <c r="BD10" s="534">
        <v>1</v>
      </c>
      <c r="BE10" s="535">
        <v>2027</v>
      </c>
      <c r="BF10" s="536">
        <v>1</v>
      </c>
      <c r="BG10" s="537">
        <v>2027</v>
      </c>
    </row>
    <row r="11" spans="1:59" ht="15" customHeight="1">
      <c r="A11" s="125">
        <v>1010</v>
      </c>
      <c r="B11" s="125">
        <v>1010</v>
      </c>
      <c r="C11" s="538" t="s">
        <v>2196</v>
      </c>
      <c r="D11" s="538" t="s">
        <v>2196</v>
      </c>
      <c r="E11" s="526">
        <v>380</v>
      </c>
      <c r="F11" s="3" t="s">
        <v>2197</v>
      </c>
      <c r="G11" s="3" t="s">
        <v>2198</v>
      </c>
      <c r="H11" s="527">
        <v>-53.369421000000003</v>
      </c>
      <c r="I11" s="527">
        <v>-15.371221999999999</v>
      </c>
      <c r="J11" s="539" t="s">
        <v>158</v>
      </c>
      <c r="K11" s="539" t="s">
        <v>158</v>
      </c>
      <c r="L11" s="554">
        <v>1</v>
      </c>
      <c r="M11" s="107"/>
      <c r="N11" s="529">
        <v>1.6379999999999999E-2</v>
      </c>
      <c r="O11" s="529">
        <v>6.1409999999999999E-2</v>
      </c>
      <c r="P11" s="288">
        <f t="shared" si="0"/>
        <v>0.60040319548872167</v>
      </c>
      <c r="Q11" s="30">
        <f t="shared" si="1"/>
        <v>228.15321428571426</v>
      </c>
      <c r="R11" s="30">
        <f t="shared" si="2"/>
        <v>151.84678571428574</v>
      </c>
      <c r="S11" s="107">
        <v>300.05</v>
      </c>
      <c r="T11" s="107">
        <v>248.39874999999998</v>
      </c>
      <c r="U11" s="107">
        <v>167.14249999999998</v>
      </c>
      <c r="V11" s="107">
        <v>197.02160714285711</v>
      </c>
      <c r="W11" s="288">
        <f t="shared" si="3"/>
        <v>0.61439703302373572</v>
      </c>
      <c r="X11" s="289">
        <f t="shared" si="4"/>
        <v>233.47087254901959</v>
      </c>
      <c r="Y11" s="289">
        <f t="shared" si="5"/>
        <v>5.3176582633053329</v>
      </c>
      <c r="Z11" s="107">
        <v>307.16607843137251</v>
      </c>
      <c r="AA11" s="107">
        <v>248.08301960784308</v>
      </c>
      <c r="AB11" s="107">
        <v>162.55168627450982</v>
      </c>
      <c r="AC11" s="107">
        <v>216.08270588235291</v>
      </c>
      <c r="AD11" s="106">
        <v>1</v>
      </c>
      <c r="AE11" s="32" t="str">
        <f>IF(AD11=0,"",VLOOKUP(AD11,tab_tipo_expansao!$A$2:$B$4,2,0))</f>
        <v>opcional</v>
      </c>
      <c r="AF11" s="125">
        <v>2028</v>
      </c>
      <c r="AG11" s="125">
        <v>2100</v>
      </c>
      <c r="AH11" s="125">
        <v>30</v>
      </c>
      <c r="AI11" s="530">
        <v>3707.811775825829</v>
      </c>
      <c r="AJ11" s="24">
        <f>AK11/constantes!$B$4</f>
        <v>2501.8972846328134</v>
      </c>
      <c r="AK11" s="33">
        <f t="shared" si="6"/>
        <v>9757.399410067972</v>
      </c>
      <c r="AL11" s="87">
        <v>2</v>
      </c>
      <c r="AM11" s="531">
        <v>0</v>
      </c>
      <c r="AN11" s="23"/>
      <c r="AO11" s="532">
        <f t="shared" si="7"/>
        <v>3707.811775825829</v>
      </c>
      <c r="AQ11" s="35">
        <f t="shared" si="8"/>
        <v>9757.399410067972</v>
      </c>
      <c r="AR11" s="36">
        <f ca="1">OFFSET(cod_desembolso!$A$1,AL11,23)</f>
        <v>1.1245293369208682</v>
      </c>
      <c r="AS11" s="37">
        <f ca="1">IF(AO11=0,0,AO11*(OFFSET(cod_desembolso!$A$1,AL11,23)))</f>
        <v>4169.5431176968068</v>
      </c>
      <c r="AT11" s="38">
        <f>(constantes!$B$3*(1+constantes!$B$3)^(AH11))/((1+constantes!$B$3)^(AH11)-1)</f>
        <v>8.8827433387272267E-2</v>
      </c>
      <c r="AU11" s="37">
        <f t="shared" ca="1" si="9"/>
        <v>389.36981354257262</v>
      </c>
      <c r="AV11" s="37">
        <f ca="1">IF(AO11=0,AX11/constantes!$B$3,AU11/constantes!$B$3)</f>
        <v>4867.1226692821574</v>
      </c>
      <c r="AW11" s="39">
        <f ca="1">IF(AO11=0,0,PV(constantes!$B$3,AH11,-AU11)*constantes!$B$3)</f>
        <v>350.67528009729824</v>
      </c>
      <c r="AX11" s="40">
        <f>constantes!$B$10*E11/1000</f>
        <v>19</v>
      </c>
      <c r="AY11" s="533">
        <f>constantes!$B$12</f>
        <v>0</v>
      </c>
      <c r="AZ11" s="20">
        <v>318</v>
      </c>
      <c r="BA11" s="43"/>
      <c r="BB11" s="3" t="s">
        <v>2195</v>
      </c>
      <c r="BD11" s="534">
        <v>1</v>
      </c>
      <c r="BE11" s="535">
        <v>2027</v>
      </c>
      <c r="BF11" s="536">
        <v>1</v>
      </c>
      <c r="BG11" s="537">
        <v>2027</v>
      </c>
    </row>
    <row r="12" spans="1:59" ht="15" customHeight="1">
      <c r="A12" s="125">
        <v>1011</v>
      </c>
      <c r="B12" s="125">
        <v>1011</v>
      </c>
      <c r="C12" s="538" t="s">
        <v>2199</v>
      </c>
      <c r="D12" s="538" t="s">
        <v>2199</v>
      </c>
      <c r="E12" s="526">
        <v>42</v>
      </c>
      <c r="F12" s="3" t="s">
        <v>2095</v>
      </c>
      <c r="G12" s="3" t="s">
        <v>2200</v>
      </c>
      <c r="H12" s="527">
        <v>-52.969864000000001</v>
      </c>
      <c r="I12" s="527">
        <v>-27.062424</v>
      </c>
      <c r="J12" s="539" t="s">
        <v>1989</v>
      </c>
      <c r="K12" s="539" t="s">
        <v>1989</v>
      </c>
      <c r="L12" s="554">
        <v>2</v>
      </c>
      <c r="M12" s="107"/>
      <c r="N12" s="529">
        <v>2.068E-2</v>
      </c>
      <c r="O12" s="529">
        <v>4.6600000000000003E-2</v>
      </c>
      <c r="P12" s="288">
        <f t="shared" si="0"/>
        <v>0.49730513038548757</v>
      </c>
      <c r="Q12" s="30">
        <f t="shared" si="1"/>
        <v>20.886815476190478</v>
      </c>
      <c r="R12" s="30">
        <f t="shared" si="2"/>
        <v>21.113184523809522</v>
      </c>
      <c r="S12" s="107">
        <v>14.337142857142858</v>
      </c>
      <c r="T12" s="107">
        <v>21.904583333333335</v>
      </c>
      <c r="U12" s="107">
        <v>24.02</v>
      </c>
      <c r="V12" s="107">
        <v>23.285535714285714</v>
      </c>
      <c r="W12" s="288">
        <f t="shared" si="3"/>
        <v>0.56798599439775921</v>
      </c>
      <c r="X12" s="289">
        <f t="shared" si="4"/>
        <v>23.855411764705885</v>
      </c>
      <c r="Y12" s="289">
        <f t="shared" si="5"/>
        <v>2.9685962885154069</v>
      </c>
      <c r="Z12" s="107">
        <v>18.553647058823522</v>
      </c>
      <c r="AA12" s="107">
        <v>23.273568627450985</v>
      </c>
      <c r="AB12" s="107">
        <v>27.772666666666669</v>
      </c>
      <c r="AC12" s="107">
        <v>25.821764705882355</v>
      </c>
      <c r="AD12" s="106">
        <v>1</v>
      </c>
      <c r="AE12" s="32" t="str">
        <f>IF(AD12=0,"",VLOOKUP(AD12,tab_tipo_expansao!$A$2:$B$4,2,0))</f>
        <v>opcional</v>
      </c>
      <c r="AF12" s="125">
        <v>2028</v>
      </c>
      <c r="AG12" s="125">
        <v>2100</v>
      </c>
      <c r="AH12" s="125">
        <v>30</v>
      </c>
      <c r="AI12" s="530">
        <v>673.68708017606536</v>
      </c>
      <c r="AJ12" s="24">
        <f>AK12/constantes!$B$4</f>
        <v>4112.8637373386164</v>
      </c>
      <c r="AK12" s="33">
        <f t="shared" si="6"/>
        <v>16040.168575620604</v>
      </c>
      <c r="AL12" s="87">
        <v>2</v>
      </c>
      <c r="AM12" s="531">
        <v>0</v>
      </c>
      <c r="AN12" s="23"/>
      <c r="AO12" s="532">
        <f t="shared" si="7"/>
        <v>673.68708017606536</v>
      </c>
      <c r="AQ12" s="35">
        <f t="shared" si="8"/>
        <v>16040.168575620602</v>
      </c>
      <c r="AR12" s="36">
        <f ca="1">OFFSET(cod_desembolso!$A$1,AL12,23)</f>
        <v>1.1245293369208682</v>
      </c>
      <c r="AS12" s="37">
        <f ca="1">IF(AO12=0,0,AO12*(OFFSET(cod_desembolso!$A$1,AL12,23)))</f>
        <v>757.58088556254654</v>
      </c>
      <c r="AT12" s="38">
        <f>(constantes!$B$3*(1+constantes!$B$3)^(AH12))/((1+constantes!$B$3)^(AH12)-1)</f>
        <v>8.8827433387272267E-2</v>
      </c>
      <c r="AU12" s="37">
        <f t="shared" ca="1" si="9"/>
        <v>69.393965647777833</v>
      </c>
      <c r="AV12" s="37">
        <f ca="1">IF(AO12=0,AX12/constantes!$B$3,AU12/constantes!$B$3)</f>
        <v>867.4245705972229</v>
      </c>
      <c r="AW12" s="39">
        <f ca="1">IF(AO12=0,0,PV(constantes!$B$3,AH12,-AU12)*constantes!$B$3)</f>
        <v>62.497778446649136</v>
      </c>
      <c r="AX12" s="40">
        <f>constantes!$B$10*E12/1000</f>
        <v>2.1</v>
      </c>
      <c r="AY12" s="533">
        <f>constantes!$B$12</f>
        <v>0</v>
      </c>
      <c r="AZ12" s="20">
        <v>318</v>
      </c>
      <c r="BA12" s="43"/>
      <c r="BB12" s="3" t="s">
        <v>2195</v>
      </c>
      <c r="BD12" s="534">
        <v>1</v>
      </c>
      <c r="BE12" s="535">
        <v>2027</v>
      </c>
      <c r="BF12" s="536">
        <v>1</v>
      </c>
      <c r="BG12" s="537">
        <v>2027</v>
      </c>
    </row>
    <row r="13" spans="1:59" ht="15" customHeight="1">
      <c r="A13" s="125">
        <v>1012</v>
      </c>
      <c r="B13" s="125">
        <v>1012</v>
      </c>
      <c r="C13" s="538" t="s">
        <v>2201</v>
      </c>
      <c r="D13" s="538" t="s">
        <v>2201</v>
      </c>
      <c r="E13" s="526">
        <v>40</v>
      </c>
      <c r="F13" s="3" t="s">
        <v>2179</v>
      </c>
      <c r="G13" s="3" t="s">
        <v>2202</v>
      </c>
      <c r="H13" s="527">
        <v>-55.419454999999999</v>
      </c>
      <c r="I13" s="527">
        <v>-4.1925840000000001</v>
      </c>
      <c r="J13" s="539" t="s">
        <v>153</v>
      </c>
      <c r="K13" s="539" t="s">
        <v>153</v>
      </c>
      <c r="L13" s="554">
        <v>9</v>
      </c>
      <c r="M13" s="107"/>
      <c r="N13" s="529">
        <v>2.068E-2</v>
      </c>
      <c r="O13" s="529">
        <v>4.6600000000000003E-2</v>
      </c>
      <c r="P13" s="288">
        <f t="shared" si="0"/>
        <v>0.47693555361105222</v>
      </c>
      <c r="Q13" s="30">
        <f t="shared" si="1"/>
        <v>19.077422144442089</v>
      </c>
      <c r="R13" s="30">
        <f t="shared" si="2"/>
        <v>20.922577855557911</v>
      </c>
      <c r="S13" s="107">
        <v>25.99086404343198</v>
      </c>
      <c r="T13" s="107">
        <v>29.515468150841865</v>
      </c>
      <c r="U13" s="107">
        <v>11.286711327712766</v>
      </c>
      <c r="V13" s="107">
        <v>9.5166450557817388</v>
      </c>
      <c r="W13" s="288">
        <f t="shared" si="3"/>
        <v>0.49042921298242009</v>
      </c>
      <c r="X13" s="289">
        <f t="shared" si="4"/>
        <v>19.617168519296804</v>
      </c>
      <c r="Y13" s="289">
        <f t="shared" si="5"/>
        <v>0.53974637485471533</v>
      </c>
      <c r="Z13" s="107">
        <v>28.857098234427287</v>
      </c>
      <c r="AA13" s="107">
        <v>29.003836680232496</v>
      </c>
      <c r="AB13" s="107">
        <v>10.650655735226783</v>
      </c>
      <c r="AC13" s="107">
        <v>9.9570834273006525</v>
      </c>
      <c r="AD13" s="106">
        <v>1</v>
      </c>
      <c r="AE13" s="32" t="str">
        <f>IF(AD13=0,"",VLOOKUP(AD13,tab_tipo_expansao!$A$2:$B$4,2,0))</f>
        <v>opcional</v>
      </c>
      <c r="AF13" s="125">
        <v>2028</v>
      </c>
      <c r="AG13" s="125">
        <v>2100</v>
      </c>
      <c r="AH13" s="125">
        <v>30</v>
      </c>
      <c r="AI13" s="530">
        <v>358.69976385605344</v>
      </c>
      <c r="AJ13" s="24">
        <f>AK13/constantes!$B$4</f>
        <v>2299.3574606157272</v>
      </c>
      <c r="AK13" s="33">
        <f t="shared" si="6"/>
        <v>8967.4940964013349</v>
      </c>
      <c r="AL13" s="87">
        <v>2</v>
      </c>
      <c r="AM13" s="531">
        <v>0</v>
      </c>
      <c r="AN13" s="23"/>
      <c r="AO13" s="532">
        <f t="shared" si="7"/>
        <v>358.69976385605344</v>
      </c>
      <c r="AQ13" s="35">
        <f t="shared" si="8"/>
        <v>8967.4940964013349</v>
      </c>
      <c r="AR13" s="36">
        <f ca="1">OFFSET(cod_desembolso!$A$1,AL13,23)</f>
        <v>1.1245293369208682</v>
      </c>
      <c r="AS13" s="37">
        <f ca="1">IF(AO13=0,0,AO13*(OFFSET(cod_desembolso!$A$1,AL13,23)))</f>
        <v>403.3684076027198</v>
      </c>
      <c r="AT13" s="38">
        <f>(constantes!$B$3*(1+constantes!$B$3)^(AH13))/((1+constantes!$B$3)^(AH13)-1)</f>
        <v>8.8827433387272267E-2</v>
      </c>
      <c r="AU13" s="37">
        <f t="shared" ca="1" si="9"/>
        <v>37.83018035686068</v>
      </c>
      <c r="AV13" s="37">
        <f ca="1">IF(AO13=0,AX13/constantes!$B$3,AU13/constantes!$B$3)</f>
        <v>472.87725446075848</v>
      </c>
      <c r="AW13" s="39">
        <f ca="1">IF(AO13=0,0,PV(constantes!$B$3,AH13,-AU13)*constantes!$B$3)</f>
        <v>34.070717943117977</v>
      </c>
      <c r="AX13" s="40">
        <f>constantes!$B$10*E13/1000</f>
        <v>2</v>
      </c>
      <c r="AY13" s="533">
        <f>constantes!$B$12</f>
        <v>0</v>
      </c>
      <c r="AZ13" s="20">
        <v>318</v>
      </c>
      <c r="BA13" s="43"/>
      <c r="BB13" s="3" t="s">
        <v>2195</v>
      </c>
      <c r="BD13" s="534">
        <v>1</v>
      </c>
      <c r="BE13" s="535">
        <v>2027</v>
      </c>
      <c r="BF13" s="536">
        <v>1</v>
      </c>
      <c r="BG13" s="537">
        <v>2027</v>
      </c>
    </row>
    <row r="14" spans="1:59" ht="15" customHeight="1">
      <c r="A14" s="125">
        <v>1013</v>
      </c>
      <c r="B14" s="125">
        <v>1013</v>
      </c>
      <c r="C14" s="538" t="s">
        <v>2203</v>
      </c>
      <c r="D14" s="538" t="s">
        <v>2203</v>
      </c>
      <c r="E14" s="526">
        <v>116.79</v>
      </c>
      <c r="F14" s="3" t="s">
        <v>2204</v>
      </c>
      <c r="G14" s="3" t="s">
        <v>2205</v>
      </c>
      <c r="H14" s="527">
        <v>-40.715055999999997</v>
      </c>
      <c r="I14" s="527">
        <v>-16.186295999999999</v>
      </c>
      <c r="J14" s="539" t="s">
        <v>150</v>
      </c>
      <c r="K14" s="539" t="s">
        <v>150</v>
      </c>
      <c r="L14" s="554">
        <v>1</v>
      </c>
      <c r="M14" s="107"/>
      <c r="N14" s="529">
        <v>1.9820000000000001E-2</v>
      </c>
      <c r="O14" s="529">
        <v>5.2919999999999995E-2</v>
      </c>
      <c r="P14" s="288">
        <f t="shared" si="0"/>
        <v>0.48892752151806862</v>
      </c>
      <c r="Q14" s="30">
        <f t="shared" si="1"/>
        <v>57.101845238095237</v>
      </c>
      <c r="R14" s="30">
        <f t="shared" si="2"/>
        <v>59.688154761904769</v>
      </c>
      <c r="S14" s="107">
        <v>36.002857142857145</v>
      </c>
      <c r="T14" s="107">
        <v>33.331369047619042</v>
      </c>
      <c r="U14" s="107">
        <v>78.638333333333335</v>
      </c>
      <c r="V14" s="107">
        <v>80.434821428571425</v>
      </c>
      <c r="W14" s="288">
        <f t="shared" si="3"/>
        <v>0.50182504545614803</v>
      </c>
      <c r="X14" s="289">
        <f t="shared" si="4"/>
        <v>58.608147058823533</v>
      </c>
      <c r="Y14" s="289">
        <f t="shared" si="5"/>
        <v>1.5063018207282965</v>
      </c>
      <c r="Z14" s="107">
        <v>66.052980392156869</v>
      </c>
      <c r="AA14" s="107">
        <v>38.804039215686267</v>
      </c>
      <c r="AB14" s="107">
        <v>61.332823529411776</v>
      </c>
      <c r="AC14" s="107">
        <v>68.242745098039208</v>
      </c>
      <c r="AD14" s="106">
        <v>3</v>
      </c>
      <c r="AE14" s="32" t="str">
        <f>IF(AD14=0,"",VLOOKUP(AD14,tab_tipo_expansao!$A$2:$B$4,2,0))</f>
        <v>não_considerar</v>
      </c>
      <c r="AF14" s="125">
        <v>2030</v>
      </c>
      <c r="AG14" s="125">
        <v>2100</v>
      </c>
      <c r="AH14" s="125">
        <v>30</v>
      </c>
      <c r="AI14" s="530">
        <v>1771.6635580086472</v>
      </c>
      <c r="AJ14" s="24">
        <f>AK14/constantes!$B$4</f>
        <v>3889.6541414650605</v>
      </c>
      <c r="AK14" s="33">
        <f t="shared" si="6"/>
        <v>15169.651151713735</v>
      </c>
      <c r="AL14" s="87">
        <v>2</v>
      </c>
      <c r="AM14" s="531">
        <v>0</v>
      </c>
      <c r="AN14" s="23"/>
      <c r="AO14" s="532">
        <f t="shared" si="7"/>
        <v>1771.6635580086472</v>
      </c>
      <c r="AQ14" s="35">
        <f t="shared" si="8"/>
        <v>15169.651151713735</v>
      </c>
      <c r="AR14" s="36">
        <f ca="1">OFFSET(cod_desembolso!$A$1,AL14,23)</f>
        <v>1.1245293369208682</v>
      </c>
      <c r="AS14" s="37">
        <f ca="1">IF(AO14=0,0,AO14*(OFFSET(cod_desembolso!$A$1,AL14,23)))</f>
        <v>1992.2876461343301</v>
      </c>
      <c r="AT14" s="38">
        <f>(constantes!$B$3*(1+constantes!$B$3)^(AH14))/((1+constantes!$B$3)^(AH14)-1)</f>
        <v>8.8827433387272267E-2</v>
      </c>
      <c r="AU14" s="37">
        <f t="shared" ca="1" si="9"/>
        <v>182.80929817528266</v>
      </c>
      <c r="AV14" s="37">
        <f ca="1">IF(AO14=0,AX14/constantes!$B$3,AU14/constantes!$B$3)</f>
        <v>2285.1162271910334</v>
      </c>
      <c r="AW14" s="39">
        <f ca="1">IF(AO14=0,0,PV(constantes!$B$3,AH14,-AU14)*constantes!$B$3)</f>
        <v>164.64219775732184</v>
      </c>
      <c r="AX14" s="40">
        <f>constantes!$B$10*E14/1000</f>
        <v>5.8395000000000001</v>
      </c>
      <c r="AY14" s="533">
        <f>constantes!$B$12</f>
        <v>0</v>
      </c>
      <c r="AZ14" s="20">
        <v>318</v>
      </c>
      <c r="BA14" s="43"/>
      <c r="BB14" s="3" t="s">
        <v>2183</v>
      </c>
      <c r="BD14" s="534">
        <v>1</v>
      </c>
      <c r="BE14" s="535">
        <v>2030</v>
      </c>
      <c r="BF14" s="536">
        <v>1</v>
      </c>
      <c r="BG14" s="537">
        <v>2030</v>
      </c>
    </row>
    <row r="15" spans="1:59" ht="15" customHeight="1">
      <c r="A15" s="125">
        <v>1014</v>
      </c>
      <c r="B15" s="125">
        <v>1014</v>
      </c>
      <c r="C15" s="538" t="s">
        <v>2206</v>
      </c>
      <c r="D15" s="538" t="s">
        <v>2206</v>
      </c>
      <c r="E15" s="526">
        <v>127.8</v>
      </c>
      <c r="F15" s="3" t="s">
        <v>2179</v>
      </c>
      <c r="G15" s="3" t="s">
        <v>2152</v>
      </c>
      <c r="H15" s="527">
        <v>-55.56279</v>
      </c>
      <c r="I15" s="527">
        <v>-10.087645999999999</v>
      </c>
      <c r="J15" s="539" t="s">
        <v>158</v>
      </c>
      <c r="K15" s="539" t="s">
        <v>158</v>
      </c>
      <c r="L15" s="554">
        <v>10</v>
      </c>
      <c r="M15" s="107"/>
      <c r="N15" s="529">
        <v>1.6379999999999999E-2</v>
      </c>
      <c r="O15" s="529">
        <v>6.1409999999999999E-2</v>
      </c>
      <c r="P15" s="288">
        <f t="shared" si="0"/>
        <v>0.532119300920186</v>
      </c>
      <c r="Q15" s="30">
        <f t="shared" si="1"/>
        <v>68.004846657599771</v>
      </c>
      <c r="R15" s="30">
        <f t="shared" si="2"/>
        <v>59.795153342400226</v>
      </c>
      <c r="S15" s="107">
        <v>85.221560790290127</v>
      </c>
      <c r="T15" s="107">
        <v>74.811580328482037</v>
      </c>
      <c r="U15" s="107">
        <v>53.067717449909502</v>
      </c>
      <c r="V15" s="107">
        <v>58.91852806171741</v>
      </c>
      <c r="W15" s="288">
        <f t="shared" si="3"/>
        <v>0.56765074645560576</v>
      </c>
      <c r="X15" s="289">
        <f t="shared" si="4"/>
        <v>72.545765397026415</v>
      </c>
      <c r="Y15" s="289">
        <f t="shared" si="5"/>
        <v>4.5409187394266439</v>
      </c>
      <c r="Z15" s="107">
        <v>94.821307602204726</v>
      </c>
      <c r="AA15" s="107">
        <v>78.88481769122734</v>
      </c>
      <c r="AB15" s="107">
        <v>54.310893684524906</v>
      </c>
      <c r="AC15" s="107">
        <v>62.1660426101487</v>
      </c>
      <c r="AD15" s="106">
        <v>1</v>
      </c>
      <c r="AE15" s="32" t="str">
        <f>IF(AD15=0,"",VLOOKUP(AD15,tab_tipo_expansao!$A$2:$B$4,2,0))</f>
        <v>opcional</v>
      </c>
      <c r="AF15" s="125">
        <v>2028</v>
      </c>
      <c r="AG15" s="125">
        <v>2100</v>
      </c>
      <c r="AH15" s="125">
        <v>30</v>
      </c>
      <c r="AI15" s="530">
        <v>1946.5889369611953</v>
      </c>
      <c r="AJ15" s="24">
        <f>AK15/constantes!$B$4</f>
        <v>3905.5193149576567</v>
      </c>
      <c r="AK15" s="33">
        <f t="shared" si="6"/>
        <v>15231.525328334861</v>
      </c>
      <c r="AL15" s="87">
        <v>2</v>
      </c>
      <c r="AM15" s="531">
        <v>0</v>
      </c>
      <c r="AN15" s="23"/>
      <c r="AO15" s="532">
        <f t="shared" si="7"/>
        <v>1946.5889369611953</v>
      </c>
      <c r="AQ15" s="35">
        <f t="shared" si="8"/>
        <v>15231.525328334861</v>
      </c>
      <c r="AR15" s="36">
        <f ca="1">OFFSET(cod_desembolso!$A$1,AL15,23)</f>
        <v>1.1245293369208682</v>
      </c>
      <c r="AS15" s="37">
        <f ca="1">IF(AO15=0,0,AO15*(OFFSET(cod_desembolso!$A$1,AL15,23)))</f>
        <v>2188.9963665384707</v>
      </c>
      <c r="AT15" s="38">
        <f>(constantes!$B$3*(1+constantes!$B$3)^(AH15))/((1+constantes!$B$3)^(AH15)-1)</f>
        <v>8.8827433387272267E-2</v>
      </c>
      <c r="AU15" s="37">
        <f t="shared" ca="1" si="9"/>
        <v>200.83292893367701</v>
      </c>
      <c r="AV15" s="37">
        <f ca="1">IF(AO15=0,AX15/constantes!$B$3,AU15/constantes!$B$3)</f>
        <v>2510.4116116709624</v>
      </c>
      <c r="AW15" s="39">
        <f ca="1">IF(AO15=0,0,PV(constantes!$B$3,AH15,-AU15)*constantes!$B$3)</f>
        <v>180.87468816808439</v>
      </c>
      <c r="AX15" s="40">
        <f>constantes!$B$10*E15/1000</f>
        <v>6.39</v>
      </c>
      <c r="AY15" s="533">
        <f>constantes!$B$12</f>
        <v>0</v>
      </c>
      <c r="AZ15" s="20">
        <v>318</v>
      </c>
      <c r="BA15" s="43"/>
      <c r="BB15" s="3" t="s">
        <v>2207</v>
      </c>
      <c r="BD15" s="534">
        <v>1</v>
      </c>
      <c r="BE15" s="535">
        <v>2026</v>
      </c>
      <c r="BF15" s="536">
        <v>1</v>
      </c>
      <c r="BG15" s="537">
        <v>2026</v>
      </c>
    </row>
    <row r="16" spans="1:59" ht="15" customHeight="1">
      <c r="A16" s="125">
        <v>1015</v>
      </c>
      <c r="B16" s="125">
        <v>1015</v>
      </c>
      <c r="C16" s="538" t="s">
        <v>2208</v>
      </c>
      <c r="D16" s="538" t="s">
        <v>2208</v>
      </c>
      <c r="E16" s="526">
        <v>53.9</v>
      </c>
      <c r="F16" s="3" t="s">
        <v>2209</v>
      </c>
      <c r="G16" s="3" t="s">
        <v>2210</v>
      </c>
      <c r="H16" s="527">
        <v>-44.677104</v>
      </c>
      <c r="I16" s="527">
        <v>-19.163523000000001</v>
      </c>
      <c r="J16" s="539" t="s">
        <v>150</v>
      </c>
      <c r="K16" s="539" t="s">
        <v>150</v>
      </c>
      <c r="L16" s="554">
        <v>1</v>
      </c>
      <c r="M16" s="107"/>
      <c r="N16" s="529">
        <v>2.068E-2</v>
      </c>
      <c r="O16" s="529">
        <v>4.6600000000000003E-2</v>
      </c>
      <c r="P16" s="288">
        <f t="shared" si="0"/>
        <v>0.43291285670112201</v>
      </c>
      <c r="Q16" s="30">
        <f t="shared" si="1"/>
        <v>23.334002976190476</v>
      </c>
      <c r="R16" s="30">
        <f t="shared" si="2"/>
        <v>30.565997023809523</v>
      </c>
      <c r="S16" s="107">
        <v>33.341428571428573</v>
      </c>
      <c r="T16" s="107">
        <v>21.045178571428568</v>
      </c>
      <c r="U16" s="107">
        <v>16.130416666666665</v>
      </c>
      <c r="V16" s="107">
        <v>22.818988095238097</v>
      </c>
      <c r="W16" s="288">
        <f t="shared" si="3"/>
        <v>0.49237531376186833</v>
      </c>
      <c r="X16" s="289">
        <f t="shared" si="4"/>
        <v>26.539029411764702</v>
      </c>
      <c r="Y16" s="289">
        <f t="shared" si="5"/>
        <v>3.2050264355742257</v>
      </c>
      <c r="Z16" s="107">
        <v>40.511098039215675</v>
      </c>
      <c r="AA16" s="107">
        <v>22.019686274509798</v>
      </c>
      <c r="AB16" s="107">
        <v>16.782901960784312</v>
      </c>
      <c r="AC16" s="107">
        <v>26.842431372549015</v>
      </c>
      <c r="AD16" s="106">
        <v>1</v>
      </c>
      <c r="AE16" s="32" t="str">
        <f>IF(AD16=0,"",VLOOKUP(AD16,tab_tipo_expansao!$A$2:$B$4,2,0))</f>
        <v>opcional</v>
      </c>
      <c r="AF16" s="125">
        <v>2028</v>
      </c>
      <c r="AG16" s="125">
        <v>2100</v>
      </c>
      <c r="AH16" s="125">
        <v>30</v>
      </c>
      <c r="AI16" s="530">
        <v>751.06484489152785</v>
      </c>
      <c r="AJ16" s="24">
        <f>AK16/constantes!$B$4</f>
        <v>3572.9263350531751</v>
      </c>
      <c r="AK16" s="33">
        <f t="shared" si="6"/>
        <v>13934.412706707382</v>
      </c>
      <c r="AL16" s="87">
        <v>2</v>
      </c>
      <c r="AM16" s="531">
        <v>0</v>
      </c>
      <c r="AN16" s="23"/>
      <c r="AO16" s="532">
        <f t="shared" si="7"/>
        <v>751.06484489152785</v>
      </c>
      <c r="AQ16" s="35">
        <f t="shared" si="8"/>
        <v>13934.412706707382</v>
      </c>
      <c r="AR16" s="36">
        <f ca="1">OFFSET(cod_desembolso!$A$1,AL16,23)</f>
        <v>1.1245293369208682</v>
      </c>
      <c r="AS16" s="37">
        <f ca="1">IF(AO16=0,0,AO16*(OFFSET(cod_desembolso!$A$1,AL16,23)))</f>
        <v>844.59445201044457</v>
      </c>
      <c r="AT16" s="38">
        <f>(constantes!$B$3*(1+constantes!$B$3)^(AH16))/((1+constantes!$B$3)^(AH16)-1)</f>
        <v>8.8827433387272267E-2</v>
      </c>
      <c r="AU16" s="37">
        <f t="shared" ca="1" si="9"/>
        <v>77.718157425217484</v>
      </c>
      <c r="AV16" s="37">
        <f ca="1">IF(AO16=0,AX16/constantes!$B$3,AU16/constantes!$B$3)</f>
        <v>971.47696781521859</v>
      </c>
      <c r="AW16" s="39">
        <f ca="1">IF(AO16=0,0,PV(constantes!$B$3,AH16,-AU16)*constantes!$B$3)</f>
        <v>69.994734249613842</v>
      </c>
      <c r="AX16" s="40">
        <f>constantes!$B$10*E16/1000</f>
        <v>2.6949999999999998</v>
      </c>
      <c r="AY16" s="533">
        <f>constantes!$B$12</f>
        <v>0</v>
      </c>
      <c r="AZ16" s="20">
        <v>318</v>
      </c>
      <c r="BA16" s="43"/>
      <c r="BB16" s="3" t="s">
        <v>2195</v>
      </c>
      <c r="BD16" s="534">
        <v>1</v>
      </c>
      <c r="BE16" s="535">
        <v>2027</v>
      </c>
      <c r="BF16" s="536">
        <v>1</v>
      </c>
      <c r="BG16" s="537">
        <v>2027</v>
      </c>
    </row>
    <row r="17" spans="1:59" ht="14.45" customHeight="1">
      <c r="A17" s="125">
        <v>1016</v>
      </c>
      <c r="B17" s="125">
        <v>1016</v>
      </c>
      <c r="C17" s="626" t="s">
        <v>2211</v>
      </c>
      <c r="D17" s="538" t="s">
        <v>2211</v>
      </c>
      <c r="E17" s="526">
        <v>139</v>
      </c>
      <c r="F17" s="3" t="s">
        <v>2194</v>
      </c>
      <c r="G17" s="3" t="s">
        <v>2212</v>
      </c>
      <c r="H17" s="527">
        <v>-53.335569</v>
      </c>
      <c r="I17" s="527">
        <v>-24.214742000000001</v>
      </c>
      <c r="J17" s="539" t="s">
        <v>151</v>
      </c>
      <c r="K17" s="539" t="s">
        <v>151</v>
      </c>
      <c r="L17" s="554">
        <v>2</v>
      </c>
      <c r="M17" s="107"/>
      <c r="N17" s="529">
        <v>1.9820000000000001E-2</v>
      </c>
      <c r="O17" s="529">
        <v>5.2919999999999995E-2</v>
      </c>
      <c r="P17" s="288">
        <f t="shared" si="0"/>
        <v>0.5565509378211716</v>
      </c>
      <c r="Q17" s="30">
        <f t="shared" si="1"/>
        <v>77.360580357142851</v>
      </c>
      <c r="R17" s="30">
        <f t="shared" si="2"/>
        <v>61.639419642857149</v>
      </c>
      <c r="S17" s="107">
        <v>73.569047619047623</v>
      </c>
      <c r="T17" s="107">
        <v>79.94440476190475</v>
      </c>
      <c r="U17" s="107">
        <v>71.517916666666679</v>
      </c>
      <c r="V17" s="107">
        <v>84.410952380952381</v>
      </c>
      <c r="W17" s="288">
        <f t="shared" si="3"/>
        <v>0.57013020172097606</v>
      </c>
      <c r="X17" s="289">
        <f t="shared" si="4"/>
        <v>79.248098039215677</v>
      </c>
      <c r="Y17" s="289">
        <f t="shared" si="5"/>
        <v>1.8875176820728257</v>
      </c>
      <c r="Z17" s="107">
        <v>77.447999999999979</v>
      </c>
      <c r="AA17" s="107">
        <v>76.335803921568626</v>
      </c>
      <c r="AB17" s="107">
        <v>76.115137254901953</v>
      </c>
      <c r="AC17" s="107">
        <v>87.093450980392163</v>
      </c>
      <c r="AD17" s="106">
        <v>1</v>
      </c>
      <c r="AE17" s="32" t="str">
        <f>IF(AD17=0,"",VLOOKUP(AD17,tab_tipo_expansao!$A$2:$B$4,2,0))</f>
        <v>opcional</v>
      </c>
      <c r="AF17" s="125">
        <v>2023</v>
      </c>
      <c r="AG17" s="125">
        <v>2100</v>
      </c>
      <c r="AH17" s="125">
        <v>30</v>
      </c>
      <c r="AI17" s="530">
        <v>1120.5070143309872</v>
      </c>
      <c r="AJ17" s="24">
        <f>AK17/constantes!$B$4</f>
        <v>2066.9747543460385</v>
      </c>
      <c r="AK17" s="33">
        <f t="shared" si="6"/>
        <v>8061.2015419495492</v>
      </c>
      <c r="AL17" s="87">
        <v>2</v>
      </c>
      <c r="AM17" s="531">
        <v>0</v>
      </c>
      <c r="AN17" s="23"/>
      <c r="AO17" s="532">
        <f t="shared" si="7"/>
        <v>1120.5070143309872</v>
      </c>
      <c r="AQ17" s="35">
        <f t="shared" si="8"/>
        <v>8061.2015419495474</v>
      </c>
      <c r="AR17" s="36">
        <f ca="1">OFFSET(cod_desembolso!$A$1,AL17,23)</f>
        <v>1.1245293369208682</v>
      </c>
      <c r="AS17" s="37">
        <f ca="1">IF(AO17=0,0,AO17*(OFFSET(cod_desembolso!$A$1,AL17,23)))</f>
        <v>1260.0430098408069</v>
      </c>
      <c r="AT17" s="38">
        <f>(constantes!$B$3*(1+constantes!$B$3)^(AH17))/((1+constantes!$B$3)^(AH17)-1)</f>
        <v>8.8827433387272267E-2</v>
      </c>
      <c r="AU17" s="37">
        <f t="shared" ca="1" si="9"/>
        <v>118.87638652173233</v>
      </c>
      <c r="AV17" s="37">
        <f ca="1">IF(AO17=0,AX17/constantes!$B$3,AU17/constantes!$B$3)</f>
        <v>1485.9548315216541</v>
      </c>
      <c r="AW17" s="39">
        <f ca="1">IF(AO17=0,0,PV(constantes!$B$3,AH17,-AU17)*constantes!$B$3)</f>
        <v>107.06276832604344</v>
      </c>
      <c r="AX17" s="40">
        <f>constantes!$B$10*E17/1000</f>
        <v>6.95</v>
      </c>
      <c r="AY17" s="533">
        <f>constantes!$B$12</f>
        <v>0</v>
      </c>
      <c r="AZ17" s="20">
        <v>318</v>
      </c>
      <c r="BA17" s="43"/>
      <c r="BB17" s="3" t="s">
        <v>2207</v>
      </c>
      <c r="BD17" s="534">
        <v>1</v>
      </c>
      <c r="BE17" s="535">
        <v>2022</v>
      </c>
      <c r="BF17" s="536">
        <v>1</v>
      </c>
      <c r="BG17" s="537">
        <v>2022</v>
      </c>
    </row>
    <row r="18" spans="1:59" ht="15" customHeight="1">
      <c r="A18" s="125">
        <v>1017</v>
      </c>
      <c r="B18" s="125">
        <v>1017</v>
      </c>
      <c r="C18" s="538" t="s">
        <v>2213</v>
      </c>
      <c r="D18" s="538" t="s">
        <v>2213</v>
      </c>
      <c r="E18" s="526">
        <v>206</v>
      </c>
      <c r="F18" s="3" t="s">
        <v>2179</v>
      </c>
      <c r="G18" s="3" t="s">
        <v>2214</v>
      </c>
      <c r="H18" s="527">
        <v>-57.317599999999999</v>
      </c>
      <c r="I18" s="527">
        <v>-10.940340000000001</v>
      </c>
      <c r="J18" s="539" t="s">
        <v>158</v>
      </c>
      <c r="K18" s="539" t="s">
        <v>158</v>
      </c>
      <c r="L18" s="554">
        <v>10</v>
      </c>
      <c r="M18" s="107"/>
      <c r="N18" s="529">
        <v>1.6379999999999999E-2</v>
      </c>
      <c r="O18" s="529">
        <v>6.1409999999999999E-2</v>
      </c>
      <c r="P18" s="288">
        <f t="shared" si="0"/>
        <v>0.54719060621821547</v>
      </c>
      <c r="Q18" s="30">
        <f t="shared" si="1"/>
        <v>112.72126488095239</v>
      </c>
      <c r="R18" s="30">
        <f t="shared" si="2"/>
        <v>93.27873511904761</v>
      </c>
      <c r="S18" s="107">
        <v>181.12428571428572</v>
      </c>
      <c r="T18" s="107">
        <v>160.93250000000003</v>
      </c>
      <c r="U18" s="107">
        <v>37.609166666666667</v>
      </c>
      <c r="V18" s="107">
        <v>71.219107142857141</v>
      </c>
      <c r="W18" s="288">
        <f t="shared" si="3"/>
        <v>0.52646068913002109</v>
      </c>
      <c r="X18" s="289">
        <f t="shared" si="4"/>
        <v>108.45090196078435</v>
      </c>
      <c r="Y18" s="289">
        <f t="shared" si="5"/>
        <v>-4.27036292016804</v>
      </c>
      <c r="Z18" s="107">
        <v>179.21196078431385</v>
      </c>
      <c r="AA18" s="107">
        <v>147.04239215686277</v>
      </c>
      <c r="AB18" s="107">
        <v>37.09901960784314</v>
      </c>
      <c r="AC18" s="107">
        <v>70.450235294117604</v>
      </c>
      <c r="AD18" s="106">
        <v>3</v>
      </c>
      <c r="AE18" s="32" t="str">
        <f>IF(AD18=0,"",VLOOKUP(AD18,tab_tipo_expansao!$A$2:$B$4,2,0))</f>
        <v>não_considerar</v>
      </c>
      <c r="AF18" s="125">
        <v>2030</v>
      </c>
      <c r="AG18" s="125">
        <v>2100</v>
      </c>
      <c r="AH18" s="125">
        <v>30</v>
      </c>
      <c r="AI18" s="530">
        <v>1558.7032538911642</v>
      </c>
      <c r="AJ18" s="24">
        <f>AK18/constantes!$B$4</f>
        <v>1940.1334999890021</v>
      </c>
      <c r="AK18" s="33">
        <f t="shared" si="6"/>
        <v>7566.5206499571077</v>
      </c>
      <c r="AL18" s="87">
        <v>2</v>
      </c>
      <c r="AM18" s="531">
        <v>0</v>
      </c>
      <c r="AN18" s="23"/>
      <c r="AO18" s="532">
        <f t="shared" si="7"/>
        <v>1558.7032538911642</v>
      </c>
      <c r="AQ18" s="35">
        <f t="shared" si="8"/>
        <v>7566.5206499571077</v>
      </c>
      <c r="AR18" s="36">
        <f ca="1">OFFSET(cod_desembolso!$A$1,AL18,23)</f>
        <v>1.1245293369208682</v>
      </c>
      <c r="AS18" s="37">
        <f ca="1">IF(AO18=0,0,AO18*(OFFSET(cod_desembolso!$A$1,AL18,23)))</f>
        <v>1752.8075365546306</v>
      </c>
      <c r="AT18" s="38">
        <f>(constantes!$B$3*(1+constantes!$B$3)^(AH18))/((1+constantes!$B$3)^(AH18)-1)</f>
        <v>8.8827433387272267E-2</v>
      </c>
      <c r="AU18" s="37">
        <f t="shared" ca="1" si="9"/>
        <v>165.99739469401527</v>
      </c>
      <c r="AV18" s="37">
        <f ca="1">IF(AO18=0,AX18/constantes!$B$3,AU18/constantes!$B$3)</f>
        <v>2074.9674336751909</v>
      </c>
      <c r="AW18" s="39">
        <f ca="1">IF(AO18=0,0,PV(constantes!$B$3,AH18,-AU18)*constantes!$B$3)</f>
        <v>149.5010163991075</v>
      </c>
      <c r="AX18" s="40">
        <f>constantes!$B$10*E18/1000</f>
        <v>10.3</v>
      </c>
      <c r="AY18" s="533">
        <f>constantes!$B$12</f>
        <v>0</v>
      </c>
      <c r="AZ18" s="20">
        <v>318</v>
      </c>
      <c r="BA18" s="43"/>
      <c r="BB18" s="3" t="s">
        <v>2215</v>
      </c>
      <c r="BD18" s="534">
        <v>1</v>
      </c>
      <c r="BE18" s="535">
        <v>2035</v>
      </c>
      <c r="BF18" s="536">
        <v>3</v>
      </c>
      <c r="BG18" s="537">
        <v>2050</v>
      </c>
    </row>
    <row r="19" spans="1:59" ht="14.45" customHeight="1">
      <c r="A19" s="125">
        <v>1018</v>
      </c>
      <c r="B19" s="125">
        <v>1018</v>
      </c>
      <c r="C19" s="538" t="s">
        <v>2216</v>
      </c>
      <c r="D19" s="538" t="s">
        <v>2216</v>
      </c>
      <c r="E19" s="526">
        <v>70</v>
      </c>
      <c r="F19" s="3" t="s">
        <v>2197</v>
      </c>
      <c r="G19" s="3" t="s">
        <v>2217</v>
      </c>
      <c r="H19" s="527">
        <v>-47.451388999999999</v>
      </c>
      <c r="I19" s="527">
        <v>-12.425833000000001</v>
      </c>
      <c r="J19" s="539" t="s">
        <v>1981</v>
      </c>
      <c r="K19" s="539" t="s">
        <v>1981</v>
      </c>
      <c r="L19" s="554">
        <v>1</v>
      </c>
      <c r="M19" s="107"/>
      <c r="N19" s="529">
        <v>1.9820000000000001E-2</v>
      </c>
      <c r="O19" s="529">
        <v>5.2919999999999995E-2</v>
      </c>
      <c r="P19" s="288">
        <f t="shared" si="0"/>
        <v>0.56843409863945571</v>
      </c>
      <c r="Q19" s="30">
        <f t="shared" si="1"/>
        <v>39.790386904761903</v>
      </c>
      <c r="R19" s="30">
        <f t="shared" si="2"/>
        <v>30.209613095238097</v>
      </c>
      <c r="S19" s="107">
        <v>45.309047619047618</v>
      </c>
      <c r="T19" s="107">
        <v>41.534642857142863</v>
      </c>
      <c r="U19" s="107">
        <v>34.323749999999997</v>
      </c>
      <c r="V19" s="107">
        <v>37.994107142857139</v>
      </c>
      <c r="W19" s="288">
        <f t="shared" si="3"/>
        <v>0.64590798319327725</v>
      </c>
      <c r="X19" s="289">
        <f t="shared" si="4"/>
        <v>45.213558823529411</v>
      </c>
      <c r="Y19" s="289">
        <f t="shared" si="5"/>
        <v>5.4231719187675083</v>
      </c>
      <c r="Z19" s="107">
        <v>59.646156862745052</v>
      </c>
      <c r="AA19" s="107">
        <v>45.32494117647061</v>
      </c>
      <c r="AB19" s="107">
        <v>33.974862745098051</v>
      </c>
      <c r="AC19" s="107">
        <v>41.908274509803931</v>
      </c>
      <c r="AD19" s="106">
        <v>3</v>
      </c>
      <c r="AE19" s="32" t="str">
        <f>IF(AD19=0,"",VLOOKUP(AD19,tab_tipo_expansao!$A$2:$B$4,2,0))</f>
        <v>não_considerar</v>
      </c>
      <c r="AF19" s="125">
        <v>2030</v>
      </c>
      <c r="AG19" s="125">
        <v>2100</v>
      </c>
      <c r="AH19" s="125">
        <v>30</v>
      </c>
      <c r="AI19" s="530">
        <v>1010.4394724151807</v>
      </c>
      <c r="AJ19" s="24">
        <f>AK19/constantes!$B$4</f>
        <v>3701.243488700296</v>
      </c>
      <c r="AK19" s="33">
        <f t="shared" si="6"/>
        <v>14434.849605931155</v>
      </c>
      <c r="AL19" s="87">
        <v>2</v>
      </c>
      <c r="AM19" s="531">
        <v>0</v>
      </c>
      <c r="AN19" s="23"/>
      <c r="AO19" s="532">
        <f t="shared" si="7"/>
        <v>1010.4394724151807</v>
      </c>
      <c r="AQ19" s="35">
        <f t="shared" si="8"/>
        <v>14434.849605931153</v>
      </c>
      <c r="AR19" s="36">
        <f ca="1">OFFSET(cod_desembolso!$A$1,AL19,23)</f>
        <v>1.1245293369208682</v>
      </c>
      <c r="AS19" s="37">
        <f ca="1">IF(AO19=0,0,AO19*(OFFSET(cod_desembolso!$A$1,AL19,23)))</f>
        <v>1136.2688299137151</v>
      </c>
      <c r="AT19" s="38">
        <f>(constantes!$B$3*(1+constantes!$B$3)^(AH19))/((1+constantes!$B$3)^(AH19)-1)</f>
        <v>8.8827433387272267E-2</v>
      </c>
      <c r="AU19" s="37">
        <f t="shared" ca="1" si="9"/>
        <v>104.43184379919433</v>
      </c>
      <c r="AV19" s="37">
        <f ca="1">IF(AO19=0,AX19/constantes!$B$3,AU19/constantes!$B$3)</f>
        <v>1305.398047489929</v>
      </c>
      <c r="AW19" s="39">
        <f ca="1">IF(AO19=0,0,PV(constantes!$B$3,AH19,-AU19)*constantes!$B$3)</f>
        <v>94.053685729172898</v>
      </c>
      <c r="AX19" s="40">
        <f>constantes!$B$10*E19/1000</f>
        <v>3.5</v>
      </c>
      <c r="AY19" s="533">
        <f>constantes!$B$12</f>
        <v>0</v>
      </c>
      <c r="AZ19" s="20">
        <v>318</v>
      </c>
      <c r="BA19" s="43"/>
      <c r="BB19" s="3" t="s">
        <v>2215</v>
      </c>
      <c r="BD19" s="534">
        <v>1</v>
      </c>
      <c r="BE19" s="535">
        <v>2035</v>
      </c>
      <c r="BF19" s="536">
        <v>3</v>
      </c>
      <c r="BG19" s="537">
        <v>2050</v>
      </c>
    </row>
    <row r="20" spans="1:59" ht="15">
      <c r="A20" s="125">
        <v>1019</v>
      </c>
      <c r="B20" s="125">
        <v>1019</v>
      </c>
      <c r="C20" s="538" t="s">
        <v>2218</v>
      </c>
      <c r="D20" s="538" t="s">
        <v>2218</v>
      </c>
      <c r="E20" s="526">
        <v>68.599999999999994</v>
      </c>
      <c r="F20" s="3" t="s">
        <v>2219</v>
      </c>
      <c r="G20" s="3" t="s">
        <v>2220</v>
      </c>
      <c r="H20" s="527">
        <v>-51.924261000000001</v>
      </c>
      <c r="I20" s="527">
        <v>-29.437124000000001</v>
      </c>
      <c r="J20" s="539" t="s">
        <v>149</v>
      </c>
      <c r="K20" s="539" t="s">
        <v>149</v>
      </c>
      <c r="L20" s="554">
        <v>2</v>
      </c>
      <c r="M20" s="107"/>
      <c r="N20" s="529">
        <v>1.9820000000000001E-2</v>
      </c>
      <c r="O20" s="529">
        <v>5.2919999999999995E-2</v>
      </c>
      <c r="P20" s="288">
        <f t="shared" si="0"/>
        <v>0.47694797306677772</v>
      </c>
      <c r="Q20" s="30">
        <f t="shared" si="1"/>
        <v>32.718630952380948</v>
      </c>
      <c r="R20" s="30">
        <f t="shared" si="2"/>
        <v>35.881369047619046</v>
      </c>
      <c r="S20" s="107">
        <v>23.613809523809522</v>
      </c>
      <c r="T20" s="107">
        <v>33.234821428571429</v>
      </c>
      <c r="U20" s="107">
        <v>43.563333333333325</v>
      </c>
      <c r="V20" s="107">
        <v>30.462559523809521</v>
      </c>
      <c r="W20" s="288">
        <f t="shared" si="3"/>
        <v>0.55611801863602583</v>
      </c>
      <c r="X20" s="289">
        <f t="shared" si="4"/>
        <v>38.149696078431369</v>
      </c>
      <c r="Y20" s="289">
        <f t="shared" si="5"/>
        <v>5.4310651260504201</v>
      </c>
      <c r="Z20" s="107">
        <v>28.172745098039211</v>
      </c>
      <c r="AA20" s="107">
        <v>37.216156862745081</v>
      </c>
      <c r="AB20" s="107">
        <v>48.626313725490206</v>
      </c>
      <c r="AC20" s="107">
        <v>38.583568627450973</v>
      </c>
      <c r="AD20" s="106">
        <v>1</v>
      </c>
      <c r="AE20" s="32" t="str">
        <f>IF(AD20=0,"",VLOOKUP(AD20,tab_tipo_expansao!$A$2:$B$4,2,0))</f>
        <v>opcional</v>
      </c>
      <c r="AF20" s="125">
        <v>2028</v>
      </c>
      <c r="AG20" s="125">
        <v>2100</v>
      </c>
      <c r="AH20" s="125">
        <v>30</v>
      </c>
      <c r="AI20" s="530">
        <v>954.19151926512541</v>
      </c>
      <c r="AJ20" s="24">
        <f>AK20/constantes!$B$4</f>
        <v>3566.5377859950872</v>
      </c>
      <c r="AK20" s="33">
        <f t="shared" si="6"/>
        <v>13909.497365380839</v>
      </c>
      <c r="AL20" s="87">
        <v>2</v>
      </c>
      <c r="AM20" s="531">
        <v>0</v>
      </c>
      <c r="AN20" s="23"/>
      <c r="AO20" s="532">
        <f t="shared" si="7"/>
        <v>954.19151926512541</v>
      </c>
      <c r="AQ20" s="35">
        <f t="shared" si="8"/>
        <v>13909.497365380837</v>
      </c>
      <c r="AR20" s="36">
        <f ca="1">OFFSET(cod_desembolso!$A$1,AL20,23)</f>
        <v>1.1245293369208682</v>
      </c>
      <c r="AS20" s="37">
        <f ca="1">IF(AO20=0,0,AO20*(OFFSET(cod_desembolso!$A$1,AL20,23)))</f>
        <v>1073.0163564547272</v>
      </c>
      <c r="AT20" s="38">
        <f>(constantes!$B$3*(1+constantes!$B$3)^(AH20))/((1+constantes!$B$3)^(AH20)-1)</f>
        <v>8.8827433387272267E-2</v>
      </c>
      <c r="AU20" s="37">
        <f t="shared" ca="1" si="9"/>
        <v>98.743288926435866</v>
      </c>
      <c r="AV20" s="37">
        <f ca="1">IF(AO20=0,AX20/constantes!$B$3,AU20/constantes!$B$3)</f>
        <v>1234.2911115804484</v>
      </c>
      <c r="AW20" s="39">
        <f ca="1">IF(AO20=0,0,PV(constantes!$B$3,AH20,-AU20)*constantes!$B$3)</f>
        <v>88.930444265732348</v>
      </c>
      <c r="AX20" s="40">
        <f>constantes!$B$10*E20/1000</f>
        <v>3.4299999999999997</v>
      </c>
      <c r="AY20" s="533">
        <f>constantes!$B$12</f>
        <v>0</v>
      </c>
      <c r="AZ20" s="20">
        <v>318</v>
      </c>
      <c r="BA20" s="43"/>
      <c r="BB20" s="3" t="s">
        <v>2195</v>
      </c>
      <c r="BD20" s="534">
        <v>1</v>
      </c>
      <c r="BE20" s="535">
        <v>2027</v>
      </c>
      <c r="BF20" s="536">
        <v>1</v>
      </c>
      <c r="BG20" s="537">
        <v>2027</v>
      </c>
    </row>
    <row r="21" spans="1:59" ht="15">
      <c r="A21" s="125">
        <v>1020</v>
      </c>
      <c r="B21" s="125">
        <v>1020</v>
      </c>
      <c r="C21" s="538" t="s">
        <v>2221</v>
      </c>
      <c r="D21" s="538" t="s">
        <v>2221</v>
      </c>
      <c r="E21" s="526">
        <v>84</v>
      </c>
      <c r="F21" s="3" t="s">
        <v>2179</v>
      </c>
      <c r="G21" s="3" t="s">
        <v>2222</v>
      </c>
      <c r="H21" s="527">
        <v>-51.604526999999997</v>
      </c>
      <c r="I21" s="527">
        <v>0.79082200000000002</v>
      </c>
      <c r="J21" s="539" t="s">
        <v>1999</v>
      </c>
      <c r="K21" s="539" t="s">
        <v>1999</v>
      </c>
      <c r="L21" s="554">
        <v>7</v>
      </c>
      <c r="M21" s="107"/>
      <c r="N21" s="529">
        <v>1.9820000000000001E-2</v>
      </c>
      <c r="O21" s="529">
        <v>5.2919999999999995E-2</v>
      </c>
      <c r="P21" s="288">
        <f t="shared" si="0"/>
        <v>0.47693555361105217</v>
      </c>
      <c r="Q21" s="30">
        <f t="shared" si="1"/>
        <v>40.062586503328383</v>
      </c>
      <c r="R21" s="30">
        <f t="shared" si="2"/>
        <v>43.937413496671617</v>
      </c>
      <c r="S21" s="107">
        <v>54.58081449120715</v>
      </c>
      <c r="T21" s="107">
        <v>61.982483116767916</v>
      </c>
      <c r="U21" s="107">
        <v>23.702093788196805</v>
      </c>
      <c r="V21" s="107">
        <v>19.984954617141653</v>
      </c>
      <c r="W21" s="288">
        <f t="shared" si="3"/>
        <v>0.49042921298242009</v>
      </c>
      <c r="X21" s="289">
        <f t="shared" si="4"/>
        <v>41.196053890523288</v>
      </c>
      <c r="Y21" s="289">
        <f t="shared" si="5"/>
        <v>1.133467387194905</v>
      </c>
      <c r="Z21" s="107">
        <v>60.599906292297305</v>
      </c>
      <c r="AA21" s="107">
        <v>60.908057028488237</v>
      </c>
      <c r="AB21" s="107">
        <v>22.366377043976243</v>
      </c>
      <c r="AC21" s="107">
        <v>20.90987519733137</v>
      </c>
      <c r="AD21" s="106">
        <v>3</v>
      </c>
      <c r="AE21" s="32" t="str">
        <f>IF(AD21=0,"",VLOOKUP(AD21,tab_tipo_expansao!$A$2:$B$4,2,0))</f>
        <v>não_considerar</v>
      </c>
      <c r="AF21" s="125">
        <v>2030</v>
      </c>
      <c r="AG21" s="125">
        <v>2100</v>
      </c>
      <c r="AH21" s="125">
        <v>30</v>
      </c>
      <c r="AI21" s="530">
        <v>935.98323797140904</v>
      </c>
      <c r="AJ21" s="24">
        <f>AK21/constantes!$B$4</f>
        <v>2857.0916909994176</v>
      </c>
      <c r="AK21" s="33">
        <f t="shared" si="6"/>
        <v>11142.657594897728</v>
      </c>
      <c r="AL21" s="87">
        <v>2</v>
      </c>
      <c r="AM21" s="531">
        <v>0</v>
      </c>
      <c r="AN21" s="23"/>
      <c r="AO21" s="532">
        <f t="shared" si="7"/>
        <v>935.98323797140904</v>
      </c>
      <c r="AQ21" s="35">
        <f t="shared" si="8"/>
        <v>11142.657594897726</v>
      </c>
      <c r="AR21" s="36">
        <f ca="1">OFFSET(cod_desembolso!$A$1,AL21,23)</f>
        <v>1.1245293369208682</v>
      </c>
      <c r="AS21" s="37">
        <f ca="1">IF(AO21=0,0,AO21*(OFFSET(cod_desembolso!$A$1,AL21,23)))</f>
        <v>1052.5406099650359</v>
      </c>
      <c r="AT21" s="38">
        <f>(constantes!$B$3*(1+constantes!$B$3)^(AH21))/((1+constantes!$B$3)^(AH21)-1)</f>
        <v>8.8827433387272267E-2</v>
      </c>
      <c r="AU21" s="37">
        <f t="shared" ca="1" si="9"/>
        <v>97.694480919068141</v>
      </c>
      <c r="AV21" s="37">
        <f ca="1">IF(AO21=0,AX21/constantes!$B$3,AU21/constantes!$B$3)</f>
        <v>1221.1810114883517</v>
      </c>
      <c r="AW21" s="39">
        <f ca="1">IF(AO21=0,0,PV(constantes!$B$3,AH21,-AU21)*constantes!$B$3)</f>
        <v>87.985864000493692</v>
      </c>
      <c r="AX21" s="40">
        <f>constantes!$B$10*E21/1000</f>
        <v>4.2</v>
      </c>
      <c r="AY21" s="533">
        <f>constantes!$B$12</f>
        <v>0</v>
      </c>
      <c r="AZ21" s="20">
        <v>318</v>
      </c>
      <c r="BA21" s="43"/>
      <c r="BB21" s="3" t="s">
        <v>2181</v>
      </c>
      <c r="BD21" s="534">
        <v>1</v>
      </c>
      <c r="BE21" s="535">
        <v>2027</v>
      </c>
      <c r="BF21" s="536">
        <v>1</v>
      </c>
      <c r="BG21" s="537">
        <v>2027</v>
      </c>
    </row>
    <row r="22" spans="1:59" ht="14.45" customHeight="1">
      <c r="A22" s="125">
        <v>1021</v>
      </c>
      <c r="B22" s="125">
        <v>1021</v>
      </c>
      <c r="C22" s="538" t="s">
        <v>2223</v>
      </c>
      <c r="D22" s="538" t="s">
        <v>2223</v>
      </c>
      <c r="E22" s="526">
        <v>67</v>
      </c>
      <c r="F22" s="3" t="s">
        <v>2194</v>
      </c>
      <c r="G22" s="3" t="s">
        <v>2224</v>
      </c>
      <c r="H22" s="527">
        <v>-48.333340999999997</v>
      </c>
      <c r="I22" s="527">
        <v>-20.667614</v>
      </c>
      <c r="J22" s="539" t="s">
        <v>146</v>
      </c>
      <c r="K22" s="539" t="s">
        <v>146</v>
      </c>
      <c r="L22" s="554">
        <v>1</v>
      </c>
      <c r="M22" s="107"/>
      <c r="N22" s="529">
        <v>1.9820000000000001E-2</v>
      </c>
      <c r="O22" s="529">
        <v>5.2919999999999995E-2</v>
      </c>
      <c r="P22" s="288">
        <f t="shared" si="0"/>
        <v>0.52843750000000012</v>
      </c>
      <c r="Q22" s="30">
        <f t="shared" si="1"/>
        <v>35.405312500000008</v>
      </c>
      <c r="R22" s="30">
        <f t="shared" si="2"/>
        <v>31.594687499999992</v>
      </c>
      <c r="S22" s="107">
        <v>48.756666666666661</v>
      </c>
      <c r="T22" s="107">
        <v>38.331666666666671</v>
      </c>
      <c r="U22" s="107">
        <v>24.384583333333335</v>
      </c>
      <c r="V22" s="107">
        <v>30.148333333333341</v>
      </c>
      <c r="W22" s="288">
        <f t="shared" si="3"/>
        <v>0.65277729002048601</v>
      </c>
      <c r="X22" s="289">
        <f t="shared" si="4"/>
        <v>43.736078431372562</v>
      </c>
      <c r="Y22" s="289">
        <f t="shared" si="5"/>
        <v>8.3307659313725537</v>
      </c>
      <c r="Z22" s="107">
        <v>58.483490196078456</v>
      </c>
      <c r="AA22" s="107">
        <v>46.004705882352937</v>
      </c>
      <c r="AB22" s="107">
        <v>29.847019607843141</v>
      </c>
      <c r="AC22" s="107">
        <v>40.609098039215681</v>
      </c>
      <c r="AD22" s="106">
        <v>1</v>
      </c>
      <c r="AE22" s="32" t="str">
        <f>IF(AD22=0,"",VLOOKUP(AD22,tab_tipo_expansao!$A$2:$B$4,2,0))</f>
        <v>opcional</v>
      </c>
      <c r="AF22" s="125">
        <v>2028</v>
      </c>
      <c r="AG22" s="125">
        <v>2100</v>
      </c>
      <c r="AH22" s="125">
        <v>30</v>
      </c>
      <c r="AI22" s="530">
        <v>667.77606637226347</v>
      </c>
      <c r="AJ22" s="24">
        <f>AK22/constantes!$B$4</f>
        <v>2555.5915284051416</v>
      </c>
      <c r="AK22" s="33">
        <f t="shared" si="6"/>
        <v>9966.8069607800517</v>
      </c>
      <c r="AL22" s="87">
        <v>2</v>
      </c>
      <c r="AM22" s="531">
        <v>0</v>
      </c>
      <c r="AN22" s="23"/>
      <c r="AO22" s="532">
        <f t="shared" si="7"/>
        <v>667.77606637226347</v>
      </c>
      <c r="AQ22" s="35">
        <f t="shared" si="8"/>
        <v>9966.8069607800517</v>
      </c>
      <c r="AR22" s="36">
        <f ca="1">OFFSET(cod_desembolso!$A$1,AL22,23)</f>
        <v>1.1245293369208682</v>
      </c>
      <c r="AS22" s="37">
        <f ca="1">IF(AO22=0,0,AO22*(OFFSET(cod_desembolso!$A$1,AL22,23)))</f>
        <v>750.93377712922711</v>
      </c>
      <c r="AT22" s="38">
        <f>(constantes!$B$3*(1+constantes!$B$3)^(AH22))/((1+constantes!$B$3)^(AH22)-1)</f>
        <v>8.8827433387272267E-2</v>
      </c>
      <c r="AU22" s="37">
        <f t="shared" ca="1" si="9"/>
        <v>70.053520066199169</v>
      </c>
      <c r="AV22" s="37">
        <f ca="1">IF(AO22=0,AX22/constantes!$B$3,AU22/constantes!$B$3)</f>
        <v>875.66900082748964</v>
      </c>
      <c r="AW22" s="39">
        <f ca="1">IF(AO22=0,0,PV(constantes!$B$3,AH22,-AU22)*constantes!$B$3)</f>
        <v>63.091788106296327</v>
      </c>
      <c r="AX22" s="40">
        <f>constantes!$B$10*E22/1000</f>
        <v>3.35</v>
      </c>
      <c r="AY22" s="533">
        <f>constantes!$B$12</f>
        <v>0</v>
      </c>
      <c r="AZ22" s="20">
        <v>318</v>
      </c>
      <c r="BA22" s="43"/>
      <c r="BB22" s="3" t="s">
        <v>2195</v>
      </c>
      <c r="BD22" s="534">
        <v>1</v>
      </c>
      <c r="BE22" s="535">
        <v>2027</v>
      </c>
      <c r="BF22" s="536">
        <v>1</v>
      </c>
      <c r="BG22" s="537">
        <v>2027</v>
      </c>
    </row>
    <row r="23" spans="1:59" ht="15">
      <c r="A23" s="125">
        <v>1022</v>
      </c>
      <c r="B23" s="125">
        <v>1022</v>
      </c>
      <c r="C23" s="538" t="s">
        <v>2225</v>
      </c>
      <c r="D23" s="538" t="s">
        <v>2225</v>
      </c>
      <c r="E23" s="526">
        <v>61</v>
      </c>
      <c r="F23" s="3" t="s">
        <v>2179</v>
      </c>
      <c r="G23" s="3" t="s">
        <v>2226</v>
      </c>
      <c r="H23" s="527">
        <v>-56.581667000000003</v>
      </c>
      <c r="I23" s="527">
        <v>-13.411944</v>
      </c>
      <c r="J23" s="539" t="s">
        <v>158</v>
      </c>
      <c r="K23" s="539" t="s">
        <v>158</v>
      </c>
      <c r="L23" s="554">
        <v>1</v>
      </c>
      <c r="M23" s="107"/>
      <c r="N23" s="529">
        <v>2.068E-2</v>
      </c>
      <c r="O23" s="529">
        <v>4.6600000000000003E-2</v>
      </c>
      <c r="P23" s="288">
        <f t="shared" si="0"/>
        <v>0.54678766588602656</v>
      </c>
      <c r="Q23" s="30">
        <f t="shared" si="1"/>
        <v>33.35404761904762</v>
      </c>
      <c r="R23" s="30">
        <f t="shared" si="2"/>
        <v>27.64595238095238</v>
      </c>
      <c r="S23" s="107">
        <v>48.90428571428572</v>
      </c>
      <c r="T23" s="107">
        <v>39.11434523809524</v>
      </c>
      <c r="U23" s="107">
        <v>18.324583333333333</v>
      </c>
      <c r="V23" s="107">
        <v>27.072976190476187</v>
      </c>
      <c r="W23" s="288">
        <f t="shared" si="3"/>
        <v>0.54064593378334935</v>
      </c>
      <c r="X23" s="289">
        <f t="shared" si="4"/>
        <v>32.979401960784308</v>
      </c>
      <c r="Y23" s="289">
        <f t="shared" si="5"/>
        <v>-0.37464565826331153</v>
      </c>
      <c r="Z23" s="107">
        <v>48.316470588235291</v>
      </c>
      <c r="AA23" s="107">
        <v>36.560078431372546</v>
      </c>
      <c r="AB23" s="107">
        <v>19.065921568627445</v>
      </c>
      <c r="AC23" s="107">
        <v>27.975137254901963</v>
      </c>
      <c r="AD23" s="106">
        <v>1</v>
      </c>
      <c r="AE23" s="32" t="str">
        <f>IF(AD23=0,"",VLOOKUP(AD23,tab_tipo_expansao!$A$2:$B$4,2,0))</f>
        <v>opcional</v>
      </c>
      <c r="AF23" s="125">
        <v>2028</v>
      </c>
      <c r="AG23" s="125">
        <v>2100</v>
      </c>
      <c r="AH23" s="125">
        <v>30</v>
      </c>
      <c r="AI23" s="530">
        <v>507.88966031173118</v>
      </c>
      <c r="AJ23" s="24">
        <f>AK23/constantes!$B$4</f>
        <v>2134.8871807975252</v>
      </c>
      <c r="AK23" s="33">
        <f t="shared" si="6"/>
        <v>8326.0600051103484</v>
      </c>
      <c r="AL23" s="87">
        <v>2</v>
      </c>
      <c r="AM23" s="531">
        <v>0</v>
      </c>
      <c r="AN23" s="23"/>
      <c r="AO23" s="532">
        <f t="shared" si="7"/>
        <v>507.88966031173118</v>
      </c>
      <c r="AQ23" s="35">
        <f t="shared" si="8"/>
        <v>8326.0600051103465</v>
      </c>
      <c r="AR23" s="36">
        <f ca="1">OFFSET(cod_desembolso!$A$1,AL23,23)</f>
        <v>1.1245293369208682</v>
      </c>
      <c r="AS23" s="37">
        <f ca="1">IF(AO23=0,0,AO23*(OFFSET(cod_desembolso!$A$1,AL23,23)))</f>
        <v>571.13682293931606</v>
      </c>
      <c r="AT23" s="38">
        <f>(constantes!$B$3*(1+constantes!$B$3)^(AH23))/((1+constantes!$B$3)^(AH23)-1)</f>
        <v>8.8827433387272267E-2</v>
      </c>
      <c r="AU23" s="37">
        <f t="shared" ca="1" si="9"/>
        <v>53.782618094660407</v>
      </c>
      <c r="AV23" s="37">
        <f ca="1">IF(AO23=0,AX23/constantes!$B$3,AU23/constantes!$B$3)</f>
        <v>672.28272618325502</v>
      </c>
      <c r="AW23" s="39">
        <f ca="1">IF(AO23=0,0,PV(constantes!$B$3,AH23,-AU23)*constantes!$B$3)</f>
        <v>48.437844970868383</v>
      </c>
      <c r="AX23" s="40">
        <f>constantes!$B$10*E23/1000</f>
        <v>3.05</v>
      </c>
      <c r="AY23" s="533">
        <f>constantes!$B$12</f>
        <v>0</v>
      </c>
      <c r="AZ23" s="20">
        <v>318</v>
      </c>
      <c r="BA23" s="43"/>
      <c r="BB23" s="3" t="s">
        <v>2195</v>
      </c>
      <c r="BD23" s="534">
        <v>1</v>
      </c>
      <c r="BE23" s="535">
        <v>2027</v>
      </c>
      <c r="BF23" s="536">
        <v>1</v>
      </c>
      <c r="BG23" s="537">
        <v>2027</v>
      </c>
    </row>
    <row r="24" spans="1:59" ht="15">
      <c r="A24" s="125">
        <v>1023</v>
      </c>
      <c r="B24" s="125">
        <v>1023</v>
      </c>
      <c r="C24" s="538" t="s">
        <v>2227</v>
      </c>
      <c r="D24" s="538" t="s">
        <v>2227</v>
      </c>
      <c r="E24" s="526">
        <v>85</v>
      </c>
      <c r="F24" s="3" t="s">
        <v>2197</v>
      </c>
      <c r="G24" s="3" t="s">
        <v>2217</v>
      </c>
      <c r="H24" s="527">
        <v>-47.802287</v>
      </c>
      <c r="I24" s="527">
        <v>-12.610586</v>
      </c>
      <c r="J24" s="539" t="s">
        <v>1981</v>
      </c>
      <c r="K24" s="539" t="s">
        <v>1981</v>
      </c>
      <c r="L24" s="554">
        <v>1</v>
      </c>
      <c r="M24" s="107"/>
      <c r="N24" s="529">
        <v>1.9820000000000001E-2</v>
      </c>
      <c r="O24" s="529">
        <v>5.2919999999999995E-2</v>
      </c>
      <c r="P24" s="288">
        <f t="shared" si="0"/>
        <v>0.56254866946778703</v>
      </c>
      <c r="Q24" s="30">
        <f t="shared" si="1"/>
        <v>47.8166369047619</v>
      </c>
      <c r="R24" s="30">
        <f t="shared" si="2"/>
        <v>37.1833630952381</v>
      </c>
      <c r="S24" s="107">
        <v>50.101428571428563</v>
      </c>
      <c r="T24" s="107">
        <v>50.153214285714284</v>
      </c>
      <c r="U24" s="107">
        <v>44.884999999999998</v>
      </c>
      <c r="V24" s="107">
        <v>46.126904761904768</v>
      </c>
      <c r="W24" s="288">
        <f t="shared" si="3"/>
        <v>0.64140553633217978</v>
      </c>
      <c r="X24" s="289">
        <f t="shared" si="4"/>
        <v>54.519470588235279</v>
      </c>
      <c r="Y24" s="289">
        <f t="shared" si="5"/>
        <v>6.7028336834733793</v>
      </c>
      <c r="Z24" s="107">
        <v>71.135764705882309</v>
      </c>
      <c r="AA24" s="107">
        <v>54.722156862745088</v>
      </c>
      <c r="AB24" s="107">
        <v>42.538509803921563</v>
      </c>
      <c r="AC24" s="107">
        <v>49.68145098039215</v>
      </c>
      <c r="AD24" s="106">
        <v>3</v>
      </c>
      <c r="AE24" s="32" t="str">
        <f>IF(AD24=0,"",VLOOKUP(AD24,tab_tipo_expansao!$A$2:$B$4,2,0))</f>
        <v>não_considerar</v>
      </c>
      <c r="AF24" s="125">
        <v>2030</v>
      </c>
      <c r="AG24" s="125">
        <v>2100</v>
      </c>
      <c r="AH24" s="125">
        <v>30</v>
      </c>
      <c r="AI24" s="530">
        <v>1171.3231681199093</v>
      </c>
      <c r="AJ24" s="24">
        <f>AK24/constantes!$B$4</f>
        <v>3533.4032220811741</v>
      </c>
      <c r="AK24" s="33">
        <f t="shared" si="6"/>
        <v>13780.272566116579</v>
      </c>
      <c r="AL24" s="87">
        <v>2</v>
      </c>
      <c r="AM24" s="531">
        <v>0</v>
      </c>
      <c r="AN24" s="23"/>
      <c r="AO24" s="532">
        <f t="shared" si="7"/>
        <v>1171.3231681199093</v>
      </c>
      <c r="AQ24" s="35">
        <f t="shared" si="8"/>
        <v>13780.272566116579</v>
      </c>
      <c r="AR24" s="36">
        <f ca="1">OFFSET(cod_desembolso!$A$1,AL24,23)</f>
        <v>1.1245293369208682</v>
      </c>
      <c r="AS24" s="37">
        <f ca="1">IF(AO24=0,0,AO24*(OFFSET(cod_desembolso!$A$1,AL24,23)))</f>
        <v>1317.1872655659322</v>
      </c>
      <c r="AT24" s="38">
        <f>(constantes!$B$3*(1+constantes!$B$3)^(AH24))/((1+constantes!$B$3)^(AH24)-1)</f>
        <v>8.8827433387272267E-2</v>
      </c>
      <c r="AU24" s="37">
        <f t="shared" ca="1" si="9"/>
        <v>121.25236409062114</v>
      </c>
      <c r="AV24" s="37">
        <f ca="1">IF(AO24=0,AX24/constantes!$B$3,AU24/constantes!$B$3)</f>
        <v>1515.6545511327643</v>
      </c>
      <c r="AW24" s="39">
        <f ca="1">IF(AO24=0,0,PV(constantes!$B$3,AH24,-AU24)*constantes!$B$3)</f>
        <v>109.20262758193792</v>
      </c>
      <c r="AX24" s="40">
        <f>constantes!$B$10*E24/1000</f>
        <v>4.25</v>
      </c>
      <c r="AY24" s="533">
        <f>constantes!$B$12</f>
        <v>0</v>
      </c>
      <c r="AZ24" s="20">
        <v>318</v>
      </c>
      <c r="BA24" s="43"/>
      <c r="BB24" s="3" t="s">
        <v>2215</v>
      </c>
      <c r="BD24" s="534">
        <v>1</v>
      </c>
      <c r="BE24" s="535">
        <v>2035</v>
      </c>
      <c r="BF24" s="536">
        <v>3</v>
      </c>
      <c r="BG24" s="537">
        <v>2050</v>
      </c>
    </row>
    <row r="25" spans="1:59" ht="15">
      <c r="A25" s="125">
        <v>1024</v>
      </c>
      <c r="B25" s="125">
        <v>1024</v>
      </c>
      <c r="C25" s="538" t="s">
        <v>2228</v>
      </c>
      <c r="D25" s="538" t="s">
        <v>2228</v>
      </c>
      <c r="E25" s="526">
        <v>80</v>
      </c>
      <c r="F25" s="3" t="s">
        <v>2229</v>
      </c>
      <c r="G25" s="3" t="s">
        <v>2136</v>
      </c>
      <c r="H25" s="527">
        <v>-42.008727999999998</v>
      </c>
      <c r="I25" s="527">
        <v>-21.639526</v>
      </c>
      <c r="J25" s="539" t="s">
        <v>282</v>
      </c>
      <c r="K25" s="539" t="s">
        <v>282</v>
      </c>
      <c r="L25" s="554">
        <v>1</v>
      </c>
      <c r="M25" s="107"/>
      <c r="N25" s="529">
        <v>1.9820000000000001E-2</v>
      </c>
      <c r="O25" s="529">
        <v>5.2919999999999995E-2</v>
      </c>
      <c r="P25" s="288">
        <f t="shared" si="0"/>
        <v>0.57942150297619055</v>
      </c>
      <c r="Q25" s="30">
        <f t="shared" si="1"/>
        <v>46.353720238095242</v>
      </c>
      <c r="R25" s="30">
        <f t="shared" si="2"/>
        <v>33.646279761904758</v>
      </c>
      <c r="S25" s="107">
        <v>59.52</v>
      </c>
      <c r="T25" s="107">
        <v>48.710416666666667</v>
      </c>
      <c r="U25" s="107">
        <v>28.935416666666669</v>
      </c>
      <c r="V25" s="107">
        <v>48.249047619047623</v>
      </c>
      <c r="W25" s="288">
        <f t="shared" si="3"/>
        <v>0.60012500000000002</v>
      </c>
      <c r="X25" s="289">
        <f t="shared" si="4"/>
        <v>48.01</v>
      </c>
      <c r="Y25" s="289">
        <f t="shared" si="5"/>
        <v>1.6562797619047558</v>
      </c>
      <c r="Z25" s="107">
        <v>63.143098039215687</v>
      </c>
      <c r="AA25" s="107">
        <v>49.197372549019597</v>
      </c>
      <c r="AB25" s="107">
        <v>29.388117647058831</v>
      </c>
      <c r="AC25" s="107">
        <v>50.311411764705873</v>
      </c>
      <c r="AD25" s="106">
        <v>1</v>
      </c>
      <c r="AE25" s="32" t="str">
        <f>IF(AD25=0,"",VLOOKUP(AD25,tab_tipo_expansao!$A$2:$B$4,2,0))</f>
        <v>opcional</v>
      </c>
      <c r="AF25" s="125">
        <v>2028</v>
      </c>
      <c r="AG25" s="125">
        <v>2100</v>
      </c>
      <c r="AH25" s="125">
        <v>30</v>
      </c>
      <c r="AI25" s="530">
        <v>788.72514709160987</v>
      </c>
      <c r="AJ25" s="24">
        <f>AK25/constantes!$B$4</f>
        <v>2527.9652150372112</v>
      </c>
      <c r="AK25" s="33">
        <f t="shared" si="6"/>
        <v>9859.0643386451229</v>
      </c>
      <c r="AL25" s="87">
        <v>2</v>
      </c>
      <c r="AM25" s="531">
        <v>0</v>
      </c>
      <c r="AN25" s="23"/>
      <c r="AO25" s="532">
        <f t="shared" si="7"/>
        <v>788.72514709160987</v>
      </c>
      <c r="AQ25" s="35">
        <f t="shared" si="8"/>
        <v>9859.0643386451229</v>
      </c>
      <c r="AR25" s="36">
        <f ca="1">OFFSET(cod_desembolso!$A$1,AL25,23)</f>
        <v>1.1245293369208682</v>
      </c>
      <c r="AS25" s="37">
        <f ca="1">IF(AO25=0,0,AO25*(OFFSET(cod_desembolso!$A$1,AL25,23)))</f>
        <v>886.94456667174234</v>
      </c>
      <c r="AT25" s="38">
        <f>(constantes!$B$3*(1+constantes!$B$3)^(AH25))/((1+constantes!$B$3)^(AH25)-1)</f>
        <v>8.8827433387272267E-2</v>
      </c>
      <c r="AU25" s="37">
        <f t="shared" ca="1" si="9"/>
        <v>82.785009414237265</v>
      </c>
      <c r="AV25" s="37">
        <f ca="1">IF(AO25=0,AX25/constantes!$B$3,AU25/constantes!$B$3)</f>
        <v>1034.8126176779658</v>
      </c>
      <c r="AW25" s="39">
        <f ca="1">IF(AO25=0,0,PV(constantes!$B$3,AH25,-AU25)*constantes!$B$3)</f>
        <v>74.558056003540173</v>
      </c>
      <c r="AX25" s="40">
        <f>constantes!$B$10*E25/1000</f>
        <v>4</v>
      </c>
      <c r="AY25" s="533">
        <f>constantes!$B$12</f>
        <v>0</v>
      </c>
      <c r="AZ25" s="20">
        <v>318</v>
      </c>
      <c r="BA25" s="43"/>
      <c r="BB25" s="3" t="s">
        <v>2195</v>
      </c>
      <c r="BD25" s="534">
        <v>1</v>
      </c>
      <c r="BE25" s="535">
        <v>2027</v>
      </c>
      <c r="BF25" s="536">
        <v>1</v>
      </c>
      <c r="BG25" s="537">
        <v>2027</v>
      </c>
    </row>
    <row r="26" spans="1:59" ht="15">
      <c r="A26" s="125">
        <v>1025</v>
      </c>
      <c r="B26" s="125">
        <v>1025</v>
      </c>
      <c r="C26" s="538" t="s">
        <v>2230</v>
      </c>
      <c r="D26" s="538" t="s">
        <v>2230</v>
      </c>
      <c r="E26" s="526">
        <v>46.5</v>
      </c>
      <c r="F26" s="3" t="s">
        <v>2194</v>
      </c>
      <c r="G26" s="3" t="s">
        <v>2224</v>
      </c>
      <c r="H26" s="527">
        <v>-48.445278000000002</v>
      </c>
      <c r="I26" s="527">
        <v>-20.460277999999999</v>
      </c>
      <c r="J26" s="539" t="s">
        <v>146</v>
      </c>
      <c r="K26" s="539" t="s">
        <v>146</v>
      </c>
      <c r="L26" s="554">
        <v>1</v>
      </c>
      <c r="M26" s="107"/>
      <c r="N26" s="529">
        <v>2.068E-2</v>
      </c>
      <c r="O26" s="529">
        <v>4.6600000000000003E-2</v>
      </c>
      <c r="P26" s="288">
        <f t="shared" si="0"/>
        <v>0.53898905529953922</v>
      </c>
      <c r="Q26" s="30">
        <f t="shared" si="1"/>
        <v>25.062991071428574</v>
      </c>
      <c r="R26" s="30">
        <f t="shared" si="2"/>
        <v>21.437008928571426</v>
      </c>
      <c r="S26" s="107">
        <v>32.779523809523816</v>
      </c>
      <c r="T26" s="107">
        <v>27.254523809523807</v>
      </c>
      <c r="U26" s="107">
        <v>18.245416666666667</v>
      </c>
      <c r="V26" s="107">
        <v>21.972499999999997</v>
      </c>
      <c r="W26" s="288">
        <f t="shared" si="3"/>
        <v>0.64809972591187015</v>
      </c>
      <c r="X26" s="289">
        <f t="shared" si="4"/>
        <v>30.136637254901959</v>
      </c>
      <c r="Y26" s="289">
        <f t="shared" si="5"/>
        <v>5.0736461834733859</v>
      </c>
      <c r="Z26" s="107">
        <v>38.007372549019614</v>
      </c>
      <c r="AA26" s="107">
        <v>32.007686274509794</v>
      </c>
      <c r="AB26" s="107">
        <v>21.919490196078428</v>
      </c>
      <c r="AC26" s="107">
        <v>28.611999999999995</v>
      </c>
      <c r="AD26" s="106">
        <v>1</v>
      </c>
      <c r="AE26" s="32" t="str">
        <f>IF(AD26=0,"",VLOOKUP(AD26,tab_tipo_expansao!$A$2:$B$4,2,0))</f>
        <v>opcional</v>
      </c>
      <c r="AF26" s="125">
        <v>2028</v>
      </c>
      <c r="AG26" s="125">
        <v>2100</v>
      </c>
      <c r="AH26" s="125">
        <v>30</v>
      </c>
      <c r="AI26" s="530">
        <v>593.0580785001664</v>
      </c>
      <c r="AJ26" s="24">
        <f>AK26/constantes!$B$4</f>
        <v>3270.2403005247666</v>
      </c>
      <c r="AK26" s="33">
        <f t="shared" si="6"/>
        <v>12753.93717204659</v>
      </c>
      <c r="AL26" s="87">
        <v>2</v>
      </c>
      <c r="AM26" s="531">
        <v>0</v>
      </c>
      <c r="AN26" s="23"/>
      <c r="AO26" s="532">
        <f t="shared" si="7"/>
        <v>593.0580785001664</v>
      </c>
      <c r="AQ26" s="35">
        <f t="shared" si="8"/>
        <v>12753.93717204659</v>
      </c>
      <c r="AR26" s="36">
        <f ca="1">OFFSET(cod_desembolso!$A$1,AL26,23)</f>
        <v>1.1245293369208682</v>
      </c>
      <c r="AS26" s="37">
        <f ca="1">IF(AO26=0,0,AO26*(OFFSET(cod_desembolso!$A$1,AL26,23)))</f>
        <v>666.91120777135632</v>
      </c>
      <c r="AT26" s="38">
        <f>(constantes!$B$3*(1+constantes!$B$3)^(AH26))/((1+constantes!$B$3)^(AH26)-1)</f>
        <v>8.8827433387272267E-2</v>
      </c>
      <c r="AU26" s="37">
        <f t="shared" ca="1" si="9"/>
        <v>61.56501088353545</v>
      </c>
      <c r="AV26" s="37">
        <f ca="1">IF(AO26=0,AX26/constantes!$B$3,AU26/constantes!$B$3)</f>
        <v>769.56263604419314</v>
      </c>
      <c r="AW26" s="39">
        <f ca="1">IF(AO26=0,0,PV(constantes!$B$3,AH26,-AU26)*constantes!$B$3)</f>
        <v>55.446844323530222</v>
      </c>
      <c r="AX26" s="40">
        <f>constantes!$B$10*E26/1000</f>
        <v>2.3250000000000002</v>
      </c>
      <c r="AY26" s="533">
        <f>constantes!$B$12</f>
        <v>0</v>
      </c>
      <c r="AZ26" s="20">
        <v>318</v>
      </c>
      <c r="BA26" s="43"/>
      <c r="BB26" s="3" t="s">
        <v>2195</v>
      </c>
      <c r="BD26" s="534">
        <v>1</v>
      </c>
      <c r="BE26" s="535">
        <v>2027</v>
      </c>
      <c r="BF26" s="536">
        <v>1</v>
      </c>
      <c r="BG26" s="537">
        <v>2027</v>
      </c>
    </row>
    <row r="27" spans="1:59" ht="15">
      <c r="A27" s="125">
        <v>1026</v>
      </c>
      <c r="B27" s="125">
        <v>1026</v>
      </c>
      <c r="C27" s="538" t="s">
        <v>2231</v>
      </c>
      <c r="D27" s="538" t="s">
        <v>2231</v>
      </c>
      <c r="E27" s="526">
        <v>110</v>
      </c>
      <c r="F27" s="3" t="s">
        <v>2229</v>
      </c>
      <c r="G27" s="3" t="s">
        <v>2232</v>
      </c>
      <c r="H27" s="527">
        <v>-42.897592000000003</v>
      </c>
      <c r="I27" s="527">
        <v>-20.257141000000001</v>
      </c>
      <c r="J27" s="539" t="s">
        <v>150</v>
      </c>
      <c r="K27" s="539" t="s">
        <v>150</v>
      </c>
      <c r="L27" s="554">
        <v>1</v>
      </c>
      <c r="M27" s="107"/>
      <c r="N27" s="529">
        <v>1.9820000000000001E-2</v>
      </c>
      <c r="O27" s="529">
        <v>5.2919999999999995E-2</v>
      </c>
      <c r="P27" s="288">
        <f t="shared" si="0"/>
        <v>0.43944764610389614</v>
      </c>
      <c r="Q27" s="30">
        <f t="shared" si="1"/>
        <v>48.339241071428575</v>
      </c>
      <c r="R27" s="30">
        <f t="shared" si="2"/>
        <v>61.660758928571425</v>
      </c>
      <c r="S27" s="107">
        <v>68.688571428571436</v>
      </c>
      <c r="T27" s="107">
        <v>46.244107142857139</v>
      </c>
      <c r="U27" s="107">
        <v>28.671250000000001</v>
      </c>
      <c r="V27" s="107">
        <v>49.753035714285716</v>
      </c>
      <c r="W27" s="288">
        <f t="shared" si="3"/>
        <v>0.43621265597147951</v>
      </c>
      <c r="X27" s="289">
        <f t="shared" si="4"/>
        <v>47.983392156862749</v>
      </c>
      <c r="Y27" s="289">
        <f t="shared" si="5"/>
        <v>-0.35584891456582568</v>
      </c>
      <c r="Z27" s="107">
        <v>70.099176470588262</v>
      </c>
      <c r="AA27" s="107">
        <v>42.02023529411764</v>
      </c>
      <c r="AB27" s="107">
        <v>28.750823529411761</v>
      </c>
      <c r="AC27" s="107">
        <v>51.063333333333333</v>
      </c>
      <c r="AD27" s="106">
        <v>1</v>
      </c>
      <c r="AE27" s="32" t="str">
        <f>IF(AD27=0,"",VLOOKUP(AD27,tab_tipo_expansao!$A$2:$B$4,2,0))</f>
        <v>opcional</v>
      </c>
      <c r="AF27" s="125">
        <v>2028</v>
      </c>
      <c r="AG27" s="125">
        <v>2100</v>
      </c>
      <c r="AH27" s="125">
        <v>30</v>
      </c>
      <c r="AI27" s="530">
        <v>552.40776587152448</v>
      </c>
      <c r="AJ27" s="24">
        <f>AK27/constantes!$B$4</f>
        <v>1287.6637899103134</v>
      </c>
      <c r="AK27" s="33">
        <f t="shared" si="6"/>
        <v>5021.8887806502225</v>
      </c>
      <c r="AL27" s="87">
        <v>2</v>
      </c>
      <c r="AM27" s="531">
        <v>0</v>
      </c>
      <c r="AN27" s="23"/>
      <c r="AO27" s="532">
        <f t="shared" si="7"/>
        <v>552.40776587152448</v>
      </c>
      <c r="AQ27" s="35">
        <f t="shared" si="8"/>
        <v>5021.8887806502225</v>
      </c>
      <c r="AR27" s="36">
        <f ca="1">OFFSET(cod_desembolso!$A$1,AL27,23)</f>
        <v>1.1245293369208682</v>
      </c>
      <c r="AS27" s="37">
        <f ca="1">IF(AO27=0,0,AO27*(OFFSET(cod_desembolso!$A$1,AL27,23)))</f>
        <v>621.19873866544367</v>
      </c>
      <c r="AT27" s="38">
        <f>(constantes!$B$3*(1+constantes!$B$3)^(AH27))/((1+constantes!$B$3)^(AH27)-1)</f>
        <v>8.8827433387272267E-2</v>
      </c>
      <c r="AU27" s="37">
        <f t="shared" ca="1" si="9"/>
        <v>60.679489579062249</v>
      </c>
      <c r="AV27" s="37">
        <f ca="1">IF(AO27=0,AX27/constantes!$B$3,AU27/constantes!$B$3)</f>
        <v>758.49361973827808</v>
      </c>
      <c r="AW27" s="39">
        <f ca="1">IF(AO27=0,0,PV(constantes!$B$3,AH27,-AU27)*constantes!$B$3)</f>
        <v>54.649323764211587</v>
      </c>
      <c r="AX27" s="40">
        <f>constantes!$B$10*E27/1000</f>
        <v>5.5</v>
      </c>
      <c r="AY27" s="533">
        <f>constantes!$B$12</f>
        <v>0</v>
      </c>
      <c r="AZ27" s="20">
        <v>318</v>
      </c>
      <c r="BA27" s="43"/>
      <c r="BB27" s="3" t="s">
        <v>2195</v>
      </c>
      <c r="BD27" s="534">
        <v>1</v>
      </c>
      <c r="BE27" s="535">
        <v>2027</v>
      </c>
      <c r="BF27" s="536">
        <v>1</v>
      </c>
      <c r="BG27" s="537">
        <v>2027</v>
      </c>
    </row>
    <row r="28" spans="1:59" ht="14.45" customHeight="1">
      <c r="A28" s="125">
        <v>1027</v>
      </c>
      <c r="B28" s="125">
        <v>1027</v>
      </c>
      <c r="C28" s="627" t="s">
        <v>2233</v>
      </c>
      <c r="D28" s="538" t="s">
        <v>2233</v>
      </c>
      <c r="E28" s="632">
        <v>650</v>
      </c>
      <c r="F28" s="3" t="s">
        <v>2179</v>
      </c>
      <c r="G28" s="3" t="s">
        <v>2234</v>
      </c>
      <c r="H28" s="527">
        <v>-61.035497999999997</v>
      </c>
      <c r="I28" s="527">
        <v>1.8773139999999999</v>
      </c>
      <c r="J28" s="539" t="s">
        <v>157</v>
      </c>
      <c r="K28" s="539" t="s">
        <v>157</v>
      </c>
      <c r="L28" s="554">
        <v>7</v>
      </c>
      <c r="M28" s="107"/>
      <c r="N28" s="529">
        <v>1.6379999999999999E-2</v>
      </c>
      <c r="O28" s="529">
        <v>6.1409999999999999E-2</v>
      </c>
      <c r="P28" s="288">
        <f t="shared" si="0"/>
        <v>0.47693555361105217</v>
      </c>
      <c r="Q28" s="30">
        <f t="shared" si="1"/>
        <v>310.0081098471839</v>
      </c>
      <c r="R28" s="30">
        <f t="shared" si="2"/>
        <v>339.9918901528161</v>
      </c>
      <c r="S28" s="107">
        <v>422.35154070576965</v>
      </c>
      <c r="T28" s="107">
        <v>479.62635745118024</v>
      </c>
      <c r="U28" s="107">
        <v>183.40905907533241</v>
      </c>
      <c r="V28" s="107">
        <v>154.64548215645328</v>
      </c>
      <c r="W28" s="288">
        <f t="shared" si="3"/>
        <v>0.49042921298242004</v>
      </c>
      <c r="X28" s="289">
        <f t="shared" si="4"/>
        <v>318.77898843857304</v>
      </c>
      <c r="Y28" s="289">
        <f t="shared" si="5"/>
        <v>8.7708785913891347</v>
      </c>
      <c r="Z28" s="107">
        <v>468.9278463094434</v>
      </c>
      <c r="AA28" s="107">
        <v>471.31234605377807</v>
      </c>
      <c r="AB28" s="107">
        <v>173.07315569743523</v>
      </c>
      <c r="AC28" s="107">
        <v>161.80260569363557</v>
      </c>
      <c r="AD28" s="106">
        <v>1</v>
      </c>
      <c r="AE28" s="32" t="str">
        <f>IF(AD28=0,"",VLOOKUP(AD28,tab_tipo_expansao!$A$2:$B$4,2,0))</f>
        <v>opcional</v>
      </c>
      <c r="AF28" s="125">
        <v>2026</v>
      </c>
      <c r="AG28" s="125">
        <v>2100</v>
      </c>
      <c r="AH28" s="125">
        <v>30</v>
      </c>
      <c r="AI28" s="530">
        <v>4997.337747407707</v>
      </c>
      <c r="AJ28" s="24">
        <f>AK28/constantes!$B$4</f>
        <v>1971.3363895099435</v>
      </c>
      <c r="AK28" s="33">
        <f t="shared" si="6"/>
        <v>7688.2119190887797</v>
      </c>
      <c r="AL28" s="87">
        <v>3</v>
      </c>
      <c r="AM28" s="531">
        <v>0</v>
      </c>
      <c r="AN28" s="23"/>
      <c r="AO28" s="532">
        <f t="shared" si="7"/>
        <v>4997.337747407707</v>
      </c>
      <c r="AQ28" s="35">
        <f t="shared" si="8"/>
        <v>7688.2119190887806</v>
      </c>
      <c r="AR28" s="36">
        <f ca="1">OFFSET(cod_desembolso!$A$1,AL28,23)</f>
        <v>1.1255071012622904</v>
      </c>
      <c r="AS28" s="37">
        <f ca="1">IF(AO28=0,0,AO28*(OFFSET(cod_desembolso!$A$1,AL28,23)))</f>
        <v>5624.5391221134723</v>
      </c>
      <c r="AT28" s="38">
        <f>(constantes!$B$3*(1+constantes!$B$3)^(AH28))/((1+constantes!$B$3)^(AH28)-1)</f>
        <v>8.8827433387272267E-2</v>
      </c>
      <c r="AU28" s="37">
        <f t="shared" ca="1" si="9"/>
        <v>532.11337420364134</v>
      </c>
      <c r="AV28" s="37">
        <f ca="1">IF(AO28=0,AX28/constantes!$B$3,AU28/constantes!$B$3)</f>
        <v>6651.417177545517</v>
      </c>
      <c r="AW28" s="39">
        <f ca="1">IF(AO28=0,0,PV(constantes!$B$3,AH28,-AU28)*constantes!$B$3)</f>
        <v>479.2333664612093</v>
      </c>
      <c r="AX28" s="40">
        <f>constantes!$B$10*E28/1000</f>
        <v>32.5</v>
      </c>
      <c r="AY28" s="533">
        <f>constantes!$B$12</f>
        <v>0</v>
      </c>
      <c r="AZ28" s="20">
        <v>318</v>
      </c>
      <c r="BA28" s="43"/>
      <c r="BB28" s="3" t="s">
        <v>2207</v>
      </c>
      <c r="BD28" s="534">
        <v>1</v>
      </c>
      <c r="BE28" s="535">
        <v>2025</v>
      </c>
      <c r="BF28" s="536">
        <v>1</v>
      </c>
      <c r="BG28" s="537">
        <v>2025</v>
      </c>
    </row>
    <row r="29" spans="1:59" ht="15">
      <c r="A29" s="125">
        <v>1028</v>
      </c>
      <c r="B29" s="125">
        <v>1028</v>
      </c>
      <c r="C29" s="538" t="s">
        <v>2235</v>
      </c>
      <c r="D29" s="538" t="s">
        <v>2235</v>
      </c>
      <c r="E29" s="526">
        <v>57</v>
      </c>
      <c r="F29" s="3" t="s">
        <v>2229</v>
      </c>
      <c r="G29" s="3" t="s">
        <v>2232</v>
      </c>
      <c r="H29" s="527">
        <v>-42.713569999999997</v>
      </c>
      <c r="I29" s="527">
        <v>-20.016563999999999</v>
      </c>
      <c r="J29" s="539" t="s">
        <v>150</v>
      </c>
      <c r="K29" s="539" t="s">
        <v>150</v>
      </c>
      <c r="L29" s="554">
        <v>1</v>
      </c>
      <c r="M29" s="107"/>
      <c r="N29" s="529">
        <v>2.068E-2</v>
      </c>
      <c r="O29" s="529">
        <v>4.6600000000000003E-2</v>
      </c>
      <c r="P29" s="288">
        <f t="shared" si="0"/>
        <v>0.64876227025898081</v>
      </c>
      <c r="Q29" s="30">
        <f t="shared" si="1"/>
        <v>36.979449404761908</v>
      </c>
      <c r="R29" s="30">
        <f t="shared" si="2"/>
        <v>20.020550595238092</v>
      </c>
      <c r="S29" s="107">
        <v>47.745714285714293</v>
      </c>
      <c r="T29" s="107">
        <v>36.475119047619046</v>
      </c>
      <c r="U29" s="107">
        <v>24.776250000000001</v>
      </c>
      <c r="V29" s="107">
        <v>38.92071428571429</v>
      </c>
      <c r="W29" s="288">
        <f t="shared" si="3"/>
        <v>0.67098692810457483</v>
      </c>
      <c r="X29" s="289">
        <f t="shared" si="4"/>
        <v>38.246254901960768</v>
      </c>
      <c r="Y29" s="289">
        <f t="shared" si="5"/>
        <v>1.2668054971988596</v>
      </c>
      <c r="Z29" s="107">
        <v>49.77129411764701</v>
      </c>
      <c r="AA29" s="107">
        <v>36.546549019607845</v>
      </c>
      <c r="AB29" s="107">
        <v>26.258078431372549</v>
      </c>
      <c r="AC29" s="107">
        <v>40.409098039215657</v>
      </c>
      <c r="AD29" s="106">
        <v>3</v>
      </c>
      <c r="AE29" s="32" t="str">
        <f>IF(AD29=0,"",VLOOKUP(AD29,tab_tipo_expansao!$A$2:$B$4,2,0))</f>
        <v>não_considerar</v>
      </c>
      <c r="AF29" s="125">
        <v>2030</v>
      </c>
      <c r="AG29" s="125">
        <v>2100</v>
      </c>
      <c r="AH29" s="125">
        <v>30</v>
      </c>
      <c r="AI29" s="530">
        <v>378.8373290750967</v>
      </c>
      <c r="AJ29" s="24">
        <f>AK29/constantes!$B$4</f>
        <v>1704.1715208056532</v>
      </c>
      <c r="AK29" s="33">
        <f t="shared" si="6"/>
        <v>6646.2689311420472</v>
      </c>
      <c r="AL29" s="87">
        <v>2</v>
      </c>
      <c r="AM29" s="531">
        <v>0</v>
      </c>
      <c r="AN29" s="23"/>
      <c r="AO29" s="532">
        <f t="shared" si="7"/>
        <v>378.8373290750967</v>
      </c>
      <c r="AQ29" s="35">
        <f t="shared" si="8"/>
        <v>6646.2689311420472</v>
      </c>
      <c r="AR29" s="36">
        <f ca="1">OFFSET(cod_desembolso!$A$1,AL29,23)</f>
        <v>1.1245293369208682</v>
      </c>
      <c r="AS29" s="37">
        <f ca="1">IF(AO29=0,0,AO29*(OFFSET(cod_desembolso!$A$1,AL29,23)))</f>
        <v>426.01369046569124</v>
      </c>
      <c r="AT29" s="38">
        <f>(constantes!$B$3*(1+constantes!$B$3)^(AH29))/((1+constantes!$B$3)^(AH29)-1)</f>
        <v>8.8827433387272267E-2</v>
      </c>
      <c r="AU29" s="37">
        <f t="shared" ca="1" si="9"/>
        <v>40.691702711907219</v>
      </c>
      <c r="AV29" s="37">
        <f ca="1">IF(AO29=0,AX29/constantes!$B$3,AU29/constantes!$B$3)</f>
        <v>508.64628389884024</v>
      </c>
      <c r="AW29" s="39">
        <f ca="1">IF(AO29=0,0,PV(constantes!$B$3,AH29,-AU29)*constantes!$B$3)</f>
        <v>36.647869839488365</v>
      </c>
      <c r="AX29" s="40">
        <f>constantes!$B$10*E29/1000</f>
        <v>2.85</v>
      </c>
      <c r="AY29" s="533">
        <f>constantes!$B$12</f>
        <v>0</v>
      </c>
      <c r="AZ29" s="20">
        <v>318</v>
      </c>
      <c r="BA29" s="43"/>
      <c r="BB29" s="3" t="s">
        <v>2181</v>
      </c>
      <c r="BD29" s="534">
        <v>1</v>
      </c>
      <c r="BE29" s="535">
        <v>2027</v>
      </c>
      <c r="BF29" s="536">
        <v>1</v>
      </c>
      <c r="BG29" s="537">
        <v>2027</v>
      </c>
    </row>
    <row r="30" spans="1:59" ht="15">
      <c r="A30" s="125">
        <v>1029</v>
      </c>
      <c r="B30" s="125">
        <v>1029</v>
      </c>
      <c r="C30" s="538" t="s">
        <v>2236</v>
      </c>
      <c r="D30" s="538" t="s">
        <v>2236</v>
      </c>
      <c r="E30" s="526">
        <v>32.1</v>
      </c>
      <c r="F30" s="3" t="s">
        <v>2197</v>
      </c>
      <c r="G30" s="3" t="s">
        <v>2237</v>
      </c>
      <c r="H30" s="527">
        <v>-52.516509999999997</v>
      </c>
      <c r="I30" s="527">
        <v>-15.855024</v>
      </c>
      <c r="J30" s="539" t="s">
        <v>158</v>
      </c>
      <c r="K30" s="539" t="s">
        <v>158</v>
      </c>
      <c r="L30" s="554">
        <v>1</v>
      </c>
      <c r="M30" s="107"/>
      <c r="N30" s="529">
        <v>2.068E-2</v>
      </c>
      <c r="O30" s="529">
        <v>4.6600000000000003E-2</v>
      </c>
      <c r="P30" s="288">
        <f t="shared" si="0"/>
        <v>0.532119300920186</v>
      </c>
      <c r="Q30" s="30">
        <f t="shared" si="1"/>
        <v>17.081029559537971</v>
      </c>
      <c r="R30" s="30">
        <f t="shared" si="2"/>
        <v>15.018970440462031</v>
      </c>
      <c r="S30" s="107">
        <v>21.405415503664425</v>
      </c>
      <c r="T30" s="107">
        <v>18.790702101285397</v>
      </c>
      <c r="U30" s="107">
        <v>13.32921541582234</v>
      </c>
      <c r="V30" s="107">
        <v>14.798785217379725</v>
      </c>
      <c r="W30" s="288">
        <f t="shared" si="3"/>
        <v>0.56765074645560576</v>
      </c>
      <c r="X30" s="289">
        <f t="shared" si="4"/>
        <v>18.221588961224946</v>
      </c>
      <c r="Y30" s="289">
        <f t="shared" si="5"/>
        <v>1.1405594016869749</v>
      </c>
      <c r="Z30" s="107">
        <v>23.81661951510776</v>
      </c>
      <c r="AA30" s="107">
        <v>19.813792236998417</v>
      </c>
      <c r="AB30" s="107">
        <v>13.641468601512125</v>
      </c>
      <c r="AC30" s="107">
        <v>15.614475491281482</v>
      </c>
      <c r="AD30" s="106">
        <v>1</v>
      </c>
      <c r="AE30" s="32" t="str">
        <f>IF(AD30=0,"",VLOOKUP(AD30,tab_tipo_expansao!$A$2:$B$4,2,0))</f>
        <v>opcional</v>
      </c>
      <c r="AF30" s="125">
        <v>2028</v>
      </c>
      <c r="AG30" s="125">
        <v>2100</v>
      </c>
      <c r="AH30" s="125">
        <v>30</v>
      </c>
      <c r="AI30" s="530">
        <v>421.44080914670968</v>
      </c>
      <c r="AJ30" s="24">
        <f>AK30/constantes!$B$4</f>
        <v>3366.4095306870331</v>
      </c>
      <c r="AK30" s="33">
        <f t="shared" si="6"/>
        <v>13128.997169679429</v>
      </c>
      <c r="AL30" s="87">
        <v>2</v>
      </c>
      <c r="AM30" s="531">
        <v>0</v>
      </c>
      <c r="AN30" s="23"/>
      <c r="AO30" s="532">
        <f t="shared" si="7"/>
        <v>421.44080914670968</v>
      </c>
      <c r="AQ30" s="35">
        <f t="shared" si="8"/>
        <v>13128.997169679429</v>
      </c>
      <c r="AR30" s="36">
        <f ca="1">OFFSET(cod_desembolso!$A$1,AL30,23)</f>
        <v>1.1245293369208682</v>
      </c>
      <c r="AS30" s="37">
        <f ca="1">IF(AO30=0,0,AO30*(OFFSET(cod_desembolso!$A$1,AL30,23)))</f>
        <v>473.92255366114358</v>
      </c>
      <c r="AT30" s="38">
        <f>(constantes!$B$3*(1+constantes!$B$3)^(AH30))/((1+constantes!$B$3)^(AH30)-1)</f>
        <v>8.8827433387272267E-2</v>
      </c>
      <c r="AU30" s="37">
        <f t="shared" ca="1" si="9"/>
        <v>43.702324066061195</v>
      </c>
      <c r="AV30" s="37">
        <f ca="1">IF(AO30=0,AX30/constantes!$B$3,AU30/constantes!$B$3)</f>
        <v>546.2790508257649</v>
      </c>
      <c r="AW30" s="39">
        <f ca="1">IF(AO30=0,0,PV(constantes!$B$3,AH30,-AU30)*constantes!$B$3)</f>
        <v>39.359303674149054</v>
      </c>
      <c r="AX30" s="40">
        <f>constantes!$B$10*E30/1000</f>
        <v>1.605</v>
      </c>
      <c r="AY30" s="533">
        <f>constantes!$B$12</f>
        <v>0</v>
      </c>
      <c r="AZ30" s="20">
        <v>318</v>
      </c>
      <c r="BA30" s="43"/>
      <c r="BB30" s="3" t="s">
        <v>2195</v>
      </c>
      <c r="BD30" s="534">
        <v>1</v>
      </c>
      <c r="BE30" s="535">
        <v>2027</v>
      </c>
      <c r="BF30" s="536">
        <v>1</v>
      </c>
      <c r="BG30" s="537">
        <v>2027</v>
      </c>
    </row>
    <row r="31" spans="1:59" ht="15">
      <c r="A31" s="125">
        <v>1030</v>
      </c>
      <c r="B31" s="125">
        <v>1030</v>
      </c>
      <c r="C31" s="538" t="s">
        <v>2238</v>
      </c>
      <c r="D31" s="538" t="s">
        <v>2238</v>
      </c>
      <c r="E31" s="526">
        <v>45</v>
      </c>
      <c r="F31" s="3" t="s">
        <v>2229</v>
      </c>
      <c r="G31" s="3" t="s">
        <v>2239</v>
      </c>
      <c r="H31" s="527">
        <v>-42.990372000000001</v>
      </c>
      <c r="I31" s="527">
        <v>-20.429535000000001</v>
      </c>
      <c r="J31" s="539" t="s">
        <v>150</v>
      </c>
      <c r="K31" s="539" t="s">
        <v>150</v>
      </c>
      <c r="L31" s="554">
        <v>1</v>
      </c>
      <c r="M31" s="107"/>
      <c r="N31" s="529">
        <v>2.068E-2</v>
      </c>
      <c r="O31" s="529">
        <v>4.6600000000000003E-2</v>
      </c>
      <c r="P31" s="288">
        <f t="shared" si="0"/>
        <v>0.50448578042328041</v>
      </c>
      <c r="Q31" s="30">
        <f t="shared" si="1"/>
        <v>22.70186011904762</v>
      </c>
      <c r="R31" s="30">
        <f t="shared" si="2"/>
        <v>22.29813988095238</v>
      </c>
      <c r="S31" s="107">
        <v>31.205238095238098</v>
      </c>
      <c r="T31" s="107">
        <v>21.778869047619043</v>
      </c>
      <c r="U31" s="107">
        <v>14.015000000000001</v>
      </c>
      <c r="V31" s="107">
        <v>23.808333333333334</v>
      </c>
      <c r="W31" s="288">
        <f t="shared" si="3"/>
        <v>0.50590871459694953</v>
      </c>
      <c r="X31" s="289">
        <f t="shared" si="4"/>
        <v>22.76589215686273</v>
      </c>
      <c r="Y31" s="289">
        <f t="shared" si="5"/>
        <v>6.4032037815110243E-2</v>
      </c>
      <c r="Z31" s="107">
        <v>32.618274509803918</v>
      </c>
      <c r="AA31" s="107">
        <v>20.281058823529388</v>
      </c>
      <c r="AB31" s="107">
        <v>14.019803921568631</v>
      </c>
      <c r="AC31" s="107">
        <v>24.144431372548997</v>
      </c>
      <c r="AD31" s="106">
        <v>1</v>
      </c>
      <c r="AE31" s="32" t="str">
        <f>IF(AD31=0,"",VLOOKUP(AD31,tab_tipo_expansao!$A$2:$B$4,2,0))</f>
        <v>opcional</v>
      </c>
      <c r="AF31" s="125">
        <v>2028</v>
      </c>
      <c r="AG31" s="125">
        <v>2100</v>
      </c>
      <c r="AH31" s="125">
        <v>30</v>
      </c>
      <c r="AI31" s="530">
        <v>420.55108839887566</v>
      </c>
      <c r="AJ31" s="24">
        <f>AK31/constantes!$B$4</f>
        <v>2396.302497999292</v>
      </c>
      <c r="AK31" s="33">
        <f t="shared" si="6"/>
        <v>9345.5797421972384</v>
      </c>
      <c r="AL31" s="87">
        <v>2</v>
      </c>
      <c r="AM31" s="531">
        <v>0</v>
      </c>
      <c r="AN31" s="23"/>
      <c r="AO31" s="532">
        <f t="shared" si="7"/>
        <v>420.55108839887566</v>
      </c>
      <c r="AQ31" s="35">
        <f t="shared" si="8"/>
        <v>9345.5797421972366</v>
      </c>
      <c r="AR31" s="36">
        <f ca="1">OFFSET(cod_desembolso!$A$1,AL31,23)</f>
        <v>1.1245293369208682</v>
      </c>
      <c r="AS31" s="37">
        <f ca="1">IF(AO31=0,0,AO31*(OFFSET(cod_desembolso!$A$1,AL31,23)))</f>
        <v>472.92203657853707</v>
      </c>
      <c r="AT31" s="38">
        <f>(constantes!$B$3*(1+constantes!$B$3)^(AH31))/((1+constantes!$B$3)^(AH31)-1)</f>
        <v>8.8827433387272267E-2</v>
      </c>
      <c r="AU31" s="37">
        <f t="shared" ca="1" si="9"/>
        <v>44.258450701553137</v>
      </c>
      <c r="AV31" s="37">
        <f ca="1">IF(AO31=0,AX31/constantes!$B$3,AU31/constantes!$B$3)</f>
        <v>553.23063376941423</v>
      </c>
      <c r="AW31" s="39">
        <f ca="1">IF(AO31=0,0,PV(constantes!$B$3,AH31,-AU31)*constantes!$B$3)</f>
        <v>39.860163928045907</v>
      </c>
      <c r="AX31" s="40">
        <f>constantes!$B$10*E31/1000</f>
        <v>2.25</v>
      </c>
      <c r="AY31" s="533">
        <f>constantes!$B$12</f>
        <v>0</v>
      </c>
      <c r="AZ31" s="20">
        <v>318</v>
      </c>
      <c r="BA31" s="43"/>
      <c r="BB31" s="3" t="s">
        <v>2195</v>
      </c>
      <c r="BD31" s="534">
        <v>1</v>
      </c>
      <c r="BE31" s="535">
        <v>2027</v>
      </c>
      <c r="BF31" s="536">
        <v>1</v>
      </c>
      <c r="BG31" s="537">
        <v>2027</v>
      </c>
    </row>
    <row r="32" spans="1:59" ht="14.45" customHeight="1">
      <c r="A32" s="125">
        <v>1031</v>
      </c>
      <c r="B32" s="125">
        <v>1031</v>
      </c>
      <c r="C32" s="625" t="s">
        <v>2240</v>
      </c>
      <c r="D32" s="538" t="s">
        <v>2240</v>
      </c>
      <c r="E32" s="526">
        <v>142</v>
      </c>
      <c r="F32" s="3" t="s">
        <v>2197</v>
      </c>
      <c r="G32" s="3" t="s">
        <v>2241</v>
      </c>
      <c r="H32" s="527">
        <v>-49.213498999999999</v>
      </c>
      <c r="I32" s="527">
        <v>-14.832181</v>
      </c>
      <c r="J32" s="539" t="s">
        <v>2003</v>
      </c>
      <c r="K32" s="539" t="s">
        <v>2003</v>
      </c>
      <c r="L32" s="554">
        <v>1</v>
      </c>
      <c r="M32" s="107"/>
      <c r="N32" s="529">
        <v>1.9820000000000001E-2</v>
      </c>
      <c r="O32" s="529">
        <v>5.2919999999999995E-2</v>
      </c>
      <c r="P32" s="288">
        <f t="shared" si="0"/>
        <v>0.47942760731052986</v>
      </c>
      <c r="Q32" s="30">
        <f t="shared" si="1"/>
        <v>68.078720238095244</v>
      </c>
      <c r="R32" s="30">
        <f t="shared" si="2"/>
        <v>73.921279761904756</v>
      </c>
      <c r="S32" s="107">
        <v>99.826666666666668</v>
      </c>
      <c r="T32" s="107">
        <v>65.579226190476192</v>
      </c>
      <c r="U32" s="107">
        <v>36.11333333333333</v>
      </c>
      <c r="V32" s="107">
        <v>70.795654761904757</v>
      </c>
      <c r="W32" s="288">
        <f t="shared" si="3"/>
        <v>0.5994388290527477</v>
      </c>
      <c r="X32" s="289">
        <f t="shared" si="4"/>
        <v>85.120313725490178</v>
      </c>
      <c r="Y32" s="289">
        <f t="shared" si="5"/>
        <v>17.041593487394934</v>
      </c>
      <c r="Z32" s="107">
        <v>124.40411764705873</v>
      </c>
      <c r="AA32" s="107">
        <v>88.126039215686262</v>
      </c>
      <c r="AB32" s="107">
        <v>47.311058823529414</v>
      </c>
      <c r="AC32" s="107">
        <v>80.640039215686244</v>
      </c>
      <c r="AD32" s="106">
        <v>1</v>
      </c>
      <c r="AE32" s="32" t="str">
        <f>IF(AD32=0,"",VLOOKUP(AD32,tab_tipo_expansao!$A$2:$B$4,2,0))</f>
        <v>opcional</v>
      </c>
      <c r="AF32" s="125">
        <v>2026</v>
      </c>
      <c r="AG32" s="125">
        <v>2100</v>
      </c>
      <c r="AH32" s="125">
        <v>30</v>
      </c>
      <c r="AI32" s="530">
        <v>1729.6536299706161</v>
      </c>
      <c r="AJ32" s="24">
        <f>AK32/constantes!$B$4</f>
        <v>3123.2459912795525</v>
      </c>
      <c r="AK32" s="33">
        <f t="shared" si="6"/>
        <v>12180.659365990254</v>
      </c>
      <c r="AL32" s="87">
        <v>2</v>
      </c>
      <c r="AM32" s="531">
        <v>0</v>
      </c>
      <c r="AN32" s="23"/>
      <c r="AO32" s="532">
        <f t="shared" si="7"/>
        <v>1729.6536299706161</v>
      </c>
      <c r="AQ32" s="35">
        <f t="shared" si="8"/>
        <v>12180.659365990254</v>
      </c>
      <c r="AR32" s="36">
        <f ca="1">OFFSET(cod_desembolso!$A$1,AL32,23)</f>
        <v>1.1245293369208682</v>
      </c>
      <c r="AS32" s="37">
        <f ca="1">IF(AO32=0,0,AO32*(OFFSET(cod_desembolso!$A$1,AL32,23)))</f>
        <v>1945.0462496136297</v>
      </c>
      <c r="AT32" s="38">
        <f>(constantes!$B$3*(1+constantes!$B$3)^(AH32))/((1+constantes!$B$3)^(AH32)-1)</f>
        <v>8.8827433387272267E-2</v>
      </c>
      <c r="AU32" s="37">
        <f t="shared" ca="1" si="9"/>
        <v>179.87346617271842</v>
      </c>
      <c r="AV32" s="37">
        <f ca="1">IF(AO32=0,AX32/constantes!$B$3,AU32/constantes!$B$3)</f>
        <v>2248.4183271589804</v>
      </c>
      <c r="AW32" s="39">
        <f ca="1">IF(AO32=0,0,PV(constantes!$B$3,AH32,-AU32)*constantes!$B$3)</f>
        <v>161.99812090798679</v>
      </c>
      <c r="AX32" s="40">
        <f>constantes!$B$10*E32/1000</f>
        <v>7.1</v>
      </c>
      <c r="AY32" s="533">
        <f>constantes!$B$12</f>
        <v>0</v>
      </c>
      <c r="AZ32" s="20">
        <v>318</v>
      </c>
      <c r="BA32" s="43"/>
      <c r="BB32" s="3" t="s">
        <v>2207</v>
      </c>
      <c r="BD32" s="534">
        <v>1</v>
      </c>
      <c r="BE32" s="535">
        <v>2026</v>
      </c>
      <c r="BF32" s="536">
        <v>1</v>
      </c>
      <c r="BG32" s="537">
        <v>2026</v>
      </c>
    </row>
    <row r="33" spans="1:59" ht="15">
      <c r="A33" s="125">
        <v>1032</v>
      </c>
      <c r="B33" s="125">
        <v>1032</v>
      </c>
      <c r="C33" s="538" t="s">
        <v>2242</v>
      </c>
      <c r="D33" s="538" t="s">
        <v>2242</v>
      </c>
      <c r="E33" s="526">
        <v>42.8</v>
      </c>
      <c r="F33" s="3" t="s">
        <v>2197</v>
      </c>
      <c r="G33" s="3" t="s">
        <v>2198</v>
      </c>
      <c r="H33" s="527">
        <v>-53.854004000000003</v>
      </c>
      <c r="I33" s="527">
        <v>-15.254529</v>
      </c>
      <c r="J33" s="539" t="s">
        <v>158</v>
      </c>
      <c r="K33" s="539" t="s">
        <v>158</v>
      </c>
      <c r="L33" s="554">
        <v>1</v>
      </c>
      <c r="M33" s="107"/>
      <c r="N33" s="529">
        <v>2.068E-2</v>
      </c>
      <c r="O33" s="529">
        <v>4.6600000000000003E-2</v>
      </c>
      <c r="P33" s="288">
        <f t="shared" si="0"/>
        <v>0.532119300920186</v>
      </c>
      <c r="Q33" s="30">
        <f t="shared" si="1"/>
        <v>22.774706079383957</v>
      </c>
      <c r="R33" s="30">
        <f t="shared" si="2"/>
        <v>20.02529392061604</v>
      </c>
      <c r="S33" s="107">
        <v>28.540554004885895</v>
      </c>
      <c r="T33" s="107">
        <v>25.054269468380525</v>
      </c>
      <c r="U33" s="107">
        <v>17.772287221096448</v>
      </c>
      <c r="V33" s="107">
        <v>19.731713623172965</v>
      </c>
      <c r="W33" s="288">
        <f t="shared" si="3"/>
        <v>0.56765074645560576</v>
      </c>
      <c r="X33" s="289">
        <f t="shared" si="4"/>
        <v>24.295451948299924</v>
      </c>
      <c r="Y33" s="289">
        <f t="shared" si="5"/>
        <v>1.5207458689159665</v>
      </c>
      <c r="Z33" s="107">
        <v>31.755492686810346</v>
      </c>
      <c r="AA33" s="107">
        <v>26.418389649331218</v>
      </c>
      <c r="AB33" s="107">
        <v>18.188624802016164</v>
      </c>
      <c r="AC33" s="107">
        <v>20.819300655041971</v>
      </c>
      <c r="AD33" s="106">
        <v>3</v>
      </c>
      <c r="AE33" s="32" t="str">
        <f>IF(AD33=0,"",VLOOKUP(AD33,tab_tipo_expansao!$A$2:$B$4,2,0))</f>
        <v>não_considerar</v>
      </c>
      <c r="AF33" s="125">
        <v>2030</v>
      </c>
      <c r="AG33" s="125">
        <v>2100</v>
      </c>
      <c r="AH33" s="125">
        <v>30</v>
      </c>
      <c r="AI33" s="530">
        <v>403.2823462702126</v>
      </c>
      <c r="AJ33" s="24">
        <f>AK33/constantes!$B$4</f>
        <v>2416.0217245998842</v>
      </c>
      <c r="AK33" s="33">
        <f t="shared" si="6"/>
        <v>9422.4847259395483</v>
      </c>
      <c r="AL33" s="87">
        <v>2</v>
      </c>
      <c r="AM33" s="531">
        <v>0</v>
      </c>
      <c r="AN33" s="23"/>
      <c r="AO33" s="532">
        <f t="shared" si="7"/>
        <v>403.2823462702126</v>
      </c>
      <c r="AQ33" s="35">
        <f t="shared" si="8"/>
        <v>9422.4847259395483</v>
      </c>
      <c r="AR33" s="36">
        <f ca="1">OFFSET(cod_desembolso!$A$1,AL33,23)</f>
        <v>1.1245293369208682</v>
      </c>
      <c r="AS33" s="37">
        <f ca="1">IF(AO33=0,0,AO33*(OFFSET(cod_desembolso!$A$1,AL33,23)))</f>
        <v>453.50282944313415</v>
      </c>
      <c r="AT33" s="38">
        <f>(constantes!$B$3*(1+constantes!$B$3)^(AH33))/((1+constantes!$B$3)^(AH33)-1)</f>
        <v>8.8827433387272267E-2</v>
      </c>
      <c r="AU33" s="37">
        <f t="shared" ca="1" si="9"/>
        <v>42.423492373299496</v>
      </c>
      <c r="AV33" s="37">
        <f ca="1">IF(AO33=0,AX33/constantes!$B$3,AU33/constantes!$B$3)</f>
        <v>530.2936546662437</v>
      </c>
      <c r="AW33" s="39">
        <f ca="1">IF(AO33=0,0,PV(constantes!$B$3,AH33,-AU33)*constantes!$B$3)</f>
        <v>38.207558863794155</v>
      </c>
      <c r="AX33" s="40">
        <f>constantes!$B$10*E33/1000</f>
        <v>2.14</v>
      </c>
      <c r="AY33" s="533">
        <f>constantes!$B$12</f>
        <v>0</v>
      </c>
      <c r="AZ33" s="20">
        <v>318</v>
      </c>
      <c r="BA33" s="43"/>
      <c r="BB33" s="3" t="s">
        <v>2215</v>
      </c>
      <c r="BD33" s="534">
        <v>1</v>
      </c>
      <c r="BE33" s="535">
        <v>2035</v>
      </c>
      <c r="BF33" s="536">
        <v>3</v>
      </c>
      <c r="BG33" s="537">
        <v>2050</v>
      </c>
    </row>
    <row r="34" spans="1:59" ht="15">
      <c r="A34" s="125">
        <v>1033</v>
      </c>
      <c r="B34" s="125">
        <v>1033</v>
      </c>
      <c r="C34" s="538" t="s">
        <v>2243</v>
      </c>
      <c r="D34" s="538" t="s">
        <v>2243</v>
      </c>
      <c r="E34" s="526">
        <v>63</v>
      </c>
      <c r="F34" s="3" t="s">
        <v>2244</v>
      </c>
      <c r="G34" s="3" t="s">
        <v>2244</v>
      </c>
      <c r="H34" s="527">
        <v>-43.082168000000003</v>
      </c>
      <c r="I34" s="527">
        <v>-6.748907</v>
      </c>
      <c r="J34" s="539" t="s">
        <v>1983</v>
      </c>
      <c r="K34" s="539" t="s">
        <v>1983</v>
      </c>
      <c r="L34" s="554">
        <v>3</v>
      </c>
      <c r="M34" s="107"/>
      <c r="N34" s="529">
        <v>1.9820000000000001E-2</v>
      </c>
      <c r="O34" s="529">
        <v>5.2919999999999995E-2</v>
      </c>
      <c r="P34" s="288">
        <f t="shared" ref="P34:P65" si="10">Q34/$E34</f>
        <v>0.64864205404383979</v>
      </c>
      <c r="Q34" s="30">
        <f t="shared" si="1"/>
        <v>40.864449404761906</v>
      </c>
      <c r="R34" s="30">
        <f t="shared" ref="R34:R65" si="11">E34-Q34</f>
        <v>22.135550595238094</v>
      </c>
      <c r="S34" s="107">
        <v>39.008095238095244</v>
      </c>
      <c r="T34" s="107">
        <v>41.502916666666664</v>
      </c>
      <c r="U34" s="107">
        <v>40.159166666666664</v>
      </c>
      <c r="V34" s="107">
        <v>42.787619047619053</v>
      </c>
      <c r="W34" s="288">
        <f t="shared" ref="W34:W65" si="12">X34/$E34</f>
        <v>0.68383286647992514</v>
      </c>
      <c r="X34" s="289">
        <f t="shared" si="4"/>
        <v>43.081470588235284</v>
      </c>
      <c r="Y34" s="289">
        <f t="shared" si="5"/>
        <v>2.2170211834733777</v>
      </c>
      <c r="Z34" s="107">
        <v>51.260196078431342</v>
      </c>
      <c r="AA34" s="107">
        <v>45.987764705882341</v>
      </c>
      <c r="AB34" s="107">
        <v>35.800470588235292</v>
      </c>
      <c r="AC34" s="107">
        <v>39.277450980392153</v>
      </c>
      <c r="AD34" s="106">
        <v>1</v>
      </c>
      <c r="AE34" s="32" t="str">
        <f>IF(AD34=0,"",VLOOKUP(AD34,tab_tipo_expansao!$A$2:$B$4,2,0))</f>
        <v>opcional</v>
      </c>
      <c r="AF34" s="125">
        <v>2028</v>
      </c>
      <c r="AG34" s="125">
        <v>2100</v>
      </c>
      <c r="AH34" s="125">
        <v>30</v>
      </c>
      <c r="AI34" s="530">
        <v>872.63266033167201</v>
      </c>
      <c r="AJ34" s="24">
        <f>AK34/constantes!$B$4</f>
        <v>3551.6184791683845</v>
      </c>
      <c r="AK34" s="33">
        <f t="shared" ref="AK34:AK65" si="13">AI34/E34*1000</f>
        <v>13851.312068756699</v>
      </c>
      <c r="AL34" s="87">
        <v>2</v>
      </c>
      <c r="AM34" s="531">
        <v>0</v>
      </c>
      <c r="AN34" s="23"/>
      <c r="AO34" s="532">
        <f t="shared" si="7"/>
        <v>872.63266033167201</v>
      </c>
      <c r="AQ34" s="35">
        <f t="shared" ref="AQ34:AQ65" si="14">AO34*1000/E34</f>
        <v>13851.312068756699</v>
      </c>
      <c r="AR34" s="36">
        <f ca="1">OFFSET(cod_desembolso!$A$1,AL34,23)</f>
        <v>1.1245293369208682</v>
      </c>
      <c r="AS34" s="37">
        <f ca="1">IF(AO34=0,0,AO34*(OFFSET(cod_desembolso!$A$1,AL34,23)))</f>
        <v>981.30102689826833</v>
      </c>
      <c r="AT34" s="38">
        <f>(constantes!$B$3*(1+constantes!$B$3)^(AH34))/((1+constantes!$B$3)^(AH34)-1)</f>
        <v>8.8827433387272267E-2</v>
      </c>
      <c r="AU34" s="37">
        <f t="shared" ca="1" si="9"/>
        <v>90.316451599667801</v>
      </c>
      <c r="AV34" s="37">
        <f ca="1">IF(AO34=0,AX34/constantes!$B$3,AU34/constantes!$B$3)</f>
        <v>1128.9556449958475</v>
      </c>
      <c r="AW34" s="39">
        <f ca="1">IF(AO34=0,0,PV(constantes!$B$3,AH34,-AU34)*constantes!$B$3)</f>
        <v>81.341043554329588</v>
      </c>
      <c r="AX34" s="40">
        <f>constantes!$B$10*E34/1000</f>
        <v>3.15</v>
      </c>
      <c r="AY34" s="533">
        <f>constantes!$B$12</f>
        <v>0</v>
      </c>
      <c r="AZ34" s="20">
        <v>318</v>
      </c>
      <c r="BA34" s="43"/>
      <c r="BB34" s="3" t="s">
        <v>2195</v>
      </c>
      <c r="BD34" s="534">
        <v>1</v>
      </c>
      <c r="BE34" s="535">
        <v>2027</v>
      </c>
      <c r="BF34" s="536">
        <v>1</v>
      </c>
      <c r="BG34" s="537">
        <v>2027</v>
      </c>
    </row>
    <row r="35" spans="1:59" ht="15">
      <c r="A35" s="125">
        <v>1034</v>
      </c>
      <c r="B35" s="125">
        <v>1034</v>
      </c>
      <c r="C35" s="538" t="s">
        <v>2245</v>
      </c>
      <c r="D35" s="538" t="s">
        <v>2245</v>
      </c>
      <c r="E35" s="526">
        <v>81</v>
      </c>
      <c r="F35" s="3" t="s">
        <v>2197</v>
      </c>
      <c r="G35" s="3" t="s">
        <v>2246</v>
      </c>
      <c r="H35" s="527">
        <v>-46.880605000000003</v>
      </c>
      <c r="I35" s="527">
        <v>-10.267543999999999</v>
      </c>
      <c r="J35" s="539" t="s">
        <v>1981</v>
      </c>
      <c r="K35" s="539" t="s">
        <v>1981</v>
      </c>
      <c r="L35" s="554">
        <v>1</v>
      </c>
      <c r="M35" s="107"/>
      <c r="N35" s="529">
        <v>2.068E-2</v>
      </c>
      <c r="O35" s="529">
        <v>4.6600000000000003E-2</v>
      </c>
      <c r="P35" s="288">
        <f t="shared" si="10"/>
        <v>0.53211930092018589</v>
      </c>
      <c r="Q35" s="30">
        <f t="shared" si="1"/>
        <v>43.101663374535057</v>
      </c>
      <c r="R35" s="30">
        <f t="shared" si="11"/>
        <v>37.898336625464943</v>
      </c>
      <c r="S35" s="107">
        <v>54.013665289620498</v>
      </c>
      <c r="T35" s="107">
        <v>47.415790349037913</v>
      </c>
      <c r="U35" s="107">
        <v>33.634468806280665</v>
      </c>
      <c r="V35" s="107">
        <v>37.342729053201175</v>
      </c>
      <c r="W35" s="288">
        <f t="shared" si="12"/>
        <v>0.56765074645560576</v>
      </c>
      <c r="X35" s="289">
        <f t="shared" si="4"/>
        <v>45.979710462904066</v>
      </c>
      <c r="Y35" s="289">
        <f t="shared" si="5"/>
        <v>2.8780470883690086</v>
      </c>
      <c r="Z35" s="107">
        <v>60.098011860552297</v>
      </c>
      <c r="AA35" s="107">
        <v>49.997419663453947</v>
      </c>
      <c r="AB35" s="107">
        <v>34.422397405684798</v>
      </c>
      <c r="AC35" s="107">
        <v>39.401012921925229</v>
      </c>
      <c r="AD35" s="106">
        <v>3</v>
      </c>
      <c r="AE35" s="32" t="str">
        <f>IF(AD35=0,"",VLOOKUP(AD35,tab_tipo_expansao!$A$2:$B$4,2,0))</f>
        <v>não_considerar</v>
      </c>
      <c r="AF35" s="125">
        <v>2030</v>
      </c>
      <c r="AG35" s="125">
        <v>2100</v>
      </c>
      <c r="AH35" s="125">
        <v>30</v>
      </c>
      <c r="AI35" s="530">
        <v>510.7018131916617</v>
      </c>
      <c r="AJ35" s="24">
        <f>AK35/constantes!$B$4</f>
        <v>1616.6565786377389</v>
      </c>
      <c r="AK35" s="33">
        <f t="shared" si="13"/>
        <v>6304.9606566871817</v>
      </c>
      <c r="AL35" s="87">
        <v>2</v>
      </c>
      <c r="AM35" s="531">
        <v>0</v>
      </c>
      <c r="AN35" s="23"/>
      <c r="AO35" s="532">
        <f t="shared" si="7"/>
        <v>510.7018131916617</v>
      </c>
      <c r="AQ35" s="35">
        <f t="shared" si="14"/>
        <v>6304.9606566871817</v>
      </c>
      <c r="AR35" s="36">
        <f ca="1">OFFSET(cod_desembolso!$A$1,AL35,23)</f>
        <v>1.1245293369208682</v>
      </c>
      <c r="AS35" s="37">
        <f ca="1">IF(AO35=0,0,AO35*(OFFSET(cod_desembolso!$A$1,AL35,23)))</f>
        <v>574.29917135270443</v>
      </c>
      <c r="AT35" s="38">
        <f>(constantes!$B$3*(1+constantes!$B$3)^(AH35))/((1+constantes!$B$3)^(AH35)-1)</f>
        <v>8.8827433387272267E-2</v>
      </c>
      <c r="AU35" s="37">
        <f t="shared" ca="1" si="9"/>
        <v>55.06352138769801</v>
      </c>
      <c r="AV35" s="37">
        <f ca="1">IF(AO35=0,AX35/constantes!$B$3,AU35/constantes!$B$3)</f>
        <v>688.29401734622513</v>
      </c>
      <c r="AW35" s="39">
        <f ca="1">IF(AO35=0,0,PV(constantes!$B$3,AH35,-AU35)*constantes!$B$3)</f>
        <v>49.591455511389661</v>
      </c>
      <c r="AX35" s="40">
        <f>constantes!$B$10*E35/1000</f>
        <v>4.05</v>
      </c>
      <c r="AY35" s="533">
        <f>constantes!$B$12</f>
        <v>0</v>
      </c>
      <c r="AZ35" s="20">
        <v>318</v>
      </c>
      <c r="BA35" s="43"/>
      <c r="BB35" s="3" t="s">
        <v>2183</v>
      </c>
      <c r="BD35" s="534">
        <v>1</v>
      </c>
      <c r="BE35" s="535">
        <v>2030</v>
      </c>
      <c r="BF35" s="536">
        <v>1</v>
      </c>
      <c r="BG35" s="537">
        <v>2030</v>
      </c>
    </row>
    <row r="36" spans="1:59" ht="15">
      <c r="A36" s="125">
        <v>1035</v>
      </c>
      <c r="B36" s="125">
        <v>1035</v>
      </c>
      <c r="C36" s="538" t="s">
        <v>2247</v>
      </c>
      <c r="D36" s="538" t="s">
        <v>2247</v>
      </c>
      <c r="E36" s="526">
        <v>802</v>
      </c>
      <c r="F36" s="3" t="s">
        <v>2179</v>
      </c>
      <c r="G36" s="3" t="s">
        <v>2248</v>
      </c>
      <c r="H36" s="527">
        <v>-56.468015000000001</v>
      </c>
      <c r="I36" s="527">
        <v>-5.0850020000000002</v>
      </c>
      <c r="J36" s="539" t="s">
        <v>153</v>
      </c>
      <c r="K36" s="539" t="s">
        <v>153</v>
      </c>
      <c r="L36" s="554">
        <v>9</v>
      </c>
      <c r="M36" s="107"/>
      <c r="N36" s="529">
        <v>1.6379999999999999E-2</v>
      </c>
      <c r="O36" s="529">
        <v>6.1409999999999999E-2</v>
      </c>
      <c r="P36" s="288">
        <f t="shared" si="10"/>
        <v>0.50721540642441509</v>
      </c>
      <c r="Q36" s="30">
        <f t="shared" si="1"/>
        <v>406.78675595238093</v>
      </c>
      <c r="R36" s="30">
        <f t="shared" si="11"/>
        <v>395.21324404761907</v>
      </c>
      <c r="S36" s="107">
        <v>671.53761904761893</v>
      </c>
      <c r="T36" s="107">
        <v>598.41065476190477</v>
      </c>
      <c r="U36" s="107">
        <v>96.879166666666677</v>
      </c>
      <c r="V36" s="107">
        <v>260.31958333333336</v>
      </c>
      <c r="W36" s="288">
        <f t="shared" si="12"/>
        <v>0.48044424478020625</v>
      </c>
      <c r="X36" s="289">
        <f t="shared" si="4"/>
        <v>385.31628431372542</v>
      </c>
      <c r="Y36" s="289">
        <f t="shared" si="5"/>
        <v>-21.470471638655511</v>
      </c>
      <c r="Z36" s="107">
        <v>651.59345098039205</v>
      </c>
      <c r="AA36" s="107">
        <v>584.33788235294094</v>
      </c>
      <c r="AB36" s="107">
        <v>97.056431372549014</v>
      </c>
      <c r="AC36" s="107">
        <v>208.27737254901959</v>
      </c>
      <c r="AD36" s="106">
        <v>3</v>
      </c>
      <c r="AE36" s="32" t="str">
        <f>IF(AD36=0,"",VLOOKUP(AD36,tab_tipo_expansao!$A$2:$B$4,2,0))</f>
        <v>não_considerar</v>
      </c>
      <c r="AF36" s="125">
        <v>2030</v>
      </c>
      <c r="AG36" s="125">
        <v>2100</v>
      </c>
      <c r="AH36" s="125">
        <v>30</v>
      </c>
      <c r="AI36" s="530">
        <v>3897.3706644333784</v>
      </c>
      <c r="AJ36" s="24">
        <f>AK36/constantes!$B$4</f>
        <v>1246.0421588443564</v>
      </c>
      <c r="AK36" s="33">
        <f t="shared" si="13"/>
        <v>4859.5644194929901</v>
      </c>
      <c r="AL36" s="87">
        <v>3</v>
      </c>
      <c r="AM36" s="531">
        <v>0</v>
      </c>
      <c r="AN36" s="23"/>
      <c r="AO36" s="532">
        <f t="shared" si="7"/>
        <v>3897.3706644333784</v>
      </c>
      <c r="AQ36" s="35">
        <f t="shared" si="14"/>
        <v>4859.5644194929901</v>
      </c>
      <c r="AR36" s="36">
        <f ca="1">OFFSET(cod_desembolso!$A$1,AL36,23)</f>
        <v>1.1255071012622904</v>
      </c>
      <c r="AS36" s="37">
        <f ca="1">IF(AO36=0,0,AO36*(OFFSET(cod_desembolso!$A$1,AL36,23)))</f>
        <v>4386.5183590710985</v>
      </c>
      <c r="AT36" s="38">
        <f>(constantes!$B$3*(1+constantes!$B$3)^(AH36))/((1+constantes!$B$3)^(AH36)-1)</f>
        <v>8.8827433387272267E-2</v>
      </c>
      <c r="AU36" s="37">
        <f t="shared" ca="1" si="9"/>
        <v>429.7431673424349</v>
      </c>
      <c r="AV36" s="37">
        <f ca="1">IF(AO36=0,AX36/constantes!$B$3,AU36/constantes!$B$3)</f>
        <v>5371.7895917804362</v>
      </c>
      <c r="AW36" s="39">
        <f ca="1">IF(AO36=0,0,PV(constantes!$B$3,AH36,-AU36)*constantes!$B$3)</f>
        <v>387.03643769044089</v>
      </c>
      <c r="AX36" s="40">
        <f>constantes!$B$10*E36/1000</f>
        <v>40.1</v>
      </c>
      <c r="AY36" s="533">
        <f>constantes!$B$12</f>
        <v>0</v>
      </c>
      <c r="AZ36" s="20">
        <v>318</v>
      </c>
      <c r="BA36" s="43"/>
      <c r="BB36" s="3" t="s">
        <v>2215</v>
      </c>
      <c r="BD36" s="534">
        <v>1</v>
      </c>
      <c r="BE36" s="535">
        <v>2035</v>
      </c>
      <c r="BF36" s="536">
        <v>3</v>
      </c>
      <c r="BG36" s="537">
        <v>2050</v>
      </c>
    </row>
    <row r="37" spans="1:59" ht="15">
      <c r="A37" s="125">
        <v>1036</v>
      </c>
      <c r="B37" s="125">
        <v>1036</v>
      </c>
      <c r="C37" s="538" t="s">
        <v>2249</v>
      </c>
      <c r="D37" s="538" t="s">
        <v>2249</v>
      </c>
      <c r="E37" s="526">
        <v>528</v>
      </c>
      <c r="F37" s="3" t="s">
        <v>2179</v>
      </c>
      <c r="G37" s="3" t="s">
        <v>2248</v>
      </c>
      <c r="H37" s="527">
        <v>-55.76</v>
      </c>
      <c r="I37" s="527">
        <v>-5.9163889999999997</v>
      </c>
      <c r="J37" s="539" t="s">
        <v>153</v>
      </c>
      <c r="K37" s="539" t="s">
        <v>153</v>
      </c>
      <c r="L37" s="554">
        <v>9</v>
      </c>
      <c r="M37" s="107"/>
      <c r="N37" s="529">
        <v>1.6379999999999999E-2</v>
      </c>
      <c r="O37" s="529">
        <v>6.1409999999999999E-2</v>
      </c>
      <c r="P37" s="288">
        <f t="shared" si="10"/>
        <v>0.50174901920995685</v>
      </c>
      <c r="Q37" s="30">
        <f t="shared" si="1"/>
        <v>264.92348214285721</v>
      </c>
      <c r="R37" s="30">
        <f t="shared" si="11"/>
        <v>263.07651785714279</v>
      </c>
      <c r="S37" s="107">
        <v>438.09333333333342</v>
      </c>
      <c r="T37" s="107">
        <v>390.55434523809527</v>
      </c>
      <c r="U37" s="107">
        <v>62.214583333333337</v>
      </c>
      <c r="V37" s="107">
        <v>168.83166666666665</v>
      </c>
      <c r="W37" s="288">
        <f t="shared" si="12"/>
        <v>0.47580689245395119</v>
      </c>
      <c r="X37" s="289">
        <f t="shared" si="4"/>
        <v>251.22603921568623</v>
      </c>
      <c r="Y37" s="289">
        <f t="shared" si="5"/>
        <v>-13.697442927170982</v>
      </c>
      <c r="Z37" s="107">
        <v>424.49309803921557</v>
      </c>
      <c r="AA37" s="107">
        <v>381.02643137254904</v>
      </c>
      <c r="AB37" s="107">
        <v>62.993725490196077</v>
      </c>
      <c r="AC37" s="107">
        <v>136.3909019607843</v>
      </c>
      <c r="AD37" s="106">
        <v>3</v>
      </c>
      <c r="AE37" s="32" t="str">
        <f>IF(AD37=0,"",VLOOKUP(AD37,tab_tipo_expansao!$A$2:$B$4,2,0))</f>
        <v>não_considerar</v>
      </c>
      <c r="AF37" s="125">
        <v>2030</v>
      </c>
      <c r="AG37" s="125">
        <v>2100</v>
      </c>
      <c r="AH37" s="125">
        <v>30</v>
      </c>
      <c r="AI37" s="530">
        <v>2859.7309077565897</v>
      </c>
      <c r="AJ37" s="24">
        <f>AK37/constantes!$B$4</f>
        <v>1388.7582108375045</v>
      </c>
      <c r="AK37" s="33">
        <f t="shared" si="13"/>
        <v>5416.1570222662676</v>
      </c>
      <c r="AL37" s="87">
        <v>3</v>
      </c>
      <c r="AM37" s="531">
        <v>0</v>
      </c>
      <c r="AN37" s="23"/>
      <c r="AO37" s="532">
        <f t="shared" si="7"/>
        <v>2859.7309077565897</v>
      </c>
      <c r="AQ37" s="35">
        <f t="shared" si="14"/>
        <v>5416.1570222662685</v>
      </c>
      <c r="AR37" s="36">
        <f ca="1">OFFSET(cod_desembolso!$A$1,AL37,23)</f>
        <v>1.1255071012622904</v>
      </c>
      <c r="AS37" s="37">
        <f ca="1">IF(AO37=0,0,AO37*(OFFSET(cod_desembolso!$A$1,AL37,23)))</f>
        <v>3218.6474443792977</v>
      </c>
      <c r="AT37" s="38">
        <f>(constantes!$B$3*(1+constantes!$B$3)^(AH37))/((1+constantes!$B$3)^(AH37)-1)</f>
        <v>8.8827433387272267E-2</v>
      </c>
      <c r="AU37" s="37">
        <f t="shared" ca="1" si="9"/>
        <v>312.30419146271618</v>
      </c>
      <c r="AV37" s="37">
        <f ca="1">IF(AO37=0,AX37/constantes!$B$3,AU37/constantes!$B$3)</f>
        <v>3903.8023932839519</v>
      </c>
      <c r="AW37" s="39">
        <f ca="1">IF(AO37=0,0,PV(constantes!$B$3,AH37,-AU37)*constantes!$B$3)</f>
        <v>281.26823397102908</v>
      </c>
      <c r="AX37" s="40">
        <f>constantes!$B$10*E37/1000</f>
        <v>26.4</v>
      </c>
      <c r="AY37" s="533">
        <f>constantes!$B$12</f>
        <v>0</v>
      </c>
      <c r="AZ37" s="20">
        <v>318</v>
      </c>
      <c r="BA37" s="43"/>
      <c r="BB37" s="3" t="s">
        <v>2183</v>
      </c>
      <c r="BD37" s="534">
        <v>1</v>
      </c>
      <c r="BE37" s="535">
        <v>2030</v>
      </c>
      <c r="BF37" s="536">
        <v>1</v>
      </c>
      <c r="BG37" s="537">
        <v>2030</v>
      </c>
    </row>
    <row r="38" spans="1:59" ht="15">
      <c r="A38" s="125">
        <v>1037</v>
      </c>
      <c r="B38" s="125">
        <v>1037</v>
      </c>
      <c r="C38" s="538" t="s">
        <v>2250</v>
      </c>
      <c r="D38" s="538" t="s">
        <v>2250</v>
      </c>
      <c r="E38" s="526">
        <v>399.8</v>
      </c>
      <c r="F38" s="3" t="s">
        <v>2179</v>
      </c>
      <c r="G38" s="3" t="s">
        <v>2251</v>
      </c>
      <c r="H38" s="527">
        <v>-60.914164999999997</v>
      </c>
      <c r="I38" s="527">
        <v>-7.705279</v>
      </c>
      <c r="J38" s="539" t="s">
        <v>154</v>
      </c>
      <c r="K38" s="539" t="s">
        <v>154</v>
      </c>
      <c r="L38" s="554">
        <v>7</v>
      </c>
      <c r="M38" s="107"/>
      <c r="N38" s="529">
        <v>1.6379999999999999E-2</v>
      </c>
      <c r="O38" s="529">
        <v>6.1409999999999999E-2</v>
      </c>
      <c r="P38" s="288">
        <f t="shared" si="10"/>
        <v>0.51906172580337795</v>
      </c>
      <c r="Q38" s="30">
        <f t="shared" si="1"/>
        <v>207.52087797619049</v>
      </c>
      <c r="R38" s="30">
        <f t="shared" si="11"/>
        <v>192.27912202380952</v>
      </c>
      <c r="S38" s="107">
        <v>340.17047619047617</v>
      </c>
      <c r="T38" s="107">
        <v>293.13261904761907</v>
      </c>
      <c r="U38" s="107">
        <v>83.325416666666669</v>
      </c>
      <c r="V38" s="107">
        <v>113.455</v>
      </c>
      <c r="W38" s="288">
        <f t="shared" si="12"/>
        <v>0.51766733857124614</v>
      </c>
      <c r="X38" s="289">
        <f t="shared" si="4"/>
        <v>206.96340196078421</v>
      </c>
      <c r="Y38" s="289">
        <f t="shared" si="5"/>
        <v>-0.55747601540628011</v>
      </c>
      <c r="Z38" s="107">
        <v>353.13160784313692</v>
      </c>
      <c r="AA38" s="107">
        <v>292.07443137254887</v>
      </c>
      <c r="AB38" s="107">
        <v>72.390745098039233</v>
      </c>
      <c r="AC38" s="107">
        <v>110.25682352941176</v>
      </c>
      <c r="AD38" s="106">
        <v>3</v>
      </c>
      <c r="AE38" s="32" t="str">
        <f>IF(AD38=0,"",VLOOKUP(AD38,tab_tipo_expansao!$A$2:$B$4,2,0))</f>
        <v>não_considerar</v>
      </c>
      <c r="AF38" s="125">
        <v>2030</v>
      </c>
      <c r="AG38" s="125">
        <v>2100</v>
      </c>
      <c r="AH38" s="125">
        <v>30</v>
      </c>
      <c r="AI38" s="530">
        <v>3240.9377455207828</v>
      </c>
      <c r="AJ38" s="24">
        <f>AK38/constantes!$B$4</f>
        <v>2078.5634775854487</v>
      </c>
      <c r="AK38" s="33">
        <f t="shared" si="13"/>
        <v>8106.3975625832491</v>
      </c>
      <c r="AL38" s="87">
        <v>2</v>
      </c>
      <c r="AM38" s="531">
        <v>0</v>
      </c>
      <c r="AN38" s="23"/>
      <c r="AO38" s="532">
        <f t="shared" si="7"/>
        <v>3240.9377455207828</v>
      </c>
      <c r="AQ38" s="35">
        <f t="shared" si="14"/>
        <v>8106.3975625832481</v>
      </c>
      <c r="AR38" s="36">
        <f ca="1">OFFSET(cod_desembolso!$A$1,AL38,23)</f>
        <v>1.1245293369208682</v>
      </c>
      <c r="AS38" s="37">
        <f ca="1">IF(AO38=0,0,AO38*(OFFSET(cod_desembolso!$A$1,AL38,23)))</f>
        <v>3644.5295739722992</v>
      </c>
      <c r="AT38" s="38">
        <f>(constantes!$B$3*(1+constantes!$B$3)^(AH38))/((1+constantes!$B$3)^(AH38)-1)</f>
        <v>8.8827433387272267E-2</v>
      </c>
      <c r="AU38" s="37">
        <f t="shared" ca="1" si="9"/>
        <v>343.72420795996817</v>
      </c>
      <c r="AV38" s="37">
        <f ca="1">IF(AO38=0,AX38/constantes!$B$3,AU38/constantes!$B$3)</f>
        <v>4296.5525994996024</v>
      </c>
      <c r="AW38" s="39">
        <f ca="1">IF(AO38=0,0,PV(constantes!$B$3,AH38,-AU38)*constantes!$B$3)</f>
        <v>309.56581304011337</v>
      </c>
      <c r="AX38" s="40">
        <f>constantes!$B$10*E38/1000</f>
        <v>19.989999999999998</v>
      </c>
      <c r="AY38" s="533">
        <f>constantes!$B$12</f>
        <v>0</v>
      </c>
      <c r="AZ38" s="20">
        <v>318</v>
      </c>
      <c r="BA38" s="43"/>
      <c r="BB38" s="3" t="s">
        <v>2183</v>
      </c>
      <c r="BD38" s="534">
        <v>1</v>
      </c>
      <c r="BE38" s="535">
        <v>2030</v>
      </c>
      <c r="BF38" s="536">
        <v>1</v>
      </c>
      <c r="BG38" s="537">
        <v>2030</v>
      </c>
    </row>
    <row r="39" spans="1:59" ht="15">
      <c r="A39" s="125">
        <v>1038</v>
      </c>
      <c r="B39" s="125">
        <v>1038</v>
      </c>
      <c r="C39" s="538" t="s">
        <v>2252</v>
      </c>
      <c r="D39" s="538" t="s">
        <v>2252</v>
      </c>
      <c r="E39" s="526">
        <v>39</v>
      </c>
      <c r="F39" s="3" t="s">
        <v>2179</v>
      </c>
      <c r="G39" s="3" t="s">
        <v>2253</v>
      </c>
      <c r="H39" s="527">
        <v>-58.957948999999999</v>
      </c>
      <c r="I39" s="527">
        <v>-12.989414</v>
      </c>
      <c r="J39" s="539" t="s">
        <v>158</v>
      </c>
      <c r="K39" s="539" t="s">
        <v>158</v>
      </c>
      <c r="L39" s="554">
        <v>10</v>
      </c>
      <c r="M39" s="107"/>
      <c r="N39" s="529">
        <v>2.068E-2</v>
      </c>
      <c r="O39" s="529">
        <v>4.6600000000000003E-2</v>
      </c>
      <c r="P39" s="288">
        <f t="shared" si="10"/>
        <v>0.532119300920186</v>
      </c>
      <c r="Q39" s="30">
        <f t="shared" si="1"/>
        <v>20.752652735887253</v>
      </c>
      <c r="R39" s="30">
        <f t="shared" si="11"/>
        <v>18.247347264112747</v>
      </c>
      <c r="S39" s="107">
        <v>26.006579583891352</v>
      </c>
      <c r="T39" s="107">
        <v>22.829824982870107</v>
      </c>
      <c r="U39" s="107">
        <v>16.19437386969069</v>
      </c>
      <c r="V39" s="107">
        <v>17.979832507096862</v>
      </c>
      <c r="W39" s="288">
        <f t="shared" si="12"/>
        <v>0.56765074645560565</v>
      </c>
      <c r="X39" s="289">
        <f t="shared" si="4"/>
        <v>22.138379111768621</v>
      </c>
      <c r="Y39" s="289">
        <f t="shared" si="5"/>
        <v>1.3857263758813687</v>
      </c>
      <c r="Z39" s="107">
        <v>28.936079784710362</v>
      </c>
      <c r="AA39" s="107">
        <v>24.072831689811157</v>
      </c>
      <c r="AB39" s="107">
        <v>16.57374689903342</v>
      </c>
      <c r="AC39" s="107">
        <v>18.970858073519558</v>
      </c>
      <c r="AD39" s="106">
        <v>1</v>
      </c>
      <c r="AE39" s="32" t="str">
        <f>IF(AD39=0,"",VLOOKUP(AD39,tab_tipo_expansao!$A$2:$B$4,2,0))</f>
        <v>opcional</v>
      </c>
      <c r="AF39" s="125">
        <v>2028</v>
      </c>
      <c r="AG39" s="125">
        <v>2100</v>
      </c>
      <c r="AH39" s="125">
        <v>30</v>
      </c>
      <c r="AI39" s="530">
        <v>390</v>
      </c>
      <c r="AJ39" s="24">
        <f>AK39/constantes!$B$4</f>
        <v>2564.102564102564</v>
      </c>
      <c r="AK39" s="33">
        <f t="shared" si="13"/>
        <v>10000</v>
      </c>
      <c r="AL39" s="87">
        <v>2</v>
      </c>
      <c r="AM39" s="531">
        <v>0</v>
      </c>
      <c r="AN39" s="23"/>
      <c r="AO39" s="532">
        <f t="shared" si="7"/>
        <v>390</v>
      </c>
      <c r="AQ39" s="35">
        <f t="shared" si="14"/>
        <v>10000</v>
      </c>
      <c r="AR39" s="36">
        <f ca="1">OFFSET(cod_desembolso!$A$1,AL39,23)</f>
        <v>1.1245293369208682</v>
      </c>
      <c r="AS39" s="37">
        <f ca="1">IF(AO39=0,0,AO39*(OFFSET(cod_desembolso!$A$1,AL39,23)))</f>
        <v>438.56644139913863</v>
      </c>
      <c r="AT39" s="38">
        <f>(constantes!$B$3*(1+constantes!$B$3)^(AH39))/((1+constantes!$B$3)^(AH39)-1)</f>
        <v>8.8827433387272267E-2</v>
      </c>
      <c r="AU39" s="37">
        <f t="shared" ca="1" si="9"/>
        <v>40.906731359275035</v>
      </c>
      <c r="AV39" s="37">
        <f ca="1">IF(AO39=0,AX39/constantes!$B$3,AU39/constantes!$B$3)</f>
        <v>511.33414199093795</v>
      </c>
      <c r="AW39" s="39">
        <f ca="1">IF(AO39=0,0,PV(constantes!$B$3,AH39,-AU39)*constantes!$B$3)</f>
        <v>36.84152951345898</v>
      </c>
      <c r="AX39" s="40">
        <f>constantes!$B$10*E39/1000</f>
        <v>1.95</v>
      </c>
      <c r="AY39" s="533">
        <f>constantes!$B$12</f>
        <v>0</v>
      </c>
      <c r="AZ39" s="20">
        <v>318</v>
      </c>
      <c r="BA39" s="43"/>
      <c r="BB39" s="3" t="s">
        <v>2195</v>
      </c>
      <c r="BD39" s="534">
        <v>1</v>
      </c>
      <c r="BE39" s="535">
        <v>2027</v>
      </c>
      <c r="BF39" s="536">
        <v>1</v>
      </c>
      <c r="BG39" s="537">
        <v>2027</v>
      </c>
    </row>
    <row r="40" spans="1:59" ht="14.45" customHeight="1">
      <c r="A40" s="125">
        <v>1039</v>
      </c>
      <c r="B40" s="125">
        <v>1039</v>
      </c>
      <c r="C40" s="538" t="s">
        <v>2254</v>
      </c>
      <c r="D40" s="538" t="s">
        <v>2254</v>
      </c>
      <c r="E40" s="526">
        <v>50</v>
      </c>
      <c r="F40" s="3" t="s">
        <v>2229</v>
      </c>
      <c r="G40" s="3" t="s">
        <v>2136</v>
      </c>
      <c r="H40" s="527">
        <v>-41.873842000000003</v>
      </c>
      <c r="I40" s="527">
        <v>-21.577017000000001</v>
      </c>
      <c r="J40" s="539" t="s">
        <v>282</v>
      </c>
      <c r="K40" s="539" t="s">
        <v>282</v>
      </c>
      <c r="L40" s="554">
        <v>1</v>
      </c>
      <c r="M40" s="107"/>
      <c r="N40" s="529">
        <v>2.068E-2</v>
      </c>
      <c r="O40" s="529">
        <v>4.6600000000000003E-2</v>
      </c>
      <c r="P40" s="288">
        <f t="shared" si="10"/>
        <v>0.67460952380952388</v>
      </c>
      <c r="Q40" s="30">
        <f t="shared" si="1"/>
        <v>33.730476190476196</v>
      </c>
      <c r="R40" s="30">
        <f t="shared" si="11"/>
        <v>16.269523809523804</v>
      </c>
      <c r="S40" s="107">
        <v>39.814761904761909</v>
      </c>
      <c r="T40" s="107">
        <v>36.822083333333332</v>
      </c>
      <c r="U40" s="107">
        <v>23.075833333333335</v>
      </c>
      <c r="V40" s="107">
        <v>35.209226190476194</v>
      </c>
      <c r="W40" s="288">
        <f t="shared" si="12"/>
        <v>0.69738019607843116</v>
      </c>
      <c r="X40" s="289">
        <f t="shared" si="4"/>
        <v>34.869009803921557</v>
      </c>
      <c r="Y40" s="289">
        <f t="shared" si="5"/>
        <v>1.138533613445361</v>
      </c>
      <c r="Z40" s="107">
        <v>41.596980392156851</v>
      </c>
      <c r="AA40" s="107">
        <v>37.394549019607823</v>
      </c>
      <c r="AB40" s="107">
        <v>23.430235294117651</v>
      </c>
      <c r="AC40" s="107">
        <v>37.054274509803911</v>
      </c>
      <c r="AD40" s="106">
        <v>1</v>
      </c>
      <c r="AE40" s="32" t="str">
        <f>IF(AD40=0,"",VLOOKUP(AD40,tab_tipo_expansao!$A$2:$B$4,2,0))</f>
        <v>opcional</v>
      </c>
      <c r="AF40" s="125">
        <v>2028</v>
      </c>
      <c r="AG40" s="125">
        <v>2100</v>
      </c>
      <c r="AH40" s="125">
        <v>30</v>
      </c>
      <c r="AI40" s="530">
        <v>599.65695138697652</v>
      </c>
      <c r="AJ40" s="24">
        <f>AK40/constantes!$B$4</f>
        <v>3075.1638532665465</v>
      </c>
      <c r="AK40" s="33">
        <f t="shared" si="13"/>
        <v>11993.139027739531</v>
      </c>
      <c r="AL40" s="87">
        <v>2</v>
      </c>
      <c r="AM40" s="531">
        <v>0</v>
      </c>
      <c r="AN40" s="23"/>
      <c r="AO40" s="532">
        <f t="shared" si="7"/>
        <v>599.65695138697652</v>
      </c>
      <c r="AQ40" s="35">
        <f t="shared" si="14"/>
        <v>11993.139027739531</v>
      </c>
      <c r="AR40" s="36">
        <f ca="1">OFFSET(cod_desembolso!$A$1,AL40,23)</f>
        <v>1.1245293369208682</v>
      </c>
      <c r="AS40" s="37">
        <f ca="1">IF(AO40=0,0,AO40*(OFFSET(cod_desembolso!$A$1,AL40,23)))</f>
        <v>674.33183392318597</v>
      </c>
      <c r="AT40" s="38">
        <f>(constantes!$B$3*(1+constantes!$B$3)^(AH40))/((1+constantes!$B$3)^(AH40)-1)</f>
        <v>8.8827433387272267E-2</v>
      </c>
      <c r="AU40" s="37">
        <f t="shared" ca="1" si="9"/>
        <v>62.399166058728945</v>
      </c>
      <c r="AV40" s="37">
        <f ca="1">IF(AO40=0,AX40/constantes!$B$3,AU40/constantes!$B$3)</f>
        <v>779.98957573411178</v>
      </c>
      <c r="AW40" s="39">
        <f ca="1">IF(AO40=0,0,PV(constantes!$B$3,AH40,-AU40)*constantes!$B$3)</f>
        <v>56.198103382480369</v>
      </c>
      <c r="AX40" s="40">
        <f>constantes!$B$10*E40/1000</f>
        <v>2.5</v>
      </c>
      <c r="AY40" s="533">
        <f>constantes!$B$12</f>
        <v>0</v>
      </c>
      <c r="AZ40" s="20">
        <v>318</v>
      </c>
      <c r="BA40" s="43"/>
      <c r="BB40" s="3" t="s">
        <v>2195</v>
      </c>
      <c r="BD40" s="534">
        <v>1</v>
      </c>
      <c r="BE40" s="535">
        <v>2027</v>
      </c>
      <c r="BF40" s="536">
        <v>1</v>
      </c>
      <c r="BG40" s="537">
        <v>2027</v>
      </c>
    </row>
    <row r="41" spans="1:59" ht="14.45" customHeight="1">
      <c r="A41" s="125">
        <v>1040</v>
      </c>
      <c r="B41" s="125">
        <v>1040</v>
      </c>
      <c r="C41" s="538" t="s">
        <v>2255</v>
      </c>
      <c r="D41" s="538" t="s">
        <v>2255</v>
      </c>
      <c r="E41" s="526">
        <v>44</v>
      </c>
      <c r="F41" s="3" t="s">
        <v>2244</v>
      </c>
      <c r="G41" s="3" t="s">
        <v>2244</v>
      </c>
      <c r="H41" s="527">
        <v>-45.788333000000002</v>
      </c>
      <c r="I41" s="527">
        <v>-8.6169440000000002</v>
      </c>
      <c r="J41" s="539" t="s">
        <v>1983</v>
      </c>
      <c r="K41" s="539" t="s">
        <v>1983</v>
      </c>
      <c r="L41" s="554">
        <v>3</v>
      </c>
      <c r="M41" s="107"/>
      <c r="N41" s="529">
        <v>2.068E-2</v>
      </c>
      <c r="O41" s="529">
        <v>4.6600000000000003E-2</v>
      </c>
      <c r="P41" s="288">
        <f t="shared" si="10"/>
        <v>0.71498782467532462</v>
      </c>
      <c r="Q41" s="30">
        <f t="shared" si="1"/>
        <v>31.459464285714283</v>
      </c>
      <c r="R41" s="30">
        <f t="shared" si="11"/>
        <v>12.540535714285717</v>
      </c>
      <c r="S41" s="107">
        <v>38.439999999999991</v>
      </c>
      <c r="T41" s="107">
        <v>33.632023809523808</v>
      </c>
      <c r="U41" s="107">
        <v>21.752499999999998</v>
      </c>
      <c r="V41" s="107">
        <v>32.013333333333328</v>
      </c>
      <c r="W41" s="288">
        <f t="shared" si="12"/>
        <v>0.716985294117647</v>
      </c>
      <c r="X41" s="289">
        <f t="shared" si="4"/>
        <v>31.54735294117647</v>
      </c>
      <c r="Y41" s="289">
        <f t="shared" si="5"/>
        <v>8.788865546218716E-2</v>
      </c>
      <c r="Z41" s="107">
        <v>37.614196078431377</v>
      </c>
      <c r="AA41" s="107">
        <v>33.307647058823541</v>
      </c>
      <c r="AB41" s="107">
        <v>22.576509803921567</v>
      </c>
      <c r="AC41" s="107">
        <v>32.691058823529403</v>
      </c>
      <c r="AD41" s="106">
        <v>1</v>
      </c>
      <c r="AE41" s="32" t="str">
        <f>IF(AD41=0,"",VLOOKUP(AD41,tab_tipo_expansao!$A$2:$B$4,2,0))</f>
        <v>opcional</v>
      </c>
      <c r="AF41" s="125">
        <v>2028</v>
      </c>
      <c r="AG41" s="125">
        <v>2100</v>
      </c>
      <c r="AH41" s="125">
        <v>30</v>
      </c>
      <c r="AI41" s="530">
        <v>440</v>
      </c>
      <c r="AJ41" s="24">
        <f>AK41/constantes!$B$4</f>
        <v>2564.102564102564</v>
      </c>
      <c r="AK41" s="33">
        <f t="shared" si="13"/>
        <v>10000</v>
      </c>
      <c r="AL41" s="87">
        <v>2</v>
      </c>
      <c r="AM41" s="531">
        <v>0</v>
      </c>
      <c r="AN41" s="23"/>
      <c r="AO41" s="532">
        <f t="shared" si="7"/>
        <v>440</v>
      </c>
      <c r="AQ41" s="35">
        <f t="shared" si="14"/>
        <v>10000</v>
      </c>
      <c r="AR41" s="36">
        <f ca="1">OFFSET(cod_desembolso!$A$1,AL41,23)</f>
        <v>1.1245293369208682</v>
      </c>
      <c r="AS41" s="37">
        <f ca="1">IF(AO41=0,0,AO41*(OFFSET(cod_desembolso!$A$1,AL41,23)))</f>
        <v>494.79290824518199</v>
      </c>
      <c r="AT41" s="38">
        <f>(constantes!$B$3*(1+constantes!$B$3)^(AH41))/((1+constantes!$B$3)^(AH41)-1)</f>
        <v>8.8827433387272267E-2</v>
      </c>
      <c r="AU41" s="37">
        <f t="shared" ca="1" si="9"/>
        <v>46.151184097643622</v>
      </c>
      <c r="AV41" s="37">
        <f ca="1">IF(AO41=0,AX41/constantes!$B$3,AU41/constantes!$B$3)</f>
        <v>576.88980122054522</v>
      </c>
      <c r="AW41" s="39">
        <f ca="1">IF(AO41=0,0,PV(constantes!$B$3,AH41,-AU41)*constantes!$B$3)</f>
        <v>41.564802528004996</v>
      </c>
      <c r="AX41" s="40">
        <f>constantes!$B$10*E41/1000</f>
        <v>2.2000000000000002</v>
      </c>
      <c r="AY41" s="533">
        <f>constantes!$B$12</f>
        <v>0</v>
      </c>
      <c r="AZ41" s="20">
        <v>318</v>
      </c>
      <c r="BA41" s="43"/>
      <c r="BB41" s="3" t="s">
        <v>2195</v>
      </c>
      <c r="BD41" s="534">
        <v>1</v>
      </c>
      <c r="BE41" s="535">
        <v>2027</v>
      </c>
      <c r="BF41" s="536">
        <v>1</v>
      </c>
      <c r="BG41" s="537">
        <v>2027</v>
      </c>
    </row>
    <row r="42" spans="1:59" ht="14.45" customHeight="1">
      <c r="A42" s="125">
        <v>1041</v>
      </c>
      <c r="B42" s="125">
        <v>1041</v>
      </c>
      <c r="C42" s="538" t="s">
        <v>2256</v>
      </c>
      <c r="D42" s="538" t="s">
        <v>2256</v>
      </c>
      <c r="E42" s="526">
        <v>36.700000000000003</v>
      </c>
      <c r="F42" s="3" t="s">
        <v>2194</v>
      </c>
      <c r="G42" s="3" t="s">
        <v>2212</v>
      </c>
      <c r="H42" s="527">
        <v>-52.864167000000002</v>
      </c>
      <c r="I42" s="527">
        <v>-24.756111000000001</v>
      </c>
      <c r="J42" s="539" t="s">
        <v>151</v>
      </c>
      <c r="K42" s="539" t="s">
        <v>151</v>
      </c>
      <c r="L42" s="554">
        <v>2</v>
      </c>
      <c r="M42" s="107"/>
      <c r="N42" s="529">
        <v>2.068E-2</v>
      </c>
      <c r="O42" s="529">
        <v>4.6600000000000003E-2</v>
      </c>
      <c r="P42" s="288">
        <f t="shared" si="10"/>
        <v>0.54647885039574406</v>
      </c>
      <c r="Q42" s="30">
        <f t="shared" si="1"/>
        <v>20.05577380952381</v>
      </c>
      <c r="R42" s="30">
        <f t="shared" si="11"/>
        <v>16.644226190476193</v>
      </c>
      <c r="S42" s="107">
        <v>19.867619047619048</v>
      </c>
      <c r="T42" s="107">
        <v>22.756071428571431</v>
      </c>
      <c r="U42" s="107">
        <v>17.15666666666667</v>
      </c>
      <c r="V42" s="107">
        <v>20.442738095238095</v>
      </c>
      <c r="W42" s="288">
        <f t="shared" si="12"/>
        <v>0.60612117326494619</v>
      </c>
      <c r="X42" s="289">
        <f t="shared" si="4"/>
        <v>22.244647058823528</v>
      </c>
      <c r="Y42" s="289">
        <f t="shared" si="5"/>
        <v>2.1888732492997178</v>
      </c>
      <c r="Z42" s="107">
        <v>21.977176470588237</v>
      </c>
      <c r="AA42" s="107">
        <v>22.118431372549011</v>
      </c>
      <c r="AB42" s="107">
        <v>20.650313725490193</v>
      </c>
      <c r="AC42" s="107">
        <v>24.23266666666667</v>
      </c>
      <c r="AD42" s="106">
        <v>1</v>
      </c>
      <c r="AE42" s="32" t="str">
        <f>IF(AD42=0,"",VLOOKUP(AD42,tab_tipo_expansao!$A$2:$B$4,2,0))</f>
        <v>opcional</v>
      </c>
      <c r="AF42" s="125">
        <v>2028</v>
      </c>
      <c r="AG42" s="125">
        <v>2100</v>
      </c>
      <c r="AH42" s="125">
        <v>30</v>
      </c>
      <c r="AI42" s="530">
        <v>394.28893403564325</v>
      </c>
      <c r="AJ42" s="24">
        <f>AK42/constantes!$B$4</f>
        <v>2754.7609448448493</v>
      </c>
      <c r="AK42" s="33">
        <f t="shared" si="13"/>
        <v>10743.567684894912</v>
      </c>
      <c r="AL42" s="87">
        <v>2</v>
      </c>
      <c r="AM42" s="531">
        <v>0</v>
      </c>
      <c r="AN42" s="23"/>
      <c r="AO42" s="532">
        <f t="shared" si="7"/>
        <v>394.28893403564325</v>
      </c>
      <c r="AQ42" s="35">
        <f t="shared" si="14"/>
        <v>10743.56768489491</v>
      </c>
      <c r="AR42" s="36">
        <f ca="1">OFFSET(cod_desembolso!$A$1,AL42,23)</f>
        <v>1.1245293369208682</v>
      </c>
      <c r="AS42" s="37">
        <f ca="1">IF(AO42=0,0,AO42*(OFFSET(cod_desembolso!$A$1,AL42,23)))</f>
        <v>443.38947354633785</v>
      </c>
      <c r="AT42" s="38">
        <f>(constantes!$B$3*(1+constantes!$B$3)^(AH42))/((1+constantes!$B$3)^(AH42)-1)</f>
        <v>8.8827433387272267E-2</v>
      </c>
      <c r="AU42" s="37">
        <f t="shared" ca="1" si="9"/>
        <v>41.220148926055046</v>
      </c>
      <c r="AV42" s="37">
        <f ca="1">IF(AO42=0,AX42/constantes!$B$3,AU42/constantes!$B$3)</f>
        <v>515.25186157568805</v>
      </c>
      <c r="AW42" s="39">
        <f ca="1">IF(AO42=0,0,PV(constantes!$B$3,AH42,-AU42)*constantes!$B$3)</f>
        <v>37.123800478478145</v>
      </c>
      <c r="AX42" s="40">
        <f>constantes!$B$10*E42/1000</f>
        <v>1.8350000000000002</v>
      </c>
      <c r="AY42" s="533">
        <f>constantes!$B$12</f>
        <v>0</v>
      </c>
      <c r="AZ42" s="20">
        <v>318</v>
      </c>
      <c r="BA42" s="43"/>
      <c r="BB42" s="3" t="s">
        <v>2195</v>
      </c>
      <c r="BD42" s="534">
        <v>1</v>
      </c>
      <c r="BE42" s="535">
        <v>2027</v>
      </c>
      <c r="BF42" s="536">
        <v>1</v>
      </c>
      <c r="BG42" s="537">
        <v>2027</v>
      </c>
    </row>
    <row r="43" spans="1:59" ht="14.45" customHeight="1">
      <c r="A43" s="125">
        <v>1042</v>
      </c>
      <c r="B43" s="125">
        <v>1042</v>
      </c>
      <c r="C43" s="538" t="s">
        <v>2257</v>
      </c>
      <c r="D43" s="538" t="s">
        <v>2257</v>
      </c>
      <c r="E43" s="526">
        <v>240.2</v>
      </c>
      <c r="F43" s="3" t="s">
        <v>2179</v>
      </c>
      <c r="G43" s="3" t="s">
        <v>2190</v>
      </c>
      <c r="H43" s="527">
        <v>-52.960278000000002</v>
      </c>
      <c r="I43" s="527">
        <v>-8.3055000000000004E-2</v>
      </c>
      <c r="J43" s="539" t="s">
        <v>1999</v>
      </c>
      <c r="K43" s="539" t="s">
        <v>1999</v>
      </c>
      <c r="L43" s="554">
        <v>4</v>
      </c>
      <c r="M43" s="107"/>
      <c r="N43" s="529">
        <v>1.6379999999999999E-2</v>
      </c>
      <c r="O43" s="529">
        <v>6.1409999999999999E-2</v>
      </c>
      <c r="P43" s="288">
        <f t="shared" si="10"/>
        <v>0.51330959319614611</v>
      </c>
      <c r="Q43" s="30">
        <f t="shared" si="1"/>
        <v>123.2969642857143</v>
      </c>
      <c r="R43" s="30">
        <f t="shared" si="11"/>
        <v>116.90303571428569</v>
      </c>
      <c r="S43" s="107">
        <v>140.76142857142858</v>
      </c>
      <c r="T43" s="107">
        <v>196.91904761904763</v>
      </c>
      <c r="U43" s="107">
        <v>115.43083333333334</v>
      </c>
      <c r="V43" s="107">
        <v>40.076547619047624</v>
      </c>
      <c r="W43" s="288">
        <f t="shared" si="12"/>
        <v>0.46414164666699331</v>
      </c>
      <c r="X43" s="289">
        <f t="shared" si="4"/>
        <v>111.48682352941179</v>
      </c>
      <c r="Y43" s="289">
        <f t="shared" si="5"/>
        <v>-11.810140756302502</v>
      </c>
      <c r="Z43" s="107">
        <v>114.56117647058828</v>
      </c>
      <c r="AA43" s="107">
        <v>187.78015686274512</v>
      </c>
      <c r="AB43" s="107">
        <v>108.58211764705885</v>
      </c>
      <c r="AC43" s="107">
        <v>35.023843137254893</v>
      </c>
      <c r="AD43" s="106">
        <v>3</v>
      </c>
      <c r="AE43" s="32" t="str">
        <f>IF(AD43=0,"",VLOOKUP(AD43,tab_tipo_expansao!$A$2:$B$4,2,0))</f>
        <v>não_considerar</v>
      </c>
      <c r="AF43" s="125">
        <v>2030</v>
      </c>
      <c r="AG43" s="125">
        <v>2100</v>
      </c>
      <c r="AH43" s="125">
        <v>30</v>
      </c>
      <c r="AI43" s="530">
        <v>3117.6972065403988</v>
      </c>
      <c r="AJ43" s="24">
        <f>AK43/constantes!$B$4</f>
        <v>3328.0996675210822</v>
      </c>
      <c r="AK43" s="33">
        <f t="shared" si="13"/>
        <v>12979.58870333222</v>
      </c>
      <c r="AL43" s="87">
        <v>2</v>
      </c>
      <c r="AM43" s="531">
        <v>0</v>
      </c>
      <c r="AN43" s="23"/>
      <c r="AO43" s="532">
        <f t="shared" si="7"/>
        <v>3117.6972065403988</v>
      </c>
      <c r="AQ43" s="35">
        <f t="shared" si="14"/>
        <v>12979.588703332218</v>
      </c>
      <c r="AR43" s="36">
        <f ca="1">OFFSET(cod_desembolso!$A$1,AL43,23)</f>
        <v>1.1245293369208682</v>
      </c>
      <c r="AS43" s="37">
        <f ca="1">IF(AO43=0,0,AO43*(OFFSET(cod_desembolso!$A$1,AL43,23)))</f>
        <v>3505.9419723909177</v>
      </c>
      <c r="AT43" s="38">
        <f>(constantes!$B$3*(1+constantes!$B$3)^(AH43))/((1+constantes!$B$3)^(AH43)-1)</f>
        <v>8.8827433387272267E-2</v>
      </c>
      <c r="AU43" s="37">
        <f t="shared" ca="1" si="9"/>
        <v>323.43382701219616</v>
      </c>
      <c r="AV43" s="37">
        <f ca="1">IF(AO43=0,AX43/constantes!$B$3,AU43/constantes!$B$3)</f>
        <v>4042.922837652452</v>
      </c>
      <c r="AW43" s="39">
        <f ca="1">IF(AO43=0,0,PV(constantes!$B$3,AH43,-AU43)*constantes!$B$3)</f>
        <v>291.29183602735026</v>
      </c>
      <c r="AX43" s="40">
        <f>constantes!$B$10*E43/1000</f>
        <v>12.01</v>
      </c>
      <c r="AY43" s="533">
        <f>constantes!$B$12</f>
        <v>0</v>
      </c>
      <c r="AZ43" s="20">
        <v>318</v>
      </c>
      <c r="BA43" s="43"/>
      <c r="BB43" s="3" t="s">
        <v>2181</v>
      </c>
      <c r="BD43" s="534">
        <v>1</v>
      </c>
      <c r="BE43" s="535">
        <v>2027</v>
      </c>
      <c r="BF43" s="536">
        <v>1</v>
      </c>
      <c r="BG43" s="537">
        <v>2027</v>
      </c>
    </row>
    <row r="44" spans="1:59" ht="14.45" customHeight="1">
      <c r="A44" s="125">
        <v>1043</v>
      </c>
      <c r="B44" s="125">
        <v>1043</v>
      </c>
      <c r="C44" s="626" t="s">
        <v>2258</v>
      </c>
      <c r="D44" s="538" t="s">
        <v>2258</v>
      </c>
      <c r="E44" s="526">
        <v>140</v>
      </c>
      <c r="F44" s="3" t="s">
        <v>2179</v>
      </c>
      <c r="G44" s="3" t="s">
        <v>2226</v>
      </c>
      <c r="H44" s="527">
        <v>-57.754694000000001</v>
      </c>
      <c r="I44" s="527">
        <v>-11.076651999999999</v>
      </c>
      <c r="J44" s="539" t="s">
        <v>158</v>
      </c>
      <c r="K44" s="539" t="s">
        <v>158</v>
      </c>
      <c r="L44" s="554">
        <v>1</v>
      </c>
      <c r="M44" s="107"/>
      <c r="N44" s="529">
        <v>1.9820000000000001E-2</v>
      </c>
      <c r="O44" s="529">
        <v>5.2919999999999995E-2</v>
      </c>
      <c r="P44" s="288">
        <f t="shared" si="10"/>
        <v>0.71695248724489802</v>
      </c>
      <c r="Q44" s="30">
        <f t="shared" si="1"/>
        <v>100.37334821428573</v>
      </c>
      <c r="R44" s="30">
        <f t="shared" si="11"/>
        <v>39.626651785714273</v>
      </c>
      <c r="S44" s="107">
        <v>129.21952380952385</v>
      </c>
      <c r="T44" s="107">
        <v>113.44666666666667</v>
      </c>
      <c r="U44" s="107">
        <v>61.807083333333331</v>
      </c>
      <c r="V44" s="107">
        <v>97.020119047619048</v>
      </c>
      <c r="W44" s="288">
        <f t="shared" si="12"/>
        <v>0.70039929971988768</v>
      </c>
      <c r="X44" s="289">
        <f t="shared" si="4"/>
        <v>98.055901960784283</v>
      </c>
      <c r="Y44" s="289">
        <f t="shared" si="5"/>
        <v>-2.3174462535014442</v>
      </c>
      <c r="Z44" s="107">
        <v>127.23831372549012</v>
      </c>
      <c r="AA44" s="107">
        <v>108.47945098039213</v>
      </c>
      <c r="AB44" s="107">
        <v>62.598980392156847</v>
      </c>
      <c r="AC44" s="107">
        <v>93.906862745098053</v>
      </c>
      <c r="AD44" s="106">
        <v>1</v>
      </c>
      <c r="AE44" s="32" t="str">
        <f>IF(AD44=0,"",VLOOKUP(AD44,tab_tipo_expansao!$A$2:$B$4,2,0))</f>
        <v>opcional</v>
      </c>
      <c r="AF44" s="125">
        <v>2023</v>
      </c>
      <c r="AG44" s="125">
        <v>2100</v>
      </c>
      <c r="AH44" s="125">
        <v>30</v>
      </c>
      <c r="AI44" s="530">
        <v>1458.2249055877151</v>
      </c>
      <c r="AJ44" s="24">
        <f>AK44/constantes!$B$4</f>
        <v>2670.7415853254856</v>
      </c>
      <c r="AK44" s="33">
        <f t="shared" si="13"/>
        <v>10415.892182769394</v>
      </c>
      <c r="AL44" s="87">
        <v>2</v>
      </c>
      <c r="AM44" s="531">
        <v>0</v>
      </c>
      <c r="AN44" s="23"/>
      <c r="AO44" s="532">
        <f t="shared" si="7"/>
        <v>1458.2249055877151</v>
      </c>
      <c r="AQ44" s="35">
        <f t="shared" si="14"/>
        <v>10415.892182769394</v>
      </c>
      <c r="AR44" s="36">
        <f ca="1">OFFSET(cod_desembolso!$A$1,AL44,23)</f>
        <v>1.1245293369208682</v>
      </c>
      <c r="AS44" s="37">
        <f ca="1">IF(AO44=0,0,AO44*(OFFSET(cod_desembolso!$A$1,AL44,23)))</f>
        <v>1639.8166861620489</v>
      </c>
      <c r="AT44" s="38">
        <f>(constantes!$B$3*(1+constantes!$B$3)^(AH44))/((1+constantes!$B$3)^(AH44)-1)</f>
        <v>8.8827433387272267E-2</v>
      </c>
      <c r="AU44" s="37">
        <f t="shared" ca="1" si="9"/>
        <v>152.66070745739694</v>
      </c>
      <c r="AV44" s="37">
        <f ca="1">IF(AO44=0,AX44/constantes!$B$3,AU44/constantes!$B$3)</f>
        <v>1908.2588432174616</v>
      </c>
      <c r="AW44" s="39">
        <f ca="1">IF(AO44=0,0,PV(constantes!$B$3,AH44,-AU44)*constantes!$B$3)</f>
        <v>137.48969356511532</v>
      </c>
      <c r="AX44" s="40">
        <f>constantes!$B$10*E44/1000</f>
        <v>7</v>
      </c>
      <c r="AY44" s="533">
        <f>constantes!$B$12</f>
        <v>0</v>
      </c>
      <c r="AZ44" s="20">
        <v>318</v>
      </c>
      <c r="BA44" s="43"/>
      <c r="BB44" s="3" t="s">
        <v>2207</v>
      </c>
      <c r="BD44" s="534">
        <v>1</v>
      </c>
      <c r="BE44" s="535">
        <v>2023</v>
      </c>
      <c r="BF44" s="536">
        <v>1</v>
      </c>
      <c r="BG44" s="537">
        <v>2023</v>
      </c>
    </row>
    <row r="45" spans="1:59" ht="15">
      <c r="A45" s="125">
        <v>1044</v>
      </c>
      <c r="B45" s="125">
        <v>1044</v>
      </c>
      <c r="C45" s="538" t="s">
        <v>2259</v>
      </c>
      <c r="D45" s="538" t="s">
        <v>2259</v>
      </c>
      <c r="E45" s="526">
        <v>64</v>
      </c>
      <c r="F45" s="3" t="s">
        <v>2244</v>
      </c>
      <c r="G45" s="3" t="s">
        <v>2244</v>
      </c>
      <c r="H45" s="527">
        <v>-43.090111999999998</v>
      </c>
      <c r="I45" s="527">
        <v>-5.7409730000000003</v>
      </c>
      <c r="J45" s="539" t="s">
        <v>1983</v>
      </c>
      <c r="K45" s="539" t="s">
        <v>1983</v>
      </c>
      <c r="L45" s="554">
        <v>3</v>
      </c>
      <c r="M45" s="107"/>
      <c r="N45" s="529">
        <v>1.9820000000000001E-2</v>
      </c>
      <c r="O45" s="529">
        <v>5.2919999999999995E-2</v>
      </c>
      <c r="P45" s="288">
        <f t="shared" si="10"/>
        <v>0.62974772135416657</v>
      </c>
      <c r="Q45" s="30">
        <f t="shared" si="1"/>
        <v>40.30385416666666</v>
      </c>
      <c r="R45" s="30">
        <f t="shared" si="11"/>
        <v>23.69614583333334</v>
      </c>
      <c r="S45" s="107">
        <v>43.90761904761905</v>
      </c>
      <c r="T45" s="107">
        <v>40.80398809523809</v>
      </c>
      <c r="U45" s="107">
        <v>33.936250000000001</v>
      </c>
      <c r="V45" s="107">
        <v>42.567559523809514</v>
      </c>
      <c r="W45" s="288">
        <f t="shared" si="12"/>
        <v>0.65974310661764668</v>
      </c>
      <c r="X45" s="289">
        <f t="shared" si="4"/>
        <v>42.223558823529387</v>
      </c>
      <c r="Y45" s="289">
        <f t="shared" si="5"/>
        <v>1.9197046568627272</v>
      </c>
      <c r="Z45" s="107">
        <v>54.28690196078427</v>
      </c>
      <c r="AA45" s="107">
        <v>45.251372549019585</v>
      </c>
      <c r="AB45" s="107">
        <v>29.970274509803911</v>
      </c>
      <c r="AC45" s="107">
        <v>39.385686274509801</v>
      </c>
      <c r="AD45" s="106">
        <v>1</v>
      </c>
      <c r="AE45" s="32" t="str">
        <f>IF(AD45=0,"",VLOOKUP(AD45,tab_tipo_expansao!$A$2:$B$4,2,0))</f>
        <v>opcional</v>
      </c>
      <c r="AF45" s="125">
        <v>2028</v>
      </c>
      <c r="AG45" s="125">
        <v>2100</v>
      </c>
      <c r="AH45" s="125">
        <v>30</v>
      </c>
      <c r="AI45" s="530">
        <v>648.0442789739858</v>
      </c>
      <c r="AJ45" s="24">
        <f>AK45/constantes!$B$4</f>
        <v>2596.3312458893661</v>
      </c>
      <c r="AK45" s="33">
        <f t="shared" si="13"/>
        <v>10125.691858968528</v>
      </c>
      <c r="AL45" s="87">
        <v>2</v>
      </c>
      <c r="AM45" s="531">
        <v>0</v>
      </c>
      <c r="AN45" s="23"/>
      <c r="AO45" s="532">
        <f t="shared" si="7"/>
        <v>648.0442789739858</v>
      </c>
      <c r="AQ45" s="35">
        <f t="shared" si="14"/>
        <v>10125.691858968528</v>
      </c>
      <c r="AR45" s="36">
        <f ca="1">OFFSET(cod_desembolso!$A$1,AL45,23)</f>
        <v>1.1245293369208682</v>
      </c>
      <c r="AS45" s="37">
        <f ca="1">IF(AO45=0,0,AO45*(OFFSET(cod_desembolso!$A$1,AL45,23)))</f>
        <v>728.74480332997837</v>
      </c>
      <c r="AT45" s="38">
        <f>(constantes!$B$3*(1+constantes!$B$3)^(AH45))/((1+constantes!$B$3)^(AH45)-1)</f>
        <v>8.8827433387272267E-2</v>
      </c>
      <c r="AU45" s="37">
        <f t="shared" ca="1" si="9"/>
        <v>67.932530474114486</v>
      </c>
      <c r="AV45" s="37">
        <f ca="1">IF(AO45=0,AX45/constantes!$B$3,AU45/constantes!$B$3)</f>
        <v>849.15663092643103</v>
      </c>
      <c r="AW45" s="39">
        <f ca="1">IF(AO45=0,0,PV(constantes!$B$3,AH45,-AU45)*constantes!$B$3)</f>
        <v>61.181576802238908</v>
      </c>
      <c r="AX45" s="40">
        <f>constantes!$B$10*E45/1000</f>
        <v>3.2</v>
      </c>
      <c r="AY45" s="533">
        <f>constantes!$B$12</f>
        <v>0</v>
      </c>
      <c r="AZ45" s="20">
        <v>318</v>
      </c>
      <c r="BA45" s="43"/>
      <c r="BB45" s="3" t="s">
        <v>2195</v>
      </c>
      <c r="BD45" s="534">
        <v>1</v>
      </c>
      <c r="BE45" s="535">
        <v>2027</v>
      </c>
      <c r="BF45" s="536">
        <v>1</v>
      </c>
      <c r="BG45" s="537">
        <v>2027</v>
      </c>
    </row>
    <row r="46" spans="1:59" ht="15">
      <c r="A46" s="125">
        <v>1045</v>
      </c>
      <c r="B46" s="125">
        <v>1045</v>
      </c>
      <c r="C46" s="538" t="s">
        <v>2260</v>
      </c>
      <c r="D46" s="538" t="s">
        <v>2260</v>
      </c>
      <c r="E46" s="526">
        <v>120</v>
      </c>
      <c r="F46" s="3" t="s">
        <v>2194</v>
      </c>
      <c r="G46" s="3" t="s">
        <v>2076</v>
      </c>
      <c r="H46" s="527">
        <v>-50.958883999999998</v>
      </c>
      <c r="I46" s="527">
        <v>-23.461390000000002</v>
      </c>
      <c r="J46" s="539" t="s">
        <v>151</v>
      </c>
      <c r="K46" s="539" t="s">
        <v>151</v>
      </c>
      <c r="L46" s="554">
        <v>2</v>
      </c>
      <c r="M46" s="107"/>
      <c r="N46" s="529">
        <v>1.6379999999999999E-2</v>
      </c>
      <c r="O46" s="529">
        <v>6.1409999999999999E-2</v>
      </c>
      <c r="P46" s="288">
        <f t="shared" si="10"/>
        <v>0.54792336309523815</v>
      </c>
      <c r="Q46" s="30">
        <f t="shared" si="1"/>
        <v>65.750803571428577</v>
      </c>
      <c r="R46" s="30">
        <f t="shared" si="11"/>
        <v>54.249196428571423</v>
      </c>
      <c r="S46" s="107">
        <v>60.145714285714284</v>
      </c>
      <c r="T46" s="107">
        <v>59.083452380952373</v>
      </c>
      <c r="U46" s="107">
        <v>67.298749999999998</v>
      </c>
      <c r="V46" s="107">
        <v>76.475297619047623</v>
      </c>
      <c r="W46" s="288">
        <f t="shared" si="12"/>
        <v>0.67325784313725534</v>
      </c>
      <c r="X46" s="289">
        <f t="shared" si="4"/>
        <v>80.790941176470639</v>
      </c>
      <c r="Y46" s="289">
        <f t="shared" si="5"/>
        <v>15.040137605042062</v>
      </c>
      <c r="Z46" s="107">
        <v>86.658666666666718</v>
      </c>
      <c r="AA46" s="107">
        <v>70.886627450980427</v>
      </c>
      <c r="AB46" s="107">
        <v>79.544039215686311</v>
      </c>
      <c r="AC46" s="107">
        <v>86.074431372549085</v>
      </c>
      <c r="AD46" s="106">
        <v>1</v>
      </c>
      <c r="AE46" s="32" t="str">
        <f>IF(AD46=0,"",VLOOKUP(AD46,tab_tipo_expansao!$A$2:$B$4,2,0))</f>
        <v>opcional</v>
      </c>
      <c r="AF46" s="125">
        <v>2028</v>
      </c>
      <c r="AG46" s="125">
        <v>2100</v>
      </c>
      <c r="AH46" s="125">
        <v>30</v>
      </c>
      <c r="AI46" s="530">
        <v>1321.5310590052932</v>
      </c>
      <c r="AJ46" s="24">
        <f>AK46/constantes!$B$4</f>
        <v>2823.7843141138742</v>
      </c>
      <c r="AK46" s="33">
        <f t="shared" si="13"/>
        <v>11012.758825044109</v>
      </c>
      <c r="AL46" s="87">
        <v>2</v>
      </c>
      <c r="AM46" s="531">
        <v>0</v>
      </c>
      <c r="AN46" s="23"/>
      <c r="AO46" s="532">
        <f t="shared" si="7"/>
        <v>1321.5310590052932</v>
      </c>
      <c r="AQ46" s="35">
        <f t="shared" si="14"/>
        <v>11012.758825044109</v>
      </c>
      <c r="AR46" s="36">
        <f ca="1">OFFSET(cod_desembolso!$A$1,AL46,23)</f>
        <v>1.1245293369208682</v>
      </c>
      <c r="AS46" s="37">
        <f ca="1">IF(AO46=0,0,AO46*(OFFSET(cod_desembolso!$A$1,AL46,23)))</f>
        <v>1486.1004455035552</v>
      </c>
      <c r="AT46" s="38">
        <f>(constantes!$B$3*(1+constantes!$B$3)^(AH46))/((1+constantes!$B$3)^(AH46)-1)</f>
        <v>8.8827433387272267E-2</v>
      </c>
      <c r="AU46" s="37">
        <f t="shared" ca="1" si="9"/>
        <v>138.00648832976267</v>
      </c>
      <c r="AV46" s="37">
        <f ca="1">IF(AO46=0,AX46/constantes!$B$3,AU46/constantes!$B$3)</f>
        <v>1725.0811041220334</v>
      </c>
      <c r="AW46" s="39">
        <f ca="1">IF(AO46=0,0,PV(constantes!$B$3,AH46,-AU46)*constantes!$B$3)</f>
        <v>124.2917716449856</v>
      </c>
      <c r="AX46" s="40">
        <f>constantes!$B$10*E46/1000</f>
        <v>6</v>
      </c>
      <c r="AY46" s="533">
        <f>constantes!$B$12</f>
        <v>0</v>
      </c>
      <c r="AZ46" s="20">
        <v>318</v>
      </c>
      <c r="BA46" s="43"/>
      <c r="BB46" s="3" t="s">
        <v>2195</v>
      </c>
      <c r="BD46" s="534">
        <v>1</v>
      </c>
      <c r="BE46" s="535">
        <v>2027</v>
      </c>
      <c r="BF46" s="536">
        <v>1</v>
      </c>
      <c r="BG46" s="537">
        <v>2027</v>
      </c>
    </row>
    <row r="47" spans="1:59" ht="15">
      <c r="A47" s="125">
        <v>1046</v>
      </c>
      <c r="B47" s="125">
        <v>1046</v>
      </c>
      <c r="C47" s="538" t="s">
        <v>2261</v>
      </c>
      <c r="D47" s="538" t="s">
        <v>2261</v>
      </c>
      <c r="E47" s="526">
        <v>3336</v>
      </c>
      <c r="F47" s="3" t="s">
        <v>2179</v>
      </c>
      <c r="G47" s="3" t="s">
        <v>2262</v>
      </c>
      <c r="H47" s="527">
        <v>-58.314695</v>
      </c>
      <c r="I47" s="527">
        <v>-6.5021950000000004</v>
      </c>
      <c r="J47" s="539" t="s">
        <v>154</v>
      </c>
      <c r="K47" s="539" t="s">
        <v>154</v>
      </c>
      <c r="L47" s="554">
        <v>9</v>
      </c>
      <c r="M47" s="107"/>
      <c r="N47" s="529">
        <v>1.6379999999999999E-2</v>
      </c>
      <c r="O47" s="529">
        <v>6.1409999999999999E-2</v>
      </c>
      <c r="P47" s="288">
        <f t="shared" si="10"/>
        <v>0.56329667962058927</v>
      </c>
      <c r="Q47" s="30">
        <f t="shared" si="1"/>
        <v>1879.1577232142859</v>
      </c>
      <c r="R47" s="30">
        <f t="shared" si="11"/>
        <v>1456.8422767857141</v>
      </c>
      <c r="S47" s="107">
        <v>2737.4409523809522</v>
      </c>
      <c r="T47" s="107">
        <v>2422.8440476190476</v>
      </c>
      <c r="U47" s="107">
        <v>990.22500000000002</v>
      </c>
      <c r="V47" s="107">
        <v>1366.120892857143</v>
      </c>
      <c r="W47" s="288">
        <f t="shared" si="12"/>
        <v>0.538097380918794</v>
      </c>
      <c r="X47" s="289">
        <f t="shared" si="4"/>
        <v>1795.0928627450969</v>
      </c>
      <c r="Y47" s="289">
        <f t="shared" si="5"/>
        <v>-84.064860469188943</v>
      </c>
      <c r="Z47" s="107">
        <v>2666.0634901960752</v>
      </c>
      <c r="AA47" s="107">
        <v>2284.1583921568617</v>
      </c>
      <c r="AB47" s="107">
        <v>928.6600000000002</v>
      </c>
      <c r="AC47" s="107">
        <v>1301.489568627451</v>
      </c>
      <c r="AD47" s="106">
        <v>3</v>
      </c>
      <c r="AE47" s="32" t="str">
        <f>IF(AD47=0,"",VLOOKUP(AD47,tab_tipo_expansao!$A$2:$B$4,2,0))</f>
        <v>não_considerar</v>
      </c>
      <c r="AF47" s="125">
        <v>2030</v>
      </c>
      <c r="AG47" s="125">
        <v>2100</v>
      </c>
      <c r="AH47" s="125">
        <v>30</v>
      </c>
      <c r="AI47" s="530">
        <v>15815.100808589106</v>
      </c>
      <c r="AJ47" s="24">
        <f>AK47/constantes!$B$4</f>
        <v>1215.5737570396841</v>
      </c>
      <c r="AK47" s="33">
        <f t="shared" si="13"/>
        <v>4740.7376524547681</v>
      </c>
      <c r="AL47" s="87">
        <v>4</v>
      </c>
      <c r="AM47" s="531">
        <v>0</v>
      </c>
      <c r="AN47" s="23"/>
      <c r="AO47" s="532">
        <f t="shared" si="7"/>
        <v>15815.100808589106</v>
      </c>
      <c r="AQ47" s="35">
        <f t="shared" si="14"/>
        <v>4740.7376524547681</v>
      </c>
      <c r="AR47" s="36">
        <f ca="1">OFFSET(cod_desembolso!$A$1,AL47,23)</f>
        <v>1.103153897336226</v>
      </c>
      <c r="AS47" s="37">
        <f ca="1">IF(AO47=0,0,AO47*(OFFSET(cod_desembolso!$A$1,AL47,23)))</f>
        <v>17446.490093760371</v>
      </c>
      <c r="AT47" s="38">
        <f>(constantes!$B$3*(1+constantes!$B$3)^(AH47))/((1+constantes!$B$3)^(AH47)-1)</f>
        <v>8.8827433387272267E-2</v>
      </c>
      <c r="AU47" s="37">
        <f t="shared" ca="1" si="9"/>
        <v>1716.5269366452048</v>
      </c>
      <c r="AV47" s="37">
        <f ca="1">IF(AO47=0,AX47/constantes!$B$3,AU47/constantes!$B$3)</f>
        <v>21456.586708065061</v>
      </c>
      <c r="AW47" s="39">
        <f ca="1">IF(AO47=0,0,PV(constantes!$B$3,AH47,-AU47)*constantes!$B$3)</f>
        <v>1545.9430684315228</v>
      </c>
      <c r="AX47" s="40">
        <f>constantes!$B$10*E47/1000</f>
        <v>166.8</v>
      </c>
      <c r="AY47" s="533">
        <f>constantes!$B$12</f>
        <v>0</v>
      </c>
      <c r="AZ47" s="20">
        <v>318</v>
      </c>
      <c r="BA47" s="43"/>
      <c r="BB47" s="3" t="s">
        <v>2215</v>
      </c>
      <c r="BD47" s="534">
        <v>1</v>
      </c>
      <c r="BE47" s="535">
        <v>2035</v>
      </c>
      <c r="BF47" s="536">
        <v>3</v>
      </c>
      <c r="BG47" s="537">
        <v>2050</v>
      </c>
    </row>
    <row r="48" spans="1:59" ht="15">
      <c r="A48" s="125">
        <v>1047</v>
      </c>
      <c r="B48" s="125">
        <v>1047</v>
      </c>
      <c r="C48" s="538" t="s">
        <v>2263</v>
      </c>
      <c r="D48" s="538" t="s">
        <v>2263</v>
      </c>
      <c r="E48" s="526">
        <v>57.4</v>
      </c>
      <c r="F48" s="3" t="s">
        <v>2209</v>
      </c>
      <c r="G48" s="3" t="s">
        <v>2210</v>
      </c>
      <c r="H48" s="527">
        <v>-44.734316999999997</v>
      </c>
      <c r="I48" s="527">
        <v>-19.01624</v>
      </c>
      <c r="J48" s="539" t="s">
        <v>150</v>
      </c>
      <c r="K48" s="539" t="s">
        <v>150</v>
      </c>
      <c r="L48" s="554">
        <v>1</v>
      </c>
      <c r="M48" s="107"/>
      <c r="N48" s="529">
        <v>2.068E-2</v>
      </c>
      <c r="O48" s="529">
        <v>4.6600000000000003E-2</v>
      </c>
      <c r="P48" s="288">
        <f t="shared" si="10"/>
        <v>0.53226340841214526</v>
      </c>
      <c r="Q48" s="30">
        <f t="shared" si="1"/>
        <v>30.55191964285714</v>
      </c>
      <c r="R48" s="30">
        <f t="shared" si="11"/>
        <v>26.848080357142859</v>
      </c>
      <c r="S48" s="107">
        <v>43.211904761904755</v>
      </c>
      <c r="T48" s="107">
        <v>26.742261904761904</v>
      </c>
      <c r="U48" s="107">
        <v>20.703749999999999</v>
      </c>
      <c r="V48" s="107">
        <v>31.549761904761908</v>
      </c>
      <c r="W48" s="288">
        <f t="shared" si="12"/>
        <v>0.5604377604700419</v>
      </c>
      <c r="X48" s="289">
        <f t="shared" si="4"/>
        <v>32.169127450980405</v>
      </c>
      <c r="Y48" s="289">
        <f t="shared" si="5"/>
        <v>1.6172078081232648</v>
      </c>
      <c r="Z48" s="107">
        <v>47.566823529411806</v>
      </c>
      <c r="AA48" s="107">
        <v>26.632431372549018</v>
      </c>
      <c r="AB48" s="107">
        <v>20.492313725490195</v>
      </c>
      <c r="AC48" s="107">
        <v>33.984941176470592</v>
      </c>
      <c r="AD48" s="106">
        <v>1</v>
      </c>
      <c r="AE48" s="32" t="str">
        <f>IF(AD48=0,"",VLOOKUP(AD48,tab_tipo_expansao!$A$2:$B$4,2,0))</f>
        <v>opcional</v>
      </c>
      <c r="AF48" s="125">
        <v>2028</v>
      </c>
      <c r="AG48" s="125">
        <v>2100</v>
      </c>
      <c r="AH48" s="125">
        <v>30</v>
      </c>
      <c r="AI48" s="530">
        <v>578.2519421187269</v>
      </c>
      <c r="AJ48" s="24">
        <f>AK48/constantes!$B$4</f>
        <v>2583.0963196583889</v>
      </c>
      <c r="AK48" s="33">
        <f t="shared" si="13"/>
        <v>10074.075646667716</v>
      </c>
      <c r="AL48" s="87">
        <v>2</v>
      </c>
      <c r="AM48" s="531">
        <v>0</v>
      </c>
      <c r="AN48" s="23"/>
      <c r="AO48" s="532">
        <f t="shared" si="7"/>
        <v>578.2519421187269</v>
      </c>
      <c r="AQ48" s="35">
        <f t="shared" si="14"/>
        <v>10074.075646667716</v>
      </c>
      <c r="AR48" s="36">
        <f ca="1">OFFSET(cod_desembolso!$A$1,AL48,23)</f>
        <v>1.1245293369208682</v>
      </c>
      <c r="AS48" s="37">
        <f ca="1">IF(AO48=0,0,AO48*(OFFSET(cod_desembolso!$A$1,AL48,23)))</f>
        <v>650.26127304397619</v>
      </c>
      <c r="AT48" s="38">
        <f>(constantes!$B$3*(1+constantes!$B$3)^(AH48))/((1+constantes!$B$3)^(AH48)-1)</f>
        <v>8.8827433387272267E-2</v>
      </c>
      <c r="AU48" s="37">
        <f t="shared" ca="1" si="9"/>
        <v>60.631039915636656</v>
      </c>
      <c r="AV48" s="37">
        <f ca="1">IF(AO48=0,AX48/constantes!$B$3,AU48/constantes!$B$3)</f>
        <v>757.88799894545821</v>
      </c>
      <c r="AW48" s="39">
        <f ca="1">IF(AO48=0,0,PV(constantes!$B$3,AH48,-AU48)*constantes!$B$3)</f>
        <v>54.605688899100159</v>
      </c>
      <c r="AX48" s="40">
        <f>constantes!$B$10*E48/1000</f>
        <v>2.87</v>
      </c>
      <c r="AY48" s="533">
        <f>constantes!$B$12</f>
        <v>0</v>
      </c>
      <c r="AZ48" s="20">
        <v>318</v>
      </c>
      <c r="BA48" s="43"/>
      <c r="BB48" s="3" t="s">
        <v>2195</v>
      </c>
      <c r="BD48" s="534">
        <v>1</v>
      </c>
      <c r="BE48" s="535">
        <v>2027</v>
      </c>
      <c r="BF48" s="536">
        <v>1</v>
      </c>
      <c r="BG48" s="537">
        <v>2027</v>
      </c>
    </row>
    <row r="49" spans="1:59" ht="14.45" customHeight="1">
      <c r="A49" s="125">
        <v>1048</v>
      </c>
      <c r="B49" s="125">
        <v>1048</v>
      </c>
      <c r="C49" s="625" t="s">
        <v>2264</v>
      </c>
      <c r="D49" s="538" t="s">
        <v>2264</v>
      </c>
      <c r="E49" s="526">
        <v>140</v>
      </c>
      <c r="F49" s="3" t="s">
        <v>2194</v>
      </c>
      <c r="G49" s="3" t="s">
        <v>2212</v>
      </c>
      <c r="H49" s="527">
        <v>-53.154198000000001</v>
      </c>
      <c r="I49" s="527">
        <v>-24.421531000000002</v>
      </c>
      <c r="J49" s="539" t="s">
        <v>151</v>
      </c>
      <c r="K49" s="539" t="s">
        <v>151</v>
      </c>
      <c r="L49" s="554">
        <v>2</v>
      </c>
      <c r="M49" s="107"/>
      <c r="N49" s="529">
        <v>1.9820000000000001E-2</v>
      </c>
      <c r="O49" s="529">
        <v>5.2919999999999995E-2</v>
      </c>
      <c r="P49" s="288">
        <f t="shared" si="10"/>
        <v>0.5089765093537415</v>
      </c>
      <c r="Q49" s="30">
        <f t="shared" si="1"/>
        <v>71.256711309523808</v>
      </c>
      <c r="R49" s="30">
        <f t="shared" si="11"/>
        <v>68.743288690476192</v>
      </c>
      <c r="S49" s="107">
        <v>66.41</v>
      </c>
      <c r="T49" s="107">
        <v>74.26428571428572</v>
      </c>
      <c r="U49" s="107">
        <v>65.345833333333331</v>
      </c>
      <c r="V49" s="107">
        <v>79.006726190476186</v>
      </c>
      <c r="W49" s="288">
        <f t="shared" si="12"/>
        <v>0.52546792717086843</v>
      </c>
      <c r="X49" s="289">
        <f t="shared" si="4"/>
        <v>73.565509803921586</v>
      </c>
      <c r="Y49" s="289">
        <f t="shared" si="5"/>
        <v>2.3087984943977773</v>
      </c>
      <c r="Z49" s="107">
        <v>70.297450980392171</v>
      </c>
      <c r="AA49" s="107">
        <v>70.469411764705896</v>
      </c>
      <c r="AB49" s="107">
        <v>70.83698039215686</v>
      </c>
      <c r="AC49" s="107">
        <v>82.658196078431388</v>
      </c>
      <c r="AD49" s="106">
        <v>1</v>
      </c>
      <c r="AE49" s="32" t="str">
        <f>IF(AD49=0,"",VLOOKUP(AD49,tab_tipo_expansao!$A$2:$B$4,2,0))</f>
        <v>opcional</v>
      </c>
      <c r="AF49" s="125">
        <v>2023</v>
      </c>
      <c r="AG49" s="125">
        <v>2100</v>
      </c>
      <c r="AH49" s="125">
        <v>30</v>
      </c>
      <c r="AI49" s="530">
        <v>1488.2708268916704</v>
      </c>
      <c r="AJ49" s="24">
        <f>AK49/constantes!$B$4</f>
        <v>2725.7707452228392</v>
      </c>
      <c r="AK49" s="33">
        <f t="shared" si="13"/>
        <v>10630.505906369073</v>
      </c>
      <c r="AL49" s="87">
        <v>2</v>
      </c>
      <c r="AM49" s="531">
        <v>0</v>
      </c>
      <c r="AN49" s="23"/>
      <c r="AO49" s="532">
        <f t="shared" si="7"/>
        <v>1488.2708268916704</v>
      </c>
      <c r="AQ49" s="35">
        <f t="shared" si="14"/>
        <v>10630.505906369075</v>
      </c>
      <c r="AR49" s="36">
        <f ca="1">OFFSET(cod_desembolso!$A$1,AL49,23)</f>
        <v>1.1245293369208682</v>
      </c>
      <c r="AS49" s="37">
        <f ca="1">IF(AO49=0,0,AO49*(OFFSET(cod_desembolso!$A$1,AL49,23)))</f>
        <v>1673.6042061231624</v>
      </c>
      <c r="AT49" s="38">
        <f>(constantes!$B$3*(1+constantes!$B$3)^(AH49))/((1+constantes!$B$3)^(AH49)-1)</f>
        <v>8.8827433387272267E-2</v>
      </c>
      <c r="AU49" s="37">
        <f t="shared" ca="1" si="9"/>
        <v>155.66196613606388</v>
      </c>
      <c r="AV49" s="37">
        <f ca="1">IF(AO49=0,AX49/constantes!$B$3,AU49/constantes!$B$3)</f>
        <v>1945.7745767007984</v>
      </c>
      <c r="AW49" s="39">
        <f ca="1">IF(AO49=0,0,PV(constantes!$B$3,AH49,-AU49)*constantes!$B$3)</f>
        <v>140.19269516200436</v>
      </c>
      <c r="AX49" s="40">
        <f>constantes!$B$10*E49/1000</f>
        <v>7</v>
      </c>
      <c r="AY49" s="533">
        <f>constantes!$B$12</f>
        <v>0</v>
      </c>
      <c r="AZ49" s="20">
        <v>318</v>
      </c>
      <c r="BA49" s="43"/>
      <c r="BB49" s="3" t="s">
        <v>2207</v>
      </c>
      <c r="BD49" s="534">
        <v>1</v>
      </c>
      <c r="BE49" s="535">
        <v>2023</v>
      </c>
      <c r="BF49" s="536">
        <v>1</v>
      </c>
      <c r="BG49" s="537">
        <v>2023</v>
      </c>
    </row>
    <row r="50" spans="1:59" ht="15">
      <c r="A50" s="125">
        <v>1049</v>
      </c>
      <c r="B50" s="125">
        <v>1049</v>
      </c>
      <c r="C50" s="538" t="s">
        <v>2265</v>
      </c>
      <c r="D50" s="538" t="s">
        <v>2265</v>
      </c>
      <c r="E50" s="526">
        <v>150</v>
      </c>
      <c r="F50" s="3" t="s">
        <v>2197</v>
      </c>
      <c r="G50" s="3" t="s">
        <v>2266</v>
      </c>
      <c r="H50" s="527">
        <v>-53.141140999999998</v>
      </c>
      <c r="I50" s="527">
        <v>-17.168783000000001</v>
      </c>
      <c r="J50" s="539" t="s">
        <v>158</v>
      </c>
      <c r="K50" s="539" t="s">
        <v>158</v>
      </c>
      <c r="L50" s="554">
        <v>1</v>
      </c>
      <c r="M50" s="107"/>
      <c r="N50" s="529">
        <v>1.9820000000000001E-2</v>
      </c>
      <c r="O50" s="529">
        <v>5.2919999999999995E-2</v>
      </c>
      <c r="P50" s="288">
        <f t="shared" si="10"/>
        <v>0.64598531746031751</v>
      </c>
      <c r="Q50" s="30">
        <f t="shared" si="1"/>
        <v>96.897797619047623</v>
      </c>
      <c r="R50" s="30">
        <f t="shared" si="11"/>
        <v>53.102202380952377</v>
      </c>
      <c r="S50" s="107">
        <v>122.3057142857143</v>
      </c>
      <c r="T50" s="107">
        <v>104.09642857142858</v>
      </c>
      <c r="U50" s="107">
        <v>72.980833333333337</v>
      </c>
      <c r="V50" s="107">
        <v>88.208214285714291</v>
      </c>
      <c r="W50" s="288">
        <f t="shared" si="12"/>
        <v>0.74441581699346404</v>
      </c>
      <c r="X50" s="289">
        <f t="shared" si="4"/>
        <v>111.66237254901961</v>
      </c>
      <c r="Y50" s="289">
        <f t="shared" si="5"/>
        <v>14.764574929971985</v>
      </c>
      <c r="Z50" s="107">
        <v>134.37713725490195</v>
      </c>
      <c r="AA50" s="107">
        <v>115.59039215686273</v>
      </c>
      <c r="AB50" s="107">
        <v>86.284666666666681</v>
      </c>
      <c r="AC50" s="107">
        <v>110.39729411764705</v>
      </c>
      <c r="AD50" s="106">
        <v>3</v>
      </c>
      <c r="AE50" s="32" t="str">
        <f>IF(AD50=0,"",VLOOKUP(AD50,tab_tipo_expansao!$A$2:$B$4,2,0))</f>
        <v>não_considerar</v>
      </c>
      <c r="AF50" s="125">
        <v>2030</v>
      </c>
      <c r="AG50" s="125">
        <v>2100</v>
      </c>
      <c r="AH50" s="125">
        <v>30</v>
      </c>
      <c r="AI50" s="530">
        <v>842.54890067850022</v>
      </c>
      <c r="AJ50" s="24">
        <f>AK50/constantes!$B$4</f>
        <v>1440.2545310743592</v>
      </c>
      <c r="AK50" s="33">
        <f t="shared" si="13"/>
        <v>5616.9926711900007</v>
      </c>
      <c r="AL50" s="87">
        <v>2</v>
      </c>
      <c r="AM50" s="531">
        <v>0</v>
      </c>
      <c r="AN50" s="23"/>
      <c r="AO50" s="532">
        <f t="shared" si="7"/>
        <v>842.54890067850022</v>
      </c>
      <c r="AQ50" s="35">
        <f t="shared" si="14"/>
        <v>5616.9926711900016</v>
      </c>
      <c r="AR50" s="36">
        <f ca="1">OFFSET(cod_desembolso!$A$1,AL50,23)</f>
        <v>1.1245293369208682</v>
      </c>
      <c r="AS50" s="37">
        <f ca="1">IF(AO50=0,0,AO50*(OFFSET(cod_desembolso!$A$1,AL50,23)))</f>
        <v>947.47095660340028</v>
      </c>
      <c r="AT50" s="38">
        <f>(constantes!$B$3*(1+constantes!$B$3)^(AH50))/((1+constantes!$B$3)^(AH50)-1)</f>
        <v>8.8827433387272267E-2</v>
      </c>
      <c r="AU50" s="37">
        <f t="shared" ca="1" si="9"/>
        <v>91.66141328406367</v>
      </c>
      <c r="AV50" s="37">
        <f ca="1">IF(AO50=0,AX50/constantes!$B$3,AU50/constantes!$B$3)</f>
        <v>1145.7676660507959</v>
      </c>
      <c r="AW50" s="39">
        <f ca="1">IF(AO50=0,0,PV(constantes!$B$3,AH50,-AU50)*constantes!$B$3)</f>
        <v>82.552346534148512</v>
      </c>
      <c r="AX50" s="40">
        <f>constantes!$B$10*E50/1000</f>
        <v>7.5</v>
      </c>
      <c r="AY50" s="533">
        <f>constantes!$B$12</f>
        <v>0</v>
      </c>
      <c r="AZ50" s="20">
        <v>318</v>
      </c>
      <c r="BA50" s="43"/>
      <c r="BB50" s="3" t="s">
        <v>2181</v>
      </c>
      <c r="BD50" s="534">
        <v>1</v>
      </c>
      <c r="BE50" s="535">
        <v>2027</v>
      </c>
      <c r="BF50" s="536">
        <v>1</v>
      </c>
      <c r="BG50" s="537">
        <v>2027</v>
      </c>
    </row>
    <row r="51" spans="1:59" ht="15">
      <c r="A51" s="125">
        <v>1050</v>
      </c>
      <c r="B51" s="125">
        <v>1050</v>
      </c>
      <c r="C51" s="538" t="s">
        <v>2267</v>
      </c>
      <c r="D51" s="538" t="s">
        <v>2267</v>
      </c>
      <c r="E51" s="526">
        <v>81</v>
      </c>
      <c r="F51" s="3" t="s">
        <v>2229</v>
      </c>
      <c r="G51" s="3" t="s">
        <v>2232</v>
      </c>
      <c r="H51" s="527">
        <v>-41.369053999999998</v>
      </c>
      <c r="I51" s="527">
        <v>-19.220268999999998</v>
      </c>
      <c r="J51" s="539" t="s">
        <v>150</v>
      </c>
      <c r="K51" s="539" t="s">
        <v>150</v>
      </c>
      <c r="L51" s="554">
        <v>1</v>
      </c>
      <c r="M51" s="107"/>
      <c r="N51" s="529">
        <v>2.068E-2</v>
      </c>
      <c r="O51" s="529">
        <v>4.6600000000000003E-2</v>
      </c>
      <c r="P51" s="288">
        <f t="shared" si="10"/>
        <v>0.50454034391534397</v>
      </c>
      <c r="Q51" s="30">
        <f t="shared" si="1"/>
        <v>40.867767857142859</v>
      </c>
      <c r="R51" s="30">
        <f t="shared" si="11"/>
        <v>40.132232142857141</v>
      </c>
      <c r="S51" s="107">
        <v>56.295238095238098</v>
      </c>
      <c r="T51" s="107">
        <v>37.565535714285708</v>
      </c>
      <c r="U51" s="107">
        <v>25.015833333333333</v>
      </c>
      <c r="V51" s="107">
        <v>44.594464285714288</v>
      </c>
      <c r="W51" s="288">
        <f t="shared" si="12"/>
        <v>0.50757310578552395</v>
      </c>
      <c r="X51" s="289">
        <f t="shared" si="4"/>
        <v>41.113421568627437</v>
      </c>
      <c r="Y51" s="289">
        <f t="shared" si="5"/>
        <v>0.24565371148457871</v>
      </c>
      <c r="Z51" s="107">
        <v>59.69607843137252</v>
      </c>
      <c r="AA51" s="107">
        <v>36.121725490196063</v>
      </c>
      <c r="AB51" s="107">
        <v>23.538705882352939</v>
      </c>
      <c r="AC51" s="107">
        <v>45.097176470588217</v>
      </c>
      <c r="AD51" s="106">
        <v>1</v>
      </c>
      <c r="AE51" s="32" t="str">
        <f>IF(AD51=0,"",VLOOKUP(AD51,tab_tipo_expansao!$A$2:$B$4,2,0))</f>
        <v>opcional</v>
      </c>
      <c r="AF51" s="125">
        <v>2028</v>
      </c>
      <c r="AG51" s="125">
        <v>2100</v>
      </c>
      <c r="AH51" s="125">
        <v>30</v>
      </c>
      <c r="AI51" s="530">
        <v>748.36932271776061</v>
      </c>
      <c r="AJ51" s="24">
        <f>AK51/constantes!$B$4</f>
        <v>2369.0070361435919</v>
      </c>
      <c r="AK51" s="33">
        <f t="shared" si="13"/>
        <v>9239.1274409600082</v>
      </c>
      <c r="AL51" s="87">
        <v>2</v>
      </c>
      <c r="AM51" s="531">
        <v>0</v>
      </c>
      <c r="AN51" s="23"/>
      <c r="AO51" s="532">
        <f t="shared" si="7"/>
        <v>748.36932271776061</v>
      </c>
      <c r="AQ51" s="35">
        <f t="shared" si="14"/>
        <v>9239.1274409600064</v>
      </c>
      <c r="AR51" s="36">
        <f ca="1">OFFSET(cod_desembolso!$A$1,AL51,23)</f>
        <v>1.1245293369208682</v>
      </c>
      <c r="AS51" s="37">
        <f ca="1">IF(AO51=0,0,AO51*(OFFSET(cod_desembolso!$A$1,AL51,23)))</f>
        <v>841.56325824772262</v>
      </c>
      <c r="AT51" s="38">
        <f>(constantes!$B$3*(1+constantes!$B$3)^(AH51))/((1+constantes!$B$3)^(AH51)-1)</f>
        <v>8.8827433387272267E-2</v>
      </c>
      <c r="AU51" s="37">
        <f t="shared" ca="1" si="9"/>
        <v>78.803904263175383</v>
      </c>
      <c r="AV51" s="37">
        <f ca="1">IF(AO51=0,AX51/constantes!$B$3,AU51/constantes!$B$3)</f>
        <v>985.04880328969227</v>
      </c>
      <c r="AW51" s="39">
        <f ca="1">IF(AO51=0,0,PV(constantes!$B$3,AH51,-AU51)*constantes!$B$3)</f>
        <v>70.972582462991099</v>
      </c>
      <c r="AX51" s="40">
        <f>constantes!$B$10*E51/1000</f>
        <v>4.05</v>
      </c>
      <c r="AY51" s="533">
        <f>constantes!$B$12</f>
        <v>0</v>
      </c>
      <c r="AZ51" s="20">
        <v>318</v>
      </c>
      <c r="BA51" s="43"/>
      <c r="BB51" s="3" t="s">
        <v>2195</v>
      </c>
      <c r="BD51" s="534">
        <v>1</v>
      </c>
      <c r="BE51" s="535">
        <v>2027</v>
      </c>
      <c r="BF51" s="536">
        <v>1</v>
      </c>
      <c r="BG51" s="537">
        <v>2027</v>
      </c>
    </row>
    <row r="52" spans="1:59" ht="15">
      <c r="A52" s="125">
        <v>1051</v>
      </c>
      <c r="B52" s="125">
        <v>1051</v>
      </c>
      <c r="C52" s="538" t="s">
        <v>2268</v>
      </c>
      <c r="D52" s="538" t="s">
        <v>2268</v>
      </c>
      <c r="E52" s="526">
        <v>43</v>
      </c>
      <c r="F52" s="3" t="s">
        <v>2219</v>
      </c>
      <c r="G52" s="3" t="s">
        <v>2220</v>
      </c>
      <c r="H52" s="527">
        <v>-51.950277999999997</v>
      </c>
      <c r="I52" s="527">
        <v>-29.608886999999999</v>
      </c>
      <c r="J52" s="539" t="s">
        <v>149</v>
      </c>
      <c r="K52" s="539" t="s">
        <v>149</v>
      </c>
      <c r="L52" s="554">
        <v>2</v>
      </c>
      <c r="M52" s="107"/>
      <c r="N52" s="529">
        <v>2.068E-2</v>
      </c>
      <c r="O52" s="529">
        <v>4.6600000000000003E-2</v>
      </c>
      <c r="P52" s="288">
        <f t="shared" si="10"/>
        <v>0.48053675249169436</v>
      </c>
      <c r="Q52" s="30">
        <f t="shared" si="1"/>
        <v>20.663080357142857</v>
      </c>
      <c r="R52" s="30">
        <f t="shared" si="11"/>
        <v>22.336919642857143</v>
      </c>
      <c r="S52" s="107">
        <v>14.915714285714282</v>
      </c>
      <c r="T52" s="107">
        <v>20.656488095238092</v>
      </c>
      <c r="U52" s="107">
        <v>27.149583333333336</v>
      </c>
      <c r="V52" s="107">
        <v>19.930535714285714</v>
      </c>
      <c r="W52" s="288">
        <f t="shared" si="12"/>
        <v>0.56330665754673981</v>
      </c>
      <c r="X52" s="289">
        <f t="shared" si="4"/>
        <v>24.222186274509813</v>
      </c>
      <c r="Y52" s="289">
        <f t="shared" si="5"/>
        <v>3.5591059173669564</v>
      </c>
      <c r="Z52" s="107">
        <v>17.482980392156872</v>
      </c>
      <c r="AA52" s="107">
        <v>23.306117647058823</v>
      </c>
      <c r="AB52" s="107">
        <v>31.527725490196094</v>
      </c>
      <c r="AC52" s="107">
        <v>24.571921568627459</v>
      </c>
      <c r="AD52" s="106">
        <v>1</v>
      </c>
      <c r="AE52" s="32" t="str">
        <f>IF(AD52=0,"",VLOOKUP(AD52,tab_tipo_expansao!$A$2:$B$4,2,0))</f>
        <v>opcional</v>
      </c>
      <c r="AF52" s="125">
        <v>2028</v>
      </c>
      <c r="AG52" s="125">
        <v>2100</v>
      </c>
      <c r="AH52" s="125">
        <v>30</v>
      </c>
      <c r="AI52" s="530">
        <v>466.28829457858711</v>
      </c>
      <c r="AJ52" s="24">
        <f>AK52/constantes!$B$4</f>
        <v>2780.490724976667</v>
      </c>
      <c r="AK52" s="33">
        <f t="shared" si="13"/>
        <v>10843.913827409002</v>
      </c>
      <c r="AL52" s="87">
        <v>2</v>
      </c>
      <c r="AM52" s="531">
        <v>0</v>
      </c>
      <c r="AN52" s="23"/>
      <c r="AO52" s="532">
        <f t="shared" si="7"/>
        <v>466.28829457858711</v>
      </c>
      <c r="AQ52" s="35">
        <f t="shared" si="14"/>
        <v>10843.913827409002</v>
      </c>
      <c r="AR52" s="36">
        <f ca="1">OFFSET(cod_desembolso!$A$1,AL52,23)</f>
        <v>1.1245293369208682</v>
      </c>
      <c r="AS52" s="37">
        <f ca="1">IF(AO52=0,0,AO52*(OFFSET(cod_desembolso!$A$1,AL52,23)))</f>
        <v>524.35486671642104</v>
      </c>
      <c r="AT52" s="38">
        <f>(constantes!$B$3*(1+constantes!$B$3)^(AH52))/((1+constantes!$B$3)^(AH52)-1)</f>
        <v>8.8827433387272267E-2</v>
      </c>
      <c r="AU52" s="37">
        <f t="shared" ca="1" si="9"/>
        <v>48.727096994544915</v>
      </c>
      <c r="AV52" s="37">
        <f ca="1">IF(AO52=0,AX52/constantes!$B$3,AU52/constantes!$B$3)</f>
        <v>609.08871243181147</v>
      </c>
      <c r="AW52" s="39">
        <f ca="1">IF(AO52=0,0,PV(constantes!$B$3,AH52,-AU52)*constantes!$B$3)</f>
        <v>43.884728072331612</v>
      </c>
      <c r="AX52" s="40">
        <f>constantes!$B$10*E52/1000</f>
        <v>2.15</v>
      </c>
      <c r="AY52" s="533">
        <f>constantes!$B$12</f>
        <v>0</v>
      </c>
      <c r="AZ52" s="20">
        <v>318</v>
      </c>
      <c r="BA52" s="43"/>
      <c r="BB52" s="3" t="s">
        <v>2195</v>
      </c>
      <c r="BD52" s="534">
        <v>1</v>
      </c>
      <c r="BE52" s="535">
        <v>2027</v>
      </c>
      <c r="BF52" s="536">
        <v>1</v>
      </c>
      <c r="BG52" s="537">
        <v>2027</v>
      </c>
    </row>
    <row r="53" spans="1:59" ht="15">
      <c r="A53" s="125">
        <v>1052</v>
      </c>
      <c r="B53" s="125">
        <v>1052</v>
      </c>
      <c r="C53" s="538" t="s">
        <v>2269</v>
      </c>
      <c r="D53" s="538" t="s">
        <v>2269</v>
      </c>
      <c r="E53" s="526">
        <v>50</v>
      </c>
      <c r="F53" s="3" t="s">
        <v>2219</v>
      </c>
      <c r="G53" s="3" t="s">
        <v>2269</v>
      </c>
      <c r="H53" s="527">
        <v>-49.113565999999999</v>
      </c>
      <c r="I53" s="527">
        <v>-26.182623</v>
      </c>
      <c r="J53" s="539" t="s">
        <v>1989</v>
      </c>
      <c r="K53" s="539" t="s">
        <v>1989</v>
      </c>
      <c r="L53" s="554">
        <v>2</v>
      </c>
      <c r="M53" s="107"/>
      <c r="N53" s="529">
        <v>1.9820000000000001E-2</v>
      </c>
      <c r="O53" s="529">
        <v>5.2919999999999995E-2</v>
      </c>
      <c r="P53" s="288">
        <f t="shared" si="10"/>
        <v>0.47581671064467712</v>
      </c>
      <c r="Q53" s="30">
        <f t="shared" si="1"/>
        <v>23.790835532233856</v>
      </c>
      <c r="R53" s="30">
        <f t="shared" si="11"/>
        <v>26.209164467766144</v>
      </c>
      <c r="S53" s="107">
        <v>16.542730227716302</v>
      </c>
      <c r="T53" s="107">
        <v>21.117201693274463</v>
      </c>
      <c r="U53" s="107">
        <v>29.751596099974382</v>
      </c>
      <c r="V53" s="107">
        <v>27.751814107970276</v>
      </c>
      <c r="W53" s="288">
        <f t="shared" si="12"/>
        <v>0.53804317847923133</v>
      </c>
      <c r="X53" s="289">
        <f t="shared" si="4"/>
        <v>26.902158923961565</v>
      </c>
      <c r="Y53" s="289">
        <f t="shared" si="5"/>
        <v>3.1113233917277086</v>
      </c>
      <c r="Z53" s="107">
        <v>22.0011437449492</v>
      </c>
      <c r="AA53" s="107">
        <v>24.180249205315089</v>
      </c>
      <c r="AB53" s="107">
        <v>32.446964139707418</v>
      </c>
      <c r="AC53" s="107">
        <v>28.98027860587456</v>
      </c>
      <c r="AD53" s="106">
        <v>3</v>
      </c>
      <c r="AE53" s="32" t="str">
        <f>IF(AD53=0,"",VLOOKUP(AD53,tab_tipo_expansao!$A$2:$B$4,2,0))</f>
        <v>não_considerar</v>
      </c>
      <c r="AF53" s="125">
        <v>2030</v>
      </c>
      <c r="AG53" s="125">
        <v>2100</v>
      </c>
      <c r="AH53" s="125">
        <v>30</v>
      </c>
      <c r="AI53" s="530">
        <v>295.07280280334754</v>
      </c>
      <c r="AJ53" s="24">
        <f>AK53/constantes!$B$4</f>
        <v>1513.1938605299874</v>
      </c>
      <c r="AK53" s="33">
        <f t="shared" si="13"/>
        <v>5901.4560560669506</v>
      </c>
      <c r="AL53" s="87">
        <v>2</v>
      </c>
      <c r="AM53" s="531">
        <v>0</v>
      </c>
      <c r="AN53" s="23"/>
      <c r="AO53" s="532">
        <f t="shared" si="7"/>
        <v>295.07280280334754</v>
      </c>
      <c r="AQ53" s="35">
        <f t="shared" si="14"/>
        <v>5901.4560560669506</v>
      </c>
      <c r="AR53" s="36">
        <f ca="1">OFFSET(cod_desembolso!$A$1,AL53,23)</f>
        <v>1.1245293369208682</v>
      </c>
      <c r="AS53" s="37">
        <f ca="1">IF(AO53=0,0,AO53*(OFFSET(cod_desembolso!$A$1,AL53,23)))</f>
        <v>331.81802327983053</v>
      </c>
      <c r="AT53" s="38">
        <f>(constantes!$B$3*(1+constantes!$B$3)^(AH53))/((1+constantes!$B$3)^(AH53)-1)</f>
        <v>8.8827433387272267E-2</v>
      </c>
      <c r="AU53" s="37">
        <f t="shared" ca="1" si="9"/>
        <v>31.974543359585503</v>
      </c>
      <c r="AV53" s="37">
        <f ca="1">IF(AO53=0,AX53/constantes!$B$3,AU53/constantes!$B$3)</f>
        <v>399.68179199481881</v>
      </c>
      <c r="AW53" s="39">
        <f ca="1">IF(AO53=0,0,PV(constantes!$B$3,AH53,-AU53)*constantes!$B$3)</f>
        <v>28.796998531011937</v>
      </c>
      <c r="AX53" s="40">
        <f>constantes!$B$10*E53/1000</f>
        <v>2.5</v>
      </c>
      <c r="AY53" s="533">
        <f>constantes!$B$12</f>
        <v>0</v>
      </c>
      <c r="AZ53" s="20">
        <v>318</v>
      </c>
      <c r="BA53" s="43"/>
      <c r="BB53" s="3" t="s">
        <v>2181</v>
      </c>
      <c r="BD53" s="534">
        <v>1</v>
      </c>
      <c r="BE53" s="535">
        <v>2027</v>
      </c>
      <c r="BF53" s="536">
        <v>1</v>
      </c>
      <c r="BG53" s="537">
        <v>2027</v>
      </c>
    </row>
    <row r="54" spans="1:59" ht="14.45" customHeight="1">
      <c r="A54" s="125">
        <v>1053</v>
      </c>
      <c r="B54" s="125">
        <v>1053</v>
      </c>
      <c r="C54" s="625" t="s">
        <v>2270</v>
      </c>
      <c r="D54" s="538" t="s">
        <v>2270</v>
      </c>
      <c r="E54" s="526">
        <v>74</v>
      </c>
      <c r="F54" s="3" t="s">
        <v>2194</v>
      </c>
      <c r="G54" s="3" t="s">
        <v>2124</v>
      </c>
      <c r="H54" s="527">
        <v>-47.516401000000002</v>
      </c>
      <c r="I54" s="527">
        <v>-18.209211</v>
      </c>
      <c r="J54" s="539" t="s">
        <v>150</v>
      </c>
      <c r="K54" s="539" t="s">
        <v>150</v>
      </c>
      <c r="L54" s="554">
        <v>1</v>
      </c>
      <c r="M54" s="107"/>
      <c r="N54" s="529">
        <v>2.068E-2</v>
      </c>
      <c r="O54" s="529">
        <v>4.6600000000000003E-2</v>
      </c>
      <c r="P54" s="288">
        <f t="shared" si="10"/>
        <v>0.49997908622908621</v>
      </c>
      <c r="Q54" s="30">
        <f t="shared" si="1"/>
        <v>36.998452380952379</v>
      </c>
      <c r="R54" s="30">
        <f t="shared" si="11"/>
        <v>37.001547619047621</v>
      </c>
      <c r="S54" s="107">
        <v>58.40761904761905</v>
      </c>
      <c r="T54" s="107">
        <v>40.085714285714282</v>
      </c>
      <c r="U54" s="107">
        <v>13.834583333333333</v>
      </c>
      <c r="V54" s="107">
        <v>35.665892857142858</v>
      </c>
      <c r="W54" s="288">
        <f t="shared" si="12"/>
        <v>0.5447005829358772</v>
      </c>
      <c r="X54" s="289">
        <f t="shared" si="4"/>
        <v>40.307843137254913</v>
      </c>
      <c r="Y54" s="289">
        <f t="shared" si="5"/>
        <v>3.309390756302534</v>
      </c>
      <c r="Z54" s="107">
        <v>64.058000000000035</v>
      </c>
      <c r="AA54" s="107">
        <v>42.431098039215684</v>
      </c>
      <c r="AB54" s="107">
        <v>15.500470588235293</v>
      </c>
      <c r="AC54" s="107">
        <v>39.241803921568639</v>
      </c>
      <c r="AD54" s="106">
        <v>1</v>
      </c>
      <c r="AE54" s="32" t="str">
        <f>IF(AD54=0,"",VLOOKUP(AD54,tab_tipo_expansao!$A$2:$B$4,2,0))</f>
        <v>opcional</v>
      </c>
      <c r="AF54" s="125">
        <v>2023</v>
      </c>
      <c r="AG54" s="125">
        <v>2100</v>
      </c>
      <c r="AH54" s="125">
        <v>30</v>
      </c>
      <c r="AI54" s="530">
        <v>918.70338202065761</v>
      </c>
      <c r="AJ54" s="24">
        <f>AK54/constantes!$B$4</f>
        <v>3183.3104020119808</v>
      </c>
      <c r="AK54" s="33">
        <f t="shared" si="13"/>
        <v>12414.910567846726</v>
      </c>
      <c r="AL54" s="87">
        <v>2</v>
      </c>
      <c r="AM54" s="531">
        <v>0</v>
      </c>
      <c r="AN54" s="23"/>
      <c r="AO54" s="532">
        <f t="shared" si="7"/>
        <v>918.70338202065761</v>
      </c>
      <c r="AQ54" s="35">
        <f t="shared" si="14"/>
        <v>12414.910567846726</v>
      </c>
      <c r="AR54" s="36">
        <f ca="1">OFFSET(cod_desembolso!$A$1,AL54,23)</f>
        <v>1.1245293369208682</v>
      </c>
      <c r="AS54" s="37">
        <f ca="1">IF(AO54=0,0,AO54*(OFFSET(cod_desembolso!$A$1,AL54,23)))</f>
        <v>1033.1089050106491</v>
      </c>
      <c r="AT54" s="38">
        <f>(constantes!$B$3*(1+constantes!$B$3)^(AH54))/((1+constantes!$B$3)^(AH54)-1)</f>
        <v>8.8827433387272267E-2</v>
      </c>
      <c r="AU54" s="37">
        <f t="shared" ca="1" si="9"/>
        <v>95.46841244163123</v>
      </c>
      <c r="AV54" s="37">
        <f ca="1">IF(AO54=0,AX54/constantes!$B$3,AU54/constantes!$B$3)</f>
        <v>1193.3551555203903</v>
      </c>
      <c r="AW54" s="39">
        <f ca="1">IF(AO54=0,0,PV(constantes!$B$3,AH54,-AU54)*constantes!$B$3)</f>
        <v>85.981016270417655</v>
      </c>
      <c r="AX54" s="40">
        <f>constantes!$B$10*E54/1000</f>
        <v>3.7</v>
      </c>
      <c r="AY54" s="533">
        <f>constantes!$B$12</f>
        <v>0</v>
      </c>
      <c r="AZ54" s="20">
        <v>318</v>
      </c>
      <c r="BA54" s="43"/>
      <c r="BB54" s="3" t="s">
        <v>2207</v>
      </c>
      <c r="BD54" s="534">
        <v>1</v>
      </c>
      <c r="BE54" s="535">
        <v>2022</v>
      </c>
      <c r="BF54" s="536">
        <v>1</v>
      </c>
      <c r="BG54" s="537">
        <v>2022</v>
      </c>
    </row>
    <row r="55" spans="1:59" ht="15">
      <c r="A55" s="125">
        <v>1054</v>
      </c>
      <c r="B55" s="125">
        <v>1054</v>
      </c>
      <c r="C55" s="538" t="s">
        <v>2271</v>
      </c>
      <c r="D55" s="538" t="s">
        <v>2271</v>
      </c>
      <c r="E55" s="526">
        <v>60</v>
      </c>
      <c r="F55" s="3" t="s">
        <v>2209</v>
      </c>
      <c r="G55" s="3" t="s">
        <v>2209</v>
      </c>
      <c r="H55" s="527">
        <v>-45.956516000000001</v>
      </c>
      <c r="I55" s="527">
        <v>-20.288177999999998</v>
      </c>
      <c r="J55" s="539" t="s">
        <v>150</v>
      </c>
      <c r="K55" s="539" t="s">
        <v>150</v>
      </c>
      <c r="L55" s="554">
        <v>1</v>
      </c>
      <c r="M55" s="107"/>
      <c r="N55" s="529">
        <v>1.9820000000000001E-2</v>
      </c>
      <c r="O55" s="529">
        <v>5.2919999999999995E-2</v>
      </c>
      <c r="P55" s="288">
        <f t="shared" si="10"/>
        <v>0.42929265873015876</v>
      </c>
      <c r="Q55" s="30">
        <f t="shared" si="1"/>
        <v>25.757559523809526</v>
      </c>
      <c r="R55" s="30">
        <f t="shared" si="11"/>
        <v>34.242440476190474</v>
      </c>
      <c r="S55" s="107">
        <v>39.536190476190477</v>
      </c>
      <c r="T55" s="107">
        <v>26.032083333333333</v>
      </c>
      <c r="U55" s="107">
        <v>15.620833333333332</v>
      </c>
      <c r="V55" s="107">
        <v>21.841130952380951</v>
      </c>
      <c r="W55" s="288">
        <f t="shared" si="12"/>
        <v>0.56890473856209112</v>
      </c>
      <c r="X55" s="289">
        <f t="shared" si="4"/>
        <v>34.134284313725466</v>
      </c>
      <c r="Y55" s="289">
        <f t="shared" si="5"/>
        <v>8.3767247899159401</v>
      </c>
      <c r="Z55" s="107">
        <v>51.749254901960718</v>
      </c>
      <c r="AA55" s="107">
        <v>32.530274509803895</v>
      </c>
      <c r="AB55" s="107">
        <v>19.639098039215682</v>
      </c>
      <c r="AC55" s="107">
        <v>32.618509803921562</v>
      </c>
      <c r="AD55" s="106">
        <v>1</v>
      </c>
      <c r="AE55" s="32" t="str">
        <f>IF(AD55=0,"",VLOOKUP(AD55,tab_tipo_expansao!$A$2:$B$4,2,0))</f>
        <v>opcional</v>
      </c>
      <c r="AF55" s="125">
        <v>2028</v>
      </c>
      <c r="AG55" s="125">
        <v>2100</v>
      </c>
      <c r="AH55" s="125">
        <v>30</v>
      </c>
      <c r="AI55" s="530">
        <v>494.40790416499607</v>
      </c>
      <c r="AJ55" s="24">
        <f>AK55/constantes!$B$4</f>
        <v>2112.8542913034021</v>
      </c>
      <c r="AK55" s="33">
        <f t="shared" si="13"/>
        <v>8240.1317360832672</v>
      </c>
      <c r="AL55" s="87">
        <v>2</v>
      </c>
      <c r="AM55" s="531">
        <v>0</v>
      </c>
      <c r="AN55" s="23"/>
      <c r="AO55" s="532">
        <f t="shared" si="7"/>
        <v>494.40790416499607</v>
      </c>
      <c r="AQ55" s="35">
        <f t="shared" si="14"/>
        <v>8240.1317360832672</v>
      </c>
      <c r="AR55" s="36">
        <f ca="1">OFFSET(cod_desembolso!$A$1,AL55,23)</f>
        <v>1.1245293369208682</v>
      </c>
      <c r="AS55" s="37">
        <f ca="1">IF(AO55=0,0,AO55*(OFFSET(cod_desembolso!$A$1,AL55,23)))</f>
        <v>555.97619263909917</v>
      </c>
      <c r="AT55" s="38">
        <f>(constantes!$B$3*(1+constantes!$B$3)^(AH55))/((1+constantes!$B$3)^(AH55)-1)</f>
        <v>8.8827433387272267E-2</v>
      </c>
      <c r="AU55" s="37">
        <f t="shared" ca="1" si="9"/>
        <v>52.385938216558834</v>
      </c>
      <c r="AV55" s="37">
        <f ca="1">IF(AO55=0,AX55/constantes!$B$3,AU55/constantes!$B$3)</f>
        <v>654.82422770698543</v>
      </c>
      <c r="AW55" s="39">
        <f ca="1">IF(AO55=0,0,PV(constantes!$B$3,AH55,-AU55)*constantes!$B$3)</f>
        <v>47.179963413478525</v>
      </c>
      <c r="AX55" s="40">
        <f>constantes!$B$10*E55/1000</f>
        <v>3</v>
      </c>
      <c r="AY55" s="533">
        <f>constantes!$B$12</f>
        <v>0</v>
      </c>
      <c r="AZ55" s="20">
        <v>318</v>
      </c>
      <c r="BA55" s="43"/>
      <c r="BB55" s="3" t="s">
        <v>2195</v>
      </c>
      <c r="BD55" s="534">
        <v>1</v>
      </c>
      <c r="BE55" s="535">
        <v>2027</v>
      </c>
      <c r="BF55" s="536">
        <v>1</v>
      </c>
      <c r="BG55" s="537">
        <v>2027</v>
      </c>
    </row>
    <row r="56" spans="1:59" ht="15" customHeight="1">
      <c r="A56" s="125">
        <v>1055</v>
      </c>
      <c r="B56" s="125">
        <v>1055</v>
      </c>
      <c r="C56" s="538" t="s">
        <v>2272</v>
      </c>
      <c r="D56" s="538" t="s">
        <v>2272</v>
      </c>
      <c r="E56" s="526">
        <v>50</v>
      </c>
      <c r="F56" s="3" t="s">
        <v>2219</v>
      </c>
      <c r="G56" s="3" t="s">
        <v>2273</v>
      </c>
      <c r="H56" s="527">
        <v>-51.475541</v>
      </c>
      <c r="I56" s="527">
        <v>-29.008347000000001</v>
      </c>
      <c r="J56" s="539" t="s">
        <v>149</v>
      </c>
      <c r="K56" s="539" t="s">
        <v>149</v>
      </c>
      <c r="L56" s="554">
        <v>2</v>
      </c>
      <c r="M56" s="107"/>
      <c r="N56" s="529">
        <v>2.068E-2</v>
      </c>
      <c r="O56" s="529">
        <v>4.6600000000000003E-2</v>
      </c>
      <c r="P56" s="288">
        <f t="shared" si="10"/>
        <v>0.47581671064467712</v>
      </c>
      <c r="Q56" s="30">
        <f t="shared" si="1"/>
        <v>23.790835532233856</v>
      </c>
      <c r="R56" s="30">
        <f t="shared" si="11"/>
        <v>26.209164467766144</v>
      </c>
      <c r="S56" s="107">
        <v>16.542730227716302</v>
      </c>
      <c r="T56" s="107">
        <v>21.117201693274463</v>
      </c>
      <c r="U56" s="107">
        <v>29.751596099974382</v>
      </c>
      <c r="V56" s="107">
        <v>27.751814107970276</v>
      </c>
      <c r="W56" s="288">
        <f t="shared" si="12"/>
        <v>0.53804317847923133</v>
      </c>
      <c r="X56" s="289">
        <f t="shared" si="4"/>
        <v>26.902158923961565</v>
      </c>
      <c r="Y56" s="289">
        <f t="shared" si="5"/>
        <v>3.1113233917277086</v>
      </c>
      <c r="Z56" s="107">
        <v>22.0011437449492</v>
      </c>
      <c r="AA56" s="107">
        <v>24.180249205315089</v>
      </c>
      <c r="AB56" s="107">
        <v>32.446964139707418</v>
      </c>
      <c r="AC56" s="107">
        <v>28.98027860587456</v>
      </c>
      <c r="AD56" s="106">
        <v>1</v>
      </c>
      <c r="AE56" s="32" t="str">
        <f>IF(AD56=0,"",VLOOKUP(AD56,tab_tipo_expansao!$A$2:$B$4,2,0))</f>
        <v>opcional</v>
      </c>
      <c r="AF56" s="125">
        <v>2028</v>
      </c>
      <c r="AG56" s="125">
        <v>2100</v>
      </c>
      <c r="AH56" s="125">
        <v>30</v>
      </c>
      <c r="AI56" s="530">
        <v>500</v>
      </c>
      <c r="AJ56" s="24">
        <f>AK56/constantes!$B$4</f>
        <v>2564.102564102564</v>
      </c>
      <c r="AK56" s="33">
        <f t="shared" si="13"/>
        <v>10000</v>
      </c>
      <c r="AL56" s="87">
        <v>2</v>
      </c>
      <c r="AM56" s="531">
        <v>0</v>
      </c>
      <c r="AN56" s="23"/>
      <c r="AO56" s="532">
        <f t="shared" si="7"/>
        <v>500</v>
      </c>
      <c r="AQ56" s="35">
        <f t="shared" si="14"/>
        <v>10000</v>
      </c>
      <c r="AR56" s="36">
        <f ca="1">OFFSET(cod_desembolso!$A$1,AL56,23)</f>
        <v>1.1245293369208682</v>
      </c>
      <c r="AS56" s="37">
        <f ca="1">IF(AO56=0,0,AO56*(OFFSET(cod_desembolso!$A$1,AL56,23)))</f>
        <v>562.26466846043411</v>
      </c>
      <c r="AT56" s="38">
        <f>(constantes!$B$3*(1+constantes!$B$3)^(AH56))/((1+constantes!$B$3)^(AH56)-1)</f>
        <v>8.8827433387272267E-2</v>
      </c>
      <c r="AU56" s="37">
        <f t="shared" ca="1" si="9"/>
        <v>52.444527383685937</v>
      </c>
      <c r="AV56" s="37">
        <f ca="1">IF(AO56=0,AX56/constantes!$B$3,AU56/constantes!$B$3)</f>
        <v>655.5565922960742</v>
      </c>
      <c r="AW56" s="39">
        <f ca="1">IF(AO56=0,0,PV(constantes!$B$3,AH56,-AU56)*constantes!$B$3)</f>
        <v>47.232730145460231</v>
      </c>
      <c r="AX56" s="40">
        <f>constantes!$B$10*E56/1000</f>
        <v>2.5</v>
      </c>
      <c r="AY56" s="533">
        <f>constantes!$B$12</f>
        <v>0</v>
      </c>
      <c r="AZ56" s="20">
        <v>318</v>
      </c>
      <c r="BA56" s="43"/>
      <c r="BB56" s="3" t="s">
        <v>2195</v>
      </c>
      <c r="BD56" s="534">
        <v>1</v>
      </c>
      <c r="BE56" s="535">
        <v>2027</v>
      </c>
      <c r="BF56" s="536">
        <v>1</v>
      </c>
      <c r="BG56" s="537">
        <v>2027</v>
      </c>
    </row>
    <row r="57" spans="1:59" ht="15" customHeight="1">
      <c r="A57" s="125">
        <v>1056</v>
      </c>
      <c r="B57" s="125">
        <v>1056</v>
      </c>
      <c r="C57" s="538" t="s">
        <v>2274</v>
      </c>
      <c r="D57" s="538" t="s">
        <v>2274</v>
      </c>
      <c r="E57" s="526">
        <v>150</v>
      </c>
      <c r="F57" s="3" t="s">
        <v>2179</v>
      </c>
      <c r="G57" s="3" t="s">
        <v>2253</v>
      </c>
      <c r="H57" s="527">
        <v>-58.818446999999999</v>
      </c>
      <c r="I57" s="527">
        <v>-12.180674</v>
      </c>
      <c r="J57" s="539" t="s">
        <v>158</v>
      </c>
      <c r="K57" s="539" t="s">
        <v>158</v>
      </c>
      <c r="L57" s="554">
        <v>10</v>
      </c>
      <c r="M57" s="107"/>
      <c r="N57" s="529">
        <v>1.9820000000000001E-2</v>
      </c>
      <c r="O57" s="529">
        <v>5.2919999999999995E-2</v>
      </c>
      <c r="P57" s="288">
        <f t="shared" si="10"/>
        <v>0.76697103174603176</v>
      </c>
      <c r="Q57" s="30">
        <f t="shared" si="1"/>
        <v>115.04565476190477</v>
      </c>
      <c r="R57" s="30">
        <f t="shared" si="11"/>
        <v>34.954345238095229</v>
      </c>
      <c r="S57" s="107">
        <v>123.82952380952382</v>
      </c>
      <c r="T57" s="107">
        <v>121.18220238095239</v>
      </c>
      <c r="U57" s="107">
        <v>106.58958333333332</v>
      </c>
      <c r="V57" s="107">
        <v>108.58130952380951</v>
      </c>
      <c r="W57" s="288">
        <f t="shared" si="12"/>
        <v>0.73920738562091504</v>
      </c>
      <c r="X57" s="289">
        <f t="shared" si="4"/>
        <v>110.88110784313726</v>
      </c>
      <c r="Y57" s="289">
        <f t="shared" si="5"/>
        <v>-4.1645469187675133</v>
      </c>
      <c r="Z57" s="107">
        <v>124.31023529411766</v>
      </c>
      <c r="AA57" s="107">
        <v>114.68788235294112</v>
      </c>
      <c r="AB57" s="107">
        <v>99.686980392156855</v>
      </c>
      <c r="AC57" s="107">
        <v>104.83933333333339</v>
      </c>
      <c r="AD57" s="106">
        <v>3</v>
      </c>
      <c r="AE57" s="32" t="str">
        <f>IF(AD57=0,"",VLOOKUP(AD57,tab_tipo_expansao!$A$2:$B$4,2,0))</f>
        <v>não_considerar</v>
      </c>
      <c r="AF57" s="125">
        <v>2030</v>
      </c>
      <c r="AG57" s="125">
        <v>2100</v>
      </c>
      <c r="AH57" s="125">
        <v>30</v>
      </c>
      <c r="AI57" s="530">
        <v>2368.608742766402</v>
      </c>
      <c r="AJ57" s="24">
        <f>AK57/constantes!$B$4</f>
        <v>4048.9038337887214</v>
      </c>
      <c r="AK57" s="33">
        <f t="shared" si="13"/>
        <v>15790.724951776014</v>
      </c>
      <c r="AL57" s="87">
        <v>2</v>
      </c>
      <c r="AM57" s="531">
        <v>0</v>
      </c>
      <c r="AN57" s="23"/>
      <c r="AO57" s="532">
        <f t="shared" si="7"/>
        <v>2368.608742766402</v>
      </c>
      <c r="AQ57" s="35">
        <f t="shared" si="14"/>
        <v>15790.724951776014</v>
      </c>
      <c r="AR57" s="36">
        <f ca="1">OFFSET(cod_desembolso!$A$1,AL57,23)</f>
        <v>1.1245293369208682</v>
      </c>
      <c r="AS57" s="37">
        <f ca="1">IF(AO57=0,0,AO57*(OFFSET(cod_desembolso!$A$1,AL57,23)))</f>
        <v>2663.5700189280733</v>
      </c>
      <c r="AT57" s="38">
        <f>(constantes!$B$3*(1+constantes!$B$3)^(AH57))/((1+constantes!$B$3)^(AH57)-1)</f>
        <v>8.8827433387272267E-2</v>
      </c>
      <c r="AU57" s="37">
        <f t="shared" ca="1" si="9"/>
        <v>244.09808842866897</v>
      </c>
      <c r="AV57" s="37">
        <f ca="1">IF(AO57=0,AX57/constantes!$B$3,AU57/constantes!$B$3)</f>
        <v>3051.226105358362</v>
      </c>
      <c r="AW57" s="39">
        <f ca="1">IF(AO57=0,0,PV(constantes!$B$3,AH57,-AU57)*constantes!$B$3)</f>
        <v>219.84027152012237</v>
      </c>
      <c r="AX57" s="40">
        <f>constantes!$B$10*E57/1000</f>
        <v>7.5</v>
      </c>
      <c r="AY57" s="533">
        <f>constantes!$B$12</f>
        <v>0</v>
      </c>
      <c r="AZ57" s="20">
        <v>318</v>
      </c>
      <c r="BA57" s="43"/>
      <c r="BB57" s="3" t="s">
        <v>2215</v>
      </c>
      <c r="BD57" s="534">
        <v>1</v>
      </c>
      <c r="BE57" s="535">
        <v>2035</v>
      </c>
      <c r="BF57" s="536">
        <v>3</v>
      </c>
      <c r="BG57" s="537">
        <v>2050</v>
      </c>
    </row>
    <row r="58" spans="1:59" ht="15" customHeight="1">
      <c r="A58" s="125">
        <v>1057</v>
      </c>
      <c r="B58" s="125">
        <v>1057</v>
      </c>
      <c r="C58" s="538" t="s">
        <v>2275</v>
      </c>
      <c r="D58" s="538" t="s">
        <v>2275</v>
      </c>
      <c r="E58" s="526">
        <v>36.200000000000003</v>
      </c>
      <c r="F58" s="3" t="s">
        <v>2219</v>
      </c>
      <c r="G58" s="3" t="s">
        <v>2276</v>
      </c>
      <c r="H58" s="527">
        <v>-51.875005999999999</v>
      </c>
      <c r="I58" s="527">
        <v>-29.216107000000001</v>
      </c>
      <c r="J58" s="539" t="s">
        <v>149</v>
      </c>
      <c r="K58" s="539" t="s">
        <v>149</v>
      </c>
      <c r="L58" s="554">
        <v>2</v>
      </c>
      <c r="M58" s="107"/>
      <c r="N58" s="529">
        <v>2.068E-2</v>
      </c>
      <c r="O58" s="529">
        <v>4.6600000000000003E-2</v>
      </c>
      <c r="P58" s="288">
        <f t="shared" si="10"/>
        <v>0.47199914496185214</v>
      </c>
      <c r="Q58" s="30">
        <f t="shared" si="1"/>
        <v>17.086369047619048</v>
      </c>
      <c r="R58" s="30">
        <f t="shared" si="11"/>
        <v>19.113630952380955</v>
      </c>
      <c r="S58" s="107">
        <v>12.170952380952381</v>
      </c>
      <c r="T58" s="107">
        <v>17.419285714285714</v>
      </c>
      <c r="U58" s="107">
        <v>22.862916666666663</v>
      </c>
      <c r="V58" s="107">
        <v>15.89232142857143</v>
      </c>
      <c r="W58" s="288">
        <f t="shared" si="12"/>
        <v>0.55146490087747801</v>
      </c>
      <c r="X58" s="289">
        <f t="shared" si="4"/>
        <v>19.963029411764705</v>
      </c>
      <c r="Y58" s="289">
        <f t="shared" si="5"/>
        <v>2.876660364145657</v>
      </c>
      <c r="Z58" s="107">
        <v>14.528627450980395</v>
      </c>
      <c r="AA58" s="107">
        <v>19.482627450980388</v>
      </c>
      <c r="AB58" s="107">
        <v>25.702862745098034</v>
      </c>
      <c r="AC58" s="107">
        <v>20.138000000000002</v>
      </c>
      <c r="AD58" s="106">
        <v>1</v>
      </c>
      <c r="AE58" s="32" t="str">
        <f>IF(AD58=0,"",VLOOKUP(AD58,tab_tipo_expansao!$A$2:$B$4,2,0))</f>
        <v>opcional</v>
      </c>
      <c r="AF58" s="125">
        <v>2028</v>
      </c>
      <c r="AG58" s="125">
        <v>2100</v>
      </c>
      <c r="AH58" s="125">
        <v>30</v>
      </c>
      <c r="AI58" s="530">
        <v>644.96294877679543</v>
      </c>
      <c r="AJ58" s="24">
        <f>AK58/constantes!$B$4</f>
        <v>4568.3733445020216</v>
      </c>
      <c r="AK58" s="33">
        <f t="shared" si="13"/>
        <v>17816.656043557883</v>
      </c>
      <c r="AL58" s="87">
        <v>2</v>
      </c>
      <c r="AM58" s="531">
        <v>0</v>
      </c>
      <c r="AN58" s="23"/>
      <c r="AO58" s="532">
        <f t="shared" si="7"/>
        <v>644.96294877679543</v>
      </c>
      <c r="AQ58" s="35">
        <f t="shared" si="14"/>
        <v>17816.656043557883</v>
      </c>
      <c r="AR58" s="36">
        <f ca="1">OFFSET(cod_desembolso!$A$1,AL58,23)</f>
        <v>1.1245293369208682</v>
      </c>
      <c r="AS58" s="37">
        <f ca="1">IF(AO58=0,0,AO58*(OFFSET(cod_desembolso!$A$1,AL58,23)))</f>
        <v>725.27975712649766</v>
      </c>
      <c r="AT58" s="38">
        <f>(constantes!$B$3*(1+constantes!$B$3)^(AH58))/((1+constantes!$B$3)^(AH58)-1)</f>
        <v>8.8827433387272267E-2</v>
      </c>
      <c r="AU58" s="37">
        <f t="shared" ca="1" si="9"/>
        <v>66.234739313290987</v>
      </c>
      <c r="AV58" s="37">
        <f ca="1">IF(AO58=0,AX58/constantes!$B$3,AU58/constantes!$B$3)</f>
        <v>827.9342414161373</v>
      </c>
      <c r="AW58" s="39">
        <f ca="1">IF(AO58=0,0,PV(constantes!$B$3,AH58,-AU58)*constantes!$B$3)</f>
        <v>59.652507598204679</v>
      </c>
      <c r="AX58" s="40">
        <f>constantes!$B$10*E58/1000</f>
        <v>1.8100000000000003</v>
      </c>
      <c r="AY58" s="533">
        <f>constantes!$B$12</f>
        <v>0</v>
      </c>
      <c r="AZ58" s="20">
        <v>318</v>
      </c>
      <c r="BA58" s="43"/>
      <c r="BB58" s="3" t="s">
        <v>2195</v>
      </c>
      <c r="BD58" s="534">
        <v>1</v>
      </c>
      <c r="BE58" s="535">
        <v>2027</v>
      </c>
      <c r="BF58" s="536">
        <v>1</v>
      </c>
      <c r="BG58" s="537">
        <v>2027</v>
      </c>
    </row>
    <row r="59" spans="1:59" ht="15" customHeight="1">
      <c r="A59" s="125">
        <v>1058</v>
      </c>
      <c r="B59" s="125">
        <v>1058</v>
      </c>
      <c r="C59" s="538" t="s">
        <v>2277</v>
      </c>
      <c r="D59" s="538" t="s">
        <v>2278</v>
      </c>
      <c r="E59" s="526">
        <v>35.799999999999997</v>
      </c>
      <c r="F59" s="3" t="s">
        <v>2194</v>
      </c>
      <c r="G59" s="3" t="s">
        <v>2279</v>
      </c>
      <c r="H59" s="527">
        <v>-51.222613000000003</v>
      </c>
      <c r="I59" s="527">
        <v>-18.402984</v>
      </c>
      <c r="J59" s="539" t="s">
        <v>2003</v>
      </c>
      <c r="K59" s="539" t="s">
        <v>2003</v>
      </c>
      <c r="L59" s="554">
        <v>1</v>
      </c>
      <c r="M59" s="107"/>
      <c r="N59" s="529">
        <v>2.068E-2</v>
      </c>
      <c r="O59" s="529">
        <v>4.6600000000000003E-2</v>
      </c>
      <c r="P59" s="288">
        <f t="shared" si="10"/>
        <v>0.61870053538175063</v>
      </c>
      <c r="Q59" s="30">
        <f t="shared" si="1"/>
        <v>22.149479166666669</v>
      </c>
      <c r="R59" s="30">
        <f t="shared" si="11"/>
        <v>13.650520833333328</v>
      </c>
      <c r="S59" s="107">
        <v>30.583333333333332</v>
      </c>
      <c r="T59" s="107">
        <v>21.652916666666666</v>
      </c>
      <c r="U59" s="107">
        <v>13.385</v>
      </c>
      <c r="V59" s="107">
        <v>22.97666666666667</v>
      </c>
      <c r="W59" s="288">
        <f t="shared" si="12"/>
        <v>0.69396976667762145</v>
      </c>
      <c r="X59" s="289">
        <f t="shared" si="4"/>
        <v>24.844117647058845</v>
      </c>
      <c r="Y59" s="289">
        <f t="shared" si="5"/>
        <v>2.6946384803921752</v>
      </c>
      <c r="Z59" s="107">
        <v>32.627764705882413</v>
      </c>
      <c r="AA59" s="107">
        <v>25.85262745098041</v>
      </c>
      <c r="AB59" s="107">
        <v>15.847372549019605</v>
      </c>
      <c r="AC59" s="107">
        <v>25.048705882352948</v>
      </c>
      <c r="AD59" s="106">
        <v>1</v>
      </c>
      <c r="AE59" s="32" t="str">
        <f>IF(AD59=0,"",VLOOKUP(AD59,tab_tipo_expansao!$A$2:$B$4,2,0))</f>
        <v>opcional</v>
      </c>
      <c r="AF59" s="125">
        <v>2028</v>
      </c>
      <c r="AG59" s="125">
        <v>2100</v>
      </c>
      <c r="AH59" s="125">
        <v>30</v>
      </c>
      <c r="AI59" s="530">
        <v>276.36321840123406</v>
      </c>
      <c r="AJ59" s="24">
        <f>AK59/constantes!$B$4</f>
        <v>1979.3956338721823</v>
      </c>
      <c r="AK59" s="33">
        <f t="shared" si="13"/>
        <v>7719.6429721015111</v>
      </c>
      <c r="AL59" s="87">
        <v>2</v>
      </c>
      <c r="AM59" s="531">
        <v>0</v>
      </c>
      <c r="AN59" s="23"/>
      <c r="AO59" s="532">
        <f t="shared" si="7"/>
        <v>276.36321840123406</v>
      </c>
      <c r="AQ59" s="35">
        <f t="shared" si="14"/>
        <v>7719.6429721015111</v>
      </c>
      <c r="AR59" s="36">
        <f ca="1">OFFSET(cod_desembolso!$A$1,AL59,23)</f>
        <v>1.1245293369208682</v>
      </c>
      <c r="AS59" s="37">
        <f ca="1">IF(AO59=0,0,AO59*(OFFSET(cod_desembolso!$A$1,AL59,23)))</f>
        <v>310.77854673805683</v>
      </c>
      <c r="AT59" s="38">
        <f>(constantes!$B$3*(1+constantes!$B$3)^(AH59))/((1+constantes!$B$3)^(AH59)-1)</f>
        <v>8.8827433387272267E-2</v>
      </c>
      <c r="AU59" s="37">
        <f t="shared" ca="1" si="9"/>
        <v>29.395660658568023</v>
      </c>
      <c r="AV59" s="37">
        <f ca="1">IF(AO59=0,AX59/constantes!$B$3,AU59/constantes!$B$3)</f>
        <v>367.44575823210027</v>
      </c>
      <c r="AW59" s="39">
        <f ca="1">IF(AO59=0,0,PV(constantes!$B$3,AH59,-AU59)*constantes!$B$3)</f>
        <v>26.474398313780398</v>
      </c>
      <c r="AX59" s="40">
        <f>constantes!$B$10*E59/1000</f>
        <v>1.7899999999999998</v>
      </c>
      <c r="AY59" s="533">
        <f>constantes!$B$12</f>
        <v>0</v>
      </c>
      <c r="AZ59" s="20">
        <v>318</v>
      </c>
      <c r="BA59" s="43"/>
      <c r="BB59" s="3" t="s">
        <v>2195</v>
      </c>
      <c r="BD59" s="534">
        <v>1</v>
      </c>
      <c r="BE59" s="535">
        <v>2027</v>
      </c>
      <c r="BF59" s="536">
        <v>1</v>
      </c>
      <c r="BG59" s="537">
        <v>2027</v>
      </c>
    </row>
    <row r="60" spans="1:59" ht="14.45" customHeight="1">
      <c r="A60" s="125">
        <v>1059</v>
      </c>
      <c r="B60" s="125">
        <v>1059</v>
      </c>
      <c r="C60" s="626" t="s">
        <v>2280</v>
      </c>
      <c r="D60" s="538" t="s">
        <v>2281</v>
      </c>
      <c r="E60" s="526">
        <v>87.1</v>
      </c>
      <c r="F60" s="3" t="s">
        <v>2194</v>
      </c>
      <c r="G60" s="3" t="s">
        <v>2212</v>
      </c>
      <c r="H60" s="527">
        <v>-53.678654999999999</v>
      </c>
      <c r="I60" s="527">
        <v>-24.200353</v>
      </c>
      <c r="J60" s="539" t="s">
        <v>151</v>
      </c>
      <c r="K60" s="539" t="s">
        <v>151</v>
      </c>
      <c r="L60" s="554">
        <v>2</v>
      </c>
      <c r="M60" s="107"/>
      <c r="N60" s="529">
        <v>1.9820000000000001E-2</v>
      </c>
      <c r="O60" s="529">
        <v>5.2919999999999995E-2</v>
      </c>
      <c r="P60" s="288">
        <f t="shared" si="10"/>
        <v>0.596947781695916</v>
      </c>
      <c r="Q60" s="30">
        <f t="shared" si="1"/>
        <v>51.99415178571428</v>
      </c>
      <c r="R60" s="30">
        <f t="shared" si="11"/>
        <v>35.105848214285714</v>
      </c>
      <c r="S60" s="107">
        <v>50.238095238095241</v>
      </c>
      <c r="T60" s="107">
        <v>53.243273809523807</v>
      </c>
      <c r="U60" s="107">
        <v>48.417083333333331</v>
      </c>
      <c r="V60" s="107">
        <v>56.078154761904763</v>
      </c>
      <c r="W60" s="288">
        <f t="shared" si="12"/>
        <v>0.60825352873640848</v>
      </c>
      <c r="X60" s="289">
        <f t="shared" si="4"/>
        <v>52.978882352941177</v>
      </c>
      <c r="Y60" s="289">
        <f t="shared" si="5"/>
        <v>0.98473056722689734</v>
      </c>
      <c r="Z60" s="107">
        <v>52.270549019607849</v>
      </c>
      <c r="AA60" s="107">
        <v>50.998509803921571</v>
      </c>
      <c r="AB60" s="107">
        <v>50.816352941176483</v>
      </c>
      <c r="AC60" s="107">
        <v>57.830117647058813</v>
      </c>
      <c r="AD60" s="106">
        <v>1</v>
      </c>
      <c r="AE60" s="32" t="str">
        <f>IF(AD60=0,"",VLOOKUP(AD60,tab_tipo_expansao!$A$2:$B$4,2,0))</f>
        <v>opcional</v>
      </c>
      <c r="AF60" s="125">
        <v>2023</v>
      </c>
      <c r="AG60" s="125">
        <v>2100</v>
      </c>
      <c r="AH60" s="125">
        <v>30</v>
      </c>
      <c r="AI60" s="530">
        <v>814.19400545885162</v>
      </c>
      <c r="AJ60" s="24">
        <f>AK60/constantes!$B$4</f>
        <v>2396.8736361354522</v>
      </c>
      <c r="AK60" s="33">
        <f t="shared" si="13"/>
        <v>9347.8071809282628</v>
      </c>
      <c r="AL60" s="87">
        <v>2</v>
      </c>
      <c r="AM60" s="531">
        <v>0</v>
      </c>
      <c r="AN60" s="23"/>
      <c r="AO60" s="532">
        <f t="shared" si="7"/>
        <v>814.19400545885162</v>
      </c>
      <c r="AQ60" s="35">
        <f t="shared" si="14"/>
        <v>9347.8071809282628</v>
      </c>
      <c r="AR60" s="36">
        <f ca="1">OFFSET(cod_desembolso!$A$1,AL60,23)</f>
        <v>1.1245293369208682</v>
      </c>
      <c r="AS60" s="37">
        <f ca="1">IF(AO60=0,0,AO60*(OFFSET(cod_desembolso!$A$1,AL60,23)))</f>
        <v>915.58504508358817</v>
      </c>
      <c r="AT60" s="38">
        <f>(constantes!$B$3*(1+constantes!$B$3)^(AH60))/((1+constantes!$B$3)^(AH60)-1)</f>
        <v>8.8827433387272267E-2</v>
      </c>
      <c r="AU60" s="37">
        <f t="shared" ca="1" si="9"/>
        <v>85.684069602545108</v>
      </c>
      <c r="AV60" s="37">
        <f ca="1">IF(AO60=0,AX60/constantes!$B$3,AU60/constantes!$B$3)</f>
        <v>1071.0508700318139</v>
      </c>
      <c r="AW60" s="39">
        <f ca="1">IF(AO60=0,0,PV(constantes!$B$3,AH60,-AU60)*constantes!$B$3)</f>
        <v>77.169015323432674</v>
      </c>
      <c r="AX60" s="40">
        <f>constantes!$B$10*E60/1000</f>
        <v>4.3550000000000004</v>
      </c>
      <c r="AY60" s="533">
        <f>constantes!$B$12</f>
        <v>0</v>
      </c>
      <c r="AZ60" s="20">
        <v>318</v>
      </c>
      <c r="BA60" s="43"/>
      <c r="BB60" s="3" t="s">
        <v>2207</v>
      </c>
      <c r="BD60" s="534">
        <v>1</v>
      </c>
      <c r="BE60" s="535">
        <v>2022</v>
      </c>
      <c r="BF60" s="536">
        <v>1</v>
      </c>
      <c r="BG60" s="537">
        <v>2022</v>
      </c>
    </row>
    <row r="61" spans="1:59" ht="15" customHeight="1">
      <c r="A61" s="125">
        <v>1060</v>
      </c>
      <c r="B61" s="125">
        <v>1060</v>
      </c>
      <c r="C61" s="538" t="s">
        <v>2282</v>
      </c>
      <c r="D61" s="538" t="s">
        <v>2282</v>
      </c>
      <c r="E61" s="526">
        <v>415</v>
      </c>
      <c r="F61" s="3" t="s">
        <v>2179</v>
      </c>
      <c r="G61" s="3" t="s">
        <v>2253</v>
      </c>
      <c r="H61" s="130">
        <v>-58.375104</v>
      </c>
      <c r="I61" s="130">
        <v>-11.029624</v>
      </c>
      <c r="J61" s="539" t="s">
        <v>158</v>
      </c>
      <c r="K61" s="539" t="s">
        <v>158</v>
      </c>
      <c r="L61" s="554">
        <v>10</v>
      </c>
      <c r="M61" s="107"/>
      <c r="N61" s="529">
        <v>1.6379999999999999E-2</v>
      </c>
      <c r="O61" s="529">
        <v>6.1409999999999999E-2</v>
      </c>
      <c r="P61" s="288">
        <f t="shared" si="10"/>
        <v>0.7477361589214</v>
      </c>
      <c r="Q61" s="30">
        <f t="shared" si="1"/>
        <v>310.31050595238099</v>
      </c>
      <c r="R61" s="30">
        <f t="shared" si="11"/>
        <v>104.68949404761901</v>
      </c>
      <c r="S61" s="107">
        <v>342.25190476190477</v>
      </c>
      <c r="T61" s="107">
        <v>337.42428571428576</v>
      </c>
      <c r="U61" s="107">
        <v>277.73625000000004</v>
      </c>
      <c r="V61" s="107">
        <v>283.82958333333335</v>
      </c>
      <c r="W61" s="288">
        <f t="shared" si="12"/>
        <v>0.70983208126624153</v>
      </c>
      <c r="X61" s="289">
        <f t="shared" si="4"/>
        <v>294.58031372549021</v>
      </c>
      <c r="Y61" s="289">
        <f t="shared" si="5"/>
        <v>-15.730192226890779</v>
      </c>
      <c r="Z61" s="107">
        <v>347.82317647058818</v>
      </c>
      <c r="AA61" s="107">
        <v>316.14474509803921</v>
      </c>
      <c r="AB61" s="107">
        <v>249.41431372549019</v>
      </c>
      <c r="AC61" s="107">
        <v>264.93901960784325</v>
      </c>
      <c r="AD61" s="106">
        <v>3</v>
      </c>
      <c r="AE61" s="32" t="str">
        <f>IF(AD61=0,"",VLOOKUP(AD61,tab_tipo_expansao!$A$2:$B$4,2,0))</f>
        <v>não_considerar</v>
      </c>
      <c r="AF61" s="125">
        <v>2030</v>
      </c>
      <c r="AG61" s="125">
        <v>2100</v>
      </c>
      <c r="AH61" s="125">
        <v>30</v>
      </c>
      <c r="AI61" s="530">
        <v>4391.0457241159384</v>
      </c>
      <c r="AJ61" s="24">
        <f>AK61/constantes!$B$4</f>
        <v>2713.034120553561</v>
      </c>
      <c r="AK61" s="33">
        <f t="shared" si="13"/>
        <v>10580.833070158887</v>
      </c>
      <c r="AL61" s="87">
        <v>3</v>
      </c>
      <c r="AM61" s="531">
        <v>0</v>
      </c>
      <c r="AN61" s="23"/>
      <c r="AO61" s="532">
        <f t="shared" si="7"/>
        <v>4391.0457241159384</v>
      </c>
      <c r="AQ61" s="35">
        <f t="shared" si="14"/>
        <v>10580.833070158887</v>
      </c>
      <c r="AR61" s="36">
        <f ca="1">OFFSET(cod_desembolso!$A$1,AL61,23)</f>
        <v>1.1255071012622904</v>
      </c>
      <c r="AS61" s="37">
        <f ca="1">IF(AO61=0,0,AO61*(OFFSET(cod_desembolso!$A$1,AL61,23)))</f>
        <v>4942.153144459905</v>
      </c>
      <c r="AT61" s="38">
        <f>(constantes!$B$3*(1+constantes!$B$3)^(AH61))/((1+constantes!$B$3)^(AH61)-1)</f>
        <v>8.8827433387272267E-2</v>
      </c>
      <c r="AU61" s="37">
        <f t="shared" ca="1" si="9"/>
        <v>459.74877922921036</v>
      </c>
      <c r="AV61" s="37">
        <f ca="1">IF(AO61=0,AX61/constantes!$B$3,AU61/constantes!$B$3)</f>
        <v>5746.8597403651293</v>
      </c>
      <c r="AW61" s="39">
        <f ca="1">IF(AO61=0,0,PV(constantes!$B$3,AH61,-AU61)*constantes!$B$3)</f>
        <v>414.06017190638397</v>
      </c>
      <c r="AX61" s="40">
        <f>constantes!$B$10*E61/1000</f>
        <v>20.75</v>
      </c>
      <c r="AY61" s="533">
        <f>constantes!$B$12</f>
        <v>0</v>
      </c>
      <c r="AZ61" s="20">
        <v>318</v>
      </c>
      <c r="BA61" s="43"/>
      <c r="BB61" s="3" t="s">
        <v>2215</v>
      </c>
      <c r="BD61" s="534">
        <v>1</v>
      </c>
      <c r="BE61" s="535">
        <v>2035</v>
      </c>
      <c r="BF61" s="536">
        <v>3</v>
      </c>
      <c r="BG61" s="537">
        <v>2050</v>
      </c>
    </row>
    <row r="62" spans="1:59" ht="15">
      <c r="A62" s="125">
        <v>1061</v>
      </c>
      <c r="B62" s="125">
        <v>1061</v>
      </c>
      <c r="C62" s="538" t="s">
        <v>2283</v>
      </c>
      <c r="D62" s="538" t="s">
        <v>2283</v>
      </c>
      <c r="E62" s="526">
        <v>1248</v>
      </c>
      <c r="F62" s="3" t="s">
        <v>2179</v>
      </c>
      <c r="G62" s="3" t="s">
        <v>2253</v>
      </c>
      <c r="H62" s="527">
        <v>-58.663167000000001</v>
      </c>
      <c r="I62" s="527">
        <v>-9.1831390000000006</v>
      </c>
      <c r="J62" s="539" t="s">
        <v>158</v>
      </c>
      <c r="K62" s="539" t="s">
        <v>158</v>
      </c>
      <c r="L62" s="554">
        <v>10</v>
      </c>
      <c r="M62" s="107"/>
      <c r="N62" s="529">
        <v>1.6379999999999999E-2</v>
      </c>
      <c r="O62" s="529">
        <v>6.1409999999999999E-2</v>
      </c>
      <c r="P62" s="288">
        <f t="shared" si="10"/>
        <v>0.54146483182616001</v>
      </c>
      <c r="Q62" s="30">
        <f t="shared" si="1"/>
        <v>675.74811011904762</v>
      </c>
      <c r="R62" s="30">
        <f t="shared" si="11"/>
        <v>572.25188988095238</v>
      </c>
      <c r="S62" s="107">
        <v>918.86714285714288</v>
      </c>
      <c r="T62" s="107">
        <v>841.72345238095238</v>
      </c>
      <c r="U62" s="107">
        <v>429.25583333333333</v>
      </c>
      <c r="V62" s="107">
        <v>513.14601190476185</v>
      </c>
      <c r="W62" s="288">
        <f t="shared" si="12"/>
        <v>0.5149959543112117</v>
      </c>
      <c r="X62" s="289">
        <f t="shared" si="4"/>
        <v>642.71495098039225</v>
      </c>
      <c r="Y62" s="289">
        <f t="shared" si="5"/>
        <v>-33.033159138655378</v>
      </c>
      <c r="Z62" s="107">
        <v>919.50278431372578</v>
      </c>
      <c r="AA62" s="107">
        <v>756.00854901960781</v>
      </c>
      <c r="AB62" s="107">
        <v>399.16823529411766</v>
      </c>
      <c r="AC62" s="107">
        <v>496.18023529411767</v>
      </c>
      <c r="AD62" s="106">
        <v>3</v>
      </c>
      <c r="AE62" s="32" t="str">
        <f>IF(AD62=0,"",VLOOKUP(AD62,tab_tipo_expansao!$A$2:$B$4,2,0))</f>
        <v>não_considerar</v>
      </c>
      <c r="AF62" s="125">
        <v>2030</v>
      </c>
      <c r="AG62" s="125">
        <v>2100</v>
      </c>
      <c r="AH62" s="125">
        <v>30</v>
      </c>
      <c r="AI62" s="530">
        <v>14193.338840499773</v>
      </c>
      <c r="AJ62" s="24">
        <f>AK62/constantes!$B$4</f>
        <v>2916.119912988941</v>
      </c>
      <c r="AK62" s="33">
        <f t="shared" si="13"/>
        <v>11372.86766065687</v>
      </c>
      <c r="AL62" s="87">
        <v>4</v>
      </c>
      <c r="AM62" s="531">
        <v>0</v>
      </c>
      <c r="AN62" s="23"/>
      <c r="AO62" s="532">
        <f t="shared" si="7"/>
        <v>14193.338840499773</v>
      </c>
      <c r="AQ62" s="35">
        <f t="shared" si="14"/>
        <v>11372.86766065687</v>
      </c>
      <c r="AR62" s="36">
        <f ca="1">OFFSET(cod_desembolso!$A$1,AL62,23)</f>
        <v>1.103153897336226</v>
      </c>
      <c r="AS62" s="37">
        <f ca="1">IF(AO62=0,0,AO62*(OFFSET(cod_desembolso!$A$1,AL62,23)))</f>
        <v>15657.437058110956</v>
      </c>
      <c r="AT62" s="38">
        <f>(constantes!$B$3*(1+constantes!$B$3)^(AH62))/((1+constantes!$B$3)^(AH62)-1)</f>
        <v>8.8827433387272267E-2</v>
      </c>
      <c r="AU62" s="37">
        <f t="shared" ca="1" si="9"/>
        <v>1453.2099472947593</v>
      </c>
      <c r="AV62" s="37">
        <f ca="1">IF(AO62=0,AX62/constantes!$B$3,AU62/constantes!$B$3)</f>
        <v>18165.124341184492</v>
      </c>
      <c r="AW62" s="39">
        <f ca="1">IF(AO62=0,0,PV(constantes!$B$3,AH62,-AU62)*constantes!$B$3)</f>
        <v>1308.7938190977691</v>
      </c>
      <c r="AX62" s="40">
        <f>constantes!$B$10*E62/1000</f>
        <v>62.4</v>
      </c>
      <c r="AY62" s="533">
        <f>constantes!$B$12</f>
        <v>0</v>
      </c>
      <c r="AZ62" s="20">
        <v>318</v>
      </c>
      <c r="BA62" s="43"/>
      <c r="BB62" s="3" t="s">
        <v>2215</v>
      </c>
      <c r="BD62" s="534">
        <v>1</v>
      </c>
      <c r="BE62" s="535">
        <v>2035</v>
      </c>
      <c r="BF62" s="536">
        <v>3</v>
      </c>
      <c r="BG62" s="537">
        <v>2050</v>
      </c>
    </row>
    <row r="63" spans="1:59" ht="14.45" customHeight="1">
      <c r="A63" s="125">
        <v>1062</v>
      </c>
      <c r="B63" s="125">
        <v>1062</v>
      </c>
      <c r="C63" s="538" t="s">
        <v>2284</v>
      </c>
      <c r="D63" s="538" t="s">
        <v>2284</v>
      </c>
      <c r="E63" s="526">
        <v>75</v>
      </c>
      <c r="F63" s="3" t="s">
        <v>2229</v>
      </c>
      <c r="G63" s="3" t="s">
        <v>2232</v>
      </c>
      <c r="H63" s="527">
        <v>-42.368101000000003</v>
      </c>
      <c r="I63" s="527">
        <v>-19.328077</v>
      </c>
      <c r="J63" s="539" t="s">
        <v>150</v>
      </c>
      <c r="K63" s="539" t="s">
        <v>150</v>
      </c>
      <c r="L63" s="554">
        <v>1</v>
      </c>
      <c r="M63" s="107"/>
      <c r="N63" s="529">
        <v>2.068E-2</v>
      </c>
      <c r="O63" s="529">
        <v>4.6600000000000003E-2</v>
      </c>
      <c r="P63" s="288">
        <f t="shared" si="10"/>
        <v>0.49932619047619048</v>
      </c>
      <c r="Q63" s="30">
        <f t="shared" si="1"/>
        <v>37.449464285714285</v>
      </c>
      <c r="R63" s="30">
        <f t="shared" si="11"/>
        <v>37.550535714285715</v>
      </c>
      <c r="S63" s="107">
        <v>50.732380952380957</v>
      </c>
      <c r="T63" s="107">
        <v>36.821726190476184</v>
      </c>
      <c r="U63" s="107">
        <v>23.950416666666666</v>
      </c>
      <c r="V63" s="107">
        <v>38.293333333333337</v>
      </c>
      <c r="W63" s="288">
        <f t="shared" si="12"/>
        <v>0.52303738562091506</v>
      </c>
      <c r="X63" s="289">
        <f t="shared" si="4"/>
        <v>39.227803921568629</v>
      </c>
      <c r="Y63" s="289">
        <f t="shared" si="5"/>
        <v>1.7783396358543442</v>
      </c>
      <c r="Z63" s="107">
        <v>56.711372549019586</v>
      </c>
      <c r="AA63" s="107">
        <v>35.159686274509788</v>
      </c>
      <c r="AB63" s="107">
        <v>23.775019607843131</v>
      </c>
      <c r="AC63" s="107">
        <v>41.265137254901994</v>
      </c>
      <c r="AD63" s="106">
        <v>3</v>
      </c>
      <c r="AE63" s="32" t="str">
        <f>IF(AD63=0,"",VLOOKUP(AD63,tab_tipo_expansao!$A$2:$B$4,2,0))</f>
        <v>não_considerar</v>
      </c>
      <c r="AF63" s="125">
        <v>2030</v>
      </c>
      <c r="AG63" s="125">
        <v>2100</v>
      </c>
      <c r="AH63" s="125">
        <v>30</v>
      </c>
      <c r="AI63" s="530">
        <v>439.39628620848828</v>
      </c>
      <c r="AJ63" s="24">
        <f>AK63/constantes!$B$4</f>
        <v>1502.2095254991052</v>
      </c>
      <c r="AK63" s="33">
        <f t="shared" si="13"/>
        <v>5858.6171494465098</v>
      </c>
      <c r="AL63" s="87">
        <v>2</v>
      </c>
      <c r="AM63" s="531">
        <v>0</v>
      </c>
      <c r="AN63" s="23"/>
      <c r="AO63" s="532">
        <f t="shared" si="7"/>
        <v>439.39628620848828</v>
      </c>
      <c r="AQ63" s="35">
        <f t="shared" si="14"/>
        <v>5858.6171494465107</v>
      </c>
      <c r="AR63" s="36">
        <f ca="1">OFFSET(cod_desembolso!$A$1,AL63,23)</f>
        <v>1.1245293369208682</v>
      </c>
      <c r="AS63" s="37">
        <f ca="1">IF(AO63=0,0,AO63*(OFFSET(cod_desembolso!$A$1,AL63,23)))</f>
        <v>494.11401437552337</v>
      </c>
      <c r="AT63" s="38">
        <f>(constantes!$B$3*(1+constantes!$B$3)^(AH63))/((1+constantes!$B$3)^(AH63)-1)</f>
        <v>8.8827433387272267E-2</v>
      </c>
      <c r="AU63" s="37">
        <f t="shared" ca="1" si="9"/>
        <v>47.640879697659493</v>
      </c>
      <c r="AV63" s="37">
        <f ca="1">IF(AO63=0,AX63/constantes!$B$3,AU63/constantes!$B$3)</f>
        <v>595.51099622074366</v>
      </c>
      <c r="AW63" s="39">
        <f ca="1">IF(AO63=0,0,PV(constantes!$B$3,AH63,-AU63)*constantes!$B$3)</f>
        <v>42.90645615298012</v>
      </c>
      <c r="AX63" s="40">
        <f>constantes!$B$10*E63/1000</f>
        <v>3.75</v>
      </c>
      <c r="AY63" s="533">
        <f>constantes!$B$12</f>
        <v>0</v>
      </c>
      <c r="AZ63" s="20">
        <v>318</v>
      </c>
      <c r="BA63" s="43"/>
      <c r="BB63" s="3" t="s">
        <v>2181</v>
      </c>
      <c r="BD63" s="534">
        <v>1</v>
      </c>
      <c r="BE63" s="535">
        <v>2027</v>
      </c>
      <c r="BF63" s="536">
        <v>1</v>
      </c>
      <c r="BG63" s="537">
        <v>2027</v>
      </c>
    </row>
    <row r="64" spans="1:59" ht="14.45" customHeight="1">
      <c r="A64" s="125">
        <v>1063</v>
      </c>
      <c r="B64" s="125">
        <v>1063</v>
      </c>
      <c r="C64" s="538" t="s">
        <v>2285</v>
      </c>
      <c r="D64" s="538" t="s">
        <v>2285</v>
      </c>
      <c r="E64" s="526">
        <v>56</v>
      </c>
      <c r="F64" s="3" t="s">
        <v>2244</v>
      </c>
      <c r="G64" s="3" t="s">
        <v>2244</v>
      </c>
      <c r="H64" s="527">
        <v>-42.859171000000003</v>
      </c>
      <c r="I64" s="527">
        <v>-6.3271230000000003</v>
      </c>
      <c r="J64" s="539" t="s">
        <v>1983</v>
      </c>
      <c r="K64" s="539" t="s">
        <v>1983</v>
      </c>
      <c r="L64" s="554">
        <v>3</v>
      </c>
      <c r="M64" s="107"/>
      <c r="N64" s="529">
        <v>2.068E-2</v>
      </c>
      <c r="O64" s="529">
        <v>4.6600000000000003E-2</v>
      </c>
      <c r="P64" s="288">
        <f t="shared" si="10"/>
        <v>0.67229326105442178</v>
      </c>
      <c r="Q64" s="30">
        <f t="shared" si="1"/>
        <v>37.648422619047622</v>
      </c>
      <c r="R64" s="30">
        <f t="shared" si="11"/>
        <v>18.351577380952378</v>
      </c>
      <c r="S64" s="107">
        <v>37.400476190476198</v>
      </c>
      <c r="T64" s="107">
        <v>37.799999999999997</v>
      </c>
      <c r="U64" s="107">
        <v>35.519583333333337</v>
      </c>
      <c r="V64" s="107">
        <v>39.87363095238095</v>
      </c>
      <c r="W64" s="288">
        <f t="shared" si="12"/>
        <v>0.69930934873949568</v>
      </c>
      <c r="X64" s="289">
        <f t="shared" si="4"/>
        <v>39.16132352941176</v>
      </c>
      <c r="Y64" s="289">
        <f t="shared" si="5"/>
        <v>1.512900910364138</v>
      </c>
      <c r="Z64" s="107">
        <v>46.906627450980373</v>
      </c>
      <c r="AA64" s="107">
        <v>41.650745098039209</v>
      </c>
      <c r="AB64" s="107">
        <v>31.485411764705884</v>
      </c>
      <c r="AC64" s="107">
        <v>36.602509803921571</v>
      </c>
      <c r="AD64" s="106">
        <v>1</v>
      </c>
      <c r="AE64" s="32" t="str">
        <f>IF(AD64=0,"",VLOOKUP(AD64,tab_tipo_expansao!$A$2:$B$4,2,0))</f>
        <v>opcional</v>
      </c>
      <c r="AF64" s="125">
        <v>2028</v>
      </c>
      <c r="AG64" s="125">
        <v>2100</v>
      </c>
      <c r="AH64" s="125">
        <v>30</v>
      </c>
      <c r="AI64" s="530">
        <v>627.9928971061579</v>
      </c>
      <c r="AJ64" s="24">
        <f>AK64/constantes!$B$4</f>
        <v>2875.4253530501737</v>
      </c>
      <c r="AK64" s="33">
        <f t="shared" si="13"/>
        <v>11214.158876895677</v>
      </c>
      <c r="AL64" s="87">
        <v>2</v>
      </c>
      <c r="AM64" s="531">
        <v>0</v>
      </c>
      <c r="AN64" s="23"/>
      <c r="AO64" s="532">
        <f t="shared" si="7"/>
        <v>627.9928971061579</v>
      </c>
      <c r="AQ64" s="35">
        <f t="shared" si="14"/>
        <v>11214.158876895675</v>
      </c>
      <c r="AR64" s="36">
        <f ca="1">OFFSET(cod_desembolso!$A$1,AL64,23)</f>
        <v>1.1245293369208682</v>
      </c>
      <c r="AS64" s="37">
        <f ca="1">IF(AO64=0,0,AO64*(OFFSET(cod_desembolso!$A$1,AL64,23)))</f>
        <v>706.19643617380279</v>
      </c>
      <c r="AT64" s="38">
        <f>(constantes!$B$3*(1+constantes!$B$3)^(AH64))/((1+constantes!$B$3)^(AH64)-1)</f>
        <v>8.8827433387272267E-2</v>
      </c>
      <c r="AU64" s="37">
        <f t="shared" ca="1" si="9"/>
        <v>65.529616892557542</v>
      </c>
      <c r="AV64" s="37">
        <f ca="1">IF(AO64=0,AX64/constantes!$B$3,AU64/constantes!$B$3)</f>
        <v>819.12021115696928</v>
      </c>
      <c r="AW64" s="39">
        <f ca="1">IF(AO64=0,0,PV(constantes!$B$3,AH64,-AU64)*constantes!$B$3)</f>
        <v>59.017458362764785</v>
      </c>
      <c r="AX64" s="40">
        <f>constantes!$B$10*E64/1000</f>
        <v>2.8</v>
      </c>
      <c r="AY64" s="533">
        <f>constantes!$B$12</f>
        <v>0</v>
      </c>
      <c r="AZ64" s="20">
        <v>318</v>
      </c>
      <c r="BA64" s="43"/>
      <c r="BB64" s="3" t="s">
        <v>2195</v>
      </c>
      <c r="BD64" s="534">
        <v>1</v>
      </c>
      <c r="BE64" s="535">
        <v>2027</v>
      </c>
      <c r="BF64" s="536">
        <v>1</v>
      </c>
      <c r="BG64" s="537">
        <v>2027</v>
      </c>
    </row>
    <row r="65" spans="1:59" ht="15">
      <c r="A65" s="125">
        <v>1064</v>
      </c>
      <c r="B65" s="125">
        <v>1064</v>
      </c>
      <c r="C65" s="538" t="s">
        <v>2286</v>
      </c>
      <c r="D65" s="538" t="s">
        <v>2286</v>
      </c>
      <c r="E65" s="526">
        <v>48.38</v>
      </c>
      <c r="F65" s="3" t="s">
        <v>2194</v>
      </c>
      <c r="G65" s="3" t="s">
        <v>2125</v>
      </c>
      <c r="H65" s="527">
        <v>-51.642118000000004</v>
      </c>
      <c r="I65" s="527">
        <v>-18.493563000000002</v>
      </c>
      <c r="J65" s="539" t="s">
        <v>2003</v>
      </c>
      <c r="K65" s="539" t="s">
        <v>2003</v>
      </c>
      <c r="L65" s="554">
        <v>1</v>
      </c>
      <c r="M65" s="107"/>
      <c r="N65" s="529">
        <v>2.068E-2</v>
      </c>
      <c r="O65" s="529">
        <v>4.6600000000000003E-2</v>
      </c>
      <c r="P65" s="288">
        <f t="shared" si="10"/>
        <v>0.63213043071714003</v>
      </c>
      <c r="Q65" s="30">
        <f t="shared" si="1"/>
        <v>30.582470238095237</v>
      </c>
      <c r="R65" s="30">
        <f t="shared" si="11"/>
        <v>17.797529761904766</v>
      </c>
      <c r="S65" s="107">
        <v>33.109523809523814</v>
      </c>
      <c r="T65" s="107">
        <v>26.97</v>
      </c>
      <c r="U65" s="107">
        <v>30.294999999999998</v>
      </c>
      <c r="V65" s="107">
        <v>31.955357142857142</v>
      </c>
      <c r="W65" s="288">
        <f t="shared" si="12"/>
        <v>0.68270837892825598</v>
      </c>
      <c r="X65" s="289">
        <f t="shared" si="4"/>
        <v>33.029431372549027</v>
      </c>
      <c r="Y65" s="289">
        <f t="shared" si="5"/>
        <v>2.4469611344537903</v>
      </c>
      <c r="Z65" s="107">
        <v>38.312156862745127</v>
      </c>
      <c r="AA65" s="107">
        <v>31.728274509803914</v>
      </c>
      <c r="AB65" s="107">
        <v>29.129254901960788</v>
      </c>
      <c r="AC65" s="107">
        <v>32.948039215686286</v>
      </c>
      <c r="AD65" s="106">
        <v>1</v>
      </c>
      <c r="AE65" s="32" t="str">
        <f>IF(AD65=0,"",VLOOKUP(AD65,tab_tipo_expansao!$A$2:$B$4,2,0))</f>
        <v>opcional</v>
      </c>
      <c r="AF65" s="125">
        <v>2028</v>
      </c>
      <c r="AG65" s="125">
        <v>2100</v>
      </c>
      <c r="AH65" s="125">
        <v>30</v>
      </c>
      <c r="AI65" s="530">
        <v>530.55434696333657</v>
      </c>
      <c r="AJ65" s="24">
        <f>AK65/constantes!$B$4</f>
        <v>2811.8969852096993</v>
      </c>
      <c r="AK65" s="33">
        <f t="shared" si="13"/>
        <v>10966.398242317828</v>
      </c>
      <c r="AL65" s="87">
        <v>2</v>
      </c>
      <c r="AM65" s="531">
        <v>0</v>
      </c>
      <c r="AN65" s="23"/>
      <c r="AO65" s="532">
        <f t="shared" si="7"/>
        <v>530.55434696333657</v>
      </c>
      <c r="AQ65" s="35">
        <f t="shared" si="14"/>
        <v>10966.398242317828</v>
      </c>
      <c r="AR65" s="36">
        <f ca="1">OFFSET(cod_desembolso!$A$1,AL65,23)</f>
        <v>1.1245293369208682</v>
      </c>
      <c r="AS65" s="37">
        <f ca="1">IF(AO65=0,0,AO65*(OFFSET(cod_desembolso!$A$1,AL65,23)))</f>
        <v>596.62392799116515</v>
      </c>
      <c r="AT65" s="38">
        <f>(constantes!$B$3*(1+constantes!$B$3)^(AH65))/((1+constantes!$B$3)^(AH65)-1)</f>
        <v>8.8827433387272267E-2</v>
      </c>
      <c r="AU65" s="37">
        <f t="shared" ca="1" si="9"/>
        <v>55.415572220887945</v>
      </c>
      <c r="AV65" s="37">
        <f ca="1">IF(AO65=0,AX65/constantes!$B$3,AU65/constantes!$B$3)</f>
        <v>692.69465276109929</v>
      </c>
      <c r="AW65" s="39">
        <f ca="1">IF(AO65=0,0,PV(constantes!$B$3,AH65,-AU65)*constantes!$B$3)</f>
        <v>49.90852047185524</v>
      </c>
      <c r="AX65" s="40">
        <f>constantes!$B$10*E65/1000</f>
        <v>2.419</v>
      </c>
      <c r="AY65" s="533">
        <f>constantes!$B$12</f>
        <v>0</v>
      </c>
      <c r="AZ65" s="20">
        <v>318</v>
      </c>
      <c r="BA65" s="43"/>
      <c r="BB65" s="3" t="s">
        <v>2195</v>
      </c>
      <c r="BD65" s="534">
        <v>1</v>
      </c>
      <c r="BE65" s="535">
        <v>2027</v>
      </c>
      <c r="BF65" s="536">
        <v>1</v>
      </c>
      <c r="BG65" s="537">
        <v>2027</v>
      </c>
    </row>
    <row r="66" spans="1:59" ht="15">
      <c r="A66" s="125">
        <v>1065</v>
      </c>
      <c r="B66" s="125">
        <v>1065</v>
      </c>
      <c r="C66" s="538" t="s">
        <v>2287</v>
      </c>
      <c r="D66" s="538" t="s">
        <v>2287</v>
      </c>
      <c r="E66" s="526">
        <v>71.7</v>
      </c>
      <c r="F66" s="3" t="s">
        <v>2179</v>
      </c>
      <c r="G66" s="3" t="s">
        <v>2288</v>
      </c>
      <c r="H66" s="527">
        <v>-61.512281000000002</v>
      </c>
      <c r="I66" s="527">
        <v>2.8940320000000002</v>
      </c>
      <c r="J66" s="539" t="s">
        <v>157</v>
      </c>
      <c r="K66" s="539" t="s">
        <v>157</v>
      </c>
      <c r="L66" s="554">
        <v>4</v>
      </c>
      <c r="M66" s="107"/>
      <c r="N66" s="529">
        <v>1.9820000000000001E-2</v>
      </c>
      <c r="O66" s="529">
        <v>5.2919999999999995E-2</v>
      </c>
      <c r="P66" s="288">
        <f t="shared" ref="P66:P97" si="15">Q66/$E66</f>
        <v>0.51908809025702318</v>
      </c>
      <c r="Q66" s="30">
        <f t="shared" ref="Q66:Q129" si="16">AVERAGE(S66:V66)</f>
        <v>37.218616071428563</v>
      </c>
      <c r="R66" s="30">
        <f t="shared" ref="R66:R97" si="17">E66-Q66</f>
        <v>34.481383928571439</v>
      </c>
      <c r="S66" s="107">
        <v>19.67285714285714</v>
      </c>
      <c r="T66" s="107">
        <v>43.291666666666664</v>
      </c>
      <c r="U66" s="107">
        <v>56.763749999999987</v>
      </c>
      <c r="V66" s="107">
        <v>29.14619047619048</v>
      </c>
      <c r="W66" s="288">
        <f t="shared" ref="W66:W97" si="18">X66/$E66</f>
        <v>0.45264459758798908</v>
      </c>
      <c r="X66" s="289">
        <f t="shared" ref="X66:X129" si="19">AVERAGE(Z66:AC66)</f>
        <v>32.454617647058818</v>
      </c>
      <c r="Y66" s="289">
        <f t="shared" ref="Y66:Y129" si="20">X66-Q66</f>
        <v>-4.7639984243697455</v>
      </c>
      <c r="Z66" s="107">
        <v>16.261490196078434</v>
      </c>
      <c r="AA66" s="107">
        <v>38.77356862745097</v>
      </c>
      <c r="AB66" s="107">
        <v>50.408588235294111</v>
      </c>
      <c r="AC66" s="107">
        <v>24.374823529411756</v>
      </c>
      <c r="AD66" s="106">
        <v>3</v>
      </c>
      <c r="AE66" s="32" t="str">
        <f>IF(AD66=0,"",VLOOKUP(AD66,tab_tipo_expansao!$A$2:$B$4,2,0))</f>
        <v>não_considerar</v>
      </c>
      <c r="AF66" s="125">
        <v>2030</v>
      </c>
      <c r="AG66" s="125">
        <v>2100</v>
      </c>
      <c r="AH66" s="125">
        <v>30</v>
      </c>
      <c r="AI66" s="530">
        <v>931.72690442653266</v>
      </c>
      <c r="AJ66" s="24">
        <f>AK66/constantes!$B$4</f>
        <v>3331.9990860298703</v>
      </c>
      <c r="AK66" s="33">
        <f t="shared" ref="AK66:AK97" si="21">AI66/E66*1000</f>
        <v>12994.796435516493</v>
      </c>
      <c r="AL66" s="87">
        <v>2</v>
      </c>
      <c r="AM66" s="531">
        <v>0</v>
      </c>
      <c r="AN66" s="23"/>
      <c r="AO66" s="532">
        <f t="shared" ref="AO66:AO129" si="22">AI66+AM66+AN66</f>
        <v>931.72690442653266</v>
      </c>
      <c r="AQ66" s="35">
        <f t="shared" ref="AQ66:AQ97" si="23">AO66*1000/E66</f>
        <v>12994.796435516495</v>
      </c>
      <c r="AR66" s="36">
        <f ca="1">OFFSET(cod_desembolso!$A$1,AL66,23)</f>
        <v>1.1245293369208682</v>
      </c>
      <c r="AS66" s="37">
        <f ca="1">IF(AO66=0,0,AO66*(OFFSET(cod_desembolso!$A$1,AL66,23)))</f>
        <v>1047.7542380261018</v>
      </c>
      <c r="AT66" s="38">
        <f>(constantes!$B$3*(1+constantes!$B$3)^(AH66))/((1+constantes!$B$3)^(AH66)-1)</f>
        <v>8.8827433387272267E-2</v>
      </c>
      <c r="AU66" s="37">
        <f t="shared" ref="AU66:AU129" ca="1" si="24">IF(AND(AO66=0,AX66=0),0,AS66*AT66+AX66)</f>
        <v>96.654319784495769</v>
      </c>
      <c r="AV66" s="37">
        <f ca="1">IF(AO66=0,AX66/constantes!$B$3,AU66/constantes!$B$3)</f>
        <v>1208.1789973061971</v>
      </c>
      <c r="AW66" s="39">
        <f ca="1">IF(AO66=0,0,PV(constantes!$B$3,AH66,-AU66)*constantes!$B$3)</f>
        <v>87.049071304897112</v>
      </c>
      <c r="AX66" s="40">
        <f>constantes!$B$10*E66/1000</f>
        <v>3.585</v>
      </c>
      <c r="AY66" s="533">
        <f>constantes!$B$12</f>
        <v>0</v>
      </c>
      <c r="AZ66" s="20">
        <v>318</v>
      </c>
      <c r="BA66" s="43"/>
      <c r="BB66" s="3" t="s">
        <v>2181</v>
      </c>
      <c r="BD66" s="534">
        <v>1</v>
      </c>
      <c r="BE66" s="535">
        <v>2027</v>
      </c>
      <c r="BF66" s="536">
        <v>1</v>
      </c>
      <c r="BG66" s="537">
        <v>2027</v>
      </c>
    </row>
    <row r="67" spans="1:59" ht="15">
      <c r="A67" s="125">
        <v>1066</v>
      </c>
      <c r="B67" s="125">
        <v>1066</v>
      </c>
      <c r="C67" s="538" t="s">
        <v>2289</v>
      </c>
      <c r="D67" s="538" t="s">
        <v>2289</v>
      </c>
      <c r="E67" s="526">
        <v>37.79</v>
      </c>
      <c r="F67" s="3" t="s">
        <v>2194</v>
      </c>
      <c r="G67" s="3" t="s">
        <v>2125</v>
      </c>
      <c r="H67" s="527">
        <v>-52.085746</v>
      </c>
      <c r="I67" s="527">
        <v>-18.187338</v>
      </c>
      <c r="J67" s="539" t="s">
        <v>2003</v>
      </c>
      <c r="K67" s="539" t="s">
        <v>2003</v>
      </c>
      <c r="L67" s="554">
        <v>1</v>
      </c>
      <c r="M67" s="107"/>
      <c r="N67" s="529">
        <v>2.068E-2</v>
      </c>
      <c r="O67" s="529">
        <v>4.6600000000000003E-2</v>
      </c>
      <c r="P67" s="288">
        <f t="shared" si="15"/>
        <v>0.52740788694413987</v>
      </c>
      <c r="Q67" s="30">
        <f t="shared" si="16"/>
        <v>19.930744047619044</v>
      </c>
      <c r="R67" s="30">
        <f t="shared" si="17"/>
        <v>17.859255952380956</v>
      </c>
      <c r="S67" s="107">
        <v>19.342857142857145</v>
      </c>
      <c r="T67" s="107">
        <v>17.685773809523809</v>
      </c>
      <c r="U67" s="107">
        <v>22.447499999999994</v>
      </c>
      <c r="V67" s="107">
        <v>20.246845238095236</v>
      </c>
      <c r="W67" s="288">
        <f t="shared" si="18"/>
        <v>0.62939360449128046</v>
      </c>
      <c r="X67" s="289">
        <f t="shared" si="19"/>
        <v>23.784784313725488</v>
      </c>
      <c r="Y67" s="289">
        <f t="shared" si="20"/>
        <v>3.8540402661064448</v>
      </c>
      <c r="Z67" s="107">
        <v>26.491882352941172</v>
      </c>
      <c r="AA67" s="107">
        <v>23.14960784313725</v>
      </c>
      <c r="AB67" s="107">
        <v>22.586274509803925</v>
      </c>
      <c r="AC67" s="107">
        <v>22.911372549019607</v>
      </c>
      <c r="AD67" s="106">
        <v>1</v>
      </c>
      <c r="AE67" s="32" t="str">
        <f>IF(AD67=0,"",VLOOKUP(AD67,tab_tipo_expansao!$A$2:$B$4,2,0))</f>
        <v>opcional</v>
      </c>
      <c r="AF67" s="125">
        <v>2028</v>
      </c>
      <c r="AG67" s="125">
        <v>2100</v>
      </c>
      <c r="AH67" s="125">
        <v>30</v>
      </c>
      <c r="AI67" s="530">
        <v>657.56327516843544</v>
      </c>
      <c r="AJ67" s="24">
        <f>AK67/constantes!$B$4</f>
        <v>4461.6556758906199</v>
      </c>
      <c r="AK67" s="33">
        <f t="shared" si="21"/>
        <v>17400.457135973418</v>
      </c>
      <c r="AL67" s="87">
        <v>2</v>
      </c>
      <c r="AM67" s="531">
        <v>0</v>
      </c>
      <c r="AN67" s="23"/>
      <c r="AO67" s="532">
        <f t="shared" si="22"/>
        <v>657.56327516843544</v>
      </c>
      <c r="AQ67" s="35">
        <f t="shared" si="23"/>
        <v>17400.457135973418</v>
      </c>
      <c r="AR67" s="36">
        <f ca="1">OFFSET(cod_desembolso!$A$1,AL67,23)</f>
        <v>1.1245293369208682</v>
      </c>
      <c r="AS67" s="37">
        <f ca="1">IF(AO67=0,0,AO67*(OFFSET(cod_desembolso!$A$1,AL67,23)))</f>
        <v>739.44919380867509</v>
      </c>
      <c r="AT67" s="38">
        <f>(constantes!$B$3*(1+constantes!$B$3)^(AH67))/((1+constantes!$B$3)^(AH67)-1)</f>
        <v>8.8827433387272267E-2</v>
      </c>
      <c r="AU67" s="37">
        <f t="shared" ca="1" si="24"/>
        <v>67.572874006312261</v>
      </c>
      <c r="AV67" s="37">
        <f ca="1">IF(AO67=0,AX67/constantes!$B$3,AU67/constantes!$B$3)</f>
        <v>844.66092507890323</v>
      </c>
      <c r="AW67" s="39">
        <f ca="1">IF(AO67=0,0,PV(constantes!$B$3,AH67,-AU67)*constantes!$B$3)</f>
        <v>60.857662034841155</v>
      </c>
      <c r="AX67" s="40">
        <f>constantes!$B$10*E67/1000</f>
        <v>1.8895</v>
      </c>
      <c r="AY67" s="533">
        <f>constantes!$B$12</f>
        <v>0</v>
      </c>
      <c r="AZ67" s="20">
        <v>318</v>
      </c>
      <c r="BA67" s="43"/>
      <c r="BB67" s="3" t="s">
        <v>2195</v>
      </c>
      <c r="BD67" s="534">
        <v>1</v>
      </c>
      <c r="BE67" s="535">
        <v>2027</v>
      </c>
      <c r="BF67" s="536">
        <v>1</v>
      </c>
      <c r="BG67" s="537">
        <v>2027</v>
      </c>
    </row>
    <row r="68" spans="1:59" ht="15">
      <c r="A68" s="125">
        <v>1067</v>
      </c>
      <c r="B68" s="125">
        <v>1067</v>
      </c>
      <c r="C68" s="538" t="s">
        <v>2290</v>
      </c>
      <c r="D68" s="538" t="s">
        <v>2290</v>
      </c>
      <c r="E68" s="526">
        <v>225</v>
      </c>
      <c r="F68" s="3" t="s">
        <v>2179</v>
      </c>
      <c r="G68" s="3" t="s">
        <v>2253</v>
      </c>
      <c r="H68" s="527">
        <v>-58.335524999999997</v>
      </c>
      <c r="I68" s="527">
        <v>-11.340623000000001</v>
      </c>
      <c r="J68" s="539" t="s">
        <v>158</v>
      </c>
      <c r="K68" s="539" t="s">
        <v>158</v>
      </c>
      <c r="L68" s="554">
        <v>10</v>
      </c>
      <c r="M68" s="107"/>
      <c r="N68" s="529">
        <v>1.9820000000000001E-2</v>
      </c>
      <c r="O68" s="529">
        <v>5.2919999999999995E-2</v>
      </c>
      <c r="P68" s="288">
        <f t="shared" si="15"/>
        <v>0.73455304232804242</v>
      </c>
      <c r="Q68" s="30">
        <f t="shared" si="16"/>
        <v>165.27443452380953</v>
      </c>
      <c r="R68" s="30">
        <f t="shared" si="17"/>
        <v>59.725565476190468</v>
      </c>
      <c r="S68" s="107">
        <v>183.57285714285715</v>
      </c>
      <c r="T68" s="107">
        <v>183.94684523809528</v>
      </c>
      <c r="U68" s="107">
        <v>149.93</v>
      </c>
      <c r="V68" s="107">
        <v>143.6480357142857</v>
      </c>
      <c r="W68" s="288">
        <f t="shared" si="18"/>
        <v>0.71055411764705889</v>
      </c>
      <c r="X68" s="289">
        <f t="shared" si="19"/>
        <v>159.87467647058824</v>
      </c>
      <c r="Y68" s="289">
        <f t="shared" si="20"/>
        <v>-5.3997580532212908</v>
      </c>
      <c r="Z68" s="107">
        <v>189.23592156862742</v>
      </c>
      <c r="AA68" s="107">
        <v>172.85364705882353</v>
      </c>
      <c r="AB68" s="107">
        <v>136.30227450980394</v>
      </c>
      <c r="AC68" s="107">
        <v>141.10686274509808</v>
      </c>
      <c r="AD68" s="106">
        <v>3</v>
      </c>
      <c r="AE68" s="32" t="str">
        <f>IF(AD68=0,"",VLOOKUP(AD68,tab_tipo_expansao!$A$2:$B$4,2,0))</f>
        <v>não_considerar</v>
      </c>
      <c r="AF68" s="125">
        <v>2030</v>
      </c>
      <c r="AG68" s="125">
        <v>2100</v>
      </c>
      <c r="AH68" s="125">
        <v>30</v>
      </c>
      <c r="AI68" s="530">
        <v>3687.705268282099</v>
      </c>
      <c r="AJ68" s="24">
        <f>AK68/constantes!$B$4</f>
        <v>4202.513126247406</v>
      </c>
      <c r="AK68" s="33">
        <f t="shared" si="21"/>
        <v>16389.801192364885</v>
      </c>
      <c r="AL68" s="87">
        <v>2</v>
      </c>
      <c r="AM68" s="531">
        <v>0</v>
      </c>
      <c r="AN68" s="23"/>
      <c r="AO68" s="532">
        <f t="shared" si="22"/>
        <v>3687.705268282099</v>
      </c>
      <c r="AQ68" s="35">
        <f t="shared" si="23"/>
        <v>16389.801192364885</v>
      </c>
      <c r="AR68" s="36">
        <f ca="1">OFFSET(cod_desembolso!$A$1,AL68,23)</f>
        <v>1.1245293369208682</v>
      </c>
      <c r="AS68" s="37">
        <f ca="1">IF(AO68=0,0,AO68*(OFFSET(cod_desembolso!$A$1,AL68,23)))</f>
        <v>4146.9327601008608</v>
      </c>
      <c r="AT68" s="38">
        <f>(constantes!$B$3*(1+constantes!$B$3)^(AH68))/((1+constantes!$B$3)^(AH68)-1)</f>
        <v>8.8827433387272267E-2</v>
      </c>
      <c r="AU68" s="37">
        <f t="shared" ca="1" si="24"/>
        <v>379.61139350935633</v>
      </c>
      <c r="AV68" s="37">
        <f ca="1">IF(AO68=0,AX68/constantes!$B$3,AU68/constantes!$B$3)</f>
        <v>4745.1424188669544</v>
      </c>
      <c r="AW68" s="39">
        <f ca="1">IF(AO68=0,0,PV(constantes!$B$3,AH68,-AU68)*constantes!$B$3)</f>
        <v>341.88662581688362</v>
      </c>
      <c r="AX68" s="40">
        <f>constantes!$B$10*E68/1000</f>
        <v>11.25</v>
      </c>
      <c r="AY68" s="533">
        <f>constantes!$B$12</f>
        <v>0</v>
      </c>
      <c r="AZ68" s="20">
        <v>318</v>
      </c>
      <c r="BA68" s="43"/>
      <c r="BB68" s="3" t="s">
        <v>2215</v>
      </c>
      <c r="BD68" s="534">
        <v>1</v>
      </c>
      <c r="BE68" s="535">
        <v>2035</v>
      </c>
      <c r="BF68" s="536">
        <v>3</v>
      </c>
      <c r="BG68" s="537">
        <v>2050</v>
      </c>
    </row>
    <row r="69" spans="1:59" ht="15">
      <c r="A69" s="125">
        <v>1068</v>
      </c>
      <c r="B69" s="125">
        <v>1068</v>
      </c>
      <c r="C69" s="538" t="s">
        <v>2291</v>
      </c>
      <c r="D69" s="538" t="s">
        <v>2291</v>
      </c>
      <c r="E69" s="526">
        <v>230</v>
      </c>
      <c r="F69" s="3" t="s">
        <v>2179</v>
      </c>
      <c r="G69" s="3" t="s">
        <v>2292</v>
      </c>
      <c r="H69" s="527">
        <v>-57.088135000000001</v>
      </c>
      <c r="I69" s="527">
        <v>-9.2062869999999997</v>
      </c>
      <c r="J69" s="539" t="s">
        <v>158</v>
      </c>
      <c r="K69" s="539" t="s">
        <v>158</v>
      </c>
      <c r="L69" s="554">
        <v>10</v>
      </c>
      <c r="M69" s="107"/>
      <c r="N69" s="529">
        <v>1.6379999999999999E-2</v>
      </c>
      <c r="O69" s="529">
        <v>6.1409999999999999E-2</v>
      </c>
      <c r="P69" s="288">
        <f t="shared" si="15"/>
        <v>0.43473744824016558</v>
      </c>
      <c r="Q69" s="30">
        <f t="shared" si="16"/>
        <v>99.989613095238084</v>
      </c>
      <c r="R69" s="30">
        <f t="shared" si="17"/>
        <v>130.0103869047619</v>
      </c>
      <c r="S69" s="107">
        <v>194.38238095238094</v>
      </c>
      <c r="T69" s="107">
        <v>91.408273809523806</v>
      </c>
      <c r="U69" s="107">
        <v>21.577500000000001</v>
      </c>
      <c r="V69" s="107">
        <v>92.590297619047604</v>
      </c>
      <c r="W69" s="288">
        <f t="shared" si="18"/>
        <v>0.45859467178175639</v>
      </c>
      <c r="X69" s="289">
        <f t="shared" si="19"/>
        <v>105.47677450980397</v>
      </c>
      <c r="Y69" s="289">
        <f t="shared" si="20"/>
        <v>5.4871614145658896</v>
      </c>
      <c r="Z69" s="107">
        <v>196.70403921568641</v>
      </c>
      <c r="AA69" s="107">
        <v>116.35537254901966</v>
      </c>
      <c r="AB69" s="107">
        <v>21.022078431372549</v>
      </c>
      <c r="AC69" s="107">
        <v>87.825607843137291</v>
      </c>
      <c r="AD69" s="106">
        <v>1</v>
      </c>
      <c r="AE69" s="32" t="str">
        <f>IF(AD69=0,"",VLOOKUP(AD69,tab_tipo_expansao!$A$2:$B$4,2,0))</f>
        <v>opcional</v>
      </c>
      <c r="AF69" s="125">
        <v>2028</v>
      </c>
      <c r="AG69" s="125">
        <v>2100</v>
      </c>
      <c r="AH69" s="125">
        <v>30</v>
      </c>
      <c r="AI69" s="530">
        <v>1198.580883987458</v>
      </c>
      <c r="AJ69" s="24">
        <f>AK69/constantes!$B$4</f>
        <v>1336.2105730071999</v>
      </c>
      <c r="AK69" s="33">
        <f t="shared" si="21"/>
        <v>5211.2212347280793</v>
      </c>
      <c r="AL69" s="87">
        <v>2</v>
      </c>
      <c r="AM69" s="531">
        <v>0</v>
      </c>
      <c r="AN69" s="23"/>
      <c r="AO69" s="532">
        <f t="shared" si="22"/>
        <v>1198.580883987458</v>
      </c>
      <c r="AQ69" s="35">
        <f t="shared" si="23"/>
        <v>5211.2212347280783</v>
      </c>
      <c r="AR69" s="36">
        <f ca="1">OFFSET(cod_desembolso!$A$1,AL69,23)</f>
        <v>1.1245293369208682</v>
      </c>
      <c r="AS69" s="37">
        <f ca="1">IF(AO69=0,0,AO69*(OFFSET(cod_desembolso!$A$1,AL69,23)))</f>
        <v>1347.8393667164441</v>
      </c>
      <c r="AT69" s="38">
        <f>(constantes!$B$3*(1+constantes!$B$3)^(AH69))/((1+constantes!$B$3)^(AH69)-1)</f>
        <v>8.8827433387272267E-2</v>
      </c>
      <c r="AU69" s="37">
        <f t="shared" ca="1" si="24"/>
        <v>131.22511156374819</v>
      </c>
      <c r="AV69" s="37">
        <f ca="1">IF(AO69=0,AX69/constantes!$B$3,AU69/constantes!$B$3)</f>
        <v>1640.3138945468522</v>
      </c>
      <c r="AW69" s="39">
        <f ca="1">IF(AO69=0,0,PV(constantes!$B$3,AH69,-AU69)*constantes!$B$3)</f>
        <v>118.18431001299282</v>
      </c>
      <c r="AX69" s="40">
        <f>constantes!$B$10*E69/1000</f>
        <v>11.5</v>
      </c>
      <c r="AY69" s="533">
        <f>constantes!$B$12</f>
        <v>0</v>
      </c>
      <c r="AZ69" s="20">
        <v>318</v>
      </c>
      <c r="BA69" s="43"/>
      <c r="BB69" s="3" t="s">
        <v>2195</v>
      </c>
      <c r="BD69" s="534">
        <v>1</v>
      </c>
      <c r="BE69" s="535">
        <v>2027</v>
      </c>
      <c r="BF69" s="536">
        <v>1</v>
      </c>
      <c r="BG69" s="537">
        <v>2027</v>
      </c>
    </row>
    <row r="70" spans="1:59" ht="15">
      <c r="A70" s="125">
        <v>1069</v>
      </c>
      <c r="B70" s="125">
        <v>1069</v>
      </c>
      <c r="C70" s="538" t="s">
        <v>2293</v>
      </c>
      <c r="D70" s="538" t="s">
        <v>2293</v>
      </c>
      <c r="E70" s="526">
        <v>68</v>
      </c>
      <c r="F70" s="3" t="s">
        <v>2179</v>
      </c>
      <c r="G70" s="3" t="s">
        <v>2294</v>
      </c>
      <c r="H70" s="527">
        <v>-58.398121000000003</v>
      </c>
      <c r="I70" s="527">
        <v>-12.76158</v>
      </c>
      <c r="J70" s="539" t="s">
        <v>158</v>
      </c>
      <c r="K70" s="539" t="s">
        <v>158</v>
      </c>
      <c r="L70" s="554">
        <v>10</v>
      </c>
      <c r="M70" s="107"/>
      <c r="N70" s="529">
        <v>1.9820000000000001E-2</v>
      </c>
      <c r="O70" s="529">
        <v>5.2919999999999995E-2</v>
      </c>
      <c r="P70" s="288">
        <f t="shared" si="15"/>
        <v>0.77794992997198886</v>
      </c>
      <c r="Q70" s="30">
        <f t="shared" si="16"/>
        <v>52.900595238095242</v>
      </c>
      <c r="R70" s="30">
        <f t="shared" si="17"/>
        <v>15.099404761904758</v>
      </c>
      <c r="S70" s="107">
        <v>57.445714285714295</v>
      </c>
      <c r="T70" s="107">
        <v>55.21339285714285</v>
      </c>
      <c r="U70" s="107">
        <v>47.524999999999999</v>
      </c>
      <c r="V70" s="107">
        <v>51.418273809523811</v>
      </c>
      <c r="W70" s="288">
        <f t="shared" si="18"/>
        <v>0.74074855824682817</v>
      </c>
      <c r="X70" s="289">
        <f t="shared" si="19"/>
        <v>50.370901960784316</v>
      </c>
      <c r="Y70" s="289">
        <f t="shared" si="20"/>
        <v>-2.5296932773109262</v>
      </c>
      <c r="Z70" s="107">
        <v>57.58600000000002</v>
      </c>
      <c r="AA70" s="107">
        <v>52.191254901960804</v>
      </c>
      <c r="AB70" s="107">
        <v>43.98023529411762</v>
      </c>
      <c r="AC70" s="107">
        <v>47.726117647058835</v>
      </c>
      <c r="AD70" s="106">
        <v>3</v>
      </c>
      <c r="AE70" s="32" t="str">
        <f>IF(AD70=0,"",VLOOKUP(AD70,tab_tipo_expansao!$A$2:$B$4,2,0))</f>
        <v>não_considerar</v>
      </c>
      <c r="AF70" s="125">
        <v>2030</v>
      </c>
      <c r="AG70" s="125">
        <v>2100</v>
      </c>
      <c r="AH70" s="125">
        <v>30</v>
      </c>
      <c r="AI70" s="530">
        <v>1575.3180717146856</v>
      </c>
      <c r="AJ70" s="24">
        <f>AK70/constantes!$B$4</f>
        <v>5940.1133925893128</v>
      </c>
      <c r="AK70" s="33">
        <f t="shared" si="21"/>
        <v>23166.442231098321</v>
      </c>
      <c r="AL70" s="87">
        <v>2</v>
      </c>
      <c r="AM70" s="531">
        <v>0</v>
      </c>
      <c r="AN70" s="23"/>
      <c r="AO70" s="532">
        <f t="shared" si="22"/>
        <v>1575.3180717146856</v>
      </c>
      <c r="AQ70" s="35">
        <f t="shared" si="23"/>
        <v>23166.442231098317</v>
      </c>
      <c r="AR70" s="36">
        <f ca="1">OFFSET(cod_desembolso!$A$1,AL70,23)</f>
        <v>1.1245293369208682</v>
      </c>
      <c r="AS70" s="37">
        <f ca="1">IF(AO70=0,0,AO70*(OFFSET(cod_desembolso!$A$1,AL70,23)))</f>
        <v>1771.4913866247762</v>
      </c>
      <c r="AT70" s="38">
        <f>(constantes!$B$3*(1+constantes!$B$3)^(AH70))/((1+constantes!$B$3)^(AH70)-1)</f>
        <v>8.8827433387272267E-2</v>
      </c>
      <c r="AU70" s="37">
        <f t="shared" ca="1" si="24"/>
        <v>160.7570331415389</v>
      </c>
      <c r="AV70" s="37">
        <f ca="1">IF(AO70=0,AX70/constantes!$B$3,AU70/constantes!$B$3)</f>
        <v>2009.4629142692361</v>
      </c>
      <c r="AW70" s="39">
        <f ca="1">IF(AO70=0,0,PV(constantes!$B$3,AH70,-AU70)*constantes!$B$3)</f>
        <v>144.7814279993128</v>
      </c>
      <c r="AX70" s="40">
        <f>constantes!$B$10*E70/1000</f>
        <v>3.4</v>
      </c>
      <c r="AY70" s="533">
        <f>constantes!$B$12</f>
        <v>0</v>
      </c>
      <c r="AZ70" s="20">
        <v>318</v>
      </c>
      <c r="BA70" s="43"/>
      <c r="BB70" s="3" t="s">
        <v>2215</v>
      </c>
      <c r="BD70" s="534">
        <v>1</v>
      </c>
      <c r="BE70" s="535">
        <v>2035</v>
      </c>
      <c r="BF70" s="536">
        <v>3</v>
      </c>
      <c r="BG70" s="537">
        <v>2050</v>
      </c>
    </row>
    <row r="71" spans="1:59" ht="15">
      <c r="A71" s="125">
        <v>1070</v>
      </c>
      <c r="B71" s="125">
        <v>1070</v>
      </c>
      <c r="C71" s="538" t="s">
        <v>2295</v>
      </c>
      <c r="D71" s="538" t="s">
        <v>2295</v>
      </c>
      <c r="E71" s="526">
        <v>107</v>
      </c>
      <c r="F71" s="3" t="s">
        <v>2179</v>
      </c>
      <c r="G71" s="3" t="s">
        <v>2296</v>
      </c>
      <c r="H71" s="527">
        <v>-59.077153000000003</v>
      </c>
      <c r="I71" s="527">
        <v>-12.794566</v>
      </c>
      <c r="J71" s="539" t="s">
        <v>158</v>
      </c>
      <c r="K71" s="539" t="s">
        <v>158</v>
      </c>
      <c r="L71" s="554">
        <v>10</v>
      </c>
      <c r="M71" s="107"/>
      <c r="N71" s="529">
        <v>1.9820000000000001E-2</v>
      </c>
      <c r="O71" s="529">
        <v>5.2919999999999995E-2</v>
      </c>
      <c r="P71" s="288">
        <f t="shared" si="15"/>
        <v>0.75401743991989312</v>
      </c>
      <c r="Q71" s="30">
        <f t="shared" si="16"/>
        <v>80.679866071428563</v>
      </c>
      <c r="R71" s="30">
        <f t="shared" si="17"/>
        <v>26.320133928571437</v>
      </c>
      <c r="S71" s="107">
        <v>78.757619047619045</v>
      </c>
      <c r="T71" s="107">
        <v>84.339285714285708</v>
      </c>
      <c r="U71" s="107">
        <v>82.755416666666662</v>
      </c>
      <c r="V71" s="107">
        <v>76.867142857142866</v>
      </c>
      <c r="W71" s="288">
        <f t="shared" si="18"/>
        <v>0.72831299248671433</v>
      </c>
      <c r="X71" s="289">
        <f t="shared" si="19"/>
        <v>77.929490196078433</v>
      </c>
      <c r="Y71" s="289">
        <f t="shared" si="20"/>
        <v>-2.7503758753501302</v>
      </c>
      <c r="Z71" s="107">
        <v>85.805215686274494</v>
      </c>
      <c r="AA71" s="107">
        <v>81.257137254901949</v>
      </c>
      <c r="AB71" s="107">
        <v>73.342431372549029</v>
      </c>
      <c r="AC71" s="107">
        <v>71.313176470588246</v>
      </c>
      <c r="AD71" s="106">
        <v>3</v>
      </c>
      <c r="AE71" s="32" t="str">
        <f>IF(AD71=0,"",VLOOKUP(AD71,tab_tipo_expansao!$A$2:$B$4,2,0))</f>
        <v>não_considerar</v>
      </c>
      <c r="AF71" s="125">
        <v>2030</v>
      </c>
      <c r="AG71" s="125">
        <v>2100</v>
      </c>
      <c r="AH71" s="125">
        <v>30</v>
      </c>
      <c r="AI71" s="530">
        <v>1246.8696984098867</v>
      </c>
      <c r="AJ71" s="24">
        <f>AK71/constantes!$B$4</f>
        <v>2987.9455988734408</v>
      </c>
      <c r="AK71" s="33">
        <f t="shared" si="21"/>
        <v>11652.987835606418</v>
      </c>
      <c r="AL71" s="87">
        <v>2</v>
      </c>
      <c r="AM71" s="531">
        <v>0</v>
      </c>
      <c r="AN71" s="23"/>
      <c r="AO71" s="532">
        <f t="shared" si="22"/>
        <v>1246.8696984098867</v>
      </c>
      <c r="AQ71" s="35">
        <f t="shared" si="23"/>
        <v>11652.987835606418</v>
      </c>
      <c r="AR71" s="36">
        <f ca="1">OFFSET(cod_desembolso!$A$1,AL71,23)</f>
        <v>1.1245293369208682</v>
      </c>
      <c r="AS71" s="37">
        <f ca="1">IF(AO71=0,0,AO71*(OFFSET(cod_desembolso!$A$1,AL71,23)))</f>
        <v>1402.1415551795928</v>
      </c>
      <c r="AT71" s="38">
        <f>(constantes!$B$3*(1+constantes!$B$3)^(AH71))/((1+constantes!$B$3)^(AH71)-1)</f>
        <v>8.8827433387272267E-2</v>
      </c>
      <c r="AU71" s="37">
        <f t="shared" ca="1" si="24"/>
        <v>129.89863559224162</v>
      </c>
      <c r="AV71" s="37">
        <f ca="1">IF(AO71=0,AX71/constantes!$B$3,AU71/constantes!$B$3)</f>
        <v>1623.7329449030201</v>
      </c>
      <c r="AW71" s="39">
        <f ca="1">IF(AO71=0,0,PV(constantes!$B$3,AH71,-AU71)*constantes!$B$3)</f>
        <v>116.989655685226</v>
      </c>
      <c r="AX71" s="40">
        <f>constantes!$B$10*E71/1000</f>
        <v>5.35</v>
      </c>
      <c r="AY71" s="533">
        <f>constantes!$B$12</f>
        <v>0</v>
      </c>
      <c r="AZ71" s="20">
        <v>318</v>
      </c>
      <c r="BA71" s="43"/>
      <c r="BB71" s="3" t="s">
        <v>2215</v>
      </c>
      <c r="BD71" s="534">
        <v>1</v>
      </c>
      <c r="BE71" s="535">
        <v>2035</v>
      </c>
      <c r="BF71" s="536">
        <v>3</v>
      </c>
      <c r="BG71" s="537">
        <v>2050</v>
      </c>
    </row>
    <row r="72" spans="1:59" ht="15">
      <c r="A72" s="125">
        <v>1071</v>
      </c>
      <c r="B72" s="125">
        <v>1071</v>
      </c>
      <c r="C72" s="538" t="s">
        <v>2297</v>
      </c>
      <c r="D72" s="538" t="s">
        <v>2297</v>
      </c>
      <c r="E72" s="526">
        <v>36</v>
      </c>
      <c r="F72" s="3" t="s">
        <v>2194</v>
      </c>
      <c r="G72" s="3" t="s">
        <v>2298</v>
      </c>
      <c r="H72" s="527">
        <v>-48.069082999999999</v>
      </c>
      <c r="I72" s="527">
        <v>-17.918664</v>
      </c>
      <c r="J72" s="539" t="s">
        <v>2003</v>
      </c>
      <c r="K72" s="539" t="s">
        <v>2003</v>
      </c>
      <c r="L72" s="554">
        <v>1</v>
      </c>
      <c r="M72" s="107"/>
      <c r="N72" s="529">
        <v>2.068E-2</v>
      </c>
      <c r="O72" s="529">
        <v>4.6600000000000003E-2</v>
      </c>
      <c r="P72" s="288">
        <f t="shared" si="15"/>
        <v>0.532119300920186</v>
      </c>
      <c r="Q72" s="30">
        <f t="shared" si="16"/>
        <v>19.156294833126697</v>
      </c>
      <c r="R72" s="30">
        <f t="shared" si="17"/>
        <v>16.843705166873303</v>
      </c>
      <c r="S72" s="107">
        <v>24.006073462053561</v>
      </c>
      <c r="T72" s="107">
        <v>21.073684599572406</v>
      </c>
      <c r="U72" s="107">
        <v>14.948652802791408</v>
      </c>
      <c r="V72" s="107">
        <v>16.596768468089412</v>
      </c>
      <c r="W72" s="288">
        <f t="shared" si="18"/>
        <v>0.56765074645560576</v>
      </c>
      <c r="X72" s="289">
        <f t="shared" si="19"/>
        <v>20.435426872401806</v>
      </c>
      <c r="Y72" s="289">
        <f t="shared" si="20"/>
        <v>1.2791320392751082</v>
      </c>
      <c r="Z72" s="107">
        <v>26.710227493578795</v>
      </c>
      <c r="AA72" s="107">
        <v>22.22107540597953</v>
      </c>
      <c r="AB72" s="107">
        <v>15.298843291415466</v>
      </c>
      <c r="AC72" s="107">
        <v>17.511561298633438</v>
      </c>
      <c r="AD72" s="106">
        <v>1</v>
      </c>
      <c r="AE72" s="32" t="str">
        <f>IF(AD72=0,"",VLOOKUP(AD72,tab_tipo_expansao!$A$2:$B$4,2,0))</f>
        <v>opcional</v>
      </c>
      <c r="AF72" s="125">
        <v>2028</v>
      </c>
      <c r="AG72" s="125">
        <v>2100</v>
      </c>
      <c r="AH72" s="125">
        <v>30</v>
      </c>
      <c r="AI72" s="530">
        <v>360</v>
      </c>
      <c r="AJ72" s="24">
        <f>AK72/constantes!$B$4</f>
        <v>2564.102564102564</v>
      </c>
      <c r="AK72" s="33">
        <f t="shared" si="21"/>
        <v>10000</v>
      </c>
      <c r="AL72" s="87">
        <v>2</v>
      </c>
      <c r="AM72" s="531">
        <v>0</v>
      </c>
      <c r="AN72" s="23"/>
      <c r="AO72" s="532">
        <f t="shared" si="22"/>
        <v>360</v>
      </c>
      <c r="AQ72" s="35">
        <f t="shared" si="23"/>
        <v>10000</v>
      </c>
      <c r="AR72" s="36">
        <f ca="1">OFFSET(cod_desembolso!$A$1,AL72,23)</f>
        <v>1.1245293369208682</v>
      </c>
      <c r="AS72" s="37">
        <f ca="1">IF(AO72=0,0,AO72*(OFFSET(cod_desembolso!$A$1,AL72,23)))</f>
        <v>404.83056129151254</v>
      </c>
      <c r="AT72" s="38">
        <f>(constantes!$B$3*(1+constantes!$B$3)^(AH72))/((1+constantes!$B$3)^(AH72)-1)</f>
        <v>8.8827433387272267E-2</v>
      </c>
      <c r="AU72" s="37">
        <f t="shared" ca="1" si="24"/>
        <v>37.76005971625387</v>
      </c>
      <c r="AV72" s="37">
        <f ca="1">IF(AO72=0,AX72/constantes!$B$3,AU72/constantes!$B$3)</f>
        <v>472.00074645317335</v>
      </c>
      <c r="AW72" s="39">
        <f ca="1">IF(AO72=0,0,PV(constantes!$B$3,AH72,-AU72)*constantes!$B$3)</f>
        <v>34.007565704731356</v>
      </c>
      <c r="AX72" s="40">
        <f>constantes!$B$10*E72/1000</f>
        <v>1.8</v>
      </c>
      <c r="AY72" s="533">
        <f>constantes!$B$12</f>
        <v>0</v>
      </c>
      <c r="AZ72" s="20">
        <v>318</v>
      </c>
      <c r="BA72" s="43"/>
      <c r="BB72" s="3" t="s">
        <v>2195</v>
      </c>
      <c r="BD72" s="534">
        <v>1</v>
      </c>
      <c r="BE72" s="535">
        <v>2027</v>
      </c>
      <c r="BF72" s="536">
        <v>1</v>
      </c>
      <c r="BG72" s="537">
        <v>2027</v>
      </c>
    </row>
    <row r="73" spans="1:59" ht="14.45" customHeight="1">
      <c r="A73" s="125">
        <v>1072</v>
      </c>
      <c r="B73" s="125">
        <v>1072</v>
      </c>
      <c r="C73" s="626" t="s">
        <v>2299</v>
      </c>
      <c r="D73" s="538" t="s">
        <v>2299</v>
      </c>
      <c r="E73" s="526">
        <v>93.2</v>
      </c>
      <c r="F73" s="3" t="s">
        <v>2194</v>
      </c>
      <c r="G73" s="3" t="s">
        <v>2212</v>
      </c>
      <c r="H73" s="527">
        <v>-53.991165000000002</v>
      </c>
      <c r="I73" s="527">
        <v>-24.112266999999999</v>
      </c>
      <c r="J73" s="539" t="s">
        <v>151</v>
      </c>
      <c r="K73" s="539" t="s">
        <v>151</v>
      </c>
      <c r="L73" s="554">
        <v>2</v>
      </c>
      <c r="M73" s="107"/>
      <c r="N73" s="529">
        <v>1.9820000000000001E-2</v>
      </c>
      <c r="O73" s="529">
        <v>5.2919999999999995E-2</v>
      </c>
      <c r="P73" s="288">
        <f t="shared" si="15"/>
        <v>0.61306490138974035</v>
      </c>
      <c r="Q73" s="30">
        <f t="shared" si="16"/>
        <v>57.137648809523803</v>
      </c>
      <c r="R73" s="30">
        <f t="shared" si="17"/>
        <v>36.0623511904762</v>
      </c>
      <c r="S73" s="107">
        <v>55.609047619047629</v>
      </c>
      <c r="T73" s="107">
        <v>58.277142857142856</v>
      </c>
      <c r="U73" s="107">
        <v>53.320416666666659</v>
      </c>
      <c r="V73" s="107">
        <v>61.343988095238082</v>
      </c>
      <c r="W73" s="288">
        <f t="shared" si="18"/>
        <v>0.62247780442649181</v>
      </c>
      <c r="X73" s="289">
        <f t="shared" si="19"/>
        <v>58.014931372549036</v>
      </c>
      <c r="Y73" s="289">
        <f t="shared" si="20"/>
        <v>0.87728256302523278</v>
      </c>
      <c r="Z73" s="107">
        <v>57.475254901960788</v>
      </c>
      <c r="AA73" s="107">
        <v>55.529137254901968</v>
      </c>
      <c r="AB73" s="107">
        <v>55.48635294117647</v>
      </c>
      <c r="AC73" s="107">
        <v>63.568980392156902</v>
      </c>
      <c r="AD73" s="106">
        <v>1</v>
      </c>
      <c r="AE73" s="32" t="str">
        <f>IF(AD73=0,"",VLOOKUP(AD73,tab_tipo_expansao!$A$2:$B$4,2,0))</f>
        <v>opcional</v>
      </c>
      <c r="AF73" s="125">
        <v>2024</v>
      </c>
      <c r="AG73" s="125">
        <v>2100</v>
      </c>
      <c r="AH73" s="125">
        <v>30</v>
      </c>
      <c r="AI73" s="530">
        <v>852.20135706181622</v>
      </c>
      <c r="AJ73" s="24">
        <f>AK73/constantes!$B$4</f>
        <v>2344.5618935342141</v>
      </c>
      <c r="AK73" s="33">
        <f t="shared" si="21"/>
        <v>9143.7913847834352</v>
      </c>
      <c r="AL73" s="87">
        <v>2</v>
      </c>
      <c r="AM73" s="531">
        <v>0</v>
      </c>
      <c r="AN73" s="23"/>
      <c r="AO73" s="532">
        <f t="shared" si="22"/>
        <v>852.20135706181622</v>
      </c>
      <c r="AQ73" s="35">
        <f t="shared" si="23"/>
        <v>9143.7913847834352</v>
      </c>
      <c r="AR73" s="36">
        <f ca="1">OFFSET(cod_desembolso!$A$1,AL73,23)</f>
        <v>1.1245293369208682</v>
      </c>
      <c r="AS73" s="37">
        <f ca="1">IF(AO73=0,0,AO73*(OFFSET(cod_desembolso!$A$1,AL73,23)))</f>
        <v>958.32542697978829</v>
      </c>
      <c r="AT73" s="38">
        <f>(constantes!$B$3*(1+constantes!$B$3)^(AH73))/((1+constantes!$B$3)^(AH73)-1)</f>
        <v>8.8827433387272267E-2</v>
      </c>
      <c r="AU73" s="37">
        <f t="shared" ca="1" si="24"/>
        <v>89.785588028376395</v>
      </c>
      <c r="AV73" s="37">
        <f ca="1">IF(AO73=0,AX73/constantes!$B$3,AU73/constantes!$B$3)</f>
        <v>1122.3198503547048</v>
      </c>
      <c r="AW73" s="39">
        <f ca="1">IF(AO73=0,0,PV(constantes!$B$3,AH73,-AU73)*constantes!$B$3)</f>
        <v>80.862935788700995</v>
      </c>
      <c r="AX73" s="40">
        <f>constantes!$B$10*E73/1000</f>
        <v>4.66</v>
      </c>
      <c r="AY73" s="533">
        <f>constantes!$B$12</f>
        <v>0</v>
      </c>
      <c r="AZ73" s="20">
        <v>318</v>
      </c>
      <c r="BA73" s="43"/>
      <c r="BB73" s="3" t="s">
        <v>2207</v>
      </c>
      <c r="BD73" s="534">
        <v>1</v>
      </c>
      <c r="BE73" s="535">
        <v>2024</v>
      </c>
      <c r="BF73" s="536">
        <v>1</v>
      </c>
      <c r="BG73" s="537">
        <v>2024</v>
      </c>
    </row>
    <row r="74" spans="1:59" ht="15">
      <c r="A74" s="125">
        <v>1073</v>
      </c>
      <c r="B74" s="125">
        <v>1073</v>
      </c>
      <c r="C74" s="538" t="s">
        <v>2300</v>
      </c>
      <c r="D74" s="538" t="s">
        <v>2300</v>
      </c>
      <c r="E74" s="526">
        <v>117</v>
      </c>
      <c r="F74" s="3" t="s">
        <v>2179</v>
      </c>
      <c r="G74" s="3" t="s">
        <v>2294</v>
      </c>
      <c r="H74" s="527">
        <v>-58.295529999999999</v>
      </c>
      <c r="I74" s="527">
        <v>-12.919869</v>
      </c>
      <c r="J74" s="539" t="s">
        <v>158</v>
      </c>
      <c r="K74" s="539" t="s">
        <v>158</v>
      </c>
      <c r="L74" s="554">
        <v>10</v>
      </c>
      <c r="M74" s="107"/>
      <c r="N74" s="529">
        <v>1.9820000000000001E-2</v>
      </c>
      <c r="O74" s="529">
        <v>5.2919999999999995E-2</v>
      </c>
      <c r="P74" s="288">
        <f t="shared" si="15"/>
        <v>0.75920991045991049</v>
      </c>
      <c r="Q74" s="30">
        <f t="shared" si="16"/>
        <v>88.827559523809526</v>
      </c>
      <c r="R74" s="30">
        <f t="shared" si="17"/>
        <v>28.172440476190474</v>
      </c>
      <c r="S74" s="107">
        <v>102.41000000000001</v>
      </c>
      <c r="T74" s="107">
        <v>96.355892857142862</v>
      </c>
      <c r="U74" s="107">
        <v>75.072083333333325</v>
      </c>
      <c r="V74" s="107">
        <v>81.472261904761908</v>
      </c>
      <c r="W74" s="288">
        <f t="shared" si="18"/>
        <v>0.73659435227082282</v>
      </c>
      <c r="X74" s="289">
        <f t="shared" si="19"/>
        <v>86.181539215686271</v>
      </c>
      <c r="Y74" s="289">
        <f t="shared" si="20"/>
        <v>-2.6460203081232549</v>
      </c>
      <c r="Z74" s="107">
        <v>101.29035294117647</v>
      </c>
      <c r="AA74" s="107">
        <v>90.4910588235294</v>
      </c>
      <c r="AB74" s="107">
        <v>72.246509803921583</v>
      </c>
      <c r="AC74" s="107">
        <v>80.698235294117637</v>
      </c>
      <c r="AD74" s="106">
        <v>3</v>
      </c>
      <c r="AE74" s="32" t="str">
        <f>IF(AD74=0,"",VLOOKUP(AD74,tab_tipo_expansao!$A$2:$B$4,2,0))</f>
        <v>não_considerar</v>
      </c>
      <c r="AF74" s="125">
        <v>2030</v>
      </c>
      <c r="AG74" s="125">
        <v>2100</v>
      </c>
      <c r="AH74" s="125">
        <v>30</v>
      </c>
      <c r="AI74" s="530">
        <v>1949.2162899785994</v>
      </c>
      <c r="AJ74" s="24">
        <f>AK74/constantes!$B$4</f>
        <v>4271.7867411321486</v>
      </c>
      <c r="AK74" s="33">
        <f t="shared" si="21"/>
        <v>16659.968290415378</v>
      </c>
      <c r="AL74" s="87">
        <v>2</v>
      </c>
      <c r="AM74" s="531">
        <v>0</v>
      </c>
      <c r="AN74" s="23"/>
      <c r="AO74" s="532">
        <f t="shared" si="22"/>
        <v>1949.2162899785994</v>
      </c>
      <c r="AQ74" s="35">
        <f t="shared" si="23"/>
        <v>16659.968290415378</v>
      </c>
      <c r="AR74" s="36">
        <f ca="1">OFFSET(cod_desembolso!$A$1,AL74,23)</f>
        <v>1.1245293369208682</v>
      </c>
      <c r="AS74" s="37">
        <f ca="1">IF(AO74=0,0,AO74*(OFFSET(cod_desembolso!$A$1,AL74,23)))</f>
        <v>2191.9509020849891</v>
      </c>
      <c r="AT74" s="38">
        <f>(constantes!$B$3*(1+constantes!$B$3)^(AH74))/((1+constantes!$B$3)^(AH74)-1)</f>
        <v>8.8827433387272267E-2</v>
      </c>
      <c r="AU74" s="37">
        <f t="shared" ca="1" si="24"/>
        <v>200.55537274312573</v>
      </c>
      <c r="AV74" s="37">
        <f ca="1">IF(AO74=0,AX74/constantes!$B$3,AU74/constantes!$B$3)</f>
        <v>2506.9421592890717</v>
      </c>
      <c r="AW74" s="39">
        <f ca="1">IF(AO74=0,0,PV(constantes!$B$3,AH74,-AU74)*constantes!$B$3)</f>
        <v>180.6247147713828</v>
      </c>
      <c r="AX74" s="40">
        <f>constantes!$B$10*E74/1000</f>
        <v>5.85</v>
      </c>
      <c r="AY74" s="533">
        <f>constantes!$B$12</f>
        <v>0</v>
      </c>
      <c r="AZ74" s="20">
        <v>318</v>
      </c>
      <c r="BA74" s="43"/>
      <c r="BB74" s="3" t="s">
        <v>2215</v>
      </c>
      <c r="BD74" s="534">
        <v>1</v>
      </c>
      <c r="BE74" s="535">
        <v>2035</v>
      </c>
      <c r="BF74" s="536">
        <v>3</v>
      </c>
      <c r="BG74" s="537">
        <v>2050</v>
      </c>
    </row>
    <row r="75" spans="1:59" ht="14.45" customHeight="1">
      <c r="A75" s="125">
        <v>1074</v>
      </c>
      <c r="B75" s="125">
        <v>1074</v>
      </c>
      <c r="C75" s="538" t="s">
        <v>2301</v>
      </c>
      <c r="D75" s="538" t="s">
        <v>2301</v>
      </c>
      <c r="E75" s="526">
        <v>63.2</v>
      </c>
      <c r="F75" s="3" t="s">
        <v>2095</v>
      </c>
      <c r="G75" s="3" t="s">
        <v>2200</v>
      </c>
      <c r="H75" s="527">
        <v>-52.739455999999997</v>
      </c>
      <c r="I75" s="527">
        <v>-26.860178999999999</v>
      </c>
      <c r="J75" s="539" t="s">
        <v>1989</v>
      </c>
      <c r="K75" s="539" t="s">
        <v>1989</v>
      </c>
      <c r="L75" s="554">
        <v>2</v>
      </c>
      <c r="M75" s="107"/>
      <c r="N75" s="529">
        <v>1.9820000000000001E-2</v>
      </c>
      <c r="O75" s="529">
        <v>5.2919999999999995E-2</v>
      </c>
      <c r="P75" s="288">
        <f t="shared" si="15"/>
        <v>0.48434815777576845</v>
      </c>
      <c r="Q75" s="30">
        <f t="shared" si="16"/>
        <v>30.610803571428569</v>
      </c>
      <c r="R75" s="30">
        <f t="shared" si="17"/>
        <v>32.589196428571434</v>
      </c>
      <c r="S75" s="107">
        <v>20.89</v>
      </c>
      <c r="T75" s="107">
        <v>32.073749999999997</v>
      </c>
      <c r="U75" s="107">
        <v>35.258333333333333</v>
      </c>
      <c r="V75" s="107">
        <v>34.221130952380953</v>
      </c>
      <c r="W75" s="288">
        <f t="shared" si="18"/>
        <v>0.55762146314221894</v>
      </c>
      <c r="X75" s="289">
        <f t="shared" si="19"/>
        <v>35.241676470588239</v>
      </c>
      <c r="Y75" s="289">
        <f t="shared" si="20"/>
        <v>4.6308728991596695</v>
      </c>
      <c r="Z75" s="107">
        <v>27.289411764705903</v>
      </c>
      <c r="AA75" s="107">
        <v>34.268941176470577</v>
      </c>
      <c r="AB75" s="107">
        <v>41.050627450980386</v>
      </c>
      <c r="AC75" s="107">
        <v>38.357725490196088</v>
      </c>
      <c r="AD75" s="106">
        <v>1</v>
      </c>
      <c r="AE75" s="32" t="str">
        <f>IF(AD75=0,"",VLOOKUP(AD75,tab_tipo_expansao!$A$2:$B$4,2,0))</f>
        <v>opcional</v>
      </c>
      <c r="AF75" s="125">
        <v>2028</v>
      </c>
      <c r="AG75" s="125">
        <v>2100</v>
      </c>
      <c r="AH75" s="125">
        <v>30</v>
      </c>
      <c r="AI75" s="530">
        <v>525.81563620732982</v>
      </c>
      <c r="AJ75" s="24">
        <f>AK75/constantes!$B$4</f>
        <v>2133.2994003867648</v>
      </c>
      <c r="AK75" s="33">
        <f t="shared" si="21"/>
        <v>8319.8676615083823</v>
      </c>
      <c r="AL75" s="87">
        <v>2</v>
      </c>
      <c r="AM75" s="531">
        <v>0</v>
      </c>
      <c r="AN75" s="23"/>
      <c r="AO75" s="532">
        <f t="shared" si="22"/>
        <v>525.81563620732982</v>
      </c>
      <c r="AQ75" s="35">
        <f t="shared" si="23"/>
        <v>8319.8676615083823</v>
      </c>
      <c r="AR75" s="36">
        <f ca="1">OFFSET(cod_desembolso!$A$1,AL75,23)</f>
        <v>1.1245293369208682</v>
      </c>
      <c r="AS75" s="37">
        <f ca="1">IF(AO75=0,0,AO75*(OFFSET(cod_desembolso!$A$1,AL75,23)))</f>
        <v>591.29510872685307</v>
      </c>
      <c r="AT75" s="38">
        <f>(constantes!$B$3*(1+constantes!$B$3)^(AH75))/((1+constantes!$B$3)^(AH75)-1)</f>
        <v>8.8827433387272267E-2</v>
      </c>
      <c r="AU75" s="37">
        <f t="shared" ca="1" si="24"/>
        <v>55.683226882654452</v>
      </c>
      <c r="AV75" s="37">
        <f ca="1">IF(AO75=0,AX75/constantes!$B$3,AU75/constantes!$B$3)</f>
        <v>696.04033603318067</v>
      </c>
      <c r="AW75" s="39">
        <f ca="1">IF(AO75=0,0,PV(constantes!$B$3,AH75,-AU75)*constantes!$B$3)</f>
        <v>50.149576327290873</v>
      </c>
      <c r="AX75" s="40">
        <f>constantes!$B$10*E75/1000</f>
        <v>3.16</v>
      </c>
      <c r="AY75" s="533">
        <f>constantes!$B$12</f>
        <v>0</v>
      </c>
      <c r="AZ75" s="20">
        <v>318</v>
      </c>
      <c r="BA75" s="43"/>
      <c r="BB75" s="3" t="s">
        <v>2207</v>
      </c>
      <c r="BD75" s="534">
        <v>1</v>
      </c>
      <c r="BE75" s="535">
        <v>2026</v>
      </c>
      <c r="BF75" s="536">
        <v>1</v>
      </c>
      <c r="BG75" s="537">
        <v>2026</v>
      </c>
    </row>
    <row r="76" spans="1:59" ht="15">
      <c r="A76" s="125">
        <v>1075</v>
      </c>
      <c r="B76" s="125">
        <v>1075</v>
      </c>
      <c r="C76" s="538" t="s">
        <v>2302</v>
      </c>
      <c r="D76" s="538" t="s">
        <v>2302</v>
      </c>
      <c r="E76" s="526">
        <v>47.5</v>
      </c>
      <c r="F76" s="3" t="s">
        <v>2194</v>
      </c>
      <c r="G76" s="3" t="s">
        <v>2303</v>
      </c>
      <c r="H76" s="527">
        <v>-50.126040000000003</v>
      </c>
      <c r="I76" s="527">
        <v>-18.219864000000001</v>
      </c>
      <c r="J76" s="539" t="s">
        <v>2003</v>
      </c>
      <c r="K76" s="539" t="s">
        <v>2003</v>
      </c>
      <c r="L76" s="554">
        <v>1</v>
      </c>
      <c r="M76" s="107"/>
      <c r="N76" s="529">
        <v>2.068E-2</v>
      </c>
      <c r="O76" s="529">
        <v>4.6600000000000003E-2</v>
      </c>
      <c r="P76" s="288">
        <f t="shared" si="15"/>
        <v>0.532119300920186</v>
      </c>
      <c r="Q76" s="30">
        <f t="shared" si="16"/>
        <v>25.275666793708833</v>
      </c>
      <c r="R76" s="30">
        <f t="shared" si="17"/>
        <v>22.224333206291167</v>
      </c>
      <c r="S76" s="107">
        <v>31.674680262431778</v>
      </c>
      <c r="T76" s="107">
        <v>27.805556068880254</v>
      </c>
      <c r="U76" s="107">
        <v>19.723916892571996</v>
      </c>
      <c r="V76" s="107">
        <v>21.898513950951308</v>
      </c>
      <c r="W76" s="288">
        <f t="shared" si="18"/>
        <v>0.56765074645560587</v>
      </c>
      <c r="X76" s="289">
        <f t="shared" si="19"/>
        <v>26.963410456641277</v>
      </c>
      <c r="Y76" s="289">
        <f t="shared" si="20"/>
        <v>1.6877436629324443</v>
      </c>
      <c r="Z76" s="107">
        <v>35.242661276249805</v>
      </c>
      <c r="AA76" s="107">
        <v>29.319474494000769</v>
      </c>
      <c r="AB76" s="107">
        <v>20.185973787284297</v>
      </c>
      <c r="AC76" s="107">
        <v>23.105532269030231</v>
      </c>
      <c r="AD76" s="106">
        <v>1</v>
      </c>
      <c r="AE76" s="32" t="str">
        <f>IF(AD76=0,"",VLOOKUP(AD76,tab_tipo_expansao!$A$2:$B$4,2,0))</f>
        <v>opcional</v>
      </c>
      <c r="AF76" s="125">
        <v>2028</v>
      </c>
      <c r="AG76" s="125">
        <v>2100</v>
      </c>
      <c r="AH76" s="125">
        <v>30</v>
      </c>
      <c r="AI76" s="530">
        <v>442.28079965097891</v>
      </c>
      <c r="AJ76" s="24">
        <f>AK76/constantes!$B$4</f>
        <v>2387.4806998703316</v>
      </c>
      <c r="AK76" s="33">
        <f t="shared" si="21"/>
        <v>9311.1747294942925</v>
      </c>
      <c r="AL76" s="87">
        <v>2</v>
      </c>
      <c r="AM76" s="531">
        <v>0</v>
      </c>
      <c r="AN76" s="23"/>
      <c r="AO76" s="532">
        <f t="shared" si="22"/>
        <v>442.28079965097891</v>
      </c>
      <c r="AQ76" s="35">
        <f t="shared" si="23"/>
        <v>9311.1747294942925</v>
      </c>
      <c r="AR76" s="36">
        <f ca="1">OFFSET(cod_desembolso!$A$1,AL76,23)</f>
        <v>1.1245293369208682</v>
      </c>
      <c r="AS76" s="37">
        <f ca="1">IF(AO76=0,0,AO76*(OFFSET(cod_desembolso!$A$1,AL76,23)))</f>
        <v>497.35773436434664</v>
      </c>
      <c r="AT76" s="38">
        <f>(constantes!$B$3*(1+constantes!$B$3)^(AH76))/((1+constantes!$B$3)^(AH76)-1)</f>
        <v>8.8827433387272267E-2</v>
      </c>
      <c r="AU76" s="37">
        <f t="shared" ca="1" si="24"/>
        <v>46.554011018893654</v>
      </c>
      <c r="AV76" s="37">
        <f ca="1">IF(AO76=0,AX76/constantes!$B$3,AU76/constantes!$B$3)</f>
        <v>581.92513773617065</v>
      </c>
      <c r="AW76" s="39">
        <f ca="1">IF(AO76=0,0,PV(constantes!$B$3,AH76,-AU76)*constantes!$B$3)</f>
        <v>41.927597584341946</v>
      </c>
      <c r="AX76" s="40">
        <f>constantes!$B$10*E76/1000</f>
        <v>2.375</v>
      </c>
      <c r="AY76" s="533">
        <f>constantes!$B$12</f>
        <v>0</v>
      </c>
      <c r="AZ76" s="20">
        <v>318</v>
      </c>
      <c r="BA76" s="43"/>
      <c r="BB76" s="3" t="s">
        <v>2195</v>
      </c>
      <c r="BD76" s="534">
        <v>1</v>
      </c>
      <c r="BE76" s="535">
        <v>2027</v>
      </c>
      <c r="BF76" s="536">
        <v>1</v>
      </c>
      <c r="BG76" s="537">
        <v>2027</v>
      </c>
    </row>
    <row r="77" spans="1:59" ht="15">
      <c r="A77" s="125">
        <v>1076</v>
      </c>
      <c r="B77" s="125">
        <v>1076</v>
      </c>
      <c r="C77" s="538" t="s">
        <v>2304</v>
      </c>
      <c r="D77" s="538" t="s">
        <v>2304</v>
      </c>
      <c r="E77" s="526">
        <v>238</v>
      </c>
      <c r="F77" s="3" t="s">
        <v>2229</v>
      </c>
      <c r="G77" s="3" t="s">
        <v>2232</v>
      </c>
      <c r="H77" s="527">
        <v>-41.564042000000001</v>
      </c>
      <c r="I77" s="527">
        <v>-19.005355999999999</v>
      </c>
      <c r="J77" s="539" t="s">
        <v>150</v>
      </c>
      <c r="K77" s="539" t="s">
        <v>150</v>
      </c>
      <c r="L77" s="554">
        <v>1</v>
      </c>
      <c r="M77" s="107"/>
      <c r="N77" s="529">
        <v>1.9820000000000001E-2</v>
      </c>
      <c r="O77" s="529">
        <v>5.2919999999999995E-2</v>
      </c>
      <c r="P77" s="288">
        <f t="shared" si="15"/>
        <v>0.55262117346938766</v>
      </c>
      <c r="Q77" s="30">
        <f t="shared" si="16"/>
        <v>131.52383928571427</v>
      </c>
      <c r="R77" s="30">
        <f t="shared" si="17"/>
        <v>106.47616071428573</v>
      </c>
      <c r="S77" s="107">
        <v>179.08238095238096</v>
      </c>
      <c r="T77" s="107">
        <v>122.93136904761907</v>
      </c>
      <c r="U77" s="107">
        <v>82.611249999999998</v>
      </c>
      <c r="V77" s="107">
        <v>141.47035714285713</v>
      </c>
      <c r="W77" s="288">
        <f t="shared" si="18"/>
        <v>0.55873727137913998</v>
      </c>
      <c r="X77" s="289">
        <f t="shared" si="19"/>
        <v>132.9794705882353</v>
      </c>
      <c r="Y77" s="289">
        <f t="shared" si="20"/>
        <v>1.4556313025210272</v>
      </c>
      <c r="Z77" s="107">
        <v>187.79447058823533</v>
      </c>
      <c r="AA77" s="107">
        <v>119.94231372549018</v>
      </c>
      <c r="AB77" s="107">
        <v>79.122549019607874</v>
      </c>
      <c r="AC77" s="107">
        <v>145.05854901960785</v>
      </c>
      <c r="AD77" s="106">
        <v>1</v>
      </c>
      <c r="AE77" s="32" t="str">
        <f>IF(AD77=0,"",VLOOKUP(AD77,tab_tipo_expansao!$A$2:$B$4,2,0))</f>
        <v>opcional</v>
      </c>
      <c r="AF77" s="125">
        <v>2028</v>
      </c>
      <c r="AG77" s="125">
        <v>2100</v>
      </c>
      <c r="AH77" s="125">
        <v>30</v>
      </c>
      <c r="AI77" s="530">
        <v>1473.0791410517393</v>
      </c>
      <c r="AJ77" s="24">
        <f>AK77/constantes!$B$4</f>
        <v>1587.0277322255326</v>
      </c>
      <c r="AK77" s="33">
        <f t="shared" si="21"/>
        <v>6189.4081556795772</v>
      </c>
      <c r="AL77" s="87">
        <v>2</v>
      </c>
      <c r="AM77" s="531">
        <v>0</v>
      </c>
      <c r="AN77" s="23"/>
      <c r="AO77" s="532">
        <f t="shared" si="22"/>
        <v>1473.0791410517393</v>
      </c>
      <c r="AQ77" s="35">
        <f t="shared" si="23"/>
        <v>6189.4081556795763</v>
      </c>
      <c r="AR77" s="36">
        <f ca="1">OFFSET(cod_desembolso!$A$1,AL77,23)</f>
        <v>1.1245293369208682</v>
      </c>
      <c r="AS77" s="37">
        <f ca="1">IF(AO77=0,0,AO77*(OFFSET(cod_desembolso!$A$1,AL77,23)))</f>
        <v>1656.5207097188745</v>
      </c>
      <c r="AT77" s="38">
        <f>(constantes!$B$3*(1+constantes!$B$3)^(AH77))/((1+constantes!$B$3)^(AH77)-1)</f>
        <v>8.8827433387272267E-2</v>
      </c>
      <c r="AU77" s="37">
        <f t="shared" ca="1" si="24"/>
        <v>159.0444829971903</v>
      </c>
      <c r="AV77" s="37">
        <f ca="1">IF(AO77=0,AX77/constantes!$B$3,AU77/constantes!$B$3)</f>
        <v>1988.0560374648787</v>
      </c>
      <c r="AW77" s="39">
        <f ca="1">IF(AO77=0,0,PV(constantes!$B$3,AH77,-AU77)*constantes!$B$3)</f>
        <v>143.23906652016734</v>
      </c>
      <c r="AX77" s="40">
        <f>constantes!$B$10*E77/1000</f>
        <v>11.9</v>
      </c>
      <c r="AY77" s="533">
        <f>constantes!$B$12</f>
        <v>0</v>
      </c>
      <c r="AZ77" s="20">
        <v>318</v>
      </c>
      <c r="BA77" s="43"/>
      <c r="BB77" s="3" t="s">
        <v>2195</v>
      </c>
      <c r="BD77" s="534">
        <v>1</v>
      </c>
      <c r="BE77" s="535">
        <v>2027</v>
      </c>
      <c r="BF77" s="536">
        <v>1</v>
      </c>
      <c r="BG77" s="537">
        <v>2027</v>
      </c>
    </row>
    <row r="78" spans="1:59" ht="15">
      <c r="A78" s="125">
        <v>1077</v>
      </c>
      <c r="B78" s="125">
        <v>1077</v>
      </c>
      <c r="C78" s="538" t="s">
        <v>2305</v>
      </c>
      <c r="D78" s="538" t="s">
        <v>2305</v>
      </c>
      <c r="E78" s="526">
        <v>47</v>
      </c>
      <c r="F78" s="3" t="s">
        <v>2194</v>
      </c>
      <c r="G78" s="3" t="s">
        <v>2124</v>
      </c>
      <c r="H78" s="527">
        <v>-47.274999999999999</v>
      </c>
      <c r="I78" s="527">
        <v>-18.079000000000001</v>
      </c>
      <c r="J78" s="539" t="s">
        <v>150</v>
      </c>
      <c r="K78" s="539" t="s">
        <v>150</v>
      </c>
      <c r="L78" s="554">
        <v>1</v>
      </c>
      <c r="M78" s="107"/>
      <c r="N78" s="529">
        <v>2.068E-2</v>
      </c>
      <c r="O78" s="529">
        <v>4.6600000000000003E-2</v>
      </c>
      <c r="P78" s="288">
        <f t="shared" si="15"/>
        <v>0.46315824468085109</v>
      </c>
      <c r="Q78" s="30">
        <f t="shared" si="16"/>
        <v>21.768437500000001</v>
      </c>
      <c r="R78" s="30">
        <f t="shared" si="17"/>
        <v>25.231562499999999</v>
      </c>
      <c r="S78" s="107">
        <v>33.136190476190478</v>
      </c>
      <c r="T78" s="107">
        <v>23.250595238095233</v>
      </c>
      <c r="U78" s="107">
        <v>11.135833333333332</v>
      </c>
      <c r="V78" s="107">
        <v>19.551130952380955</v>
      </c>
      <c r="W78" s="288">
        <f t="shared" si="18"/>
        <v>0.50524947851481028</v>
      </c>
      <c r="X78" s="289">
        <f t="shared" si="19"/>
        <v>23.746725490196081</v>
      </c>
      <c r="Y78" s="289">
        <f t="shared" si="20"/>
        <v>1.9782879901960797</v>
      </c>
      <c r="Z78" s="107">
        <v>37.908235294117652</v>
      </c>
      <c r="AA78" s="107">
        <v>24.334705882352946</v>
      </c>
      <c r="AB78" s="107">
        <v>11.495921568627452</v>
      </c>
      <c r="AC78" s="107">
        <v>21.248039215686273</v>
      </c>
      <c r="AD78" s="106">
        <v>3</v>
      </c>
      <c r="AE78" s="32" t="str">
        <f>IF(AD78=0,"",VLOOKUP(AD78,tab_tipo_expansao!$A$2:$B$4,2,0))</f>
        <v>não_considerar</v>
      </c>
      <c r="AF78" s="125">
        <v>2030</v>
      </c>
      <c r="AG78" s="125">
        <v>2100</v>
      </c>
      <c r="AH78" s="125">
        <v>30</v>
      </c>
      <c r="AI78" s="530">
        <v>470</v>
      </c>
      <c r="AJ78" s="24">
        <f>AK78/constantes!$B$4</f>
        <v>2564.102564102564</v>
      </c>
      <c r="AK78" s="33">
        <f t="shared" si="21"/>
        <v>10000</v>
      </c>
      <c r="AL78" s="87">
        <v>2</v>
      </c>
      <c r="AM78" s="531">
        <v>0</v>
      </c>
      <c r="AN78" s="23"/>
      <c r="AO78" s="532">
        <f t="shared" si="22"/>
        <v>470</v>
      </c>
      <c r="AQ78" s="35">
        <f t="shared" si="23"/>
        <v>10000</v>
      </c>
      <c r="AR78" s="36">
        <f ca="1">OFFSET(cod_desembolso!$A$1,AL78,23)</f>
        <v>1.1245293369208682</v>
      </c>
      <c r="AS78" s="37">
        <f ca="1">IF(AO78=0,0,AO78*(OFFSET(cod_desembolso!$A$1,AL78,23)))</f>
        <v>528.52878835280808</v>
      </c>
      <c r="AT78" s="38">
        <f>(constantes!$B$3*(1+constantes!$B$3)^(AH78))/((1+constantes!$B$3)^(AH78)-1)</f>
        <v>8.8827433387272267E-2</v>
      </c>
      <c r="AU78" s="37">
        <f t="shared" ca="1" si="24"/>
        <v>49.297855740664787</v>
      </c>
      <c r="AV78" s="37">
        <f ca="1">IF(AO78=0,AX78/constantes!$B$3,AU78/constantes!$B$3)</f>
        <v>616.22319675830977</v>
      </c>
      <c r="AW78" s="39">
        <f ca="1">IF(AO78=0,0,PV(constantes!$B$3,AH78,-AU78)*constantes!$B$3)</f>
        <v>44.398766336732614</v>
      </c>
      <c r="AX78" s="40">
        <f>constantes!$B$10*E78/1000</f>
        <v>2.35</v>
      </c>
      <c r="AY78" s="533">
        <f>constantes!$B$12</f>
        <v>0</v>
      </c>
      <c r="AZ78" s="20">
        <v>318</v>
      </c>
      <c r="BA78" s="43"/>
      <c r="BB78" s="3" t="s">
        <v>2181</v>
      </c>
      <c r="BD78" s="534">
        <v>1</v>
      </c>
      <c r="BE78" s="535">
        <v>2027</v>
      </c>
      <c r="BF78" s="536">
        <v>1</v>
      </c>
      <c r="BG78" s="537">
        <v>2027</v>
      </c>
    </row>
    <row r="79" spans="1:59" ht="14.45" customHeight="1">
      <c r="A79" s="125">
        <v>1078</v>
      </c>
      <c r="B79" s="125">
        <v>1078</v>
      </c>
      <c r="C79" s="538" t="s">
        <v>2306</v>
      </c>
      <c r="D79" s="538" t="s">
        <v>2306</v>
      </c>
      <c r="E79" s="526">
        <v>576</v>
      </c>
      <c r="F79" s="3" t="s">
        <v>2095</v>
      </c>
      <c r="G79" s="3" t="s">
        <v>2095</v>
      </c>
      <c r="J79" s="539" t="s">
        <v>149</v>
      </c>
      <c r="K79" s="539" t="s">
        <v>149</v>
      </c>
      <c r="L79" s="554">
        <v>2</v>
      </c>
      <c r="M79" s="107"/>
      <c r="N79" s="529">
        <v>1.6379999999999999E-2</v>
      </c>
      <c r="O79" s="529">
        <v>6.1409999999999999E-2</v>
      </c>
      <c r="P79" s="288">
        <f t="shared" si="15"/>
        <v>0.47915718522652118</v>
      </c>
      <c r="Q79" s="30">
        <f t="shared" si="16"/>
        <v>275.99453869047619</v>
      </c>
      <c r="R79" s="30">
        <f t="shared" si="17"/>
        <v>300.00546130952381</v>
      </c>
      <c r="S79" s="107">
        <v>164.14261904761904</v>
      </c>
      <c r="T79" s="107">
        <v>274.19348214285714</v>
      </c>
      <c r="U79" s="107">
        <v>351.55145833333336</v>
      </c>
      <c r="V79" s="107">
        <v>314.0905952380952</v>
      </c>
      <c r="W79" s="288">
        <f t="shared" si="18"/>
        <v>0.55556686580882353</v>
      </c>
      <c r="X79" s="289">
        <f t="shared" si="19"/>
        <v>320.00651470588235</v>
      </c>
      <c r="Y79" s="289">
        <f t="shared" si="20"/>
        <v>44.011976015406162</v>
      </c>
      <c r="Z79" s="107">
        <v>225.00399999999999</v>
      </c>
      <c r="AA79" s="107">
        <v>311.33458823529412</v>
      </c>
      <c r="AB79" s="107">
        <v>396.12464705882348</v>
      </c>
      <c r="AC79" s="107">
        <v>347.56282352941179</v>
      </c>
      <c r="AD79" s="106">
        <v>1</v>
      </c>
      <c r="AE79" s="32" t="str">
        <f>IF(AD79=0,"",VLOOKUP(AD79,tab_tipo_expansao!$A$2:$B$4,2,0))</f>
        <v>opcional</v>
      </c>
      <c r="AF79" s="125">
        <v>2028</v>
      </c>
      <c r="AG79" s="125">
        <v>2100</v>
      </c>
      <c r="AH79" s="125">
        <v>30</v>
      </c>
      <c r="AI79" s="530">
        <v>5701.7490283295992</v>
      </c>
      <c r="AJ79" s="24">
        <f>AK79/constantes!$B$4</f>
        <v>2538.1717540641021</v>
      </c>
      <c r="AK79" s="33">
        <f t="shared" si="21"/>
        <v>9898.8698408499986</v>
      </c>
      <c r="AL79" s="87">
        <v>3</v>
      </c>
      <c r="AM79" s="531">
        <v>0</v>
      </c>
      <c r="AN79" s="23"/>
      <c r="AO79" s="532">
        <f t="shared" si="22"/>
        <v>5701.7490283295992</v>
      </c>
      <c r="AQ79" s="35">
        <f t="shared" si="23"/>
        <v>9898.8698408499986</v>
      </c>
      <c r="AR79" s="36">
        <f ca="1">OFFSET(cod_desembolso!$A$1,AL79,23)</f>
        <v>1.1255071012622904</v>
      </c>
      <c r="AS79" s="37">
        <f ca="1">IF(AO79=0,0,AO79*(OFFSET(cod_desembolso!$A$1,AL79,23)))</f>
        <v>6417.3590210003276</v>
      </c>
      <c r="AT79" s="38">
        <f>(constantes!$B$3*(1+constantes!$B$3)^(AH79))/((1+constantes!$B$3)^(AH79)-1)</f>
        <v>8.8827433387272267E-2</v>
      </c>
      <c r="AU79" s="37">
        <f t="shared" ca="1" si="24"/>
        <v>598.83753096011731</v>
      </c>
      <c r="AV79" s="37">
        <f ca="1">IF(AO79=0,AX79/constantes!$B$3,AU79/constantes!$B$3)</f>
        <v>7485.4691370014662</v>
      </c>
      <c r="AW79" s="39">
        <f ca="1">IF(AO79=0,0,PV(constantes!$B$3,AH79,-AU79)*constantes!$B$3)</f>
        <v>539.32665450259185</v>
      </c>
      <c r="AX79" s="40">
        <f>constantes!$B$10*E79/1000</f>
        <v>28.8</v>
      </c>
      <c r="AY79" s="533">
        <f>constantes!$B$12</f>
        <v>0</v>
      </c>
      <c r="AZ79" s="20">
        <v>318</v>
      </c>
      <c r="BA79" s="43"/>
      <c r="BB79" s="3" t="s">
        <v>2195</v>
      </c>
      <c r="BD79" s="534">
        <v>1</v>
      </c>
      <c r="BE79" s="535">
        <v>2027</v>
      </c>
      <c r="BF79" s="536">
        <v>1</v>
      </c>
      <c r="BG79" s="537">
        <v>2027</v>
      </c>
    </row>
    <row r="80" spans="1:59" ht="15">
      <c r="A80" s="125">
        <v>1079</v>
      </c>
      <c r="B80" s="125">
        <v>1079</v>
      </c>
      <c r="C80" s="538" t="s">
        <v>2307</v>
      </c>
      <c r="D80" s="538" t="s">
        <v>2307</v>
      </c>
      <c r="E80" s="526">
        <v>34.5</v>
      </c>
      <c r="F80" s="3" t="s">
        <v>2095</v>
      </c>
      <c r="G80" s="3" t="s">
        <v>2308</v>
      </c>
      <c r="H80" s="3">
        <v>-50.161948000000002</v>
      </c>
      <c r="I80" s="3">
        <v>-28.495774000000001</v>
      </c>
      <c r="J80" s="539" t="s">
        <v>149</v>
      </c>
      <c r="K80" s="539" t="s">
        <v>149</v>
      </c>
      <c r="L80" s="554">
        <v>2</v>
      </c>
      <c r="M80" s="107"/>
      <c r="N80" s="529">
        <v>2.068E-2</v>
      </c>
      <c r="O80" s="529">
        <v>4.6600000000000003E-2</v>
      </c>
      <c r="P80" s="288">
        <f t="shared" si="15"/>
        <v>0.40680469289164944</v>
      </c>
      <c r="Q80" s="30">
        <f t="shared" si="16"/>
        <v>14.034761904761906</v>
      </c>
      <c r="R80" s="30">
        <f t="shared" si="17"/>
        <v>20.465238095238092</v>
      </c>
      <c r="S80" s="107">
        <v>9.6266666666666669</v>
      </c>
      <c r="T80" s="107">
        <v>14.065</v>
      </c>
      <c r="U80" s="107">
        <v>18.463333333333335</v>
      </c>
      <c r="V80" s="107">
        <v>13.984047619047621</v>
      </c>
      <c r="W80" s="288">
        <f t="shared" si="18"/>
        <v>0.50946405228758185</v>
      </c>
      <c r="X80" s="289">
        <f t="shared" si="19"/>
        <v>17.576509803921574</v>
      </c>
      <c r="Y80" s="289">
        <f t="shared" si="20"/>
        <v>3.5417478991596685</v>
      </c>
      <c r="Z80" s="107">
        <v>14.553647058823524</v>
      </c>
      <c r="AA80" s="107">
        <v>15.567647058823534</v>
      </c>
      <c r="AB80" s="107">
        <v>23.12270588235296</v>
      </c>
      <c r="AC80" s="107">
        <v>17.062039215686287</v>
      </c>
      <c r="AD80" s="106">
        <v>1</v>
      </c>
      <c r="AE80" s="32" t="str">
        <f>IF(AD80=0,"",VLOOKUP(AD80,tab_tipo_expansao!$A$2:$B$4,2,0))</f>
        <v>opcional</v>
      </c>
      <c r="AF80" s="125">
        <v>2028</v>
      </c>
      <c r="AG80" s="125">
        <v>2100</v>
      </c>
      <c r="AH80" s="125">
        <v>30</v>
      </c>
      <c r="AI80" s="530">
        <v>345</v>
      </c>
      <c r="AJ80" s="24">
        <f>AK80/constantes!$B$4</f>
        <v>2564.102564102564</v>
      </c>
      <c r="AK80" s="33">
        <f t="shared" si="21"/>
        <v>10000</v>
      </c>
      <c r="AL80" s="87">
        <v>2</v>
      </c>
      <c r="AM80" s="531">
        <v>0</v>
      </c>
      <c r="AN80" s="23"/>
      <c r="AO80" s="532">
        <f t="shared" si="22"/>
        <v>345</v>
      </c>
      <c r="AQ80" s="35">
        <f t="shared" si="23"/>
        <v>10000</v>
      </c>
      <c r="AR80" s="36">
        <f ca="1">OFFSET(cod_desembolso!$A$1,AL80,23)</f>
        <v>1.1245293369208682</v>
      </c>
      <c r="AS80" s="37">
        <f ca="1">IF(AO80=0,0,AO80*(OFFSET(cod_desembolso!$A$1,AL80,23)))</f>
        <v>387.96262123769952</v>
      </c>
      <c r="AT80" s="38">
        <f>(constantes!$B$3*(1+constantes!$B$3)^(AH80))/((1+constantes!$B$3)^(AH80)-1)</f>
        <v>8.8827433387272267E-2</v>
      </c>
      <c r="AU80" s="37">
        <f t="shared" ca="1" si="24"/>
        <v>36.186723894743295</v>
      </c>
      <c r="AV80" s="37">
        <f ca="1">IF(AO80=0,AX80/constantes!$B$3,AU80/constantes!$B$3)</f>
        <v>452.33404868429119</v>
      </c>
      <c r="AW80" s="39">
        <f ca="1">IF(AO80=0,0,PV(constantes!$B$3,AH80,-AU80)*constantes!$B$3)</f>
        <v>32.590583800367554</v>
      </c>
      <c r="AX80" s="40">
        <f>constantes!$B$10*E80/1000</f>
        <v>1.7250000000000001</v>
      </c>
      <c r="AY80" s="533">
        <f>constantes!$B$12</f>
        <v>0</v>
      </c>
      <c r="AZ80" s="20">
        <v>318</v>
      </c>
      <c r="BA80" s="43"/>
      <c r="BB80" s="3" t="s">
        <v>2195</v>
      </c>
      <c r="BD80" s="534">
        <v>1</v>
      </c>
      <c r="BE80" s="535">
        <v>2027</v>
      </c>
      <c r="BF80" s="536">
        <v>1</v>
      </c>
      <c r="BG80" s="537">
        <v>2027</v>
      </c>
    </row>
    <row r="81" spans="1:59" ht="15">
      <c r="A81" s="125">
        <v>1080</v>
      </c>
      <c r="B81" s="125">
        <v>1080</v>
      </c>
      <c r="C81" s="538" t="s">
        <v>2309</v>
      </c>
      <c r="D81" s="538" t="s">
        <v>2309</v>
      </c>
      <c r="E81" s="526">
        <v>131</v>
      </c>
      <c r="F81" s="3" t="s">
        <v>2179</v>
      </c>
      <c r="G81" s="3" t="s">
        <v>2251</v>
      </c>
      <c r="H81" s="3">
        <v>-60.622656999999997</v>
      </c>
      <c r="I81" s="3">
        <v>-10.035788999999999</v>
      </c>
      <c r="J81" s="539" t="s">
        <v>158</v>
      </c>
      <c r="K81" s="539" t="s">
        <v>158</v>
      </c>
      <c r="L81" s="554">
        <v>7</v>
      </c>
      <c r="M81" s="107"/>
      <c r="N81" s="529">
        <v>1.6379999999999999E-2</v>
      </c>
      <c r="O81" s="529">
        <v>6.1409999999999999E-2</v>
      </c>
      <c r="P81" s="288">
        <f t="shared" si="15"/>
        <v>0.57201574427480928</v>
      </c>
      <c r="Q81" s="30">
        <f t="shared" si="16"/>
        <v>74.93406250000001</v>
      </c>
      <c r="R81" s="30">
        <f t="shared" si="17"/>
        <v>56.06593749999999</v>
      </c>
      <c r="S81" s="107">
        <v>111.66190476190478</v>
      </c>
      <c r="T81" s="107">
        <v>100.06309523809523</v>
      </c>
      <c r="U81" s="107">
        <v>42.219166666666666</v>
      </c>
      <c r="V81" s="107">
        <v>45.792083333333331</v>
      </c>
      <c r="W81" s="288">
        <f t="shared" si="18"/>
        <v>0.58409541984732793</v>
      </c>
      <c r="X81" s="289">
        <f t="shared" si="19"/>
        <v>76.516499999999965</v>
      </c>
      <c r="Y81" s="289">
        <f t="shared" si="20"/>
        <v>1.5824374999999549</v>
      </c>
      <c r="Z81" s="107">
        <v>117.26274509803916</v>
      </c>
      <c r="AA81" s="107">
        <v>100.68039215686269</v>
      </c>
      <c r="AB81" s="107">
        <v>38.561333333333344</v>
      </c>
      <c r="AC81" s="107">
        <v>49.561529411764703</v>
      </c>
      <c r="AD81" s="106">
        <v>3</v>
      </c>
      <c r="AE81" s="32" t="str">
        <f>IF(AD81=0,"",VLOOKUP(AD81,tab_tipo_expansao!$A$2:$B$4,2,0))</f>
        <v>não_considerar</v>
      </c>
      <c r="AF81" s="125">
        <v>2030</v>
      </c>
      <c r="AG81" s="125">
        <v>2100</v>
      </c>
      <c r="AH81" s="125">
        <v>30</v>
      </c>
      <c r="AI81" s="530">
        <v>1802.8330468655877</v>
      </c>
      <c r="AJ81" s="24">
        <f>AK81/constantes!$B$4</f>
        <v>3528.7395710815972</v>
      </c>
      <c r="AK81" s="33">
        <f t="shared" si="21"/>
        <v>13762.084327218228</v>
      </c>
      <c r="AL81" s="87">
        <v>2</v>
      </c>
      <c r="AM81" s="531">
        <v>0</v>
      </c>
      <c r="AN81" s="23"/>
      <c r="AO81" s="532">
        <f t="shared" si="22"/>
        <v>1802.8330468655877</v>
      </c>
      <c r="AQ81" s="35">
        <f t="shared" si="23"/>
        <v>13762.084327218226</v>
      </c>
      <c r="AR81" s="36">
        <f ca="1">OFFSET(cod_desembolso!$A$1,AL81,23)</f>
        <v>1.1245293369208682</v>
      </c>
      <c r="AS81" s="37">
        <f ca="1">IF(AO81=0,0,AO81*(OFFSET(cod_desembolso!$A$1,AL81,23)))</f>
        <v>2027.3386507707878</v>
      </c>
      <c r="AT81" s="38">
        <f>(constantes!$B$3*(1+constantes!$B$3)^(AH81))/((1+constantes!$B$3)^(AH81)-1)</f>
        <v>8.8827433387272267E-2</v>
      </c>
      <c r="AU81" s="37">
        <f t="shared" ca="1" si="24"/>
        <v>186.6332889547846</v>
      </c>
      <c r="AV81" s="37">
        <f ca="1">IF(AO81=0,AX81/constantes!$B$3,AU81/constantes!$B$3)</f>
        <v>2332.9161119348073</v>
      </c>
      <c r="AW81" s="39">
        <f ca="1">IF(AO81=0,0,PV(constantes!$B$3,AH81,-AU81)*constantes!$B$3)</f>
        <v>168.08617053346185</v>
      </c>
      <c r="AX81" s="40">
        <f>constantes!$B$10*E81/1000</f>
        <v>6.55</v>
      </c>
      <c r="AY81" s="533">
        <f>constantes!$B$12</f>
        <v>0</v>
      </c>
      <c r="AZ81" s="20">
        <v>318</v>
      </c>
      <c r="BA81" s="43"/>
      <c r="BB81" s="3" t="s">
        <v>2215</v>
      </c>
      <c r="BD81" s="534">
        <v>1</v>
      </c>
      <c r="BE81" s="535">
        <v>2035</v>
      </c>
      <c r="BF81" s="536">
        <v>3</v>
      </c>
      <c r="BG81" s="537">
        <v>2050</v>
      </c>
    </row>
    <row r="82" spans="1:59" ht="15">
      <c r="A82" s="125">
        <v>1081</v>
      </c>
      <c r="B82" s="125">
        <v>1081</v>
      </c>
      <c r="C82" s="538" t="s">
        <v>2310</v>
      </c>
      <c r="D82" s="538" t="s">
        <v>2310</v>
      </c>
      <c r="E82" s="526">
        <v>115.5</v>
      </c>
      <c r="F82" s="3" t="s">
        <v>2179</v>
      </c>
      <c r="G82" s="3" t="s">
        <v>2311</v>
      </c>
      <c r="H82" s="3">
        <v>-59.457456000000001</v>
      </c>
      <c r="I82" s="3">
        <v>-10.222343</v>
      </c>
      <c r="J82" s="539" t="s">
        <v>158</v>
      </c>
      <c r="K82" s="539" t="s">
        <v>158</v>
      </c>
      <c r="L82" s="554">
        <v>7</v>
      </c>
      <c r="M82" s="107"/>
      <c r="N82" s="529">
        <v>1.9820000000000001E-2</v>
      </c>
      <c r="O82" s="529">
        <v>5.2919999999999995E-2</v>
      </c>
      <c r="P82" s="288">
        <f t="shared" si="15"/>
        <v>0.53685606060606061</v>
      </c>
      <c r="Q82" s="30">
        <f t="shared" si="16"/>
        <v>62.006875000000001</v>
      </c>
      <c r="R82" s="30">
        <f t="shared" si="17"/>
        <v>53.493124999999999</v>
      </c>
      <c r="S82" s="107">
        <v>79.543809523809514</v>
      </c>
      <c r="T82" s="107">
        <v>83.358630952380963</v>
      </c>
      <c r="U82" s="107">
        <v>44.92208333333334</v>
      </c>
      <c r="V82" s="107">
        <v>40.202976190476186</v>
      </c>
      <c r="W82" s="288">
        <f t="shared" si="18"/>
        <v>0.53938969527204828</v>
      </c>
      <c r="X82" s="289">
        <f t="shared" si="19"/>
        <v>62.29950980392158</v>
      </c>
      <c r="Y82" s="289">
        <f t="shared" si="20"/>
        <v>0.29263480392157959</v>
      </c>
      <c r="Z82" s="107">
        <v>97.152078431372558</v>
      </c>
      <c r="AA82" s="107">
        <v>85.744431372549059</v>
      </c>
      <c r="AB82" s="107">
        <v>32.27101960784313</v>
      </c>
      <c r="AC82" s="107">
        <v>34.030509803921575</v>
      </c>
      <c r="AD82" s="106">
        <v>3</v>
      </c>
      <c r="AE82" s="32" t="str">
        <f>IF(AD82=0,"",VLOOKUP(AD82,tab_tipo_expansao!$A$2:$B$4,2,0))</f>
        <v>não_considerar</v>
      </c>
      <c r="AF82" s="125">
        <v>2030</v>
      </c>
      <c r="AG82" s="125">
        <v>2100</v>
      </c>
      <c r="AH82" s="125">
        <v>30</v>
      </c>
      <c r="AI82" s="530">
        <v>1915.1493509596571</v>
      </c>
      <c r="AJ82" s="24">
        <f>AK82/constantes!$B$4</f>
        <v>4251.6358107662491</v>
      </c>
      <c r="AK82" s="33">
        <f t="shared" si="21"/>
        <v>16581.379661988372</v>
      </c>
      <c r="AL82" s="87">
        <v>2</v>
      </c>
      <c r="AM82" s="531">
        <v>0</v>
      </c>
      <c r="AN82" s="23"/>
      <c r="AO82" s="532">
        <f t="shared" si="22"/>
        <v>1915.1493509596571</v>
      </c>
      <c r="AQ82" s="35">
        <f t="shared" si="23"/>
        <v>16581.379661988376</v>
      </c>
      <c r="AR82" s="36">
        <f ca="1">OFFSET(cod_desembolso!$A$1,AL82,23)</f>
        <v>1.1245293369208682</v>
      </c>
      <c r="AS82" s="37">
        <f ca="1">IF(AO82=0,0,AO82*(OFFSET(cod_desembolso!$A$1,AL82,23)))</f>
        <v>2153.6416297390942</v>
      </c>
      <c r="AT82" s="38">
        <f>(constantes!$B$3*(1+constantes!$B$3)^(AH82))/((1+constantes!$B$3)^(AH82)-1)</f>
        <v>8.8827433387272267E-2</v>
      </c>
      <c r="AU82" s="37">
        <f t="shared" ca="1" si="24"/>
        <v>197.0774584057059</v>
      </c>
      <c r="AV82" s="37">
        <f ca="1">IF(AO82=0,AX82/constantes!$B$3,AU82/constantes!$B$3)</f>
        <v>2463.4682300713239</v>
      </c>
      <c r="AW82" s="39">
        <f ca="1">IF(AO82=0,0,PV(constantes!$B$3,AH82,-AU82)*constantes!$B$3)</f>
        <v>177.49242628365246</v>
      </c>
      <c r="AX82" s="40">
        <f>constantes!$B$10*E82/1000</f>
        <v>5.7750000000000004</v>
      </c>
      <c r="AY82" s="533">
        <f>constantes!$B$12</f>
        <v>0</v>
      </c>
      <c r="AZ82" s="20">
        <v>318</v>
      </c>
      <c r="BA82" s="43"/>
      <c r="BB82" s="3" t="s">
        <v>2215</v>
      </c>
      <c r="BD82" s="534">
        <v>1</v>
      </c>
      <c r="BE82" s="535">
        <v>2035</v>
      </c>
      <c r="BF82" s="536">
        <v>3</v>
      </c>
      <c r="BG82" s="537">
        <v>2050</v>
      </c>
    </row>
    <row r="83" spans="1:59" ht="15">
      <c r="A83" s="125">
        <v>1082</v>
      </c>
      <c r="B83" s="125">
        <v>1082</v>
      </c>
      <c r="C83" s="538" t="s">
        <v>2312</v>
      </c>
      <c r="D83" s="538" t="s">
        <v>2312</v>
      </c>
      <c r="E83" s="526">
        <v>361.1</v>
      </c>
      <c r="F83" s="3" t="s">
        <v>2179</v>
      </c>
      <c r="G83" s="3" t="s">
        <v>2251</v>
      </c>
      <c r="H83" s="3">
        <v>-60.960239999999999</v>
      </c>
      <c r="I83" s="3">
        <v>-8.4217779999999998</v>
      </c>
      <c r="J83" s="539" t="s">
        <v>154</v>
      </c>
      <c r="K83" s="539" t="s">
        <v>154</v>
      </c>
      <c r="L83" s="554">
        <v>7</v>
      </c>
      <c r="M83" s="107"/>
      <c r="N83" s="529">
        <v>1.6379999999999999E-2</v>
      </c>
      <c r="O83" s="529">
        <v>6.1409999999999999E-2</v>
      </c>
      <c r="P83" s="288">
        <f t="shared" si="15"/>
        <v>0.55609645131938112</v>
      </c>
      <c r="Q83" s="30">
        <f t="shared" si="16"/>
        <v>200.80642857142854</v>
      </c>
      <c r="R83" s="30">
        <f t="shared" si="17"/>
        <v>160.29357142857148</v>
      </c>
      <c r="S83" s="107">
        <v>307.08952380952377</v>
      </c>
      <c r="T83" s="107">
        <v>287.9283928571428</v>
      </c>
      <c r="U83" s="107">
        <v>93.359166666666667</v>
      </c>
      <c r="V83" s="107">
        <v>114.84863095238096</v>
      </c>
      <c r="W83" s="288">
        <f t="shared" si="18"/>
        <v>0.55758187129739711</v>
      </c>
      <c r="X83" s="289">
        <f t="shared" si="19"/>
        <v>201.34281372549012</v>
      </c>
      <c r="Y83" s="289">
        <f t="shared" si="20"/>
        <v>0.53638515406157694</v>
      </c>
      <c r="Z83" s="107">
        <v>320.5316862745097</v>
      </c>
      <c r="AA83" s="107">
        <v>284.66952941176459</v>
      </c>
      <c r="AB83" s="107">
        <v>81.670980392156864</v>
      </c>
      <c r="AC83" s="107">
        <v>118.49905882352941</v>
      </c>
      <c r="AD83" s="106">
        <v>3</v>
      </c>
      <c r="AE83" s="32" t="str">
        <f>IF(AD83=0,"",VLOOKUP(AD83,tab_tipo_expansao!$A$2:$B$4,2,0))</f>
        <v>não_considerar</v>
      </c>
      <c r="AF83" s="125">
        <v>2030</v>
      </c>
      <c r="AG83" s="125">
        <v>2100</v>
      </c>
      <c r="AH83" s="125">
        <v>30</v>
      </c>
      <c r="AI83" s="530">
        <v>3274.1668662863617</v>
      </c>
      <c r="AJ83" s="24">
        <f>AK83/constantes!$B$4</f>
        <v>2324.923748863062</v>
      </c>
      <c r="AK83" s="33">
        <f t="shared" si="21"/>
        <v>9067.2026205659422</v>
      </c>
      <c r="AL83" s="87">
        <v>2</v>
      </c>
      <c r="AM83" s="531">
        <v>0</v>
      </c>
      <c r="AN83" s="23"/>
      <c r="AO83" s="532">
        <f t="shared" si="22"/>
        <v>3274.1668662863617</v>
      </c>
      <c r="AQ83" s="35">
        <f t="shared" si="23"/>
        <v>9067.2026205659404</v>
      </c>
      <c r="AR83" s="36">
        <f ca="1">OFFSET(cod_desembolso!$A$1,AL83,23)</f>
        <v>1.1245293369208682</v>
      </c>
      <c r="AS83" s="37">
        <f ca="1">IF(AO83=0,0,AO83*(OFFSET(cod_desembolso!$A$1,AL83,23)))</f>
        <v>3681.8966951132793</v>
      </c>
      <c r="AT83" s="38">
        <f>(constantes!$B$3*(1+constantes!$B$3)^(AH83))/((1+constantes!$B$3)^(AH83)-1)</f>
        <v>8.8827433387272267E-2</v>
      </c>
      <c r="AU83" s="37">
        <f t="shared" ca="1" si="24"/>
        <v>345.10843342399272</v>
      </c>
      <c r="AV83" s="37">
        <f ca="1">IF(AO83=0,AX83/constantes!$B$3,AU83/constantes!$B$3)</f>
        <v>4313.8554177999085</v>
      </c>
      <c r="AW83" s="39">
        <f ca="1">IF(AO83=0,0,PV(constantes!$B$3,AH83,-AU83)*constantes!$B$3)</f>
        <v>310.81247786987569</v>
      </c>
      <c r="AX83" s="40">
        <f>constantes!$B$10*E83/1000</f>
        <v>18.055</v>
      </c>
      <c r="AY83" s="533">
        <f>constantes!$B$12</f>
        <v>0</v>
      </c>
      <c r="AZ83" s="20">
        <v>318</v>
      </c>
      <c r="BA83" s="43"/>
      <c r="BB83" s="3" t="s">
        <v>2215</v>
      </c>
      <c r="BD83" s="534">
        <v>1</v>
      </c>
      <c r="BE83" s="535">
        <v>2035</v>
      </c>
      <c r="BF83" s="536">
        <v>3</v>
      </c>
      <c r="BG83" s="537">
        <v>2050</v>
      </c>
    </row>
    <row r="84" spans="1:59" ht="15">
      <c r="A84" s="125">
        <v>1083</v>
      </c>
      <c r="B84" s="125">
        <v>1083</v>
      </c>
      <c r="C84" s="538" t="s">
        <v>2313</v>
      </c>
      <c r="D84" s="538" t="s">
        <v>2313</v>
      </c>
      <c r="E84" s="526">
        <v>46</v>
      </c>
      <c r="F84" s="3" t="s">
        <v>2194</v>
      </c>
      <c r="G84" s="3" t="s">
        <v>2314</v>
      </c>
      <c r="H84" s="3">
        <v>-52.241897000000002</v>
      </c>
      <c r="I84" s="3">
        <v>-19.836089000000001</v>
      </c>
      <c r="J84" s="539" t="s">
        <v>2090</v>
      </c>
      <c r="K84" s="539" t="s">
        <v>2090</v>
      </c>
      <c r="L84" s="554">
        <v>1</v>
      </c>
      <c r="M84" s="107"/>
      <c r="N84" s="529">
        <v>2.068E-2</v>
      </c>
      <c r="O84" s="529">
        <v>4.6600000000000003E-2</v>
      </c>
      <c r="P84" s="288">
        <f t="shared" si="15"/>
        <v>0.532119300920186</v>
      </c>
      <c r="Q84" s="30">
        <f t="shared" si="16"/>
        <v>24.477487842328557</v>
      </c>
      <c r="R84" s="30">
        <f t="shared" si="17"/>
        <v>21.522512157671443</v>
      </c>
      <c r="S84" s="107">
        <v>30.674427201512874</v>
      </c>
      <c r="T84" s="107">
        <v>26.927485877231408</v>
      </c>
      <c r="U84" s="107">
        <v>19.101056359122353</v>
      </c>
      <c r="V84" s="107">
        <v>21.206981931447583</v>
      </c>
      <c r="W84" s="288">
        <f t="shared" si="18"/>
        <v>0.56765074645560576</v>
      </c>
      <c r="X84" s="289">
        <f t="shared" si="19"/>
        <v>26.111934336957866</v>
      </c>
      <c r="Y84" s="289">
        <f t="shared" si="20"/>
        <v>1.6344464946293087</v>
      </c>
      <c r="Z84" s="107">
        <v>34.129735130684018</v>
      </c>
      <c r="AA84" s="107">
        <v>28.393596352084955</v>
      </c>
      <c r="AB84" s="107">
        <v>19.548521983475322</v>
      </c>
      <c r="AC84" s="107">
        <v>22.375883881587171</v>
      </c>
      <c r="AD84" s="106">
        <v>1</v>
      </c>
      <c r="AE84" s="32" t="str">
        <f>IF(AD84=0,"",VLOOKUP(AD84,tab_tipo_expansao!$A$2:$B$4,2,0))</f>
        <v>opcional</v>
      </c>
      <c r="AF84" s="125">
        <v>2028</v>
      </c>
      <c r="AG84" s="125">
        <v>2100</v>
      </c>
      <c r="AH84" s="125">
        <v>30</v>
      </c>
      <c r="AI84" s="530">
        <v>600.05230080374645</v>
      </c>
      <c r="AJ84" s="24">
        <f>AK84/constantes!$B$4</f>
        <v>3344.7731371446293</v>
      </c>
      <c r="AK84" s="33">
        <f t="shared" si="21"/>
        <v>13044.615234864053</v>
      </c>
      <c r="AL84" s="87">
        <v>2</v>
      </c>
      <c r="AM84" s="531">
        <v>0</v>
      </c>
      <c r="AN84" s="23"/>
      <c r="AO84" s="532">
        <f t="shared" si="22"/>
        <v>600.05230080374645</v>
      </c>
      <c r="AQ84" s="35">
        <f t="shared" si="23"/>
        <v>13044.615234864053</v>
      </c>
      <c r="AR84" s="36">
        <f ca="1">OFFSET(cod_desembolso!$A$1,AL84,23)</f>
        <v>1.1245293369208682</v>
      </c>
      <c r="AS84" s="37">
        <f ca="1">IF(AO84=0,0,AO84*(OFFSET(cod_desembolso!$A$1,AL84,23)))</f>
        <v>674.77641594067836</v>
      </c>
      <c r="AT84" s="38">
        <f>(constantes!$B$3*(1+constantes!$B$3)^(AH84))/((1+constantes!$B$3)^(AH84)-1)</f>
        <v>8.8827433387272267E-2</v>
      </c>
      <c r="AU84" s="37">
        <f t="shared" ca="1" si="24"/>
        <v>62.238657138272927</v>
      </c>
      <c r="AV84" s="37">
        <f ca="1">IF(AO84=0,AX84/constantes!$B$3,AU84/constantes!$B$3)</f>
        <v>777.98321422841161</v>
      </c>
      <c r="AW84" s="39">
        <f ca="1">IF(AO84=0,0,PV(constantes!$B$3,AH84,-AU84)*constantes!$B$3)</f>
        <v>56.053545410389717</v>
      </c>
      <c r="AX84" s="40">
        <f>constantes!$B$10*E84/1000</f>
        <v>2.2999999999999998</v>
      </c>
      <c r="AY84" s="533">
        <f>constantes!$B$12</f>
        <v>0</v>
      </c>
      <c r="AZ84" s="20">
        <v>318</v>
      </c>
      <c r="BA84" s="43"/>
      <c r="BB84" s="3" t="s">
        <v>2195</v>
      </c>
      <c r="BD84" s="534">
        <v>1</v>
      </c>
      <c r="BE84" s="535">
        <v>2027</v>
      </c>
      <c r="BF84" s="536">
        <v>1</v>
      </c>
      <c r="BG84" s="537">
        <v>2027</v>
      </c>
    </row>
    <row r="85" spans="1:59" ht="14.45" customHeight="1">
      <c r="A85" s="125">
        <v>1084</v>
      </c>
      <c r="B85" s="125">
        <v>1084</v>
      </c>
      <c r="C85" s="538" t="s">
        <v>2315</v>
      </c>
      <c r="D85" s="538" t="s">
        <v>2315</v>
      </c>
      <c r="E85" s="526">
        <v>480</v>
      </c>
      <c r="F85" s="3" t="s">
        <v>2197</v>
      </c>
      <c r="G85" s="3" t="s">
        <v>2316</v>
      </c>
      <c r="H85" s="3">
        <v>-48.460092000000003</v>
      </c>
      <c r="I85" s="3">
        <v>-11.250871</v>
      </c>
      <c r="J85" s="539" t="s">
        <v>1981</v>
      </c>
      <c r="K85" s="539" t="s">
        <v>1981</v>
      </c>
      <c r="L85" s="554">
        <v>1</v>
      </c>
      <c r="M85" s="107"/>
      <c r="N85" s="529">
        <v>1.6379999999999999E-2</v>
      </c>
      <c r="O85" s="529">
        <v>6.1409999999999999E-2</v>
      </c>
      <c r="P85" s="288">
        <f t="shared" si="15"/>
        <v>0.54833779761904766</v>
      </c>
      <c r="Q85" s="30">
        <f t="shared" si="16"/>
        <v>263.20214285714286</v>
      </c>
      <c r="R85" s="30">
        <f t="shared" si="17"/>
        <v>216.79785714285714</v>
      </c>
      <c r="S85" s="107">
        <v>284.74952380952385</v>
      </c>
      <c r="T85" s="107">
        <v>237.01577380952381</v>
      </c>
      <c r="U85" s="107">
        <v>266.79916666666662</v>
      </c>
      <c r="V85" s="107">
        <v>264.2441071428571</v>
      </c>
      <c r="W85" s="288">
        <f t="shared" si="18"/>
        <v>0.62962636846405229</v>
      </c>
      <c r="X85" s="289">
        <f t="shared" si="19"/>
        <v>302.2206568627451</v>
      </c>
      <c r="Y85" s="289">
        <f t="shared" si="20"/>
        <v>39.018514005602242</v>
      </c>
      <c r="Z85" s="107">
        <v>387.79117647058837</v>
      </c>
      <c r="AA85" s="107">
        <v>297.19294117647058</v>
      </c>
      <c r="AB85" s="107">
        <v>238.74952941176466</v>
      </c>
      <c r="AC85" s="107">
        <v>285.14898039215683</v>
      </c>
      <c r="AD85" s="106">
        <v>3</v>
      </c>
      <c r="AE85" s="32" t="str">
        <f>IF(AD85=0,"",VLOOKUP(AD85,tab_tipo_expansao!$A$2:$B$4,2,0))</f>
        <v>não_considerar</v>
      </c>
      <c r="AF85" s="125">
        <v>2030</v>
      </c>
      <c r="AG85" s="125">
        <v>2100</v>
      </c>
      <c r="AH85" s="125">
        <v>30</v>
      </c>
      <c r="AI85" s="530">
        <v>4103.8529275311703</v>
      </c>
      <c r="AJ85" s="24">
        <f>AK85/constantes!$B$4</f>
        <v>2192.2291279546848</v>
      </c>
      <c r="AK85" s="33">
        <f t="shared" si="21"/>
        <v>8549.6935990232705</v>
      </c>
      <c r="AL85" s="87">
        <v>3</v>
      </c>
      <c r="AM85" s="531">
        <v>0</v>
      </c>
      <c r="AN85" s="23"/>
      <c r="AO85" s="532">
        <f t="shared" si="22"/>
        <v>4103.8529275311703</v>
      </c>
      <c r="AQ85" s="35">
        <f t="shared" si="23"/>
        <v>8549.6935990232705</v>
      </c>
      <c r="AR85" s="36">
        <f ca="1">OFFSET(cod_desembolso!$A$1,AL85,23)</f>
        <v>1.1255071012622904</v>
      </c>
      <c r="AS85" s="37">
        <f ca="1">IF(AO85=0,0,AO85*(OFFSET(cod_desembolso!$A$1,AL85,23)))</f>
        <v>4618.9156124723713</v>
      </c>
      <c r="AT85" s="38">
        <f>(constantes!$B$3*(1+constantes!$B$3)^(AH85))/((1+constantes!$B$3)^(AH85)-1)</f>
        <v>8.8827433387272267E-2</v>
      </c>
      <c r="AU85" s="37">
        <f t="shared" ca="1" si="24"/>
        <v>434.28641888832146</v>
      </c>
      <c r="AV85" s="37">
        <f ca="1">IF(AO85=0,AX85/constantes!$B$3,AU85/constantes!$B$3)</f>
        <v>5428.5802361040178</v>
      </c>
      <c r="AW85" s="39">
        <f ca="1">IF(AO85=0,0,PV(constantes!$B$3,AH85,-AU85)*constantes!$B$3)</f>
        <v>391.12819301659448</v>
      </c>
      <c r="AX85" s="40">
        <f>constantes!$B$10*E85/1000</f>
        <v>24</v>
      </c>
      <c r="AY85" s="533">
        <f>constantes!$B$12</f>
        <v>0</v>
      </c>
      <c r="AZ85" s="20">
        <v>318</v>
      </c>
      <c r="BA85" s="43"/>
      <c r="BB85" s="3" t="s">
        <v>2181</v>
      </c>
      <c r="BD85" s="534">
        <v>1</v>
      </c>
      <c r="BE85" s="535">
        <v>2027</v>
      </c>
      <c r="BF85" s="536">
        <v>1</v>
      </c>
      <c r="BG85" s="537">
        <v>2027</v>
      </c>
    </row>
    <row r="86" spans="1:59" ht="15">
      <c r="A86" s="125">
        <v>1085</v>
      </c>
      <c r="B86" s="125">
        <v>1085</v>
      </c>
      <c r="C86" s="538" t="s">
        <v>2317</v>
      </c>
      <c r="D86" s="538" t="s">
        <v>2317</v>
      </c>
      <c r="E86" s="526">
        <v>381</v>
      </c>
      <c r="F86" s="3" t="s">
        <v>2095</v>
      </c>
      <c r="G86" s="3" t="s">
        <v>2095</v>
      </c>
      <c r="H86" s="3">
        <v>-53.350555999999997</v>
      </c>
      <c r="I86" s="3">
        <v>-27.113468000000001</v>
      </c>
      <c r="J86" s="539" t="s">
        <v>149</v>
      </c>
      <c r="K86" s="539" t="s">
        <v>149</v>
      </c>
      <c r="L86" s="554">
        <v>2</v>
      </c>
      <c r="M86" s="107"/>
      <c r="N86" s="529">
        <v>1.6379999999999999E-2</v>
      </c>
      <c r="O86" s="529">
        <v>6.1409999999999999E-2</v>
      </c>
      <c r="P86" s="288">
        <f t="shared" si="15"/>
        <v>0.43384518341457318</v>
      </c>
      <c r="Q86" s="30">
        <f t="shared" si="16"/>
        <v>165.29501488095238</v>
      </c>
      <c r="R86" s="30">
        <f t="shared" si="17"/>
        <v>215.70498511904762</v>
      </c>
      <c r="S86" s="107">
        <v>96.985238095238103</v>
      </c>
      <c r="T86" s="107">
        <v>154.76130952380953</v>
      </c>
      <c r="U86" s="107">
        <v>218.31166666666664</v>
      </c>
      <c r="V86" s="107">
        <v>191.12184523809526</v>
      </c>
      <c r="W86" s="288">
        <f t="shared" si="18"/>
        <v>0.45519686325973968</v>
      </c>
      <c r="X86" s="289">
        <f t="shared" si="19"/>
        <v>173.43000490196081</v>
      </c>
      <c r="Y86" s="289">
        <f t="shared" si="20"/>
        <v>8.1349900210084343</v>
      </c>
      <c r="Z86" s="107">
        <v>123.64415686274511</v>
      </c>
      <c r="AA86" s="107">
        <v>164.90709803921575</v>
      </c>
      <c r="AB86" s="107">
        <v>232.44109803921575</v>
      </c>
      <c r="AC86" s="107">
        <v>172.72766666666666</v>
      </c>
      <c r="AD86" s="106">
        <v>3</v>
      </c>
      <c r="AE86" s="32" t="str">
        <f>IF(AD86=0,"",VLOOKUP(AD86,tab_tipo_expansao!$A$2:$B$4,2,0))</f>
        <v>não_considerar</v>
      </c>
      <c r="AF86" s="125">
        <v>2030</v>
      </c>
      <c r="AG86" s="125">
        <v>2100</v>
      </c>
      <c r="AH86" s="125">
        <v>30</v>
      </c>
      <c r="AI86" s="530">
        <v>3200.3632195826231</v>
      </c>
      <c r="AJ86" s="24">
        <f>AK86/constantes!$B$4</f>
        <v>2153.8214008901159</v>
      </c>
      <c r="AK86" s="33">
        <f t="shared" si="21"/>
        <v>8399.9034634714517</v>
      </c>
      <c r="AL86" s="87">
        <v>2</v>
      </c>
      <c r="AM86" s="531">
        <v>0</v>
      </c>
      <c r="AN86" s="23"/>
      <c r="AO86" s="532">
        <f t="shared" si="22"/>
        <v>3200.3632195826231</v>
      </c>
      <c r="AQ86" s="35">
        <f t="shared" si="23"/>
        <v>8399.9034634714517</v>
      </c>
      <c r="AR86" s="36">
        <f ca="1">OFFSET(cod_desembolso!$A$1,AL86,23)</f>
        <v>1.1245293369208682</v>
      </c>
      <c r="AS86" s="37">
        <f ca="1">IF(AO86=0,0,AO86*(OFFSET(cod_desembolso!$A$1,AL86,23)))</f>
        <v>3598.9023292231818</v>
      </c>
      <c r="AT86" s="38">
        <f>(constantes!$B$3*(1+constantes!$B$3)^(AH86))/((1+constantes!$B$3)^(AH86)-1)</f>
        <v>8.8827433387272267E-2</v>
      </c>
      <c r="AU86" s="37">
        <f t="shared" ca="1" si="24"/>
        <v>338.73125691637119</v>
      </c>
      <c r="AV86" s="37">
        <f ca="1">IF(AO86=0,AX86/constantes!$B$3,AU86/constantes!$B$3)</f>
        <v>4234.14071145464</v>
      </c>
      <c r="AW86" s="39">
        <f ca="1">IF(AO86=0,0,PV(constantes!$B$3,AH86,-AU86)*constantes!$B$3)</f>
        <v>305.06904815278085</v>
      </c>
      <c r="AX86" s="40">
        <f>constantes!$B$10*E86/1000</f>
        <v>19.05</v>
      </c>
      <c r="AY86" s="533">
        <f>constantes!$B$12</f>
        <v>0</v>
      </c>
      <c r="AZ86" s="20">
        <v>318</v>
      </c>
      <c r="BA86" s="43"/>
      <c r="BB86" s="3" t="s">
        <v>2215</v>
      </c>
      <c r="BD86" s="534">
        <v>1</v>
      </c>
      <c r="BE86" s="535">
        <v>2035</v>
      </c>
      <c r="BF86" s="536">
        <v>3</v>
      </c>
      <c r="BG86" s="537">
        <v>2050</v>
      </c>
    </row>
    <row r="87" spans="1:59" ht="15">
      <c r="A87" s="125">
        <v>1086</v>
      </c>
      <c r="B87" s="125">
        <v>1086</v>
      </c>
      <c r="C87" s="538" t="s">
        <v>2318</v>
      </c>
      <c r="D87" s="538" t="s">
        <v>2318</v>
      </c>
      <c r="E87" s="526">
        <v>92</v>
      </c>
      <c r="F87" s="3" t="s">
        <v>2194</v>
      </c>
      <c r="G87" s="3" t="s">
        <v>2279</v>
      </c>
      <c r="H87" s="3">
        <v>-50.687998999999998</v>
      </c>
      <c r="I87" s="3">
        <v>-19.008541999999998</v>
      </c>
      <c r="J87" s="539" t="s">
        <v>2003</v>
      </c>
      <c r="K87" s="539" t="s">
        <v>2003</v>
      </c>
      <c r="L87" s="554">
        <v>1</v>
      </c>
      <c r="M87" s="107"/>
      <c r="N87" s="529">
        <v>1.9820000000000001E-2</v>
      </c>
      <c r="O87" s="529">
        <v>5.2919999999999995E-2</v>
      </c>
      <c r="P87" s="288">
        <f t="shared" si="15"/>
        <v>0.532119300920186</v>
      </c>
      <c r="Q87" s="30">
        <f t="shared" si="16"/>
        <v>48.954975684657114</v>
      </c>
      <c r="R87" s="30">
        <f t="shared" si="17"/>
        <v>43.045024315342886</v>
      </c>
      <c r="S87" s="107">
        <v>61.348854403025747</v>
      </c>
      <c r="T87" s="107">
        <v>53.854971754462817</v>
      </c>
      <c r="U87" s="107">
        <v>38.202112718244706</v>
      </c>
      <c r="V87" s="107">
        <v>42.413963862895166</v>
      </c>
      <c r="W87" s="288">
        <f t="shared" si="18"/>
        <v>0.56765074645560576</v>
      </c>
      <c r="X87" s="289">
        <f t="shared" si="19"/>
        <v>52.223868673915732</v>
      </c>
      <c r="Y87" s="289">
        <f t="shared" si="20"/>
        <v>3.2688929892586174</v>
      </c>
      <c r="Z87" s="107">
        <v>68.259470261368037</v>
      </c>
      <c r="AA87" s="107">
        <v>56.787192704169911</v>
      </c>
      <c r="AB87" s="107">
        <v>39.097043966950643</v>
      </c>
      <c r="AC87" s="107">
        <v>44.751767763174342</v>
      </c>
      <c r="AD87" s="106">
        <v>1</v>
      </c>
      <c r="AE87" s="32" t="str">
        <f>IF(AD87=0,"",VLOOKUP(AD87,tab_tipo_expansao!$A$2:$B$4,2,0))</f>
        <v>opcional</v>
      </c>
      <c r="AF87" s="125">
        <v>2028</v>
      </c>
      <c r="AG87" s="125">
        <v>2100</v>
      </c>
      <c r="AH87" s="125">
        <v>30</v>
      </c>
      <c r="AI87" s="530">
        <v>591.57043740196946</v>
      </c>
      <c r="AJ87" s="24">
        <f>AK87/constantes!$B$4</f>
        <v>1648.7470384670276</v>
      </c>
      <c r="AK87" s="33">
        <f t="shared" si="21"/>
        <v>6430.1134500214075</v>
      </c>
      <c r="AL87" s="87">
        <v>2</v>
      </c>
      <c r="AM87" s="531">
        <v>0</v>
      </c>
      <c r="AN87" s="23"/>
      <c r="AO87" s="532">
        <f t="shared" si="22"/>
        <v>591.57043740196946</v>
      </c>
      <c r="AQ87" s="35">
        <f t="shared" si="23"/>
        <v>6430.1134500214075</v>
      </c>
      <c r="AR87" s="36">
        <f ca="1">OFFSET(cod_desembolso!$A$1,AL87,23)</f>
        <v>1.1245293369208682</v>
      </c>
      <c r="AS87" s="37">
        <f ca="1">IF(AO87=0,0,AO87*(OFFSET(cod_desembolso!$A$1,AL87,23)))</f>
        <v>665.23831171362474</v>
      </c>
      <c r="AT87" s="38">
        <f>(constantes!$B$3*(1+constantes!$B$3)^(AH87))/((1+constantes!$B$3)^(AH87)-1)</f>
        <v>8.8827433387272267E-2</v>
      </c>
      <c r="AU87" s="37">
        <f t="shared" ca="1" si="24"/>
        <v>63.691411820403466</v>
      </c>
      <c r="AV87" s="37">
        <f ca="1">IF(AO87=0,AX87/constantes!$B$3,AU87/constantes!$B$3)</f>
        <v>796.1426477550433</v>
      </c>
      <c r="AW87" s="39">
        <f ca="1">IF(AO87=0,0,PV(constantes!$B$3,AH87,-AU87)*constantes!$B$3)</f>
        <v>57.361929207360895</v>
      </c>
      <c r="AX87" s="40">
        <f>constantes!$B$10*E87/1000</f>
        <v>4.5999999999999996</v>
      </c>
      <c r="AY87" s="533">
        <f>constantes!$B$12</f>
        <v>0</v>
      </c>
      <c r="AZ87" s="20">
        <v>318</v>
      </c>
      <c r="BA87" s="43"/>
      <c r="BB87" s="3" t="s">
        <v>2195</v>
      </c>
      <c r="BD87" s="534">
        <v>1</v>
      </c>
      <c r="BE87" s="535">
        <v>2027</v>
      </c>
      <c r="BF87" s="536">
        <v>1</v>
      </c>
      <c r="BG87" s="537">
        <v>2027</v>
      </c>
    </row>
    <row r="88" spans="1:59" ht="14.45" customHeight="1">
      <c r="A88" s="125">
        <v>1087</v>
      </c>
      <c r="B88" s="125">
        <v>1087</v>
      </c>
      <c r="C88" s="627" t="s">
        <v>2319</v>
      </c>
      <c r="D88" s="538" t="s">
        <v>2319</v>
      </c>
      <c r="E88" s="632">
        <v>725</v>
      </c>
      <c r="F88" s="3" t="s">
        <v>2095</v>
      </c>
      <c r="G88" s="3" t="s">
        <v>2095</v>
      </c>
      <c r="H88" s="3">
        <v>-53.681198000000002</v>
      </c>
      <c r="I88" s="3">
        <v>-27.162948</v>
      </c>
      <c r="J88" s="539" t="s">
        <v>1989</v>
      </c>
      <c r="K88" s="539" t="s">
        <v>1989</v>
      </c>
      <c r="L88" s="554">
        <v>2</v>
      </c>
      <c r="M88" s="107"/>
      <c r="N88" s="529">
        <v>1.6379999999999999E-2</v>
      </c>
      <c r="O88" s="529">
        <v>6.1409999999999999E-2</v>
      </c>
      <c r="P88" s="288">
        <f t="shared" si="15"/>
        <v>0.46966525041050905</v>
      </c>
      <c r="Q88" s="30">
        <f t="shared" si="16"/>
        <v>340.50730654761907</v>
      </c>
      <c r="R88" s="30">
        <f t="shared" si="17"/>
        <v>384.49269345238093</v>
      </c>
      <c r="S88" s="107">
        <v>201.83523809523808</v>
      </c>
      <c r="T88" s="107">
        <v>313.48053571428568</v>
      </c>
      <c r="U88" s="107">
        <v>451.89625000000001</v>
      </c>
      <c r="V88" s="107">
        <v>394.81720238095244</v>
      </c>
      <c r="W88" s="288">
        <f t="shared" si="18"/>
        <v>0.51991740365111572</v>
      </c>
      <c r="X88" s="289">
        <f t="shared" si="19"/>
        <v>376.94011764705891</v>
      </c>
      <c r="Y88" s="289">
        <f t="shared" si="20"/>
        <v>36.432811099439846</v>
      </c>
      <c r="Z88" s="107">
        <v>261.32168627450989</v>
      </c>
      <c r="AA88" s="107">
        <v>346.95800000000003</v>
      </c>
      <c r="AB88" s="107">
        <v>491.96996078431386</v>
      </c>
      <c r="AC88" s="107">
        <v>407.51082352941194</v>
      </c>
      <c r="AD88" s="106">
        <v>1</v>
      </c>
      <c r="AE88" s="32" t="str">
        <f>IF(AD88=0,"",VLOOKUP(AD88,tab_tipo_expansao!$A$2:$B$4,2,0))</f>
        <v>opcional</v>
      </c>
      <c r="AF88" s="125">
        <v>2026</v>
      </c>
      <c r="AG88" s="125">
        <v>2100</v>
      </c>
      <c r="AH88" s="125">
        <v>30</v>
      </c>
      <c r="AI88" s="530">
        <v>6684.2592540969081</v>
      </c>
      <c r="AJ88" s="24">
        <f>AK88/constantes!$B$4</f>
        <v>2364.0174196629205</v>
      </c>
      <c r="AK88" s="33">
        <f t="shared" si="21"/>
        <v>9219.6679366853896</v>
      </c>
      <c r="AL88" s="87">
        <v>3</v>
      </c>
      <c r="AM88" s="531">
        <v>0</v>
      </c>
      <c r="AN88" s="23"/>
      <c r="AO88" s="532">
        <f t="shared" si="22"/>
        <v>6684.2592540969081</v>
      </c>
      <c r="AQ88" s="35">
        <f t="shared" si="23"/>
        <v>9219.6679366853914</v>
      </c>
      <c r="AR88" s="36">
        <f ca="1">OFFSET(cod_desembolso!$A$1,AL88,23)</f>
        <v>1.1255071012622904</v>
      </c>
      <c r="AS88" s="37">
        <f ca="1">IF(AO88=0,0,AO88*(OFFSET(cod_desembolso!$A$1,AL88,23)))</f>
        <v>7523.1812571642504</v>
      </c>
      <c r="AT88" s="38">
        <f>(constantes!$B$3*(1+constantes!$B$3)^(AH88))/((1+constantes!$B$3)^(AH88)-1)</f>
        <v>8.8827433387272267E-2</v>
      </c>
      <c r="AU88" s="37">
        <f t="shared" ca="1" si="24"/>
        <v>704.5148819811327</v>
      </c>
      <c r="AV88" s="37">
        <f ca="1">IF(AO88=0,AX88/constantes!$B$3,AU88/constantes!$B$3)</f>
        <v>8806.436024764158</v>
      </c>
      <c r="AW88" s="39">
        <f ca="1">IF(AO88=0,0,PV(constantes!$B$3,AH88,-AU88)*constantes!$B$3)</f>
        <v>634.50207226820976</v>
      </c>
      <c r="AX88" s="40">
        <f>constantes!$B$10*E88/1000</f>
        <v>36.25</v>
      </c>
      <c r="AY88" s="533">
        <f>constantes!$B$12</f>
        <v>0</v>
      </c>
      <c r="AZ88" s="20">
        <v>318</v>
      </c>
      <c r="BA88" s="43"/>
      <c r="BB88" s="3" t="s">
        <v>2207</v>
      </c>
      <c r="BD88" s="534">
        <v>1</v>
      </c>
      <c r="BE88" s="535">
        <v>2026</v>
      </c>
      <c r="BF88" s="536">
        <v>1</v>
      </c>
      <c r="BG88" s="537">
        <v>2026</v>
      </c>
    </row>
    <row r="89" spans="1:59" ht="15">
      <c r="A89" s="125">
        <v>1088</v>
      </c>
      <c r="B89" s="125">
        <v>1088</v>
      </c>
      <c r="C89" s="538" t="s">
        <v>2320</v>
      </c>
      <c r="D89" s="538" t="s">
        <v>2320</v>
      </c>
      <c r="E89" s="526">
        <v>50</v>
      </c>
      <c r="F89" s="3" t="s">
        <v>2194</v>
      </c>
      <c r="G89" s="3" t="s">
        <v>2321</v>
      </c>
      <c r="H89" s="3">
        <v>-52.069043000000001</v>
      </c>
      <c r="I89" s="3">
        <v>-18.508013999999999</v>
      </c>
      <c r="J89" s="539" t="s">
        <v>2003</v>
      </c>
      <c r="K89" s="539" t="s">
        <v>2003</v>
      </c>
      <c r="L89" s="554">
        <v>1</v>
      </c>
      <c r="M89" s="107"/>
      <c r="N89" s="529">
        <v>2.068E-2</v>
      </c>
      <c r="O89" s="529">
        <v>4.6600000000000003E-2</v>
      </c>
      <c r="P89" s="288">
        <f t="shared" si="15"/>
        <v>0.60760238095238095</v>
      </c>
      <c r="Q89" s="30">
        <f t="shared" si="16"/>
        <v>30.380119047619047</v>
      </c>
      <c r="R89" s="30">
        <f t="shared" si="17"/>
        <v>19.619880952380953</v>
      </c>
      <c r="S89" s="107">
        <v>39.072857142857139</v>
      </c>
      <c r="T89" s="107">
        <v>29.139523809523808</v>
      </c>
      <c r="U89" s="107">
        <v>23.081250000000001</v>
      </c>
      <c r="V89" s="107">
        <v>30.226845238095237</v>
      </c>
      <c r="W89" s="288">
        <f t="shared" si="18"/>
        <v>0.74494450980392202</v>
      </c>
      <c r="X89" s="289">
        <f t="shared" si="19"/>
        <v>37.247225490196101</v>
      </c>
      <c r="Y89" s="289">
        <f t="shared" si="20"/>
        <v>6.8671064425770538</v>
      </c>
      <c r="Z89" s="107">
        <v>44.331058823529453</v>
      </c>
      <c r="AA89" s="107">
        <v>37.529882352941208</v>
      </c>
      <c r="AB89" s="107">
        <v>29.934156862745102</v>
      </c>
      <c r="AC89" s="107">
        <v>37.193803921568637</v>
      </c>
      <c r="AD89" s="106">
        <v>1</v>
      </c>
      <c r="AE89" s="32" t="str">
        <f>IF(AD89=0,"",VLOOKUP(AD89,tab_tipo_expansao!$A$2:$B$4,2,0))</f>
        <v>opcional</v>
      </c>
      <c r="AF89" s="125">
        <v>2028</v>
      </c>
      <c r="AG89" s="125">
        <v>2100</v>
      </c>
      <c r="AH89" s="125">
        <v>30</v>
      </c>
      <c r="AI89" s="530">
        <v>500</v>
      </c>
      <c r="AJ89" s="24">
        <f>AK89/constantes!$B$4</f>
        <v>2564.102564102564</v>
      </c>
      <c r="AK89" s="33">
        <f t="shared" si="21"/>
        <v>10000</v>
      </c>
      <c r="AL89" s="87">
        <v>2</v>
      </c>
      <c r="AM89" s="531">
        <v>0</v>
      </c>
      <c r="AN89" s="23"/>
      <c r="AO89" s="532">
        <f t="shared" si="22"/>
        <v>500</v>
      </c>
      <c r="AQ89" s="35">
        <f t="shared" si="23"/>
        <v>10000</v>
      </c>
      <c r="AR89" s="36">
        <f ca="1">OFFSET(cod_desembolso!$A$1,AL89,23)</f>
        <v>1.1245293369208682</v>
      </c>
      <c r="AS89" s="37">
        <f ca="1">IF(AO89=0,0,AO89*(OFFSET(cod_desembolso!$A$1,AL89,23)))</f>
        <v>562.26466846043411</v>
      </c>
      <c r="AT89" s="38">
        <f>(constantes!$B$3*(1+constantes!$B$3)^(AH89))/((1+constantes!$B$3)^(AH89)-1)</f>
        <v>8.8827433387272267E-2</v>
      </c>
      <c r="AU89" s="37">
        <f t="shared" ca="1" si="24"/>
        <v>52.444527383685937</v>
      </c>
      <c r="AV89" s="37">
        <f ca="1">IF(AO89=0,AX89/constantes!$B$3,AU89/constantes!$B$3)</f>
        <v>655.5565922960742</v>
      </c>
      <c r="AW89" s="39">
        <f ca="1">IF(AO89=0,0,PV(constantes!$B$3,AH89,-AU89)*constantes!$B$3)</f>
        <v>47.232730145460231</v>
      </c>
      <c r="AX89" s="40">
        <f>constantes!$B$10*E89/1000</f>
        <v>2.5</v>
      </c>
      <c r="AY89" s="533">
        <f>constantes!$B$12</f>
        <v>0</v>
      </c>
      <c r="AZ89" s="20">
        <v>318</v>
      </c>
      <c r="BA89" s="43"/>
      <c r="BB89" s="3" t="s">
        <v>2195</v>
      </c>
      <c r="BD89" s="534">
        <v>1</v>
      </c>
      <c r="BE89" s="535">
        <v>2027</v>
      </c>
      <c r="BF89" s="536">
        <v>1</v>
      </c>
      <c r="BG89" s="537">
        <v>2027</v>
      </c>
    </row>
    <row r="90" spans="1:59" ht="15">
      <c r="A90" s="125">
        <v>1089</v>
      </c>
      <c r="B90" s="125">
        <v>1089</v>
      </c>
      <c r="C90" s="538" t="s">
        <v>2322</v>
      </c>
      <c r="D90" s="538" t="s">
        <v>2322</v>
      </c>
      <c r="E90" s="526">
        <v>41.8</v>
      </c>
      <c r="F90" s="3" t="s">
        <v>2197</v>
      </c>
      <c r="G90" s="3" t="s">
        <v>2198</v>
      </c>
      <c r="H90" s="3">
        <v>-53.787706999999997</v>
      </c>
      <c r="I90" s="3">
        <v>-15.290737999999999</v>
      </c>
      <c r="J90" s="539" t="s">
        <v>158</v>
      </c>
      <c r="K90" s="539" t="s">
        <v>158</v>
      </c>
      <c r="L90" s="554">
        <v>1</v>
      </c>
      <c r="M90" s="107"/>
      <c r="N90" s="529">
        <v>2.068E-2</v>
      </c>
      <c r="O90" s="529">
        <v>4.6600000000000003E-2</v>
      </c>
      <c r="P90" s="288">
        <f t="shared" si="15"/>
        <v>0.532119300920186</v>
      </c>
      <c r="Q90" s="30">
        <f t="shared" si="16"/>
        <v>22.242586778463775</v>
      </c>
      <c r="R90" s="30">
        <f t="shared" si="17"/>
        <v>19.557413221536223</v>
      </c>
      <c r="S90" s="107">
        <v>27.873718630939962</v>
      </c>
      <c r="T90" s="107">
        <v>24.468889340614627</v>
      </c>
      <c r="U90" s="107">
        <v>17.357046865463357</v>
      </c>
      <c r="V90" s="107">
        <v>19.270692276837149</v>
      </c>
      <c r="W90" s="288">
        <f t="shared" si="18"/>
        <v>0.56765074645560576</v>
      </c>
      <c r="X90" s="289">
        <f t="shared" si="19"/>
        <v>23.727801201844319</v>
      </c>
      <c r="Y90" s="289">
        <f t="shared" si="20"/>
        <v>1.485214423380544</v>
      </c>
      <c r="Z90" s="107">
        <v>31.013541923099822</v>
      </c>
      <c r="AA90" s="107">
        <v>25.801137554720672</v>
      </c>
      <c r="AB90" s="107">
        <v>17.763656932810179</v>
      </c>
      <c r="AC90" s="107">
        <v>20.332868396746601</v>
      </c>
      <c r="AD90" s="106">
        <v>3</v>
      </c>
      <c r="AE90" s="32" t="str">
        <f>IF(AD90=0,"",VLOOKUP(AD90,tab_tipo_expansao!$A$2:$B$4,2,0))</f>
        <v>não_considerar</v>
      </c>
      <c r="AF90" s="125">
        <v>2030</v>
      </c>
      <c r="AG90" s="125">
        <v>2100</v>
      </c>
      <c r="AH90" s="125">
        <v>30</v>
      </c>
      <c r="AI90" s="530">
        <v>331.20295849873855</v>
      </c>
      <c r="AJ90" s="24">
        <f>AK90/constantes!$B$4</f>
        <v>2031.6707060406</v>
      </c>
      <c r="AK90" s="33">
        <f t="shared" si="21"/>
        <v>7923.5157535583394</v>
      </c>
      <c r="AL90" s="87">
        <v>2</v>
      </c>
      <c r="AM90" s="531">
        <v>0</v>
      </c>
      <c r="AN90" s="23"/>
      <c r="AO90" s="532">
        <f t="shared" si="22"/>
        <v>331.20295849873855</v>
      </c>
      <c r="AQ90" s="35">
        <f t="shared" si="23"/>
        <v>7923.5157535583385</v>
      </c>
      <c r="AR90" s="36">
        <f ca="1">OFFSET(cod_desembolso!$A$1,AL90,23)</f>
        <v>1.1245293369208682</v>
      </c>
      <c r="AS90" s="37">
        <f ca="1">IF(AO90=0,0,AO90*(OFFSET(cod_desembolso!$A$1,AL90,23)))</f>
        <v>372.4474433068163</v>
      </c>
      <c r="AT90" s="38">
        <f>(constantes!$B$3*(1+constantes!$B$3)^(AH90))/((1+constantes!$B$3)^(AH90)-1)</f>
        <v>8.8827433387272267E-2</v>
      </c>
      <c r="AU90" s="37">
        <f t="shared" ca="1" si="24"/>
        <v>35.17355046059609</v>
      </c>
      <c r="AV90" s="37">
        <f ca="1">IF(AO90=0,AX90/constantes!$B$3,AU90/constantes!$B$3)</f>
        <v>439.66938075745111</v>
      </c>
      <c r="AW90" s="39">
        <f ca="1">IF(AO90=0,0,PV(constantes!$B$3,AH90,-AU90)*constantes!$B$3)</f>
        <v>31.678096839516222</v>
      </c>
      <c r="AX90" s="40">
        <f>constantes!$B$10*E90/1000</f>
        <v>2.09</v>
      </c>
      <c r="AY90" s="533">
        <f>constantes!$B$12</f>
        <v>0</v>
      </c>
      <c r="AZ90" s="20">
        <v>318</v>
      </c>
      <c r="BA90" s="43"/>
      <c r="BB90" s="3" t="s">
        <v>2215</v>
      </c>
      <c r="BD90" s="534">
        <v>1</v>
      </c>
      <c r="BE90" s="535">
        <v>2035</v>
      </c>
      <c r="BF90" s="536">
        <v>3</v>
      </c>
      <c r="BG90" s="537">
        <v>2050</v>
      </c>
    </row>
    <row r="91" spans="1:59" ht="15">
      <c r="A91" s="125">
        <v>1090</v>
      </c>
      <c r="B91" s="125">
        <v>1090</v>
      </c>
      <c r="C91" s="538" t="s">
        <v>2323</v>
      </c>
      <c r="D91" s="538" t="s">
        <v>2323</v>
      </c>
      <c r="E91" s="526">
        <v>53</v>
      </c>
      <c r="F91" s="3" t="s">
        <v>2179</v>
      </c>
      <c r="G91" s="3" t="s">
        <v>2296</v>
      </c>
      <c r="H91" s="3">
        <v>-59.208621999999998</v>
      </c>
      <c r="I91" s="3">
        <v>-12.903361</v>
      </c>
      <c r="J91" s="539" t="s">
        <v>158</v>
      </c>
      <c r="K91" s="539" t="s">
        <v>158</v>
      </c>
      <c r="L91" s="554">
        <v>10</v>
      </c>
      <c r="M91" s="107"/>
      <c r="N91" s="529">
        <v>2.1330000000000002E-2</v>
      </c>
      <c r="O91" s="529">
        <v>3.6880000000000003E-2</v>
      </c>
      <c r="P91" s="288">
        <f t="shared" si="15"/>
        <v>0.71355289757412399</v>
      </c>
      <c r="Q91" s="30">
        <f t="shared" si="16"/>
        <v>37.818303571428572</v>
      </c>
      <c r="R91" s="30">
        <f t="shared" si="17"/>
        <v>15.181696428571428</v>
      </c>
      <c r="S91" s="107">
        <v>34.408571428571427</v>
      </c>
      <c r="T91" s="107">
        <v>41.097202380952382</v>
      </c>
      <c r="U91" s="107">
        <v>42.073749999999997</v>
      </c>
      <c r="V91" s="107">
        <v>33.693690476190476</v>
      </c>
      <c r="W91" s="288">
        <f t="shared" si="18"/>
        <v>0.71642452830188685</v>
      </c>
      <c r="X91" s="289">
        <f t="shared" si="19"/>
        <v>37.970500000000001</v>
      </c>
      <c r="Y91" s="289">
        <f t="shared" si="20"/>
        <v>0.15219642857142901</v>
      </c>
      <c r="Z91" s="107">
        <v>41.077960784313724</v>
      </c>
      <c r="AA91" s="107">
        <v>40.32505882352941</v>
      </c>
      <c r="AB91" s="107">
        <v>37.13964705882352</v>
      </c>
      <c r="AC91" s="107">
        <v>33.339333333333336</v>
      </c>
      <c r="AD91" s="106">
        <v>3</v>
      </c>
      <c r="AE91" s="32" t="str">
        <f>IF(AD91=0,"",VLOOKUP(AD91,tab_tipo_expansao!$A$2:$B$4,2,0))</f>
        <v>não_considerar</v>
      </c>
      <c r="AF91" s="125">
        <v>2030</v>
      </c>
      <c r="AG91" s="125">
        <v>2100</v>
      </c>
      <c r="AH91" s="125">
        <v>30</v>
      </c>
      <c r="AI91" s="530">
        <v>964.17581106720957</v>
      </c>
      <c r="AJ91" s="24">
        <f>AK91/constantes!$B$4</f>
        <v>4664.6144705718898</v>
      </c>
      <c r="AK91" s="33">
        <f t="shared" si="21"/>
        <v>18191.996435230369</v>
      </c>
      <c r="AL91" s="87">
        <v>2</v>
      </c>
      <c r="AM91" s="531">
        <v>0</v>
      </c>
      <c r="AN91" s="23"/>
      <c r="AO91" s="532">
        <f t="shared" si="22"/>
        <v>964.17581106720957</v>
      </c>
      <c r="AQ91" s="35">
        <f t="shared" si="23"/>
        <v>18191.996435230369</v>
      </c>
      <c r="AR91" s="36">
        <f ca="1">OFFSET(cod_desembolso!$A$1,AL91,23)</f>
        <v>1.1245293369208682</v>
      </c>
      <c r="AS91" s="37">
        <f ca="1">IF(AO91=0,0,AO91*(OFFSET(cod_desembolso!$A$1,AL91,23)))</f>
        <v>1084.2439854945494</v>
      </c>
      <c r="AT91" s="38">
        <f>(constantes!$B$3*(1+constantes!$B$3)^(AH91))/((1+constantes!$B$3)^(AH91)-1)</f>
        <v>8.8827433387272267E-2</v>
      </c>
      <c r="AU91" s="37">
        <f t="shared" ca="1" si="24"/>
        <v>98.960610397067697</v>
      </c>
      <c r="AV91" s="37">
        <f ca="1">IF(AO91=0,AX91/constantes!$B$3,AU91/constantes!$B$3)</f>
        <v>1237.0076299633463</v>
      </c>
      <c r="AW91" s="39">
        <f ca="1">IF(AO91=0,0,PV(constantes!$B$3,AH91,-AU91)*constantes!$B$3)</f>
        <v>89.126168908306994</v>
      </c>
      <c r="AX91" s="40">
        <f>constantes!$B$10*E91/1000</f>
        <v>2.65</v>
      </c>
      <c r="AY91" s="533">
        <f>constantes!$B$12</f>
        <v>0</v>
      </c>
      <c r="AZ91" s="20">
        <v>318</v>
      </c>
      <c r="BA91" s="43"/>
      <c r="BB91" s="3" t="s">
        <v>2215</v>
      </c>
      <c r="BD91" s="534">
        <v>1</v>
      </c>
      <c r="BE91" s="535">
        <v>2035</v>
      </c>
      <c r="BF91" s="536">
        <v>3</v>
      </c>
      <c r="BG91" s="537">
        <v>2050</v>
      </c>
    </row>
    <row r="92" spans="1:59" ht="15">
      <c r="A92" s="125">
        <v>1091</v>
      </c>
      <c r="B92" s="125">
        <v>1091</v>
      </c>
      <c r="C92" s="538" t="s">
        <v>2248</v>
      </c>
      <c r="D92" s="538" t="s">
        <v>2248</v>
      </c>
      <c r="E92" s="526">
        <v>881</v>
      </c>
      <c r="F92" s="3" t="s">
        <v>2179</v>
      </c>
      <c r="G92" s="3" t="s">
        <v>2248</v>
      </c>
      <c r="H92" s="3">
        <v>-55.874301000000003</v>
      </c>
      <c r="I92" s="3">
        <v>-5.6581469999999996</v>
      </c>
      <c r="J92" s="539" t="s">
        <v>153</v>
      </c>
      <c r="K92" s="539" t="s">
        <v>153</v>
      </c>
      <c r="L92" s="554">
        <v>9</v>
      </c>
      <c r="M92" s="107"/>
      <c r="N92" s="529">
        <v>1.9820000000000001E-2</v>
      </c>
      <c r="O92" s="529">
        <v>5.2919999999999995E-2</v>
      </c>
      <c r="P92" s="288">
        <f t="shared" si="15"/>
        <v>0.52012555064591104</v>
      </c>
      <c r="Q92" s="30">
        <f t="shared" si="16"/>
        <v>458.23061011904758</v>
      </c>
      <c r="R92" s="30">
        <f t="shared" si="17"/>
        <v>422.76938988095242</v>
      </c>
      <c r="S92" s="107">
        <v>744.49380952380943</v>
      </c>
      <c r="T92" s="107">
        <v>666.98690476190473</v>
      </c>
      <c r="U92" s="107">
        <v>112.86416666666666</v>
      </c>
      <c r="V92" s="107">
        <v>308.5775595238095</v>
      </c>
      <c r="W92" s="288">
        <f t="shared" si="18"/>
        <v>0.49327111571075649</v>
      </c>
      <c r="X92" s="289">
        <f t="shared" si="19"/>
        <v>434.57185294117647</v>
      </c>
      <c r="Y92" s="289">
        <f t="shared" si="20"/>
        <v>-23.658757177871109</v>
      </c>
      <c r="Z92" s="107">
        <v>724.57639215686288</v>
      </c>
      <c r="AA92" s="107">
        <v>653.60007843137248</v>
      </c>
      <c r="AB92" s="107">
        <v>113.79627450980395</v>
      </c>
      <c r="AC92" s="107">
        <v>246.31466666666665</v>
      </c>
      <c r="AD92" s="106">
        <v>3</v>
      </c>
      <c r="AE92" s="32" t="str">
        <f>IF(AD92=0,"",VLOOKUP(AD92,tab_tipo_expansao!$A$2:$B$4,2,0))</f>
        <v>não_considerar</v>
      </c>
      <c r="AF92" s="125">
        <v>2030</v>
      </c>
      <c r="AG92" s="125">
        <v>2100</v>
      </c>
      <c r="AH92" s="125">
        <v>30</v>
      </c>
      <c r="AI92" s="530">
        <v>3743.9208150419045</v>
      </c>
      <c r="AJ92" s="24">
        <f>AK92/constantes!$B$4</f>
        <v>1089.6477822526572</v>
      </c>
      <c r="AK92" s="33">
        <f t="shared" si="21"/>
        <v>4249.6263507853628</v>
      </c>
      <c r="AL92" s="87">
        <v>3</v>
      </c>
      <c r="AM92" s="531">
        <v>0</v>
      </c>
      <c r="AN92" s="23"/>
      <c r="AO92" s="532">
        <f t="shared" si="22"/>
        <v>3743.9208150419045</v>
      </c>
      <c r="AQ92" s="35">
        <f t="shared" si="23"/>
        <v>4249.6263507853628</v>
      </c>
      <c r="AR92" s="36">
        <f ca="1">OFFSET(cod_desembolso!$A$1,AL92,23)</f>
        <v>1.1255071012622904</v>
      </c>
      <c r="AS92" s="37">
        <f ca="1">IF(AO92=0,0,AO92*(OFFSET(cod_desembolso!$A$1,AL92,23)))</f>
        <v>4213.8094638933653</v>
      </c>
      <c r="AT92" s="38">
        <f>(constantes!$B$3*(1+constantes!$B$3)^(AH92))/((1+constantes!$B$3)^(AH92)-1)</f>
        <v>8.8827433387272267E-2</v>
      </c>
      <c r="AU92" s="37">
        <f t="shared" ca="1" si="24"/>
        <v>418.35187946064536</v>
      </c>
      <c r="AV92" s="37">
        <f ca="1">IF(AO92=0,AX92/constantes!$B$3,AU92/constantes!$B$3)</f>
        <v>5229.398493258067</v>
      </c>
      <c r="AW92" s="39">
        <f ca="1">IF(AO92=0,0,PV(constantes!$B$3,AH92,-AU92)*constantes!$B$3)</f>
        <v>376.7771856126505</v>
      </c>
      <c r="AX92" s="40">
        <f>constantes!$B$10*E92/1000</f>
        <v>44.05</v>
      </c>
      <c r="AY92" s="533">
        <f>constantes!$B$12</f>
        <v>0</v>
      </c>
      <c r="AZ92" s="20">
        <v>318</v>
      </c>
      <c r="BA92" s="43"/>
      <c r="BB92" s="3" t="s">
        <v>2183</v>
      </c>
      <c r="BD92" s="534">
        <v>1</v>
      </c>
      <c r="BE92" s="535">
        <v>2030</v>
      </c>
      <c r="BF92" s="536">
        <v>1</v>
      </c>
      <c r="BG92" s="537">
        <v>2030</v>
      </c>
    </row>
    <row r="93" spans="1:59" ht="15">
      <c r="A93" s="125">
        <v>1092</v>
      </c>
      <c r="B93" s="125">
        <v>1092</v>
      </c>
      <c r="C93" s="538" t="s">
        <v>2324</v>
      </c>
      <c r="D93" s="538" t="s">
        <v>2324</v>
      </c>
      <c r="E93" s="526">
        <v>227</v>
      </c>
      <c r="F93" s="3" t="s">
        <v>2179</v>
      </c>
      <c r="G93" s="3" t="s">
        <v>2248</v>
      </c>
      <c r="H93" s="3">
        <v>-55.765546999999998</v>
      </c>
      <c r="I93" s="3">
        <v>-6.2633910000000004</v>
      </c>
      <c r="J93" s="539" t="s">
        <v>153</v>
      </c>
      <c r="K93" s="539" t="s">
        <v>153</v>
      </c>
      <c r="L93" s="554">
        <v>9</v>
      </c>
      <c r="M93" s="107"/>
      <c r="N93" s="529">
        <v>1.9820000000000001E-2</v>
      </c>
      <c r="O93" s="529">
        <v>5.2919999999999995E-2</v>
      </c>
      <c r="P93" s="288">
        <f t="shared" si="15"/>
        <v>0.43379149622404028</v>
      </c>
      <c r="Q93" s="30">
        <f t="shared" si="16"/>
        <v>98.470669642857146</v>
      </c>
      <c r="R93" s="30">
        <f t="shared" si="17"/>
        <v>128.52933035714284</v>
      </c>
      <c r="S93" s="107">
        <v>162.88285714285715</v>
      </c>
      <c r="T93" s="107">
        <v>142.03863095238094</v>
      </c>
      <c r="U93" s="107">
        <v>24.238333333333333</v>
      </c>
      <c r="V93" s="107">
        <v>64.722857142857137</v>
      </c>
      <c r="W93" s="288">
        <f t="shared" si="18"/>
        <v>0.42302824565949726</v>
      </c>
      <c r="X93" s="289">
        <f t="shared" si="19"/>
        <v>96.027411764705874</v>
      </c>
      <c r="Y93" s="289">
        <f t="shared" si="20"/>
        <v>-2.4432578781512717</v>
      </c>
      <c r="Z93" s="107">
        <v>160.01843137254897</v>
      </c>
      <c r="AA93" s="107">
        <v>144.24972549019608</v>
      </c>
      <c r="AB93" s="107">
        <v>25.153372549019604</v>
      </c>
      <c r="AC93" s="107">
        <v>54.688117647058824</v>
      </c>
      <c r="AD93" s="106">
        <v>3</v>
      </c>
      <c r="AE93" s="32" t="str">
        <f>IF(AD93=0,"",VLOOKUP(AD93,tab_tipo_expansao!$A$2:$B$4,2,0))</f>
        <v>não_considerar</v>
      </c>
      <c r="AF93" s="125">
        <v>2030</v>
      </c>
      <c r="AG93" s="125">
        <v>2100</v>
      </c>
      <c r="AH93" s="125">
        <v>30</v>
      </c>
      <c r="AI93" s="530">
        <v>1893.9521597062976</v>
      </c>
      <c r="AJ93" s="24">
        <f>AK93/constantes!$B$4</f>
        <v>2139.3337396433949</v>
      </c>
      <c r="AK93" s="33">
        <f t="shared" si="21"/>
        <v>8343.4015846092407</v>
      </c>
      <c r="AL93" s="87">
        <v>2</v>
      </c>
      <c r="AM93" s="531">
        <v>0</v>
      </c>
      <c r="AN93" s="23"/>
      <c r="AO93" s="532">
        <f t="shared" si="22"/>
        <v>1893.9521597062976</v>
      </c>
      <c r="AQ93" s="35">
        <f t="shared" si="23"/>
        <v>8343.4015846092407</v>
      </c>
      <c r="AR93" s="36">
        <f ca="1">OFFSET(cod_desembolso!$A$1,AL93,23)</f>
        <v>1.1245293369208682</v>
      </c>
      <c r="AS93" s="37">
        <f ca="1">IF(AO93=0,0,AO93*(OFFSET(cod_desembolso!$A$1,AL93,23)))</f>
        <v>2129.8047663143693</v>
      </c>
      <c r="AT93" s="38">
        <f>(constantes!$B$3*(1+constantes!$B$3)^(AH93))/((1+constantes!$B$3)^(AH93)-1)</f>
        <v>8.8827433387272267E-2</v>
      </c>
      <c r="AU93" s="37">
        <f t="shared" ca="1" si="24"/>
        <v>200.5350910076846</v>
      </c>
      <c r="AV93" s="37">
        <f ca="1">IF(AO93=0,AX93/constantes!$B$3,AU93/constantes!$B$3)</f>
        <v>2506.6886375960576</v>
      </c>
      <c r="AW93" s="39">
        <f ca="1">IF(AO93=0,0,PV(constantes!$B$3,AH93,-AU93)*constantes!$B$3)</f>
        <v>180.60644858070927</v>
      </c>
      <c r="AX93" s="40">
        <f>constantes!$B$10*E93/1000</f>
        <v>11.35</v>
      </c>
      <c r="AY93" s="533">
        <f>constantes!$B$12</f>
        <v>0</v>
      </c>
      <c r="AZ93" s="20">
        <v>318</v>
      </c>
      <c r="BA93" s="43"/>
      <c r="BB93" s="3" t="s">
        <v>2181</v>
      </c>
      <c r="BD93" s="534">
        <v>1</v>
      </c>
      <c r="BE93" s="535">
        <v>2027</v>
      </c>
      <c r="BF93" s="536">
        <v>1</v>
      </c>
      <c r="BG93" s="537">
        <v>2027</v>
      </c>
    </row>
    <row r="94" spans="1:59" ht="14.45" customHeight="1">
      <c r="A94" s="125">
        <v>1093</v>
      </c>
      <c r="B94" s="125">
        <v>1093</v>
      </c>
      <c r="C94" s="625" t="s">
        <v>2325</v>
      </c>
      <c r="D94" s="538" t="s">
        <v>2325</v>
      </c>
      <c r="E94" s="526">
        <v>2338</v>
      </c>
      <c r="F94" s="3" t="s">
        <v>2179</v>
      </c>
      <c r="G94" s="3" t="s">
        <v>2262</v>
      </c>
      <c r="H94" s="3">
        <v>-56.919674000000001</v>
      </c>
      <c r="I94" s="3">
        <v>-5.1966190000000001</v>
      </c>
      <c r="J94" s="539" t="s">
        <v>153</v>
      </c>
      <c r="K94" s="539" t="s">
        <v>153</v>
      </c>
      <c r="L94" s="554">
        <v>9</v>
      </c>
      <c r="M94" s="107"/>
      <c r="N94" s="529">
        <v>2.068E-2</v>
      </c>
      <c r="O94" s="529">
        <v>4.6600000000000003E-2</v>
      </c>
      <c r="P94" s="288">
        <f t="shared" si="15"/>
        <v>0.5618491588252067</v>
      </c>
      <c r="Q94" s="30">
        <f t="shared" si="16"/>
        <v>1313.6033333333332</v>
      </c>
      <c r="R94" s="30">
        <f t="shared" si="17"/>
        <v>1024.3966666666668</v>
      </c>
      <c r="S94" s="107">
        <v>1994.7014285714288</v>
      </c>
      <c r="T94" s="107">
        <v>1774.0823214285713</v>
      </c>
      <c r="U94" s="107">
        <v>622.59916666666663</v>
      </c>
      <c r="V94" s="107">
        <v>863.03041666666661</v>
      </c>
      <c r="W94" s="288">
        <f t="shared" si="18"/>
        <v>0.54012106040020791</v>
      </c>
      <c r="X94" s="289">
        <f t="shared" si="19"/>
        <v>1262.8030392156861</v>
      </c>
      <c r="Y94" s="289">
        <f t="shared" si="20"/>
        <v>-50.800294117647127</v>
      </c>
      <c r="Z94" s="107">
        <v>1931.2147450980385</v>
      </c>
      <c r="AA94" s="107">
        <v>1677.1333333333332</v>
      </c>
      <c r="AB94" s="107">
        <v>598.74643137254907</v>
      </c>
      <c r="AC94" s="107">
        <v>844.11764705882376</v>
      </c>
      <c r="AD94" s="106">
        <v>1</v>
      </c>
      <c r="AE94" s="32" t="str">
        <f>IF(AD94=0,"",VLOOKUP(AD94,tab_tipo_expansao!$A$2:$B$4,2,0))</f>
        <v>opcional</v>
      </c>
      <c r="AF94" s="125">
        <v>2030</v>
      </c>
      <c r="AG94" s="125">
        <v>2100</v>
      </c>
      <c r="AH94" s="125">
        <v>30</v>
      </c>
      <c r="AI94" s="530">
        <v>14697.024028436779</v>
      </c>
      <c r="AJ94" s="24">
        <f>AK94/constantes!$B$4</f>
        <v>1611.8339177070891</v>
      </c>
      <c r="AK94" s="33">
        <f t="shared" si="21"/>
        <v>6286.1522790576473</v>
      </c>
      <c r="AL94" s="87">
        <v>4</v>
      </c>
      <c r="AM94" s="531">
        <v>0</v>
      </c>
      <c r="AN94" s="23"/>
      <c r="AO94" s="532">
        <f t="shared" si="22"/>
        <v>14697.024028436779</v>
      </c>
      <c r="AQ94" s="35">
        <f t="shared" si="23"/>
        <v>6286.1522790576473</v>
      </c>
      <c r="AR94" s="36">
        <f ca="1">OFFSET(cod_desembolso!$A$1,AL94,23)</f>
        <v>1.103153897336226</v>
      </c>
      <c r="AS94" s="37">
        <f ca="1">IF(AO94=0,0,AO94*(OFFSET(cod_desembolso!$A$1,AL94,23)))</f>
        <v>16213.079336214194</v>
      </c>
      <c r="AT94" s="38">
        <f>(constantes!$B$3*(1+constantes!$B$3)^(AH94))/((1+constantes!$B$3)^(AH94)-1)</f>
        <v>8.8827433387272267E-2</v>
      </c>
      <c r="AU94" s="37">
        <f t="shared" ca="1" si="24"/>
        <v>1557.0662247401269</v>
      </c>
      <c r="AV94" s="37">
        <f ca="1">IF(AO94=0,AX94/constantes!$B$3,AU94/constantes!$B$3)</f>
        <v>19463.327809251587</v>
      </c>
      <c r="AW94" s="39">
        <f ca="1">IF(AO94=0,0,PV(constantes!$B$3,AH94,-AU94)*constantes!$B$3)</f>
        <v>1402.3291367220638</v>
      </c>
      <c r="AX94" s="40">
        <f>constantes!$B$10*E94/1000</f>
        <v>116.9</v>
      </c>
      <c r="AY94" s="533">
        <f>constantes!$B$12</f>
        <v>0</v>
      </c>
      <c r="AZ94" s="20">
        <v>318</v>
      </c>
      <c r="BA94" s="43"/>
      <c r="BB94" s="3" t="s">
        <v>2207</v>
      </c>
      <c r="BD94" s="534">
        <v>1</v>
      </c>
      <c r="BE94" s="535">
        <v>2025</v>
      </c>
      <c r="BF94" s="536">
        <v>1</v>
      </c>
      <c r="BG94" s="537">
        <v>2025</v>
      </c>
    </row>
    <row r="95" spans="1:59" ht="15">
      <c r="A95" s="125">
        <v>1094</v>
      </c>
      <c r="B95" s="125">
        <v>1094</v>
      </c>
      <c r="C95" s="538" t="s">
        <v>2326</v>
      </c>
      <c r="D95" s="538" t="s">
        <v>2326</v>
      </c>
      <c r="E95" s="526">
        <v>96.1</v>
      </c>
      <c r="F95" s="3" t="s">
        <v>2204</v>
      </c>
      <c r="G95" s="3" t="s">
        <v>2205</v>
      </c>
      <c r="H95" s="3">
        <v>-41.845948</v>
      </c>
      <c r="I95" s="3">
        <v>-16.628520000000002</v>
      </c>
      <c r="J95" s="539" t="s">
        <v>150</v>
      </c>
      <c r="K95" s="539" t="s">
        <v>150</v>
      </c>
      <c r="L95" s="554">
        <v>1</v>
      </c>
      <c r="M95" s="107"/>
      <c r="N95" s="529">
        <v>1.9820000000000001E-2</v>
      </c>
      <c r="O95" s="529">
        <v>5.2919999999999995E-2</v>
      </c>
      <c r="P95" s="288">
        <f t="shared" si="15"/>
        <v>0.48880351568306823</v>
      </c>
      <c r="Q95" s="30">
        <f t="shared" si="16"/>
        <v>46.974017857142854</v>
      </c>
      <c r="R95" s="30">
        <f t="shared" si="17"/>
        <v>49.12598214285714</v>
      </c>
      <c r="S95" s="107">
        <v>22.710000000000004</v>
      </c>
      <c r="T95" s="107">
        <v>26.640059523809523</v>
      </c>
      <c r="U95" s="107">
        <v>72.352500000000006</v>
      </c>
      <c r="V95" s="107">
        <v>66.193511904761905</v>
      </c>
      <c r="W95" s="288">
        <f t="shared" si="18"/>
        <v>0.49651129338311817</v>
      </c>
      <c r="X95" s="289">
        <f t="shared" si="19"/>
        <v>47.714735294117652</v>
      </c>
      <c r="Y95" s="289">
        <f t="shared" si="20"/>
        <v>0.74071743697479775</v>
      </c>
      <c r="Z95" s="107">
        <v>49.42203921568629</v>
      </c>
      <c r="AA95" s="107">
        <v>31.504235294117649</v>
      </c>
      <c r="AB95" s="107">
        <v>55.96243137254902</v>
      </c>
      <c r="AC95" s="107">
        <v>53.97023529411765</v>
      </c>
      <c r="AD95" s="106">
        <v>1</v>
      </c>
      <c r="AE95" s="32" t="str">
        <f>IF(AD95=0,"",VLOOKUP(AD95,tab_tipo_expansao!$A$2:$B$4,2,0))</f>
        <v>opcional</v>
      </c>
      <c r="AF95" s="125">
        <v>2028</v>
      </c>
      <c r="AG95" s="125">
        <v>2100</v>
      </c>
      <c r="AH95" s="125">
        <v>30</v>
      </c>
      <c r="AI95" s="530">
        <v>1676.5813416460971</v>
      </c>
      <c r="AJ95" s="24">
        <f>AK95/constantes!$B$4</f>
        <v>4473.3886753811394</v>
      </c>
      <c r="AK95" s="33">
        <f t="shared" si="21"/>
        <v>17446.215833986444</v>
      </c>
      <c r="AL95" s="87">
        <v>2</v>
      </c>
      <c r="AM95" s="531">
        <v>0</v>
      </c>
      <c r="AN95" s="23"/>
      <c r="AO95" s="532">
        <f t="shared" si="22"/>
        <v>1676.5813416460971</v>
      </c>
      <c r="AQ95" s="35">
        <f t="shared" si="23"/>
        <v>17446.215833986444</v>
      </c>
      <c r="AR95" s="36">
        <f ca="1">OFFSET(cod_desembolso!$A$1,AL95,23)</f>
        <v>1.1245293369208682</v>
      </c>
      <c r="AS95" s="37">
        <f ca="1">IF(AO95=0,0,AO95*(OFFSET(cod_desembolso!$A$1,AL95,23)))</f>
        <v>1885.3649044151853</v>
      </c>
      <c r="AT95" s="38">
        <f>(constantes!$B$3*(1+constantes!$B$3)^(AH95))/((1+constantes!$B$3)^(AH95)-1)</f>
        <v>8.8827433387272267E-2</v>
      </c>
      <c r="AU95" s="37">
        <f t="shared" ca="1" si="24"/>
        <v>172.27712545764081</v>
      </c>
      <c r="AV95" s="37">
        <f ca="1">IF(AO95=0,AX95/constantes!$B$3,AU95/constantes!$B$3)</f>
        <v>2153.4640682205099</v>
      </c>
      <c r="AW95" s="39">
        <f ca="1">IF(AO95=0,0,PV(constantes!$B$3,AH95,-AU95)*constantes!$B$3)</f>
        <v>155.15668427031301</v>
      </c>
      <c r="AX95" s="40">
        <f>constantes!$B$10*E95/1000</f>
        <v>4.8049999999999997</v>
      </c>
      <c r="AY95" s="533">
        <f>constantes!$B$12</f>
        <v>0</v>
      </c>
      <c r="AZ95" s="20">
        <v>318</v>
      </c>
      <c r="BA95" s="43"/>
      <c r="BB95" s="3" t="s">
        <v>2195</v>
      </c>
      <c r="BD95" s="534">
        <v>1</v>
      </c>
      <c r="BE95" s="535">
        <v>2027</v>
      </c>
      <c r="BF95" s="536">
        <v>1</v>
      </c>
      <c r="BG95" s="537">
        <v>2027</v>
      </c>
    </row>
    <row r="96" spans="1:59" ht="15">
      <c r="A96" s="125">
        <v>1095</v>
      </c>
      <c r="B96" s="125">
        <v>1095</v>
      </c>
      <c r="C96" s="538" t="s">
        <v>2327</v>
      </c>
      <c r="D96" s="538" t="s">
        <v>2327</v>
      </c>
      <c r="E96" s="526">
        <v>46.1</v>
      </c>
      <c r="F96" s="3" t="s">
        <v>2204</v>
      </c>
      <c r="G96" s="3" t="s">
        <v>2328</v>
      </c>
      <c r="H96" s="3">
        <v>-39.184659000000003</v>
      </c>
      <c r="I96" s="3">
        <v>-13.625408</v>
      </c>
      <c r="J96" s="539" t="s">
        <v>152</v>
      </c>
      <c r="K96" s="539" t="s">
        <v>152</v>
      </c>
      <c r="L96" s="554">
        <v>3</v>
      </c>
      <c r="M96" s="107"/>
      <c r="N96" s="529">
        <v>2.068E-2</v>
      </c>
      <c r="O96" s="529">
        <v>4.6600000000000003E-2</v>
      </c>
      <c r="P96" s="288">
        <f t="shared" si="15"/>
        <v>0.50184473158491616</v>
      </c>
      <c r="Q96" s="30">
        <f t="shared" si="16"/>
        <v>23.135042126064636</v>
      </c>
      <c r="R96" s="30">
        <f t="shared" si="17"/>
        <v>22.964957873935365</v>
      </c>
      <c r="S96" s="107">
        <v>19.151254845595119</v>
      </c>
      <c r="T96" s="107">
        <v>22.151529651942557</v>
      </c>
      <c r="U96" s="107">
        <v>29.208277300150314</v>
      </c>
      <c r="V96" s="107">
        <v>22.029106706570563</v>
      </c>
      <c r="W96" s="288">
        <f t="shared" si="18"/>
        <v>0.48889284425325702</v>
      </c>
      <c r="X96" s="289">
        <f t="shared" si="19"/>
        <v>22.537960120075148</v>
      </c>
      <c r="Y96" s="289">
        <f t="shared" si="20"/>
        <v>-0.59708200598948835</v>
      </c>
      <c r="Z96" s="107">
        <v>23.768699130760414</v>
      </c>
      <c r="AA96" s="107">
        <v>22.405588394556641</v>
      </c>
      <c r="AB96" s="107">
        <v>24.422559911172133</v>
      </c>
      <c r="AC96" s="107">
        <v>19.554993043811404</v>
      </c>
      <c r="AD96" s="106">
        <v>3</v>
      </c>
      <c r="AE96" s="32" t="str">
        <f>IF(AD96=0,"",VLOOKUP(AD96,tab_tipo_expansao!$A$2:$B$4,2,0))</f>
        <v>não_considerar</v>
      </c>
      <c r="AF96" s="125">
        <v>2030</v>
      </c>
      <c r="AG96" s="125">
        <v>2100</v>
      </c>
      <c r="AH96" s="125">
        <v>30</v>
      </c>
      <c r="AI96" s="530">
        <v>334.97122066952517</v>
      </c>
      <c r="AJ96" s="24">
        <f>AK96/constantes!$B$4</f>
        <v>1863.1248716253695</v>
      </c>
      <c r="AK96" s="33">
        <f t="shared" si="21"/>
        <v>7266.186999338941</v>
      </c>
      <c r="AL96" s="87">
        <v>2</v>
      </c>
      <c r="AM96" s="531">
        <v>0</v>
      </c>
      <c r="AN96" s="23"/>
      <c r="AO96" s="532">
        <f t="shared" si="22"/>
        <v>334.97122066952517</v>
      </c>
      <c r="AQ96" s="35">
        <f t="shared" si="23"/>
        <v>7266.18699933894</v>
      </c>
      <c r="AR96" s="36">
        <f ca="1">OFFSET(cod_desembolso!$A$1,AL96,23)</f>
        <v>1.1245293369208682</v>
      </c>
      <c r="AS96" s="37">
        <f ca="1">IF(AO96=0,0,AO96*(OFFSET(cod_desembolso!$A$1,AL96,23)))</f>
        <v>376.68496466707495</v>
      </c>
      <c r="AT96" s="38">
        <f>(constantes!$B$3*(1+constantes!$B$3)^(AH96))/((1+constantes!$B$3)^(AH96)-1)</f>
        <v>8.8827433387272267E-2</v>
      </c>
      <c r="AU96" s="37">
        <f t="shared" ca="1" si="24"/>
        <v>35.764958606951609</v>
      </c>
      <c r="AV96" s="37">
        <f ca="1">IF(AO96=0,AX96/constantes!$B$3,AU96/constantes!$B$3)</f>
        <v>447.06198258689511</v>
      </c>
      <c r="AW96" s="39">
        <f ca="1">IF(AO96=0,0,PV(constantes!$B$3,AH96,-AU96)*constantes!$B$3)</f>
        <v>32.210732421838699</v>
      </c>
      <c r="AX96" s="40">
        <f>constantes!$B$10*E96/1000</f>
        <v>2.3050000000000002</v>
      </c>
      <c r="AY96" s="533">
        <f>constantes!$B$12</f>
        <v>0</v>
      </c>
      <c r="AZ96" s="20">
        <v>318</v>
      </c>
      <c r="BA96" s="43"/>
      <c r="BB96" s="3" t="s">
        <v>2181</v>
      </c>
      <c r="BD96" s="534">
        <v>1</v>
      </c>
      <c r="BE96" s="535">
        <v>2027</v>
      </c>
      <c r="BF96" s="536">
        <v>1</v>
      </c>
      <c r="BG96" s="537">
        <v>2027</v>
      </c>
    </row>
    <row r="97" spans="1:59" ht="15">
      <c r="A97" s="125">
        <v>1096</v>
      </c>
      <c r="B97" s="125">
        <v>1096</v>
      </c>
      <c r="C97" s="538" t="s">
        <v>2205</v>
      </c>
      <c r="D97" s="538" t="s">
        <v>2205</v>
      </c>
      <c r="E97" s="526">
        <v>101.28</v>
      </c>
      <c r="F97" s="3" t="s">
        <v>2204</v>
      </c>
      <c r="G97" s="3" t="s">
        <v>2205</v>
      </c>
      <c r="H97" s="3">
        <v>-41.073332999999998</v>
      </c>
      <c r="I97" s="3">
        <v>-16.429167</v>
      </c>
      <c r="J97" s="539" t="s">
        <v>150</v>
      </c>
      <c r="K97" s="539" t="s">
        <v>150</v>
      </c>
      <c r="L97" s="554">
        <v>1</v>
      </c>
      <c r="M97" s="107"/>
      <c r="N97" s="529">
        <v>1.9820000000000001E-2</v>
      </c>
      <c r="O97" s="529">
        <v>5.2919999999999995E-2</v>
      </c>
      <c r="P97" s="288">
        <f t="shared" si="15"/>
        <v>0.48988982688256971</v>
      </c>
      <c r="Q97" s="30">
        <f t="shared" si="16"/>
        <v>49.616041666666661</v>
      </c>
      <c r="R97" s="30">
        <f t="shared" si="17"/>
        <v>51.663958333333341</v>
      </c>
      <c r="S97" s="107">
        <v>29.167142857142853</v>
      </c>
      <c r="T97" s="107">
        <v>28.931309523809521</v>
      </c>
      <c r="U97" s="107">
        <v>71.055416666666659</v>
      </c>
      <c r="V97" s="107">
        <v>69.310297619047631</v>
      </c>
      <c r="W97" s="288">
        <f t="shared" si="18"/>
        <v>0.49885466034755127</v>
      </c>
      <c r="X97" s="289">
        <f t="shared" si="19"/>
        <v>50.523999999999994</v>
      </c>
      <c r="Y97" s="289">
        <f t="shared" si="20"/>
        <v>0.9079583333333332</v>
      </c>
      <c r="Z97" s="107">
        <v>54.779333333333319</v>
      </c>
      <c r="AA97" s="107">
        <v>33.705607843137244</v>
      </c>
      <c r="AB97" s="107">
        <v>55.381960784313726</v>
      </c>
      <c r="AC97" s="107">
        <v>58.229098039215692</v>
      </c>
      <c r="AD97" s="106">
        <v>3</v>
      </c>
      <c r="AE97" s="32" t="str">
        <f>IF(AD97=0,"",VLOOKUP(AD97,tab_tipo_expansao!$A$2:$B$4,2,0))</f>
        <v>não_considerar</v>
      </c>
      <c r="AF97" s="125">
        <v>2030</v>
      </c>
      <c r="AG97" s="125">
        <v>2100</v>
      </c>
      <c r="AH97" s="125">
        <v>30</v>
      </c>
      <c r="AI97" s="530">
        <v>1771.6635580086472</v>
      </c>
      <c r="AJ97" s="24">
        <f>AK97/constantes!$B$4</f>
        <v>4485.3150393138276</v>
      </c>
      <c r="AK97" s="33">
        <f t="shared" si="21"/>
        <v>17492.728653323928</v>
      </c>
      <c r="AL97" s="87">
        <v>2</v>
      </c>
      <c r="AM97" s="531">
        <v>0</v>
      </c>
      <c r="AN97" s="23"/>
      <c r="AO97" s="532">
        <f t="shared" si="22"/>
        <v>1771.6635580086472</v>
      </c>
      <c r="AQ97" s="35">
        <f t="shared" si="23"/>
        <v>17492.728653323928</v>
      </c>
      <c r="AR97" s="36">
        <f ca="1">OFFSET(cod_desembolso!$A$1,AL97,23)</f>
        <v>1.1245293369208682</v>
      </c>
      <c r="AS97" s="37">
        <f ca="1">IF(AO97=0,0,AO97*(OFFSET(cod_desembolso!$A$1,AL97,23)))</f>
        <v>1992.2876461343301</v>
      </c>
      <c r="AT97" s="38">
        <f>(constantes!$B$3*(1+constantes!$B$3)^(AH97))/((1+constantes!$B$3)^(AH97)-1)</f>
        <v>8.8827433387272267E-2</v>
      </c>
      <c r="AU97" s="37">
        <f t="shared" ca="1" si="24"/>
        <v>182.03379817528267</v>
      </c>
      <c r="AV97" s="37">
        <f ca="1">IF(AO97=0,AX97/constantes!$B$3,AU97/constantes!$B$3)</f>
        <v>2275.4224771910335</v>
      </c>
      <c r="AW97" s="39">
        <f ca="1">IF(AO97=0,0,PV(constantes!$B$3,AH97,-AU97)*constantes!$B$3)</f>
        <v>163.94376487871421</v>
      </c>
      <c r="AX97" s="40">
        <f>constantes!$B$10*E97/1000</f>
        <v>5.0640000000000001</v>
      </c>
      <c r="AY97" s="533">
        <f>constantes!$B$12</f>
        <v>0</v>
      </c>
      <c r="AZ97" s="20">
        <v>318</v>
      </c>
      <c r="BA97" s="43"/>
      <c r="BB97" s="3" t="s">
        <v>2183</v>
      </c>
      <c r="BD97" s="534">
        <v>1</v>
      </c>
      <c r="BE97" s="535">
        <v>2030</v>
      </c>
      <c r="BF97" s="536">
        <v>1</v>
      </c>
      <c r="BG97" s="537">
        <v>2030</v>
      </c>
    </row>
    <row r="98" spans="1:59" ht="15">
      <c r="A98" s="125">
        <v>1097</v>
      </c>
      <c r="B98" s="125">
        <v>1097</v>
      </c>
      <c r="C98" s="538" t="s">
        <v>2253</v>
      </c>
      <c r="D98" s="538" t="s">
        <v>2253</v>
      </c>
      <c r="E98" s="526">
        <v>46</v>
      </c>
      <c r="F98" s="3" t="s">
        <v>2179</v>
      </c>
      <c r="G98" s="3" t="s">
        <v>2253</v>
      </c>
      <c r="H98" s="3">
        <v>-59.007601999999999</v>
      </c>
      <c r="I98" s="3">
        <v>-13.401799</v>
      </c>
      <c r="J98" s="539" t="s">
        <v>158</v>
      </c>
      <c r="K98" s="539" t="s">
        <v>158</v>
      </c>
      <c r="L98" s="554">
        <v>10</v>
      </c>
      <c r="M98" s="107"/>
      <c r="N98" s="529">
        <v>2.068E-2</v>
      </c>
      <c r="O98" s="529">
        <v>4.6600000000000003E-2</v>
      </c>
      <c r="P98" s="288">
        <f t="shared" ref="P98:P129" si="25">Q98/$E98</f>
        <v>0.93326086956521737</v>
      </c>
      <c r="Q98" s="30">
        <f t="shared" si="16"/>
        <v>42.93</v>
      </c>
      <c r="R98" s="30">
        <f t="shared" ref="R98:R129" si="26">E98-Q98</f>
        <v>3.0700000000000003</v>
      </c>
      <c r="S98" s="107">
        <v>42.93</v>
      </c>
      <c r="T98" s="107">
        <v>42.93</v>
      </c>
      <c r="U98" s="107">
        <v>42.93</v>
      </c>
      <c r="V98" s="107">
        <v>42.93</v>
      </c>
      <c r="W98" s="288">
        <f t="shared" ref="W98:W129" si="27">X98/$E98</f>
        <v>0.92986508951406555</v>
      </c>
      <c r="X98" s="289">
        <f t="shared" si="19"/>
        <v>42.773794117647014</v>
      </c>
      <c r="Y98" s="289">
        <f t="shared" si="20"/>
        <v>-0.15620588235298527</v>
      </c>
      <c r="Z98" s="107">
        <v>42.920039215686224</v>
      </c>
      <c r="AA98" s="107">
        <v>42.829215686274459</v>
      </c>
      <c r="AB98" s="107">
        <v>42.615254901960746</v>
      </c>
      <c r="AC98" s="107">
        <v>42.730666666666622</v>
      </c>
      <c r="AD98" s="106">
        <v>1</v>
      </c>
      <c r="AE98" s="32" t="str">
        <f>IF(AD98=0,"",VLOOKUP(AD98,tab_tipo_expansao!$A$2:$B$4,2,0))</f>
        <v>opcional</v>
      </c>
      <c r="AF98" s="125">
        <v>2028</v>
      </c>
      <c r="AG98" s="125">
        <v>2100</v>
      </c>
      <c r="AH98" s="125">
        <v>30</v>
      </c>
      <c r="AI98" s="530">
        <v>356.92037914653076</v>
      </c>
      <c r="AJ98" s="24">
        <f>AK98/constantes!$B$4</f>
        <v>1989.5227377175627</v>
      </c>
      <c r="AK98" s="33">
        <f t="shared" ref="AK98:AK128" si="28">AI98/E98*1000</f>
        <v>7759.1386770984946</v>
      </c>
      <c r="AL98" s="87">
        <v>2</v>
      </c>
      <c r="AM98" s="531">
        <v>0</v>
      </c>
      <c r="AN98" s="23"/>
      <c r="AO98" s="532">
        <f t="shared" si="22"/>
        <v>356.92037914653076</v>
      </c>
      <c r="AQ98" s="35">
        <f t="shared" ref="AQ98:AQ129" si="29">AO98*1000/E98</f>
        <v>7759.1386770984946</v>
      </c>
      <c r="AR98" s="36">
        <f ca="1">OFFSET(cod_desembolso!$A$1,AL98,23)</f>
        <v>1.1245293369208682</v>
      </c>
      <c r="AS98" s="37">
        <f ca="1">IF(AO98=0,0,AO98*(OFFSET(cod_desembolso!$A$1,AL98,23)))</f>
        <v>401.3674372951931</v>
      </c>
      <c r="AT98" s="38">
        <f>(constantes!$B$3*(1+constantes!$B$3)^(AH98))/((1+constantes!$B$3)^(AH98)-1)</f>
        <v>8.8827433387272267E-2</v>
      </c>
      <c r="AU98" s="37">
        <f t="shared" ca="1" si="24"/>
        <v>37.952439300158943</v>
      </c>
      <c r="AV98" s="37">
        <f ca="1">IF(AO98=0,AX98/constantes!$B$3,AU98/constantes!$B$3)</f>
        <v>474.4054912519868</v>
      </c>
      <c r="AW98" s="39">
        <f ca="1">IF(AO98=0,0,PV(constantes!$B$3,AH98,-AU98)*constantes!$B$3)</f>
        <v>34.180827118750905</v>
      </c>
      <c r="AX98" s="40">
        <f>constantes!$B$10*E98/1000</f>
        <v>2.2999999999999998</v>
      </c>
      <c r="AY98" s="533">
        <f>constantes!$B$12</f>
        <v>0</v>
      </c>
      <c r="AZ98" s="20">
        <v>318</v>
      </c>
      <c r="BA98" s="43"/>
      <c r="BB98" s="3" t="s">
        <v>2195</v>
      </c>
      <c r="BD98" s="534">
        <v>1</v>
      </c>
      <c r="BE98" s="535">
        <v>2027</v>
      </c>
      <c r="BF98" s="536">
        <v>1</v>
      </c>
      <c r="BG98" s="537">
        <v>2027</v>
      </c>
    </row>
    <row r="99" spans="1:59" ht="15">
      <c r="A99" s="125">
        <v>1098</v>
      </c>
      <c r="B99" s="125">
        <v>1098</v>
      </c>
      <c r="C99" s="538" t="s">
        <v>2329</v>
      </c>
      <c r="D99" s="538" t="s">
        <v>2329</v>
      </c>
      <c r="E99" s="526">
        <v>48</v>
      </c>
      <c r="F99" s="3" t="s">
        <v>2229</v>
      </c>
      <c r="G99" s="3" t="s">
        <v>2239</v>
      </c>
      <c r="H99" s="3">
        <v>-42.997968</v>
      </c>
      <c r="I99" s="3">
        <v>-20.515218000000001</v>
      </c>
      <c r="J99" s="539" t="s">
        <v>150</v>
      </c>
      <c r="K99" s="539" t="s">
        <v>150</v>
      </c>
      <c r="L99" s="554">
        <v>1</v>
      </c>
      <c r="M99" s="107"/>
      <c r="N99" s="529">
        <v>2.068E-2</v>
      </c>
      <c r="O99" s="529">
        <v>4.6600000000000003E-2</v>
      </c>
      <c r="P99" s="288">
        <f t="shared" si="25"/>
        <v>0.5210212053571428</v>
      </c>
      <c r="Q99" s="30">
        <f t="shared" si="16"/>
        <v>25.009017857142855</v>
      </c>
      <c r="R99" s="30">
        <f t="shared" si="26"/>
        <v>22.990982142857145</v>
      </c>
      <c r="S99" s="107">
        <v>34.298095238095236</v>
      </c>
      <c r="T99" s="107">
        <v>24.012440476190477</v>
      </c>
      <c r="U99" s="107">
        <v>15.480416666666665</v>
      </c>
      <c r="V99" s="107">
        <v>26.245119047619045</v>
      </c>
      <c r="W99" s="288">
        <f t="shared" si="27"/>
        <v>0.52257230392156873</v>
      </c>
      <c r="X99" s="289">
        <f t="shared" si="19"/>
        <v>25.083470588235297</v>
      </c>
      <c r="Y99" s="289">
        <f t="shared" si="20"/>
        <v>7.4452731092442548E-2</v>
      </c>
      <c r="Z99" s="107">
        <v>35.852901960784315</v>
      </c>
      <c r="AA99" s="107">
        <v>22.376705882352951</v>
      </c>
      <c r="AB99" s="107">
        <v>15.457921568627464</v>
      </c>
      <c r="AC99" s="107">
        <v>26.646352941176463</v>
      </c>
      <c r="AD99" s="106">
        <v>3</v>
      </c>
      <c r="AE99" s="32" t="str">
        <f>IF(AD99=0,"",VLOOKUP(AD99,tab_tipo_expansao!$A$2:$B$4,2,0))</f>
        <v>não_considerar</v>
      </c>
      <c r="AF99" s="125">
        <v>2030</v>
      </c>
      <c r="AG99" s="125">
        <v>2100</v>
      </c>
      <c r="AH99" s="125">
        <v>30</v>
      </c>
      <c r="AI99" s="530">
        <v>480</v>
      </c>
      <c r="AJ99" s="24">
        <f>AK99/constantes!$B$4</f>
        <v>2564.102564102564</v>
      </c>
      <c r="AK99" s="33">
        <f t="shared" si="28"/>
        <v>10000</v>
      </c>
      <c r="AL99" s="87">
        <v>2</v>
      </c>
      <c r="AM99" s="531">
        <v>0</v>
      </c>
      <c r="AN99" s="23"/>
      <c r="AO99" s="532">
        <f t="shared" si="22"/>
        <v>480</v>
      </c>
      <c r="AQ99" s="35">
        <f t="shared" si="29"/>
        <v>10000</v>
      </c>
      <c r="AR99" s="36">
        <f ca="1">OFFSET(cod_desembolso!$A$1,AL99,23)</f>
        <v>1.1245293369208682</v>
      </c>
      <c r="AS99" s="37">
        <f ca="1">IF(AO99=0,0,AO99*(OFFSET(cod_desembolso!$A$1,AL99,23)))</f>
        <v>539.77408172201672</v>
      </c>
      <c r="AT99" s="38">
        <f>(constantes!$B$3*(1+constantes!$B$3)^(AH99))/((1+constantes!$B$3)^(AH99)-1)</f>
        <v>8.8827433387272267E-2</v>
      </c>
      <c r="AU99" s="37">
        <f t="shared" ca="1" si="24"/>
        <v>50.346746288338494</v>
      </c>
      <c r="AV99" s="37">
        <f ca="1">IF(AO99=0,AX99/constantes!$B$3,AU99/constantes!$B$3)</f>
        <v>629.33432860423113</v>
      </c>
      <c r="AW99" s="39">
        <f ca="1">IF(AO99=0,0,PV(constantes!$B$3,AH99,-AU99)*constantes!$B$3)</f>
        <v>45.34342093964181</v>
      </c>
      <c r="AX99" s="40">
        <f>constantes!$B$10*E99/1000</f>
        <v>2.4</v>
      </c>
      <c r="AY99" s="533">
        <f>constantes!$B$12</f>
        <v>0</v>
      </c>
      <c r="AZ99" s="20">
        <v>318</v>
      </c>
      <c r="BA99" s="43"/>
      <c r="BB99" s="3" t="s">
        <v>2181</v>
      </c>
      <c r="BD99" s="534">
        <v>1</v>
      </c>
      <c r="BE99" s="535">
        <v>2027</v>
      </c>
      <c r="BF99" s="536">
        <v>1</v>
      </c>
      <c r="BG99" s="537">
        <v>2027</v>
      </c>
    </row>
    <row r="100" spans="1:59" ht="15">
      <c r="A100" s="125">
        <v>1099</v>
      </c>
      <c r="B100" s="125">
        <v>1099</v>
      </c>
      <c r="C100" s="538" t="s">
        <v>2330</v>
      </c>
      <c r="D100" s="538" t="s">
        <v>2330</v>
      </c>
      <c r="E100" s="526">
        <v>66</v>
      </c>
      <c r="F100" s="3" t="s">
        <v>2179</v>
      </c>
      <c r="G100" s="3" t="s">
        <v>2331</v>
      </c>
      <c r="H100" s="3">
        <v>-54.495033999999997</v>
      </c>
      <c r="I100" s="3">
        <v>-1.3294509999999999</v>
      </c>
      <c r="J100" s="539" t="s">
        <v>153</v>
      </c>
      <c r="K100" s="539" t="s">
        <v>153</v>
      </c>
      <c r="L100" s="554">
        <v>4</v>
      </c>
      <c r="M100" s="107"/>
      <c r="N100" s="529">
        <v>1.9820000000000001E-2</v>
      </c>
      <c r="O100" s="529">
        <v>5.2919999999999995E-2</v>
      </c>
      <c r="P100" s="288">
        <f t="shared" si="25"/>
        <v>0.54172528860028857</v>
      </c>
      <c r="Q100" s="30">
        <f t="shared" si="16"/>
        <v>35.753869047619048</v>
      </c>
      <c r="R100" s="30">
        <f t="shared" si="26"/>
        <v>30.246130952380952</v>
      </c>
      <c r="S100" s="107">
        <v>29.589523809523811</v>
      </c>
      <c r="T100" s="107">
        <v>58.083809523809521</v>
      </c>
      <c r="U100" s="107">
        <v>45.85958333333334</v>
      </c>
      <c r="V100" s="107">
        <v>9.4825595238095257</v>
      </c>
      <c r="W100" s="288">
        <f t="shared" si="27"/>
        <v>0.51411066547831274</v>
      </c>
      <c r="X100" s="289">
        <f t="shared" si="19"/>
        <v>33.931303921568642</v>
      </c>
      <c r="Y100" s="289">
        <f t="shared" si="20"/>
        <v>-1.8225651260504065</v>
      </c>
      <c r="Z100" s="107">
        <v>29.401686274509814</v>
      </c>
      <c r="AA100" s="107">
        <v>55.842000000000006</v>
      </c>
      <c r="AB100" s="107">
        <v>40.579333333333345</v>
      </c>
      <c r="AC100" s="107">
        <v>9.9021960784313752</v>
      </c>
      <c r="AD100" s="106">
        <v>3</v>
      </c>
      <c r="AE100" s="32" t="str">
        <f>IF(AD100=0,"",VLOOKUP(AD100,tab_tipo_expansao!$A$2:$B$4,2,0))</f>
        <v>não_considerar</v>
      </c>
      <c r="AF100" s="125">
        <v>2030</v>
      </c>
      <c r="AG100" s="125">
        <v>2100</v>
      </c>
      <c r="AH100" s="125">
        <v>30</v>
      </c>
      <c r="AI100" s="530">
        <v>546.69656203951365</v>
      </c>
      <c r="AJ100" s="24">
        <f>AK100/constantes!$B$4</f>
        <v>2123.918267441778</v>
      </c>
      <c r="AK100" s="33">
        <f t="shared" si="28"/>
        <v>8283.2812430229333</v>
      </c>
      <c r="AL100" s="87">
        <v>2</v>
      </c>
      <c r="AM100" s="531">
        <v>0</v>
      </c>
      <c r="AN100" s="23"/>
      <c r="AO100" s="532">
        <f t="shared" si="22"/>
        <v>546.69656203951365</v>
      </c>
      <c r="AQ100" s="35">
        <f t="shared" si="29"/>
        <v>8283.2812430229333</v>
      </c>
      <c r="AR100" s="36">
        <f ca="1">OFFSET(cod_desembolso!$A$1,AL100,23)</f>
        <v>1.1245293369208682</v>
      </c>
      <c r="AS100" s="37">
        <f ca="1">IF(AO100=0,0,AO100*(OFFSET(cod_desembolso!$A$1,AL100,23)))</f>
        <v>614.77632240721255</v>
      </c>
      <c r="AT100" s="38">
        <f>(constantes!$B$3*(1+constantes!$B$3)^(AH100))/((1+constantes!$B$3)^(AH100)-1)</f>
        <v>8.8827433387272267E-2</v>
      </c>
      <c r="AU100" s="37">
        <f t="shared" ca="1" si="24"/>
        <v>57.909002826698888</v>
      </c>
      <c r="AV100" s="37">
        <f ca="1">IF(AO100=0,AX100/constantes!$B$3,AU100/constantes!$B$3)</f>
        <v>723.8625353337361</v>
      </c>
      <c r="AW100" s="39">
        <f ca="1">IF(AO100=0,0,PV(constantes!$B$3,AH100,-AU100)*constantes!$B$3)</f>
        <v>52.154160595162651</v>
      </c>
      <c r="AX100" s="40">
        <f>constantes!$B$10*E100/1000</f>
        <v>3.3</v>
      </c>
      <c r="AY100" s="533">
        <f>constantes!$B$12</f>
        <v>0</v>
      </c>
      <c r="AZ100" s="20">
        <v>318</v>
      </c>
      <c r="BA100" s="43"/>
      <c r="BB100" s="3" t="s">
        <v>2181</v>
      </c>
      <c r="BD100" s="534">
        <v>1</v>
      </c>
      <c r="BE100" s="535">
        <v>2027</v>
      </c>
      <c r="BF100" s="536">
        <v>1</v>
      </c>
      <c r="BG100" s="537">
        <v>2027</v>
      </c>
    </row>
    <row r="101" spans="1:59" ht="14.45" customHeight="1">
      <c r="A101" s="125">
        <v>1100</v>
      </c>
      <c r="B101" s="125">
        <v>1100</v>
      </c>
      <c r="C101" s="538" t="s">
        <v>2332</v>
      </c>
      <c r="D101" s="538" t="s">
        <v>2332</v>
      </c>
      <c r="E101" s="526">
        <v>241.2</v>
      </c>
      <c r="F101" s="3" t="s">
        <v>2179</v>
      </c>
      <c r="G101" s="3" t="s">
        <v>2333</v>
      </c>
      <c r="H101" s="3">
        <v>-58.128953000000003</v>
      </c>
      <c r="I101" s="3">
        <v>-11.322917</v>
      </c>
      <c r="J101" s="539" t="s">
        <v>158</v>
      </c>
      <c r="K101" s="539" t="s">
        <v>158</v>
      </c>
      <c r="L101" s="554">
        <v>10</v>
      </c>
      <c r="M101" s="107"/>
      <c r="N101" s="529">
        <v>1.6379999999999999E-2</v>
      </c>
      <c r="O101" s="529">
        <v>6.1409999999999999E-2</v>
      </c>
      <c r="P101" s="288">
        <f t="shared" si="25"/>
        <v>0.4207663320303246</v>
      </c>
      <c r="Q101" s="30">
        <f t="shared" si="16"/>
        <v>101.48883928571429</v>
      </c>
      <c r="R101" s="30">
        <f t="shared" si="26"/>
        <v>139.71116071428571</v>
      </c>
      <c r="S101" s="107">
        <v>140.56285714285715</v>
      </c>
      <c r="T101" s="107">
        <v>117.53059523809524</v>
      </c>
      <c r="U101" s="107">
        <v>67.623750000000015</v>
      </c>
      <c r="V101" s="107">
        <v>80.238154761904767</v>
      </c>
      <c r="W101" s="288">
        <f t="shared" si="27"/>
        <v>0.38809274704906843</v>
      </c>
      <c r="X101" s="289">
        <f t="shared" si="19"/>
        <v>93.607970588235304</v>
      </c>
      <c r="Y101" s="289">
        <f t="shared" si="20"/>
        <v>-7.8808686974789879</v>
      </c>
      <c r="Z101" s="107">
        <v>129.47937254901964</v>
      </c>
      <c r="AA101" s="107">
        <v>103.46572549019611</v>
      </c>
      <c r="AB101" s="107">
        <v>63.775686274509788</v>
      </c>
      <c r="AC101" s="107">
        <v>77.711098039215699</v>
      </c>
      <c r="AD101" s="106">
        <v>3</v>
      </c>
      <c r="AE101" s="32" t="str">
        <f>IF(AD101=0,"",VLOOKUP(AD101,tab_tipo_expansao!$A$2:$B$4,2,0))</f>
        <v>não_considerar</v>
      </c>
      <c r="AF101" s="125">
        <v>2030</v>
      </c>
      <c r="AG101" s="125">
        <v>2100</v>
      </c>
      <c r="AH101" s="125">
        <v>30</v>
      </c>
      <c r="AI101" s="530">
        <v>3429.6022493210062</v>
      </c>
      <c r="AJ101" s="24">
        <f>AK101/constantes!$B$4</f>
        <v>3645.8755892769127</v>
      </c>
      <c r="AK101" s="33">
        <f t="shared" si="28"/>
        <v>14218.91479817996</v>
      </c>
      <c r="AL101" s="87">
        <v>2</v>
      </c>
      <c r="AM101" s="531">
        <v>0</v>
      </c>
      <c r="AN101" s="23"/>
      <c r="AO101" s="532">
        <f t="shared" si="22"/>
        <v>3429.6022493210062</v>
      </c>
      <c r="AQ101" s="35">
        <f t="shared" si="29"/>
        <v>14218.91479817996</v>
      </c>
      <c r="AR101" s="36">
        <f ca="1">OFFSET(cod_desembolso!$A$1,AL101,23)</f>
        <v>1.1245293369208682</v>
      </c>
      <c r="AS101" s="37">
        <f ca="1">IF(AO101=0,0,AO101*(OFFSET(cod_desembolso!$A$1,AL101,23)))</f>
        <v>3856.6883433312692</v>
      </c>
      <c r="AT101" s="38">
        <f>(constantes!$B$3*(1+constantes!$B$3)^(AH101))/((1+constantes!$B$3)^(AH101)-1)</f>
        <v>8.8827433387272267E-2</v>
      </c>
      <c r="AU101" s="37">
        <f t="shared" ca="1" si="24"/>
        <v>354.63972691272772</v>
      </c>
      <c r="AV101" s="37">
        <f ca="1">IF(AO101=0,AX101/constantes!$B$3,AU101/constantes!$B$3)</f>
        <v>4432.9965864090964</v>
      </c>
      <c r="AW101" s="39">
        <f ca="1">IF(AO101=0,0,PV(constantes!$B$3,AH101,-AU101)*constantes!$B$3)</f>
        <v>319.3965768359509</v>
      </c>
      <c r="AX101" s="40">
        <f>constantes!$B$10*E101/1000</f>
        <v>12.06</v>
      </c>
      <c r="AY101" s="533">
        <f>constantes!$B$12</f>
        <v>0</v>
      </c>
      <c r="AZ101" s="20">
        <v>318</v>
      </c>
      <c r="BA101" s="43"/>
      <c r="BB101" s="3" t="s">
        <v>2215</v>
      </c>
      <c r="BD101" s="534">
        <v>1</v>
      </c>
      <c r="BE101" s="535">
        <v>2035</v>
      </c>
      <c r="BF101" s="536">
        <v>3</v>
      </c>
      <c r="BG101" s="537">
        <v>2050</v>
      </c>
    </row>
    <row r="102" spans="1:59" ht="15">
      <c r="A102" s="125">
        <v>1101</v>
      </c>
      <c r="B102" s="125">
        <v>1101</v>
      </c>
      <c r="C102" s="538" t="s">
        <v>2334</v>
      </c>
      <c r="D102" s="538" t="s">
        <v>2334</v>
      </c>
      <c r="E102" s="526">
        <v>37.1</v>
      </c>
      <c r="F102" s="3" t="s">
        <v>2209</v>
      </c>
      <c r="G102" s="3" t="s">
        <v>2335</v>
      </c>
      <c r="H102" s="3">
        <v>-45.711328000000002</v>
      </c>
      <c r="I102" s="3">
        <v>-18.964921</v>
      </c>
      <c r="J102" s="539" t="s">
        <v>150</v>
      </c>
      <c r="K102" s="539" t="s">
        <v>150</v>
      </c>
      <c r="L102" s="554">
        <v>1</v>
      </c>
      <c r="M102" s="107"/>
      <c r="N102" s="529">
        <v>2.068E-2</v>
      </c>
      <c r="O102" s="529">
        <v>4.6600000000000003E-2</v>
      </c>
      <c r="P102" s="288">
        <f t="shared" si="25"/>
        <v>0.38648801501732771</v>
      </c>
      <c r="Q102" s="30">
        <f t="shared" si="16"/>
        <v>14.338705357142858</v>
      </c>
      <c r="R102" s="30">
        <f t="shared" si="26"/>
        <v>22.761294642857145</v>
      </c>
      <c r="S102" s="107">
        <v>14.304761904761904</v>
      </c>
      <c r="T102" s="107">
        <v>11.733571428571429</v>
      </c>
      <c r="U102" s="107">
        <v>16.490833333333331</v>
      </c>
      <c r="V102" s="107">
        <v>14.825654761904763</v>
      </c>
      <c r="W102" s="288">
        <f t="shared" si="27"/>
        <v>0.40237091062840236</v>
      </c>
      <c r="X102" s="289">
        <f t="shared" si="19"/>
        <v>14.927960784313727</v>
      </c>
      <c r="Y102" s="289">
        <f t="shared" si="20"/>
        <v>0.58925542717086898</v>
      </c>
      <c r="Z102" s="107">
        <v>21.450117647058828</v>
      </c>
      <c r="AA102" s="107">
        <v>9.6152156862745102</v>
      </c>
      <c r="AB102" s="107">
        <v>12.953333333333333</v>
      </c>
      <c r="AC102" s="107">
        <v>15.693176470588236</v>
      </c>
      <c r="AD102" s="106">
        <v>1</v>
      </c>
      <c r="AE102" s="32" t="str">
        <f>IF(AD102=0,"",VLOOKUP(AD102,tab_tipo_expansao!$A$2:$B$4,2,0))</f>
        <v>opcional</v>
      </c>
      <c r="AF102" s="125">
        <v>2028</v>
      </c>
      <c r="AG102" s="125">
        <v>2100</v>
      </c>
      <c r="AH102" s="125">
        <v>30</v>
      </c>
      <c r="AI102" s="530">
        <v>469.35976325244377</v>
      </c>
      <c r="AJ102" s="24">
        <f>AK102/constantes!$B$4</f>
        <v>3243.8991170947802</v>
      </c>
      <c r="AK102" s="33">
        <f t="shared" si="28"/>
        <v>12651.206556669642</v>
      </c>
      <c r="AL102" s="87">
        <v>2</v>
      </c>
      <c r="AM102" s="531">
        <v>0</v>
      </c>
      <c r="AN102" s="23"/>
      <c r="AO102" s="532">
        <f t="shared" si="22"/>
        <v>469.35976325244377</v>
      </c>
      <c r="AQ102" s="35">
        <f t="shared" si="29"/>
        <v>12651.206556669642</v>
      </c>
      <c r="AR102" s="36">
        <f ca="1">OFFSET(cod_desembolso!$A$1,AL102,23)</f>
        <v>1.1245293369208682</v>
      </c>
      <c r="AS102" s="37">
        <f ca="1">IF(AO102=0,0,AO102*(OFFSET(cod_desembolso!$A$1,AL102,23)))</f>
        <v>527.80882334760622</v>
      </c>
      <c r="AT102" s="38">
        <f>(constantes!$B$3*(1+constantes!$B$3)^(AH102))/((1+constantes!$B$3)^(AH102)-1)</f>
        <v>8.8827433387272267E-2</v>
      </c>
      <c r="AU102" s="37">
        <f t="shared" ca="1" si="24"/>
        <v>48.738903097124044</v>
      </c>
      <c r="AV102" s="37">
        <f ca="1">IF(AO102=0,AX102/constantes!$B$3,AU102/constantes!$B$3)</f>
        <v>609.23628871405049</v>
      </c>
      <c r="AW102" s="39">
        <f ca="1">IF(AO102=0,0,PV(constantes!$B$3,AH102,-AU102)*constantes!$B$3)</f>
        <v>43.895360915928613</v>
      </c>
      <c r="AX102" s="40">
        <f>constantes!$B$10*E102/1000</f>
        <v>1.855</v>
      </c>
      <c r="AY102" s="533">
        <f>constantes!$B$12</f>
        <v>0</v>
      </c>
      <c r="AZ102" s="20">
        <v>318</v>
      </c>
      <c r="BA102" s="43"/>
      <c r="BB102" s="3" t="s">
        <v>2195</v>
      </c>
      <c r="BD102" s="534">
        <v>1</v>
      </c>
      <c r="BE102" s="535">
        <v>2027</v>
      </c>
      <c r="BF102" s="536">
        <v>1</v>
      </c>
      <c r="BG102" s="537">
        <v>2027</v>
      </c>
    </row>
    <row r="103" spans="1:59" ht="15">
      <c r="A103" s="125">
        <v>1102</v>
      </c>
      <c r="B103" s="125">
        <v>1102</v>
      </c>
      <c r="C103" s="538" t="s">
        <v>2336</v>
      </c>
      <c r="D103" s="538" t="s">
        <v>2336</v>
      </c>
      <c r="E103" s="526">
        <v>36</v>
      </c>
      <c r="F103" s="3" t="s">
        <v>2197</v>
      </c>
      <c r="G103" s="3" t="s">
        <v>2337</v>
      </c>
      <c r="H103" s="3">
        <v>-48.820276999999997</v>
      </c>
      <c r="I103" s="3">
        <v>-14.680557</v>
      </c>
      <c r="J103" s="539" t="s">
        <v>2003</v>
      </c>
      <c r="K103" s="539" t="s">
        <v>2003</v>
      </c>
      <c r="L103" s="554">
        <v>1</v>
      </c>
      <c r="M103" s="107"/>
      <c r="N103" s="529">
        <v>2.068E-2</v>
      </c>
      <c r="O103" s="529">
        <v>4.6600000000000003E-2</v>
      </c>
      <c r="P103" s="288">
        <f t="shared" si="25"/>
        <v>0.73053778108465606</v>
      </c>
      <c r="Q103" s="30">
        <f t="shared" si="16"/>
        <v>26.29936011904762</v>
      </c>
      <c r="R103" s="30">
        <f t="shared" si="26"/>
        <v>9.7006398809523802</v>
      </c>
      <c r="S103" s="107">
        <v>30.50809523809524</v>
      </c>
      <c r="T103" s="107">
        <v>22.025059523809528</v>
      </c>
      <c r="U103" s="107">
        <v>23.251249999999999</v>
      </c>
      <c r="V103" s="107">
        <v>29.413035714285712</v>
      </c>
      <c r="W103" s="288">
        <f t="shared" si="27"/>
        <v>0.75637418300653581</v>
      </c>
      <c r="X103" s="289">
        <f t="shared" si="19"/>
        <v>27.229470588235291</v>
      </c>
      <c r="Y103" s="289">
        <f t="shared" si="20"/>
        <v>0.93011046918767093</v>
      </c>
      <c r="Z103" s="107">
        <v>31.359607843137251</v>
      </c>
      <c r="AA103" s="107">
        <v>24.343411764705881</v>
      </c>
      <c r="AB103" s="107">
        <v>24.023058823529407</v>
      </c>
      <c r="AC103" s="107">
        <v>29.191803921568624</v>
      </c>
      <c r="AD103" s="106">
        <v>3</v>
      </c>
      <c r="AE103" s="32" t="str">
        <f>IF(AD103=0,"",VLOOKUP(AD103,tab_tipo_expansao!$A$2:$B$4,2,0))</f>
        <v>não_considerar</v>
      </c>
      <c r="AF103" s="125">
        <v>2030</v>
      </c>
      <c r="AG103" s="125">
        <v>2100</v>
      </c>
      <c r="AH103" s="125">
        <v>30</v>
      </c>
      <c r="AI103" s="530">
        <v>360</v>
      </c>
      <c r="AJ103" s="24">
        <f>AK103/constantes!$B$4</f>
        <v>2564.102564102564</v>
      </c>
      <c r="AK103" s="33">
        <f t="shared" si="28"/>
        <v>10000</v>
      </c>
      <c r="AL103" s="87">
        <v>2</v>
      </c>
      <c r="AM103" s="531">
        <v>0</v>
      </c>
      <c r="AN103" s="23"/>
      <c r="AO103" s="532">
        <f t="shared" si="22"/>
        <v>360</v>
      </c>
      <c r="AQ103" s="35">
        <f t="shared" si="29"/>
        <v>10000</v>
      </c>
      <c r="AR103" s="36">
        <f ca="1">OFFSET(cod_desembolso!$A$1,AL103,23)</f>
        <v>1.1245293369208682</v>
      </c>
      <c r="AS103" s="37">
        <f ca="1">IF(AO103=0,0,AO103*(OFFSET(cod_desembolso!$A$1,AL103,23)))</f>
        <v>404.83056129151254</v>
      </c>
      <c r="AT103" s="38">
        <f>(constantes!$B$3*(1+constantes!$B$3)^(AH103))/((1+constantes!$B$3)^(AH103)-1)</f>
        <v>8.8827433387272267E-2</v>
      </c>
      <c r="AU103" s="37">
        <f t="shared" ca="1" si="24"/>
        <v>37.76005971625387</v>
      </c>
      <c r="AV103" s="37">
        <f ca="1">IF(AO103=0,AX103/constantes!$B$3,AU103/constantes!$B$3)</f>
        <v>472.00074645317335</v>
      </c>
      <c r="AW103" s="39">
        <f ca="1">IF(AO103=0,0,PV(constantes!$B$3,AH103,-AU103)*constantes!$B$3)</f>
        <v>34.007565704731356</v>
      </c>
      <c r="AX103" s="40">
        <f>constantes!$B$10*E103/1000</f>
        <v>1.8</v>
      </c>
      <c r="AY103" s="533">
        <f>constantes!$B$12</f>
        <v>0</v>
      </c>
      <c r="AZ103" s="20">
        <v>318</v>
      </c>
      <c r="BA103" s="43"/>
      <c r="BB103" s="3" t="s">
        <v>2215</v>
      </c>
      <c r="BD103" s="534">
        <v>1</v>
      </c>
      <c r="BE103" s="535">
        <v>2035</v>
      </c>
      <c r="BF103" s="536">
        <v>3</v>
      </c>
      <c r="BG103" s="537">
        <v>2050</v>
      </c>
    </row>
    <row r="104" spans="1:59" ht="15">
      <c r="A104" s="125">
        <v>1103</v>
      </c>
      <c r="B104" s="125">
        <v>1103</v>
      </c>
      <c r="C104" s="538" t="s">
        <v>2338</v>
      </c>
      <c r="D104" s="538" t="s">
        <v>2338</v>
      </c>
      <c r="E104" s="526">
        <v>46.8</v>
      </c>
      <c r="F104" s="3" t="s">
        <v>2194</v>
      </c>
      <c r="G104" s="3" t="s">
        <v>2339</v>
      </c>
      <c r="H104" s="3">
        <v>-51.619371999999998</v>
      </c>
      <c r="I104" s="3">
        <v>-24.047984</v>
      </c>
      <c r="J104" s="539" t="s">
        <v>151</v>
      </c>
      <c r="K104" s="539" t="s">
        <v>151</v>
      </c>
      <c r="L104" s="554">
        <v>2</v>
      </c>
      <c r="M104" s="107"/>
      <c r="N104" s="529">
        <v>2.068E-2</v>
      </c>
      <c r="O104" s="529">
        <v>4.6600000000000003E-2</v>
      </c>
      <c r="P104" s="288">
        <f t="shared" si="25"/>
        <v>0.56577953296703298</v>
      </c>
      <c r="Q104" s="30">
        <f t="shared" si="16"/>
        <v>26.478482142857143</v>
      </c>
      <c r="R104" s="30">
        <f t="shared" si="26"/>
        <v>20.321517857142855</v>
      </c>
      <c r="S104" s="107">
        <v>27.841428571428565</v>
      </c>
      <c r="T104" s="107">
        <v>26.957857142857147</v>
      </c>
      <c r="U104" s="107">
        <v>23.168333333333333</v>
      </c>
      <c r="V104" s="107">
        <v>27.946309523809521</v>
      </c>
      <c r="W104" s="288">
        <f t="shared" si="27"/>
        <v>0.65399300318417963</v>
      </c>
      <c r="X104" s="289">
        <f t="shared" si="19"/>
        <v>30.606872549019606</v>
      </c>
      <c r="Y104" s="289">
        <f t="shared" si="20"/>
        <v>4.1283904061624632</v>
      </c>
      <c r="Z104" s="107">
        <v>33.039372549019596</v>
      </c>
      <c r="AA104" s="107">
        <v>27.561803921568625</v>
      </c>
      <c r="AB104" s="107">
        <v>28.956313725490194</v>
      </c>
      <c r="AC104" s="107">
        <v>32.869999999999997</v>
      </c>
      <c r="AD104" s="106">
        <v>1</v>
      </c>
      <c r="AE104" s="32" t="str">
        <f>IF(AD104=0,"",VLOOKUP(AD104,tab_tipo_expansao!$A$2:$B$4,2,0))</f>
        <v>opcional</v>
      </c>
      <c r="AF104" s="125">
        <v>2028</v>
      </c>
      <c r="AG104" s="125">
        <v>2100</v>
      </c>
      <c r="AH104" s="125">
        <v>30</v>
      </c>
      <c r="AI104" s="530">
        <v>459.80002795178706</v>
      </c>
      <c r="AJ104" s="24">
        <f>AK104/constantes!$B$4</f>
        <v>2519.1761338581364</v>
      </c>
      <c r="AK104" s="33">
        <f t="shared" si="28"/>
        <v>9824.786922046731</v>
      </c>
      <c r="AL104" s="87">
        <v>2</v>
      </c>
      <c r="AM104" s="531">
        <v>0</v>
      </c>
      <c r="AN104" s="23"/>
      <c r="AO104" s="532">
        <f t="shared" si="22"/>
        <v>459.80002795178706</v>
      </c>
      <c r="AQ104" s="35">
        <f t="shared" si="29"/>
        <v>9824.7869220467328</v>
      </c>
      <c r="AR104" s="36">
        <f ca="1">OFFSET(cod_desembolso!$A$1,AL104,23)</f>
        <v>1.1245293369208682</v>
      </c>
      <c r="AS104" s="37">
        <f ca="1">IF(AO104=0,0,AO104*(OFFSET(cod_desembolso!$A$1,AL104,23)))</f>
        <v>517.05862054881982</v>
      </c>
      <c r="AT104" s="38">
        <f>(constantes!$B$3*(1+constantes!$B$3)^(AH104))/((1+constantes!$B$3)^(AH104)-1)</f>
        <v>8.8827433387272267E-2</v>
      </c>
      <c r="AU104" s="37">
        <f t="shared" ca="1" si="24"/>
        <v>48.268990174115174</v>
      </c>
      <c r="AV104" s="37">
        <f ca="1">IF(AO104=0,AX104/constantes!$B$3,AU104/constantes!$B$3)</f>
        <v>603.36237717643962</v>
      </c>
      <c r="AW104" s="39">
        <f ca="1">IF(AO104=0,0,PV(constantes!$B$3,AH104,-AU104)*constantes!$B$3)</f>
        <v>43.472146685739048</v>
      </c>
      <c r="AX104" s="40">
        <f>constantes!$B$10*E104/1000</f>
        <v>2.34</v>
      </c>
      <c r="AY104" s="533">
        <f>constantes!$B$12</f>
        <v>0</v>
      </c>
      <c r="AZ104" s="20">
        <v>318</v>
      </c>
      <c r="BA104" s="43"/>
      <c r="BB104" s="3" t="s">
        <v>2195</v>
      </c>
      <c r="BD104" s="534">
        <v>1</v>
      </c>
      <c r="BE104" s="535">
        <v>2027</v>
      </c>
      <c r="BF104" s="536">
        <v>1</v>
      </c>
      <c r="BG104" s="537">
        <v>2027</v>
      </c>
    </row>
    <row r="105" spans="1:59" ht="15">
      <c r="A105" s="125">
        <v>1104</v>
      </c>
      <c r="B105" s="125">
        <v>1104</v>
      </c>
      <c r="C105" s="538" t="s">
        <v>2340</v>
      </c>
      <c r="D105" s="538" t="s">
        <v>2340</v>
      </c>
      <c r="E105" s="526">
        <v>142</v>
      </c>
      <c r="F105" s="3" t="s">
        <v>2194</v>
      </c>
      <c r="G105" s="3" t="s">
        <v>2076</v>
      </c>
      <c r="H105" s="3">
        <v>-50.982348999999999</v>
      </c>
      <c r="I105" s="3">
        <v>-23.328268999999999</v>
      </c>
      <c r="J105" s="539" t="s">
        <v>151</v>
      </c>
      <c r="K105" s="539" t="s">
        <v>151</v>
      </c>
      <c r="L105" s="554">
        <v>2</v>
      </c>
      <c r="M105" s="107"/>
      <c r="N105" s="529">
        <v>1.6379999999999999E-2</v>
      </c>
      <c r="O105" s="529">
        <v>6.1409999999999999E-2</v>
      </c>
      <c r="P105" s="288">
        <f t="shared" si="25"/>
        <v>0.55127818997317235</v>
      </c>
      <c r="Q105" s="30">
        <f t="shared" si="16"/>
        <v>78.281502976190467</v>
      </c>
      <c r="R105" s="30">
        <f t="shared" si="26"/>
        <v>63.718497023809533</v>
      </c>
      <c r="S105" s="107">
        <v>73.271428571428558</v>
      </c>
      <c r="T105" s="107">
        <v>71.209285714285727</v>
      </c>
      <c r="U105" s="107">
        <v>78.861666666666665</v>
      </c>
      <c r="V105" s="107">
        <v>89.783630952380932</v>
      </c>
      <c r="W105" s="288">
        <f t="shared" si="27"/>
        <v>0.67696499585749781</v>
      </c>
      <c r="X105" s="289">
        <f t="shared" si="19"/>
        <v>96.129029411764691</v>
      </c>
      <c r="Y105" s="289">
        <f t="shared" si="20"/>
        <v>17.847526435574224</v>
      </c>
      <c r="Z105" s="107">
        <v>103.81121568627452</v>
      </c>
      <c r="AA105" s="107">
        <v>84.898313725490183</v>
      </c>
      <c r="AB105" s="107">
        <v>93.679450980392133</v>
      </c>
      <c r="AC105" s="107">
        <v>102.12713725490194</v>
      </c>
      <c r="AD105" s="106">
        <v>1</v>
      </c>
      <c r="AE105" s="32" t="str">
        <f>IF(AD105=0,"",VLOOKUP(AD105,tab_tipo_expansao!$A$2:$B$4,2,0))</f>
        <v>opcional</v>
      </c>
      <c r="AF105" s="125">
        <v>2028</v>
      </c>
      <c r="AG105" s="125">
        <v>2100</v>
      </c>
      <c r="AH105" s="125">
        <v>30</v>
      </c>
      <c r="AI105" s="530">
        <v>1475.9395837929367</v>
      </c>
      <c r="AJ105" s="24">
        <f>AK105/constantes!$B$4</f>
        <v>2665.1130079323525</v>
      </c>
      <c r="AK105" s="33">
        <f t="shared" si="28"/>
        <v>10393.940730936174</v>
      </c>
      <c r="AL105" s="87">
        <v>2</v>
      </c>
      <c r="AM105" s="531">
        <v>0</v>
      </c>
      <c r="AN105" s="23"/>
      <c r="AO105" s="532">
        <f t="shared" si="22"/>
        <v>1475.9395837929367</v>
      </c>
      <c r="AQ105" s="35">
        <f t="shared" si="29"/>
        <v>10393.940730936174</v>
      </c>
      <c r="AR105" s="36">
        <f ca="1">OFFSET(cod_desembolso!$A$1,AL105,23)</f>
        <v>1.1245293369208682</v>
      </c>
      <c r="AS105" s="37">
        <f ca="1">IF(AO105=0,0,AO105*(OFFSET(cod_desembolso!$A$1,AL105,23)))</f>
        <v>1659.7373614979333</v>
      </c>
      <c r="AT105" s="38">
        <f>(constantes!$B$3*(1+constantes!$B$3)^(AH105))/((1+constantes!$B$3)^(AH105)-1)</f>
        <v>8.8827433387272267E-2</v>
      </c>
      <c r="AU105" s="37">
        <f t="shared" ca="1" si="24"/>
        <v>154.53020991882468</v>
      </c>
      <c r="AV105" s="37">
        <f ca="1">IF(AO105=0,AX105/constantes!$B$3,AU105/constantes!$B$3)</f>
        <v>1931.6276239853084</v>
      </c>
      <c r="AW105" s="39">
        <f ca="1">IF(AO105=0,0,PV(constantes!$B$3,AH105,-AU105)*constantes!$B$3)</f>
        <v>139.17340985873105</v>
      </c>
      <c r="AX105" s="40">
        <f>constantes!$B$10*E105/1000</f>
        <v>7.1</v>
      </c>
      <c r="AY105" s="533">
        <f>constantes!$B$12</f>
        <v>0</v>
      </c>
      <c r="AZ105" s="20">
        <v>318</v>
      </c>
      <c r="BA105" s="43"/>
      <c r="BB105" s="3" t="s">
        <v>2195</v>
      </c>
      <c r="BD105" s="534">
        <v>1</v>
      </c>
      <c r="BE105" s="535">
        <v>2027</v>
      </c>
      <c r="BF105" s="536">
        <v>1</v>
      </c>
      <c r="BG105" s="537">
        <v>2027</v>
      </c>
    </row>
    <row r="106" spans="1:59" ht="14.45" customHeight="1">
      <c r="A106" s="125">
        <v>1105</v>
      </c>
      <c r="B106" s="125">
        <v>1105</v>
      </c>
      <c r="C106" s="538" t="s">
        <v>2341</v>
      </c>
      <c r="D106" s="538" t="s">
        <v>2341</v>
      </c>
      <c r="E106" s="526">
        <v>102.81</v>
      </c>
      <c r="F106" s="3" t="s">
        <v>2204</v>
      </c>
      <c r="G106" s="3" t="s">
        <v>2205</v>
      </c>
      <c r="H106" s="3">
        <v>-40.299948999999998</v>
      </c>
      <c r="I106" s="3">
        <v>-16.134338</v>
      </c>
      <c r="J106" s="539" t="s">
        <v>150</v>
      </c>
      <c r="K106" s="539" t="s">
        <v>150</v>
      </c>
      <c r="L106" s="554">
        <v>1</v>
      </c>
      <c r="M106" s="107"/>
      <c r="N106" s="529">
        <v>1.9820000000000001E-2</v>
      </c>
      <c r="O106" s="529">
        <v>5.2919999999999995E-2</v>
      </c>
      <c r="P106" s="288">
        <f t="shared" si="25"/>
        <v>0.48763582614253759</v>
      </c>
      <c r="Q106" s="30">
        <f t="shared" si="16"/>
        <v>50.133839285714288</v>
      </c>
      <c r="R106" s="30">
        <f t="shared" si="26"/>
        <v>52.676160714285714</v>
      </c>
      <c r="S106" s="107">
        <v>35.064761904761909</v>
      </c>
      <c r="T106" s="107">
        <v>30.178630952380946</v>
      </c>
      <c r="U106" s="107">
        <v>65.874166666666667</v>
      </c>
      <c r="V106" s="107">
        <v>69.417797619047619</v>
      </c>
      <c r="W106" s="288">
        <f t="shared" si="27"/>
        <v>0.49697633746621894</v>
      </c>
      <c r="X106" s="289">
        <f t="shared" si="19"/>
        <v>51.094137254901973</v>
      </c>
      <c r="Y106" s="289">
        <f t="shared" si="20"/>
        <v>0.9602979691876854</v>
      </c>
      <c r="Z106" s="107">
        <v>58.040196078431372</v>
      </c>
      <c r="AA106" s="107">
        <v>34.596745098039221</v>
      </c>
      <c r="AB106" s="107">
        <v>51.895215686274518</v>
      </c>
      <c r="AC106" s="107">
        <v>59.84439215686276</v>
      </c>
      <c r="AD106" s="106">
        <v>3</v>
      </c>
      <c r="AE106" s="32" t="str">
        <f>IF(AD106=0,"",VLOOKUP(AD106,tab_tipo_expansao!$A$2:$B$4,2,0))</f>
        <v>não_considerar</v>
      </c>
      <c r="AF106" s="125">
        <v>2030</v>
      </c>
      <c r="AG106" s="125">
        <v>2100</v>
      </c>
      <c r="AH106" s="125">
        <v>30</v>
      </c>
      <c r="AI106" s="530">
        <v>1690.9853671985097</v>
      </c>
      <c r="AJ106" s="24">
        <f>AK106/constantes!$B$4</f>
        <v>4217.3523158190983</v>
      </c>
      <c r="AK106" s="33">
        <f t="shared" si="28"/>
        <v>16447.674031694482</v>
      </c>
      <c r="AL106" s="87">
        <v>2</v>
      </c>
      <c r="AM106" s="531">
        <v>0</v>
      </c>
      <c r="AN106" s="23"/>
      <c r="AO106" s="532">
        <f t="shared" si="22"/>
        <v>1690.9853671985097</v>
      </c>
      <c r="AQ106" s="35">
        <f t="shared" si="29"/>
        <v>16447.674031694482</v>
      </c>
      <c r="AR106" s="36">
        <f ca="1">OFFSET(cod_desembolso!$A$1,AL106,23)</f>
        <v>1.1245293369208682</v>
      </c>
      <c r="AS106" s="37">
        <f ca="1">IF(AO106=0,0,AO106*(OFFSET(cod_desembolso!$A$1,AL106,23)))</f>
        <v>1901.5626537186311</v>
      </c>
      <c r="AT106" s="38">
        <f>(constantes!$B$3*(1+constantes!$B$3)^(AH106))/((1+constantes!$B$3)^(AH106)-1)</f>
        <v>8.8827433387272267E-2</v>
      </c>
      <c r="AU106" s="37">
        <f t="shared" ca="1" si="24"/>
        <v>174.05142995491639</v>
      </c>
      <c r="AV106" s="37">
        <f ca="1">IF(AO106=0,AX106/constantes!$B$3,AU106/constantes!$B$3)</f>
        <v>2175.6428744364548</v>
      </c>
      <c r="AW106" s="39">
        <f ca="1">IF(AO106=0,0,PV(constantes!$B$3,AH106,-AU106)*constantes!$B$3)</f>
        <v>156.75466311951823</v>
      </c>
      <c r="AX106" s="40">
        <f>constantes!$B$10*E106/1000</f>
        <v>5.1405000000000003</v>
      </c>
      <c r="AY106" s="533">
        <f>constantes!$B$12</f>
        <v>0</v>
      </c>
      <c r="AZ106" s="20">
        <v>318</v>
      </c>
      <c r="BA106" s="43"/>
      <c r="BB106" s="3" t="s">
        <v>2215</v>
      </c>
      <c r="BD106" s="534">
        <v>1</v>
      </c>
      <c r="BE106" s="535">
        <v>2035</v>
      </c>
      <c r="BF106" s="536">
        <v>3</v>
      </c>
      <c r="BG106" s="537">
        <v>2050</v>
      </c>
    </row>
    <row r="107" spans="1:59" ht="15">
      <c r="A107" s="125">
        <v>1106</v>
      </c>
      <c r="B107" s="125">
        <v>1106</v>
      </c>
      <c r="C107" s="538" t="s">
        <v>2342</v>
      </c>
      <c r="D107" s="538" t="s">
        <v>2342</v>
      </c>
      <c r="E107" s="526">
        <v>53</v>
      </c>
      <c r="F107" s="3" t="s">
        <v>2179</v>
      </c>
      <c r="G107" s="3" t="s">
        <v>2152</v>
      </c>
      <c r="H107" s="3">
        <v>-55.264957000000003</v>
      </c>
      <c r="I107" s="3">
        <v>-13.576389000000001</v>
      </c>
      <c r="J107" s="539" t="s">
        <v>158</v>
      </c>
      <c r="K107" s="539" t="s">
        <v>158</v>
      </c>
      <c r="L107" s="554">
        <v>10</v>
      </c>
      <c r="M107" s="107"/>
      <c r="N107" s="529">
        <v>2.068E-2</v>
      </c>
      <c r="O107" s="529">
        <v>4.6600000000000003E-2</v>
      </c>
      <c r="P107" s="288">
        <f t="shared" si="25"/>
        <v>0.57763982479784359</v>
      </c>
      <c r="Q107" s="30">
        <f t="shared" si="16"/>
        <v>30.614910714285713</v>
      </c>
      <c r="R107" s="30">
        <f t="shared" si="26"/>
        <v>22.385089285714287</v>
      </c>
      <c r="S107" s="107">
        <v>46.404761904761905</v>
      </c>
      <c r="T107" s="107">
        <v>39.669345238095239</v>
      </c>
      <c r="U107" s="107">
        <v>11.758749999999999</v>
      </c>
      <c r="V107" s="107">
        <v>24.626785714285717</v>
      </c>
      <c r="W107" s="288">
        <f t="shared" si="27"/>
        <v>0.56579874213836434</v>
      </c>
      <c r="X107" s="289">
        <f t="shared" si="19"/>
        <v>29.987333333333311</v>
      </c>
      <c r="Y107" s="289">
        <f t="shared" si="20"/>
        <v>-0.62757738095240256</v>
      </c>
      <c r="Z107" s="107">
        <v>46.266470588235222</v>
      </c>
      <c r="AA107" s="107">
        <v>34.195019607843129</v>
      </c>
      <c r="AB107" s="107">
        <v>11.58098039215686</v>
      </c>
      <c r="AC107" s="107">
        <v>27.906862745098021</v>
      </c>
      <c r="AD107" s="106">
        <v>3</v>
      </c>
      <c r="AE107" s="32" t="str">
        <f>IF(AD107=0,"",VLOOKUP(AD107,tab_tipo_expansao!$A$2:$B$4,2,0))</f>
        <v>não_considerar</v>
      </c>
      <c r="AF107" s="125">
        <v>2030</v>
      </c>
      <c r="AG107" s="125">
        <v>2100</v>
      </c>
      <c r="AH107" s="125">
        <v>30</v>
      </c>
      <c r="AI107" s="530">
        <v>470.62370480673081</v>
      </c>
      <c r="AJ107" s="24">
        <f>AK107/constantes!$B$4</f>
        <v>2276.8442419290313</v>
      </c>
      <c r="AK107" s="33">
        <f t="shared" si="28"/>
        <v>8879.6925435232224</v>
      </c>
      <c r="AL107" s="87">
        <v>2</v>
      </c>
      <c r="AM107" s="531">
        <v>0</v>
      </c>
      <c r="AN107" s="23"/>
      <c r="AO107" s="532">
        <f t="shared" si="22"/>
        <v>470.62370480673081</v>
      </c>
      <c r="AQ107" s="35">
        <f t="shared" si="29"/>
        <v>8879.6925435232224</v>
      </c>
      <c r="AR107" s="36">
        <f ca="1">OFFSET(cod_desembolso!$A$1,AL107,23)</f>
        <v>1.1245293369208682</v>
      </c>
      <c r="AS107" s="37">
        <f ca="1">IF(AO107=0,0,AO107*(OFFSET(cod_desembolso!$A$1,AL107,23)))</f>
        <v>529.23016270555547</v>
      </c>
      <c r="AT107" s="38">
        <f>(constantes!$B$3*(1+constantes!$B$3)^(AH107))/((1+constantes!$B$3)^(AH107)-1)</f>
        <v>8.8827433387272267E-2</v>
      </c>
      <c r="AU107" s="37">
        <f t="shared" ca="1" si="24"/>
        <v>49.660157024262993</v>
      </c>
      <c r="AV107" s="37">
        <f ca="1">IF(AO107=0,AX107/constantes!$B$3,AU107/constantes!$B$3)</f>
        <v>620.75196280328737</v>
      </c>
      <c r="AW107" s="39">
        <f ca="1">IF(AO107=0,0,PV(constantes!$B$3,AH107,-AU107)*constantes!$B$3)</f>
        <v>44.725063085187465</v>
      </c>
      <c r="AX107" s="40">
        <f>constantes!$B$10*E107/1000</f>
        <v>2.65</v>
      </c>
      <c r="AY107" s="533">
        <f>constantes!$B$12</f>
        <v>0</v>
      </c>
      <c r="AZ107" s="20">
        <v>318</v>
      </c>
      <c r="BA107" s="43"/>
      <c r="BB107" s="3" t="s">
        <v>2181</v>
      </c>
      <c r="BD107" s="534">
        <v>1</v>
      </c>
      <c r="BE107" s="535">
        <v>2027</v>
      </c>
      <c r="BF107" s="536">
        <v>1</v>
      </c>
      <c r="BG107" s="537">
        <v>2027</v>
      </c>
    </row>
    <row r="108" spans="1:59" ht="15">
      <c r="A108" s="125">
        <v>1107</v>
      </c>
      <c r="B108" s="125">
        <v>1107</v>
      </c>
      <c r="C108" s="538" t="s">
        <v>2343</v>
      </c>
      <c r="D108" s="538" t="s">
        <v>2343</v>
      </c>
      <c r="E108" s="526">
        <v>1850</v>
      </c>
      <c r="F108" s="3" t="s">
        <v>2197</v>
      </c>
      <c r="G108" s="3" t="s">
        <v>2316</v>
      </c>
      <c r="H108" s="3">
        <v>-49.036639000000001</v>
      </c>
      <c r="I108" s="3">
        <v>-5.3251819999999999</v>
      </c>
      <c r="J108" s="539" t="s">
        <v>153</v>
      </c>
      <c r="K108" s="539" t="s">
        <v>153</v>
      </c>
      <c r="L108" s="554">
        <v>4</v>
      </c>
      <c r="M108" s="107"/>
      <c r="N108" s="529">
        <v>1.6379999999999999E-2</v>
      </c>
      <c r="O108" s="529">
        <v>6.1409999999999999E-2</v>
      </c>
      <c r="P108" s="288">
        <f t="shared" si="25"/>
        <v>0.56283653474903483</v>
      </c>
      <c r="Q108" s="30">
        <f t="shared" si="16"/>
        <v>1041.2475892857144</v>
      </c>
      <c r="R108" s="30">
        <f t="shared" si="26"/>
        <v>808.75241071428559</v>
      </c>
      <c r="S108" s="107">
        <v>1487.8661904761905</v>
      </c>
      <c r="T108" s="107">
        <v>1415.1289880952384</v>
      </c>
      <c r="U108" s="107">
        <v>579.72500000000002</v>
      </c>
      <c r="V108" s="107">
        <v>682.27017857142857</v>
      </c>
      <c r="W108" s="288">
        <f t="shared" si="27"/>
        <v>0.61817976682564912</v>
      </c>
      <c r="X108" s="289">
        <f t="shared" si="19"/>
        <v>1143.6325686274508</v>
      </c>
      <c r="Y108" s="289">
        <f t="shared" si="20"/>
        <v>102.38497934173643</v>
      </c>
      <c r="Z108" s="107">
        <v>1661.5771372549013</v>
      </c>
      <c r="AA108" s="107">
        <v>1487.1431372549014</v>
      </c>
      <c r="AB108" s="107">
        <v>609.27156862745107</v>
      </c>
      <c r="AC108" s="107">
        <v>816.53843137254898</v>
      </c>
      <c r="AD108" s="106">
        <v>3</v>
      </c>
      <c r="AE108" s="32" t="str">
        <f>IF(AD108=0,"",VLOOKUP(AD108,tab_tipo_expansao!$A$2:$B$4,2,0))</f>
        <v>não_considerar</v>
      </c>
      <c r="AF108" s="125">
        <v>2030</v>
      </c>
      <c r="AG108" s="125">
        <v>2100</v>
      </c>
      <c r="AH108" s="125">
        <v>30</v>
      </c>
      <c r="AI108" s="530">
        <v>15723.350134482474</v>
      </c>
      <c r="AJ108" s="24">
        <f>AK108/constantes!$B$4</f>
        <v>2179.2585078977791</v>
      </c>
      <c r="AK108" s="33">
        <f t="shared" si="28"/>
        <v>8499.1081808013387</v>
      </c>
      <c r="AL108" s="87">
        <v>4</v>
      </c>
      <c r="AM108" s="531">
        <v>0</v>
      </c>
      <c r="AN108" s="23"/>
      <c r="AO108" s="532">
        <f t="shared" si="22"/>
        <v>15723.350134482474</v>
      </c>
      <c r="AQ108" s="35">
        <f t="shared" si="29"/>
        <v>8499.1081808013387</v>
      </c>
      <c r="AR108" s="36">
        <f ca="1">OFFSET(cod_desembolso!$A$1,AL108,23)</f>
        <v>1.103153897336226</v>
      </c>
      <c r="AS108" s="37">
        <f ca="1">IF(AO108=0,0,AO108*(OFFSET(cod_desembolso!$A$1,AL108,23)))</f>
        <v>17345.274980036414</v>
      </c>
      <c r="AT108" s="38">
        <f>(constantes!$B$3*(1+constantes!$B$3)^(AH108))/((1+constantes!$B$3)^(AH108)-1)</f>
        <v>8.8827433387272267E-2</v>
      </c>
      <c r="AU108" s="37">
        <f t="shared" ca="1" si="24"/>
        <v>1633.2362578731049</v>
      </c>
      <c r="AV108" s="37">
        <f ca="1">IF(AO108=0,AX108/constantes!$B$3,AU108/constantes!$B$3)</f>
        <v>20415.45322341381</v>
      </c>
      <c r="AW108" s="39">
        <f ca="1">IF(AO108=0,0,PV(constantes!$B$3,AH108,-AU108)*constantes!$B$3)</f>
        <v>1470.9295951420568</v>
      </c>
      <c r="AX108" s="40">
        <f>constantes!$B$10*E108/1000</f>
        <v>92.5</v>
      </c>
      <c r="AY108" s="533">
        <f>constantes!$B$12</f>
        <v>0</v>
      </c>
      <c r="AZ108" s="20">
        <v>318</v>
      </c>
      <c r="BA108" s="43"/>
      <c r="BB108" s="3" t="s">
        <v>2215</v>
      </c>
      <c r="BD108" s="534">
        <v>1</v>
      </c>
      <c r="BE108" s="535">
        <v>2035</v>
      </c>
      <c r="BF108" s="536">
        <v>3</v>
      </c>
      <c r="BG108" s="537">
        <v>2050</v>
      </c>
    </row>
    <row r="109" spans="1:59" ht="14.45" customHeight="1">
      <c r="A109" s="125">
        <v>1108</v>
      </c>
      <c r="B109" s="125">
        <v>1108</v>
      </c>
      <c r="C109" s="627" t="s">
        <v>2337</v>
      </c>
      <c r="D109" s="538" t="s">
        <v>2337</v>
      </c>
      <c r="E109" s="526">
        <v>125</v>
      </c>
      <c r="F109" s="3" t="s">
        <v>2197</v>
      </c>
      <c r="G109" s="3" t="s">
        <v>2337</v>
      </c>
      <c r="H109" s="3">
        <v>-48.627907</v>
      </c>
      <c r="I109" s="3">
        <v>-15.121651999999999</v>
      </c>
      <c r="J109" s="539" t="s">
        <v>2003</v>
      </c>
      <c r="K109" s="539" t="s">
        <v>2003</v>
      </c>
      <c r="L109" s="554">
        <v>1</v>
      </c>
      <c r="M109" s="107"/>
      <c r="N109" s="529">
        <v>1.9820000000000001E-2</v>
      </c>
      <c r="O109" s="529">
        <v>5.2919999999999995E-2</v>
      </c>
      <c r="P109" s="288">
        <f t="shared" si="25"/>
        <v>0.43234511904761908</v>
      </c>
      <c r="Q109" s="30">
        <f t="shared" si="16"/>
        <v>54.043139880952381</v>
      </c>
      <c r="R109" s="30">
        <f t="shared" si="26"/>
        <v>70.956860119047619</v>
      </c>
      <c r="S109" s="107">
        <v>67.068571428571431</v>
      </c>
      <c r="T109" s="107">
        <v>44.035654761904766</v>
      </c>
      <c r="U109" s="107">
        <v>42.879583333333329</v>
      </c>
      <c r="V109" s="107">
        <v>62.188749999999999</v>
      </c>
      <c r="W109" s="288">
        <f t="shared" si="27"/>
        <v>0.57181835294117633</v>
      </c>
      <c r="X109" s="289">
        <f t="shared" si="19"/>
        <v>71.477294117647048</v>
      </c>
      <c r="Y109" s="289">
        <f t="shared" si="20"/>
        <v>17.434154236694667</v>
      </c>
      <c r="Z109" s="107">
        <v>95.242039215686248</v>
      </c>
      <c r="AA109" s="107">
        <v>66.547294117647041</v>
      </c>
      <c r="AB109" s="107">
        <v>55.148666666666678</v>
      </c>
      <c r="AC109" s="107">
        <v>68.971176470588247</v>
      </c>
      <c r="AD109" s="106">
        <v>1</v>
      </c>
      <c r="AE109" s="32" t="str">
        <f>IF(AD109=0,"",VLOOKUP(AD109,tab_tipo_expansao!$A$2:$B$4,2,0))</f>
        <v>opcional</v>
      </c>
      <c r="AF109" s="125">
        <v>2026</v>
      </c>
      <c r="AG109" s="125">
        <v>2100</v>
      </c>
      <c r="AH109" s="125">
        <v>30</v>
      </c>
      <c r="AI109" s="530">
        <v>1067.7441362336494</v>
      </c>
      <c r="AJ109" s="24">
        <f>AK109/constantes!$B$4</f>
        <v>2190.2443820177423</v>
      </c>
      <c r="AK109" s="33">
        <f t="shared" si="28"/>
        <v>8541.9530898691955</v>
      </c>
      <c r="AL109" s="87">
        <v>2</v>
      </c>
      <c r="AM109" s="531">
        <v>0</v>
      </c>
      <c r="AN109" s="23"/>
      <c r="AO109" s="532">
        <f t="shared" si="22"/>
        <v>1067.7441362336494</v>
      </c>
      <c r="AQ109" s="35">
        <f t="shared" si="29"/>
        <v>8541.9530898691955</v>
      </c>
      <c r="AR109" s="36">
        <f ca="1">OFFSET(cod_desembolso!$A$1,AL109,23)</f>
        <v>1.1245293369208682</v>
      </c>
      <c r="AS109" s="37">
        <f ca="1">IF(AO109=0,0,AO109*(OFFSET(cod_desembolso!$A$1,AL109,23)))</f>
        <v>1200.7096055199709</v>
      </c>
      <c r="AT109" s="38">
        <f>(constantes!$B$3*(1+constantes!$B$3)^(AH109))/((1+constantes!$B$3)^(AH109)-1)</f>
        <v>8.8827433387272267E-2</v>
      </c>
      <c r="AU109" s="37">
        <f t="shared" ca="1" si="24"/>
        <v>112.90595250178318</v>
      </c>
      <c r="AV109" s="37">
        <f ca="1">IF(AO109=0,AX109/constantes!$B$3,AU109/constantes!$B$3)</f>
        <v>1411.3244062722897</v>
      </c>
      <c r="AW109" s="39">
        <f ca="1">IF(AO109=0,0,PV(constantes!$B$3,AH109,-AU109)*constantes!$B$3)</f>
        <v>101.68566011316142</v>
      </c>
      <c r="AX109" s="40">
        <f>constantes!$B$10*E109/1000</f>
        <v>6.25</v>
      </c>
      <c r="AY109" s="533">
        <f>constantes!$B$12</f>
        <v>0</v>
      </c>
      <c r="AZ109" s="20">
        <v>318</v>
      </c>
      <c r="BA109" s="43"/>
      <c r="BB109" s="3" t="s">
        <v>2207</v>
      </c>
      <c r="BD109" s="534">
        <v>1</v>
      </c>
      <c r="BE109" s="535">
        <v>2026</v>
      </c>
      <c r="BF109" s="536">
        <v>1</v>
      </c>
      <c r="BG109" s="537">
        <v>2026</v>
      </c>
    </row>
    <row r="110" spans="1:59" ht="15">
      <c r="A110" s="125">
        <v>1109</v>
      </c>
      <c r="B110" s="125">
        <v>1109</v>
      </c>
      <c r="C110" s="538" t="s">
        <v>2344</v>
      </c>
      <c r="D110" s="538" t="s">
        <v>2344</v>
      </c>
      <c r="E110" s="526">
        <v>80</v>
      </c>
      <c r="F110" s="3" t="s">
        <v>2197</v>
      </c>
      <c r="G110" s="3" t="s">
        <v>2345</v>
      </c>
      <c r="H110" s="3">
        <v>-47.926211000000002</v>
      </c>
      <c r="I110" s="3">
        <v>-14.302897</v>
      </c>
      <c r="J110" s="539" t="s">
        <v>2003</v>
      </c>
      <c r="K110" s="539" t="s">
        <v>2003</v>
      </c>
      <c r="L110" s="554">
        <v>1</v>
      </c>
      <c r="M110" s="107"/>
      <c r="N110" s="529">
        <v>1.9820000000000001E-2</v>
      </c>
      <c r="O110" s="529">
        <v>5.2919999999999995E-2</v>
      </c>
      <c r="P110" s="288">
        <f t="shared" si="25"/>
        <v>0.59594345238095237</v>
      </c>
      <c r="Q110" s="30">
        <f t="shared" si="16"/>
        <v>47.675476190476189</v>
      </c>
      <c r="R110" s="30">
        <f t="shared" si="26"/>
        <v>32.324523809523811</v>
      </c>
      <c r="S110" s="107">
        <v>58.490476190476187</v>
      </c>
      <c r="T110" s="107">
        <v>40.486964285714286</v>
      </c>
      <c r="U110" s="107">
        <v>38.912916666666661</v>
      </c>
      <c r="V110" s="107">
        <v>52.811547619047616</v>
      </c>
      <c r="W110" s="288">
        <f t="shared" si="27"/>
        <v>0.7116823529411771</v>
      </c>
      <c r="X110" s="289">
        <f t="shared" si="19"/>
        <v>56.934588235294164</v>
      </c>
      <c r="Y110" s="289">
        <f t="shared" si="20"/>
        <v>9.2591120448179751</v>
      </c>
      <c r="Z110" s="107">
        <v>70.516313725490292</v>
      </c>
      <c r="AA110" s="107">
        <v>53.528039215686313</v>
      </c>
      <c r="AB110" s="107">
        <v>44.974352941176477</v>
      </c>
      <c r="AC110" s="107">
        <v>58.719647058823568</v>
      </c>
      <c r="AD110" s="106">
        <v>3</v>
      </c>
      <c r="AE110" s="32" t="str">
        <f>IF(AD110=0,"",VLOOKUP(AD110,tab_tipo_expansao!$A$2:$B$4,2,0))</f>
        <v>não_considerar</v>
      </c>
      <c r="AF110" s="125">
        <v>2030</v>
      </c>
      <c r="AG110" s="125">
        <v>2100</v>
      </c>
      <c r="AH110" s="125">
        <v>30</v>
      </c>
      <c r="AI110" s="530">
        <v>613.24520420396971</v>
      </c>
      <c r="AJ110" s="24">
        <f>AK110/constantes!$B$4</f>
        <v>1965.529500653749</v>
      </c>
      <c r="AK110" s="33">
        <f t="shared" si="28"/>
        <v>7665.5650525496212</v>
      </c>
      <c r="AL110" s="87">
        <v>2</v>
      </c>
      <c r="AM110" s="531">
        <v>0</v>
      </c>
      <c r="AN110" s="23"/>
      <c r="AO110" s="532">
        <f t="shared" si="22"/>
        <v>613.24520420396971</v>
      </c>
      <c r="AQ110" s="35">
        <f t="shared" si="29"/>
        <v>7665.5650525496212</v>
      </c>
      <c r="AR110" s="36">
        <f ca="1">OFFSET(cod_desembolso!$A$1,AL110,23)</f>
        <v>1.1245293369208682</v>
      </c>
      <c r="AS110" s="37">
        <f ca="1">IF(AO110=0,0,AO110*(OFFSET(cod_desembolso!$A$1,AL110,23)))</f>
        <v>689.6122228533925</v>
      </c>
      <c r="AT110" s="38">
        <f>(constantes!$B$3*(1+constantes!$B$3)^(AH110))/((1+constantes!$B$3)^(AH110)-1)</f>
        <v>8.8827433387272267E-2</v>
      </c>
      <c r="AU110" s="37">
        <f t="shared" ca="1" si="24"/>
        <v>65.256483788558484</v>
      </c>
      <c r="AV110" s="37">
        <f ca="1">IF(AO110=0,AX110/constantes!$B$3,AU110/constantes!$B$3)</f>
        <v>815.706047356981</v>
      </c>
      <c r="AW110" s="39">
        <f ca="1">IF(AO110=0,0,PV(constantes!$B$3,AH110,-AU110)*constantes!$B$3)</f>
        <v>58.771468498072203</v>
      </c>
      <c r="AX110" s="40">
        <f>constantes!$B$10*E110/1000</f>
        <v>4</v>
      </c>
      <c r="AY110" s="533">
        <f>constantes!$B$12</f>
        <v>0</v>
      </c>
      <c r="AZ110" s="20">
        <v>318</v>
      </c>
      <c r="BA110" s="43"/>
      <c r="BB110" s="3" t="s">
        <v>2181</v>
      </c>
      <c r="BD110" s="534">
        <v>1</v>
      </c>
      <c r="BE110" s="535">
        <v>2027</v>
      </c>
      <c r="BF110" s="536">
        <v>1</v>
      </c>
      <c r="BG110" s="537">
        <v>2027</v>
      </c>
    </row>
    <row r="111" spans="1:59" ht="15">
      <c r="A111" s="125">
        <v>1110</v>
      </c>
      <c r="B111" s="125">
        <v>1110</v>
      </c>
      <c r="C111" s="538" t="s">
        <v>2346</v>
      </c>
      <c r="D111" s="538" t="s">
        <v>2346</v>
      </c>
      <c r="E111" s="526">
        <v>95</v>
      </c>
      <c r="F111" s="3" t="s">
        <v>2179</v>
      </c>
      <c r="G111" s="3" t="s">
        <v>2331</v>
      </c>
      <c r="H111" s="3">
        <v>-54.443610999999997</v>
      </c>
      <c r="I111" s="3">
        <v>-1.485833</v>
      </c>
      <c r="J111" s="539" t="s">
        <v>153</v>
      </c>
      <c r="K111" s="539" t="s">
        <v>153</v>
      </c>
      <c r="L111" s="554">
        <v>4</v>
      </c>
      <c r="M111" s="107"/>
      <c r="N111" s="529">
        <v>1.9820000000000001E-2</v>
      </c>
      <c r="O111" s="529">
        <v>5.2919999999999995E-2</v>
      </c>
      <c r="P111" s="288">
        <f t="shared" si="25"/>
        <v>0.54104855889724313</v>
      </c>
      <c r="Q111" s="30">
        <f t="shared" si="16"/>
        <v>51.399613095238095</v>
      </c>
      <c r="R111" s="30">
        <f t="shared" si="26"/>
        <v>43.600386904761905</v>
      </c>
      <c r="S111" s="107">
        <v>41.82</v>
      </c>
      <c r="T111" s="107">
        <v>88.186249999999987</v>
      </c>
      <c r="U111" s="107">
        <v>63.396250000000002</v>
      </c>
      <c r="V111" s="107">
        <v>12.195952380952383</v>
      </c>
      <c r="W111" s="288">
        <f t="shared" si="27"/>
        <v>0.5116284829721357</v>
      </c>
      <c r="X111" s="289">
        <f t="shared" si="19"/>
        <v>48.604705882352896</v>
      </c>
      <c r="Y111" s="289">
        <f t="shared" si="20"/>
        <v>-2.7949072128851995</v>
      </c>
      <c r="Z111" s="107">
        <v>41.367411764705842</v>
      </c>
      <c r="AA111" s="107">
        <v>84.120156862744977</v>
      </c>
      <c r="AB111" s="107">
        <v>56.105843137254872</v>
      </c>
      <c r="AC111" s="107">
        <v>12.825411764705878</v>
      </c>
      <c r="AD111" s="106">
        <v>3</v>
      </c>
      <c r="AE111" s="32" t="str">
        <f>IF(AD111=0,"",VLOOKUP(AD111,tab_tipo_expansao!$A$2:$B$4,2,0))</f>
        <v>não_considerar</v>
      </c>
      <c r="AF111" s="125">
        <v>2030</v>
      </c>
      <c r="AG111" s="125">
        <v>2100</v>
      </c>
      <c r="AH111" s="125">
        <v>30</v>
      </c>
      <c r="AI111" s="530">
        <v>730.58188803158919</v>
      </c>
      <c r="AJ111" s="24">
        <f>AK111/constantes!$B$4</f>
        <v>1971.8809393565159</v>
      </c>
      <c r="AK111" s="33">
        <f t="shared" si="28"/>
        <v>7690.3356634904121</v>
      </c>
      <c r="AL111" s="87">
        <v>2</v>
      </c>
      <c r="AM111" s="531">
        <v>0</v>
      </c>
      <c r="AN111" s="23"/>
      <c r="AO111" s="532">
        <f t="shared" si="22"/>
        <v>730.58188803158919</v>
      </c>
      <c r="AQ111" s="35">
        <f t="shared" si="29"/>
        <v>7690.335663490413</v>
      </c>
      <c r="AR111" s="36">
        <f ca="1">OFFSET(cod_desembolso!$A$1,AL111,23)</f>
        <v>1.1245293369208682</v>
      </c>
      <c r="AS111" s="37">
        <f ca="1">IF(AO111=0,0,AO111*(OFFSET(cod_desembolso!$A$1,AL111,23)))</f>
        <v>821.56076611455899</v>
      </c>
      <c r="AT111" s="38">
        <f>(constantes!$B$3*(1+constantes!$B$3)^(AH111))/((1+constantes!$B$3)^(AH111)-1)</f>
        <v>8.8827433387272267E-2</v>
      </c>
      <c r="AU111" s="37">
        <f t="shared" ca="1" si="24"/>
        <v>77.727134225637357</v>
      </c>
      <c r="AV111" s="37">
        <f ca="1">IF(AO111=0,AX111/constantes!$B$3,AU111/constantes!$B$3)</f>
        <v>971.58917782046694</v>
      </c>
      <c r="AW111" s="39">
        <f ca="1">IF(AO111=0,0,PV(constantes!$B$3,AH111,-AU111)*constantes!$B$3)</f>
        <v>70.002818959553167</v>
      </c>
      <c r="AX111" s="40">
        <f>constantes!$B$10*E111/1000</f>
        <v>4.75</v>
      </c>
      <c r="AY111" s="533">
        <f>constantes!$B$12</f>
        <v>0</v>
      </c>
      <c r="AZ111" s="20">
        <v>318</v>
      </c>
      <c r="BA111" s="43"/>
      <c r="BB111" s="3" t="s">
        <v>2181</v>
      </c>
      <c r="BD111" s="534">
        <v>1</v>
      </c>
      <c r="BE111" s="535">
        <v>2027</v>
      </c>
      <c r="BF111" s="536">
        <v>1</v>
      </c>
      <c r="BG111" s="537">
        <v>2027</v>
      </c>
    </row>
    <row r="112" spans="1:59" ht="15">
      <c r="A112" s="125">
        <v>1111</v>
      </c>
      <c r="B112" s="125">
        <v>1111</v>
      </c>
      <c r="C112" s="538" t="s">
        <v>2347</v>
      </c>
      <c r="D112" s="538" t="s">
        <v>2347</v>
      </c>
      <c r="E112" s="526">
        <v>48.9</v>
      </c>
      <c r="F112" s="3" t="s">
        <v>2197</v>
      </c>
      <c r="G112" s="3" t="s">
        <v>2348</v>
      </c>
      <c r="H112" s="3">
        <v>-47.622494000000003</v>
      </c>
      <c r="I112" s="3">
        <v>-9.9872219999999992</v>
      </c>
      <c r="J112" s="539" t="s">
        <v>1981</v>
      </c>
      <c r="K112" s="539" t="s">
        <v>1981</v>
      </c>
      <c r="L112" s="554">
        <v>1</v>
      </c>
      <c r="M112" s="107"/>
      <c r="N112" s="529">
        <v>2.068E-2</v>
      </c>
      <c r="O112" s="529">
        <v>4.6600000000000003E-2</v>
      </c>
      <c r="P112" s="288">
        <f t="shared" si="25"/>
        <v>0.61856223828999912</v>
      </c>
      <c r="Q112" s="30">
        <f t="shared" si="16"/>
        <v>30.247693452380954</v>
      </c>
      <c r="R112" s="30">
        <f t="shared" si="26"/>
        <v>18.652306547619045</v>
      </c>
      <c r="S112" s="107">
        <v>40.68333333333333</v>
      </c>
      <c r="T112" s="107">
        <v>32.407023809523814</v>
      </c>
      <c r="U112" s="107">
        <v>18.169583333333335</v>
      </c>
      <c r="V112" s="107">
        <v>29.730833333333333</v>
      </c>
      <c r="W112" s="288">
        <f t="shared" si="27"/>
        <v>0.66614880307951396</v>
      </c>
      <c r="X112" s="289">
        <f t="shared" si="19"/>
        <v>32.57467647058823</v>
      </c>
      <c r="Y112" s="289">
        <f t="shared" si="20"/>
        <v>2.3269830182072759</v>
      </c>
      <c r="Z112" s="107">
        <v>41.925960784313723</v>
      </c>
      <c r="AA112" s="107">
        <v>34.305921568627447</v>
      </c>
      <c r="AB112" s="107">
        <v>21.351450980392155</v>
      </c>
      <c r="AC112" s="107">
        <v>32.715372549019605</v>
      </c>
      <c r="AD112" s="106">
        <v>1</v>
      </c>
      <c r="AE112" s="32" t="str">
        <f>IF(AD112=0,"",VLOOKUP(AD112,tab_tipo_expansao!$A$2:$B$4,2,0))</f>
        <v>opcional</v>
      </c>
      <c r="AF112" s="125">
        <v>2028</v>
      </c>
      <c r="AG112" s="125">
        <v>2100</v>
      </c>
      <c r="AH112" s="125">
        <v>30</v>
      </c>
      <c r="AI112" s="530">
        <v>438.34438516626267</v>
      </c>
      <c r="AJ112" s="24">
        <f>AK112/constantes!$B$4</f>
        <v>2298.4866297848184</v>
      </c>
      <c r="AK112" s="33">
        <f t="shared" si="28"/>
        <v>8964.0978561607917</v>
      </c>
      <c r="AL112" s="87">
        <v>2</v>
      </c>
      <c r="AM112" s="531">
        <v>0</v>
      </c>
      <c r="AN112" s="23"/>
      <c r="AO112" s="532">
        <f t="shared" si="22"/>
        <v>438.34438516626267</v>
      </c>
      <c r="AQ112" s="35">
        <f t="shared" si="29"/>
        <v>8964.0978561607917</v>
      </c>
      <c r="AR112" s="36">
        <f ca="1">OFFSET(cod_desembolso!$A$1,AL112,23)</f>
        <v>1.1245293369208682</v>
      </c>
      <c r="AS112" s="37">
        <f ca="1">IF(AO112=0,0,AO112*(OFFSET(cod_desembolso!$A$1,AL112,23)))</f>
        <v>492.93112079400299</v>
      </c>
      <c r="AT112" s="38">
        <f>(constantes!$B$3*(1+constantes!$B$3)^(AH112))/((1+constantes!$B$3)^(AH112)-1)</f>
        <v>8.8827433387272267E-2</v>
      </c>
      <c r="AU112" s="37">
        <f t="shared" ca="1" si="24"/>
        <v>46.230806296842758</v>
      </c>
      <c r="AV112" s="37">
        <f ca="1">IF(AO112=0,AX112/constantes!$B$3,AU112/constantes!$B$3)</f>
        <v>577.88507871053446</v>
      </c>
      <c r="AW112" s="39">
        <f ca="1">IF(AO112=0,0,PV(constantes!$B$3,AH112,-AU112)*constantes!$B$3)</f>
        <v>41.636512085435974</v>
      </c>
      <c r="AX112" s="40">
        <f>constantes!$B$10*E112/1000</f>
        <v>2.4449999999999998</v>
      </c>
      <c r="AY112" s="533">
        <f>constantes!$B$12</f>
        <v>0</v>
      </c>
      <c r="AZ112" s="20">
        <v>318</v>
      </c>
      <c r="BA112" s="43"/>
      <c r="BB112" s="3" t="s">
        <v>2195</v>
      </c>
      <c r="BD112" s="534">
        <v>1</v>
      </c>
      <c r="BE112" s="535">
        <v>2027</v>
      </c>
      <c r="BF112" s="536">
        <v>1</v>
      </c>
      <c r="BG112" s="537">
        <v>2027</v>
      </c>
    </row>
    <row r="113" spans="1:59" ht="15">
      <c r="A113" s="125">
        <v>1112</v>
      </c>
      <c r="B113" s="125">
        <v>1112</v>
      </c>
      <c r="C113" s="538" t="s">
        <v>2349</v>
      </c>
      <c r="D113" s="538" t="s">
        <v>2349</v>
      </c>
      <c r="E113" s="526">
        <v>310.39999999999998</v>
      </c>
      <c r="F113" s="3" t="s">
        <v>2197</v>
      </c>
      <c r="G113" s="3" t="s">
        <v>2198</v>
      </c>
      <c r="H113" s="3">
        <v>-52.611621999999997</v>
      </c>
      <c r="I113" s="3">
        <v>-14.779544</v>
      </c>
      <c r="J113" s="539" t="s">
        <v>158</v>
      </c>
      <c r="K113" s="539" t="s">
        <v>158</v>
      </c>
      <c r="L113" s="554">
        <v>1</v>
      </c>
      <c r="M113" s="107"/>
      <c r="N113" s="529">
        <v>1.6379999999999999E-2</v>
      </c>
      <c r="O113" s="529">
        <v>6.1409999999999999E-2</v>
      </c>
      <c r="P113" s="288">
        <f t="shared" si="25"/>
        <v>0.58210699711585667</v>
      </c>
      <c r="Q113" s="30">
        <f t="shared" si="16"/>
        <v>180.6860119047619</v>
      </c>
      <c r="R113" s="30">
        <f t="shared" si="26"/>
        <v>129.71398809523808</v>
      </c>
      <c r="S113" s="107">
        <v>192.95761904761903</v>
      </c>
      <c r="T113" s="107">
        <v>190.86946428571426</v>
      </c>
      <c r="U113" s="107">
        <v>183.98958333333334</v>
      </c>
      <c r="V113" s="107">
        <v>154.92738095238096</v>
      </c>
      <c r="W113" s="288">
        <f t="shared" si="27"/>
        <v>0.64861115322417617</v>
      </c>
      <c r="X113" s="289">
        <f t="shared" si="19"/>
        <v>201.32890196078426</v>
      </c>
      <c r="Y113" s="289">
        <f t="shared" si="20"/>
        <v>20.642890056022367</v>
      </c>
      <c r="Z113" s="107">
        <v>259.43199999999985</v>
      </c>
      <c r="AA113" s="107">
        <v>208.69058823529406</v>
      </c>
      <c r="AB113" s="107">
        <v>162.01529411764707</v>
      </c>
      <c r="AC113" s="107">
        <v>175.17772549019605</v>
      </c>
      <c r="AD113" s="106">
        <v>3</v>
      </c>
      <c r="AE113" s="32" t="str">
        <f>IF(AD113=0,"",VLOOKUP(AD113,tab_tipo_expansao!$A$2:$B$4,2,0))</f>
        <v>não_considerar</v>
      </c>
      <c r="AF113" s="125">
        <v>2030</v>
      </c>
      <c r="AG113" s="125">
        <v>2100</v>
      </c>
      <c r="AH113" s="125">
        <v>30</v>
      </c>
      <c r="AI113" s="530">
        <v>3106.5128912067503</v>
      </c>
      <c r="AJ113" s="24">
        <f>AK113/constantes!$B$4</f>
        <v>2566.1783729899803</v>
      </c>
      <c r="AK113" s="33">
        <f t="shared" si="28"/>
        <v>10008.095654660923</v>
      </c>
      <c r="AL113" s="87">
        <v>2</v>
      </c>
      <c r="AM113" s="531">
        <v>0</v>
      </c>
      <c r="AN113" s="23"/>
      <c r="AO113" s="532">
        <f t="shared" si="22"/>
        <v>3106.5128912067503</v>
      </c>
      <c r="AQ113" s="35">
        <f t="shared" si="29"/>
        <v>10008.095654660923</v>
      </c>
      <c r="AR113" s="36">
        <f ca="1">OFFSET(cod_desembolso!$A$1,AL113,23)</f>
        <v>1.1245293369208682</v>
      </c>
      <c r="AS113" s="37">
        <f ca="1">IF(AO113=0,0,AO113*(OFFSET(cod_desembolso!$A$1,AL113,23)))</f>
        <v>3493.3648816848563</v>
      </c>
      <c r="AT113" s="38">
        <f>(constantes!$B$3*(1+constantes!$B$3)^(AH113))/((1+constantes!$B$3)^(AH113)-1)</f>
        <v>8.8827433387272267E-2</v>
      </c>
      <c r="AU113" s="37">
        <f t="shared" ca="1" si="24"/>
        <v>325.82663632529784</v>
      </c>
      <c r="AV113" s="37">
        <f ca="1">IF(AO113=0,AX113/constantes!$B$3,AU113/constantes!$B$3)</f>
        <v>4072.832954066223</v>
      </c>
      <c r="AW113" s="39">
        <f ca="1">IF(AO113=0,0,PV(constantes!$B$3,AH113,-AU113)*constantes!$B$3)</f>
        <v>293.44685433361559</v>
      </c>
      <c r="AX113" s="40">
        <f>constantes!$B$10*E113/1000</f>
        <v>15.519999999999998</v>
      </c>
      <c r="AY113" s="533">
        <f>constantes!$B$12</f>
        <v>0</v>
      </c>
      <c r="AZ113" s="20">
        <v>318</v>
      </c>
      <c r="BA113" s="43"/>
      <c r="BB113" s="3" t="s">
        <v>2215</v>
      </c>
      <c r="BD113" s="534">
        <v>1</v>
      </c>
      <c r="BE113" s="535">
        <v>2035</v>
      </c>
      <c r="BF113" s="536">
        <v>3</v>
      </c>
      <c r="BG113" s="537">
        <v>2050</v>
      </c>
    </row>
    <row r="114" spans="1:59" ht="15">
      <c r="A114" s="125">
        <v>1113</v>
      </c>
      <c r="B114" s="125">
        <v>1113</v>
      </c>
      <c r="C114" s="538" t="s">
        <v>2350</v>
      </c>
      <c r="D114" s="538" t="s">
        <v>2350</v>
      </c>
      <c r="E114" s="526">
        <v>79.5</v>
      </c>
      <c r="F114" s="3" t="s">
        <v>2219</v>
      </c>
      <c r="G114" s="3" t="s">
        <v>2220</v>
      </c>
      <c r="H114" s="3">
        <v>-51.859344999999998</v>
      </c>
      <c r="I114" s="3">
        <v>-29.146484999999998</v>
      </c>
      <c r="J114" s="539" t="s">
        <v>149</v>
      </c>
      <c r="K114" s="539" t="s">
        <v>149</v>
      </c>
      <c r="L114" s="554">
        <v>2</v>
      </c>
      <c r="M114" s="107"/>
      <c r="N114" s="529">
        <v>1.9820000000000001E-2</v>
      </c>
      <c r="O114" s="529">
        <v>5.2919999999999995E-2</v>
      </c>
      <c r="P114" s="288">
        <f t="shared" si="25"/>
        <v>0.51886848607367475</v>
      </c>
      <c r="Q114" s="30">
        <f t="shared" si="16"/>
        <v>41.250044642857141</v>
      </c>
      <c r="R114" s="30">
        <f t="shared" si="26"/>
        <v>38.249955357142859</v>
      </c>
      <c r="S114" s="107">
        <v>30.340476190476192</v>
      </c>
      <c r="T114" s="107">
        <v>39.762559523809522</v>
      </c>
      <c r="U114" s="107">
        <v>55.279166666666669</v>
      </c>
      <c r="V114" s="107">
        <v>39.617976190476192</v>
      </c>
      <c r="W114" s="288">
        <f t="shared" si="27"/>
        <v>0.61425292884449412</v>
      </c>
      <c r="X114" s="289">
        <f t="shared" si="19"/>
        <v>48.833107843137284</v>
      </c>
      <c r="Y114" s="289">
        <f t="shared" si="20"/>
        <v>7.5830632002801437</v>
      </c>
      <c r="Z114" s="107">
        <v>35.563372549019618</v>
      </c>
      <c r="AA114" s="107">
        <v>47.129490196078471</v>
      </c>
      <c r="AB114" s="107">
        <v>63.016941176470631</v>
      </c>
      <c r="AC114" s="107">
        <v>49.62262745098041</v>
      </c>
      <c r="AD114" s="106">
        <v>1</v>
      </c>
      <c r="AE114" s="32" t="str">
        <f>IF(AD114=0,"",VLOOKUP(AD114,tab_tipo_expansao!$A$2:$B$4,2,0))</f>
        <v>opcional</v>
      </c>
      <c r="AF114" s="125">
        <v>2028</v>
      </c>
      <c r="AG114" s="125">
        <v>2100</v>
      </c>
      <c r="AH114" s="125">
        <v>30</v>
      </c>
      <c r="AI114" s="530">
        <v>1076.1879772438726</v>
      </c>
      <c r="AJ114" s="24">
        <f>AK114/constantes!$B$4</f>
        <v>3471.0142791287617</v>
      </c>
      <c r="AK114" s="33">
        <f t="shared" si="28"/>
        <v>13536.955688602171</v>
      </c>
      <c r="AL114" s="87">
        <v>2</v>
      </c>
      <c r="AM114" s="531">
        <v>0</v>
      </c>
      <c r="AN114" s="23"/>
      <c r="AO114" s="532">
        <f t="shared" si="22"/>
        <v>1076.1879772438726</v>
      </c>
      <c r="AQ114" s="35">
        <f t="shared" si="29"/>
        <v>13536.955688602171</v>
      </c>
      <c r="AR114" s="36">
        <f ca="1">OFFSET(cod_desembolso!$A$1,AL114,23)</f>
        <v>1.1245293369208682</v>
      </c>
      <c r="AS114" s="37">
        <f ca="1">IF(AO114=0,0,AO114*(OFFSET(cod_desembolso!$A$1,AL114,23)))</f>
        <v>1210.2049524522624</v>
      </c>
      <c r="AT114" s="38">
        <f>(constantes!$B$3*(1+constantes!$B$3)^(AH114))/((1+constantes!$B$3)^(AH114)-1)</f>
        <v>8.8827433387272267E-2</v>
      </c>
      <c r="AU114" s="37">
        <f t="shared" ca="1" si="24"/>
        <v>111.47439979890034</v>
      </c>
      <c r="AV114" s="37">
        <f ca="1">IF(AO114=0,AX114/constantes!$B$3,AU114/constantes!$B$3)</f>
        <v>1393.4299974862543</v>
      </c>
      <c r="AW114" s="39">
        <f ca="1">IF(AO114=0,0,PV(constantes!$B$3,AH114,-AU114)*constantes!$B$3)</f>
        <v>100.39637129929552</v>
      </c>
      <c r="AX114" s="40">
        <f>constantes!$B$10*E114/1000</f>
        <v>3.9750000000000001</v>
      </c>
      <c r="AY114" s="533">
        <f>constantes!$B$12</f>
        <v>0</v>
      </c>
      <c r="AZ114" s="20">
        <v>318</v>
      </c>
      <c r="BA114" s="43"/>
      <c r="BB114" s="3" t="s">
        <v>2195</v>
      </c>
      <c r="BD114" s="534">
        <v>1</v>
      </c>
      <c r="BE114" s="535">
        <v>2027</v>
      </c>
      <c r="BF114" s="536">
        <v>1</v>
      </c>
      <c r="BG114" s="537">
        <v>2027</v>
      </c>
    </row>
    <row r="115" spans="1:59" ht="15" customHeight="1">
      <c r="A115" s="125">
        <v>1114</v>
      </c>
      <c r="B115" s="125">
        <v>1114</v>
      </c>
      <c r="C115" s="538" t="s">
        <v>2351</v>
      </c>
      <c r="D115" s="538" t="s">
        <v>2351</v>
      </c>
      <c r="E115" s="526">
        <v>73</v>
      </c>
      <c r="F115" s="3" t="s">
        <v>2179</v>
      </c>
      <c r="G115" s="3" t="s">
        <v>2296</v>
      </c>
      <c r="H115" s="3">
        <v>-58.981906000000002</v>
      </c>
      <c r="I115" s="3">
        <v>-12.688057000000001</v>
      </c>
      <c r="J115" s="539" t="s">
        <v>158</v>
      </c>
      <c r="K115" s="539" t="s">
        <v>158</v>
      </c>
      <c r="L115" s="554">
        <v>10</v>
      </c>
      <c r="M115" s="107"/>
      <c r="N115" s="529">
        <v>1.9820000000000001E-2</v>
      </c>
      <c r="O115" s="529">
        <v>5.2919999999999995E-2</v>
      </c>
      <c r="P115" s="288">
        <f t="shared" si="25"/>
        <v>0.75277825342465754</v>
      </c>
      <c r="Q115" s="30">
        <f t="shared" si="16"/>
        <v>54.9528125</v>
      </c>
      <c r="R115" s="30">
        <f t="shared" si="26"/>
        <v>18.0471875</v>
      </c>
      <c r="S115" s="107">
        <v>54.12</v>
      </c>
      <c r="T115" s="107">
        <v>57.515773809523807</v>
      </c>
      <c r="U115" s="107">
        <v>55.870416666666664</v>
      </c>
      <c r="V115" s="107">
        <v>52.305059523809518</v>
      </c>
      <c r="W115" s="288">
        <f t="shared" si="27"/>
        <v>0.7272343540155789</v>
      </c>
      <c r="X115" s="289">
        <f t="shared" si="19"/>
        <v>53.088107843137259</v>
      </c>
      <c r="Y115" s="289">
        <f t="shared" si="20"/>
        <v>-1.8647046568627417</v>
      </c>
      <c r="Z115" s="107">
        <v>58.660274509803912</v>
      </c>
      <c r="AA115" s="107">
        <v>55.339607843137266</v>
      </c>
      <c r="AB115" s="107">
        <v>49.744823529411768</v>
      </c>
      <c r="AC115" s="107">
        <v>48.607725490196081</v>
      </c>
      <c r="AD115" s="106">
        <v>3</v>
      </c>
      <c r="AE115" s="32" t="str">
        <f>IF(AD115=0,"",VLOOKUP(AD115,tab_tipo_expansao!$A$2:$B$4,2,0))</f>
        <v>não_considerar</v>
      </c>
      <c r="AF115" s="125">
        <v>2030</v>
      </c>
      <c r="AG115" s="125">
        <v>2100</v>
      </c>
      <c r="AH115" s="125">
        <v>30</v>
      </c>
      <c r="AI115" s="530">
        <v>912.12592082544711</v>
      </c>
      <c r="AJ115" s="24">
        <f>AK115/constantes!$B$4</f>
        <v>3203.8142635245772</v>
      </c>
      <c r="AK115" s="33">
        <f t="shared" si="28"/>
        <v>12494.875627745851</v>
      </c>
      <c r="AL115" s="87">
        <v>2</v>
      </c>
      <c r="AM115" s="531">
        <v>0</v>
      </c>
      <c r="AN115" s="23"/>
      <c r="AO115" s="532">
        <f t="shared" si="22"/>
        <v>912.12592082544711</v>
      </c>
      <c r="AQ115" s="35">
        <f t="shared" si="29"/>
        <v>12494.875627745851</v>
      </c>
      <c r="AR115" s="36">
        <f ca="1">OFFSET(cod_desembolso!$A$1,AL115,23)</f>
        <v>1.1245293369208682</v>
      </c>
      <c r="AS115" s="37">
        <f ca="1">IF(AO115=0,0,AO115*(OFFSET(cod_desembolso!$A$1,AL115,23)))</f>
        <v>1025.7123569341763</v>
      </c>
      <c r="AT115" s="38">
        <f>(constantes!$B$3*(1+constantes!$B$3)^(AH115))/((1+constantes!$B$3)^(AH115)-1)</f>
        <v>8.8827433387272267E-2</v>
      </c>
      <c r="AU115" s="37">
        <f t="shared" ca="1" si="24"/>
        <v>94.761396060072585</v>
      </c>
      <c r="AV115" s="37">
        <f ca="1">IF(AO115=0,AX115/constantes!$B$3,AU115/constantes!$B$3)</f>
        <v>1184.5174507509073</v>
      </c>
      <c r="AW115" s="39">
        <f ca="1">IF(AO115=0,0,PV(constantes!$B$3,AH115,-AU115)*constantes!$B$3)</f>
        <v>85.344261290927335</v>
      </c>
      <c r="AX115" s="40">
        <f>constantes!$B$10*E115/1000</f>
        <v>3.65</v>
      </c>
      <c r="AY115" s="533">
        <f>constantes!$B$12</f>
        <v>0</v>
      </c>
      <c r="AZ115" s="20">
        <v>318</v>
      </c>
      <c r="BA115" s="43"/>
      <c r="BB115" s="3" t="s">
        <v>2215</v>
      </c>
      <c r="BD115" s="534">
        <v>1</v>
      </c>
      <c r="BE115" s="535">
        <v>2035</v>
      </c>
      <c r="BF115" s="536">
        <v>3</v>
      </c>
      <c r="BG115" s="537">
        <v>2050</v>
      </c>
    </row>
    <row r="116" spans="1:59" ht="15" customHeight="1">
      <c r="A116" s="125">
        <v>1115</v>
      </c>
      <c r="B116" s="125">
        <v>1115</v>
      </c>
      <c r="C116" s="538" t="s">
        <v>2352</v>
      </c>
      <c r="D116" s="538" t="s">
        <v>2352</v>
      </c>
      <c r="E116" s="526">
        <v>49.79</v>
      </c>
      <c r="F116" s="3" t="s">
        <v>2197</v>
      </c>
      <c r="G116" s="3" t="s">
        <v>2353</v>
      </c>
      <c r="H116" s="3">
        <v>-46.88805</v>
      </c>
      <c r="I116" s="3">
        <v>-13.599548</v>
      </c>
      <c r="J116" s="539" t="s">
        <v>2003</v>
      </c>
      <c r="K116" s="539" t="s">
        <v>2003</v>
      </c>
      <c r="L116" s="554">
        <v>1</v>
      </c>
      <c r="M116" s="107"/>
      <c r="N116" s="529">
        <v>2.068E-2</v>
      </c>
      <c r="O116" s="529">
        <v>4.6600000000000003E-2</v>
      </c>
      <c r="P116" s="288">
        <f t="shared" si="25"/>
        <v>0.532119300920186</v>
      </c>
      <c r="Q116" s="30">
        <f t="shared" si="16"/>
        <v>26.49421999281606</v>
      </c>
      <c r="R116" s="30">
        <f t="shared" si="26"/>
        <v>23.295780007183939</v>
      </c>
      <c r="S116" s="107">
        <v>33.20173326876796</v>
      </c>
      <c r="T116" s="107">
        <v>29.14607656146417</v>
      </c>
      <c r="U116" s="107">
        <v>20.674817306971786</v>
      </c>
      <c r="V116" s="107">
        <v>22.954252834060327</v>
      </c>
      <c r="W116" s="288">
        <f t="shared" si="27"/>
        <v>0.56765074645560576</v>
      </c>
      <c r="X116" s="289">
        <f t="shared" si="19"/>
        <v>28.263330666024611</v>
      </c>
      <c r="Y116" s="289">
        <f t="shared" si="20"/>
        <v>1.7691106732085515</v>
      </c>
      <c r="Z116" s="107">
        <v>36.941728525146893</v>
      </c>
      <c r="AA116" s="107">
        <v>30.732981790658911</v>
      </c>
      <c r="AB116" s="107">
        <v>21.159150207766</v>
      </c>
      <c r="AC116" s="107">
        <v>24.219462140526634</v>
      </c>
      <c r="AD116" s="106">
        <v>1</v>
      </c>
      <c r="AE116" s="32" t="str">
        <f>IF(AD116=0,"",VLOOKUP(AD116,tab_tipo_expansao!$A$2:$B$4,2,0))</f>
        <v>opcional</v>
      </c>
      <c r="AF116" s="125">
        <v>2028</v>
      </c>
      <c r="AG116" s="125">
        <v>2100</v>
      </c>
      <c r="AH116" s="125">
        <v>30</v>
      </c>
      <c r="AI116" s="530">
        <v>586.57527263478221</v>
      </c>
      <c r="AJ116" s="24">
        <f>AK116/constantes!$B$4</f>
        <v>3020.7655364571315</v>
      </c>
      <c r="AK116" s="33">
        <f t="shared" si="28"/>
        <v>11780.985592182813</v>
      </c>
      <c r="AL116" s="87">
        <v>2</v>
      </c>
      <c r="AM116" s="531">
        <v>0</v>
      </c>
      <c r="AN116" s="23"/>
      <c r="AO116" s="532">
        <f t="shared" si="22"/>
        <v>586.57527263478221</v>
      </c>
      <c r="AQ116" s="35">
        <f t="shared" si="29"/>
        <v>11780.985592182813</v>
      </c>
      <c r="AR116" s="36">
        <f ca="1">OFFSET(cod_desembolso!$A$1,AL116,23)</f>
        <v>1.1245293369208682</v>
      </c>
      <c r="AS116" s="37">
        <f ca="1">IF(AO116=0,0,AO116*(OFFSET(cod_desembolso!$A$1,AL116,23)))</f>
        <v>659.62110239016909</v>
      </c>
      <c r="AT116" s="38">
        <f>(constantes!$B$3*(1+constantes!$B$3)^(AH116))/((1+constantes!$B$3)^(AH116)-1)</f>
        <v>8.8827433387272267E-2</v>
      </c>
      <c r="AU116" s="37">
        <f t="shared" ca="1" si="24"/>
        <v>61.081949533401847</v>
      </c>
      <c r="AV116" s="37">
        <f ca="1">IF(AO116=0,AX116/constantes!$B$3,AU116/constantes!$B$3)</f>
        <v>763.5243691675231</v>
      </c>
      <c r="AW116" s="39">
        <f ca="1">IF(AO116=0,0,PV(constantes!$B$3,AH116,-AU116)*constantes!$B$3)</f>
        <v>55.011788321830799</v>
      </c>
      <c r="AX116" s="40">
        <f>constantes!$B$10*E116/1000</f>
        <v>2.4895</v>
      </c>
      <c r="AY116" s="533">
        <f>constantes!$B$12</f>
        <v>0</v>
      </c>
      <c r="AZ116" s="20">
        <v>318</v>
      </c>
      <c r="BA116" s="43"/>
      <c r="BB116" s="3" t="s">
        <v>2195</v>
      </c>
      <c r="BD116" s="534">
        <v>1</v>
      </c>
      <c r="BE116" s="535">
        <v>2027</v>
      </c>
      <c r="BF116" s="536">
        <v>1</v>
      </c>
      <c r="BG116" s="537">
        <v>2027</v>
      </c>
    </row>
    <row r="117" spans="1:59" ht="15" customHeight="1">
      <c r="A117" s="125">
        <v>1116</v>
      </c>
      <c r="B117" s="125">
        <v>1116</v>
      </c>
      <c r="C117" s="538" t="s">
        <v>2354</v>
      </c>
      <c r="D117" s="538" t="s">
        <v>2354</v>
      </c>
      <c r="E117" s="526">
        <v>32.4</v>
      </c>
      <c r="F117" s="3" t="s">
        <v>2095</v>
      </c>
      <c r="G117" s="3" t="s">
        <v>2355</v>
      </c>
      <c r="H117" s="3">
        <v>-52.581511999999996</v>
      </c>
      <c r="I117" s="3">
        <v>-26.798359999999999</v>
      </c>
      <c r="J117" s="539" t="s">
        <v>1989</v>
      </c>
      <c r="K117" s="539" t="s">
        <v>1989</v>
      </c>
      <c r="L117" s="554">
        <v>2</v>
      </c>
      <c r="M117" s="107"/>
      <c r="N117" s="529">
        <v>2.068E-2</v>
      </c>
      <c r="O117" s="529">
        <v>4.6600000000000003E-2</v>
      </c>
      <c r="P117" s="288">
        <f t="shared" si="25"/>
        <v>0.54117982069370962</v>
      </c>
      <c r="Q117" s="30">
        <f t="shared" si="16"/>
        <v>17.53422619047619</v>
      </c>
      <c r="R117" s="30">
        <f t="shared" si="26"/>
        <v>14.865773809523809</v>
      </c>
      <c r="S117" s="107">
        <v>14.079523809523808</v>
      </c>
      <c r="T117" s="107">
        <v>20.100178571428568</v>
      </c>
      <c r="U117" s="107">
        <v>18.997083333333336</v>
      </c>
      <c r="V117" s="107">
        <v>16.960119047619045</v>
      </c>
      <c r="W117" s="288">
        <f t="shared" si="27"/>
        <v>0.61365861776809483</v>
      </c>
      <c r="X117" s="289">
        <f t="shared" si="19"/>
        <v>19.882539215686272</v>
      </c>
      <c r="Y117" s="289">
        <f t="shared" si="20"/>
        <v>2.3483130252100821</v>
      </c>
      <c r="Z117" s="107">
        <v>16.949568627450969</v>
      </c>
      <c r="AA117" s="107">
        <v>20.786745098039219</v>
      </c>
      <c r="AB117" s="107">
        <v>22.403254901960779</v>
      </c>
      <c r="AC117" s="107">
        <v>19.390588235294121</v>
      </c>
      <c r="AD117" s="106">
        <v>3</v>
      </c>
      <c r="AE117" s="32" t="str">
        <f>IF(AD117=0,"",VLOOKUP(AD117,tab_tipo_expansao!$A$2:$B$4,2,0))</f>
        <v>não_considerar</v>
      </c>
      <c r="AF117" s="125">
        <v>2030</v>
      </c>
      <c r="AG117" s="125">
        <v>2100</v>
      </c>
      <c r="AH117" s="125">
        <v>30</v>
      </c>
      <c r="AI117" s="530">
        <v>564.77103767364235</v>
      </c>
      <c r="AJ117" s="24">
        <f>AK117/constantes!$B$4</f>
        <v>4469.5397093513966</v>
      </c>
      <c r="AK117" s="33">
        <f t="shared" si="28"/>
        <v>17431.204866470445</v>
      </c>
      <c r="AL117" s="87">
        <v>2</v>
      </c>
      <c r="AM117" s="531">
        <v>0</v>
      </c>
      <c r="AN117" s="23"/>
      <c r="AO117" s="532">
        <f t="shared" si="22"/>
        <v>564.77103767364235</v>
      </c>
      <c r="AQ117" s="35">
        <f t="shared" si="29"/>
        <v>17431.204866470445</v>
      </c>
      <c r="AR117" s="36">
        <f ca="1">OFFSET(cod_desembolso!$A$1,AL117,23)</f>
        <v>1.1245293369208682</v>
      </c>
      <c r="AS117" s="37">
        <f ca="1">IF(AO117=0,0,AO117*(OFFSET(cod_desembolso!$A$1,AL117,23)))</f>
        <v>635.10160050725176</v>
      </c>
      <c r="AT117" s="38">
        <f>(constantes!$B$3*(1+constantes!$B$3)^(AH117))/((1+constantes!$B$3)^(AH117)-1)</f>
        <v>8.8827433387272267E-2</v>
      </c>
      <c r="AU117" s="37">
        <f t="shared" ca="1" si="24"/>
        <v>58.034445113207909</v>
      </c>
      <c r="AV117" s="37">
        <f ca="1">IF(AO117=0,AX117/constantes!$B$3,AU117/constantes!$B$3)</f>
        <v>725.43056391509879</v>
      </c>
      <c r="AW117" s="39">
        <f ca="1">IF(AO117=0,0,PV(constantes!$B$3,AH117,-AU117)*constantes!$B$3)</f>
        <v>52.267136761849464</v>
      </c>
      <c r="AX117" s="40">
        <f>constantes!$B$10*E117/1000</f>
        <v>1.62</v>
      </c>
      <c r="AY117" s="533">
        <f>constantes!$B$12</f>
        <v>0</v>
      </c>
      <c r="AZ117" s="20">
        <v>318</v>
      </c>
      <c r="BA117" s="43"/>
      <c r="BB117" s="3" t="s">
        <v>2215</v>
      </c>
      <c r="BD117" s="534">
        <v>1</v>
      </c>
      <c r="BE117" s="535">
        <v>2035</v>
      </c>
      <c r="BF117" s="536">
        <v>3</v>
      </c>
      <c r="BG117" s="537">
        <v>2050</v>
      </c>
    </row>
    <row r="118" spans="1:59" ht="15" customHeight="1">
      <c r="A118" s="125">
        <v>1117</v>
      </c>
      <c r="B118" s="125">
        <v>1117</v>
      </c>
      <c r="C118" s="538" t="s">
        <v>2356</v>
      </c>
      <c r="D118" s="538" t="s">
        <v>2356</v>
      </c>
      <c r="E118" s="526">
        <v>33</v>
      </c>
      <c r="F118" s="3" t="s">
        <v>2194</v>
      </c>
      <c r="G118" s="3" t="s">
        <v>2321</v>
      </c>
      <c r="H118" s="3">
        <v>-51.615808999999999</v>
      </c>
      <c r="I118" s="3">
        <v>-18.796824999999998</v>
      </c>
      <c r="J118" s="539" t="s">
        <v>2003</v>
      </c>
      <c r="K118" s="539" t="s">
        <v>2003</v>
      </c>
      <c r="L118" s="554">
        <v>1</v>
      </c>
      <c r="M118" s="107"/>
      <c r="N118" s="529">
        <v>2.068E-2</v>
      </c>
      <c r="O118" s="529">
        <v>4.6600000000000003E-2</v>
      </c>
      <c r="P118" s="288">
        <f t="shared" si="25"/>
        <v>0.77294462481962489</v>
      </c>
      <c r="Q118" s="30">
        <f t="shared" si="16"/>
        <v>25.507172619047623</v>
      </c>
      <c r="R118" s="30">
        <f t="shared" si="26"/>
        <v>7.4928273809523773</v>
      </c>
      <c r="S118" s="107">
        <v>28.912380952380957</v>
      </c>
      <c r="T118" s="107">
        <v>24.89559523809524</v>
      </c>
      <c r="U118" s="107">
        <v>21.827500000000001</v>
      </c>
      <c r="V118" s="107">
        <v>26.39321428571429</v>
      </c>
      <c r="W118" s="288">
        <f t="shared" si="27"/>
        <v>0.82486185383244215</v>
      </c>
      <c r="X118" s="289">
        <f t="shared" si="19"/>
        <v>27.22044117647059</v>
      </c>
      <c r="Y118" s="289">
        <f t="shared" si="20"/>
        <v>1.7132685574229676</v>
      </c>
      <c r="Z118" s="107">
        <v>29.043176470588236</v>
      </c>
      <c r="AA118" s="107">
        <v>27.426980392156867</v>
      </c>
      <c r="AB118" s="107">
        <v>24.505529411764712</v>
      </c>
      <c r="AC118" s="107">
        <v>27.906078431372546</v>
      </c>
      <c r="AD118" s="106">
        <v>3</v>
      </c>
      <c r="AE118" s="32" t="str">
        <f>IF(AD118=0,"",VLOOKUP(AD118,tab_tipo_expansao!$A$2:$B$4,2,0))</f>
        <v>não_considerar</v>
      </c>
      <c r="AF118" s="125">
        <v>2030</v>
      </c>
      <c r="AG118" s="125">
        <v>2100</v>
      </c>
      <c r="AH118" s="125">
        <v>30</v>
      </c>
      <c r="AI118" s="530">
        <v>298.8487686472705</v>
      </c>
      <c r="AJ118" s="24">
        <f>AK118/constantes!$B$4</f>
        <v>2322.0572544465463</v>
      </c>
      <c r="AK118" s="33">
        <f t="shared" si="28"/>
        <v>9056.0232923415297</v>
      </c>
      <c r="AL118" s="87">
        <v>2</v>
      </c>
      <c r="AM118" s="531">
        <v>0</v>
      </c>
      <c r="AN118" s="23"/>
      <c r="AO118" s="532">
        <f t="shared" si="22"/>
        <v>298.8487686472705</v>
      </c>
      <c r="AQ118" s="35">
        <f t="shared" si="29"/>
        <v>9056.0232923415315</v>
      </c>
      <c r="AR118" s="36">
        <f ca="1">OFFSET(cod_desembolso!$A$1,AL118,23)</f>
        <v>1.1245293369208682</v>
      </c>
      <c r="AS118" s="37">
        <f ca="1">IF(AO118=0,0,AO118*(OFFSET(cod_desembolso!$A$1,AL118,23)))</f>
        <v>336.06420764653302</v>
      </c>
      <c r="AT118" s="38">
        <f>(constantes!$B$3*(1+constantes!$B$3)^(AH118))/((1+constantes!$B$3)^(AH118)-1)</f>
        <v>8.8827433387272267E-2</v>
      </c>
      <c r="AU118" s="37">
        <f t="shared" ca="1" si="24"/>
        <v>31.501721018568844</v>
      </c>
      <c r="AV118" s="37">
        <f ca="1">IF(AO118=0,AX118/constantes!$B$3,AU118/constantes!$B$3)</f>
        <v>393.77151273211052</v>
      </c>
      <c r="AW118" s="39">
        <f ca="1">IF(AO118=0,0,PV(constantes!$B$3,AH118,-AU118)*constantes!$B$3)</f>
        <v>28.371164013015463</v>
      </c>
      <c r="AX118" s="40">
        <f>constantes!$B$10*E118/1000</f>
        <v>1.65</v>
      </c>
      <c r="AY118" s="533">
        <f>constantes!$B$12</f>
        <v>0</v>
      </c>
      <c r="AZ118" s="20">
        <v>318</v>
      </c>
      <c r="BA118" s="43"/>
      <c r="BB118" s="3" t="s">
        <v>2181</v>
      </c>
      <c r="BD118" s="534">
        <v>1</v>
      </c>
      <c r="BE118" s="535">
        <v>2027</v>
      </c>
      <c r="BF118" s="536">
        <v>1</v>
      </c>
      <c r="BG118" s="537">
        <v>2027</v>
      </c>
    </row>
    <row r="119" spans="1:59" ht="15" customHeight="1">
      <c r="A119" s="125">
        <v>1118</v>
      </c>
      <c r="B119" s="125">
        <v>1118</v>
      </c>
      <c r="C119" s="538" t="s">
        <v>2357</v>
      </c>
      <c r="D119" s="538" t="s">
        <v>2357</v>
      </c>
      <c r="E119" s="526">
        <v>45.5</v>
      </c>
      <c r="F119" s="3" t="s">
        <v>2229</v>
      </c>
      <c r="G119" s="3" t="s">
        <v>2358</v>
      </c>
      <c r="H119" s="3">
        <v>-44.446559999999998</v>
      </c>
      <c r="I119" s="3">
        <v>-22.874324000000001</v>
      </c>
      <c r="J119" s="539" t="s">
        <v>282</v>
      </c>
      <c r="K119" s="539" t="s">
        <v>282</v>
      </c>
      <c r="L119" s="554">
        <v>1</v>
      </c>
      <c r="M119" s="107"/>
      <c r="N119" s="529">
        <v>2.068E-2</v>
      </c>
      <c r="O119" s="529">
        <v>4.6600000000000003E-2</v>
      </c>
      <c r="P119" s="288">
        <f t="shared" si="25"/>
        <v>0.532119300920186</v>
      </c>
      <c r="Q119" s="30">
        <f t="shared" si="16"/>
        <v>24.211428191868464</v>
      </c>
      <c r="R119" s="30">
        <f t="shared" si="26"/>
        <v>21.288571808131536</v>
      </c>
      <c r="S119" s="107">
        <v>30.341009514539916</v>
      </c>
      <c r="T119" s="107">
        <v>26.634795813348461</v>
      </c>
      <c r="U119" s="107">
        <v>18.893436181305805</v>
      </c>
      <c r="V119" s="107">
        <v>20.976471258279673</v>
      </c>
      <c r="W119" s="288">
        <f t="shared" si="27"/>
        <v>0.56765074645560576</v>
      </c>
      <c r="X119" s="289">
        <f t="shared" si="19"/>
        <v>25.828108963730063</v>
      </c>
      <c r="Y119" s="289">
        <f t="shared" si="20"/>
        <v>1.6166807718615992</v>
      </c>
      <c r="Z119" s="107">
        <v>33.758759748828759</v>
      </c>
      <c r="AA119" s="107">
        <v>28.084970304779684</v>
      </c>
      <c r="AB119" s="107">
        <v>19.336038048872325</v>
      </c>
      <c r="AC119" s="107">
        <v>22.132667752439485</v>
      </c>
      <c r="AD119" s="106">
        <v>3</v>
      </c>
      <c r="AE119" s="32" t="str">
        <f>IF(AD119=0,"",VLOOKUP(AD119,tab_tipo_expansao!$A$2:$B$4,2,0))</f>
        <v>não_considerar</v>
      </c>
      <c r="AF119" s="125">
        <v>2030</v>
      </c>
      <c r="AG119" s="125">
        <v>2100</v>
      </c>
      <c r="AH119" s="125">
        <v>30</v>
      </c>
      <c r="AI119" s="530">
        <v>303.85450572611541</v>
      </c>
      <c r="AJ119" s="24">
        <f>AK119/constantes!$B$4</f>
        <v>1712.3387192229666</v>
      </c>
      <c r="AK119" s="33">
        <f t="shared" si="28"/>
        <v>6678.1210049695692</v>
      </c>
      <c r="AL119" s="87">
        <v>2</v>
      </c>
      <c r="AM119" s="531">
        <v>0</v>
      </c>
      <c r="AN119" s="23"/>
      <c r="AO119" s="532">
        <f t="shared" si="22"/>
        <v>303.85450572611541</v>
      </c>
      <c r="AQ119" s="35">
        <f t="shared" si="29"/>
        <v>6678.1210049695701</v>
      </c>
      <c r="AR119" s="36">
        <f ca="1">OFFSET(cod_desembolso!$A$1,AL119,23)</f>
        <v>1.1245293369208682</v>
      </c>
      <c r="AS119" s="37">
        <f ca="1">IF(AO119=0,0,AO119*(OFFSET(cod_desembolso!$A$1,AL119,23)))</f>
        <v>341.6933058446067</v>
      </c>
      <c r="AT119" s="38">
        <f>(constantes!$B$3*(1+constantes!$B$3)^(AH119))/((1+constantes!$B$3)^(AH119)-1)</f>
        <v>8.8827433387272267E-2</v>
      </c>
      <c r="AU119" s="37">
        <f t="shared" ca="1" si="24"/>
        <v>32.626739363788651</v>
      </c>
      <c r="AV119" s="37">
        <f ca="1">IF(AO119=0,AX119/constantes!$B$3,AU119/constantes!$B$3)</f>
        <v>407.83424204735815</v>
      </c>
      <c r="AW119" s="39">
        <f ca="1">IF(AO119=0,0,PV(constantes!$B$3,AH119,-AU119)*constantes!$B$3)</f>
        <v>29.384381036017739</v>
      </c>
      <c r="AX119" s="40">
        <f>constantes!$B$10*E119/1000</f>
        <v>2.2749999999999999</v>
      </c>
      <c r="AY119" s="533">
        <f>constantes!$B$12</f>
        <v>0</v>
      </c>
      <c r="AZ119" s="20">
        <v>318</v>
      </c>
      <c r="BA119" s="43"/>
      <c r="BB119" s="3" t="s">
        <v>2215</v>
      </c>
      <c r="BD119" s="534">
        <v>1</v>
      </c>
      <c r="BE119" s="535">
        <v>2035</v>
      </c>
      <c r="BF119" s="536">
        <v>3</v>
      </c>
      <c r="BG119" s="537">
        <v>2050</v>
      </c>
    </row>
    <row r="120" spans="1:59" ht="15">
      <c r="A120" s="125">
        <v>1119</v>
      </c>
      <c r="B120" s="125">
        <v>1119</v>
      </c>
      <c r="C120" s="538" t="s">
        <v>2359</v>
      </c>
      <c r="D120" s="538" t="s">
        <v>2359</v>
      </c>
      <c r="E120" s="526">
        <v>292</v>
      </c>
      <c r="F120" s="3" t="s">
        <v>2095</v>
      </c>
      <c r="G120" s="3" t="s">
        <v>2308</v>
      </c>
      <c r="H120" s="3">
        <v>-50.663587999999997</v>
      </c>
      <c r="I120" s="3">
        <v>-28.339153</v>
      </c>
      <c r="J120" s="539" t="s">
        <v>1989</v>
      </c>
      <c r="K120" s="539" t="s">
        <v>1989</v>
      </c>
      <c r="L120" s="554">
        <v>2</v>
      </c>
      <c r="M120" s="107"/>
      <c r="N120" s="529">
        <v>1.6379999999999999E-2</v>
      </c>
      <c r="O120" s="529">
        <v>6.1409999999999999E-2</v>
      </c>
      <c r="P120" s="288">
        <f t="shared" si="25"/>
        <v>0.54002278008806259</v>
      </c>
      <c r="Q120" s="30">
        <f t="shared" si="16"/>
        <v>157.68665178571428</v>
      </c>
      <c r="R120" s="30">
        <f t="shared" si="26"/>
        <v>134.31334821428572</v>
      </c>
      <c r="S120" s="107">
        <v>87.609523809523807</v>
      </c>
      <c r="T120" s="107">
        <v>131.0975</v>
      </c>
      <c r="U120" s="107">
        <v>239.09708333333336</v>
      </c>
      <c r="V120" s="107">
        <v>172.9425</v>
      </c>
      <c r="W120" s="288">
        <f t="shared" si="27"/>
        <v>0.55607339511146914</v>
      </c>
      <c r="X120" s="289">
        <f t="shared" si="19"/>
        <v>162.37343137254899</v>
      </c>
      <c r="Y120" s="289">
        <f t="shared" si="20"/>
        <v>4.6867795868347173</v>
      </c>
      <c r="Z120" s="107">
        <v>116.26337254901961</v>
      </c>
      <c r="AA120" s="107">
        <v>137.708</v>
      </c>
      <c r="AB120" s="107">
        <v>232.25733333333324</v>
      </c>
      <c r="AC120" s="107">
        <v>163.26501960784307</v>
      </c>
      <c r="AD120" s="106">
        <v>1</v>
      </c>
      <c r="AE120" s="32" t="str">
        <f>IF(AD120=0,"",VLOOKUP(AD120,tab_tipo_expansao!$A$2:$B$4,2,0))</f>
        <v>opcional</v>
      </c>
      <c r="AF120" s="125">
        <v>2028</v>
      </c>
      <c r="AG120" s="125">
        <v>2100</v>
      </c>
      <c r="AH120" s="125">
        <v>30</v>
      </c>
      <c r="AI120" s="530">
        <v>1435.5827055077154</v>
      </c>
      <c r="AJ120" s="24">
        <f>AK120/constantes!$B$4</f>
        <v>1260.6100329361743</v>
      </c>
      <c r="AK120" s="33">
        <f t="shared" si="28"/>
        <v>4916.3791284510799</v>
      </c>
      <c r="AL120" s="87">
        <v>2</v>
      </c>
      <c r="AM120" s="531">
        <v>0</v>
      </c>
      <c r="AN120" s="23"/>
      <c r="AO120" s="532">
        <f t="shared" si="22"/>
        <v>1435.5827055077154</v>
      </c>
      <c r="AQ120" s="35">
        <f t="shared" si="29"/>
        <v>4916.3791284510808</v>
      </c>
      <c r="AR120" s="36">
        <f ca="1">OFFSET(cod_desembolso!$A$1,AL120,23)</f>
        <v>1.1245293369208682</v>
      </c>
      <c r="AS120" s="37">
        <f ca="1">IF(AO120=0,0,AO120*(OFFSET(cod_desembolso!$A$1,AL120,23)))</f>
        <v>1614.3548679196572</v>
      </c>
      <c r="AT120" s="38">
        <f>(constantes!$B$3*(1+constantes!$B$3)^(AH120))/((1+constantes!$B$3)^(AH120)-1)</f>
        <v>8.8827433387272267E-2</v>
      </c>
      <c r="AU120" s="37">
        <f t="shared" ca="1" si="24"/>
        <v>157.99899949355205</v>
      </c>
      <c r="AV120" s="37">
        <f ca="1">IF(AO120=0,AX120/constantes!$B$3,AU120/constantes!$B$3)</f>
        <v>1974.9874936694005</v>
      </c>
      <c r="AW120" s="39">
        <f ca="1">IF(AO120=0,0,PV(constantes!$B$3,AH120,-AU120)*constantes!$B$3)</f>
        <v>142.29748037834545</v>
      </c>
      <c r="AX120" s="40">
        <f>constantes!$B$10*E120/1000</f>
        <v>14.6</v>
      </c>
      <c r="AY120" s="533">
        <f>constantes!$B$12</f>
        <v>0</v>
      </c>
      <c r="AZ120" s="20">
        <v>318</v>
      </c>
      <c r="BA120" s="43"/>
      <c r="BB120" s="3" t="s">
        <v>2195</v>
      </c>
      <c r="BD120" s="534">
        <v>1</v>
      </c>
      <c r="BE120" s="535">
        <v>2027</v>
      </c>
      <c r="BF120" s="536">
        <v>1</v>
      </c>
      <c r="BG120" s="537">
        <v>2027</v>
      </c>
    </row>
    <row r="121" spans="1:59" ht="15">
      <c r="A121" s="125">
        <v>1120</v>
      </c>
      <c r="B121" s="125">
        <v>1120</v>
      </c>
      <c r="C121" s="538" t="s">
        <v>2360</v>
      </c>
      <c r="D121" s="538" t="s">
        <v>2360</v>
      </c>
      <c r="E121" s="526">
        <v>103.29</v>
      </c>
      <c r="F121" s="3" t="s">
        <v>2194</v>
      </c>
      <c r="G121" s="3" t="s">
        <v>2339</v>
      </c>
      <c r="H121" s="3">
        <v>-52.300275999999997</v>
      </c>
      <c r="I121" s="3">
        <v>-23.578451000000001</v>
      </c>
      <c r="J121" s="539" t="s">
        <v>151</v>
      </c>
      <c r="K121" s="539" t="s">
        <v>151</v>
      </c>
      <c r="L121" s="554">
        <v>2</v>
      </c>
      <c r="M121" s="107"/>
      <c r="N121" s="529">
        <v>1.9820000000000001E-2</v>
      </c>
      <c r="O121" s="529">
        <v>5.2919999999999995E-2</v>
      </c>
      <c r="P121" s="288">
        <f t="shared" si="25"/>
        <v>0.56770782908961814</v>
      </c>
      <c r="Q121" s="30">
        <f t="shared" si="16"/>
        <v>58.638541666666661</v>
      </c>
      <c r="R121" s="30">
        <f t="shared" si="26"/>
        <v>44.651458333333345</v>
      </c>
      <c r="S121" s="107">
        <v>61.397142857142853</v>
      </c>
      <c r="T121" s="107">
        <v>58.371309523809515</v>
      </c>
      <c r="U121" s="107">
        <v>51.513749999999995</v>
      </c>
      <c r="V121" s="107">
        <v>63.271964285714283</v>
      </c>
      <c r="W121" s="288">
        <f t="shared" si="27"/>
        <v>0.65428851567735236</v>
      </c>
      <c r="X121" s="289">
        <f t="shared" si="19"/>
        <v>67.581460784313734</v>
      </c>
      <c r="Y121" s="289">
        <f t="shared" si="20"/>
        <v>8.9429191176470724</v>
      </c>
      <c r="Z121" s="107">
        <v>74.203372549019619</v>
      </c>
      <c r="AA121" s="107">
        <v>61.752549019607848</v>
      </c>
      <c r="AB121" s="107">
        <v>62.025411764705865</v>
      </c>
      <c r="AC121" s="107">
        <v>72.344509803921582</v>
      </c>
      <c r="AD121" s="106">
        <v>1</v>
      </c>
      <c r="AE121" s="32" t="str">
        <f>IF(AD121=0,"",VLOOKUP(AD121,tab_tipo_expansao!$A$2:$B$4,2,0))</f>
        <v>opcional</v>
      </c>
      <c r="AF121" s="125">
        <v>2028</v>
      </c>
      <c r="AG121" s="125">
        <v>2100</v>
      </c>
      <c r="AH121" s="125">
        <v>30</v>
      </c>
      <c r="AI121" s="530">
        <v>1174.1818208158463</v>
      </c>
      <c r="AJ121" s="24">
        <f>AK121/constantes!$B$4</f>
        <v>2914.8248789587847</v>
      </c>
      <c r="AK121" s="33">
        <f t="shared" si="28"/>
        <v>11367.81702793926</v>
      </c>
      <c r="AL121" s="87">
        <v>2</v>
      </c>
      <c r="AM121" s="531">
        <v>0</v>
      </c>
      <c r="AN121" s="23"/>
      <c r="AO121" s="532">
        <f t="shared" si="22"/>
        <v>1174.1818208158463</v>
      </c>
      <c r="AQ121" s="35">
        <f t="shared" si="29"/>
        <v>11367.817027939262</v>
      </c>
      <c r="AR121" s="36">
        <f ca="1">OFFSET(cod_desembolso!$A$1,AL121,23)</f>
        <v>1.1245293369208682</v>
      </c>
      <c r="AS121" s="37">
        <f ca="1">IF(AO121=0,0,AO121*(OFFSET(cod_desembolso!$A$1,AL121,23)))</f>
        <v>1320.4019043865812</v>
      </c>
      <c r="AT121" s="38">
        <f>(constantes!$B$3*(1+constantes!$B$3)^(AH121))/((1+constantes!$B$3)^(AH121)-1)</f>
        <v>8.8827433387272267E-2</v>
      </c>
      <c r="AU121" s="37">
        <f t="shared" ca="1" si="24"/>
        <v>122.4524122063265</v>
      </c>
      <c r="AV121" s="37">
        <f ca="1">IF(AO121=0,AX121/constantes!$B$3,AU121/constantes!$B$3)</f>
        <v>1530.6551525790812</v>
      </c>
      <c r="AW121" s="39">
        <f ca="1">IF(AO121=0,0,PV(constantes!$B$3,AH121,-AU121)*constantes!$B$3)</f>
        <v>110.28341811697305</v>
      </c>
      <c r="AX121" s="40">
        <f>constantes!$B$10*E121/1000</f>
        <v>5.1645000000000003</v>
      </c>
      <c r="AY121" s="533">
        <f>constantes!$B$12</f>
        <v>0</v>
      </c>
      <c r="AZ121" s="20">
        <v>318</v>
      </c>
      <c r="BA121" s="43"/>
      <c r="BB121" s="3" t="s">
        <v>2195</v>
      </c>
      <c r="BD121" s="534">
        <v>1</v>
      </c>
      <c r="BE121" s="535">
        <v>2027</v>
      </c>
      <c r="BF121" s="536">
        <v>1</v>
      </c>
      <c r="BG121" s="537">
        <v>2027</v>
      </c>
    </row>
    <row r="122" spans="1:59" ht="15">
      <c r="A122" s="125">
        <v>1121</v>
      </c>
      <c r="B122" s="125">
        <v>1121</v>
      </c>
      <c r="C122" s="538" t="s">
        <v>2361</v>
      </c>
      <c r="D122" s="538" t="s">
        <v>2361</v>
      </c>
      <c r="E122" s="526">
        <v>524</v>
      </c>
      <c r="F122" s="3" t="s">
        <v>2095</v>
      </c>
      <c r="G122" s="3" t="s">
        <v>2095</v>
      </c>
      <c r="H122">
        <v>-54.904443999999998</v>
      </c>
      <c r="I122">
        <v>-27.651109000000002</v>
      </c>
      <c r="J122" s="539" t="s">
        <v>149</v>
      </c>
      <c r="K122" s="539" t="s">
        <v>149</v>
      </c>
      <c r="L122" s="554">
        <v>2</v>
      </c>
      <c r="M122" s="107"/>
      <c r="N122" s="529">
        <v>1.6379999999999999E-2</v>
      </c>
      <c r="O122" s="529">
        <v>6.1409999999999999E-2</v>
      </c>
      <c r="P122" s="288">
        <f t="shared" si="25"/>
        <v>0.47938573473282442</v>
      </c>
      <c r="Q122" s="30">
        <f t="shared" si="16"/>
        <v>251.198125</v>
      </c>
      <c r="R122" s="30">
        <f t="shared" si="26"/>
        <v>272.801875</v>
      </c>
      <c r="S122" s="107">
        <v>151.52071428571426</v>
      </c>
      <c r="T122" s="107">
        <v>242.80437500000002</v>
      </c>
      <c r="U122" s="107">
        <v>320.42770833333333</v>
      </c>
      <c r="V122" s="107">
        <v>290.03970238095241</v>
      </c>
      <c r="W122" s="288">
        <f t="shared" si="27"/>
        <v>0.55372075662326004</v>
      </c>
      <c r="X122" s="289">
        <f t="shared" si="19"/>
        <v>290.14967647058825</v>
      </c>
      <c r="Y122" s="289">
        <f t="shared" si="20"/>
        <v>38.951551470588242</v>
      </c>
      <c r="Z122" s="107">
        <v>200.40786274509807</v>
      </c>
      <c r="AA122" s="107">
        <v>278.69650980392157</v>
      </c>
      <c r="AB122" s="107">
        <v>364.19805882352944</v>
      </c>
      <c r="AC122" s="107">
        <v>317.29627450980388</v>
      </c>
      <c r="AD122" s="106">
        <v>3</v>
      </c>
      <c r="AE122" s="32" t="str">
        <f>IF(AD122=0,"",VLOOKUP(AD122,tab_tipo_expansao!$A$2:$B$4,2,0))</f>
        <v>não_considerar</v>
      </c>
      <c r="AF122" s="125">
        <v>2030</v>
      </c>
      <c r="AG122" s="125">
        <v>2100</v>
      </c>
      <c r="AH122" s="125">
        <v>30</v>
      </c>
      <c r="AI122" s="530">
        <v>5169.4175308654503</v>
      </c>
      <c r="AJ122" s="24">
        <f>AK122/constantes!$B$4</f>
        <v>2529.5642644673371</v>
      </c>
      <c r="AK122" s="33">
        <f t="shared" si="28"/>
        <v>9865.300631422615</v>
      </c>
      <c r="AL122" s="87">
        <v>3</v>
      </c>
      <c r="AM122" s="531">
        <v>0</v>
      </c>
      <c r="AN122" s="23"/>
      <c r="AO122" s="532">
        <f t="shared" si="22"/>
        <v>5169.4175308654503</v>
      </c>
      <c r="AQ122" s="35">
        <f t="shared" si="29"/>
        <v>9865.300631422615</v>
      </c>
      <c r="AR122" s="36">
        <f ca="1">OFFSET(cod_desembolso!$A$1,AL122,23)</f>
        <v>1.1255071012622904</v>
      </c>
      <c r="AS122" s="37">
        <f ca="1">IF(AO122=0,0,AO122*(OFFSET(cod_desembolso!$A$1,AL122,23)))</f>
        <v>5818.2161403788396</v>
      </c>
      <c r="AT122" s="38">
        <f>(constantes!$B$3*(1+constantes!$B$3)^(AH122))/((1+constantes!$B$3)^(AH122)-1)</f>
        <v>8.8827433387272267E-2</v>
      </c>
      <c r="AU122" s="37">
        <f t="shared" ca="1" si="24"/>
        <v>543.01720664225377</v>
      </c>
      <c r="AV122" s="37">
        <f ca="1">IF(AO122=0,AX122/constantes!$B$3,AU122/constantes!$B$3)</f>
        <v>6787.7150830281716</v>
      </c>
      <c r="AW122" s="39">
        <f ca="1">IF(AO122=0,0,PV(constantes!$B$3,AH122,-AU122)*constantes!$B$3)</f>
        <v>489.05360511750246</v>
      </c>
      <c r="AX122" s="40">
        <f>constantes!$B$10*E122/1000</f>
        <v>26.2</v>
      </c>
      <c r="AY122" s="533">
        <f>constantes!$B$12</f>
        <v>0</v>
      </c>
      <c r="AZ122" s="20">
        <v>318</v>
      </c>
      <c r="BA122" s="43"/>
      <c r="BB122" s="3" t="s">
        <v>2183</v>
      </c>
      <c r="BD122" s="534">
        <v>1</v>
      </c>
      <c r="BE122" s="535">
        <v>2030</v>
      </c>
      <c r="BF122" s="536">
        <v>1</v>
      </c>
      <c r="BG122" s="537">
        <v>2030</v>
      </c>
    </row>
    <row r="123" spans="1:59" ht="15">
      <c r="A123" s="125">
        <v>1122</v>
      </c>
      <c r="B123" s="125">
        <v>1122</v>
      </c>
      <c r="C123" s="538" t="s">
        <v>2362</v>
      </c>
      <c r="D123" s="538" t="s">
        <v>2362</v>
      </c>
      <c r="E123" s="526">
        <v>54</v>
      </c>
      <c r="F123" s="3" t="s">
        <v>2229</v>
      </c>
      <c r="G123" s="3" t="s">
        <v>2363</v>
      </c>
      <c r="H123">
        <v>-41.708378000000003</v>
      </c>
      <c r="I123">
        <v>-19.806308999999999</v>
      </c>
      <c r="J123" s="539" t="s">
        <v>150</v>
      </c>
      <c r="K123" s="539" t="s">
        <v>150</v>
      </c>
      <c r="L123" s="554">
        <v>1</v>
      </c>
      <c r="M123" s="107"/>
      <c r="N123" s="529">
        <v>2.068E-2</v>
      </c>
      <c r="O123" s="529">
        <v>4.6600000000000003E-2</v>
      </c>
      <c r="P123" s="288">
        <f t="shared" si="25"/>
        <v>0.532119300920186</v>
      </c>
      <c r="Q123" s="30">
        <f t="shared" si="16"/>
        <v>28.734442249690044</v>
      </c>
      <c r="R123" s="30">
        <f t="shared" si="26"/>
        <v>25.265557750309956</v>
      </c>
      <c r="S123" s="107">
        <v>36.009110193080339</v>
      </c>
      <c r="T123" s="107">
        <v>31.610526899358607</v>
      </c>
      <c r="U123" s="107">
        <v>22.422979204187111</v>
      </c>
      <c r="V123" s="107">
        <v>24.895152702134116</v>
      </c>
      <c r="W123" s="288">
        <f t="shared" si="27"/>
        <v>0.56765074645560576</v>
      </c>
      <c r="X123" s="289">
        <f t="shared" si="19"/>
        <v>30.653140308602708</v>
      </c>
      <c r="Y123" s="289">
        <f t="shared" si="20"/>
        <v>1.9186980589126641</v>
      </c>
      <c r="Z123" s="107">
        <v>40.065341240368191</v>
      </c>
      <c r="AA123" s="107">
        <v>33.331613108969293</v>
      </c>
      <c r="AB123" s="107">
        <v>22.948264937123202</v>
      </c>
      <c r="AC123" s="107">
        <v>26.267341947950158</v>
      </c>
      <c r="AD123" s="106">
        <v>1</v>
      </c>
      <c r="AE123" s="32" t="str">
        <f>IF(AD123=0,"",VLOOKUP(AD123,tab_tipo_expansao!$A$2:$B$4,2,0))</f>
        <v>opcional</v>
      </c>
      <c r="AF123" s="125">
        <v>2028</v>
      </c>
      <c r="AG123" s="125">
        <v>2100</v>
      </c>
      <c r="AH123" s="125">
        <v>30</v>
      </c>
      <c r="AI123" s="530">
        <v>540</v>
      </c>
      <c r="AJ123" s="24">
        <f>AK123/constantes!$B$4</f>
        <v>2564.102564102564</v>
      </c>
      <c r="AK123" s="33">
        <f t="shared" si="28"/>
        <v>10000</v>
      </c>
      <c r="AL123" s="87">
        <v>2</v>
      </c>
      <c r="AM123" s="531">
        <v>0</v>
      </c>
      <c r="AN123" s="23"/>
      <c r="AO123" s="532">
        <f t="shared" si="22"/>
        <v>540</v>
      </c>
      <c r="AQ123" s="35">
        <f t="shared" si="29"/>
        <v>10000</v>
      </c>
      <c r="AR123" s="36">
        <f ca="1">OFFSET(cod_desembolso!$A$1,AL123,23)</f>
        <v>1.1245293369208682</v>
      </c>
      <c r="AS123" s="37">
        <f ca="1">IF(AO123=0,0,AO123*(OFFSET(cod_desembolso!$A$1,AL123,23)))</f>
        <v>607.24584193726878</v>
      </c>
      <c r="AT123" s="38">
        <f>(constantes!$B$3*(1+constantes!$B$3)^(AH123))/((1+constantes!$B$3)^(AH123)-1)</f>
        <v>8.8827433387272267E-2</v>
      </c>
      <c r="AU123" s="37">
        <f t="shared" ca="1" si="24"/>
        <v>56.640089574380809</v>
      </c>
      <c r="AV123" s="37">
        <f ca="1">IF(AO123=0,AX123/constantes!$B$3,AU123/constantes!$B$3)</f>
        <v>708.00111967976011</v>
      </c>
      <c r="AW123" s="39">
        <f ca="1">IF(AO123=0,0,PV(constantes!$B$3,AH123,-AU123)*constantes!$B$3)</f>
        <v>51.011348557097037</v>
      </c>
      <c r="AX123" s="40">
        <f>constantes!$B$10*E123/1000</f>
        <v>2.7</v>
      </c>
      <c r="AY123" s="533">
        <f>constantes!$B$12</f>
        <v>0</v>
      </c>
      <c r="AZ123" s="20">
        <v>318</v>
      </c>
      <c r="BA123" s="43"/>
      <c r="BB123" s="3" t="s">
        <v>2195</v>
      </c>
      <c r="BD123" s="534">
        <v>1</v>
      </c>
      <c r="BE123" s="535">
        <v>2027</v>
      </c>
      <c r="BF123" s="536">
        <v>1</v>
      </c>
      <c r="BG123" s="537">
        <v>2027</v>
      </c>
    </row>
    <row r="124" spans="1:59" ht="15">
      <c r="A124" s="125">
        <v>1123</v>
      </c>
      <c r="B124" s="125">
        <v>1123</v>
      </c>
      <c r="C124" s="538" t="s">
        <v>2353</v>
      </c>
      <c r="D124" s="538" t="s">
        <v>2353</v>
      </c>
      <c r="E124" s="526">
        <v>90</v>
      </c>
      <c r="F124" s="3" t="s">
        <v>2197</v>
      </c>
      <c r="G124" s="3" t="s">
        <v>2353</v>
      </c>
      <c r="H124" s="3">
        <v>-47.81671</v>
      </c>
      <c r="I124" s="3">
        <v>-12.667058000000001</v>
      </c>
      <c r="J124" s="539" t="s">
        <v>1981</v>
      </c>
      <c r="K124" s="539" t="s">
        <v>1981</v>
      </c>
      <c r="L124" s="554">
        <v>1</v>
      </c>
      <c r="M124" s="107"/>
      <c r="N124" s="529">
        <v>1.9820000000000001E-2</v>
      </c>
      <c r="O124" s="529">
        <v>5.2919999999999995E-2</v>
      </c>
      <c r="P124" s="288">
        <f t="shared" si="25"/>
        <v>0.48875744047619052</v>
      </c>
      <c r="Q124" s="30">
        <f t="shared" si="16"/>
        <v>43.988169642857144</v>
      </c>
      <c r="R124" s="30">
        <f t="shared" si="26"/>
        <v>46.011830357142856</v>
      </c>
      <c r="S124" s="107">
        <v>64.278571428571425</v>
      </c>
      <c r="T124" s="107">
        <v>39.370059523809523</v>
      </c>
      <c r="U124" s="107">
        <v>28.348333333333333</v>
      </c>
      <c r="V124" s="107">
        <v>43.955714285714286</v>
      </c>
      <c r="W124" s="288">
        <f t="shared" si="27"/>
        <v>0.53799673202614373</v>
      </c>
      <c r="X124" s="289">
        <f t="shared" si="19"/>
        <v>48.419705882352936</v>
      </c>
      <c r="Y124" s="289">
        <f t="shared" si="20"/>
        <v>4.4315362394957916</v>
      </c>
      <c r="Z124" s="107">
        <v>70.503490196078431</v>
      </c>
      <c r="AA124" s="107">
        <v>45.979294117647036</v>
      </c>
      <c r="AB124" s="107">
        <v>27.821058823529413</v>
      </c>
      <c r="AC124" s="107">
        <v>49.37498039215685</v>
      </c>
      <c r="AD124" s="106">
        <v>3</v>
      </c>
      <c r="AE124" s="32" t="str">
        <f>IF(AD124=0,"",VLOOKUP(AD124,tab_tipo_expansao!$A$2:$B$4,2,0))</f>
        <v>não_considerar</v>
      </c>
      <c r="AF124" s="125">
        <v>2030</v>
      </c>
      <c r="AG124" s="125">
        <v>2100</v>
      </c>
      <c r="AH124" s="125">
        <v>30</v>
      </c>
      <c r="AI124" s="530">
        <v>660.09883238526129</v>
      </c>
      <c r="AJ124" s="24">
        <f>AK124/constantes!$B$4</f>
        <v>1880.6234540890634</v>
      </c>
      <c r="AK124" s="33">
        <f t="shared" si="28"/>
        <v>7334.4314709473474</v>
      </c>
      <c r="AL124" s="87">
        <v>2</v>
      </c>
      <c r="AM124" s="531">
        <v>0</v>
      </c>
      <c r="AN124" s="23"/>
      <c r="AO124" s="532">
        <f t="shared" si="22"/>
        <v>660.09883238526129</v>
      </c>
      <c r="AQ124" s="35">
        <f t="shared" si="29"/>
        <v>7334.4314709473483</v>
      </c>
      <c r="AR124" s="36">
        <f ca="1">OFFSET(cod_desembolso!$A$1,AL124,23)</f>
        <v>1.1245293369208682</v>
      </c>
      <c r="AS124" s="37">
        <f ca="1">IF(AO124=0,0,AO124*(OFFSET(cod_desembolso!$A$1,AL124,23)))</f>
        <v>742.30050228443724</v>
      </c>
      <c r="AT124" s="38">
        <f>(constantes!$B$3*(1+constantes!$B$3)^(AH124))/((1+constantes!$B$3)^(AH124)-1)</f>
        <v>8.8827433387272267E-2</v>
      </c>
      <c r="AU124" s="37">
        <f t="shared" ca="1" si="24"/>
        <v>70.43664842000959</v>
      </c>
      <c r="AV124" s="37">
        <f ca="1">IF(AO124=0,AX124/constantes!$B$3,AU124/constantes!$B$3)</f>
        <v>880.45810525011984</v>
      </c>
      <c r="AW124" s="39">
        <f ca="1">IF(AO124=0,0,PV(constantes!$B$3,AH124,-AU124)*constantes!$B$3)</f>
        <v>63.436842186280863</v>
      </c>
      <c r="AX124" s="40">
        <f>constantes!$B$10*E124/1000</f>
        <v>4.5</v>
      </c>
      <c r="AY124" s="533">
        <f>constantes!$B$12</f>
        <v>0</v>
      </c>
      <c r="AZ124" s="20">
        <v>318</v>
      </c>
      <c r="BA124" s="43"/>
      <c r="BB124" s="3" t="s">
        <v>2181</v>
      </c>
      <c r="BD124" s="534">
        <v>1</v>
      </c>
      <c r="BE124" s="535">
        <v>2027</v>
      </c>
      <c r="BF124" s="536">
        <v>1</v>
      </c>
      <c r="BG124" s="537">
        <v>2027</v>
      </c>
    </row>
    <row r="125" spans="1:59" ht="15">
      <c r="A125" s="125">
        <v>1124</v>
      </c>
      <c r="B125" s="125">
        <v>1124</v>
      </c>
      <c r="C125" s="538" t="s">
        <v>2364</v>
      </c>
      <c r="D125" s="538" t="s">
        <v>2364</v>
      </c>
      <c r="E125" s="526">
        <v>74.5</v>
      </c>
      <c r="F125" s="3" t="s">
        <v>2179</v>
      </c>
      <c r="G125" s="3" t="s">
        <v>2333</v>
      </c>
      <c r="H125" s="3">
        <v>-57.389727999999998</v>
      </c>
      <c r="I125" s="3">
        <v>-12.818666</v>
      </c>
      <c r="J125" s="539" t="s">
        <v>158</v>
      </c>
      <c r="K125" s="539" t="s">
        <v>158</v>
      </c>
      <c r="L125" s="554">
        <v>10</v>
      </c>
      <c r="M125" s="107"/>
      <c r="N125" s="529">
        <v>1.9820000000000001E-2</v>
      </c>
      <c r="O125" s="529">
        <v>5.2919999999999995E-2</v>
      </c>
      <c r="P125" s="288">
        <f t="shared" si="25"/>
        <v>0.35690316395014376</v>
      </c>
      <c r="Q125" s="30">
        <f t="shared" si="16"/>
        <v>26.589285714285712</v>
      </c>
      <c r="R125" s="30">
        <f t="shared" si="26"/>
        <v>47.910714285714292</v>
      </c>
      <c r="S125" s="107">
        <v>33.089999999999996</v>
      </c>
      <c r="T125" s="107">
        <v>27.067023809523807</v>
      </c>
      <c r="U125" s="107">
        <v>20.861249999999998</v>
      </c>
      <c r="V125" s="107">
        <v>25.338869047619045</v>
      </c>
      <c r="W125" s="288">
        <f t="shared" si="27"/>
        <v>0.35025977102250283</v>
      </c>
      <c r="X125" s="289">
        <f t="shared" si="19"/>
        <v>26.09435294117646</v>
      </c>
      <c r="Y125" s="289">
        <f t="shared" si="20"/>
        <v>-0.49493277310925166</v>
      </c>
      <c r="Z125" s="107">
        <v>34.324549019607829</v>
      </c>
      <c r="AA125" s="107">
        <v>26.628352941176463</v>
      </c>
      <c r="AB125" s="107">
        <v>19.016980392156853</v>
      </c>
      <c r="AC125" s="107">
        <v>24.407529411764699</v>
      </c>
      <c r="AD125" s="106">
        <v>3</v>
      </c>
      <c r="AE125" s="32" t="str">
        <f>IF(AD125=0,"",VLOOKUP(AD125,tab_tipo_expansao!$A$2:$B$4,2,0))</f>
        <v>não_considerar</v>
      </c>
      <c r="AF125" s="125">
        <v>2030</v>
      </c>
      <c r="AG125" s="125">
        <v>2100</v>
      </c>
      <c r="AH125" s="125">
        <v>30</v>
      </c>
      <c r="AI125" s="530">
        <v>1287.3131015122779</v>
      </c>
      <c r="AJ125" s="24">
        <f>AK125/constantes!$B$4</f>
        <v>4430.6078179737669</v>
      </c>
      <c r="AK125" s="33">
        <f t="shared" si="28"/>
        <v>17279.370490097692</v>
      </c>
      <c r="AL125" s="87">
        <v>2</v>
      </c>
      <c r="AM125" s="531">
        <v>0</v>
      </c>
      <c r="AN125" s="23"/>
      <c r="AO125" s="532">
        <f t="shared" si="22"/>
        <v>1287.3131015122779</v>
      </c>
      <c r="AQ125" s="35">
        <f t="shared" si="29"/>
        <v>17279.370490097692</v>
      </c>
      <c r="AR125" s="36">
        <f ca="1">OFFSET(cod_desembolso!$A$1,AL125,23)</f>
        <v>1.1245293369208682</v>
      </c>
      <c r="AS125" s="37">
        <f ca="1">IF(AO125=0,0,AO125*(OFFSET(cod_desembolso!$A$1,AL125,23)))</f>
        <v>1447.6213484531481</v>
      </c>
      <c r="AT125" s="38">
        <f>(constantes!$B$3*(1+constantes!$B$3)^(AH125))/((1+constantes!$B$3)^(AH125)-1)</f>
        <v>8.8827433387272267E-2</v>
      </c>
      <c r="AU125" s="37">
        <f t="shared" ca="1" si="24"/>
        <v>132.31348889971525</v>
      </c>
      <c r="AV125" s="37">
        <f ca="1">IF(AO125=0,AX125/constantes!$B$3,AU125/constantes!$B$3)</f>
        <v>1653.9186112464406</v>
      </c>
      <c r="AW125" s="39">
        <f ca="1">IF(AO125=0,0,PV(constantes!$B$3,AH125,-AU125)*constantes!$B$3)</f>
        <v>119.16452731250382</v>
      </c>
      <c r="AX125" s="40">
        <f>constantes!$B$10*E125/1000</f>
        <v>3.7250000000000001</v>
      </c>
      <c r="AY125" s="533">
        <f>constantes!$B$12</f>
        <v>0</v>
      </c>
      <c r="AZ125" s="20">
        <v>318</v>
      </c>
      <c r="BA125" s="43"/>
      <c r="BB125" s="3" t="s">
        <v>2215</v>
      </c>
      <c r="BD125" s="534">
        <v>1</v>
      </c>
      <c r="BE125" s="535">
        <v>2035</v>
      </c>
      <c r="BF125" s="536">
        <v>3</v>
      </c>
      <c r="BG125" s="537">
        <v>2050</v>
      </c>
    </row>
    <row r="126" spans="1:59" ht="15">
      <c r="A126" s="125">
        <v>1125</v>
      </c>
      <c r="B126" s="125">
        <v>1125</v>
      </c>
      <c r="C126" s="538" t="s">
        <v>2365</v>
      </c>
      <c r="D126" s="538" t="s">
        <v>2365</v>
      </c>
      <c r="E126" s="526">
        <v>199.3</v>
      </c>
      <c r="F126" s="3" t="s">
        <v>2179</v>
      </c>
      <c r="G126" s="3" t="s">
        <v>2288</v>
      </c>
      <c r="H126" s="3">
        <v>-61.588611</v>
      </c>
      <c r="I126" s="3">
        <v>2.940833</v>
      </c>
      <c r="J126" s="539" t="s">
        <v>157</v>
      </c>
      <c r="K126" s="539" t="s">
        <v>157</v>
      </c>
      <c r="L126" s="554">
        <v>4</v>
      </c>
      <c r="M126" s="107"/>
      <c r="N126" s="529">
        <v>1.6379999999999999E-2</v>
      </c>
      <c r="O126" s="529">
        <v>6.1409999999999999E-2</v>
      </c>
      <c r="P126" s="288">
        <f t="shared" si="25"/>
        <v>0.51988044465151839</v>
      </c>
      <c r="Q126" s="30">
        <f t="shared" si="16"/>
        <v>103.61217261904761</v>
      </c>
      <c r="R126" s="30">
        <f t="shared" si="26"/>
        <v>95.687827380952399</v>
      </c>
      <c r="S126" s="107">
        <v>51.911428571428566</v>
      </c>
      <c r="T126" s="107">
        <v>119.79119047619048</v>
      </c>
      <c r="U126" s="107">
        <v>165.94541666666666</v>
      </c>
      <c r="V126" s="107">
        <v>76.800654761904767</v>
      </c>
      <c r="W126" s="288">
        <f t="shared" si="27"/>
        <v>0.44201942091437679</v>
      </c>
      <c r="X126" s="289">
        <f t="shared" si="19"/>
        <v>88.094470588235296</v>
      </c>
      <c r="Y126" s="289">
        <f t="shared" si="20"/>
        <v>-15.517702030812316</v>
      </c>
      <c r="Z126" s="107">
        <v>43.095176470588228</v>
      </c>
      <c r="AA126" s="107">
        <v>105.64650980392157</v>
      </c>
      <c r="AB126" s="107">
        <v>139.45988235294121</v>
      </c>
      <c r="AC126" s="107">
        <v>64.176313725490161</v>
      </c>
      <c r="AD126" s="106">
        <v>3</v>
      </c>
      <c r="AE126" s="32" t="str">
        <f>IF(AD126=0,"",VLOOKUP(AD126,tab_tipo_expansao!$A$2:$B$4,2,0))</f>
        <v>não_considerar</v>
      </c>
      <c r="AF126" s="125">
        <v>2030</v>
      </c>
      <c r="AG126" s="125">
        <v>2100</v>
      </c>
      <c r="AH126" s="125">
        <v>30</v>
      </c>
      <c r="AI126" s="530">
        <v>1402.9147658261079</v>
      </c>
      <c r="AJ126" s="24">
        <f>AK126/constantes!$B$4</f>
        <v>1804.9259148379685</v>
      </c>
      <c r="AK126" s="33">
        <f t="shared" si="28"/>
        <v>7039.2110678680774</v>
      </c>
      <c r="AL126" s="87">
        <v>2</v>
      </c>
      <c r="AM126" s="531">
        <v>0</v>
      </c>
      <c r="AN126" s="23"/>
      <c r="AO126" s="532">
        <f t="shared" si="22"/>
        <v>1402.9147658261079</v>
      </c>
      <c r="AQ126" s="35">
        <f t="shared" si="29"/>
        <v>7039.2110678680774</v>
      </c>
      <c r="AR126" s="36">
        <f ca="1">OFFSET(cod_desembolso!$A$1,AL126,23)</f>
        <v>1.1245293369208682</v>
      </c>
      <c r="AS126" s="37">
        <f ca="1">IF(AO126=0,0,AO126*(OFFSET(cod_desembolso!$A$1,AL126,23)))</f>
        <v>1577.6188113709281</v>
      </c>
      <c r="AT126" s="38">
        <f>(constantes!$B$3*(1+constantes!$B$3)^(AH126))/((1+constantes!$B$3)^(AH126)-1)</f>
        <v>8.8827433387272267E-2</v>
      </c>
      <c r="AU126" s="37">
        <f t="shared" ca="1" si="24"/>
        <v>150.10082987755877</v>
      </c>
      <c r="AV126" s="37">
        <f ca="1">IF(AO126=0,AX126/constantes!$B$3,AU126/constantes!$B$3)</f>
        <v>1876.2603734694846</v>
      </c>
      <c r="AW126" s="39">
        <f ca="1">IF(AO126=0,0,PV(constantes!$B$3,AH126,-AU126)*constantes!$B$3)</f>
        <v>135.18420979081549</v>
      </c>
      <c r="AX126" s="40">
        <f>constantes!$B$10*E126/1000</f>
        <v>9.9649999999999999</v>
      </c>
      <c r="AY126" s="533">
        <f>constantes!$B$12</f>
        <v>0</v>
      </c>
      <c r="AZ126" s="20">
        <v>318</v>
      </c>
      <c r="BA126" s="43"/>
      <c r="BB126" s="3" t="s">
        <v>2181</v>
      </c>
      <c r="BD126" s="534">
        <v>1</v>
      </c>
      <c r="BE126" s="535">
        <v>2027</v>
      </c>
      <c r="BF126" s="536">
        <v>1</v>
      </c>
      <c r="BG126" s="537">
        <v>2027</v>
      </c>
    </row>
    <row r="127" spans="1:59" ht="15">
      <c r="A127" s="125">
        <v>1126</v>
      </c>
      <c r="B127" s="125">
        <v>1126</v>
      </c>
      <c r="C127" s="538" t="s">
        <v>2366</v>
      </c>
      <c r="D127" s="538" t="s">
        <v>2366</v>
      </c>
      <c r="E127" s="526">
        <v>69.900000000000006</v>
      </c>
      <c r="F127" s="3" t="s">
        <v>2179</v>
      </c>
      <c r="G127" s="3" t="s">
        <v>2288</v>
      </c>
      <c r="H127" s="3">
        <v>-61.663888999999998</v>
      </c>
      <c r="I127" s="3">
        <v>2.895556</v>
      </c>
      <c r="J127" s="539" t="s">
        <v>157</v>
      </c>
      <c r="K127" s="539" t="s">
        <v>157</v>
      </c>
      <c r="L127" s="554">
        <v>4</v>
      </c>
      <c r="M127" s="107"/>
      <c r="N127" s="529">
        <v>1.9820000000000001E-2</v>
      </c>
      <c r="O127" s="529">
        <v>5.2919999999999995E-2</v>
      </c>
      <c r="P127" s="288">
        <f t="shared" si="25"/>
        <v>0.51053758771033453</v>
      </c>
      <c r="Q127" s="30">
        <f t="shared" si="16"/>
        <v>35.686577380952386</v>
      </c>
      <c r="R127" s="30">
        <f t="shared" si="26"/>
        <v>34.21342261904762</v>
      </c>
      <c r="S127" s="107">
        <v>18.95571428571429</v>
      </c>
      <c r="T127" s="107">
        <v>41.366250000000001</v>
      </c>
      <c r="U127" s="107">
        <v>54.29</v>
      </c>
      <c r="V127" s="107">
        <v>28.134345238095239</v>
      </c>
      <c r="W127" s="288">
        <f t="shared" si="27"/>
        <v>0.4469433925215292</v>
      </c>
      <c r="X127" s="289">
        <f t="shared" si="19"/>
        <v>31.241343137254894</v>
      </c>
      <c r="Y127" s="289">
        <f t="shared" si="20"/>
        <v>-4.4452342436974916</v>
      </c>
      <c r="Z127" s="107">
        <v>15.782980392156858</v>
      </c>
      <c r="AA127" s="107">
        <v>37.200235294117647</v>
      </c>
      <c r="AB127" s="107">
        <v>48.481215686274481</v>
      </c>
      <c r="AC127" s="107">
        <v>23.500941176470594</v>
      </c>
      <c r="AD127" s="106">
        <v>3</v>
      </c>
      <c r="AE127" s="32" t="str">
        <f>IF(AD127=0,"",VLOOKUP(AD127,tab_tipo_expansao!$A$2:$B$4,2,0))</f>
        <v>não_considerar</v>
      </c>
      <c r="AF127" s="125">
        <v>2030</v>
      </c>
      <c r="AG127" s="125">
        <v>2100</v>
      </c>
      <c r="AH127" s="125">
        <v>30</v>
      </c>
      <c r="AI127" s="530">
        <v>923.23114173989666</v>
      </c>
      <c r="AJ127" s="24">
        <f>AK127/constantes!$B$4</f>
        <v>3386.6371070022983</v>
      </c>
      <c r="AK127" s="33">
        <f t="shared" si="28"/>
        <v>13207.884717308963</v>
      </c>
      <c r="AL127" s="87">
        <v>2</v>
      </c>
      <c r="AM127" s="531">
        <v>0</v>
      </c>
      <c r="AN127" s="23"/>
      <c r="AO127" s="532">
        <f t="shared" si="22"/>
        <v>923.23114173989666</v>
      </c>
      <c r="AQ127" s="35">
        <f t="shared" si="29"/>
        <v>13207.884717308963</v>
      </c>
      <c r="AR127" s="36">
        <f ca="1">OFFSET(cod_desembolso!$A$1,AL127,23)</f>
        <v>1.1245293369208682</v>
      </c>
      <c r="AS127" s="37">
        <f ca="1">IF(AO127=0,0,AO127*(OFFSET(cod_desembolso!$A$1,AL127,23)))</f>
        <v>1038.200503645462</v>
      </c>
      <c r="AT127" s="38">
        <f>(constantes!$B$3*(1+constantes!$B$3)^(AH127))/((1+constantes!$B$3)^(AH127)-1)</f>
        <v>8.8827433387272267E-2</v>
      </c>
      <c r="AU127" s="37">
        <f t="shared" ca="1" si="24"/>
        <v>95.715686080199802</v>
      </c>
      <c r="AV127" s="37">
        <f ca="1">IF(AO127=0,AX127/constantes!$B$3,AU127/constantes!$B$3)</f>
        <v>1196.4460760024974</v>
      </c>
      <c r="AW127" s="39">
        <f ca="1">IF(AO127=0,0,PV(constantes!$B$3,AH127,-AU127)*constantes!$B$3)</f>
        <v>86.203716514375415</v>
      </c>
      <c r="AX127" s="40">
        <f>constantes!$B$10*E127/1000</f>
        <v>3.4950000000000006</v>
      </c>
      <c r="AY127" s="533">
        <f>constantes!$B$12</f>
        <v>0</v>
      </c>
      <c r="AZ127" s="20">
        <v>318</v>
      </c>
      <c r="BA127" s="43"/>
      <c r="BB127" s="3" t="s">
        <v>2181</v>
      </c>
      <c r="BD127" s="534">
        <v>1</v>
      </c>
      <c r="BE127" s="535">
        <v>2027</v>
      </c>
      <c r="BF127" s="536">
        <v>1</v>
      </c>
      <c r="BG127" s="537">
        <v>2027</v>
      </c>
    </row>
    <row r="128" spans="1:59" ht="15">
      <c r="A128" s="125">
        <v>1127</v>
      </c>
      <c r="B128" s="125">
        <v>1127</v>
      </c>
      <c r="C128" s="538" t="s">
        <v>2367</v>
      </c>
      <c r="D128" s="538" t="s">
        <v>2367</v>
      </c>
      <c r="E128" s="526">
        <v>64</v>
      </c>
      <c r="F128" s="3" t="s">
        <v>2197</v>
      </c>
      <c r="G128" s="3" t="s">
        <v>2217</v>
      </c>
      <c r="H128" s="3">
        <v>-47.134112999999999</v>
      </c>
      <c r="I128" s="3">
        <v>-12.364687999999999</v>
      </c>
      <c r="J128" s="539" t="s">
        <v>1981</v>
      </c>
      <c r="K128" s="539" t="s">
        <v>1981</v>
      </c>
      <c r="L128" s="554">
        <v>1</v>
      </c>
      <c r="M128" s="107"/>
      <c r="N128" s="529">
        <v>1.9820000000000001E-2</v>
      </c>
      <c r="O128" s="529">
        <v>5.2919999999999995E-2</v>
      </c>
      <c r="P128" s="288">
        <f t="shared" si="25"/>
        <v>0.51287062872023814</v>
      </c>
      <c r="Q128" s="30">
        <f t="shared" si="16"/>
        <v>32.823720238095241</v>
      </c>
      <c r="R128" s="30">
        <f t="shared" si="26"/>
        <v>31.176279761904759</v>
      </c>
      <c r="S128" s="107">
        <v>42.313809523809518</v>
      </c>
      <c r="T128" s="107">
        <v>31.258333333333336</v>
      </c>
      <c r="U128" s="107">
        <v>25.91416666666667</v>
      </c>
      <c r="V128" s="107">
        <v>31.80857142857143</v>
      </c>
      <c r="W128" s="288">
        <f t="shared" si="27"/>
        <v>0.59711672794117643</v>
      </c>
      <c r="X128" s="289">
        <f t="shared" si="19"/>
        <v>38.215470588235291</v>
      </c>
      <c r="Y128" s="289">
        <f t="shared" si="20"/>
        <v>5.3917503501400503</v>
      </c>
      <c r="Z128" s="107">
        <v>51.365333333333332</v>
      </c>
      <c r="AA128" s="107">
        <v>36.814784313725475</v>
      </c>
      <c r="AB128" s="107">
        <v>28.142980392156868</v>
      </c>
      <c r="AC128" s="107">
        <v>36.538784313725493</v>
      </c>
      <c r="AD128" s="106">
        <v>1</v>
      </c>
      <c r="AE128" s="32" t="str">
        <f>IF(AD128=0,"",VLOOKUP(AD128,tab_tipo_expansao!$A$2:$B$4,2,0))</f>
        <v>opcional</v>
      </c>
      <c r="AF128" s="125">
        <v>2028</v>
      </c>
      <c r="AG128" s="125">
        <v>2100</v>
      </c>
      <c r="AH128" s="125">
        <v>30</v>
      </c>
      <c r="AI128" s="530">
        <v>653.83668530205478</v>
      </c>
      <c r="AJ128" s="24">
        <f>AK128/constantes!$B$4</f>
        <v>2619.5380020114371</v>
      </c>
      <c r="AK128" s="33">
        <f t="shared" si="28"/>
        <v>10216.198207844605</v>
      </c>
      <c r="AL128" s="87">
        <v>2</v>
      </c>
      <c r="AM128" s="531">
        <v>0</v>
      </c>
      <c r="AN128" s="23"/>
      <c r="AO128" s="532">
        <f t="shared" si="22"/>
        <v>653.83668530205478</v>
      </c>
      <c r="AQ128" s="35">
        <f t="shared" si="29"/>
        <v>10216.198207844605</v>
      </c>
      <c r="AR128" s="36">
        <f ca="1">OFFSET(cod_desembolso!$A$1,AL128,23)</f>
        <v>1.1245293369208682</v>
      </c>
      <c r="AS128" s="37">
        <f ca="1">IF(AO128=0,0,AO128*(OFFSET(cod_desembolso!$A$1,AL128,23)))</f>
        <v>735.25853417725807</v>
      </c>
      <c r="AT128" s="38">
        <f>(constantes!$B$3*(1+constantes!$B$3)^(AH128))/((1+constantes!$B$3)^(AH128)-1)</f>
        <v>8.8827433387272267E-2</v>
      </c>
      <c r="AU128" s="37">
        <f t="shared" ca="1" si="24"/>
        <v>68.511128467053837</v>
      </c>
      <c r="AV128" s="37">
        <f ca="1">IF(AO128=0,AX128/constantes!$B$3,AU128/constantes!$B$3)</f>
        <v>856.3891058381729</v>
      </c>
      <c r="AW128" s="39">
        <f ca="1">IF(AO128=0,0,PV(constantes!$B$3,AH128,-AU128)*constantes!$B$3)</f>
        <v>61.702675270021274</v>
      </c>
      <c r="AX128" s="40">
        <f>constantes!$B$10*E128/1000</f>
        <v>3.2</v>
      </c>
      <c r="AY128" s="533">
        <f>constantes!$B$12</f>
        <v>0</v>
      </c>
      <c r="AZ128" s="20">
        <v>318</v>
      </c>
      <c r="BA128" s="43"/>
      <c r="BB128" s="3" t="s">
        <v>2195</v>
      </c>
      <c r="BD128" s="534">
        <v>1</v>
      </c>
      <c r="BE128" s="535">
        <v>2027</v>
      </c>
      <c r="BF128" s="536">
        <v>1</v>
      </c>
      <c r="BG128" s="537">
        <v>2027</v>
      </c>
    </row>
    <row r="129" spans="1:59" ht="15">
      <c r="A129" s="125">
        <v>1301</v>
      </c>
      <c r="B129" s="125">
        <v>1301</v>
      </c>
      <c r="C129" s="538" t="s">
        <v>2368</v>
      </c>
      <c r="D129" s="538" t="s">
        <v>2368</v>
      </c>
      <c r="E129" s="526">
        <v>1</v>
      </c>
      <c r="J129" s="539" t="s">
        <v>149</v>
      </c>
      <c r="K129" s="539" t="s">
        <v>149</v>
      </c>
      <c r="L129" s="554">
        <v>2</v>
      </c>
      <c r="M129" s="107"/>
      <c r="N129" s="529">
        <v>1.6719999999999999E-2</v>
      </c>
      <c r="O129" s="529">
        <v>5.4030000000000002E-2</v>
      </c>
      <c r="P129" s="288">
        <f t="shared" si="25"/>
        <v>0.54455888158338783</v>
      </c>
      <c r="Q129" s="30">
        <f t="shared" si="16"/>
        <v>0.54455888158338783</v>
      </c>
      <c r="R129" s="30">
        <f t="shared" si="26"/>
        <v>0.45544111841661217</v>
      </c>
      <c r="S129" s="107">
        <v>0.51274816274463664</v>
      </c>
      <c r="T129" s="107">
        <v>0.50865090613562824</v>
      </c>
      <c r="U129" s="107">
        <v>0.59339865393857982</v>
      </c>
      <c r="V129" s="107">
        <v>0.56343780351470685</v>
      </c>
      <c r="W129" s="288">
        <f t="shared" si="27"/>
        <v>0.54455888158338783</v>
      </c>
      <c r="X129" s="289">
        <f t="shared" si="19"/>
        <v>0.54455888158338783</v>
      </c>
      <c r="Y129" s="289">
        <f t="shared" si="20"/>
        <v>0</v>
      </c>
      <c r="Z129" s="107">
        <v>0.51274816274463664</v>
      </c>
      <c r="AA129" s="107">
        <v>0.50865090613562824</v>
      </c>
      <c r="AB129" s="107">
        <v>0.59339865393857982</v>
      </c>
      <c r="AC129" s="107">
        <v>0.56343780351470685</v>
      </c>
      <c r="AD129" s="106">
        <v>2</v>
      </c>
      <c r="AE129" s="32" t="str">
        <f>IF(AD129=0,"",VLOOKUP(AD129,tab_tipo_expansao!$A$2:$B$4,2,0))</f>
        <v>obrigatoria</v>
      </c>
      <c r="AF129" s="125">
        <v>2015</v>
      </c>
      <c r="AG129" s="125">
        <v>2100</v>
      </c>
      <c r="AH129" s="125">
        <v>30</v>
      </c>
      <c r="AI129" s="530">
        <f t="shared" ref="AI129:AI150" si="30">AK129*E129/1000</f>
        <v>5.97</v>
      </c>
      <c r="AJ129" s="24">
        <f>AK129/constantes!$B$4</f>
        <v>1530.7692307692307</v>
      </c>
      <c r="AK129" s="22">
        <v>5970</v>
      </c>
      <c r="AL129" s="87">
        <v>6</v>
      </c>
      <c r="AM129" s="531">
        <v>0</v>
      </c>
      <c r="AN129" s="23"/>
      <c r="AO129" s="532">
        <f t="shared" si="22"/>
        <v>5.97</v>
      </c>
      <c r="AQ129" s="35">
        <f t="shared" si="29"/>
        <v>5970</v>
      </c>
      <c r="AR129" s="36">
        <f ca="1">OFFSET(cod_desembolso!$A$1,AL129,23)</f>
        <v>1.07328</v>
      </c>
      <c r="AS129" s="37">
        <f ca="1">IF(AO129=0,0,AO129*(OFFSET(cod_desembolso!$A$1,AL129,23)))</f>
        <v>6.4074815999999997</v>
      </c>
      <c r="AT129" s="38">
        <f>(constantes!$B$3*(1+constantes!$B$3)^(AH129))/((1+constantes!$B$3)^(AH129)-1)</f>
        <v>8.8827433387272267E-2</v>
      </c>
      <c r="AU129" s="37">
        <f t="shared" ca="1" si="24"/>
        <v>0.66916014500417265</v>
      </c>
      <c r="AV129" s="37">
        <f ca="1">IF(AO129=0,AX129/constantes!$B$3,AU129/constantes!$B$3)</f>
        <v>8.3645018125521577</v>
      </c>
      <c r="AW129" s="39">
        <f ca="1">IF(AO129=0,0,PV(constantes!$B$3,AH129,-AU129)*constantes!$B$3)</f>
        <v>0.60266079474501977</v>
      </c>
      <c r="AX129" s="40">
        <f>2*constantes!$B$10*E129/1000</f>
        <v>0.1</v>
      </c>
      <c r="AY129" s="533">
        <f>constantes!$B$12</f>
        <v>0</v>
      </c>
      <c r="AZ129" s="20">
        <v>319</v>
      </c>
      <c r="BA129" s="43"/>
      <c r="BD129" s="534"/>
      <c r="BE129" s="535"/>
      <c r="BF129" s="536"/>
      <c r="BG129" s="537"/>
    </row>
    <row r="130" spans="1:59" ht="15">
      <c r="A130" s="125">
        <v>1302</v>
      </c>
      <c r="B130" s="125">
        <v>1302</v>
      </c>
      <c r="C130" s="538" t="s">
        <v>2369</v>
      </c>
      <c r="D130" s="538" t="s">
        <v>2369</v>
      </c>
      <c r="E130" s="526">
        <v>3.4</v>
      </c>
      <c r="J130" s="539" t="s">
        <v>153</v>
      </c>
      <c r="K130" s="539" t="s">
        <v>153</v>
      </c>
      <c r="L130" s="554">
        <v>9</v>
      </c>
      <c r="M130" s="107"/>
      <c r="N130" s="529">
        <v>1.9820000000000001E-2</v>
      </c>
      <c r="O130" s="529">
        <v>5.2919999999999995E-2</v>
      </c>
      <c r="P130" s="288">
        <f t="shared" ref="P130:P148" si="31">Q130/$E130</f>
        <v>0.53361857228515952</v>
      </c>
      <c r="Q130" s="30">
        <f t="shared" ref="Q130:Q193" si="32">AVERAGE(S130:V130)</f>
        <v>1.8143031457695422</v>
      </c>
      <c r="R130" s="30">
        <f t="shared" ref="R130:R148" si="33">E130-Q130</f>
        <v>1.5856968542304577</v>
      </c>
      <c r="S130" s="107">
        <v>2.0989980301451632</v>
      </c>
      <c r="T130" s="107">
        <v>1.9712020886314214</v>
      </c>
      <c r="U130" s="107">
        <v>1.4807809950338366</v>
      </c>
      <c r="V130" s="107">
        <v>1.7062314692677472</v>
      </c>
      <c r="W130" s="288">
        <f t="shared" ref="W130:W148" si="34">X130/$E130</f>
        <v>0.53361857228515952</v>
      </c>
      <c r="X130" s="289">
        <f t="shared" ref="X130:X193" si="35">AVERAGE(Z130:AC130)</f>
        <v>1.8143031457695422</v>
      </c>
      <c r="Y130" s="289">
        <f t="shared" ref="Y130:Y193" si="36">X130-Q130</f>
        <v>0</v>
      </c>
      <c r="Z130" s="107">
        <v>2.0989980301451632</v>
      </c>
      <c r="AA130" s="107">
        <v>1.9712020886314214</v>
      </c>
      <c r="AB130" s="107">
        <v>1.4807809950338366</v>
      </c>
      <c r="AC130" s="107">
        <v>1.7062314692677472</v>
      </c>
      <c r="AD130" s="106">
        <v>2</v>
      </c>
      <c r="AE130" s="32" t="str">
        <f>IF(AD130=0,"",VLOOKUP(AD130,tab_tipo_expansao!$A$2:$B$4,2,0))</f>
        <v>obrigatoria</v>
      </c>
      <c r="AF130" s="125">
        <v>2015</v>
      </c>
      <c r="AG130" s="125">
        <v>2100</v>
      </c>
      <c r="AH130" s="125">
        <v>30</v>
      </c>
      <c r="AI130" s="530">
        <f t="shared" si="30"/>
        <v>20.491799999999994</v>
      </c>
      <c r="AJ130" s="24">
        <f>AK130/constantes!$B$4</f>
        <v>1545.3846153846152</v>
      </c>
      <c r="AK130" s="22">
        <v>6026.9999999999991</v>
      </c>
      <c r="AL130" s="87">
        <v>6</v>
      </c>
      <c r="AM130" s="531">
        <v>0</v>
      </c>
      <c r="AN130" s="23"/>
      <c r="AO130" s="532">
        <f t="shared" ref="AO130:AO193" si="37">AI130+AM130+AN130</f>
        <v>20.491799999999994</v>
      </c>
      <c r="AQ130" s="35">
        <f t="shared" ref="AQ130:AQ150" si="38">AO130*1000/E130</f>
        <v>6026.9999999999991</v>
      </c>
      <c r="AR130" s="36">
        <f ca="1">OFFSET(cod_desembolso!$A$1,AL130,23)</f>
        <v>1.07328</v>
      </c>
      <c r="AS130" s="37">
        <f ca="1">IF(AO130=0,0,AO130*(OFFSET(cod_desembolso!$A$1,AL130,23)))</f>
        <v>21.993439103999993</v>
      </c>
      <c r="AT130" s="38">
        <f>(constantes!$B$3*(1+constantes!$B$3)^(AH130))/((1+constantes!$B$3)^(AH130)-1)</f>
        <v>8.8827433387272267E-2</v>
      </c>
      <c r="AU130" s="37">
        <f t="shared" ref="AU130:AU193" ca="1" si="39">IF(AND(AO130=0,AX130=0),0,AS130*AT130+AX130)</f>
        <v>2.2936207469675884</v>
      </c>
      <c r="AV130" s="37">
        <f ca="1">IF(AO130=0,AX130/constantes!$B$3,AU130/constantes!$B$3)</f>
        <v>28.670259337094855</v>
      </c>
      <c r="AW130" s="39">
        <f ca="1">IF(AO130=0,0,PV(constantes!$B$3,AH130,-AU130)*constantes!$B$3)</f>
        <v>2.0656868352530671</v>
      </c>
      <c r="AX130" s="40">
        <f>2*constantes!$B$10*E130/1000</f>
        <v>0.34</v>
      </c>
      <c r="AY130" s="533">
        <f>constantes!$B$12</f>
        <v>0</v>
      </c>
      <c r="AZ130" s="20">
        <v>319</v>
      </c>
      <c r="BA130" s="43"/>
      <c r="BD130" s="534"/>
      <c r="BE130" s="535"/>
      <c r="BF130" s="536"/>
      <c r="BG130" s="537"/>
    </row>
    <row r="131" spans="1:59" ht="15">
      <c r="A131" s="125">
        <v>1306</v>
      </c>
      <c r="B131" s="125">
        <v>1306</v>
      </c>
      <c r="C131" s="538" t="s">
        <v>2370</v>
      </c>
      <c r="D131" s="538" t="s">
        <v>2370</v>
      </c>
      <c r="E131" s="526">
        <v>7.4</v>
      </c>
      <c r="J131" s="539" t="s">
        <v>155</v>
      </c>
      <c r="K131" s="539" t="s">
        <v>155</v>
      </c>
      <c r="L131" s="554">
        <v>6</v>
      </c>
      <c r="M131" s="107"/>
      <c r="N131" s="529">
        <v>1.6719999999999999E-2</v>
      </c>
      <c r="O131" s="529">
        <v>5.4030000000000002E-2</v>
      </c>
      <c r="P131" s="288">
        <f t="shared" si="31"/>
        <v>0.48482570767764749</v>
      </c>
      <c r="Q131" s="30">
        <f t="shared" si="32"/>
        <v>3.5877102368145914</v>
      </c>
      <c r="R131" s="30">
        <f t="shared" si="33"/>
        <v>3.8122897631854089</v>
      </c>
      <c r="S131" s="107">
        <v>4.2576876736473475</v>
      </c>
      <c r="T131" s="107">
        <v>4.0140233026323635</v>
      </c>
      <c r="U131" s="107">
        <v>2.7568099176329404</v>
      </c>
      <c r="V131" s="107">
        <v>3.3223200533457153</v>
      </c>
      <c r="W131" s="288">
        <f t="shared" si="34"/>
        <v>0.48482570767764749</v>
      </c>
      <c r="X131" s="289">
        <f t="shared" si="35"/>
        <v>3.5877102368145914</v>
      </c>
      <c r="Y131" s="289">
        <f t="shared" si="36"/>
        <v>0</v>
      </c>
      <c r="Z131" s="107">
        <v>4.2576876736473475</v>
      </c>
      <c r="AA131" s="107">
        <v>4.0140233026323635</v>
      </c>
      <c r="AB131" s="107">
        <v>2.7568099176329404</v>
      </c>
      <c r="AC131" s="107">
        <v>3.3223200533457153</v>
      </c>
      <c r="AD131" s="106">
        <v>2</v>
      </c>
      <c r="AE131" s="32" t="str">
        <f>IF(AD131=0,"",VLOOKUP(AD131,tab_tipo_expansao!$A$2:$B$4,2,0))</f>
        <v>obrigatoria</v>
      </c>
      <c r="AF131" s="125">
        <v>2016</v>
      </c>
      <c r="AG131" s="125">
        <v>2100</v>
      </c>
      <c r="AH131" s="125">
        <v>30</v>
      </c>
      <c r="AI131" s="530">
        <f t="shared" si="30"/>
        <v>44.599799999999995</v>
      </c>
      <c r="AJ131" s="24">
        <f>AK131/constantes!$B$4</f>
        <v>1545.3846153846152</v>
      </c>
      <c r="AK131" s="22">
        <v>6026.9999999999991</v>
      </c>
      <c r="AL131" s="87">
        <v>6</v>
      </c>
      <c r="AM131" s="531">
        <v>0</v>
      </c>
      <c r="AN131" s="23"/>
      <c r="AO131" s="532">
        <f t="shared" si="37"/>
        <v>44.599799999999995</v>
      </c>
      <c r="AQ131" s="35">
        <f t="shared" si="38"/>
        <v>6026.9999999999991</v>
      </c>
      <c r="AR131" s="36">
        <f ca="1">OFFSET(cod_desembolso!$A$1,AL131,23)</f>
        <v>1.07328</v>
      </c>
      <c r="AS131" s="37">
        <f ca="1">IF(AO131=0,0,AO131*(OFFSET(cod_desembolso!$A$1,AL131,23)))</f>
        <v>47.868073343999995</v>
      </c>
      <c r="AT131" s="38">
        <f>(constantes!$B$3*(1+constantes!$B$3)^(AH131))/((1+constantes!$B$3)^(AH131)-1)</f>
        <v>8.8827433387272267E-2</v>
      </c>
      <c r="AU131" s="37">
        <f t="shared" ca="1" si="39"/>
        <v>4.9919980963412227</v>
      </c>
      <c r="AV131" s="37">
        <f ca="1">IF(AO131=0,AX131/constantes!$B$3,AU131/constantes!$B$3)</f>
        <v>62.399976204265286</v>
      </c>
      <c r="AW131" s="39">
        <f ca="1">IF(AO131=0,0,PV(constantes!$B$3,AH131,-AU131)*constantes!$B$3)</f>
        <v>4.4959066414331463</v>
      </c>
      <c r="AX131" s="40">
        <f>2*constantes!$B$10*E131/1000</f>
        <v>0.74</v>
      </c>
      <c r="AY131" s="533">
        <f>constantes!$B$12</f>
        <v>0</v>
      </c>
      <c r="AZ131" s="20">
        <v>319</v>
      </c>
      <c r="BA131" s="43"/>
      <c r="BD131" s="534"/>
      <c r="BE131" s="535"/>
      <c r="BF131" s="536"/>
      <c r="BG131" s="537"/>
    </row>
    <row r="132" spans="1:59" ht="15">
      <c r="A132" s="125">
        <v>1305</v>
      </c>
      <c r="B132" s="125">
        <v>1305</v>
      </c>
      <c r="C132" s="538" t="s">
        <v>2371</v>
      </c>
      <c r="D132" s="538" t="s">
        <v>2371</v>
      </c>
      <c r="E132" s="526">
        <v>5.8</v>
      </c>
      <c r="J132" s="539" t="s">
        <v>152</v>
      </c>
      <c r="K132" s="539" t="s">
        <v>152</v>
      </c>
      <c r="L132" s="554">
        <v>3</v>
      </c>
      <c r="M132" s="107"/>
      <c r="N132" s="529">
        <v>1.6719999999999999E-2</v>
      </c>
      <c r="O132" s="529">
        <v>5.4030000000000002E-2</v>
      </c>
      <c r="P132" s="288">
        <f t="shared" si="31"/>
        <v>0.31921215183791418</v>
      </c>
      <c r="Q132" s="30">
        <f t="shared" si="32"/>
        <v>1.8514304806599022</v>
      </c>
      <c r="R132" s="30">
        <f t="shared" si="33"/>
        <v>3.9485695193400976</v>
      </c>
      <c r="S132" s="107">
        <v>1.668918936122066</v>
      </c>
      <c r="T132" s="107">
        <v>1.7976075743650111</v>
      </c>
      <c r="U132" s="107">
        <v>2.1038190088363407</v>
      </c>
      <c r="V132" s="107">
        <v>1.835376403316191</v>
      </c>
      <c r="W132" s="288">
        <f t="shared" si="34"/>
        <v>0.31921215183791418</v>
      </c>
      <c r="X132" s="289">
        <f t="shared" si="35"/>
        <v>1.8514304806599022</v>
      </c>
      <c r="Y132" s="289">
        <f t="shared" si="36"/>
        <v>0</v>
      </c>
      <c r="Z132" s="107">
        <v>1.668918936122066</v>
      </c>
      <c r="AA132" s="107">
        <v>1.7976075743650111</v>
      </c>
      <c r="AB132" s="107">
        <v>2.1038190088363407</v>
      </c>
      <c r="AC132" s="107">
        <v>1.835376403316191</v>
      </c>
      <c r="AD132" s="106">
        <v>2</v>
      </c>
      <c r="AE132" s="32" t="str">
        <f>IF(AD132=0,"",VLOOKUP(AD132,tab_tipo_expansao!$A$2:$B$4,2,0))</f>
        <v>obrigatoria</v>
      </c>
      <c r="AF132" s="125">
        <v>2016</v>
      </c>
      <c r="AG132" s="125">
        <v>2100</v>
      </c>
      <c r="AH132" s="125">
        <v>30</v>
      </c>
      <c r="AI132" s="530">
        <f t="shared" si="30"/>
        <v>34.956600000000002</v>
      </c>
      <c r="AJ132" s="24">
        <f>AK132/constantes!$B$4</f>
        <v>1545.3846153846155</v>
      </c>
      <c r="AK132" s="22">
        <v>6027</v>
      </c>
      <c r="AL132" s="87">
        <v>6</v>
      </c>
      <c r="AM132" s="531">
        <v>0</v>
      </c>
      <c r="AN132" s="23"/>
      <c r="AO132" s="532">
        <f t="shared" si="37"/>
        <v>34.956600000000002</v>
      </c>
      <c r="AQ132" s="35">
        <f t="shared" si="38"/>
        <v>6027</v>
      </c>
      <c r="AR132" s="36">
        <f ca="1">OFFSET(cod_desembolso!$A$1,AL132,23)</f>
        <v>1.07328</v>
      </c>
      <c r="AS132" s="37">
        <f ca="1">IF(AO132=0,0,AO132*(OFFSET(cod_desembolso!$A$1,AL132,23)))</f>
        <v>37.518219647999999</v>
      </c>
      <c r="AT132" s="38">
        <f>(constantes!$B$3*(1+constantes!$B$3)^(AH132))/((1+constantes!$B$3)^(AH132)-1)</f>
        <v>8.8827433387272267E-2</v>
      </c>
      <c r="AU132" s="37">
        <f t="shared" ca="1" si="39"/>
        <v>3.9126471565917695</v>
      </c>
      <c r="AV132" s="37">
        <f ca="1">IF(AO132=0,AX132/constantes!$B$3,AU132/constantes!$B$3)</f>
        <v>48.908089457397118</v>
      </c>
      <c r="AW132" s="39">
        <f ca="1">IF(AO132=0,0,PV(constantes!$B$3,AH132,-AU132)*constantes!$B$3)</f>
        <v>3.523818718961115</v>
      </c>
      <c r="AX132" s="40">
        <f>2*constantes!$B$10*E132/1000</f>
        <v>0.57999999999999996</v>
      </c>
      <c r="AY132" s="533">
        <f>constantes!$B$12</f>
        <v>0</v>
      </c>
      <c r="AZ132" s="20">
        <v>319</v>
      </c>
      <c r="BA132" s="43"/>
      <c r="BD132" s="534"/>
      <c r="BE132" s="535"/>
      <c r="BF132" s="536"/>
      <c r="BG132" s="537"/>
    </row>
    <row r="133" spans="1:59" ht="15">
      <c r="A133" s="125">
        <v>1304</v>
      </c>
      <c r="B133" s="125">
        <v>1304</v>
      </c>
      <c r="C133" s="538" t="s">
        <v>2372</v>
      </c>
      <c r="D133" s="538" t="s">
        <v>2372</v>
      </c>
      <c r="E133" s="526">
        <v>115.5</v>
      </c>
      <c r="J133" s="539" t="s">
        <v>149</v>
      </c>
      <c r="K133" s="539" t="s">
        <v>149</v>
      </c>
      <c r="L133" s="554">
        <v>2</v>
      </c>
      <c r="M133" s="107"/>
      <c r="N133" s="529">
        <v>1.6719999999999999E-2</v>
      </c>
      <c r="O133" s="529">
        <v>5.4030000000000002E-2</v>
      </c>
      <c r="P133" s="288">
        <f t="shared" si="31"/>
        <v>0.5449435220580533</v>
      </c>
      <c r="Q133" s="30">
        <f t="shared" si="32"/>
        <v>62.940976797705162</v>
      </c>
      <c r="R133" s="30">
        <f t="shared" si="33"/>
        <v>52.559023202294838</v>
      </c>
      <c r="S133" s="107">
        <v>59.264243603075279</v>
      </c>
      <c r="T133" s="107">
        <v>58.790676204060524</v>
      </c>
      <c r="U133" s="107">
        <v>68.585954930602654</v>
      </c>
      <c r="V133" s="107">
        <v>65.123032453082217</v>
      </c>
      <c r="W133" s="288">
        <f t="shared" si="34"/>
        <v>0.5449435220580533</v>
      </c>
      <c r="X133" s="289">
        <f t="shared" si="35"/>
        <v>62.940976797705162</v>
      </c>
      <c r="Y133" s="289">
        <f t="shared" si="36"/>
        <v>0</v>
      </c>
      <c r="Z133" s="107">
        <v>59.264243603075279</v>
      </c>
      <c r="AA133" s="107">
        <v>58.790676204060524</v>
      </c>
      <c r="AB133" s="107">
        <v>68.585954930602654</v>
      </c>
      <c r="AC133" s="107">
        <v>65.123032453082217</v>
      </c>
      <c r="AD133" s="106">
        <v>2</v>
      </c>
      <c r="AE133" s="32" t="str">
        <f>IF(AD133=0,"",VLOOKUP(AD133,tab_tipo_expansao!$A$2:$B$4,2,0))</f>
        <v>obrigatoria</v>
      </c>
      <c r="AF133" s="125">
        <v>2016</v>
      </c>
      <c r="AG133" s="125">
        <v>2100</v>
      </c>
      <c r="AH133" s="125">
        <v>30</v>
      </c>
      <c r="AI133" s="530">
        <f t="shared" si="30"/>
        <v>689.53499999999997</v>
      </c>
      <c r="AJ133" s="24">
        <f>AK133/constantes!$B$4</f>
        <v>1530.7692307692307</v>
      </c>
      <c r="AK133" s="22">
        <v>5970</v>
      </c>
      <c r="AL133" s="87">
        <v>6</v>
      </c>
      <c r="AM133" s="531">
        <v>0</v>
      </c>
      <c r="AN133" s="23"/>
      <c r="AO133" s="532">
        <f t="shared" si="37"/>
        <v>689.53499999999997</v>
      </c>
      <c r="AQ133" s="35">
        <f t="shared" si="38"/>
        <v>5970</v>
      </c>
      <c r="AR133" s="36">
        <f ca="1">OFFSET(cod_desembolso!$A$1,AL133,23)</f>
        <v>1.07328</v>
      </c>
      <c r="AS133" s="37">
        <f ca="1">IF(AO133=0,0,AO133*(OFFSET(cod_desembolso!$A$1,AL133,23)))</f>
        <v>740.06412479999995</v>
      </c>
      <c r="AT133" s="38">
        <f>(constantes!$B$3*(1+constantes!$B$3)^(AH133))/((1+constantes!$B$3)^(AH133)-1)</f>
        <v>8.8827433387272267E-2</v>
      </c>
      <c r="AU133" s="37">
        <f t="shared" ca="1" si="39"/>
        <v>77.287996747981936</v>
      </c>
      <c r="AV133" s="37">
        <f ca="1">IF(AO133=0,AX133/constantes!$B$3,AU133/constantes!$B$3)</f>
        <v>966.09995934977417</v>
      </c>
      <c r="AW133" s="39">
        <f ca="1">IF(AO133=0,0,PV(constantes!$B$3,AH133,-AU133)*constantes!$B$3)</f>
        <v>69.607321793049778</v>
      </c>
      <c r="AX133" s="40">
        <f>2*constantes!$B$10*E133/1000</f>
        <v>11.55</v>
      </c>
      <c r="AY133" s="533">
        <f>constantes!$B$12</f>
        <v>0</v>
      </c>
      <c r="AZ133" s="20">
        <v>319</v>
      </c>
      <c r="BA133" s="43"/>
      <c r="BD133" s="534"/>
      <c r="BE133" s="535"/>
      <c r="BF133" s="536"/>
      <c r="BG133" s="537"/>
    </row>
    <row r="134" spans="1:59" ht="15">
      <c r="A134" s="125">
        <v>1303</v>
      </c>
      <c r="B134" s="125">
        <v>1303</v>
      </c>
      <c r="C134" s="538" t="s">
        <v>2373</v>
      </c>
      <c r="D134" s="538" t="s">
        <v>2373</v>
      </c>
      <c r="E134" s="526">
        <v>166.4</v>
      </c>
      <c r="J134" s="539" t="s">
        <v>146</v>
      </c>
      <c r="K134" s="539" t="s">
        <v>146</v>
      </c>
      <c r="L134" s="554">
        <v>1</v>
      </c>
      <c r="M134" s="107"/>
      <c r="N134" s="529">
        <v>2.5329999923706055E-2</v>
      </c>
      <c r="O134" s="529">
        <v>8.0909996032714843E-2</v>
      </c>
      <c r="P134" s="288">
        <f t="shared" si="31"/>
        <v>0.48442264106550825</v>
      </c>
      <c r="Q134" s="30">
        <f t="shared" si="32"/>
        <v>80.607927473300578</v>
      </c>
      <c r="R134" s="30">
        <f t="shared" si="33"/>
        <v>85.792072526699428</v>
      </c>
      <c r="S134" s="107">
        <v>95.6608411904664</v>
      </c>
      <c r="T134" s="107">
        <v>90.186240776793625</v>
      </c>
      <c r="U134" s="107">
        <v>61.939431902263721</v>
      </c>
      <c r="V134" s="107">
        <v>74.645196023678608</v>
      </c>
      <c r="W134" s="288">
        <f t="shared" si="34"/>
        <v>0.48442264106550825</v>
      </c>
      <c r="X134" s="289">
        <f t="shared" si="35"/>
        <v>80.607927473300578</v>
      </c>
      <c r="Y134" s="289">
        <f t="shared" si="36"/>
        <v>0</v>
      </c>
      <c r="Z134" s="107">
        <v>95.6608411904664</v>
      </c>
      <c r="AA134" s="107">
        <v>90.186240776793625</v>
      </c>
      <c r="AB134" s="107">
        <v>61.939431902263721</v>
      </c>
      <c r="AC134" s="107">
        <v>74.645196023678608</v>
      </c>
      <c r="AD134" s="106">
        <v>2</v>
      </c>
      <c r="AE134" s="32" t="str">
        <f>IF(AD134=0,"",VLOOKUP(AD134,tab_tipo_expansao!$A$2:$B$4,2,0))</f>
        <v>obrigatoria</v>
      </c>
      <c r="AF134" s="125">
        <v>2016</v>
      </c>
      <c r="AG134" s="125">
        <v>2100</v>
      </c>
      <c r="AH134" s="125">
        <v>30</v>
      </c>
      <c r="AI134" s="530">
        <f t="shared" si="30"/>
        <v>1006.0544</v>
      </c>
      <c r="AJ134" s="24">
        <f>AK134/constantes!$B$4</f>
        <v>1550.2564102564104</v>
      </c>
      <c r="AK134" s="22">
        <v>6046</v>
      </c>
      <c r="AL134" s="87">
        <v>6</v>
      </c>
      <c r="AM134" s="531">
        <v>0</v>
      </c>
      <c r="AN134" s="23"/>
      <c r="AO134" s="532">
        <f t="shared" si="37"/>
        <v>1006.0544</v>
      </c>
      <c r="AQ134" s="35">
        <f t="shared" si="38"/>
        <v>6046</v>
      </c>
      <c r="AR134" s="36">
        <f ca="1">OFFSET(cod_desembolso!$A$1,AL134,23)</f>
        <v>1.07328</v>
      </c>
      <c r="AS134" s="37">
        <f ca="1">IF(AO134=0,0,AO134*(OFFSET(cod_desembolso!$A$1,AL134,23)))</f>
        <v>1079.7780664320001</v>
      </c>
      <c r="AT134" s="38">
        <f>(constantes!$B$3*(1+constantes!$B$3)^(AH134))/((1+constantes!$B$3)^(AH134)-1)</f>
        <v>8.8827433387272267E-2</v>
      </c>
      <c r="AU134" s="37">
        <f t="shared" ca="1" si="39"/>
        <v>112.55391426902614</v>
      </c>
      <c r="AV134" s="37">
        <f ca="1">IF(AO134=0,AX134/constantes!$B$3,AU134/constantes!$B$3)</f>
        <v>1406.9239283628267</v>
      </c>
      <c r="AW134" s="39">
        <f ca="1">IF(AO134=0,0,PV(constantes!$B$3,AH134,-AU134)*constantes!$B$3)</f>
        <v>101.36860650093131</v>
      </c>
      <c r="AX134" s="40">
        <f>2*constantes!$B$10*E134/1000</f>
        <v>16.64</v>
      </c>
      <c r="AY134" s="533">
        <f>constantes!$B$12</f>
        <v>0</v>
      </c>
      <c r="AZ134" s="20">
        <v>319</v>
      </c>
      <c r="BA134" s="43"/>
      <c r="BD134" s="534"/>
      <c r="BE134" s="535"/>
      <c r="BF134" s="536"/>
      <c r="BG134" s="537"/>
    </row>
    <row r="135" spans="1:59" ht="14.45" customHeight="1">
      <c r="A135" s="125">
        <v>1307</v>
      </c>
      <c r="B135" s="125">
        <v>1307</v>
      </c>
      <c r="C135" s="640" t="s">
        <v>2374</v>
      </c>
      <c r="D135" s="640" t="s">
        <v>2374</v>
      </c>
      <c r="E135" s="42">
        <v>11.2</v>
      </c>
      <c r="J135" s="548" t="s">
        <v>150</v>
      </c>
      <c r="K135" s="548" t="s">
        <v>150</v>
      </c>
      <c r="L135" s="23">
        <v>1</v>
      </c>
      <c r="M135" s="540"/>
      <c r="N135" s="287">
        <v>2.5329999923706055E-2</v>
      </c>
      <c r="O135" s="287">
        <v>8.0909996032714843E-2</v>
      </c>
      <c r="P135" s="288">
        <f t="shared" si="31"/>
        <v>0.48493093173882967</v>
      </c>
      <c r="Q135" s="30">
        <f t="shared" si="32"/>
        <v>5.4312264354748923</v>
      </c>
      <c r="R135" s="30">
        <f t="shared" si="33"/>
        <v>5.768773564525107</v>
      </c>
      <c r="S135" s="42">
        <v>6.4454664174999001</v>
      </c>
      <c r="T135" s="42">
        <v>6.0765970590828893</v>
      </c>
      <c r="U135" s="42">
        <v>4.1733746356063826</v>
      </c>
      <c r="V135" s="42">
        <v>5.0294676297103953</v>
      </c>
      <c r="W135" s="288">
        <f t="shared" si="34"/>
        <v>0.48493093173882967</v>
      </c>
      <c r="X135" s="289">
        <f t="shared" si="35"/>
        <v>5.4312264354748923</v>
      </c>
      <c r="Y135" s="289">
        <f t="shared" si="36"/>
        <v>0</v>
      </c>
      <c r="Z135" s="42">
        <v>6.4454664174999001</v>
      </c>
      <c r="AA135" s="42">
        <v>6.0765970590828893</v>
      </c>
      <c r="AB135" s="42">
        <v>4.1733746356063826</v>
      </c>
      <c r="AC135" s="42">
        <v>5.0294676297103953</v>
      </c>
      <c r="AD135" s="106">
        <v>2</v>
      </c>
      <c r="AE135" s="32" t="str">
        <f>IF(AD135=0,"",VLOOKUP(AD135,tab_tipo_expansao!$A$2:$B$4,2,0))</f>
        <v>obrigatoria</v>
      </c>
      <c r="AF135" s="125">
        <v>2017</v>
      </c>
      <c r="AG135" s="23">
        <v>2100</v>
      </c>
      <c r="AH135" s="125">
        <v>30</v>
      </c>
      <c r="AI135" s="106">
        <f t="shared" si="30"/>
        <v>66.864000000000004</v>
      </c>
      <c r="AJ135" s="24">
        <f>AK135/constantes!$B$4</f>
        <v>1530.7692307692307</v>
      </c>
      <c r="AK135">
        <v>5970</v>
      </c>
      <c r="AL135" s="87">
        <v>6</v>
      </c>
      <c r="AM135" s="531">
        <v>0</v>
      </c>
      <c r="AO135" s="532">
        <f t="shared" si="37"/>
        <v>66.864000000000004</v>
      </c>
      <c r="AP135" s="34"/>
      <c r="AQ135" s="35">
        <f t="shared" si="38"/>
        <v>5970</v>
      </c>
      <c r="AR135" s="36">
        <f ca="1">OFFSET(cod_desembolso!$A$1,AL135,23)</f>
        <v>1.07328</v>
      </c>
      <c r="AS135" s="37">
        <f ca="1">IF(AO135=0,0,AO135*(OFFSET(cod_desembolso!$A$1,AL135,23)))</f>
        <v>71.763793920000012</v>
      </c>
      <c r="AT135" s="38">
        <f>(constantes!$B$3*(1+constantes!$B$3)^(AH135))/((1+constantes!$B$3)^(AH135)-1)</f>
        <v>8.8827433387272267E-2</v>
      </c>
      <c r="AU135" s="37">
        <f t="shared" ca="1" si="39"/>
        <v>7.4945936240467361</v>
      </c>
      <c r="AV135" s="37">
        <f ca="1">IF(AO135=0,AX135/constantes!$B$3,AU135/constantes!$B$3)</f>
        <v>93.682420300584198</v>
      </c>
      <c r="AW135" s="39">
        <f ca="1">IF(AO135=0,0,PV(constantes!$B$3,AH135,-AU135)*constantes!$B$3)</f>
        <v>6.7498009011442228</v>
      </c>
      <c r="AX135" s="40">
        <f>2*constantes!$B$10*E135/1000</f>
        <v>1.1200000000000001</v>
      </c>
      <c r="AY135" s="533">
        <f>constantes!$B$12</f>
        <v>0</v>
      </c>
      <c r="AZ135" s="20">
        <v>319</v>
      </c>
      <c r="BD135" s="534"/>
      <c r="BE135" s="541"/>
      <c r="BF135" s="536"/>
      <c r="BG135" s="537"/>
    </row>
    <row r="136" spans="1:59" ht="14.45" customHeight="1">
      <c r="A136" s="125">
        <v>1308</v>
      </c>
      <c r="B136" s="125">
        <v>1308</v>
      </c>
      <c r="C136" s="640" t="s">
        <v>2375</v>
      </c>
      <c r="D136" s="640" t="s">
        <v>2375</v>
      </c>
      <c r="E136" s="42">
        <v>48.6</v>
      </c>
      <c r="J136" s="548" t="s">
        <v>151</v>
      </c>
      <c r="K136" s="548" t="s">
        <v>151</v>
      </c>
      <c r="L136" s="23">
        <v>2</v>
      </c>
      <c r="M136" s="540"/>
      <c r="N136" s="287">
        <v>1.6719999999999999E-2</v>
      </c>
      <c r="O136" s="287">
        <v>5.4030000000000002E-2</v>
      </c>
      <c r="P136" s="288">
        <f t="shared" si="31"/>
        <v>0.54485162261267495</v>
      </c>
      <c r="Q136" s="30">
        <f t="shared" si="32"/>
        <v>26.479788858976001</v>
      </c>
      <c r="R136" s="30">
        <f t="shared" si="33"/>
        <v>22.120211141024001</v>
      </c>
      <c r="S136" s="42">
        <v>24.932956832560148</v>
      </c>
      <c r="T136" s="42">
        <v>24.733723115919407</v>
      </c>
      <c r="U136" s="42">
        <v>28.854677789490854</v>
      </c>
      <c r="V136" s="42">
        <v>27.397797697933601</v>
      </c>
      <c r="W136" s="288">
        <f t="shared" si="34"/>
        <v>0.54485162261267495</v>
      </c>
      <c r="X136" s="289">
        <f t="shared" si="35"/>
        <v>26.479788858976001</v>
      </c>
      <c r="Y136" s="289">
        <f t="shared" si="36"/>
        <v>0</v>
      </c>
      <c r="Z136" s="42">
        <v>24.932956832560148</v>
      </c>
      <c r="AA136" s="42">
        <v>24.733723115919407</v>
      </c>
      <c r="AB136" s="42">
        <v>28.854677789490854</v>
      </c>
      <c r="AC136" s="42">
        <v>27.397797697933601</v>
      </c>
      <c r="AD136" s="106">
        <v>2</v>
      </c>
      <c r="AE136" s="32" t="str">
        <f>IF(AD136=0,"",VLOOKUP(AD136,tab_tipo_expansao!$A$2:$B$4,2,0))</f>
        <v>obrigatoria</v>
      </c>
      <c r="AF136" s="125">
        <v>2017</v>
      </c>
      <c r="AG136" s="23">
        <v>2100</v>
      </c>
      <c r="AH136" s="125">
        <v>30</v>
      </c>
      <c r="AI136" s="106">
        <f t="shared" si="30"/>
        <v>293.83560000000006</v>
      </c>
      <c r="AJ136" s="24">
        <f>AK136/constantes!$B$4</f>
        <v>1550.2564102564104</v>
      </c>
      <c r="AK136">
        <v>6046</v>
      </c>
      <c r="AL136" s="87">
        <v>6</v>
      </c>
      <c r="AM136" s="531">
        <v>0</v>
      </c>
      <c r="AO136" s="532">
        <f t="shared" si="37"/>
        <v>293.83560000000006</v>
      </c>
      <c r="AP136" s="34"/>
      <c r="AQ136" s="35">
        <f t="shared" si="38"/>
        <v>6046.0000000000009</v>
      </c>
      <c r="AR136" s="36">
        <f ca="1">OFFSET(cod_desembolso!$A$1,AL136,23)</f>
        <v>1.07328</v>
      </c>
      <c r="AS136" s="37">
        <f ca="1">IF(AO136=0,0,AO136*(OFFSET(cod_desembolso!$A$1,AL136,23)))</f>
        <v>315.36787276800004</v>
      </c>
      <c r="AT136" s="38">
        <f>(constantes!$B$3*(1+constantes!$B$3)^(AH136))/((1+constantes!$B$3)^(AH136)-1)</f>
        <v>8.8827433387272267E-2</v>
      </c>
      <c r="AU136" s="37">
        <f t="shared" ca="1" si="39"/>
        <v>32.873318710785277</v>
      </c>
      <c r="AV136" s="37">
        <f ca="1">IF(AO136=0,AX136/constantes!$B$3,AU136/constantes!$B$3)</f>
        <v>410.91648388481593</v>
      </c>
      <c r="AW136" s="39">
        <f ca="1">IF(AO136=0,0,PV(constantes!$B$3,AH136,-AU136)*constantes!$B$3)</f>
        <v>29.606455985247969</v>
      </c>
      <c r="AX136" s="40">
        <f>2*constantes!$B$10*E136/1000</f>
        <v>4.8600000000000003</v>
      </c>
      <c r="AY136" s="533">
        <f>constantes!$B$12</f>
        <v>0</v>
      </c>
      <c r="AZ136" s="20">
        <v>319</v>
      </c>
      <c r="BD136" s="534"/>
      <c r="BE136" s="541"/>
      <c r="BF136" s="536"/>
      <c r="BG136" s="537"/>
    </row>
    <row r="137" spans="1:59" ht="14.45" customHeight="1">
      <c r="A137" s="125">
        <v>1309</v>
      </c>
      <c r="B137" s="125">
        <v>1309</v>
      </c>
      <c r="C137" s="640" t="s">
        <v>2376</v>
      </c>
      <c r="D137" s="640" t="s">
        <v>2376</v>
      </c>
      <c r="E137" s="42">
        <v>172</v>
      </c>
      <c r="J137" s="548" t="s">
        <v>155</v>
      </c>
      <c r="K137" s="548" t="s">
        <v>155</v>
      </c>
      <c r="L137" s="23">
        <v>6</v>
      </c>
      <c r="M137" s="540"/>
      <c r="N137" s="287">
        <v>1.6719999999999999E-2</v>
      </c>
      <c r="O137" s="287">
        <v>5.4030000000000002E-2</v>
      </c>
      <c r="P137" s="288">
        <f t="shared" si="31"/>
        <v>0.48401947928948963</v>
      </c>
      <c r="Q137" s="30">
        <f t="shared" si="32"/>
        <v>83.251350437792212</v>
      </c>
      <c r="R137" s="30">
        <f t="shared" si="33"/>
        <v>88.748649562207788</v>
      </c>
      <c r="S137" s="42">
        <v>98.79790316851097</v>
      </c>
      <c r="T137" s="42">
        <v>93.143770977895883</v>
      </c>
      <c r="U137" s="42">
        <v>63.970647960414347</v>
      </c>
      <c r="V137" s="42">
        <v>77.09307964434764</v>
      </c>
      <c r="W137" s="288">
        <f t="shared" si="34"/>
        <v>0.48401947928948963</v>
      </c>
      <c r="X137" s="289">
        <f t="shared" si="35"/>
        <v>83.251350437792212</v>
      </c>
      <c r="Y137" s="289">
        <f t="shared" si="36"/>
        <v>0</v>
      </c>
      <c r="Z137" s="42">
        <v>98.79790316851097</v>
      </c>
      <c r="AA137" s="42">
        <v>93.143770977895883</v>
      </c>
      <c r="AB137" s="42">
        <v>63.970647960414347</v>
      </c>
      <c r="AC137" s="42">
        <v>77.09307964434764</v>
      </c>
      <c r="AD137" s="106">
        <v>2</v>
      </c>
      <c r="AE137" s="32" t="str">
        <f>IF(AD137=0,"",VLOOKUP(AD137,tab_tipo_expansao!$A$2:$B$4,2,0))</f>
        <v>obrigatoria</v>
      </c>
      <c r="AF137" s="125">
        <v>2017</v>
      </c>
      <c r="AG137" s="23">
        <v>2100</v>
      </c>
      <c r="AH137" s="125">
        <v>30</v>
      </c>
      <c r="AI137" s="106">
        <f t="shared" si="30"/>
        <v>1036.6439999999998</v>
      </c>
      <c r="AJ137" s="24">
        <f>AK137/constantes!$B$4</f>
        <v>1545.3846153846152</v>
      </c>
      <c r="AK137">
        <v>6026.9999999999991</v>
      </c>
      <c r="AL137" s="87">
        <v>6</v>
      </c>
      <c r="AM137" s="531">
        <v>0</v>
      </c>
      <c r="AO137" s="532">
        <f t="shared" si="37"/>
        <v>1036.6439999999998</v>
      </c>
      <c r="AP137" s="34"/>
      <c r="AQ137" s="35">
        <f t="shared" si="38"/>
        <v>6026.9999999999991</v>
      </c>
      <c r="AR137" s="36">
        <f ca="1">OFFSET(cod_desembolso!$A$1,AL137,23)</f>
        <v>1.07328</v>
      </c>
      <c r="AS137" s="37">
        <f ca="1">IF(AO137=0,0,AO137*(OFFSET(cod_desembolso!$A$1,AL137,23)))</f>
        <v>1112.6092723199997</v>
      </c>
      <c r="AT137" s="38">
        <f>(constantes!$B$3*(1+constantes!$B$3)^(AH137))/((1+constantes!$B$3)^(AH137)-1)</f>
        <v>8.8827433387272267E-2</v>
      </c>
      <c r="AU137" s="37">
        <f t="shared" ca="1" si="39"/>
        <v>116.03022602306625</v>
      </c>
      <c r="AV137" s="37">
        <f ca="1">IF(AO137=0,AX137/constantes!$B$3,AU137/constantes!$B$3)</f>
        <v>1450.377825288328</v>
      </c>
      <c r="AW137" s="39">
        <f ca="1">IF(AO137=0,0,PV(constantes!$B$3,AH137,-AU137)*constantes!$B$3)</f>
        <v>104.49945166574341</v>
      </c>
      <c r="AX137" s="40">
        <f>2*constantes!$B$10*E137/1000</f>
        <v>17.2</v>
      </c>
      <c r="AY137" s="533">
        <f>constantes!$B$12</f>
        <v>0</v>
      </c>
      <c r="AZ137" s="20">
        <v>319</v>
      </c>
      <c r="BD137" s="534"/>
      <c r="BE137" s="541"/>
      <c r="BF137" s="536"/>
      <c r="BG137" s="537"/>
    </row>
    <row r="138" spans="1:59" ht="14.45" customHeight="1">
      <c r="A138" s="125">
        <v>1310</v>
      </c>
      <c r="B138" s="125">
        <v>1310</v>
      </c>
      <c r="C138" s="640" t="s">
        <v>2377</v>
      </c>
      <c r="D138" s="640" t="s">
        <v>2377</v>
      </c>
      <c r="E138" s="42">
        <v>81.400000000000006</v>
      </c>
      <c r="J138" s="548" t="s">
        <v>150</v>
      </c>
      <c r="K138" s="548" t="s">
        <v>150</v>
      </c>
      <c r="L138" s="23">
        <v>1</v>
      </c>
      <c r="M138" s="540"/>
      <c r="N138" s="287">
        <v>2.5329999923706055E-2</v>
      </c>
      <c r="O138" s="287">
        <v>8.0909996032714843E-2</v>
      </c>
      <c r="P138" s="288">
        <f t="shared" si="31"/>
        <v>0.54543211941776359</v>
      </c>
      <c r="Q138" s="30">
        <f t="shared" si="32"/>
        <v>44.398174520605963</v>
      </c>
      <c r="R138" s="30">
        <f t="shared" si="33"/>
        <v>37.001825479394043</v>
      </c>
      <c r="S138" s="42">
        <v>41.804629737125026</v>
      </c>
      <c r="T138" s="42">
        <v>41.470578232072853</v>
      </c>
      <c r="U138" s="42">
        <v>48.380107071715109</v>
      </c>
      <c r="V138" s="42">
        <v>45.937383041510863</v>
      </c>
      <c r="W138" s="288">
        <f t="shared" si="34"/>
        <v>0.54543211941776359</v>
      </c>
      <c r="X138" s="289">
        <f t="shared" si="35"/>
        <v>44.398174520605963</v>
      </c>
      <c r="Y138" s="289">
        <f t="shared" si="36"/>
        <v>0</v>
      </c>
      <c r="Z138" s="42">
        <v>41.804629737125026</v>
      </c>
      <c r="AA138" s="42">
        <v>41.470578232072853</v>
      </c>
      <c r="AB138" s="42">
        <v>48.380107071715109</v>
      </c>
      <c r="AC138" s="42">
        <v>45.937383041510863</v>
      </c>
      <c r="AD138" s="106">
        <v>2</v>
      </c>
      <c r="AE138" s="32" t="str">
        <f>IF(AD138=0,"",VLOOKUP(AD138,tab_tipo_expansao!$A$2:$B$4,2,0))</f>
        <v>obrigatoria</v>
      </c>
      <c r="AF138" s="125">
        <v>2018</v>
      </c>
      <c r="AG138" s="23">
        <v>2100</v>
      </c>
      <c r="AH138" s="125">
        <v>30</v>
      </c>
      <c r="AI138" s="106">
        <f t="shared" si="30"/>
        <v>485.95800000000008</v>
      </c>
      <c r="AJ138" s="24">
        <f>AK138/constantes!$B$4</f>
        <v>1530.7692307692307</v>
      </c>
      <c r="AK138">
        <v>5970</v>
      </c>
      <c r="AL138" s="87">
        <v>6</v>
      </c>
      <c r="AM138" s="531">
        <v>0</v>
      </c>
      <c r="AO138" s="532">
        <f t="shared" si="37"/>
        <v>485.95800000000008</v>
      </c>
      <c r="AP138" s="34"/>
      <c r="AQ138" s="35">
        <f t="shared" si="38"/>
        <v>5970</v>
      </c>
      <c r="AR138" s="36">
        <f ca="1">OFFSET(cod_desembolso!$A$1,AL138,23)</f>
        <v>1.07328</v>
      </c>
      <c r="AS138" s="37">
        <f ca="1">IF(AO138=0,0,AO138*(OFFSET(cod_desembolso!$A$1,AL138,23)))</f>
        <v>521.56900224000015</v>
      </c>
      <c r="AT138" s="38">
        <f>(constantes!$B$3*(1+constantes!$B$3)^(AH138))/((1+constantes!$B$3)^(AH138)-1)</f>
        <v>8.8827433387272267E-2</v>
      </c>
      <c r="AU138" s="37">
        <f t="shared" ca="1" si="39"/>
        <v>54.469635803339671</v>
      </c>
      <c r="AV138" s="37">
        <f ca="1">IF(AO138=0,AX138/constantes!$B$3,AU138/constantes!$B$3)</f>
        <v>680.87044754174588</v>
      </c>
      <c r="AW138" s="39">
        <f ca="1">IF(AO138=0,0,PV(constantes!$B$3,AH138,-AU138)*constantes!$B$3)</f>
        <v>49.056588692244624</v>
      </c>
      <c r="AX138" s="40">
        <f>2*constantes!$B$10*E138/1000</f>
        <v>8.14</v>
      </c>
      <c r="AY138" s="533">
        <f>constantes!$B$12</f>
        <v>0</v>
      </c>
      <c r="AZ138" s="20">
        <v>319</v>
      </c>
      <c r="BD138" s="534"/>
      <c r="BE138" s="541"/>
      <c r="BF138" s="536"/>
      <c r="BG138" s="537"/>
    </row>
    <row r="139" spans="1:59" ht="14.45" customHeight="1">
      <c r="A139" s="125">
        <v>1311</v>
      </c>
      <c r="B139" s="125">
        <v>1311</v>
      </c>
      <c r="C139" s="640" t="s">
        <v>2378</v>
      </c>
      <c r="D139" s="640" t="s">
        <v>2378</v>
      </c>
      <c r="E139" s="42">
        <v>136.9</v>
      </c>
      <c r="J139" s="548" t="s">
        <v>151</v>
      </c>
      <c r="K139" s="548" t="s">
        <v>151</v>
      </c>
      <c r="L139" s="23">
        <v>2</v>
      </c>
      <c r="M139" s="540"/>
      <c r="N139" s="287">
        <v>2.5329999923706055E-2</v>
      </c>
      <c r="O139" s="287">
        <v>8.0909996032714843E-2</v>
      </c>
      <c r="P139" s="288">
        <f t="shared" si="31"/>
        <v>0.48453019553945686</v>
      </c>
      <c r="Q139" s="30">
        <f t="shared" si="32"/>
        <v>66.332183769351644</v>
      </c>
      <c r="R139" s="30">
        <f t="shared" si="33"/>
        <v>70.567816230648361</v>
      </c>
      <c r="S139" s="42">
        <v>78.719211574798734</v>
      </c>
      <c r="T139" s="42">
        <v>74.214168310613658</v>
      </c>
      <c r="U139" s="42">
        <v>50.969897233383968</v>
      </c>
      <c r="V139" s="42">
        <v>61.425457958610217</v>
      </c>
      <c r="W139" s="288">
        <f t="shared" si="34"/>
        <v>0.48453019553945686</v>
      </c>
      <c r="X139" s="289">
        <f t="shared" si="35"/>
        <v>66.332183769351644</v>
      </c>
      <c r="Y139" s="289">
        <f t="shared" si="36"/>
        <v>0</v>
      </c>
      <c r="Z139" s="42">
        <v>78.719211574798734</v>
      </c>
      <c r="AA139" s="42">
        <v>74.214168310613658</v>
      </c>
      <c r="AB139" s="42">
        <v>50.969897233383968</v>
      </c>
      <c r="AC139" s="42">
        <v>61.425457958610217</v>
      </c>
      <c r="AD139" s="106">
        <v>2</v>
      </c>
      <c r="AE139" s="32" t="str">
        <f>IF(AD139=0,"",VLOOKUP(AD139,tab_tipo_expansao!$A$2:$B$4,2,0))</f>
        <v>obrigatoria</v>
      </c>
      <c r="AF139" s="125">
        <v>2018</v>
      </c>
      <c r="AG139" s="23">
        <v>2100</v>
      </c>
      <c r="AH139" s="125">
        <v>30</v>
      </c>
      <c r="AI139" s="106">
        <f t="shared" si="30"/>
        <v>827.69740000000002</v>
      </c>
      <c r="AJ139" s="24">
        <f>AK139/constantes!$B$4</f>
        <v>1550.2564102564104</v>
      </c>
      <c r="AK139">
        <v>6046</v>
      </c>
      <c r="AL139" s="87">
        <v>6</v>
      </c>
      <c r="AM139" s="531">
        <v>0</v>
      </c>
      <c r="AO139" s="532">
        <f t="shared" si="37"/>
        <v>827.69740000000002</v>
      </c>
      <c r="AP139" s="34"/>
      <c r="AQ139" s="35">
        <f t="shared" si="38"/>
        <v>6046</v>
      </c>
      <c r="AR139" s="36">
        <f ca="1">OFFSET(cod_desembolso!$A$1,AL139,23)</f>
        <v>1.07328</v>
      </c>
      <c r="AS139" s="37">
        <f ca="1">IF(AO139=0,0,AO139*(OFFSET(cod_desembolso!$A$1,AL139,23)))</f>
        <v>888.35106547200007</v>
      </c>
      <c r="AT139" s="38">
        <f>(constantes!$B$3*(1+constantes!$B$3)^(AH139))/((1+constantes!$B$3)^(AH139)-1)</f>
        <v>8.8827433387272267E-2</v>
      </c>
      <c r="AU139" s="37">
        <f t="shared" ca="1" si="39"/>
        <v>92.599945092726429</v>
      </c>
      <c r="AV139" s="37">
        <f ca="1">IF(AO139=0,AX139/constantes!$B$3,AU139/constantes!$B$3)</f>
        <v>1157.4993136590804</v>
      </c>
      <c r="AW139" s="39">
        <f ca="1">IF(AO139=0,0,PV(constantes!$B$3,AH139,-AU139)*constantes!$B$3)</f>
        <v>83.39760955515321</v>
      </c>
      <c r="AX139" s="40">
        <f>2*constantes!$B$10*E139/1000</f>
        <v>13.69</v>
      </c>
      <c r="AY139" s="533">
        <f>constantes!$B$12</f>
        <v>0</v>
      </c>
      <c r="AZ139" s="20">
        <v>319</v>
      </c>
      <c r="BD139" s="534"/>
      <c r="BE139" s="541"/>
      <c r="BF139" s="536"/>
      <c r="BG139" s="537"/>
    </row>
    <row r="140" spans="1:59" ht="14.45" customHeight="1">
      <c r="A140" s="125">
        <v>1312</v>
      </c>
      <c r="B140" s="125">
        <v>1312</v>
      </c>
      <c r="C140" s="640" t="s">
        <v>2379</v>
      </c>
      <c r="D140" s="640" t="s">
        <v>2379</v>
      </c>
      <c r="E140" s="42">
        <v>37.9</v>
      </c>
      <c r="J140" s="548" t="s">
        <v>150</v>
      </c>
      <c r="K140" s="548" t="s">
        <v>150</v>
      </c>
      <c r="L140" s="23">
        <v>1</v>
      </c>
      <c r="M140" s="540"/>
      <c r="N140" s="287">
        <v>2.5329999923706055E-2</v>
      </c>
      <c r="O140" s="287">
        <v>8.0909996032714843E-2</v>
      </c>
      <c r="P140" s="288">
        <f t="shared" si="31"/>
        <v>0.54510398556895689</v>
      </c>
      <c r="Q140" s="30">
        <f t="shared" si="32"/>
        <v>20.659441053063464</v>
      </c>
      <c r="R140" s="30">
        <f t="shared" si="33"/>
        <v>17.240558946936535</v>
      </c>
      <c r="S140" s="42">
        <v>19.452607975997722</v>
      </c>
      <c r="T140" s="42">
        <v>19.297166509049358</v>
      </c>
      <c r="U140" s="42">
        <v>22.512321305577757</v>
      </c>
      <c r="V140" s="42">
        <v>21.375668421629015</v>
      </c>
      <c r="W140" s="288">
        <f t="shared" si="34"/>
        <v>0.54510398556895689</v>
      </c>
      <c r="X140" s="289">
        <f t="shared" si="35"/>
        <v>20.659441053063464</v>
      </c>
      <c r="Y140" s="289">
        <f t="shared" si="36"/>
        <v>0</v>
      </c>
      <c r="Z140" s="42">
        <v>19.452607975997722</v>
      </c>
      <c r="AA140" s="42">
        <v>19.297166509049358</v>
      </c>
      <c r="AB140" s="42">
        <v>22.512321305577757</v>
      </c>
      <c r="AC140" s="42">
        <v>21.375668421629015</v>
      </c>
      <c r="AD140" s="106">
        <v>2</v>
      </c>
      <c r="AE140" s="32" t="str">
        <f>IF(AD140=0,"",VLOOKUP(AD140,tab_tipo_expansao!$A$2:$B$4,2,0))</f>
        <v>obrigatoria</v>
      </c>
      <c r="AF140" s="125">
        <v>2019</v>
      </c>
      <c r="AG140" s="23">
        <v>2100</v>
      </c>
      <c r="AH140" s="125">
        <v>30</v>
      </c>
      <c r="AI140" s="106">
        <f t="shared" si="30"/>
        <v>226.26300000000001</v>
      </c>
      <c r="AJ140" s="24">
        <f>AK140/constantes!$B$4</f>
        <v>1530.7692307692307</v>
      </c>
      <c r="AK140">
        <v>5970</v>
      </c>
      <c r="AL140" s="87">
        <v>6</v>
      </c>
      <c r="AM140" s="531">
        <v>0</v>
      </c>
      <c r="AO140" s="532">
        <f t="shared" si="37"/>
        <v>226.26300000000001</v>
      </c>
      <c r="AP140" s="34"/>
      <c r="AQ140" s="35">
        <f t="shared" si="38"/>
        <v>5970</v>
      </c>
      <c r="AR140" s="36">
        <f ca="1">OFFSET(cod_desembolso!$A$1,AL140,23)</f>
        <v>1.07328</v>
      </c>
      <c r="AS140" s="37">
        <f ca="1">IF(AO140=0,0,AO140*(OFFSET(cod_desembolso!$A$1,AL140,23)))</f>
        <v>242.84355264000001</v>
      </c>
      <c r="AT140" s="38">
        <f>(constantes!$B$3*(1+constantes!$B$3)^(AH140))/((1+constantes!$B$3)^(AH140)-1)</f>
        <v>8.8827433387272267E-2</v>
      </c>
      <c r="AU140" s="37">
        <f t="shared" ca="1" si="39"/>
        <v>25.361169495658146</v>
      </c>
      <c r="AV140" s="37">
        <f ca="1">IF(AO140=0,AX140/constantes!$B$3,AU140/constantes!$B$3)</f>
        <v>317.01461869572682</v>
      </c>
      <c r="AW140" s="39">
        <f ca="1">IF(AO140=0,0,PV(constantes!$B$3,AH140,-AU140)*constantes!$B$3)</f>
        <v>22.840844120836255</v>
      </c>
      <c r="AX140" s="40">
        <f>2*constantes!$B$10*E140/1000</f>
        <v>3.79</v>
      </c>
      <c r="AY140" s="533">
        <f>constantes!$B$12</f>
        <v>0</v>
      </c>
      <c r="AZ140" s="20">
        <v>319</v>
      </c>
      <c r="BD140" s="534"/>
      <c r="BE140" s="541"/>
      <c r="BF140" s="536"/>
      <c r="BG140" s="537"/>
    </row>
    <row r="141" spans="1:59" ht="14.45" customHeight="1">
      <c r="A141" s="125">
        <v>1313</v>
      </c>
      <c r="B141" s="125">
        <v>1313</v>
      </c>
      <c r="C141" s="640" t="s">
        <v>2380</v>
      </c>
      <c r="D141" s="640" t="s">
        <v>2380</v>
      </c>
      <c r="E141" s="42">
        <v>85.2</v>
      </c>
      <c r="J141" s="548" t="s">
        <v>151</v>
      </c>
      <c r="K141" s="548" t="s">
        <v>151</v>
      </c>
      <c r="L141" s="23">
        <v>2</v>
      </c>
      <c r="M141" s="540"/>
      <c r="N141" s="287">
        <v>1.6719999999999999E-2</v>
      </c>
      <c r="O141" s="287">
        <v>5.4030000000000002E-2</v>
      </c>
      <c r="P141" s="288">
        <f t="shared" si="31"/>
        <v>0.48466894194017429</v>
      </c>
      <c r="Q141" s="30">
        <f t="shared" si="32"/>
        <v>41.293793853302851</v>
      </c>
      <c r="R141" s="30">
        <f t="shared" si="33"/>
        <v>43.906206146697151</v>
      </c>
      <c r="S141" s="42">
        <v>49.005093912891745</v>
      </c>
      <c r="T141" s="42">
        <v>46.200568005854997</v>
      </c>
      <c r="U141" s="42">
        <v>31.730305101938626</v>
      </c>
      <c r="V141" s="42">
        <v>38.239208392526045</v>
      </c>
      <c r="W141" s="288">
        <f t="shared" si="34"/>
        <v>0.48466894194017429</v>
      </c>
      <c r="X141" s="289">
        <f t="shared" si="35"/>
        <v>41.293793853302851</v>
      </c>
      <c r="Y141" s="289">
        <f t="shared" si="36"/>
        <v>0</v>
      </c>
      <c r="Z141" s="42">
        <v>49.005093912891745</v>
      </c>
      <c r="AA141" s="42">
        <v>46.200568005854997</v>
      </c>
      <c r="AB141" s="42">
        <v>31.730305101938626</v>
      </c>
      <c r="AC141" s="42">
        <v>38.239208392526045</v>
      </c>
      <c r="AD141" s="106">
        <v>2</v>
      </c>
      <c r="AE141" s="32" t="str">
        <f>IF(AD141=0,"",VLOOKUP(AD141,tab_tipo_expansao!$A$2:$B$4,2,0))</f>
        <v>obrigatoria</v>
      </c>
      <c r="AF141" s="125">
        <v>2019</v>
      </c>
      <c r="AG141" s="23">
        <v>2100</v>
      </c>
      <c r="AH141" s="125">
        <v>30</v>
      </c>
      <c r="AI141" s="106">
        <f t="shared" si="30"/>
        <v>515.11919999999998</v>
      </c>
      <c r="AJ141" s="24">
        <f>AK141/constantes!$B$4</f>
        <v>1550.2564102564104</v>
      </c>
      <c r="AK141">
        <v>6046</v>
      </c>
      <c r="AL141" s="87">
        <v>6</v>
      </c>
      <c r="AM141" s="531">
        <v>0</v>
      </c>
      <c r="AO141" s="532">
        <f t="shared" si="37"/>
        <v>515.11919999999998</v>
      </c>
      <c r="AP141" s="34"/>
      <c r="AQ141" s="35">
        <f t="shared" si="38"/>
        <v>6045.9999999999991</v>
      </c>
      <c r="AR141" s="36">
        <f ca="1">OFFSET(cod_desembolso!$A$1,AL141,23)</f>
        <v>1.07328</v>
      </c>
      <c r="AS141" s="37">
        <f ca="1">IF(AO141=0,0,AO141*(OFFSET(cod_desembolso!$A$1,AL141,23)))</f>
        <v>552.86713497599999</v>
      </c>
      <c r="AT141" s="38">
        <f>(constantes!$B$3*(1+constantes!$B$3)^(AH141))/((1+constantes!$B$3)^(AH141)-1)</f>
        <v>8.8827433387272267E-2</v>
      </c>
      <c r="AU141" s="37">
        <f t="shared" ca="1" si="39"/>
        <v>57.629768604092703</v>
      </c>
      <c r="AV141" s="37">
        <f ca="1">IF(AO141=0,AX141/constantes!$B$3,AU141/constantes!$B$3)</f>
        <v>720.37210755115882</v>
      </c>
      <c r="AW141" s="39">
        <f ca="1">IF(AO141=0,0,PV(constantes!$B$3,AH141,-AU141)*constantes!$B$3)</f>
        <v>51.902675924755684</v>
      </c>
      <c r="AX141" s="40">
        <f>2*constantes!$B$10*E141/1000</f>
        <v>8.52</v>
      </c>
      <c r="AY141" s="533">
        <f>constantes!$B$12</f>
        <v>0</v>
      </c>
      <c r="AZ141" s="20">
        <v>319</v>
      </c>
      <c r="BD141" s="534"/>
      <c r="BE141" s="541"/>
      <c r="BF141" s="536"/>
      <c r="BG141" s="537"/>
    </row>
    <row r="142" spans="1:59" ht="14.45" customHeight="1">
      <c r="A142" s="125">
        <v>1314</v>
      </c>
      <c r="B142" s="125">
        <v>1314</v>
      </c>
      <c r="C142" s="640" t="s">
        <v>2381</v>
      </c>
      <c r="D142" s="640" t="s">
        <v>2381</v>
      </c>
      <c r="E142" s="42">
        <v>1.3</v>
      </c>
      <c r="J142" s="548" t="s">
        <v>150</v>
      </c>
      <c r="K142" s="548" t="s">
        <v>150</v>
      </c>
      <c r="L142" s="23">
        <v>1</v>
      </c>
      <c r="M142" s="540"/>
      <c r="N142" s="287">
        <v>2.5329999923706055E-2</v>
      </c>
      <c r="O142" s="287">
        <v>8.0909996032714843E-2</v>
      </c>
      <c r="P142" s="288">
        <f t="shared" si="31"/>
        <v>0.47480837705311274</v>
      </c>
      <c r="Q142" s="30">
        <f t="shared" si="32"/>
        <v>0.61725089016904655</v>
      </c>
      <c r="R142" s="30">
        <f t="shared" si="33"/>
        <v>0.68274910983095349</v>
      </c>
      <c r="S142" s="42">
        <v>0.73251777126626882</v>
      </c>
      <c r="T142" s="42">
        <v>0.69059631162101709</v>
      </c>
      <c r="U142" s="42">
        <v>0.47429788454616695</v>
      </c>
      <c r="V142" s="42">
        <v>0.57159159324273356</v>
      </c>
      <c r="W142" s="288">
        <f t="shared" si="34"/>
        <v>0.47480837705311274</v>
      </c>
      <c r="X142" s="289">
        <f t="shared" si="35"/>
        <v>0.61725089016904655</v>
      </c>
      <c r="Y142" s="289">
        <f t="shared" si="36"/>
        <v>0</v>
      </c>
      <c r="Z142" s="42">
        <v>0.73251777126626882</v>
      </c>
      <c r="AA142" s="42">
        <v>0.69059631162101709</v>
      </c>
      <c r="AB142" s="42">
        <v>0.47429788454616695</v>
      </c>
      <c r="AC142" s="42">
        <v>0.57159159324273356</v>
      </c>
      <c r="AD142" s="106">
        <v>2</v>
      </c>
      <c r="AE142" s="32" t="str">
        <f>IF(AD142=0,"",VLOOKUP(AD142,tab_tipo_expansao!$A$2:$B$4,2,0))</f>
        <v>obrigatoria</v>
      </c>
      <c r="AF142" s="125">
        <v>2020</v>
      </c>
      <c r="AG142" s="23">
        <v>2100</v>
      </c>
      <c r="AH142" s="125">
        <v>30</v>
      </c>
      <c r="AI142" s="106">
        <f t="shared" si="30"/>
        <v>7.7610000000000001</v>
      </c>
      <c r="AJ142" s="24">
        <f>AK142/constantes!$B$4</f>
        <v>1530.7692307692307</v>
      </c>
      <c r="AK142">
        <v>5970</v>
      </c>
      <c r="AL142" s="87">
        <v>6</v>
      </c>
      <c r="AM142" s="531">
        <v>0</v>
      </c>
      <c r="AO142" s="532">
        <f t="shared" si="37"/>
        <v>7.7610000000000001</v>
      </c>
      <c r="AP142" s="34"/>
      <c r="AQ142" s="35">
        <f t="shared" si="38"/>
        <v>5970</v>
      </c>
      <c r="AR142" s="36">
        <f ca="1">OFFSET(cod_desembolso!$A$1,AL142,23)</f>
        <v>1.07328</v>
      </c>
      <c r="AS142" s="37">
        <f ca="1">IF(AO142=0,0,AO142*(OFFSET(cod_desembolso!$A$1,AL142,23)))</f>
        <v>8.3297260800000004</v>
      </c>
      <c r="AT142" s="38">
        <f>(constantes!$B$3*(1+constantes!$B$3)^(AH142))/((1+constantes!$B$3)^(AH142)-1)</f>
        <v>8.8827433387272267E-2</v>
      </c>
      <c r="AU142" s="37">
        <f t="shared" ca="1" si="39"/>
        <v>0.86990818850542462</v>
      </c>
      <c r="AV142" s="37">
        <f ca="1">IF(AO142=0,AX142/constantes!$B$3,AU142/constantes!$B$3)</f>
        <v>10.873852356317807</v>
      </c>
      <c r="AW142" s="39">
        <f ca="1">IF(AO142=0,0,PV(constantes!$B$3,AH142,-AU142)*constantes!$B$3)</f>
        <v>0.78345903316852583</v>
      </c>
      <c r="AX142" s="40">
        <f>2*constantes!$B$10*E142/1000</f>
        <v>0.13</v>
      </c>
      <c r="AY142" s="533">
        <f>constantes!$B$12</f>
        <v>0</v>
      </c>
      <c r="AZ142" s="20">
        <v>319</v>
      </c>
      <c r="BD142" s="534"/>
      <c r="BE142" s="541"/>
      <c r="BF142" s="536"/>
      <c r="BG142" s="537"/>
    </row>
    <row r="143" spans="1:59" ht="14.45" customHeight="1">
      <c r="A143" s="125">
        <v>1315</v>
      </c>
      <c r="B143" s="125">
        <v>1315</v>
      </c>
      <c r="C143" s="640" t="s">
        <v>2382</v>
      </c>
      <c r="D143" s="640" t="s">
        <v>2382</v>
      </c>
      <c r="E143" s="42">
        <v>13.7</v>
      </c>
      <c r="F143" s="21"/>
      <c r="G143" s="17"/>
      <c r="H143" s="17"/>
      <c r="J143" s="548" t="s">
        <v>151</v>
      </c>
      <c r="K143" s="548" t="s">
        <v>151</v>
      </c>
      <c r="L143" s="23">
        <v>2</v>
      </c>
      <c r="M143" s="540"/>
      <c r="N143" s="287">
        <v>2.5329999923706055E-2</v>
      </c>
      <c r="O143" s="287">
        <v>8.0909996032714843E-2</v>
      </c>
      <c r="P143" s="288">
        <f t="shared" si="31"/>
        <v>0.32096847562319974</v>
      </c>
      <c r="Q143" s="30">
        <f t="shared" si="32"/>
        <v>4.3972681160378366</v>
      </c>
      <c r="R143" s="30">
        <f t="shared" si="33"/>
        <v>9.3027318839621636</v>
      </c>
      <c r="S143" s="42">
        <v>3.9637912969033731</v>
      </c>
      <c r="T143" s="42">
        <v>4.2694352040082917</v>
      </c>
      <c r="U143" s="42">
        <v>4.9967073277161482</v>
      </c>
      <c r="V143" s="42">
        <v>4.3591386355235349</v>
      </c>
      <c r="W143" s="288">
        <f t="shared" si="34"/>
        <v>0.32096847562319974</v>
      </c>
      <c r="X143" s="289">
        <f t="shared" si="35"/>
        <v>4.3972681160378366</v>
      </c>
      <c r="Y143" s="289">
        <f t="shared" si="36"/>
        <v>0</v>
      </c>
      <c r="Z143" s="42">
        <v>3.9637912969033731</v>
      </c>
      <c r="AA143" s="42">
        <v>4.2694352040082917</v>
      </c>
      <c r="AB143" s="42">
        <v>4.9967073277161482</v>
      </c>
      <c r="AC143" s="42">
        <v>4.3591386355235349</v>
      </c>
      <c r="AD143" s="106">
        <v>2</v>
      </c>
      <c r="AE143" s="32" t="str">
        <f>IF(AD143=0,"",VLOOKUP(AD143,tab_tipo_expansao!$A$2:$B$4,2,0))</f>
        <v>obrigatoria</v>
      </c>
      <c r="AF143" s="125">
        <v>2020</v>
      </c>
      <c r="AG143" s="23">
        <v>2100</v>
      </c>
      <c r="AH143" s="125">
        <v>30</v>
      </c>
      <c r="AI143" s="106">
        <f t="shared" si="30"/>
        <v>82.830199999999991</v>
      </c>
      <c r="AJ143" s="24">
        <f>AK143/constantes!$B$4</f>
        <v>1550.2564102564104</v>
      </c>
      <c r="AK143">
        <v>6046</v>
      </c>
      <c r="AL143" s="87">
        <v>6</v>
      </c>
      <c r="AM143" s="531">
        <v>0</v>
      </c>
      <c r="AO143" s="532">
        <f t="shared" si="37"/>
        <v>82.830199999999991</v>
      </c>
      <c r="AP143" s="34"/>
      <c r="AQ143" s="35">
        <f t="shared" si="38"/>
        <v>6046</v>
      </c>
      <c r="AR143" s="36">
        <f ca="1">OFFSET(cod_desembolso!$A$1,AL143,23)</f>
        <v>1.07328</v>
      </c>
      <c r="AS143" s="37">
        <f ca="1">IF(AO143=0,0,AO143*(OFFSET(cod_desembolso!$A$1,AL143,23)))</f>
        <v>88.899997055999989</v>
      </c>
      <c r="AT143" s="38">
        <f>(constantes!$B$3*(1+constantes!$B$3)^(AH143))/((1+constantes!$B$3)^(AH143)-1)</f>
        <v>8.8827433387272267E-2</v>
      </c>
      <c r="AU143" s="37">
        <f t="shared" ca="1" si="39"/>
        <v>9.2667585666205401</v>
      </c>
      <c r="AV143" s="37">
        <f ca="1">IF(AO143=0,AX143/constantes!$B$3,AU143/constantes!$B$3)</f>
        <v>115.83448208275675</v>
      </c>
      <c r="AW143" s="39">
        <f ca="1">IF(AO143=0,0,PV(constantes!$B$3,AH143,-AU143)*constantes!$B$3)</f>
        <v>8.3458528188867724</v>
      </c>
      <c r="AX143" s="40">
        <f>2*constantes!$B$10*E143/1000</f>
        <v>1.37</v>
      </c>
      <c r="AY143" s="533">
        <f>constantes!$B$12</f>
        <v>0</v>
      </c>
      <c r="AZ143" s="20">
        <v>319</v>
      </c>
      <c r="BD143" s="534"/>
      <c r="BE143" s="541"/>
      <c r="BF143" s="536"/>
      <c r="BG143" s="537"/>
    </row>
    <row r="144" spans="1:59" ht="14.45" customHeight="1">
      <c r="A144" s="125">
        <v>1316</v>
      </c>
      <c r="B144" s="125">
        <v>1316</v>
      </c>
      <c r="C144" s="640" t="s">
        <v>2383</v>
      </c>
      <c r="D144" s="640" t="s">
        <v>2383</v>
      </c>
      <c r="E144" s="42">
        <v>92</v>
      </c>
      <c r="J144" s="548" t="s">
        <v>152</v>
      </c>
      <c r="K144" s="548" t="s">
        <v>152</v>
      </c>
      <c r="L144" s="23">
        <v>3</v>
      </c>
      <c r="M144" s="540"/>
      <c r="N144" s="287">
        <v>1.6719999999999999E-2</v>
      </c>
      <c r="O144" s="287">
        <v>5.4030000000000002E-2</v>
      </c>
      <c r="P144" s="288">
        <f t="shared" si="31"/>
        <v>0.54510398556895689</v>
      </c>
      <c r="Q144" s="30">
        <f t="shared" si="32"/>
        <v>50.149566672344029</v>
      </c>
      <c r="R144" s="30">
        <f t="shared" si="33"/>
        <v>41.850433327655971</v>
      </c>
      <c r="S144" s="42">
        <v>47.220051023530097</v>
      </c>
      <c r="T144" s="42">
        <v>46.842726090568362</v>
      </c>
      <c r="U144" s="42">
        <v>54.647323485835187</v>
      </c>
      <c r="V144" s="42">
        <v>51.888166089442471</v>
      </c>
      <c r="W144" s="288">
        <f t="shared" si="34"/>
        <v>0.54510398556895689</v>
      </c>
      <c r="X144" s="289">
        <f t="shared" si="35"/>
        <v>50.149566672344029</v>
      </c>
      <c r="Y144" s="289">
        <f t="shared" si="36"/>
        <v>0</v>
      </c>
      <c r="Z144" s="42">
        <v>47.220051023530097</v>
      </c>
      <c r="AA144" s="42">
        <v>46.842726090568362</v>
      </c>
      <c r="AB144" s="42">
        <v>54.647323485835187</v>
      </c>
      <c r="AC144" s="42">
        <v>51.888166089442471</v>
      </c>
      <c r="AD144" s="106">
        <v>2</v>
      </c>
      <c r="AE144" s="32" t="str">
        <f>IF(AD144=0,"",VLOOKUP(AD144,tab_tipo_expansao!$A$2:$B$4,2,0))</f>
        <v>obrigatoria</v>
      </c>
      <c r="AF144" s="125">
        <v>2020</v>
      </c>
      <c r="AG144" s="23">
        <v>2100</v>
      </c>
      <c r="AH144" s="125">
        <v>30</v>
      </c>
      <c r="AI144" s="106">
        <f t="shared" si="30"/>
        <v>554.48400000000004</v>
      </c>
      <c r="AJ144" s="24">
        <f>AK144/constantes!$B$4</f>
        <v>1545.3846153846155</v>
      </c>
      <c r="AK144">
        <v>6027</v>
      </c>
      <c r="AL144" s="87">
        <v>6</v>
      </c>
      <c r="AM144" s="531">
        <v>0</v>
      </c>
      <c r="AO144" s="532">
        <f t="shared" si="37"/>
        <v>554.48400000000004</v>
      </c>
      <c r="AP144" s="34"/>
      <c r="AQ144" s="35">
        <f t="shared" si="38"/>
        <v>6027</v>
      </c>
      <c r="AR144" s="36">
        <f ca="1">OFFSET(cod_desembolso!$A$1,AL144,23)</f>
        <v>1.07328</v>
      </c>
      <c r="AS144" s="37">
        <f ca="1">IF(AO144=0,0,AO144*(OFFSET(cod_desembolso!$A$1,AL144,23)))</f>
        <v>595.11658752000005</v>
      </c>
      <c r="AT144" s="38">
        <f>(constantes!$B$3*(1+constantes!$B$3)^(AH144))/((1+constantes!$B$3)^(AH144)-1)</f>
        <v>8.8827433387272267E-2</v>
      </c>
      <c r="AU144" s="37">
        <f t="shared" ca="1" si="39"/>
        <v>62.06267903559359</v>
      </c>
      <c r="AV144" s="37">
        <f ca="1">IF(AO144=0,AX144/constantes!$B$3,AU144/constantes!$B$3)</f>
        <v>775.7834879449199</v>
      </c>
      <c r="AW144" s="39">
        <f ca="1">IF(AO144=0,0,PV(constantes!$B$3,AH144,-AU144)*constantes!$B$3)</f>
        <v>55.89505554214184</v>
      </c>
      <c r="AX144" s="40">
        <f>2*constantes!$B$10*E144/1000</f>
        <v>9.1999999999999993</v>
      </c>
      <c r="AY144" s="533">
        <f>constantes!$B$12</f>
        <v>0</v>
      </c>
      <c r="AZ144" s="20">
        <v>319</v>
      </c>
      <c r="BD144" s="534"/>
      <c r="BE144" s="541"/>
      <c r="BF144" s="536"/>
      <c r="BG144" s="537"/>
    </row>
    <row r="145" spans="1:59" ht="14.45" customHeight="1">
      <c r="A145" s="125">
        <v>1317</v>
      </c>
      <c r="B145" s="125">
        <v>1317</v>
      </c>
      <c r="C145" s="640" t="s">
        <v>2384</v>
      </c>
      <c r="D145" s="640" t="s">
        <v>2384</v>
      </c>
      <c r="E145" s="42">
        <v>157.5</v>
      </c>
      <c r="J145" s="548" t="s">
        <v>155</v>
      </c>
      <c r="K145" s="548" t="s">
        <v>155</v>
      </c>
      <c r="L145" s="23">
        <v>6</v>
      </c>
      <c r="M145" s="540"/>
      <c r="N145" s="287">
        <v>1.6719999999999999E-2</v>
      </c>
      <c r="O145" s="287">
        <v>5.4030000000000002E-2</v>
      </c>
      <c r="P145" s="288">
        <f t="shared" si="31"/>
        <v>0.48462446731016806</v>
      </c>
      <c r="Q145" s="30">
        <f t="shared" si="32"/>
        <v>76.328353601351466</v>
      </c>
      <c r="R145" s="30">
        <f t="shared" si="33"/>
        <v>81.171646398648534</v>
      </c>
      <c r="S145" s="42">
        <v>90.582089641333809</v>
      </c>
      <c r="T145" s="42">
        <v>85.398142487509162</v>
      </c>
      <c r="U145" s="42">
        <v>58.650991388765846</v>
      </c>
      <c r="V145" s="42">
        <v>70.682190887797077</v>
      </c>
      <c r="W145" s="288">
        <f t="shared" si="34"/>
        <v>0.48462446731016806</v>
      </c>
      <c r="X145" s="289">
        <f t="shared" si="35"/>
        <v>76.328353601351466</v>
      </c>
      <c r="Y145" s="289">
        <f t="shared" si="36"/>
        <v>0</v>
      </c>
      <c r="Z145" s="42">
        <v>90.582089641333809</v>
      </c>
      <c r="AA145" s="42">
        <v>85.398142487509162</v>
      </c>
      <c r="AB145" s="42">
        <v>58.650991388765846</v>
      </c>
      <c r="AC145" s="42">
        <v>70.682190887797077</v>
      </c>
      <c r="AD145" s="106">
        <v>2</v>
      </c>
      <c r="AE145" s="32" t="str">
        <f>IF(AD145=0,"",VLOOKUP(AD145,tab_tipo_expansao!$A$2:$B$4,2,0))</f>
        <v>obrigatoria</v>
      </c>
      <c r="AF145" s="125">
        <v>2020</v>
      </c>
      <c r="AG145" s="23">
        <v>2100</v>
      </c>
      <c r="AH145" s="125">
        <v>30</v>
      </c>
      <c r="AI145" s="106">
        <f t="shared" si="30"/>
        <v>949.25249999999983</v>
      </c>
      <c r="AJ145" s="24">
        <f>AK145/constantes!$B$4</f>
        <v>1545.3846153846152</v>
      </c>
      <c r="AK145">
        <v>6026.9999999999991</v>
      </c>
      <c r="AL145" s="87">
        <v>6</v>
      </c>
      <c r="AM145" s="531">
        <v>0</v>
      </c>
      <c r="AO145" s="532">
        <f t="shared" si="37"/>
        <v>949.25249999999983</v>
      </c>
      <c r="AP145" s="34"/>
      <c r="AQ145" s="35">
        <f t="shared" si="38"/>
        <v>6026.9999999999991</v>
      </c>
      <c r="AR145" s="36">
        <f ca="1">OFFSET(cod_desembolso!$A$1,AL145,23)</f>
        <v>1.07328</v>
      </c>
      <c r="AS145" s="37">
        <f ca="1">IF(AO145=0,0,AO145*(OFFSET(cod_desembolso!$A$1,AL145,23)))</f>
        <v>1018.8137231999998</v>
      </c>
      <c r="AT145" s="38">
        <f>(constantes!$B$3*(1+constantes!$B$3)^(AH145))/((1+constantes!$B$3)^(AH145)-1)</f>
        <v>8.8827433387272267E-2</v>
      </c>
      <c r="AU145" s="37">
        <f t="shared" ca="1" si="39"/>
        <v>106.24860813158683</v>
      </c>
      <c r="AV145" s="37">
        <f ca="1">IF(AO145=0,AX145/constantes!$B$3,AU145/constantes!$B$3)</f>
        <v>1328.1076016448353</v>
      </c>
      <c r="AW145" s="39">
        <f ca="1">IF(AO145=0,0,PV(constantes!$B$3,AH145,-AU145)*constantes!$B$3)</f>
        <v>95.689904868340619</v>
      </c>
      <c r="AX145" s="40">
        <f>2*constantes!$B$10*E145/1000</f>
        <v>15.75</v>
      </c>
      <c r="AY145" s="533">
        <f>constantes!$B$12</f>
        <v>0</v>
      </c>
      <c r="AZ145" s="20">
        <v>319</v>
      </c>
      <c r="BD145" s="534"/>
      <c r="BE145" s="541"/>
      <c r="BF145" s="536"/>
      <c r="BG145" s="537"/>
    </row>
    <row r="146" spans="1:59" ht="15" customHeight="1">
      <c r="A146" s="125">
        <v>1209</v>
      </c>
      <c r="B146" s="125">
        <v>1321</v>
      </c>
      <c r="C146" s="547" t="s">
        <v>2385</v>
      </c>
      <c r="D146" s="547" t="s">
        <v>2385</v>
      </c>
      <c r="E146" s="42">
        <v>812</v>
      </c>
      <c r="J146" s="548" t="s">
        <v>153</v>
      </c>
      <c r="K146" s="548" t="s">
        <v>153</v>
      </c>
      <c r="L146" s="23">
        <v>4</v>
      </c>
      <c r="M146" s="540"/>
      <c r="N146" s="287">
        <v>1.6719999999999999E-2</v>
      </c>
      <c r="O146" s="287">
        <v>5.4030000000000002E-2</v>
      </c>
      <c r="P146" s="288">
        <f t="shared" si="31"/>
        <v>0.53361857228515952</v>
      </c>
      <c r="Q146" s="30">
        <f t="shared" si="32"/>
        <v>433.29828069554952</v>
      </c>
      <c r="R146" s="30">
        <f t="shared" si="33"/>
        <v>378.70171930445048</v>
      </c>
      <c r="S146" s="42">
        <v>501.29011778760963</v>
      </c>
      <c r="T146" s="42">
        <v>470.76943999079833</v>
      </c>
      <c r="U146" s="42">
        <v>353.64534351984565</v>
      </c>
      <c r="V146" s="42">
        <v>407.48822148394441</v>
      </c>
      <c r="W146" s="288">
        <f t="shared" si="34"/>
        <v>0.53361857228515952</v>
      </c>
      <c r="X146" s="289">
        <f t="shared" si="35"/>
        <v>433.29828069554952</v>
      </c>
      <c r="Y146" s="289">
        <f t="shared" si="36"/>
        <v>0</v>
      </c>
      <c r="Z146" s="42">
        <v>501.29011778760963</v>
      </c>
      <c r="AA146" s="42">
        <v>470.76943999079833</v>
      </c>
      <c r="AB146" s="42">
        <v>353.64534351984565</v>
      </c>
      <c r="AC146" s="42">
        <v>407.48822148394441</v>
      </c>
      <c r="AD146" s="106">
        <v>1</v>
      </c>
      <c r="AE146" s="32" t="str">
        <f>IF(AD146=0,"",VLOOKUP(AD146,[4]tab_tipo_expansao!$A$2:$B$4,2,0))</f>
        <v>opcional</v>
      </c>
      <c r="AF146" s="125">
        <v>2021</v>
      </c>
      <c r="AG146" s="23">
        <v>2100</v>
      </c>
      <c r="AH146" s="125">
        <v>30</v>
      </c>
      <c r="AI146" s="106">
        <f t="shared" si="30"/>
        <v>9744</v>
      </c>
      <c r="AJ146" s="24">
        <f>AK146/[4]constantes!$B$4</f>
        <v>3076.9230769230771</v>
      </c>
      <c r="AK146">
        <v>12000</v>
      </c>
      <c r="AL146" s="87">
        <v>6</v>
      </c>
      <c r="AM146" s="531">
        <v>0</v>
      </c>
      <c r="AO146" s="532">
        <f t="shared" si="37"/>
        <v>9744</v>
      </c>
      <c r="AP146" s="34"/>
      <c r="AQ146" s="35">
        <f t="shared" si="38"/>
        <v>12000</v>
      </c>
      <c r="AR146" s="36">
        <f ca="1">OFFSET(cod_desembolso!$A$1,AL146,23)</f>
        <v>1.07328</v>
      </c>
      <c r="AS146" s="37">
        <f ca="1">IF(AO146=0,0,AO146*(OFFSET(cod_desembolso!$A$1,AL146,23)))</f>
        <v>10458.04032</v>
      </c>
      <c r="AT146" s="38">
        <f>(constantes!$B$3*(1+constantes!$B$3)^(AH146))/((1+constantes!$B$3)^(AH146)-1)</f>
        <v>8.8827433387272267E-2</v>
      </c>
      <c r="AU146" s="37">
        <f t="shared" ca="1" si="39"/>
        <v>1010.1608798862076</v>
      </c>
      <c r="AV146" s="37">
        <f ca="1">IF(AO146=0,AX146/constantes!$B$3,AU146/constantes!$B$3)</f>
        <v>12627.010998577594</v>
      </c>
      <c r="AW146" s="39">
        <f ca="1">IF(AO146=0,0,PV(constantes!$B$3,AH146,-AU146)*constantes!$B$3)</f>
        <v>909.77378619695605</v>
      </c>
      <c r="AX146" s="40">
        <f>2*[4]constantes!$B$10*E146/1000</f>
        <v>81.2</v>
      </c>
      <c r="AY146" s="533">
        <f>[4]constantes!$B$12</f>
        <v>0</v>
      </c>
      <c r="AZ146" s="20">
        <v>319</v>
      </c>
      <c r="BD146" s="534"/>
      <c r="BE146" s="541"/>
      <c r="BF146" s="536"/>
      <c r="BG146" s="537"/>
    </row>
    <row r="147" spans="1:59" ht="15" customHeight="1">
      <c r="A147" s="125">
        <v>1210</v>
      </c>
      <c r="B147" s="125">
        <v>1320</v>
      </c>
      <c r="C147" s="547" t="s">
        <v>2386</v>
      </c>
      <c r="D147" s="547" t="s">
        <v>2386</v>
      </c>
      <c r="E147" s="42">
        <v>792</v>
      </c>
      <c r="J147" s="548" t="s">
        <v>152</v>
      </c>
      <c r="K147" s="548" t="s">
        <v>152</v>
      </c>
      <c r="L147" s="23">
        <v>3</v>
      </c>
      <c r="M147" s="540"/>
      <c r="N147" s="287">
        <v>1.6719999999999999E-2</v>
      </c>
      <c r="O147" s="287">
        <v>5.4030000000000002E-2</v>
      </c>
      <c r="P147" s="288">
        <f t="shared" si="31"/>
        <v>0.32193192151971861</v>
      </c>
      <c r="Q147" s="30">
        <f t="shared" si="32"/>
        <v>254.97008184361715</v>
      </c>
      <c r="R147" s="30">
        <f t="shared" si="33"/>
        <v>537.02991815638279</v>
      </c>
      <c r="S147" s="42">
        <v>229.83547164122351</v>
      </c>
      <c r="T147" s="42">
        <v>247.5578506167777</v>
      </c>
      <c r="U147" s="42">
        <v>289.72781342347088</v>
      </c>
      <c r="V147" s="42">
        <v>252.75919169299655</v>
      </c>
      <c r="W147" s="288">
        <f t="shared" si="34"/>
        <v>0.32193192151971861</v>
      </c>
      <c r="X147" s="289">
        <f t="shared" si="35"/>
        <v>254.97008184361715</v>
      </c>
      <c r="Y147" s="289">
        <f t="shared" si="36"/>
        <v>0</v>
      </c>
      <c r="Z147" s="42">
        <v>229.83547164122351</v>
      </c>
      <c r="AA147" s="42">
        <v>247.5578506167777</v>
      </c>
      <c r="AB147" s="42">
        <v>289.72781342347088</v>
      </c>
      <c r="AC147" s="42">
        <v>252.75919169299655</v>
      </c>
      <c r="AD147" s="106">
        <v>1</v>
      </c>
      <c r="AE147" s="32" t="str">
        <f>IF(AD147=0,"",VLOOKUP(AD147,[4]tab_tipo_expansao!$A$2:$B$4,2,0))</f>
        <v>opcional</v>
      </c>
      <c r="AF147" s="125">
        <v>2021</v>
      </c>
      <c r="AG147" s="23">
        <v>2100</v>
      </c>
      <c r="AH147" s="125">
        <v>30</v>
      </c>
      <c r="AI147" s="106">
        <f t="shared" si="30"/>
        <v>9504</v>
      </c>
      <c r="AJ147" s="24">
        <f>AK147/[4]constantes!$B$4</f>
        <v>3076.9230769230771</v>
      </c>
      <c r="AK147">
        <v>12000</v>
      </c>
      <c r="AL147" s="87">
        <v>6</v>
      </c>
      <c r="AM147" s="531">
        <v>0</v>
      </c>
      <c r="AO147" s="532">
        <f t="shared" si="37"/>
        <v>9504</v>
      </c>
      <c r="AP147" s="34"/>
      <c r="AQ147" s="35">
        <f t="shared" si="38"/>
        <v>12000</v>
      </c>
      <c r="AR147" s="36">
        <f ca="1">OFFSET(cod_desembolso!$A$1,AL147,23)</f>
        <v>1.07328</v>
      </c>
      <c r="AS147" s="37">
        <f ca="1">IF(AO147=0,0,AO147*(OFFSET(cod_desembolso!$A$1,AL147,23)))</f>
        <v>10200.45312</v>
      </c>
      <c r="AT147" s="38">
        <f>(constantes!$B$3*(1+constantes!$B$3)^(AH147))/((1+constantes!$B$3)^(AH147)-1)</f>
        <v>8.8827433387272267E-2</v>
      </c>
      <c r="AU147" s="37">
        <f t="shared" ca="1" si="39"/>
        <v>985.28007003679363</v>
      </c>
      <c r="AV147" s="37">
        <f ca="1">IF(AO147=0,AX147/constantes!$B$3,AU147/constantes!$B$3)</f>
        <v>12316.00087545992</v>
      </c>
      <c r="AW147" s="39">
        <f ca="1">IF(AO147=0,0,PV(constantes!$B$3,AH147,-AU147)*constantes!$B$3)</f>
        <v>887.36556486205575</v>
      </c>
      <c r="AX147" s="40">
        <f>2*[4]constantes!$B$10*E147/1000</f>
        <v>79.2</v>
      </c>
      <c r="AY147" s="533">
        <f>[4]constantes!$B$12</f>
        <v>0</v>
      </c>
      <c r="AZ147" s="20">
        <v>319</v>
      </c>
      <c r="BD147" s="534"/>
      <c r="BE147" s="541"/>
      <c r="BF147" s="536"/>
      <c r="BG147" s="537"/>
    </row>
    <row r="148" spans="1:59" ht="15" customHeight="1">
      <c r="A148" s="125">
        <v>1211</v>
      </c>
      <c r="B148" s="125">
        <v>1319</v>
      </c>
      <c r="C148" s="547" t="s">
        <v>2387</v>
      </c>
      <c r="D148" s="547" t="s">
        <v>2387</v>
      </c>
      <c r="E148" s="42">
        <v>1436</v>
      </c>
      <c r="J148" s="548" t="s">
        <v>151</v>
      </c>
      <c r="K148" s="548" t="s">
        <v>151</v>
      </c>
      <c r="L148" s="23">
        <v>2</v>
      </c>
      <c r="M148" s="540"/>
      <c r="N148" s="287">
        <v>1.6719999999999999E-2</v>
      </c>
      <c r="O148" s="287">
        <v>5.4030000000000002E-2</v>
      </c>
      <c r="P148" s="288">
        <f t="shared" si="31"/>
        <v>0.54510398556895689</v>
      </c>
      <c r="Q148" s="30">
        <f t="shared" si="32"/>
        <v>782.76932327702207</v>
      </c>
      <c r="R148" s="30">
        <f t="shared" si="33"/>
        <v>653.23067672297793</v>
      </c>
      <c r="S148" s="42">
        <v>737.04340510640452</v>
      </c>
      <c r="T148" s="42">
        <v>731.15385506582822</v>
      </c>
      <c r="U148" s="42">
        <v>852.97344049629703</v>
      </c>
      <c r="V148" s="42">
        <v>809.90659243955861</v>
      </c>
      <c r="W148" s="288">
        <f t="shared" si="34"/>
        <v>0.54510398556895689</v>
      </c>
      <c r="X148" s="289">
        <f t="shared" si="35"/>
        <v>782.76932327702207</v>
      </c>
      <c r="Y148" s="289">
        <f t="shared" si="36"/>
        <v>0</v>
      </c>
      <c r="Z148" s="42">
        <v>737.04340510640452</v>
      </c>
      <c r="AA148" s="42">
        <v>731.15385506582822</v>
      </c>
      <c r="AB148" s="42">
        <v>852.97344049629703</v>
      </c>
      <c r="AC148" s="42">
        <v>809.90659243955861</v>
      </c>
      <c r="AD148" s="106">
        <v>1</v>
      </c>
      <c r="AE148" s="32" t="str">
        <f>IF(AD148=0,"",VLOOKUP(AD148,[4]tab_tipo_expansao!$A$2:$B$4,2,0))</f>
        <v>opcional</v>
      </c>
      <c r="AF148" s="125">
        <v>2021</v>
      </c>
      <c r="AG148" s="23">
        <v>2100</v>
      </c>
      <c r="AH148" s="125">
        <v>30</v>
      </c>
      <c r="AI148" s="106">
        <f t="shared" si="30"/>
        <v>17232</v>
      </c>
      <c r="AJ148" s="24">
        <f>AK148/[4]constantes!$B$4</f>
        <v>3076.9230769230771</v>
      </c>
      <c r="AK148">
        <v>12000</v>
      </c>
      <c r="AL148" s="87">
        <v>6</v>
      </c>
      <c r="AM148" s="531">
        <v>0</v>
      </c>
      <c r="AO148" s="532">
        <f t="shared" si="37"/>
        <v>17232</v>
      </c>
      <c r="AP148" s="34"/>
      <c r="AQ148" s="35">
        <f t="shared" si="38"/>
        <v>12000</v>
      </c>
      <c r="AR148" s="36">
        <f ca="1">OFFSET(cod_desembolso!$A$1,AL148,23)</f>
        <v>1.07328</v>
      </c>
      <c r="AS148" s="37">
        <f ca="1">IF(AO148=0,0,AO148*(OFFSET(cod_desembolso!$A$1,AL148,23)))</f>
        <v>18494.76096</v>
      </c>
      <c r="AT148" s="38">
        <f>(constantes!$B$3*(1+constantes!$B$3)^(AH148))/((1+constantes!$B$3)^(AH148)-1)</f>
        <v>8.8827433387272267E-2</v>
      </c>
      <c r="AU148" s="37">
        <f t="shared" ca="1" si="39"/>
        <v>1786.4421471879236</v>
      </c>
      <c r="AV148" s="37">
        <f ca="1">IF(AO148=0,AX148/constantes!$B$3,AU148/constantes!$B$3)</f>
        <v>22330.526839849044</v>
      </c>
      <c r="AW148" s="39">
        <f ca="1">IF(AO148=0,0,PV(constantes!$B$3,AH148,-AU148)*constantes!$B$3)</f>
        <v>1608.9102918458484</v>
      </c>
      <c r="AX148" s="40">
        <f>2*[4]constantes!$B$10*E148/1000</f>
        <v>143.6</v>
      </c>
      <c r="AY148" s="533">
        <f>[4]constantes!$B$12</f>
        <v>0</v>
      </c>
      <c r="AZ148" s="20">
        <v>319</v>
      </c>
      <c r="BD148" s="534"/>
      <c r="BE148" s="541"/>
      <c r="BF148" s="536"/>
      <c r="BG148" s="537"/>
    </row>
    <row r="149" spans="1:59" ht="15" customHeight="1">
      <c r="A149" s="125">
        <v>1213</v>
      </c>
      <c r="B149" s="125">
        <v>1317</v>
      </c>
      <c r="C149" s="547" t="s">
        <v>2388</v>
      </c>
      <c r="D149" s="547" t="s">
        <v>2388</v>
      </c>
      <c r="E149" s="42">
        <v>2872</v>
      </c>
      <c r="J149" s="548" t="s">
        <v>150</v>
      </c>
      <c r="K149" s="548" t="s">
        <v>151</v>
      </c>
      <c r="L149" s="23">
        <v>2</v>
      </c>
      <c r="M149" s="540"/>
      <c r="N149" s="287">
        <v>2.5329999923706055E-2</v>
      </c>
      <c r="O149" s="287">
        <v>8.0909996032714843E-2</v>
      </c>
      <c r="P149" s="288">
        <f>Q149/$E150</f>
        <v>0.63639782380245702</v>
      </c>
      <c r="Q149" s="30">
        <f t="shared" si="32"/>
        <v>1565.5386465540441</v>
      </c>
      <c r="R149" s="30">
        <f>E150-Q149</f>
        <v>894.46135344595587</v>
      </c>
      <c r="S149" s="42">
        <v>1474.086810212809</v>
      </c>
      <c r="T149" s="42">
        <v>1462.3077101316564</v>
      </c>
      <c r="U149" s="42">
        <v>1705.9468809925941</v>
      </c>
      <c r="V149" s="42">
        <v>1619.8131848791172</v>
      </c>
      <c r="W149" s="288">
        <f>X149/$E150</f>
        <v>0.63639782380245702</v>
      </c>
      <c r="X149" s="289">
        <f t="shared" si="35"/>
        <v>1565.5386465540441</v>
      </c>
      <c r="Y149" s="289">
        <f t="shared" si="36"/>
        <v>0</v>
      </c>
      <c r="Z149" s="42">
        <v>1474.086810212809</v>
      </c>
      <c r="AA149" s="42">
        <v>1462.3077101316564</v>
      </c>
      <c r="AB149" s="42">
        <v>1705.9468809925941</v>
      </c>
      <c r="AC149" s="42">
        <v>1619.8131848791172</v>
      </c>
      <c r="AD149" s="106">
        <v>1</v>
      </c>
      <c r="AE149" s="32" t="str">
        <f>IF(AD149=0,"",VLOOKUP(AD149,[4]tab_tipo_expansao!$A$2:$B$4,2,0))</f>
        <v>opcional</v>
      </c>
      <c r="AF149" s="125">
        <v>2021</v>
      </c>
      <c r="AG149" s="23">
        <v>2100</v>
      </c>
      <c r="AH149" s="125">
        <v>30</v>
      </c>
      <c r="AI149" s="106">
        <f t="shared" si="30"/>
        <v>21540</v>
      </c>
      <c r="AJ149" s="24">
        <f>AK149/[4]constantes!$B$4</f>
        <v>1923.0769230769231</v>
      </c>
      <c r="AK149">
        <v>7500</v>
      </c>
      <c r="AL149" s="87">
        <v>6</v>
      </c>
      <c r="AM149" s="531">
        <v>0</v>
      </c>
      <c r="AO149" s="532">
        <f t="shared" si="37"/>
        <v>21540</v>
      </c>
      <c r="AP149" s="34"/>
      <c r="AQ149" s="35">
        <f t="shared" si="38"/>
        <v>7500</v>
      </c>
      <c r="AR149" s="36">
        <f ca="1">OFFSET(cod_desembolso!$A$1,AL149,23)</f>
        <v>1.07328</v>
      </c>
      <c r="AS149" s="37">
        <f ca="1">IF(AO149=0,0,AO149*(OFFSET(cod_desembolso!$A$1,AL149,23)))</f>
        <v>23118.4512</v>
      </c>
      <c r="AT149" s="38">
        <f>(constantes!$B$3*(1+constantes!$B$3)^(AH149))/((1+constantes!$B$3)^(AH149)-1)</f>
        <v>8.8827433387272267E-2</v>
      </c>
      <c r="AU149" s="37">
        <f t="shared" ca="1" si="39"/>
        <v>2299.5526839849044</v>
      </c>
      <c r="AV149" s="37">
        <f ca="1">IF(AO149=0,AX149/constantes!$B$3,AU149/constantes!$B$3)</f>
        <v>28744.408549811305</v>
      </c>
      <c r="AW149" s="39">
        <f ca="1">IF(AO149=0,0,PV(constantes!$B$3,AH149,-AU149)*constantes!$B$3)</f>
        <v>2071.029272192749</v>
      </c>
      <c r="AX149" s="40">
        <f>2*[4]constantes!$B$10*E150/1000</f>
        <v>246</v>
      </c>
      <c r="AY149" s="533">
        <f>[4]constantes!$B$12</f>
        <v>0</v>
      </c>
      <c r="AZ149" s="20">
        <v>319</v>
      </c>
      <c r="BD149" s="534"/>
      <c r="BE149" s="541"/>
      <c r="BF149" s="536"/>
      <c r="BG149" s="537"/>
    </row>
    <row r="150" spans="1:59" ht="15" customHeight="1">
      <c r="A150" s="125">
        <v>1212</v>
      </c>
      <c r="B150" s="125">
        <v>1319</v>
      </c>
      <c r="C150" s="547" t="s">
        <v>2389</v>
      </c>
      <c r="D150" s="547" t="s">
        <v>2390</v>
      </c>
      <c r="E150" s="42">
        <v>2460</v>
      </c>
      <c r="J150" s="548" t="s">
        <v>151</v>
      </c>
      <c r="K150" s="548" t="s">
        <v>150</v>
      </c>
      <c r="L150" s="23">
        <v>1</v>
      </c>
      <c r="M150" s="540"/>
      <c r="N150" s="287">
        <v>1.6719999999999999E-2</v>
      </c>
      <c r="O150" s="287">
        <v>5.4030000000000002E-2</v>
      </c>
      <c r="P150" s="288">
        <f>Q150/$E150</f>
        <v>0.48449834393174773</v>
      </c>
      <c r="Q150" s="30">
        <f t="shared" si="32"/>
        <v>1191.8659260720995</v>
      </c>
      <c r="R150" s="30">
        <f>E150-Q150</f>
        <v>1268.1340739279005</v>
      </c>
      <c r="S150" s="42">
        <v>1414.4377686931095</v>
      </c>
      <c r="T150" s="42">
        <v>1333.4905232242556</v>
      </c>
      <c r="U150" s="42">
        <v>915.83421976732393</v>
      </c>
      <c r="V150" s="42">
        <v>1103.7011926037083</v>
      </c>
      <c r="W150" s="288">
        <f>X150/$E150</f>
        <v>0.48449834393174773</v>
      </c>
      <c r="X150" s="289">
        <f t="shared" si="35"/>
        <v>1191.8659260720995</v>
      </c>
      <c r="Y150" s="289">
        <f t="shared" si="36"/>
        <v>0</v>
      </c>
      <c r="Z150" s="42">
        <v>1414.4377686931095</v>
      </c>
      <c r="AA150" s="42">
        <v>1333.4905232242556</v>
      </c>
      <c r="AB150" s="42">
        <v>915.83421976732393</v>
      </c>
      <c r="AC150" s="42">
        <v>1103.7011926037083</v>
      </c>
      <c r="AD150" s="106">
        <v>1</v>
      </c>
      <c r="AE150" s="32" t="str">
        <f>IF(AD150=0,"",VLOOKUP(AD150,[4]tab_tipo_expansao!$A$2:$B$4,2,0))</f>
        <v>opcional</v>
      </c>
      <c r="AF150" s="125">
        <v>2021</v>
      </c>
      <c r="AG150" s="23">
        <v>2100</v>
      </c>
      <c r="AH150" s="125">
        <v>30</v>
      </c>
      <c r="AI150" s="106">
        <f t="shared" si="30"/>
        <v>29520</v>
      </c>
      <c r="AJ150" s="24">
        <f>AK150/[4]constantes!$B$4</f>
        <v>3076.9230769230771</v>
      </c>
      <c r="AK150">
        <v>12000</v>
      </c>
      <c r="AL150" s="87">
        <v>6</v>
      </c>
      <c r="AM150" s="531">
        <v>0</v>
      </c>
      <c r="AO150" s="532">
        <f t="shared" si="37"/>
        <v>29520</v>
      </c>
      <c r="AP150" s="34"/>
      <c r="AQ150" s="35">
        <f t="shared" si="38"/>
        <v>12000</v>
      </c>
      <c r="AR150" s="36">
        <f ca="1">OFFSET(cod_desembolso!$A$1,AL150,23)</f>
        <v>1.07328</v>
      </c>
      <c r="AS150" s="37">
        <f ca="1">IF(AO150=0,0,AO150*(OFFSET(cod_desembolso!$A$1,AL150,23)))</f>
        <v>31683.225600000002</v>
      </c>
      <c r="AT150" s="38">
        <f>(constantes!$B$3*(1+constantes!$B$3)^(AH150))/((1+constantes!$B$3)^(AH150)-1)</f>
        <v>8.8827433387272267E-2</v>
      </c>
      <c r="AU150" s="37">
        <f t="shared" ca="1" si="39"/>
        <v>3060.3396114779193</v>
      </c>
      <c r="AV150" s="37">
        <f ca="1">IF(AO150=0,AX150/constantes!$B$3,AU150/constantes!$B$3)</f>
        <v>38254.245143473992</v>
      </c>
      <c r="AW150" s="39">
        <f ca="1">IF(AO150=0,0,PV(constantes!$B$3,AH150,-AU150)*constantes!$B$3)</f>
        <v>2756.2112241927489</v>
      </c>
      <c r="AX150" s="40">
        <f>2*[4]constantes!$B$10*E150/1000</f>
        <v>246</v>
      </c>
      <c r="AY150" s="533">
        <f>[4]constantes!$B$12</f>
        <v>0</v>
      </c>
      <c r="AZ150" s="20">
        <v>319</v>
      </c>
      <c r="BD150" s="534"/>
      <c r="BE150" s="541"/>
      <c r="BF150" s="536"/>
      <c r="BG150" s="537"/>
    </row>
    <row r="151" spans="1:59" ht="15" customHeight="1">
      <c r="A151" s="125">
        <v>1214</v>
      </c>
      <c r="B151" s="125">
        <v>1318</v>
      </c>
      <c r="C151" s="547" t="s">
        <v>2389</v>
      </c>
      <c r="D151" s="547" t="s">
        <v>2391</v>
      </c>
      <c r="E151" s="42">
        <v>2108.5</v>
      </c>
      <c r="J151" s="548" t="s">
        <v>150</v>
      </c>
      <c r="K151" s="548" t="s">
        <v>150</v>
      </c>
      <c r="L151" s="23">
        <v>1</v>
      </c>
      <c r="M151" s="540"/>
      <c r="N151" s="287">
        <v>2.5329999923706055E-2</v>
      </c>
      <c r="O151" s="287">
        <v>8.0909996032714843E-2</v>
      </c>
      <c r="P151" s="288">
        <f>Q151/$E150</f>
        <v>0.41527022690247561</v>
      </c>
      <c r="Q151" s="30">
        <f t="shared" si="32"/>
        <v>1021.5647581800901</v>
      </c>
      <c r="R151" s="30">
        <f>E150-Q151</f>
        <v>1438.4352418199101</v>
      </c>
      <c r="S151" s="42">
        <v>1212.3341606867566</v>
      </c>
      <c r="T151" s="42">
        <v>1142.9531578123344</v>
      </c>
      <c r="U151" s="42">
        <v>784.97416763390345</v>
      </c>
      <c r="V151" s="42">
        <v>945.99754658736526</v>
      </c>
      <c r="W151" s="288">
        <v>0.37130872075804133</v>
      </c>
      <c r="X151" s="289">
        <f t="shared" si="35"/>
        <v>1021.5647581800901</v>
      </c>
      <c r="Y151" s="289">
        <f t="shared" si="36"/>
        <v>0</v>
      </c>
      <c r="Z151" s="42">
        <v>1212.3341606867566</v>
      </c>
      <c r="AA151" s="42">
        <v>1142.9531578123344</v>
      </c>
      <c r="AB151" s="42">
        <v>784.97416763390345</v>
      </c>
      <c r="AC151" s="42">
        <v>945.99754658736526</v>
      </c>
      <c r="AD151" s="106">
        <v>1</v>
      </c>
      <c r="AE151" s="32" t="str">
        <f>IF(AD151=0,"",VLOOKUP(AD151,[4]tab_tipo_expansao!$A$2:$B$4,2,0))</f>
        <v>opcional</v>
      </c>
      <c r="AF151" s="125">
        <v>2021</v>
      </c>
      <c r="AG151" s="23">
        <v>2100</v>
      </c>
      <c r="AH151" s="125">
        <v>30</v>
      </c>
      <c r="AI151" s="106">
        <f>AK151*E150/1000</f>
        <v>18450</v>
      </c>
      <c r="AJ151" s="24">
        <f>AK151/[4]constantes!$B$4</f>
        <v>1923.0769230769231</v>
      </c>
      <c r="AK151">
        <v>7500</v>
      </c>
      <c r="AL151" s="87">
        <v>6</v>
      </c>
      <c r="AM151" s="531">
        <v>0</v>
      </c>
      <c r="AO151" s="532">
        <f t="shared" si="37"/>
        <v>18450</v>
      </c>
      <c r="AP151" s="34"/>
      <c r="AQ151" s="35">
        <f>AO151*1000/E150</f>
        <v>7500</v>
      </c>
      <c r="AR151" s="36">
        <f ca="1">OFFSET(cod_desembolso!$A$1,AL151,23)</f>
        <v>1.07328</v>
      </c>
      <c r="AS151" s="37">
        <f ca="1">IF(AO151=0,0,AO151*(OFFSET(cod_desembolso!$A$1,AL151,23)))</f>
        <v>19802.016</v>
      </c>
      <c r="AT151" s="38">
        <f>(constantes!$B$3*(1+constantes!$B$3)^(AH151))/((1+constantes!$B$3)^(AH151)-1)</f>
        <v>8.8827433387272267E-2</v>
      </c>
      <c r="AU151" s="37">
        <f t="shared" ca="1" si="39"/>
        <v>2004.9622571736995</v>
      </c>
      <c r="AV151" s="37">
        <f ca="1">IF(AO151=0,AX151/constantes!$B$3,AU151/constantes!$B$3)</f>
        <v>25062.028214671245</v>
      </c>
      <c r="AW151" s="39">
        <f ca="1">IF(AO151=0,0,PV(constantes!$B$3,AH151,-AU151)*constantes!$B$3)</f>
        <v>1805.7144561927487</v>
      </c>
      <c r="AX151" s="40">
        <f>2*[4]constantes!$B$10*E150/1000</f>
        <v>246</v>
      </c>
      <c r="AY151" s="533">
        <f>[4]constantes!$B$12</f>
        <v>0</v>
      </c>
      <c r="AZ151" s="20">
        <v>319</v>
      </c>
      <c r="BD151" s="534"/>
      <c r="BE151" s="541"/>
      <c r="BF151" s="536"/>
      <c r="BG151" s="537"/>
    </row>
    <row r="152" spans="1:59" ht="15" customHeight="1">
      <c r="A152" s="125">
        <v>1215</v>
      </c>
      <c r="B152" s="125">
        <v>1318</v>
      </c>
      <c r="C152" s="547" t="s">
        <v>2389</v>
      </c>
      <c r="D152" s="547" t="s">
        <v>2392</v>
      </c>
      <c r="E152" s="42">
        <v>4568.5</v>
      </c>
      <c r="J152" s="548" t="s">
        <v>150</v>
      </c>
      <c r="K152" s="548" t="s">
        <v>150</v>
      </c>
      <c r="L152" s="23">
        <v>1</v>
      </c>
      <c r="M152" s="540"/>
      <c r="N152" s="287">
        <v>2.5329999923706055E-2</v>
      </c>
      <c r="O152" s="287">
        <v>8.0909996032714843E-2</v>
      </c>
      <c r="P152" s="288">
        <f>Q152/$E151</f>
        <v>1.0497655604705665</v>
      </c>
      <c r="Q152" s="30">
        <f t="shared" si="32"/>
        <v>2213.4306842521892</v>
      </c>
      <c r="R152" s="30">
        <f>E151-Q152</f>
        <v>-104.93068425218917</v>
      </c>
      <c r="S152" s="42">
        <v>2626.7719293798664</v>
      </c>
      <c r="T152" s="42">
        <v>2476.4436810365901</v>
      </c>
      <c r="U152" s="42">
        <v>1700.8083874012273</v>
      </c>
      <c r="V152" s="42">
        <v>2049.6987391910734</v>
      </c>
      <c r="W152" s="288">
        <v>0.37130872075804133</v>
      </c>
      <c r="X152" s="289">
        <f t="shared" si="35"/>
        <v>2213.4306842521892</v>
      </c>
      <c r="Y152" s="289">
        <f t="shared" si="36"/>
        <v>0</v>
      </c>
      <c r="Z152" s="42">
        <v>2626.7719293798664</v>
      </c>
      <c r="AA152" s="42">
        <v>2476.4436810365901</v>
      </c>
      <c r="AB152" s="42">
        <v>1700.8083874012273</v>
      </c>
      <c r="AC152" s="42">
        <v>2049.6987391910734</v>
      </c>
      <c r="AD152" s="106">
        <v>1</v>
      </c>
      <c r="AE152" s="32" t="str">
        <f>IF(AD152=0,"",VLOOKUP(AD152,[4]tab_tipo_expansao!$A$2:$B$4,2,0))</f>
        <v>opcional</v>
      </c>
      <c r="AF152" s="125">
        <v>2021</v>
      </c>
      <c r="AG152" s="23">
        <v>2100</v>
      </c>
      <c r="AH152" s="125">
        <v>30</v>
      </c>
      <c r="AI152" s="106">
        <f>AK152*E151/1000</f>
        <v>15813.75</v>
      </c>
      <c r="AJ152" s="24">
        <f>AK152/[4]constantes!$B$4</f>
        <v>1923.0769230769231</v>
      </c>
      <c r="AK152">
        <v>7500</v>
      </c>
      <c r="AL152" s="87">
        <v>6</v>
      </c>
      <c r="AM152" s="531">
        <v>0</v>
      </c>
      <c r="AO152" s="532">
        <f t="shared" si="37"/>
        <v>15813.75</v>
      </c>
      <c r="AP152" s="34"/>
      <c r="AQ152" s="35">
        <f>AO152*1000/E151</f>
        <v>7500</v>
      </c>
      <c r="AR152" s="36">
        <f ca="1">OFFSET(cod_desembolso!$A$1,AL152,23)</f>
        <v>1.07328</v>
      </c>
      <c r="AS152" s="37">
        <f ca="1">IF(AO152=0,0,AO152*(OFFSET(cod_desembolso!$A$1,AL152,23)))</f>
        <v>16972.581600000001</v>
      </c>
      <c r="AT152" s="38">
        <f>(constantes!$B$3*(1+constantes!$B$3)^(AH152))/((1+constantes!$B$3)^(AH152)-1)</f>
        <v>8.8827433387272267E-2</v>
      </c>
      <c r="AU152" s="37">
        <f t="shared" ca="1" si="39"/>
        <v>1718.4808614840431</v>
      </c>
      <c r="AV152" s="37">
        <f ca="1">IF(AO152=0,AX152/constantes!$B$3,AU152/constantes!$B$3)</f>
        <v>21481.010768550539</v>
      </c>
      <c r="AW152" s="39">
        <f ca="1">IF(AO152=0,0,PV(constantes!$B$3,AH152,-AU152)*constantes!$B$3)</f>
        <v>1547.7028174318746</v>
      </c>
      <c r="AX152" s="40">
        <f>2*[4]constantes!$B$10*E151/1000</f>
        <v>210.85</v>
      </c>
      <c r="AY152" s="533">
        <f>[4]constantes!$B$12</f>
        <v>0</v>
      </c>
      <c r="AZ152" s="20">
        <v>319</v>
      </c>
      <c r="BD152" s="534"/>
      <c r="BE152" s="541"/>
      <c r="BF152" s="536"/>
      <c r="BG152" s="537"/>
    </row>
    <row r="153" spans="1:59" ht="15">
      <c r="A153" s="125">
        <v>1128</v>
      </c>
      <c r="B153" s="125">
        <v>1128</v>
      </c>
      <c r="C153" s="538" t="s">
        <v>2393</v>
      </c>
      <c r="D153" s="538" t="s">
        <v>2393</v>
      </c>
      <c r="E153" s="526">
        <v>52</v>
      </c>
      <c r="F153" s="3" t="s">
        <v>2194</v>
      </c>
      <c r="G153" s="3" t="s">
        <v>2394</v>
      </c>
      <c r="H153" s="3">
        <v>-47.221384999999998</v>
      </c>
      <c r="I153" s="3">
        <v>-23.285927999999998</v>
      </c>
      <c r="J153" s="539" t="s">
        <v>146</v>
      </c>
      <c r="K153" s="539" t="s">
        <v>146</v>
      </c>
      <c r="L153" s="554">
        <v>1</v>
      </c>
      <c r="M153" s="107"/>
      <c r="N153" s="529">
        <v>2.068E-2</v>
      </c>
      <c r="O153" s="529">
        <v>4.6600000000000003E-2</v>
      </c>
      <c r="P153" s="288">
        <f t="shared" ref="P153:P184" si="40">Q153/$E153</f>
        <v>0.53211930092018589</v>
      </c>
      <c r="Q153" s="30">
        <f t="shared" si="32"/>
        <v>27.670203647849668</v>
      </c>
      <c r="R153" s="30">
        <f t="shared" ref="R153:R184" si="41">E153-Q153</f>
        <v>24.329796352150332</v>
      </c>
      <c r="S153" s="107">
        <v>34.675439445188466</v>
      </c>
      <c r="T153" s="107">
        <v>30.439766643826804</v>
      </c>
      <c r="U153" s="107">
        <v>21.592498492920924</v>
      </c>
      <c r="V153" s="107">
        <v>23.973110009462477</v>
      </c>
      <c r="W153" s="288">
        <f t="shared" ref="W153:W184" si="42">X153/$E153</f>
        <v>0.56765074645560576</v>
      </c>
      <c r="X153" s="289">
        <f t="shared" si="35"/>
        <v>29.517838815691501</v>
      </c>
      <c r="Y153" s="289">
        <f t="shared" si="36"/>
        <v>1.8476351678418332</v>
      </c>
      <c r="Z153" s="107">
        <v>38.581439712947152</v>
      </c>
      <c r="AA153" s="107">
        <v>32.097108919748209</v>
      </c>
      <c r="AB153" s="107">
        <v>22.09832919871123</v>
      </c>
      <c r="AC153" s="107">
        <v>25.294477431359411</v>
      </c>
      <c r="AD153" s="106">
        <v>3</v>
      </c>
      <c r="AE153" s="32" t="str">
        <f>IF(AD153=0,"",VLOOKUP(AD153,tab_tipo_expansao!$A$2:$B$4,2,0))</f>
        <v>não_considerar</v>
      </c>
      <c r="AF153" s="125">
        <v>2030</v>
      </c>
      <c r="AG153" s="125">
        <v>2100</v>
      </c>
      <c r="AH153" s="125">
        <v>30</v>
      </c>
      <c r="AI153" s="530">
        <v>520</v>
      </c>
      <c r="AJ153" s="24">
        <f>AK153/constantes!$B$4</f>
        <v>2564.102564102564</v>
      </c>
      <c r="AK153" s="33">
        <f t="shared" ref="AK153:AK184" si="43">AI153/E153*1000</f>
        <v>10000</v>
      </c>
      <c r="AL153" s="87">
        <v>2</v>
      </c>
      <c r="AM153" s="531">
        <v>0</v>
      </c>
      <c r="AN153" s="23"/>
      <c r="AO153" s="532">
        <f t="shared" si="37"/>
        <v>520</v>
      </c>
      <c r="AQ153" s="35">
        <f t="shared" ref="AQ153:AQ184" si="44">AO153*1000/E153</f>
        <v>10000</v>
      </c>
      <c r="AR153" s="36">
        <f ca="1">OFFSET(cod_desembolso!$A$1,AL153,23)</f>
        <v>1.1245293369208682</v>
      </c>
      <c r="AS153" s="37">
        <f ca="1">IF(AO153=0,0,AO153*(OFFSET(cod_desembolso!$A$1,AL153,23)))</f>
        <v>584.7552551988515</v>
      </c>
      <c r="AT153" s="38">
        <f>(constantes!$B$3*(1+constantes!$B$3)^(AH153))/((1+constantes!$B$3)^(AH153)-1)</f>
        <v>8.8827433387272267E-2</v>
      </c>
      <c r="AU153" s="37">
        <f t="shared" ca="1" si="39"/>
        <v>54.54230847903338</v>
      </c>
      <c r="AV153" s="37">
        <f ca="1">IF(AO153=0,AX153/constantes!$B$3,AU153/constantes!$B$3)</f>
        <v>681.77885598791727</v>
      </c>
      <c r="AW153" s="39">
        <f ca="1">IF(AO153=0,0,PV(constantes!$B$3,AH153,-AU153)*constantes!$B$3)</f>
        <v>49.122039351278637</v>
      </c>
      <c r="AX153" s="40">
        <f>constantes!$B$10*E153/1000</f>
        <v>2.6</v>
      </c>
      <c r="AY153" s="533">
        <f>constantes!$B$12</f>
        <v>0</v>
      </c>
      <c r="AZ153" s="20">
        <v>318</v>
      </c>
      <c r="BA153" s="43"/>
      <c r="BB153" s="3" t="s">
        <v>2181</v>
      </c>
      <c r="BD153" s="534">
        <v>1</v>
      </c>
      <c r="BE153" s="535">
        <v>2027</v>
      </c>
      <c r="BF153" s="536">
        <v>1</v>
      </c>
      <c r="BG153" s="537">
        <v>2027</v>
      </c>
    </row>
    <row r="154" spans="1:59" ht="15">
      <c r="A154" s="125">
        <v>1129</v>
      </c>
      <c r="B154" s="125">
        <v>1129</v>
      </c>
      <c r="C154" s="538" t="s">
        <v>2395</v>
      </c>
      <c r="D154" s="538" t="s">
        <v>2395</v>
      </c>
      <c r="E154" s="526">
        <v>320</v>
      </c>
      <c r="F154" s="3" t="s">
        <v>2209</v>
      </c>
      <c r="G154" s="3" t="s">
        <v>2209</v>
      </c>
      <c r="H154" s="3">
        <v>-39.493616000000003</v>
      </c>
      <c r="I154" s="3">
        <v>-8.5941690000000008</v>
      </c>
      <c r="J154" s="539" t="s">
        <v>152</v>
      </c>
      <c r="K154" s="539" t="s">
        <v>152</v>
      </c>
      <c r="L154" s="554">
        <v>3</v>
      </c>
      <c r="M154" s="107"/>
      <c r="N154" s="529">
        <v>1.9820000000000001E-2</v>
      </c>
      <c r="O154" s="529">
        <v>5.2919999999999995E-2</v>
      </c>
      <c r="P154" s="288">
        <f t="shared" si="40"/>
        <v>0.46582700892857137</v>
      </c>
      <c r="Q154" s="30">
        <f t="shared" si="32"/>
        <v>149.06464285714284</v>
      </c>
      <c r="R154" s="30">
        <f t="shared" si="41"/>
        <v>170.93535714285716</v>
      </c>
      <c r="S154" s="107">
        <v>144.1552380952381</v>
      </c>
      <c r="T154" s="107">
        <v>132.30232142857145</v>
      </c>
      <c r="U154" s="107">
        <v>172.64208333333332</v>
      </c>
      <c r="V154" s="107">
        <v>147.15892857142856</v>
      </c>
      <c r="W154" s="288">
        <f t="shared" si="42"/>
        <v>0.44057818627450979</v>
      </c>
      <c r="X154" s="289">
        <f t="shared" si="35"/>
        <v>140.98501960784313</v>
      </c>
      <c r="Y154" s="289">
        <f t="shared" si="36"/>
        <v>-8.0796232492997149</v>
      </c>
      <c r="Z154" s="107">
        <v>145.22521568627451</v>
      </c>
      <c r="AA154" s="107">
        <v>130.62894117647059</v>
      </c>
      <c r="AB154" s="107">
        <v>150.17678431372548</v>
      </c>
      <c r="AC154" s="107">
        <v>137.90913725490196</v>
      </c>
      <c r="AD154" s="106">
        <v>3</v>
      </c>
      <c r="AE154" s="32" t="str">
        <f>IF(AD154=0,"",VLOOKUP(AD154,tab_tipo_expansao!$A$2:$B$4,2,0))</f>
        <v>não_considerar</v>
      </c>
      <c r="AF154" s="125">
        <v>2030</v>
      </c>
      <c r="AG154" s="125">
        <v>2100</v>
      </c>
      <c r="AH154" s="125">
        <v>30</v>
      </c>
      <c r="AI154" s="530">
        <v>3335.3557577208603</v>
      </c>
      <c r="AJ154" s="24">
        <f>AK154/constantes!$B$4</f>
        <v>2672.5607033019714</v>
      </c>
      <c r="AK154" s="33">
        <f t="shared" si="43"/>
        <v>10422.986742877689</v>
      </c>
      <c r="AL154" s="87">
        <v>2</v>
      </c>
      <c r="AM154" s="531">
        <v>0</v>
      </c>
      <c r="AN154" s="23"/>
      <c r="AO154" s="532">
        <f t="shared" si="37"/>
        <v>3335.3557577208603</v>
      </c>
      <c r="AQ154" s="35">
        <f t="shared" si="44"/>
        <v>10422.986742877689</v>
      </c>
      <c r="AR154" s="36">
        <f ca="1">OFFSET(cod_desembolso!$A$1,AL154,23)</f>
        <v>1.1245293369208682</v>
      </c>
      <c r="AS154" s="37">
        <f ca="1">IF(AO154=0,0,AO154*(OFFSET(cod_desembolso!$A$1,AL154,23)))</f>
        <v>3750.7053986250389</v>
      </c>
      <c r="AT154" s="38">
        <f>(constantes!$B$3*(1+constantes!$B$3)^(AH154))/((1+constantes!$B$3)^(AH154)-1)</f>
        <v>8.8827433387272267E-2</v>
      </c>
      <c r="AU154" s="37">
        <f t="shared" ca="1" si="39"/>
        <v>349.16553395164811</v>
      </c>
      <c r="AV154" s="37">
        <f ca="1">IF(AO154=0,AX154/constantes!$B$3,AU154/constantes!$B$3)</f>
        <v>4364.5691743956013</v>
      </c>
      <c r="AW154" s="39">
        <f ca="1">IF(AO154=0,0,PV(constantes!$B$3,AH154,-AU154)*constantes!$B$3)</f>
        <v>314.46639456920627</v>
      </c>
      <c r="AX154" s="40">
        <f>constantes!$B$10*E154/1000</f>
        <v>16</v>
      </c>
      <c r="AY154" s="533">
        <f>constantes!$B$12</f>
        <v>0</v>
      </c>
      <c r="AZ154" s="20">
        <v>318</v>
      </c>
      <c r="BA154" s="43"/>
      <c r="BB154" s="3" t="s">
        <v>2215</v>
      </c>
      <c r="BD154" s="534">
        <v>1</v>
      </c>
      <c r="BE154" s="535">
        <v>2035</v>
      </c>
      <c r="BF154" s="536">
        <v>3</v>
      </c>
      <c r="BG154" s="537">
        <v>2050</v>
      </c>
    </row>
    <row r="155" spans="1:59" ht="15">
      <c r="A155" s="125">
        <v>1130</v>
      </c>
      <c r="B155" s="125">
        <v>1130</v>
      </c>
      <c r="C155" s="538" t="s">
        <v>2396</v>
      </c>
      <c r="D155" s="538" t="s">
        <v>2396</v>
      </c>
      <c r="E155" s="526">
        <v>45.96</v>
      </c>
      <c r="F155" s="3" t="s">
        <v>2209</v>
      </c>
      <c r="G155" s="3" t="s">
        <v>2210</v>
      </c>
      <c r="H155" s="3">
        <v>-44.524222000000002</v>
      </c>
      <c r="I155" s="3">
        <v>-19.610628999999999</v>
      </c>
      <c r="J155" s="539" t="s">
        <v>150</v>
      </c>
      <c r="K155" s="539" t="s">
        <v>150</v>
      </c>
      <c r="L155" s="554">
        <v>1</v>
      </c>
      <c r="M155" s="107"/>
      <c r="N155" s="529">
        <v>2.068E-2</v>
      </c>
      <c r="O155" s="529">
        <v>4.6600000000000003E-2</v>
      </c>
      <c r="P155" s="288">
        <f t="shared" si="40"/>
        <v>0.49621532958265985</v>
      </c>
      <c r="Q155" s="30">
        <f t="shared" si="32"/>
        <v>22.806056547619047</v>
      </c>
      <c r="R155" s="30">
        <f t="shared" si="41"/>
        <v>23.153943452380954</v>
      </c>
      <c r="S155" s="107">
        <v>32.758571428571429</v>
      </c>
      <c r="T155" s="107">
        <v>21.418571428571429</v>
      </c>
      <c r="U155" s="107">
        <v>14.559583333333331</v>
      </c>
      <c r="V155" s="107">
        <v>22.487500000000001</v>
      </c>
      <c r="W155" s="288">
        <f t="shared" si="42"/>
        <v>0.54871072885202798</v>
      </c>
      <c r="X155" s="289">
        <f t="shared" si="35"/>
        <v>25.218745098039207</v>
      </c>
      <c r="Y155" s="289">
        <f t="shared" si="36"/>
        <v>2.4126885504201603</v>
      </c>
      <c r="Z155" s="107">
        <v>38.146117647058794</v>
      </c>
      <c r="AA155" s="107">
        <v>21.867764705882347</v>
      </c>
      <c r="AB155" s="107">
        <v>15.050823529411765</v>
      </c>
      <c r="AC155" s="107">
        <v>25.810274509803918</v>
      </c>
      <c r="AD155" s="106">
        <v>1</v>
      </c>
      <c r="AE155" s="32" t="str">
        <f>IF(AD155=0,"",VLOOKUP(AD155,tab_tipo_expansao!$A$2:$B$4,2,0))</f>
        <v>opcional</v>
      </c>
      <c r="AF155" s="125">
        <v>2028</v>
      </c>
      <c r="AG155" s="125">
        <v>2100</v>
      </c>
      <c r="AH155" s="125">
        <v>30</v>
      </c>
      <c r="AI155" s="530">
        <v>703.50988653255195</v>
      </c>
      <c r="AJ155" s="24">
        <f>AK155/constantes!$B$4</f>
        <v>3924.8727239547879</v>
      </c>
      <c r="AK155" s="33">
        <f t="shared" si="43"/>
        <v>15307.003623423672</v>
      </c>
      <c r="AL155" s="87">
        <v>2</v>
      </c>
      <c r="AM155" s="531">
        <v>0</v>
      </c>
      <c r="AN155" s="23"/>
      <c r="AO155" s="532">
        <f t="shared" si="37"/>
        <v>703.50988653255195</v>
      </c>
      <c r="AQ155" s="35">
        <f t="shared" si="44"/>
        <v>15307.003623423672</v>
      </c>
      <c r="AR155" s="36">
        <f ca="1">OFFSET(cod_desembolso!$A$1,AL155,23)</f>
        <v>1.1245293369208682</v>
      </c>
      <c r="AS155" s="37">
        <f ca="1">IF(AO155=0,0,AO155*(OFFSET(cod_desembolso!$A$1,AL155,23)))</f>
        <v>791.1175062197259</v>
      </c>
      <c r="AT155" s="38">
        <f>(constantes!$B$3*(1+constantes!$B$3)^(AH155))/((1+constantes!$B$3)^(AH155)-1)</f>
        <v>8.8827433387272267E-2</v>
      </c>
      <c r="AU155" s="37">
        <f t="shared" ca="1" si="39"/>
        <v>72.570937585237658</v>
      </c>
      <c r="AV155" s="37">
        <f ca="1">IF(AO155=0,AX155/constantes!$B$3,AU155/constantes!$B$3)</f>
        <v>907.13671981547066</v>
      </c>
      <c r="AW155" s="39">
        <f ca="1">IF(AO155=0,0,PV(constantes!$B$3,AH155,-AU155)*constantes!$B$3)</f>
        <v>65.359031387378622</v>
      </c>
      <c r="AX155" s="40">
        <f>constantes!$B$10*E155/1000</f>
        <v>2.298</v>
      </c>
      <c r="AY155" s="533">
        <f>constantes!$B$12</f>
        <v>0</v>
      </c>
      <c r="AZ155" s="20">
        <v>318</v>
      </c>
      <c r="BA155" s="43"/>
      <c r="BB155" s="3" t="s">
        <v>2195</v>
      </c>
      <c r="BD155" s="534">
        <v>1</v>
      </c>
      <c r="BE155" s="535">
        <v>2027</v>
      </c>
      <c r="BF155" s="536">
        <v>1</v>
      </c>
      <c r="BG155" s="537">
        <v>2027</v>
      </c>
    </row>
    <row r="156" spans="1:59" ht="15">
      <c r="A156" s="125">
        <v>1131</v>
      </c>
      <c r="B156" s="125">
        <v>1131</v>
      </c>
      <c r="C156" s="538" t="s">
        <v>2397</v>
      </c>
      <c r="D156" s="538" t="s">
        <v>2397</v>
      </c>
      <c r="E156" s="526">
        <v>41</v>
      </c>
      <c r="F156" s="3" t="s">
        <v>2194</v>
      </c>
      <c r="G156" s="3" t="s">
        <v>2394</v>
      </c>
      <c r="H156" s="3">
        <v>-47.102479000000002</v>
      </c>
      <c r="I156" s="3">
        <v>-23.375617999999999</v>
      </c>
      <c r="J156" s="539" t="s">
        <v>146</v>
      </c>
      <c r="K156" s="539" t="s">
        <v>146</v>
      </c>
      <c r="L156" s="554">
        <v>1</v>
      </c>
      <c r="M156" s="107"/>
      <c r="N156" s="529">
        <v>2.068E-2</v>
      </c>
      <c r="O156" s="529">
        <v>4.6600000000000003E-2</v>
      </c>
      <c r="P156" s="288">
        <f t="shared" si="40"/>
        <v>0.532119300920186</v>
      </c>
      <c r="Q156" s="30">
        <f t="shared" si="32"/>
        <v>21.816891337727625</v>
      </c>
      <c r="R156" s="30">
        <f t="shared" si="41"/>
        <v>19.183108662272375</v>
      </c>
      <c r="S156" s="107">
        <v>27.340250331783221</v>
      </c>
      <c r="T156" s="107">
        <v>24.000585238401907</v>
      </c>
      <c r="U156" s="107">
        <v>17.02485458095688</v>
      </c>
      <c r="V156" s="107">
        <v>18.901875199768497</v>
      </c>
      <c r="W156" s="288">
        <f t="shared" si="42"/>
        <v>0.56765074645560576</v>
      </c>
      <c r="X156" s="289">
        <f t="shared" si="35"/>
        <v>23.273680604679836</v>
      </c>
      <c r="Y156" s="289">
        <f t="shared" si="36"/>
        <v>1.4567892669522102</v>
      </c>
      <c r="Z156" s="107">
        <v>30.419981312131409</v>
      </c>
      <c r="AA156" s="107">
        <v>25.307335879032241</v>
      </c>
      <c r="AB156" s="107">
        <v>17.423682637445392</v>
      </c>
      <c r="AC156" s="107">
        <v>19.943722590110301</v>
      </c>
      <c r="AD156" s="106">
        <v>3</v>
      </c>
      <c r="AE156" s="32" t="str">
        <f>IF(AD156=0,"",VLOOKUP(AD156,tab_tipo_expansao!$A$2:$B$4,2,0))</f>
        <v>não_considerar</v>
      </c>
      <c r="AF156" s="125">
        <v>2030</v>
      </c>
      <c r="AG156" s="125">
        <v>2100</v>
      </c>
      <c r="AH156" s="125">
        <v>30</v>
      </c>
      <c r="AI156" s="530">
        <v>410</v>
      </c>
      <c r="AJ156" s="24">
        <f>AK156/constantes!$B$4</f>
        <v>2564.102564102564</v>
      </c>
      <c r="AK156" s="33">
        <f t="shared" si="43"/>
        <v>10000</v>
      </c>
      <c r="AL156" s="87">
        <v>2</v>
      </c>
      <c r="AM156" s="531">
        <v>0</v>
      </c>
      <c r="AN156" s="23"/>
      <c r="AO156" s="532">
        <f t="shared" si="37"/>
        <v>410</v>
      </c>
      <c r="AQ156" s="35">
        <f t="shared" si="44"/>
        <v>10000</v>
      </c>
      <c r="AR156" s="36">
        <f ca="1">OFFSET(cod_desembolso!$A$1,AL156,23)</f>
        <v>1.1245293369208682</v>
      </c>
      <c r="AS156" s="37">
        <f ca="1">IF(AO156=0,0,AO156*(OFFSET(cod_desembolso!$A$1,AL156,23)))</f>
        <v>461.05702813755596</v>
      </c>
      <c r="AT156" s="38">
        <f>(constantes!$B$3*(1+constantes!$B$3)^(AH156))/((1+constantes!$B$3)^(AH156)-1)</f>
        <v>8.8827433387272267E-2</v>
      </c>
      <c r="AU156" s="37">
        <f t="shared" ca="1" si="39"/>
        <v>43.004512454622464</v>
      </c>
      <c r="AV156" s="37">
        <f ca="1">IF(AO156=0,AX156/constantes!$B$3,AU156/constantes!$B$3)</f>
        <v>537.55640568278079</v>
      </c>
      <c r="AW156" s="39">
        <f ca="1">IF(AO156=0,0,PV(constantes!$B$3,AH156,-AU156)*constantes!$B$3)</f>
        <v>38.730838719277379</v>
      </c>
      <c r="AX156" s="40">
        <f>constantes!$B$10*E156/1000</f>
        <v>2.0499999999999998</v>
      </c>
      <c r="AY156" s="533">
        <f>constantes!$B$12</f>
        <v>0</v>
      </c>
      <c r="AZ156" s="20">
        <v>318</v>
      </c>
      <c r="BA156" s="43"/>
      <c r="BB156" s="3" t="s">
        <v>2181</v>
      </c>
      <c r="BD156" s="534">
        <v>1</v>
      </c>
      <c r="BE156" s="535">
        <v>2027</v>
      </c>
      <c r="BF156" s="536">
        <v>1</v>
      </c>
      <c r="BG156" s="537">
        <v>2027</v>
      </c>
    </row>
    <row r="157" spans="1:59" ht="15">
      <c r="A157" s="125">
        <v>1132</v>
      </c>
      <c r="B157" s="125">
        <v>1132</v>
      </c>
      <c r="C157" s="538" t="s">
        <v>2398</v>
      </c>
      <c r="D157" s="538" t="s">
        <v>2398</v>
      </c>
      <c r="E157" s="526">
        <v>209.1</v>
      </c>
      <c r="F157" s="3" t="s">
        <v>2209</v>
      </c>
      <c r="G157" s="3" t="s">
        <v>2209</v>
      </c>
      <c r="H157" s="3">
        <v>-45.107201000000003</v>
      </c>
      <c r="I157" s="3">
        <v>-19.163833</v>
      </c>
      <c r="J157" s="539" t="s">
        <v>150</v>
      </c>
      <c r="K157" s="539" t="s">
        <v>150</v>
      </c>
      <c r="L157" s="554">
        <v>1</v>
      </c>
      <c r="M157" s="107"/>
      <c r="N157" s="529">
        <v>1.6379999999999999E-2</v>
      </c>
      <c r="O157" s="529">
        <v>6.1409999999999999E-2</v>
      </c>
      <c r="P157" s="288">
        <f t="shared" si="40"/>
        <v>0.47057663512559494</v>
      </c>
      <c r="Q157" s="30">
        <f t="shared" si="32"/>
        <v>98.397574404761897</v>
      </c>
      <c r="R157" s="30">
        <f t="shared" si="41"/>
        <v>110.7024255952381</v>
      </c>
      <c r="S157" s="107">
        <v>140.20285714285714</v>
      </c>
      <c r="T157" s="107">
        <v>94.821845238095236</v>
      </c>
      <c r="U157" s="107">
        <v>66.552916666666661</v>
      </c>
      <c r="V157" s="107">
        <v>92.012678571428566</v>
      </c>
      <c r="W157" s="288">
        <f t="shared" si="42"/>
        <v>0.54728293995742749</v>
      </c>
      <c r="X157" s="289">
        <f t="shared" si="35"/>
        <v>114.4368627450981</v>
      </c>
      <c r="Y157" s="289">
        <f t="shared" si="36"/>
        <v>16.039288340336199</v>
      </c>
      <c r="Z157" s="107">
        <v>174.50494117647085</v>
      </c>
      <c r="AA157" s="107">
        <v>102.72650980392159</v>
      </c>
      <c r="AB157" s="107">
        <v>68.185137254901932</v>
      </c>
      <c r="AC157" s="107">
        <v>112.33086274509803</v>
      </c>
      <c r="AD157" s="106">
        <v>3</v>
      </c>
      <c r="AE157" s="32" t="str">
        <f>IF(AD157=0,"",VLOOKUP(AD157,tab_tipo_expansao!$A$2:$B$4,2,0))</f>
        <v>não_considerar</v>
      </c>
      <c r="AF157" s="125">
        <v>2030</v>
      </c>
      <c r="AG157" s="125">
        <v>2100</v>
      </c>
      <c r="AH157" s="125">
        <v>30</v>
      </c>
      <c r="AI157" s="530">
        <v>1935.8291889221532</v>
      </c>
      <c r="AJ157" s="24">
        <f>AK157/constantes!$B$4</f>
        <v>2373.8233318889911</v>
      </c>
      <c r="AK157" s="33">
        <f t="shared" si="43"/>
        <v>9257.9109943670646</v>
      </c>
      <c r="AL157" s="87">
        <v>2</v>
      </c>
      <c r="AM157" s="531">
        <v>0</v>
      </c>
      <c r="AN157" s="23"/>
      <c r="AO157" s="532">
        <f t="shared" si="37"/>
        <v>1935.8291889221532</v>
      </c>
      <c r="AQ157" s="35">
        <f t="shared" si="44"/>
        <v>9257.9109943670646</v>
      </c>
      <c r="AR157" s="36">
        <f ca="1">OFFSET(cod_desembolso!$A$1,AL157,23)</f>
        <v>1.1245293369208682</v>
      </c>
      <c r="AS157" s="37">
        <f ca="1">IF(AO157=0,0,AO157*(OFFSET(cod_desembolso!$A$1,AL157,23)))</f>
        <v>2176.8967142106912</v>
      </c>
      <c r="AT157" s="38">
        <f>(constantes!$B$3*(1+constantes!$B$3)^(AH157))/((1+constantes!$B$3)^(AH157)-1)</f>
        <v>8.8827433387272267E-2</v>
      </c>
      <c r="AU157" s="37">
        <f t="shared" ca="1" si="39"/>
        <v>203.82314787252207</v>
      </c>
      <c r="AV157" s="37">
        <f ca="1">IF(AO157=0,AX157/constantes!$B$3,AU157/constantes!$B$3)</f>
        <v>2547.7893484065257</v>
      </c>
      <c r="AW157" s="39">
        <f ca="1">IF(AO157=0,0,PV(constantes!$B$3,AH157,-AU157)*constantes!$B$3)</f>
        <v>183.56774712504713</v>
      </c>
      <c r="AX157" s="40">
        <f>constantes!$B$10*E157/1000</f>
        <v>10.455</v>
      </c>
      <c r="AY157" s="533">
        <f>constantes!$B$12</f>
        <v>0</v>
      </c>
      <c r="AZ157" s="20">
        <v>318</v>
      </c>
      <c r="BA157" s="43"/>
      <c r="BB157" s="3" t="s">
        <v>2215</v>
      </c>
      <c r="BD157" s="534">
        <v>1</v>
      </c>
      <c r="BE157" s="535">
        <v>2035</v>
      </c>
      <c r="BF157" s="536">
        <v>3</v>
      </c>
      <c r="BG157" s="537">
        <v>2050</v>
      </c>
    </row>
    <row r="158" spans="1:59" ht="15">
      <c r="A158" s="125">
        <v>1133</v>
      </c>
      <c r="B158" s="125">
        <v>1133</v>
      </c>
      <c r="C158" s="538" t="s">
        <v>2399</v>
      </c>
      <c r="D158" s="538" t="s">
        <v>2399</v>
      </c>
      <c r="E158" s="526">
        <v>51.4</v>
      </c>
      <c r="F158" s="3" t="s">
        <v>2209</v>
      </c>
      <c r="G158" s="3" t="s">
        <v>2335</v>
      </c>
      <c r="H158" s="3">
        <v>-45.568610999999997</v>
      </c>
      <c r="I158" s="3">
        <v>-18.683889000000001</v>
      </c>
      <c r="J158" s="539" t="s">
        <v>150</v>
      </c>
      <c r="K158" s="539" t="s">
        <v>150</v>
      </c>
      <c r="L158" s="554">
        <v>1</v>
      </c>
      <c r="M158" s="107"/>
      <c r="N158" s="529">
        <v>2.068E-2</v>
      </c>
      <c r="O158" s="529">
        <v>4.6600000000000003E-2</v>
      </c>
      <c r="P158" s="288">
        <f t="shared" si="40"/>
        <v>0.37477736473967016</v>
      </c>
      <c r="Q158" s="30">
        <f t="shared" si="32"/>
        <v>19.263556547619046</v>
      </c>
      <c r="R158" s="30">
        <f t="shared" si="41"/>
        <v>32.136443452380952</v>
      </c>
      <c r="S158" s="107">
        <v>15.178571428571431</v>
      </c>
      <c r="T158" s="107">
        <v>14.779583333333333</v>
      </c>
      <c r="U158" s="107">
        <v>26.232916666666668</v>
      </c>
      <c r="V158" s="107">
        <v>20.863154761904759</v>
      </c>
      <c r="W158" s="288">
        <f t="shared" si="42"/>
        <v>0.38010872053101397</v>
      </c>
      <c r="X158" s="289">
        <f t="shared" si="35"/>
        <v>19.537588235294116</v>
      </c>
      <c r="Y158" s="289">
        <f t="shared" si="36"/>
        <v>0.27403168767506969</v>
      </c>
      <c r="Z158" s="107">
        <v>24.76</v>
      </c>
      <c r="AA158" s="107">
        <v>11.806862745098035</v>
      </c>
      <c r="AB158" s="107">
        <v>20.072431372549023</v>
      </c>
      <c r="AC158" s="107">
        <v>21.511058823529407</v>
      </c>
      <c r="AD158" s="106">
        <v>1</v>
      </c>
      <c r="AE158" s="32" t="str">
        <f>IF(AD158=0,"",VLOOKUP(AD158,tab_tipo_expansao!$A$2:$B$4,2,0))</f>
        <v>opcional</v>
      </c>
      <c r="AF158" s="125">
        <v>2028</v>
      </c>
      <c r="AG158" s="125">
        <v>2100</v>
      </c>
      <c r="AH158" s="125">
        <v>30</v>
      </c>
      <c r="AI158" s="530">
        <v>468.24991803033868</v>
      </c>
      <c r="AJ158" s="24">
        <f>AK158/constantes!$B$4</f>
        <v>2335.8770728840605</v>
      </c>
      <c r="AK158" s="33">
        <f t="shared" si="43"/>
        <v>9109.920584247835</v>
      </c>
      <c r="AL158" s="87">
        <v>2</v>
      </c>
      <c r="AM158" s="531">
        <v>0</v>
      </c>
      <c r="AN158" s="23"/>
      <c r="AO158" s="532">
        <f t="shared" si="37"/>
        <v>468.24991803033868</v>
      </c>
      <c r="AQ158" s="35">
        <f t="shared" si="44"/>
        <v>9109.9205842478332</v>
      </c>
      <c r="AR158" s="36">
        <f ca="1">OFFSET(cod_desembolso!$A$1,AL158,23)</f>
        <v>1.1245293369208682</v>
      </c>
      <c r="AS158" s="37">
        <f ca="1">IF(AO158=0,0,AO158*(OFFSET(cod_desembolso!$A$1,AL158,23)))</f>
        <v>526.56076983590765</v>
      </c>
      <c r="AT158" s="38">
        <f>(constantes!$B$3*(1+constantes!$B$3)^(AH158))/((1+constantes!$B$3)^(AH158)-1)</f>
        <v>8.8827433387272267E-2</v>
      </c>
      <c r="AU158" s="37">
        <f t="shared" ca="1" si="39"/>
        <v>49.34304170694989</v>
      </c>
      <c r="AV158" s="37">
        <f ca="1">IF(AO158=0,AX158/constantes!$B$3,AU158/constantes!$B$3)</f>
        <v>616.78802133687361</v>
      </c>
      <c r="AW158" s="39">
        <f ca="1">IF(AO158=0,0,PV(constantes!$B$3,AH158,-AU158)*constantes!$B$3)</f>
        <v>44.439461842219615</v>
      </c>
      <c r="AX158" s="40">
        <f>constantes!$B$10*E158/1000</f>
        <v>2.57</v>
      </c>
      <c r="AY158" s="533">
        <f>constantes!$B$12</f>
        <v>0</v>
      </c>
      <c r="AZ158" s="20">
        <v>318</v>
      </c>
      <c r="BA158" s="43"/>
      <c r="BB158" s="3" t="s">
        <v>2195</v>
      </c>
      <c r="BD158" s="534">
        <v>1</v>
      </c>
      <c r="BE158" s="535">
        <v>2027</v>
      </c>
      <c r="BF158" s="536">
        <v>1</v>
      </c>
      <c r="BG158" s="537">
        <v>2027</v>
      </c>
    </row>
    <row r="159" spans="1:59" ht="14.45" customHeight="1">
      <c r="A159" s="125">
        <v>1134</v>
      </c>
      <c r="B159" s="125">
        <v>1134</v>
      </c>
      <c r="C159" s="538" t="s">
        <v>2400</v>
      </c>
      <c r="D159" s="538" t="s">
        <v>2400</v>
      </c>
      <c r="E159" s="526">
        <v>73</v>
      </c>
      <c r="F159" s="3" t="s">
        <v>2197</v>
      </c>
      <c r="G159" s="3" t="s">
        <v>2348</v>
      </c>
      <c r="H159" s="3">
        <v>-47.879998999999998</v>
      </c>
      <c r="I159" s="3">
        <v>-9.8308160000000004</v>
      </c>
      <c r="J159" s="539" t="s">
        <v>1981</v>
      </c>
      <c r="K159" s="539" t="s">
        <v>1981</v>
      </c>
      <c r="L159" s="554">
        <v>1</v>
      </c>
      <c r="M159" s="107"/>
      <c r="N159" s="529">
        <v>1.9820000000000001E-2</v>
      </c>
      <c r="O159" s="529">
        <v>5.2919999999999995E-2</v>
      </c>
      <c r="P159" s="288">
        <f t="shared" si="40"/>
        <v>0.64508765492498366</v>
      </c>
      <c r="Q159" s="30">
        <f t="shared" si="32"/>
        <v>47.09139880952381</v>
      </c>
      <c r="R159" s="30">
        <f t="shared" si="41"/>
        <v>25.90860119047619</v>
      </c>
      <c r="S159" s="107">
        <v>63.467142857142846</v>
      </c>
      <c r="T159" s="107">
        <v>50.906845238095237</v>
      </c>
      <c r="U159" s="107">
        <v>27.707083333333333</v>
      </c>
      <c r="V159" s="107">
        <v>46.284523809523812</v>
      </c>
      <c r="W159" s="288">
        <f t="shared" si="42"/>
        <v>0.68069339242546334</v>
      </c>
      <c r="X159" s="289">
        <f t="shared" si="35"/>
        <v>49.690617647058822</v>
      </c>
      <c r="Y159" s="289">
        <f t="shared" si="36"/>
        <v>2.5992188375350125</v>
      </c>
      <c r="Z159" s="107">
        <v>60.986431372549028</v>
      </c>
      <c r="AA159" s="107">
        <v>53.710941176470584</v>
      </c>
      <c r="AB159" s="107">
        <v>33.266352941176471</v>
      </c>
      <c r="AC159" s="107">
        <v>50.798745098039213</v>
      </c>
      <c r="AD159" s="106">
        <v>1</v>
      </c>
      <c r="AE159" s="32" t="str">
        <f>IF(AD159=0,"",VLOOKUP(AD159,tab_tipo_expansao!$A$2:$B$4,2,0))</f>
        <v>opcional</v>
      </c>
      <c r="AF159" s="125">
        <v>2028</v>
      </c>
      <c r="AG159" s="125">
        <v>2100</v>
      </c>
      <c r="AH159" s="125">
        <v>30</v>
      </c>
      <c r="AI159" s="530">
        <v>489.19277661235088</v>
      </c>
      <c r="AJ159" s="24">
        <f>AK159/constantes!$B$4</f>
        <v>1718.2745929481941</v>
      </c>
      <c r="AK159" s="33">
        <f t="shared" si="43"/>
        <v>6701.2709124979574</v>
      </c>
      <c r="AL159" s="87">
        <v>2</v>
      </c>
      <c r="AM159" s="531">
        <v>0</v>
      </c>
      <c r="AN159" s="23"/>
      <c r="AO159" s="532">
        <f t="shared" si="37"/>
        <v>489.19277661235088</v>
      </c>
      <c r="AQ159" s="35">
        <f t="shared" si="44"/>
        <v>6701.2709124979574</v>
      </c>
      <c r="AR159" s="36">
        <f ca="1">OFFSET(cod_desembolso!$A$1,AL159,23)</f>
        <v>1.1245293369208682</v>
      </c>
      <c r="AS159" s="37">
        <f ca="1">IF(AO159=0,0,AO159*(OFFSET(cod_desembolso!$A$1,AL159,23)))</f>
        <v>550.11162871036538</v>
      </c>
      <c r="AT159" s="38">
        <f>(constantes!$B$3*(1+constantes!$B$3)^(AH159))/((1+constantes!$B$3)^(AH159)-1)</f>
        <v>8.8827433387272267E-2</v>
      </c>
      <c r="AU159" s="37">
        <f t="shared" ca="1" si="39"/>
        <v>52.515004054833831</v>
      </c>
      <c r="AV159" s="37">
        <f ca="1">IF(AO159=0,AX159/constantes!$B$3,AU159/constantes!$B$3)</f>
        <v>656.43755068542282</v>
      </c>
      <c r="AW159" s="39">
        <f ca="1">IF(AO159=0,0,PV(constantes!$B$3,AH159,-AU159)*constantes!$B$3)</f>
        <v>47.296203033022451</v>
      </c>
      <c r="AX159" s="40">
        <f>constantes!$B$10*E159/1000</f>
        <v>3.65</v>
      </c>
      <c r="AY159" s="533">
        <f>constantes!$B$12</f>
        <v>0</v>
      </c>
      <c r="AZ159" s="20">
        <v>318</v>
      </c>
      <c r="BA159" s="43"/>
      <c r="BB159" s="3" t="s">
        <v>2195</v>
      </c>
      <c r="BD159" s="534">
        <v>1</v>
      </c>
      <c r="BE159" s="535">
        <v>2027</v>
      </c>
      <c r="BF159" s="536">
        <v>1</v>
      </c>
      <c r="BG159" s="537">
        <v>2027</v>
      </c>
    </row>
    <row r="160" spans="1:59" ht="15">
      <c r="A160" s="125">
        <v>1135</v>
      </c>
      <c r="B160" s="125">
        <v>1135</v>
      </c>
      <c r="C160" s="626" t="s">
        <v>2401</v>
      </c>
      <c r="D160" s="538" t="s">
        <v>2401</v>
      </c>
      <c r="E160" s="526">
        <v>86</v>
      </c>
      <c r="F160" s="3" t="s">
        <v>2197</v>
      </c>
      <c r="G160" s="3" t="s">
        <v>2337</v>
      </c>
      <c r="H160" s="3">
        <v>-48.715268000000002</v>
      </c>
      <c r="I160" s="3">
        <v>-14.760691</v>
      </c>
      <c r="J160" s="539" t="s">
        <v>2003</v>
      </c>
      <c r="K160" s="539" t="s">
        <v>2003</v>
      </c>
      <c r="L160" s="554">
        <v>1</v>
      </c>
      <c r="M160" s="107"/>
      <c r="N160" s="529">
        <v>2.068E-2</v>
      </c>
      <c r="O160" s="529">
        <v>4.6600000000000003E-2</v>
      </c>
      <c r="P160" s="288">
        <f t="shared" si="40"/>
        <v>0.46599425526024363</v>
      </c>
      <c r="Q160" s="30">
        <f t="shared" si="32"/>
        <v>40.075505952380951</v>
      </c>
      <c r="R160" s="30">
        <f t="shared" si="41"/>
        <v>45.924494047619049</v>
      </c>
      <c r="S160" s="107">
        <v>49.13047619047618</v>
      </c>
      <c r="T160" s="107">
        <v>33.704702380952376</v>
      </c>
      <c r="U160" s="107">
        <v>32.401250000000005</v>
      </c>
      <c r="V160" s="107">
        <v>45.065595238095234</v>
      </c>
      <c r="W160" s="288">
        <f t="shared" si="42"/>
        <v>0.59706304149566791</v>
      </c>
      <c r="X160" s="289">
        <f t="shared" si="35"/>
        <v>51.347421568627439</v>
      </c>
      <c r="Y160" s="289">
        <f t="shared" si="36"/>
        <v>11.271915616246488</v>
      </c>
      <c r="Z160" s="107">
        <v>67.081411764705848</v>
      </c>
      <c r="AA160" s="107">
        <v>47.931098039215669</v>
      </c>
      <c r="AB160" s="107">
        <v>40.531019607843149</v>
      </c>
      <c r="AC160" s="107">
        <v>49.84615686274509</v>
      </c>
      <c r="AD160" s="106">
        <v>1</v>
      </c>
      <c r="AE160" s="32" t="str">
        <f>IF(AD160=0,"",VLOOKUP(AD160,tab_tipo_expansao!$A$2:$B$4,2,0))</f>
        <v>opcional</v>
      </c>
      <c r="AF160" s="125">
        <v>2026</v>
      </c>
      <c r="AG160" s="125">
        <v>2100</v>
      </c>
      <c r="AH160" s="125">
        <v>30</v>
      </c>
      <c r="AI160" s="530">
        <v>1696.8176661984116</v>
      </c>
      <c r="AJ160" s="24">
        <f>AK160/constantes!$B$4</f>
        <v>5059.086661295205</v>
      </c>
      <c r="AK160" s="33">
        <f t="shared" si="43"/>
        <v>19730.437979051298</v>
      </c>
      <c r="AL160" s="87">
        <v>2</v>
      </c>
      <c r="AM160" s="531">
        <v>0</v>
      </c>
      <c r="AN160" s="23"/>
      <c r="AO160" s="532">
        <f t="shared" si="37"/>
        <v>1696.8176661984116</v>
      </c>
      <c r="AQ160" s="35">
        <f t="shared" si="44"/>
        <v>19730.437979051298</v>
      </c>
      <c r="AR160" s="36">
        <f ca="1">OFFSET(cod_desembolso!$A$1,AL160,23)</f>
        <v>1.1245293369208682</v>
      </c>
      <c r="AS160" s="37">
        <f ca="1">IF(AO160=0,0,AO160*(OFFSET(cod_desembolso!$A$1,AL160,23)))</f>
        <v>1908.1212450457149</v>
      </c>
      <c r="AT160" s="38">
        <f>(constantes!$B$3*(1+constantes!$B$3)^(AH160))/((1+constantes!$B$3)^(AH160)-1)</f>
        <v>8.8827433387272267E-2</v>
      </c>
      <c r="AU160" s="37">
        <f t="shared" ca="1" si="39"/>
        <v>173.79351278913728</v>
      </c>
      <c r="AV160" s="37">
        <f ca="1">IF(AO160=0,AX160/constantes!$B$3,AU160/constantes!$B$3)</f>
        <v>2172.4189098642159</v>
      </c>
      <c r="AW160" s="39">
        <f ca="1">IF(AO160=0,0,PV(constantes!$B$3,AH160,-AU160)*constantes!$B$3)</f>
        <v>156.52237707369306</v>
      </c>
      <c r="AX160" s="40">
        <f>constantes!$B$10*E160/1000</f>
        <v>4.3</v>
      </c>
      <c r="AY160" s="533">
        <f>constantes!$B$12</f>
        <v>0</v>
      </c>
      <c r="AZ160" s="20">
        <v>318</v>
      </c>
      <c r="BA160" s="43"/>
      <c r="BB160" s="3" t="s">
        <v>2207</v>
      </c>
      <c r="BD160" s="534">
        <v>1</v>
      </c>
      <c r="BE160" s="535">
        <v>2026</v>
      </c>
      <c r="BF160" s="536">
        <v>1</v>
      </c>
      <c r="BG160" s="537">
        <v>2026</v>
      </c>
    </row>
    <row r="161" spans="1:59" ht="14.45" customHeight="1">
      <c r="A161" s="125">
        <v>1136</v>
      </c>
      <c r="B161" s="125">
        <v>1136</v>
      </c>
      <c r="C161" s="538" t="s">
        <v>2402</v>
      </c>
      <c r="D161" s="538" t="s">
        <v>2402</v>
      </c>
      <c r="E161" s="526">
        <v>54</v>
      </c>
      <c r="F161" s="3" t="s">
        <v>2179</v>
      </c>
      <c r="G161" s="3" t="s">
        <v>2222</v>
      </c>
      <c r="H161" s="3">
        <v>-51.938205000000004</v>
      </c>
      <c r="I161" s="3">
        <v>1.040449</v>
      </c>
      <c r="J161" s="539" t="s">
        <v>1999</v>
      </c>
      <c r="K161" s="539" t="s">
        <v>1999</v>
      </c>
      <c r="L161" s="554">
        <v>7</v>
      </c>
      <c r="M161" s="107"/>
      <c r="N161" s="529">
        <v>2.068E-2</v>
      </c>
      <c r="O161" s="529">
        <v>4.6600000000000003E-2</v>
      </c>
      <c r="P161" s="288">
        <f t="shared" si="40"/>
        <v>0.6001179453262786</v>
      </c>
      <c r="Q161" s="30">
        <f t="shared" si="32"/>
        <v>32.406369047619044</v>
      </c>
      <c r="R161" s="30">
        <f t="shared" si="41"/>
        <v>21.593630952380956</v>
      </c>
      <c r="S161" s="107">
        <v>33.820476190476199</v>
      </c>
      <c r="T161" s="107">
        <v>46.045119047619046</v>
      </c>
      <c r="U161" s="107">
        <v>38.448333333333331</v>
      </c>
      <c r="V161" s="107">
        <v>11.311547619047618</v>
      </c>
      <c r="W161" s="288">
        <f t="shared" si="42"/>
        <v>0.59135475671750182</v>
      </c>
      <c r="X161" s="289">
        <f t="shared" si="35"/>
        <v>31.933156862745101</v>
      </c>
      <c r="Y161" s="289">
        <f t="shared" si="36"/>
        <v>-0.4732121848739439</v>
      </c>
      <c r="Z161" s="107">
        <v>37.341725490196097</v>
      </c>
      <c r="AA161" s="107">
        <v>46.369372549019609</v>
      </c>
      <c r="AB161" s="107">
        <v>35.568745098039223</v>
      </c>
      <c r="AC161" s="107">
        <v>8.452784313725493</v>
      </c>
      <c r="AD161" s="106">
        <v>3</v>
      </c>
      <c r="AE161" s="32" t="str">
        <f>IF(AD161=0,"",VLOOKUP(AD161,tab_tipo_expansao!$A$2:$B$4,2,0))</f>
        <v>não_considerar</v>
      </c>
      <c r="AF161" s="125">
        <v>2030</v>
      </c>
      <c r="AG161" s="125">
        <v>2100</v>
      </c>
      <c r="AH161" s="125">
        <v>30</v>
      </c>
      <c r="AI161" s="530">
        <v>676.8548817936362</v>
      </c>
      <c r="AJ161" s="24">
        <f>AK161/constantes!$B$4</f>
        <v>3213.9358109859268</v>
      </c>
      <c r="AK161" s="33">
        <f t="shared" si="43"/>
        <v>12534.349662845114</v>
      </c>
      <c r="AL161" s="87">
        <v>2</v>
      </c>
      <c r="AM161" s="531">
        <v>0</v>
      </c>
      <c r="AN161" s="23"/>
      <c r="AO161" s="532">
        <f t="shared" si="37"/>
        <v>676.8548817936362</v>
      </c>
      <c r="AQ161" s="35">
        <f t="shared" si="44"/>
        <v>12534.349662845116</v>
      </c>
      <c r="AR161" s="36">
        <f ca="1">OFFSET(cod_desembolso!$A$1,AL161,23)</f>
        <v>1.1245293369208682</v>
      </c>
      <c r="AS161" s="37">
        <f ca="1">IF(AO161=0,0,AO161*(OFFSET(cod_desembolso!$A$1,AL161,23)))</f>
        <v>761.14317141505035</v>
      </c>
      <c r="AT161" s="38">
        <f>(constantes!$B$3*(1+constantes!$B$3)^(AH161))/((1+constantes!$B$3)^(AH161)-1)</f>
        <v>8.8827433387272267E-2</v>
      </c>
      <c r="AU161" s="37">
        <f t="shared" ca="1" si="39"/>
        <v>70.310394357047542</v>
      </c>
      <c r="AV161" s="37">
        <f ca="1">IF(AO161=0,AX161/constantes!$B$3,AU161/constantes!$B$3)</f>
        <v>878.8799294630943</v>
      </c>
      <c r="AW161" s="39">
        <f ca="1">IF(AO161=0,0,PV(constantes!$B$3,AH161,-AU161)*constantes!$B$3)</f>
        <v>63.323134915319564</v>
      </c>
      <c r="AX161" s="40">
        <f>constantes!$B$10*E161/1000</f>
        <v>2.7</v>
      </c>
      <c r="AY161" s="533">
        <f>constantes!$B$12</f>
        <v>0</v>
      </c>
      <c r="AZ161" s="20">
        <v>318</v>
      </c>
      <c r="BA161" s="43"/>
      <c r="BB161" s="3" t="s">
        <v>2183</v>
      </c>
      <c r="BD161" s="534">
        <v>1</v>
      </c>
      <c r="BE161" s="535">
        <v>2030</v>
      </c>
      <c r="BF161" s="536">
        <v>1</v>
      </c>
      <c r="BG161" s="537">
        <v>2030</v>
      </c>
    </row>
    <row r="162" spans="1:59" ht="15">
      <c r="A162" s="125">
        <v>1137</v>
      </c>
      <c r="B162" s="125">
        <v>1137</v>
      </c>
      <c r="C162" s="538" t="s">
        <v>2403</v>
      </c>
      <c r="D162" s="538" t="s">
        <v>2403</v>
      </c>
      <c r="E162" s="526">
        <v>49.3</v>
      </c>
      <c r="F162" s="3" t="s">
        <v>2095</v>
      </c>
      <c r="G162" s="3" t="s">
        <v>2200</v>
      </c>
      <c r="H162" s="3">
        <v>-52.916153000000001</v>
      </c>
      <c r="I162" s="3">
        <v>-26.942931000000002</v>
      </c>
      <c r="J162" s="539" t="s">
        <v>1989</v>
      </c>
      <c r="K162" s="539" t="s">
        <v>1989</v>
      </c>
      <c r="L162" s="554">
        <v>2</v>
      </c>
      <c r="M162" s="107"/>
      <c r="N162" s="529">
        <v>2.068E-2</v>
      </c>
      <c r="O162" s="529">
        <v>4.6600000000000003E-2</v>
      </c>
      <c r="P162" s="288">
        <f t="shared" si="40"/>
        <v>0.51852301265333722</v>
      </c>
      <c r="Q162" s="30">
        <f t="shared" si="32"/>
        <v>25.563184523809525</v>
      </c>
      <c r="R162" s="30">
        <f t="shared" si="41"/>
        <v>23.736815476190472</v>
      </c>
      <c r="S162" s="107">
        <v>17.926190476190474</v>
      </c>
      <c r="T162" s="107">
        <v>26.555714285714284</v>
      </c>
      <c r="U162" s="107">
        <v>29.350833333333338</v>
      </c>
      <c r="V162" s="107">
        <v>28.419999999999998</v>
      </c>
      <c r="W162" s="288">
        <f t="shared" si="42"/>
        <v>0.59374438213419256</v>
      </c>
      <c r="X162" s="289">
        <f t="shared" si="35"/>
        <v>29.271598039215689</v>
      </c>
      <c r="Y162" s="289">
        <f t="shared" si="36"/>
        <v>3.7084135154061642</v>
      </c>
      <c r="Z162" s="107">
        <v>23.012901960784308</v>
      </c>
      <c r="AA162" s="107">
        <v>28.526039215686264</v>
      </c>
      <c r="AB162" s="107">
        <v>33.955529411764722</v>
      </c>
      <c r="AC162" s="107">
        <v>31.591921568627466</v>
      </c>
      <c r="AD162" s="106">
        <v>1</v>
      </c>
      <c r="AE162" s="32" t="str">
        <f>IF(AD162=0,"",VLOOKUP(AD162,tab_tipo_expansao!$A$2:$B$4,2,0))</f>
        <v>opcional</v>
      </c>
      <c r="AF162" s="125">
        <v>2028</v>
      </c>
      <c r="AG162" s="125">
        <v>2100</v>
      </c>
      <c r="AH162" s="125">
        <v>30</v>
      </c>
      <c r="AI162" s="530">
        <v>612.04883631501502</v>
      </c>
      <c r="AJ162" s="24">
        <f>AK162/constantes!$B$4</f>
        <v>3183.2778713008529</v>
      </c>
      <c r="AK162" s="33">
        <f t="shared" si="43"/>
        <v>12414.783698073326</v>
      </c>
      <c r="AL162" s="87">
        <v>2</v>
      </c>
      <c r="AM162" s="531">
        <v>0</v>
      </c>
      <c r="AN162" s="23"/>
      <c r="AO162" s="532">
        <f t="shared" si="37"/>
        <v>612.04883631501502</v>
      </c>
      <c r="AQ162" s="35">
        <f t="shared" si="44"/>
        <v>12414.783698073326</v>
      </c>
      <c r="AR162" s="36">
        <f ca="1">OFFSET(cod_desembolso!$A$1,AL162,23)</f>
        <v>1.1245293369208682</v>
      </c>
      <c r="AS162" s="37">
        <f ca="1">IF(AO162=0,0,AO162*(OFFSET(cod_desembolso!$A$1,AL162,23)))</f>
        <v>688.26687206451288</v>
      </c>
      <c r="AT162" s="38">
        <f>(constantes!$B$3*(1+constantes!$B$3)^(AH162))/((1+constantes!$B$3)^(AH162)-1)</f>
        <v>8.8827433387272267E-2</v>
      </c>
      <c r="AU162" s="37">
        <f t="shared" ca="1" si="39"/>
        <v>63.601979730976765</v>
      </c>
      <c r="AV162" s="37">
        <f ca="1">IF(AO162=0,AX162/constantes!$B$3,AU162/constantes!$B$3)</f>
        <v>795.02474663720955</v>
      </c>
      <c r="AW162" s="39">
        <f ca="1">IF(AO162=0,0,PV(constantes!$B$3,AH162,-AU162)*constantes!$B$3)</f>
        <v>57.28138464042577</v>
      </c>
      <c r="AX162" s="40">
        <f>constantes!$B$10*E162/1000</f>
        <v>2.4649999999999999</v>
      </c>
      <c r="AY162" s="533">
        <f>constantes!$B$12</f>
        <v>0</v>
      </c>
      <c r="AZ162" s="20">
        <v>318</v>
      </c>
      <c r="BA162" s="43"/>
      <c r="BB162" s="3" t="s">
        <v>2195</v>
      </c>
      <c r="BD162" s="534">
        <v>1</v>
      </c>
      <c r="BE162" s="535">
        <v>2027</v>
      </c>
      <c r="BF162" s="536">
        <v>1</v>
      </c>
      <c r="BG162" s="537">
        <v>2027</v>
      </c>
    </row>
    <row r="163" spans="1:59" ht="15">
      <c r="A163" s="125">
        <v>1138</v>
      </c>
      <c r="B163" s="125">
        <v>1138</v>
      </c>
      <c r="C163" s="626" t="s">
        <v>2404</v>
      </c>
      <c r="D163" s="538" t="s">
        <v>2404</v>
      </c>
      <c r="E163" s="526">
        <v>81</v>
      </c>
      <c r="F163" s="3" t="s">
        <v>2194</v>
      </c>
      <c r="G163" s="3" t="s">
        <v>2314</v>
      </c>
      <c r="H163" s="3">
        <v>-52.102997000000002</v>
      </c>
      <c r="I163" s="3">
        <v>-20.169316999999999</v>
      </c>
      <c r="J163" s="539" t="s">
        <v>2090</v>
      </c>
      <c r="K163" s="539" t="s">
        <v>2090</v>
      </c>
      <c r="L163" s="554">
        <v>1</v>
      </c>
      <c r="M163" s="107"/>
      <c r="N163" s="529">
        <v>1.9820000000000001E-2</v>
      </c>
      <c r="O163" s="529">
        <v>5.2919999999999995E-2</v>
      </c>
      <c r="P163" s="288">
        <f t="shared" si="40"/>
        <v>0.59667621987066433</v>
      </c>
      <c r="Q163" s="30">
        <f t="shared" si="32"/>
        <v>48.330773809523812</v>
      </c>
      <c r="R163" s="30">
        <f t="shared" si="41"/>
        <v>32.669226190476188</v>
      </c>
      <c r="S163" s="107">
        <v>60.674761904761908</v>
      </c>
      <c r="T163" s="107">
        <v>48.636785714285715</v>
      </c>
      <c r="U163" s="107">
        <v>36.809166666666663</v>
      </c>
      <c r="V163" s="107">
        <v>47.202380952380956</v>
      </c>
      <c r="W163" s="288">
        <f t="shared" si="42"/>
        <v>0.68330985233599595</v>
      </c>
      <c r="X163" s="289">
        <f t="shared" si="35"/>
        <v>55.348098039215671</v>
      </c>
      <c r="Y163" s="289">
        <f t="shared" si="36"/>
        <v>7.0173242296918588</v>
      </c>
      <c r="Z163" s="107">
        <v>68.168862745097996</v>
      </c>
      <c r="AA163" s="107">
        <v>55.666000000000004</v>
      </c>
      <c r="AB163" s="107">
        <v>43.822509803921569</v>
      </c>
      <c r="AC163" s="107">
        <v>53.735019607843107</v>
      </c>
      <c r="AD163" s="106">
        <v>1</v>
      </c>
      <c r="AE163" s="32" t="str">
        <f>IF(AD163=0,"",VLOOKUP(AD163,tab_tipo_expansao!$A$2:$B$4,2,0))</f>
        <v>opcional</v>
      </c>
      <c r="AF163" s="125">
        <v>2026</v>
      </c>
      <c r="AG163" s="125">
        <v>2100</v>
      </c>
      <c r="AH163" s="125">
        <v>30</v>
      </c>
      <c r="AI163" s="530">
        <v>659.8264682337508</v>
      </c>
      <c r="AJ163" s="24">
        <f>AK163/constantes!$B$4</f>
        <v>2088.7194309393822</v>
      </c>
      <c r="AK163" s="33">
        <f t="shared" si="43"/>
        <v>8146.0057806635896</v>
      </c>
      <c r="AL163" s="87">
        <v>2</v>
      </c>
      <c r="AM163" s="531">
        <v>0</v>
      </c>
      <c r="AN163" s="23"/>
      <c r="AO163" s="532">
        <f t="shared" si="37"/>
        <v>659.8264682337508</v>
      </c>
      <c r="AQ163" s="35">
        <f t="shared" si="44"/>
        <v>8146.0057806635896</v>
      </c>
      <c r="AR163" s="36">
        <f ca="1">OFFSET(cod_desembolso!$A$1,AL163,23)</f>
        <v>1.1245293369208682</v>
      </c>
      <c r="AS163" s="37">
        <f ca="1">IF(AO163=0,0,AO163*(OFFSET(cod_desembolso!$A$1,AL163,23)))</f>
        <v>741.99422080573811</v>
      </c>
      <c r="AT163" s="38">
        <f>(constantes!$B$3*(1+constantes!$B$3)^(AH163))/((1+constantes!$B$3)^(AH163)-1)</f>
        <v>8.8827433387272267E-2</v>
      </c>
      <c r="AU163" s="37">
        <f t="shared" ca="1" si="39"/>
        <v>69.959442222362682</v>
      </c>
      <c r="AV163" s="37">
        <f ca="1">IF(AO163=0,AX163/constantes!$B$3,AU163/constantes!$B$3)</f>
        <v>874.49302777953346</v>
      </c>
      <c r="AW163" s="39">
        <f ca="1">IF(AO163=0,0,PV(constantes!$B$3,AH163,-AU163)*constantes!$B$3)</f>
        <v>63.007059467632345</v>
      </c>
      <c r="AX163" s="40">
        <f>constantes!$B$10*E163/1000</f>
        <v>4.05</v>
      </c>
      <c r="AY163" s="533">
        <f>constantes!$B$12</f>
        <v>0</v>
      </c>
      <c r="AZ163" s="20">
        <v>318</v>
      </c>
      <c r="BA163" s="43"/>
      <c r="BB163" s="3" t="s">
        <v>2207</v>
      </c>
      <c r="BD163" s="534">
        <v>1</v>
      </c>
      <c r="BE163" s="535">
        <v>2026</v>
      </c>
      <c r="BF163" s="536">
        <v>1</v>
      </c>
      <c r="BG163" s="537">
        <v>2026</v>
      </c>
    </row>
    <row r="164" spans="1:59" ht="15" customHeight="1">
      <c r="A164" s="125">
        <v>1139</v>
      </c>
      <c r="B164" s="125">
        <v>1139</v>
      </c>
      <c r="C164" s="538" t="s">
        <v>2405</v>
      </c>
      <c r="D164" s="538" t="s">
        <v>2405</v>
      </c>
      <c r="E164" s="526">
        <v>47.35</v>
      </c>
      <c r="F164" s="3" t="s">
        <v>2194</v>
      </c>
      <c r="G164" s="3" t="s">
        <v>2339</v>
      </c>
      <c r="H164" s="3">
        <v>-51.643335999999998</v>
      </c>
      <c r="I164" s="3">
        <v>-23.995552</v>
      </c>
      <c r="J164" s="539" t="s">
        <v>151</v>
      </c>
      <c r="K164" s="539" t="s">
        <v>151</v>
      </c>
      <c r="L164" s="554">
        <v>2</v>
      </c>
      <c r="M164" s="107"/>
      <c r="N164" s="529">
        <v>2.068E-2</v>
      </c>
      <c r="O164" s="529">
        <v>4.6600000000000003E-2</v>
      </c>
      <c r="P164" s="288">
        <f t="shared" si="40"/>
        <v>0.56527002564489359</v>
      </c>
      <c r="Q164" s="30">
        <f t="shared" si="32"/>
        <v>26.765535714285711</v>
      </c>
      <c r="R164" s="30">
        <f t="shared" si="41"/>
        <v>20.58446428571429</v>
      </c>
      <c r="S164" s="107">
        <v>28.27333333333333</v>
      </c>
      <c r="T164" s="107">
        <v>26.978095238095236</v>
      </c>
      <c r="U164" s="107">
        <v>23.407083333333333</v>
      </c>
      <c r="V164" s="107">
        <v>28.403630952380951</v>
      </c>
      <c r="W164" s="288">
        <f t="shared" si="42"/>
        <v>0.64948154129656066</v>
      </c>
      <c r="X164" s="289">
        <f t="shared" si="35"/>
        <v>30.75295098039215</v>
      </c>
      <c r="Y164" s="289">
        <f t="shared" si="36"/>
        <v>3.9874152661064386</v>
      </c>
      <c r="Z164" s="107">
        <v>33.300117647058805</v>
      </c>
      <c r="AA164" s="107">
        <v>27.703019607843135</v>
      </c>
      <c r="AB164" s="107">
        <v>28.998745098039212</v>
      </c>
      <c r="AC164" s="107">
        <v>33.009921568627441</v>
      </c>
      <c r="AD164" s="106">
        <v>1</v>
      </c>
      <c r="AE164" s="32" t="str">
        <f>IF(AD164=0,"",VLOOKUP(AD164,tab_tipo_expansao!$A$2:$B$4,2,0))</f>
        <v>opcional</v>
      </c>
      <c r="AF164" s="125">
        <v>2028</v>
      </c>
      <c r="AG164" s="125">
        <v>2100</v>
      </c>
      <c r="AH164" s="125">
        <v>30</v>
      </c>
      <c r="AI164" s="530">
        <v>434.91472931684729</v>
      </c>
      <c r="AJ164" s="24">
        <f>AK164/constantes!$B$4</f>
        <v>2355.1551691812056</v>
      </c>
      <c r="AK164" s="33">
        <f t="shared" si="43"/>
        <v>9185.1051598067006</v>
      </c>
      <c r="AL164" s="87">
        <v>2</v>
      </c>
      <c r="AM164" s="531">
        <v>0</v>
      </c>
      <c r="AN164" s="23"/>
      <c r="AO164" s="532">
        <f t="shared" si="37"/>
        <v>434.91472931684729</v>
      </c>
      <c r="AQ164" s="35">
        <f t="shared" si="44"/>
        <v>9185.1051598067006</v>
      </c>
      <c r="AR164" s="36">
        <f ca="1">OFFSET(cod_desembolso!$A$1,AL164,23)</f>
        <v>1.1245293369208682</v>
      </c>
      <c r="AS164" s="37">
        <f ca="1">IF(AO164=0,0,AO164*(OFFSET(cod_desembolso!$A$1,AL164,23)))</f>
        <v>489.07437217579314</v>
      </c>
      <c r="AT164" s="38">
        <f>(constantes!$B$3*(1+constantes!$B$3)^(AH164))/((1+constantes!$B$3)^(AH164)-1)</f>
        <v>8.8827433387272267E-2</v>
      </c>
      <c r="AU164" s="37">
        <f t="shared" ca="1" si="39"/>
        <v>45.810721215867268</v>
      </c>
      <c r="AV164" s="37">
        <f ca="1">IF(AO164=0,AX164/constantes!$B$3,AU164/constantes!$B$3)</f>
        <v>572.63401519834088</v>
      </c>
      <c r="AW164" s="39">
        <f ca="1">IF(AO164=0,0,PV(constantes!$B$3,AH164,-AU164)*constantes!$B$3)</f>
        <v>41.25817393925179</v>
      </c>
      <c r="AX164" s="40">
        <f>constantes!$B$10*E164/1000</f>
        <v>2.3675000000000002</v>
      </c>
      <c r="AY164" s="533">
        <f>constantes!$B$12</f>
        <v>0</v>
      </c>
      <c r="AZ164" s="20">
        <v>318</v>
      </c>
      <c r="BA164" s="43"/>
      <c r="BB164" s="3" t="s">
        <v>2195</v>
      </c>
      <c r="BD164" s="534">
        <v>1</v>
      </c>
      <c r="BE164" s="535">
        <v>2027</v>
      </c>
      <c r="BF164" s="536">
        <v>1</v>
      </c>
      <c r="BG164" s="537">
        <v>2027</v>
      </c>
    </row>
    <row r="165" spans="1:59" ht="14.45" customHeight="1">
      <c r="A165" s="125">
        <v>1140</v>
      </c>
      <c r="B165" s="125">
        <v>1140</v>
      </c>
      <c r="C165" s="538" t="s">
        <v>2406</v>
      </c>
      <c r="D165" s="538" t="s">
        <v>2406</v>
      </c>
      <c r="E165" s="526">
        <v>796.4</v>
      </c>
      <c r="F165" s="3" t="s">
        <v>2179</v>
      </c>
      <c r="G165" s="3" t="s">
        <v>2311</v>
      </c>
      <c r="H165" s="3">
        <v>-60.652225999999999</v>
      </c>
      <c r="I165" s="3">
        <v>-7.2280569999999997</v>
      </c>
      <c r="J165" s="539" t="s">
        <v>154</v>
      </c>
      <c r="K165" s="539" t="s">
        <v>154</v>
      </c>
      <c r="L165" s="554">
        <v>7</v>
      </c>
      <c r="M165" s="107"/>
      <c r="N165" s="529">
        <v>1.6379999999999999E-2</v>
      </c>
      <c r="O165" s="529">
        <v>6.1409999999999999E-2</v>
      </c>
      <c r="P165" s="288">
        <f t="shared" si="40"/>
        <v>0.48077739335940306</v>
      </c>
      <c r="Q165" s="30">
        <f t="shared" si="32"/>
        <v>382.8911160714286</v>
      </c>
      <c r="R165" s="30">
        <f t="shared" si="41"/>
        <v>413.50888392857138</v>
      </c>
      <c r="S165" s="107">
        <v>544.07809523809522</v>
      </c>
      <c r="T165" s="107">
        <v>538.31083333333333</v>
      </c>
      <c r="U165" s="107">
        <v>179.60958333333335</v>
      </c>
      <c r="V165" s="107">
        <v>269.56595238095241</v>
      </c>
      <c r="W165" s="288">
        <f t="shared" si="42"/>
        <v>0.46974746654060917</v>
      </c>
      <c r="X165" s="289">
        <f t="shared" si="35"/>
        <v>374.10688235294111</v>
      </c>
      <c r="Y165" s="289">
        <f t="shared" si="36"/>
        <v>-8.784233718487485</v>
      </c>
      <c r="Z165" s="107">
        <v>542.09407843137251</v>
      </c>
      <c r="AA165" s="107">
        <v>529.55772549019605</v>
      </c>
      <c r="AB165" s="107">
        <v>160.60800000000003</v>
      </c>
      <c r="AC165" s="107">
        <v>264.16772549019601</v>
      </c>
      <c r="AD165" s="106">
        <v>3</v>
      </c>
      <c r="AE165" s="32" t="str">
        <f>IF(AD165=0,"",VLOOKUP(AD165,tab_tipo_expansao!$A$2:$B$4,2,0))</f>
        <v>não_considerar</v>
      </c>
      <c r="AF165" s="125">
        <v>2030</v>
      </c>
      <c r="AG165" s="125">
        <v>2100</v>
      </c>
      <c r="AH165" s="125">
        <v>30</v>
      </c>
      <c r="AI165" s="530">
        <v>6443.0038127891939</v>
      </c>
      <c r="AJ165" s="24">
        <f>AK165/constantes!$B$4</f>
        <v>2074.4001251752097</v>
      </c>
      <c r="AK165" s="33">
        <f t="shared" si="43"/>
        <v>8090.1604881833173</v>
      </c>
      <c r="AL165" s="87">
        <v>3</v>
      </c>
      <c r="AM165" s="531">
        <v>0</v>
      </c>
      <c r="AN165" s="23"/>
      <c r="AO165" s="532">
        <f t="shared" si="37"/>
        <v>6443.0038127891939</v>
      </c>
      <c r="AQ165" s="35">
        <f t="shared" si="44"/>
        <v>8090.1604881833182</v>
      </c>
      <c r="AR165" s="36">
        <f ca="1">OFFSET(cod_desembolso!$A$1,AL165,23)</f>
        <v>1.1255071012622904</v>
      </c>
      <c r="AS165" s="37">
        <f ca="1">IF(AO165=0,0,AO165*(OFFSET(cod_desembolso!$A$1,AL165,23)))</f>
        <v>7251.6465447542505</v>
      </c>
      <c r="AT165" s="38">
        <f>(constantes!$B$3*(1+constantes!$B$3)^(AH165))/((1+constantes!$B$3)^(AH165)-1)</f>
        <v>8.8827433387272267E-2</v>
      </c>
      <c r="AU165" s="37">
        <f t="shared" ca="1" si="39"/>
        <v>683.96515040220129</v>
      </c>
      <c r="AV165" s="37">
        <f ca="1">IF(AO165=0,AX165/constantes!$B$3,AU165/constantes!$B$3)</f>
        <v>8549.5643800275157</v>
      </c>
      <c r="AW165" s="39">
        <f ca="1">IF(AO165=0,0,PV(constantes!$B$3,AH165,-AU165)*constantes!$B$3)</f>
        <v>615.99451819820695</v>
      </c>
      <c r="AX165" s="40">
        <f>constantes!$B$10*E165/1000</f>
        <v>39.82</v>
      </c>
      <c r="AY165" s="533">
        <f>constantes!$B$12</f>
        <v>0</v>
      </c>
      <c r="AZ165" s="20">
        <v>318</v>
      </c>
      <c r="BA165" s="43"/>
      <c r="BB165" s="3" t="s">
        <v>2183</v>
      </c>
      <c r="BD165" s="534">
        <v>1</v>
      </c>
      <c r="BE165" s="535">
        <v>2030</v>
      </c>
      <c r="BF165" s="536">
        <v>1</v>
      </c>
      <c r="BG165" s="537">
        <v>2030</v>
      </c>
    </row>
    <row r="166" spans="1:59" ht="15">
      <c r="A166" s="125">
        <v>1141</v>
      </c>
      <c r="B166" s="125">
        <v>1141</v>
      </c>
      <c r="C166" s="538" t="s">
        <v>2407</v>
      </c>
      <c r="D166" s="538" t="s">
        <v>2407</v>
      </c>
      <c r="E166" s="526">
        <v>267.8</v>
      </c>
      <c r="F166" s="3" t="s">
        <v>2179</v>
      </c>
      <c r="G166" s="3" t="s">
        <v>2311</v>
      </c>
      <c r="H166" s="3">
        <v>-59.385260000000002</v>
      </c>
      <c r="I166" s="3">
        <v>-9.1169449999999994</v>
      </c>
      <c r="J166" s="539" t="s">
        <v>158</v>
      </c>
      <c r="K166" s="539" t="s">
        <v>158</v>
      </c>
      <c r="L166" s="554">
        <v>7</v>
      </c>
      <c r="M166" s="107"/>
      <c r="N166" s="529">
        <v>1.6379999999999999E-2</v>
      </c>
      <c r="O166" s="529">
        <v>6.1409999999999999E-2</v>
      </c>
      <c r="P166" s="288">
        <f t="shared" si="40"/>
        <v>0.4905492060528468</v>
      </c>
      <c r="Q166" s="30">
        <f t="shared" si="32"/>
        <v>131.36907738095238</v>
      </c>
      <c r="R166" s="30">
        <f t="shared" si="41"/>
        <v>136.43092261904764</v>
      </c>
      <c r="S166" s="107">
        <v>212.71285714285716</v>
      </c>
      <c r="T166" s="107">
        <v>181.49303571428572</v>
      </c>
      <c r="U166" s="107">
        <v>53.44</v>
      </c>
      <c r="V166" s="107">
        <v>77.830416666666665</v>
      </c>
      <c r="W166" s="288">
        <f t="shared" si="42"/>
        <v>0.47630679904523426</v>
      </c>
      <c r="X166" s="289">
        <f t="shared" si="35"/>
        <v>127.55496078431374</v>
      </c>
      <c r="Y166" s="289">
        <f t="shared" si="36"/>
        <v>-3.814116596638641</v>
      </c>
      <c r="Z166" s="107">
        <v>217.82509803921573</v>
      </c>
      <c r="AA166" s="107">
        <v>182.10247058823529</v>
      </c>
      <c r="AB166" s="107">
        <v>41.628901960784326</v>
      </c>
      <c r="AC166" s="107">
        <v>68.663372549019599</v>
      </c>
      <c r="AD166" s="106">
        <v>3</v>
      </c>
      <c r="AE166" s="32" t="str">
        <f>IF(AD166=0,"",VLOOKUP(AD166,tab_tipo_expansao!$A$2:$B$4,2,0))</f>
        <v>não_considerar</v>
      </c>
      <c r="AF166" s="125">
        <v>2030</v>
      </c>
      <c r="AG166" s="125">
        <v>2100</v>
      </c>
      <c r="AH166" s="125">
        <v>30</v>
      </c>
      <c r="AI166" s="530">
        <v>2190.557621130175</v>
      </c>
      <c r="AJ166" s="24">
        <f>AK166/constantes!$B$4</f>
        <v>2097.3914910957037</v>
      </c>
      <c r="AK166" s="33">
        <f t="shared" si="43"/>
        <v>8179.8268152732444</v>
      </c>
      <c r="AL166" s="87">
        <v>2</v>
      </c>
      <c r="AM166" s="531">
        <v>0</v>
      </c>
      <c r="AN166" s="23"/>
      <c r="AO166" s="532">
        <f t="shared" si="37"/>
        <v>2190.557621130175</v>
      </c>
      <c r="AQ166" s="35">
        <f t="shared" si="44"/>
        <v>8179.8268152732444</v>
      </c>
      <c r="AR166" s="36">
        <f ca="1">OFFSET(cod_desembolso!$A$1,AL166,23)</f>
        <v>1.1245293369208682</v>
      </c>
      <c r="AS166" s="37">
        <f ca="1">IF(AO166=0,0,AO166*(OFFSET(cod_desembolso!$A$1,AL166,23)))</f>
        <v>2463.3463091764702</v>
      </c>
      <c r="AT166" s="38">
        <f>(constantes!$B$3*(1+constantes!$B$3)^(AH166))/((1+constantes!$B$3)^(AH166)-1)</f>
        <v>8.8827433387272267E-2</v>
      </c>
      <c r="AU166" s="37">
        <f t="shared" ca="1" si="39"/>
        <v>232.2027301881559</v>
      </c>
      <c r="AV166" s="37">
        <f ca="1">IF(AO166=0,AX166/constantes!$B$3,AU166/constantes!$B$3)</f>
        <v>2902.5341273519484</v>
      </c>
      <c r="AW166" s="39">
        <f ca="1">IF(AO166=0,0,PV(constantes!$B$3,AH166,-AU166)*constantes!$B$3)</f>
        <v>209.12704225127578</v>
      </c>
      <c r="AX166" s="40">
        <f>constantes!$B$10*E166/1000</f>
        <v>13.39</v>
      </c>
      <c r="AY166" s="533">
        <f>constantes!$B$12</f>
        <v>0</v>
      </c>
      <c r="AZ166" s="20">
        <v>318</v>
      </c>
      <c r="BA166" s="43"/>
      <c r="BB166" s="3" t="s">
        <v>2215</v>
      </c>
      <c r="BD166" s="534">
        <v>1</v>
      </c>
      <c r="BE166" s="535">
        <v>2035</v>
      </c>
      <c r="BF166" s="536">
        <v>3</v>
      </c>
      <c r="BG166" s="537">
        <v>2050</v>
      </c>
    </row>
    <row r="167" spans="1:59" ht="14.45" customHeight="1">
      <c r="A167" s="125">
        <v>1142</v>
      </c>
      <c r="B167" s="125">
        <v>1142</v>
      </c>
      <c r="C167" s="538" t="s">
        <v>2408</v>
      </c>
      <c r="D167" s="538" t="s">
        <v>2408</v>
      </c>
      <c r="E167" s="526">
        <v>144</v>
      </c>
      <c r="F167" s="3" t="s">
        <v>2229</v>
      </c>
      <c r="G167" s="3" t="s">
        <v>2232</v>
      </c>
      <c r="H167" s="3">
        <v>-41.277549</v>
      </c>
      <c r="I167" s="3">
        <v>-19.276880999999999</v>
      </c>
      <c r="J167" s="539" t="s">
        <v>150</v>
      </c>
      <c r="K167" s="539" t="s">
        <v>150</v>
      </c>
      <c r="L167" s="554">
        <v>1</v>
      </c>
      <c r="M167" s="107"/>
      <c r="N167" s="529">
        <v>1.9820000000000001E-2</v>
      </c>
      <c r="O167" s="529">
        <v>5.2919999999999995E-2</v>
      </c>
      <c r="P167" s="288">
        <f t="shared" si="40"/>
        <v>0.47395130621693127</v>
      </c>
      <c r="Q167" s="30">
        <f t="shared" si="32"/>
        <v>68.248988095238104</v>
      </c>
      <c r="R167" s="30">
        <f t="shared" si="41"/>
        <v>75.751011904761896</v>
      </c>
      <c r="S167" s="107">
        <v>96.627142857142871</v>
      </c>
      <c r="T167" s="107">
        <v>64.835059523809534</v>
      </c>
      <c r="U167" s="107">
        <v>42.294583333333335</v>
      </c>
      <c r="V167" s="107">
        <v>69.239166666666662</v>
      </c>
      <c r="W167" s="288">
        <f t="shared" si="42"/>
        <v>0.4892988834422658</v>
      </c>
      <c r="X167" s="289">
        <f t="shared" si="35"/>
        <v>70.459039215686275</v>
      </c>
      <c r="Y167" s="289">
        <f t="shared" si="36"/>
        <v>2.2100511204481705</v>
      </c>
      <c r="Z167" s="107">
        <v>103.71580392156865</v>
      </c>
      <c r="AA167" s="107">
        <v>62.34650980392157</v>
      </c>
      <c r="AB167" s="107">
        <v>40.213607843137254</v>
      </c>
      <c r="AC167" s="107">
        <v>75.560235294117646</v>
      </c>
      <c r="AD167" s="106">
        <v>3</v>
      </c>
      <c r="AE167" s="32" t="str">
        <f>IF(AD167=0,"",VLOOKUP(AD167,tab_tipo_expansao!$A$2:$B$4,2,0))</f>
        <v>não_considerar</v>
      </c>
      <c r="AF167" s="125">
        <v>2030</v>
      </c>
      <c r="AG167" s="125">
        <v>2100</v>
      </c>
      <c r="AH167" s="125">
        <v>30</v>
      </c>
      <c r="AI167" s="530">
        <v>1062.7975601808771</v>
      </c>
      <c r="AJ167" s="24">
        <f>AK167/constantes!$B$4</f>
        <v>1892.4457980428722</v>
      </c>
      <c r="AK167" s="33">
        <f t="shared" si="43"/>
        <v>7380.5386123672015</v>
      </c>
      <c r="AL167" s="87">
        <v>2</v>
      </c>
      <c r="AM167" s="531">
        <v>0</v>
      </c>
      <c r="AN167" s="23"/>
      <c r="AO167" s="532">
        <f t="shared" si="37"/>
        <v>1062.7975601808771</v>
      </c>
      <c r="AQ167" s="35">
        <f t="shared" si="44"/>
        <v>7380.5386123672024</v>
      </c>
      <c r="AR167" s="36">
        <f ca="1">OFFSET(cod_desembolso!$A$1,AL167,23)</f>
        <v>1.1245293369208682</v>
      </c>
      <c r="AS167" s="37">
        <f ca="1">IF(AO167=0,0,AO167*(OFFSET(cod_desembolso!$A$1,AL167,23)))</f>
        <v>1195.1470356313182</v>
      </c>
      <c r="AT167" s="38">
        <f>(constantes!$B$3*(1+constantes!$B$3)^(AH167))/((1+constantes!$B$3)^(AH167)-1)</f>
        <v>8.8827433387272267E-2</v>
      </c>
      <c r="AU167" s="37">
        <f t="shared" ca="1" si="39"/>
        <v>113.36184369553683</v>
      </c>
      <c r="AV167" s="37">
        <f ca="1">IF(AO167=0,AX167/constantes!$B$3,AU167/constantes!$B$3)</f>
        <v>1417.0230461942103</v>
      </c>
      <c r="AW167" s="39">
        <f ca="1">IF(AO167=0,0,PV(constantes!$B$3,AH167,-AU167)*constantes!$B$3)</f>
        <v>102.09624605614688</v>
      </c>
      <c r="AX167" s="40">
        <f>constantes!$B$10*E167/1000</f>
        <v>7.2</v>
      </c>
      <c r="AY167" s="533">
        <f>constantes!$B$12</f>
        <v>0</v>
      </c>
      <c r="AZ167" s="20">
        <v>318</v>
      </c>
      <c r="BA167" s="43"/>
      <c r="BB167" s="3" t="s">
        <v>2215</v>
      </c>
      <c r="BD167" s="534">
        <v>1</v>
      </c>
      <c r="BE167" s="535">
        <v>2035</v>
      </c>
      <c r="BF167" s="536">
        <v>3</v>
      </c>
      <c r="BG167" s="537">
        <v>2050</v>
      </c>
    </row>
    <row r="168" spans="1:59" ht="15">
      <c r="A168" s="125">
        <v>1143</v>
      </c>
      <c r="B168" s="125">
        <v>1143</v>
      </c>
      <c r="C168" s="538" t="s">
        <v>2409</v>
      </c>
      <c r="D168" s="538" t="s">
        <v>2409</v>
      </c>
      <c r="E168" s="526">
        <v>276</v>
      </c>
      <c r="F168" s="3" t="s">
        <v>2209</v>
      </c>
      <c r="G168" s="3" t="s">
        <v>2209</v>
      </c>
      <c r="H168" s="3">
        <v>-39.679105</v>
      </c>
      <c r="I168" s="3">
        <v>-8.7879959999999997</v>
      </c>
      <c r="J168" s="539" t="s">
        <v>152</v>
      </c>
      <c r="K168" s="539" t="s">
        <v>152</v>
      </c>
      <c r="L168" s="554">
        <v>3</v>
      </c>
      <c r="M168" s="107"/>
      <c r="N168" s="529">
        <v>1.9820000000000001E-2</v>
      </c>
      <c r="O168" s="529">
        <v>5.2919999999999995E-2</v>
      </c>
      <c r="P168" s="288">
        <f t="shared" si="40"/>
        <v>0.59613699102829532</v>
      </c>
      <c r="Q168" s="30">
        <f t="shared" si="32"/>
        <v>164.53380952380951</v>
      </c>
      <c r="R168" s="30">
        <f t="shared" si="41"/>
        <v>111.46619047619049</v>
      </c>
      <c r="S168" s="107">
        <v>156.19714285714284</v>
      </c>
      <c r="T168" s="107">
        <v>145.5014880952381</v>
      </c>
      <c r="U168" s="107">
        <v>194.47375</v>
      </c>
      <c r="V168" s="107">
        <v>161.96285714285713</v>
      </c>
      <c r="W168" s="288">
        <f t="shared" si="42"/>
        <v>0.58565167661267392</v>
      </c>
      <c r="X168" s="289">
        <f t="shared" si="35"/>
        <v>161.63986274509801</v>
      </c>
      <c r="Y168" s="289">
        <f t="shared" si="36"/>
        <v>-2.893946778711495</v>
      </c>
      <c r="Z168" s="107">
        <v>182.37780392156856</v>
      </c>
      <c r="AA168" s="107">
        <v>149.02117647058822</v>
      </c>
      <c r="AB168" s="107">
        <v>165.52505882352941</v>
      </c>
      <c r="AC168" s="107">
        <v>149.63541176470588</v>
      </c>
      <c r="AD168" s="106">
        <v>3</v>
      </c>
      <c r="AE168" s="32" t="str">
        <f>IF(AD168=0,"",VLOOKUP(AD168,tab_tipo_expansao!$A$2:$B$4,2,0))</f>
        <v>não_considerar</v>
      </c>
      <c r="AF168" s="125">
        <v>2030</v>
      </c>
      <c r="AG168" s="125">
        <v>2100</v>
      </c>
      <c r="AH168" s="125">
        <v>30</v>
      </c>
      <c r="AI168" s="530">
        <v>3188.8395977074038</v>
      </c>
      <c r="AJ168" s="24">
        <f>AK168/constantes!$B$4</f>
        <v>2962.5042713743997</v>
      </c>
      <c r="AK168" s="33">
        <f t="shared" si="43"/>
        <v>11553.766658360159</v>
      </c>
      <c r="AL168" s="87">
        <v>2</v>
      </c>
      <c r="AM168" s="531">
        <v>0</v>
      </c>
      <c r="AN168" s="23"/>
      <c r="AO168" s="532">
        <f t="shared" si="37"/>
        <v>3188.8395977074038</v>
      </c>
      <c r="AQ168" s="35">
        <f t="shared" si="44"/>
        <v>11553.766658360159</v>
      </c>
      <c r="AR168" s="36">
        <f ca="1">OFFSET(cod_desembolso!$A$1,AL168,23)</f>
        <v>1.1245293369208682</v>
      </c>
      <c r="AS168" s="37">
        <f ca="1">IF(AO168=0,0,AO168*(OFFSET(cod_desembolso!$A$1,AL168,23)))</f>
        <v>3585.9436783569149</v>
      </c>
      <c r="AT168" s="38">
        <f>(constantes!$B$3*(1+constantes!$B$3)^(AH168))/((1+constantes!$B$3)^(AH168)-1)</f>
        <v>8.8827433387272267E-2</v>
      </c>
      <c r="AU168" s="37">
        <f t="shared" ca="1" si="39"/>
        <v>332.33017321975893</v>
      </c>
      <c r="AV168" s="37">
        <f ca="1">IF(AO168=0,AX168/constantes!$B$3,AU168/constantes!$B$3)</f>
        <v>4154.1271652469868</v>
      </c>
      <c r="AW168" s="39">
        <f ca="1">IF(AO168=0,0,PV(constantes!$B$3,AH168,-AU168)*constantes!$B$3)</f>
        <v>299.30408707936596</v>
      </c>
      <c r="AX168" s="40">
        <f>constantes!$B$10*E168/1000</f>
        <v>13.8</v>
      </c>
      <c r="AY168" s="533">
        <f>constantes!$B$12</f>
        <v>0</v>
      </c>
      <c r="AZ168" s="20">
        <v>318</v>
      </c>
      <c r="BA168" s="43"/>
      <c r="BB168" s="3" t="s">
        <v>2215</v>
      </c>
      <c r="BD168" s="534">
        <v>1</v>
      </c>
      <c r="BE168" s="535">
        <v>2035</v>
      </c>
      <c r="BF168" s="536">
        <v>3</v>
      </c>
      <c r="BG168" s="537">
        <v>2050</v>
      </c>
    </row>
    <row r="169" spans="1:59" ht="15">
      <c r="A169" s="125">
        <v>1144</v>
      </c>
      <c r="B169" s="125">
        <v>1144</v>
      </c>
      <c r="C169" s="538" t="s">
        <v>2410</v>
      </c>
      <c r="D169" s="538" t="s">
        <v>2410</v>
      </c>
      <c r="E169" s="526">
        <v>113</v>
      </c>
      <c r="F169" s="3" t="s">
        <v>2244</v>
      </c>
      <c r="G169" s="3" t="s">
        <v>2244</v>
      </c>
      <c r="H169" s="3">
        <v>-45.320118999999998</v>
      </c>
      <c r="I169" s="3">
        <v>-7.5749339999999998</v>
      </c>
      <c r="J169" s="539" t="s">
        <v>1983</v>
      </c>
      <c r="K169" s="539" t="s">
        <v>1983</v>
      </c>
      <c r="L169" s="554">
        <v>3</v>
      </c>
      <c r="M169" s="107"/>
      <c r="N169" s="529">
        <v>1.9820000000000001E-2</v>
      </c>
      <c r="O169" s="529">
        <v>5.2919999999999995E-2</v>
      </c>
      <c r="P169" s="288">
        <f t="shared" si="40"/>
        <v>0.70435471976401176</v>
      </c>
      <c r="Q169" s="30">
        <f t="shared" si="32"/>
        <v>79.592083333333335</v>
      </c>
      <c r="R169" s="30">
        <f t="shared" si="41"/>
        <v>33.407916666666665</v>
      </c>
      <c r="S169" s="107">
        <v>97.428095238095239</v>
      </c>
      <c r="T169" s="107">
        <v>83.004107142857137</v>
      </c>
      <c r="U169" s="107">
        <v>57.84708333333333</v>
      </c>
      <c r="V169" s="107">
        <v>80.089047619047619</v>
      </c>
      <c r="W169" s="288">
        <f t="shared" si="42"/>
        <v>0.72819226097518608</v>
      </c>
      <c r="X169" s="289">
        <f t="shared" si="35"/>
        <v>82.285725490196029</v>
      </c>
      <c r="Y169" s="289">
        <f t="shared" si="36"/>
        <v>2.693642156862694</v>
      </c>
      <c r="Z169" s="107">
        <v>102.30639215686263</v>
      </c>
      <c r="AA169" s="107">
        <v>87.638117647058777</v>
      </c>
      <c r="AB169" s="107">
        <v>56.799607843137245</v>
      </c>
      <c r="AC169" s="107">
        <v>82.398784313725457</v>
      </c>
      <c r="AD169" s="106">
        <v>1</v>
      </c>
      <c r="AE169" s="32" t="str">
        <f>IF(AD169=0,"",VLOOKUP(AD169,tab_tipo_expansao!$A$2:$B$4,2,0))</f>
        <v>opcional</v>
      </c>
      <c r="AF169" s="125">
        <v>2028</v>
      </c>
      <c r="AG169" s="125">
        <v>2100</v>
      </c>
      <c r="AH169" s="125">
        <v>30</v>
      </c>
      <c r="AI169" s="530">
        <v>902.79813764465632</v>
      </c>
      <c r="AJ169" s="24">
        <f>AK169/constantes!$B$4</f>
        <v>2048.5548846032593</v>
      </c>
      <c r="AK169" s="33">
        <f t="shared" si="43"/>
        <v>7989.364049952711</v>
      </c>
      <c r="AL169" s="87">
        <v>2</v>
      </c>
      <c r="AM169" s="531">
        <v>0</v>
      </c>
      <c r="AN169" s="23"/>
      <c r="AO169" s="532">
        <f t="shared" si="37"/>
        <v>902.79813764465632</v>
      </c>
      <c r="AQ169" s="35">
        <f t="shared" si="44"/>
        <v>7989.364049952711</v>
      </c>
      <c r="AR169" s="36">
        <f ca="1">OFFSET(cod_desembolso!$A$1,AL169,23)</f>
        <v>1.1245293369208682</v>
      </c>
      <c r="AS169" s="37">
        <f ca="1">IF(AO169=0,0,AO169*(OFFSET(cod_desembolso!$A$1,AL169,23)))</f>
        <v>1015.22299109894</v>
      </c>
      <c r="AT169" s="38">
        <f>(constantes!$B$3*(1+constantes!$B$3)^(AH169))/((1+constantes!$B$3)^(AH169)-1)</f>
        <v>8.8827433387272267E-2</v>
      </c>
      <c r="AU169" s="37">
        <f t="shared" ca="1" si="39"/>
        <v>95.829652615068412</v>
      </c>
      <c r="AV169" s="37">
        <f ca="1">IF(AO169=0,AX169/constantes!$B$3,AU169/constantes!$B$3)</f>
        <v>1197.8706576883551</v>
      </c>
      <c r="AW169" s="39">
        <f ca="1">IF(AO169=0,0,PV(constantes!$B$3,AH169,-AU169)*constantes!$B$3)</f>
        <v>86.306357359008842</v>
      </c>
      <c r="AX169" s="40">
        <f>constantes!$B$10*E169/1000</f>
        <v>5.65</v>
      </c>
      <c r="AY169" s="533">
        <f>constantes!$B$12</f>
        <v>0</v>
      </c>
      <c r="AZ169" s="20">
        <v>318</v>
      </c>
      <c r="BA169" s="43"/>
      <c r="BB169" s="3" t="s">
        <v>2195</v>
      </c>
      <c r="BD169" s="534">
        <v>1</v>
      </c>
      <c r="BE169" s="535">
        <v>2027</v>
      </c>
      <c r="BF169" s="536">
        <v>1</v>
      </c>
      <c r="BG169" s="537">
        <v>2027</v>
      </c>
    </row>
    <row r="170" spans="1:59" ht="15">
      <c r="A170" s="125">
        <v>1145</v>
      </c>
      <c r="B170" s="125">
        <v>1145</v>
      </c>
      <c r="C170" s="538" t="s">
        <v>2411</v>
      </c>
      <c r="D170" s="538" t="s">
        <v>2411</v>
      </c>
      <c r="E170" s="526">
        <v>56.7</v>
      </c>
      <c r="F170" s="3" t="s">
        <v>2197</v>
      </c>
      <c r="G170" s="3" t="s">
        <v>2246</v>
      </c>
      <c r="H170" s="3">
        <v>-47.927337999999999</v>
      </c>
      <c r="I170" s="3">
        <v>-9.5029710000000005</v>
      </c>
      <c r="J170" s="539" t="s">
        <v>1981</v>
      </c>
      <c r="K170" s="539" t="s">
        <v>1981</v>
      </c>
      <c r="L170" s="554">
        <v>1</v>
      </c>
      <c r="M170" s="107"/>
      <c r="N170" s="529">
        <v>2.068E-2</v>
      </c>
      <c r="O170" s="529">
        <v>4.6600000000000003E-2</v>
      </c>
      <c r="P170" s="288">
        <f t="shared" si="40"/>
        <v>0.532119300920186</v>
      </c>
      <c r="Q170" s="30">
        <f t="shared" si="32"/>
        <v>30.171164362174547</v>
      </c>
      <c r="R170" s="30">
        <f t="shared" si="41"/>
        <v>26.528835637825456</v>
      </c>
      <c r="S170" s="107">
        <v>37.809565702734353</v>
      </c>
      <c r="T170" s="107">
        <v>33.191053244326547</v>
      </c>
      <c r="U170" s="107">
        <v>23.544128164396469</v>
      </c>
      <c r="V170" s="107">
        <v>26.139910337240821</v>
      </c>
      <c r="W170" s="288">
        <f t="shared" si="42"/>
        <v>0.56765074645560576</v>
      </c>
      <c r="X170" s="289">
        <f t="shared" si="35"/>
        <v>32.185797324032848</v>
      </c>
      <c r="Y170" s="289">
        <f t="shared" si="36"/>
        <v>2.0146329618583003</v>
      </c>
      <c r="Z170" s="107">
        <v>42.068608302386608</v>
      </c>
      <c r="AA170" s="107">
        <v>34.998193764417756</v>
      </c>
      <c r="AB170" s="107">
        <v>24.095678183979363</v>
      </c>
      <c r="AC170" s="107">
        <v>27.580709045347664</v>
      </c>
      <c r="AD170" s="106">
        <v>3</v>
      </c>
      <c r="AE170" s="32" t="str">
        <f>IF(AD170=0,"",VLOOKUP(AD170,tab_tipo_expansao!$A$2:$B$4,2,0))</f>
        <v>não_considerar</v>
      </c>
      <c r="AF170" s="125">
        <v>2030</v>
      </c>
      <c r="AG170" s="125">
        <v>2100</v>
      </c>
      <c r="AH170" s="125">
        <v>30</v>
      </c>
      <c r="AI170" s="530">
        <v>543.7790305741438</v>
      </c>
      <c r="AJ170" s="24">
        <f>AK170/constantes!$B$4</f>
        <v>2459.0920751329249</v>
      </c>
      <c r="AK170" s="33">
        <f t="shared" si="43"/>
        <v>9590.4590930184077</v>
      </c>
      <c r="AL170" s="87">
        <v>2</v>
      </c>
      <c r="AM170" s="531">
        <v>0</v>
      </c>
      <c r="AN170" s="23"/>
      <c r="AO170" s="532">
        <f t="shared" si="37"/>
        <v>543.7790305741438</v>
      </c>
      <c r="AQ170" s="35">
        <f t="shared" si="44"/>
        <v>9590.4590930184077</v>
      </c>
      <c r="AR170" s="36">
        <f ca="1">OFFSET(cod_desembolso!$A$1,AL170,23)</f>
        <v>1.1245293369208682</v>
      </c>
      <c r="AS170" s="37">
        <f ca="1">IF(AO170=0,0,AO170*(OFFSET(cod_desembolso!$A$1,AL170,23)))</f>
        <v>611.49547268301444</v>
      </c>
      <c r="AT170" s="38">
        <f>(constantes!$B$3*(1+constantes!$B$3)^(AH170))/((1+constantes!$B$3)^(AH170)-1)</f>
        <v>8.8827433387272267E-2</v>
      </c>
      <c r="AU170" s="37">
        <f t="shared" ca="1" si="39"/>
        <v>57.152573366369033</v>
      </c>
      <c r="AV170" s="37">
        <f ca="1">IF(AO170=0,AX170/constantes!$B$3,AU170/constantes!$B$3)</f>
        <v>714.40716707961292</v>
      </c>
      <c r="AW170" s="39">
        <f ca="1">IF(AO170=0,0,PV(constantes!$B$3,AH170,-AU170)*constantes!$B$3)</f>
        <v>51.472903076862465</v>
      </c>
      <c r="AX170" s="40">
        <f>constantes!$B$10*E170/1000</f>
        <v>2.835</v>
      </c>
      <c r="AY170" s="533">
        <f>constantes!$B$12</f>
        <v>0</v>
      </c>
      <c r="AZ170" s="20">
        <v>318</v>
      </c>
      <c r="BA170" s="43"/>
      <c r="BB170" s="3" t="s">
        <v>2215</v>
      </c>
      <c r="BD170" s="534">
        <v>1</v>
      </c>
      <c r="BE170" s="535">
        <v>2035</v>
      </c>
      <c r="BF170" s="536">
        <v>3</v>
      </c>
      <c r="BG170" s="537">
        <v>2050</v>
      </c>
    </row>
    <row r="171" spans="1:59" ht="15">
      <c r="A171" s="125">
        <v>1146</v>
      </c>
      <c r="B171" s="125">
        <v>1146</v>
      </c>
      <c r="C171" s="538" t="s">
        <v>2412</v>
      </c>
      <c r="D171" s="538" t="s">
        <v>2412</v>
      </c>
      <c r="E171" s="526">
        <v>134</v>
      </c>
      <c r="F171" s="3" t="s">
        <v>2179</v>
      </c>
      <c r="G171" s="3" t="s">
        <v>2333</v>
      </c>
      <c r="H171" s="3">
        <v>-57.644294000000002</v>
      </c>
      <c r="I171" s="3">
        <v>-12.266425</v>
      </c>
      <c r="J171" s="539" t="s">
        <v>158</v>
      </c>
      <c r="K171" s="539" t="s">
        <v>158</v>
      </c>
      <c r="L171" s="554">
        <v>10</v>
      </c>
      <c r="M171" s="107"/>
      <c r="N171" s="529">
        <v>1.6379999999999999E-2</v>
      </c>
      <c r="O171" s="529">
        <v>6.1409999999999999E-2</v>
      </c>
      <c r="P171" s="288">
        <f t="shared" si="40"/>
        <v>0.36069163113006397</v>
      </c>
      <c r="Q171" s="30">
        <f t="shared" si="32"/>
        <v>48.332678571428573</v>
      </c>
      <c r="R171" s="30">
        <f t="shared" si="41"/>
        <v>85.667321428571427</v>
      </c>
      <c r="S171" s="107">
        <v>60.083333333333336</v>
      </c>
      <c r="T171" s="107">
        <v>49.228392857142865</v>
      </c>
      <c r="U171" s="107">
        <v>37.947083333333332</v>
      </c>
      <c r="V171" s="107">
        <v>46.071904761904761</v>
      </c>
      <c r="W171" s="288">
        <f t="shared" si="42"/>
        <v>0.3539332748024584</v>
      </c>
      <c r="X171" s="289">
        <f t="shared" si="35"/>
        <v>47.427058823529428</v>
      </c>
      <c r="Y171" s="289">
        <f t="shared" si="36"/>
        <v>-0.90561974789914501</v>
      </c>
      <c r="Z171" s="107">
        <v>62.363921568627482</v>
      </c>
      <c r="AA171" s="107">
        <v>48.397725490196102</v>
      </c>
      <c r="AB171" s="107">
        <v>34.571960784313731</v>
      </c>
      <c r="AC171" s="107">
        <v>44.374627450980391</v>
      </c>
      <c r="AD171" s="106">
        <v>3</v>
      </c>
      <c r="AE171" s="32" t="str">
        <f>IF(AD171=0,"",VLOOKUP(AD171,tab_tipo_expansao!$A$2:$B$4,2,0))</f>
        <v>não_considerar</v>
      </c>
      <c r="AF171" s="125">
        <v>2030</v>
      </c>
      <c r="AG171" s="125">
        <v>2100</v>
      </c>
      <c r="AH171" s="125">
        <v>30</v>
      </c>
      <c r="AI171" s="530">
        <v>1858.4445228780801</v>
      </c>
      <c r="AJ171" s="24">
        <f>AK171/constantes!$B$4</f>
        <v>3556.1510196672029</v>
      </c>
      <c r="AK171" s="33">
        <f t="shared" si="43"/>
        <v>13868.98897670209</v>
      </c>
      <c r="AL171" s="87">
        <v>2</v>
      </c>
      <c r="AM171" s="531">
        <v>0</v>
      </c>
      <c r="AN171" s="23"/>
      <c r="AO171" s="532">
        <f t="shared" si="37"/>
        <v>1858.4445228780801</v>
      </c>
      <c r="AQ171" s="35">
        <f t="shared" si="44"/>
        <v>13868.98897670209</v>
      </c>
      <c r="AR171" s="36">
        <f ca="1">OFFSET(cod_desembolso!$A$1,AL171,23)</f>
        <v>1.1245293369208682</v>
      </c>
      <c r="AS171" s="37">
        <f ca="1">IF(AO171=0,0,AO171*(OFFSET(cod_desembolso!$A$1,AL171,23)))</f>
        <v>2089.8753870163068</v>
      </c>
      <c r="AT171" s="38">
        <f>(constantes!$B$3*(1+constantes!$B$3)^(AH171))/((1+constantes!$B$3)^(AH171)-1)</f>
        <v>8.8827433387272267E-2</v>
      </c>
      <c r="AU171" s="37">
        <f t="shared" ca="1" si="39"/>
        <v>192.33826672789084</v>
      </c>
      <c r="AV171" s="37">
        <f ca="1">IF(AO171=0,AX171/constantes!$B$3,AU171/constantes!$B$3)</f>
        <v>2404.2283340986355</v>
      </c>
      <c r="AW171" s="39">
        <f ca="1">IF(AO171=0,0,PV(constantes!$B$3,AH171,-AU171)*constantes!$B$3)</f>
        <v>173.22420283322089</v>
      </c>
      <c r="AX171" s="40">
        <f>constantes!$B$10*E171/1000</f>
        <v>6.7</v>
      </c>
      <c r="AY171" s="533">
        <f>constantes!$B$12</f>
        <v>0</v>
      </c>
      <c r="AZ171" s="20">
        <v>318</v>
      </c>
      <c r="BA171" s="43"/>
      <c r="BB171" s="3" t="s">
        <v>2215</v>
      </c>
      <c r="BD171" s="534">
        <v>1</v>
      </c>
      <c r="BE171" s="535">
        <v>2035</v>
      </c>
      <c r="BF171" s="536">
        <v>3</v>
      </c>
      <c r="BG171" s="537">
        <v>2050</v>
      </c>
    </row>
    <row r="172" spans="1:59" ht="15">
      <c r="A172" s="125">
        <v>1147</v>
      </c>
      <c r="B172" s="125">
        <v>1147</v>
      </c>
      <c r="C172" s="538" t="s">
        <v>2413</v>
      </c>
      <c r="D172" s="538" t="s">
        <v>2413</v>
      </c>
      <c r="E172" s="526">
        <v>50</v>
      </c>
      <c r="F172" s="3" t="s">
        <v>2209</v>
      </c>
      <c r="G172" s="3" t="s">
        <v>2414</v>
      </c>
      <c r="H172" s="3">
        <v>-44.490765000000003</v>
      </c>
      <c r="I172" s="3">
        <v>-13.653444</v>
      </c>
      <c r="J172" s="539" t="s">
        <v>152</v>
      </c>
      <c r="K172" s="539" t="s">
        <v>152</v>
      </c>
      <c r="L172" s="554">
        <v>3</v>
      </c>
      <c r="M172" s="107"/>
      <c r="N172" s="529">
        <v>2.068E-2</v>
      </c>
      <c r="O172" s="529">
        <v>4.6600000000000003E-2</v>
      </c>
      <c r="P172" s="288">
        <f t="shared" si="40"/>
        <v>0.82545535714285723</v>
      </c>
      <c r="Q172" s="30">
        <f t="shared" si="32"/>
        <v>41.27276785714286</v>
      </c>
      <c r="R172" s="30">
        <f t="shared" si="41"/>
        <v>8.7272321428571402</v>
      </c>
      <c r="S172" s="107">
        <v>44.300476190476189</v>
      </c>
      <c r="T172" s="107">
        <v>40.772321428571423</v>
      </c>
      <c r="U172" s="107">
        <v>37.080833333333338</v>
      </c>
      <c r="V172" s="107">
        <v>42.937440476190481</v>
      </c>
      <c r="W172" s="288">
        <f t="shared" si="42"/>
        <v>0.82813549019607857</v>
      </c>
      <c r="X172" s="289">
        <f t="shared" si="35"/>
        <v>41.406774509803931</v>
      </c>
      <c r="Y172" s="289">
        <f t="shared" si="36"/>
        <v>0.13400665266107126</v>
      </c>
      <c r="Z172" s="107">
        <v>44.933803921568632</v>
      </c>
      <c r="AA172" s="107">
        <v>41.363372549019623</v>
      </c>
      <c r="AB172" s="107">
        <v>37.023019607843132</v>
      </c>
      <c r="AC172" s="107">
        <v>42.306901960784323</v>
      </c>
      <c r="AD172" s="106">
        <v>1</v>
      </c>
      <c r="AE172" s="32" t="str">
        <f>IF(AD172=0,"",VLOOKUP(AD172,tab_tipo_expansao!$A$2:$B$4,2,0))</f>
        <v>opcional</v>
      </c>
      <c r="AF172" s="125">
        <v>2028</v>
      </c>
      <c r="AG172" s="125">
        <v>2100</v>
      </c>
      <c r="AH172" s="125">
        <v>30</v>
      </c>
      <c r="AI172" s="530">
        <v>474.62946604084328</v>
      </c>
      <c r="AJ172" s="24">
        <f>AK172/constantes!$B$4</f>
        <v>2433.9972617479143</v>
      </c>
      <c r="AK172" s="33">
        <f t="shared" si="43"/>
        <v>9492.5893208168654</v>
      </c>
      <c r="AL172" s="87">
        <v>2</v>
      </c>
      <c r="AM172" s="531">
        <v>0</v>
      </c>
      <c r="AN172" s="23"/>
      <c r="AO172" s="532">
        <f t="shared" si="37"/>
        <v>474.62946604084328</v>
      </c>
      <c r="AQ172" s="35">
        <f t="shared" si="44"/>
        <v>9492.5893208168654</v>
      </c>
      <c r="AR172" s="36">
        <f ca="1">OFFSET(cod_desembolso!$A$1,AL172,23)</f>
        <v>1.1245293369208682</v>
      </c>
      <c r="AS172" s="37">
        <f ca="1">IF(AO172=0,0,AO172*(OFFSET(cod_desembolso!$A$1,AL172,23)))</f>
        <v>533.73475873001519</v>
      </c>
      <c r="AT172" s="38">
        <f>(constantes!$B$3*(1+constantes!$B$3)^(AH172))/((1+constantes!$B$3)^(AH172)-1)</f>
        <v>8.8827433387272267E-2</v>
      </c>
      <c r="AU172" s="37">
        <f t="shared" ca="1" si="39"/>
        <v>49.910288727562261</v>
      </c>
      <c r="AV172" s="37">
        <f ca="1">IF(AO172=0,AX172/constantes!$B$3,AU172/constantes!$B$3)</f>
        <v>623.8786090945282</v>
      </c>
      <c r="AW172" s="39">
        <f ca="1">IF(AO172=0,0,PV(constantes!$B$3,AH172,-AU172)*constantes!$B$3)</f>
        <v>44.950337367026712</v>
      </c>
      <c r="AX172" s="40">
        <f>constantes!$B$10*E172/1000</f>
        <v>2.5</v>
      </c>
      <c r="AY172" s="533">
        <f>constantes!$B$12</f>
        <v>0</v>
      </c>
      <c r="AZ172" s="20">
        <v>318</v>
      </c>
      <c r="BA172" s="43"/>
      <c r="BB172" s="3" t="s">
        <v>2195</v>
      </c>
      <c r="BD172" s="534">
        <v>1</v>
      </c>
      <c r="BE172" s="535">
        <v>2027</v>
      </c>
      <c r="BF172" s="536">
        <v>1</v>
      </c>
      <c r="BG172" s="537">
        <v>2027</v>
      </c>
    </row>
    <row r="173" spans="1:59" ht="15">
      <c r="A173" s="125">
        <v>1148</v>
      </c>
      <c r="B173" s="125">
        <v>1148</v>
      </c>
      <c r="C173" s="538" t="s">
        <v>2415</v>
      </c>
      <c r="D173" s="538" t="s">
        <v>2415</v>
      </c>
      <c r="E173" s="526">
        <v>36.67</v>
      </c>
      <c r="F173" s="3" t="s">
        <v>2194</v>
      </c>
      <c r="G173" s="3" t="s">
        <v>2339</v>
      </c>
      <c r="H173" s="3">
        <v>-51.444417000000001</v>
      </c>
      <c r="I173" s="3">
        <v>-24.374361</v>
      </c>
      <c r="J173" s="539" t="s">
        <v>151</v>
      </c>
      <c r="K173" s="539" t="s">
        <v>151</v>
      </c>
      <c r="L173" s="554">
        <v>2</v>
      </c>
      <c r="M173" s="107"/>
      <c r="N173" s="529">
        <v>2.068E-2</v>
      </c>
      <c r="O173" s="529">
        <v>4.6600000000000003E-2</v>
      </c>
      <c r="P173" s="288">
        <f t="shared" si="40"/>
        <v>0.59806332541197549</v>
      </c>
      <c r="Q173" s="30">
        <f t="shared" si="32"/>
        <v>21.930982142857143</v>
      </c>
      <c r="R173" s="30">
        <f t="shared" si="41"/>
        <v>14.739017857142859</v>
      </c>
      <c r="S173" s="107">
        <v>22.81904761904762</v>
      </c>
      <c r="T173" s="107">
        <v>22.133452380952381</v>
      </c>
      <c r="U173" s="107">
        <v>19.377916666666668</v>
      </c>
      <c r="V173" s="107">
        <v>23.393511904761908</v>
      </c>
      <c r="W173" s="288">
        <f t="shared" si="42"/>
        <v>0.68116775480303915</v>
      </c>
      <c r="X173" s="289">
        <f t="shared" si="35"/>
        <v>24.978421568627446</v>
      </c>
      <c r="Y173" s="289">
        <f t="shared" si="36"/>
        <v>3.0474394257703032</v>
      </c>
      <c r="Z173" s="107">
        <v>26.405176470588231</v>
      </c>
      <c r="AA173" s="107">
        <v>22.577490196078429</v>
      </c>
      <c r="AB173" s="107">
        <v>23.939294117647052</v>
      </c>
      <c r="AC173" s="107">
        <v>26.991725490196071</v>
      </c>
      <c r="AD173" s="106">
        <v>1</v>
      </c>
      <c r="AE173" s="32" t="str">
        <f>IF(AD173=0,"",VLOOKUP(AD173,tab_tipo_expansao!$A$2:$B$4,2,0))</f>
        <v>opcional</v>
      </c>
      <c r="AF173" s="125">
        <v>2028</v>
      </c>
      <c r="AG173" s="125">
        <v>2100</v>
      </c>
      <c r="AH173" s="125">
        <v>30</v>
      </c>
      <c r="AI173" s="530">
        <v>496.87769434735964</v>
      </c>
      <c r="AJ173" s="24">
        <f>AK173/constantes!$B$4</f>
        <v>3474.3533409365555</v>
      </c>
      <c r="AK173" s="33">
        <f t="shared" si="43"/>
        <v>13549.978029652566</v>
      </c>
      <c r="AL173" s="87">
        <v>2</v>
      </c>
      <c r="AM173" s="531">
        <v>0</v>
      </c>
      <c r="AN173" s="23"/>
      <c r="AO173" s="532">
        <f t="shared" si="37"/>
        <v>496.87769434735964</v>
      </c>
      <c r="AQ173" s="35">
        <f t="shared" si="44"/>
        <v>13549.978029652566</v>
      </c>
      <c r="AR173" s="36">
        <f ca="1">OFFSET(cod_desembolso!$A$1,AL173,23)</f>
        <v>1.1245293369208682</v>
      </c>
      <c r="AS173" s="37">
        <f ca="1">IF(AO173=0,0,AO173*(OFFSET(cod_desembolso!$A$1,AL173,23)))</f>
        <v>558.7535441552061</v>
      </c>
      <c r="AT173" s="38">
        <f>(constantes!$B$3*(1+constantes!$B$3)^(AH173))/((1+constantes!$B$3)^(AH173)-1)</f>
        <v>8.8827433387272267E-2</v>
      </c>
      <c r="AU173" s="37">
        <f t="shared" ca="1" si="39"/>
        <v>51.466143223348865</v>
      </c>
      <c r="AV173" s="37">
        <f ca="1">IF(AO173=0,AX173/constantes!$B$3,AU173/constantes!$B$3)</f>
        <v>643.32679029186079</v>
      </c>
      <c r="AW173" s="39">
        <f ca="1">IF(AO173=0,0,PV(constantes!$B$3,AH173,-AU173)*constantes!$B$3)</f>
        <v>46.351575193186427</v>
      </c>
      <c r="AX173" s="40">
        <f>constantes!$B$10*E173/1000</f>
        <v>1.8334999999999999</v>
      </c>
      <c r="AY173" s="533">
        <f>constantes!$B$12</f>
        <v>0</v>
      </c>
      <c r="AZ173" s="20">
        <v>318</v>
      </c>
      <c r="BA173" s="43"/>
      <c r="BB173" s="3" t="s">
        <v>2195</v>
      </c>
      <c r="BD173" s="534">
        <v>1</v>
      </c>
      <c r="BE173" s="535">
        <v>2027</v>
      </c>
      <c r="BF173" s="536">
        <v>1</v>
      </c>
      <c r="BG173" s="537">
        <v>2027</v>
      </c>
    </row>
    <row r="174" spans="1:59" ht="15">
      <c r="A174" s="125">
        <v>1149</v>
      </c>
      <c r="B174" s="125">
        <v>1149</v>
      </c>
      <c r="C174" s="538" t="s">
        <v>2416</v>
      </c>
      <c r="D174" s="538" t="s">
        <v>2416</v>
      </c>
      <c r="E174" s="526">
        <v>1461</v>
      </c>
      <c r="F174" s="3" t="s">
        <v>2179</v>
      </c>
      <c r="G174" s="3" t="s">
        <v>2253</v>
      </c>
      <c r="H174" s="3">
        <v>-58.558360999999998</v>
      </c>
      <c r="I174" s="3">
        <v>-8.8850829999999998</v>
      </c>
      <c r="J174" s="539" t="s">
        <v>158</v>
      </c>
      <c r="K174" s="539" t="s">
        <v>158</v>
      </c>
      <c r="L174" s="554">
        <v>10</v>
      </c>
      <c r="M174" s="107"/>
      <c r="N174" s="529">
        <v>1.6379999999999999E-2</v>
      </c>
      <c r="O174" s="529">
        <v>6.1409999999999999E-2</v>
      </c>
      <c r="P174" s="288">
        <f t="shared" si="40"/>
        <v>0.51934833447410456</v>
      </c>
      <c r="Q174" s="30">
        <f t="shared" si="32"/>
        <v>758.76791666666668</v>
      </c>
      <c r="R174" s="30">
        <f t="shared" si="41"/>
        <v>702.23208333333332</v>
      </c>
      <c r="S174" s="107">
        <v>1075.5152380952379</v>
      </c>
      <c r="T174" s="107">
        <v>1009.4453571428572</v>
      </c>
      <c r="U174" s="107">
        <v>445.95708333333329</v>
      </c>
      <c r="V174" s="107">
        <v>504.15398809523805</v>
      </c>
      <c r="W174" s="288">
        <f t="shared" si="42"/>
        <v>0.49891822683899023</v>
      </c>
      <c r="X174" s="289">
        <f t="shared" si="35"/>
        <v>728.91952941176476</v>
      </c>
      <c r="Y174" s="289">
        <f t="shared" si="36"/>
        <v>-29.848387254901922</v>
      </c>
      <c r="Z174" s="107">
        <v>1075.494274509804</v>
      </c>
      <c r="AA174" s="107">
        <v>916.8664313725493</v>
      </c>
      <c r="AB174" s="107">
        <v>408.28101960784306</v>
      </c>
      <c r="AC174" s="107">
        <v>515.03639215686269</v>
      </c>
      <c r="AD174" s="106">
        <v>3</v>
      </c>
      <c r="AE174" s="32" t="str">
        <f>IF(AD174=0,"",VLOOKUP(AD174,tab_tipo_expansao!$A$2:$B$4,2,0))</f>
        <v>não_considerar</v>
      </c>
      <c r="AF174" s="125">
        <v>2030</v>
      </c>
      <c r="AG174" s="125">
        <v>2100</v>
      </c>
      <c r="AH174" s="125">
        <v>30</v>
      </c>
      <c r="AI174" s="530">
        <v>13770.974615289537</v>
      </c>
      <c r="AJ174" s="24">
        <f>AK174/constantes!$B$4</f>
        <v>2416.850877567093</v>
      </c>
      <c r="AK174" s="33">
        <f t="shared" si="43"/>
        <v>9425.7184225116616</v>
      </c>
      <c r="AL174" s="87">
        <v>4</v>
      </c>
      <c r="AM174" s="531">
        <v>0</v>
      </c>
      <c r="AN174" s="23"/>
      <c r="AO174" s="532">
        <f t="shared" si="37"/>
        <v>13770.974615289537</v>
      </c>
      <c r="AQ174" s="35">
        <f t="shared" si="44"/>
        <v>9425.7184225116616</v>
      </c>
      <c r="AR174" s="36">
        <f ca="1">OFFSET(cod_desembolso!$A$1,AL174,23)</f>
        <v>1.103153897336226</v>
      </c>
      <c r="AS174" s="37">
        <f ca="1">IF(AO174=0,0,AO174*(OFFSET(cod_desembolso!$A$1,AL174,23)))</f>
        <v>15191.504316974888</v>
      </c>
      <c r="AT174" s="38">
        <f>(constantes!$B$3*(1+constantes!$B$3)^(AH174))/((1+constantes!$B$3)^(AH174)-1)</f>
        <v>8.8827433387272267E-2</v>
      </c>
      <c r="AU174" s="37">
        <f t="shared" ca="1" si="39"/>
        <v>1422.4723377685459</v>
      </c>
      <c r="AV174" s="37">
        <f ca="1">IF(AO174=0,AX174/constantes!$B$3,AU174/constantes!$B$3)</f>
        <v>17780.904222106823</v>
      </c>
      <c r="AW174" s="39">
        <f ca="1">IF(AO174=0,0,PV(constantes!$B$3,AH174,-AU174)*constantes!$B$3)</f>
        <v>1281.110831215228</v>
      </c>
      <c r="AX174" s="40">
        <f>constantes!$B$10*E174/1000</f>
        <v>73.05</v>
      </c>
      <c r="AY174" s="533">
        <f>constantes!$B$12</f>
        <v>0</v>
      </c>
      <c r="AZ174" s="20">
        <v>318</v>
      </c>
      <c r="BA174" s="43"/>
      <c r="BB174" s="3" t="s">
        <v>2215</v>
      </c>
      <c r="BD174" s="534">
        <v>1</v>
      </c>
      <c r="BE174" s="535">
        <v>2035</v>
      </c>
      <c r="BF174" s="536">
        <v>3</v>
      </c>
      <c r="BG174" s="537">
        <v>2050</v>
      </c>
    </row>
    <row r="175" spans="1:59" ht="15">
      <c r="A175" s="125">
        <v>1150</v>
      </c>
      <c r="B175" s="125">
        <v>1150</v>
      </c>
      <c r="C175" s="538" t="s">
        <v>2417</v>
      </c>
      <c r="D175" s="538" t="s">
        <v>2417</v>
      </c>
      <c r="E175" s="526">
        <v>201.65</v>
      </c>
      <c r="F175" s="3" t="s">
        <v>2204</v>
      </c>
      <c r="G175" s="3" t="s">
        <v>2205</v>
      </c>
      <c r="H175" s="3">
        <v>-39.963774999999998</v>
      </c>
      <c r="I175" s="3">
        <v>-16.001995999999998</v>
      </c>
      <c r="J175" s="539" t="s">
        <v>150</v>
      </c>
      <c r="K175" s="539" t="s">
        <v>150</v>
      </c>
      <c r="L175" s="554">
        <v>1</v>
      </c>
      <c r="M175" s="107"/>
      <c r="N175" s="529">
        <v>1.6379999999999999E-2</v>
      </c>
      <c r="O175" s="529">
        <v>6.1409999999999999E-2</v>
      </c>
      <c r="P175" s="288">
        <f t="shared" si="40"/>
        <v>0.50260794870886616</v>
      </c>
      <c r="Q175" s="30">
        <f t="shared" si="32"/>
        <v>101.35089285714285</v>
      </c>
      <c r="R175" s="30">
        <f t="shared" si="41"/>
        <v>100.29910714285715</v>
      </c>
      <c r="S175" s="107">
        <v>73.247142857142848</v>
      </c>
      <c r="T175" s="107">
        <v>60.233630952380963</v>
      </c>
      <c r="U175" s="107">
        <v>130.33833333333334</v>
      </c>
      <c r="V175" s="107">
        <v>141.58446428571426</v>
      </c>
      <c r="W175" s="288">
        <f t="shared" si="42"/>
        <v>0.5166190205315947</v>
      </c>
      <c r="X175" s="289">
        <f t="shared" si="35"/>
        <v>104.17622549019607</v>
      </c>
      <c r="Y175" s="289">
        <f t="shared" si="36"/>
        <v>2.8253326330532218</v>
      </c>
      <c r="Z175" s="107">
        <v>122.45149019607844</v>
      </c>
      <c r="AA175" s="107">
        <v>69.298705882352934</v>
      </c>
      <c r="AB175" s="107">
        <v>102.32196078431372</v>
      </c>
      <c r="AC175" s="107">
        <v>122.63274509803922</v>
      </c>
      <c r="AD175" s="106">
        <v>1</v>
      </c>
      <c r="AE175" s="32" t="str">
        <f>IF(AD175=0,"",VLOOKUP(AD175,tab_tipo_expansao!$A$2:$B$4,2,0))</f>
        <v>opcional</v>
      </c>
      <c r="AF175" s="125">
        <v>2028</v>
      </c>
      <c r="AG175" s="125">
        <v>2100</v>
      </c>
      <c r="AH175" s="125">
        <v>30</v>
      </c>
      <c r="AI175" s="530">
        <v>3209.014583875422</v>
      </c>
      <c r="AJ175" s="24">
        <f>AK175/constantes!$B$4</f>
        <v>4080.4574871100876</v>
      </c>
      <c r="AK175" s="33">
        <f t="shared" si="43"/>
        <v>15913.784199729342</v>
      </c>
      <c r="AL175" s="87">
        <v>2</v>
      </c>
      <c r="AM175" s="531">
        <v>0</v>
      </c>
      <c r="AN175" s="23"/>
      <c r="AO175" s="532">
        <f t="shared" si="37"/>
        <v>3209.014583875422</v>
      </c>
      <c r="AQ175" s="35">
        <f t="shared" si="44"/>
        <v>15913.784199729342</v>
      </c>
      <c r="AR175" s="36">
        <f ca="1">OFFSET(cod_desembolso!$A$1,AL175,23)</f>
        <v>1.1245293369208682</v>
      </c>
      <c r="AS175" s="37">
        <f ca="1">IF(AO175=0,0,AO175*(OFFSET(cod_desembolso!$A$1,AL175,23)))</f>
        <v>3608.631042174824</v>
      </c>
      <c r="AT175" s="38">
        <f>(constantes!$B$3*(1+constantes!$B$3)^(AH175))/((1+constantes!$B$3)^(AH175)-1)</f>
        <v>8.8827433387272267E-2</v>
      </c>
      <c r="AU175" s="37">
        <f t="shared" ca="1" si="39"/>
        <v>330.62793351802708</v>
      </c>
      <c r="AV175" s="37">
        <f ca="1">IF(AO175=0,AX175/constantes!$B$3,AU175/constantes!$B$3)</f>
        <v>4132.8491689753382</v>
      </c>
      <c r="AW175" s="39">
        <f ca="1">IF(AO175=0,0,PV(constantes!$B$3,AH175,-AU175)*constantes!$B$3)</f>
        <v>297.77101141855252</v>
      </c>
      <c r="AX175" s="40">
        <f>constantes!$B$10*E175/1000</f>
        <v>10.0825</v>
      </c>
      <c r="AY175" s="533">
        <f>constantes!$B$12</f>
        <v>0</v>
      </c>
      <c r="AZ175" s="20">
        <v>318</v>
      </c>
      <c r="BA175" s="43"/>
      <c r="BB175" s="3" t="s">
        <v>2195</v>
      </c>
      <c r="BD175" s="534">
        <v>1</v>
      </c>
      <c r="BE175" s="535">
        <v>2027</v>
      </c>
      <c r="BF175" s="536">
        <v>1</v>
      </c>
      <c r="BG175" s="537">
        <v>2027</v>
      </c>
    </row>
    <row r="176" spans="1:59" ht="15">
      <c r="A176" s="125">
        <v>1151</v>
      </c>
      <c r="B176" s="125">
        <v>1151</v>
      </c>
      <c r="C176" s="538" t="s">
        <v>2418</v>
      </c>
      <c r="D176" s="538" t="s">
        <v>2418</v>
      </c>
      <c r="E176" s="526">
        <v>36.1</v>
      </c>
      <c r="F176" s="3" t="s">
        <v>2194</v>
      </c>
      <c r="G176" s="3" t="s">
        <v>2279</v>
      </c>
      <c r="H176" s="3">
        <v>-51.255222000000003</v>
      </c>
      <c r="I176" s="3">
        <v>-18.348807999999998</v>
      </c>
      <c r="J176" s="539" t="s">
        <v>2003</v>
      </c>
      <c r="K176" s="539" t="s">
        <v>2003</v>
      </c>
      <c r="L176" s="554">
        <v>1</v>
      </c>
      <c r="M176" s="107"/>
      <c r="N176" s="529">
        <v>2.068E-2</v>
      </c>
      <c r="O176" s="529">
        <v>4.6600000000000003E-2</v>
      </c>
      <c r="P176" s="288">
        <f t="shared" si="40"/>
        <v>0.61520989974937335</v>
      </c>
      <c r="Q176" s="30">
        <f t="shared" si="32"/>
        <v>22.20907738095238</v>
      </c>
      <c r="R176" s="30">
        <f t="shared" si="41"/>
        <v>13.890922619047622</v>
      </c>
      <c r="S176" s="107">
        <v>31.156666666666666</v>
      </c>
      <c r="T176" s="107">
        <v>21.716547619047621</v>
      </c>
      <c r="U176" s="107">
        <v>12.855416666666665</v>
      </c>
      <c r="V176" s="107">
        <v>23.107678571428568</v>
      </c>
      <c r="W176" s="288">
        <f t="shared" si="42"/>
        <v>0.69260197707892046</v>
      </c>
      <c r="X176" s="289">
        <f t="shared" si="35"/>
        <v>25.002931372549028</v>
      </c>
      <c r="Y176" s="289">
        <f t="shared" si="36"/>
        <v>2.7938539915966487</v>
      </c>
      <c r="Z176" s="107">
        <v>33.217803921568652</v>
      </c>
      <c r="AA176" s="107">
        <v>26.13427450980392</v>
      </c>
      <c r="AB176" s="107">
        <v>15.419490196078437</v>
      </c>
      <c r="AC176" s="107">
        <v>25.240156862745096</v>
      </c>
      <c r="AD176" s="106">
        <v>1</v>
      </c>
      <c r="AE176" s="32" t="str">
        <f>IF(AD176=0,"",VLOOKUP(AD176,tab_tipo_expansao!$A$2:$B$4,2,0))</f>
        <v>opcional</v>
      </c>
      <c r="AF176" s="125">
        <v>2028</v>
      </c>
      <c r="AG176" s="125">
        <v>2100</v>
      </c>
      <c r="AH176" s="125">
        <v>30</v>
      </c>
      <c r="AI176" s="530">
        <v>315.1798739040384</v>
      </c>
      <c r="AJ176" s="24">
        <f>AK176/constantes!$B$4</f>
        <v>2238.652417814038</v>
      </c>
      <c r="AK176" s="33">
        <f t="shared" si="43"/>
        <v>8730.7444294747474</v>
      </c>
      <c r="AL176" s="87">
        <v>2</v>
      </c>
      <c r="AM176" s="531">
        <v>0</v>
      </c>
      <c r="AN176" s="23"/>
      <c r="AO176" s="532">
        <f t="shared" si="37"/>
        <v>315.1798739040384</v>
      </c>
      <c r="AQ176" s="35">
        <f t="shared" si="44"/>
        <v>8730.7444294747474</v>
      </c>
      <c r="AR176" s="36">
        <f ca="1">OFFSET(cod_desembolso!$A$1,AL176,23)</f>
        <v>1.1245293369208682</v>
      </c>
      <c r="AS176" s="37">
        <f ca="1">IF(AO176=0,0,AO176*(OFFSET(cod_desembolso!$A$1,AL176,23)))</f>
        <v>354.42901461211113</v>
      </c>
      <c r="AT176" s="38">
        <f>(constantes!$B$3*(1+constantes!$B$3)^(AH176))/((1+constantes!$B$3)^(AH176)-1)</f>
        <v>8.8827433387272267E-2</v>
      </c>
      <c r="AU176" s="37">
        <f t="shared" ca="1" si="39"/>
        <v>33.28801968597385</v>
      </c>
      <c r="AV176" s="37">
        <f ca="1">IF(AO176=0,AX176/constantes!$B$3,AU176/constantes!$B$3)</f>
        <v>416.10024607467312</v>
      </c>
      <c r="AW176" s="39">
        <f ca="1">IF(AO176=0,0,PV(constantes!$B$3,AH176,-AU176)*constantes!$B$3)</f>
        <v>29.979945083716498</v>
      </c>
      <c r="AX176" s="40">
        <f>constantes!$B$10*E176/1000</f>
        <v>1.8049999999999999</v>
      </c>
      <c r="AY176" s="533">
        <f>constantes!$B$12</f>
        <v>0</v>
      </c>
      <c r="AZ176" s="20">
        <v>318</v>
      </c>
      <c r="BA176" s="43"/>
      <c r="BB176" s="3" t="s">
        <v>2195</v>
      </c>
      <c r="BD176" s="534">
        <v>1</v>
      </c>
      <c r="BE176" s="535">
        <v>2027</v>
      </c>
      <c r="BF176" s="536">
        <v>1</v>
      </c>
      <c r="BG176" s="537">
        <v>2027</v>
      </c>
    </row>
    <row r="177" spans="1:59" ht="15">
      <c r="A177" s="125">
        <v>1152</v>
      </c>
      <c r="B177" s="125">
        <v>1152</v>
      </c>
      <c r="C177" s="538" t="s">
        <v>2419</v>
      </c>
      <c r="D177" s="538" t="s">
        <v>2419</v>
      </c>
      <c r="E177" s="526">
        <v>47</v>
      </c>
      <c r="F177" s="3" t="s">
        <v>2194</v>
      </c>
      <c r="G177" s="3" t="s">
        <v>2420</v>
      </c>
      <c r="H177" s="3">
        <v>-52.739159000000001</v>
      </c>
      <c r="I177" s="3">
        <v>-25.99306</v>
      </c>
      <c r="J177" s="539" t="s">
        <v>151</v>
      </c>
      <c r="K177" s="539" t="s">
        <v>151</v>
      </c>
      <c r="L177" s="554">
        <v>2</v>
      </c>
      <c r="M177" s="107"/>
      <c r="N177" s="529">
        <v>2.068E-2</v>
      </c>
      <c r="O177" s="529">
        <v>4.6600000000000003E-2</v>
      </c>
      <c r="P177" s="288">
        <f t="shared" si="40"/>
        <v>1.7012075734549137</v>
      </c>
      <c r="Q177" s="30">
        <f t="shared" si="32"/>
        <v>79.956755952380945</v>
      </c>
      <c r="R177" s="30">
        <f t="shared" si="41"/>
        <v>-32.956755952380945</v>
      </c>
      <c r="S177" s="107">
        <v>95.765238095238089</v>
      </c>
      <c r="T177" s="107">
        <v>83.166785714285709</v>
      </c>
      <c r="U177" s="107">
        <v>63.122916666666676</v>
      </c>
      <c r="V177" s="107">
        <v>77.772083333333342</v>
      </c>
      <c r="W177" s="288">
        <f t="shared" si="42"/>
        <v>1.6434134334584889</v>
      </c>
      <c r="X177" s="289">
        <f t="shared" si="35"/>
        <v>77.240431372548983</v>
      </c>
      <c r="Y177" s="289">
        <f t="shared" si="36"/>
        <v>-2.7163245798319622</v>
      </c>
      <c r="Z177" s="107">
        <v>94.289647058823462</v>
      </c>
      <c r="AA177" s="107">
        <v>78.379058823529405</v>
      </c>
      <c r="AB177" s="107">
        <v>53.735137254901964</v>
      </c>
      <c r="AC177" s="107">
        <v>82.557882352941135</v>
      </c>
      <c r="AD177" s="106">
        <v>1</v>
      </c>
      <c r="AE177" s="32" t="str">
        <f>IF(AD177=0,"",VLOOKUP(AD177,tab_tipo_expansao!$A$2:$B$4,2,0))</f>
        <v>opcional</v>
      </c>
      <c r="AF177" s="125">
        <v>2028</v>
      </c>
      <c r="AG177" s="125">
        <v>2100</v>
      </c>
      <c r="AH177" s="125">
        <v>30</v>
      </c>
      <c r="AI177" s="530">
        <v>470</v>
      </c>
      <c r="AJ177" s="24">
        <f>AK177/constantes!$B$4</f>
        <v>2564.102564102564</v>
      </c>
      <c r="AK177" s="33">
        <f t="shared" si="43"/>
        <v>10000</v>
      </c>
      <c r="AL177" s="87">
        <v>2</v>
      </c>
      <c r="AM177" s="531">
        <v>0</v>
      </c>
      <c r="AN177" s="23"/>
      <c r="AO177" s="532">
        <f t="shared" si="37"/>
        <v>470</v>
      </c>
      <c r="AQ177" s="35">
        <f t="shared" si="44"/>
        <v>10000</v>
      </c>
      <c r="AR177" s="36">
        <f ca="1">OFFSET(cod_desembolso!$A$1,AL177,23)</f>
        <v>1.1245293369208682</v>
      </c>
      <c r="AS177" s="37">
        <f ca="1">IF(AO177=0,0,AO177*(OFFSET(cod_desembolso!$A$1,AL177,23)))</f>
        <v>528.52878835280808</v>
      </c>
      <c r="AT177" s="38">
        <f>(constantes!$B$3*(1+constantes!$B$3)^(AH177))/((1+constantes!$B$3)^(AH177)-1)</f>
        <v>8.8827433387272267E-2</v>
      </c>
      <c r="AU177" s="37">
        <f t="shared" ca="1" si="39"/>
        <v>49.297855740664787</v>
      </c>
      <c r="AV177" s="37">
        <f ca="1">IF(AO177=0,AX177/constantes!$B$3,AU177/constantes!$B$3)</f>
        <v>616.22319675830977</v>
      </c>
      <c r="AW177" s="39">
        <f ca="1">IF(AO177=0,0,PV(constantes!$B$3,AH177,-AU177)*constantes!$B$3)</f>
        <v>44.398766336732614</v>
      </c>
      <c r="AX177" s="40">
        <f>constantes!$B$10*E177/1000</f>
        <v>2.35</v>
      </c>
      <c r="AY177" s="533">
        <f>constantes!$B$12</f>
        <v>0</v>
      </c>
      <c r="AZ177" s="20">
        <v>318</v>
      </c>
      <c r="BA177" s="43"/>
      <c r="BB177" s="3" t="s">
        <v>2195</v>
      </c>
      <c r="BD177" s="534">
        <v>1</v>
      </c>
      <c r="BE177" s="535">
        <v>2027</v>
      </c>
      <c r="BF177" s="536">
        <v>1</v>
      </c>
      <c r="BG177" s="537">
        <v>2027</v>
      </c>
    </row>
    <row r="178" spans="1:59" ht="15">
      <c r="A178" s="125">
        <v>1153</v>
      </c>
      <c r="B178" s="125">
        <v>1153</v>
      </c>
      <c r="C178" s="538" t="s">
        <v>2421</v>
      </c>
      <c r="D178" s="538" t="s">
        <v>2421</v>
      </c>
      <c r="E178" s="526">
        <v>76</v>
      </c>
      <c r="F178" s="3" t="s">
        <v>2179</v>
      </c>
      <c r="G178" s="3" t="s">
        <v>2294</v>
      </c>
      <c r="H178" s="3">
        <v>-58.281908000000001</v>
      </c>
      <c r="I178" s="3">
        <v>-13.028667</v>
      </c>
      <c r="J178" s="539" t="s">
        <v>158</v>
      </c>
      <c r="K178" s="539" t="s">
        <v>158</v>
      </c>
      <c r="L178" s="554">
        <v>10</v>
      </c>
      <c r="M178" s="107"/>
      <c r="N178" s="529">
        <v>1.9820000000000001E-2</v>
      </c>
      <c r="O178" s="529">
        <v>5.2919999999999995E-2</v>
      </c>
      <c r="P178" s="288">
        <f t="shared" si="40"/>
        <v>0.76250802788220551</v>
      </c>
      <c r="Q178" s="30">
        <f t="shared" si="32"/>
        <v>57.950610119047617</v>
      </c>
      <c r="R178" s="30">
        <f t="shared" si="41"/>
        <v>18.049389880952383</v>
      </c>
      <c r="S178" s="107">
        <v>67.869047619047635</v>
      </c>
      <c r="T178" s="107">
        <v>63.530833333333334</v>
      </c>
      <c r="U178" s="107">
        <v>47.625</v>
      </c>
      <c r="V178" s="107">
        <v>52.777559523809522</v>
      </c>
      <c r="W178" s="288">
        <f t="shared" si="42"/>
        <v>0.73734146026831826</v>
      </c>
      <c r="X178" s="289">
        <f t="shared" si="35"/>
        <v>56.037950980392189</v>
      </c>
      <c r="Y178" s="289">
        <f t="shared" si="36"/>
        <v>-1.9126591386554281</v>
      </c>
      <c r="Z178" s="107">
        <v>66.977019607843204</v>
      </c>
      <c r="AA178" s="107">
        <v>59.527176470588266</v>
      </c>
      <c r="AB178" s="107">
        <v>45.417176470588231</v>
      </c>
      <c r="AC178" s="107">
        <v>52.230431372549042</v>
      </c>
      <c r="AD178" s="106">
        <v>3</v>
      </c>
      <c r="AE178" s="32" t="str">
        <f>IF(AD178=0,"",VLOOKUP(AD178,tab_tipo_expansao!$A$2:$B$4,2,0))</f>
        <v>não_considerar</v>
      </c>
      <c r="AF178" s="125">
        <v>2030</v>
      </c>
      <c r="AG178" s="125">
        <v>2100</v>
      </c>
      <c r="AH178" s="125">
        <v>30</v>
      </c>
      <c r="AI178" s="530">
        <v>835.35992347801403</v>
      </c>
      <c r="AJ178" s="24">
        <f>AK178/constantes!$B$4</f>
        <v>2818.35331807697</v>
      </c>
      <c r="AK178" s="33">
        <f t="shared" si="43"/>
        <v>10991.577940500183</v>
      </c>
      <c r="AL178" s="87">
        <v>2</v>
      </c>
      <c r="AM178" s="531">
        <v>0</v>
      </c>
      <c r="AN178" s="23"/>
      <c r="AO178" s="532">
        <f t="shared" si="37"/>
        <v>835.35992347801403</v>
      </c>
      <c r="AQ178" s="35">
        <f t="shared" si="44"/>
        <v>10991.577940500185</v>
      </c>
      <c r="AR178" s="36">
        <f ca="1">OFFSET(cod_desembolso!$A$1,AL178,23)</f>
        <v>1.1245293369208682</v>
      </c>
      <c r="AS178" s="37">
        <f ca="1">IF(AO178=0,0,AO178*(OFFSET(cod_desembolso!$A$1,AL178,23)))</f>
        <v>939.38674083899832</v>
      </c>
      <c r="AT178" s="38">
        <f>(constantes!$B$3*(1+constantes!$B$3)^(AH178))/((1+constantes!$B$3)^(AH178)-1)</f>
        <v>8.8827433387272267E-2</v>
      </c>
      <c r="AU178" s="37">
        <f t="shared" ca="1" si="39"/>
        <v>87.243313146762915</v>
      </c>
      <c r="AV178" s="37">
        <f ca="1">IF(AO178=0,AX178/constantes!$B$3,AU178/constantes!$B$3)</f>
        <v>1090.5414143345365</v>
      </c>
      <c r="AW178" s="39">
        <f ca="1">IF(AO178=0,0,PV(constantes!$B$3,AH178,-AU178)*constantes!$B$3)</f>
        <v>78.573305403430609</v>
      </c>
      <c r="AX178" s="40">
        <f>constantes!$B$10*E178/1000</f>
        <v>3.8</v>
      </c>
      <c r="AY178" s="533">
        <f>constantes!$B$12</f>
        <v>0</v>
      </c>
      <c r="AZ178" s="20">
        <v>318</v>
      </c>
      <c r="BA178" s="43"/>
      <c r="BB178" s="3" t="s">
        <v>2215</v>
      </c>
      <c r="BD178" s="534">
        <v>1</v>
      </c>
      <c r="BE178" s="535">
        <v>2035</v>
      </c>
      <c r="BF178" s="536">
        <v>3</v>
      </c>
      <c r="BG178" s="537">
        <v>2050</v>
      </c>
    </row>
    <row r="179" spans="1:59" ht="15">
      <c r="A179" s="125">
        <v>1154</v>
      </c>
      <c r="B179" s="125">
        <v>1154</v>
      </c>
      <c r="C179" s="538" t="s">
        <v>2422</v>
      </c>
      <c r="D179" s="538" t="s">
        <v>2422</v>
      </c>
      <c r="E179" s="526">
        <v>48.5</v>
      </c>
      <c r="F179" s="3" t="s">
        <v>2194</v>
      </c>
      <c r="G179" s="3" t="s">
        <v>2303</v>
      </c>
      <c r="H179" s="3">
        <v>-50.186543999999998</v>
      </c>
      <c r="I179" s="3">
        <v>-18.126525000000001</v>
      </c>
      <c r="J179" s="539" t="s">
        <v>2003</v>
      </c>
      <c r="K179" s="539" t="s">
        <v>2003</v>
      </c>
      <c r="L179" s="554">
        <v>1</v>
      </c>
      <c r="M179" s="107"/>
      <c r="N179" s="529">
        <v>2.068E-2</v>
      </c>
      <c r="O179" s="529">
        <v>4.6600000000000003E-2</v>
      </c>
      <c r="P179" s="288">
        <f t="shared" si="40"/>
        <v>0.532119300920186</v>
      </c>
      <c r="Q179" s="30">
        <f t="shared" si="32"/>
        <v>25.807786094629019</v>
      </c>
      <c r="R179" s="30">
        <f t="shared" si="41"/>
        <v>22.692213905370981</v>
      </c>
      <c r="S179" s="107">
        <v>32.341515636377707</v>
      </c>
      <c r="T179" s="107">
        <v>28.390936196646155</v>
      </c>
      <c r="U179" s="107">
        <v>20.139157248205091</v>
      </c>
      <c r="V179" s="107">
        <v>22.359535297287124</v>
      </c>
      <c r="W179" s="288">
        <f t="shared" si="42"/>
        <v>0.56765074645560576</v>
      </c>
      <c r="X179" s="289">
        <f t="shared" si="35"/>
        <v>27.531061203096879</v>
      </c>
      <c r="Y179" s="289">
        <f t="shared" si="36"/>
        <v>1.7232751084678597</v>
      </c>
      <c r="Z179" s="107">
        <v>35.984612039960325</v>
      </c>
      <c r="AA179" s="107">
        <v>29.936726588611311</v>
      </c>
      <c r="AB179" s="107">
        <v>20.610941656490279</v>
      </c>
      <c r="AC179" s="107">
        <v>23.591964527325604</v>
      </c>
      <c r="AD179" s="106">
        <v>1</v>
      </c>
      <c r="AE179" s="32" t="str">
        <f>IF(AD179=0,"",VLOOKUP(AD179,tab_tipo_expansao!$A$2:$B$4,2,0))</f>
        <v>opcional</v>
      </c>
      <c r="AF179" s="125">
        <v>2028</v>
      </c>
      <c r="AG179" s="125">
        <v>2100</v>
      </c>
      <c r="AH179" s="125">
        <v>30</v>
      </c>
      <c r="AI179" s="530">
        <v>477.61009648318816</v>
      </c>
      <c r="AJ179" s="24">
        <f>AK179/constantes!$B$4</f>
        <v>2525.0335526470431</v>
      </c>
      <c r="AK179" s="33">
        <f t="shared" si="43"/>
        <v>9847.6308553234685</v>
      </c>
      <c r="AL179" s="87">
        <v>2</v>
      </c>
      <c r="AM179" s="531">
        <v>0</v>
      </c>
      <c r="AN179" s="23"/>
      <c r="AO179" s="532">
        <f t="shared" si="37"/>
        <v>477.61009648318816</v>
      </c>
      <c r="AQ179" s="35">
        <f t="shared" si="44"/>
        <v>9847.6308553234667</v>
      </c>
      <c r="AR179" s="36">
        <f ca="1">OFFSET(cod_desembolso!$A$1,AL179,23)</f>
        <v>1.1245293369208682</v>
      </c>
      <c r="AS179" s="37">
        <f ca="1">IF(AO179=0,0,AO179*(OFFSET(cod_desembolso!$A$1,AL179,23)))</f>
        <v>537.08656510495143</v>
      </c>
      <c r="AT179" s="38">
        <f>(constantes!$B$3*(1+constantes!$B$3)^(AH179))/((1+constantes!$B$3)^(AH179)-1)</f>
        <v>8.8827433387272267E-2</v>
      </c>
      <c r="AU179" s="37">
        <f t="shared" ca="1" si="39"/>
        <v>50.133021085058942</v>
      </c>
      <c r="AV179" s="37">
        <f ca="1">IF(AO179=0,AX179/constantes!$B$3,AU179/constantes!$B$3)</f>
        <v>626.66276356323681</v>
      </c>
      <c r="AW179" s="39">
        <f ca="1">IF(AO179=0,0,PV(constantes!$B$3,AH179,-AU179)*constantes!$B$3)</f>
        <v>45.15093517696284</v>
      </c>
      <c r="AX179" s="40">
        <f>constantes!$B$10*E179/1000</f>
        <v>2.4249999999999998</v>
      </c>
      <c r="AY179" s="533">
        <f>constantes!$B$12</f>
        <v>0</v>
      </c>
      <c r="AZ179" s="20">
        <v>318</v>
      </c>
      <c r="BA179" s="43"/>
      <c r="BB179" s="3" t="s">
        <v>2195</v>
      </c>
      <c r="BD179" s="534">
        <v>1</v>
      </c>
      <c r="BE179" s="535">
        <v>2027</v>
      </c>
      <c r="BF179" s="536">
        <v>1</v>
      </c>
      <c r="BG179" s="537">
        <v>2027</v>
      </c>
    </row>
    <row r="180" spans="1:59" ht="15">
      <c r="A180" s="125">
        <v>1155</v>
      </c>
      <c r="B180" s="125">
        <v>1155</v>
      </c>
      <c r="C180" s="538" t="s">
        <v>2423</v>
      </c>
      <c r="D180" s="538" t="s">
        <v>2423</v>
      </c>
      <c r="E180" s="526">
        <v>1087</v>
      </c>
      <c r="F180" s="3" t="s">
        <v>2197</v>
      </c>
      <c r="G180" s="3" t="s">
        <v>2266</v>
      </c>
      <c r="H180" s="3">
        <v>-48.336517000000001</v>
      </c>
      <c r="I180" s="3">
        <v>-6.1365280000000002</v>
      </c>
      <c r="J180" s="539" t="s">
        <v>1981</v>
      </c>
      <c r="K180" s="539" t="s">
        <v>1981</v>
      </c>
      <c r="L180" s="554">
        <v>4</v>
      </c>
      <c r="M180" s="107"/>
      <c r="N180" s="529">
        <v>1.6379999999999999E-2</v>
      </c>
      <c r="O180" s="529">
        <v>6.1409999999999999E-2</v>
      </c>
      <c r="P180" s="288">
        <f t="shared" si="40"/>
        <v>0.53569966487054799</v>
      </c>
      <c r="Q180" s="30">
        <f t="shared" si="32"/>
        <v>582.30553571428561</v>
      </c>
      <c r="R180" s="30">
        <f t="shared" si="41"/>
        <v>504.69446428571439</v>
      </c>
      <c r="S180" s="107">
        <v>930.27809523809503</v>
      </c>
      <c r="T180" s="107">
        <v>888.20249999999999</v>
      </c>
      <c r="U180" s="107">
        <v>237.15499999999997</v>
      </c>
      <c r="V180" s="107">
        <v>273.58654761904762</v>
      </c>
      <c r="W180" s="288">
        <f t="shared" si="42"/>
        <v>0.6135091004202966</v>
      </c>
      <c r="X180" s="289">
        <f t="shared" si="35"/>
        <v>666.88439215686242</v>
      </c>
      <c r="Y180" s="289">
        <f t="shared" si="36"/>
        <v>84.578856442576807</v>
      </c>
      <c r="Z180" s="107">
        <v>978.35694117647006</v>
      </c>
      <c r="AA180" s="107">
        <v>926.24054901960733</v>
      </c>
      <c r="AB180" s="107">
        <v>311.98192156862746</v>
      </c>
      <c r="AC180" s="107">
        <v>450.95815686274517</v>
      </c>
      <c r="AD180" s="106">
        <v>3</v>
      </c>
      <c r="AE180" s="32" t="str">
        <f>IF(AD180=0,"",VLOOKUP(AD180,tab_tipo_expansao!$A$2:$B$4,2,0))</f>
        <v>não_considerar</v>
      </c>
      <c r="AF180" s="125">
        <v>2030</v>
      </c>
      <c r="AG180" s="125">
        <v>2100</v>
      </c>
      <c r="AH180" s="125">
        <v>30</v>
      </c>
      <c r="AI180" s="530">
        <v>4962.0843378228656</v>
      </c>
      <c r="AJ180" s="24">
        <f>AK180/constantes!$B$4</f>
        <v>1170.4961521531541</v>
      </c>
      <c r="AK180" s="33">
        <f t="shared" si="43"/>
        <v>4564.9349933973008</v>
      </c>
      <c r="AL180" s="87">
        <v>4</v>
      </c>
      <c r="AM180" s="531">
        <v>0</v>
      </c>
      <c r="AN180" s="23"/>
      <c r="AO180" s="532">
        <f t="shared" si="37"/>
        <v>4962.0843378228656</v>
      </c>
      <c r="AQ180" s="35">
        <f t="shared" si="44"/>
        <v>4564.9349933973008</v>
      </c>
      <c r="AR180" s="36">
        <f ca="1">OFFSET(cod_desembolso!$A$1,AL180,23)</f>
        <v>1.103153897336226</v>
      </c>
      <c r="AS180" s="37">
        <f ca="1">IF(AO180=0,0,AO180*(OFFSET(cod_desembolso!$A$1,AL180,23)))</f>
        <v>5473.9426761803406</v>
      </c>
      <c r="AT180" s="38">
        <f>(constantes!$B$3*(1+constantes!$B$3)^(AH180))/((1+constantes!$B$3)^(AH180)-1)</f>
        <v>8.8827433387272267E-2</v>
      </c>
      <c r="AU180" s="37">
        <f t="shared" ca="1" si="39"/>
        <v>540.58627843415604</v>
      </c>
      <c r="AV180" s="37">
        <f ca="1">IF(AO180=0,AX180/constantes!$B$3,AU180/constantes!$B$3)</f>
        <v>6757.3284804269506</v>
      </c>
      <c r="AW180" s="39">
        <f ca="1">IF(AO180=0,0,PV(constantes!$B$3,AH180,-AU180)*constantes!$B$3)</f>
        <v>486.8642560703455</v>
      </c>
      <c r="AX180" s="40">
        <f>constantes!$B$10*E180/1000</f>
        <v>54.35</v>
      </c>
      <c r="AY180" s="533">
        <f>constantes!$B$12</f>
        <v>0</v>
      </c>
      <c r="AZ180" s="20">
        <v>318</v>
      </c>
      <c r="BA180" s="43"/>
      <c r="BB180" s="3" t="s">
        <v>2215</v>
      </c>
      <c r="BD180" s="534">
        <v>1</v>
      </c>
      <c r="BE180" s="535">
        <v>2035</v>
      </c>
      <c r="BF180" s="536">
        <v>3</v>
      </c>
      <c r="BG180" s="537">
        <v>2050</v>
      </c>
    </row>
    <row r="181" spans="1:59" ht="15">
      <c r="A181" s="125">
        <v>1156</v>
      </c>
      <c r="B181" s="125">
        <v>1156</v>
      </c>
      <c r="C181" s="538" t="s">
        <v>2424</v>
      </c>
      <c r="D181" s="538" t="s">
        <v>2424</v>
      </c>
      <c r="E181" s="526">
        <v>48</v>
      </c>
      <c r="F181" s="3" t="s">
        <v>2194</v>
      </c>
      <c r="G181" s="3" t="s">
        <v>2314</v>
      </c>
      <c r="H181" s="3">
        <v>-52.150545000000001</v>
      </c>
      <c r="I181" s="3">
        <v>-20.093761000000001</v>
      </c>
      <c r="J181" s="539" t="s">
        <v>2090</v>
      </c>
      <c r="K181" s="539" t="s">
        <v>2090</v>
      </c>
      <c r="L181" s="554">
        <v>1</v>
      </c>
      <c r="M181" s="107"/>
      <c r="N181" s="529">
        <v>2.068E-2</v>
      </c>
      <c r="O181" s="529">
        <v>4.6600000000000003E-2</v>
      </c>
      <c r="P181" s="288">
        <f t="shared" si="40"/>
        <v>0.532119300920186</v>
      </c>
      <c r="Q181" s="30">
        <f t="shared" si="32"/>
        <v>25.541726444168926</v>
      </c>
      <c r="R181" s="30">
        <f t="shared" si="41"/>
        <v>22.458273555831074</v>
      </c>
      <c r="S181" s="107">
        <v>32.008097949404743</v>
      </c>
      <c r="T181" s="107">
        <v>28.098246132763212</v>
      </c>
      <c r="U181" s="107">
        <v>19.931537070388543</v>
      </c>
      <c r="V181" s="107">
        <v>22.129024624119211</v>
      </c>
      <c r="W181" s="288">
        <f t="shared" si="42"/>
        <v>0.56765074645560565</v>
      </c>
      <c r="X181" s="289">
        <f t="shared" si="35"/>
        <v>27.247235829869073</v>
      </c>
      <c r="Y181" s="289">
        <f t="shared" si="36"/>
        <v>1.7055093857001467</v>
      </c>
      <c r="Z181" s="107">
        <v>35.613636658105058</v>
      </c>
      <c r="AA181" s="107">
        <v>29.62810054130604</v>
      </c>
      <c r="AB181" s="107">
        <v>20.398457721887286</v>
      </c>
      <c r="AC181" s="107">
        <v>23.348748398177918</v>
      </c>
      <c r="AD181" s="106">
        <v>1</v>
      </c>
      <c r="AE181" s="32" t="str">
        <f>IF(AD181=0,"",VLOOKUP(AD181,tab_tipo_expansao!$A$2:$B$4,2,0))</f>
        <v>opcional</v>
      </c>
      <c r="AF181" s="125">
        <v>2028</v>
      </c>
      <c r="AG181" s="125">
        <v>2100</v>
      </c>
      <c r="AH181" s="125">
        <v>30</v>
      </c>
      <c r="AI181" s="530">
        <v>480</v>
      </c>
      <c r="AJ181" s="24">
        <f>AK181/constantes!$B$4</f>
        <v>2564.102564102564</v>
      </c>
      <c r="AK181" s="33">
        <f t="shared" si="43"/>
        <v>10000</v>
      </c>
      <c r="AL181" s="87">
        <v>2</v>
      </c>
      <c r="AM181" s="531">
        <v>0</v>
      </c>
      <c r="AN181" s="23"/>
      <c r="AO181" s="532">
        <f t="shared" si="37"/>
        <v>480</v>
      </c>
      <c r="AQ181" s="35">
        <f t="shared" si="44"/>
        <v>10000</v>
      </c>
      <c r="AR181" s="36">
        <f ca="1">OFFSET(cod_desembolso!$A$1,AL181,23)</f>
        <v>1.1245293369208682</v>
      </c>
      <c r="AS181" s="37">
        <f ca="1">IF(AO181=0,0,AO181*(OFFSET(cod_desembolso!$A$1,AL181,23)))</f>
        <v>539.77408172201672</v>
      </c>
      <c r="AT181" s="38">
        <f>(constantes!$B$3*(1+constantes!$B$3)^(AH181))/((1+constantes!$B$3)^(AH181)-1)</f>
        <v>8.8827433387272267E-2</v>
      </c>
      <c r="AU181" s="37">
        <f t="shared" ca="1" si="39"/>
        <v>50.346746288338494</v>
      </c>
      <c r="AV181" s="37">
        <f ca="1">IF(AO181=0,AX181/constantes!$B$3,AU181/constantes!$B$3)</f>
        <v>629.33432860423113</v>
      </c>
      <c r="AW181" s="39">
        <f ca="1">IF(AO181=0,0,PV(constantes!$B$3,AH181,-AU181)*constantes!$B$3)</f>
        <v>45.34342093964181</v>
      </c>
      <c r="AX181" s="40">
        <f>constantes!$B$10*E181/1000</f>
        <v>2.4</v>
      </c>
      <c r="AY181" s="533">
        <f>constantes!$B$12</f>
        <v>0</v>
      </c>
      <c r="AZ181" s="20">
        <v>318</v>
      </c>
      <c r="BA181" s="43"/>
      <c r="BB181" s="3" t="s">
        <v>2195</v>
      </c>
      <c r="BD181" s="534">
        <v>1</v>
      </c>
      <c r="BE181" s="535">
        <v>2027</v>
      </c>
      <c r="BF181" s="536">
        <v>1</v>
      </c>
      <c r="BG181" s="537">
        <v>2027</v>
      </c>
    </row>
    <row r="182" spans="1:59" ht="15">
      <c r="A182" s="125">
        <v>1157</v>
      </c>
      <c r="B182" s="125">
        <v>1157</v>
      </c>
      <c r="C182" s="538" t="s">
        <v>2425</v>
      </c>
      <c r="D182" s="538" t="s">
        <v>2425</v>
      </c>
      <c r="E182" s="526">
        <v>84.3</v>
      </c>
      <c r="F182" s="3" t="s">
        <v>2095</v>
      </c>
      <c r="G182" s="3" t="s">
        <v>2200</v>
      </c>
      <c r="H182" s="3">
        <v>-52.810988000000002</v>
      </c>
      <c r="I182" s="3">
        <v>-26.876702999999999</v>
      </c>
      <c r="J182" s="539" t="s">
        <v>1989</v>
      </c>
      <c r="K182" s="539" t="s">
        <v>1989</v>
      </c>
      <c r="L182" s="554">
        <v>2</v>
      </c>
      <c r="M182" s="107"/>
      <c r="N182" s="529">
        <v>1.9820000000000001E-2</v>
      </c>
      <c r="O182" s="529">
        <v>5.2919999999999995E-2</v>
      </c>
      <c r="P182" s="288">
        <f t="shared" si="40"/>
        <v>0.48581790515731804</v>
      </c>
      <c r="Q182" s="30">
        <f t="shared" si="32"/>
        <v>40.95444940476191</v>
      </c>
      <c r="R182" s="30">
        <f t="shared" si="41"/>
        <v>43.345550595238088</v>
      </c>
      <c r="S182" s="107">
        <v>27.774761904761903</v>
      </c>
      <c r="T182" s="107">
        <v>42.96595238095238</v>
      </c>
      <c r="U182" s="107">
        <v>47.243749999999999</v>
      </c>
      <c r="V182" s="107">
        <v>45.833333333333336</v>
      </c>
      <c r="W182" s="288">
        <f t="shared" si="42"/>
        <v>0.55823855046170312</v>
      </c>
      <c r="X182" s="289">
        <f t="shared" si="35"/>
        <v>47.059509803921571</v>
      </c>
      <c r="Y182" s="289">
        <f t="shared" si="36"/>
        <v>6.1050603991596617</v>
      </c>
      <c r="Z182" s="107">
        <v>36.420588235294119</v>
      </c>
      <c r="AA182" s="107">
        <v>45.816039215686281</v>
      </c>
      <c r="AB182" s="107">
        <v>54.859176470588245</v>
      </c>
      <c r="AC182" s="107">
        <v>51.142235294117654</v>
      </c>
      <c r="AD182" s="106">
        <v>1</v>
      </c>
      <c r="AE182" s="32" t="str">
        <f>IF(AD182=0,"",VLOOKUP(AD182,tab_tipo_expansao!$A$2:$B$4,2,0))</f>
        <v>opcional</v>
      </c>
      <c r="AF182" s="125">
        <v>2028</v>
      </c>
      <c r="AG182" s="125">
        <v>2100</v>
      </c>
      <c r="AH182" s="125">
        <v>30</v>
      </c>
      <c r="AI182" s="530">
        <v>505.77370515722032</v>
      </c>
      <c r="AJ182" s="24">
        <f>AK182/constantes!$B$4</f>
        <v>1538.3815590145705</v>
      </c>
      <c r="AK182" s="33">
        <f t="shared" si="43"/>
        <v>5999.688080156825</v>
      </c>
      <c r="AL182" s="87">
        <v>2</v>
      </c>
      <c r="AM182" s="531">
        <v>0</v>
      </c>
      <c r="AN182" s="23"/>
      <c r="AO182" s="532">
        <f t="shared" si="37"/>
        <v>505.77370515722032</v>
      </c>
      <c r="AQ182" s="35">
        <f t="shared" si="44"/>
        <v>5999.688080156825</v>
      </c>
      <c r="AR182" s="36">
        <f ca="1">OFFSET(cod_desembolso!$A$1,AL182,23)</f>
        <v>1.1245293369208682</v>
      </c>
      <c r="AS182" s="37">
        <f ca="1">IF(AO182=0,0,AO182*(OFFSET(cod_desembolso!$A$1,AL182,23)))</f>
        <v>568.75736929245966</v>
      </c>
      <c r="AT182" s="38">
        <f>(constantes!$B$3*(1+constantes!$B$3)^(AH182))/((1+constantes!$B$3)^(AH182)-1)</f>
        <v>8.8827433387272267E-2</v>
      </c>
      <c r="AU182" s="37">
        <f t="shared" ca="1" si="39"/>
        <v>54.736257334346178</v>
      </c>
      <c r="AV182" s="37">
        <f ca="1">IF(AO182=0,AX182/constantes!$B$3,AU182/constantes!$B$3)</f>
        <v>684.20321667932717</v>
      </c>
      <c r="AW182" s="39">
        <f ca="1">IF(AO182=0,0,PV(constantes!$B$3,AH182,-AU182)*constantes!$B$3)</f>
        <v>49.29671408669936</v>
      </c>
      <c r="AX182" s="40">
        <f>constantes!$B$10*E182/1000</f>
        <v>4.2149999999999999</v>
      </c>
      <c r="AY182" s="533">
        <f>constantes!$B$12</f>
        <v>0</v>
      </c>
      <c r="AZ182" s="20">
        <v>318</v>
      </c>
      <c r="BA182" s="43"/>
      <c r="BB182" s="3" t="s">
        <v>2207</v>
      </c>
      <c r="BD182" s="534">
        <v>1</v>
      </c>
      <c r="BE182" s="535">
        <v>2026</v>
      </c>
      <c r="BF182" s="536">
        <v>1</v>
      </c>
      <c r="BG182" s="537">
        <v>2026</v>
      </c>
    </row>
    <row r="183" spans="1:59" ht="15">
      <c r="A183" s="125">
        <v>1158</v>
      </c>
      <c r="B183" s="125">
        <v>1158</v>
      </c>
      <c r="C183" s="538" t="s">
        <v>2426</v>
      </c>
      <c r="D183" s="538" t="s">
        <v>2426</v>
      </c>
      <c r="E183" s="526">
        <v>47.82</v>
      </c>
      <c r="F183" s="3" t="s">
        <v>2194</v>
      </c>
      <c r="G183" s="3" t="s">
        <v>2339</v>
      </c>
      <c r="H183" s="3">
        <v>-51.766666999999998</v>
      </c>
      <c r="I183" s="3">
        <v>-23.937781000000001</v>
      </c>
      <c r="J183" s="539" t="s">
        <v>151</v>
      </c>
      <c r="K183" s="539" t="s">
        <v>151</v>
      </c>
      <c r="L183" s="554">
        <v>2</v>
      </c>
      <c r="M183" s="107"/>
      <c r="N183" s="529">
        <v>2.068E-2</v>
      </c>
      <c r="O183" s="529">
        <v>4.6600000000000003E-2</v>
      </c>
      <c r="P183" s="288">
        <f t="shared" si="40"/>
        <v>0.56511925922606598</v>
      </c>
      <c r="Q183" s="30">
        <f t="shared" si="32"/>
        <v>27.024002976190477</v>
      </c>
      <c r="R183" s="30">
        <f t="shared" si="41"/>
        <v>20.795997023809523</v>
      </c>
      <c r="S183" s="107">
        <v>28.258095238095237</v>
      </c>
      <c r="T183" s="107">
        <v>27.348988095238095</v>
      </c>
      <c r="U183" s="107">
        <v>23.662499999999998</v>
      </c>
      <c r="V183" s="107">
        <v>28.826428571428576</v>
      </c>
      <c r="W183" s="288">
        <f t="shared" si="42"/>
        <v>0.65602073953797335</v>
      </c>
      <c r="X183" s="289">
        <f t="shared" si="35"/>
        <v>31.370911764705887</v>
      </c>
      <c r="Y183" s="289">
        <f t="shared" si="36"/>
        <v>4.3469087885154103</v>
      </c>
      <c r="Z183" s="107">
        <v>34.061686274509825</v>
      </c>
      <c r="AA183" s="107">
        <v>28.29545098039215</v>
      </c>
      <c r="AB183" s="107">
        <v>29.320274509803923</v>
      </c>
      <c r="AC183" s="107">
        <v>33.806235294117663</v>
      </c>
      <c r="AD183" s="106">
        <v>1</v>
      </c>
      <c r="AE183" s="32" t="str">
        <f>IF(AD183=0,"",VLOOKUP(AD183,tab_tipo_expansao!$A$2:$B$4,2,0))</f>
        <v>opcional</v>
      </c>
      <c r="AF183" s="125">
        <v>2028</v>
      </c>
      <c r="AG183" s="125">
        <v>2100</v>
      </c>
      <c r="AH183" s="125">
        <v>30</v>
      </c>
      <c r="AI183" s="530">
        <v>515.55455071968947</v>
      </c>
      <c r="AJ183" s="24">
        <f>AK183/constantes!$B$4</f>
        <v>2764.3972091909272</v>
      </c>
      <c r="AK183" s="33">
        <f t="shared" si="43"/>
        <v>10781.149115844615</v>
      </c>
      <c r="AL183" s="87">
        <v>2</v>
      </c>
      <c r="AM183" s="531">
        <v>0</v>
      </c>
      <c r="AN183" s="23"/>
      <c r="AO183" s="532">
        <f t="shared" si="37"/>
        <v>515.55455071968947</v>
      </c>
      <c r="AQ183" s="35">
        <f t="shared" si="44"/>
        <v>10781.149115844615</v>
      </c>
      <c r="AR183" s="36">
        <f ca="1">OFFSET(cod_desembolso!$A$1,AL183,23)</f>
        <v>1.1245293369208682</v>
      </c>
      <c r="AS183" s="37">
        <f ca="1">IF(AO183=0,0,AO183*(OFFSET(cod_desembolso!$A$1,AL183,23)))</f>
        <v>579.75621706734853</v>
      </c>
      <c r="AT183" s="38">
        <f>(constantes!$B$3*(1+constantes!$B$3)^(AH183))/((1+constantes!$B$3)^(AH183)-1)</f>
        <v>8.8827433387272267E-2</v>
      </c>
      <c r="AU183" s="37">
        <f t="shared" ca="1" si="39"/>
        <v>53.889256752406858</v>
      </c>
      <c r="AV183" s="37">
        <f ca="1">IF(AO183=0,AX183/constantes!$B$3,AU183/constantes!$B$3)</f>
        <v>673.61570940508568</v>
      </c>
      <c r="AW183" s="39">
        <f ca="1">IF(AO183=0,0,PV(constantes!$B$3,AH183,-AU183)*constantes!$B$3)</f>
        <v>48.533886163261307</v>
      </c>
      <c r="AX183" s="40">
        <f>constantes!$B$10*E183/1000</f>
        <v>2.391</v>
      </c>
      <c r="AY183" s="533">
        <f>constantes!$B$12</f>
        <v>0</v>
      </c>
      <c r="AZ183" s="20">
        <v>318</v>
      </c>
      <c r="BA183" s="43"/>
      <c r="BB183" s="3" t="s">
        <v>2195</v>
      </c>
      <c r="BD183" s="534">
        <v>1</v>
      </c>
      <c r="BE183" s="535">
        <v>2027</v>
      </c>
      <c r="BF183" s="536">
        <v>1</v>
      </c>
      <c r="BG183" s="537">
        <v>2027</v>
      </c>
    </row>
    <row r="184" spans="1:59" ht="15">
      <c r="A184" s="125">
        <v>1159</v>
      </c>
      <c r="B184" s="125">
        <v>1159</v>
      </c>
      <c r="C184" s="538" t="s">
        <v>2427</v>
      </c>
      <c r="D184" s="538" t="s">
        <v>2427</v>
      </c>
      <c r="E184" s="526">
        <v>50</v>
      </c>
      <c r="F184" s="3" t="s">
        <v>2194</v>
      </c>
      <c r="G184" s="3" t="s">
        <v>2353</v>
      </c>
      <c r="H184" s="3">
        <v>-47.747132000000001</v>
      </c>
      <c r="I184" s="3">
        <v>-12.991012</v>
      </c>
      <c r="J184" s="539" t="s">
        <v>1981</v>
      </c>
      <c r="K184" s="539" t="s">
        <v>1981</v>
      </c>
      <c r="L184" s="554">
        <v>1</v>
      </c>
      <c r="M184" s="107"/>
      <c r="N184" s="529">
        <v>2.068E-2</v>
      </c>
      <c r="O184" s="529">
        <v>4.6600000000000003E-2</v>
      </c>
      <c r="P184" s="288">
        <f t="shared" si="40"/>
        <v>0.532119300920186</v>
      </c>
      <c r="Q184" s="30">
        <f t="shared" si="32"/>
        <v>26.605965046009299</v>
      </c>
      <c r="R184" s="30">
        <f t="shared" si="41"/>
        <v>23.394034953990701</v>
      </c>
      <c r="S184" s="107">
        <v>33.341768697296608</v>
      </c>
      <c r="T184" s="107">
        <v>29.269006388295008</v>
      </c>
      <c r="U184" s="107">
        <v>20.762017781654734</v>
      </c>
      <c r="V184" s="107">
        <v>23.051067316790849</v>
      </c>
      <c r="W184" s="288">
        <f t="shared" si="42"/>
        <v>0.56765074645560576</v>
      </c>
      <c r="X184" s="289">
        <f t="shared" si="35"/>
        <v>28.382537322780287</v>
      </c>
      <c r="Y184" s="289">
        <f t="shared" si="36"/>
        <v>1.7765722767709882</v>
      </c>
      <c r="Z184" s="107">
        <v>37.097538185526105</v>
      </c>
      <c r="AA184" s="107">
        <v>30.862604730527124</v>
      </c>
      <c r="AB184" s="107">
        <v>21.248393460299258</v>
      </c>
      <c r="AC184" s="107">
        <v>24.321612914768664</v>
      </c>
      <c r="AD184" s="106">
        <v>3</v>
      </c>
      <c r="AE184" s="32" t="str">
        <f>IF(AD184=0,"",VLOOKUP(AD184,tab_tipo_expansao!$A$2:$B$4,2,0))</f>
        <v>não_considerar</v>
      </c>
      <c r="AF184" s="125">
        <v>2030</v>
      </c>
      <c r="AG184" s="125">
        <v>2100</v>
      </c>
      <c r="AH184" s="125">
        <v>30</v>
      </c>
      <c r="AI184" s="530">
        <v>500</v>
      </c>
      <c r="AJ184" s="24">
        <f>AK184/constantes!$B$4</f>
        <v>2564.102564102564</v>
      </c>
      <c r="AK184" s="33">
        <f t="shared" si="43"/>
        <v>10000</v>
      </c>
      <c r="AL184" s="87">
        <v>2</v>
      </c>
      <c r="AM184" s="531">
        <v>0</v>
      </c>
      <c r="AN184" s="23"/>
      <c r="AO184" s="532">
        <f t="shared" si="37"/>
        <v>500</v>
      </c>
      <c r="AQ184" s="35">
        <f t="shared" si="44"/>
        <v>10000</v>
      </c>
      <c r="AR184" s="36">
        <f ca="1">OFFSET(cod_desembolso!$A$1,AL184,23)</f>
        <v>1.1245293369208682</v>
      </c>
      <c r="AS184" s="37">
        <f ca="1">IF(AO184=0,0,AO184*(OFFSET(cod_desembolso!$A$1,AL184,23)))</f>
        <v>562.26466846043411</v>
      </c>
      <c r="AT184" s="38">
        <f>(constantes!$B$3*(1+constantes!$B$3)^(AH184))/((1+constantes!$B$3)^(AH184)-1)</f>
        <v>8.8827433387272267E-2</v>
      </c>
      <c r="AU184" s="37">
        <f t="shared" ca="1" si="39"/>
        <v>52.444527383685937</v>
      </c>
      <c r="AV184" s="37">
        <f ca="1">IF(AO184=0,AX184/constantes!$B$3,AU184/constantes!$B$3)</f>
        <v>655.5565922960742</v>
      </c>
      <c r="AW184" s="39">
        <f ca="1">IF(AO184=0,0,PV(constantes!$B$3,AH184,-AU184)*constantes!$B$3)</f>
        <v>47.232730145460231</v>
      </c>
      <c r="AX184" s="40">
        <f>constantes!$B$10*E184/1000</f>
        <v>2.5</v>
      </c>
      <c r="AY184" s="533">
        <f>constantes!$B$12</f>
        <v>0</v>
      </c>
      <c r="AZ184" s="20">
        <v>318</v>
      </c>
      <c r="BA184" s="43"/>
      <c r="BB184" s="3" t="s">
        <v>2215</v>
      </c>
      <c r="BD184" s="534">
        <v>1</v>
      </c>
      <c r="BE184" s="535">
        <v>2035</v>
      </c>
      <c r="BF184" s="536">
        <v>3</v>
      </c>
      <c r="BG184" s="537">
        <v>2050</v>
      </c>
    </row>
    <row r="185" spans="1:59" ht="15">
      <c r="A185" s="125">
        <v>1160</v>
      </c>
      <c r="B185" s="125">
        <v>1160</v>
      </c>
      <c r="C185" s="538" t="s">
        <v>2428</v>
      </c>
      <c r="D185" s="538" t="s">
        <v>2428</v>
      </c>
      <c r="E185" s="526">
        <v>331</v>
      </c>
      <c r="F185" s="3" t="s">
        <v>2194</v>
      </c>
      <c r="G185" s="3" t="s">
        <v>2076</v>
      </c>
      <c r="H185" s="3">
        <v>-50.913578999999999</v>
      </c>
      <c r="I185" s="3">
        <v>-23.725216</v>
      </c>
      <c r="J185" s="539" t="s">
        <v>151</v>
      </c>
      <c r="K185" s="539" t="s">
        <v>151</v>
      </c>
      <c r="L185" s="554">
        <v>2</v>
      </c>
      <c r="M185" s="107"/>
      <c r="N185" s="529">
        <v>1.6379999999999999E-2</v>
      </c>
      <c r="O185" s="529">
        <v>6.1409999999999999E-2</v>
      </c>
      <c r="P185" s="288">
        <f t="shared" ref="P185:P216" si="45">Q185/$E185</f>
        <v>0.48115527442094669</v>
      </c>
      <c r="Q185" s="30">
        <f t="shared" si="32"/>
        <v>159.26239583333336</v>
      </c>
      <c r="R185" s="30">
        <f t="shared" ref="R185:R216" si="46">E185-Q185</f>
        <v>171.73760416666664</v>
      </c>
      <c r="S185" s="107">
        <v>144.56190476190477</v>
      </c>
      <c r="T185" s="107">
        <v>141.47898809523812</v>
      </c>
      <c r="U185" s="107">
        <v>166.96916666666667</v>
      </c>
      <c r="V185" s="107">
        <v>184.03952380952384</v>
      </c>
      <c r="W185" s="288">
        <f t="shared" ref="W185:W216" si="47">X185/$E185</f>
        <v>0.5994141046146555</v>
      </c>
      <c r="X185" s="289">
        <f t="shared" si="35"/>
        <v>198.40606862745096</v>
      </c>
      <c r="Y185" s="289">
        <f t="shared" si="36"/>
        <v>39.143672794117606</v>
      </c>
      <c r="Z185" s="107">
        <v>213.00003921568626</v>
      </c>
      <c r="AA185" s="107">
        <v>171.61490196078429</v>
      </c>
      <c r="AB185" s="107">
        <v>198.0320392156863</v>
      </c>
      <c r="AC185" s="107">
        <v>210.97729411764703</v>
      </c>
      <c r="AD185" s="106">
        <v>3</v>
      </c>
      <c r="AE185" s="32" t="str">
        <f>IF(AD185=0,"",VLOOKUP(AD185,tab_tipo_expansao!$A$2:$B$4,2,0))</f>
        <v>não_considerar</v>
      </c>
      <c r="AF185" s="125">
        <v>2030</v>
      </c>
      <c r="AG185" s="125">
        <v>2100</v>
      </c>
      <c r="AH185" s="125">
        <v>30</v>
      </c>
      <c r="AI185" s="530">
        <v>1558.9687832303612</v>
      </c>
      <c r="AJ185" s="24">
        <f>AK185/constantes!$B$4</f>
        <v>1207.6603789839346</v>
      </c>
      <c r="AK185" s="33">
        <f t="shared" ref="AK185:AK216" si="48">AI185/E185*1000</f>
        <v>4709.8754780373447</v>
      </c>
      <c r="AL185" s="87">
        <v>2</v>
      </c>
      <c r="AM185" s="531">
        <v>0</v>
      </c>
      <c r="AN185" s="23"/>
      <c r="AO185" s="532">
        <f t="shared" si="37"/>
        <v>1558.9687832303612</v>
      </c>
      <c r="AQ185" s="35">
        <f t="shared" ref="AQ185:AQ216" si="49">AO185*1000/E185</f>
        <v>4709.8754780373447</v>
      </c>
      <c r="AR185" s="36">
        <f ca="1">OFFSET(cod_desembolso!$A$1,AL185,23)</f>
        <v>1.1245293369208682</v>
      </c>
      <c r="AS185" s="37">
        <f ca="1">IF(AO185=0,0,AO185*(OFFSET(cod_desembolso!$A$1,AL185,23)))</f>
        <v>1753.1061320863707</v>
      </c>
      <c r="AT185" s="38">
        <f>(constantes!$B$3*(1+constantes!$B$3)^(AH185))/((1+constantes!$B$3)^(AH185)-1)</f>
        <v>8.8827433387272267E-2</v>
      </c>
      <c r="AU185" s="37">
        <f t="shared" ca="1" si="39"/>
        <v>172.27391816872066</v>
      </c>
      <c r="AV185" s="37">
        <f ca="1">IF(AO185=0,AX185/constantes!$B$3,AU185/constantes!$B$3)</f>
        <v>2153.4239771090083</v>
      </c>
      <c r="AW185" s="39">
        <f ca="1">IF(AO185=0,0,PV(constantes!$B$3,AH185,-AU185)*constantes!$B$3)</f>
        <v>155.15379571321049</v>
      </c>
      <c r="AX185" s="40">
        <f>constantes!$B$10*E185/1000</f>
        <v>16.55</v>
      </c>
      <c r="AY185" s="533">
        <f>constantes!$B$12</f>
        <v>0</v>
      </c>
      <c r="AZ185" s="20">
        <v>318</v>
      </c>
      <c r="BA185" s="43"/>
      <c r="BB185" s="3" t="s">
        <v>2215</v>
      </c>
      <c r="BD185" s="534">
        <v>1</v>
      </c>
      <c r="BE185" s="535">
        <v>2035</v>
      </c>
      <c r="BF185" s="536">
        <v>3</v>
      </c>
      <c r="BG185" s="537">
        <v>2050</v>
      </c>
    </row>
    <row r="186" spans="1:59" ht="15">
      <c r="A186" s="125">
        <v>1161</v>
      </c>
      <c r="B186" s="125">
        <v>1161</v>
      </c>
      <c r="C186" s="538" t="s">
        <v>2429</v>
      </c>
      <c r="D186" s="538" t="s">
        <v>2429</v>
      </c>
      <c r="E186" s="526">
        <v>46.55</v>
      </c>
      <c r="F186" s="3" t="s">
        <v>2194</v>
      </c>
      <c r="G186" s="3" t="s">
        <v>2339</v>
      </c>
      <c r="H186" s="3">
        <v>-51.859470999999999</v>
      </c>
      <c r="I186" s="3">
        <v>-23.927645999999999</v>
      </c>
      <c r="J186" s="539" t="s">
        <v>151</v>
      </c>
      <c r="K186" s="539" t="s">
        <v>151</v>
      </c>
      <c r="L186" s="554">
        <v>2</v>
      </c>
      <c r="M186" s="107"/>
      <c r="N186" s="529">
        <v>2.068E-2</v>
      </c>
      <c r="O186" s="529">
        <v>4.6600000000000003E-2</v>
      </c>
      <c r="P186" s="288">
        <f t="shared" si="45"/>
        <v>0.56379628919236879</v>
      </c>
      <c r="Q186" s="30">
        <f t="shared" si="32"/>
        <v>26.244717261904764</v>
      </c>
      <c r="R186" s="30">
        <f t="shared" si="46"/>
        <v>20.305282738095233</v>
      </c>
      <c r="S186" s="107">
        <v>27.576190476190476</v>
      </c>
      <c r="T186" s="107">
        <v>26.279226190476191</v>
      </c>
      <c r="U186" s="107">
        <v>22.977083333333336</v>
      </c>
      <c r="V186" s="107">
        <v>28.146369047619046</v>
      </c>
      <c r="W186" s="288">
        <f t="shared" si="47"/>
        <v>0.65059644910595815</v>
      </c>
      <c r="X186" s="289">
        <f t="shared" si="35"/>
        <v>30.285264705882348</v>
      </c>
      <c r="Y186" s="289">
        <f t="shared" si="36"/>
        <v>4.0405474439775837</v>
      </c>
      <c r="Z186" s="107">
        <v>32.97023529411765</v>
      </c>
      <c r="AA186" s="107">
        <v>27.343019607843136</v>
      </c>
      <c r="AB186" s="107">
        <v>28.255333333333329</v>
      </c>
      <c r="AC186" s="107">
        <v>32.572470588235284</v>
      </c>
      <c r="AD186" s="106">
        <v>1</v>
      </c>
      <c r="AE186" s="32" t="str">
        <f>IF(AD186=0,"",VLOOKUP(AD186,tab_tipo_expansao!$A$2:$B$4,2,0))</f>
        <v>opcional</v>
      </c>
      <c r="AF186" s="125">
        <v>2028</v>
      </c>
      <c r="AG186" s="125">
        <v>2100</v>
      </c>
      <c r="AH186" s="125">
        <v>30</v>
      </c>
      <c r="AI186" s="530">
        <v>456.56259471868611</v>
      </c>
      <c r="AJ186" s="24">
        <f>AK186/constantes!$B$4</f>
        <v>2514.8728674360964</v>
      </c>
      <c r="AK186" s="33">
        <f t="shared" si="48"/>
        <v>9808.0041830007758</v>
      </c>
      <c r="AL186" s="87">
        <v>2</v>
      </c>
      <c r="AM186" s="531">
        <v>0</v>
      </c>
      <c r="AN186" s="23"/>
      <c r="AO186" s="532">
        <f t="shared" si="37"/>
        <v>456.56259471868611</v>
      </c>
      <c r="AQ186" s="35">
        <f t="shared" si="49"/>
        <v>9808.0041830007776</v>
      </c>
      <c r="AR186" s="36">
        <f ca="1">OFFSET(cod_desembolso!$A$1,AL186,23)</f>
        <v>1.1245293369208682</v>
      </c>
      <c r="AS186" s="37">
        <f ca="1">IF(AO186=0,0,AO186*(OFFSET(cod_desembolso!$A$1,AL186,23)))</f>
        <v>513.41803190187522</v>
      </c>
      <c r="AT186" s="38">
        <f>(constantes!$B$3*(1+constantes!$B$3)^(AH186))/((1+constantes!$B$3)^(AH186)-1)</f>
        <v>8.8827433387272267E-2</v>
      </c>
      <c r="AU186" s="37">
        <f t="shared" ca="1" si="39"/>
        <v>47.933106028588249</v>
      </c>
      <c r="AV186" s="37">
        <f ca="1">IF(AO186=0,AX186/constantes!$B$3,AU186/constantes!$B$3)</f>
        <v>599.16382535735306</v>
      </c>
      <c r="AW186" s="39">
        <f ca="1">IF(AO186=0,0,PV(constantes!$B$3,AH186,-AU186)*constantes!$B$3)</f>
        <v>43.16964181064035</v>
      </c>
      <c r="AX186" s="40">
        <f>constantes!$B$10*E186/1000</f>
        <v>2.3275000000000001</v>
      </c>
      <c r="AY186" s="533">
        <f>constantes!$B$12</f>
        <v>0</v>
      </c>
      <c r="AZ186" s="20">
        <v>318</v>
      </c>
      <c r="BA186" s="43"/>
      <c r="BB186" s="3" t="s">
        <v>2195</v>
      </c>
      <c r="BD186" s="534">
        <v>1</v>
      </c>
      <c r="BE186" s="535">
        <v>2027</v>
      </c>
      <c r="BF186" s="536">
        <v>1</v>
      </c>
      <c r="BG186" s="537">
        <v>2027</v>
      </c>
    </row>
    <row r="187" spans="1:59" ht="15">
      <c r="A187" s="125">
        <v>1162</v>
      </c>
      <c r="B187" s="125">
        <v>1162</v>
      </c>
      <c r="C187" s="538" t="s">
        <v>2430</v>
      </c>
      <c r="D187" s="538" t="s">
        <v>2430</v>
      </c>
      <c r="E187" s="526">
        <v>8040</v>
      </c>
      <c r="F187" s="3" t="s">
        <v>2179</v>
      </c>
      <c r="G187" s="3" t="s">
        <v>2262</v>
      </c>
      <c r="H187" s="3">
        <v>-56.284027000000002</v>
      </c>
      <c r="I187" s="3">
        <v>-4.5756649999999999</v>
      </c>
      <c r="J187" s="539" t="s">
        <v>153</v>
      </c>
      <c r="K187" s="539" t="s">
        <v>153</v>
      </c>
      <c r="L187" s="554">
        <v>9</v>
      </c>
      <c r="M187" s="107"/>
      <c r="N187" s="529">
        <v>2.1330000000000002E-2</v>
      </c>
      <c r="O187" s="529">
        <v>3.6880000000000003E-2</v>
      </c>
      <c r="P187" s="288">
        <f t="shared" si="45"/>
        <v>0.46917872134861405</v>
      </c>
      <c r="Q187" s="30">
        <f t="shared" si="32"/>
        <v>3772.1969196428568</v>
      </c>
      <c r="R187" s="30">
        <f t="shared" si="46"/>
        <v>4267.8030803571437</v>
      </c>
      <c r="S187" s="107">
        <v>5904.6166666666659</v>
      </c>
      <c r="T187" s="107">
        <v>5664.5035119047616</v>
      </c>
      <c r="U187" s="107">
        <v>1382.50125</v>
      </c>
      <c r="V187" s="107">
        <v>2137.1662500000002</v>
      </c>
      <c r="W187" s="288">
        <f t="shared" si="47"/>
        <v>0.4372632438298702</v>
      </c>
      <c r="X187" s="289">
        <f t="shared" si="35"/>
        <v>3515.5964803921565</v>
      </c>
      <c r="Y187" s="289">
        <f t="shared" si="36"/>
        <v>-256.60043925070022</v>
      </c>
      <c r="Z187" s="107">
        <v>5584.3556470588219</v>
      </c>
      <c r="AA187" s="107">
        <v>5098.2280000000001</v>
      </c>
      <c r="AB187" s="107">
        <v>1340.2716078431374</v>
      </c>
      <c r="AC187" s="107">
        <v>2039.5306666666668</v>
      </c>
      <c r="AD187" s="106">
        <v>3</v>
      </c>
      <c r="AE187" s="32" t="str">
        <f>IF(AD187=0,"",VLOOKUP(AD187,tab_tipo_expansao!$A$2:$B$4,2,0))</f>
        <v>não_considerar</v>
      </c>
      <c r="AF187" s="125">
        <v>2030</v>
      </c>
      <c r="AG187" s="125">
        <v>2100</v>
      </c>
      <c r="AH187" s="125">
        <v>30</v>
      </c>
      <c r="AI187" s="530">
        <v>31645.542746479408</v>
      </c>
      <c r="AJ187" s="24">
        <f>AK187/constantes!$B$4</f>
        <v>1009.2340460032979</v>
      </c>
      <c r="AK187" s="33">
        <f t="shared" si="48"/>
        <v>3936.0127794128616</v>
      </c>
      <c r="AL187" s="87">
        <v>4</v>
      </c>
      <c r="AM187" s="531">
        <v>0</v>
      </c>
      <c r="AN187" s="23"/>
      <c r="AO187" s="532">
        <f t="shared" si="37"/>
        <v>31645.542746479408</v>
      </c>
      <c r="AQ187" s="35">
        <f t="shared" si="49"/>
        <v>3936.0127794128616</v>
      </c>
      <c r="AR187" s="36">
        <f ca="1">OFFSET(cod_desembolso!$A$1,AL187,23)</f>
        <v>1.103153897336226</v>
      </c>
      <c r="AS187" s="37">
        <f ca="1">IF(AO187=0,0,AO187*(OFFSET(cod_desembolso!$A$1,AL187,23)))</f>
        <v>34909.9038140989</v>
      </c>
      <c r="AT187" s="38">
        <f>(constantes!$B$3*(1+constantes!$B$3)^(AH187))/((1+constantes!$B$3)^(AH187)-1)</f>
        <v>8.8827433387272267E-2</v>
      </c>
      <c r="AU187" s="37">
        <f t="shared" ca="1" si="39"/>
        <v>3502.9571556029518</v>
      </c>
      <c r="AV187" s="37">
        <f ca="1">IF(AO187=0,AX187/constantes!$B$3,AU187/constantes!$B$3)</f>
        <v>43786.964445036894</v>
      </c>
      <c r="AW187" s="39">
        <f ca="1">IF(AO187=0,0,PV(constantes!$B$3,AH187,-AU187)*constantes!$B$3)</f>
        <v>3154.8426174428919</v>
      </c>
      <c r="AX187" s="40">
        <f>constantes!$B$10*E187/1000</f>
        <v>402</v>
      </c>
      <c r="AY187" s="533">
        <f>constantes!$B$12</f>
        <v>0</v>
      </c>
      <c r="AZ187" s="20">
        <v>318</v>
      </c>
      <c r="BA187" s="43"/>
      <c r="BB187" s="3" t="s">
        <v>2215</v>
      </c>
      <c r="BD187" s="534">
        <v>1</v>
      </c>
      <c r="BE187" s="535">
        <v>2035</v>
      </c>
      <c r="BF187" s="536">
        <v>3</v>
      </c>
      <c r="BG187" s="537">
        <v>2050</v>
      </c>
    </row>
    <row r="188" spans="1:59" ht="15">
      <c r="A188" s="125">
        <v>1163</v>
      </c>
      <c r="B188" s="125">
        <v>1163</v>
      </c>
      <c r="C188" s="627" t="s">
        <v>2431</v>
      </c>
      <c r="D188" s="538" t="s">
        <v>2431</v>
      </c>
      <c r="E188" s="526">
        <v>64.5</v>
      </c>
      <c r="F188" s="3" t="s">
        <v>2194</v>
      </c>
      <c r="G188" s="3" t="s">
        <v>2432</v>
      </c>
      <c r="H188" s="3">
        <v>-44.765278000000002</v>
      </c>
      <c r="I188" s="3">
        <v>-21.220977999999999</v>
      </c>
      <c r="J188" s="539" t="s">
        <v>150</v>
      </c>
      <c r="K188" s="539" t="s">
        <v>150</v>
      </c>
      <c r="L188" s="554">
        <v>1</v>
      </c>
      <c r="M188" s="107"/>
      <c r="N188" s="529">
        <v>2.068E-2</v>
      </c>
      <c r="O188" s="529">
        <v>4.6600000000000003E-2</v>
      </c>
      <c r="P188" s="288">
        <f t="shared" si="45"/>
        <v>0.50864202657807311</v>
      </c>
      <c r="Q188" s="30">
        <f t="shared" si="32"/>
        <v>32.807410714285716</v>
      </c>
      <c r="R188" s="30">
        <f t="shared" si="46"/>
        <v>31.692589285714284</v>
      </c>
      <c r="S188" s="107">
        <v>46.591428571428573</v>
      </c>
      <c r="T188" s="107">
        <v>29.337440476190476</v>
      </c>
      <c r="U188" s="107">
        <v>20.935416666666665</v>
      </c>
      <c r="V188" s="107">
        <v>34.365357142857142</v>
      </c>
      <c r="W188" s="288">
        <f t="shared" si="47"/>
        <v>0.53649278005775936</v>
      </c>
      <c r="X188" s="289">
        <f t="shared" si="35"/>
        <v>34.603784313725477</v>
      </c>
      <c r="Y188" s="289">
        <f t="shared" si="36"/>
        <v>1.7963735994397609</v>
      </c>
      <c r="Z188" s="107">
        <v>49.594705882352891</v>
      </c>
      <c r="AA188" s="107">
        <v>30.600156862745099</v>
      </c>
      <c r="AB188" s="107">
        <v>23.475372549019607</v>
      </c>
      <c r="AC188" s="107">
        <v>34.744901960784311</v>
      </c>
      <c r="AD188" s="106">
        <v>1</v>
      </c>
      <c r="AE188" s="32" t="str">
        <f>IF(AD188=0,"",VLOOKUP(AD188,tab_tipo_expansao!$A$2:$B$4,2,0))</f>
        <v>opcional</v>
      </c>
      <c r="AF188" s="125">
        <v>2025</v>
      </c>
      <c r="AG188" s="125">
        <v>2100</v>
      </c>
      <c r="AH188" s="125">
        <v>30</v>
      </c>
      <c r="AI188" s="530">
        <v>586.6467489525777</v>
      </c>
      <c r="AJ188" s="24">
        <f>AK188/constantes!$B$4</f>
        <v>2332.1278034290508</v>
      </c>
      <c r="AK188" s="33">
        <f t="shared" si="48"/>
        <v>9095.2984333732984</v>
      </c>
      <c r="AL188" s="87">
        <v>2</v>
      </c>
      <c r="AM188" s="531">
        <v>0</v>
      </c>
      <c r="AN188" s="23"/>
      <c r="AO188" s="532">
        <f t="shared" si="37"/>
        <v>586.6467489525777</v>
      </c>
      <c r="AQ188" s="35">
        <f t="shared" si="49"/>
        <v>9095.2984333732984</v>
      </c>
      <c r="AR188" s="36">
        <f ca="1">OFFSET(cod_desembolso!$A$1,AL188,23)</f>
        <v>1.1245293369208682</v>
      </c>
      <c r="AS188" s="37">
        <f ca="1">IF(AO188=0,0,AO188*(OFFSET(cod_desembolso!$A$1,AL188,23)))</f>
        <v>659.70147960642521</v>
      </c>
      <c r="AT188" s="38">
        <f>(constantes!$B$3*(1+constantes!$B$3)^(AH188))/((1+constantes!$B$3)^(AH188)-1)</f>
        <v>8.8827433387272267E-2</v>
      </c>
      <c r="AU188" s="37">
        <f t="shared" ca="1" si="39"/>
        <v>61.824589235224693</v>
      </c>
      <c r="AV188" s="37">
        <f ca="1">IF(AO188=0,AX188/constantes!$B$3,AU188/constantes!$B$3)</f>
        <v>772.80736544030867</v>
      </c>
      <c r="AW188" s="39">
        <f ca="1">IF(AO188=0,0,PV(constantes!$B$3,AH188,-AU188)*constantes!$B$3)</f>
        <v>55.680626471040917</v>
      </c>
      <c r="AX188" s="40">
        <f>constantes!$B$10*E188/1000</f>
        <v>3.2250000000000001</v>
      </c>
      <c r="AY188" s="533">
        <f>constantes!$B$12</f>
        <v>0</v>
      </c>
      <c r="AZ188" s="20">
        <v>318</v>
      </c>
      <c r="BA188" s="43"/>
      <c r="BB188" s="3" t="s">
        <v>2207</v>
      </c>
      <c r="BD188" s="534">
        <v>1</v>
      </c>
      <c r="BE188" s="535">
        <v>2025</v>
      </c>
      <c r="BF188" s="536">
        <v>1</v>
      </c>
      <c r="BG188" s="537">
        <v>2025</v>
      </c>
    </row>
    <row r="189" spans="1:59" ht="15">
      <c r="A189" s="125">
        <v>1164</v>
      </c>
      <c r="B189" s="125">
        <v>1164</v>
      </c>
      <c r="C189" s="538" t="s">
        <v>2433</v>
      </c>
      <c r="D189" s="538" t="s">
        <v>2433</v>
      </c>
      <c r="E189" s="526">
        <v>3509</v>
      </c>
      <c r="F189" s="3" t="s">
        <v>2179</v>
      </c>
      <c r="G189" s="3" t="s">
        <v>2253</v>
      </c>
      <c r="H189" s="3">
        <v>-58.323306000000002</v>
      </c>
      <c r="I189" s="3">
        <v>-8.2259720000000005</v>
      </c>
      <c r="J189" s="539" t="s">
        <v>154</v>
      </c>
      <c r="K189" s="539" t="s">
        <v>154</v>
      </c>
      <c r="L189" s="554">
        <v>10</v>
      </c>
      <c r="M189" s="540"/>
      <c r="N189" s="529">
        <v>2.1330000000000002E-2</v>
      </c>
      <c r="O189" s="529">
        <v>3.6880000000000003E-2</v>
      </c>
      <c r="P189" s="288">
        <f t="shared" si="45"/>
        <v>0.53518398268398271</v>
      </c>
      <c r="Q189" s="30">
        <f t="shared" si="32"/>
        <v>1877.9605952380953</v>
      </c>
      <c r="R189" s="30">
        <f t="shared" si="46"/>
        <v>1631.0394047619047</v>
      </c>
      <c r="S189" s="107">
        <v>2617.0190476190473</v>
      </c>
      <c r="T189" s="107">
        <v>2463.0903571428571</v>
      </c>
      <c r="U189" s="107">
        <v>1153.2470833333334</v>
      </c>
      <c r="V189" s="107">
        <v>1278.485892857143</v>
      </c>
      <c r="W189" s="288">
        <f t="shared" si="47"/>
        <v>0.5114985052442178</v>
      </c>
      <c r="X189" s="289">
        <f t="shared" si="35"/>
        <v>1794.8482549019604</v>
      </c>
      <c r="Y189" s="289">
        <f t="shared" si="36"/>
        <v>-83.112340336134821</v>
      </c>
      <c r="Z189" s="107">
        <v>2593.9278823529407</v>
      </c>
      <c r="AA189" s="107">
        <v>2217.2824313725487</v>
      </c>
      <c r="AB189" s="107">
        <v>1067.2225882352943</v>
      </c>
      <c r="AC189" s="107">
        <v>1300.9601176470587</v>
      </c>
      <c r="AD189" s="106">
        <v>3</v>
      </c>
      <c r="AE189" s="32" t="str">
        <f>IF(AD189=0,"",VLOOKUP(AD189,tab_tipo_expansao!$A$2:$B$4,2,0))</f>
        <v>não_considerar</v>
      </c>
      <c r="AF189" s="125">
        <v>2030</v>
      </c>
      <c r="AG189" s="125">
        <v>2100</v>
      </c>
      <c r="AH189" s="125">
        <v>30</v>
      </c>
      <c r="AI189" s="530">
        <v>18433.397137572651</v>
      </c>
      <c r="AJ189" s="24">
        <f>AK189/constantes!$B$4</f>
        <v>1346.9683917233087</v>
      </c>
      <c r="AK189" s="33">
        <f t="shared" si="48"/>
        <v>5253.1767277209037</v>
      </c>
      <c r="AL189" s="87">
        <v>4</v>
      </c>
      <c r="AM189" s="531">
        <v>0</v>
      </c>
      <c r="AN189" s="23"/>
      <c r="AO189" s="532">
        <f t="shared" si="37"/>
        <v>18433.397137572651</v>
      </c>
      <c r="AQ189" s="35">
        <f t="shared" si="49"/>
        <v>5253.1767277209037</v>
      </c>
      <c r="AR189" s="36">
        <f ca="1">OFFSET(cod_desembolso!$A$1,AL189,23)</f>
        <v>1.103153897336226</v>
      </c>
      <c r="AS189" s="37">
        <f ca="1">IF(AO189=0,0,AO189*(OFFSET(cod_desembolso!$A$1,AL189,23)))</f>
        <v>20334.873893459702</v>
      </c>
      <c r="AT189" s="38">
        <f>(constantes!$B$3*(1+constantes!$B$3)^(AH189))/((1+constantes!$B$3)^(AH189)-1)</f>
        <v>8.8827433387272267E-2</v>
      </c>
      <c r="AU189" s="37">
        <f t="shared" ca="1" si="39"/>
        <v>1981.7446562098737</v>
      </c>
      <c r="AV189" s="37">
        <f ca="1">IF(AO189=0,AX189/constantes!$B$3,AU189/constantes!$B$3)</f>
        <v>24771.808202623422</v>
      </c>
      <c r="AW189" s="39">
        <f ca="1">IF(AO189=0,0,PV(constantes!$B$3,AH189,-AU189)*constantes!$B$3)</f>
        <v>1784.8041584809137</v>
      </c>
      <c r="AX189" s="40">
        <f>constantes!$B$10*E189/1000</f>
        <v>175.45</v>
      </c>
      <c r="AY189" s="533">
        <f>constantes!$B$12</f>
        <v>0</v>
      </c>
      <c r="AZ189" s="20">
        <v>318</v>
      </c>
      <c r="BA189" s="43"/>
      <c r="BB189" s="3" t="s">
        <v>2215</v>
      </c>
      <c r="BD189" s="534">
        <v>1</v>
      </c>
      <c r="BE189" s="535">
        <v>2035</v>
      </c>
      <c r="BF189" s="536">
        <v>3</v>
      </c>
      <c r="BG189" s="537">
        <v>2050</v>
      </c>
    </row>
    <row r="190" spans="1:59" ht="15">
      <c r="A190" s="125">
        <v>1165</v>
      </c>
      <c r="B190" s="125">
        <v>1165</v>
      </c>
      <c r="C190" s="538" t="s">
        <v>2434</v>
      </c>
      <c r="D190" s="538" t="s">
        <v>2434</v>
      </c>
      <c r="E190" s="526">
        <v>61.4</v>
      </c>
      <c r="F190" s="3" t="s">
        <v>2095</v>
      </c>
      <c r="G190" s="3" t="s">
        <v>2200</v>
      </c>
      <c r="H190" s="3">
        <v>-52.606102</v>
      </c>
      <c r="I190" s="3">
        <v>-26.675001000000002</v>
      </c>
      <c r="J190" s="539" t="s">
        <v>1989</v>
      </c>
      <c r="K190" s="539" t="s">
        <v>1989</v>
      </c>
      <c r="L190" s="554">
        <v>2</v>
      </c>
      <c r="M190" s="540"/>
      <c r="N190" s="529">
        <v>1.9820000000000001E-2</v>
      </c>
      <c r="O190" s="529">
        <v>5.2919999999999995E-2</v>
      </c>
      <c r="P190" s="288">
        <f t="shared" si="45"/>
        <v>0.51761962928493876</v>
      </c>
      <c r="Q190" s="30">
        <f t="shared" si="32"/>
        <v>31.78184523809524</v>
      </c>
      <c r="R190" s="30">
        <f t="shared" si="46"/>
        <v>29.618154761904758</v>
      </c>
      <c r="S190" s="107">
        <v>22.373809523809523</v>
      </c>
      <c r="T190" s="107">
        <v>33.022261904761905</v>
      </c>
      <c r="U190" s="107">
        <v>36.51</v>
      </c>
      <c r="V190" s="107">
        <v>35.221309523809524</v>
      </c>
      <c r="W190" s="288">
        <f t="shared" si="47"/>
        <v>0.6113572204125951</v>
      </c>
      <c r="X190" s="289">
        <f t="shared" si="35"/>
        <v>37.537333333333336</v>
      </c>
      <c r="Y190" s="289">
        <f t="shared" si="36"/>
        <v>5.7554880952380962</v>
      </c>
      <c r="Z190" s="107">
        <v>30.087019607843157</v>
      </c>
      <c r="AA190" s="107">
        <v>36.450941176470579</v>
      </c>
      <c r="AB190" s="107">
        <v>43.299019607843128</v>
      </c>
      <c r="AC190" s="107">
        <v>40.312352941176471</v>
      </c>
      <c r="AD190" s="106">
        <v>1</v>
      </c>
      <c r="AE190" s="32" t="str">
        <f>IF(AD190=0,"",VLOOKUP(AD190,tab_tipo_expansao!$A$2:$B$4,2,0))</f>
        <v>opcional</v>
      </c>
      <c r="AF190" s="125">
        <v>2028</v>
      </c>
      <c r="AG190" s="125">
        <v>2100</v>
      </c>
      <c r="AH190" s="125">
        <v>30</v>
      </c>
      <c r="AI190" s="530">
        <v>548.55725259341693</v>
      </c>
      <c r="AJ190" s="24">
        <f>AK190/constantes!$B$4</f>
        <v>2290.8095406056</v>
      </c>
      <c r="AK190" s="33">
        <f t="shared" si="48"/>
        <v>8934.1572083618394</v>
      </c>
      <c r="AL190" s="87">
        <v>2</v>
      </c>
      <c r="AM190" s="531">
        <v>0</v>
      </c>
      <c r="AN190" s="23"/>
      <c r="AO190" s="532">
        <f t="shared" si="37"/>
        <v>548.55725259341693</v>
      </c>
      <c r="AQ190" s="35">
        <f t="shared" si="49"/>
        <v>8934.1572083618394</v>
      </c>
      <c r="AR190" s="36">
        <f ca="1">OFFSET(cod_desembolso!$A$1,AL190,23)</f>
        <v>1.1245293369208682</v>
      </c>
      <c r="AS190" s="37">
        <f ca="1">IF(AO190=0,0,AO190*(OFFSET(cod_desembolso!$A$1,AL190,23)))</f>
        <v>616.86872352200839</v>
      </c>
      <c r="AT190" s="38">
        <f>(constantes!$B$3*(1+constantes!$B$3)^(AH190))/((1+constantes!$B$3)^(AH190)-1)</f>
        <v>8.8827433387272267E-2</v>
      </c>
      <c r="AU190" s="37">
        <f t="shared" ca="1" si="39"/>
        <v>57.864865447342872</v>
      </c>
      <c r="AV190" s="37">
        <f ca="1">IF(AO190=0,AX190/constantes!$B$3,AU190/constantes!$B$3)</f>
        <v>723.3108180917859</v>
      </c>
      <c r="AW190" s="39">
        <f ca="1">IF(AO190=0,0,PV(constantes!$B$3,AH190,-AU190)*constantes!$B$3)</f>
        <v>52.114409470832783</v>
      </c>
      <c r="AX190" s="40">
        <f>constantes!$B$10*E190/1000</f>
        <v>3.07</v>
      </c>
      <c r="AY190" s="533">
        <f>constantes!$B$12</f>
        <v>0</v>
      </c>
      <c r="AZ190" s="20">
        <v>318</v>
      </c>
      <c r="BA190" s="43"/>
      <c r="BB190" s="3" t="s">
        <v>2207</v>
      </c>
      <c r="BD190" s="534">
        <v>1</v>
      </c>
      <c r="BE190" s="535">
        <v>2026</v>
      </c>
      <c r="BF190" s="536">
        <v>1</v>
      </c>
      <c r="BG190" s="537">
        <v>2026</v>
      </c>
    </row>
    <row r="191" spans="1:59" ht="15">
      <c r="A191" s="125">
        <v>1166</v>
      </c>
      <c r="B191" s="125">
        <v>1166</v>
      </c>
      <c r="C191" s="538" t="s">
        <v>2435</v>
      </c>
      <c r="D191" s="538" t="s">
        <v>2435</v>
      </c>
      <c r="E191" s="526">
        <v>37.909999999999997</v>
      </c>
      <c r="F191" s="3" t="s">
        <v>2194</v>
      </c>
      <c r="G191" s="3" t="s">
        <v>2125</v>
      </c>
      <c r="H191" s="3">
        <v>-52.325333000000001</v>
      </c>
      <c r="I191" s="3">
        <v>-17.862704000000001</v>
      </c>
      <c r="J191" s="539" t="s">
        <v>2003</v>
      </c>
      <c r="K191" s="539" t="s">
        <v>2003</v>
      </c>
      <c r="L191" s="554">
        <v>1</v>
      </c>
      <c r="M191" s="540"/>
      <c r="N191" s="529">
        <v>2.068E-2</v>
      </c>
      <c r="O191" s="529">
        <v>4.6600000000000003E-2</v>
      </c>
      <c r="P191" s="288">
        <f t="shared" si="45"/>
        <v>0.55288135433545615</v>
      </c>
      <c r="Q191" s="30">
        <f t="shared" si="32"/>
        <v>20.959732142857142</v>
      </c>
      <c r="R191" s="30">
        <f t="shared" si="46"/>
        <v>16.950267857142855</v>
      </c>
      <c r="S191" s="107">
        <v>21.484761904761907</v>
      </c>
      <c r="T191" s="107">
        <v>18.734107142857141</v>
      </c>
      <c r="U191" s="107">
        <v>22.547499999999999</v>
      </c>
      <c r="V191" s="107">
        <v>21.07255952380952</v>
      </c>
      <c r="W191" s="288">
        <f t="shared" si="47"/>
        <v>0.65668973471741665</v>
      </c>
      <c r="X191" s="289">
        <f t="shared" si="35"/>
        <v>24.895107843137264</v>
      </c>
      <c r="Y191" s="289">
        <f t="shared" si="36"/>
        <v>3.9353757002801224</v>
      </c>
      <c r="Z191" s="107">
        <v>28.252509803921594</v>
      </c>
      <c r="AA191" s="107">
        <v>24.287529411764719</v>
      </c>
      <c r="AB191" s="107">
        <v>22.893960784313723</v>
      </c>
      <c r="AC191" s="107">
        <v>24.146431372549017</v>
      </c>
      <c r="AD191" s="106">
        <v>1</v>
      </c>
      <c r="AE191" s="32" t="str">
        <f>IF(AD191=0,"",VLOOKUP(AD191,tab_tipo_expansao!$A$2:$B$4,2,0))</f>
        <v>opcional</v>
      </c>
      <c r="AF191" s="125">
        <v>2028</v>
      </c>
      <c r="AG191" s="125">
        <v>2100</v>
      </c>
      <c r="AH191" s="125">
        <v>30</v>
      </c>
      <c r="AI191" s="530">
        <v>772.91053013951569</v>
      </c>
      <c r="AJ191" s="24">
        <f>AK191/constantes!$B$4</f>
        <v>5227.7021159393425</v>
      </c>
      <c r="AK191" s="33">
        <f t="shared" si="48"/>
        <v>20388.038252163435</v>
      </c>
      <c r="AL191" s="87">
        <v>2</v>
      </c>
      <c r="AM191" s="531">
        <v>0</v>
      </c>
      <c r="AN191" s="23"/>
      <c r="AO191" s="532">
        <f t="shared" si="37"/>
        <v>772.91053013951569</v>
      </c>
      <c r="AQ191" s="35">
        <f t="shared" si="49"/>
        <v>20388.038252163431</v>
      </c>
      <c r="AR191" s="36">
        <f ca="1">OFFSET(cod_desembolso!$A$1,AL191,23)</f>
        <v>1.1245293369208682</v>
      </c>
      <c r="AS191" s="37">
        <f ca="1">IF(AO191=0,0,AO191*(OFFSET(cod_desembolso!$A$1,AL191,23)))</f>
        <v>869.16056595694624</v>
      </c>
      <c r="AT191" s="38">
        <f>(constantes!$B$3*(1+constantes!$B$3)^(AH191))/((1+constantes!$B$3)^(AH191)-1)</f>
        <v>8.8827433387272267E-2</v>
      </c>
      <c r="AU191" s="37">
        <f t="shared" ca="1" si="39"/>
        <v>79.10080227538451</v>
      </c>
      <c r="AV191" s="37">
        <f ca="1">IF(AO191=0,AX191/constantes!$B$3,AU191/constantes!$B$3)</f>
        <v>988.76002844230641</v>
      </c>
      <c r="AW191" s="39">
        <f ca="1">IF(AO191=0,0,PV(constantes!$B$3,AH191,-AU191)*constantes!$B$3)</f>
        <v>71.239975542707541</v>
      </c>
      <c r="AX191" s="40">
        <f>constantes!$B$10*E191/1000</f>
        <v>1.8954999999999997</v>
      </c>
      <c r="AY191" s="533">
        <f>constantes!$B$12</f>
        <v>0</v>
      </c>
      <c r="AZ191" s="20">
        <v>318</v>
      </c>
      <c r="BA191" s="43"/>
      <c r="BB191" s="3" t="s">
        <v>2195</v>
      </c>
      <c r="BD191" s="534">
        <v>1</v>
      </c>
      <c r="BE191" s="535">
        <v>2027</v>
      </c>
      <c r="BF191" s="536">
        <v>1</v>
      </c>
      <c r="BG191" s="537">
        <v>2027</v>
      </c>
    </row>
    <row r="192" spans="1:59" ht="15">
      <c r="A192" s="125">
        <v>1167</v>
      </c>
      <c r="B192" s="125">
        <v>1167</v>
      </c>
      <c r="C192" s="538" t="s">
        <v>2436</v>
      </c>
      <c r="D192" s="538" t="s">
        <v>2436</v>
      </c>
      <c r="E192" s="526">
        <v>1328</v>
      </c>
      <c r="F192" s="3" t="s">
        <v>2197</v>
      </c>
      <c r="G192" s="3" t="s">
        <v>2316</v>
      </c>
      <c r="H192" s="3">
        <v>-47.489593999999997</v>
      </c>
      <c r="I192" s="3">
        <v>-5.6981789999999997</v>
      </c>
      <c r="J192" s="539" t="s">
        <v>1981</v>
      </c>
      <c r="K192" s="539" t="s">
        <v>1981</v>
      </c>
      <c r="L192" s="554">
        <v>4</v>
      </c>
      <c r="M192" s="540"/>
      <c r="N192" s="529">
        <v>1.6379999999999999E-2</v>
      </c>
      <c r="O192" s="529">
        <v>6.1409999999999999E-2</v>
      </c>
      <c r="P192" s="288">
        <f t="shared" si="45"/>
        <v>0.58071010604919682</v>
      </c>
      <c r="Q192" s="30">
        <f t="shared" si="32"/>
        <v>771.18302083333333</v>
      </c>
      <c r="R192" s="30">
        <f t="shared" si="46"/>
        <v>556.81697916666667</v>
      </c>
      <c r="S192" s="107">
        <v>994.13714285714286</v>
      </c>
      <c r="T192" s="107">
        <v>853.49404761904771</v>
      </c>
      <c r="U192" s="107">
        <v>540.68166666666662</v>
      </c>
      <c r="V192" s="107">
        <v>696.41922619047625</v>
      </c>
      <c r="W192" s="288">
        <f t="shared" si="47"/>
        <v>0.58737039333805818</v>
      </c>
      <c r="X192" s="289">
        <f t="shared" si="35"/>
        <v>780.02788235294133</v>
      </c>
      <c r="Y192" s="289">
        <f t="shared" si="36"/>
        <v>8.8448615196080027</v>
      </c>
      <c r="Z192" s="107">
        <v>1056.7873725490197</v>
      </c>
      <c r="AA192" s="107">
        <v>886.88298039215681</v>
      </c>
      <c r="AB192" s="107">
        <v>498.09776470588241</v>
      </c>
      <c r="AC192" s="107">
        <v>678.34341176470605</v>
      </c>
      <c r="AD192" s="106">
        <v>3</v>
      </c>
      <c r="AE192" s="32" t="str">
        <f>IF(AD192=0,"",VLOOKUP(AD192,tab_tipo_expansao!$A$2:$B$4,2,0))</f>
        <v>não_considerar</v>
      </c>
      <c r="AF192" s="125">
        <v>2030</v>
      </c>
      <c r="AG192" s="125">
        <v>2100</v>
      </c>
      <c r="AH192" s="125">
        <v>30</v>
      </c>
      <c r="AI192" s="530">
        <v>7447.1149581533255</v>
      </c>
      <c r="AJ192" s="24">
        <f>AK192/constantes!$B$4</f>
        <v>1437.8890481451431</v>
      </c>
      <c r="AK192" s="33">
        <f t="shared" si="48"/>
        <v>5607.767287766058</v>
      </c>
      <c r="AL192" s="87">
        <v>4</v>
      </c>
      <c r="AM192" s="531">
        <v>0</v>
      </c>
      <c r="AN192" s="23"/>
      <c r="AO192" s="532">
        <f t="shared" si="37"/>
        <v>7447.1149581533255</v>
      </c>
      <c r="AQ192" s="35">
        <f t="shared" si="49"/>
        <v>5607.767287766058</v>
      </c>
      <c r="AR192" s="36">
        <f ca="1">OFFSET(cod_desembolso!$A$1,AL192,23)</f>
        <v>1.103153897336226</v>
      </c>
      <c r="AS192" s="37">
        <f ca="1">IF(AO192=0,0,AO192*(OFFSET(cod_desembolso!$A$1,AL192,23)))</f>
        <v>8215.3138899977475</v>
      </c>
      <c r="AT192" s="38">
        <f>(constantes!$B$3*(1+constantes!$B$3)^(AH192))/((1+constantes!$B$3)^(AH192)-1)</f>
        <v>8.8827433387272267E-2</v>
      </c>
      <c r="AU192" s="37">
        <f t="shared" ca="1" si="39"/>
        <v>796.14524731930749</v>
      </c>
      <c r="AV192" s="37">
        <f ca="1">IF(AO192=0,AX192/constantes!$B$3,AU192/constantes!$B$3)</f>
        <v>9951.8155914913441</v>
      </c>
      <c r="AW192" s="39">
        <f ca="1">IF(AO192=0,0,PV(constantes!$B$3,AH192,-AU192)*constantes!$B$3)</f>
        <v>717.02645631851294</v>
      </c>
      <c r="AX192" s="40">
        <f>constantes!$B$10*E192/1000</f>
        <v>66.400000000000006</v>
      </c>
      <c r="AY192" s="533">
        <f>constantes!$B$12</f>
        <v>0</v>
      </c>
      <c r="AZ192" s="20">
        <v>318</v>
      </c>
      <c r="BA192" s="43"/>
      <c r="BB192" s="3" t="s">
        <v>2215</v>
      </c>
      <c r="BD192" s="534">
        <v>1</v>
      </c>
      <c r="BE192" s="535">
        <v>2035</v>
      </c>
      <c r="BF192" s="536">
        <v>3</v>
      </c>
      <c r="BG192" s="537">
        <v>2050</v>
      </c>
    </row>
    <row r="193" spans="1:59" ht="15">
      <c r="A193" s="125">
        <v>1168</v>
      </c>
      <c r="B193" s="125">
        <v>1168</v>
      </c>
      <c r="C193" s="538" t="s">
        <v>2437</v>
      </c>
      <c r="D193" s="538" t="s">
        <v>2437</v>
      </c>
      <c r="E193" s="526">
        <v>38</v>
      </c>
      <c r="F193" s="3" t="s">
        <v>2438</v>
      </c>
      <c r="G193" s="3" t="s">
        <v>2439</v>
      </c>
      <c r="H193" s="3">
        <v>-54.614687000000004</v>
      </c>
      <c r="I193" s="3">
        <v>-18.663208999999998</v>
      </c>
      <c r="J193" s="539" t="s">
        <v>2090</v>
      </c>
      <c r="K193" s="539" t="s">
        <v>2090</v>
      </c>
      <c r="L193" s="554">
        <v>2</v>
      </c>
      <c r="M193" s="540"/>
      <c r="N193" s="529">
        <v>2.068E-2</v>
      </c>
      <c r="O193" s="529">
        <v>4.6600000000000003E-2</v>
      </c>
      <c r="P193" s="288">
        <f t="shared" si="45"/>
        <v>0.54119008458646611</v>
      </c>
      <c r="Q193" s="30">
        <f t="shared" si="32"/>
        <v>20.565223214285712</v>
      </c>
      <c r="R193" s="30">
        <f t="shared" si="46"/>
        <v>17.434776785714288</v>
      </c>
      <c r="S193" s="107">
        <v>25.837142857142855</v>
      </c>
      <c r="T193" s="107">
        <v>21.84136904761905</v>
      </c>
      <c r="U193" s="107">
        <v>15.860833333333332</v>
      </c>
      <c r="V193" s="107">
        <v>18.721547619047616</v>
      </c>
      <c r="W193" s="288">
        <f t="shared" si="47"/>
        <v>0.65361068111455123</v>
      </c>
      <c r="X193" s="289">
        <f t="shared" si="35"/>
        <v>24.837205882352947</v>
      </c>
      <c r="Y193" s="289">
        <f t="shared" si="36"/>
        <v>4.2719826680672348</v>
      </c>
      <c r="Z193" s="107">
        <v>31.481058823529413</v>
      </c>
      <c r="AA193" s="107">
        <v>24.872980392156865</v>
      </c>
      <c r="AB193" s="107">
        <v>18.699764705882355</v>
      </c>
      <c r="AC193" s="107">
        <v>24.295019607843155</v>
      </c>
      <c r="AD193" s="106">
        <v>3</v>
      </c>
      <c r="AE193" s="32" t="str">
        <f>IF(AD193=0,"",VLOOKUP(AD193,tab_tipo_expansao!$A$2:$B$4,2,0))</f>
        <v>não_considerar</v>
      </c>
      <c r="AF193" s="125">
        <v>2030</v>
      </c>
      <c r="AG193" s="125">
        <v>2100</v>
      </c>
      <c r="AH193" s="125">
        <v>30</v>
      </c>
      <c r="AI193" s="530">
        <v>380</v>
      </c>
      <c r="AJ193" s="24">
        <f>AK193/constantes!$B$4</f>
        <v>2564.102564102564</v>
      </c>
      <c r="AK193" s="33">
        <f t="shared" si="48"/>
        <v>10000</v>
      </c>
      <c r="AL193" s="87">
        <v>2</v>
      </c>
      <c r="AM193" s="531">
        <v>0</v>
      </c>
      <c r="AN193" s="23"/>
      <c r="AO193" s="532">
        <f t="shared" si="37"/>
        <v>380</v>
      </c>
      <c r="AQ193" s="35">
        <f t="shared" si="49"/>
        <v>10000</v>
      </c>
      <c r="AR193" s="36">
        <f ca="1">OFFSET(cod_desembolso!$A$1,AL193,23)</f>
        <v>1.1245293369208682</v>
      </c>
      <c r="AS193" s="37">
        <f ca="1">IF(AO193=0,0,AO193*(OFFSET(cod_desembolso!$A$1,AL193,23)))</f>
        <v>427.32114802992993</v>
      </c>
      <c r="AT193" s="38">
        <f>(constantes!$B$3*(1+constantes!$B$3)^(AH193))/((1+constantes!$B$3)^(AH193)-1)</f>
        <v>8.8827433387272267E-2</v>
      </c>
      <c r="AU193" s="37">
        <f t="shared" ca="1" si="39"/>
        <v>39.857840811601314</v>
      </c>
      <c r="AV193" s="37">
        <f ca="1">IF(AO193=0,AX193/constantes!$B$3,AU193/constantes!$B$3)</f>
        <v>498.22301014501642</v>
      </c>
      <c r="AW193" s="39">
        <f ca="1">IF(AO193=0,0,PV(constantes!$B$3,AH193,-AU193)*constantes!$B$3)</f>
        <v>35.896874910549776</v>
      </c>
      <c r="AX193" s="40">
        <f>constantes!$B$10*E193/1000</f>
        <v>1.9</v>
      </c>
      <c r="AY193" s="533">
        <f>constantes!$B$12</f>
        <v>0</v>
      </c>
      <c r="AZ193" s="20">
        <v>318</v>
      </c>
      <c r="BA193" s="43"/>
      <c r="BB193" s="3" t="s">
        <v>2181</v>
      </c>
      <c r="BD193" s="534">
        <v>1</v>
      </c>
      <c r="BE193" s="535">
        <v>2027</v>
      </c>
      <c r="BF193" s="536">
        <v>1</v>
      </c>
      <c r="BG193" s="537">
        <v>2027</v>
      </c>
    </row>
    <row r="194" spans="1:59" ht="13.15" customHeight="1">
      <c r="A194" s="125">
        <v>1169</v>
      </c>
      <c r="B194" s="125">
        <v>1169</v>
      </c>
      <c r="C194" s="546" t="s">
        <v>2440</v>
      </c>
      <c r="D194" s="546" t="s">
        <v>2440</v>
      </c>
      <c r="E194" s="526">
        <v>458.2</v>
      </c>
      <c r="F194" s="3" t="s">
        <v>2179</v>
      </c>
      <c r="G194" s="3" t="s">
        <v>2311</v>
      </c>
      <c r="H194" s="3">
        <v>-60.196668000000003</v>
      </c>
      <c r="I194" s="3">
        <v>-7.912223</v>
      </c>
      <c r="J194" s="549" t="s">
        <v>154</v>
      </c>
      <c r="K194" s="549" t="s">
        <v>154</v>
      </c>
      <c r="L194" s="554">
        <v>7</v>
      </c>
      <c r="M194" s="540"/>
      <c r="N194" s="529">
        <v>1.6379999999999999E-2</v>
      </c>
      <c r="O194" s="529">
        <v>6.1409999999999999E-2</v>
      </c>
      <c r="P194" s="288">
        <f t="shared" si="45"/>
        <v>0.51757965953731999</v>
      </c>
      <c r="Q194" s="30">
        <f t="shared" ref="Q194:Q216" si="50">AVERAGE(S194:V194)</f>
        <v>237.15500000000003</v>
      </c>
      <c r="R194" s="30">
        <f t="shared" si="46"/>
        <v>221.04499999999996</v>
      </c>
      <c r="S194" s="107">
        <v>396.5109523809524</v>
      </c>
      <c r="T194" s="107">
        <v>332.01154761904758</v>
      </c>
      <c r="U194" s="107">
        <v>83.305416666666673</v>
      </c>
      <c r="V194" s="107">
        <v>136.79208333333335</v>
      </c>
      <c r="W194" s="288">
        <f t="shared" si="47"/>
        <v>0.50526638765501841</v>
      </c>
      <c r="X194" s="289">
        <f t="shared" ref="X194:X216" si="51">AVERAGE(Z194:AC194)</f>
        <v>231.51305882352943</v>
      </c>
      <c r="Y194" s="289">
        <f t="shared" ref="Y194:Y216" si="52">X194-Q194</f>
        <v>-5.6419411764705956</v>
      </c>
      <c r="Z194" s="107">
        <v>397.93678431372547</v>
      </c>
      <c r="AA194" s="107">
        <v>329.6449411764707</v>
      </c>
      <c r="AB194" s="107">
        <v>71.439411764705866</v>
      </c>
      <c r="AC194" s="107">
        <v>127.03109803921569</v>
      </c>
      <c r="AD194" s="106">
        <v>3</v>
      </c>
      <c r="AE194" s="32" t="str">
        <f>IF(AD194=0,"",VLOOKUP(AD194,tab_tipo_expansao!$A$2:$B$4,2,0))</f>
        <v>não_considerar</v>
      </c>
      <c r="AF194" s="125">
        <v>2030</v>
      </c>
      <c r="AG194" s="125">
        <v>2100</v>
      </c>
      <c r="AH194" s="125">
        <v>30</v>
      </c>
      <c r="AI194" s="530">
        <v>3383.8399115177463</v>
      </c>
      <c r="AJ194" s="24">
        <f>AK194/constantes!$B$4</f>
        <v>1893.6081609854314</v>
      </c>
      <c r="AK194" s="33">
        <f t="shared" si="48"/>
        <v>7385.0718278431823</v>
      </c>
      <c r="AL194" s="87">
        <v>3</v>
      </c>
      <c r="AM194" s="531">
        <v>0</v>
      </c>
      <c r="AN194" s="23"/>
      <c r="AO194" s="532">
        <f t="shared" ref="AO194:AO216" si="53">AI194+AM194+AN194</f>
        <v>3383.8399115177463</v>
      </c>
      <c r="AQ194" s="35">
        <f t="shared" si="49"/>
        <v>7385.0718278431832</v>
      </c>
      <c r="AR194" s="36">
        <f ca="1">OFFSET(cod_desembolso!$A$1,AL194,23)</f>
        <v>1.1255071012622904</v>
      </c>
      <c r="AS194" s="37">
        <f ca="1">IF(AO194=0,0,AO194*(OFFSET(cod_desembolso!$A$1,AL194,23)))</f>
        <v>3808.5358499479839</v>
      </c>
      <c r="AT194" s="38">
        <f>(constantes!$B$3*(1+constantes!$B$3)^(AH194))/((1+constantes!$B$3)^(AH194)-1)</f>
        <v>8.8827433387272267E-2</v>
      </c>
      <c r="AU194" s="37">
        <f t="shared" ref="AU194:AU216" ca="1" si="54">IF(AND(AO194=0,AX194=0),0,AS194*AT194+AX194)</f>
        <v>361.21246451429295</v>
      </c>
      <c r="AV194" s="37">
        <f ca="1">IF(AO194=0,AX194/constantes!$B$3,AU194/constantes!$B$3)</f>
        <v>4515.1558064286619</v>
      </c>
      <c r="AW194" s="39">
        <f ca="1">IF(AO194=0,0,PV(constantes!$B$3,AH194,-AU194)*constantes!$B$3)</f>
        <v>325.31613330712281</v>
      </c>
      <c r="AX194" s="40">
        <f>constantes!$B$10*E194/1000</f>
        <v>22.91</v>
      </c>
      <c r="AY194" s="533">
        <f>constantes!$B$12</f>
        <v>0</v>
      </c>
      <c r="AZ194" s="20">
        <v>318</v>
      </c>
      <c r="BA194" s="43"/>
      <c r="BB194" s="3" t="s">
        <v>2183</v>
      </c>
      <c r="BD194" s="534">
        <v>1</v>
      </c>
      <c r="BE194" s="535">
        <v>2030</v>
      </c>
      <c r="BF194" s="536">
        <v>1</v>
      </c>
      <c r="BG194" s="537">
        <v>2030</v>
      </c>
    </row>
    <row r="195" spans="1:59" ht="13.15" customHeight="1">
      <c r="A195" s="125">
        <v>1170</v>
      </c>
      <c r="B195" s="125">
        <v>1170</v>
      </c>
      <c r="C195" s="546" t="s">
        <v>2441</v>
      </c>
      <c r="D195" s="546" t="s">
        <v>2441</v>
      </c>
      <c r="E195" s="526">
        <v>34</v>
      </c>
      <c r="F195" s="3" t="s">
        <v>2179</v>
      </c>
      <c r="G195" s="3" t="s">
        <v>2202</v>
      </c>
      <c r="H195" s="3">
        <v>-55.235255000000002</v>
      </c>
      <c r="I195" s="3">
        <v>-4.0977379999999997</v>
      </c>
      <c r="J195" s="549" t="s">
        <v>153</v>
      </c>
      <c r="K195" s="549" t="s">
        <v>153</v>
      </c>
      <c r="L195" s="554">
        <v>9</v>
      </c>
      <c r="M195" s="540"/>
      <c r="N195" s="529">
        <v>2.068E-2</v>
      </c>
      <c r="O195" s="529">
        <v>4.6600000000000003E-2</v>
      </c>
      <c r="P195" s="288">
        <f t="shared" si="45"/>
        <v>0.47693555361105217</v>
      </c>
      <c r="Q195" s="30">
        <f t="shared" si="50"/>
        <v>16.215808822775774</v>
      </c>
      <c r="R195" s="30">
        <f t="shared" si="46"/>
        <v>17.784191177224226</v>
      </c>
      <c r="S195" s="107">
        <v>22.092234436917181</v>
      </c>
      <c r="T195" s="107">
        <v>25.088147928215587</v>
      </c>
      <c r="U195" s="107">
        <v>9.5937046285558498</v>
      </c>
      <c r="V195" s="107">
        <v>8.0891482974144804</v>
      </c>
      <c r="W195" s="288">
        <f t="shared" si="47"/>
        <v>0.49042921298242015</v>
      </c>
      <c r="X195" s="289">
        <f t="shared" si="51"/>
        <v>16.674593241402285</v>
      </c>
      <c r="Y195" s="289">
        <f t="shared" si="52"/>
        <v>0.45878441862651087</v>
      </c>
      <c r="Z195" s="107">
        <v>24.528533499263194</v>
      </c>
      <c r="AA195" s="107">
        <v>24.653261178197624</v>
      </c>
      <c r="AB195" s="107">
        <v>9.0530573749427656</v>
      </c>
      <c r="AC195" s="107">
        <v>8.4635209132055547</v>
      </c>
      <c r="AD195" s="106">
        <v>3</v>
      </c>
      <c r="AE195" s="32" t="str">
        <f>IF(AD195=0,"",VLOOKUP(AD195,tab_tipo_expansao!$A$2:$B$4,2,0))</f>
        <v>não_considerar</v>
      </c>
      <c r="AF195" s="125">
        <v>2030</v>
      </c>
      <c r="AG195" s="125">
        <v>2100</v>
      </c>
      <c r="AH195" s="125">
        <v>30</v>
      </c>
      <c r="AI195" s="530">
        <v>293.47367837390738</v>
      </c>
      <c r="AJ195" s="24">
        <f>AK195/constantes!$B$4</f>
        <v>2213.2253271033737</v>
      </c>
      <c r="AK195" s="33">
        <f t="shared" si="48"/>
        <v>8631.5787757031576</v>
      </c>
      <c r="AL195" s="87">
        <v>2</v>
      </c>
      <c r="AM195" s="531">
        <v>0</v>
      </c>
      <c r="AN195" s="23"/>
      <c r="AO195" s="532">
        <f t="shared" si="53"/>
        <v>293.47367837390738</v>
      </c>
      <c r="AQ195" s="35">
        <f t="shared" si="49"/>
        <v>8631.5787757031594</v>
      </c>
      <c r="AR195" s="36">
        <f ca="1">OFFSET(cod_desembolso!$A$1,AL195,23)</f>
        <v>1.1245293369208682</v>
      </c>
      <c r="AS195" s="37">
        <f ca="1">IF(AO195=0,0,AO195*(OFFSET(cod_desembolso!$A$1,AL195,23)))</f>
        <v>330.01976094553822</v>
      </c>
      <c r="AT195" s="38">
        <f>(constantes!$B$3*(1+constantes!$B$3)^(AH195))/((1+constantes!$B$3)^(AH195)-1)</f>
        <v>8.8827433387272267E-2</v>
      </c>
      <c r="AU195" s="37">
        <f t="shared" ca="1" si="54"/>
        <v>31.014808331873315</v>
      </c>
      <c r="AV195" s="37">
        <f ca="1">IF(AO195=0,AX195/constantes!$B$3,AU195/constantes!$B$3)</f>
        <v>387.68510414841643</v>
      </c>
      <c r="AW195" s="39">
        <f ca="1">IF(AO195=0,0,PV(constantes!$B$3,AH195,-AU195)*constantes!$B$3)</f>
        <v>27.932639410308397</v>
      </c>
      <c r="AX195" s="40">
        <f>constantes!$B$10*E195/1000</f>
        <v>1.7</v>
      </c>
      <c r="AY195" s="533">
        <f>constantes!$B$12</f>
        <v>0</v>
      </c>
      <c r="AZ195" s="20">
        <v>318</v>
      </c>
      <c r="BA195" s="43"/>
      <c r="BB195" s="3" t="s">
        <v>2181</v>
      </c>
      <c r="BD195" s="534">
        <v>1</v>
      </c>
      <c r="BE195" s="535">
        <v>2027</v>
      </c>
      <c r="BF195" s="536">
        <v>1</v>
      </c>
      <c r="BG195" s="537">
        <v>2027</v>
      </c>
    </row>
    <row r="196" spans="1:59" ht="13.15" customHeight="1">
      <c r="A196" s="125">
        <v>1171</v>
      </c>
      <c r="B196" s="125">
        <v>1171</v>
      </c>
      <c r="C196" s="642" t="s">
        <v>2442</v>
      </c>
      <c r="D196" s="643" t="s">
        <v>2442</v>
      </c>
      <c r="E196" s="526">
        <v>400</v>
      </c>
      <c r="F196" s="3" t="s">
        <v>2179</v>
      </c>
      <c r="G196" s="3" t="s">
        <v>2443</v>
      </c>
      <c r="H196" s="3">
        <v>-62.174236999999998</v>
      </c>
      <c r="I196" s="3">
        <v>-8.9072820000000004</v>
      </c>
      <c r="J196" s="644" t="s">
        <v>2066</v>
      </c>
      <c r="K196" s="644" t="s">
        <v>2066</v>
      </c>
      <c r="L196" s="554">
        <v>7</v>
      </c>
      <c r="M196" s="540"/>
      <c r="N196" s="529">
        <v>1.6379999999999999E-2</v>
      </c>
      <c r="O196" s="529">
        <v>6.1409999999999999E-2</v>
      </c>
      <c r="P196" s="288">
        <f t="shared" si="45"/>
        <v>0.532119300920186</v>
      </c>
      <c r="Q196" s="30">
        <f t="shared" si="50"/>
        <v>212.84772036807439</v>
      </c>
      <c r="R196" s="30">
        <f t="shared" si="46"/>
        <v>187.15227963192561</v>
      </c>
      <c r="S196" s="107">
        <v>266.73414957837286</v>
      </c>
      <c r="T196" s="107">
        <v>234.15205110636006</v>
      </c>
      <c r="U196" s="107">
        <v>166.09614225323787</v>
      </c>
      <c r="V196" s="107">
        <v>184.40853853432679</v>
      </c>
      <c r="W196" s="288">
        <f t="shared" si="47"/>
        <v>0.56765074645560576</v>
      </c>
      <c r="X196" s="289">
        <f t="shared" si="51"/>
        <v>227.0602985822423</v>
      </c>
      <c r="Y196" s="289">
        <f t="shared" si="52"/>
        <v>14.212578214167905</v>
      </c>
      <c r="Z196" s="107">
        <v>296.78030548420884</v>
      </c>
      <c r="AA196" s="107">
        <v>246.90083784421699</v>
      </c>
      <c r="AB196" s="107">
        <v>169.98714768239407</v>
      </c>
      <c r="AC196" s="107">
        <v>194.57290331814932</v>
      </c>
      <c r="AD196" s="106">
        <v>1</v>
      </c>
      <c r="AE196" s="32" t="str">
        <f>IF(AD196=0,"",VLOOKUP(AD196,tab_tipo_expansao!$A$2:$B$4,2,0))</f>
        <v>opcional</v>
      </c>
      <c r="AF196" s="125">
        <v>2023</v>
      </c>
      <c r="AG196" s="125">
        <v>2100</v>
      </c>
      <c r="AH196" s="125">
        <v>30</v>
      </c>
      <c r="AI196" s="530">
        <v>3464.2760867266525</v>
      </c>
      <c r="AJ196" s="24">
        <f>AK196/constantes!$B$4</f>
        <v>2220.6897991837513</v>
      </c>
      <c r="AK196" s="33">
        <f t="shared" si="48"/>
        <v>8660.6902168166307</v>
      </c>
      <c r="AL196" s="87">
        <v>2</v>
      </c>
      <c r="AM196" s="531">
        <v>0</v>
      </c>
      <c r="AN196" s="23"/>
      <c r="AO196" s="532">
        <f t="shared" si="53"/>
        <v>3464.2760867266525</v>
      </c>
      <c r="AQ196" s="35">
        <f t="shared" si="49"/>
        <v>8660.6902168166307</v>
      </c>
      <c r="AR196" s="36">
        <f ca="1">OFFSET(cod_desembolso!$A$1,AL196,23)</f>
        <v>1.1245293369208682</v>
      </c>
      <c r="AS196" s="37">
        <f ca="1">IF(AO196=0,0,AO196*(OFFSET(cod_desembolso!$A$1,AL196,23)))</f>
        <v>3895.6800907175425</v>
      </c>
      <c r="AT196" s="38">
        <f>(constantes!$B$3*(1+constantes!$B$3)^(AH196))/((1+constantes!$B$3)^(AH196)-1)</f>
        <v>8.8827433387272267E-2</v>
      </c>
      <c r="AU196" s="37">
        <f t="shared" ca="1" si="54"/>
        <v>366.04326375633531</v>
      </c>
      <c r="AV196" s="37">
        <f ca="1">IF(AO196=0,AX196/constantes!$B$3,AU196/constantes!$B$3)</f>
        <v>4575.5407969541911</v>
      </c>
      <c r="AW196" s="39">
        <f ca="1">IF(AO196=0,0,PV(constantes!$B$3,AH196,-AU196)*constantes!$B$3)</f>
        <v>329.66686060640734</v>
      </c>
      <c r="AX196" s="40">
        <f>constantes!$B$10*E196/1000</f>
        <v>20</v>
      </c>
      <c r="AY196" s="533">
        <f>constantes!$B$12</f>
        <v>0</v>
      </c>
      <c r="AZ196" s="20">
        <v>318</v>
      </c>
      <c r="BA196" s="43"/>
      <c r="BB196" s="3" t="s">
        <v>2207</v>
      </c>
      <c r="BD196" s="534">
        <v>1</v>
      </c>
      <c r="BE196" s="535">
        <v>2022</v>
      </c>
      <c r="BF196" s="536">
        <v>1</v>
      </c>
      <c r="BG196" s="537">
        <v>2022</v>
      </c>
    </row>
    <row r="197" spans="1:59" ht="13.15" customHeight="1">
      <c r="A197" s="125">
        <v>1172</v>
      </c>
      <c r="B197" s="125">
        <v>1172</v>
      </c>
      <c r="C197" s="546" t="s">
        <v>2444</v>
      </c>
      <c r="D197" s="546" t="s">
        <v>2444</v>
      </c>
      <c r="E197" s="526">
        <v>98</v>
      </c>
      <c r="F197" s="3" t="s">
        <v>2244</v>
      </c>
      <c r="G197" s="3" t="s">
        <v>2445</v>
      </c>
      <c r="H197" s="3">
        <v>-45.464986000000003</v>
      </c>
      <c r="I197" s="3">
        <v>-7.2074670000000003</v>
      </c>
      <c r="J197" s="549" t="s">
        <v>147</v>
      </c>
      <c r="K197" s="549" t="s">
        <v>147</v>
      </c>
      <c r="L197" s="554">
        <v>3</v>
      </c>
      <c r="M197" s="540"/>
      <c r="N197" s="529">
        <v>1.9820000000000001E-2</v>
      </c>
      <c r="O197" s="529">
        <v>5.2919999999999995E-2</v>
      </c>
      <c r="P197" s="288">
        <f t="shared" si="45"/>
        <v>0.45565445821185618</v>
      </c>
      <c r="Q197" s="30">
        <f t="shared" si="50"/>
        <v>44.654136904761906</v>
      </c>
      <c r="R197" s="30">
        <f t="shared" si="46"/>
        <v>53.345863095238094</v>
      </c>
      <c r="S197" s="107">
        <v>43.769047619047626</v>
      </c>
      <c r="T197" s="107">
        <v>50.49</v>
      </c>
      <c r="U197" s="107">
        <v>41.576666666666661</v>
      </c>
      <c r="V197" s="107">
        <v>42.780833333333334</v>
      </c>
      <c r="W197" s="288">
        <f t="shared" si="47"/>
        <v>0.49733853541416556</v>
      </c>
      <c r="X197" s="289">
        <f t="shared" si="51"/>
        <v>48.739176470588227</v>
      </c>
      <c r="Y197" s="289">
        <f t="shared" si="52"/>
        <v>4.085039565826321</v>
      </c>
      <c r="Z197" s="107">
        <v>65.419764705882343</v>
      </c>
      <c r="AA197" s="107">
        <v>54.044666666666693</v>
      </c>
      <c r="AB197" s="107">
        <v>34.134352941176452</v>
      </c>
      <c r="AC197" s="107">
        <v>41.35792156862744</v>
      </c>
      <c r="AD197" s="106">
        <v>1</v>
      </c>
      <c r="AE197" s="32" t="str">
        <f>IF(AD197=0,"",VLOOKUP(AD197,tab_tipo_expansao!$A$2:$B$4,2,0))</f>
        <v>opcional</v>
      </c>
      <c r="AF197" s="125">
        <v>2028</v>
      </c>
      <c r="AG197" s="125">
        <v>2100</v>
      </c>
      <c r="AH197" s="125">
        <v>30</v>
      </c>
      <c r="AI197" s="530">
        <v>2762.7557303410445</v>
      </c>
      <c r="AJ197" s="24">
        <f>AK197/constantes!$B$4</f>
        <v>7228.5602573025762</v>
      </c>
      <c r="AK197" s="33">
        <f t="shared" si="48"/>
        <v>28191.385003480045</v>
      </c>
      <c r="AL197" s="87">
        <v>2</v>
      </c>
      <c r="AM197" s="531">
        <v>0</v>
      </c>
      <c r="AN197" s="23"/>
      <c r="AO197" s="532">
        <f t="shared" si="53"/>
        <v>2762.7557303410445</v>
      </c>
      <c r="AQ197" s="35">
        <f t="shared" si="49"/>
        <v>28191.385003480042</v>
      </c>
      <c r="AR197" s="36">
        <f ca="1">OFFSET(cod_desembolso!$A$1,AL197,23)</f>
        <v>1.1245293369208682</v>
      </c>
      <c r="AS197" s="37">
        <f ca="1">IF(AO197=0,0,AO197*(OFFSET(cod_desembolso!$A$1,AL197,23)))</f>
        <v>3106.7998695147435</v>
      </c>
      <c r="AT197" s="38">
        <f>(constantes!$B$3*(1+constantes!$B$3)^(AH197))/((1+constantes!$B$3)^(AH197)-1)</f>
        <v>8.8827433387272267E-2</v>
      </c>
      <c r="AU197" s="37">
        <f t="shared" ca="1" si="54"/>
        <v>280.869058456907</v>
      </c>
      <c r="AV197" s="37">
        <f ca="1">IF(AO197=0,AX197/constantes!$B$3,AU197/constantes!$B$3)</f>
        <v>3510.8632307113376</v>
      </c>
      <c r="AW197" s="39">
        <f ca="1">IF(AO197=0,0,PV(constantes!$B$3,AH197,-AU197)*constantes!$B$3)</f>
        <v>252.95704063168543</v>
      </c>
      <c r="AX197" s="40">
        <f>constantes!$B$10*E197/1000</f>
        <v>4.9000000000000004</v>
      </c>
      <c r="AY197" s="533">
        <f>constantes!$B$12</f>
        <v>0</v>
      </c>
      <c r="AZ197" s="20">
        <v>318</v>
      </c>
      <c r="BA197" s="43"/>
      <c r="BB197" s="3" t="s">
        <v>2195</v>
      </c>
      <c r="BD197" s="534">
        <v>1</v>
      </c>
      <c r="BE197" s="535">
        <v>2027</v>
      </c>
      <c r="BF197" s="536">
        <v>1</v>
      </c>
      <c r="BG197" s="537">
        <v>2027</v>
      </c>
    </row>
    <row r="198" spans="1:59" ht="13.15" customHeight="1">
      <c r="A198" s="125">
        <v>1173</v>
      </c>
      <c r="B198" s="125">
        <v>1173</v>
      </c>
      <c r="C198" s="546" t="s">
        <v>2446</v>
      </c>
      <c r="D198" s="546" t="s">
        <v>2446</v>
      </c>
      <c r="E198" s="526">
        <v>35.799999999999997</v>
      </c>
      <c r="F198" s="3" t="s">
        <v>2209</v>
      </c>
      <c r="G198" s="3" t="s">
        <v>2335</v>
      </c>
      <c r="H198" s="3">
        <v>-45.805171999999999</v>
      </c>
      <c r="I198" s="3">
        <v>-19.185206000000001</v>
      </c>
      <c r="J198" s="549" t="s">
        <v>150</v>
      </c>
      <c r="K198" s="549" t="s">
        <v>150</v>
      </c>
      <c r="L198" s="554">
        <v>1</v>
      </c>
      <c r="M198" s="540"/>
      <c r="N198" s="529">
        <v>2.068E-2</v>
      </c>
      <c r="O198" s="529">
        <v>4.6600000000000003E-2</v>
      </c>
      <c r="P198" s="288">
        <f t="shared" si="45"/>
        <v>0.41792323423782923</v>
      </c>
      <c r="Q198" s="30">
        <f t="shared" si="50"/>
        <v>14.961651785714286</v>
      </c>
      <c r="R198" s="30">
        <f t="shared" si="46"/>
        <v>20.838348214285709</v>
      </c>
      <c r="S198" s="107">
        <v>15.39142857142857</v>
      </c>
      <c r="T198" s="107">
        <v>12.043452380952381</v>
      </c>
      <c r="U198" s="107">
        <v>16.451249999999998</v>
      </c>
      <c r="V198" s="107">
        <v>15.960476190476191</v>
      </c>
      <c r="W198" s="288">
        <f t="shared" si="47"/>
        <v>0.42786614086975583</v>
      </c>
      <c r="X198" s="289">
        <f t="shared" si="51"/>
        <v>15.317607843137257</v>
      </c>
      <c r="Y198" s="289">
        <f t="shared" si="52"/>
        <v>0.35595605742297032</v>
      </c>
      <c r="Z198" s="107">
        <v>22.173254901960785</v>
      </c>
      <c r="AA198" s="107">
        <v>9.8749803921568624</v>
      </c>
      <c r="AB198" s="107">
        <v>12.907372549019611</v>
      </c>
      <c r="AC198" s="107">
        <v>16.314823529411765</v>
      </c>
      <c r="AD198" s="106">
        <v>1</v>
      </c>
      <c r="AE198" s="32" t="str">
        <f>IF(AD198=0,"",VLOOKUP(AD198,tab_tipo_expansao!$A$2:$B$4,2,0))</f>
        <v>opcional</v>
      </c>
      <c r="AF198" s="125">
        <v>2028</v>
      </c>
      <c r="AG198" s="125">
        <v>2100</v>
      </c>
      <c r="AH198" s="125">
        <v>30</v>
      </c>
      <c r="AI198" s="530">
        <v>772.24471472303173</v>
      </c>
      <c r="AJ198" s="24">
        <f>AK198/constantes!$B$4</f>
        <v>5531.0465171396063</v>
      </c>
      <c r="AK198" s="33">
        <f t="shared" si="48"/>
        <v>21571.081416844463</v>
      </c>
      <c r="AL198" s="87">
        <v>2</v>
      </c>
      <c r="AM198" s="531">
        <v>0</v>
      </c>
      <c r="AN198" s="23"/>
      <c r="AO198" s="532">
        <f t="shared" si="53"/>
        <v>772.24471472303173</v>
      </c>
      <c r="AQ198" s="35">
        <f t="shared" si="49"/>
        <v>21571.081416844463</v>
      </c>
      <c r="AR198" s="36">
        <f ca="1">OFFSET(cod_desembolso!$A$1,AL198,23)</f>
        <v>1.1245293369208682</v>
      </c>
      <c r="AS198" s="37">
        <f ca="1">IF(AO198=0,0,AO198*(OFFSET(cod_desembolso!$A$1,AL198,23)))</f>
        <v>868.41183698813586</v>
      </c>
      <c r="AT198" s="38">
        <f>(constantes!$B$3*(1+constantes!$B$3)^(AH198))/((1+constantes!$B$3)^(AH198)-1)</f>
        <v>8.8827433387272267E-2</v>
      </c>
      <c r="AU198" s="37">
        <f t="shared" ca="1" si="54"/>
        <v>78.928794602782389</v>
      </c>
      <c r="AV198" s="37">
        <f ca="1">IF(AO198=0,AX198/constantes!$B$3,AU198/constantes!$B$3)</f>
        <v>986.60993253477989</v>
      </c>
      <c r="AW198" s="39">
        <f ca="1">IF(AO198=0,0,PV(constantes!$B$3,AH198,-AU198)*constantes!$B$3)</f>
        <v>71.085061533786728</v>
      </c>
      <c r="AX198" s="40">
        <f>constantes!$B$10*E198/1000</f>
        <v>1.7899999999999998</v>
      </c>
      <c r="AY198" s="533">
        <f>constantes!$B$12</f>
        <v>0</v>
      </c>
      <c r="AZ198" s="20">
        <v>318</v>
      </c>
      <c r="BA198" s="43"/>
      <c r="BB198" s="3" t="s">
        <v>2195</v>
      </c>
      <c r="BD198" s="534">
        <v>1</v>
      </c>
      <c r="BE198" s="535">
        <v>2027</v>
      </c>
      <c r="BF198" s="536">
        <v>1</v>
      </c>
      <c r="BG198" s="537">
        <v>2027</v>
      </c>
    </row>
    <row r="199" spans="1:59" ht="13.15" customHeight="1">
      <c r="A199" s="125">
        <v>1174</v>
      </c>
      <c r="B199" s="125">
        <v>1174</v>
      </c>
      <c r="C199" s="546" t="s">
        <v>2447</v>
      </c>
      <c r="D199" s="546" t="s">
        <v>2447</v>
      </c>
      <c r="E199" s="526">
        <v>75</v>
      </c>
      <c r="F199" s="3" t="s">
        <v>2179</v>
      </c>
      <c r="G199" s="3" t="s">
        <v>2333</v>
      </c>
      <c r="H199" s="3">
        <v>-58.253450000000001</v>
      </c>
      <c r="I199" s="3">
        <v>-11.06396</v>
      </c>
      <c r="J199" s="549" t="s">
        <v>158</v>
      </c>
      <c r="K199" s="549" t="s">
        <v>158</v>
      </c>
      <c r="L199" s="554">
        <v>10</v>
      </c>
      <c r="M199" s="540"/>
      <c r="N199" s="529">
        <v>1.9820000000000001E-2</v>
      </c>
      <c r="O199" s="529">
        <v>5.2919999999999995E-2</v>
      </c>
      <c r="P199" s="288">
        <f t="shared" si="45"/>
        <v>0.54125853174603167</v>
      </c>
      <c r="Q199" s="30">
        <f t="shared" si="50"/>
        <v>40.594389880952377</v>
      </c>
      <c r="R199" s="30">
        <f t="shared" si="46"/>
        <v>34.405610119047623</v>
      </c>
      <c r="S199" s="107">
        <v>52.583809523809521</v>
      </c>
      <c r="T199" s="107">
        <v>47.991190476190468</v>
      </c>
      <c r="U199" s="107">
        <v>27.986666666666668</v>
      </c>
      <c r="V199" s="107">
        <v>33.815892857142856</v>
      </c>
      <c r="W199" s="288">
        <f t="shared" si="47"/>
        <v>0.51652614379084971</v>
      </c>
      <c r="X199" s="289">
        <f t="shared" si="51"/>
        <v>38.739460784313728</v>
      </c>
      <c r="Y199" s="289">
        <f t="shared" si="52"/>
        <v>-1.8549290966386494</v>
      </c>
      <c r="Z199" s="107">
        <v>52.185176470588239</v>
      </c>
      <c r="AA199" s="107">
        <v>43.34858823529413</v>
      </c>
      <c r="AB199" s="107">
        <v>26.66952941176471</v>
      </c>
      <c r="AC199" s="107">
        <v>32.754549019607843</v>
      </c>
      <c r="AD199" s="106">
        <v>3</v>
      </c>
      <c r="AE199" s="32" t="str">
        <f>IF(AD199=0,"",VLOOKUP(AD199,tab_tipo_expansao!$A$2:$B$4,2,0))</f>
        <v>não_considerar</v>
      </c>
      <c r="AF199" s="125">
        <v>2030</v>
      </c>
      <c r="AG199" s="125">
        <v>2100</v>
      </c>
      <c r="AH199" s="125">
        <v>30</v>
      </c>
      <c r="AI199" s="530">
        <v>2628.1098454648245</v>
      </c>
      <c r="AJ199" s="24">
        <f>AK199/constantes!$B$4</f>
        <v>8984.9909246660663</v>
      </c>
      <c r="AK199" s="33">
        <f t="shared" si="48"/>
        <v>35041.46460619766</v>
      </c>
      <c r="AL199" s="87">
        <v>2</v>
      </c>
      <c r="AM199" s="531">
        <v>0</v>
      </c>
      <c r="AN199" s="23"/>
      <c r="AO199" s="532">
        <f t="shared" si="53"/>
        <v>2628.1098454648245</v>
      </c>
      <c r="AQ199" s="35">
        <f t="shared" si="49"/>
        <v>35041.46460619766</v>
      </c>
      <c r="AR199" s="36">
        <f ca="1">OFFSET(cod_desembolso!$A$1,AL199,23)</f>
        <v>1.1245293369208682</v>
      </c>
      <c r="AS199" s="37">
        <f ca="1">IF(AO199=0,0,AO199*(OFFSET(cod_desembolso!$A$1,AL199,23)))</f>
        <v>2955.3866218757644</v>
      </c>
      <c r="AT199" s="38">
        <f>(constantes!$B$3*(1+constantes!$B$3)^(AH199))/((1+constantes!$B$3)^(AH199)-1)</f>
        <v>8.8827433387272267E-2</v>
      </c>
      <c r="AU199" s="37">
        <f t="shared" ca="1" si="54"/>
        <v>266.26940828830504</v>
      </c>
      <c r="AV199" s="37">
        <f ca="1">IF(AO199=0,AX199/constantes!$B$3,AU199/constantes!$B$3)</f>
        <v>3328.3676036038128</v>
      </c>
      <c r="AW199" s="39">
        <f ca="1">IF(AO199=0,0,PV(constantes!$B$3,AH199,-AU199)*constantes!$B$3)</f>
        <v>239.80826475299935</v>
      </c>
      <c r="AX199" s="40">
        <f>constantes!$B$10*E199/1000</f>
        <v>3.75</v>
      </c>
      <c r="AY199" s="533">
        <f>constantes!$B$12</f>
        <v>0</v>
      </c>
      <c r="AZ199" s="20">
        <v>318</v>
      </c>
      <c r="BA199" s="43"/>
      <c r="BB199" s="3" t="s">
        <v>2215</v>
      </c>
      <c r="BD199" s="534">
        <v>1</v>
      </c>
      <c r="BE199" s="535">
        <v>2035</v>
      </c>
      <c r="BF199" s="536">
        <v>3</v>
      </c>
      <c r="BG199" s="537">
        <v>2050</v>
      </c>
    </row>
    <row r="200" spans="1:59" ht="13.15" customHeight="1">
      <c r="A200" s="125">
        <v>1175</v>
      </c>
      <c r="B200" s="125">
        <v>1175</v>
      </c>
      <c r="C200" s="546" t="s">
        <v>2448</v>
      </c>
      <c r="D200" s="546" t="s">
        <v>2448</v>
      </c>
      <c r="E200" s="526">
        <v>43</v>
      </c>
      <c r="F200" s="3" t="s">
        <v>2244</v>
      </c>
      <c r="G200" s="3" t="s">
        <v>2244</v>
      </c>
      <c r="H200" s="3">
        <v>-45.915190000000003</v>
      </c>
      <c r="I200" s="3">
        <v>-9.1628500000000006</v>
      </c>
      <c r="J200" s="549" t="s">
        <v>1983</v>
      </c>
      <c r="K200" s="549" t="s">
        <v>1983</v>
      </c>
      <c r="L200" s="554">
        <v>3</v>
      </c>
      <c r="M200" s="540"/>
      <c r="N200" s="529">
        <v>2.068E-2</v>
      </c>
      <c r="O200" s="529">
        <v>4.6600000000000003E-2</v>
      </c>
      <c r="P200" s="288">
        <f t="shared" si="45"/>
        <v>0.54343369324473978</v>
      </c>
      <c r="Q200" s="30">
        <f t="shared" si="50"/>
        <v>23.367648809523811</v>
      </c>
      <c r="R200" s="30">
        <f t="shared" si="46"/>
        <v>19.632351190476189</v>
      </c>
      <c r="S200" s="107">
        <v>30.301904761904762</v>
      </c>
      <c r="T200" s="107">
        <v>24.629761904761907</v>
      </c>
      <c r="U200" s="107">
        <v>15.379166666666668</v>
      </c>
      <c r="V200" s="107">
        <v>23.159761904761904</v>
      </c>
      <c r="W200" s="288">
        <f t="shared" si="47"/>
        <v>0.5770225718194254</v>
      </c>
      <c r="X200" s="289">
        <f t="shared" si="51"/>
        <v>24.811970588235294</v>
      </c>
      <c r="Y200" s="289">
        <f t="shared" si="52"/>
        <v>1.4443217787114833</v>
      </c>
      <c r="Z200" s="107">
        <v>33.302313725490194</v>
      </c>
      <c r="AA200" s="107">
        <v>25.08819607843137</v>
      </c>
      <c r="AB200" s="107">
        <v>16.487529411764708</v>
      </c>
      <c r="AC200" s="107">
        <v>24.369843137254907</v>
      </c>
      <c r="AD200" s="106">
        <v>3</v>
      </c>
      <c r="AE200" s="32" t="str">
        <f>IF(AD200=0,"",VLOOKUP(AD200,tab_tipo_expansao!$A$2:$B$4,2,0))</f>
        <v>não_considerar</v>
      </c>
      <c r="AF200" s="125">
        <v>2030</v>
      </c>
      <c r="AG200" s="125">
        <v>2100</v>
      </c>
      <c r="AH200" s="125">
        <v>30</v>
      </c>
      <c r="AI200" s="530">
        <v>1255.2356954004429</v>
      </c>
      <c r="AJ200" s="24">
        <f>AK200/constantes!$B$4</f>
        <v>7485.0071282077688</v>
      </c>
      <c r="AK200" s="33">
        <f t="shared" si="48"/>
        <v>29191.527800010299</v>
      </c>
      <c r="AL200" s="87">
        <v>2</v>
      </c>
      <c r="AM200" s="531">
        <v>0</v>
      </c>
      <c r="AN200" s="23"/>
      <c r="AO200" s="532">
        <f t="shared" si="53"/>
        <v>1255.2356954004429</v>
      </c>
      <c r="AQ200" s="35">
        <f t="shared" si="49"/>
        <v>29191.527800010299</v>
      </c>
      <c r="AR200" s="36">
        <f ca="1">OFFSET(cod_desembolso!$A$1,AL200,23)</f>
        <v>1.1245293369208682</v>
      </c>
      <c r="AS200" s="37">
        <f ca="1">IF(AO200=0,0,AO200*(OFFSET(cod_desembolso!$A$1,AL200,23)))</f>
        <v>1411.5493642280649</v>
      </c>
      <c r="AT200" s="38">
        <f>(constantes!$B$3*(1+constantes!$B$3)^(AH200))/((1+constantes!$B$3)^(AH200)-1)</f>
        <v>8.8827433387272267E-2</v>
      </c>
      <c r="AU200" s="37">
        <f t="shared" ca="1" si="54"/>
        <v>127.53430712381495</v>
      </c>
      <c r="AV200" s="37">
        <f ca="1">IF(AO200=0,AX200/constantes!$B$3,AU200/constantes!$B$3)</f>
        <v>1594.178839047687</v>
      </c>
      <c r="AW200" s="39">
        <f ca="1">IF(AO200=0,0,PV(constantes!$B$3,AH200,-AU200)*constantes!$B$3)</f>
        <v>114.86028787326312</v>
      </c>
      <c r="AX200" s="40">
        <f>constantes!$B$10*E200/1000</f>
        <v>2.15</v>
      </c>
      <c r="AY200" s="533">
        <f>constantes!$B$12</f>
        <v>0</v>
      </c>
      <c r="AZ200" s="20">
        <v>318</v>
      </c>
      <c r="BA200" s="43"/>
      <c r="BB200" s="3" t="s">
        <v>2183</v>
      </c>
      <c r="BD200" s="534">
        <v>1</v>
      </c>
      <c r="BE200" s="535">
        <v>2030</v>
      </c>
      <c r="BF200" s="536">
        <v>1</v>
      </c>
      <c r="BG200" s="537">
        <v>2030</v>
      </c>
    </row>
    <row r="201" spans="1:59" ht="13.15" customHeight="1">
      <c r="A201" s="125">
        <v>1176</v>
      </c>
      <c r="B201" s="125">
        <v>1176</v>
      </c>
      <c r="C201" s="641" t="s">
        <v>2449</v>
      </c>
      <c r="D201" s="546" t="s">
        <v>2449</v>
      </c>
      <c r="E201" s="526">
        <v>118</v>
      </c>
      <c r="F201" s="3" t="s">
        <v>2194</v>
      </c>
      <c r="G201" s="3" t="s">
        <v>2076</v>
      </c>
      <c r="H201" s="3">
        <v>-50.591594000000001</v>
      </c>
      <c r="I201" s="3">
        <v>-24.350384999999999</v>
      </c>
      <c r="J201" s="549" t="s">
        <v>151</v>
      </c>
      <c r="K201" s="549" t="s">
        <v>151</v>
      </c>
      <c r="L201" s="554">
        <v>2</v>
      </c>
      <c r="M201" s="540"/>
      <c r="N201" s="529">
        <v>1.9820000000000001E-2</v>
      </c>
      <c r="O201" s="529">
        <v>5.2919999999999995E-2</v>
      </c>
      <c r="P201" s="288">
        <f t="shared" si="45"/>
        <v>0.54326082021791766</v>
      </c>
      <c r="Q201" s="30">
        <f t="shared" si="50"/>
        <v>64.104776785714279</v>
      </c>
      <c r="R201" s="30">
        <f t="shared" si="46"/>
        <v>53.895223214285721</v>
      </c>
      <c r="S201" s="107">
        <v>69.42190476190477</v>
      </c>
      <c r="T201" s="107">
        <v>60.537738095238097</v>
      </c>
      <c r="U201" s="107">
        <v>56.529583333333335</v>
      </c>
      <c r="V201" s="107">
        <v>69.929880952380941</v>
      </c>
      <c r="W201" s="288">
        <f t="shared" si="47"/>
        <v>0.64808765370554999</v>
      </c>
      <c r="X201" s="289">
        <f t="shared" si="51"/>
        <v>76.474343137254905</v>
      </c>
      <c r="Y201" s="289">
        <f t="shared" si="52"/>
        <v>12.369566351540627</v>
      </c>
      <c r="Z201" s="107">
        <v>84.313450980392147</v>
      </c>
      <c r="AA201" s="107">
        <v>67.832901960784312</v>
      </c>
      <c r="AB201" s="107">
        <v>72.327333333333328</v>
      </c>
      <c r="AC201" s="107">
        <v>81.423686274509805</v>
      </c>
      <c r="AD201" s="106">
        <v>1</v>
      </c>
      <c r="AE201" s="32" t="str">
        <f>IF(AD201=0,"",VLOOKUP(AD201,tab_tipo_expansao!$A$2:$B$4,2,0))</f>
        <v>opcional</v>
      </c>
      <c r="AF201" s="125">
        <v>2023</v>
      </c>
      <c r="AG201" s="125">
        <v>2100</v>
      </c>
      <c r="AH201" s="125">
        <v>30</v>
      </c>
      <c r="AI201" s="530">
        <v>772.80326367333271</v>
      </c>
      <c r="AJ201" s="24">
        <f>AK201/constantes!$B$4</f>
        <v>1679.2769745183239</v>
      </c>
      <c r="AK201" s="33">
        <f t="shared" si="48"/>
        <v>6549.180200621463</v>
      </c>
      <c r="AL201" s="87">
        <v>2</v>
      </c>
      <c r="AM201" s="531">
        <v>0</v>
      </c>
      <c r="AN201" s="23"/>
      <c r="AO201" s="532">
        <f t="shared" si="53"/>
        <v>772.80326367333271</v>
      </c>
      <c r="AQ201" s="35">
        <f t="shared" si="49"/>
        <v>6549.1802006214639</v>
      </c>
      <c r="AR201" s="36">
        <f ca="1">OFFSET(cod_desembolso!$A$1,AL201,23)</f>
        <v>1.1245293369208682</v>
      </c>
      <c r="AS201" s="37">
        <f ca="1">IF(AO201=0,0,AO201*(OFFSET(cod_desembolso!$A$1,AL201,23)))</f>
        <v>869.0399416688557</v>
      </c>
      <c r="AT201" s="38">
        <f>(constantes!$B$3*(1+constantes!$B$3)^(AH201))/((1+constantes!$B$3)^(AH201)-1)</f>
        <v>8.8827433387272267E-2</v>
      </c>
      <c r="AU201" s="37">
        <f t="shared" ca="1" si="54"/>
        <v>83.094587529469266</v>
      </c>
      <c r="AV201" s="37">
        <f ca="1">IF(AO201=0,AX201/constantes!$B$3,AU201/constantes!$B$3)</f>
        <v>1038.6823441183658</v>
      </c>
      <c r="AW201" s="39">
        <f ca="1">IF(AO201=0,0,PV(constantes!$B$3,AH201,-AU201)*constantes!$B$3)</f>
        <v>74.836869071464633</v>
      </c>
      <c r="AX201" s="40">
        <f>constantes!$B$10*E201/1000</f>
        <v>5.9</v>
      </c>
      <c r="AY201" s="533">
        <f>constantes!$B$12</f>
        <v>0</v>
      </c>
      <c r="AZ201" s="20">
        <v>318</v>
      </c>
      <c r="BA201" s="43"/>
      <c r="BB201" s="3" t="s">
        <v>2207</v>
      </c>
      <c r="BD201" s="534">
        <v>1</v>
      </c>
      <c r="BE201" s="535">
        <v>2022</v>
      </c>
      <c r="BF201" s="536">
        <v>1</v>
      </c>
      <c r="BG201" s="537">
        <v>2022</v>
      </c>
    </row>
    <row r="202" spans="1:59" ht="13.15" customHeight="1">
      <c r="A202" s="125">
        <v>1177</v>
      </c>
      <c r="B202" s="125">
        <v>1177</v>
      </c>
      <c r="C202" s="546" t="s">
        <v>2450</v>
      </c>
      <c r="D202" s="546" t="s">
        <v>2450</v>
      </c>
      <c r="E202" s="526">
        <v>142.49</v>
      </c>
      <c r="F202" s="3" t="s">
        <v>2204</v>
      </c>
      <c r="G202" s="3" t="s">
        <v>2205</v>
      </c>
      <c r="H202" s="3">
        <v>-43.039397000000001</v>
      </c>
      <c r="I202" s="3">
        <v>-17.197610999999998</v>
      </c>
      <c r="J202" s="549" t="s">
        <v>150</v>
      </c>
      <c r="K202" s="549" t="s">
        <v>150</v>
      </c>
      <c r="L202" s="554">
        <v>1</v>
      </c>
      <c r="M202" s="540"/>
      <c r="N202" s="529">
        <v>1.6379999999999999E-2</v>
      </c>
      <c r="O202" s="529">
        <v>6.1409999999999999E-2</v>
      </c>
      <c r="P202" s="288">
        <f t="shared" si="45"/>
        <v>0.53169259580455108</v>
      </c>
      <c r="Q202" s="30">
        <f t="shared" si="50"/>
        <v>75.760877976190486</v>
      </c>
      <c r="R202" s="30">
        <f t="shared" si="46"/>
        <v>66.729122023809524</v>
      </c>
      <c r="S202" s="107">
        <v>69.092857142857156</v>
      </c>
      <c r="T202" s="107">
        <v>43.130357142857143</v>
      </c>
      <c r="U202" s="107">
        <v>100.30874999999999</v>
      </c>
      <c r="V202" s="107">
        <v>90.511547619047619</v>
      </c>
      <c r="W202" s="288">
        <f t="shared" si="47"/>
        <v>0.53069916155106867</v>
      </c>
      <c r="X202" s="289">
        <f t="shared" si="51"/>
        <v>75.619323529411773</v>
      </c>
      <c r="Y202" s="289">
        <f t="shared" si="52"/>
        <v>-0.14155444677871287</v>
      </c>
      <c r="Z202" s="107">
        <v>90.952823529411774</v>
      </c>
      <c r="AA202" s="107">
        <v>47.123058823529419</v>
      </c>
      <c r="AB202" s="107">
        <v>79.781764705882338</v>
      </c>
      <c r="AC202" s="107">
        <v>84.619647058823531</v>
      </c>
      <c r="AD202" s="106">
        <v>1</v>
      </c>
      <c r="AE202" s="32" t="str">
        <f>IF(AD202=0,"",VLOOKUP(AD202,tab_tipo_expansao!$A$2:$B$4,2,0))</f>
        <v>opcional</v>
      </c>
      <c r="AF202" s="125">
        <v>2028</v>
      </c>
      <c r="AG202" s="125">
        <v>2100</v>
      </c>
      <c r="AH202" s="125">
        <v>30</v>
      </c>
      <c r="AI202" s="530">
        <v>2558.4353758476263</v>
      </c>
      <c r="AJ202" s="24">
        <f>AK202/constantes!$B$4</f>
        <v>4603.8955065629907</v>
      </c>
      <c r="AK202" s="33">
        <f t="shared" si="48"/>
        <v>17955.192475595664</v>
      </c>
      <c r="AL202" s="87">
        <v>2</v>
      </c>
      <c r="AM202" s="531">
        <v>0</v>
      </c>
      <c r="AN202" s="23"/>
      <c r="AO202" s="532">
        <f t="shared" si="53"/>
        <v>2558.4353758476263</v>
      </c>
      <c r="AQ202" s="35">
        <f t="shared" si="49"/>
        <v>17955.192475595664</v>
      </c>
      <c r="AR202" s="36">
        <f ca="1">OFFSET(cod_desembolso!$A$1,AL202,23)</f>
        <v>1.1245293369208682</v>
      </c>
      <c r="AS202" s="37">
        <f ca="1">IF(AO202=0,0,AO202*(OFFSET(cod_desembolso!$A$1,AL202,23)))</f>
        <v>2877.0356367568234</v>
      </c>
      <c r="AT202" s="38">
        <f>(constantes!$B$3*(1+constantes!$B$3)^(AH202))/((1+constantes!$B$3)^(AH202)-1)</f>
        <v>8.8827433387272267E-2</v>
      </c>
      <c r="AU202" s="37">
        <f t="shared" ca="1" si="54"/>
        <v>262.6841913768252</v>
      </c>
      <c r="AV202" s="37">
        <f ca="1">IF(AO202=0,AX202/constantes!$B$3,AU202/constantes!$B$3)</f>
        <v>3283.5523922103148</v>
      </c>
      <c r="AW202" s="39">
        <f ca="1">IF(AO202=0,0,PV(constantes!$B$3,AH202,-AU202)*constantes!$B$3)</f>
        <v>236.5793371347948</v>
      </c>
      <c r="AX202" s="40">
        <f>constantes!$B$10*E202/1000</f>
        <v>7.1245000000000003</v>
      </c>
      <c r="AY202" s="533">
        <f>constantes!$B$12</f>
        <v>0</v>
      </c>
      <c r="AZ202" s="20">
        <v>318</v>
      </c>
      <c r="BA202" s="43"/>
      <c r="BB202" s="3" t="s">
        <v>2195</v>
      </c>
      <c r="BD202" s="534">
        <v>1</v>
      </c>
      <c r="BE202" s="535">
        <v>2027</v>
      </c>
      <c r="BF202" s="536">
        <v>1</v>
      </c>
      <c r="BG202" s="537">
        <v>2027</v>
      </c>
    </row>
    <row r="203" spans="1:59" ht="13.15" customHeight="1">
      <c r="A203" s="125">
        <v>1178</v>
      </c>
      <c r="B203" s="125">
        <v>1178</v>
      </c>
      <c r="C203" s="546" t="s">
        <v>2451</v>
      </c>
      <c r="D203" s="546" t="s">
        <v>2451</v>
      </c>
      <c r="E203" s="526">
        <v>128.69999999999999</v>
      </c>
      <c r="F203" s="3" t="s">
        <v>2229</v>
      </c>
      <c r="G203" s="3" t="s">
        <v>2452</v>
      </c>
      <c r="H203" s="3">
        <v>-49.034534999999998</v>
      </c>
      <c r="I203" s="3">
        <v>-24.650016999999998</v>
      </c>
      <c r="J203" s="549" t="s">
        <v>146</v>
      </c>
      <c r="K203" s="549" t="s">
        <v>146</v>
      </c>
      <c r="L203" s="554">
        <v>2</v>
      </c>
      <c r="M203" s="540"/>
      <c r="N203" s="529">
        <v>1.6379999999999999E-2</v>
      </c>
      <c r="O203" s="529">
        <v>6.1409999999999999E-2</v>
      </c>
      <c r="P203" s="288">
        <f t="shared" si="45"/>
        <v>0.57349005161505173</v>
      </c>
      <c r="Q203" s="30">
        <f t="shared" si="50"/>
        <v>73.808169642857152</v>
      </c>
      <c r="R203" s="30">
        <f t="shared" si="46"/>
        <v>54.891830357142837</v>
      </c>
      <c r="S203" s="107">
        <v>80.357142857142847</v>
      </c>
      <c r="T203" s="107">
        <v>74.109523809523822</v>
      </c>
      <c r="U203" s="107">
        <v>72.894166666666663</v>
      </c>
      <c r="V203" s="107">
        <v>67.871845238095247</v>
      </c>
      <c r="W203" s="288">
        <f t="shared" si="47"/>
        <v>0.71659490835961437</v>
      </c>
      <c r="X203" s="289">
        <f t="shared" si="51"/>
        <v>92.225764705882355</v>
      </c>
      <c r="Y203" s="289">
        <f t="shared" si="52"/>
        <v>18.417595063025203</v>
      </c>
      <c r="Z203" s="107">
        <v>99.996627450980398</v>
      </c>
      <c r="AA203" s="107">
        <v>88.021411764705874</v>
      </c>
      <c r="AB203" s="107">
        <v>89.513568627450979</v>
      </c>
      <c r="AC203" s="107">
        <v>91.371450980392169</v>
      </c>
      <c r="AD203" s="106">
        <v>3</v>
      </c>
      <c r="AE203" s="32" t="str">
        <f>IF(AD203=0,"",VLOOKUP(AD203,tab_tipo_expansao!$A$2:$B$4,2,0))</f>
        <v>não_considerar</v>
      </c>
      <c r="AF203" s="125">
        <v>2030</v>
      </c>
      <c r="AG203" s="125">
        <v>2100</v>
      </c>
      <c r="AH203" s="125">
        <v>30</v>
      </c>
      <c r="AI203" s="530">
        <v>855.95826724299332</v>
      </c>
      <c r="AJ203" s="24">
        <f>AK203/constantes!$B$4</f>
        <v>1705.3339454565244</v>
      </c>
      <c r="AK203" s="33">
        <f t="shared" si="48"/>
        <v>6650.8023872804451</v>
      </c>
      <c r="AL203" s="87">
        <v>2</v>
      </c>
      <c r="AM203" s="531">
        <v>0</v>
      </c>
      <c r="AN203" s="23"/>
      <c r="AO203" s="532">
        <f t="shared" si="53"/>
        <v>855.95826724299332</v>
      </c>
      <c r="AQ203" s="35">
        <f t="shared" si="49"/>
        <v>6650.8023872804461</v>
      </c>
      <c r="AR203" s="36">
        <f ca="1">OFFSET(cod_desembolso!$A$1,AL203,23)</f>
        <v>1.1245293369208682</v>
      </c>
      <c r="AS203" s="37">
        <f ca="1">IF(AO203=0,0,AO203*(OFFSET(cod_desembolso!$A$1,AL203,23)))</f>
        <v>962.55018269469861</v>
      </c>
      <c r="AT203" s="38">
        <f>(constantes!$B$3*(1+constantes!$B$3)^(AH203))/((1+constantes!$B$3)^(AH203)-1)</f>
        <v>8.8827433387272267E-2</v>
      </c>
      <c r="AU203" s="37">
        <f t="shared" ca="1" si="54"/>
        <v>91.9358622352201</v>
      </c>
      <c r="AV203" s="37">
        <f ca="1">IF(AO203=0,AX203/constantes!$B$3,AU203/constantes!$B$3)</f>
        <v>1149.1982779402513</v>
      </c>
      <c r="AW203" s="39">
        <f ca="1">IF(AO203=0,0,PV(constantes!$B$3,AH203,-AU203)*constantes!$B$3)</f>
        <v>82.799521480617912</v>
      </c>
      <c r="AX203" s="40">
        <f>constantes!$B$10*E203/1000</f>
        <v>6.4349999999999987</v>
      </c>
      <c r="AY203" s="533">
        <f>constantes!$B$12</f>
        <v>0</v>
      </c>
      <c r="AZ203" s="20">
        <v>318</v>
      </c>
      <c r="BA203" s="43"/>
      <c r="BB203" s="3" t="s">
        <v>2215</v>
      </c>
      <c r="BD203" s="534">
        <v>1</v>
      </c>
      <c r="BE203" s="535">
        <v>2035</v>
      </c>
      <c r="BF203" s="536">
        <v>3</v>
      </c>
      <c r="BG203" s="537">
        <v>2050</v>
      </c>
    </row>
    <row r="204" spans="1:59" ht="13.15" customHeight="1">
      <c r="A204" s="125">
        <v>1179</v>
      </c>
      <c r="B204" s="125">
        <v>1179</v>
      </c>
      <c r="C204" s="546" t="s">
        <v>2453</v>
      </c>
      <c r="D204" s="546" t="s">
        <v>2453</v>
      </c>
      <c r="E204" s="526">
        <v>76</v>
      </c>
      <c r="F204" s="3" t="s">
        <v>2197</v>
      </c>
      <c r="G204" s="3" t="s">
        <v>2198</v>
      </c>
      <c r="H204" s="3">
        <v>-53.081797000000002</v>
      </c>
      <c r="I204" s="3">
        <v>-15.250735000000001</v>
      </c>
      <c r="J204" s="549" t="s">
        <v>158</v>
      </c>
      <c r="K204" s="549" t="s">
        <v>158</v>
      </c>
      <c r="L204" s="554">
        <v>1</v>
      </c>
      <c r="M204" s="540"/>
      <c r="N204" s="529">
        <v>1.9820000000000001E-2</v>
      </c>
      <c r="O204" s="529">
        <v>5.2919999999999995E-2</v>
      </c>
      <c r="P204" s="288">
        <f t="shared" si="45"/>
        <v>0.63927788220551374</v>
      </c>
      <c r="Q204" s="30">
        <f t="shared" si="50"/>
        <v>48.585119047619045</v>
      </c>
      <c r="R204" s="30">
        <f t="shared" si="46"/>
        <v>27.414880952380955</v>
      </c>
      <c r="S204" s="107">
        <v>66.933333333333337</v>
      </c>
      <c r="T204" s="107">
        <v>51.30797619047619</v>
      </c>
      <c r="U204" s="107">
        <v>35.06</v>
      </c>
      <c r="V204" s="107">
        <v>41.039166666666667</v>
      </c>
      <c r="W204" s="288">
        <f t="shared" si="47"/>
        <v>0.69997613519091895</v>
      </c>
      <c r="X204" s="289">
        <f t="shared" si="51"/>
        <v>53.198186274509837</v>
      </c>
      <c r="Y204" s="289">
        <f t="shared" si="52"/>
        <v>4.6130672268907915</v>
      </c>
      <c r="Z204" s="107">
        <v>68.90584313725499</v>
      </c>
      <c r="AA204" s="107">
        <v>55.644235294117664</v>
      </c>
      <c r="AB204" s="107">
        <v>38.169960784313744</v>
      </c>
      <c r="AC204" s="107">
        <v>50.072705882352942</v>
      </c>
      <c r="AD204" s="106">
        <v>1</v>
      </c>
      <c r="AE204" s="32" t="str">
        <f>IF(AD204=0,"",VLOOKUP(AD204,tab_tipo_expansao!$A$2:$B$4,2,0))</f>
        <v>opcional</v>
      </c>
      <c r="AF204" s="125">
        <v>2028</v>
      </c>
      <c r="AG204" s="125">
        <v>2100</v>
      </c>
      <c r="AH204" s="125">
        <v>30</v>
      </c>
      <c r="AI204" s="530">
        <v>542.60614507525361</v>
      </c>
      <c r="AJ204" s="24">
        <f>AK204/constantes!$B$4</f>
        <v>1830.6550103753495</v>
      </c>
      <c r="AK204" s="33">
        <f t="shared" si="48"/>
        <v>7139.5545404638633</v>
      </c>
      <c r="AL204" s="87">
        <v>2</v>
      </c>
      <c r="AM204" s="531">
        <v>0</v>
      </c>
      <c r="AN204" s="23"/>
      <c r="AO204" s="532">
        <f t="shared" si="53"/>
        <v>542.60614507525361</v>
      </c>
      <c r="AQ204" s="35">
        <f t="shared" si="49"/>
        <v>7139.5545404638624</v>
      </c>
      <c r="AR204" s="36">
        <f ca="1">OFFSET(cod_desembolso!$A$1,AL204,23)</f>
        <v>1.1245293369208682</v>
      </c>
      <c r="AS204" s="37">
        <f ca="1">IF(AO204=0,0,AO204*(OFFSET(cod_desembolso!$A$1,AL204,23)))</f>
        <v>610.1765285306634</v>
      </c>
      <c r="AT204" s="38">
        <f>(constantes!$B$3*(1+constantes!$B$3)^(AH204))/((1+constantes!$B$3)^(AH204)-1)</f>
        <v>8.8827433387272267E-2</v>
      </c>
      <c r="AU204" s="37">
        <f t="shared" ca="1" si="54"/>
        <v>58.000414942534533</v>
      </c>
      <c r="AV204" s="37">
        <f ca="1">IF(AO204=0,AX204/constantes!$B$3,AU204/constantes!$B$3)</f>
        <v>725.00518678168169</v>
      </c>
      <c r="AW204" s="39">
        <f ca="1">IF(AO204=0,0,PV(constantes!$B$3,AH204,-AU204)*constantes!$B$3)</f>
        <v>52.23648841876382</v>
      </c>
      <c r="AX204" s="40">
        <f>constantes!$B$10*E204/1000</f>
        <v>3.8</v>
      </c>
      <c r="AY204" s="533">
        <f>constantes!$B$12</f>
        <v>0</v>
      </c>
      <c r="AZ204" s="20">
        <v>318</v>
      </c>
      <c r="BA204" s="43"/>
      <c r="BB204" s="3" t="s">
        <v>2195</v>
      </c>
      <c r="BD204" s="534">
        <v>1</v>
      </c>
      <c r="BE204" s="535">
        <v>2027</v>
      </c>
      <c r="BF204" s="536">
        <v>1</v>
      </c>
      <c r="BG204" s="537">
        <v>2027</v>
      </c>
    </row>
    <row r="205" spans="1:59" ht="13.15" customHeight="1">
      <c r="A205" s="125">
        <v>1180</v>
      </c>
      <c r="B205" s="125">
        <v>1180</v>
      </c>
      <c r="C205" s="546" t="s">
        <v>2454</v>
      </c>
      <c r="D205" s="546" t="s">
        <v>2454</v>
      </c>
      <c r="E205" s="526">
        <v>408</v>
      </c>
      <c r="F205" s="3" t="s">
        <v>2197</v>
      </c>
      <c r="G205" s="3" t="s">
        <v>2266</v>
      </c>
      <c r="H205" s="3">
        <v>-52.622920000000001</v>
      </c>
      <c r="I205" s="3">
        <v>-16.285907999999999</v>
      </c>
      <c r="J205" s="549" t="s">
        <v>2003</v>
      </c>
      <c r="K205" s="549" t="s">
        <v>2003</v>
      </c>
      <c r="L205" s="554">
        <v>1</v>
      </c>
      <c r="M205" s="540"/>
      <c r="N205" s="529">
        <v>1.6379999999999999E-2</v>
      </c>
      <c r="O205" s="529">
        <v>6.1409999999999999E-2</v>
      </c>
      <c r="P205" s="288">
        <f t="shared" si="45"/>
        <v>0.46363470909197013</v>
      </c>
      <c r="Q205" s="30">
        <f t="shared" si="50"/>
        <v>189.16296130952381</v>
      </c>
      <c r="R205" s="30">
        <f t="shared" si="46"/>
        <v>218.83703869047619</v>
      </c>
      <c r="S205" s="107">
        <v>195.61666666666665</v>
      </c>
      <c r="T205" s="107">
        <v>192.3609523809524</v>
      </c>
      <c r="U205" s="107">
        <v>164.33041666666665</v>
      </c>
      <c r="V205" s="107">
        <v>204.34380952380954</v>
      </c>
      <c r="W205" s="288">
        <f t="shared" si="47"/>
        <v>0.54359205594002313</v>
      </c>
      <c r="X205" s="289">
        <f t="shared" si="51"/>
        <v>221.78555882352944</v>
      </c>
      <c r="Y205" s="289">
        <f t="shared" si="52"/>
        <v>32.622597514005633</v>
      </c>
      <c r="Z205" s="107">
        <v>240.94294117647061</v>
      </c>
      <c r="AA205" s="107">
        <v>197.58227450980394</v>
      </c>
      <c r="AB205" s="107">
        <v>206.083568627451</v>
      </c>
      <c r="AC205" s="107">
        <v>242.53345098039219</v>
      </c>
      <c r="AD205" s="106">
        <v>3</v>
      </c>
      <c r="AE205" s="32" t="str">
        <f>IF(AD205=0,"",VLOOKUP(AD205,tab_tipo_expansao!$A$2:$B$4,2,0))</f>
        <v>não_considerar</v>
      </c>
      <c r="AF205" s="125">
        <v>2030</v>
      </c>
      <c r="AG205" s="125">
        <v>2100</v>
      </c>
      <c r="AH205" s="125">
        <v>30</v>
      </c>
      <c r="AI205" s="530">
        <v>2490.798592417671</v>
      </c>
      <c r="AJ205" s="24">
        <f>AK205/constantes!$B$4</f>
        <v>1565.3585925199038</v>
      </c>
      <c r="AK205" s="33">
        <f t="shared" si="48"/>
        <v>6104.8985108276247</v>
      </c>
      <c r="AL205" s="87">
        <v>3</v>
      </c>
      <c r="AM205" s="531">
        <v>0</v>
      </c>
      <c r="AN205" s="23"/>
      <c r="AO205" s="532">
        <f t="shared" si="53"/>
        <v>2490.798592417671</v>
      </c>
      <c r="AQ205" s="35">
        <f t="shared" si="49"/>
        <v>6104.8985108276247</v>
      </c>
      <c r="AR205" s="36">
        <f ca="1">OFFSET(cod_desembolso!$A$1,AL205,23)</f>
        <v>1.1255071012622904</v>
      </c>
      <c r="AS205" s="37">
        <f ca="1">IF(AO205=0,0,AO205*(OFFSET(cod_desembolso!$A$1,AL205,23)))</f>
        <v>2803.411503580206</v>
      </c>
      <c r="AT205" s="38">
        <f>(constantes!$B$3*(1+constantes!$B$3)^(AH205))/((1+constantes!$B$3)^(AH205)-1)</f>
        <v>8.8827433387272267E-2</v>
      </c>
      <c r="AU205" s="37">
        <f t="shared" ca="1" si="54"/>
        <v>269.41984859138353</v>
      </c>
      <c r="AV205" s="37">
        <f ca="1">IF(AO205=0,AX205/constantes!$B$3,AU205/constantes!$B$3)</f>
        <v>3367.7481073922941</v>
      </c>
      <c r="AW205" s="39">
        <f ca="1">IF(AO205=0,0,PV(constantes!$B$3,AH205,-AU205)*constantes!$B$3)</f>
        <v>242.64562270240052</v>
      </c>
      <c r="AX205" s="40">
        <f>constantes!$B$10*E205/1000</f>
        <v>20.399999999999999</v>
      </c>
      <c r="AY205" s="533">
        <f>constantes!$B$12</f>
        <v>0</v>
      </c>
      <c r="AZ205" s="20">
        <v>318</v>
      </c>
      <c r="BA205" s="43"/>
      <c r="BB205" s="3" t="s">
        <v>2181</v>
      </c>
      <c r="BD205" s="534">
        <v>1</v>
      </c>
      <c r="BE205" s="535">
        <v>2027</v>
      </c>
      <c r="BF205" s="536">
        <v>1</v>
      </c>
      <c r="BG205" s="537">
        <v>2027</v>
      </c>
    </row>
    <row r="206" spans="1:59" ht="13.15" customHeight="1">
      <c r="A206" s="125">
        <v>1181</v>
      </c>
      <c r="B206" s="125">
        <v>1181</v>
      </c>
      <c r="C206" s="546" t="s">
        <v>2455</v>
      </c>
      <c r="D206" s="546" t="s">
        <v>2455</v>
      </c>
      <c r="E206" s="526">
        <v>38</v>
      </c>
      <c r="F206" s="3" t="s">
        <v>2229</v>
      </c>
      <c r="G206" s="3" t="s">
        <v>2456</v>
      </c>
      <c r="H206" s="3">
        <v>-41.147545999999998</v>
      </c>
      <c r="I206" s="3">
        <v>-19.492186</v>
      </c>
      <c r="J206" s="549" t="s">
        <v>150</v>
      </c>
      <c r="K206" s="549" t="s">
        <v>150</v>
      </c>
      <c r="L206" s="554">
        <v>1</v>
      </c>
      <c r="M206" s="540"/>
      <c r="N206" s="529">
        <v>2.068E-2</v>
      </c>
      <c r="O206" s="529">
        <v>4.6600000000000003E-2</v>
      </c>
      <c r="P206" s="288">
        <f t="shared" si="45"/>
        <v>0.60530740914786962</v>
      </c>
      <c r="Q206" s="30">
        <f t="shared" si="50"/>
        <v>23.001681547619047</v>
      </c>
      <c r="R206" s="30">
        <f t="shared" si="46"/>
        <v>14.998318452380953</v>
      </c>
      <c r="S206" s="107">
        <v>32.133333333333333</v>
      </c>
      <c r="T206" s="107">
        <v>22.627321428571431</v>
      </c>
      <c r="U206" s="107">
        <v>13.5</v>
      </c>
      <c r="V206" s="107">
        <v>23.74607142857143</v>
      </c>
      <c r="W206" s="288">
        <f t="shared" si="47"/>
        <v>0.60993317853457185</v>
      </c>
      <c r="X206" s="289">
        <f t="shared" si="51"/>
        <v>23.17746078431373</v>
      </c>
      <c r="Y206" s="289">
        <f t="shared" si="52"/>
        <v>0.17577923669468376</v>
      </c>
      <c r="Z206" s="107">
        <v>32.104196078431386</v>
      </c>
      <c r="AA206" s="107">
        <v>22.139215686274511</v>
      </c>
      <c r="AB206" s="107">
        <v>13.287058823529415</v>
      </c>
      <c r="AC206" s="107">
        <v>25.179372549019604</v>
      </c>
      <c r="AD206" s="106">
        <v>1</v>
      </c>
      <c r="AE206" s="32" t="str">
        <f>IF(AD206=0,"",VLOOKUP(AD206,tab_tipo_expansao!$A$2:$B$4,2,0))</f>
        <v>opcional</v>
      </c>
      <c r="AF206" s="125">
        <v>2028</v>
      </c>
      <c r="AG206" s="125">
        <v>2100</v>
      </c>
      <c r="AH206" s="125">
        <v>30</v>
      </c>
      <c r="AI206" s="530">
        <v>380</v>
      </c>
      <c r="AJ206" s="24">
        <f>AK206/constantes!$B$4</f>
        <v>2564.102564102564</v>
      </c>
      <c r="AK206" s="33">
        <f t="shared" si="48"/>
        <v>10000</v>
      </c>
      <c r="AL206" s="87">
        <v>2</v>
      </c>
      <c r="AM206" s="531">
        <v>0</v>
      </c>
      <c r="AN206" s="23"/>
      <c r="AO206" s="532">
        <f t="shared" si="53"/>
        <v>380</v>
      </c>
      <c r="AQ206" s="35">
        <f t="shared" si="49"/>
        <v>10000</v>
      </c>
      <c r="AR206" s="36">
        <f ca="1">OFFSET(cod_desembolso!$A$1,AL206,23)</f>
        <v>1.1245293369208682</v>
      </c>
      <c r="AS206" s="37">
        <f ca="1">IF(AO206=0,0,AO206*(OFFSET(cod_desembolso!$A$1,AL206,23)))</f>
        <v>427.32114802992993</v>
      </c>
      <c r="AT206" s="38">
        <f>(constantes!$B$3*(1+constantes!$B$3)^(AH206))/((1+constantes!$B$3)^(AH206)-1)</f>
        <v>8.8827433387272267E-2</v>
      </c>
      <c r="AU206" s="37">
        <f t="shared" ca="1" si="54"/>
        <v>39.857840811601314</v>
      </c>
      <c r="AV206" s="37">
        <f ca="1">IF(AO206=0,AX206/constantes!$B$3,AU206/constantes!$B$3)</f>
        <v>498.22301014501642</v>
      </c>
      <c r="AW206" s="39">
        <f ca="1">IF(AO206=0,0,PV(constantes!$B$3,AH206,-AU206)*constantes!$B$3)</f>
        <v>35.896874910549776</v>
      </c>
      <c r="AX206" s="40">
        <f>constantes!$B$10*E206/1000</f>
        <v>1.9</v>
      </c>
      <c r="AY206" s="533">
        <f>constantes!$B$12</f>
        <v>0</v>
      </c>
      <c r="AZ206" s="20">
        <v>318</v>
      </c>
      <c r="BA206" s="43"/>
      <c r="BB206" s="3" t="s">
        <v>2195</v>
      </c>
      <c r="BD206" s="534">
        <v>1</v>
      </c>
      <c r="BE206" s="535">
        <v>2027</v>
      </c>
      <c r="BF206" s="536">
        <v>1</v>
      </c>
      <c r="BG206" s="537">
        <v>2027</v>
      </c>
    </row>
    <row r="207" spans="1:59" ht="13.15" customHeight="1">
      <c r="A207" s="125">
        <v>1182</v>
      </c>
      <c r="B207" s="125">
        <v>1182</v>
      </c>
      <c r="C207" s="546" t="s">
        <v>2457</v>
      </c>
      <c r="D207" s="546" t="s">
        <v>2457</v>
      </c>
      <c r="E207" s="526">
        <v>252</v>
      </c>
      <c r="F207" s="3" t="s">
        <v>2179</v>
      </c>
      <c r="G207" s="3" t="s">
        <v>2226</v>
      </c>
      <c r="H207" s="3">
        <v>-58.178508999999998</v>
      </c>
      <c r="I207" s="3">
        <v>-10.557206000000001</v>
      </c>
      <c r="J207" s="549" t="s">
        <v>158</v>
      </c>
      <c r="K207" s="549" t="s">
        <v>158</v>
      </c>
      <c r="L207" s="554">
        <v>1</v>
      </c>
      <c r="M207" s="540"/>
      <c r="N207" s="529">
        <v>1.6379999999999999E-2</v>
      </c>
      <c r="O207" s="529">
        <v>6.1409999999999999E-2</v>
      </c>
      <c r="P207" s="288">
        <f t="shared" si="45"/>
        <v>0.55078951719576719</v>
      </c>
      <c r="Q207" s="30">
        <f t="shared" si="50"/>
        <v>138.79895833333333</v>
      </c>
      <c r="R207" s="30">
        <f t="shared" si="46"/>
        <v>113.20104166666667</v>
      </c>
      <c r="S207" s="107">
        <v>202.78</v>
      </c>
      <c r="T207" s="107">
        <v>180.1679761904762</v>
      </c>
      <c r="U207" s="107">
        <v>72.969583333333333</v>
      </c>
      <c r="V207" s="107">
        <v>99.27827380952381</v>
      </c>
      <c r="W207" s="288">
        <f t="shared" si="47"/>
        <v>0.54165522875816985</v>
      </c>
      <c r="X207" s="289">
        <f t="shared" si="51"/>
        <v>136.49711764705881</v>
      </c>
      <c r="Y207" s="289">
        <f t="shared" si="52"/>
        <v>-2.3018406862745167</v>
      </c>
      <c r="Z207" s="107">
        <v>206.36741176470591</v>
      </c>
      <c r="AA207" s="107">
        <v>165.77745098039216</v>
      </c>
      <c r="AB207" s="107">
        <v>70.776352941176484</v>
      </c>
      <c r="AC207" s="107">
        <v>103.06725490196078</v>
      </c>
      <c r="AD207" s="106">
        <v>3</v>
      </c>
      <c r="AE207" s="32" t="str">
        <f>IF(AD207=0,"",VLOOKUP(AD207,tab_tipo_expansao!$A$2:$B$4,2,0))</f>
        <v>não_considerar</v>
      </c>
      <c r="AF207" s="125">
        <v>2030</v>
      </c>
      <c r="AG207" s="125">
        <v>2100</v>
      </c>
      <c r="AH207" s="125">
        <v>30</v>
      </c>
      <c r="AI207" s="530">
        <v>4088.5869013441875</v>
      </c>
      <c r="AJ207" s="24">
        <f>AK207/constantes!$B$4</f>
        <v>4160.1413322590433</v>
      </c>
      <c r="AK207" s="33">
        <f t="shared" si="48"/>
        <v>16224.551195810267</v>
      </c>
      <c r="AL207" s="87">
        <v>2</v>
      </c>
      <c r="AM207" s="531">
        <v>0</v>
      </c>
      <c r="AN207" s="23"/>
      <c r="AO207" s="532">
        <f t="shared" si="53"/>
        <v>4088.5869013441875</v>
      </c>
      <c r="AQ207" s="35">
        <f t="shared" si="49"/>
        <v>16224.551195810269</v>
      </c>
      <c r="AR207" s="36">
        <f ca="1">OFFSET(cod_desembolso!$A$1,AL207,23)</f>
        <v>1.1245293369208682</v>
      </c>
      <c r="AS207" s="37">
        <f ca="1">IF(AO207=0,0,AO207*(OFFSET(cod_desembolso!$A$1,AL207,23)))</f>
        <v>4597.735917111926</v>
      </c>
      <c r="AT207" s="38">
        <f>(constantes!$B$3*(1+constantes!$B$3)^(AH207))/((1+constantes!$B$3)^(AH207)-1)</f>
        <v>8.8827433387272267E-2</v>
      </c>
      <c r="AU207" s="37">
        <f t="shared" ca="1" si="54"/>
        <v>421.00508090952877</v>
      </c>
      <c r="AV207" s="37">
        <f ca="1">IF(AO207=0,AX207/constantes!$B$3,AU207/constantes!$B$3)</f>
        <v>5262.5635113691096</v>
      </c>
      <c r="AW207" s="39">
        <f ca="1">IF(AO207=0,0,PV(constantes!$B$3,AH207,-AU207)*constantes!$B$3)</f>
        <v>379.16671897882662</v>
      </c>
      <c r="AX207" s="40">
        <f>constantes!$B$10*E207/1000</f>
        <v>12.6</v>
      </c>
      <c r="AY207" s="533">
        <f>constantes!$B$12</f>
        <v>0</v>
      </c>
      <c r="AZ207" s="20">
        <v>318</v>
      </c>
      <c r="BA207" s="43"/>
      <c r="BB207" s="3" t="s">
        <v>2215</v>
      </c>
      <c r="BD207" s="534">
        <v>1</v>
      </c>
      <c r="BE207" s="535">
        <v>2035</v>
      </c>
      <c r="BF207" s="536">
        <v>3</v>
      </c>
      <c r="BG207" s="537">
        <v>2050</v>
      </c>
    </row>
    <row r="208" spans="1:59" ht="13.15" customHeight="1">
      <c r="A208" s="125">
        <v>1183</v>
      </c>
      <c r="B208" s="125">
        <v>1183</v>
      </c>
      <c r="C208" s="546" t="s">
        <v>2458</v>
      </c>
      <c r="D208" s="546" t="s">
        <v>2458</v>
      </c>
      <c r="E208" s="526">
        <v>510</v>
      </c>
      <c r="F208" s="3" t="s">
        <v>2179</v>
      </c>
      <c r="G208" s="3" t="s">
        <v>2253</v>
      </c>
      <c r="H208" s="3">
        <v>-58.394278</v>
      </c>
      <c r="I208" s="3">
        <v>-10.524333</v>
      </c>
      <c r="J208" s="549" t="s">
        <v>158</v>
      </c>
      <c r="K208" s="549" t="s">
        <v>158</v>
      </c>
      <c r="L208" s="554">
        <v>10</v>
      </c>
      <c r="M208" s="540"/>
      <c r="N208" s="529">
        <v>1.9820000000000001E-2</v>
      </c>
      <c r="O208" s="529">
        <v>5.2919999999999995E-2</v>
      </c>
      <c r="P208" s="288">
        <f t="shared" si="45"/>
        <v>0.59207764355742298</v>
      </c>
      <c r="Q208" s="30">
        <f t="shared" si="50"/>
        <v>301.95959821428573</v>
      </c>
      <c r="R208" s="30">
        <f t="shared" si="46"/>
        <v>208.04040178571427</v>
      </c>
      <c r="S208" s="107">
        <v>404.78952380952381</v>
      </c>
      <c r="T208" s="107">
        <v>386.57327380952376</v>
      </c>
      <c r="U208" s="107">
        <v>199.66041666666669</v>
      </c>
      <c r="V208" s="107">
        <v>216.81517857142856</v>
      </c>
      <c r="W208" s="288">
        <f t="shared" si="47"/>
        <v>0.5692422914263745</v>
      </c>
      <c r="X208" s="289">
        <f t="shared" si="51"/>
        <v>290.31356862745099</v>
      </c>
      <c r="Y208" s="289">
        <f t="shared" si="52"/>
        <v>-11.646029586834743</v>
      </c>
      <c r="Z208" s="107">
        <v>405.77941176470586</v>
      </c>
      <c r="AA208" s="107">
        <v>355.60203921568626</v>
      </c>
      <c r="AB208" s="107">
        <v>181.89188235294117</v>
      </c>
      <c r="AC208" s="107">
        <v>217.98094117647057</v>
      </c>
      <c r="AD208" s="106">
        <v>3</v>
      </c>
      <c r="AE208" s="32" t="str">
        <f>IF(AD208=0,"",VLOOKUP(AD208,tab_tipo_expansao!$A$2:$B$4,2,0))</f>
        <v>não_considerar</v>
      </c>
      <c r="AF208" s="125">
        <v>2030</v>
      </c>
      <c r="AG208" s="125">
        <v>2100</v>
      </c>
      <c r="AH208" s="125">
        <v>30</v>
      </c>
      <c r="AI208" s="530">
        <v>6045.6071863785164</v>
      </c>
      <c r="AJ208" s="24">
        <f>AK208/constantes!$B$4</f>
        <v>3039.5209584607928</v>
      </c>
      <c r="AK208" s="33">
        <f t="shared" si="48"/>
        <v>11854.131737997091</v>
      </c>
      <c r="AL208" s="87">
        <v>3</v>
      </c>
      <c r="AM208" s="531">
        <v>0</v>
      </c>
      <c r="AN208" s="23"/>
      <c r="AO208" s="532">
        <f t="shared" si="53"/>
        <v>6045.6071863785164</v>
      </c>
      <c r="AQ208" s="35">
        <f t="shared" si="49"/>
        <v>11854.131737997091</v>
      </c>
      <c r="AR208" s="36">
        <f ca="1">OFFSET(cod_desembolso!$A$1,AL208,23)</f>
        <v>1.1255071012622904</v>
      </c>
      <c r="AS208" s="37">
        <f ca="1">IF(AO208=0,0,AO208*(OFFSET(cod_desembolso!$A$1,AL208,23)))</f>
        <v>6804.3738197113553</v>
      </c>
      <c r="AT208" s="38">
        <f>(constantes!$B$3*(1+constantes!$B$3)^(AH208))/((1+constantes!$B$3)^(AH208)-1)</f>
        <v>8.8827433387272267E-2</v>
      </c>
      <c r="AU208" s="37">
        <f t="shared" ca="1" si="54"/>
        <v>629.91506221250972</v>
      </c>
      <c r="AV208" s="37">
        <f ca="1">IF(AO208=0,AX208/constantes!$B$3,AU208/constantes!$B$3)</f>
        <v>7873.9382776563716</v>
      </c>
      <c r="AW208" s="39">
        <f ca="1">IF(AO208=0,0,PV(constantes!$B$3,AH208,-AU208)*constantes!$B$3)</f>
        <v>567.31578359688854</v>
      </c>
      <c r="AX208" s="40">
        <f>constantes!$B$10*E208/1000</f>
        <v>25.5</v>
      </c>
      <c r="AY208" s="533">
        <f>constantes!$B$12</f>
        <v>0</v>
      </c>
      <c r="AZ208" s="20">
        <v>318</v>
      </c>
      <c r="BA208" s="43"/>
      <c r="BB208" s="3" t="s">
        <v>2215</v>
      </c>
      <c r="BD208" s="534">
        <v>1</v>
      </c>
      <c r="BE208" s="535">
        <v>2035</v>
      </c>
      <c r="BF208" s="536">
        <v>3</v>
      </c>
      <c r="BG208" s="537">
        <v>2050</v>
      </c>
    </row>
    <row r="209" spans="1:59" ht="13.15" customHeight="1">
      <c r="A209" s="125">
        <v>1184</v>
      </c>
      <c r="B209" s="125">
        <v>1184</v>
      </c>
      <c r="C209" s="546" t="s">
        <v>2459</v>
      </c>
      <c r="D209" s="546" t="s">
        <v>2459</v>
      </c>
      <c r="E209" s="526">
        <v>620</v>
      </c>
      <c r="F209" s="3" t="s">
        <v>2197</v>
      </c>
      <c r="G209" s="3" t="s">
        <v>2316</v>
      </c>
      <c r="H209" s="3">
        <v>-48.013154999999998</v>
      </c>
      <c r="I209" s="3">
        <v>-8.0801049999999996</v>
      </c>
      <c r="J209" s="549" t="s">
        <v>1981</v>
      </c>
      <c r="K209" s="549" t="s">
        <v>1981</v>
      </c>
      <c r="L209" s="554">
        <v>1</v>
      </c>
      <c r="M209" s="540"/>
      <c r="N209" s="529">
        <v>1.6379999999999999E-2</v>
      </c>
      <c r="O209" s="529">
        <v>6.1409999999999999E-2</v>
      </c>
      <c r="P209" s="288">
        <f t="shared" si="45"/>
        <v>0.6829794546850998</v>
      </c>
      <c r="Q209" s="30">
        <f t="shared" si="50"/>
        <v>423.44726190476189</v>
      </c>
      <c r="R209" s="30">
        <f t="shared" si="46"/>
        <v>196.55273809523811</v>
      </c>
      <c r="S209" s="107">
        <v>518.28190476190468</v>
      </c>
      <c r="T209" s="107">
        <v>410.4997619047619</v>
      </c>
      <c r="U209" s="107">
        <v>341.38291666666669</v>
      </c>
      <c r="V209" s="107">
        <v>423.62446428571428</v>
      </c>
      <c r="W209" s="288">
        <f t="shared" si="47"/>
        <v>0.70783659076533811</v>
      </c>
      <c r="X209" s="289">
        <f t="shared" si="51"/>
        <v>438.85868627450964</v>
      </c>
      <c r="Y209" s="289">
        <f t="shared" si="52"/>
        <v>15.411424369747749</v>
      </c>
      <c r="Z209" s="107">
        <v>560.44980392156833</v>
      </c>
      <c r="AA209" s="107">
        <v>458.50109803921549</v>
      </c>
      <c r="AB209" s="107">
        <v>317.03486274509805</v>
      </c>
      <c r="AC209" s="107">
        <v>419.44898039215678</v>
      </c>
      <c r="AD209" s="106">
        <v>3</v>
      </c>
      <c r="AE209" s="32" t="str">
        <f>IF(AD209=0,"",VLOOKUP(AD209,tab_tipo_expansao!$A$2:$B$4,2,0))</f>
        <v>não_considerar</v>
      </c>
      <c r="AF209" s="125">
        <v>2030</v>
      </c>
      <c r="AG209" s="125">
        <v>2100</v>
      </c>
      <c r="AH209" s="125">
        <v>30</v>
      </c>
      <c r="AI209" s="530">
        <v>4787.1118085904909</v>
      </c>
      <c r="AJ209" s="24">
        <f>AK209/constantes!$B$4</f>
        <v>1979.7815585568612</v>
      </c>
      <c r="AK209" s="33">
        <f t="shared" si="48"/>
        <v>7721.1480783717589</v>
      </c>
      <c r="AL209" s="87">
        <v>3</v>
      </c>
      <c r="AM209" s="531">
        <v>0</v>
      </c>
      <c r="AN209" s="23"/>
      <c r="AO209" s="532">
        <f t="shared" si="53"/>
        <v>4787.1118085904909</v>
      </c>
      <c r="AQ209" s="35">
        <f t="shared" si="49"/>
        <v>7721.1480783717598</v>
      </c>
      <c r="AR209" s="36">
        <f ca="1">OFFSET(cod_desembolso!$A$1,AL209,23)</f>
        <v>1.1255071012622904</v>
      </c>
      <c r="AS209" s="37">
        <f ca="1">IF(AO209=0,0,AO209*(OFFSET(cod_desembolso!$A$1,AL209,23)))</f>
        <v>5387.9283351051636</v>
      </c>
      <c r="AT209" s="38">
        <f>(constantes!$B$3*(1+constantes!$B$3)^(AH209))/((1+constantes!$B$3)^(AH209)-1)</f>
        <v>8.8827433387272267E-2</v>
      </c>
      <c r="AU209" s="37">
        <f t="shared" ca="1" si="54"/>
        <v>509.59584528195069</v>
      </c>
      <c r="AV209" s="37">
        <f ca="1">IF(AO209=0,AX209/constantes!$B$3,AU209/constantes!$B$3)</f>
        <v>6369.9480660243835</v>
      </c>
      <c r="AW209" s="39">
        <f ca="1">IF(AO209=0,0,PV(constantes!$B$3,AH209,-AU209)*constantes!$B$3)</f>
        <v>458.95356949936928</v>
      </c>
      <c r="AX209" s="40">
        <f>constantes!$B$10*E209/1000</f>
        <v>31</v>
      </c>
      <c r="AY209" s="533">
        <f>constantes!$B$12</f>
        <v>0</v>
      </c>
      <c r="AZ209" s="20">
        <v>318</v>
      </c>
      <c r="BA209" s="43"/>
      <c r="BB209" s="3" t="s">
        <v>2215</v>
      </c>
      <c r="BD209" s="534">
        <v>1</v>
      </c>
      <c r="BE209" s="535">
        <v>2035</v>
      </c>
      <c r="BF209" s="536">
        <v>3</v>
      </c>
      <c r="BG209" s="537">
        <v>2050</v>
      </c>
    </row>
    <row r="210" spans="1:59" ht="14.45" customHeight="1">
      <c r="A210" s="125">
        <v>1185</v>
      </c>
      <c r="B210" s="125">
        <v>1185</v>
      </c>
      <c r="C210" s="538" t="s">
        <v>2460</v>
      </c>
      <c r="D210" s="538" t="s">
        <v>2460</v>
      </c>
      <c r="E210" s="526">
        <v>67.8</v>
      </c>
      <c r="F210" s="3" t="s">
        <v>2194</v>
      </c>
      <c r="G210" s="3" t="s">
        <v>2339</v>
      </c>
      <c r="H210" s="3">
        <v>-52.105145</v>
      </c>
      <c r="I210" s="3">
        <v>-23.705766000000001</v>
      </c>
      <c r="J210" s="539" t="s">
        <v>151</v>
      </c>
      <c r="K210" s="539" t="s">
        <v>151</v>
      </c>
      <c r="L210" s="554">
        <v>2</v>
      </c>
      <c r="M210" s="540"/>
      <c r="N210" s="529">
        <v>1.9820000000000001E-2</v>
      </c>
      <c r="O210" s="529">
        <v>5.2919999999999995E-2</v>
      </c>
      <c r="P210" s="288">
        <f t="shared" si="45"/>
        <v>0.53782746874561038</v>
      </c>
      <c r="Q210" s="30">
        <f t="shared" si="50"/>
        <v>36.464702380952382</v>
      </c>
      <c r="R210" s="30">
        <f t="shared" si="46"/>
        <v>31.335297619047616</v>
      </c>
      <c r="S210" s="107">
        <v>37.99</v>
      </c>
      <c r="T210" s="107">
        <v>36.78339285714285</v>
      </c>
      <c r="U210" s="107">
        <v>32.016250000000007</v>
      </c>
      <c r="V210" s="107">
        <v>39.069166666666668</v>
      </c>
      <c r="W210" s="288">
        <f t="shared" si="47"/>
        <v>0.62590433223436903</v>
      </c>
      <c r="X210" s="289">
        <f t="shared" si="51"/>
        <v>42.436313725490216</v>
      </c>
      <c r="Y210" s="289">
        <f t="shared" si="52"/>
        <v>5.971611344537834</v>
      </c>
      <c r="Z210" s="107">
        <v>46.595411764705908</v>
      </c>
      <c r="AA210" s="107">
        <v>38.63219607843137</v>
      </c>
      <c r="AB210" s="107">
        <v>38.917294117647081</v>
      </c>
      <c r="AC210" s="107">
        <v>45.600352941176503</v>
      </c>
      <c r="AD210" s="106">
        <v>3</v>
      </c>
      <c r="AE210" s="32" t="str">
        <f>IF(AD210=0,"",VLOOKUP(AD210,tab_tipo_expansao!$A$2:$B$4,2,0))</f>
        <v>não_considerar</v>
      </c>
      <c r="AF210" s="125">
        <v>2030</v>
      </c>
      <c r="AG210" s="125">
        <v>2100</v>
      </c>
      <c r="AH210" s="125">
        <v>30</v>
      </c>
      <c r="AI210" s="530">
        <v>748.31871284519434</v>
      </c>
      <c r="AJ210" s="24">
        <f>AK210/constantes!$B$4</f>
        <v>2830.0382453868629</v>
      </c>
      <c r="AK210" s="33">
        <f t="shared" si="48"/>
        <v>11037.149157008766</v>
      </c>
      <c r="AL210" s="87">
        <v>2</v>
      </c>
      <c r="AM210" s="531">
        <v>0</v>
      </c>
      <c r="AN210" s="23"/>
      <c r="AO210" s="532">
        <f t="shared" si="53"/>
        <v>748.31871284519434</v>
      </c>
      <c r="AQ210" s="35">
        <f t="shared" si="49"/>
        <v>11037.149157008767</v>
      </c>
      <c r="AR210" s="36">
        <f ca="1">OFFSET(cod_desembolso!$A$1,AL210,23)</f>
        <v>1.1245293369208682</v>
      </c>
      <c r="AS210" s="37">
        <f ca="1">IF(AO210=0,0,AO210*(OFFSET(cod_desembolso!$A$1,AL210,23)))</f>
        <v>841.50634596128396</v>
      </c>
      <c r="AT210" s="38">
        <f>(constantes!$B$3*(1+constantes!$B$3)^(AH210))/((1+constantes!$B$3)^(AH210)-1)</f>
        <v>8.8827433387272267E-2</v>
      </c>
      <c r="AU210" s="37">
        <f t="shared" ca="1" si="54"/>
        <v>78.138848890842837</v>
      </c>
      <c r="AV210" s="37">
        <f ca="1">IF(AO210=0,AX210/constantes!$B$3,AU210/constantes!$B$3)</f>
        <v>976.73561113553546</v>
      </c>
      <c r="AW210" s="39">
        <f ca="1">IF(AO210=0,0,PV(constantes!$B$3,AH210,-AU210)*constantes!$B$3)</f>
        <v>70.373618519558875</v>
      </c>
      <c r="AX210" s="40">
        <f>constantes!$B$10*E210/1000</f>
        <v>3.39</v>
      </c>
      <c r="AY210" s="533">
        <f>constantes!$B$12</f>
        <v>0</v>
      </c>
      <c r="AZ210" s="20">
        <v>318</v>
      </c>
      <c r="BA210" s="43"/>
      <c r="BB210" s="3" t="s">
        <v>2183</v>
      </c>
      <c r="BD210" s="534">
        <v>1</v>
      </c>
      <c r="BE210" s="535">
        <v>2030</v>
      </c>
      <c r="BF210" s="536">
        <v>1</v>
      </c>
      <c r="BG210" s="537">
        <v>2030</v>
      </c>
    </row>
    <row r="211" spans="1:59" ht="14.45" customHeight="1">
      <c r="A211" s="125">
        <v>1186</v>
      </c>
      <c r="B211" s="125">
        <v>1186</v>
      </c>
      <c r="C211" s="538" t="s">
        <v>2461</v>
      </c>
      <c r="D211" s="538" t="s">
        <v>2461</v>
      </c>
      <c r="E211" s="526">
        <v>134</v>
      </c>
      <c r="F211" s="3" t="s">
        <v>2244</v>
      </c>
      <c r="G211" s="3" t="s">
        <v>2244</v>
      </c>
      <c r="H211" s="3">
        <v>-44.568579999999997</v>
      </c>
      <c r="I211" s="3">
        <v>-7.2323339999999998</v>
      </c>
      <c r="J211" s="539" t="s">
        <v>1983</v>
      </c>
      <c r="K211" s="539" t="s">
        <v>1983</v>
      </c>
      <c r="L211" s="554">
        <v>3</v>
      </c>
      <c r="M211" s="540"/>
      <c r="N211" s="529">
        <v>1.6379999999999999E-2</v>
      </c>
      <c r="O211" s="529">
        <v>6.1409999999999999E-2</v>
      </c>
      <c r="P211" s="288">
        <f t="shared" si="45"/>
        <v>0.62194607320540152</v>
      </c>
      <c r="Q211" s="30">
        <f t="shared" si="50"/>
        <v>83.34077380952381</v>
      </c>
      <c r="R211" s="30">
        <f t="shared" si="46"/>
        <v>50.65922619047619</v>
      </c>
      <c r="S211" s="107">
        <v>105.01714285714286</v>
      </c>
      <c r="T211" s="107">
        <v>83.256785714285712</v>
      </c>
      <c r="U211" s="107">
        <v>56.24</v>
      </c>
      <c r="V211" s="107">
        <v>88.849166666666676</v>
      </c>
      <c r="W211" s="288">
        <f t="shared" si="47"/>
        <v>0.6462346356453027</v>
      </c>
      <c r="X211" s="289">
        <f t="shared" si="51"/>
        <v>86.595441176470558</v>
      </c>
      <c r="Y211" s="289">
        <f t="shared" si="52"/>
        <v>3.2546673669467481</v>
      </c>
      <c r="Z211" s="107">
        <v>117.82541176470581</v>
      </c>
      <c r="AA211" s="107">
        <v>92.403450980392108</v>
      </c>
      <c r="AB211" s="107">
        <v>49.57050980392156</v>
      </c>
      <c r="AC211" s="107">
        <v>86.582392156862781</v>
      </c>
      <c r="AD211" s="106">
        <v>1</v>
      </c>
      <c r="AE211" s="32" t="str">
        <f>IF(AD211=0,"",VLOOKUP(AD211,tab_tipo_expansao!$A$2:$B$4,2,0))</f>
        <v>opcional</v>
      </c>
      <c r="AF211" s="125">
        <v>2028</v>
      </c>
      <c r="AG211" s="125">
        <v>2100</v>
      </c>
      <c r="AH211" s="125">
        <v>30</v>
      </c>
      <c r="AI211" s="530">
        <v>1306.8586318038888</v>
      </c>
      <c r="AJ211" s="24">
        <f>AK211/constantes!$B$4</f>
        <v>2500.6862453193435</v>
      </c>
      <c r="AK211" s="33">
        <f t="shared" si="48"/>
        <v>9752.67635674544</v>
      </c>
      <c r="AL211" s="87">
        <v>2</v>
      </c>
      <c r="AM211" s="531">
        <v>0</v>
      </c>
      <c r="AN211" s="23"/>
      <c r="AO211" s="532">
        <f t="shared" si="53"/>
        <v>1306.8586318038888</v>
      </c>
      <c r="AQ211" s="35">
        <f t="shared" si="49"/>
        <v>9752.6763567454382</v>
      </c>
      <c r="AR211" s="36">
        <f ca="1">OFFSET(cod_desembolso!$A$1,AL211,23)</f>
        <v>1.1245293369208682</v>
      </c>
      <c r="AS211" s="37">
        <f ca="1">IF(AO211=0,0,AO211*(OFFSET(cod_desembolso!$A$1,AL211,23)))</f>
        <v>1469.60087067174</v>
      </c>
      <c r="AT211" s="38">
        <f>(constantes!$B$3*(1+constantes!$B$3)^(AH211))/((1+constantes!$B$3)^(AH211)-1)</f>
        <v>8.8827433387272267E-2</v>
      </c>
      <c r="AU211" s="37">
        <f t="shared" ca="1" si="54"/>
        <v>137.24087344547129</v>
      </c>
      <c r="AV211" s="37">
        <f ca="1">IF(AO211=0,AX211/constantes!$B$3,AU211/constantes!$B$3)</f>
        <v>1715.5109180683912</v>
      </c>
      <c r="AW211" s="39">
        <f ca="1">IF(AO211=0,0,PV(constantes!$B$3,AH211,-AU211)*constantes!$B$3)</f>
        <v>123.60224152565551</v>
      </c>
      <c r="AX211" s="40">
        <f>constantes!$B$10*E211/1000</f>
        <v>6.7</v>
      </c>
      <c r="AY211" s="533">
        <f>constantes!$B$12</f>
        <v>0</v>
      </c>
      <c r="AZ211" s="20">
        <v>318</v>
      </c>
      <c r="BA211" s="43"/>
      <c r="BB211" s="3" t="s">
        <v>2195</v>
      </c>
      <c r="BD211" s="534">
        <v>1</v>
      </c>
      <c r="BE211" s="535">
        <v>2027</v>
      </c>
      <c r="BF211" s="536">
        <v>1</v>
      </c>
      <c r="BG211" s="537">
        <v>2027</v>
      </c>
    </row>
    <row r="212" spans="1:59" ht="14.45" customHeight="1">
      <c r="A212" s="125">
        <v>1187</v>
      </c>
      <c r="B212" s="125">
        <v>1187</v>
      </c>
      <c r="C212" s="538" t="s">
        <v>2462</v>
      </c>
      <c r="D212" s="538" t="s">
        <v>2462</v>
      </c>
      <c r="E212" s="526">
        <v>291.5</v>
      </c>
      <c r="F212" s="3" t="s">
        <v>2179</v>
      </c>
      <c r="G212" s="3" t="s">
        <v>2190</v>
      </c>
      <c r="H212" s="3">
        <v>-53.158130999999997</v>
      </c>
      <c r="I212" s="3">
        <v>0.52365600000000001</v>
      </c>
      <c r="J212" s="539" t="s">
        <v>1999</v>
      </c>
      <c r="K212" s="539" t="s">
        <v>1999</v>
      </c>
      <c r="L212" s="554">
        <v>4</v>
      </c>
      <c r="M212" s="540"/>
      <c r="N212" s="529">
        <v>1.6379999999999999E-2</v>
      </c>
      <c r="O212" s="529">
        <v>6.1409999999999999E-2</v>
      </c>
      <c r="P212" s="288">
        <f t="shared" si="45"/>
        <v>0.52926233357837127</v>
      </c>
      <c r="Q212" s="30">
        <f t="shared" si="50"/>
        <v>154.27997023809522</v>
      </c>
      <c r="R212" s="30">
        <f t="shared" si="46"/>
        <v>137.22002976190478</v>
      </c>
      <c r="S212" s="107">
        <v>175.87761904761908</v>
      </c>
      <c r="T212" s="107">
        <v>253.20083333333332</v>
      </c>
      <c r="U212" s="107">
        <v>141.18208333333331</v>
      </c>
      <c r="V212" s="107">
        <v>46.859345238095244</v>
      </c>
      <c r="W212" s="288">
        <f t="shared" si="47"/>
        <v>0.4818203343086806</v>
      </c>
      <c r="X212" s="289">
        <f t="shared" si="51"/>
        <v>140.45062745098039</v>
      </c>
      <c r="Y212" s="289">
        <f t="shared" si="52"/>
        <v>-13.829342787114825</v>
      </c>
      <c r="Z212" s="107">
        <v>142.94003921568631</v>
      </c>
      <c r="AA212" s="107">
        <v>244.68368627450982</v>
      </c>
      <c r="AB212" s="107">
        <v>132.33317647058817</v>
      </c>
      <c r="AC212" s="107">
        <v>41.845607843137252</v>
      </c>
      <c r="AD212" s="106">
        <v>3</v>
      </c>
      <c r="AE212" s="32" t="str">
        <f>IF(AD212=0,"",VLOOKUP(AD212,tab_tipo_expansao!$A$2:$B$4,2,0))</f>
        <v>não_considerar</v>
      </c>
      <c r="AF212" s="125">
        <v>2030</v>
      </c>
      <c r="AG212" s="125">
        <v>2100</v>
      </c>
      <c r="AH212" s="125">
        <v>30</v>
      </c>
      <c r="AI212" s="530">
        <v>2956.3251841469773</v>
      </c>
      <c r="AJ212" s="24">
        <f>AK212/constantes!$B$4</f>
        <v>2600.453168093396</v>
      </c>
      <c r="AK212" s="33">
        <f t="shared" si="48"/>
        <v>10141.767355564245</v>
      </c>
      <c r="AL212" s="87">
        <v>2</v>
      </c>
      <c r="AM212" s="531">
        <v>0</v>
      </c>
      <c r="AN212" s="23"/>
      <c r="AO212" s="532">
        <f t="shared" si="53"/>
        <v>2956.3251841469773</v>
      </c>
      <c r="AQ212" s="35">
        <f t="shared" si="49"/>
        <v>10141.767355564245</v>
      </c>
      <c r="AR212" s="36">
        <f ca="1">OFFSET(cod_desembolso!$A$1,AL212,23)</f>
        <v>1.1245293369208682</v>
      </c>
      <c r="AS212" s="37">
        <f ca="1">IF(AO212=0,0,AO212*(OFFSET(cod_desembolso!$A$1,AL212,23)))</f>
        <v>3324.4743990512638</v>
      </c>
      <c r="AT212" s="38">
        <f>(constantes!$B$3*(1+constantes!$B$3)^(AH212))/((1+constantes!$B$3)^(AH212)-1)</f>
        <v>8.8827433387272267E-2</v>
      </c>
      <c r="AU212" s="37">
        <f t="shared" ca="1" si="54"/>
        <v>309.87952822941816</v>
      </c>
      <c r="AV212" s="37">
        <f ca="1">IF(AO212=0,AX212/constantes!$B$3,AU212/constantes!$B$3)</f>
        <v>3873.4941028677267</v>
      </c>
      <c r="AW212" s="39">
        <f ca="1">IF(AO212=0,0,PV(constantes!$B$3,AH212,-AU212)*constantes!$B$3)</f>
        <v>279.08452730218772</v>
      </c>
      <c r="AX212" s="40">
        <f>constantes!$B$10*E212/1000</f>
        <v>14.574999999999999</v>
      </c>
      <c r="AY212" s="533">
        <f>constantes!$B$12</f>
        <v>0</v>
      </c>
      <c r="AZ212" s="20">
        <v>318</v>
      </c>
      <c r="BA212" s="43"/>
      <c r="BB212" s="3" t="s">
        <v>2181</v>
      </c>
      <c r="BD212" s="534">
        <v>1</v>
      </c>
      <c r="BE212" s="535">
        <v>2027</v>
      </c>
      <c r="BF212" s="536">
        <v>1</v>
      </c>
      <c r="BG212" s="537">
        <v>2027</v>
      </c>
    </row>
    <row r="213" spans="1:59" ht="14.45" customHeight="1">
      <c r="A213" s="125">
        <v>1188</v>
      </c>
      <c r="B213" s="125">
        <v>1188</v>
      </c>
      <c r="C213" s="538" t="s">
        <v>2463</v>
      </c>
      <c r="D213" s="538" t="s">
        <v>2463</v>
      </c>
      <c r="E213" s="526">
        <v>48.3</v>
      </c>
      <c r="F213" s="3" t="s">
        <v>2194</v>
      </c>
      <c r="G213" s="3" t="s">
        <v>2125</v>
      </c>
      <c r="H213" s="3">
        <v>-50.423791000000001</v>
      </c>
      <c r="I213" s="3">
        <v>-17.878122000000001</v>
      </c>
      <c r="J213" s="539" t="s">
        <v>2003</v>
      </c>
      <c r="K213" s="539" t="s">
        <v>2003</v>
      </c>
      <c r="L213" s="554">
        <v>1</v>
      </c>
      <c r="M213" s="540"/>
      <c r="N213" s="529">
        <v>2.068E-2</v>
      </c>
      <c r="O213" s="529">
        <v>4.6600000000000003E-2</v>
      </c>
      <c r="P213" s="288">
        <f t="shared" si="45"/>
        <v>0.72261504239376917</v>
      </c>
      <c r="Q213" s="30">
        <f t="shared" si="50"/>
        <v>34.902306547619048</v>
      </c>
      <c r="R213" s="30">
        <f t="shared" si="46"/>
        <v>13.397693452380949</v>
      </c>
      <c r="S213" s="107">
        <v>43.077619047619045</v>
      </c>
      <c r="T213" s="107">
        <v>35.296369047619052</v>
      </c>
      <c r="U213" s="107">
        <v>25.99625</v>
      </c>
      <c r="V213" s="107">
        <v>35.238988095238099</v>
      </c>
      <c r="W213" s="288">
        <f t="shared" si="47"/>
        <v>0.7583361750497295</v>
      </c>
      <c r="X213" s="289">
        <f t="shared" si="51"/>
        <v>36.627637254901934</v>
      </c>
      <c r="Y213" s="289">
        <f t="shared" si="52"/>
        <v>1.7253307072828861</v>
      </c>
      <c r="Z213" s="107">
        <v>44.272274509803879</v>
      </c>
      <c r="AA213" s="107">
        <v>38.246117647058803</v>
      </c>
      <c r="AB213" s="107">
        <v>27.292039215686259</v>
      </c>
      <c r="AC213" s="107">
        <v>36.700117647058796</v>
      </c>
      <c r="AD213" s="106">
        <v>1</v>
      </c>
      <c r="AE213" s="32" t="str">
        <f>IF(AD213=0,"",VLOOKUP(AD213,tab_tipo_expansao!$A$2:$B$4,2,0))</f>
        <v>opcional</v>
      </c>
      <c r="AF213" s="125">
        <v>2028</v>
      </c>
      <c r="AG213" s="125">
        <v>2100</v>
      </c>
      <c r="AH213" s="125">
        <v>30</v>
      </c>
      <c r="AI213" s="530">
        <v>541.34337180672844</v>
      </c>
      <c r="AJ213" s="24">
        <f>AK213/constantes!$B$4</f>
        <v>2873.8300780736236</v>
      </c>
      <c r="AK213" s="33">
        <f t="shared" si="48"/>
        <v>11207.937304487132</v>
      </c>
      <c r="AL213" s="87">
        <v>2</v>
      </c>
      <c r="AM213" s="531">
        <v>0</v>
      </c>
      <c r="AN213" s="23"/>
      <c r="AO213" s="532">
        <f t="shared" si="53"/>
        <v>541.34337180672844</v>
      </c>
      <c r="AQ213" s="35">
        <f t="shared" si="49"/>
        <v>11207.937304487132</v>
      </c>
      <c r="AR213" s="36">
        <f ca="1">OFFSET(cod_desembolso!$A$1,AL213,23)</f>
        <v>1.1245293369208682</v>
      </c>
      <c r="AS213" s="37">
        <f ca="1">IF(AO213=0,0,AO213*(OFFSET(cod_desembolso!$A$1,AL213,23)))</f>
        <v>608.75650294432739</v>
      </c>
      <c r="AT213" s="38">
        <f>(constantes!$B$3*(1+constantes!$B$3)^(AH213))/((1+constantes!$B$3)^(AH213)-1)</f>
        <v>8.8827433387272267E-2</v>
      </c>
      <c r="AU213" s="37">
        <f t="shared" ca="1" si="54"/>
        <v>56.489277714356056</v>
      </c>
      <c r="AV213" s="37">
        <f ca="1">IF(AO213=0,AX213/constantes!$B$3,AU213/constantes!$B$3)</f>
        <v>706.11597142945072</v>
      </c>
      <c r="AW213" s="39">
        <f ca="1">IF(AO213=0,0,PV(constantes!$B$3,AH213,-AU213)*constantes!$B$3)</f>
        <v>50.875523977438426</v>
      </c>
      <c r="AX213" s="40">
        <f>constantes!$B$10*E213/1000</f>
        <v>2.415</v>
      </c>
      <c r="AY213" s="533">
        <f>constantes!$B$12</f>
        <v>0</v>
      </c>
      <c r="AZ213" s="20">
        <v>318</v>
      </c>
      <c r="BA213" s="43"/>
      <c r="BB213" s="3" t="s">
        <v>2195</v>
      </c>
      <c r="BD213" s="534">
        <v>1</v>
      </c>
      <c r="BE213" s="535">
        <v>2027</v>
      </c>
      <c r="BF213" s="536">
        <v>1</v>
      </c>
      <c r="BG213" s="537">
        <v>2027</v>
      </c>
    </row>
    <row r="214" spans="1:59" ht="14.45" customHeight="1">
      <c r="A214" s="125">
        <v>1189</v>
      </c>
      <c r="B214" s="125">
        <v>1189</v>
      </c>
      <c r="C214" s="538" t="s">
        <v>2464</v>
      </c>
      <c r="D214" s="538" t="s">
        <v>2464</v>
      </c>
      <c r="E214" s="526">
        <v>58.9</v>
      </c>
      <c r="F214" s="3" t="s">
        <v>2197</v>
      </c>
      <c r="G214" s="3" t="s">
        <v>2348</v>
      </c>
      <c r="H214" s="3">
        <v>-47.387498999999998</v>
      </c>
      <c r="I214" s="3">
        <v>-10.044995</v>
      </c>
      <c r="J214" s="539" t="s">
        <v>1981</v>
      </c>
      <c r="K214" s="539" t="s">
        <v>1981</v>
      </c>
      <c r="L214" s="554">
        <v>1</v>
      </c>
      <c r="M214" s="540"/>
      <c r="N214" s="529">
        <v>1.9820000000000001E-2</v>
      </c>
      <c r="O214" s="529">
        <v>5.2919999999999995E-2</v>
      </c>
      <c r="P214" s="288">
        <f t="shared" si="45"/>
        <v>0.61346966205837172</v>
      </c>
      <c r="Q214" s="30">
        <f t="shared" si="50"/>
        <v>36.133363095238096</v>
      </c>
      <c r="R214" s="30">
        <f t="shared" si="46"/>
        <v>22.766636904761903</v>
      </c>
      <c r="S214" s="107">
        <v>47.618095238095236</v>
      </c>
      <c r="T214" s="107">
        <v>38.589702380952382</v>
      </c>
      <c r="U214" s="107">
        <v>22.743333333333329</v>
      </c>
      <c r="V214" s="107">
        <v>35.582321428571426</v>
      </c>
      <c r="W214" s="288">
        <f t="shared" si="47"/>
        <v>0.6597498252272046</v>
      </c>
      <c r="X214" s="289">
        <f t="shared" si="51"/>
        <v>38.859264705882353</v>
      </c>
      <c r="Y214" s="289">
        <f t="shared" si="52"/>
        <v>2.7259016106442573</v>
      </c>
      <c r="Z214" s="107">
        <v>49.217999999999996</v>
      </c>
      <c r="AA214" s="107">
        <v>40.725921568627449</v>
      </c>
      <c r="AB214" s="107">
        <v>26.280901960784316</v>
      </c>
      <c r="AC214" s="107">
        <v>39.212235294117647</v>
      </c>
      <c r="AD214" s="106">
        <v>3</v>
      </c>
      <c r="AE214" s="32" t="str">
        <f>IF(AD214=0,"",VLOOKUP(AD214,tab_tipo_expansao!$A$2:$B$4,2,0))</f>
        <v>não_considerar</v>
      </c>
      <c r="AF214" s="125">
        <v>2030</v>
      </c>
      <c r="AG214" s="125">
        <v>2100</v>
      </c>
      <c r="AH214" s="125">
        <v>30</v>
      </c>
      <c r="AI214" s="530">
        <v>646.05142336367828</v>
      </c>
      <c r="AJ214" s="24">
        <f>AK214/constantes!$B$4</f>
        <v>2812.4653840219335</v>
      </c>
      <c r="AK214" s="33">
        <f t="shared" si="48"/>
        <v>10968.614997685539</v>
      </c>
      <c r="AL214" s="87">
        <v>2</v>
      </c>
      <c r="AM214" s="531">
        <v>0</v>
      </c>
      <c r="AN214" s="23"/>
      <c r="AO214" s="532">
        <f t="shared" si="53"/>
        <v>646.05142336367828</v>
      </c>
      <c r="AQ214" s="35">
        <f t="shared" si="49"/>
        <v>10968.614997685539</v>
      </c>
      <c r="AR214" s="36">
        <f ca="1">OFFSET(cod_desembolso!$A$1,AL214,23)</f>
        <v>1.1245293369208682</v>
      </c>
      <c r="AS214" s="37">
        <f ca="1">IF(AO214=0,0,AO214*(OFFSET(cod_desembolso!$A$1,AL214,23)))</f>
        <v>726.5037787319402</v>
      </c>
      <c r="AT214" s="38">
        <f>(constantes!$B$3*(1+constantes!$B$3)^(AH214))/((1+constantes!$B$3)^(AH214)-1)</f>
        <v>8.8827433387272267E-2</v>
      </c>
      <c r="AU214" s="37">
        <f t="shared" ca="1" si="54"/>
        <v>67.478466010912996</v>
      </c>
      <c r="AV214" s="37">
        <f ca="1">IF(AO214=0,AX214/constantes!$B$3,AU214/constantes!$B$3)</f>
        <v>843.48082513641248</v>
      </c>
      <c r="AW214" s="39">
        <f ca="1">IF(AO214=0,0,PV(constantes!$B$3,AH214,-AU214)*constantes!$B$3)</f>
        <v>60.772636054196035</v>
      </c>
      <c r="AX214" s="40">
        <f>constantes!$B$10*E214/1000</f>
        <v>2.9449999999999998</v>
      </c>
      <c r="AY214" s="533">
        <f>constantes!$B$12</f>
        <v>0</v>
      </c>
      <c r="AZ214" s="20">
        <v>318</v>
      </c>
      <c r="BA214" s="43"/>
      <c r="BB214" s="3" t="s">
        <v>2181</v>
      </c>
      <c r="BD214" s="534">
        <v>1</v>
      </c>
      <c r="BE214" s="535">
        <v>2027</v>
      </c>
      <c r="BF214" s="536">
        <v>1</v>
      </c>
      <c r="BG214" s="537">
        <v>2027</v>
      </c>
    </row>
    <row r="215" spans="1:59" ht="14.45" customHeight="1">
      <c r="A215" s="125">
        <v>1190</v>
      </c>
      <c r="B215" s="125">
        <v>1190</v>
      </c>
      <c r="C215" s="538" t="s">
        <v>2465</v>
      </c>
      <c r="D215" s="538" t="s">
        <v>2465</v>
      </c>
      <c r="E215" s="526">
        <v>39.1</v>
      </c>
      <c r="F215" s="3" t="s">
        <v>2194</v>
      </c>
      <c r="G215" s="3" t="s">
        <v>2339</v>
      </c>
      <c r="H215" s="3">
        <v>-51.931888000000001</v>
      </c>
      <c r="I215" s="3">
        <v>-23.91966</v>
      </c>
      <c r="J215" s="539" t="s">
        <v>151</v>
      </c>
      <c r="K215" s="539" t="s">
        <v>151</v>
      </c>
      <c r="L215" s="554">
        <v>2</v>
      </c>
      <c r="M215" s="540"/>
      <c r="N215" s="529">
        <v>2.068E-2</v>
      </c>
      <c r="O215" s="529">
        <v>4.6600000000000003E-2</v>
      </c>
      <c r="P215" s="288">
        <f t="shared" si="45"/>
        <v>0.57485842162952128</v>
      </c>
      <c r="Q215" s="30">
        <f t="shared" si="50"/>
        <v>22.476964285714285</v>
      </c>
      <c r="R215" s="30">
        <f t="shared" si="46"/>
        <v>16.623035714285717</v>
      </c>
      <c r="S215" s="107">
        <v>23.674761904761905</v>
      </c>
      <c r="T215" s="107">
        <v>22.375952380952381</v>
      </c>
      <c r="U215" s="107">
        <v>19.672916666666666</v>
      </c>
      <c r="V215" s="107">
        <v>24.184226190476192</v>
      </c>
      <c r="W215" s="288">
        <f t="shared" si="47"/>
        <v>0.65642445213379463</v>
      </c>
      <c r="X215" s="289">
        <f t="shared" si="51"/>
        <v>25.666196078431373</v>
      </c>
      <c r="Y215" s="289">
        <f t="shared" si="52"/>
        <v>3.1892317927170879</v>
      </c>
      <c r="Z215" s="107">
        <v>28.006588235294107</v>
      </c>
      <c r="AA215" s="107">
        <v>23.318274509803928</v>
      </c>
      <c r="AB215" s="107">
        <v>23.874941176470585</v>
      </c>
      <c r="AC215" s="107">
        <v>27.464980392156871</v>
      </c>
      <c r="AD215" s="106">
        <v>1</v>
      </c>
      <c r="AE215" s="32" t="str">
        <f>IF(AD215=0,"",VLOOKUP(AD215,tab_tipo_expansao!$A$2:$B$4,2,0))</f>
        <v>opcional</v>
      </c>
      <c r="AF215" s="125">
        <v>2028</v>
      </c>
      <c r="AG215" s="125">
        <v>2100</v>
      </c>
      <c r="AH215" s="125">
        <v>30</v>
      </c>
      <c r="AI215" s="530">
        <v>556.40596070375307</v>
      </c>
      <c r="AJ215" s="24">
        <f>AK215/constantes!$B$4</f>
        <v>3648.8029425126438</v>
      </c>
      <c r="AK215" s="33">
        <f t="shared" si="48"/>
        <v>14230.33147579931</v>
      </c>
      <c r="AL215" s="87">
        <v>2</v>
      </c>
      <c r="AM215" s="531">
        <v>0</v>
      </c>
      <c r="AN215" s="23"/>
      <c r="AO215" s="532">
        <f t="shared" si="53"/>
        <v>556.40596070375307</v>
      </c>
      <c r="AQ215" s="35">
        <f t="shared" si="49"/>
        <v>14230.33147579931</v>
      </c>
      <c r="AR215" s="36">
        <f ca="1">OFFSET(cod_desembolso!$A$1,AL215,23)</f>
        <v>1.1245293369208682</v>
      </c>
      <c r="AS215" s="37">
        <f ca="1">IF(AO215=0,0,AO215*(OFFSET(cod_desembolso!$A$1,AL215,23)))</f>
        <v>625.69482604901009</v>
      </c>
      <c r="AT215" s="38">
        <f>(constantes!$B$3*(1+constantes!$B$3)^(AH215))/((1+constantes!$B$3)^(AH215)-1)</f>
        <v>8.8827433387272267E-2</v>
      </c>
      <c r="AU215" s="37">
        <f t="shared" ca="1" si="54"/>
        <v>57.533865481629348</v>
      </c>
      <c r="AV215" s="37">
        <f ca="1">IF(AO215=0,AX215/constantes!$B$3,AU215/constantes!$B$3)</f>
        <v>719.17331852036682</v>
      </c>
      <c r="AW215" s="39">
        <f ca="1">IF(AO215=0,0,PV(constantes!$B$3,AH215,-AU215)*constantes!$B$3)</f>
        <v>51.816303398785941</v>
      </c>
      <c r="AX215" s="40">
        <f>constantes!$B$10*E215/1000</f>
        <v>1.9550000000000001</v>
      </c>
      <c r="AY215" s="533">
        <f>constantes!$B$12</f>
        <v>0</v>
      </c>
      <c r="AZ215" s="20">
        <v>318</v>
      </c>
      <c r="BA215" s="43"/>
      <c r="BB215" s="3" t="s">
        <v>2195</v>
      </c>
      <c r="BD215" s="534">
        <v>1</v>
      </c>
      <c r="BE215" s="535">
        <v>2027</v>
      </c>
      <c r="BF215" s="536">
        <v>1</v>
      </c>
      <c r="BG215" s="537">
        <v>2027</v>
      </c>
    </row>
    <row r="216" spans="1:59" ht="14.45" customHeight="1">
      <c r="A216" s="125">
        <v>1191</v>
      </c>
      <c r="B216" s="125">
        <v>1191</v>
      </c>
      <c r="C216" s="538" t="s">
        <v>2466</v>
      </c>
      <c r="D216" s="538" t="s">
        <v>2466</v>
      </c>
      <c r="E216" s="526">
        <v>63</v>
      </c>
      <c r="F216" s="3" t="s">
        <v>2194</v>
      </c>
      <c r="G216" s="3" t="s">
        <v>2224</v>
      </c>
      <c r="H216" s="3">
        <v>-48.246110999999999</v>
      </c>
      <c r="I216" s="3">
        <v>-20.767778</v>
      </c>
      <c r="J216" s="539" t="s">
        <v>146</v>
      </c>
      <c r="K216" s="539" t="s">
        <v>146</v>
      </c>
      <c r="L216" s="554">
        <v>1</v>
      </c>
      <c r="M216" s="540"/>
      <c r="N216" s="529">
        <v>1.9820000000000001E-2</v>
      </c>
      <c r="O216" s="529">
        <v>5.2919999999999995E-2</v>
      </c>
      <c r="P216" s="288">
        <f t="shared" si="45"/>
        <v>0.52047241118669685</v>
      </c>
      <c r="Q216" s="30">
        <f t="shared" si="50"/>
        <v>32.789761904761903</v>
      </c>
      <c r="R216" s="30">
        <f t="shared" si="46"/>
        <v>30.210238095238097</v>
      </c>
      <c r="S216" s="107">
        <v>43.269047619047626</v>
      </c>
      <c r="T216" s="107">
        <v>35.929642857142859</v>
      </c>
      <c r="U216" s="107">
        <v>23.40291666666667</v>
      </c>
      <c r="V216" s="107">
        <v>28.557440476190475</v>
      </c>
      <c r="W216" s="288">
        <f t="shared" si="47"/>
        <v>0.64174089635854337</v>
      </c>
      <c r="X216" s="289">
        <f t="shared" si="51"/>
        <v>40.429676470588234</v>
      </c>
      <c r="Y216" s="289">
        <f t="shared" si="52"/>
        <v>7.6399145658263308</v>
      </c>
      <c r="Z216" s="107">
        <v>50.264745098039221</v>
      </c>
      <c r="AA216" s="107">
        <v>42.877686274509813</v>
      </c>
      <c r="AB216" s="107">
        <v>30.598156862745089</v>
      </c>
      <c r="AC216" s="107">
        <v>37.978117647058831</v>
      </c>
      <c r="AD216" s="106">
        <v>1</v>
      </c>
      <c r="AE216" s="32" t="str">
        <f>IF(AD216=0,"",VLOOKUP(AD216,tab_tipo_expansao!$A$2:$B$4,2,0))</f>
        <v>opcional</v>
      </c>
      <c r="AF216" s="125">
        <v>2028</v>
      </c>
      <c r="AG216" s="125">
        <v>2100</v>
      </c>
      <c r="AH216" s="125">
        <v>30</v>
      </c>
      <c r="AI216" s="530">
        <v>740.06252959159667</v>
      </c>
      <c r="AJ216" s="24">
        <f>AK216/constantes!$B$4</f>
        <v>3012.0575074953058</v>
      </c>
      <c r="AK216" s="33">
        <f t="shared" si="48"/>
        <v>11747.024279231693</v>
      </c>
      <c r="AL216" s="87">
        <v>2</v>
      </c>
      <c r="AM216" s="531">
        <v>0</v>
      </c>
      <c r="AN216" s="23"/>
      <c r="AO216" s="532">
        <f t="shared" si="53"/>
        <v>740.06252959159667</v>
      </c>
      <c r="AQ216" s="35">
        <f t="shared" si="49"/>
        <v>11747.024279231693</v>
      </c>
      <c r="AR216" s="36">
        <f ca="1">OFFSET(cod_desembolso!$A$1,AL216,23)</f>
        <v>1.1245293369208682</v>
      </c>
      <c r="AS216" s="37">
        <f ca="1">IF(AO216=0,0,AO216*(OFFSET(cod_desembolso!$A$1,AL216,23)))</f>
        <v>832.22202568161856</v>
      </c>
      <c r="AT216" s="38">
        <f>(constantes!$B$3*(1+constantes!$B$3)^(AH216))/((1+constantes!$B$3)^(AH216)-1)</f>
        <v>8.8827433387272267E-2</v>
      </c>
      <c r="AU216" s="37">
        <f t="shared" ca="1" si="54"/>
        <v>77.07414654965477</v>
      </c>
      <c r="AV216" s="37">
        <f ca="1">IF(AO216=0,AX216/constantes!$B$3,AU216/constantes!$B$3)</f>
        <v>963.42683187068462</v>
      </c>
      <c r="AW216" s="39">
        <f ca="1">IF(AO216=0,0,PV(constantes!$B$3,AH216,-AU216)*constantes!$B$3)</f>
        <v>69.414723456997606</v>
      </c>
      <c r="AX216" s="40">
        <f>constantes!$B$10*E216/1000</f>
        <v>3.15</v>
      </c>
      <c r="AY216" s="533">
        <f>constantes!$B$12</f>
        <v>0</v>
      </c>
      <c r="AZ216" s="20">
        <v>318</v>
      </c>
      <c r="BA216" s="43"/>
      <c r="BB216" s="3" t="s">
        <v>2195</v>
      </c>
      <c r="BD216" s="534">
        <v>1</v>
      </c>
      <c r="BE216" s="535">
        <v>2027</v>
      </c>
      <c r="BF216" s="536">
        <v>1</v>
      </c>
      <c r="BG216" s="537">
        <v>2027</v>
      </c>
    </row>
    <row r="217" spans="1:59">
      <c r="A217" s="3"/>
      <c r="B217" s="3"/>
      <c r="E217" s="3"/>
      <c r="J217" s="3"/>
      <c r="K217" s="3"/>
      <c r="L217" s="3"/>
      <c r="AF217" s="3"/>
      <c r="AG217" s="3"/>
      <c r="AH217" s="3"/>
      <c r="AL217" s="3"/>
      <c r="AP217" s="3"/>
    </row>
    <row r="218" spans="1:59">
      <c r="A218" s="3"/>
      <c r="B218" s="3"/>
      <c r="E218" s="3"/>
      <c r="J218" s="3"/>
      <c r="K218" s="3"/>
      <c r="L218" s="3"/>
      <c r="AF218" s="3"/>
      <c r="AG218" s="3"/>
      <c r="AH218" s="3"/>
      <c r="AL218" s="3"/>
      <c r="AP218" s="3"/>
    </row>
    <row r="219" spans="1:59">
      <c r="A219" s="3"/>
      <c r="B219" s="3"/>
      <c r="E219" s="3"/>
      <c r="J219" s="3"/>
      <c r="K219" s="3"/>
      <c r="L219" s="3"/>
      <c r="AF219" s="3"/>
      <c r="AG219" s="3"/>
      <c r="AH219" s="3"/>
      <c r="AL219" s="3"/>
      <c r="AP219" s="3"/>
    </row>
    <row r="220" spans="1:59">
      <c r="A220" s="3"/>
      <c r="B220" s="3"/>
      <c r="E220" s="3"/>
      <c r="J220" s="3"/>
      <c r="K220" s="3"/>
      <c r="L220" s="3"/>
      <c r="AF220" s="3"/>
      <c r="AG220" s="3"/>
      <c r="AH220" s="3"/>
      <c r="AL220" s="3"/>
      <c r="AP220" s="3"/>
    </row>
    <row r="221" spans="1:59">
      <c r="A221" s="3"/>
      <c r="B221" s="3"/>
      <c r="E221" s="3"/>
      <c r="J221" s="3"/>
      <c r="K221" s="3"/>
      <c r="L221" s="3"/>
      <c r="AF221" s="3"/>
      <c r="AG221" s="3"/>
      <c r="AH221" s="3"/>
      <c r="AL221" s="3"/>
      <c r="AP221" s="3"/>
    </row>
    <row r="222" spans="1:59">
      <c r="A222" s="3"/>
      <c r="B222" s="3"/>
      <c r="E222" s="3"/>
      <c r="J222" s="3"/>
      <c r="K222" s="3"/>
      <c r="L222" s="3"/>
      <c r="AF222" s="3"/>
      <c r="AG222" s="3"/>
      <c r="AH222" s="3"/>
      <c r="AL222" s="3"/>
      <c r="AP222" s="3"/>
    </row>
    <row r="223" spans="1:59">
      <c r="A223" s="3"/>
      <c r="B223" s="3"/>
      <c r="E223" s="3"/>
      <c r="J223" s="3"/>
      <c r="K223" s="3"/>
      <c r="L223" s="3"/>
      <c r="AF223" s="3"/>
      <c r="AG223" s="3"/>
      <c r="AH223" s="3"/>
      <c r="AL223" s="3"/>
      <c r="AP223" s="3"/>
    </row>
    <row r="224" spans="1:59">
      <c r="A224" s="3"/>
      <c r="B224" s="3"/>
      <c r="E224" s="3"/>
      <c r="J224" s="3"/>
      <c r="K224" s="3"/>
      <c r="L224" s="3"/>
      <c r="AF224" s="3"/>
      <c r="AG224" s="3"/>
      <c r="AH224" s="3"/>
      <c r="AL224" s="3"/>
      <c r="AP224" s="3"/>
    </row>
    <row r="225" s="3" customFormat="1"/>
    <row r="226" s="3" customFormat="1"/>
    <row r="227" s="3" customFormat="1"/>
    <row r="228" s="3" customFormat="1"/>
    <row r="229" s="3" customFormat="1"/>
    <row r="230" s="3" customFormat="1"/>
    <row r="231" s="3" customFormat="1"/>
    <row r="232" s="3" customFormat="1"/>
    <row r="233" s="3" customFormat="1"/>
    <row r="234" s="3" customFormat="1"/>
    <row r="235" s="3" customFormat="1"/>
    <row r="236" s="3" customFormat="1"/>
    <row r="237" s="3" customFormat="1"/>
    <row r="238" s="3" customFormat="1"/>
    <row r="239" s="3" customFormat="1"/>
    <row r="240" s="3" customFormat="1"/>
    <row r="241" s="3" customFormat="1"/>
    <row r="242" s="3" customFormat="1"/>
    <row r="243" s="3" customFormat="1"/>
    <row r="244" s="3" customFormat="1"/>
    <row r="245" s="3" customFormat="1"/>
    <row r="246" s="3" customFormat="1"/>
    <row r="247" s="3" customFormat="1"/>
    <row r="248" s="3" customFormat="1"/>
    <row r="249" s="3" customFormat="1"/>
    <row r="250" s="3" customFormat="1"/>
    <row r="251" s="3" customFormat="1"/>
    <row r="252" s="3" customFormat="1"/>
    <row r="253" s="3" customFormat="1"/>
    <row r="254" s="3" customFormat="1"/>
    <row r="255" s="3" customFormat="1"/>
    <row r="256" s="3" customFormat="1"/>
    <row r="257" s="3" customFormat="1"/>
    <row r="258" s="3" customFormat="1"/>
    <row r="259" s="3" customFormat="1"/>
    <row r="260" s="3" customFormat="1"/>
    <row r="261" s="3" customFormat="1"/>
    <row r="262" s="3" customFormat="1"/>
    <row r="263" s="3" customFormat="1"/>
    <row r="264" s="3" customFormat="1"/>
    <row r="265" s="3" customFormat="1"/>
    <row r="266" s="3" customFormat="1"/>
    <row r="267" s="3" customFormat="1"/>
    <row r="268" s="3" customFormat="1"/>
    <row r="269" s="3" customFormat="1"/>
    <row r="270" s="3" customFormat="1"/>
    <row r="271" s="3" customFormat="1"/>
    <row r="272" s="3" customFormat="1"/>
    <row r="273" s="3" customFormat="1"/>
    <row r="274" s="3" customFormat="1"/>
    <row r="275" s="3" customFormat="1"/>
    <row r="276" s="3" customFormat="1"/>
    <row r="277" s="3" customFormat="1"/>
    <row r="278" s="3" customFormat="1"/>
    <row r="279" s="3" customFormat="1"/>
    <row r="280" s="3" customFormat="1"/>
    <row r="281" s="3" customFormat="1"/>
    <row r="282" s="3" customFormat="1"/>
    <row r="283" s="3" customFormat="1"/>
    <row r="284" s="3" customFormat="1"/>
    <row r="285" s="3" customFormat="1"/>
    <row r="286" s="3" customFormat="1"/>
    <row r="287" s="3" customFormat="1"/>
    <row r="288" s="3" customFormat="1"/>
    <row r="289" s="3" customFormat="1"/>
    <row r="290" s="3" customFormat="1"/>
    <row r="291" s="3" customFormat="1"/>
    <row r="292" s="3" customFormat="1"/>
    <row r="293" s="3" customFormat="1"/>
    <row r="294" s="3" customFormat="1"/>
    <row r="295" s="3" customFormat="1"/>
    <row r="296" s="3" customFormat="1"/>
    <row r="297" s="3" customFormat="1"/>
    <row r="298" s="3" customFormat="1"/>
    <row r="299" s="3" customFormat="1"/>
    <row r="300" s="3" customFormat="1"/>
    <row r="301" s="3" customFormat="1"/>
    <row r="302" s="3" customFormat="1"/>
    <row r="303" s="3" customFormat="1"/>
    <row r="304" s="3" customFormat="1"/>
    <row r="305" s="3" customFormat="1"/>
    <row r="306" s="3" customFormat="1"/>
    <row r="307" s="3" customFormat="1"/>
    <row r="308" s="3" customFormat="1"/>
    <row r="309" s="3" customFormat="1"/>
    <row r="310" s="3" customFormat="1"/>
    <row r="311" s="3" customFormat="1"/>
    <row r="312" s="3" customFormat="1"/>
    <row r="313" s="3" customFormat="1"/>
    <row r="314" s="3" customFormat="1"/>
    <row r="315" s="3" customFormat="1"/>
    <row r="316" s="3" customFormat="1"/>
    <row r="317" s="3" customFormat="1"/>
    <row r="318" s="3" customFormat="1"/>
    <row r="319" s="3" customFormat="1"/>
    <row r="320" s="3" customFormat="1"/>
    <row r="321" s="3" customFormat="1"/>
    <row r="322" s="3" customFormat="1"/>
    <row r="323" s="3" customFormat="1"/>
    <row r="324" s="3" customFormat="1"/>
    <row r="325" s="3" customFormat="1"/>
    <row r="326" s="3" customFormat="1"/>
    <row r="327" s="3" customFormat="1"/>
    <row r="328" s="3" customFormat="1"/>
    <row r="329" s="3" customFormat="1"/>
    <row r="330" s="3" customFormat="1"/>
    <row r="331" s="3" customFormat="1"/>
    <row r="332" s="3" customFormat="1"/>
    <row r="333" s="3" customFormat="1"/>
    <row r="334" s="3" customFormat="1"/>
    <row r="335" s="3" customFormat="1"/>
    <row r="336" s="3" customFormat="1"/>
    <row r="337" s="3" customFormat="1"/>
    <row r="338" s="3" customFormat="1"/>
    <row r="339" s="3" customFormat="1"/>
    <row r="340" s="3" customFormat="1"/>
    <row r="341" s="3" customFormat="1"/>
    <row r="342" s="3" customFormat="1"/>
    <row r="343" s="3" customFormat="1"/>
    <row r="344" s="3" customFormat="1"/>
    <row r="345" s="3" customFormat="1"/>
    <row r="346" s="3" customFormat="1"/>
    <row r="347" s="3" customFormat="1"/>
    <row r="348" s="3" customFormat="1"/>
    <row r="349" s="3" customFormat="1"/>
    <row r="350" s="3" customFormat="1"/>
    <row r="351" s="3" customFormat="1"/>
    <row r="352" s="3" customFormat="1"/>
    <row r="353" s="3" customFormat="1"/>
    <row r="354" s="3" customFormat="1"/>
    <row r="355" s="3" customFormat="1"/>
    <row r="356" s="3" customFormat="1"/>
    <row r="357" s="3" customFormat="1"/>
    <row r="358" s="3" customFormat="1"/>
    <row r="359" s="3" customFormat="1"/>
    <row r="360" s="3" customFormat="1"/>
    <row r="361" s="3" customFormat="1"/>
    <row r="362" s="3" customFormat="1"/>
    <row r="363" s="3" customFormat="1"/>
    <row r="364" s="3" customFormat="1"/>
    <row r="365" s="3" customFormat="1"/>
    <row r="366" s="3" customFormat="1"/>
    <row r="367" s="3" customFormat="1"/>
    <row r="368" s="3" customFormat="1"/>
    <row r="369" s="3" customFormat="1"/>
    <row r="370" s="3" customFormat="1"/>
    <row r="371" s="3" customFormat="1"/>
    <row r="372" s="3" customFormat="1"/>
    <row r="373" s="3" customFormat="1"/>
    <row r="374" s="3" customFormat="1"/>
    <row r="375" s="3" customFormat="1"/>
    <row r="376" s="3" customFormat="1"/>
    <row r="377" s="3" customFormat="1"/>
    <row r="378" s="3" customFormat="1"/>
    <row r="379" s="3" customFormat="1"/>
    <row r="380" s="3" customFormat="1"/>
    <row r="381" s="3" customFormat="1"/>
    <row r="382" s="3" customFormat="1"/>
    <row r="383" s="3" customFormat="1"/>
    <row r="384" s="3" customFormat="1"/>
    <row r="385" s="3" customFormat="1"/>
    <row r="386" s="3" customFormat="1"/>
    <row r="387" s="3" customFormat="1"/>
    <row r="388" s="3" customFormat="1"/>
    <row r="389" s="3" customFormat="1"/>
    <row r="390" s="3" customFormat="1"/>
    <row r="391" s="3" customFormat="1"/>
    <row r="392" s="3" customFormat="1"/>
    <row r="393" s="3" customFormat="1"/>
    <row r="394" s="3" customFormat="1"/>
    <row r="395" s="3" customFormat="1"/>
    <row r="396" s="3" customFormat="1"/>
    <row r="397" s="3" customFormat="1"/>
    <row r="398" s="3" customFormat="1"/>
    <row r="399" s="3" customFormat="1"/>
    <row r="400" s="3" customFormat="1"/>
    <row r="401" s="3" customFormat="1"/>
    <row r="402" s="3" customFormat="1"/>
    <row r="403" s="3" customFormat="1"/>
    <row r="404" s="3" customFormat="1"/>
    <row r="405" s="3" customFormat="1"/>
    <row r="406" s="3" customFormat="1"/>
    <row r="407" s="3" customFormat="1"/>
    <row r="408" s="3" customFormat="1"/>
    <row r="409" s="3" customFormat="1"/>
    <row r="410" s="3" customFormat="1"/>
    <row r="411" s="3" customFormat="1"/>
    <row r="412" s="3" customFormat="1"/>
    <row r="413" s="3" customFormat="1"/>
    <row r="414" s="3" customFormat="1"/>
    <row r="415" s="3" customFormat="1"/>
    <row r="416" s="3" customFormat="1"/>
    <row r="417" s="3" customFormat="1"/>
    <row r="418" s="3" customFormat="1"/>
    <row r="419" s="3" customFormat="1"/>
    <row r="420" s="3" customFormat="1"/>
    <row r="421" s="3" customFormat="1"/>
    <row r="422" s="3" customFormat="1"/>
    <row r="423" s="3" customFormat="1"/>
    <row r="424" s="3" customFormat="1"/>
    <row r="425" s="3" customFormat="1"/>
    <row r="426" s="3" customFormat="1"/>
    <row r="427" s="3" customFormat="1"/>
    <row r="428" s="3" customFormat="1"/>
    <row r="429" s="3" customFormat="1"/>
    <row r="430" s="3" customFormat="1"/>
    <row r="431" s="3" customFormat="1"/>
    <row r="432" s="3" customFormat="1"/>
    <row r="433" s="3" customFormat="1"/>
    <row r="434" s="3" customFormat="1"/>
    <row r="435" s="3" customFormat="1"/>
    <row r="436" s="3" customFormat="1"/>
    <row r="437" s="3" customFormat="1"/>
    <row r="438" s="3" customFormat="1"/>
    <row r="439" s="3" customFormat="1"/>
    <row r="440" s="3" customFormat="1"/>
    <row r="441" s="3" customFormat="1"/>
    <row r="442" s="3" customFormat="1"/>
    <row r="443" s="3" customFormat="1"/>
    <row r="444" s="3" customFormat="1"/>
    <row r="445" s="3" customFormat="1"/>
    <row r="446" s="3" customFormat="1"/>
    <row r="447" s="3" customFormat="1"/>
    <row r="448" s="3" customFormat="1"/>
    <row r="449" s="3" customFormat="1"/>
    <row r="450" s="3" customFormat="1"/>
    <row r="451" s="3" customFormat="1"/>
    <row r="452" s="3" customFormat="1"/>
    <row r="453" s="3" customFormat="1"/>
    <row r="454" s="3" customFormat="1"/>
    <row r="455" s="3" customFormat="1"/>
    <row r="456" s="3" customFormat="1"/>
    <row r="457" s="3" customFormat="1"/>
    <row r="458" s="3" customFormat="1"/>
    <row r="459" s="3" customFormat="1"/>
    <row r="460" s="3" customFormat="1"/>
    <row r="461" s="3" customFormat="1"/>
    <row r="462" s="3" customFormat="1"/>
    <row r="463" s="3" customFormat="1"/>
    <row r="464" s="3" customFormat="1"/>
    <row r="465" s="3" customFormat="1"/>
    <row r="466" s="3" customFormat="1"/>
    <row r="467" s="3" customFormat="1"/>
    <row r="468" s="3" customFormat="1"/>
    <row r="469" s="3" customFormat="1"/>
    <row r="470" s="3" customFormat="1"/>
    <row r="471" s="3" customFormat="1"/>
    <row r="472" s="3" customFormat="1"/>
    <row r="473" s="3" customFormat="1"/>
    <row r="474" s="3" customFormat="1"/>
    <row r="475" s="3" customFormat="1"/>
    <row r="476" s="3" customFormat="1"/>
    <row r="477" s="3" customFormat="1"/>
    <row r="478" s="3" customFormat="1"/>
    <row r="479" s="3" customFormat="1"/>
    <row r="480" s="3" customFormat="1"/>
    <row r="481" s="3" customFormat="1"/>
    <row r="482" s="3" customFormat="1"/>
    <row r="483" s="3" customFormat="1"/>
    <row r="484" s="3" customFormat="1"/>
    <row r="485" s="3" customFormat="1"/>
    <row r="486" s="3" customFormat="1"/>
    <row r="487" s="3" customFormat="1"/>
    <row r="488" s="3" customFormat="1"/>
    <row r="489" s="3" customFormat="1"/>
    <row r="490" s="3" customFormat="1"/>
    <row r="491" s="3" customFormat="1"/>
    <row r="492" s="3" customFormat="1"/>
    <row r="493" s="3" customFormat="1"/>
    <row r="494" s="3" customFormat="1"/>
    <row r="495" s="3" customFormat="1"/>
    <row r="496" s="3" customFormat="1"/>
    <row r="497" s="3" customFormat="1"/>
    <row r="498" s="3" customFormat="1"/>
    <row r="499" s="3" customFormat="1"/>
    <row r="500" s="3" customFormat="1"/>
    <row r="501" s="3" customFormat="1"/>
    <row r="502" s="3" customFormat="1"/>
    <row r="503" s="3" customFormat="1"/>
    <row r="504" s="3" customFormat="1"/>
    <row r="505" s="3" customFormat="1"/>
    <row r="506" s="3" customFormat="1"/>
    <row r="507" s="3" customFormat="1"/>
    <row r="508" s="3" customFormat="1"/>
    <row r="509" s="3" customFormat="1"/>
    <row r="510" s="3" customFormat="1"/>
    <row r="511" s="3" customFormat="1"/>
    <row r="512" s="3" customFormat="1"/>
    <row r="513" s="3" customFormat="1"/>
    <row r="514" s="3" customFormat="1"/>
    <row r="515" s="3" customFormat="1"/>
    <row r="516" s="3" customFormat="1"/>
    <row r="517" s="3" customFormat="1"/>
    <row r="518" s="3" customFormat="1"/>
    <row r="519" s="3" customFormat="1"/>
    <row r="520" s="3" customFormat="1"/>
    <row r="521" s="3" customFormat="1"/>
    <row r="522" s="3" customFormat="1"/>
    <row r="523" s="3" customFormat="1"/>
    <row r="524" s="3" customFormat="1"/>
    <row r="525" s="3" customFormat="1"/>
    <row r="526" s="3" customFormat="1"/>
    <row r="527" s="3" customFormat="1"/>
    <row r="528" s="3" customFormat="1"/>
    <row r="529" s="3" customFormat="1"/>
    <row r="530" s="3" customFormat="1"/>
    <row r="531" s="3" customFormat="1"/>
    <row r="532" s="3" customFormat="1"/>
    <row r="533" s="3" customFormat="1"/>
    <row r="534" s="3" customFormat="1"/>
    <row r="535" s="3" customFormat="1"/>
    <row r="536" s="3" customFormat="1"/>
    <row r="537" s="3" customFormat="1"/>
    <row r="538" s="3" customFormat="1"/>
    <row r="539" s="3" customFormat="1"/>
    <row r="540" s="3" customFormat="1"/>
    <row r="541" s="3" customFormat="1"/>
    <row r="542" s="3" customFormat="1"/>
    <row r="543" s="3" customFormat="1"/>
    <row r="544" s="3" customFormat="1"/>
    <row r="545" s="3" customFormat="1"/>
    <row r="546" s="3" customFormat="1"/>
    <row r="547" s="3" customFormat="1"/>
    <row r="548" s="3" customFormat="1"/>
    <row r="549" s="3" customFormat="1"/>
    <row r="550" s="3" customFormat="1"/>
    <row r="551" s="3" customFormat="1"/>
    <row r="552" s="3" customFormat="1"/>
    <row r="553" s="3" customFormat="1"/>
    <row r="554" s="3" customFormat="1"/>
    <row r="555" s="3" customFormat="1"/>
    <row r="556" s="3" customFormat="1"/>
    <row r="557" s="3" customFormat="1"/>
    <row r="558" s="3" customFormat="1"/>
    <row r="559" s="3" customFormat="1"/>
    <row r="560" s="3" customFormat="1"/>
    <row r="561" s="3" customFormat="1"/>
    <row r="562" s="3" customFormat="1"/>
    <row r="563" s="3" customFormat="1"/>
    <row r="564" s="3" customFormat="1"/>
    <row r="565" s="3" customFormat="1"/>
    <row r="566" s="3" customFormat="1"/>
    <row r="567" s="3" customFormat="1"/>
    <row r="568" s="3" customFormat="1"/>
    <row r="569" s="3" customFormat="1"/>
    <row r="570" s="3" customFormat="1"/>
    <row r="571" s="3" customFormat="1"/>
    <row r="572" s="3" customFormat="1"/>
    <row r="573" s="3" customFormat="1"/>
    <row r="574" s="3" customFormat="1"/>
    <row r="575" s="3" customFormat="1"/>
    <row r="576" s="3" customFormat="1"/>
    <row r="577" s="3" customFormat="1"/>
    <row r="578" s="3" customFormat="1"/>
    <row r="579" s="3" customFormat="1"/>
    <row r="580" s="3" customFormat="1"/>
    <row r="581" s="3" customFormat="1"/>
    <row r="582" s="3" customFormat="1"/>
    <row r="583" s="3" customFormat="1"/>
    <row r="584" s="3" customFormat="1"/>
    <row r="585" s="3" customFormat="1"/>
    <row r="586" s="3" customFormat="1"/>
    <row r="587" s="3" customFormat="1"/>
    <row r="588" s="3" customFormat="1"/>
    <row r="589" s="3" customFormat="1"/>
    <row r="590" s="3" customFormat="1"/>
    <row r="591" s="3" customFormat="1"/>
    <row r="592" s="3" customFormat="1"/>
    <row r="593" s="3" customFormat="1"/>
    <row r="594" s="3" customFormat="1"/>
    <row r="595" s="3" customFormat="1"/>
    <row r="596" s="3" customFormat="1"/>
    <row r="597" s="3" customFormat="1"/>
    <row r="598" s="3" customFormat="1"/>
    <row r="599" s="3" customFormat="1"/>
    <row r="600" s="3" customFormat="1"/>
    <row r="601" s="3" customFormat="1"/>
    <row r="602" s="3" customFormat="1"/>
    <row r="603" s="3" customFormat="1"/>
    <row r="604" s="3" customFormat="1"/>
    <row r="605" s="3" customFormat="1"/>
    <row r="606" s="3" customFormat="1"/>
    <row r="607" s="3" customFormat="1"/>
    <row r="608" s="3" customFormat="1"/>
    <row r="609" s="3" customFormat="1"/>
    <row r="610" s="3" customFormat="1"/>
    <row r="611" s="3" customFormat="1"/>
    <row r="612" s="3" customFormat="1"/>
    <row r="613" s="3" customFormat="1"/>
    <row r="614" s="3" customFormat="1"/>
    <row r="615" s="3" customFormat="1"/>
    <row r="616" s="3" customFormat="1"/>
    <row r="617" s="3" customFormat="1"/>
    <row r="618" s="3" customFormat="1"/>
    <row r="619" s="3" customFormat="1"/>
    <row r="620" s="3" customFormat="1"/>
    <row r="621" s="3" customFormat="1"/>
    <row r="622" s="3" customFormat="1"/>
    <row r="623" s="3" customFormat="1"/>
    <row r="624" s="3" customFormat="1"/>
    <row r="625" s="3" customFormat="1"/>
    <row r="626" s="3" customFormat="1"/>
    <row r="627" s="3" customFormat="1"/>
    <row r="628" s="3" customFormat="1"/>
    <row r="629" s="3" customFormat="1"/>
    <row r="630" s="3" customFormat="1"/>
    <row r="631" s="3" customFormat="1"/>
    <row r="632" s="3" customFormat="1"/>
    <row r="633" s="3" customFormat="1"/>
    <row r="634" s="3" customFormat="1"/>
    <row r="635" s="3" customFormat="1"/>
    <row r="636" s="3" customFormat="1"/>
    <row r="637" s="3" customFormat="1"/>
    <row r="638" s="3" customFormat="1"/>
    <row r="639" s="3" customFormat="1"/>
    <row r="640" s="3" customFormat="1"/>
    <row r="641" s="3" customFormat="1"/>
    <row r="642" s="3" customFormat="1"/>
    <row r="643" s="3" customFormat="1"/>
    <row r="644" s="3" customFormat="1"/>
    <row r="645" s="3" customFormat="1"/>
    <row r="646" s="3" customFormat="1"/>
    <row r="647" s="3" customFormat="1"/>
    <row r="648" s="3" customFormat="1"/>
    <row r="649" s="3" customFormat="1"/>
    <row r="650" s="3" customFormat="1"/>
    <row r="651" s="3" customFormat="1"/>
    <row r="652" s="3" customFormat="1"/>
    <row r="653" s="3" customFormat="1"/>
    <row r="654" s="3" customFormat="1"/>
    <row r="655" s="3" customFormat="1"/>
    <row r="656" s="3" customFormat="1"/>
    <row r="657" s="3" customFormat="1"/>
    <row r="658" s="3" customFormat="1"/>
    <row r="659" s="3" customFormat="1"/>
    <row r="660" s="3" customFormat="1"/>
    <row r="661" s="3" customFormat="1"/>
    <row r="662" s="3" customFormat="1"/>
    <row r="663" s="3" customFormat="1"/>
    <row r="664" s="3" customFormat="1"/>
    <row r="665" s="3" customFormat="1"/>
    <row r="666" s="3" customFormat="1"/>
    <row r="667" s="3" customFormat="1"/>
    <row r="668" s="3" customFormat="1"/>
    <row r="669" s="3" customFormat="1"/>
    <row r="670" s="3" customFormat="1"/>
    <row r="671" s="3" customFormat="1"/>
    <row r="672" s="3" customFormat="1"/>
    <row r="673" s="3" customFormat="1"/>
    <row r="674" s="3" customFormat="1"/>
    <row r="675" s="3" customFormat="1"/>
    <row r="676" s="3" customFormat="1"/>
    <row r="677" s="3" customFormat="1"/>
    <row r="678" s="3" customFormat="1"/>
    <row r="679" s="3" customFormat="1"/>
    <row r="680" s="3" customFormat="1"/>
    <row r="681" s="3" customFormat="1"/>
    <row r="682" s="3" customFormat="1"/>
    <row r="683" s="3" customFormat="1"/>
    <row r="684" s="3" customFormat="1"/>
    <row r="685" s="3" customFormat="1"/>
    <row r="686" s="3" customFormat="1"/>
    <row r="687" s="3" customFormat="1"/>
    <row r="688" s="3" customFormat="1"/>
    <row r="689" s="3" customFormat="1"/>
    <row r="690" s="3" customFormat="1"/>
    <row r="691" s="3" customFormat="1"/>
    <row r="692" s="3" customFormat="1"/>
    <row r="693" s="3" customFormat="1"/>
    <row r="694" s="3" customFormat="1"/>
    <row r="695" s="3" customFormat="1"/>
    <row r="696" s="3" customFormat="1"/>
    <row r="697" s="3" customFormat="1"/>
    <row r="698" s="3" customFormat="1"/>
    <row r="699" s="3" customFormat="1"/>
    <row r="700" s="3" customFormat="1"/>
    <row r="701" s="3" customFormat="1"/>
    <row r="702" s="3" customFormat="1"/>
    <row r="703" s="3" customFormat="1"/>
    <row r="704" s="3" customFormat="1"/>
    <row r="705" s="3" customFormat="1"/>
    <row r="706" s="3" customFormat="1"/>
    <row r="707" s="3" customFormat="1"/>
    <row r="708" s="3" customFormat="1"/>
    <row r="709" s="3" customFormat="1"/>
    <row r="710" s="3" customFormat="1"/>
    <row r="711" s="3" customFormat="1"/>
    <row r="712" s="3" customFormat="1"/>
    <row r="713" s="3" customFormat="1"/>
    <row r="714" s="3" customFormat="1"/>
    <row r="715" s="3" customFormat="1"/>
    <row r="716" s="3" customFormat="1"/>
    <row r="717" s="3" customFormat="1"/>
    <row r="718" s="3" customFormat="1"/>
    <row r="719" s="3" customFormat="1"/>
    <row r="720" s="3" customFormat="1"/>
    <row r="721" s="3" customFormat="1"/>
    <row r="722" s="3" customFormat="1"/>
    <row r="723" s="3" customFormat="1"/>
    <row r="724" s="3" customFormat="1"/>
    <row r="725" s="3" customFormat="1"/>
    <row r="726" s="3" customFormat="1"/>
    <row r="727" s="3" customFormat="1"/>
    <row r="728" s="3" customFormat="1"/>
    <row r="729" s="3" customFormat="1"/>
    <row r="730" s="3" customFormat="1"/>
    <row r="731" s="3" customFormat="1"/>
    <row r="732" s="3" customFormat="1"/>
    <row r="733" s="3" customFormat="1"/>
    <row r="734" s="3" customFormat="1"/>
    <row r="735" s="3" customFormat="1"/>
    <row r="736" s="3" customFormat="1"/>
    <row r="737" s="3" customFormat="1"/>
    <row r="738" s="3" customFormat="1"/>
    <row r="739" s="3" customFormat="1"/>
    <row r="740" s="3" customFormat="1"/>
    <row r="741" s="3" customFormat="1"/>
    <row r="742" s="3" customFormat="1"/>
    <row r="743" s="3" customFormat="1"/>
    <row r="744" s="3" customFormat="1"/>
    <row r="745" s="3" customFormat="1"/>
    <row r="746" s="3" customFormat="1"/>
    <row r="747" s="3" customFormat="1"/>
    <row r="748" s="3" customFormat="1"/>
    <row r="749" s="3" customFormat="1"/>
    <row r="750" s="3" customFormat="1"/>
    <row r="751" s="3" customFormat="1"/>
    <row r="752" s="3" customFormat="1"/>
    <row r="753" s="3" customFormat="1"/>
    <row r="754" s="3" customFormat="1"/>
    <row r="755" s="3" customFormat="1"/>
    <row r="756" s="3" customFormat="1"/>
    <row r="757" s="3" customFormat="1"/>
    <row r="758" s="3" customFormat="1"/>
    <row r="759" s="3" customFormat="1"/>
    <row r="760" s="3" customFormat="1"/>
    <row r="761" s="3" customFormat="1"/>
    <row r="762" s="3" customFormat="1"/>
    <row r="763" s="3" customFormat="1"/>
    <row r="764" s="3" customFormat="1"/>
    <row r="765" s="3" customFormat="1"/>
    <row r="766" s="3" customFormat="1"/>
    <row r="767" s="3" customFormat="1"/>
    <row r="768" s="3" customFormat="1"/>
    <row r="769" s="3" customFormat="1"/>
    <row r="770" s="3" customFormat="1"/>
    <row r="771" s="3" customFormat="1"/>
    <row r="772" s="3" customFormat="1"/>
    <row r="773" s="3" customFormat="1"/>
    <row r="774" s="3" customFormat="1"/>
    <row r="775" s="3" customFormat="1"/>
    <row r="776" s="3" customFormat="1"/>
    <row r="777" s="3" customFormat="1"/>
    <row r="778" s="3" customFormat="1"/>
    <row r="779" s="3" customFormat="1"/>
    <row r="780" s="3" customFormat="1"/>
    <row r="781" s="3" customFormat="1"/>
    <row r="782" s="3" customFormat="1"/>
    <row r="783" s="3" customFormat="1"/>
    <row r="784" s="3" customFormat="1"/>
    <row r="785" s="3" customFormat="1"/>
    <row r="786" s="3" customFormat="1"/>
    <row r="787" s="3" customFormat="1"/>
    <row r="788" s="3" customFormat="1"/>
    <row r="789" s="3" customFormat="1"/>
    <row r="790" s="3" customFormat="1"/>
    <row r="791" s="3" customFormat="1"/>
    <row r="792" s="3" customFormat="1"/>
    <row r="793" s="3" customFormat="1"/>
    <row r="794" s="3" customFormat="1"/>
    <row r="795" s="3" customFormat="1"/>
    <row r="796" s="3" customFormat="1"/>
    <row r="797" s="3" customFormat="1"/>
    <row r="798" s="3" customFormat="1"/>
    <row r="799" s="3" customFormat="1"/>
    <row r="800" s="3" customFormat="1"/>
    <row r="801" s="3" customFormat="1"/>
    <row r="802" s="3" customFormat="1"/>
    <row r="803" s="3" customFormat="1"/>
    <row r="804" s="3" customFormat="1"/>
    <row r="805" s="3" customFormat="1"/>
    <row r="806" s="3" customFormat="1"/>
    <row r="807" s="3" customFormat="1"/>
    <row r="808" s="3" customFormat="1"/>
    <row r="809" s="3" customFormat="1"/>
    <row r="810" s="3" customFormat="1"/>
    <row r="811" s="3" customFormat="1"/>
    <row r="812" s="3" customFormat="1"/>
    <row r="813" s="3" customFormat="1"/>
    <row r="814" s="3" customFormat="1"/>
    <row r="815" s="3" customFormat="1"/>
    <row r="816" s="3" customFormat="1"/>
    <row r="817" s="3" customFormat="1"/>
    <row r="818" s="3" customFormat="1"/>
    <row r="819" s="3" customFormat="1"/>
    <row r="820" s="3" customFormat="1"/>
    <row r="821" s="3" customFormat="1"/>
    <row r="822" s="3" customFormat="1"/>
    <row r="823" s="3" customFormat="1"/>
    <row r="824" s="3" customFormat="1"/>
    <row r="825" s="3" customFormat="1"/>
    <row r="826" s="3" customFormat="1"/>
    <row r="827" s="3" customFormat="1"/>
    <row r="828" s="3" customFormat="1"/>
    <row r="829" s="3" customFormat="1"/>
    <row r="830" s="3" customFormat="1"/>
    <row r="831" s="3" customFormat="1"/>
    <row r="832" s="3" customFormat="1"/>
    <row r="833" s="3" customFormat="1"/>
    <row r="834" s="3" customFormat="1"/>
    <row r="835" s="3" customFormat="1"/>
    <row r="836" s="3" customFormat="1"/>
    <row r="837" s="3" customFormat="1"/>
    <row r="838" s="3" customFormat="1"/>
    <row r="839" s="3" customFormat="1"/>
    <row r="840" s="3" customFormat="1"/>
    <row r="841" s="3" customFormat="1"/>
    <row r="842" s="3" customFormat="1"/>
    <row r="843" s="3" customFormat="1"/>
    <row r="844" s="3" customFormat="1"/>
    <row r="845" s="3" customFormat="1"/>
    <row r="846" s="3" customFormat="1"/>
    <row r="847" s="3" customFormat="1"/>
    <row r="848" s="3" customFormat="1"/>
    <row r="849" s="3" customFormat="1"/>
    <row r="850" s="3" customFormat="1"/>
    <row r="851" s="3" customFormat="1"/>
    <row r="852" s="3" customFormat="1"/>
    <row r="853" s="3" customFormat="1"/>
    <row r="854" s="3" customFormat="1"/>
    <row r="855" s="3" customFormat="1"/>
    <row r="856" s="3" customFormat="1"/>
    <row r="857" s="3" customFormat="1"/>
    <row r="858" s="3" customFormat="1"/>
    <row r="859" s="3" customFormat="1"/>
    <row r="860" s="3" customFormat="1"/>
    <row r="861" s="3" customFormat="1"/>
    <row r="862" s="3" customFormat="1"/>
    <row r="863" s="3" customFormat="1"/>
    <row r="864" s="3" customFormat="1"/>
    <row r="865" s="3" customFormat="1"/>
    <row r="866" s="3" customFormat="1"/>
    <row r="867" s="3" customFormat="1"/>
    <row r="868" s="3" customFormat="1"/>
    <row r="869" s="3" customFormat="1"/>
    <row r="870" s="3" customFormat="1"/>
    <row r="871" s="3" customFormat="1"/>
    <row r="872" s="3" customFormat="1"/>
    <row r="873" s="3" customFormat="1"/>
    <row r="874" s="3" customFormat="1"/>
    <row r="875" s="3" customFormat="1"/>
    <row r="876" s="3" customFormat="1"/>
    <row r="877" s="3" customFormat="1"/>
    <row r="878" s="3" customFormat="1"/>
    <row r="879" s="3" customFormat="1"/>
    <row r="880" s="3" customFormat="1"/>
    <row r="881" s="3" customFormat="1"/>
    <row r="882" s="3" customFormat="1"/>
    <row r="883" s="3" customFormat="1"/>
    <row r="884" s="3" customFormat="1"/>
    <row r="885" s="3" customFormat="1"/>
    <row r="886" s="3" customFormat="1"/>
    <row r="887" s="3" customFormat="1"/>
    <row r="888" s="3" customFormat="1"/>
    <row r="889" s="3" customFormat="1"/>
    <row r="890" s="3" customFormat="1"/>
    <row r="891" s="3" customFormat="1"/>
    <row r="892" s="3" customFormat="1"/>
    <row r="893" s="3" customFormat="1"/>
    <row r="894" s="3" customFormat="1"/>
    <row r="895" s="3" customFormat="1"/>
    <row r="896" s="3" customFormat="1"/>
    <row r="897" s="3" customFormat="1"/>
    <row r="898" s="3" customFormat="1"/>
    <row r="899" s="3" customFormat="1"/>
    <row r="900" s="3" customFormat="1"/>
    <row r="901" s="3" customFormat="1"/>
    <row r="902" s="3" customFormat="1"/>
    <row r="903" s="3" customFormat="1"/>
    <row r="904" s="3" customFormat="1"/>
    <row r="905" s="3" customFormat="1"/>
    <row r="906" s="3" customFormat="1"/>
    <row r="907" s="3" customFormat="1"/>
    <row r="908" s="3" customFormat="1"/>
    <row r="909" s="3" customFormat="1"/>
    <row r="910" s="3" customFormat="1"/>
    <row r="911" s="3" customFormat="1"/>
    <row r="912" s="3" customFormat="1"/>
    <row r="913" s="3" customFormat="1"/>
    <row r="914" s="3" customFormat="1"/>
    <row r="915" s="3" customFormat="1"/>
    <row r="916" s="3" customFormat="1"/>
    <row r="917" s="3" customFormat="1"/>
    <row r="918" s="3" customFormat="1"/>
    <row r="919" s="3" customFormat="1"/>
    <row r="920" s="3" customFormat="1"/>
    <row r="921" s="3" customFormat="1"/>
    <row r="922" s="3" customFormat="1"/>
    <row r="923" s="3" customFormat="1"/>
    <row r="924" s="3" customFormat="1"/>
    <row r="925" s="3" customFormat="1"/>
    <row r="926" s="3" customFormat="1"/>
    <row r="927" s="3" customFormat="1"/>
    <row r="928" s="3" customFormat="1"/>
    <row r="929" s="3" customFormat="1"/>
    <row r="930" s="3" customFormat="1"/>
    <row r="931" s="3" customFormat="1"/>
    <row r="932" s="3" customFormat="1"/>
    <row r="933" s="3" customFormat="1"/>
    <row r="934" s="3" customFormat="1"/>
    <row r="935" s="3" customFormat="1"/>
    <row r="936" s="3" customFormat="1"/>
    <row r="937" s="3" customFormat="1"/>
    <row r="938" s="3" customFormat="1"/>
    <row r="939" s="3" customFormat="1"/>
    <row r="940" s="3" customFormat="1"/>
    <row r="941" s="3" customFormat="1"/>
    <row r="942" s="3" customFormat="1"/>
    <row r="943" s="3" customFormat="1"/>
    <row r="944" s="3" customFormat="1"/>
    <row r="945" s="3" customFormat="1"/>
    <row r="946" s="3" customFormat="1"/>
    <row r="947" s="3" customFormat="1"/>
    <row r="948" s="3" customFormat="1"/>
    <row r="949" s="3" customFormat="1"/>
    <row r="950" s="3" customFormat="1"/>
    <row r="951" s="3" customFormat="1"/>
    <row r="952" s="3" customFormat="1"/>
    <row r="953" s="3" customFormat="1"/>
    <row r="954" s="3" customFormat="1"/>
    <row r="955" s="3" customFormat="1"/>
    <row r="956" s="3" customFormat="1"/>
    <row r="957" s="3" customFormat="1"/>
    <row r="958" s="3" customFormat="1"/>
    <row r="959" s="3" customFormat="1"/>
    <row r="960" s="3" customFormat="1"/>
    <row r="961" s="3" customFormat="1"/>
    <row r="962" s="3" customFormat="1"/>
    <row r="963" s="3" customFormat="1"/>
    <row r="964" s="3" customFormat="1"/>
    <row r="965" s="3" customFormat="1"/>
    <row r="966" s="3" customFormat="1"/>
    <row r="967" s="3" customFormat="1"/>
    <row r="968" s="3" customFormat="1"/>
    <row r="969" s="3" customFormat="1"/>
    <row r="970" s="3" customFormat="1"/>
    <row r="971" s="3" customFormat="1"/>
    <row r="972" s="3" customFormat="1"/>
    <row r="973" s="3" customFormat="1"/>
    <row r="974" s="3" customFormat="1"/>
    <row r="975" s="3" customFormat="1"/>
    <row r="976" s="3" customFormat="1"/>
    <row r="977" s="3" customFormat="1"/>
    <row r="978" s="3" customFormat="1"/>
    <row r="979" s="3" customFormat="1"/>
    <row r="980" s="3" customFormat="1"/>
    <row r="981" s="3" customFormat="1"/>
    <row r="982" s="3" customFormat="1"/>
    <row r="983" s="3" customFormat="1"/>
    <row r="984" s="3" customFormat="1"/>
    <row r="985" s="3" customFormat="1"/>
    <row r="986" s="3" customFormat="1"/>
    <row r="987" s="3" customFormat="1"/>
    <row r="988" s="3" customFormat="1"/>
    <row r="989" s="3" customFormat="1"/>
    <row r="990" s="3" customFormat="1"/>
    <row r="991" s="3" customFormat="1"/>
    <row r="992" s="3" customFormat="1"/>
    <row r="993" s="3" customFormat="1"/>
    <row r="994" s="3" customFormat="1"/>
    <row r="995" s="3" customFormat="1"/>
    <row r="996" s="3" customFormat="1"/>
    <row r="997" s="3" customFormat="1"/>
    <row r="998" s="3" customFormat="1"/>
    <row r="999" s="3" customFormat="1"/>
    <row r="1000" s="3" customFormat="1"/>
    <row r="1001" s="3" customFormat="1"/>
    <row r="1002" s="3" customFormat="1"/>
    <row r="1003" s="3" customFormat="1"/>
    <row r="1004" s="3" customFormat="1"/>
    <row r="1005" s="3" customFormat="1"/>
    <row r="1006" s="3" customFormat="1"/>
    <row r="1007" s="3" customFormat="1"/>
    <row r="1008" s="3" customFormat="1"/>
    <row r="1009" s="3" customFormat="1"/>
    <row r="1010" s="3" customFormat="1"/>
    <row r="1011" s="3" customFormat="1"/>
    <row r="1012" s="3" customFormat="1"/>
    <row r="1013" s="3" customFormat="1"/>
    <row r="1014" s="3" customFormat="1"/>
    <row r="1015" s="3" customFormat="1"/>
    <row r="1016" s="3" customFormat="1"/>
    <row r="1017" s="3" customFormat="1"/>
    <row r="1018" s="3" customFormat="1"/>
    <row r="1019" s="3" customFormat="1"/>
    <row r="1020" s="3" customFormat="1"/>
    <row r="1021" s="3" customFormat="1"/>
    <row r="1022" s="3" customFormat="1"/>
    <row r="1023" s="3" customFormat="1"/>
    <row r="1024" s="3" customFormat="1"/>
    <row r="1025" s="3" customFormat="1"/>
    <row r="1026" s="3" customFormat="1"/>
    <row r="1027" s="3" customFormat="1"/>
    <row r="1028" s="3" customFormat="1"/>
    <row r="1029" s="3" customFormat="1"/>
    <row r="1030" s="3" customFormat="1"/>
    <row r="1031" s="3" customFormat="1"/>
    <row r="1032" s="3" customFormat="1"/>
    <row r="1033" s="3" customFormat="1"/>
    <row r="1034" s="3" customFormat="1"/>
    <row r="1035" s="3" customFormat="1"/>
    <row r="1036" s="3" customFormat="1"/>
    <row r="1037" s="3" customFormat="1"/>
    <row r="1038" s="3" customFormat="1"/>
    <row r="1039" s="3" customFormat="1"/>
    <row r="1040" s="3" customFormat="1"/>
    <row r="1041" s="3" customFormat="1"/>
    <row r="1042" s="3" customFormat="1"/>
    <row r="1043" s="3" customFormat="1"/>
    <row r="1044" s="3" customFormat="1"/>
    <row r="1045" s="3" customFormat="1"/>
    <row r="1046" s="3" customFormat="1"/>
    <row r="1047" s="3" customFormat="1"/>
    <row r="1048" s="3" customFormat="1"/>
    <row r="1049" s="3" customFormat="1"/>
    <row r="1050" s="3" customFormat="1"/>
    <row r="1051" s="3" customFormat="1"/>
    <row r="1052" s="3" customFormat="1"/>
    <row r="1053" s="3" customFormat="1"/>
    <row r="1054" s="3" customFormat="1"/>
    <row r="1055" s="3" customFormat="1"/>
    <row r="1056" s="3" customFormat="1"/>
    <row r="1057" s="3" customFormat="1"/>
    <row r="1058" s="3" customFormat="1"/>
    <row r="1059" s="3" customFormat="1"/>
    <row r="1060" s="3" customFormat="1"/>
    <row r="1061" s="3" customFormat="1"/>
    <row r="1062" s="3" customFormat="1"/>
    <row r="1063" s="3" customFormat="1"/>
    <row r="1064" s="3" customFormat="1"/>
    <row r="1065" s="3" customFormat="1"/>
    <row r="1066" s="3" customFormat="1"/>
    <row r="1067" s="3" customFormat="1"/>
    <row r="1068" s="3" customFormat="1"/>
    <row r="1069" s="3" customFormat="1"/>
    <row r="1070" s="3" customFormat="1"/>
    <row r="1071" s="3" customFormat="1"/>
    <row r="1072" s="3" customFormat="1"/>
    <row r="1073" s="3" customFormat="1"/>
    <row r="1074" s="3" customFormat="1"/>
    <row r="1075" s="3" customFormat="1"/>
    <row r="1076" s="3" customFormat="1"/>
    <row r="1077" s="3" customFormat="1"/>
    <row r="1078" s="3" customFormat="1"/>
    <row r="1079" s="3" customFormat="1"/>
    <row r="1080" s="3" customFormat="1"/>
    <row r="1081" s="3" customFormat="1"/>
    <row r="1082" s="3" customFormat="1"/>
    <row r="1083" s="3" customFormat="1"/>
    <row r="1084" s="3" customFormat="1"/>
    <row r="1085" s="3" customFormat="1"/>
    <row r="1086" s="3" customFormat="1"/>
    <row r="1087" s="3" customFormat="1"/>
    <row r="1088" s="3" customFormat="1"/>
    <row r="1089" s="3" customFormat="1"/>
    <row r="1090" s="3" customFormat="1"/>
    <row r="1091" s="3" customFormat="1"/>
    <row r="1092" s="3" customFormat="1"/>
    <row r="1093" s="3" customFormat="1"/>
    <row r="1094" s="3" customFormat="1"/>
    <row r="1095" s="3" customFormat="1"/>
    <row r="1096" s="3" customFormat="1"/>
    <row r="1097" s="3" customFormat="1"/>
    <row r="1098" s="3" customFormat="1"/>
    <row r="1099" s="3" customFormat="1"/>
    <row r="1100" s="3" customFormat="1"/>
    <row r="1101" s="3" customFormat="1"/>
    <row r="1102" s="3" customFormat="1"/>
    <row r="1103" s="3" customFormat="1"/>
    <row r="1104" s="3" customFormat="1"/>
    <row r="1105" s="3" customFormat="1"/>
    <row r="1106" s="3" customFormat="1"/>
    <row r="1107" s="3" customFormat="1"/>
    <row r="1108" s="3" customFormat="1"/>
    <row r="1109" s="3" customFormat="1"/>
    <row r="1110" s="3" customFormat="1"/>
    <row r="1111" s="3" customFormat="1"/>
    <row r="1112" s="3" customFormat="1"/>
    <row r="1113" s="3" customFormat="1"/>
    <row r="1114" s="3" customFormat="1"/>
    <row r="1115" s="3" customFormat="1"/>
    <row r="1116" s="3" customFormat="1"/>
    <row r="1117" s="3" customFormat="1"/>
    <row r="1118" s="3" customFormat="1"/>
    <row r="1119" s="3" customFormat="1"/>
    <row r="1120" s="3" customFormat="1"/>
    <row r="1121" s="3" customFormat="1"/>
    <row r="1122" s="3" customFormat="1"/>
    <row r="1123" s="3" customFormat="1"/>
    <row r="1124" s="3" customFormat="1"/>
    <row r="1125" s="3" customFormat="1"/>
    <row r="1126" s="3" customFormat="1"/>
    <row r="1127" s="3" customFormat="1"/>
    <row r="1128" s="3" customFormat="1"/>
    <row r="1129" s="3" customFormat="1"/>
    <row r="1130" s="3" customFormat="1"/>
    <row r="1131" s="3" customFormat="1"/>
    <row r="1132" s="3" customFormat="1"/>
    <row r="1133" s="3" customFormat="1"/>
    <row r="1134" s="3" customFormat="1"/>
    <row r="1135" s="3" customFormat="1"/>
    <row r="1136" s="3" customFormat="1"/>
    <row r="1137" s="3" customFormat="1"/>
    <row r="1138" s="3" customFormat="1"/>
    <row r="1139" s="3" customFormat="1"/>
    <row r="1140" s="3" customFormat="1"/>
    <row r="1141" s="3" customFormat="1"/>
    <row r="1142" s="3" customFormat="1"/>
    <row r="1143" s="3" customFormat="1"/>
    <row r="1144" s="3" customFormat="1"/>
    <row r="1145" s="3" customFormat="1"/>
    <row r="1146" s="3" customFormat="1"/>
    <row r="1147" s="3" customFormat="1"/>
    <row r="1148" s="3" customFormat="1"/>
    <row r="1149" s="3" customFormat="1"/>
    <row r="1150" s="3" customFormat="1"/>
    <row r="1151" s="3" customFormat="1"/>
    <row r="1152" s="3" customFormat="1"/>
    <row r="1153" s="3" customFormat="1"/>
    <row r="1154" s="3" customFormat="1"/>
    <row r="1155" s="3" customFormat="1"/>
    <row r="1156" s="3" customFormat="1"/>
    <row r="1157" s="3" customFormat="1"/>
    <row r="1158" s="3" customFormat="1"/>
    <row r="1159" s="3" customFormat="1"/>
    <row r="1160" s="3" customFormat="1"/>
    <row r="1161" s="3" customFormat="1"/>
    <row r="1162" s="3" customFormat="1"/>
    <row r="1163" s="3" customFormat="1"/>
    <row r="1164" s="3" customFormat="1"/>
    <row r="1165" s="3" customFormat="1"/>
    <row r="1166" s="3" customFormat="1"/>
    <row r="1167" s="3" customFormat="1"/>
    <row r="1168" s="3" customFormat="1"/>
    <row r="1169" s="3" customFormat="1"/>
    <row r="1170" s="3" customFormat="1"/>
    <row r="1171" s="3" customFormat="1"/>
    <row r="1172" s="3" customFormat="1"/>
    <row r="1173" s="3" customFormat="1"/>
    <row r="1174" s="3" customFormat="1"/>
    <row r="1175" s="3" customFormat="1"/>
    <row r="1176" s="3" customFormat="1"/>
    <row r="1177" s="3" customFormat="1"/>
    <row r="1178" s="3" customFormat="1"/>
    <row r="1179" s="3" customFormat="1"/>
    <row r="1180" s="3" customFormat="1"/>
    <row r="1181" s="3" customFormat="1"/>
    <row r="1182" s="3" customFormat="1"/>
    <row r="1183" s="3" customFormat="1"/>
    <row r="1184" s="3" customFormat="1"/>
    <row r="1185" s="3" customFormat="1"/>
    <row r="1186" s="3" customFormat="1"/>
    <row r="1187" s="3" customFormat="1"/>
    <row r="1188" s="3" customFormat="1"/>
    <row r="1189" s="3" customFormat="1"/>
    <row r="1190" s="3" customFormat="1"/>
    <row r="1191" s="3" customFormat="1"/>
    <row r="1192" s="3" customFormat="1"/>
    <row r="1193" s="3" customFormat="1"/>
    <row r="1194" s="3" customFormat="1"/>
    <row r="1195" s="3" customFormat="1"/>
    <row r="1196" s="3" customFormat="1"/>
    <row r="1197" s="3" customFormat="1"/>
    <row r="1198" s="3" customFormat="1"/>
    <row r="1199" s="3" customFormat="1"/>
    <row r="1200" s="3" customFormat="1"/>
    <row r="1201" s="3" customFormat="1"/>
    <row r="1202" s="3" customFormat="1"/>
    <row r="1203" s="3" customFormat="1"/>
    <row r="1204" s="3" customFormat="1"/>
    <row r="1205" s="3" customFormat="1"/>
    <row r="1206" s="3" customFormat="1"/>
    <row r="1207" s="3" customFormat="1"/>
    <row r="1208" s="3" customFormat="1"/>
    <row r="1209" s="3" customFormat="1"/>
    <row r="1210" s="3" customFormat="1"/>
    <row r="1211" s="3" customFormat="1"/>
    <row r="1212" s="3" customFormat="1"/>
    <row r="1213" s="3" customFormat="1"/>
    <row r="1214" s="3" customFormat="1"/>
    <row r="1215" s="3" customFormat="1"/>
    <row r="1216" s="3" customFormat="1"/>
    <row r="1217" s="3" customFormat="1"/>
    <row r="1218" s="3" customFormat="1"/>
    <row r="1219" s="3" customFormat="1"/>
    <row r="1220" s="3" customFormat="1"/>
    <row r="1221" s="3" customFormat="1"/>
    <row r="1222" s="3" customFormat="1"/>
    <row r="1223" s="3" customFormat="1"/>
    <row r="1224" s="3" customFormat="1"/>
    <row r="1225" s="3" customFormat="1"/>
    <row r="1226" s="3" customFormat="1"/>
    <row r="1227" s="3" customFormat="1"/>
    <row r="1228" s="3" customFormat="1"/>
    <row r="1229" s="3" customFormat="1"/>
    <row r="1230" s="3" customFormat="1"/>
    <row r="1231" s="3" customFormat="1"/>
    <row r="1232" s="3" customFormat="1"/>
    <row r="1233" s="3" customFormat="1"/>
    <row r="1234" s="3" customFormat="1"/>
    <row r="1235" s="3" customFormat="1"/>
    <row r="1236" s="3" customFormat="1"/>
    <row r="1237" s="3" customFormat="1"/>
    <row r="1238" s="3" customFormat="1"/>
    <row r="1239" s="3" customFormat="1"/>
    <row r="1240" s="3" customFormat="1"/>
    <row r="1241" s="3" customFormat="1"/>
    <row r="1242" s="3" customFormat="1"/>
    <row r="1243" s="3" customFormat="1"/>
    <row r="1244" s="3" customFormat="1"/>
    <row r="1245" s="3" customFormat="1"/>
    <row r="1246" s="3" customFormat="1"/>
    <row r="1247" s="3" customFormat="1"/>
    <row r="1248" s="3" customFormat="1"/>
    <row r="1249" s="3" customFormat="1"/>
    <row r="1250" s="3" customFormat="1"/>
    <row r="1251" s="3" customFormat="1"/>
    <row r="1252" s="3" customFormat="1"/>
    <row r="1253" s="3" customFormat="1"/>
    <row r="1254" s="3" customFormat="1"/>
    <row r="1255" s="3" customFormat="1"/>
    <row r="1256" s="3" customFormat="1"/>
    <row r="1257" s="3" customFormat="1"/>
    <row r="1258" s="3" customFormat="1"/>
    <row r="1259" s="3" customFormat="1"/>
    <row r="1260" s="3" customFormat="1"/>
    <row r="1261" s="3" customFormat="1"/>
    <row r="1262" s="3" customFormat="1"/>
    <row r="1263" s="3" customFormat="1"/>
    <row r="1264" s="3" customFormat="1"/>
    <row r="1265" s="3" customFormat="1"/>
    <row r="1266" s="3" customFormat="1"/>
    <row r="1267" s="3" customFormat="1"/>
    <row r="1268" s="3" customFormat="1"/>
    <row r="1269" s="3" customFormat="1"/>
    <row r="1270" s="3" customFormat="1"/>
    <row r="1271" s="3" customFormat="1"/>
    <row r="1272" s="3" customFormat="1"/>
    <row r="1273" s="3" customFormat="1"/>
    <row r="1274" s="3" customFormat="1"/>
    <row r="1275" s="3" customFormat="1"/>
    <row r="1276" s="3" customFormat="1"/>
    <row r="1277" s="3" customFormat="1"/>
    <row r="1278" s="3" customFormat="1"/>
    <row r="1279" s="3" customFormat="1"/>
    <row r="1280" s="3" customFormat="1"/>
    <row r="1281" s="3" customFormat="1"/>
    <row r="1282" s="3" customFormat="1"/>
    <row r="1283" s="3" customFormat="1"/>
    <row r="1284" s="3" customFormat="1"/>
    <row r="1285" s="3" customFormat="1"/>
    <row r="1286" s="3" customFormat="1"/>
    <row r="1287" s="3" customFormat="1"/>
    <row r="1288" s="3" customFormat="1"/>
    <row r="1289" s="3" customFormat="1"/>
    <row r="1290" s="3" customFormat="1"/>
    <row r="1291" s="3" customFormat="1"/>
    <row r="1292" s="3" customFormat="1"/>
    <row r="1293" s="3" customFormat="1"/>
    <row r="1294" s="3" customFormat="1"/>
    <row r="1295" s="3" customFormat="1"/>
    <row r="1296" s="3" customFormat="1"/>
    <row r="1297" s="3" customFormat="1"/>
    <row r="1298" s="3" customFormat="1"/>
    <row r="1299" s="3" customFormat="1"/>
    <row r="1300" s="3" customFormat="1"/>
    <row r="1301" s="3" customFormat="1"/>
    <row r="1302" s="3" customFormat="1"/>
    <row r="1303" s="3" customFormat="1"/>
    <row r="1304" s="3" customFormat="1"/>
    <row r="1305" s="3" customFormat="1"/>
    <row r="1306" s="3" customFormat="1"/>
    <row r="1307" s="3" customFormat="1"/>
    <row r="1308" s="3" customFormat="1"/>
    <row r="1309" s="3" customFormat="1"/>
    <row r="1310" s="3" customFormat="1"/>
    <row r="1311" s="3" customFormat="1"/>
    <row r="1312" s="3" customFormat="1"/>
    <row r="1313" s="3" customFormat="1"/>
    <row r="1314" s="3" customFormat="1"/>
    <row r="1315" s="3" customFormat="1"/>
    <row r="1316" s="3" customFormat="1"/>
    <row r="1317" s="3" customFormat="1"/>
    <row r="1318" s="3" customFormat="1"/>
    <row r="1319" s="3" customFormat="1"/>
    <row r="1320" s="3" customFormat="1"/>
    <row r="1321" s="3" customFormat="1"/>
    <row r="1322" s="3" customFormat="1"/>
    <row r="1323" s="3" customFormat="1"/>
    <row r="1324" s="3" customFormat="1"/>
    <row r="1325" s="3" customFormat="1"/>
    <row r="1326" s="3" customFormat="1"/>
    <row r="1327" s="3" customFormat="1"/>
    <row r="1328" s="3" customFormat="1"/>
    <row r="1329" s="3" customFormat="1"/>
    <row r="1330" s="3" customFormat="1"/>
    <row r="1331" s="3" customFormat="1"/>
    <row r="1332" s="3" customFormat="1"/>
    <row r="1333" s="3" customFormat="1"/>
    <row r="1334" s="3" customFormat="1"/>
    <row r="1335" s="3" customFormat="1"/>
    <row r="1336" s="3" customFormat="1"/>
    <row r="1337" s="3" customFormat="1"/>
    <row r="1338" s="3" customFormat="1"/>
    <row r="1339" s="3" customFormat="1"/>
    <row r="1340" s="3" customFormat="1"/>
    <row r="1341" s="3" customFormat="1"/>
    <row r="1342" s="3" customFormat="1"/>
    <row r="1343" s="3" customFormat="1"/>
    <row r="1344" s="3" customFormat="1"/>
    <row r="1345" s="3" customFormat="1"/>
    <row r="1346" s="3" customFormat="1"/>
    <row r="1347" s="3" customFormat="1"/>
    <row r="1348" s="3" customFormat="1"/>
    <row r="1349" s="3" customFormat="1"/>
    <row r="1350" s="3" customFormat="1"/>
    <row r="1351" s="3" customFormat="1"/>
    <row r="1352" s="3" customFormat="1"/>
    <row r="1353" s="3" customFormat="1"/>
    <row r="1354" s="3" customFormat="1"/>
    <row r="1355" s="3" customFormat="1"/>
    <row r="1356" s="3" customFormat="1"/>
    <row r="1357" s="3" customFormat="1"/>
    <row r="1358" s="3" customFormat="1"/>
    <row r="1359" s="3" customFormat="1"/>
    <row r="1360" s="3" customFormat="1"/>
    <row r="1361" s="3" customFormat="1"/>
    <row r="1362" s="3" customFormat="1"/>
    <row r="1363" s="3" customFormat="1"/>
    <row r="1364" s="3" customFormat="1"/>
    <row r="1365" s="3" customFormat="1"/>
    <row r="1366" s="3" customFormat="1"/>
    <row r="1367" s="3" customFormat="1"/>
    <row r="1368" s="3" customFormat="1"/>
    <row r="1369" s="3" customFormat="1"/>
    <row r="1370" s="3" customFormat="1"/>
    <row r="1371" s="3" customFormat="1"/>
    <row r="1372" s="3" customFormat="1"/>
    <row r="1373" s="3" customFormat="1"/>
    <row r="1374" s="3" customFormat="1"/>
    <row r="1375" s="3" customFormat="1"/>
    <row r="1376" s="3" customFormat="1"/>
    <row r="1377" s="3" customFormat="1"/>
    <row r="1378" s="3" customFormat="1"/>
    <row r="1379" s="3" customFormat="1"/>
    <row r="1380" s="3" customFormat="1"/>
    <row r="1381" s="3" customFormat="1"/>
    <row r="1382" s="3" customFormat="1"/>
    <row r="1383" s="3" customFormat="1"/>
    <row r="1384" s="3" customFormat="1"/>
    <row r="1385" s="3" customFormat="1"/>
    <row r="1386" s="3" customFormat="1"/>
    <row r="1387" s="3" customFormat="1"/>
    <row r="1388" s="3" customFormat="1"/>
    <row r="1389" s="3" customFormat="1"/>
    <row r="1390" s="3" customFormat="1"/>
    <row r="1391" s="3" customFormat="1"/>
    <row r="1392" s="3" customFormat="1"/>
    <row r="1393" s="3" customFormat="1"/>
    <row r="1394" s="3" customFormat="1"/>
    <row r="1395" s="3" customFormat="1"/>
    <row r="1396" s="3" customFormat="1"/>
    <row r="1397" s="3" customFormat="1"/>
    <row r="1398" s="3" customFormat="1"/>
    <row r="1399" s="3" customFormat="1"/>
    <row r="1400" s="3" customFormat="1"/>
    <row r="1401" s="3" customFormat="1"/>
    <row r="1402" s="3" customFormat="1"/>
    <row r="1403" s="3" customFormat="1"/>
    <row r="1404" s="3" customFormat="1"/>
    <row r="1405" s="3" customFormat="1"/>
    <row r="1406" s="3" customFormat="1"/>
    <row r="1407" s="3" customFormat="1"/>
    <row r="1408" s="3" customFormat="1"/>
    <row r="1409" s="3" customFormat="1"/>
    <row r="1410" s="3" customFormat="1"/>
    <row r="1411" s="3" customFormat="1"/>
    <row r="1412" s="3" customFormat="1"/>
    <row r="1413" s="3" customFormat="1"/>
    <row r="1414" s="3" customFormat="1"/>
    <row r="1415" s="3" customFormat="1"/>
    <row r="1416" s="3" customFormat="1"/>
    <row r="1417" s="3" customFormat="1"/>
    <row r="1418" s="3" customFormat="1"/>
    <row r="1419" s="3" customFormat="1"/>
    <row r="1420" s="3" customFormat="1"/>
    <row r="1421" s="3" customFormat="1"/>
    <row r="1422" s="3" customFormat="1"/>
    <row r="1423" s="3" customFormat="1"/>
    <row r="1424" s="3" customFormat="1"/>
    <row r="1425" s="3" customFormat="1"/>
    <row r="1426" s="3" customFormat="1"/>
    <row r="1427" s="3" customFormat="1"/>
    <row r="1428" s="3" customFormat="1"/>
    <row r="1429" s="3" customFormat="1"/>
    <row r="1430" s="3" customFormat="1"/>
    <row r="1431" s="3" customFormat="1"/>
    <row r="1432" s="3" customFormat="1"/>
    <row r="1433" s="3" customFormat="1"/>
    <row r="1434" s="3" customFormat="1"/>
    <row r="1435" s="3" customFormat="1"/>
    <row r="1436" s="3" customFormat="1"/>
    <row r="1437" s="3" customFormat="1"/>
    <row r="1438" s="3" customFormat="1"/>
    <row r="1439" s="3" customFormat="1"/>
    <row r="1440" s="3" customFormat="1"/>
    <row r="1441" s="3" customFormat="1"/>
    <row r="1442" s="3" customFormat="1"/>
    <row r="1443" s="3" customFormat="1"/>
    <row r="1444" s="3" customFormat="1"/>
    <row r="1445" s="3" customFormat="1"/>
    <row r="1446" s="3" customFormat="1"/>
    <row r="1447" s="3" customFormat="1"/>
    <row r="1448" s="3" customFormat="1"/>
    <row r="1449" s="3" customFormat="1"/>
    <row r="1450" s="3" customFormat="1"/>
    <row r="1451" s="3" customFormat="1"/>
    <row r="1452" s="3" customFormat="1"/>
    <row r="1453" s="3" customFormat="1"/>
    <row r="1454" s="3" customFormat="1"/>
    <row r="1455" s="3" customFormat="1"/>
    <row r="1456" s="3" customFormat="1"/>
    <row r="1457" s="3" customFormat="1"/>
    <row r="1458" s="3" customFormat="1"/>
    <row r="1459" s="3" customFormat="1"/>
    <row r="1460" s="3" customFormat="1"/>
    <row r="1461" s="3" customFormat="1"/>
    <row r="1462" s="3" customFormat="1"/>
    <row r="1463" s="3" customFormat="1"/>
    <row r="1464" s="3" customFormat="1"/>
    <row r="1465" s="3" customFormat="1"/>
    <row r="1466" s="3" customFormat="1"/>
    <row r="1467" s="3" customFormat="1"/>
    <row r="1468" s="3" customFormat="1"/>
    <row r="1469" s="3" customFormat="1"/>
    <row r="1470" s="3" customFormat="1"/>
    <row r="1471" s="3" customFormat="1"/>
    <row r="1472" s="3" customFormat="1"/>
    <row r="1473" s="3" customFormat="1"/>
    <row r="1474" s="3" customFormat="1"/>
    <row r="1475" s="3" customFormat="1"/>
    <row r="1476" s="3" customFormat="1"/>
    <row r="1477" s="3" customFormat="1"/>
    <row r="1478" s="3" customFormat="1"/>
    <row r="1479" s="3" customFormat="1"/>
    <row r="1480" s="3" customFormat="1"/>
    <row r="1481" s="3" customFormat="1"/>
    <row r="1482" s="3" customFormat="1"/>
    <row r="1483" s="3" customFormat="1"/>
    <row r="1484" s="3" customFormat="1"/>
    <row r="1485" s="3" customFormat="1"/>
    <row r="1486" s="3" customFormat="1"/>
    <row r="1487" s="3" customFormat="1"/>
    <row r="1488" s="3" customFormat="1"/>
    <row r="1489" s="3" customFormat="1"/>
    <row r="1490" s="3" customFormat="1"/>
    <row r="1491" s="3" customFormat="1"/>
    <row r="1492" s="3" customFormat="1"/>
    <row r="1493" s="3" customFormat="1"/>
    <row r="1494" s="3" customFormat="1"/>
    <row r="1495" s="3" customFormat="1"/>
    <row r="1496" s="3" customFormat="1"/>
    <row r="1497" s="3" customFormat="1"/>
    <row r="1498" s="3" customFormat="1"/>
    <row r="1499" s="3" customFormat="1"/>
    <row r="1500" s="3" customFormat="1"/>
    <row r="1501" s="3" customFormat="1"/>
    <row r="1502" s="3" customFormat="1"/>
    <row r="1503" s="3" customFormat="1"/>
    <row r="1504" s="3" customFormat="1"/>
    <row r="1505" s="3" customFormat="1"/>
    <row r="1506" s="3" customFormat="1"/>
    <row r="1507" s="3" customFormat="1"/>
    <row r="1508" s="3" customFormat="1"/>
    <row r="1509" s="3" customFormat="1"/>
    <row r="1510" s="3" customFormat="1"/>
    <row r="1511" s="3" customFormat="1"/>
    <row r="1512" s="3" customFormat="1"/>
    <row r="1513" s="3" customFormat="1"/>
    <row r="1514" s="3" customFormat="1"/>
    <row r="1515" s="3" customFormat="1"/>
    <row r="1516" s="3" customFormat="1"/>
    <row r="1517" s="3" customFormat="1"/>
    <row r="1518" s="3" customFormat="1"/>
    <row r="1519" s="3" customFormat="1"/>
    <row r="1520" s="3" customFormat="1"/>
    <row r="1521" s="3" customFormat="1"/>
    <row r="1522" s="3" customFormat="1"/>
    <row r="1523" s="3" customFormat="1"/>
    <row r="1524" s="3" customFormat="1"/>
    <row r="1525" s="3" customFormat="1"/>
    <row r="1526" s="3" customFormat="1"/>
    <row r="1527" s="3" customFormat="1"/>
    <row r="1528" s="3" customFormat="1"/>
    <row r="1529" s="3" customFormat="1"/>
    <row r="1530" s="3" customFormat="1"/>
    <row r="1531" s="3" customFormat="1"/>
    <row r="1532" s="3" customFormat="1"/>
    <row r="1533" s="3" customFormat="1"/>
    <row r="1534" s="3" customFormat="1"/>
    <row r="1535" s="3" customFormat="1"/>
    <row r="1536" s="3" customFormat="1"/>
    <row r="1537" s="3" customFormat="1"/>
    <row r="1538" s="3" customFormat="1"/>
    <row r="1539" s="3" customFormat="1"/>
    <row r="1540" s="3" customFormat="1"/>
    <row r="1541" s="3" customFormat="1"/>
    <row r="1542" s="3" customFormat="1"/>
    <row r="1543" s="3" customFormat="1"/>
    <row r="1544" s="3" customFormat="1"/>
    <row r="1545" s="3" customFormat="1"/>
    <row r="1546" s="3" customFormat="1"/>
    <row r="1547" s="3" customFormat="1"/>
    <row r="1548" s="3" customFormat="1"/>
    <row r="1549" s="3" customFormat="1"/>
    <row r="1550" s="3" customFormat="1"/>
    <row r="1551" s="3" customFormat="1"/>
    <row r="1552" s="3" customFormat="1"/>
    <row r="1553" s="3" customFormat="1"/>
    <row r="1554" s="3" customFormat="1"/>
    <row r="1555" s="3" customFormat="1"/>
    <row r="1556" s="3" customFormat="1"/>
    <row r="1557" s="3" customFormat="1"/>
    <row r="1558" s="3" customFormat="1"/>
    <row r="1559" s="3" customFormat="1"/>
    <row r="1560" s="3" customFormat="1"/>
    <row r="1561" s="3" customFormat="1"/>
    <row r="1562" s="3" customFormat="1"/>
    <row r="1563" s="3" customFormat="1"/>
    <row r="1564" s="3" customFormat="1"/>
    <row r="1565" s="3" customFormat="1"/>
    <row r="1566" s="3" customFormat="1"/>
    <row r="1567" s="3" customFormat="1"/>
    <row r="1568" s="3" customFormat="1"/>
    <row r="1569" s="3" customFormat="1"/>
    <row r="1570" s="3" customFormat="1"/>
    <row r="1571" s="3" customFormat="1"/>
    <row r="1572" s="3" customFormat="1"/>
    <row r="1573" s="3" customFormat="1"/>
    <row r="1574" s="3" customFormat="1"/>
    <row r="1575" s="3" customFormat="1"/>
    <row r="1576" s="3" customFormat="1"/>
    <row r="1577" s="3" customFormat="1"/>
    <row r="1578" s="3" customFormat="1"/>
    <row r="1579" s="3" customFormat="1"/>
    <row r="1580" s="3" customFormat="1"/>
    <row r="1581" s="3" customFormat="1"/>
    <row r="1582" s="3" customFormat="1"/>
    <row r="1583" s="3" customFormat="1"/>
    <row r="1584" s="3" customFormat="1"/>
    <row r="1585" s="3" customFormat="1"/>
    <row r="1586" s="3" customFormat="1"/>
    <row r="1587" s="3" customFormat="1"/>
    <row r="1588" s="3" customFormat="1"/>
    <row r="1589" s="3" customFormat="1"/>
    <row r="1590" s="3" customFormat="1"/>
    <row r="1591" s="3" customFormat="1"/>
    <row r="1592" s="3" customFormat="1"/>
    <row r="1593" s="3" customFormat="1"/>
    <row r="1594" s="3" customFormat="1"/>
    <row r="1595" s="3" customFormat="1"/>
    <row r="1596" s="3" customFormat="1"/>
    <row r="1597" s="3" customFormat="1"/>
    <row r="1598" s="3" customFormat="1"/>
    <row r="1599" s="3" customFormat="1"/>
    <row r="1600" s="3" customFormat="1"/>
    <row r="1601" s="3" customFormat="1"/>
    <row r="1602" s="3" customFormat="1"/>
    <row r="1603" s="3" customFormat="1"/>
    <row r="1604" s="3" customFormat="1"/>
    <row r="1605" s="3" customFormat="1"/>
    <row r="1606" s="3" customFormat="1"/>
    <row r="1607" s="3" customFormat="1"/>
    <row r="1608" s="3" customFormat="1"/>
    <row r="1609" s="3" customFormat="1"/>
    <row r="1610" s="3" customFormat="1"/>
    <row r="1611" s="3" customFormat="1"/>
    <row r="1612" s="3" customFormat="1"/>
    <row r="1613" s="3" customFormat="1"/>
    <row r="1614" s="3" customFormat="1"/>
    <row r="1615" s="3" customFormat="1"/>
    <row r="1616" s="3" customFormat="1"/>
    <row r="1617" s="3" customFormat="1"/>
    <row r="1618" s="3" customFormat="1"/>
    <row r="1619" s="3" customFormat="1"/>
    <row r="1620" s="3" customFormat="1"/>
    <row r="1621" s="3" customFormat="1"/>
    <row r="1622" s="3" customFormat="1"/>
    <row r="1623" s="3" customFormat="1"/>
    <row r="1624" s="3" customFormat="1"/>
    <row r="1625" s="3" customFormat="1"/>
    <row r="1626" s="3" customFormat="1"/>
    <row r="1627" s="3" customFormat="1"/>
    <row r="1628" s="3" customFormat="1"/>
    <row r="1629" s="3" customFormat="1"/>
    <row r="1630" s="3" customFormat="1"/>
    <row r="1631" s="3" customFormat="1"/>
    <row r="1632" s="3" customFormat="1"/>
    <row r="1633" s="3" customFormat="1"/>
    <row r="1634" s="3" customFormat="1"/>
    <row r="1635" s="3" customFormat="1"/>
    <row r="1636" s="3" customFormat="1"/>
    <row r="1637" s="3" customFormat="1"/>
    <row r="1638" s="3" customFormat="1"/>
    <row r="1639" s="3" customFormat="1"/>
    <row r="1640" s="3" customFormat="1"/>
    <row r="1641" s="3" customFormat="1"/>
    <row r="1642" s="3" customFormat="1"/>
    <row r="1643" s="3" customFormat="1"/>
    <row r="1644" s="3" customFormat="1"/>
    <row r="1645" s="3" customFormat="1"/>
    <row r="1646" s="3" customFormat="1"/>
    <row r="1647" s="3" customFormat="1"/>
    <row r="1648" s="3" customFormat="1"/>
    <row r="1649" s="3" customFormat="1"/>
    <row r="1650" s="3" customFormat="1"/>
    <row r="1651" s="3" customFormat="1"/>
    <row r="1652" s="3" customFormat="1"/>
    <row r="1653" s="3" customFormat="1"/>
    <row r="1654" s="3" customFormat="1"/>
    <row r="1655" s="3" customFormat="1"/>
    <row r="1656" s="3" customFormat="1"/>
    <row r="1657" s="3" customFormat="1"/>
    <row r="1658" s="3" customFormat="1"/>
    <row r="1659" s="3" customFormat="1"/>
    <row r="1660" s="3" customFormat="1"/>
    <row r="1661" s="3" customFormat="1"/>
  </sheetData>
  <autoFilter ref="A1:BG216" xr:uid="{00000000-0009-0000-0000-000009000000}"/>
  <sortState xmlns:xlrd2="http://schemas.microsoft.com/office/spreadsheetml/2017/richdata2" ref="A2:BG216">
    <sortCondition ref="BB1"/>
  </sortState>
  <conditionalFormatting sqref="AO194:AP209 AO3:AO193 AQ146:AQ209">
    <cfRule type="cellIs" dxfId="37" priority="62" stopIfTrue="1" operator="equal">
      <formula>0</formula>
    </cfRule>
  </conditionalFormatting>
  <conditionalFormatting sqref="AO2:AR2 AQ3:AQ145 AR3:AR216">
    <cfRule type="cellIs" dxfId="36" priority="60" stopIfTrue="1" operator="equal">
      <formula>0</formula>
    </cfRule>
  </conditionalFormatting>
  <conditionalFormatting sqref="AE2:AE209">
    <cfRule type="cellIs" dxfId="35" priority="58" operator="equal">
      <formula>"não_considerar"</formula>
    </cfRule>
    <cfRule type="cellIs" dxfId="34" priority="59" operator="equal">
      <formula>"opcional"</formula>
    </cfRule>
  </conditionalFormatting>
  <conditionalFormatting sqref="P2:P128 W2:W128">
    <cfRule type="containsErrors" dxfId="33" priority="56" stopIfTrue="1">
      <formula>ISERROR(P2)</formula>
    </cfRule>
  </conditionalFormatting>
  <conditionalFormatting sqref="Y2:Y128">
    <cfRule type="cellIs" dxfId="32" priority="55" operator="lessThan">
      <formula>0</formula>
    </cfRule>
  </conditionalFormatting>
  <conditionalFormatting sqref="P129:P145 W129:W145">
    <cfRule type="containsErrors" dxfId="31" priority="54" stopIfTrue="1">
      <formula>ISERROR(P129)</formula>
    </cfRule>
  </conditionalFormatting>
  <conditionalFormatting sqref="Y129:Y145">
    <cfRule type="cellIs" dxfId="30" priority="53" operator="lessThan">
      <formula>0</formula>
    </cfRule>
  </conditionalFormatting>
  <conditionalFormatting sqref="P146:P209 W146:W209">
    <cfRule type="containsErrors" dxfId="29" priority="52" stopIfTrue="1">
      <formula>ISERROR(P146)</formula>
    </cfRule>
  </conditionalFormatting>
  <conditionalFormatting sqref="Y146:Y209">
    <cfRule type="cellIs" dxfId="28" priority="51" operator="lessThan">
      <formula>0</formula>
    </cfRule>
  </conditionalFormatting>
  <conditionalFormatting sqref="AO210:AO211 AQ210:AQ213">
    <cfRule type="cellIs" dxfId="27" priority="25" stopIfTrue="1" operator="equal">
      <formula>0</formula>
    </cfRule>
  </conditionalFormatting>
  <conditionalFormatting sqref="AE210:AE211">
    <cfRule type="cellIs" dxfId="26" priority="23" operator="equal">
      <formula>"não_considerar"</formula>
    </cfRule>
    <cfRule type="cellIs" dxfId="25" priority="24" operator="equal">
      <formula>"opcional"</formula>
    </cfRule>
  </conditionalFormatting>
  <conditionalFormatting sqref="P210:P211 W210:W211">
    <cfRule type="containsErrors" dxfId="24" priority="22" stopIfTrue="1">
      <formula>ISERROR(P210)</formula>
    </cfRule>
  </conditionalFormatting>
  <conditionalFormatting sqref="Y210:Y211">
    <cfRule type="cellIs" dxfId="23" priority="21" operator="lessThan">
      <formula>0</formula>
    </cfRule>
  </conditionalFormatting>
  <conditionalFormatting sqref="AO212">
    <cfRule type="cellIs" dxfId="22" priority="20" stopIfTrue="1" operator="equal">
      <formula>0</formula>
    </cfRule>
  </conditionalFormatting>
  <conditionalFormatting sqref="AE212">
    <cfRule type="cellIs" dxfId="21" priority="18" operator="equal">
      <formula>"não_considerar"</formula>
    </cfRule>
    <cfRule type="cellIs" dxfId="20" priority="19" operator="equal">
      <formula>"opcional"</formula>
    </cfRule>
  </conditionalFormatting>
  <conditionalFormatting sqref="P212 W212">
    <cfRule type="containsErrors" dxfId="19" priority="17" stopIfTrue="1">
      <formula>ISERROR(P212)</formula>
    </cfRule>
  </conditionalFormatting>
  <conditionalFormatting sqref="Y212">
    <cfRule type="cellIs" dxfId="18" priority="16" operator="lessThan">
      <formula>0</formula>
    </cfRule>
  </conditionalFormatting>
  <conditionalFormatting sqref="AO213">
    <cfRule type="cellIs" dxfId="17" priority="15" stopIfTrue="1" operator="equal">
      <formula>0</formula>
    </cfRule>
  </conditionalFormatting>
  <conditionalFormatting sqref="AE213">
    <cfRule type="cellIs" dxfId="16" priority="13" operator="equal">
      <formula>"não_considerar"</formula>
    </cfRule>
    <cfRule type="cellIs" dxfId="15" priority="14" operator="equal">
      <formula>"opcional"</formula>
    </cfRule>
  </conditionalFormatting>
  <conditionalFormatting sqref="P213 W213">
    <cfRule type="containsErrors" dxfId="14" priority="12" stopIfTrue="1">
      <formula>ISERROR(P213)</formula>
    </cfRule>
  </conditionalFormatting>
  <conditionalFormatting sqref="Y213">
    <cfRule type="cellIs" dxfId="13" priority="11" operator="lessThan">
      <formula>0</formula>
    </cfRule>
  </conditionalFormatting>
  <conditionalFormatting sqref="AO214 AQ214">
    <cfRule type="cellIs" dxfId="12" priority="10" stopIfTrue="1" operator="equal">
      <formula>0</formula>
    </cfRule>
  </conditionalFormatting>
  <conditionalFormatting sqref="AE214">
    <cfRule type="cellIs" dxfId="11" priority="8" operator="equal">
      <formula>"não_considerar"</formula>
    </cfRule>
    <cfRule type="cellIs" dxfId="10" priority="9" operator="equal">
      <formula>"opcional"</formula>
    </cfRule>
  </conditionalFormatting>
  <conditionalFormatting sqref="P214 W214">
    <cfRule type="containsErrors" dxfId="9" priority="7" stopIfTrue="1">
      <formula>ISERROR(P214)</formula>
    </cfRule>
  </conditionalFormatting>
  <conditionalFormatting sqref="Y214">
    <cfRule type="cellIs" dxfId="8" priority="6" operator="lessThan">
      <formula>0</formula>
    </cfRule>
  </conditionalFormatting>
  <conditionalFormatting sqref="AO215:AO216 AQ215:AQ216">
    <cfRule type="cellIs" dxfId="7" priority="5" stopIfTrue="1" operator="equal">
      <formula>0</formula>
    </cfRule>
  </conditionalFormatting>
  <conditionalFormatting sqref="AE215:AE216">
    <cfRule type="cellIs" dxfId="6" priority="3" operator="equal">
      <formula>"não_considerar"</formula>
    </cfRule>
    <cfRule type="cellIs" dxfId="5" priority="4" operator="equal">
      <formula>"opcional"</formula>
    </cfRule>
  </conditionalFormatting>
  <conditionalFormatting sqref="P215:P216 W215:W216">
    <cfRule type="containsErrors" dxfId="4" priority="2" stopIfTrue="1">
      <formula>ISERROR(P215)</formula>
    </cfRule>
  </conditionalFormatting>
  <conditionalFormatting sqref="Y215:Y216">
    <cfRule type="cellIs" dxfId="3" priority="1" operator="lessThan">
      <formula>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300" verticalDpi="300" r:id="rId1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Plan2"/>
  <dimension ref="A3:B18"/>
  <sheetViews>
    <sheetView workbookViewId="0">
      <selection activeCell="K23" sqref="K23"/>
    </sheetView>
  </sheetViews>
  <sheetFormatPr defaultRowHeight="12.75"/>
  <cols>
    <col min="1" max="1" width="28.28515625" customWidth="1"/>
    <col min="2" max="2" width="16.7109375" customWidth="1"/>
    <col min="3" max="3" width="20.28515625" bestFit="1" customWidth="1"/>
  </cols>
  <sheetData>
    <row r="3" spans="1:2">
      <c r="A3" s="506" t="s">
        <v>2467</v>
      </c>
      <c r="B3" t="s">
        <v>2468</v>
      </c>
    </row>
    <row r="4" spans="1:2">
      <c r="A4" s="507" t="s">
        <v>2195</v>
      </c>
      <c r="B4" s="112">
        <v>6045.5500000000011</v>
      </c>
    </row>
    <row r="5" spans="1:2">
      <c r="A5" s="508">
        <v>2027</v>
      </c>
      <c r="B5" s="112">
        <v>6045.5500000000011</v>
      </c>
    </row>
    <row r="6" spans="1:2">
      <c r="A6" s="507" t="s">
        <v>2181</v>
      </c>
      <c r="B6" s="112">
        <v>3775.4</v>
      </c>
    </row>
    <row r="7" spans="1:2">
      <c r="A7" s="508">
        <v>2027</v>
      </c>
      <c r="B7" s="112">
        <v>3775.4</v>
      </c>
    </row>
    <row r="8" spans="1:2">
      <c r="A8" s="507" t="s">
        <v>2183</v>
      </c>
      <c r="B8" s="112">
        <v>6070.37</v>
      </c>
    </row>
    <row r="9" spans="1:2">
      <c r="A9" s="508">
        <v>2030</v>
      </c>
      <c r="B9" s="112">
        <v>6070.37</v>
      </c>
    </row>
    <row r="10" spans="1:2">
      <c r="A10" s="507" t="s">
        <v>2215</v>
      </c>
      <c r="B10" s="112">
        <v>29596.31</v>
      </c>
    </row>
    <row r="11" spans="1:2">
      <c r="A11" s="508">
        <v>2050</v>
      </c>
      <c r="B11" s="112">
        <v>29596.31</v>
      </c>
    </row>
    <row r="12" spans="1:2">
      <c r="A12" s="507" t="s">
        <v>2469</v>
      </c>
      <c r="B12" s="112">
        <v>45487.630000000005</v>
      </c>
    </row>
    <row r="16" spans="1:2">
      <c r="A16" s="431"/>
      <c r="B16" s="112"/>
    </row>
    <row r="17" spans="1:2">
      <c r="A17" s="431"/>
      <c r="B17" s="112"/>
    </row>
    <row r="18" spans="1:2">
      <c r="B18" s="112"/>
    </row>
  </sheetData>
  <pageMargins left="0.511811024" right="0.511811024" top="0.78740157499999996" bottom="0.78740157499999996" header="0.31496062000000002" footer="0.31496062000000002"/>
  <pageSetup paperSize="9" orientation="portrait" verticalDpi="0" r:id="rId2"/>
  <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Plan14"/>
  <dimension ref="A1:Y35"/>
  <sheetViews>
    <sheetView topLeftCell="K1" zoomScale="70" zoomScaleNormal="70" workbookViewId="0">
      <selection activeCell="U34" sqref="U34"/>
    </sheetView>
  </sheetViews>
  <sheetFormatPr defaultRowHeight="12.75"/>
  <cols>
    <col min="12" max="12" width="17.7109375" customWidth="1"/>
    <col min="13" max="13" width="16.140625" customWidth="1"/>
    <col min="14" max="14" width="25.28515625" bestFit="1" customWidth="1"/>
    <col min="18" max="18" width="27.5703125" bestFit="1" customWidth="1"/>
  </cols>
  <sheetData>
    <row r="1" spans="1:25">
      <c r="A1" s="99" t="s">
        <v>188</v>
      </c>
      <c r="B1" s="99" t="s">
        <v>2470</v>
      </c>
      <c r="C1" s="99">
        <v>1</v>
      </c>
      <c r="D1" s="99">
        <v>2</v>
      </c>
      <c r="E1" s="99">
        <v>3</v>
      </c>
      <c r="F1" s="99">
        <v>4</v>
      </c>
      <c r="G1" s="99">
        <v>5</v>
      </c>
      <c r="H1" s="99">
        <v>6</v>
      </c>
      <c r="I1" s="99">
        <v>7</v>
      </c>
      <c r="J1" s="99">
        <v>8</v>
      </c>
      <c r="K1" s="99">
        <v>9</v>
      </c>
      <c r="L1" s="100" t="s">
        <v>2471</v>
      </c>
      <c r="M1" s="99" t="s">
        <v>2472</v>
      </c>
      <c r="N1" s="101"/>
      <c r="O1" s="101"/>
      <c r="P1" s="101"/>
      <c r="Q1" s="101"/>
      <c r="R1" s="101"/>
      <c r="S1" s="101"/>
      <c r="T1" s="101"/>
      <c r="U1" s="101"/>
      <c r="V1" s="101"/>
      <c r="W1" s="101"/>
      <c r="X1" s="99"/>
    </row>
    <row r="2" spans="1:25">
      <c r="A2" s="101">
        <v>1</v>
      </c>
      <c r="B2">
        <f>COUNTIF(C2:K2,"&gt;0")</f>
        <v>1</v>
      </c>
      <c r="C2" s="102">
        <v>1</v>
      </c>
      <c r="D2" s="101">
        <v>0</v>
      </c>
      <c r="E2" s="101">
        <v>0</v>
      </c>
      <c r="F2" s="101">
        <v>0</v>
      </c>
      <c r="G2" s="101">
        <v>0</v>
      </c>
      <c r="H2" s="101">
        <v>0</v>
      </c>
      <c r="I2" s="101">
        <v>0</v>
      </c>
      <c r="J2" s="101">
        <v>0</v>
      </c>
      <c r="K2" s="101">
        <v>0</v>
      </c>
      <c r="L2" s="103">
        <v>1</v>
      </c>
      <c r="M2">
        <v>1</v>
      </c>
      <c r="N2" s="101"/>
      <c r="O2" s="104"/>
      <c r="P2" s="104"/>
      <c r="Q2" s="104"/>
      <c r="R2" s="104"/>
      <c r="S2" s="104"/>
      <c r="T2" s="104"/>
      <c r="U2" s="104"/>
      <c r="W2">
        <v>3.9230484541326494E-2</v>
      </c>
      <c r="X2">
        <f t="shared" ref="X2:X14" si="0">1+W2</f>
        <v>1.0392304845413265</v>
      </c>
      <c r="Y2" s="556"/>
    </row>
    <row r="3" spans="1:25">
      <c r="A3" s="101">
        <v>2</v>
      </c>
      <c r="B3">
        <f>COUNTIF(C3:K3,"&gt;0")</f>
        <v>4</v>
      </c>
      <c r="C3" s="101">
        <v>0.2</v>
      </c>
      <c r="D3" s="101">
        <v>0.36</v>
      </c>
      <c r="E3" s="101">
        <v>0.34</v>
      </c>
      <c r="F3" s="101">
        <v>0.1</v>
      </c>
      <c r="G3" s="101">
        <v>0</v>
      </c>
      <c r="H3" s="101">
        <v>0</v>
      </c>
      <c r="I3" s="101">
        <v>0</v>
      </c>
      <c r="J3" s="101">
        <v>0</v>
      </c>
      <c r="K3" s="101">
        <v>0</v>
      </c>
      <c r="L3" s="103">
        <v>1</v>
      </c>
      <c r="M3">
        <v>1</v>
      </c>
      <c r="N3" s="101" t="s">
        <v>2473</v>
      </c>
      <c r="O3" s="104"/>
      <c r="P3" s="104"/>
      <c r="Q3" s="104"/>
      <c r="R3" s="104"/>
      <c r="S3" s="104"/>
      <c r="T3" s="104"/>
      <c r="U3" s="104"/>
      <c r="W3" s="104">
        <v>0.12452933692086821</v>
      </c>
      <c r="X3">
        <f t="shared" si="0"/>
        <v>1.1245293369208682</v>
      </c>
      <c r="Y3" s="556"/>
    </row>
    <row r="4" spans="1:25">
      <c r="A4" s="101">
        <v>3</v>
      </c>
      <c r="B4">
        <f t="shared" ref="B4:B14" si="1">COUNTIF(C4:K4,"&gt;0")</f>
        <v>5</v>
      </c>
      <c r="C4" s="101">
        <v>0.17</v>
      </c>
      <c r="D4" s="101">
        <v>0.28999999999999998</v>
      </c>
      <c r="E4" s="101">
        <v>0.28999999999999998</v>
      </c>
      <c r="F4" s="101">
        <v>0.19</v>
      </c>
      <c r="G4" s="101">
        <v>0.06</v>
      </c>
      <c r="H4" s="101">
        <v>0</v>
      </c>
      <c r="I4" s="101">
        <v>0</v>
      </c>
      <c r="J4" s="101">
        <v>0</v>
      </c>
      <c r="K4" s="101">
        <v>0</v>
      </c>
      <c r="L4" s="103">
        <v>1</v>
      </c>
      <c r="M4">
        <v>1</v>
      </c>
      <c r="N4" s="101" t="s">
        <v>2474</v>
      </c>
      <c r="O4" s="104"/>
      <c r="P4" s="104"/>
      <c r="Q4" s="104"/>
      <c r="R4" s="104"/>
      <c r="S4" s="104"/>
      <c r="T4" s="104"/>
      <c r="U4" s="104"/>
      <c r="W4" s="104">
        <v>0.12550710126229037</v>
      </c>
      <c r="X4">
        <f t="shared" si="0"/>
        <v>1.1255071012622904</v>
      </c>
      <c r="Y4" s="556"/>
    </row>
    <row r="5" spans="1:25">
      <c r="A5" s="101">
        <v>4</v>
      </c>
      <c r="B5">
        <f t="shared" si="1"/>
        <v>7</v>
      </c>
      <c r="C5" s="101">
        <v>0.17</v>
      </c>
      <c r="D5" s="101">
        <v>0.27</v>
      </c>
      <c r="E5" s="101">
        <v>0.25</v>
      </c>
      <c r="F5" s="101">
        <v>0.14000000000000001</v>
      </c>
      <c r="G5" s="101">
        <v>0.09</v>
      </c>
      <c r="H5" s="101">
        <v>0.05</v>
      </c>
      <c r="I5" s="101">
        <v>0.03</v>
      </c>
      <c r="J5" s="101">
        <v>0</v>
      </c>
      <c r="K5" s="101">
        <v>0</v>
      </c>
      <c r="L5" s="103">
        <v>1</v>
      </c>
      <c r="M5">
        <v>1</v>
      </c>
      <c r="N5" s="101" t="s">
        <v>2475</v>
      </c>
      <c r="O5" s="104"/>
      <c r="P5" s="104"/>
      <c r="Q5" s="104"/>
      <c r="R5" s="104"/>
      <c r="S5" s="104"/>
      <c r="T5" s="104"/>
      <c r="U5" s="104"/>
      <c r="W5">
        <v>0.10315389733622604</v>
      </c>
      <c r="X5">
        <f t="shared" si="0"/>
        <v>1.103153897336226</v>
      </c>
      <c r="Y5" s="556"/>
    </row>
    <row r="6" spans="1:25">
      <c r="A6" s="101">
        <v>5</v>
      </c>
      <c r="B6">
        <f t="shared" si="1"/>
        <v>2</v>
      </c>
      <c r="C6" s="101">
        <v>0.3</v>
      </c>
      <c r="D6" s="101">
        <v>0.7</v>
      </c>
      <c r="E6" s="101">
        <v>0</v>
      </c>
      <c r="F6" s="101">
        <v>0</v>
      </c>
      <c r="G6" s="101">
        <v>0</v>
      </c>
      <c r="H6" s="101">
        <v>0</v>
      </c>
      <c r="I6" s="101">
        <v>0</v>
      </c>
      <c r="J6" s="101">
        <v>0</v>
      </c>
      <c r="K6" s="101">
        <v>0</v>
      </c>
      <c r="L6" s="103">
        <v>1</v>
      </c>
      <c r="M6">
        <v>1</v>
      </c>
      <c r="N6" s="101" t="s">
        <v>24</v>
      </c>
      <c r="O6" s="104"/>
      <c r="P6" s="104"/>
      <c r="Q6" s="104"/>
      <c r="R6" s="104"/>
      <c r="S6" s="104"/>
      <c r="T6" s="104"/>
      <c r="U6" s="104"/>
      <c r="W6">
        <v>6.4172016170318313E-2</v>
      </c>
      <c r="X6">
        <f t="shared" si="0"/>
        <v>1.0641720161703183</v>
      </c>
      <c r="Y6" s="556"/>
    </row>
    <row r="7" spans="1:25">
      <c r="A7" s="101">
        <v>6</v>
      </c>
      <c r="B7">
        <f t="shared" si="1"/>
        <v>3</v>
      </c>
      <c r="C7" s="101">
        <v>0.2</v>
      </c>
      <c r="D7" s="101">
        <v>0.5</v>
      </c>
      <c r="E7" s="101">
        <v>0.3</v>
      </c>
      <c r="F7" s="101">
        <v>0</v>
      </c>
      <c r="G7" s="101">
        <v>0</v>
      </c>
      <c r="H7" s="101">
        <v>0</v>
      </c>
      <c r="I7" s="101">
        <v>0</v>
      </c>
      <c r="J7" s="101">
        <v>0</v>
      </c>
      <c r="K7" s="101">
        <v>0</v>
      </c>
      <c r="L7" s="103">
        <v>1</v>
      </c>
      <c r="M7">
        <v>1</v>
      </c>
      <c r="N7" s="101" t="s">
        <v>22</v>
      </c>
      <c r="O7" s="104"/>
      <c r="P7" s="104"/>
      <c r="Q7" s="104"/>
      <c r="R7" s="104"/>
      <c r="S7" s="104"/>
      <c r="T7" s="104"/>
      <c r="U7" s="104"/>
      <c r="W7">
        <v>7.3280000000000012E-2</v>
      </c>
      <c r="X7">
        <f t="shared" si="0"/>
        <v>1.07328</v>
      </c>
      <c r="Y7" s="556"/>
    </row>
    <row r="8" spans="1:25">
      <c r="A8" s="101">
        <v>7</v>
      </c>
      <c r="B8">
        <f t="shared" si="1"/>
        <v>3</v>
      </c>
      <c r="C8" s="101">
        <v>0.3</v>
      </c>
      <c r="D8" s="101">
        <v>0.3</v>
      </c>
      <c r="E8" s="101">
        <v>0.4</v>
      </c>
      <c r="F8" s="101">
        <v>0</v>
      </c>
      <c r="G8" s="101">
        <v>0</v>
      </c>
      <c r="H8" s="101">
        <v>0</v>
      </c>
      <c r="I8" s="101">
        <v>0</v>
      </c>
      <c r="J8" s="101">
        <v>0</v>
      </c>
      <c r="K8" s="101">
        <v>0</v>
      </c>
      <c r="L8" s="103">
        <v>1</v>
      </c>
      <c r="M8">
        <v>1</v>
      </c>
      <c r="N8" s="101" t="s">
        <v>2476</v>
      </c>
      <c r="O8" s="104"/>
      <c r="P8" s="104"/>
      <c r="Q8" s="104"/>
      <c r="R8" s="104"/>
      <c r="S8" s="104"/>
      <c r="T8" s="104"/>
      <c r="U8" s="104"/>
      <c r="W8">
        <v>0.11605040195862126</v>
      </c>
      <c r="X8">
        <f t="shared" si="0"/>
        <v>1.1160504019586213</v>
      </c>
      <c r="Y8" s="556"/>
    </row>
    <row r="9" spans="1:25">
      <c r="A9" s="101">
        <v>8</v>
      </c>
      <c r="B9">
        <f t="shared" si="1"/>
        <v>2</v>
      </c>
      <c r="C9" s="101">
        <v>0.4</v>
      </c>
      <c r="D9" s="101">
        <v>0.6</v>
      </c>
      <c r="E9" s="101">
        <v>0</v>
      </c>
      <c r="F9" s="101">
        <v>0</v>
      </c>
      <c r="G9" s="101">
        <v>0</v>
      </c>
      <c r="H9" s="101">
        <v>0</v>
      </c>
      <c r="I9" s="101">
        <v>0</v>
      </c>
      <c r="J9" s="101">
        <v>0</v>
      </c>
      <c r="K9" s="101">
        <v>0</v>
      </c>
      <c r="L9" s="103">
        <v>1</v>
      </c>
      <c r="M9">
        <v>1</v>
      </c>
      <c r="N9" s="101" t="s">
        <v>2477</v>
      </c>
      <c r="O9" s="104"/>
      <c r="P9" s="104"/>
      <c r="Q9" s="104"/>
      <c r="R9" s="104"/>
      <c r="S9" s="104"/>
      <c r="T9" s="104"/>
      <c r="U9" s="104"/>
      <c r="W9">
        <v>7.248586004664892E-2</v>
      </c>
      <c r="X9">
        <f t="shared" si="0"/>
        <v>1.0724858600466489</v>
      </c>
      <c r="Y9" s="556"/>
    </row>
    <row r="10" spans="1:25">
      <c r="A10" s="101">
        <v>9</v>
      </c>
      <c r="B10">
        <f t="shared" si="1"/>
        <v>4</v>
      </c>
      <c r="C10" s="101">
        <v>0.1</v>
      </c>
      <c r="D10" s="101">
        <v>0.25</v>
      </c>
      <c r="E10" s="101">
        <v>0.35</v>
      </c>
      <c r="F10" s="101">
        <v>0.3</v>
      </c>
      <c r="G10" s="101">
        <v>0</v>
      </c>
      <c r="H10" s="101">
        <v>0</v>
      </c>
      <c r="I10" s="101">
        <v>0</v>
      </c>
      <c r="J10" s="101">
        <v>0</v>
      </c>
      <c r="K10" s="101">
        <v>0</v>
      </c>
      <c r="L10" s="103">
        <v>1.0000000000000002</v>
      </c>
      <c r="M10">
        <v>1</v>
      </c>
      <c r="N10" s="101" t="s">
        <v>2478</v>
      </c>
      <c r="O10" s="104"/>
      <c r="P10" s="104"/>
      <c r="Q10" s="104"/>
      <c r="R10" s="104"/>
      <c r="S10" s="104"/>
      <c r="T10" s="104"/>
      <c r="U10" s="104"/>
      <c r="W10">
        <v>0.13855098902552254</v>
      </c>
      <c r="X10">
        <f t="shared" si="0"/>
        <v>1.1385509890255225</v>
      </c>
      <c r="Y10" s="556"/>
    </row>
    <row r="11" spans="1:25">
      <c r="A11" s="101">
        <v>10</v>
      </c>
      <c r="B11">
        <f t="shared" si="1"/>
        <v>2</v>
      </c>
      <c r="C11" s="101">
        <v>0.3</v>
      </c>
      <c r="D11" s="101">
        <v>0.7</v>
      </c>
      <c r="E11" s="101">
        <v>0</v>
      </c>
      <c r="F11" s="101">
        <v>0</v>
      </c>
      <c r="G11" s="101">
        <v>0</v>
      </c>
      <c r="H11" s="101">
        <v>0</v>
      </c>
      <c r="I11" s="101">
        <v>0</v>
      </c>
      <c r="J11" s="101">
        <v>0</v>
      </c>
      <c r="K11" s="101">
        <v>0</v>
      </c>
      <c r="L11" s="103">
        <v>0.99999999999999989</v>
      </c>
      <c r="M11">
        <v>1</v>
      </c>
      <c r="N11" s="101" t="s">
        <v>2479</v>
      </c>
      <c r="O11" s="104"/>
      <c r="P11" s="104"/>
      <c r="Q11" s="104"/>
      <c r="R11" s="104"/>
      <c r="S11" s="104"/>
      <c r="T11" s="104"/>
      <c r="U11" s="104"/>
      <c r="W11">
        <v>6.4172016170318313E-2</v>
      </c>
      <c r="X11">
        <f t="shared" si="0"/>
        <v>1.0641720161703183</v>
      </c>
      <c r="Y11" s="556"/>
    </row>
    <row r="12" spans="1:25">
      <c r="A12" s="101">
        <v>11</v>
      </c>
      <c r="B12">
        <f t="shared" si="1"/>
        <v>3</v>
      </c>
      <c r="C12" s="101">
        <v>0.2</v>
      </c>
      <c r="D12" s="101">
        <v>0.4</v>
      </c>
      <c r="E12" s="101">
        <v>0.4</v>
      </c>
      <c r="F12" s="101">
        <v>0</v>
      </c>
      <c r="G12" s="101">
        <v>0</v>
      </c>
      <c r="H12" s="101">
        <v>0</v>
      </c>
      <c r="I12" s="101">
        <v>0</v>
      </c>
      <c r="J12" s="101">
        <v>0</v>
      </c>
      <c r="K12" s="101">
        <v>0</v>
      </c>
      <c r="L12" s="103">
        <v>1</v>
      </c>
      <c r="M12">
        <v>1</v>
      </c>
      <c r="N12" s="101" t="s">
        <v>2480</v>
      </c>
      <c r="O12" s="104"/>
      <c r="P12" s="104"/>
      <c r="Q12" s="104"/>
      <c r="R12" s="104"/>
      <c r="S12" s="104"/>
      <c r="T12" s="104"/>
      <c r="U12" s="104"/>
      <c r="W12">
        <v>0.10707145057218437</v>
      </c>
      <c r="X12">
        <f t="shared" si="0"/>
        <v>1.1070714505721844</v>
      </c>
      <c r="Y12" s="556"/>
    </row>
    <row r="13" spans="1:25">
      <c r="A13" s="101">
        <v>12</v>
      </c>
      <c r="B13">
        <f t="shared" si="1"/>
        <v>5</v>
      </c>
      <c r="C13" s="301">
        <v>0.1</v>
      </c>
      <c r="D13" s="301">
        <v>0.2</v>
      </c>
      <c r="E13" s="301">
        <v>0.25</v>
      </c>
      <c r="F13" s="101">
        <v>0.25</v>
      </c>
      <c r="G13" s="101">
        <v>0.2</v>
      </c>
      <c r="H13" s="101">
        <v>0</v>
      </c>
      <c r="I13" s="101">
        <v>0</v>
      </c>
      <c r="J13" s="101">
        <v>0</v>
      </c>
      <c r="K13" s="101">
        <v>0</v>
      </c>
      <c r="L13" s="103">
        <v>1</v>
      </c>
      <c r="M13">
        <v>1</v>
      </c>
      <c r="N13" s="101" t="s">
        <v>2481</v>
      </c>
      <c r="O13" s="104"/>
      <c r="P13" s="104"/>
      <c r="Q13" s="104"/>
      <c r="R13" s="104"/>
      <c r="S13" s="104"/>
      <c r="T13" s="104"/>
      <c r="U13" s="104"/>
      <c r="W13">
        <v>0.19469031956657168</v>
      </c>
      <c r="X13">
        <f t="shared" si="0"/>
        <v>1.1946903195665717</v>
      </c>
      <c r="Y13" s="556"/>
    </row>
    <row r="14" spans="1:25">
      <c r="A14" s="101">
        <v>13</v>
      </c>
      <c r="B14">
        <f t="shared" si="1"/>
        <v>3</v>
      </c>
      <c r="C14" s="101">
        <v>0.3</v>
      </c>
      <c r="D14" s="101">
        <v>0.3</v>
      </c>
      <c r="E14" s="101">
        <v>0.4</v>
      </c>
      <c r="F14" s="101">
        <v>0</v>
      </c>
      <c r="G14" s="101">
        <v>0</v>
      </c>
      <c r="H14" s="101">
        <v>0</v>
      </c>
      <c r="I14" s="101">
        <v>0</v>
      </c>
      <c r="J14" s="101">
        <v>0</v>
      </c>
      <c r="K14" s="101">
        <v>0</v>
      </c>
      <c r="L14" s="103">
        <v>1</v>
      </c>
      <c r="M14">
        <v>1</v>
      </c>
      <c r="N14" s="101" t="s">
        <v>2482</v>
      </c>
      <c r="O14" s="104"/>
      <c r="P14" s="104"/>
      <c r="Q14" s="104"/>
      <c r="R14" s="104"/>
      <c r="S14" s="104"/>
      <c r="T14" s="104"/>
      <c r="U14" s="104"/>
      <c r="W14">
        <v>0.11605040195862126</v>
      </c>
      <c r="X14">
        <f t="shared" si="0"/>
        <v>1.1160504019586213</v>
      </c>
      <c r="Y14" s="556"/>
    </row>
    <row r="15" spans="1:25">
      <c r="A15" s="101"/>
      <c r="C15" s="101"/>
      <c r="D15" s="101"/>
      <c r="E15" s="101"/>
      <c r="F15" s="101"/>
      <c r="G15" s="101"/>
      <c r="H15" s="101"/>
      <c r="I15" s="101"/>
      <c r="J15" s="101"/>
      <c r="K15" s="101"/>
      <c r="L15" s="103"/>
      <c r="N15" s="101"/>
      <c r="O15" s="104"/>
      <c r="P15" s="104"/>
      <c r="Q15" s="104"/>
      <c r="R15" s="104"/>
      <c r="S15" s="104"/>
      <c r="T15" s="104"/>
      <c r="U15" s="104"/>
      <c r="V15" s="104"/>
      <c r="W15" s="104"/>
      <c r="X15" s="105"/>
      <c r="Y15" s="556"/>
    </row>
    <row r="16" spans="1:25">
      <c r="A16" s="101">
        <v>1</v>
      </c>
      <c r="B16">
        <v>2</v>
      </c>
      <c r="C16" s="101">
        <v>3</v>
      </c>
      <c r="D16">
        <v>4</v>
      </c>
      <c r="E16" s="101">
        <v>5</v>
      </c>
      <c r="F16">
        <v>6</v>
      </c>
      <c r="G16" s="101">
        <v>7</v>
      </c>
      <c r="H16">
        <v>8</v>
      </c>
      <c r="I16" s="101">
        <v>9</v>
      </c>
      <c r="J16">
        <v>10</v>
      </c>
      <c r="K16" s="101">
        <v>11</v>
      </c>
      <c r="L16">
        <v>12</v>
      </c>
      <c r="M16" s="101">
        <v>13</v>
      </c>
      <c r="N16">
        <v>14</v>
      </c>
      <c r="O16" s="101">
        <v>15</v>
      </c>
      <c r="P16">
        <v>16</v>
      </c>
      <c r="Q16" s="101">
        <v>17</v>
      </c>
      <c r="R16">
        <v>18</v>
      </c>
      <c r="S16" s="101">
        <v>19</v>
      </c>
      <c r="T16">
        <v>20</v>
      </c>
      <c r="U16" s="101">
        <v>21</v>
      </c>
      <c r="V16">
        <v>22</v>
      </c>
      <c r="W16" s="101">
        <v>23</v>
      </c>
      <c r="X16" s="105"/>
      <c r="Y16" s="556"/>
    </row>
    <row r="17" spans="1:25">
      <c r="A17" s="101"/>
      <c r="C17" s="101"/>
      <c r="D17" s="101"/>
      <c r="E17" s="101"/>
      <c r="F17" s="101"/>
      <c r="G17" s="101"/>
      <c r="H17" s="101"/>
      <c r="I17" s="101"/>
      <c r="J17" s="101"/>
      <c r="K17" s="101"/>
      <c r="L17" s="103"/>
      <c r="N17" s="101"/>
      <c r="O17" s="104"/>
      <c r="P17" s="104"/>
      <c r="Q17" s="104"/>
      <c r="R17" s="104"/>
      <c r="S17" s="104"/>
      <c r="T17" s="104"/>
      <c r="U17" s="104"/>
      <c r="V17" s="104"/>
      <c r="W17" s="104"/>
      <c r="X17" s="105"/>
      <c r="Y17" s="556"/>
    </row>
    <row r="18" spans="1:25">
      <c r="A18" s="101"/>
      <c r="C18" s="101"/>
      <c r="D18" s="101"/>
      <c r="E18" s="101"/>
      <c r="F18" s="101"/>
      <c r="G18" s="101"/>
      <c r="H18" s="101"/>
      <c r="I18" s="101"/>
      <c r="J18" s="101"/>
      <c r="K18" s="101"/>
      <c r="L18" s="103"/>
      <c r="N18" s="101"/>
      <c r="O18" s="104"/>
      <c r="P18" s="104"/>
      <c r="Q18" s="104"/>
      <c r="R18" s="104"/>
      <c r="S18" s="104"/>
      <c r="T18" s="104"/>
      <c r="U18" s="104"/>
      <c r="V18" s="104"/>
      <c r="W18" s="104"/>
      <c r="X18" s="105"/>
      <c r="Y18" s="556"/>
    </row>
    <row r="19" spans="1:25">
      <c r="A19" s="101"/>
      <c r="L19" s="103"/>
      <c r="N19" s="101"/>
      <c r="O19" s="104"/>
      <c r="P19" s="104"/>
      <c r="Q19" s="104"/>
      <c r="R19" s="104"/>
      <c r="S19" s="104"/>
      <c r="T19" s="104"/>
      <c r="U19" s="104"/>
      <c r="V19" s="104"/>
      <c r="W19" s="104"/>
      <c r="X19" s="105"/>
      <c r="Y19" s="556"/>
    </row>
    <row r="20" spans="1:25">
      <c r="A20" s="101"/>
      <c r="L20" s="103"/>
      <c r="N20" s="101"/>
      <c r="O20" s="104"/>
      <c r="P20" s="104"/>
      <c r="Q20" s="104"/>
      <c r="R20" s="104"/>
      <c r="S20" s="104"/>
      <c r="T20" s="104"/>
      <c r="U20" s="104"/>
      <c r="V20" s="104"/>
      <c r="W20" s="104"/>
      <c r="X20" s="105"/>
      <c r="Y20" s="556"/>
    </row>
    <row r="21" spans="1:25">
      <c r="A21" s="101"/>
      <c r="L21" s="103"/>
      <c r="N21" s="101"/>
      <c r="O21" s="104"/>
      <c r="P21" s="104"/>
      <c r="Q21" s="104"/>
      <c r="R21" s="104"/>
      <c r="T21" s="104"/>
      <c r="U21" s="104"/>
      <c r="V21" s="104"/>
      <c r="W21" s="104"/>
      <c r="X21" s="105"/>
      <c r="Y21" s="556"/>
    </row>
    <row r="22" spans="1:25">
      <c r="A22" s="101"/>
      <c r="L22" s="103"/>
      <c r="N22" s="101"/>
      <c r="O22" s="104"/>
      <c r="P22" s="104"/>
      <c r="Q22" s="104"/>
      <c r="R22" s="104"/>
      <c r="T22" s="104"/>
      <c r="U22" s="104"/>
      <c r="V22" s="104"/>
      <c r="W22" s="104"/>
      <c r="X22" s="105"/>
      <c r="Y22" s="556"/>
    </row>
    <row r="23" spans="1:25">
      <c r="A23" s="101"/>
      <c r="Y23" s="556"/>
    </row>
    <row r="24" spans="1:25">
      <c r="A24" s="101"/>
      <c r="Y24" s="556"/>
    </row>
    <row r="25" spans="1:25">
      <c r="A25" s="101"/>
      <c r="Y25" s="556"/>
    </row>
    <row r="26" spans="1:25">
      <c r="A26" s="101"/>
      <c r="Y26" s="556"/>
    </row>
    <row r="27" spans="1:25">
      <c r="A27" s="101"/>
      <c r="Y27" s="556"/>
    </row>
    <row r="28" spans="1:25">
      <c r="A28" s="101"/>
      <c r="Y28" s="556"/>
    </row>
    <row r="29" spans="1:25">
      <c r="A29" s="101"/>
      <c r="Y29" s="556"/>
    </row>
    <row r="30" spans="1:25">
      <c r="A30" s="101"/>
      <c r="Y30" s="556"/>
    </row>
    <row r="31" spans="1:25">
      <c r="A31" s="101"/>
      <c r="Y31" s="556"/>
    </row>
    <row r="32" spans="1:25">
      <c r="A32" s="101"/>
      <c r="Y32" s="556"/>
    </row>
    <row r="33" spans="1:25">
      <c r="A33" s="101"/>
      <c r="Y33" s="556"/>
    </row>
    <row r="34" spans="1:25">
      <c r="A34" s="101"/>
      <c r="Y34" s="556"/>
    </row>
    <row r="35" spans="1:25">
      <c r="Y35" s="556"/>
    </row>
  </sheetData>
  <pageMargins left="0.511811024" right="0.511811024" top="0.78740157499999996" bottom="0.78740157499999996" header="0.31496062000000002" footer="0.3149606200000000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Plan10"/>
  <dimension ref="A1:V118"/>
  <sheetViews>
    <sheetView workbookViewId="0">
      <pane ySplit="16" topLeftCell="A20" activePane="bottomLeft" state="frozen"/>
      <selection pane="bottomLeft" activeCell="N34" sqref="N34:N35"/>
    </sheetView>
  </sheetViews>
  <sheetFormatPr defaultRowHeight="12.75"/>
  <cols>
    <col min="2" max="2" width="18.28515625" bestFit="1" customWidth="1"/>
    <col min="7" max="7" width="17.7109375" customWidth="1"/>
  </cols>
  <sheetData>
    <row r="1" spans="1:22" ht="13.5" thickBot="1">
      <c r="A1" s="2" t="s">
        <v>2160</v>
      </c>
      <c r="B1" s="2" t="s">
        <v>2483</v>
      </c>
      <c r="C1" s="2" t="s">
        <v>2484</v>
      </c>
      <c r="D1" s="2" t="s">
        <v>2485</v>
      </c>
      <c r="E1" s="2" t="s">
        <v>2486</v>
      </c>
      <c r="G1" s="44" t="s">
        <v>2487</v>
      </c>
      <c r="H1" s="45"/>
      <c r="I1" s="46">
        <v>2021</v>
      </c>
      <c r="J1" s="46">
        <v>2022</v>
      </c>
      <c r="K1" s="46">
        <v>2023</v>
      </c>
      <c r="L1" s="46">
        <v>2024</v>
      </c>
      <c r="N1" s="47" t="s">
        <v>2261</v>
      </c>
      <c r="O1" s="48"/>
      <c r="P1" s="49">
        <v>2020</v>
      </c>
      <c r="Q1" s="46">
        <v>2021</v>
      </c>
      <c r="R1" s="46">
        <v>2022</v>
      </c>
      <c r="S1" s="46">
        <v>2023</v>
      </c>
      <c r="T1" s="46">
        <v>2024</v>
      </c>
      <c r="U1" s="49">
        <v>2025</v>
      </c>
    </row>
    <row r="2" spans="1:22" ht="13.5" thickTop="1">
      <c r="A2" s="3">
        <v>9000</v>
      </c>
      <c r="B2" t="s">
        <v>2488</v>
      </c>
      <c r="C2">
        <v>2016</v>
      </c>
      <c r="D2">
        <v>11233</v>
      </c>
      <c r="E2">
        <v>4</v>
      </c>
      <c r="G2" s="50" t="s">
        <v>2489</v>
      </c>
      <c r="H2" s="51">
        <v>3509</v>
      </c>
      <c r="I2" s="52">
        <f>277.3*4</f>
        <v>1109.2</v>
      </c>
      <c r="J2" s="52">
        <f>277.3*4</f>
        <v>1109.2</v>
      </c>
      <c r="K2" s="52">
        <f>277.3*4</f>
        <v>1109.2</v>
      </c>
      <c r="L2" s="52">
        <f>H2-SUM(I2:K2)</f>
        <v>181.39999999999964</v>
      </c>
      <c r="M2" s="24">
        <f>SUM(I2:L2)</f>
        <v>3509</v>
      </c>
      <c r="N2" s="50" t="s">
        <v>2489</v>
      </c>
      <c r="O2" s="52">
        <v>3336</v>
      </c>
      <c r="P2" s="52">
        <f>158.8*4</f>
        <v>635.20000000000005</v>
      </c>
      <c r="Q2" s="52">
        <f t="shared" ref="Q2:T2" si="0">158.8*4</f>
        <v>635.20000000000005</v>
      </c>
      <c r="R2" s="52">
        <f t="shared" si="0"/>
        <v>635.20000000000005</v>
      </c>
      <c r="S2" s="52">
        <f t="shared" si="0"/>
        <v>635.20000000000005</v>
      </c>
      <c r="T2" s="52">
        <f t="shared" si="0"/>
        <v>635.20000000000005</v>
      </c>
      <c r="U2" s="52">
        <f>158.8*1</f>
        <v>158.80000000000001</v>
      </c>
      <c r="V2" s="24">
        <f>SUM(P2:U2)</f>
        <v>3334.8</v>
      </c>
    </row>
    <row r="3" spans="1:22">
      <c r="A3" s="3">
        <v>9010</v>
      </c>
      <c r="B3" t="s">
        <v>2095</v>
      </c>
      <c r="C3">
        <v>2024</v>
      </c>
      <c r="D3">
        <v>125</v>
      </c>
      <c r="E3">
        <v>2</v>
      </c>
      <c r="G3" t="s">
        <v>2490</v>
      </c>
      <c r="H3" s="53">
        <v>2844.1850172521595</v>
      </c>
      <c r="I3" s="24">
        <f>$H3*I$2/$H$2</f>
        <v>899.05101770763611</v>
      </c>
      <c r="J3" s="24">
        <f t="shared" ref="J3:L10" si="1">$H3*J$2/$H$2</f>
        <v>899.05101770763611</v>
      </c>
      <c r="K3" s="24">
        <f t="shared" si="1"/>
        <v>899.05101770763611</v>
      </c>
      <c r="L3" s="24">
        <f t="shared" si="1"/>
        <v>147.0319641292507</v>
      </c>
      <c r="N3" t="s">
        <v>2490</v>
      </c>
      <c r="O3" s="24">
        <v>2123.8352380952379</v>
      </c>
      <c r="P3" s="24">
        <f>$O3*P$2/$O$2</f>
        <v>404.39452734954887</v>
      </c>
      <c r="Q3" s="24">
        <f t="shared" ref="Q3:U3" si="2">$O3*Q$2/$O$2</f>
        <v>404.39452734954887</v>
      </c>
      <c r="R3" s="24">
        <f t="shared" si="2"/>
        <v>404.39452734954887</v>
      </c>
      <c r="S3" s="24">
        <f t="shared" si="2"/>
        <v>404.39452734954887</v>
      </c>
      <c r="T3" s="24">
        <f t="shared" si="2"/>
        <v>404.39452734954887</v>
      </c>
      <c r="U3" s="24">
        <f t="shared" si="2"/>
        <v>101.09863183738722</v>
      </c>
    </row>
    <row r="4" spans="1:22">
      <c r="A4" s="3">
        <v>9020</v>
      </c>
      <c r="B4" t="s">
        <v>2491</v>
      </c>
      <c r="C4">
        <v>2028</v>
      </c>
      <c r="D4">
        <v>6133</v>
      </c>
      <c r="E4">
        <v>4</v>
      </c>
      <c r="G4" t="s">
        <v>2492</v>
      </c>
      <c r="H4" s="53">
        <v>2627.1096951030818</v>
      </c>
      <c r="I4" s="24">
        <f t="shared" ref="I4:I10" si="3">$H4*I$2/$H$2</f>
        <v>830.43319287783936</v>
      </c>
      <c r="J4" s="24">
        <f>$H4*J$2/$H$2</f>
        <v>830.43319287783936</v>
      </c>
      <c r="K4" s="24">
        <f t="shared" si="1"/>
        <v>830.43319287783936</v>
      </c>
      <c r="L4" s="24">
        <f t="shared" si="1"/>
        <v>135.81011646956344</v>
      </c>
      <c r="N4" t="s">
        <v>2492</v>
      </c>
      <c r="O4" s="24">
        <v>1879.2860714285714</v>
      </c>
      <c r="P4" s="24">
        <f t="shared" ref="P4:U10" si="4">$O4*P$2/$O$2</f>
        <v>357.83048937992464</v>
      </c>
      <c r="Q4" s="24">
        <f t="shared" si="4"/>
        <v>357.83048937992464</v>
      </c>
      <c r="R4" s="24">
        <f t="shared" si="4"/>
        <v>357.83048937992464</v>
      </c>
      <c r="S4" s="24">
        <f t="shared" si="4"/>
        <v>357.83048937992464</v>
      </c>
      <c r="T4" s="24">
        <f t="shared" si="4"/>
        <v>357.83048937992464</v>
      </c>
      <c r="U4" s="24">
        <f t="shared" si="4"/>
        <v>89.457622344981161</v>
      </c>
    </row>
    <row r="5" spans="1:22">
      <c r="A5" s="3">
        <v>9030</v>
      </c>
      <c r="B5" t="s">
        <v>2487</v>
      </c>
      <c r="C5">
        <v>2025</v>
      </c>
      <c r="D5" s="22">
        <v>3509</v>
      </c>
      <c r="E5">
        <v>4</v>
      </c>
      <c r="F5">
        <v>3509</v>
      </c>
      <c r="G5" t="s">
        <v>2493</v>
      </c>
      <c r="H5" s="53">
        <v>1042.7780191278976</v>
      </c>
      <c r="I5" s="24">
        <f t="shared" si="3"/>
        <v>329.62364742566655</v>
      </c>
      <c r="J5" s="24">
        <f>$H5*J$2/$H$2</f>
        <v>329.62364742566655</v>
      </c>
      <c r="K5" s="24">
        <f t="shared" si="1"/>
        <v>329.62364742566655</v>
      </c>
      <c r="L5" s="24">
        <f t="shared" si="1"/>
        <v>53.907076850897759</v>
      </c>
      <c r="N5" t="s">
        <v>2493</v>
      </c>
      <c r="O5" s="24">
        <v>828.24583333333339</v>
      </c>
      <c r="P5" s="24">
        <f t="shared" si="4"/>
        <v>157.70436250999202</v>
      </c>
      <c r="Q5" s="24">
        <f t="shared" si="4"/>
        <v>157.70436250999202</v>
      </c>
      <c r="R5" s="24">
        <f t="shared" si="4"/>
        <v>157.70436250999202</v>
      </c>
      <c r="S5" s="24">
        <f t="shared" si="4"/>
        <v>157.70436250999202</v>
      </c>
      <c r="T5" s="24">
        <f t="shared" si="4"/>
        <v>157.70436250999202</v>
      </c>
      <c r="U5" s="24">
        <f t="shared" si="4"/>
        <v>39.426090627498006</v>
      </c>
    </row>
    <row r="6" spans="1:22">
      <c r="A6" s="3">
        <v>9040</v>
      </c>
      <c r="B6" s="21" t="s">
        <v>2261</v>
      </c>
      <c r="C6">
        <v>2035</v>
      </c>
      <c r="D6" s="22">
        <v>3336</v>
      </c>
      <c r="E6">
        <v>6</v>
      </c>
      <c r="F6">
        <v>3336</v>
      </c>
      <c r="G6" s="54" t="s">
        <v>2494</v>
      </c>
      <c r="H6" s="55">
        <v>1290.1316907116225</v>
      </c>
      <c r="I6" s="56">
        <f t="shared" si="3"/>
        <v>407.81250251847587</v>
      </c>
      <c r="J6" s="56">
        <f t="shared" si="1"/>
        <v>407.81250251847587</v>
      </c>
      <c r="K6" s="56">
        <f t="shared" si="1"/>
        <v>407.81250251847587</v>
      </c>
      <c r="L6" s="56">
        <f t="shared" si="1"/>
        <v>66.694183156194882</v>
      </c>
      <c r="N6" s="54" t="s">
        <v>2494</v>
      </c>
      <c r="O6" s="56">
        <v>1114.0677976190475</v>
      </c>
      <c r="P6" s="24">
        <f t="shared" si="4"/>
        <v>212.12705786799131</v>
      </c>
      <c r="Q6" s="24">
        <f t="shared" si="4"/>
        <v>212.12705786799131</v>
      </c>
      <c r="R6" s="24">
        <f t="shared" si="4"/>
        <v>212.12705786799131</v>
      </c>
      <c r="S6" s="24">
        <f t="shared" si="4"/>
        <v>212.12705786799131</v>
      </c>
      <c r="T6" s="24">
        <f t="shared" si="4"/>
        <v>212.12705786799131</v>
      </c>
      <c r="U6" s="24">
        <f t="shared" si="4"/>
        <v>53.031764466997828</v>
      </c>
    </row>
    <row r="7" spans="1:22">
      <c r="A7" s="3">
        <v>9050</v>
      </c>
      <c r="B7" t="s">
        <v>2495</v>
      </c>
      <c r="C7">
        <v>2013</v>
      </c>
      <c r="D7" s="22">
        <v>3300</v>
      </c>
      <c r="E7">
        <v>5</v>
      </c>
      <c r="G7" t="s">
        <v>2496</v>
      </c>
      <c r="H7" s="53">
        <v>2775.7770408687538</v>
      </c>
      <c r="I7" s="24">
        <f t="shared" si="3"/>
        <v>877.42715694831065</v>
      </c>
      <c r="J7" s="24">
        <f t="shared" si="1"/>
        <v>877.42715694831065</v>
      </c>
      <c r="K7" s="24">
        <f t="shared" si="1"/>
        <v>877.42715694831065</v>
      </c>
      <c r="L7" s="24">
        <f t="shared" si="1"/>
        <v>143.49557002382187</v>
      </c>
      <c r="N7" t="s">
        <v>2496</v>
      </c>
      <c r="O7" s="24">
        <v>2258.4466228070178</v>
      </c>
      <c r="P7" s="24">
        <f t="shared" si="4"/>
        <v>430.02556798771514</v>
      </c>
      <c r="Q7" s="24">
        <f t="shared" si="4"/>
        <v>430.02556798771514</v>
      </c>
      <c r="R7" s="24">
        <f>$O7*R$2/$O$2</f>
        <v>430.02556798771514</v>
      </c>
      <c r="S7" s="24">
        <f t="shared" si="4"/>
        <v>430.02556798771514</v>
      </c>
      <c r="T7" s="24">
        <f t="shared" si="4"/>
        <v>430.02556798771514</v>
      </c>
      <c r="U7" s="24">
        <f t="shared" si="4"/>
        <v>107.50639199692878</v>
      </c>
    </row>
    <row r="8" spans="1:22">
      <c r="A8" s="3">
        <v>9060</v>
      </c>
      <c r="B8" t="s">
        <v>2497</v>
      </c>
      <c r="C8">
        <v>2012</v>
      </c>
      <c r="D8" s="22">
        <v>3150.401123046875</v>
      </c>
      <c r="E8">
        <v>4</v>
      </c>
      <c r="G8" t="s">
        <v>2498</v>
      </c>
      <c r="H8" s="53">
        <v>2299.9329207041542</v>
      </c>
      <c r="I8" s="24">
        <f t="shared" si="3"/>
        <v>727.01213896980562</v>
      </c>
      <c r="J8" s="24">
        <f t="shared" si="1"/>
        <v>727.01213896980562</v>
      </c>
      <c r="K8" s="24">
        <f t="shared" si="1"/>
        <v>727.01213896980562</v>
      </c>
      <c r="L8" s="24">
        <f>$H8*L$2/$H$2</f>
        <v>118.89650379473719</v>
      </c>
      <c r="N8" t="s">
        <v>2498</v>
      </c>
      <c r="O8" s="24">
        <v>1923.6278070175438</v>
      </c>
      <c r="P8" s="24">
        <f t="shared" si="4"/>
        <v>366.27349610837649</v>
      </c>
      <c r="Q8" s="24">
        <f t="shared" si="4"/>
        <v>366.27349610837649</v>
      </c>
      <c r="R8" s="24">
        <f t="shared" si="4"/>
        <v>366.27349610837649</v>
      </c>
      <c r="S8" s="24">
        <f t="shared" si="4"/>
        <v>366.27349610837649</v>
      </c>
      <c r="T8" s="24">
        <f t="shared" si="4"/>
        <v>366.27349610837649</v>
      </c>
      <c r="U8" s="24">
        <f t="shared" si="4"/>
        <v>91.568374027094123</v>
      </c>
    </row>
    <row r="9" spans="1:22">
      <c r="A9" s="3">
        <v>9070</v>
      </c>
      <c r="B9" t="s">
        <v>2499</v>
      </c>
      <c r="C9">
        <v>2019</v>
      </c>
      <c r="D9" s="22">
        <v>2338</v>
      </c>
      <c r="E9">
        <v>10</v>
      </c>
      <c r="F9">
        <v>2338</v>
      </c>
      <c r="G9" t="s">
        <v>2500</v>
      </c>
      <c r="H9" s="53">
        <v>1023.7871243421831</v>
      </c>
      <c r="I9" s="24">
        <f t="shared" si="3"/>
        <v>323.62059798243081</v>
      </c>
      <c r="J9" s="24">
        <f t="shared" si="1"/>
        <v>323.62059798243081</v>
      </c>
      <c r="K9" s="24">
        <f t="shared" si="1"/>
        <v>323.62059798243081</v>
      </c>
      <c r="L9" s="24">
        <f t="shared" si="1"/>
        <v>52.92533039489075</v>
      </c>
      <c r="N9" t="s">
        <v>2500</v>
      </c>
      <c r="O9" s="24">
        <v>857.41043859649119</v>
      </c>
      <c r="P9" s="24">
        <f t="shared" si="4"/>
        <v>163.2575271572216</v>
      </c>
      <c r="Q9" s="24">
        <f t="shared" si="4"/>
        <v>163.2575271572216</v>
      </c>
      <c r="R9" s="24">
        <f t="shared" si="4"/>
        <v>163.2575271572216</v>
      </c>
      <c r="S9" s="24">
        <f t="shared" si="4"/>
        <v>163.2575271572216</v>
      </c>
      <c r="T9" s="24">
        <f t="shared" si="4"/>
        <v>163.2575271572216</v>
      </c>
      <c r="U9" s="24">
        <f t="shared" si="4"/>
        <v>40.814381789305401</v>
      </c>
    </row>
    <row r="10" spans="1:22">
      <c r="A10" s="3">
        <v>9080</v>
      </c>
      <c r="B10" t="s">
        <v>2501</v>
      </c>
      <c r="C10">
        <v>2018</v>
      </c>
      <c r="D10" s="22">
        <v>2160</v>
      </c>
      <c r="E10">
        <v>5</v>
      </c>
      <c r="F10">
        <v>2160</v>
      </c>
      <c r="G10" s="54" t="s">
        <v>2502</v>
      </c>
      <c r="H10" s="55">
        <v>1320.1029140849089</v>
      </c>
      <c r="I10" s="56">
        <f t="shared" si="3"/>
        <v>417.28644978711338</v>
      </c>
      <c r="J10" s="56">
        <f t="shared" si="1"/>
        <v>417.28644978711338</v>
      </c>
      <c r="K10" s="56">
        <f t="shared" si="1"/>
        <v>417.28644978711338</v>
      </c>
      <c r="L10" s="56">
        <f t="shared" si="1"/>
        <v>68.243564723568539</v>
      </c>
      <c r="N10" s="54" t="s">
        <v>2502</v>
      </c>
      <c r="O10" s="56">
        <v>1125.9846052631581</v>
      </c>
      <c r="P10" s="24">
        <f t="shared" si="4"/>
        <v>214.39610949135434</v>
      </c>
      <c r="Q10" s="24">
        <f t="shared" si="4"/>
        <v>214.39610949135434</v>
      </c>
      <c r="R10" s="24">
        <f t="shared" si="4"/>
        <v>214.39610949135434</v>
      </c>
      <c r="S10" s="24">
        <f t="shared" si="4"/>
        <v>214.39610949135434</v>
      </c>
      <c r="T10" s="24">
        <f t="shared" si="4"/>
        <v>214.39610949135434</v>
      </c>
      <c r="U10" s="24">
        <f t="shared" si="4"/>
        <v>53.599027372838584</v>
      </c>
    </row>
    <row r="11" spans="1:22">
      <c r="A11" s="3">
        <v>9090</v>
      </c>
      <c r="B11" t="s">
        <v>2503</v>
      </c>
      <c r="C11">
        <v>2015</v>
      </c>
      <c r="D11" s="22">
        <v>1820</v>
      </c>
      <c r="E11">
        <v>2</v>
      </c>
      <c r="F11">
        <v>1820</v>
      </c>
      <c r="G11" s="3"/>
    </row>
    <row r="12" spans="1:22">
      <c r="A12" s="3">
        <v>9100</v>
      </c>
      <c r="B12" s="21" t="s">
        <v>2504</v>
      </c>
      <c r="C12">
        <v>2021</v>
      </c>
      <c r="D12" s="22">
        <v>1461</v>
      </c>
      <c r="E12">
        <v>3</v>
      </c>
      <c r="F12">
        <v>1461</v>
      </c>
    </row>
    <row r="13" spans="1:22">
      <c r="A13" s="3">
        <v>9110</v>
      </c>
      <c r="B13" s="21" t="s">
        <v>2436</v>
      </c>
      <c r="C13">
        <v>2018</v>
      </c>
      <c r="D13" s="22">
        <v>1328</v>
      </c>
      <c r="E13">
        <v>3</v>
      </c>
      <c r="F13">
        <v>1328</v>
      </c>
      <c r="G13" s="44" t="s">
        <v>2495</v>
      </c>
      <c r="H13" s="45"/>
      <c r="I13" s="46">
        <v>2013</v>
      </c>
      <c r="J13" s="46">
        <v>2014</v>
      </c>
      <c r="K13" s="46">
        <v>2015</v>
      </c>
      <c r="L13" s="46">
        <v>2016</v>
      </c>
      <c r="M13" s="46">
        <v>2017</v>
      </c>
    </row>
    <row r="14" spans="1:22">
      <c r="A14" s="3">
        <v>9120</v>
      </c>
      <c r="B14" s="21" t="s">
        <v>2505</v>
      </c>
      <c r="C14">
        <v>2022</v>
      </c>
      <c r="D14" s="22">
        <v>1248</v>
      </c>
      <c r="E14">
        <v>2</v>
      </c>
      <c r="F14">
        <v>1248</v>
      </c>
      <c r="G14" s="50" t="s">
        <v>2489</v>
      </c>
      <c r="H14" s="51">
        <v>3300</v>
      </c>
      <c r="I14" s="52">
        <f>75*13</f>
        <v>975</v>
      </c>
      <c r="J14" s="52">
        <f>75*3</f>
        <v>225</v>
      </c>
      <c r="K14" s="52">
        <f>75*8</f>
        <v>600</v>
      </c>
      <c r="L14" s="52">
        <f>75*11</f>
        <v>825</v>
      </c>
      <c r="M14" s="52">
        <f>75*9</f>
        <v>675</v>
      </c>
      <c r="N14" s="24">
        <f>SUM(I14:M14)</f>
        <v>3300</v>
      </c>
    </row>
    <row r="15" spans="1:22">
      <c r="A15" s="3">
        <v>9130</v>
      </c>
      <c r="B15" s="21" t="s">
        <v>2506</v>
      </c>
      <c r="C15">
        <v>2021</v>
      </c>
      <c r="D15">
        <v>1187</v>
      </c>
      <c r="E15">
        <v>3</v>
      </c>
      <c r="F15">
        <v>1187</v>
      </c>
      <c r="G15" t="s">
        <v>2490</v>
      </c>
      <c r="H15" s="57">
        <v>2864.6561904761897</v>
      </c>
      <c r="I15" s="24">
        <f>$H15*I$14/$H$14</f>
        <v>846.37569264069236</v>
      </c>
      <c r="J15" s="24">
        <f t="shared" ref="J15:M22" si="5">$H15*J$14/$H$14</f>
        <v>195.3174675324675</v>
      </c>
      <c r="K15" s="24">
        <f t="shared" si="5"/>
        <v>520.84658008657993</v>
      </c>
      <c r="L15" s="24">
        <f t="shared" si="5"/>
        <v>716.16404761904732</v>
      </c>
      <c r="M15" s="24">
        <f t="shared" si="5"/>
        <v>585.95240259740251</v>
      </c>
    </row>
    <row r="16" spans="1:22">
      <c r="G16" t="s">
        <v>2492</v>
      </c>
      <c r="H16" s="57">
        <v>2919.1477380952383</v>
      </c>
      <c r="I16" s="24">
        <f t="shared" ref="I16:I22" si="6">$H16*I$14/$H$14</f>
        <v>862.47546807359311</v>
      </c>
      <c r="J16" s="24">
        <f t="shared" si="5"/>
        <v>199.03280032467535</v>
      </c>
      <c r="K16" s="24">
        <f t="shared" si="5"/>
        <v>530.75413419913423</v>
      </c>
      <c r="L16" s="24">
        <f t="shared" si="5"/>
        <v>729.78693452380969</v>
      </c>
      <c r="M16" s="24">
        <f t="shared" si="5"/>
        <v>597.09840097402605</v>
      </c>
    </row>
    <row r="17" spans="7:13">
      <c r="G17" t="s">
        <v>2493</v>
      </c>
      <c r="H17" s="57">
        <v>885.64333333333332</v>
      </c>
      <c r="I17" s="24">
        <f t="shared" si="6"/>
        <v>261.6673484848485</v>
      </c>
      <c r="J17" s="24">
        <f t="shared" si="5"/>
        <v>60.384772727272725</v>
      </c>
      <c r="K17" s="24">
        <f t="shared" si="5"/>
        <v>161.02606060606061</v>
      </c>
      <c r="L17" s="24">
        <f t="shared" si="5"/>
        <v>221.41083333333333</v>
      </c>
      <c r="M17" s="24">
        <f t="shared" si="5"/>
        <v>181.15431818181818</v>
      </c>
    </row>
    <row r="18" spans="7:13">
      <c r="G18" s="54" t="s">
        <v>2494</v>
      </c>
      <c r="H18" s="57">
        <v>1042.3069047619047</v>
      </c>
      <c r="I18" s="24">
        <f t="shared" si="6"/>
        <v>307.95431277056275</v>
      </c>
      <c r="J18" s="24">
        <f t="shared" si="5"/>
        <v>71.066379870129865</v>
      </c>
      <c r="K18" s="24">
        <f t="shared" si="5"/>
        <v>189.51034632034631</v>
      </c>
      <c r="L18" s="24">
        <f t="shared" si="5"/>
        <v>260.57672619047617</v>
      </c>
      <c r="M18" s="24">
        <f t="shared" si="5"/>
        <v>213.19913961038961</v>
      </c>
    </row>
    <row r="19" spans="7:13">
      <c r="G19" t="s">
        <v>2496</v>
      </c>
      <c r="H19" s="57">
        <v>2832.2897807017544</v>
      </c>
      <c r="I19" s="24">
        <f t="shared" si="6"/>
        <v>836.81288975279097</v>
      </c>
      <c r="J19" s="24">
        <f t="shared" si="5"/>
        <v>193.11066686602871</v>
      </c>
      <c r="K19" s="24">
        <f t="shared" si="5"/>
        <v>514.96177830940985</v>
      </c>
      <c r="L19" s="24">
        <f t="shared" si="5"/>
        <v>708.07244517543859</v>
      </c>
      <c r="M19" s="24">
        <f t="shared" si="5"/>
        <v>579.3320005980861</v>
      </c>
    </row>
    <row r="20" spans="7:13">
      <c r="G20" t="s">
        <v>2498</v>
      </c>
      <c r="H20" s="57">
        <v>2815.5478508771921</v>
      </c>
      <c r="I20" s="24">
        <f t="shared" si="6"/>
        <v>831.86641048644321</v>
      </c>
      <c r="J20" s="24">
        <f t="shared" si="5"/>
        <v>191.96917165071764</v>
      </c>
      <c r="K20" s="24">
        <f t="shared" si="5"/>
        <v>511.91779106858036</v>
      </c>
      <c r="L20" s="24">
        <f t="shared" si="5"/>
        <v>703.88696271929803</v>
      </c>
      <c r="M20" s="24">
        <f t="shared" si="5"/>
        <v>575.90751495215295</v>
      </c>
    </row>
    <row r="21" spans="7:13">
      <c r="G21" t="s">
        <v>2500</v>
      </c>
      <c r="H21" s="57">
        <v>990.99442982456139</v>
      </c>
      <c r="I21" s="24">
        <f t="shared" si="6"/>
        <v>292.79380881180219</v>
      </c>
      <c r="J21" s="24">
        <f t="shared" si="5"/>
        <v>67.567802033492825</v>
      </c>
      <c r="K21" s="24">
        <f t="shared" si="5"/>
        <v>180.18080542264752</v>
      </c>
      <c r="L21" s="24">
        <f t="shared" si="5"/>
        <v>247.74860745614035</v>
      </c>
      <c r="M21" s="24">
        <f t="shared" si="5"/>
        <v>202.70340610047847</v>
      </c>
    </row>
    <row r="22" spans="7:13">
      <c r="G22" s="54" t="s">
        <v>2502</v>
      </c>
      <c r="H22" s="57">
        <v>1235.2041228070175</v>
      </c>
      <c r="I22" s="24">
        <f t="shared" si="6"/>
        <v>364.94667264752786</v>
      </c>
      <c r="J22" s="24">
        <f t="shared" si="5"/>
        <v>84.218462918660279</v>
      </c>
      <c r="K22" s="24">
        <f t="shared" si="5"/>
        <v>224.58256778309408</v>
      </c>
      <c r="L22" s="24">
        <f t="shared" si="5"/>
        <v>308.80103070175437</v>
      </c>
      <c r="M22" s="24">
        <f t="shared" si="5"/>
        <v>252.65538875598085</v>
      </c>
    </row>
    <row r="24" spans="7:13">
      <c r="G24" s="44" t="s">
        <v>2497</v>
      </c>
      <c r="H24" s="45"/>
      <c r="I24" s="46">
        <v>2012</v>
      </c>
      <c r="J24" s="46">
        <v>2013</v>
      </c>
      <c r="K24" s="46">
        <v>2014</v>
      </c>
      <c r="L24" s="46">
        <v>2015</v>
      </c>
    </row>
    <row r="25" spans="7:13">
      <c r="G25" s="50" t="s">
        <v>2489</v>
      </c>
      <c r="H25" s="51">
        <v>3150</v>
      </c>
      <c r="I25" s="52">
        <v>1098.5</v>
      </c>
      <c r="J25" s="52">
        <v>868.5</v>
      </c>
      <c r="K25" s="52">
        <f>69.6*5</f>
        <v>348</v>
      </c>
      <c r="L25" s="52">
        <v>835</v>
      </c>
      <c r="M25" s="24">
        <f>SUM(I25:L25)</f>
        <v>3150</v>
      </c>
    </row>
    <row r="26" spans="7:13">
      <c r="G26" t="s">
        <v>2490</v>
      </c>
      <c r="H26" s="18">
        <v>2868.7023809523812</v>
      </c>
      <c r="I26" s="24">
        <f>$H26*I$25/$H$25</f>
        <v>1000.4030366591081</v>
      </c>
      <c r="J26" s="24">
        <f t="shared" ref="J26:L26" si="7">$H26*J$25/$H$25</f>
        <v>790.94222789115656</v>
      </c>
      <c r="K26" s="24">
        <f t="shared" si="7"/>
        <v>316.9233106575964</v>
      </c>
      <c r="L26" s="24">
        <f t="shared" si="7"/>
        <v>760.4338057445201</v>
      </c>
    </row>
    <row r="27" spans="7:13">
      <c r="G27" t="s">
        <v>2492</v>
      </c>
      <c r="H27" s="18">
        <v>2849.780416666667</v>
      </c>
      <c r="I27" s="24">
        <f t="shared" ref="I27:L33" si="8">$H27*I$25/$H$25</f>
        <v>993.80437705026463</v>
      </c>
      <c r="J27" s="24">
        <f t="shared" si="8"/>
        <v>785.72517202380959</v>
      </c>
      <c r="K27" s="24">
        <f t="shared" si="8"/>
        <v>314.83288412698414</v>
      </c>
      <c r="L27" s="24">
        <f t="shared" si="8"/>
        <v>755.41798346560847</v>
      </c>
    </row>
    <row r="28" spans="7:13">
      <c r="G28" t="s">
        <v>2493</v>
      </c>
      <c r="H28" s="18">
        <v>1342.7216666666666</v>
      </c>
      <c r="I28" s="24">
        <f t="shared" si="8"/>
        <v>468.24753994708993</v>
      </c>
      <c r="J28" s="24">
        <f t="shared" si="8"/>
        <v>370.20754523809518</v>
      </c>
      <c r="K28" s="24">
        <f t="shared" si="8"/>
        <v>148.33877460317458</v>
      </c>
      <c r="L28" s="24">
        <f t="shared" si="8"/>
        <v>355.92780687830685</v>
      </c>
    </row>
    <row r="29" spans="7:13">
      <c r="G29" s="54" t="s">
        <v>2494</v>
      </c>
      <c r="H29" s="18">
        <v>1640.0847023809522</v>
      </c>
      <c r="I29" s="24">
        <f t="shared" si="8"/>
        <v>571.94699859221464</v>
      </c>
      <c r="J29" s="24">
        <f t="shared" si="8"/>
        <v>452.1947822278911</v>
      </c>
      <c r="K29" s="24">
        <f t="shared" si="8"/>
        <v>181.19030997732426</v>
      </c>
      <c r="L29" s="24">
        <f t="shared" si="8"/>
        <v>434.75261158352225</v>
      </c>
    </row>
    <row r="30" spans="7:13">
      <c r="G30" t="s">
        <v>2496</v>
      </c>
      <c r="H30" s="18">
        <v>2775.5473684210519</v>
      </c>
      <c r="I30" s="24">
        <f t="shared" si="8"/>
        <v>967.91707435254773</v>
      </c>
      <c r="J30" s="24">
        <f t="shared" si="8"/>
        <v>765.25806015037574</v>
      </c>
      <c r="K30" s="24">
        <f t="shared" si="8"/>
        <v>306.63189974937336</v>
      </c>
      <c r="L30" s="24">
        <f t="shared" si="8"/>
        <v>735.740334168755</v>
      </c>
    </row>
    <row r="31" spans="7:13">
      <c r="G31" t="s">
        <v>2498</v>
      </c>
      <c r="H31" s="18">
        <v>2746.3128947368409</v>
      </c>
      <c r="I31" s="24">
        <f t="shared" si="8"/>
        <v>957.72213170426028</v>
      </c>
      <c r="J31" s="24">
        <f t="shared" si="8"/>
        <v>757.1976981203004</v>
      </c>
      <c r="K31" s="24">
        <f t="shared" si="8"/>
        <v>303.40218646616529</v>
      </c>
      <c r="L31" s="24">
        <f t="shared" si="8"/>
        <v>727.99087844611495</v>
      </c>
    </row>
    <row r="32" spans="7:13">
      <c r="G32" t="s">
        <v>2500</v>
      </c>
      <c r="H32" s="18">
        <v>1435.5026315789473</v>
      </c>
      <c r="I32" s="24">
        <f t="shared" si="8"/>
        <v>500.6030605680869</v>
      </c>
      <c r="J32" s="24">
        <f t="shared" si="8"/>
        <v>395.78858270676687</v>
      </c>
      <c r="K32" s="24">
        <f t="shared" si="8"/>
        <v>158.58886215538848</v>
      </c>
      <c r="L32" s="24">
        <f t="shared" si="8"/>
        <v>380.52212614870513</v>
      </c>
    </row>
    <row r="33" spans="7:20">
      <c r="G33" s="54" t="s">
        <v>2502</v>
      </c>
      <c r="H33" s="18">
        <v>1811.1101754385963</v>
      </c>
      <c r="I33" s="24">
        <f t="shared" si="8"/>
        <v>631.58873895850729</v>
      </c>
      <c r="J33" s="24">
        <f t="shared" si="8"/>
        <v>499.34894837092725</v>
      </c>
      <c r="K33" s="24">
        <f t="shared" si="8"/>
        <v>200.08455271512111</v>
      </c>
      <c r="L33" s="24">
        <f t="shared" si="8"/>
        <v>480.08793539404064</v>
      </c>
    </row>
    <row r="35" spans="7:20">
      <c r="G35" s="44" t="s">
        <v>2325</v>
      </c>
      <c r="H35" s="45"/>
      <c r="I35" s="46">
        <v>2020</v>
      </c>
      <c r="J35" s="46">
        <v>2021</v>
      </c>
      <c r="K35" s="46">
        <v>2022</v>
      </c>
      <c r="L35" s="46">
        <v>2023</v>
      </c>
      <c r="M35" s="46">
        <v>2024</v>
      </c>
      <c r="N35" s="46">
        <v>2025</v>
      </c>
      <c r="O35" s="46">
        <v>2026</v>
      </c>
      <c r="P35" s="46">
        <v>2027</v>
      </c>
      <c r="Q35" s="46">
        <v>2028</v>
      </c>
      <c r="R35" s="46">
        <v>2029</v>
      </c>
      <c r="S35" s="46">
        <v>2030</v>
      </c>
    </row>
    <row r="36" spans="7:20">
      <c r="G36" s="50" t="s">
        <v>2489</v>
      </c>
      <c r="H36" s="51">
        <v>2336</v>
      </c>
      <c r="I36" s="52">
        <v>58.4</v>
      </c>
      <c r="J36" s="52">
        <f t="shared" ref="J36:S36" si="9">58.4*4</f>
        <v>233.6</v>
      </c>
      <c r="K36" s="52">
        <f t="shared" si="9"/>
        <v>233.6</v>
      </c>
      <c r="L36" s="52">
        <f t="shared" si="9"/>
        <v>233.6</v>
      </c>
      <c r="M36" s="52">
        <f t="shared" si="9"/>
        <v>233.6</v>
      </c>
      <c r="N36" s="52">
        <f t="shared" si="9"/>
        <v>233.6</v>
      </c>
      <c r="O36" s="52">
        <f t="shared" si="9"/>
        <v>233.6</v>
      </c>
      <c r="P36" s="52">
        <f t="shared" si="9"/>
        <v>233.6</v>
      </c>
      <c r="Q36" s="52">
        <f t="shared" si="9"/>
        <v>233.6</v>
      </c>
      <c r="R36" s="52">
        <f t="shared" si="9"/>
        <v>233.6</v>
      </c>
      <c r="S36" s="52">
        <f t="shared" si="9"/>
        <v>233.6</v>
      </c>
      <c r="T36" s="24">
        <f>SUM(J36:S36)</f>
        <v>2335.9999999999995</v>
      </c>
    </row>
    <row r="37" spans="7:20">
      <c r="G37" t="s">
        <v>2490</v>
      </c>
      <c r="H37" s="31">
        <v>1904.8195238095238</v>
      </c>
      <c r="I37" s="24">
        <f>$H37*I$36/$H$36</f>
        <v>47.620488095238095</v>
      </c>
      <c r="J37" s="24">
        <f t="shared" ref="J37:S37" si="10">$H37*J$36/$H$36</f>
        <v>190.48195238095238</v>
      </c>
      <c r="K37" s="24">
        <f t="shared" si="10"/>
        <v>190.48195238095238</v>
      </c>
      <c r="L37" s="24">
        <f t="shared" si="10"/>
        <v>190.48195238095238</v>
      </c>
      <c r="M37" s="24">
        <f t="shared" si="10"/>
        <v>190.48195238095238</v>
      </c>
      <c r="N37" s="24">
        <f t="shared" si="10"/>
        <v>190.48195238095238</v>
      </c>
      <c r="O37" s="24">
        <f t="shared" si="10"/>
        <v>190.48195238095238</v>
      </c>
      <c r="P37" s="24">
        <f t="shared" si="10"/>
        <v>190.48195238095238</v>
      </c>
      <c r="Q37" s="24">
        <f t="shared" si="10"/>
        <v>190.48195238095238</v>
      </c>
      <c r="R37" s="24">
        <f t="shared" si="10"/>
        <v>190.48195238095238</v>
      </c>
      <c r="S37" s="24">
        <f t="shared" si="10"/>
        <v>190.48195238095238</v>
      </c>
    </row>
    <row r="38" spans="7:20">
      <c r="G38" t="s">
        <v>2492</v>
      </c>
      <c r="H38" s="31">
        <v>1711.5864880952377</v>
      </c>
      <c r="I38" s="24">
        <f t="shared" ref="I38:S44" si="11">$H38*I$36/$H$36</f>
        <v>42.789662202380939</v>
      </c>
      <c r="J38" s="24">
        <f t="shared" si="11"/>
        <v>171.15864880952375</v>
      </c>
      <c r="K38" s="24">
        <f t="shared" si="11"/>
        <v>171.15864880952375</v>
      </c>
      <c r="L38" s="24">
        <f t="shared" si="11"/>
        <v>171.15864880952375</v>
      </c>
      <c r="M38" s="24">
        <f t="shared" si="11"/>
        <v>171.15864880952375</v>
      </c>
      <c r="N38" s="24">
        <f t="shared" si="11"/>
        <v>171.15864880952375</v>
      </c>
      <c r="O38" s="24">
        <f t="shared" si="11"/>
        <v>171.15864880952375</v>
      </c>
      <c r="P38" s="24">
        <f t="shared" si="11"/>
        <v>171.15864880952375</v>
      </c>
      <c r="Q38" s="24">
        <f t="shared" si="11"/>
        <v>171.15864880952375</v>
      </c>
      <c r="R38" s="24">
        <f t="shared" si="11"/>
        <v>171.15864880952375</v>
      </c>
      <c r="S38" s="24">
        <f t="shared" si="11"/>
        <v>171.15864880952375</v>
      </c>
    </row>
    <row r="39" spans="7:20">
      <c r="G39" t="s">
        <v>2493</v>
      </c>
      <c r="H39" s="31">
        <v>628.23666666666668</v>
      </c>
      <c r="I39" s="24">
        <f t="shared" si="11"/>
        <v>15.705916666666665</v>
      </c>
      <c r="J39" s="24">
        <f t="shared" si="11"/>
        <v>62.823666666666661</v>
      </c>
      <c r="K39" s="24">
        <f t="shared" si="11"/>
        <v>62.823666666666661</v>
      </c>
      <c r="L39" s="24">
        <f t="shared" si="11"/>
        <v>62.823666666666661</v>
      </c>
      <c r="M39" s="24">
        <f t="shared" si="11"/>
        <v>62.823666666666661</v>
      </c>
      <c r="N39" s="24">
        <f t="shared" si="11"/>
        <v>62.823666666666661</v>
      </c>
      <c r="O39" s="24">
        <f t="shared" si="11"/>
        <v>62.823666666666661</v>
      </c>
      <c r="P39" s="24">
        <f t="shared" si="11"/>
        <v>62.823666666666661</v>
      </c>
      <c r="Q39" s="24">
        <f t="shared" si="11"/>
        <v>62.823666666666661</v>
      </c>
      <c r="R39" s="24">
        <f t="shared" si="11"/>
        <v>62.823666666666661</v>
      </c>
      <c r="S39" s="24">
        <f t="shared" si="11"/>
        <v>62.823666666666661</v>
      </c>
    </row>
    <row r="40" spans="7:20">
      <c r="G40" s="54" t="s">
        <v>2494</v>
      </c>
      <c r="H40" s="31">
        <v>777.27041666666662</v>
      </c>
      <c r="I40" s="24">
        <f t="shared" si="11"/>
        <v>19.431760416666663</v>
      </c>
      <c r="J40" s="24">
        <f t="shared" si="11"/>
        <v>77.727041666666651</v>
      </c>
      <c r="K40" s="24">
        <f t="shared" si="11"/>
        <v>77.727041666666651</v>
      </c>
      <c r="L40" s="24">
        <f t="shared" si="11"/>
        <v>77.727041666666651</v>
      </c>
      <c r="M40" s="24">
        <f t="shared" si="11"/>
        <v>77.727041666666651</v>
      </c>
      <c r="N40" s="24">
        <f t="shared" si="11"/>
        <v>77.727041666666651</v>
      </c>
      <c r="O40" s="24">
        <f t="shared" si="11"/>
        <v>77.727041666666651</v>
      </c>
      <c r="P40" s="24">
        <f t="shared" si="11"/>
        <v>77.727041666666651</v>
      </c>
      <c r="Q40" s="24">
        <f t="shared" si="11"/>
        <v>77.727041666666651</v>
      </c>
      <c r="R40" s="24">
        <f t="shared" si="11"/>
        <v>77.727041666666651</v>
      </c>
      <c r="S40" s="24">
        <f t="shared" si="11"/>
        <v>77.727041666666651</v>
      </c>
    </row>
    <row r="41" spans="7:20">
      <c r="G41" t="s">
        <v>2496</v>
      </c>
      <c r="H41" s="31">
        <v>1840.5082456140351</v>
      </c>
      <c r="I41" s="24">
        <f t="shared" si="11"/>
        <v>46.012706140350879</v>
      </c>
      <c r="J41" s="24">
        <f t="shared" si="11"/>
        <v>184.05082456140352</v>
      </c>
      <c r="K41" s="24">
        <f t="shared" si="11"/>
        <v>184.05082456140352</v>
      </c>
      <c r="L41" s="24">
        <f t="shared" si="11"/>
        <v>184.05082456140352</v>
      </c>
      <c r="M41" s="24">
        <f t="shared" si="11"/>
        <v>184.05082456140352</v>
      </c>
      <c r="N41" s="24">
        <f t="shared" si="11"/>
        <v>184.05082456140352</v>
      </c>
      <c r="O41" s="24">
        <f t="shared" si="11"/>
        <v>184.05082456140352</v>
      </c>
      <c r="P41" s="24">
        <f t="shared" si="11"/>
        <v>184.05082456140352</v>
      </c>
      <c r="Q41" s="24">
        <f t="shared" si="11"/>
        <v>184.05082456140352</v>
      </c>
      <c r="R41" s="24">
        <f t="shared" si="11"/>
        <v>184.05082456140352</v>
      </c>
      <c r="S41" s="24">
        <f t="shared" si="11"/>
        <v>184.05082456140352</v>
      </c>
    </row>
    <row r="42" spans="7:20">
      <c r="G42" t="s">
        <v>2498</v>
      </c>
      <c r="H42" s="31">
        <v>1642.4328947368424</v>
      </c>
      <c r="I42" s="24">
        <f t="shared" si="11"/>
        <v>41.060822368421057</v>
      </c>
      <c r="J42" s="24">
        <f t="shared" si="11"/>
        <v>164.24328947368423</v>
      </c>
      <c r="K42" s="24">
        <f t="shared" si="11"/>
        <v>164.24328947368423</v>
      </c>
      <c r="L42" s="24">
        <f t="shared" si="11"/>
        <v>164.24328947368423</v>
      </c>
      <c r="M42" s="24">
        <f t="shared" si="11"/>
        <v>164.24328947368423</v>
      </c>
      <c r="N42" s="24">
        <f t="shared" si="11"/>
        <v>164.24328947368423</v>
      </c>
      <c r="O42" s="24">
        <f t="shared" si="11"/>
        <v>164.24328947368423</v>
      </c>
      <c r="P42" s="24">
        <f t="shared" si="11"/>
        <v>164.24328947368423</v>
      </c>
      <c r="Q42" s="24">
        <f t="shared" si="11"/>
        <v>164.24328947368423</v>
      </c>
      <c r="R42" s="24">
        <f t="shared" si="11"/>
        <v>164.24328947368423</v>
      </c>
      <c r="S42" s="24">
        <f t="shared" si="11"/>
        <v>164.24328947368423</v>
      </c>
    </row>
    <row r="43" spans="7:20">
      <c r="G43" t="s">
        <v>2500</v>
      </c>
      <c r="H43" s="31">
        <v>601.18986842105267</v>
      </c>
      <c r="I43" s="24">
        <f t="shared" si="11"/>
        <v>15.029746710526316</v>
      </c>
      <c r="J43" s="24">
        <f>$H43*J$36/$H$36</f>
        <v>60.118986842105265</v>
      </c>
      <c r="K43" s="24">
        <f t="shared" si="11"/>
        <v>60.118986842105265</v>
      </c>
      <c r="L43" s="24">
        <f t="shared" si="11"/>
        <v>60.118986842105265</v>
      </c>
      <c r="M43" s="24">
        <f t="shared" si="11"/>
        <v>60.118986842105265</v>
      </c>
      <c r="N43" s="24">
        <f t="shared" si="11"/>
        <v>60.118986842105265</v>
      </c>
      <c r="O43" s="24">
        <f t="shared" si="11"/>
        <v>60.118986842105265</v>
      </c>
      <c r="P43" s="24">
        <f t="shared" si="11"/>
        <v>60.118986842105265</v>
      </c>
      <c r="Q43" s="24">
        <f t="shared" si="11"/>
        <v>60.118986842105265</v>
      </c>
      <c r="R43" s="24">
        <f t="shared" si="11"/>
        <v>60.118986842105265</v>
      </c>
      <c r="S43" s="24">
        <f t="shared" si="11"/>
        <v>60.118986842105265</v>
      </c>
    </row>
    <row r="44" spans="7:20">
      <c r="G44" s="54" t="s">
        <v>2502</v>
      </c>
      <c r="H44" s="31">
        <v>812.47907894736852</v>
      </c>
      <c r="I44" s="24">
        <f t="shared" si="11"/>
        <v>20.31197697368421</v>
      </c>
      <c r="J44" s="24">
        <f t="shared" si="11"/>
        <v>81.247907894736841</v>
      </c>
      <c r="K44" s="24">
        <f t="shared" si="11"/>
        <v>81.247907894736841</v>
      </c>
      <c r="L44" s="24">
        <f t="shared" si="11"/>
        <v>81.247907894736841</v>
      </c>
      <c r="M44" s="24">
        <f t="shared" si="11"/>
        <v>81.247907894736841</v>
      </c>
      <c r="N44" s="24">
        <f t="shared" si="11"/>
        <v>81.247907894736841</v>
      </c>
      <c r="O44" s="24">
        <f t="shared" si="11"/>
        <v>81.247907894736841</v>
      </c>
      <c r="P44" s="24">
        <f t="shared" si="11"/>
        <v>81.247907894736841</v>
      </c>
      <c r="Q44" s="24">
        <f t="shared" si="11"/>
        <v>81.247907894736841</v>
      </c>
      <c r="R44" s="24">
        <f t="shared" si="11"/>
        <v>81.247907894736841</v>
      </c>
      <c r="S44" s="24">
        <f t="shared" si="11"/>
        <v>81.247907894736841</v>
      </c>
    </row>
    <row r="46" spans="7:20">
      <c r="G46" s="44" t="s">
        <v>2343</v>
      </c>
      <c r="H46" s="45"/>
      <c r="I46" s="46">
        <v>2019</v>
      </c>
      <c r="J46" s="46">
        <v>2020</v>
      </c>
      <c r="K46" s="46">
        <v>2021</v>
      </c>
      <c r="L46" s="46">
        <v>2022</v>
      </c>
      <c r="M46" s="46">
        <v>2023</v>
      </c>
    </row>
    <row r="47" spans="7:20">
      <c r="G47" s="50" t="s">
        <v>2489</v>
      </c>
      <c r="H47" s="51">
        <v>2160</v>
      </c>
      <c r="I47" s="52">
        <v>135</v>
      </c>
      <c r="J47" s="52">
        <f>135*4</f>
        <v>540</v>
      </c>
      <c r="K47" s="52">
        <f t="shared" ref="K47:L47" si="12">135*4</f>
        <v>540</v>
      </c>
      <c r="L47" s="52">
        <f t="shared" si="12"/>
        <v>540</v>
      </c>
      <c r="M47" s="52">
        <f>135*3</f>
        <v>405</v>
      </c>
      <c r="N47" s="24">
        <f>SUM(I47:M47)</f>
        <v>2160</v>
      </c>
    </row>
    <row r="48" spans="7:20">
      <c r="G48" t="s">
        <v>2490</v>
      </c>
      <c r="H48" s="41">
        <v>1717.717142857143</v>
      </c>
      <c r="I48" s="24">
        <f>$H48*I$47/$H$47</f>
        <v>107.35732142857144</v>
      </c>
      <c r="J48" s="24">
        <f t="shared" ref="J48:M48" si="13">$H48*J$47/$H$47</f>
        <v>429.42928571428575</v>
      </c>
      <c r="K48" s="24">
        <f t="shared" si="13"/>
        <v>429.42928571428575</v>
      </c>
      <c r="L48" s="24">
        <f t="shared" si="13"/>
        <v>429.42928571428575</v>
      </c>
      <c r="M48" s="24">
        <f t="shared" si="13"/>
        <v>322.07196428571427</v>
      </c>
    </row>
    <row r="49" spans="7:13">
      <c r="G49" t="s">
        <v>2492</v>
      </c>
      <c r="H49" s="41">
        <v>1578.4604761904764</v>
      </c>
      <c r="I49" s="24">
        <f t="shared" ref="I49:M55" si="14">$H49*I$47/$H$47</f>
        <v>98.653779761904772</v>
      </c>
      <c r="J49" s="24">
        <f t="shared" si="14"/>
        <v>394.61511904761909</v>
      </c>
      <c r="K49" s="24">
        <f t="shared" si="14"/>
        <v>394.61511904761909</v>
      </c>
      <c r="L49" s="24">
        <f t="shared" si="14"/>
        <v>394.61511904761909</v>
      </c>
      <c r="M49" s="24">
        <f t="shared" si="14"/>
        <v>295.9613392857143</v>
      </c>
    </row>
    <row r="50" spans="7:13">
      <c r="G50" t="s">
        <v>2493</v>
      </c>
      <c r="H50" s="41">
        <v>560.35166666666657</v>
      </c>
      <c r="I50" s="24">
        <f t="shared" si="14"/>
        <v>35.021979166666661</v>
      </c>
      <c r="J50" s="24">
        <f t="shared" si="14"/>
        <v>140.08791666666664</v>
      </c>
      <c r="K50" s="24">
        <f t="shared" si="14"/>
        <v>140.08791666666664</v>
      </c>
      <c r="L50" s="24">
        <f t="shared" si="14"/>
        <v>140.08791666666664</v>
      </c>
      <c r="M50" s="24">
        <f t="shared" si="14"/>
        <v>105.06593749999998</v>
      </c>
    </row>
    <row r="51" spans="7:13">
      <c r="G51" s="54" t="s">
        <v>2494</v>
      </c>
      <c r="H51" s="41">
        <v>719.63636904761916</v>
      </c>
      <c r="I51" s="24">
        <f t="shared" si="14"/>
        <v>44.977273065476197</v>
      </c>
      <c r="J51" s="24">
        <f t="shared" si="14"/>
        <v>179.90909226190479</v>
      </c>
      <c r="K51" s="24">
        <f t="shared" si="14"/>
        <v>179.90909226190479</v>
      </c>
      <c r="L51" s="24">
        <f t="shared" si="14"/>
        <v>179.90909226190479</v>
      </c>
      <c r="M51" s="24">
        <f t="shared" si="14"/>
        <v>134.93181919642859</v>
      </c>
    </row>
    <row r="52" spans="7:13">
      <c r="G52" t="s">
        <v>2496</v>
      </c>
      <c r="H52" s="31">
        <v>1875.0444736842073</v>
      </c>
      <c r="I52" s="24">
        <f t="shared" si="14"/>
        <v>117.19027960526296</v>
      </c>
      <c r="J52" s="24">
        <f t="shared" si="14"/>
        <v>468.76111842105183</v>
      </c>
      <c r="K52" s="24">
        <f t="shared" si="14"/>
        <v>468.76111842105183</v>
      </c>
      <c r="L52" s="24">
        <f t="shared" si="14"/>
        <v>468.76111842105183</v>
      </c>
      <c r="M52" s="24">
        <f t="shared" si="14"/>
        <v>351.57083881578887</v>
      </c>
    </row>
    <row r="53" spans="7:13">
      <c r="G53" t="s">
        <v>2498</v>
      </c>
      <c r="H53" s="31">
        <v>1692.0369736842083</v>
      </c>
      <c r="I53" s="24">
        <f t="shared" si="14"/>
        <v>105.75231085526302</v>
      </c>
      <c r="J53" s="24">
        <f t="shared" si="14"/>
        <v>423.00924342105208</v>
      </c>
      <c r="K53" s="24">
        <f t="shared" si="14"/>
        <v>423.00924342105208</v>
      </c>
      <c r="L53" s="24">
        <f t="shared" si="14"/>
        <v>423.00924342105208</v>
      </c>
      <c r="M53" s="24">
        <f t="shared" si="14"/>
        <v>317.2569325657891</v>
      </c>
    </row>
    <row r="54" spans="7:13">
      <c r="G54" t="s">
        <v>2500</v>
      </c>
      <c r="H54" s="31">
        <v>676.92543859649106</v>
      </c>
      <c r="I54" s="24">
        <f t="shared" si="14"/>
        <v>42.307839912280691</v>
      </c>
      <c r="J54" s="24">
        <f t="shared" si="14"/>
        <v>169.23135964912277</v>
      </c>
      <c r="K54" s="24">
        <f t="shared" si="14"/>
        <v>169.23135964912277</v>
      </c>
      <c r="L54" s="24">
        <f t="shared" si="14"/>
        <v>169.23135964912277</v>
      </c>
      <c r="M54" s="24">
        <f t="shared" si="14"/>
        <v>126.92351973684207</v>
      </c>
    </row>
    <row r="55" spans="7:13">
      <c r="G55" s="54" t="s">
        <v>2502</v>
      </c>
      <c r="H55" s="31">
        <v>932.10333333333313</v>
      </c>
      <c r="I55" s="24">
        <f t="shared" si="14"/>
        <v>58.25645833333332</v>
      </c>
      <c r="J55" s="24">
        <f t="shared" si="14"/>
        <v>233.02583333333328</v>
      </c>
      <c r="K55" s="24">
        <f t="shared" si="14"/>
        <v>233.02583333333328</v>
      </c>
      <c r="L55" s="24">
        <f t="shared" si="14"/>
        <v>233.02583333333328</v>
      </c>
      <c r="M55" s="24">
        <f t="shared" si="14"/>
        <v>174.76937499999997</v>
      </c>
    </row>
    <row r="57" spans="7:13">
      <c r="G57" s="44" t="s">
        <v>2152</v>
      </c>
      <c r="H57" s="45"/>
      <c r="I57" s="46">
        <v>2015</v>
      </c>
      <c r="J57" s="46">
        <v>2016</v>
      </c>
    </row>
    <row r="58" spans="7:13">
      <c r="G58" s="50" t="s">
        <v>2489</v>
      </c>
      <c r="H58" s="51">
        <v>1820</v>
      </c>
      <c r="I58" s="52">
        <f>303.3*4</f>
        <v>1213.2</v>
      </c>
      <c r="J58" s="52">
        <f>303.3*2</f>
        <v>606.6</v>
      </c>
      <c r="K58" s="24">
        <f>SUM(I58:J58)</f>
        <v>1819.8000000000002</v>
      </c>
    </row>
    <row r="59" spans="7:13">
      <c r="G59" t="s">
        <v>2490</v>
      </c>
      <c r="H59" s="31">
        <v>1717.717142857143</v>
      </c>
      <c r="I59" s="24">
        <f>$H59*I$58/$H$58</f>
        <v>1145.0189218210362</v>
      </c>
      <c r="J59" s="24">
        <f>$H59*J$58/$H$58</f>
        <v>572.5094609105181</v>
      </c>
    </row>
    <row r="60" spans="7:13">
      <c r="G60" t="s">
        <v>2492</v>
      </c>
      <c r="H60" s="31">
        <v>1578.4604761904764</v>
      </c>
      <c r="I60" s="24">
        <f t="shared" ref="I60:J66" si="15">$H60*I$58/$H$58</f>
        <v>1052.1913459968605</v>
      </c>
      <c r="J60" s="24">
        <f t="shared" si="15"/>
        <v>526.09567299843025</v>
      </c>
    </row>
    <row r="61" spans="7:13">
      <c r="G61" t="s">
        <v>2493</v>
      </c>
      <c r="H61" s="31">
        <v>560.35166666666657</v>
      </c>
      <c r="I61" s="24">
        <f t="shared" si="15"/>
        <v>373.52672637362633</v>
      </c>
      <c r="J61" s="24">
        <f t="shared" si="15"/>
        <v>186.76336318681317</v>
      </c>
    </row>
    <row r="62" spans="7:13">
      <c r="G62" s="54" t="s">
        <v>2494</v>
      </c>
      <c r="H62" s="31">
        <v>719.63636904761916</v>
      </c>
      <c r="I62" s="24">
        <f t="shared" si="15"/>
        <v>479.70485875196243</v>
      </c>
      <c r="J62" s="24">
        <f t="shared" si="15"/>
        <v>239.85242937598122</v>
      </c>
    </row>
    <row r="63" spans="7:13">
      <c r="G63" t="s">
        <v>2496</v>
      </c>
      <c r="H63" s="31">
        <v>1875.0444736842073</v>
      </c>
      <c r="I63" s="24">
        <f t="shared" si="15"/>
        <v>1249.892283227297</v>
      </c>
      <c r="J63" s="24">
        <f t="shared" si="15"/>
        <v>624.94614161364848</v>
      </c>
    </row>
    <row r="64" spans="7:13">
      <c r="G64" t="s">
        <v>2498</v>
      </c>
      <c r="H64" s="31">
        <v>1692.0369736842083</v>
      </c>
      <c r="I64" s="24">
        <f t="shared" si="15"/>
        <v>1127.9006903701547</v>
      </c>
      <c r="J64" s="24">
        <f t="shared" si="15"/>
        <v>563.95034518507737</v>
      </c>
    </row>
    <row r="65" spans="7:13">
      <c r="G65" t="s">
        <v>2500</v>
      </c>
      <c r="H65" s="31">
        <v>676.92543859649106</v>
      </c>
      <c r="I65" s="24">
        <f t="shared" si="15"/>
        <v>451.23403412377087</v>
      </c>
      <c r="J65" s="24">
        <f t="shared" si="15"/>
        <v>225.61701706188543</v>
      </c>
    </row>
    <row r="66" spans="7:13">
      <c r="G66" s="54" t="s">
        <v>2502</v>
      </c>
      <c r="H66" s="31">
        <v>932.10333333333313</v>
      </c>
      <c r="I66" s="24">
        <f t="shared" si="15"/>
        <v>621.33393626373606</v>
      </c>
      <c r="J66" s="24">
        <f t="shared" si="15"/>
        <v>310.66696813186803</v>
      </c>
    </row>
    <row r="68" spans="7:13">
      <c r="G68" s="44" t="s">
        <v>2504</v>
      </c>
      <c r="H68" s="45"/>
      <c r="I68" s="46">
        <v>2021</v>
      </c>
      <c r="J68" s="46">
        <v>2022</v>
      </c>
      <c r="K68" s="46">
        <v>2023</v>
      </c>
    </row>
    <row r="69" spans="7:13">
      <c r="G69" s="50" t="s">
        <v>2489</v>
      </c>
      <c r="H69" s="51">
        <v>1461</v>
      </c>
      <c r="I69" s="52">
        <v>162.30000000000001</v>
      </c>
      <c r="J69" s="52">
        <f>162.3*4</f>
        <v>649.20000000000005</v>
      </c>
      <c r="K69" s="52">
        <f>162.3*4</f>
        <v>649.20000000000005</v>
      </c>
      <c r="L69" s="24">
        <f>SUM(I69:K69)</f>
        <v>1460.7</v>
      </c>
      <c r="M69" s="24"/>
    </row>
    <row r="70" spans="7:13">
      <c r="G70" t="s">
        <v>2490</v>
      </c>
      <c r="H70" s="58">
        <v>1135.3380952380951</v>
      </c>
      <c r="I70" s="24">
        <f t="shared" ref="I70:K77" si="16">$H70*I$69/$H$69</f>
        <v>126.12277402952967</v>
      </c>
      <c r="J70" s="24">
        <f t="shared" si="16"/>
        <v>504.49109611811866</v>
      </c>
      <c r="K70" s="24">
        <f t="shared" si="16"/>
        <v>504.49109611811866</v>
      </c>
    </row>
    <row r="71" spans="7:13">
      <c r="G71" t="s">
        <v>2492</v>
      </c>
      <c r="H71" s="58">
        <v>1045.3318181818186</v>
      </c>
      <c r="I71" s="24">
        <f t="shared" si="16"/>
        <v>116.12413011013631</v>
      </c>
      <c r="J71" s="24">
        <f t="shared" si="16"/>
        <v>464.49652044054523</v>
      </c>
      <c r="K71" s="24">
        <f t="shared" si="16"/>
        <v>464.49652044054523</v>
      </c>
    </row>
    <row r="72" spans="7:13">
      <c r="G72" t="s">
        <v>2493</v>
      </c>
      <c r="H72" s="58">
        <v>461.80416666666656</v>
      </c>
      <c r="I72" s="24">
        <f>$H72*I$69/$H$69</f>
        <v>51.301037816563991</v>
      </c>
      <c r="J72" s="24">
        <f t="shared" si="16"/>
        <v>205.20415126625596</v>
      </c>
      <c r="K72" s="24">
        <f t="shared" si="16"/>
        <v>205.20415126625596</v>
      </c>
    </row>
    <row r="73" spans="7:13">
      <c r="G73" s="54" t="s">
        <v>2494</v>
      </c>
      <c r="H73" s="58">
        <v>568.64347826086941</v>
      </c>
      <c r="I73" s="24">
        <f t="shared" si="16"/>
        <v>63.169634854030875</v>
      </c>
      <c r="J73" s="24">
        <f t="shared" si="16"/>
        <v>252.6785394161235</v>
      </c>
      <c r="K73" s="24">
        <f t="shared" si="16"/>
        <v>252.6785394161235</v>
      </c>
    </row>
    <row r="74" spans="7:13">
      <c r="G74" t="s">
        <v>2496</v>
      </c>
      <c r="H74" s="58">
        <v>1114.1171052631578</v>
      </c>
      <c r="I74" s="24">
        <f t="shared" si="16"/>
        <v>123.76537042040418</v>
      </c>
      <c r="J74" s="24">
        <f t="shared" si="16"/>
        <v>495.06148168161673</v>
      </c>
      <c r="K74" s="24">
        <f t="shared" si="16"/>
        <v>495.06148168161673</v>
      </c>
    </row>
    <row r="75" spans="7:13">
      <c r="G75" t="s">
        <v>2498</v>
      </c>
      <c r="H75" s="58">
        <v>955.15921052631541</v>
      </c>
      <c r="I75" s="24">
        <f t="shared" si="16"/>
        <v>106.10700880795414</v>
      </c>
      <c r="J75" s="24">
        <f t="shared" si="16"/>
        <v>424.42803523181658</v>
      </c>
      <c r="K75" s="24">
        <f t="shared" si="16"/>
        <v>424.42803523181658</v>
      </c>
    </row>
    <row r="76" spans="7:13">
      <c r="G76" t="s">
        <v>2500</v>
      </c>
      <c r="H76" s="58">
        <v>433.72938596491241</v>
      </c>
      <c r="I76" s="24">
        <f t="shared" si="16"/>
        <v>48.182258276595</v>
      </c>
      <c r="J76" s="24">
        <f t="shared" si="16"/>
        <v>192.72903310638</v>
      </c>
      <c r="K76" s="24">
        <f t="shared" si="16"/>
        <v>192.72903310638</v>
      </c>
    </row>
    <row r="77" spans="7:13">
      <c r="G77" s="54" t="s">
        <v>2502</v>
      </c>
      <c r="H77" s="58">
        <v>565.96052631578925</v>
      </c>
      <c r="I77" s="24">
        <f t="shared" si="16"/>
        <v>62.871590295039432</v>
      </c>
      <c r="J77" s="24">
        <f t="shared" si="16"/>
        <v>251.48636118015773</v>
      </c>
      <c r="K77" s="24">
        <f t="shared" si="16"/>
        <v>251.48636118015773</v>
      </c>
    </row>
    <row r="79" spans="7:13">
      <c r="G79" s="44" t="s">
        <v>2436</v>
      </c>
      <c r="H79" s="45"/>
      <c r="I79" s="46">
        <v>2018</v>
      </c>
      <c r="J79" s="46">
        <v>2019</v>
      </c>
      <c r="K79" s="46">
        <v>2020</v>
      </c>
    </row>
    <row r="80" spans="7:13">
      <c r="G80" s="50" t="s">
        <v>2489</v>
      </c>
      <c r="H80" s="51">
        <v>1328</v>
      </c>
      <c r="I80" s="52">
        <v>166</v>
      </c>
      <c r="J80" s="52">
        <f>166*4</f>
        <v>664</v>
      </c>
      <c r="K80" s="52">
        <f>166*3</f>
        <v>498</v>
      </c>
      <c r="L80" s="24">
        <f>SUM(I80:K80)</f>
        <v>1328</v>
      </c>
    </row>
    <row r="81" spans="7:11">
      <c r="G81" t="s">
        <v>2490</v>
      </c>
      <c r="H81" s="31">
        <v>1006.2399999999999</v>
      </c>
      <c r="I81" s="24">
        <f>$H81*I$80/$H$80</f>
        <v>125.78</v>
      </c>
      <c r="J81" s="24">
        <f t="shared" ref="J81:K88" si="17">$H81*J$80/$H$80</f>
        <v>503.12</v>
      </c>
      <c r="K81" s="24">
        <f t="shared" si="17"/>
        <v>377.34</v>
      </c>
    </row>
    <row r="82" spans="7:11">
      <c r="G82" t="s">
        <v>2492</v>
      </c>
      <c r="H82" s="31">
        <v>845.02249999999992</v>
      </c>
      <c r="I82" s="24">
        <f t="shared" ref="I82:I88" si="18">$H82*I$80/$H$80</f>
        <v>105.62781249999999</v>
      </c>
      <c r="J82" s="24">
        <f t="shared" si="17"/>
        <v>422.51124999999996</v>
      </c>
      <c r="K82" s="24">
        <f t="shared" si="17"/>
        <v>316.88343749999996</v>
      </c>
    </row>
    <row r="83" spans="7:11">
      <c r="G83" t="s">
        <v>2493</v>
      </c>
      <c r="H83" s="31">
        <v>498.03708333333333</v>
      </c>
      <c r="I83" s="24">
        <f t="shared" si="18"/>
        <v>62.254635416666673</v>
      </c>
      <c r="J83" s="24">
        <f t="shared" si="17"/>
        <v>249.01854166666669</v>
      </c>
      <c r="K83" s="24">
        <f t="shared" si="17"/>
        <v>186.76390624999999</v>
      </c>
    </row>
    <row r="84" spans="7:11">
      <c r="G84" s="54" t="s">
        <v>2494</v>
      </c>
      <c r="H84" s="31">
        <v>695.08494047619058</v>
      </c>
      <c r="I84" s="24">
        <f t="shared" si="18"/>
        <v>86.885617559523823</v>
      </c>
      <c r="J84" s="24">
        <f t="shared" si="17"/>
        <v>347.54247023809529</v>
      </c>
      <c r="K84" s="24">
        <f t="shared" si="17"/>
        <v>260.65685267857151</v>
      </c>
    </row>
    <row r="85" spans="7:11">
      <c r="G85" t="s">
        <v>2496</v>
      </c>
      <c r="H85" s="59">
        <v>1041.8289035087716</v>
      </c>
      <c r="I85" s="24">
        <f t="shared" si="18"/>
        <v>130.22861293859646</v>
      </c>
      <c r="J85" s="24">
        <f t="shared" si="17"/>
        <v>520.91445175438582</v>
      </c>
      <c r="K85" s="24">
        <f t="shared" si="17"/>
        <v>390.68583881578934</v>
      </c>
    </row>
    <row r="86" spans="7:11">
      <c r="G86" t="s">
        <v>2498</v>
      </c>
      <c r="H86" s="59">
        <v>904.3503947368423</v>
      </c>
      <c r="I86" s="24">
        <f t="shared" si="18"/>
        <v>113.04379934210529</v>
      </c>
      <c r="J86" s="24">
        <f t="shared" si="17"/>
        <v>452.17519736842115</v>
      </c>
      <c r="K86" s="24">
        <f t="shared" si="17"/>
        <v>339.13139802631588</v>
      </c>
    </row>
    <row r="87" spans="7:11">
      <c r="G87" t="s">
        <v>2500</v>
      </c>
      <c r="H87" s="59">
        <v>568.45399122807009</v>
      </c>
      <c r="I87" s="24">
        <f t="shared" si="18"/>
        <v>71.056748903508762</v>
      </c>
      <c r="J87" s="24">
        <f t="shared" si="17"/>
        <v>284.22699561403505</v>
      </c>
      <c r="K87" s="24">
        <f t="shared" si="17"/>
        <v>213.17024671052627</v>
      </c>
    </row>
    <row r="88" spans="7:11">
      <c r="G88" s="54" t="s">
        <v>2502</v>
      </c>
      <c r="H88" s="59">
        <v>763.82254385964882</v>
      </c>
      <c r="I88" s="24">
        <f t="shared" si="18"/>
        <v>95.477817982456102</v>
      </c>
      <c r="J88" s="24">
        <f t="shared" si="17"/>
        <v>381.91127192982441</v>
      </c>
      <c r="K88" s="24">
        <f t="shared" si="17"/>
        <v>286.43345394736832</v>
      </c>
    </row>
    <row r="90" spans="7:11">
      <c r="G90" s="44" t="s">
        <v>2505</v>
      </c>
      <c r="H90" s="45"/>
      <c r="I90" s="46">
        <v>2022</v>
      </c>
      <c r="J90" s="46">
        <v>2023</v>
      </c>
    </row>
    <row r="91" spans="7:11">
      <c r="G91" s="50" t="s">
        <v>2489</v>
      </c>
      <c r="H91" s="51">
        <v>1248</v>
      </c>
      <c r="I91" s="52">
        <f>124.8*6</f>
        <v>748.8</v>
      </c>
      <c r="J91" s="52">
        <f>124.8*4</f>
        <v>499.2</v>
      </c>
      <c r="K91" s="24">
        <f>SUM(I91:J91)</f>
        <v>1248</v>
      </c>
    </row>
    <row r="92" spans="7:11">
      <c r="G92" t="s">
        <v>2490</v>
      </c>
      <c r="H92" s="31">
        <v>956.24761904761908</v>
      </c>
      <c r="I92" s="24">
        <f>$H92*I$91/$H$91</f>
        <v>573.74857142857138</v>
      </c>
      <c r="J92" s="24">
        <f>$H92*J$91/$H$91</f>
        <v>382.49904761904759</v>
      </c>
    </row>
    <row r="93" spans="7:11">
      <c r="G93" t="s">
        <v>2492</v>
      </c>
      <c r="H93" s="31">
        <v>863.50000000000011</v>
      </c>
      <c r="I93" s="24">
        <f t="shared" ref="I93:J99" si="19">$H93*I$91/$H$91</f>
        <v>518.1</v>
      </c>
      <c r="J93" s="24">
        <f t="shared" si="19"/>
        <v>345.40000000000003</v>
      </c>
    </row>
    <row r="94" spans="7:11">
      <c r="G94" t="s">
        <v>2493</v>
      </c>
      <c r="H94" s="31">
        <v>433.12500000000006</v>
      </c>
      <c r="I94" s="24">
        <f t="shared" si="19"/>
        <v>259.875</v>
      </c>
      <c r="J94" s="24">
        <f t="shared" si="19"/>
        <v>173.25000000000003</v>
      </c>
    </row>
    <row r="95" spans="7:11">
      <c r="G95" s="54" t="s">
        <v>2494</v>
      </c>
      <c r="H95" s="31">
        <v>504.9</v>
      </c>
      <c r="I95" s="24">
        <f t="shared" si="19"/>
        <v>302.93999999999994</v>
      </c>
      <c r="J95" s="24">
        <f t="shared" si="19"/>
        <v>201.95999999999998</v>
      </c>
    </row>
    <row r="96" spans="7:11">
      <c r="G96" t="s">
        <v>2496</v>
      </c>
      <c r="H96" s="31">
        <v>930.40175438596441</v>
      </c>
      <c r="I96" s="24">
        <f t="shared" si="19"/>
        <v>558.24105263157855</v>
      </c>
      <c r="J96" s="24">
        <f t="shared" si="19"/>
        <v>372.16070175438574</v>
      </c>
    </row>
    <row r="97" spans="7:12">
      <c r="G97" t="s">
        <v>2498</v>
      </c>
      <c r="H97" s="31">
        <v>779.84122807017548</v>
      </c>
      <c r="I97" s="24">
        <f t="shared" si="19"/>
        <v>467.90473684210531</v>
      </c>
      <c r="J97" s="24">
        <f t="shared" si="19"/>
        <v>311.93649122807017</v>
      </c>
    </row>
    <row r="98" spans="7:12">
      <c r="G98" t="s">
        <v>2500</v>
      </c>
      <c r="H98" s="31">
        <v>408.92149122807052</v>
      </c>
      <c r="I98" s="24">
        <f t="shared" si="19"/>
        <v>245.3528947368423</v>
      </c>
      <c r="J98" s="24">
        <f t="shared" si="19"/>
        <v>163.56859649122822</v>
      </c>
    </row>
    <row r="99" spans="7:12">
      <c r="G99" s="54" t="s">
        <v>2502</v>
      </c>
      <c r="H99" s="31">
        <v>503.95964912280726</v>
      </c>
      <c r="I99" s="24">
        <f t="shared" si="19"/>
        <v>302.37578947368434</v>
      </c>
      <c r="J99" s="24">
        <f t="shared" si="19"/>
        <v>201.5838596491229</v>
      </c>
    </row>
    <row r="101" spans="7:12">
      <c r="G101" s="44" t="s">
        <v>2506</v>
      </c>
      <c r="H101" s="45"/>
      <c r="I101" s="46">
        <v>2021</v>
      </c>
      <c r="J101" s="46">
        <v>2022</v>
      </c>
      <c r="K101" s="46">
        <v>2023</v>
      </c>
    </row>
    <row r="102" spans="7:12">
      <c r="G102" s="50" t="s">
        <v>2489</v>
      </c>
      <c r="H102" s="51">
        <v>1187</v>
      </c>
      <c r="I102" s="51">
        <v>54.5</v>
      </c>
      <c r="J102" s="51">
        <f>54.5*6</f>
        <v>327</v>
      </c>
      <c r="K102" s="51">
        <f>H102-SUM(I102:J102)</f>
        <v>805.5</v>
      </c>
      <c r="L102" s="24">
        <f>SUM(I102:K102)</f>
        <v>1187</v>
      </c>
    </row>
    <row r="103" spans="7:12">
      <c r="G103" t="s">
        <v>2490</v>
      </c>
      <c r="H103" s="31">
        <v>203.27142857142866</v>
      </c>
      <c r="I103" s="31">
        <f t="shared" ref="I103:K110" si="20">$H103*I$102/$H$102</f>
        <v>9.3330184137682064</v>
      </c>
      <c r="J103" s="31">
        <f t="shared" si="20"/>
        <v>55.998110482609242</v>
      </c>
      <c r="K103" s="31">
        <f t="shared" si="20"/>
        <v>137.94029967505119</v>
      </c>
    </row>
    <row r="104" spans="7:12">
      <c r="G104" t="s">
        <v>2492</v>
      </c>
      <c r="H104" s="31">
        <v>439.99545454545461</v>
      </c>
      <c r="I104" s="31">
        <f t="shared" si="20"/>
        <v>20.201981695642189</v>
      </c>
      <c r="J104" s="31">
        <f t="shared" si="20"/>
        <v>121.21189017385313</v>
      </c>
      <c r="K104" s="31">
        <f t="shared" si="20"/>
        <v>298.58158267595928</v>
      </c>
    </row>
    <row r="105" spans="7:12">
      <c r="G105" t="s">
        <v>2493</v>
      </c>
      <c r="H105" s="31">
        <v>496.97916666666669</v>
      </c>
      <c r="I105" s="31">
        <f t="shared" si="20"/>
        <v>22.818335790508286</v>
      </c>
      <c r="J105" s="31">
        <f t="shared" si="20"/>
        <v>136.91001474304971</v>
      </c>
      <c r="K105" s="31">
        <f>$H105*K$102/$H$102</f>
        <v>337.25081613310869</v>
      </c>
    </row>
    <row r="106" spans="7:12">
      <c r="G106" s="54" t="s">
        <v>2494</v>
      </c>
      <c r="H106" s="31">
        <v>317.76521739130436</v>
      </c>
      <c r="I106" s="31">
        <f t="shared" si="20"/>
        <v>14.589894143071684</v>
      </c>
      <c r="J106" s="31">
        <f t="shared" si="20"/>
        <v>87.539364858430091</v>
      </c>
      <c r="K106" s="31">
        <f t="shared" si="20"/>
        <v>215.63595838980257</v>
      </c>
    </row>
    <row r="107" spans="7:12">
      <c r="G107" t="s">
        <v>2496</v>
      </c>
      <c r="H107" s="31">
        <v>153.34385964912272</v>
      </c>
      <c r="I107" s="31">
        <f t="shared" si="20"/>
        <v>7.040640565187184</v>
      </c>
      <c r="J107" s="31">
        <f t="shared" si="20"/>
        <v>42.243843391123107</v>
      </c>
      <c r="K107" s="31">
        <f t="shared" si="20"/>
        <v>104.05937569281242</v>
      </c>
    </row>
    <row r="108" spans="7:12">
      <c r="G108" t="s">
        <v>2498</v>
      </c>
      <c r="H108" s="31">
        <v>381.6964912280701</v>
      </c>
      <c r="I108" s="31">
        <f t="shared" si="20"/>
        <v>17.525239066495217</v>
      </c>
      <c r="J108" s="31">
        <f t="shared" si="20"/>
        <v>105.15143439897129</v>
      </c>
      <c r="K108" s="31">
        <f t="shared" si="20"/>
        <v>259.01981776260362</v>
      </c>
    </row>
    <row r="109" spans="7:12">
      <c r="G109" t="s">
        <v>2500</v>
      </c>
      <c r="H109" s="31">
        <v>502.1701754385964</v>
      </c>
      <c r="I109" s="31">
        <f t="shared" si="20"/>
        <v>23.056676125866474</v>
      </c>
      <c r="J109" s="31">
        <f t="shared" si="20"/>
        <v>138.34005675519884</v>
      </c>
      <c r="K109" s="31">
        <f t="shared" si="20"/>
        <v>340.7734425575311</v>
      </c>
    </row>
    <row r="110" spans="7:12">
      <c r="G110" s="54" t="s">
        <v>2502</v>
      </c>
      <c r="H110" s="31">
        <v>253.34385964912295</v>
      </c>
      <c r="I110" s="31">
        <f t="shared" si="20"/>
        <v>11.632047473359057</v>
      </c>
      <c r="J110" s="31">
        <f t="shared" si="20"/>
        <v>69.792284840154352</v>
      </c>
      <c r="K110" s="31">
        <f t="shared" si="20"/>
        <v>171.91952733560956</v>
      </c>
    </row>
    <row r="113" spans="16:21">
      <c r="P113" s="52">
        <f>158.8*4</f>
        <v>635.20000000000005</v>
      </c>
      <c r="R113" s="24">
        <f>$O7*P$2/$O$2</f>
        <v>430.02556798771514</v>
      </c>
      <c r="S113" s="24">
        <f>$O8*P$2/$O$2</f>
        <v>366.27349610837649</v>
      </c>
      <c r="T113" s="24">
        <f>$O9*P$2/$O$2</f>
        <v>163.2575271572216</v>
      </c>
      <c r="U113" s="24">
        <f>$O10*P$2/$O$2</f>
        <v>214.39610949135434</v>
      </c>
    </row>
    <row r="114" spans="16:21">
      <c r="P114" s="52">
        <f>158.8*4</f>
        <v>635.20000000000005</v>
      </c>
      <c r="R114" s="24">
        <f>$O7*Q$2/$O$2</f>
        <v>430.02556798771514</v>
      </c>
      <c r="S114" s="24">
        <f>$O8*Q$2/$O$2</f>
        <v>366.27349610837649</v>
      </c>
      <c r="T114" s="24">
        <f>$O9*Q$2/$O$2</f>
        <v>163.2575271572216</v>
      </c>
      <c r="U114" s="24">
        <f>$O10*Q$2/$O$2</f>
        <v>214.39610949135434</v>
      </c>
    </row>
    <row r="115" spans="16:21">
      <c r="P115" s="52">
        <f>158.8*4</f>
        <v>635.20000000000005</v>
      </c>
      <c r="R115" s="24">
        <f>$O7*R$2/$O$2</f>
        <v>430.02556798771514</v>
      </c>
      <c r="S115" s="24">
        <f>$O8*R$2/$O$2</f>
        <v>366.27349610837649</v>
      </c>
      <c r="T115" s="24">
        <f>$O9*R$2/$O$2</f>
        <v>163.2575271572216</v>
      </c>
      <c r="U115" s="24">
        <f>$O10*R$2/$O$2</f>
        <v>214.39610949135434</v>
      </c>
    </row>
    <row r="116" spans="16:21">
      <c r="P116" s="52">
        <f>158.8*4</f>
        <v>635.20000000000005</v>
      </c>
      <c r="R116" s="24">
        <f>$O7*S$2/$O$2</f>
        <v>430.02556798771514</v>
      </c>
      <c r="S116" s="24">
        <f>$O8*S$2/$O$2</f>
        <v>366.27349610837649</v>
      </c>
      <c r="T116" s="24">
        <f>$O9*S$2/$O$2</f>
        <v>163.2575271572216</v>
      </c>
      <c r="U116" s="24">
        <f>$O10*S$2/$O$2</f>
        <v>214.39610949135434</v>
      </c>
    </row>
    <row r="117" spans="16:21">
      <c r="P117" s="52">
        <f>158.8*4</f>
        <v>635.20000000000005</v>
      </c>
      <c r="R117" s="24">
        <f>$O7*T$2/$O$2</f>
        <v>430.02556798771514</v>
      </c>
      <c r="S117" s="24">
        <f>$O8*T$2/$O$2</f>
        <v>366.27349610837649</v>
      </c>
      <c r="T117" s="24">
        <f>$O9*T$2/$O$2</f>
        <v>163.2575271572216</v>
      </c>
      <c r="U117" s="24">
        <f>$O10*T$2/$O$2</f>
        <v>214.39610949135434</v>
      </c>
    </row>
    <row r="118" spans="16:21">
      <c r="P118" s="52">
        <f>158.8*1</f>
        <v>158.80000000000001</v>
      </c>
      <c r="R118" s="24">
        <f>$O7*U$2/$O$2</f>
        <v>107.50639199692878</v>
      </c>
      <c r="S118" s="24">
        <f>$O8*U$2/$O$2</f>
        <v>91.568374027094123</v>
      </c>
      <c r="T118" s="24">
        <f>$O9*U$2/$O$2</f>
        <v>40.814381789305401</v>
      </c>
      <c r="U118" s="24">
        <f>$O10*U$2/$O$2</f>
        <v>53.599027372838584</v>
      </c>
    </row>
  </sheetData>
  <pageMargins left="0.511811024" right="0.511811024" top="0.78740157499999996" bottom="0.78740157499999996" header="0.31496062000000002" footer="0.3149606200000000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Plan13"/>
  <dimension ref="A1:B12"/>
  <sheetViews>
    <sheetView zoomScale="90" zoomScaleNormal="90" workbookViewId="0">
      <selection activeCell="E9" sqref="E9"/>
    </sheetView>
  </sheetViews>
  <sheetFormatPr defaultRowHeight="12.75"/>
  <cols>
    <col min="1" max="1" width="14" bestFit="1" customWidth="1"/>
    <col min="2" max="2" width="15.85546875" bestFit="1" customWidth="1"/>
  </cols>
  <sheetData>
    <row r="1" spans="1:2" ht="13.5" thickBot="1">
      <c r="A1" s="15" t="s">
        <v>178</v>
      </c>
      <c r="B1" s="2" t="s">
        <v>2507</v>
      </c>
    </row>
    <row r="2" spans="1:2" ht="13.5" thickTop="1">
      <c r="A2">
        <v>1</v>
      </c>
      <c r="B2" t="s">
        <v>21</v>
      </c>
    </row>
    <row r="3" spans="1:2">
      <c r="A3">
        <v>2</v>
      </c>
      <c r="B3" t="s">
        <v>22</v>
      </c>
    </row>
    <row r="4" spans="1:2">
      <c r="A4">
        <v>3</v>
      </c>
      <c r="B4" t="s">
        <v>28</v>
      </c>
    </row>
    <row r="5" spans="1:2">
      <c r="A5">
        <v>4</v>
      </c>
      <c r="B5" t="s">
        <v>27</v>
      </c>
    </row>
    <row r="6" spans="1:2">
      <c r="A6">
        <v>5</v>
      </c>
      <c r="B6" t="s">
        <v>29</v>
      </c>
    </row>
    <row r="7" spans="1:2">
      <c r="A7">
        <v>6</v>
      </c>
      <c r="B7" t="s">
        <v>2508</v>
      </c>
    </row>
    <row r="8" spans="1:2">
      <c r="A8">
        <v>7</v>
      </c>
      <c r="B8" t="s">
        <v>23</v>
      </c>
    </row>
    <row r="9" spans="1:2">
      <c r="A9">
        <v>8</v>
      </c>
      <c r="B9" t="s">
        <v>24</v>
      </c>
    </row>
    <row r="10" spans="1:2">
      <c r="A10">
        <v>9</v>
      </c>
      <c r="B10" t="s">
        <v>25</v>
      </c>
    </row>
    <row r="11" spans="1:2">
      <c r="A11">
        <v>10</v>
      </c>
      <c r="B11" t="s">
        <v>31</v>
      </c>
    </row>
    <row r="12" spans="1:2">
      <c r="A12">
        <v>11</v>
      </c>
      <c r="B12" t="s">
        <v>2509</v>
      </c>
    </row>
  </sheetData>
  <pageMargins left="0.511811024" right="0.511811024" top="0.78740157499999996" bottom="0.78740157499999996" header="0.31496062000000002" footer="0.3149606200000000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Plan16"/>
  <dimension ref="A1:BM144"/>
  <sheetViews>
    <sheetView zoomScale="110" zoomScaleNormal="110" workbookViewId="0">
      <pane xSplit="3" ySplit="1" topLeftCell="D110" activePane="bottomRight" state="frozen"/>
      <selection pane="bottomRight" activeCell="AO140" sqref="AO140"/>
      <selection pane="bottomLeft" activeCell="A2" sqref="A2"/>
      <selection pane="topRight" activeCell="D1" sqref="D1"/>
    </sheetView>
  </sheetViews>
  <sheetFormatPr defaultRowHeight="12.75"/>
  <cols>
    <col min="1" max="1" width="14.85546875" customWidth="1"/>
    <col min="2" max="2" width="20.28515625" bestFit="1" customWidth="1"/>
    <col min="3" max="3" width="18" customWidth="1"/>
    <col min="44" max="44" width="10.5703125" bestFit="1" customWidth="1"/>
  </cols>
  <sheetData>
    <row r="1" spans="1:44" ht="13.5" thickBot="1">
      <c r="A1" s="108" t="s">
        <v>180</v>
      </c>
      <c r="B1" s="109" t="s">
        <v>2510</v>
      </c>
      <c r="C1" s="109" t="s">
        <v>2511</v>
      </c>
      <c r="D1" s="151">
        <f>tab_PeriodoEstudo!B2</f>
        <v>2012</v>
      </c>
      <c r="E1" s="151">
        <f>tab_PeriodoEstudo!B3</f>
        <v>2013</v>
      </c>
      <c r="F1" s="151">
        <f>tab_PeriodoEstudo!B4</f>
        <v>2014</v>
      </c>
      <c r="G1" s="151">
        <f>tab_PeriodoEstudo!B5</f>
        <v>2015</v>
      </c>
      <c r="H1" s="151">
        <f>tab_PeriodoEstudo!B6</f>
        <v>2016</v>
      </c>
      <c r="I1" s="151">
        <f>tab_PeriodoEstudo!B7</f>
        <v>2017</v>
      </c>
      <c r="J1" s="151">
        <f>tab_PeriodoEstudo!B8</f>
        <v>2018</v>
      </c>
      <c r="K1" s="151">
        <f>tab_PeriodoEstudo!B9</f>
        <v>2019</v>
      </c>
      <c r="L1" s="151">
        <f>tab_PeriodoEstudo!B10</f>
        <v>2020</v>
      </c>
      <c r="M1" s="151">
        <f>tab_PeriodoEstudo!B11</f>
        <v>2021</v>
      </c>
      <c r="N1" s="151">
        <f>tab_PeriodoEstudo!B12</f>
        <v>2022</v>
      </c>
      <c r="O1" s="151">
        <f>tab_PeriodoEstudo!B13</f>
        <v>2023</v>
      </c>
      <c r="P1" s="151">
        <f>tab_PeriodoEstudo!B14</f>
        <v>2024</v>
      </c>
      <c r="Q1" s="372">
        <f>tab_PeriodoEstudo!B15</f>
        <v>2025</v>
      </c>
      <c r="R1" s="151">
        <f>tab_PeriodoEstudo!B16</f>
        <v>2026</v>
      </c>
      <c r="S1" s="151">
        <f>tab_PeriodoEstudo!B17</f>
        <v>2027</v>
      </c>
      <c r="T1" s="151">
        <f>tab_PeriodoEstudo!B18</f>
        <v>2028</v>
      </c>
      <c r="U1" s="151">
        <f>tab_PeriodoEstudo!B19</f>
        <v>2029</v>
      </c>
      <c r="V1" s="151">
        <f>tab_PeriodoEstudo!B20</f>
        <v>2030</v>
      </c>
      <c r="W1" s="151">
        <f>tab_PeriodoEstudo!B21</f>
        <v>2031</v>
      </c>
      <c r="X1" s="151">
        <f>tab_PeriodoEstudo!B22</f>
        <v>2032</v>
      </c>
      <c r="Y1" s="151">
        <f>tab_PeriodoEstudo!B23</f>
        <v>2033</v>
      </c>
      <c r="Z1" s="151">
        <f>tab_PeriodoEstudo!B24</f>
        <v>2034</v>
      </c>
      <c r="AA1" s="151">
        <f>tab_PeriodoEstudo!B25</f>
        <v>2035</v>
      </c>
      <c r="AB1" s="151">
        <f>tab_PeriodoEstudo!B26</f>
        <v>2036</v>
      </c>
      <c r="AC1" s="151">
        <f>tab_PeriodoEstudo!B27</f>
        <v>2037</v>
      </c>
      <c r="AD1" s="151">
        <f>tab_PeriodoEstudo!B28</f>
        <v>2038</v>
      </c>
      <c r="AE1" s="151">
        <f>tab_PeriodoEstudo!B29</f>
        <v>2039</v>
      </c>
      <c r="AF1" s="151">
        <f>tab_PeriodoEstudo!B30</f>
        <v>2040</v>
      </c>
      <c r="AG1" s="151">
        <f>tab_PeriodoEstudo!B31</f>
        <v>2041</v>
      </c>
      <c r="AH1" s="151">
        <f>tab_PeriodoEstudo!B32</f>
        <v>2042</v>
      </c>
      <c r="AI1" s="151">
        <f>tab_PeriodoEstudo!B33</f>
        <v>2043</v>
      </c>
      <c r="AJ1" s="151">
        <f>tab_PeriodoEstudo!B34</f>
        <v>2044</v>
      </c>
      <c r="AK1" s="151">
        <f>tab_PeriodoEstudo!B35</f>
        <v>2045</v>
      </c>
      <c r="AL1" s="151">
        <f>tab_PeriodoEstudo!B36</f>
        <v>2046</v>
      </c>
      <c r="AM1" s="151">
        <f>tab_PeriodoEstudo!B37</f>
        <v>2047</v>
      </c>
      <c r="AN1" s="151">
        <f>tab_PeriodoEstudo!B38</f>
        <v>2048</v>
      </c>
      <c r="AO1" s="151">
        <f>tab_PeriodoEstudo!B39</f>
        <v>2049</v>
      </c>
      <c r="AP1" s="280">
        <f>tab_PeriodoEstudo!B40</f>
        <v>2050</v>
      </c>
    </row>
    <row r="2" spans="1:44" ht="13.5" thickTop="1">
      <c r="A2">
        <v>1</v>
      </c>
      <c r="B2" s="156" t="s">
        <v>281</v>
      </c>
      <c r="C2" s="156" t="s">
        <v>214</v>
      </c>
      <c r="D2" s="509">
        <v>29.13</v>
      </c>
      <c r="E2" s="509">
        <v>29.13</v>
      </c>
      <c r="F2" s="509">
        <v>29.13</v>
      </c>
      <c r="G2" s="509">
        <v>29.13</v>
      </c>
      <c r="H2" s="509">
        <v>29.13</v>
      </c>
      <c r="I2" s="509">
        <v>29.13</v>
      </c>
      <c r="J2" s="509">
        <v>29.13</v>
      </c>
      <c r="K2" s="509">
        <v>29.13</v>
      </c>
      <c r="L2" s="509">
        <v>29.13</v>
      </c>
      <c r="M2" s="509">
        <v>29.13</v>
      </c>
      <c r="N2" s="509">
        <v>29.13</v>
      </c>
      <c r="O2" s="509">
        <v>29.13</v>
      </c>
      <c r="P2" s="509">
        <v>29.13</v>
      </c>
      <c r="Q2" s="509">
        <v>29.13</v>
      </c>
      <c r="R2" s="509">
        <v>29.13</v>
      </c>
      <c r="S2" s="509">
        <v>29.13</v>
      </c>
      <c r="T2" s="509">
        <v>29.13</v>
      </c>
      <c r="U2" s="509">
        <v>29.13</v>
      </c>
      <c r="V2" s="509">
        <v>29.13</v>
      </c>
      <c r="W2" s="509">
        <v>29.13</v>
      </c>
      <c r="X2" s="509">
        <v>29.13</v>
      </c>
      <c r="Y2" s="509">
        <v>29.13</v>
      </c>
      <c r="Z2" s="509">
        <v>29.13</v>
      </c>
      <c r="AA2" s="509">
        <v>29.13</v>
      </c>
      <c r="AB2" s="509">
        <v>29.13</v>
      </c>
      <c r="AC2" s="509">
        <v>29.13</v>
      </c>
      <c r="AD2" s="509">
        <v>29.13</v>
      </c>
      <c r="AE2" s="509">
        <v>29.13</v>
      </c>
      <c r="AF2" s="509">
        <v>29.13</v>
      </c>
      <c r="AG2" s="509">
        <v>29.13</v>
      </c>
      <c r="AH2" s="509">
        <v>29.13</v>
      </c>
      <c r="AI2" s="509">
        <v>29.13</v>
      </c>
      <c r="AJ2" s="509">
        <v>29.13</v>
      </c>
      <c r="AK2" s="509">
        <v>29.13</v>
      </c>
      <c r="AL2" s="509">
        <v>29.13</v>
      </c>
      <c r="AM2" s="509">
        <v>29.13</v>
      </c>
      <c r="AN2" s="509">
        <v>29.13</v>
      </c>
      <c r="AO2" s="509">
        <v>29.13</v>
      </c>
      <c r="AP2" s="509">
        <v>29.13</v>
      </c>
      <c r="AR2" s="158" t="s">
        <v>2512</v>
      </c>
    </row>
    <row r="3" spans="1:44">
      <c r="A3" s="110">
        <v>2</v>
      </c>
      <c r="B3" s="296" t="s">
        <v>322</v>
      </c>
      <c r="C3" s="156" t="s">
        <v>290</v>
      </c>
      <c r="D3" s="509">
        <v>842.33</v>
      </c>
      <c r="E3" s="509">
        <v>842.33</v>
      </c>
      <c r="F3" s="509">
        <v>842.33</v>
      </c>
      <c r="G3" s="509">
        <v>842.33</v>
      </c>
      <c r="H3" s="509">
        <v>842.33</v>
      </c>
      <c r="I3" s="509">
        <v>842.33</v>
      </c>
      <c r="J3" s="509">
        <v>842.33</v>
      </c>
      <c r="K3" s="509">
        <v>842.33</v>
      </c>
      <c r="L3" s="509">
        <v>842.33</v>
      </c>
      <c r="M3" s="509">
        <v>842.33</v>
      </c>
      <c r="N3" s="509">
        <v>842.33</v>
      </c>
      <c r="O3" s="509">
        <v>842.33</v>
      </c>
      <c r="P3" s="509">
        <v>842.33</v>
      </c>
      <c r="Q3" s="509">
        <v>842.33</v>
      </c>
      <c r="R3" s="509">
        <v>842.33</v>
      </c>
      <c r="S3" s="509">
        <v>842.33</v>
      </c>
      <c r="T3" s="509">
        <v>842.33</v>
      </c>
      <c r="U3" s="509">
        <v>842.33</v>
      </c>
      <c r="V3" s="509">
        <v>842.33</v>
      </c>
      <c r="W3" s="509">
        <v>842.33</v>
      </c>
      <c r="X3" s="509">
        <v>842.33</v>
      </c>
      <c r="Y3" s="509">
        <v>842.33</v>
      </c>
      <c r="Z3" s="509">
        <v>842.33</v>
      </c>
      <c r="AA3" s="509">
        <v>842.33</v>
      </c>
      <c r="AB3" s="509">
        <v>842.33</v>
      </c>
      <c r="AC3" s="509">
        <v>842.33</v>
      </c>
      <c r="AD3" s="509">
        <v>842.33</v>
      </c>
      <c r="AE3" s="509">
        <v>842.33</v>
      </c>
      <c r="AF3" s="509">
        <v>842.33</v>
      </c>
      <c r="AG3" s="509">
        <v>842.33</v>
      </c>
      <c r="AH3" s="509">
        <v>842.33</v>
      </c>
      <c r="AI3" s="509">
        <v>842.33</v>
      </c>
      <c r="AJ3" s="509">
        <v>842.33</v>
      </c>
      <c r="AK3" s="509">
        <v>842.33</v>
      </c>
      <c r="AL3" s="509">
        <v>842.33</v>
      </c>
      <c r="AM3" s="509">
        <v>842.33</v>
      </c>
      <c r="AN3" s="509">
        <v>842.33</v>
      </c>
      <c r="AO3" s="509">
        <v>842.33</v>
      </c>
      <c r="AP3" s="509">
        <v>842.33</v>
      </c>
      <c r="AR3" s="158" t="s">
        <v>2512</v>
      </c>
    </row>
    <row r="4" spans="1:44">
      <c r="A4">
        <v>4</v>
      </c>
      <c r="B4" s="156" t="s">
        <v>376</v>
      </c>
      <c r="C4" s="156" t="s">
        <v>287</v>
      </c>
      <c r="D4" s="509">
        <v>842.33</v>
      </c>
      <c r="E4" s="509">
        <v>842.33</v>
      </c>
      <c r="F4" s="509">
        <v>842.33</v>
      </c>
      <c r="G4" s="509">
        <v>842.33</v>
      </c>
      <c r="H4" s="509">
        <v>842.33</v>
      </c>
      <c r="I4" s="509">
        <v>842.33</v>
      </c>
      <c r="J4" s="509">
        <v>842.33</v>
      </c>
      <c r="K4" s="509">
        <v>842.33</v>
      </c>
      <c r="L4" s="509">
        <v>842.33</v>
      </c>
      <c r="M4" s="509">
        <v>842.33</v>
      </c>
      <c r="N4" s="509">
        <v>842.33</v>
      </c>
      <c r="O4" s="509">
        <v>842.33</v>
      </c>
      <c r="P4" s="509">
        <v>842.33</v>
      </c>
      <c r="Q4" s="509">
        <v>842.33</v>
      </c>
      <c r="R4" s="509">
        <v>842.33</v>
      </c>
      <c r="S4" s="509">
        <v>842.33</v>
      </c>
      <c r="T4" s="509">
        <v>842.33</v>
      </c>
      <c r="U4" s="509">
        <v>842.33</v>
      </c>
      <c r="V4" s="509">
        <v>842.33</v>
      </c>
      <c r="W4" s="509">
        <v>842.33</v>
      </c>
      <c r="X4" s="509">
        <v>842.33</v>
      </c>
      <c r="Y4" s="509">
        <v>842.33</v>
      </c>
      <c r="Z4" s="509">
        <v>842.33</v>
      </c>
      <c r="AA4" s="509">
        <v>842.33</v>
      </c>
      <c r="AB4" s="509">
        <v>842.33</v>
      </c>
      <c r="AC4" s="509">
        <v>842.33</v>
      </c>
      <c r="AD4" s="509">
        <v>842.33</v>
      </c>
      <c r="AE4" s="509">
        <v>842.33</v>
      </c>
      <c r="AF4" s="509">
        <v>842.33</v>
      </c>
      <c r="AG4" s="509">
        <v>842.33</v>
      </c>
      <c r="AH4" s="509">
        <v>842.33</v>
      </c>
      <c r="AI4" s="509">
        <v>842.33</v>
      </c>
      <c r="AJ4" s="509">
        <v>842.33</v>
      </c>
      <c r="AK4" s="509">
        <v>842.33</v>
      </c>
      <c r="AL4" s="509">
        <v>842.33</v>
      </c>
      <c r="AM4" s="509">
        <v>842.33</v>
      </c>
      <c r="AN4" s="509">
        <v>842.33</v>
      </c>
      <c r="AO4" s="509">
        <v>842.33</v>
      </c>
      <c r="AP4" s="509">
        <v>842.33</v>
      </c>
    </row>
    <row r="5" spans="1:44">
      <c r="A5">
        <v>9</v>
      </c>
      <c r="B5" s="156" t="s">
        <v>372</v>
      </c>
      <c r="C5" s="156" t="s">
        <v>280</v>
      </c>
      <c r="D5" s="509">
        <v>842.33</v>
      </c>
      <c r="E5" s="509">
        <v>842.33</v>
      </c>
      <c r="F5" s="509">
        <v>842.33</v>
      </c>
      <c r="G5" s="509">
        <v>842.33</v>
      </c>
      <c r="H5" s="509">
        <v>842.33</v>
      </c>
      <c r="I5" s="509">
        <v>842.33</v>
      </c>
      <c r="J5" s="509">
        <v>842.33</v>
      </c>
      <c r="K5" s="509">
        <v>842.33</v>
      </c>
      <c r="L5" s="509">
        <v>842.33</v>
      </c>
      <c r="M5" s="509">
        <v>842.33</v>
      </c>
      <c r="N5" s="509">
        <v>842.33</v>
      </c>
      <c r="O5" s="509">
        <v>842.33</v>
      </c>
      <c r="P5" s="509">
        <v>842.33</v>
      </c>
      <c r="Q5" s="509">
        <v>842.33</v>
      </c>
      <c r="R5" s="509">
        <v>842.33</v>
      </c>
      <c r="S5" s="509">
        <v>842.33</v>
      </c>
      <c r="T5" s="509">
        <v>842.33</v>
      </c>
      <c r="U5" s="509">
        <v>842.33</v>
      </c>
      <c r="V5" s="509">
        <v>842.33</v>
      </c>
      <c r="W5" s="509">
        <v>842.33</v>
      </c>
      <c r="X5" s="509">
        <v>842.33</v>
      </c>
      <c r="Y5" s="509">
        <v>842.33</v>
      </c>
      <c r="Z5" s="509">
        <v>842.33</v>
      </c>
      <c r="AA5" s="509">
        <v>842.33</v>
      </c>
      <c r="AB5" s="509">
        <v>842.33</v>
      </c>
      <c r="AC5" s="509">
        <v>842.33</v>
      </c>
      <c r="AD5" s="509">
        <v>842.33</v>
      </c>
      <c r="AE5" s="509">
        <v>842.33</v>
      </c>
      <c r="AF5" s="509">
        <v>842.33</v>
      </c>
      <c r="AG5" s="509">
        <v>842.33</v>
      </c>
      <c r="AH5" s="509">
        <v>842.33</v>
      </c>
      <c r="AI5" s="509">
        <v>842.33</v>
      </c>
      <c r="AJ5" s="509">
        <v>842.33</v>
      </c>
      <c r="AK5" s="509">
        <v>842.33</v>
      </c>
      <c r="AL5" s="509">
        <v>842.33</v>
      </c>
      <c r="AM5" s="509">
        <v>842.33</v>
      </c>
      <c r="AN5" s="509">
        <v>842.33</v>
      </c>
      <c r="AO5" s="509">
        <v>842.33</v>
      </c>
      <c r="AP5" s="509">
        <v>842.33</v>
      </c>
    </row>
    <row r="6" spans="1:44">
      <c r="A6">
        <v>12</v>
      </c>
      <c r="B6" s="156" t="s">
        <v>286</v>
      </c>
      <c r="C6" s="156" t="s">
        <v>287</v>
      </c>
      <c r="D6" s="509">
        <v>728.87</v>
      </c>
      <c r="E6" s="509">
        <v>728.87</v>
      </c>
      <c r="F6" s="509">
        <v>728.87</v>
      </c>
      <c r="G6" s="509">
        <v>728.87</v>
      </c>
      <c r="H6" s="509">
        <v>728.87</v>
      </c>
      <c r="I6" s="509">
        <v>728.87</v>
      </c>
      <c r="J6" s="509">
        <v>728.87</v>
      </c>
      <c r="K6" s="509">
        <v>728.87</v>
      </c>
      <c r="L6" s="509">
        <v>728.87</v>
      </c>
      <c r="M6" s="509">
        <v>728.87</v>
      </c>
      <c r="N6" s="509">
        <v>728.87</v>
      </c>
      <c r="O6" s="509">
        <v>728.87</v>
      </c>
      <c r="P6" s="509">
        <v>728.87</v>
      </c>
      <c r="Q6" s="509">
        <v>728.87</v>
      </c>
      <c r="R6" s="509">
        <v>728.87</v>
      </c>
      <c r="S6" s="509">
        <v>728.87</v>
      </c>
      <c r="T6" s="509">
        <v>728.87</v>
      </c>
      <c r="U6" s="509">
        <v>728.87</v>
      </c>
      <c r="V6" s="509">
        <v>728.87</v>
      </c>
      <c r="W6" s="509">
        <v>728.87</v>
      </c>
      <c r="X6" s="509">
        <v>728.87</v>
      </c>
      <c r="Y6" s="509">
        <v>728.87</v>
      </c>
      <c r="Z6" s="509">
        <v>728.87</v>
      </c>
      <c r="AA6" s="509">
        <v>728.87</v>
      </c>
      <c r="AB6" s="509">
        <v>728.87</v>
      </c>
      <c r="AC6" s="509">
        <v>728.87</v>
      </c>
      <c r="AD6" s="509">
        <v>728.87</v>
      </c>
      <c r="AE6" s="509">
        <v>728.87</v>
      </c>
      <c r="AF6" s="509">
        <v>728.87</v>
      </c>
      <c r="AG6" s="509">
        <v>728.87</v>
      </c>
      <c r="AH6" s="509">
        <v>728.87</v>
      </c>
      <c r="AI6" s="509">
        <v>728.87</v>
      </c>
      <c r="AJ6" s="509">
        <v>728.87</v>
      </c>
      <c r="AK6" s="509">
        <v>728.87</v>
      </c>
      <c r="AL6" s="509">
        <v>728.87</v>
      </c>
      <c r="AM6" s="509">
        <v>728.87</v>
      </c>
      <c r="AN6" s="509">
        <v>728.87</v>
      </c>
      <c r="AO6" s="509">
        <v>728.87</v>
      </c>
      <c r="AP6" s="509">
        <v>728.87</v>
      </c>
      <c r="AR6" s="158" t="s">
        <v>2513</v>
      </c>
    </row>
    <row r="7" spans="1:44">
      <c r="A7">
        <v>13</v>
      </c>
      <c r="B7" s="156" t="s">
        <v>283</v>
      </c>
      <c r="C7" s="156" t="s">
        <v>214</v>
      </c>
      <c r="D7" s="509">
        <v>20.12</v>
      </c>
      <c r="E7" s="509">
        <v>20.12</v>
      </c>
      <c r="F7" s="509">
        <v>20.12</v>
      </c>
      <c r="G7" s="509">
        <v>20.12</v>
      </c>
      <c r="H7" s="509">
        <v>20.12</v>
      </c>
      <c r="I7" s="509">
        <v>20.12</v>
      </c>
      <c r="J7" s="509">
        <v>20.12</v>
      </c>
      <c r="K7" s="509">
        <v>20.12</v>
      </c>
      <c r="L7" s="509">
        <v>20.12</v>
      </c>
      <c r="M7" s="509">
        <v>20.12</v>
      </c>
      <c r="N7" s="509">
        <v>20.12</v>
      </c>
      <c r="O7" s="509">
        <v>20.12</v>
      </c>
      <c r="P7" s="509">
        <v>20.12</v>
      </c>
      <c r="Q7" s="509">
        <v>20.12</v>
      </c>
      <c r="R7" s="509">
        <v>20.12</v>
      </c>
      <c r="S7" s="509">
        <v>20.12</v>
      </c>
      <c r="T7" s="509">
        <v>20.12</v>
      </c>
      <c r="U7" s="509">
        <v>20.12</v>
      </c>
      <c r="V7" s="509">
        <v>20.12</v>
      </c>
      <c r="W7" s="509">
        <v>20.12</v>
      </c>
      <c r="X7" s="509">
        <v>20.12</v>
      </c>
      <c r="Y7" s="509">
        <v>20.12</v>
      </c>
      <c r="Z7" s="509">
        <v>20.12</v>
      </c>
      <c r="AA7" s="509">
        <v>20.12</v>
      </c>
      <c r="AB7" s="509">
        <v>20.12</v>
      </c>
      <c r="AC7" s="509">
        <v>20.12</v>
      </c>
      <c r="AD7" s="509">
        <v>20.12</v>
      </c>
      <c r="AE7" s="509">
        <v>20.12</v>
      </c>
      <c r="AF7" s="509">
        <v>20.12</v>
      </c>
      <c r="AG7" s="509">
        <v>20.12</v>
      </c>
      <c r="AH7" s="509">
        <v>20.12</v>
      </c>
      <c r="AI7" s="509">
        <v>20.12</v>
      </c>
      <c r="AJ7" s="509">
        <v>20.12</v>
      </c>
      <c r="AK7" s="509">
        <v>20.12</v>
      </c>
      <c r="AL7" s="509">
        <v>20.12</v>
      </c>
      <c r="AM7" s="509">
        <v>20.12</v>
      </c>
      <c r="AN7" s="509">
        <v>20.12</v>
      </c>
      <c r="AO7" s="509">
        <v>20.12</v>
      </c>
      <c r="AP7" s="509">
        <v>20.12</v>
      </c>
      <c r="AR7" s="158" t="s">
        <v>2512</v>
      </c>
    </row>
    <row r="8" spans="1:44">
      <c r="A8">
        <v>15</v>
      </c>
      <c r="B8" s="156" t="s">
        <v>330</v>
      </c>
      <c r="C8" s="156" t="s">
        <v>287</v>
      </c>
      <c r="D8" s="509">
        <v>257.29000000000002</v>
      </c>
      <c r="E8" s="509">
        <v>257.29000000000002</v>
      </c>
      <c r="F8" s="509">
        <v>257.29000000000002</v>
      </c>
      <c r="G8" s="509">
        <v>257.29000000000002</v>
      </c>
      <c r="H8" s="509">
        <v>257.29000000000002</v>
      </c>
      <c r="I8" s="509">
        <v>257.29000000000002</v>
      </c>
      <c r="J8" s="509">
        <v>257.29000000000002</v>
      </c>
      <c r="K8" s="509">
        <v>257.29000000000002</v>
      </c>
      <c r="L8" s="509">
        <v>257.29000000000002</v>
      </c>
      <c r="M8" s="509">
        <v>257.29000000000002</v>
      </c>
      <c r="N8" s="509">
        <v>257.29000000000002</v>
      </c>
      <c r="O8" s="509">
        <v>257.29000000000002</v>
      </c>
      <c r="P8" s="509">
        <v>257.29000000000002</v>
      </c>
      <c r="Q8" s="509">
        <v>257.29000000000002</v>
      </c>
      <c r="R8" s="509">
        <v>257.29000000000002</v>
      </c>
      <c r="S8" s="509">
        <v>257.29000000000002</v>
      </c>
      <c r="T8" s="509">
        <v>257.29000000000002</v>
      </c>
      <c r="U8" s="509">
        <v>257.29000000000002</v>
      </c>
      <c r="V8" s="509">
        <v>257.29000000000002</v>
      </c>
      <c r="W8" s="509">
        <v>257.29000000000002</v>
      </c>
      <c r="X8" s="509">
        <v>257.29000000000002</v>
      </c>
      <c r="Y8" s="509">
        <v>257.29000000000002</v>
      </c>
      <c r="Z8" s="509">
        <v>257.29000000000002</v>
      </c>
      <c r="AA8" s="509">
        <v>257.29000000000002</v>
      </c>
      <c r="AB8" s="509">
        <v>257.29000000000002</v>
      </c>
      <c r="AC8" s="509">
        <v>257.29000000000002</v>
      </c>
      <c r="AD8" s="509">
        <v>257.29000000000002</v>
      </c>
      <c r="AE8" s="509">
        <v>257.29000000000002</v>
      </c>
      <c r="AF8" s="509">
        <v>257.29000000000002</v>
      </c>
      <c r="AG8" s="509">
        <v>257.29000000000002</v>
      </c>
      <c r="AH8" s="509">
        <v>257.29000000000002</v>
      </c>
      <c r="AI8" s="509">
        <v>257.29000000000002</v>
      </c>
      <c r="AJ8" s="509">
        <v>257.29000000000002</v>
      </c>
      <c r="AK8" s="509">
        <v>257.29000000000002</v>
      </c>
      <c r="AL8" s="509">
        <v>257.29000000000002</v>
      </c>
      <c r="AM8" s="509">
        <v>257.29000000000002</v>
      </c>
      <c r="AN8" s="509">
        <v>257.29000000000002</v>
      </c>
      <c r="AO8" s="509">
        <v>257.29000000000002</v>
      </c>
      <c r="AP8" s="509">
        <v>257.29000000000002</v>
      </c>
      <c r="AR8" s="158" t="s">
        <v>2514</v>
      </c>
    </row>
    <row r="9" spans="1:44">
      <c r="A9">
        <v>21</v>
      </c>
      <c r="B9" s="156" t="s">
        <v>364</v>
      </c>
      <c r="C9" s="156" t="s">
        <v>287</v>
      </c>
      <c r="D9" s="509">
        <v>157.83000000000001</v>
      </c>
      <c r="E9" s="509">
        <v>157.83000000000001</v>
      </c>
      <c r="F9" s="509">
        <v>157.83000000000001</v>
      </c>
      <c r="G9" s="509">
        <v>157.83000000000001</v>
      </c>
      <c r="H9" s="509">
        <v>157.83000000000001</v>
      </c>
      <c r="I9" s="509">
        <v>157.83000000000001</v>
      </c>
      <c r="J9" s="509">
        <v>157.83000000000001</v>
      </c>
      <c r="K9" s="509">
        <v>157.83000000000001</v>
      </c>
      <c r="L9" s="509">
        <v>157.83000000000001</v>
      </c>
      <c r="M9" s="509">
        <v>157.83000000000001</v>
      </c>
      <c r="N9" s="509">
        <v>157.83000000000001</v>
      </c>
      <c r="O9" s="509">
        <v>157.83000000000001</v>
      </c>
      <c r="P9" s="509">
        <v>157.83000000000001</v>
      </c>
      <c r="Q9" s="509">
        <v>157.83000000000001</v>
      </c>
      <c r="R9" s="509">
        <v>157.83000000000001</v>
      </c>
      <c r="S9" s="509">
        <v>157.83000000000001</v>
      </c>
      <c r="T9" s="509">
        <v>157.83000000000001</v>
      </c>
      <c r="U9" s="509">
        <v>157.83000000000001</v>
      </c>
      <c r="V9" s="509">
        <v>157.83000000000001</v>
      </c>
      <c r="W9" s="509">
        <v>157.83000000000001</v>
      </c>
      <c r="X9" s="509">
        <v>157.83000000000001</v>
      </c>
      <c r="Y9" s="509">
        <v>157.83000000000001</v>
      </c>
      <c r="Z9" s="509">
        <v>157.83000000000001</v>
      </c>
      <c r="AA9" s="509">
        <v>157.83000000000001</v>
      </c>
      <c r="AB9" s="509">
        <v>157.83000000000001</v>
      </c>
      <c r="AC9" s="509">
        <v>157.83000000000001</v>
      </c>
      <c r="AD9" s="509">
        <v>157.83000000000001</v>
      </c>
      <c r="AE9" s="509">
        <v>157.83000000000001</v>
      </c>
      <c r="AF9" s="509">
        <v>157.83000000000001</v>
      </c>
      <c r="AG9" s="509">
        <v>157.83000000000001</v>
      </c>
      <c r="AH9" s="509">
        <v>157.83000000000001</v>
      </c>
      <c r="AI9" s="509">
        <v>157.83000000000001</v>
      </c>
      <c r="AJ9" s="509">
        <v>157.83000000000001</v>
      </c>
      <c r="AK9" s="509">
        <v>157.83000000000001</v>
      </c>
      <c r="AL9" s="509">
        <v>157.83000000000001</v>
      </c>
      <c r="AM9" s="509">
        <v>157.83000000000001</v>
      </c>
      <c r="AN9" s="509">
        <v>157.83000000000001</v>
      </c>
      <c r="AO9" s="509">
        <v>157.83000000000001</v>
      </c>
      <c r="AP9" s="509">
        <v>157.83000000000001</v>
      </c>
      <c r="AR9" s="158" t="s">
        <v>287</v>
      </c>
    </row>
    <row r="10" spans="1:44">
      <c r="A10">
        <v>22</v>
      </c>
      <c r="B10" s="156" t="s">
        <v>353</v>
      </c>
      <c r="C10" s="156" t="s">
        <v>298</v>
      </c>
      <c r="D10" s="509">
        <v>115.9</v>
      </c>
      <c r="E10" s="509">
        <v>115.9</v>
      </c>
      <c r="F10" s="509">
        <v>115.9</v>
      </c>
      <c r="G10" s="509">
        <v>115.9</v>
      </c>
      <c r="H10" s="509">
        <v>115.9</v>
      </c>
      <c r="I10" s="509">
        <v>115.9</v>
      </c>
      <c r="J10" s="509">
        <v>115.9</v>
      </c>
      <c r="K10" s="509">
        <v>115.9</v>
      </c>
      <c r="L10" s="509">
        <v>115.9</v>
      </c>
      <c r="M10" s="509">
        <v>115.9</v>
      </c>
      <c r="N10" s="509">
        <v>115.9</v>
      </c>
      <c r="O10" s="509">
        <v>115.9</v>
      </c>
      <c r="P10" s="509">
        <v>115.9</v>
      </c>
      <c r="Q10" s="509">
        <v>115.9</v>
      </c>
      <c r="R10" s="509">
        <v>115.9</v>
      </c>
      <c r="S10" s="509">
        <v>115.9</v>
      </c>
      <c r="T10" s="509">
        <v>115.9</v>
      </c>
      <c r="U10" s="509">
        <v>115.9</v>
      </c>
      <c r="V10" s="509">
        <v>115.9</v>
      </c>
      <c r="W10" s="509">
        <v>115.9</v>
      </c>
      <c r="X10" s="509">
        <v>115.9</v>
      </c>
      <c r="Y10" s="509">
        <v>115.9</v>
      </c>
      <c r="Z10" s="509">
        <v>115.9</v>
      </c>
      <c r="AA10" s="509">
        <v>115.9</v>
      </c>
      <c r="AB10" s="509">
        <v>115.9</v>
      </c>
      <c r="AC10" s="509">
        <v>115.9</v>
      </c>
      <c r="AD10" s="509">
        <v>115.9</v>
      </c>
      <c r="AE10" s="509">
        <v>115.9</v>
      </c>
      <c r="AF10" s="509">
        <v>115.9</v>
      </c>
      <c r="AG10" s="509">
        <v>115.9</v>
      </c>
      <c r="AH10" s="509">
        <v>115.9</v>
      </c>
      <c r="AI10" s="509">
        <v>115.9</v>
      </c>
      <c r="AJ10" s="509">
        <v>115.9</v>
      </c>
      <c r="AK10" s="509">
        <v>115.9</v>
      </c>
      <c r="AL10" s="509">
        <v>115.9</v>
      </c>
      <c r="AM10" s="509">
        <v>115.9</v>
      </c>
      <c r="AN10" s="509">
        <v>115.9</v>
      </c>
      <c r="AO10" s="509">
        <v>115.9</v>
      </c>
      <c r="AP10" s="509">
        <v>115.9</v>
      </c>
    </row>
    <row r="11" spans="1:44">
      <c r="A11">
        <v>23</v>
      </c>
      <c r="B11" s="156" t="s">
        <v>354</v>
      </c>
      <c r="C11" s="156" t="s">
        <v>298</v>
      </c>
      <c r="D11" s="509">
        <v>115.9</v>
      </c>
      <c r="E11" s="509">
        <v>115.9</v>
      </c>
      <c r="F11" s="509">
        <v>115.9</v>
      </c>
      <c r="G11" s="509">
        <v>115.9</v>
      </c>
      <c r="H11" s="509">
        <v>115.9</v>
      </c>
      <c r="I11" s="509">
        <v>115.9</v>
      </c>
      <c r="J11" s="509">
        <v>115.9</v>
      </c>
      <c r="K11" s="509">
        <v>115.9</v>
      </c>
      <c r="L11" s="509">
        <v>115.9</v>
      </c>
      <c r="M11" s="509">
        <v>115.9</v>
      </c>
      <c r="N11" s="509">
        <v>115.9</v>
      </c>
      <c r="O11" s="509">
        <v>115.9</v>
      </c>
      <c r="P11" s="509">
        <v>115.9</v>
      </c>
      <c r="Q11" s="509">
        <v>115.9</v>
      </c>
      <c r="R11" s="509">
        <v>115.9</v>
      </c>
      <c r="S11" s="509">
        <v>115.9</v>
      </c>
      <c r="T11" s="509">
        <v>115.9</v>
      </c>
      <c r="U11" s="509">
        <v>115.9</v>
      </c>
      <c r="V11" s="509">
        <v>115.9</v>
      </c>
      <c r="W11" s="509">
        <v>115.9</v>
      </c>
      <c r="X11" s="509">
        <v>115.9</v>
      </c>
      <c r="Y11" s="509">
        <v>115.9</v>
      </c>
      <c r="Z11" s="509">
        <v>115.9</v>
      </c>
      <c r="AA11" s="509">
        <v>115.9</v>
      </c>
      <c r="AB11" s="509">
        <v>115.9</v>
      </c>
      <c r="AC11" s="509">
        <v>115.9</v>
      </c>
      <c r="AD11" s="509">
        <v>115.9</v>
      </c>
      <c r="AE11" s="509">
        <v>115.9</v>
      </c>
      <c r="AF11" s="509">
        <v>115.9</v>
      </c>
      <c r="AG11" s="509">
        <v>115.9</v>
      </c>
      <c r="AH11" s="509">
        <v>115.9</v>
      </c>
      <c r="AI11" s="509">
        <v>115.9</v>
      </c>
      <c r="AJ11" s="509">
        <v>115.9</v>
      </c>
      <c r="AK11" s="509">
        <v>115.9</v>
      </c>
      <c r="AL11" s="509">
        <v>115.9</v>
      </c>
      <c r="AM11" s="509">
        <v>115.9</v>
      </c>
      <c r="AN11" s="509">
        <v>115.9</v>
      </c>
      <c r="AO11" s="509">
        <v>115.9</v>
      </c>
      <c r="AP11" s="509">
        <v>115.9</v>
      </c>
    </row>
    <row r="12" spans="1:44">
      <c r="A12">
        <v>24</v>
      </c>
      <c r="B12" s="156" t="s">
        <v>327</v>
      </c>
      <c r="C12" s="156" t="s">
        <v>298</v>
      </c>
      <c r="D12" s="509">
        <v>155.85</v>
      </c>
      <c r="E12" s="509">
        <v>155.85</v>
      </c>
      <c r="F12" s="509">
        <v>155.85</v>
      </c>
      <c r="G12" s="509">
        <v>155.85</v>
      </c>
      <c r="H12" s="509">
        <v>155.85</v>
      </c>
      <c r="I12" s="509">
        <v>155.85</v>
      </c>
      <c r="J12" s="509">
        <v>155.85</v>
      </c>
      <c r="K12" s="509">
        <v>155.85</v>
      </c>
      <c r="L12" s="509">
        <v>155.85</v>
      </c>
      <c r="M12" s="509">
        <v>155.85</v>
      </c>
      <c r="N12" s="509">
        <v>155.85</v>
      </c>
      <c r="O12" s="509">
        <v>155.85</v>
      </c>
      <c r="P12" s="509">
        <v>155.85</v>
      </c>
      <c r="Q12" s="509">
        <v>155.85</v>
      </c>
      <c r="R12" s="509">
        <v>155.85</v>
      </c>
      <c r="S12" s="509">
        <v>155.85</v>
      </c>
      <c r="T12" s="509">
        <v>155.85</v>
      </c>
      <c r="U12" s="509">
        <v>155.85</v>
      </c>
      <c r="V12" s="509">
        <v>155.85</v>
      </c>
      <c r="W12" s="509">
        <v>155.85</v>
      </c>
      <c r="X12" s="509">
        <v>155.85</v>
      </c>
      <c r="Y12" s="509">
        <v>155.85</v>
      </c>
      <c r="Z12" s="509">
        <v>155.85</v>
      </c>
      <c r="AA12" s="509">
        <v>155.85</v>
      </c>
      <c r="AB12" s="509">
        <v>155.85</v>
      </c>
      <c r="AC12" s="509">
        <v>155.85</v>
      </c>
      <c r="AD12" s="509">
        <v>155.85</v>
      </c>
      <c r="AE12" s="509">
        <v>155.85</v>
      </c>
      <c r="AF12" s="509">
        <v>155.85</v>
      </c>
      <c r="AG12" s="509">
        <v>155.85</v>
      </c>
      <c r="AH12" s="509">
        <v>155.85</v>
      </c>
      <c r="AI12" s="509">
        <v>155.85</v>
      </c>
      <c r="AJ12" s="509">
        <v>155.85</v>
      </c>
      <c r="AK12" s="509">
        <v>155.85</v>
      </c>
      <c r="AL12" s="509">
        <v>155.85</v>
      </c>
      <c r="AM12" s="509">
        <v>155.85</v>
      </c>
      <c r="AN12" s="509">
        <v>155.85</v>
      </c>
      <c r="AO12" s="509">
        <v>155.85</v>
      </c>
      <c r="AP12" s="509">
        <v>155.85</v>
      </c>
      <c r="AR12" s="158" t="s">
        <v>2512</v>
      </c>
    </row>
    <row r="13" spans="1:44">
      <c r="A13">
        <v>25</v>
      </c>
      <c r="B13" s="156" t="s">
        <v>326</v>
      </c>
      <c r="C13" s="156" t="s">
        <v>298</v>
      </c>
      <c r="D13" s="509">
        <v>186.33</v>
      </c>
      <c r="E13" s="509">
        <v>186.33</v>
      </c>
      <c r="F13" s="509">
        <v>186.33</v>
      </c>
      <c r="G13" s="509">
        <v>186.33</v>
      </c>
      <c r="H13" s="509">
        <v>186.33</v>
      </c>
      <c r="I13" s="509">
        <v>186.33</v>
      </c>
      <c r="J13" s="509">
        <v>186.33</v>
      </c>
      <c r="K13" s="509">
        <v>186.33</v>
      </c>
      <c r="L13" s="509">
        <v>186.33</v>
      </c>
      <c r="M13" s="509">
        <v>186.33</v>
      </c>
      <c r="N13" s="509">
        <v>186.33</v>
      </c>
      <c r="O13" s="509">
        <v>186.33</v>
      </c>
      <c r="P13" s="509">
        <v>186.33</v>
      </c>
      <c r="Q13" s="509">
        <v>186.33</v>
      </c>
      <c r="R13" s="509">
        <v>186.33</v>
      </c>
      <c r="S13" s="509">
        <v>186.33</v>
      </c>
      <c r="T13" s="509">
        <v>186.33</v>
      </c>
      <c r="U13" s="509">
        <v>186.33</v>
      </c>
      <c r="V13" s="509">
        <v>186.33</v>
      </c>
      <c r="W13" s="509">
        <v>186.33</v>
      </c>
      <c r="X13" s="509">
        <v>186.33</v>
      </c>
      <c r="Y13" s="509">
        <v>186.33</v>
      </c>
      <c r="Z13" s="509">
        <v>186.33</v>
      </c>
      <c r="AA13" s="509">
        <v>186.33</v>
      </c>
      <c r="AB13" s="509">
        <v>186.33</v>
      </c>
      <c r="AC13" s="509">
        <v>186.33</v>
      </c>
      <c r="AD13" s="509">
        <v>186.33</v>
      </c>
      <c r="AE13" s="509">
        <v>186.33</v>
      </c>
      <c r="AF13" s="509">
        <v>186.33</v>
      </c>
      <c r="AG13" s="509">
        <v>186.33</v>
      </c>
      <c r="AH13" s="509">
        <v>186.33</v>
      </c>
      <c r="AI13" s="509">
        <v>186.33</v>
      </c>
      <c r="AJ13" s="509">
        <v>186.33</v>
      </c>
      <c r="AK13" s="509">
        <v>186.33</v>
      </c>
      <c r="AL13" s="509">
        <v>186.33</v>
      </c>
      <c r="AM13" s="509">
        <v>186.33</v>
      </c>
      <c r="AN13" s="509">
        <v>186.33</v>
      </c>
      <c r="AO13" s="509">
        <v>186.33</v>
      </c>
      <c r="AP13" s="509">
        <v>186.33</v>
      </c>
      <c r="AR13" s="158" t="s">
        <v>2512</v>
      </c>
    </row>
    <row r="14" spans="1:44">
      <c r="A14">
        <v>26</v>
      </c>
      <c r="B14" s="156" t="s">
        <v>324</v>
      </c>
      <c r="C14" s="156" t="s">
        <v>298</v>
      </c>
      <c r="D14" s="509">
        <v>258.42</v>
      </c>
      <c r="E14" s="509">
        <v>258.42</v>
      </c>
      <c r="F14" s="509">
        <v>258.42</v>
      </c>
      <c r="G14" s="509">
        <v>258.42</v>
      </c>
      <c r="H14" s="509">
        <v>258.42</v>
      </c>
      <c r="I14" s="509">
        <v>258.42</v>
      </c>
      <c r="J14" s="509">
        <v>258.42</v>
      </c>
      <c r="K14" s="509">
        <v>258.42</v>
      </c>
      <c r="L14" s="509">
        <v>258.42</v>
      </c>
      <c r="M14" s="509">
        <v>258.42</v>
      </c>
      <c r="N14" s="509">
        <v>258.42</v>
      </c>
      <c r="O14" s="509">
        <v>258.42</v>
      </c>
      <c r="P14" s="509">
        <v>258.42</v>
      </c>
      <c r="Q14" s="509">
        <v>258.42</v>
      </c>
      <c r="R14" s="509">
        <v>258.42</v>
      </c>
      <c r="S14" s="509">
        <v>258.42</v>
      </c>
      <c r="T14" s="509">
        <v>258.42</v>
      </c>
      <c r="U14" s="509">
        <v>258.42</v>
      </c>
      <c r="V14" s="509">
        <v>258.42</v>
      </c>
      <c r="W14" s="509">
        <v>258.42</v>
      </c>
      <c r="X14" s="509">
        <v>258.42</v>
      </c>
      <c r="Y14" s="509">
        <v>258.42</v>
      </c>
      <c r="Z14" s="509">
        <v>258.42</v>
      </c>
      <c r="AA14" s="509">
        <v>258.42</v>
      </c>
      <c r="AB14" s="509">
        <v>258.42</v>
      </c>
      <c r="AC14" s="509">
        <v>258.42</v>
      </c>
      <c r="AD14" s="509">
        <v>258.42</v>
      </c>
      <c r="AE14" s="509">
        <v>258.42</v>
      </c>
      <c r="AF14" s="509">
        <v>258.42</v>
      </c>
      <c r="AG14" s="509">
        <v>258.42</v>
      </c>
      <c r="AH14" s="509">
        <v>258.42</v>
      </c>
      <c r="AI14" s="509">
        <v>258.42</v>
      </c>
      <c r="AJ14" s="509">
        <v>258.42</v>
      </c>
      <c r="AK14" s="509">
        <v>258.42</v>
      </c>
      <c r="AL14" s="509">
        <v>258.42</v>
      </c>
      <c r="AM14" s="509">
        <v>258.42</v>
      </c>
      <c r="AN14" s="509">
        <v>258.42</v>
      </c>
      <c r="AO14" s="509">
        <v>258.42</v>
      </c>
      <c r="AP14" s="509">
        <v>258.42</v>
      </c>
      <c r="AR14" s="158" t="s">
        <v>287</v>
      </c>
    </row>
    <row r="15" spans="1:44">
      <c r="A15">
        <v>27</v>
      </c>
      <c r="B15" s="156" t="s">
        <v>325</v>
      </c>
      <c r="C15" s="156" t="s">
        <v>298</v>
      </c>
      <c r="D15" s="509">
        <v>195.49</v>
      </c>
      <c r="E15" s="509">
        <v>195.49</v>
      </c>
      <c r="F15" s="509">
        <v>195.49</v>
      </c>
      <c r="G15" s="509">
        <v>195.49</v>
      </c>
      <c r="H15" s="509">
        <v>195.49</v>
      </c>
      <c r="I15" s="509">
        <v>195.49</v>
      </c>
      <c r="J15" s="509">
        <v>195.49</v>
      </c>
      <c r="K15" s="509">
        <v>195.49</v>
      </c>
      <c r="L15" s="509">
        <v>195.49</v>
      </c>
      <c r="M15" s="509">
        <v>195.49</v>
      </c>
      <c r="N15" s="509">
        <v>195.49</v>
      </c>
      <c r="O15" s="509">
        <v>195.49</v>
      </c>
      <c r="P15" s="509">
        <v>195.49</v>
      </c>
      <c r="Q15" s="509">
        <v>195.49</v>
      </c>
      <c r="R15" s="509">
        <v>195.49</v>
      </c>
      <c r="S15" s="509">
        <v>195.49</v>
      </c>
      <c r="T15" s="509">
        <v>195.49</v>
      </c>
      <c r="U15" s="509">
        <v>195.49</v>
      </c>
      <c r="V15" s="509">
        <v>195.49</v>
      </c>
      <c r="W15" s="509">
        <v>195.49</v>
      </c>
      <c r="X15" s="509">
        <v>195.49</v>
      </c>
      <c r="Y15" s="509">
        <v>195.49</v>
      </c>
      <c r="Z15" s="509">
        <v>195.49</v>
      </c>
      <c r="AA15" s="509">
        <v>195.49</v>
      </c>
      <c r="AB15" s="509">
        <v>195.49</v>
      </c>
      <c r="AC15" s="509">
        <v>195.49</v>
      </c>
      <c r="AD15" s="509">
        <v>195.49</v>
      </c>
      <c r="AE15" s="509">
        <v>195.49</v>
      </c>
      <c r="AF15" s="509">
        <v>195.49</v>
      </c>
      <c r="AG15" s="509">
        <v>195.49</v>
      </c>
      <c r="AH15" s="509">
        <v>195.49</v>
      </c>
      <c r="AI15" s="509">
        <v>195.49</v>
      </c>
      <c r="AJ15" s="509">
        <v>195.49</v>
      </c>
      <c r="AK15" s="509">
        <v>195.49</v>
      </c>
      <c r="AL15" s="509">
        <v>195.49</v>
      </c>
      <c r="AM15" s="509">
        <v>195.49</v>
      </c>
      <c r="AN15" s="509">
        <v>195.49</v>
      </c>
      <c r="AO15" s="509">
        <v>195.49</v>
      </c>
      <c r="AP15" s="509">
        <v>195.49</v>
      </c>
      <c r="AR15" s="158" t="s">
        <v>2512</v>
      </c>
    </row>
    <row r="16" spans="1:44">
      <c r="A16">
        <v>28</v>
      </c>
      <c r="B16" s="156" t="s">
        <v>311</v>
      </c>
      <c r="C16" s="156" t="s">
        <v>298</v>
      </c>
      <c r="D16" s="509">
        <v>459.92</v>
      </c>
      <c r="E16" s="509">
        <v>459.92</v>
      </c>
      <c r="F16" s="509">
        <v>459.92</v>
      </c>
      <c r="G16" s="509">
        <v>459.92</v>
      </c>
      <c r="H16" s="509">
        <v>459.92</v>
      </c>
      <c r="I16" s="509">
        <v>459.92</v>
      </c>
      <c r="J16" s="509">
        <v>459.92</v>
      </c>
      <c r="K16" s="509">
        <v>459.92</v>
      </c>
      <c r="L16" s="509">
        <v>459.92</v>
      </c>
      <c r="M16" s="509">
        <v>459.92</v>
      </c>
      <c r="N16" s="509">
        <v>459.92</v>
      </c>
      <c r="O16" s="509">
        <v>459.92</v>
      </c>
      <c r="P16" s="509">
        <v>459.92</v>
      </c>
      <c r="Q16" s="509">
        <v>459.92</v>
      </c>
      <c r="R16" s="509">
        <v>459.92</v>
      </c>
      <c r="S16" s="509">
        <v>459.92</v>
      </c>
      <c r="T16" s="509">
        <v>459.92</v>
      </c>
      <c r="U16" s="509">
        <v>459.92</v>
      </c>
      <c r="V16" s="509">
        <v>459.92</v>
      </c>
      <c r="W16" s="509">
        <v>459.92</v>
      </c>
      <c r="X16" s="509">
        <v>459.92</v>
      </c>
      <c r="Y16" s="509">
        <v>459.92</v>
      </c>
      <c r="Z16" s="509">
        <v>459.92</v>
      </c>
      <c r="AA16" s="509">
        <v>459.92</v>
      </c>
      <c r="AB16" s="509">
        <v>459.92</v>
      </c>
      <c r="AC16" s="509">
        <v>459.92</v>
      </c>
      <c r="AD16" s="509">
        <v>459.92</v>
      </c>
      <c r="AE16" s="509">
        <v>459.92</v>
      </c>
      <c r="AF16" s="509">
        <v>459.92</v>
      </c>
      <c r="AG16" s="509">
        <v>459.92</v>
      </c>
      <c r="AH16" s="509">
        <v>459.92</v>
      </c>
      <c r="AI16" s="509">
        <v>459.92</v>
      </c>
      <c r="AJ16" s="509">
        <v>459.92</v>
      </c>
      <c r="AK16" s="509">
        <v>459.92</v>
      </c>
      <c r="AL16" s="509">
        <v>459.92</v>
      </c>
      <c r="AM16" s="509">
        <v>459.92</v>
      </c>
      <c r="AN16" s="509">
        <v>459.92</v>
      </c>
      <c r="AO16" s="509">
        <v>459.92</v>
      </c>
      <c r="AP16" s="509">
        <v>459.92</v>
      </c>
      <c r="AR16" s="158" t="s">
        <v>287</v>
      </c>
    </row>
    <row r="17" spans="1:44">
      <c r="A17">
        <v>32</v>
      </c>
      <c r="B17" s="156" t="s">
        <v>373</v>
      </c>
      <c r="C17" s="156" t="s">
        <v>298</v>
      </c>
      <c r="D17" s="509">
        <v>248.31</v>
      </c>
      <c r="E17" s="509">
        <v>248.31</v>
      </c>
      <c r="F17" s="509">
        <v>248.31</v>
      </c>
      <c r="G17" s="509">
        <v>248.31</v>
      </c>
      <c r="H17" s="509">
        <v>248.31</v>
      </c>
      <c r="I17" s="509">
        <v>248.31</v>
      </c>
      <c r="J17" s="509">
        <v>248.31</v>
      </c>
      <c r="K17" s="509">
        <v>248.31</v>
      </c>
      <c r="L17" s="509">
        <v>248.31</v>
      </c>
      <c r="M17" s="509">
        <v>248.31</v>
      </c>
      <c r="N17" s="509">
        <v>248.31</v>
      </c>
      <c r="O17" s="509">
        <v>248.31</v>
      </c>
      <c r="P17" s="509">
        <v>248.31</v>
      </c>
      <c r="Q17" s="509">
        <v>248.31</v>
      </c>
      <c r="R17" s="509">
        <v>248.31</v>
      </c>
      <c r="S17" s="509">
        <v>248.31</v>
      </c>
      <c r="T17" s="509">
        <v>248.31</v>
      </c>
      <c r="U17" s="509">
        <v>248.31</v>
      </c>
      <c r="V17" s="509">
        <v>248.31</v>
      </c>
      <c r="W17" s="509">
        <v>248.31</v>
      </c>
      <c r="X17" s="509">
        <v>248.31</v>
      </c>
      <c r="Y17" s="509">
        <v>248.31</v>
      </c>
      <c r="Z17" s="509">
        <v>248.31</v>
      </c>
      <c r="AA17" s="509">
        <v>248.31</v>
      </c>
      <c r="AB17" s="509">
        <v>248.31</v>
      </c>
      <c r="AC17" s="509">
        <v>248.31</v>
      </c>
      <c r="AD17" s="509">
        <v>248.31</v>
      </c>
      <c r="AE17" s="509">
        <v>248.31</v>
      </c>
      <c r="AF17" s="509">
        <v>248.31</v>
      </c>
      <c r="AG17" s="509">
        <v>248.31</v>
      </c>
      <c r="AH17" s="509">
        <v>248.31</v>
      </c>
      <c r="AI17" s="509">
        <v>248.31</v>
      </c>
      <c r="AJ17" s="509">
        <v>248.31</v>
      </c>
      <c r="AK17" s="509">
        <v>248.31</v>
      </c>
      <c r="AL17" s="509">
        <v>248.31</v>
      </c>
      <c r="AM17" s="509">
        <v>248.31</v>
      </c>
      <c r="AN17" s="509">
        <v>248.31</v>
      </c>
      <c r="AO17" s="509">
        <v>248.31</v>
      </c>
      <c r="AP17" s="509">
        <v>248.31</v>
      </c>
    </row>
    <row r="18" spans="1:44">
      <c r="A18">
        <v>34</v>
      </c>
      <c r="B18" s="156" t="s">
        <v>336</v>
      </c>
      <c r="C18" s="156" t="s">
        <v>287</v>
      </c>
      <c r="D18" s="509">
        <v>423.38</v>
      </c>
      <c r="E18" s="509">
        <v>423.38</v>
      </c>
      <c r="F18" s="509">
        <v>423.38</v>
      </c>
      <c r="G18" s="509">
        <v>423.38</v>
      </c>
      <c r="H18" s="509">
        <v>423.38</v>
      </c>
      <c r="I18" s="509">
        <v>423.38</v>
      </c>
      <c r="J18" s="509">
        <v>423.38</v>
      </c>
      <c r="K18" s="509">
        <v>423.38</v>
      </c>
      <c r="L18" s="509">
        <v>423.38</v>
      </c>
      <c r="M18" s="509">
        <v>423.38</v>
      </c>
      <c r="N18" s="509">
        <v>423.38</v>
      </c>
      <c r="O18" s="509">
        <v>423.38</v>
      </c>
      <c r="P18" s="509">
        <v>423.38</v>
      </c>
      <c r="Q18" s="509">
        <v>423.38</v>
      </c>
      <c r="R18" s="509">
        <v>423.38</v>
      </c>
      <c r="S18" s="509">
        <v>423.38</v>
      </c>
      <c r="T18" s="509">
        <v>423.38</v>
      </c>
      <c r="U18" s="509">
        <v>423.38</v>
      </c>
      <c r="V18" s="509">
        <v>423.38</v>
      </c>
      <c r="W18" s="509">
        <v>423.38</v>
      </c>
      <c r="X18" s="509">
        <v>423.38</v>
      </c>
      <c r="Y18" s="509">
        <v>423.38</v>
      </c>
      <c r="Z18" s="509">
        <v>423.38</v>
      </c>
      <c r="AA18" s="509">
        <v>423.38</v>
      </c>
      <c r="AB18" s="509">
        <v>423.38</v>
      </c>
      <c r="AC18" s="509">
        <v>423.38</v>
      </c>
      <c r="AD18" s="509">
        <v>423.38</v>
      </c>
      <c r="AE18" s="509">
        <v>423.38</v>
      </c>
      <c r="AF18" s="509">
        <v>423.38</v>
      </c>
      <c r="AG18" s="509">
        <v>423.38</v>
      </c>
      <c r="AH18" s="509">
        <v>423.38</v>
      </c>
      <c r="AI18" s="509">
        <v>423.38</v>
      </c>
      <c r="AJ18" s="509">
        <v>423.38</v>
      </c>
      <c r="AK18" s="509">
        <v>423.38</v>
      </c>
      <c r="AL18" s="509">
        <v>423.38</v>
      </c>
      <c r="AM18" s="509">
        <v>423.38</v>
      </c>
      <c r="AN18" s="509">
        <v>423.38</v>
      </c>
      <c r="AO18" s="509">
        <v>423.38</v>
      </c>
      <c r="AP18" s="509">
        <v>423.38</v>
      </c>
    </row>
    <row r="19" spans="1:44">
      <c r="A19">
        <v>35</v>
      </c>
      <c r="B19" s="156" t="s">
        <v>362</v>
      </c>
      <c r="C19" s="156" t="s">
        <v>287</v>
      </c>
      <c r="D19" s="509">
        <v>692.45</v>
      </c>
      <c r="E19" s="509">
        <v>692.45</v>
      </c>
      <c r="F19" s="509">
        <v>692.45</v>
      </c>
      <c r="G19" s="509">
        <v>692.45</v>
      </c>
      <c r="H19" s="509">
        <v>692.45</v>
      </c>
      <c r="I19" s="509">
        <v>692.45</v>
      </c>
      <c r="J19" s="509">
        <v>692.45</v>
      </c>
      <c r="K19" s="509">
        <v>692.45</v>
      </c>
      <c r="L19" s="509">
        <v>692.45</v>
      </c>
      <c r="M19" s="509">
        <v>692.45</v>
      </c>
      <c r="N19" s="509">
        <v>692.45</v>
      </c>
      <c r="O19" s="509">
        <v>692.45</v>
      </c>
      <c r="P19" s="509">
        <v>692.45</v>
      </c>
      <c r="Q19" s="509">
        <v>692.45</v>
      </c>
      <c r="R19" s="509">
        <v>692.45</v>
      </c>
      <c r="S19" s="509">
        <v>692.45</v>
      </c>
      <c r="T19" s="509">
        <v>692.45</v>
      </c>
      <c r="U19" s="509">
        <v>692.45</v>
      </c>
      <c r="V19" s="509">
        <v>692.45</v>
      </c>
      <c r="W19" s="509">
        <v>692.45</v>
      </c>
      <c r="X19" s="509">
        <v>692.45</v>
      </c>
      <c r="Y19" s="509">
        <v>692.45</v>
      </c>
      <c r="Z19" s="509">
        <v>692.45</v>
      </c>
      <c r="AA19" s="509">
        <v>692.45</v>
      </c>
      <c r="AB19" s="509">
        <v>692.45</v>
      </c>
      <c r="AC19" s="509">
        <v>692.45</v>
      </c>
      <c r="AD19" s="509">
        <v>692.45</v>
      </c>
      <c r="AE19" s="509">
        <v>692.45</v>
      </c>
      <c r="AF19" s="509">
        <v>692.45</v>
      </c>
      <c r="AG19" s="509">
        <v>692.45</v>
      </c>
      <c r="AH19" s="509">
        <v>692.45</v>
      </c>
      <c r="AI19" s="509">
        <v>692.45</v>
      </c>
      <c r="AJ19" s="509">
        <v>692.45</v>
      </c>
      <c r="AK19" s="509">
        <v>692.45</v>
      </c>
      <c r="AL19" s="509">
        <v>692.45</v>
      </c>
      <c r="AM19" s="509">
        <v>692.45</v>
      </c>
      <c r="AN19" s="509">
        <v>692.45</v>
      </c>
      <c r="AO19" s="509">
        <v>692.45</v>
      </c>
      <c r="AP19" s="509">
        <v>692.45</v>
      </c>
    </row>
    <row r="20" spans="1:44">
      <c r="A20">
        <v>36</v>
      </c>
      <c r="B20" s="156" t="s">
        <v>363</v>
      </c>
      <c r="C20" s="156" t="s">
        <v>287</v>
      </c>
      <c r="D20" s="509">
        <v>157.83000000000001</v>
      </c>
      <c r="E20" s="509">
        <v>157.83000000000001</v>
      </c>
      <c r="F20" s="509">
        <v>157.83000000000001</v>
      </c>
      <c r="G20" s="509">
        <v>157.83000000000001</v>
      </c>
      <c r="H20" s="509">
        <v>157.83000000000001</v>
      </c>
      <c r="I20" s="509">
        <v>157.83000000000001</v>
      </c>
      <c r="J20" s="509">
        <v>157.83000000000001</v>
      </c>
      <c r="K20" s="509">
        <v>157.83000000000001</v>
      </c>
      <c r="L20" s="509">
        <v>157.83000000000001</v>
      </c>
      <c r="M20" s="509">
        <v>157.83000000000001</v>
      </c>
      <c r="N20" s="509">
        <v>157.83000000000001</v>
      </c>
      <c r="O20" s="509">
        <v>157.83000000000001</v>
      </c>
      <c r="P20" s="509">
        <v>157.83000000000001</v>
      </c>
      <c r="Q20" s="509">
        <v>157.83000000000001</v>
      </c>
      <c r="R20" s="509">
        <v>157.83000000000001</v>
      </c>
      <c r="S20" s="509">
        <v>157.83000000000001</v>
      </c>
      <c r="T20" s="509">
        <v>157.83000000000001</v>
      </c>
      <c r="U20" s="509">
        <v>157.83000000000001</v>
      </c>
      <c r="V20" s="509">
        <v>157.83000000000001</v>
      </c>
      <c r="W20" s="509">
        <v>157.83000000000001</v>
      </c>
      <c r="X20" s="509">
        <v>157.83000000000001</v>
      </c>
      <c r="Y20" s="509">
        <v>157.83000000000001</v>
      </c>
      <c r="Z20" s="509">
        <v>157.83000000000001</v>
      </c>
      <c r="AA20" s="509">
        <v>157.83000000000001</v>
      </c>
      <c r="AB20" s="509">
        <v>157.83000000000001</v>
      </c>
      <c r="AC20" s="509">
        <v>157.83000000000001</v>
      </c>
      <c r="AD20" s="509">
        <v>157.83000000000001</v>
      </c>
      <c r="AE20" s="509">
        <v>157.83000000000001</v>
      </c>
      <c r="AF20" s="509">
        <v>157.83000000000001</v>
      </c>
      <c r="AG20" s="509">
        <v>157.83000000000001</v>
      </c>
      <c r="AH20" s="509">
        <v>157.83000000000001</v>
      </c>
      <c r="AI20" s="509">
        <v>157.83000000000001</v>
      </c>
      <c r="AJ20" s="509">
        <v>157.83000000000001</v>
      </c>
      <c r="AK20" s="509">
        <v>157.83000000000001</v>
      </c>
      <c r="AL20" s="509">
        <v>157.83000000000001</v>
      </c>
      <c r="AM20" s="509">
        <v>157.83000000000001</v>
      </c>
      <c r="AN20" s="509">
        <v>157.83000000000001</v>
      </c>
      <c r="AO20" s="509">
        <v>157.83000000000001</v>
      </c>
      <c r="AP20" s="509">
        <v>157.83000000000001</v>
      </c>
      <c r="AR20" s="158" t="s">
        <v>2512</v>
      </c>
    </row>
    <row r="21" spans="1:44">
      <c r="A21">
        <v>42</v>
      </c>
      <c r="B21" s="156" t="s">
        <v>315</v>
      </c>
      <c r="C21" s="156" t="s">
        <v>287</v>
      </c>
      <c r="D21" s="509">
        <v>199.22</v>
      </c>
      <c r="E21" s="509">
        <v>199.22</v>
      </c>
      <c r="F21" s="509">
        <v>199.22</v>
      </c>
      <c r="G21" s="509">
        <v>199.22</v>
      </c>
      <c r="H21" s="509">
        <v>199.22</v>
      </c>
      <c r="I21" s="509">
        <v>199.22</v>
      </c>
      <c r="J21" s="509">
        <v>199.22</v>
      </c>
      <c r="K21" s="509">
        <v>199.22</v>
      </c>
      <c r="L21" s="509">
        <v>199.22</v>
      </c>
      <c r="M21" s="509">
        <v>199.22</v>
      </c>
      <c r="N21" s="509">
        <v>199.22</v>
      </c>
      <c r="O21" s="509">
        <v>199.22</v>
      </c>
      <c r="P21" s="509">
        <v>199.22</v>
      </c>
      <c r="Q21" s="509">
        <v>199.22</v>
      </c>
      <c r="R21" s="509">
        <v>199.22</v>
      </c>
      <c r="S21" s="509">
        <v>199.22</v>
      </c>
      <c r="T21" s="509">
        <v>199.22</v>
      </c>
      <c r="U21" s="509">
        <v>199.22</v>
      </c>
      <c r="V21" s="509">
        <v>199.22</v>
      </c>
      <c r="W21" s="509">
        <v>199.22</v>
      </c>
      <c r="X21" s="509">
        <v>199.22</v>
      </c>
      <c r="Y21" s="509">
        <v>199.22</v>
      </c>
      <c r="Z21" s="509">
        <v>199.22</v>
      </c>
      <c r="AA21" s="509">
        <v>199.22</v>
      </c>
      <c r="AB21" s="509">
        <v>199.22</v>
      </c>
      <c r="AC21" s="509">
        <v>199.22</v>
      </c>
      <c r="AD21" s="509">
        <v>199.22</v>
      </c>
      <c r="AE21" s="509">
        <v>199.22</v>
      </c>
      <c r="AF21" s="509">
        <v>199.22</v>
      </c>
      <c r="AG21" s="509">
        <v>199.22</v>
      </c>
      <c r="AH21" s="509">
        <v>199.22</v>
      </c>
      <c r="AI21" s="509">
        <v>199.22</v>
      </c>
      <c r="AJ21" s="509">
        <v>199.22</v>
      </c>
      <c r="AK21" s="509">
        <v>199.22</v>
      </c>
      <c r="AL21" s="509">
        <v>199.22</v>
      </c>
      <c r="AM21" s="509">
        <v>199.22</v>
      </c>
      <c r="AN21" s="509">
        <v>199.22</v>
      </c>
      <c r="AO21" s="509">
        <v>199.22</v>
      </c>
      <c r="AP21" s="509">
        <v>199.22</v>
      </c>
      <c r="AR21" s="158" t="s">
        <v>287</v>
      </c>
    </row>
    <row r="22" spans="1:44">
      <c r="A22">
        <v>43</v>
      </c>
      <c r="B22" s="156" t="s">
        <v>380</v>
      </c>
      <c r="C22" s="156" t="s">
        <v>287</v>
      </c>
      <c r="D22" s="509">
        <v>431.62</v>
      </c>
      <c r="E22" s="509">
        <v>431.62</v>
      </c>
      <c r="F22" s="509">
        <v>431.62</v>
      </c>
      <c r="G22" s="509">
        <v>431.62</v>
      </c>
      <c r="H22" s="509">
        <v>431.62</v>
      </c>
      <c r="I22" s="509">
        <v>431.62</v>
      </c>
      <c r="J22" s="509">
        <v>431.62</v>
      </c>
      <c r="K22" s="509">
        <v>431.62</v>
      </c>
      <c r="L22" s="509">
        <v>431.62</v>
      </c>
      <c r="M22" s="509">
        <v>431.62</v>
      </c>
      <c r="N22" s="509">
        <v>431.62</v>
      </c>
      <c r="O22" s="509">
        <v>431.62</v>
      </c>
      <c r="P22" s="509">
        <v>431.62</v>
      </c>
      <c r="Q22" s="509">
        <v>431.62</v>
      </c>
      <c r="R22" s="509">
        <v>431.62</v>
      </c>
      <c r="S22" s="509">
        <v>431.62</v>
      </c>
      <c r="T22" s="509">
        <v>431.62</v>
      </c>
      <c r="U22" s="509">
        <v>431.62</v>
      </c>
      <c r="V22" s="509">
        <v>431.62</v>
      </c>
      <c r="W22" s="509">
        <v>431.62</v>
      </c>
      <c r="X22" s="509">
        <v>431.62</v>
      </c>
      <c r="Y22" s="509">
        <v>431.62</v>
      </c>
      <c r="Z22" s="509">
        <v>431.62</v>
      </c>
      <c r="AA22" s="509">
        <v>431.62</v>
      </c>
      <c r="AB22" s="509">
        <v>431.62</v>
      </c>
      <c r="AC22" s="509">
        <v>431.62</v>
      </c>
      <c r="AD22" s="509">
        <v>431.62</v>
      </c>
      <c r="AE22" s="509">
        <v>431.62</v>
      </c>
      <c r="AF22" s="509">
        <v>431.62</v>
      </c>
      <c r="AG22" s="509">
        <v>431.62</v>
      </c>
      <c r="AH22" s="509">
        <v>431.62</v>
      </c>
      <c r="AI22" s="509">
        <v>431.62</v>
      </c>
      <c r="AJ22" s="509">
        <v>431.62</v>
      </c>
      <c r="AK22" s="509">
        <v>431.62</v>
      </c>
      <c r="AL22" s="509">
        <v>431.62</v>
      </c>
      <c r="AM22" s="509">
        <v>431.62</v>
      </c>
      <c r="AN22" s="509">
        <v>431.62</v>
      </c>
      <c r="AO22" s="509">
        <v>431.62</v>
      </c>
      <c r="AP22" s="509">
        <v>431.62</v>
      </c>
    </row>
    <row r="23" spans="1:44">
      <c r="A23">
        <v>44</v>
      </c>
      <c r="B23" s="156" t="s">
        <v>284</v>
      </c>
      <c r="C23" s="156" t="s">
        <v>214</v>
      </c>
      <c r="D23" s="509">
        <v>25.58</v>
      </c>
      <c r="E23" s="509">
        <v>25.58</v>
      </c>
      <c r="F23" s="509">
        <v>25.58</v>
      </c>
      <c r="G23" s="509">
        <v>25.58</v>
      </c>
      <c r="H23" s="509">
        <v>25.58</v>
      </c>
      <c r="I23" s="509">
        <v>25.58</v>
      </c>
      <c r="J23" s="509">
        <v>25.58</v>
      </c>
      <c r="K23" s="509">
        <v>25.58</v>
      </c>
      <c r="L23" s="509">
        <v>25.58</v>
      </c>
      <c r="M23" s="509">
        <v>25.58</v>
      </c>
      <c r="N23" s="509">
        <v>25.58</v>
      </c>
      <c r="O23" s="509">
        <v>25.58</v>
      </c>
      <c r="P23" s="509">
        <v>25.58</v>
      </c>
      <c r="Q23" s="509">
        <v>25.58</v>
      </c>
      <c r="R23" s="509">
        <v>25.58</v>
      </c>
      <c r="S23" s="509">
        <v>25.58</v>
      </c>
      <c r="T23" s="509">
        <v>25.58</v>
      </c>
      <c r="U23" s="509">
        <v>25.58</v>
      </c>
      <c r="V23" s="509">
        <v>25.58</v>
      </c>
      <c r="W23" s="509">
        <v>25.58</v>
      </c>
      <c r="X23" s="509">
        <v>25.58</v>
      </c>
      <c r="Y23" s="509">
        <v>25.58</v>
      </c>
      <c r="Z23" s="509">
        <v>25.58</v>
      </c>
      <c r="AA23" s="509">
        <v>25.58</v>
      </c>
      <c r="AB23" s="509">
        <v>25.58</v>
      </c>
      <c r="AC23" s="509">
        <v>25.58</v>
      </c>
      <c r="AD23" s="509">
        <v>25.58</v>
      </c>
      <c r="AE23" s="509">
        <v>25.58</v>
      </c>
      <c r="AF23" s="509">
        <v>25.58</v>
      </c>
      <c r="AG23" s="509">
        <v>25.58</v>
      </c>
      <c r="AH23" s="509">
        <v>25.58</v>
      </c>
      <c r="AI23" s="509">
        <v>25.58</v>
      </c>
      <c r="AJ23" s="509">
        <v>25.58</v>
      </c>
      <c r="AK23" s="509">
        <v>25.58</v>
      </c>
      <c r="AL23" s="509">
        <v>25.58</v>
      </c>
      <c r="AM23" s="509">
        <v>25.58</v>
      </c>
      <c r="AN23" s="509">
        <v>25.58</v>
      </c>
      <c r="AO23" s="509">
        <v>25.58</v>
      </c>
      <c r="AP23" s="509">
        <v>25.58</v>
      </c>
      <c r="AR23" s="158" t="s">
        <v>2512</v>
      </c>
    </row>
    <row r="24" spans="1:44">
      <c r="A24">
        <v>46</v>
      </c>
      <c r="B24" s="156" t="s">
        <v>339</v>
      </c>
      <c r="C24" s="156" t="s">
        <v>287</v>
      </c>
      <c r="D24" s="509">
        <v>228.91</v>
      </c>
      <c r="E24" s="509">
        <v>228.91</v>
      </c>
      <c r="F24" s="509">
        <v>228.91</v>
      </c>
      <c r="G24" s="509">
        <v>228.91</v>
      </c>
      <c r="H24" s="509">
        <v>228.91</v>
      </c>
      <c r="I24" s="509">
        <v>228.91</v>
      </c>
      <c r="J24" s="509">
        <v>228.91</v>
      </c>
      <c r="K24" s="509">
        <v>228.91</v>
      </c>
      <c r="L24" s="509">
        <v>228.91</v>
      </c>
      <c r="M24" s="509">
        <v>228.91</v>
      </c>
      <c r="N24" s="509">
        <v>228.91</v>
      </c>
      <c r="O24" s="509">
        <v>228.91</v>
      </c>
      <c r="P24" s="509">
        <v>228.91</v>
      </c>
      <c r="Q24" s="509">
        <v>228.91</v>
      </c>
      <c r="R24" s="509">
        <v>228.91</v>
      </c>
      <c r="S24" s="509">
        <v>228.91</v>
      </c>
      <c r="T24" s="509">
        <v>228.91</v>
      </c>
      <c r="U24" s="509">
        <v>228.91</v>
      </c>
      <c r="V24" s="509">
        <v>228.91</v>
      </c>
      <c r="W24" s="509">
        <v>228.91</v>
      </c>
      <c r="X24" s="509">
        <v>228.91</v>
      </c>
      <c r="Y24" s="509">
        <v>228.91</v>
      </c>
      <c r="Z24" s="509">
        <v>228.91</v>
      </c>
      <c r="AA24" s="509">
        <v>228.91</v>
      </c>
      <c r="AB24" s="509">
        <v>228.91</v>
      </c>
      <c r="AC24" s="509">
        <v>228.91</v>
      </c>
      <c r="AD24" s="509">
        <v>228.91</v>
      </c>
      <c r="AE24" s="509">
        <v>228.91</v>
      </c>
      <c r="AF24" s="509">
        <v>228.91</v>
      </c>
      <c r="AG24" s="509">
        <v>228.91</v>
      </c>
      <c r="AH24" s="509">
        <v>228.91</v>
      </c>
      <c r="AI24" s="509">
        <v>228.91</v>
      </c>
      <c r="AJ24" s="509">
        <v>228.91</v>
      </c>
      <c r="AK24" s="509">
        <v>228.91</v>
      </c>
      <c r="AL24" s="509">
        <v>228.91</v>
      </c>
      <c r="AM24" s="509">
        <v>228.91</v>
      </c>
      <c r="AN24" s="509">
        <v>228.91</v>
      </c>
      <c r="AO24" s="509">
        <v>228.91</v>
      </c>
      <c r="AP24" s="509">
        <v>228.91</v>
      </c>
      <c r="AR24" s="158" t="s">
        <v>2512</v>
      </c>
    </row>
    <row r="25" spans="1:44">
      <c r="A25">
        <v>47</v>
      </c>
      <c r="B25" s="156" t="s">
        <v>387</v>
      </c>
      <c r="C25" s="156" t="s">
        <v>287</v>
      </c>
      <c r="D25" s="509">
        <v>235.6</v>
      </c>
      <c r="E25" s="509">
        <v>235.6</v>
      </c>
      <c r="F25" s="509">
        <v>235.6</v>
      </c>
      <c r="G25" s="509">
        <v>235.6</v>
      </c>
      <c r="H25" s="509">
        <v>235.6</v>
      </c>
      <c r="I25" s="509">
        <v>235.6</v>
      </c>
      <c r="J25" s="509">
        <v>235.6</v>
      </c>
      <c r="K25" s="509">
        <v>235.6</v>
      </c>
      <c r="L25" s="509">
        <v>235.6</v>
      </c>
      <c r="M25" s="509">
        <v>235.6</v>
      </c>
      <c r="N25" s="509">
        <v>235.6</v>
      </c>
      <c r="O25" s="509">
        <v>235.6</v>
      </c>
      <c r="P25" s="509">
        <v>235.6</v>
      </c>
      <c r="Q25" s="509">
        <v>235.6</v>
      </c>
      <c r="R25" s="509">
        <v>235.6</v>
      </c>
      <c r="S25" s="509">
        <v>235.6</v>
      </c>
      <c r="T25" s="509">
        <v>235.6</v>
      </c>
      <c r="U25" s="509">
        <v>235.6</v>
      </c>
      <c r="V25" s="509">
        <v>235.6</v>
      </c>
      <c r="W25" s="509">
        <v>235.6</v>
      </c>
      <c r="X25" s="509">
        <v>235.6</v>
      </c>
      <c r="Y25" s="509">
        <v>235.6</v>
      </c>
      <c r="Z25" s="509">
        <v>235.6</v>
      </c>
      <c r="AA25" s="509">
        <v>235.6</v>
      </c>
      <c r="AB25" s="509">
        <v>235.6</v>
      </c>
      <c r="AC25" s="509">
        <v>235.6</v>
      </c>
      <c r="AD25" s="509">
        <v>235.6</v>
      </c>
      <c r="AE25" s="509">
        <v>235.6</v>
      </c>
      <c r="AF25" s="509">
        <v>235.6</v>
      </c>
      <c r="AG25" s="509">
        <v>235.6</v>
      </c>
      <c r="AH25" s="509">
        <v>235.6</v>
      </c>
      <c r="AI25" s="509">
        <v>235.6</v>
      </c>
      <c r="AJ25" s="509">
        <v>235.6</v>
      </c>
      <c r="AK25" s="509">
        <v>235.6</v>
      </c>
      <c r="AL25" s="509">
        <v>235.6</v>
      </c>
      <c r="AM25" s="509">
        <v>235.6</v>
      </c>
      <c r="AN25" s="509">
        <v>235.6</v>
      </c>
      <c r="AO25" s="509">
        <v>235.6</v>
      </c>
      <c r="AP25" s="509">
        <v>235.6</v>
      </c>
    </row>
    <row r="26" spans="1:44">
      <c r="A26">
        <v>48</v>
      </c>
      <c r="B26" s="156" t="s">
        <v>358</v>
      </c>
      <c r="C26" s="156" t="s">
        <v>287</v>
      </c>
      <c r="D26" s="509">
        <v>1012.12</v>
      </c>
      <c r="E26" s="509">
        <v>1012.12</v>
      </c>
      <c r="F26" s="509">
        <v>1012.12</v>
      </c>
      <c r="G26" s="509">
        <v>1012.12</v>
      </c>
      <c r="H26" s="509">
        <v>1012.12</v>
      </c>
      <c r="I26" s="509">
        <v>1012.12</v>
      </c>
      <c r="J26" s="509">
        <v>1012.12</v>
      </c>
      <c r="K26" s="509">
        <v>1012.12</v>
      </c>
      <c r="L26" s="509">
        <v>1012.12</v>
      </c>
      <c r="M26" s="509">
        <v>1012.12</v>
      </c>
      <c r="N26" s="509">
        <v>1012.12</v>
      </c>
      <c r="O26" s="509">
        <v>1012.12</v>
      </c>
      <c r="P26" s="509">
        <v>1012.12</v>
      </c>
      <c r="Q26" s="509">
        <v>1012.12</v>
      </c>
      <c r="R26" s="509">
        <v>1012.12</v>
      </c>
      <c r="S26" s="509">
        <v>1012.12</v>
      </c>
      <c r="T26" s="509">
        <v>1012.12</v>
      </c>
      <c r="U26" s="509">
        <v>1012.12</v>
      </c>
      <c r="V26" s="509">
        <v>1012.12</v>
      </c>
      <c r="W26" s="509">
        <v>1012.12</v>
      </c>
      <c r="X26" s="509">
        <v>1012.12</v>
      </c>
      <c r="Y26" s="509">
        <v>1012.12</v>
      </c>
      <c r="Z26" s="509">
        <v>1012.12</v>
      </c>
      <c r="AA26" s="509">
        <v>1012.12</v>
      </c>
      <c r="AB26" s="509">
        <v>1012.12</v>
      </c>
      <c r="AC26" s="509">
        <v>1012.12</v>
      </c>
      <c r="AD26" s="509">
        <v>1012.12</v>
      </c>
      <c r="AE26" s="509">
        <v>1012.12</v>
      </c>
      <c r="AF26" s="509">
        <v>1012.12</v>
      </c>
      <c r="AG26" s="509">
        <v>1012.12</v>
      </c>
      <c r="AH26" s="509">
        <v>1012.12</v>
      </c>
      <c r="AI26" s="509">
        <v>1012.12</v>
      </c>
      <c r="AJ26" s="509">
        <v>1012.12</v>
      </c>
      <c r="AK26" s="509">
        <v>1012.12</v>
      </c>
      <c r="AL26" s="509">
        <v>1012.12</v>
      </c>
      <c r="AM26" s="509">
        <v>1012.12</v>
      </c>
      <c r="AN26" s="509">
        <v>1012.12</v>
      </c>
      <c r="AO26" s="509">
        <v>1012.12</v>
      </c>
      <c r="AP26" s="509">
        <v>1012.12</v>
      </c>
      <c r="AR26" s="158" t="s">
        <v>2512</v>
      </c>
    </row>
    <row r="27" spans="1:44">
      <c r="A27">
        <v>50</v>
      </c>
      <c r="B27" s="156" t="s">
        <v>304</v>
      </c>
      <c r="C27" s="156" t="s">
        <v>287</v>
      </c>
      <c r="D27" s="509">
        <v>669.87</v>
      </c>
      <c r="E27" s="509">
        <v>669.87</v>
      </c>
      <c r="F27" s="509">
        <v>669.87</v>
      </c>
      <c r="G27" s="509">
        <v>669.87</v>
      </c>
      <c r="H27" s="509">
        <v>669.87</v>
      </c>
      <c r="I27" s="509">
        <v>669.87</v>
      </c>
      <c r="J27" s="509">
        <v>669.87</v>
      </c>
      <c r="K27" s="509">
        <v>669.87</v>
      </c>
      <c r="L27" s="509">
        <v>669.87</v>
      </c>
      <c r="M27" s="509">
        <v>669.87</v>
      </c>
      <c r="N27" s="509">
        <v>669.87</v>
      </c>
      <c r="O27" s="509">
        <v>669.87</v>
      </c>
      <c r="P27" s="509">
        <v>669.87</v>
      </c>
      <c r="Q27" s="509">
        <v>669.87</v>
      </c>
      <c r="R27" s="509">
        <v>669.87</v>
      </c>
      <c r="S27" s="509">
        <v>669.87</v>
      </c>
      <c r="T27" s="509">
        <v>669.87</v>
      </c>
      <c r="U27" s="509">
        <v>669.87</v>
      </c>
      <c r="V27" s="509">
        <v>669.87</v>
      </c>
      <c r="W27" s="509">
        <v>669.87</v>
      </c>
      <c r="X27" s="509">
        <v>669.87</v>
      </c>
      <c r="Y27" s="509">
        <v>669.87</v>
      </c>
      <c r="Z27" s="509">
        <v>669.87</v>
      </c>
      <c r="AA27" s="509">
        <v>669.87</v>
      </c>
      <c r="AB27" s="509">
        <v>669.87</v>
      </c>
      <c r="AC27" s="509">
        <v>669.87</v>
      </c>
      <c r="AD27" s="509">
        <v>669.87</v>
      </c>
      <c r="AE27" s="509">
        <v>669.87</v>
      </c>
      <c r="AF27" s="509">
        <v>669.87</v>
      </c>
      <c r="AG27" s="509">
        <v>669.87</v>
      </c>
      <c r="AH27" s="509">
        <v>669.87</v>
      </c>
      <c r="AI27" s="509">
        <v>669.87</v>
      </c>
      <c r="AJ27" s="509">
        <v>669.87</v>
      </c>
      <c r="AK27" s="509">
        <v>669.87</v>
      </c>
      <c r="AL27" s="509">
        <v>669.87</v>
      </c>
      <c r="AM27" s="509">
        <v>669.87</v>
      </c>
      <c r="AN27" s="509">
        <v>669.87</v>
      </c>
      <c r="AO27" s="509">
        <v>669.87</v>
      </c>
      <c r="AP27" s="509">
        <v>669.87</v>
      </c>
    </row>
    <row r="28" spans="1:44">
      <c r="A28">
        <v>54</v>
      </c>
      <c r="B28" s="156" t="s">
        <v>329</v>
      </c>
      <c r="C28" s="156" t="s">
        <v>287</v>
      </c>
      <c r="D28" s="509">
        <v>304.55</v>
      </c>
      <c r="E28" s="509">
        <v>304.55</v>
      </c>
      <c r="F28" s="509">
        <v>304.55</v>
      </c>
      <c r="G28" s="509">
        <v>304.55</v>
      </c>
      <c r="H28" s="509">
        <v>304.55</v>
      </c>
      <c r="I28" s="509">
        <v>304.55</v>
      </c>
      <c r="J28" s="509">
        <v>304.55</v>
      </c>
      <c r="K28" s="509">
        <v>304.55</v>
      </c>
      <c r="L28" s="509">
        <v>304.55</v>
      </c>
      <c r="M28" s="509">
        <v>304.55</v>
      </c>
      <c r="N28" s="509">
        <v>304.55</v>
      </c>
      <c r="O28" s="509">
        <v>304.55</v>
      </c>
      <c r="P28" s="509">
        <v>304.55</v>
      </c>
      <c r="Q28" s="509">
        <v>304.55</v>
      </c>
      <c r="R28" s="509">
        <v>304.55</v>
      </c>
      <c r="S28" s="509">
        <v>304.55</v>
      </c>
      <c r="T28" s="509">
        <v>304.55</v>
      </c>
      <c r="U28" s="509">
        <v>304.55</v>
      </c>
      <c r="V28" s="509">
        <v>304.55</v>
      </c>
      <c r="W28" s="509">
        <v>304.55</v>
      </c>
      <c r="X28" s="509">
        <v>304.55</v>
      </c>
      <c r="Y28" s="509">
        <v>304.55</v>
      </c>
      <c r="Z28" s="509">
        <v>304.55</v>
      </c>
      <c r="AA28" s="509">
        <v>304.55</v>
      </c>
      <c r="AB28" s="509">
        <v>304.55</v>
      </c>
      <c r="AC28" s="509">
        <v>304.55</v>
      </c>
      <c r="AD28" s="509">
        <v>304.55</v>
      </c>
      <c r="AE28" s="509">
        <v>304.55</v>
      </c>
      <c r="AF28" s="509">
        <v>304.55</v>
      </c>
      <c r="AG28" s="509">
        <v>304.55</v>
      </c>
      <c r="AH28" s="509">
        <v>304.55</v>
      </c>
      <c r="AI28" s="509">
        <v>304.55</v>
      </c>
      <c r="AJ28" s="509">
        <v>304.55</v>
      </c>
      <c r="AK28" s="509">
        <v>304.55</v>
      </c>
      <c r="AL28" s="509">
        <v>304.55</v>
      </c>
      <c r="AM28" s="509">
        <v>304.55</v>
      </c>
      <c r="AN28" s="509">
        <v>304.55</v>
      </c>
      <c r="AO28" s="509">
        <v>304.55</v>
      </c>
      <c r="AP28" s="509">
        <v>304.55</v>
      </c>
      <c r="AR28" s="158" t="s">
        <v>287</v>
      </c>
    </row>
    <row r="29" spans="1:44">
      <c r="A29">
        <v>58</v>
      </c>
      <c r="B29" s="156" t="s">
        <v>382</v>
      </c>
      <c r="C29" s="156" t="s">
        <v>287</v>
      </c>
      <c r="D29" s="509">
        <v>300.05</v>
      </c>
      <c r="E29" s="509">
        <v>300.05</v>
      </c>
      <c r="F29" s="509">
        <v>300.05</v>
      </c>
      <c r="G29" s="509">
        <v>300.05</v>
      </c>
      <c r="H29" s="509">
        <v>300.05</v>
      </c>
      <c r="I29" s="509">
        <v>300.05</v>
      </c>
      <c r="J29" s="509">
        <v>300.05</v>
      </c>
      <c r="K29" s="509">
        <v>300.05</v>
      </c>
      <c r="L29" s="509">
        <v>300.05</v>
      </c>
      <c r="M29" s="509">
        <v>300.05</v>
      </c>
      <c r="N29" s="509">
        <v>300.05</v>
      </c>
      <c r="O29" s="509">
        <v>300.05</v>
      </c>
      <c r="P29" s="509">
        <v>300.05</v>
      </c>
      <c r="Q29" s="509">
        <v>300.05</v>
      </c>
      <c r="R29" s="509">
        <v>300.05</v>
      </c>
      <c r="S29" s="509">
        <v>300.05</v>
      </c>
      <c r="T29" s="509">
        <v>300.05</v>
      </c>
      <c r="U29" s="509">
        <v>300.05</v>
      </c>
      <c r="V29" s="509">
        <v>300.05</v>
      </c>
      <c r="W29" s="509">
        <v>300.05</v>
      </c>
      <c r="X29" s="509">
        <v>300.05</v>
      </c>
      <c r="Y29" s="509">
        <v>300.05</v>
      </c>
      <c r="Z29" s="509">
        <v>300.05</v>
      </c>
      <c r="AA29" s="509">
        <v>300.05</v>
      </c>
      <c r="AB29" s="509">
        <v>300.05</v>
      </c>
      <c r="AC29" s="509">
        <v>300.05</v>
      </c>
      <c r="AD29" s="509">
        <v>300.05</v>
      </c>
      <c r="AE29" s="509">
        <v>300.05</v>
      </c>
      <c r="AF29" s="509">
        <v>300.05</v>
      </c>
      <c r="AG29" s="509">
        <v>300.05</v>
      </c>
      <c r="AH29" s="509">
        <v>300.05</v>
      </c>
      <c r="AI29" s="509">
        <v>300.05</v>
      </c>
      <c r="AJ29" s="509">
        <v>300.05</v>
      </c>
      <c r="AK29" s="509">
        <v>300.05</v>
      </c>
      <c r="AL29" s="509">
        <v>300.05</v>
      </c>
      <c r="AM29" s="509">
        <v>300.05</v>
      </c>
      <c r="AN29" s="509">
        <v>300.05</v>
      </c>
      <c r="AO29" s="509">
        <v>300.05</v>
      </c>
      <c r="AP29" s="509">
        <v>300.05</v>
      </c>
    </row>
    <row r="30" spans="1:44">
      <c r="A30">
        <v>62</v>
      </c>
      <c r="B30" s="156" t="s">
        <v>308</v>
      </c>
      <c r="C30" s="156" t="s">
        <v>287</v>
      </c>
      <c r="D30" s="509">
        <v>309.24</v>
      </c>
      <c r="E30" s="509">
        <v>309.24</v>
      </c>
      <c r="F30" s="509">
        <v>309.24</v>
      </c>
      <c r="G30" s="509">
        <v>309.24</v>
      </c>
      <c r="H30" s="509">
        <v>309.24</v>
      </c>
      <c r="I30" s="509">
        <v>309.24</v>
      </c>
      <c r="J30" s="509">
        <v>309.24</v>
      </c>
      <c r="K30" s="509">
        <v>309.24</v>
      </c>
      <c r="L30" s="509">
        <v>309.24</v>
      </c>
      <c r="M30" s="509">
        <v>309.24</v>
      </c>
      <c r="N30" s="509">
        <v>309.24</v>
      </c>
      <c r="O30" s="509">
        <v>309.24</v>
      </c>
      <c r="P30" s="509">
        <v>309.24</v>
      </c>
      <c r="Q30" s="509">
        <v>309.24</v>
      </c>
      <c r="R30" s="509">
        <v>309.24</v>
      </c>
      <c r="S30" s="509">
        <v>309.24</v>
      </c>
      <c r="T30" s="509">
        <v>309.24</v>
      </c>
      <c r="U30" s="509">
        <v>309.24</v>
      </c>
      <c r="V30" s="509">
        <v>309.24</v>
      </c>
      <c r="W30" s="509">
        <v>309.24</v>
      </c>
      <c r="X30" s="509">
        <v>309.24</v>
      </c>
      <c r="Y30" s="509">
        <v>309.24</v>
      </c>
      <c r="Z30" s="509">
        <v>309.24</v>
      </c>
      <c r="AA30" s="509">
        <v>309.24</v>
      </c>
      <c r="AB30" s="509">
        <v>309.24</v>
      </c>
      <c r="AC30" s="509">
        <v>309.24</v>
      </c>
      <c r="AD30" s="509">
        <v>309.24</v>
      </c>
      <c r="AE30" s="509">
        <v>309.24</v>
      </c>
      <c r="AF30" s="509">
        <v>309.24</v>
      </c>
      <c r="AG30" s="509">
        <v>309.24</v>
      </c>
      <c r="AH30" s="509">
        <v>309.24</v>
      </c>
      <c r="AI30" s="509">
        <v>309.24</v>
      </c>
      <c r="AJ30" s="509">
        <v>309.24</v>
      </c>
      <c r="AK30" s="509">
        <v>309.24</v>
      </c>
      <c r="AL30" s="509">
        <v>309.24</v>
      </c>
      <c r="AM30" s="509">
        <v>309.24</v>
      </c>
      <c r="AN30" s="509">
        <v>309.24</v>
      </c>
      <c r="AO30" s="509">
        <v>309.24</v>
      </c>
      <c r="AP30" s="509">
        <v>309.24</v>
      </c>
      <c r="AR30" s="158" t="s">
        <v>2512</v>
      </c>
    </row>
    <row r="31" spans="1:44">
      <c r="A31">
        <v>63</v>
      </c>
      <c r="B31" s="156" t="s">
        <v>321</v>
      </c>
      <c r="C31" s="156" t="s">
        <v>287</v>
      </c>
      <c r="D31" s="509">
        <v>365.77</v>
      </c>
      <c r="E31" s="509">
        <v>365.77</v>
      </c>
      <c r="F31" s="509">
        <v>365.77</v>
      </c>
      <c r="G31" s="509">
        <v>365.77</v>
      </c>
      <c r="H31" s="509">
        <v>365.77</v>
      </c>
      <c r="I31" s="509">
        <v>365.77</v>
      </c>
      <c r="J31" s="509">
        <v>365.77</v>
      </c>
      <c r="K31" s="509">
        <v>365.77</v>
      </c>
      <c r="L31" s="509">
        <v>365.77</v>
      </c>
      <c r="M31" s="509">
        <v>365.77</v>
      </c>
      <c r="N31" s="509">
        <v>365.77</v>
      </c>
      <c r="O31" s="509">
        <v>365.77</v>
      </c>
      <c r="P31" s="509">
        <v>365.77</v>
      </c>
      <c r="Q31" s="509">
        <v>365.77</v>
      </c>
      <c r="R31" s="509">
        <v>365.77</v>
      </c>
      <c r="S31" s="509">
        <v>365.77</v>
      </c>
      <c r="T31" s="509">
        <v>365.77</v>
      </c>
      <c r="U31" s="509">
        <v>365.77</v>
      </c>
      <c r="V31" s="509">
        <v>365.77</v>
      </c>
      <c r="W31" s="509">
        <v>365.77</v>
      </c>
      <c r="X31" s="509">
        <v>365.77</v>
      </c>
      <c r="Y31" s="509">
        <v>365.77</v>
      </c>
      <c r="Z31" s="509">
        <v>365.77</v>
      </c>
      <c r="AA31" s="509">
        <v>365.77</v>
      </c>
      <c r="AB31" s="509">
        <v>365.77</v>
      </c>
      <c r="AC31" s="509">
        <v>365.77</v>
      </c>
      <c r="AD31" s="509">
        <v>365.77</v>
      </c>
      <c r="AE31" s="509">
        <v>365.77</v>
      </c>
      <c r="AF31" s="509">
        <v>365.77</v>
      </c>
      <c r="AG31" s="509">
        <v>365.77</v>
      </c>
      <c r="AH31" s="509">
        <v>365.77</v>
      </c>
      <c r="AI31" s="509">
        <v>365.77</v>
      </c>
      <c r="AJ31" s="509">
        <v>365.77</v>
      </c>
      <c r="AK31" s="509">
        <v>365.77</v>
      </c>
      <c r="AL31" s="509">
        <v>365.77</v>
      </c>
      <c r="AM31" s="509">
        <v>365.77</v>
      </c>
      <c r="AN31" s="509">
        <v>365.77</v>
      </c>
      <c r="AO31" s="509">
        <v>365.77</v>
      </c>
      <c r="AP31" s="509">
        <v>365.77</v>
      </c>
      <c r="AR31" s="158" t="s">
        <v>287</v>
      </c>
    </row>
    <row r="32" spans="1:44">
      <c r="A32">
        <v>64</v>
      </c>
      <c r="B32" s="156" t="s">
        <v>299</v>
      </c>
      <c r="C32" s="156" t="s">
        <v>287</v>
      </c>
      <c r="D32" s="509">
        <v>853.54</v>
      </c>
      <c r="E32" s="509">
        <v>853.54</v>
      </c>
      <c r="F32" s="509">
        <v>853.54</v>
      </c>
      <c r="G32" s="509">
        <v>853.54</v>
      </c>
      <c r="H32" s="509">
        <v>853.54</v>
      </c>
      <c r="I32" s="509">
        <v>853.54</v>
      </c>
      <c r="J32" s="509">
        <v>853.54</v>
      </c>
      <c r="K32" s="509">
        <v>853.54</v>
      </c>
      <c r="L32" s="509">
        <v>853.54</v>
      </c>
      <c r="M32" s="509">
        <v>853.54</v>
      </c>
      <c r="N32" s="509">
        <v>853.54</v>
      </c>
      <c r="O32" s="509">
        <v>853.54</v>
      </c>
      <c r="P32" s="509">
        <v>853.54</v>
      </c>
      <c r="Q32" s="509">
        <v>853.54</v>
      </c>
      <c r="R32" s="509">
        <v>853.54</v>
      </c>
      <c r="S32" s="509">
        <v>853.54</v>
      </c>
      <c r="T32" s="509">
        <v>853.54</v>
      </c>
      <c r="U32" s="509">
        <v>853.54</v>
      </c>
      <c r="V32" s="509">
        <v>853.54</v>
      </c>
      <c r="W32" s="509">
        <v>853.54</v>
      </c>
      <c r="X32" s="509">
        <v>853.54</v>
      </c>
      <c r="Y32" s="509">
        <v>853.54</v>
      </c>
      <c r="Z32" s="509">
        <v>853.54</v>
      </c>
      <c r="AA32" s="509">
        <v>853.54</v>
      </c>
      <c r="AB32" s="509">
        <v>853.54</v>
      </c>
      <c r="AC32" s="509">
        <v>853.54</v>
      </c>
      <c r="AD32" s="509">
        <v>853.54</v>
      </c>
      <c r="AE32" s="509">
        <v>853.54</v>
      </c>
      <c r="AF32" s="509">
        <v>853.54</v>
      </c>
      <c r="AG32" s="509">
        <v>853.54</v>
      </c>
      <c r="AH32" s="509">
        <v>853.54</v>
      </c>
      <c r="AI32" s="509">
        <v>853.54</v>
      </c>
      <c r="AJ32" s="509">
        <v>853.54</v>
      </c>
      <c r="AK32" s="509">
        <v>853.54</v>
      </c>
      <c r="AL32" s="509">
        <v>853.54</v>
      </c>
      <c r="AM32" s="509">
        <v>853.54</v>
      </c>
      <c r="AN32" s="509">
        <v>853.54</v>
      </c>
      <c r="AO32" s="509">
        <v>853.54</v>
      </c>
      <c r="AP32" s="509">
        <v>853.54</v>
      </c>
      <c r="AR32" s="158" t="s">
        <v>2513</v>
      </c>
    </row>
    <row r="33" spans="1:44">
      <c r="A33">
        <v>68</v>
      </c>
      <c r="B33" s="156" t="s">
        <v>388</v>
      </c>
      <c r="C33" s="156" t="s">
        <v>287</v>
      </c>
      <c r="D33" s="509">
        <v>195.63</v>
      </c>
      <c r="E33" s="509">
        <v>195.63</v>
      </c>
      <c r="F33" s="509">
        <v>195.63</v>
      </c>
      <c r="G33" s="509">
        <v>195.63</v>
      </c>
      <c r="H33" s="509">
        <v>195.63</v>
      </c>
      <c r="I33" s="509">
        <v>195.63</v>
      </c>
      <c r="J33" s="509">
        <v>195.63</v>
      </c>
      <c r="K33" s="509">
        <v>195.63</v>
      </c>
      <c r="L33" s="509">
        <v>195.63</v>
      </c>
      <c r="M33" s="509">
        <v>195.63</v>
      </c>
      <c r="N33" s="509">
        <v>195.63</v>
      </c>
      <c r="O33" s="509">
        <v>195.63</v>
      </c>
      <c r="P33" s="509">
        <v>195.63</v>
      </c>
      <c r="Q33" s="509">
        <v>195.63</v>
      </c>
      <c r="R33" s="509">
        <v>195.63</v>
      </c>
      <c r="S33" s="509">
        <v>195.63</v>
      </c>
      <c r="T33" s="509">
        <v>195.63</v>
      </c>
      <c r="U33" s="509">
        <v>195.63</v>
      </c>
      <c r="V33" s="509">
        <v>195.63</v>
      </c>
      <c r="W33" s="509">
        <v>195.63</v>
      </c>
      <c r="X33" s="509">
        <v>195.63</v>
      </c>
      <c r="Y33" s="509">
        <v>195.63</v>
      </c>
      <c r="Z33" s="509">
        <v>195.63</v>
      </c>
      <c r="AA33" s="509">
        <v>195.63</v>
      </c>
      <c r="AB33" s="509">
        <v>195.63</v>
      </c>
      <c r="AC33" s="509">
        <v>195.63</v>
      </c>
      <c r="AD33" s="509">
        <v>195.63</v>
      </c>
      <c r="AE33" s="509">
        <v>195.63</v>
      </c>
      <c r="AF33" s="509">
        <v>195.63</v>
      </c>
      <c r="AG33" s="509">
        <v>195.63</v>
      </c>
      <c r="AH33" s="509">
        <v>195.63</v>
      </c>
      <c r="AI33" s="509">
        <v>195.63</v>
      </c>
      <c r="AJ33" s="509">
        <v>195.63</v>
      </c>
      <c r="AK33" s="509">
        <v>195.63</v>
      </c>
      <c r="AL33" s="509">
        <v>195.63</v>
      </c>
      <c r="AM33" s="509">
        <v>195.63</v>
      </c>
      <c r="AN33" s="509">
        <v>195.63</v>
      </c>
      <c r="AO33" s="509">
        <v>195.63</v>
      </c>
      <c r="AP33" s="509">
        <v>195.63</v>
      </c>
    </row>
    <row r="34" spans="1:44">
      <c r="A34">
        <v>74</v>
      </c>
      <c r="B34" s="156" t="s">
        <v>310</v>
      </c>
      <c r="C34" s="156" t="s">
        <v>287</v>
      </c>
      <c r="D34" s="509">
        <v>364.46</v>
      </c>
      <c r="E34" s="509">
        <v>364.46</v>
      </c>
      <c r="F34" s="509">
        <v>364.46</v>
      </c>
      <c r="G34" s="509">
        <v>364.46</v>
      </c>
      <c r="H34" s="509">
        <v>364.46</v>
      </c>
      <c r="I34" s="509">
        <v>364.46</v>
      </c>
      <c r="J34" s="509">
        <v>364.46</v>
      </c>
      <c r="K34" s="509">
        <v>364.46</v>
      </c>
      <c r="L34" s="509">
        <v>364.46</v>
      </c>
      <c r="M34" s="509">
        <v>364.46</v>
      </c>
      <c r="N34" s="509">
        <v>364.46</v>
      </c>
      <c r="O34" s="509">
        <v>364.46</v>
      </c>
      <c r="P34" s="509">
        <v>364.46</v>
      </c>
      <c r="Q34" s="509">
        <v>364.46</v>
      </c>
      <c r="R34" s="509">
        <v>364.46</v>
      </c>
      <c r="S34" s="509">
        <v>364.46</v>
      </c>
      <c r="T34" s="509">
        <v>364.46</v>
      </c>
      <c r="U34" s="509">
        <v>364.46</v>
      </c>
      <c r="V34" s="509">
        <v>364.46</v>
      </c>
      <c r="W34" s="509">
        <v>364.46</v>
      </c>
      <c r="X34" s="509">
        <v>364.46</v>
      </c>
      <c r="Y34" s="509">
        <v>364.46</v>
      </c>
      <c r="Z34" s="509">
        <v>364.46</v>
      </c>
      <c r="AA34" s="509">
        <v>364.46</v>
      </c>
      <c r="AB34" s="509">
        <v>364.46</v>
      </c>
      <c r="AC34" s="509">
        <v>364.46</v>
      </c>
      <c r="AD34" s="509">
        <v>364.46</v>
      </c>
      <c r="AE34" s="509">
        <v>364.46</v>
      </c>
      <c r="AF34" s="509">
        <v>364.46</v>
      </c>
      <c r="AG34" s="509">
        <v>364.46</v>
      </c>
      <c r="AH34" s="509">
        <v>364.46</v>
      </c>
      <c r="AI34" s="509">
        <v>364.46</v>
      </c>
      <c r="AJ34" s="509">
        <v>364.46</v>
      </c>
      <c r="AK34" s="509">
        <v>364.46</v>
      </c>
      <c r="AL34" s="509">
        <v>364.46</v>
      </c>
      <c r="AM34" s="509">
        <v>364.46</v>
      </c>
      <c r="AN34" s="509">
        <v>364.46</v>
      </c>
      <c r="AO34" s="509">
        <v>364.46</v>
      </c>
      <c r="AP34" s="509">
        <v>364.46</v>
      </c>
      <c r="AR34" s="158" t="s">
        <v>2513</v>
      </c>
    </row>
    <row r="35" spans="1:44">
      <c r="A35">
        <v>83</v>
      </c>
      <c r="B35" s="156" t="s">
        <v>391</v>
      </c>
      <c r="C35" s="156" t="s">
        <v>287</v>
      </c>
      <c r="D35" s="509">
        <v>448.1</v>
      </c>
      <c r="E35" s="509">
        <v>448.1</v>
      </c>
      <c r="F35" s="509">
        <v>448.1</v>
      </c>
      <c r="G35" s="509">
        <v>448.1</v>
      </c>
      <c r="H35" s="509">
        <v>448.1</v>
      </c>
      <c r="I35" s="509">
        <v>448.1</v>
      </c>
      <c r="J35" s="509">
        <v>448.1</v>
      </c>
      <c r="K35" s="509">
        <v>448.1</v>
      </c>
      <c r="L35" s="509">
        <v>448.1</v>
      </c>
      <c r="M35" s="509">
        <v>448.1</v>
      </c>
      <c r="N35" s="509">
        <v>448.1</v>
      </c>
      <c r="O35" s="509">
        <v>448.1</v>
      </c>
      <c r="P35" s="509">
        <v>448.1</v>
      </c>
      <c r="Q35" s="509">
        <v>448.1</v>
      </c>
      <c r="R35" s="509">
        <v>448.1</v>
      </c>
      <c r="S35" s="509">
        <v>448.1</v>
      </c>
      <c r="T35" s="509">
        <v>448.1</v>
      </c>
      <c r="U35" s="509">
        <v>448.1</v>
      </c>
      <c r="V35" s="509">
        <v>448.1</v>
      </c>
      <c r="W35" s="509">
        <v>448.1</v>
      </c>
      <c r="X35" s="509">
        <v>448.1</v>
      </c>
      <c r="Y35" s="509">
        <v>448.1</v>
      </c>
      <c r="Z35" s="509">
        <v>448.1</v>
      </c>
      <c r="AA35" s="509">
        <v>448.1</v>
      </c>
      <c r="AB35" s="509">
        <v>448.1</v>
      </c>
      <c r="AC35" s="509">
        <v>448.1</v>
      </c>
      <c r="AD35" s="509">
        <v>448.1</v>
      </c>
      <c r="AE35" s="509">
        <v>448.1</v>
      </c>
      <c r="AF35" s="509">
        <v>448.1</v>
      </c>
      <c r="AG35" s="509">
        <v>448.1</v>
      </c>
      <c r="AH35" s="509">
        <v>448.1</v>
      </c>
      <c r="AI35" s="509">
        <v>448.1</v>
      </c>
      <c r="AJ35" s="509">
        <v>448.1</v>
      </c>
      <c r="AK35" s="509">
        <v>448.1</v>
      </c>
      <c r="AL35" s="509">
        <v>448.1</v>
      </c>
      <c r="AM35" s="509">
        <v>448.1</v>
      </c>
      <c r="AN35" s="509">
        <v>448.1</v>
      </c>
      <c r="AO35" s="509">
        <v>448.1</v>
      </c>
      <c r="AP35" s="509">
        <v>448.1</v>
      </c>
    </row>
    <row r="36" spans="1:44">
      <c r="A36">
        <v>86</v>
      </c>
      <c r="B36" s="156" t="s">
        <v>335</v>
      </c>
      <c r="C36" s="156" t="s">
        <v>287</v>
      </c>
      <c r="D36" s="509">
        <v>170.34</v>
      </c>
      <c r="E36" s="509">
        <v>170.34</v>
      </c>
      <c r="F36" s="509">
        <v>170.34</v>
      </c>
      <c r="G36" s="509">
        <v>170.34</v>
      </c>
      <c r="H36" s="509">
        <v>170.34</v>
      </c>
      <c r="I36" s="509">
        <v>170.34</v>
      </c>
      <c r="J36" s="509">
        <v>170.34</v>
      </c>
      <c r="K36" s="509">
        <v>170.34</v>
      </c>
      <c r="L36" s="509">
        <v>170.34</v>
      </c>
      <c r="M36" s="509">
        <v>170.34</v>
      </c>
      <c r="N36" s="509">
        <v>170.34</v>
      </c>
      <c r="O36" s="509">
        <v>170.34</v>
      </c>
      <c r="P36" s="509">
        <v>170.34</v>
      </c>
      <c r="Q36" s="509">
        <v>170.34</v>
      </c>
      <c r="R36" s="509">
        <v>170.34</v>
      </c>
      <c r="S36" s="509">
        <v>170.34</v>
      </c>
      <c r="T36" s="509">
        <v>170.34</v>
      </c>
      <c r="U36" s="509">
        <v>170.34</v>
      </c>
      <c r="V36" s="509">
        <v>170.34</v>
      </c>
      <c r="W36" s="509">
        <v>170.34</v>
      </c>
      <c r="X36" s="509">
        <v>170.34</v>
      </c>
      <c r="Y36" s="509">
        <v>170.34</v>
      </c>
      <c r="Z36" s="509">
        <v>170.34</v>
      </c>
      <c r="AA36" s="509">
        <v>170.34</v>
      </c>
      <c r="AB36" s="509">
        <v>170.34</v>
      </c>
      <c r="AC36" s="509">
        <v>170.34</v>
      </c>
      <c r="AD36" s="509">
        <v>170.34</v>
      </c>
      <c r="AE36" s="509">
        <v>170.34</v>
      </c>
      <c r="AF36" s="509">
        <v>170.34</v>
      </c>
      <c r="AG36" s="509">
        <v>170.34</v>
      </c>
      <c r="AH36" s="509">
        <v>170.34</v>
      </c>
      <c r="AI36" s="509">
        <v>170.34</v>
      </c>
      <c r="AJ36" s="509">
        <v>170.34</v>
      </c>
      <c r="AK36" s="509">
        <v>170.34</v>
      </c>
      <c r="AL36" s="509">
        <v>170.34</v>
      </c>
      <c r="AM36" s="509">
        <v>170.34</v>
      </c>
      <c r="AN36" s="509">
        <v>170.34</v>
      </c>
      <c r="AO36" s="509">
        <v>170.34</v>
      </c>
      <c r="AP36" s="509">
        <v>170.34</v>
      </c>
    </row>
    <row r="37" spans="1:44">
      <c r="A37">
        <v>90</v>
      </c>
      <c r="B37" s="156" t="s">
        <v>331</v>
      </c>
      <c r="C37" s="156" t="s">
        <v>287</v>
      </c>
      <c r="D37" s="509">
        <v>533.1</v>
      </c>
      <c r="E37" s="509">
        <v>533.1</v>
      </c>
      <c r="F37" s="509">
        <v>533.1</v>
      </c>
      <c r="G37" s="509">
        <v>533.1</v>
      </c>
      <c r="H37" s="509">
        <v>533.1</v>
      </c>
      <c r="I37" s="509">
        <v>533.1</v>
      </c>
      <c r="J37" s="509">
        <v>533.1</v>
      </c>
      <c r="K37" s="509">
        <v>533.1</v>
      </c>
      <c r="L37" s="509">
        <v>533.1</v>
      </c>
      <c r="M37" s="509">
        <v>533.1</v>
      </c>
      <c r="N37" s="509">
        <v>533.1</v>
      </c>
      <c r="O37" s="509">
        <v>533.1</v>
      </c>
      <c r="P37" s="509">
        <v>533.1</v>
      </c>
      <c r="Q37" s="509">
        <v>533.1</v>
      </c>
      <c r="R37" s="509">
        <v>533.1</v>
      </c>
      <c r="S37" s="509">
        <v>533.1</v>
      </c>
      <c r="T37" s="509">
        <v>533.1</v>
      </c>
      <c r="U37" s="509">
        <v>533.1</v>
      </c>
      <c r="V37" s="509">
        <v>533.1</v>
      </c>
      <c r="W37" s="509">
        <v>533.1</v>
      </c>
      <c r="X37" s="509">
        <v>533.1</v>
      </c>
      <c r="Y37" s="509">
        <v>533.1</v>
      </c>
      <c r="Z37" s="509">
        <v>533.1</v>
      </c>
      <c r="AA37" s="509">
        <v>533.1</v>
      </c>
      <c r="AB37" s="509">
        <v>533.1</v>
      </c>
      <c r="AC37" s="509">
        <v>533.1</v>
      </c>
      <c r="AD37" s="509">
        <v>533.1</v>
      </c>
      <c r="AE37" s="509">
        <v>533.1</v>
      </c>
      <c r="AF37" s="509">
        <v>533.1</v>
      </c>
      <c r="AG37" s="509">
        <v>533.1</v>
      </c>
      <c r="AH37" s="509">
        <v>533.1</v>
      </c>
      <c r="AI37" s="509">
        <v>533.1</v>
      </c>
      <c r="AJ37" s="509">
        <v>533.1</v>
      </c>
      <c r="AK37" s="509">
        <v>533.1</v>
      </c>
      <c r="AL37" s="509">
        <v>533.1</v>
      </c>
      <c r="AM37" s="509">
        <v>533.1</v>
      </c>
      <c r="AN37" s="509">
        <v>533.1</v>
      </c>
      <c r="AO37" s="509">
        <v>533.1</v>
      </c>
      <c r="AP37" s="509">
        <v>533.1</v>
      </c>
      <c r="AR37" s="158" t="s">
        <v>2512</v>
      </c>
    </row>
    <row r="38" spans="1:44">
      <c r="A38">
        <v>93</v>
      </c>
      <c r="B38" s="156" t="s">
        <v>293</v>
      </c>
      <c r="C38" s="156" t="s">
        <v>280</v>
      </c>
      <c r="D38" s="509">
        <v>842.33</v>
      </c>
      <c r="E38" s="509">
        <v>842.33</v>
      </c>
      <c r="F38" s="509">
        <v>842.33</v>
      </c>
      <c r="G38" s="509">
        <v>842.33</v>
      </c>
      <c r="H38" s="509">
        <v>842.33</v>
      </c>
      <c r="I38" s="509">
        <v>842.33</v>
      </c>
      <c r="J38" s="509">
        <v>842.33</v>
      </c>
      <c r="K38" s="509">
        <v>842.33</v>
      </c>
      <c r="L38" s="509">
        <v>842.33</v>
      </c>
      <c r="M38" s="509">
        <v>842.33</v>
      </c>
      <c r="N38" s="509">
        <v>842.33</v>
      </c>
      <c r="O38" s="509">
        <v>842.33</v>
      </c>
      <c r="P38" s="509">
        <v>842.33</v>
      </c>
      <c r="Q38" s="509">
        <v>842.33</v>
      </c>
      <c r="R38" s="509">
        <v>842.33</v>
      </c>
      <c r="S38" s="509">
        <v>842.33</v>
      </c>
      <c r="T38" s="509">
        <v>842.33</v>
      </c>
      <c r="U38" s="509">
        <v>842.33</v>
      </c>
      <c r="V38" s="509">
        <v>842.33</v>
      </c>
      <c r="W38" s="509">
        <v>842.33</v>
      </c>
      <c r="X38" s="509">
        <v>842.33</v>
      </c>
      <c r="Y38" s="509">
        <v>842.33</v>
      </c>
      <c r="Z38" s="509">
        <v>842.33</v>
      </c>
      <c r="AA38" s="509">
        <v>842.33</v>
      </c>
      <c r="AB38" s="509">
        <v>842.33</v>
      </c>
      <c r="AC38" s="509">
        <v>842.33</v>
      </c>
      <c r="AD38" s="509">
        <v>842.33</v>
      </c>
      <c r="AE38" s="509">
        <v>842.33</v>
      </c>
      <c r="AF38" s="509">
        <v>842.33</v>
      </c>
      <c r="AG38" s="509">
        <v>842.33</v>
      </c>
      <c r="AH38" s="509">
        <v>842.33</v>
      </c>
      <c r="AI38" s="509">
        <v>842.33</v>
      </c>
      <c r="AJ38" s="509">
        <v>842.33</v>
      </c>
      <c r="AK38" s="509">
        <v>842.33</v>
      </c>
      <c r="AL38" s="509">
        <v>842.33</v>
      </c>
      <c r="AM38" s="509">
        <v>842.33</v>
      </c>
      <c r="AN38" s="509">
        <v>842.33</v>
      </c>
      <c r="AO38" s="509">
        <v>842.33</v>
      </c>
      <c r="AP38" s="509">
        <v>842.33</v>
      </c>
      <c r="AR38" s="158" t="s">
        <v>2512</v>
      </c>
    </row>
    <row r="39" spans="1:44">
      <c r="A39">
        <v>94</v>
      </c>
      <c r="B39" s="156" t="s">
        <v>375</v>
      </c>
      <c r="C39" s="156" t="s">
        <v>280</v>
      </c>
      <c r="D39" s="509">
        <v>842.33</v>
      </c>
      <c r="E39" s="509">
        <v>842.33</v>
      </c>
      <c r="F39" s="509">
        <v>842.33</v>
      </c>
      <c r="G39" s="509">
        <v>842.33</v>
      </c>
      <c r="H39" s="509">
        <v>842.33</v>
      </c>
      <c r="I39" s="509">
        <v>842.33</v>
      </c>
      <c r="J39" s="509">
        <v>842.33</v>
      </c>
      <c r="K39" s="509">
        <v>842.33</v>
      </c>
      <c r="L39" s="509">
        <v>842.33</v>
      </c>
      <c r="M39" s="509">
        <v>842.33</v>
      </c>
      <c r="N39" s="509">
        <v>842.33</v>
      </c>
      <c r="O39" s="509">
        <v>842.33</v>
      </c>
      <c r="P39" s="509">
        <v>842.33</v>
      </c>
      <c r="Q39" s="509">
        <v>842.33</v>
      </c>
      <c r="R39" s="509">
        <v>842.33</v>
      </c>
      <c r="S39" s="509">
        <v>842.33</v>
      </c>
      <c r="T39" s="509">
        <v>842.33</v>
      </c>
      <c r="U39" s="509">
        <v>842.33</v>
      </c>
      <c r="V39" s="509">
        <v>842.33</v>
      </c>
      <c r="W39" s="509">
        <v>842.33</v>
      </c>
      <c r="X39" s="509">
        <v>842.33</v>
      </c>
      <c r="Y39" s="509">
        <v>842.33</v>
      </c>
      <c r="Z39" s="509">
        <v>842.33</v>
      </c>
      <c r="AA39" s="509">
        <v>842.33</v>
      </c>
      <c r="AB39" s="509">
        <v>842.33</v>
      </c>
      <c r="AC39" s="509">
        <v>842.33</v>
      </c>
      <c r="AD39" s="509">
        <v>842.33</v>
      </c>
      <c r="AE39" s="509">
        <v>842.33</v>
      </c>
      <c r="AF39" s="509">
        <v>842.33</v>
      </c>
      <c r="AG39" s="509">
        <v>842.33</v>
      </c>
      <c r="AH39" s="509">
        <v>842.33</v>
      </c>
      <c r="AI39" s="509">
        <v>842.33</v>
      </c>
      <c r="AJ39" s="509">
        <v>842.33</v>
      </c>
      <c r="AK39" s="509">
        <v>842.33</v>
      </c>
      <c r="AL39" s="509">
        <v>842.33</v>
      </c>
      <c r="AM39" s="509">
        <v>842.33</v>
      </c>
      <c r="AN39" s="509">
        <v>842.33</v>
      </c>
      <c r="AO39" s="509">
        <v>842.33</v>
      </c>
      <c r="AP39" s="509">
        <v>842.33</v>
      </c>
    </row>
    <row r="40" spans="1:44">
      <c r="A40">
        <v>96</v>
      </c>
      <c r="B40" s="156" t="s">
        <v>386</v>
      </c>
      <c r="C40" s="156" t="s">
        <v>287</v>
      </c>
      <c r="D40" s="509">
        <v>99.92</v>
      </c>
      <c r="E40" s="509">
        <v>99.92</v>
      </c>
      <c r="F40" s="509">
        <v>99.92</v>
      </c>
      <c r="G40" s="509">
        <v>99.92</v>
      </c>
      <c r="H40" s="509">
        <v>99.92</v>
      </c>
      <c r="I40" s="509">
        <v>99.92</v>
      </c>
      <c r="J40" s="509">
        <v>99.92</v>
      </c>
      <c r="K40" s="509">
        <v>99.92</v>
      </c>
      <c r="L40" s="509">
        <v>99.92</v>
      </c>
      <c r="M40" s="509">
        <v>99.92</v>
      </c>
      <c r="N40" s="509">
        <v>99.92</v>
      </c>
      <c r="O40" s="509">
        <v>99.92</v>
      </c>
      <c r="P40" s="509">
        <v>99.92</v>
      </c>
      <c r="Q40" s="509">
        <v>99.92</v>
      </c>
      <c r="R40" s="509">
        <v>99.92</v>
      </c>
      <c r="S40" s="509">
        <v>99.92</v>
      </c>
      <c r="T40" s="509">
        <v>99.92</v>
      </c>
      <c r="U40" s="509">
        <v>99.92</v>
      </c>
      <c r="V40" s="509">
        <v>99.92</v>
      </c>
      <c r="W40" s="509">
        <v>99.92</v>
      </c>
      <c r="X40" s="509">
        <v>99.92</v>
      </c>
      <c r="Y40" s="509">
        <v>99.92</v>
      </c>
      <c r="Z40" s="509">
        <v>99.92</v>
      </c>
      <c r="AA40" s="509">
        <v>99.92</v>
      </c>
      <c r="AB40" s="509">
        <v>99.92</v>
      </c>
      <c r="AC40" s="509">
        <v>99.92</v>
      </c>
      <c r="AD40" s="509">
        <v>99.92</v>
      </c>
      <c r="AE40" s="509">
        <v>99.92</v>
      </c>
      <c r="AF40" s="509">
        <v>99.92</v>
      </c>
      <c r="AG40" s="509">
        <v>99.92</v>
      </c>
      <c r="AH40" s="509">
        <v>99.92</v>
      </c>
      <c r="AI40" s="509">
        <v>99.92</v>
      </c>
      <c r="AJ40" s="509">
        <v>99.92</v>
      </c>
      <c r="AK40" s="509">
        <v>99.92</v>
      </c>
      <c r="AL40" s="509">
        <v>99.92</v>
      </c>
      <c r="AM40" s="509">
        <v>99.92</v>
      </c>
      <c r="AN40" s="509">
        <v>99.92</v>
      </c>
      <c r="AO40" s="509">
        <v>99.92</v>
      </c>
      <c r="AP40" s="509">
        <v>99.92</v>
      </c>
    </row>
    <row r="41" spans="1:44">
      <c r="A41">
        <v>98</v>
      </c>
      <c r="B41" s="156" t="s">
        <v>360</v>
      </c>
      <c r="C41" s="156" t="s">
        <v>290</v>
      </c>
      <c r="D41" s="509">
        <v>489.8</v>
      </c>
      <c r="E41" s="509">
        <v>489.8</v>
      </c>
      <c r="F41" s="509">
        <v>489.8</v>
      </c>
      <c r="G41" s="509">
        <v>489.8</v>
      </c>
      <c r="H41" s="509">
        <v>489.8</v>
      </c>
      <c r="I41" s="509">
        <v>489.8</v>
      </c>
      <c r="J41" s="509">
        <v>489.8</v>
      </c>
      <c r="K41" s="509">
        <v>489.8</v>
      </c>
      <c r="L41" s="509">
        <v>489.8</v>
      </c>
      <c r="M41" s="509">
        <v>489.8</v>
      </c>
      <c r="N41" s="509">
        <v>489.8</v>
      </c>
      <c r="O41" s="509">
        <v>489.8</v>
      </c>
      <c r="P41" s="509">
        <v>489.8</v>
      </c>
      <c r="Q41" s="509">
        <v>489.8</v>
      </c>
      <c r="R41" s="509">
        <v>489.8</v>
      </c>
      <c r="S41" s="509">
        <v>489.8</v>
      </c>
      <c r="T41" s="509">
        <v>489.8</v>
      </c>
      <c r="U41" s="509">
        <v>489.8</v>
      </c>
      <c r="V41" s="509">
        <v>489.8</v>
      </c>
      <c r="W41" s="509">
        <v>489.8</v>
      </c>
      <c r="X41" s="509">
        <v>489.8</v>
      </c>
      <c r="Y41" s="509">
        <v>489.8</v>
      </c>
      <c r="Z41" s="509">
        <v>489.8</v>
      </c>
      <c r="AA41" s="509">
        <v>489.8</v>
      </c>
      <c r="AB41" s="509">
        <v>489.8</v>
      </c>
      <c r="AC41" s="509">
        <v>489.8</v>
      </c>
      <c r="AD41" s="509">
        <v>489.8</v>
      </c>
      <c r="AE41" s="509">
        <v>489.8</v>
      </c>
      <c r="AF41" s="509">
        <v>489.8</v>
      </c>
      <c r="AG41" s="509">
        <v>489.8</v>
      </c>
      <c r="AH41" s="509">
        <v>489.8</v>
      </c>
      <c r="AI41" s="509">
        <v>489.8</v>
      </c>
      <c r="AJ41" s="509">
        <v>489.8</v>
      </c>
      <c r="AK41" s="509">
        <v>489.8</v>
      </c>
      <c r="AL41" s="509">
        <v>489.8</v>
      </c>
      <c r="AM41" s="509">
        <v>489.8</v>
      </c>
      <c r="AN41" s="509">
        <v>489.8</v>
      </c>
      <c r="AO41" s="509">
        <v>489.8</v>
      </c>
      <c r="AP41" s="509">
        <v>489.8</v>
      </c>
    </row>
    <row r="42" spans="1:44">
      <c r="A42">
        <v>107</v>
      </c>
      <c r="B42" s="156" t="s">
        <v>356</v>
      </c>
      <c r="C42" s="156" t="s">
        <v>298</v>
      </c>
      <c r="D42" s="509">
        <v>57.63</v>
      </c>
      <c r="E42" s="509">
        <v>57.63</v>
      </c>
      <c r="F42" s="509">
        <v>57.63</v>
      </c>
      <c r="G42" s="509">
        <v>57.63</v>
      </c>
      <c r="H42" s="509">
        <v>57.63</v>
      </c>
      <c r="I42" s="509">
        <v>57.63</v>
      </c>
      <c r="J42" s="509">
        <v>57.63</v>
      </c>
      <c r="K42" s="509">
        <v>57.63</v>
      </c>
      <c r="L42" s="509">
        <v>57.63</v>
      </c>
      <c r="M42" s="509">
        <v>57.63</v>
      </c>
      <c r="N42" s="509">
        <v>57.63</v>
      </c>
      <c r="O42" s="509">
        <v>57.63</v>
      </c>
      <c r="P42" s="509">
        <v>57.63</v>
      </c>
      <c r="Q42" s="509">
        <v>57.63</v>
      </c>
      <c r="R42" s="509">
        <v>57.63</v>
      </c>
      <c r="S42" s="509">
        <v>57.63</v>
      </c>
      <c r="T42" s="509">
        <v>57.63</v>
      </c>
      <c r="U42" s="509">
        <v>57.63</v>
      </c>
      <c r="V42" s="509">
        <v>57.63</v>
      </c>
      <c r="W42" s="509">
        <v>57.63</v>
      </c>
      <c r="X42" s="509">
        <v>57.63</v>
      </c>
      <c r="Y42" s="509">
        <v>57.63</v>
      </c>
      <c r="Z42" s="509">
        <v>57.63</v>
      </c>
      <c r="AA42" s="509">
        <v>57.63</v>
      </c>
      <c r="AB42" s="509">
        <v>57.63</v>
      </c>
      <c r="AC42" s="509">
        <v>57.63</v>
      </c>
      <c r="AD42" s="509">
        <v>57.63</v>
      </c>
      <c r="AE42" s="509">
        <v>57.63</v>
      </c>
      <c r="AF42" s="509">
        <v>57.63</v>
      </c>
      <c r="AG42" s="509">
        <v>57.63</v>
      </c>
      <c r="AH42" s="509">
        <v>57.63</v>
      </c>
      <c r="AI42" s="509">
        <v>57.63</v>
      </c>
      <c r="AJ42" s="509">
        <v>57.63</v>
      </c>
      <c r="AK42" s="509">
        <v>57.63</v>
      </c>
      <c r="AL42" s="509">
        <v>57.63</v>
      </c>
      <c r="AM42" s="509">
        <v>57.63</v>
      </c>
      <c r="AN42" s="509">
        <v>57.63</v>
      </c>
      <c r="AO42" s="509">
        <v>57.63</v>
      </c>
      <c r="AP42" s="509">
        <v>57.63</v>
      </c>
    </row>
    <row r="43" spans="1:44">
      <c r="A43">
        <v>110</v>
      </c>
      <c r="B43" s="156" t="s">
        <v>346</v>
      </c>
      <c r="C43" s="156" t="s">
        <v>287</v>
      </c>
      <c r="D43" s="509">
        <v>568.29</v>
      </c>
      <c r="E43" s="509">
        <v>568.29</v>
      </c>
      <c r="F43" s="509">
        <v>568.29</v>
      </c>
      <c r="G43" s="509">
        <v>568.29</v>
      </c>
      <c r="H43" s="509">
        <v>568.29</v>
      </c>
      <c r="I43" s="509">
        <v>568.29</v>
      </c>
      <c r="J43" s="509">
        <v>568.29</v>
      </c>
      <c r="K43" s="509">
        <v>568.29</v>
      </c>
      <c r="L43" s="509">
        <v>568.29</v>
      </c>
      <c r="M43" s="509">
        <v>568.29</v>
      </c>
      <c r="N43" s="509">
        <v>568.29</v>
      </c>
      <c r="O43" s="509">
        <v>568.29</v>
      </c>
      <c r="P43" s="509">
        <v>568.29</v>
      </c>
      <c r="Q43" s="509">
        <v>568.29</v>
      </c>
      <c r="R43" s="509">
        <v>568.29</v>
      </c>
      <c r="S43" s="509">
        <v>568.29</v>
      </c>
      <c r="T43" s="509">
        <v>568.29</v>
      </c>
      <c r="U43" s="509">
        <v>568.29</v>
      </c>
      <c r="V43" s="509">
        <v>568.29</v>
      </c>
      <c r="W43" s="509">
        <v>568.29</v>
      </c>
      <c r="X43" s="509">
        <v>568.29</v>
      </c>
      <c r="Y43" s="509">
        <v>568.29</v>
      </c>
      <c r="Z43" s="509">
        <v>568.29</v>
      </c>
      <c r="AA43" s="509">
        <v>568.29</v>
      </c>
      <c r="AB43" s="509">
        <v>568.29</v>
      </c>
      <c r="AC43" s="509">
        <v>568.29</v>
      </c>
      <c r="AD43" s="509">
        <v>568.29</v>
      </c>
      <c r="AE43" s="509">
        <v>568.29</v>
      </c>
      <c r="AF43" s="509">
        <v>568.29</v>
      </c>
      <c r="AG43" s="509">
        <v>568.29</v>
      </c>
      <c r="AH43" s="509">
        <v>568.29</v>
      </c>
      <c r="AI43" s="509">
        <v>568.29</v>
      </c>
      <c r="AJ43" s="509">
        <v>568.29</v>
      </c>
      <c r="AK43" s="509">
        <v>568.29</v>
      </c>
      <c r="AL43" s="509">
        <v>568.29</v>
      </c>
      <c r="AM43" s="509">
        <v>568.29</v>
      </c>
      <c r="AN43" s="509">
        <v>568.29</v>
      </c>
      <c r="AO43" s="509">
        <v>568.29</v>
      </c>
      <c r="AP43" s="509">
        <v>568.29</v>
      </c>
      <c r="AR43" s="158" t="s">
        <v>287</v>
      </c>
    </row>
    <row r="44" spans="1:44">
      <c r="A44">
        <v>116</v>
      </c>
      <c r="B44" s="156" t="s">
        <v>365</v>
      </c>
      <c r="C44" s="156" t="s">
        <v>287</v>
      </c>
      <c r="D44" s="509">
        <v>117.46</v>
      </c>
      <c r="E44" s="509">
        <v>117.46</v>
      </c>
      <c r="F44" s="509">
        <v>117.46</v>
      </c>
      <c r="G44" s="509">
        <v>117.46</v>
      </c>
      <c r="H44" s="509">
        <v>117.46</v>
      </c>
      <c r="I44" s="509">
        <v>117.46</v>
      </c>
      <c r="J44" s="509">
        <v>117.46</v>
      </c>
      <c r="K44" s="509">
        <v>117.46</v>
      </c>
      <c r="L44" s="509">
        <v>117.46</v>
      </c>
      <c r="M44" s="509">
        <v>117.46</v>
      </c>
      <c r="N44" s="509">
        <v>117.46</v>
      </c>
      <c r="O44" s="509">
        <v>117.46</v>
      </c>
      <c r="P44" s="509">
        <v>117.46</v>
      </c>
      <c r="Q44" s="509">
        <v>117.46</v>
      </c>
      <c r="R44" s="509">
        <v>117.46</v>
      </c>
      <c r="S44" s="509">
        <v>117.46</v>
      </c>
      <c r="T44" s="509">
        <v>117.46</v>
      </c>
      <c r="U44" s="509">
        <v>117.46</v>
      </c>
      <c r="V44" s="509">
        <v>117.46</v>
      </c>
      <c r="W44" s="509">
        <v>117.46</v>
      </c>
      <c r="X44" s="509">
        <v>117.46</v>
      </c>
      <c r="Y44" s="509">
        <v>117.46</v>
      </c>
      <c r="Z44" s="509">
        <v>117.46</v>
      </c>
      <c r="AA44" s="509">
        <v>117.46</v>
      </c>
      <c r="AB44" s="509">
        <v>117.46</v>
      </c>
      <c r="AC44" s="509">
        <v>117.46</v>
      </c>
      <c r="AD44" s="509">
        <v>117.46</v>
      </c>
      <c r="AE44" s="509">
        <v>117.46</v>
      </c>
      <c r="AF44" s="509">
        <v>117.46</v>
      </c>
      <c r="AG44" s="509">
        <v>117.46</v>
      </c>
      <c r="AH44" s="509">
        <v>117.46</v>
      </c>
      <c r="AI44" s="509">
        <v>117.46</v>
      </c>
      <c r="AJ44" s="509">
        <v>117.46</v>
      </c>
      <c r="AK44" s="509">
        <v>117.46</v>
      </c>
      <c r="AL44" s="509">
        <v>117.46</v>
      </c>
      <c r="AM44" s="509">
        <v>117.46</v>
      </c>
      <c r="AN44" s="509">
        <v>117.46</v>
      </c>
      <c r="AO44" s="509">
        <v>117.46</v>
      </c>
      <c r="AP44" s="509">
        <v>117.46</v>
      </c>
    </row>
    <row r="45" spans="1:44">
      <c r="A45">
        <v>140</v>
      </c>
      <c r="B45" s="156" t="s">
        <v>337</v>
      </c>
      <c r="C45" s="156" t="s">
        <v>287</v>
      </c>
      <c r="D45" s="509">
        <v>88.11</v>
      </c>
      <c r="E45" s="509">
        <v>88.11</v>
      </c>
      <c r="F45" s="509">
        <v>88.11</v>
      </c>
      <c r="G45" s="509">
        <v>88.11</v>
      </c>
      <c r="H45" s="509">
        <v>88.11</v>
      </c>
      <c r="I45" s="509">
        <v>88.11</v>
      </c>
      <c r="J45" s="509">
        <v>88.11</v>
      </c>
      <c r="K45" s="509">
        <v>88.11</v>
      </c>
      <c r="L45" s="509">
        <v>88.11</v>
      </c>
      <c r="M45" s="509">
        <v>88.11</v>
      </c>
      <c r="N45" s="509">
        <v>88.11</v>
      </c>
      <c r="O45" s="509">
        <v>88.11</v>
      </c>
      <c r="P45" s="509">
        <v>88.11</v>
      </c>
      <c r="Q45" s="509">
        <v>88.11</v>
      </c>
      <c r="R45" s="509">
        <v>88.11</v>
      </c>
      <c r="S45" s="509">
        <v>88.11</v>
      </c>
      <c r="T45" s="509">
        <v>88.11</v>
      </c>
      <c r="U45" s="509">
        <v>88.11</v>
      </c>
      <c r="V45" s="509">
        <v>88.11</v>
      </c>
      <c r="W45" s="509">
        <v>88.11</v>
      </c>
      <c r="X45" s="509">
        <v>88.11</v>
      </c>
      <c r="Y45" s="509">
        <v>88.11</v>
      </c>
      <c r="Z45" s="509">
        <v>88.11</v>
      </c>
      <c r="AA45" s="509">
        <v>88.11</v>
      </c>
      <c r="AB45" s="509">
        <v>88.11</v>
      </c>
      <c r="AC45" s="509">
        <v>88.11</v>
      </c>
      <c r="AD45" s="509">
        <v>88.11</v>
      </c>
      <c r="AE45" s="509">
        <v>88.11</v>
      </c>
      <c r="AF45" s="509">
        <v>88.11</v>
      </c>
      <c r="AG45" s="509">
        <v>88.11</v>
      </c>
      <c r="AH45" s="509">
        <v>88.11</v>
      </c>
      <c r="AI45" s="509">
        <v>88.11</v>
      </c>
      <c r="AJ45" s="509">
        <v>88.11</v>
      </c>
      <c r="AK45" s="509">
        <v>88.11</v>
      </c>
      <c r="AL45" s="509">
        <v>88.11</v>
      </c>
      <c r="AM45" s="509">
        <v>88.11</v>
      </c>
      <c r="AN45" s="509">
        <v>88.11</v>
      </c>
      <c r="AO45" s="509">
        <v>88.11</v>
      </c>
      <c r="AP45" s="509">
        <v>88.11</v>
      </c>
      <c r="AR45" s="158" t="s">
        <v>287</v>
      </c>
    </row>
    <row r="46" spans="1:44">
      <c r="A46">
        <v>141</v>
      </c>
      <c r="B46" s="156" t="s">
        <v>338</v>
      </c>
      <c r="C46" s="156" t="s">
        <v>290</v>
      </c>
      <c r="D46" s="509">
        <v>1280.52</v>
      </c>
      <c r="E46" s="509">
        <v>1280.52</v>
      </c>
      <c r="F46" s="509">
        <v>1280.52</v>
      </c>
      <c r="G46" s="509">
        <v>1280.52</v>
      </c>
      <c r="H46" s="509">
        <v>1280.52</v>
      </c>
      <c r="I46" s="509">
        <v>1280.52</v>
      </c>
      <c r="J46" s="509">
        <v>1280.52</v>
      </c>
      <c r="K46" s="509">
        <v>1280.52</v>
      </c>
      <c r="L46" s="509">
        <v>1280.52</v>
      </c>
      <c r="M46" s="509">
        <v>1280.52</v>
      </c>
      <c r="N46" s="509">
        <v>1280.52</v>
      </c>
      <c r="O46" s="509">
        <v>1280.52</v>
      </c>
      <c r="P46" s="509">
        <v>1280.52</v>
      </c>
      <c r="Q46" s="509">
        <v>1280.52</v>
      </c>
      <c r="R46" s="509">
        <v>1280.52</v>
      </c>
      <c r="S46" s="509">
        <v>1280.52</v>
      </c>
      <c r="T46" s="509">
        <v>1280.52</v>
      </c>
      <c r="U46" s="509">
        <v>1280.52</v>
      </c>
      <c r="V46" s="509">
        <v>1280.52</v>
      </c>
      <c r="W46" s="509">
        <v>1280.52</v>
      </c>
      <c r="X46" s="509">
        <v>1280.52</v>
      </c>
      <c r="Y46" s="509">
        <v>1280.52</v>
      </c>
      <c r="Z46" s="509">
        <v>1280.52</v>
      </c>
      <c r="AA46" s="509">
        <v>1280.52</v>
      </c>
      <c r="AB46" s="509">
        <v>1280.52</v>
      </c>
      <c r="AC46" s="509">
        <v>1280.52</v>
      </c>
      <c r="AD46" s="509">
        <v>1280.52</v>
      </c>
      <c r="AE46" s="509">
        <v>1280.52</v>
      </c>
      <c r="AF46" s="509">
        <v>1280.52</v>
      </c>
      <c r="AG46" s="509">
        <v>1280.52</v>
      </c>
      <c r="AH46" s="509">
        <v>1280.52</v>
      </c>
      <c r="AI46" s="509">
        <v>1280.52</v>
      </c>
      <c r="AJ46" s="509">
        <v>1280.52</v>
      </c>
      <c r="AK46" s="509">
        <v>1280.52</v>
      </c>
      <c r="AL46" s="509">
        <v>1280.52</v>
      </c>
      <c r="AM46" s="509">
        <v>1280.52</v>
      </c>
      <c r="AN46" s="509">
        <v>1280.52</v>
      </c>
      <c r="AO46" s="509">
        <v>1280.52</v>
      </c>
      <c r="AP46" s="509">
        <v>1280.52</v>
      </c>
      <c r="AR46" s="158" t="s">
        <v>287</v>
      </c>
    </row>
    <row r="47" spans="1:44">
      <c r="A47">
        <v>147</v>
      </c>
      <c r="B47" s="156" t="s">
        <v>371</v>
      </c>
      <c r="C47" s="156" t="s">
        <v>287</v>
      </c>
      <c r="D47" s="509">
        <v>134.18</v>
      </c>
      <c r="E47" s="509">
        <v>134.18</v>
      </c>
      <c r="F47" s="509">
        <v>134.18</v>
      </c>
      <c r="G47" s="509">
        <v>134.18</v>
      </c>
      <c r="H47" s="509">
        <v>134.18</v>
      </c>
      <c r="I47" s="509">
        <v>134.18</v>
      </c>
      <c r="J47" s="509">
        <v>134.18</v>
      </c>
      <c r="K47" s="509">
        <v>134.18</v>
      </c>
      <c r="L47" s="509">
        <v>134.18</v>
      </c>
      <c r="M47" s="509">
        <v>134.18</v>
      </c>
      <c r="N47" s="509">
        <v>134.18</v>
      </c>
      <c r="O47" s="509">
        <v>134.18</v>
      </c>
      <c r="P47" s="509">
        <v>134.18</v>
      </c>
      <c r="Q47" s="509">
        <v>134.18</v>
      </c>
      <c r="R47" s="509">
        <v>134.18</v>
      </c>
      <c r="S47" s="509">
        <v>134.18</v>
      </c>
      <c r="T47" s="509">
        <v>134.18</v>
      </c>
      <c r="U47" s="509">
        <v>134.18</v>
      </c>
      <c r="V47" s="509">
        <v>134.18</v>
      </c>
      <c r="W47" s="509">
        <v>134.18</v>
      </c>
      <c r="X47" s="509">
        <v>134.18</v>
      </c>
      <c r="Y47" s="509">
        <v>134.18</v>
      </c>
      <c r="Z47" s="509">
        <v>134.18</v>
      </c>
      <c r="AA47" s="509">
        <v>134.18</v>
      </c>
      <c r="AB47" s="509">
        <v>134.18</v>
      </c>
      <c r="AC47" s="509">
        <v>134.18</v>
      </c>
      <c r="AD47" s="509">
        <v>134.18</v>
      </c>
      <c r="AE47" s="509">
        <v>134.18</v>
      </c>
      <c r="AF47" s="509">
        <v>134.18</v>
      </c>
      <c r="AG47" s="509">
        <v>134.18</v>
      </c>
      <c r="AH47" s="509">
        <v>134.18</v>
      </c>
      <c r="AI47" s="509">
        <v>134.18</v>
      </c>
      <c r="AJ47" s="509">
        <v>134.18</v>
      </c>
      <c r="AK47" s="509">
        <v>134.18</v>
      </c>
      <c r="AL47" s="509">
        <v>134.18</v>
      </c>
      <c r="AM47" s="509">
        <v>134.18</v>
      </c>
      <c r="AN47" s="509">
        <v>134.18</v>
      </c>
      <c r="AO47" s="509">
        <v>134.18</v>
      </c>
      <c r="AP47" s="509">
        <v>134.18</v>
      </c>
    </row>
    <row r="48" spans="1:44">
      <c r="A48">
        <v>156</v>
      </c>
      <c r="B48" s="156" t="s">
        <v>297</v>
      </c>
      <c r="C48" s="156" t="s">
        <v>298</v>
      </c>
      <c r="D48" s="509">
        <v>77.12</v>
      </c>
      <c r="E48" s="509">
        <v>77.12</v>
      </c>
      <c r="F48" s="509">
        <v>77.12</v>
      </c>
      <c r="G48" s="509">
        <v>77.12</v>
      </c>
      <c r="H48" s="509">
        <v>77.12</v>
      </c>
      <c r="I48" s="509">
        <v>77.12</v>
      </c>
      <c r="J48" s="509">
        <v>77.12</v>
      </c>
      <c r="K48" s="509">
        <v>77.12</v>
      </c>
      <c r="L48" s="509">
        <v>77.12</v>
      </c>
      <c r="M48" s="509">
        <v>77.12</v>
      </c>
      <c r="N48" s="509">
        <v>77.12</v>
      </c>
      <c r="O48" s="509">
        <v>77.12</v>
      </c>
      <c r="P48" s="509">
        <v>77.12</v>
      </c>
      <c r="Q48" s="509">
        <v>77.12</v>
      </c>
      <c r="R48" s="509">
        <v>77.12</v>
      </c>
      <c r="S48" s="509">
        <v>77.12</v>
      </c>
      <c r="T48" s="509">
        <v>77.12</v>
      </c>
      <c r="U48" s="509">
        <v>77.12</v>
      </c>
      <c r="V48" s="509">
        <v>77.12</v>
      </c>
      <c r="W48" s="509">
        <v>77.12</v>
      </c>
      <c r="X48" s="509">
        <v>77.12</v>
      </c>
      <c r="Y48" s="509">
        <v>77.12</v>
      </c>
      <c r="Z48" s="509">
        <v>77.12</v>
      </c>
      <c r="AA48" s="509">
        <v>77.12</v>
      </c>
      <c r="AB48" s="509">
        <v>77.12</v>
      </c>
      <c r="AC48" s="509">
        <v>77.12</v>
      </c>
      <c r="AD48" s="509">
        <v>77.12</v>
      </c>
      <c r="AE48" s="509">
        <v>77.12</v>
      </c>
      <c r="AF48" s="509">
        <v>77.12</v>
      </c>
      <c r="AG48" s="509">
        <v>77.12</v>
      </c>
      <c r="AH48" s="509">
        <v>77.12</v>
      </c>
      <c r="AI48" s="509">
        <v>77.12</v>
      </c>
      <c r="AJ48" s="509">
        <v>77.12</v>
      </c>
      <c r="AK48" s="509">
        <v>77.12</v>
      </c>
      <c r="AL48" s="509">
        <v>77.12</v>
      </c>
      <c r="AM48" s="509">
        <v>77.12</v>
      </c>
      <c r="AN48" s="509">
        <v>77.12</v>
      </c>
      <c r="AO48" s="509">
        <v>77.12</v>
      </c>
      <c r="AP48" s="509">
        <v>77.12</v>
      </c>
      <c r="AR48" s="158" t="s">
        <v>287</v>
      </c>
    </row>
    <row r="49" spans="1:44">
      <c r="A49">
        <v>163</v>
      </c>
      <c r="B49" s="156" t="s">
        <v>351</v>
      </c>
      <c r="C49" s="156" t="s">
        <v>350</v>
      </c>
      <c r="D49" s="509">
        <v>156.69999999999999</v>
      </c>
      <c r="E49" s="509">
        <v>156.69999999999999</v>
      </c>
      <c r="F49" s="509">
        <v>156.69999999999999</v>
      </c>
      <c r="G49" s="509">
        <v>156.69999999999999</v>
      </c>
      <c r="H49" s="509">
        <v>156.69999999999999</v>
      </c>
      <c r="I49" s="509">
        <v>156.69999999999999</v>
      </c>
      <c r="J49" s="509">
        <v>156.69999999999999</v>
      </c>
      <c r="K49" s="509">
        <v>156.69999999999999</v>
      </c>
      <c r="L49" s="509">
        <v>156.69999999999999</v>
      </c>
      <c r="M49" s="509">
        <v>156.69999999999999</v>
      </c>
      <c r="N49" s="509">
        <v>156.69999999999999</v>
      </c>
      <c r="O49" s="509">
        <v>156.69999999999999</v>
      </c>
      <c r="P49" s="509">
        <v>156.69999999999999</v>
      </c>
      <c r="Q49" s="509">
        <v>156.69999999999999</v>
      </c>
      <c r="R49" s="509">
        <v>156.69999999999999</v>
      </c>
      <c r="S49" s="509">
        <v>156.69999999999999</v>
      </c>
      <c r="T49" s="509">
        <v>156.69999999999999</v>
      </c>
      <c r="U49" s="509">
        <v>156.69999999999999</v>
      </c>
      <c r="V49" s="509">
        <v>156.69999999999999</v>
      </c>
      <c r="W49" s="509">
        <v>156.69999999999999</v>
      </c>
      <c r="X49" s="509">
        <v>156.69999999999999</v>
      </c>
      <c r="Y49" s="509">
        <v>156.69999999999999</v>
      </c>
      <c r="Z49" s="509">
        <v>156.69999999999999</v>
      </c>
      <c r="AA49" s="509">
        <v>156.69999999999999</v>
      </c>
      <c r="AB49" s="509">
        <v>156.69999999999999</v>
      </c>
      <c r="AC49" s="509">
        <v>156.69999999999999</v>
      </c>
      <c r="AD49" s="509">
        <v>156.69999999999999</v>
      </c>
      <c r="AE49" s="509">
        <v>156.69999999999999</v>
      </c>
      <c r="AF49" s="509">
        <v>156.69999999999999</v>
      </c>
      <c r="AG49" s="509">
        <v>156.69999999999999</v>
      </c>
      <c r="AH49" s="509">
        <v>156.69999999999999</v>
      </c>
      <c r="AI49" s="509">
        <v>156.69999999999999</v>
      </c>
      <c r="AJ49" s="509">
        <v>156.69999999999999</v>
      </c>
      <c r="AK49" s="509">
        <v>156.69999999999999</v>
      </c>
      <c r="AL49" s="509">
        <v>156.69999999999999</v>
      </c>
      <c r="AM49" s="509">
        <v>156.69999999999999</v>
      </c>
      <c r="AN49" s="509">
        <v>156.69999999999999</v>
      </c>
      <c r="AO49" s="509">
        <v>156.69999999999999</v>
      </c>
      <c r="AP49" s="509">
        <v>156.69999999999999</v>
      </c>
      <c r="AR49" s="158" t="s">
        <v>2512</v>
      </c>
    </row>
    <row r="50" spans="1:44">
      <c r="A50">
        <v>167</v>
      </c>
      <c r="B50" s="156" t="s">
        <v>349</v>
      </c>
      <c r="C50" s="156" t="s">
        <v>350</v>
      </c>
      <c r="D50" s="509">
        <v>144.66999999999999</v>
      </c>
      <c r="E50" s="509">
        <v>144.66999999999999</v>
      </c>
      <c r="F50" s="509">
        <v>144.66999999999999</v>
      </c>
      <c r="G50" s="509">
        <v>144.66999999999999</v>
      </c>
      <c r="H50" s="509">
        <v>144.66999999999999</v>
      </c>
      <c r="I50" s="509">
        <v>144.66999999999999</v>
      </c>
      <c r="J50" s="509">
        <v>144.66999999999999</v>
      </c>
      <c r="K50" s="509">
        <v>144.66999999999999</v>
      </c>
      <c r="L50" s="509">
        <v>144.66999999999999</v>
      </c>
      <c r="M50" s="509">
        <v>144.66999999999999</v>
      </c>
      <c r="N50" s="509">
        <v>144.66999999999999</v>
      </c>
      <c r="O50" s="509">
        <v>144.66999999999999</v>
      </c>
      <c r="P50" s="509">
        <v>144.66999999999999</v>
      </c>
      <c r="Q50" s="509">
        <v>144.66999999999999</v>
      </c>
      <c r="R50" s="509">
        <v>144.66999999999999</v>
      </c>
      <c r="S50" s="509">
        <v>144.66999999999999</v>
      </c>
      <c r="T50" s="509">
        <v>144.66999999999999</v>
      </c>
      <c r="U50" s="509">
        <v>144.66999999999999</v>
      </c>
      <c r="V50" s="509">
        <v>144.66999999999999</v>
      </c>
      <c r="W50" s="509">
        <v>144.66999999999999</v>
      </c>
      <c r="X50" s="509">
        <v>144.66999999999999</v>
      </c>
      <c r="Y50" s="509">
        <v>144.66999999999999</v>
      </c>
      <c r="Z50" s="509">
        <v>144.66999999999999</v>
      </c>
      <c r="AA50" s="509">
        <v>144.66999999999999</v>
      </c>
      <c r="AB50" s="509">
        <v>144.66999999999999</v>
      </c>
      <c r="AC50" s="509">
        <v>144.66999999999999</v>
      </c>
      <c r="AD50" s="509">
        <v>144.66999999999999</v>
      </c>
      <c r="AE50" s="509">
        <v>144.66999999999999</v>
      </c>
      <c r="AF50" s="509">
        <v>144.66999999999999</v>
      </c>
      <c r="AG50" s="509">
        <v>144.66999999999999</v>
      </c>
      <c r="AH50" s="509">
        <v>144.66999999999999</v>
      </c>
      <c r="AI50" s="509">
        <v>144.66999999999999</v>
      </c>
      <c r="AJ50" s="509">
        <v>144.66999999999999</v>
      </c>
      <c r="AK50" s="509">
        <v>144.66999999999999</v>
      </c>
      <c r="AL50" s="509">
        <v>144.66999999999999</v>
      </c>
      <c r="AM50" s="509">
        <v>144.66999999999999</v>
      </c>
      <c r="AN50" s="509">
        <v>144.66999999999999</v>
      </c>
      <c r="AO50" s="509">
        <v>144.66999999999999</v>
      </c>
      <c r="AP50" s="509">
        <v>144.66999999999999</v>
      </c>
      <c r="AR50" s="158" t="s">
        <v>287</v>
      </c>
    </row>
    <row r="51" spans="1:44">
      <c r="A51">
        <v>171</v>
      </c>
      <c r="B51" s="156" t="s">
        <v>342</v>
      </c>
      <c r="C51" s="156" t="s">
        <v>287</v>
      </c>
      <c r="D51" s="509">
        <v>88</v>
      </c>
      <c r="E51" s="509">
        <v>88</v>
      </c>
      <c r="F51" s="509">
        <v>88</v>
      </c>
      <c r="G51" s="509">
        <v>88</v>
      </c>
      <c r="H51" s="509">
        <v>88</v>
      </c>
      <c r="I51" s="509">
        <v>88</v>
      </c>
      <c r="J51" s="509">
        <v>88</v>
      </c>
      <c r="K51" s="509">
        <v>88</v>
      </c>
      <c r="L51" s="509">
        <v>88</v>
      </c>
      <c r="M51" s="509">
        <v>88</v>
      </c>
      <c r="N51" s="509">
        <v>88</v>
      </c>
      <c r="O51" s="509">
        <v>88</v>
      </c>
      <c r="P51" s="509">
        <v>88</v>
      </c>
      <c r="Q51" s="509">
        <v>88</v>
      </c>
      <c r="R51" s="509">
        <v>88</v>
      </c>
      <c r="S51" s="509">
        <v>88</v>
      </c>
      <c r="T51" s="509">
        <v>88</v>
      </c>
      <c r="U51" s="509">
        <v>88</v>
      </c>
      <c r="V51" s="509">
        <v>88</v>
      </c>
      <c r="W51" s="509">
        <v>88</v>
      </c>
      <c r="X51" s="509">
        <v>88</v>
      </c>
      <c r="Y51" s="509">
        <v>88</v>
      </c>
      <c r="Z51" s="509">
        <v>88</v>
      </c>
      <c r="AA51" s="509">
        <v>88</v>
      </c>
      <c r="AB51" s="509">
        <v>88</v>
      </c>
      <c r="AC51" s="509">
        <v>88</v>
      </c>
      <c r="AD51" s="509">
        <v>88</v>
      </c>
      <c r="AE51" s="509">
        <v>88</v>
      </c>
      <c r="AF51" s="509">
        <v>88</v>
      </c>
      <c r="AG51" s="509">
        <v>88</v>
      </c>
      <c r="AH51" s="509">
        <v>88</v>
      </c>
      <c r="AI51" s="509">
        <v>88</v>
      </c>
      <c r="AJ51" s="509">
        <v>88</v>
      </c>
      <c r="AK51" s="509">
        <v>88</v>
      </c>
      <c r="AL51" s="509">
        <v>88</v>
      </c>
      <c r="AM51" s="509">
        <v>88</v>
      </c>
      <c r="AN51" s="509">
        <v>88</v>
      </c>
      <c r="AO51" s="509">
        <v>88</v>
      </c>
      <c r="AP51" s="509">
        <v>88</v>
      </c>
      <c r="AR51" s="158" t="s">
        <v>2512</v>
      </c>
    </row>
    <row r="52" spans="1:44">
      <c r="A52">
        <v>172</v>
      </c>
      <c r="B52" s="156" t="s">
        <v>343</v>
      </c>
      <c r="C52" s="156" t="s">
        <v>287</v>
      </c>
      <c r="D52" s="509">
        <v>99.97</v>
      </c>
      <c r="E52" s="509">
        <v>99.97</v>
      </c>
      <c r="F52" s="509">
        <v>99.97</v>
      </c>
      <c r="G52" s="509">
        <v>99.97</v>
      </c>
      <c r="H52" s="509">
        <v>99.97</v>
      </c>
      <c r="I52" s="509">
        <v>99.97</v>
      </c>
      <c r="J52" s="509">
        <v>99.97</v>
      </c>
      <c r="K52" s="509">
        <v>99.97</v>
      </c>
      <c r="L52" s="509">
        <v>99.97</v>
      </c>
      <c r="M52" s="509">
        <v>99.97</v>
      </c>
      <c r="N52" s="509">
        <v>99.97</v>
      </c>
      <c r="O52" s="509">
        <v>99.97</v>
      </c>
      <c r="P52" s="509">
        <v>99.97</v>
      </c>
      <c r="Q52" s="509">
        <v>99.97</v>
      </c>
      <c r="R52" s="509">
        <v>99.97</v>
      </c>
      <c r="S52" s="509">
        <v>99.97</v>
      </c>
      <c r="T52" s="509">
        <v>99.97</v>
      </c>
      <c r="U52" s="509">
        <v>99.97</v>
      </c>
      <c r="V52" s="509">
        <v>99.97</v>
      </c>
      <c r="W52" s="509">
        <v>99.97</v>
      </c>
      <c r="X52" s="509">
        <v>99.97</v>
      </c>
      <c r="Y52" s="509">
        <v>99.97</v>
      </c>
      <c r="Z52" s="509">
        <v>99.97</v>
      </c>
      <c r="AA52" s="509">
        <v>99.97</v>
      </c>
      <c r="AB52" s="509">
        <v>99.97</v>
      </c>
      <c r="AC52" s="509">
        <v>99.97</v>
      </c>
      <c r="AD52" s="509">
        <v>99.97</v>
      </c>
      <c r="AE52" s="509">
        <v>99.97</v>
      </c>
      <c r="AF52" s="509">
        <v>99.97</v>
      </c>
      <c r="AG52" s="509">
        <v>99.97</v>
      </c>
      <c r="AH52" s="509">
        <v>99.97</v>
      </c>
      <c r="AI52" s="509">
        <v>99.97</v>
      </c>
      <c r="AJ52" s="509">
        <v>99.97</v>
      </c>
      <c r="AK52" s="509">
        <v>99.97</v>
      </c>
      <c r="AL52" s="509">
        <v>99.97</v>
      </c>
      <c r="AM52" s="509">
        <v>99.97</v>
      </c>
      <c r="AN52" s="509">
        <v>99.97</v>
      </c>
      <c r="AO52" s="509">
        <v>99.97</v>
      </c>
      <c r="AP52" s="509">
        <v>99.97</v>
      </c>
      <c r="AR52" s="158" t="s">
        <v>287</v>
      </c>
    </row>
    <row r="53" spans="1:44">
      <c r="A53">
        <v>173</v>
      </c>
      <c r="B53" s="156" t="s">
        <v>344</v>
      </c>
      <c r="C53" s="156" t="s">
        <v>287</v>
      </c>
      <c r="D53" s="509">
        <v>192.03</v>
      </c>
      <c r="E53" s="509">
        <v>192.03</v>
      </c>
      <c r="F53" s="509">
        <v>192.03</v>
      </c>
      <c r="G53" s="509">
        <v>192.03</v>
      </c>
      <c r="H53" s="509">
        <v>192.03</v>
      </c>
      <c r="I53" s="509">
        <v>192.03</v>
      </c>
      <c r="J53" s="509">
        <v>192.03</v>
      </c>
      <c r="K53" s="509">
        <v>192.03</v>
      </c>
      <c r="L53" s="509">
        <v>192.03</v>
      </c>
      <c r="M53" s="509">
        <v>192.03</v>
      </c>
      <c r="N53" s="509">
        <v>192.03</v>
      </c>
      <c r="O53" s="509">
        <v>192.03</v>
      </c>
      <c r="P53" s="509">
        <v>192.03</v>
      </c>
      <c r="Q53" s="509">
        <v>192.03</v>
      </c>
      <c r="R53" s="509">
        <v>192.03</v>
      </c>
      <c r="S53" s="509">
        <v>192.03</v>
      </c>
      <c r="T53" s="509">
        <v>192.03</v>
      </c>
      <c r="U53" s="509">
        <v>192.03</v>
      </c>
      <c r="V53" s="509">
        <v>192.03</v>
      </c>
      <c r="W53" s="509">
        <v>192.03</v>
      </c>
      <c r="X53" s="509">
        <v>192.03</v>
      </c>
      <c r="Y53" s="509">
        <v>192.03</v>
      </c>
      <c r="Z53" s="509">
        <v>192.03</v>
      </c>
      <c r="AA53" s="509">
        <v>192.03</v>
      </c>
      <c r="AB53" s="509">
        <v>192.03</v>
      </c>
      <c r="AC53" s="509">
        <v>192.03</v>
      </c>
      <c r="AD53" s="509">
        <v>192.03</v>
      </c>
      <c r="AE53" s="509">
        <v>192.03</v>
      </c>
      <c r="AF53" s="509">
        <v>192.03</v>
      </c>
      <c r="AG53" s="509">
        <v>192.03</v>
      </c>
      <c r="AH53" s="509">
        <v>192.03</v>
      </c>
      <c r="AI53" s="509">
        <v>192.03</v>
      </c>
      <c r="AJ53" s="509">
        <v>192.03</v>
      </c>
      <c r="AK53" s="509">
        <v>192.03</v>
      </c>
      <c r="AL53" s="509">
        <v>192.03</v>
      </c>
      <c r="AM53" s="509">
        <v>192.03</v>
      </c>
      <c r="AN53" s="509">
        <v>192.03</v>
      </c>
      <c r="AO53" s="509">
        <v>192.03</v>
      </c>
      <c r="AP53" s="509">
        <v>192.03</v>
      </c>
      <c r="AR53" s="158" t="s">
        <v>287</v>
      </c>
    </row>
    <row r="54" spans="1:44">
      <c r="A54">
        <v>174</v>
      </c>
      <c r="B54" s="156" t="s">
        <v>345</v>
      </c>
      <c r="C54" s="156" t="s">
        <v>287</v>
      </c>
      <c r="D54" s="509">
        <v>331.22</v>
      </c>
      <c r="E54" s="509">
        <v>331.22</v>
      </c>
      <c r="F54" s="509">
        <v>331.22</v>
      </c>
      <c r="G54" s="509">
        <v>331.22</v>
      </c>
      <c r="H54" s="509">
        <v>331.22</v>
      </c>
      <c r="I54" s="509">
        <v>331.22</v>
      </c>
      <c r="J54" s="509">
        <v>331.22</v>
      </c>
      <c r="K54" s="509">
        <v>331.22</v>
      </c>
      <c r="L54" s="509">
        <v>331.22</v>
      </c>
      <c r="M54" s="509">
        <v>331.22</v>
      </c>
      <c r="N54" s="509">
        <v>331.22</v>
      </c>
      <c r="O54" s="509">
        <v>331.22</v>
      </c>
      <c r="P54" s="509">
        <v>331.22</v>
      </c>
      <c r="Q54" s="509">
        <v>331.22</v>
      </c>
      <c r="R54" s="509">
        <v>331.22</v>
      </c>
      <c r="S54" s="509">
        <v>331.22</v>
      </c>
      <c r="T54" s="509">
        <v>331.22</v>
      </c>
      <c r="U54" s="509">
        <v>331.22</v>
      </c>
      <c r="V54" s="509">
        <v>331.22</v>
      </c>
      <c r="W54" s="509">
        <v>331.22</v>
      </c>
      <c r="X54" s="509">
        <v>331.22</v>
      </c>
      <c r="Y54" s="509">
        <v>331.22</v>
      </c>
      <c r="Z54" s="509">
        <v>331.22</v>
      </c>
      <c r="AA54" s="509">
        <v>331.22</v>
      </c>
      <c r="AB54" s="509">
        <v>331.22</v>
      </c>
      <c r="AC54" s="509">
        <v>331.22</v>
      </c>
      <c r="AD54" s="509">
        <v>331.22</v>
      </c>
      <c r="AE54" s="509">
        <v>331.22</v>
      </c>
      <c r="AF54" s="509">
        <v>331.22</v>
      </c>
      <c r="AG54" s="509">
        <v>331.22</v>
      </c>
      <c r="AH54" s="509">
        <v>331.22</v>
      </c>
      <c r="AI54" s="509">
        <v>331.22</v>
      </c>
      <c r="AJ54" s="509">
        <v>331.22</v>
      </c>
      <c r="AK54" s="509">
        <v>331.22</v>
      </c>
      <c r="AL54" s="509">
        <v>331.22</v>
      </c>
      <c r="AM54" s="509">
        <v>331.22</v>
      </c>
      <c r="AN54" s="509">
        <v>331.22</v>
      </c>
      <c r="AO54" s="509">
        <v>331.22</v>
      </c>
      <c r="AP54" s="509">
        <v>331.22</v>
      </c>
      <c r="AR54" s="158" t="s">
        <v>2512</v>
      </c>
    </row>
    <row r="55" spans="1:44">
      <c r="A55">
        <v>176</v>
      </c>
      <c r="B55" s="156" t="s">
        <v>368</v>
      </c>
      <c r="C55" s="156" t="s">
        <v>350</v>
      </c>
      <c r="D55" s="509">
        <v>149.47999999999999</v>
      </c>
      <c r="E55" s="509">
        <v>149.47999999999999</v>
      </c>
      <c r="F55" s="509">
        <v>149.47999999999999</v>
      </c>
      <c r="G55" s="509">
        <v>149.47999999999999</v>
      </c>
      <c r="H55" s="509">
        <v>149.47999999999999</v>
      </c>
      <c r="I55" s="509">
        <v>149.47999999999999</v>
      </c>
      <c r="J55" s="509">
        <v>149.47999999999999</v>
      </c>
      <c r="K55" s="509">
        <v>149.47999999999999</v>
      </c>
      <c r="L55" s="509">
        <v>149.47999999999999</v>
      </c>
      <c r="M55" s="509">
        <v>149.47999999999999</v>
      </c>
      <c r="N55" s="509">
        <v>149.47999999999999</v>
      </c>
      <c r="O55" s="509">
        <v>149.47999999999999</v>
      </c>
      <c r="P55" s="509">
        <v>149.47999999999999</v>
      </c>
      <c r="Q55" s="509">
        <v>149.47999999999999</v>
      </c>
      <c r="R55" s="509">
        <v>149.47999999999999</v>
      </c>
      <c r="S55" s="509">
        <v>149.47999999999999</v>
      </c>
      <c r="T55" s="509">
        <v>149.47999999999999</v>
      </c>
      <c r="U55" s="509">
        <v>149.47999999999999</v>
      </c>
      <c r="V55" s="509">
        <v>149.47999999999999</v>
      </c>
      <c r="W55" s="509">
        <v>149.47999999999999</v>
      </c>
      <c r="X55" s="509">
        <v>149.47999999999999</v>
      </c>
      <c r="Y55" s="509">
        <v>149.47999999999999</v>
      </c>
      <c r="Z55" s="509">
        <v>149.47999999999999</v>
      </c>
      <c r="AA55" s="509">
        <v>149.47999999999999</v>
      </c>
      <c r="AB55" s="509">
        <v>149.47999999999999</v>
      </c>
      <c r="AC55" s="509">
        <v>149.47999999999999</v>
      </c>
      <c r="AD55" s="509">
        <v>149.47999999999999</v>
      </c>
      <c r="AE55" s="509">
        <v>149.47999999999999</v>
      </c>
      <c r="AF55" s="509">
        <v>149.47999999999999</v>
      </c>
      <c r="AG55" s="509">
        <v>149.47999999999999</v>
      </c>
      <c r="AH55" s="509">
        <v>149.47999999999999</v>
      </c>
      <c r="AI55" s="509">
        <v>149.47999999999999</v>
      </c>
      <c r="AJ55" s="509">
        <v>149.47999999999999</v>
      </c>
      <c r="AK55" s="509">
        <v>149.47999999999999</v>
      </c>
      <c r="AL55" s="509">
        <v>149.47999999999999</v>
      </c>
      <c r="AM55" s="509">
        <v>149.47999999999999</v>
      </c>
      <c r="AN55" s="509">
        <v>149.47999999999999</v>
      </c>
      <c r="AO55" s="509">
        <v>149.47999999999999</v>
      </c>
      <c r="AP55" s="509">
        <v>149.47999999999999</v>
      </c>
    </row>
    <row r="56" spans="1:44">
      <c r="A56">
        <v>183</v>
      </c>
      <c r="B56" s="156" t="s">
        <v>306</v>
      </c>
      <c r="C56" s="156" t="s">
        <v>307</v>
      </c>
      <c r="D56" s="509">
        <v>171.61</v>
      </c>
      <c r="E56" s="509">
        <v>171.61</v>
      </c>
      <c r="F56" s="509">
        <v>171.61</v>
      </c>
      <c r="G56" s="509">
        <v>171.61</v>
      </c>
      <c r="H56" s="509">
        <v>171.61</v>
      </c>
      <c r="I56" s="509">
        <v>171.61</v>
      </c>
      <c r="J56" s="509">
        <v>171.61</v>
      </c>
      <c r="K56" s="509">
        <v>171.61</v>
      </c>
      <c r="L56" s="509">
        <v>171.61</v>
      </c>
      <c r="M56" s="509">
        <v>171.61</v>
      </c>
      <c r="N56" s="509">
        <v>171.61</v>
      </c>
      <c r="O56" s="509">
        <v>171.61</v>
      </c>
      <c r="P56" s="509">
        <v>171.61</v>
      </c>
      <c r="Q56" s="509">
        <v>171.61</v>
      </c>
      <c r="R56" s="509">
        <v>171.61</v>
      </c>
      <c r="S56" s="509">
        <v>171.61</v>
      </c>
      <c r="T56" s="509">
        <v>171.61</v>
      </c>
      <c r="U56" s="509">
        <v>171.61</v>
      </c>
      <c r="V56" s="509">
        <v>171.61</v>
      </c>
      <c r="W56" s="509">
        <v>171.61</v>
      </c>
      <c r="X56" s="509">
        <v>171.61</v>
      </c>
      <c r="Y56" s="509">
        <v>171.61</v>
      </c>
      <c r="Z56" s="509">
        <v>171.61</v>
      </c>
      <c r="AA56" s="509">
        <v>171.61</v>
      </c>
      <c r="AB56" s="509">
        <v>171.61</v>
      </c>
      <c r="AC56" s="509">
        <v>171.61</v>
      </c>
      <c r="AD56" s="509">
        <v>171.61</v>
      </c>
      <c r="AE56" s="509">
        <v>171.61</v>
      </c>
      <c r="AF56" s="509">
        <v>171.61</v>
      </c>
      <c r="AG56" s="509">
        <v>171.61</v>
      </c>
      <c r="AH56" s="509">
        <v>171.61</v>
      </c>
      <c r="AI56" s="509">
        <v>171.61</v>
      </c>
      <c r="AJ56" s="509">
        <v>171.61</v>
      </c>
      <c r="AK56" s="509">
        <v>171.61</v>
      </c>
      <c r="AL56" s="509">
        <v>171.61</v>
      </c>
      <c r="AM56" s="509">
        <v>171.61</v>
      </c>
      <c r="AN56" s="509">
        <v>171.61</v>
      </c>
      <c r="AO56" s="509">
        <v>171.61</v>
      </c>
      <c r="AP56" s="509">
        <v>171.61</v>
      </c>
      <c r="AR56" s="158" t="s">
        <v>2513</v>
      </c>
    </row>
    <row r="57" spans="1:44">
      <c r="A57">
        <v>194</v>
      </c>
      <c r="B57" s="156" t="s">
        <v>379</v>
      </c>
      <c r="C57" s="156" t="s">
        <v>290</v>
      </c>
      <c r="D57" s="509">
        <v>1098.58</v>
      </c>
      <c r="E57" s="509">
        <v>1098.58</v>
      </c>
      <c r="F57" s="509">
        <v>1098.58</v>
      </c>
      <c r="G57" s="509">
        <v>1098.58</v>
      </c>
      <c r="H57" s="509">
        <v>1098.58</v>
      </c>
      <c r="I57" s="509">
        <v>1098.58</v>
      </c>
      <c r="J57" s="509">
        <v>1098.58</v>
      </c>
      <c r="K57" s="509">
        <v>1098.58</v>
      </c>
      <c r="L57" s="509">
        <v>1098.58</v>
      </c>
      <c r="M57" s="509">
        <v>1098.58</v>
      </c>
      <c r="N57" s="509">
        <v>1098.58</v>
      </c>
      <c r="O57" s="509">
        <v>1098.58</v>
      </c>
      <c r="P57" s="509">
        <v>1098.58</v>
      </c>
      <c r="Q57" s="509">
        <v>1098.58</v>
      </c>
      <c r="R57" s="509">
        <v>1098.58</v>
      </c>
      <c r="S57" s="509">
        <v>1098.58</v>
      </c>
      <c r="T57" s="509">
        <v>1098.58</v>
      </c>
      <c r="U57" s="509">
        <v>1098.58</v>
      </c>
      <c r="V57" s="509">
        <v>1098.58</v>
      </c>
      <c r="W57" s="509">
        <v>1098.58</v>
      </c>
      <c r="X57" s="509">
        <v>1098.58</v>
      </c>
      <c r="Y57" s="509">
        <v>1098.58</v>
      </c>
      <c r="Z57" s="509">
        <v>1098.58</v>
      </c>
      <c r="AA57" s="509">
        <v>1098.58</v>
      </c>
      <c r="AB57" s="509">
        <v>1098.58</v>
      </c>
      <c r="AC57" s="509">
        <v>1098.58</v>
      </c>
      <c r="AD57" s="509">
        <v>1098.58</v>
      </c>
      <c r="AE57" s="509">
        <v>1098.58</v>
      </c>
      <c r="AF57" s="509">
        <v>1098.58</v>
      </c>
      <c r="AG57" s="509">
        <v>1098.58</v>
      </c>
      <c r="AH57" s="509">
        <v>1098.58</v>
      </c>
      <c r="AI57" s="509">
        <v>1098.58</v>
      </c>
      <c r="AJ57" s="509">
        <v>1098.58</v>
      </c>
      <c r="AK57" s="509">
        <v>1098.58</v>
      </c>
      <c r="AL57" s="509">
        <v>1098.58</v>
      </c>
      <c r="AM57" s="509">
        <v>1098.58</v>
      </c>
      <c r="AN57" s="509">
        <v>1098.58</v>
      </c>
      <c r="AO57" s="509">
        <v>1098.58</v>
      </c>
      <c r="AP57" s="509">
        <v>1098.58</v>
      </c>
    </row>
    <row r="58" spans="1:44">
      <c r="A58">
        <v>203</v>
      </c>
      <c r="B58" s="156" t="s">
        <v>366</v>
      </c>
      <c r="C58" s="156" t="s">
        <v>287</v>
      </c>
      <c r="D58" s="509">
        <v>0</v>
      </c>
      <c r="E58" s="509">
        <v>0</v>
      </c>
      <c r="F58" s="509">
        <v>0</v>
      </c>
      <c r="G58" s="509">
        <v>0</v>
      </c>
      <c r="H58" s="509">
        <v>0</v>
      </c>
      <c r="I58" s="509">
        <v>0</v>
      </c>
      <c r="J58" s="509">
        <v>0</v>
      </c>
      <c r="K58" s="509">
        <v>0</v>
      </c>
      <c r="L58" s="509">
        <v>0</v>
      </c>
      <c r="M58" s="509">
        <v>0</v>
      </c>
      <c r="N58" s="509">
        <v>0</v>
      </c>
      <c r="O58" s="509">
        <v>0</v>
      </c>
      <c r="P58" s="509">
        <v>0</v>
      </c>
      <c r="Q58" s="509">
        <v>0</v>
      </c>
      <c r="R58" s="509">
        <v>0</v>
      </c>
      <c r="S58" s="509">
        <v>0</v>
      </c>
      <c r="T58" s="509">
        <v>0</v>
      </c>
      <c r="U58" s="509">
        <v>0</v>
      </c>
      <c r="V58" s="509">
        <v>0</v>
      </c>
      <c r="W58" s="509">
        <v>0</v>
      </c>
      <c r="X58" s="509">
        <v>0</v>
      </c>
      <c r="Y58" s="509">
        <v>0</v>
      </c>
      <c r="Z58" s="509">
        <v>0</v>
      </c>
      <c r="AA58" s="509">
        <v>0</v>
      </c>
      <c r="AB58" s="509">
        <v>0</v>
      </c>
      <c r="AC58" s="509">
        <v>0</v>
      </c>
      <c r="AD58" s="509">
        <v>0</v>
      </c>
      <c r="AE58" s="509">
        <v>0</v>
      </c>
      <c r="AF58" s="509">
        <v>0</v>
      </c>
      <c r="AG58" s="509">
        <v>0</v>
      </c>
      <c r="AH58" s="509">
        <v>0</v>
      </c>
      <c r="AI58" s="509">
        <v>0</v>
      </c>
      <c r="AJ58" s="509">
        <v>0</v>
      </c>
      <c r="AK58" s="509">
        <v>0</v>
      </c>
      <c r="AL58" s="509">
        <v>0</v>
      </c>
      <c r="AM58" s="509">
        <v>0</v>
      </c>
      <c r="AN58" s="509">
        <v>0</v>
      </c>
      <c r="AO58" s="509">
        <v>0</v>
      </c>
      <c r="AP58" s="509">
        <v>0</v>
      </c>
    </row>
    <row r="59" spans="1:44">
      <c r="A59">
        <v>204</v>
      </c>
      <c r="B59" s="156" t="s">
        <v>367</v>
      </c>
      <c r="C59" s="156" t="s">
        <v>287</v>
      </c>
      <c r="D59" s="509">
        <v>0</v>
      </c>
      <c r="E59" s="509">
        <v>0</v>
      </c>
      <c r="F59" s="509">
        <v>0</v>
      </c>
      <c r="G59" s="509">
        <v>0</v>
      </c>
      <c r="H59" s="509">
        <v>0</v>
      </c>
      <c r="I59" s="509">
        <v>0</v>
      </c>
      <c r="J59" s="509">
        <v>0</v>
      </c>
      <c r="K59" s="509">
        <v>0</v>
      </c>
      <c r="L59" s="509">
        <v>0</v>
      </c>
      <c r="M59" s="509">
        <v>0</v>
      </c>
      <c r="N59" s="509">
        <v>0</v>
      </c>
      <c r="O59" s="509">
        <v>0</v>
      </c>
      <c r="P59" s="509">
        <v>0</v>
      </c>
      <c r="Q59" s="509">
        <v>0</v>
      </c>
      <c r="R59" s="509">
        <v>0</v>
      </c>
      <c r="S59" s="509">
        <v>0</v>
      </c>
      <c r="T59" s="509">
        <v>0</v>
      </c>
      <c r="U59" s="509">
        <v>0</v>
      </c>
      <c r="V59" s="509">
        <v>0</v>
      </c>
      <c r="W59" s="509">
        <v>0</v>
      </c>
      <c r="X59" s="509">
        <v>0</v>
      </c>
      <c r="Y59" s="509">
        <v>0</v>
      </c>
      <c r="Z59" s="509">
        <v>0</v>
      </c>
      <c r="AA59" s="509">
        <v>0</v>
      </c>
      <c r="AB59" s="509">
        <v>0</v>
      </c>
      <c r="AC59" s="509">
        <v>0</v>
      </c>
      <c r="AD59" s="509">
        <v>0</v>
      </c>
      <c r="AE59" s="509">
        <v>0</v>
      </c>
      <c r="AF59" s="509">
        <v>0</v>
      </c>
      <c r="AG59" s="509">
        <v>0</v>
      </c>
      <c r="AH59" s="509">
        <v>0</v>
      </c>
      <c r="AI59" s="509">
        <v>0</v>
      </c>
      <c r="AJ59" s="509">
        <v>0</v>
      </c>
      <c r="AK59" s="509">
        <v>0</v>
      </c>
      <c r="AL59" s="509">
        <v>0</v>
      </c>
      <c r="AM59" s="509">
        <v>0</v>
      </c>
      <c r="AN59" s="509">
        <v>0</v>
      </c>
      <c r="AO59" s="509">
        <v>0</v>
      </c>
      <c r="AP59" s="509">
        <v>0</v>
      </c>
    </row>
    <row r="60" spans="1:44">
      <c r="A60">
        <v>205</v>
      </c>
      <c r="B60" s="156" t="s">
        <v>377</v>
      </c>
      <c r="C60" s="156" t="s">
        <v>287</v>
      </c>
      <c r="D60" s="509">
        <v>0</v>
      </c>
      <c r="E60" s="509">
        <v>0</v>
      </c>
      <c r="F60" s="509">
        <v>0</v>
      </c>
      <c r="G60" s="509">
        <v>0</v>
      </c>
      <c r="H60" s="509">
        <v>0</v>
      </c>
      <c r="I60" s="509">
        <v>0</v>
      </c>
      <c r="J60" s="509">
        <v>0</v>
      </c>
      <c r="K60" s="509">
        <v>0</v>
      </c>
      <c r="L60" s="509">
        <v>0</v>
      </c>
      <c r="M60" s="509">
        <v>0</v>
      </c>
      <c r="N60" s="509">
        <v>0</v>
      </c>
      <c r="O60" s="509">
        <v>0</v>
      </c>
      <c r="P60" s="509">
        <v>0</v>
      </c>
      <c r="Q60" s="509">
        <v>0</v>
      </c>
      <c r="R60" s="509">
        <v>0</v>
      </c>
      <c r="S60" s="509">
        <v>0</v>
      </c>
      <c r="T60" s="509">
        <v>0</v>
      </c>
      <c r="U60" s="509">
        <v>0</v>
      </c>
      <c r="V60" s="509">
        <v>0</v>
      </c>
      <c r="W60" s="509">
        <v>0</v>
      </c>
      <c r="X60" s="509">
        <v>0</v>
      </c>
      <c r="Y60" s="509">
        <v>0</v>
      </c>
      <c r="Z60" s="509">
        <v>0</v>
      </c>
      <c r="AA60" s="509">
        <v>0</v>
      </c>
      <c r="AB60" s="509">
        <v>0</v>
      </c>
      <c r="AC60" s="509">
        <v>0</v>
      </c>
      <c r="AD60" s="509">
        <v>0</v>
      </c>
      <c r="AE60" s="509">
        <v>0</v>
      </c>
      <c r="AF60" s="509">
        <v>0</v>
      </c>
      <c r="AG60" s="509">
        <v>0</v>
      </c>
      <c r="AH60" s="509">
        <v>0</v>
      </c>
      <c r="AI60" s="509">
        <v>0</v>
      </c>
      <c r="AJ60" s="509">
        <v>0</v>
      </c>
      <c r="AK60" s="509">
        <v>0</v>
      </c>
      <c r="AL60" s="509">
        <v>0</v>
      </c>
      <c r="AM60" s="509">
        <v>0</v>
      </c>
      <c r="AN60" s="509">
        <v>0</v>
      </c>
      <c r="AO60" s="509">
        <v>0</v>
      </c>
      <c r="AP60" s="509">
        <v>0</v>
      </c>
    </row>
    <row r="61" spans="1:44">
      <c r="A61">
        <v>207</v>
      </c>
      <c r="B61" s="156" t="s">
        <v>389</v>
      </c>
      <c r="C61" s="156" t="s">
        <v>287</v>
      </c>
      <c r="D61" s="509">
        <v>0</v>
      </c>
      <c r="E61" s="509">
        <v>0</v>
      </c>
      <c r="F61" s="509">
        <v>0</v>
      </c>
      <c r="G61" s="509">
        <v>0</v>
      </c>
      <c r="H61" s="509">
        <v>0</v>
      </c>
      <c r="I61" s="509">
        <v>0</v>
      </c>
      <c r="J61" s="509">
        <v>0</v>
      </c>
      <c r="K61" s="509">
        <v>0</v>
      </c>
      <c r="L61" s="509">
        <v>0</v>
      </c>
      <c r="M61" s="509">
        <v>0</v>
      </c>
      <c r="N61" s="509">
        <v>0</v>
      </c>
      <c r="O61" s="509">
        <v>0</v>
      </c>
      <c r="P61" s="509">
        <v>0</v>
      </c>
      <c r="Q61" s="509">
        <v>0</v>
      </c>
      <c r="R61" s="509">
        <v>0</v>
      </c>
      <c r="S61" s="509">
        <v>0</v>
      </c>
      <c r="T61" s="509">
        <v>0</v>
      </c>
      <c r="U61" s="509">
        <v>0</v>
      </c>
      <c r="V61" s="509">
        <v>0</v>
      </c>
      <c r="W61" s="509">
        <v>0</v>
      </c>
      <c r="X61" s="509">
        <v>0</v>
      </c>
      <c r="Y61" s="509">
        <v>0</v>
      </c>
      <c r="Z61" s="509">
        <v>0</v>
      </c>
      <c r="AA61" s="509">
        <v>0</v>
      </c>
      <c r="AB61" s="509">
        <v>0</v>
      </c>
      <c r="AC61" s="509">
        <v>0</v>
      </c>
      <c r="AD61" s="509">
        <v>0</v>
      </c>
      <c r="AE61" s="509">
        <v>0</v>
      </c>
      <c r="AF61" s="509">
        <v>0</v>
      </c>
      <c r="AG61" s="509">
        <v>0</v>
      </c>
      <c r="AH61" s="509">
        <v>0</v>
      </c>
      <c r="AI61" s="509">
        <v>0</v>
      </c>
      <c r="AJ61" s="509">
        <v>0</v>
      </c>
      <c r="AK61" s="509">
        <v>0</v>
      </c>
      <c r="AL61" s="509">
        <v>0</v>
      </c>
      <c r="AM61" s="509">
        <v>0</v>
      </c>
      <c r="AN61" s="509">
        <v>0</v>
      </c>
      <c r="AO61" s="509">
        <v>0</v>
      </c>
      <c r="AP61" s="509">
        <v>0</v>
      </c>
    </row>
    <row r="62" spans="1:44">
      <c r="A62">
        <v>208</v>
      </c>
      <c r="B62" s="156" t="s">
        <v>374</v>
      </c>
      <c r="C62" s="156" t="s">
        <v>280</v>
      </c>
      <c r="D62" s="509">
        <v>783.64</v>
      </c>
      <c r="E62" s="509">
        <v>783.64</v>
      </c>
      <c r="F62" s="509">
        <v>783.64</v>
      </c>
      <c r="G62" s="509">
        <v>783.64</v>
      </c>
      <c r="H62" s="509">
        <v>783.64</v>
      </c>
      <c r="I62" s="509">
        <v>783.64</v>
      </c>
      <c r="J62" s="509">
        <v>783.64</v>
      </c>
      <c r="K62" s="509">
        <v>783.64</v>
      </c>
      <c r="L62" s="509">
        <v>783.64</v>
      </c>
      <c r="M62" s="509">
        <v>783.64</v>
      </c>
      <c r="N62" s="509">
        <v>783.64</v>
      </c>
      <c r="O62" s="509">
        <v>783.64</v>
      </c>
      <c r="P62" s="509">
        <v>783.64</v>
      </c>
      <c r="Q62" s="509">
        <v>783.64</v>
      </c>
      <c r="R62" s="509">
        <v>783.64</v>
      </c>
      <c r="S62" s="509">
        <v>783.64</v>
      </c>
      <c r="T62" s="509">
        <v>783.64</v>
      </c>
      <c r="U62" s="509">
        <v>783.64</v>
      </c>
      <c r="V62" s="509">
        <v>783.64</v>
      </c>
      <c r="W62" s="509">
        <v>783.64</v>
      </c>
      <c r="X62" s="509">
        <v>783.64</v>
      </c>
      <c r="Y62" s="509">
        <v>783.64</v>
      </c>
      <c r="Z62" s="509">
        <v>783.64</v>
      </c>
      <c r="AA62" s="509">
        <v>783.64</v>
      </c>
      <c r="AB62" s="509">
        <v>783.64</v>
      </c>
      <c r="AC62" s="509">
        <v>783.64</v>
      </c>
      <c r="AD62" s="509">
        <v>783.64</v>
      </c>
      <c r="AE62" s="509">
        <v>783.64</v>
      </c>
      <c r="AF62" s="509">
        <v>783.64</v>
      </c>
      <c r="AG62" s="509">
        <v>783.64</v>
      </c>
      <c r="AH62" s="509">
        <v>783.64</v>
      </c>
      <c r="AI62" s="509">
        <v>783.64</v>
      </c>
      <c r="AJ62" s="509">
        <v>783.64</v>
      </c>
      <c r="AK62" s="509">
        <v>783.64</v>
      </c>
      <c r="AL62" s="509">
        <v>783.64</v>
      </c>
      <c r="AM62" s="509">
        <v>783.64</v>
      </c>
      <c r="AN62" s="509">
        <v>783.64</v>
      </c>
      <c r="AO62" s="509">
        <v>783.64</v>
      </c>
      <c r="AP62" s="509">
        <v>783.64</v>
      </c>
    </row>
    <row r="63" spans="1:44">
      <c r="A63">
        <v>209</v>
      </c>
      <c r="B63" s="156" t="s">
        <v>393</v>
      </c>
      <c r="C63" s="156" t="s">
        <v>287</v>
      </c>
      <c r="D63" s="509">
        <v>0</v>
      </c>
      <c r="E63" s="509">
        <v>0</v>
      </c>
      <c r="F63" s="509">
        <v>0</v>
      </c>
      <c r="G63" s="509">
        <v>0</v>
      </c>
      <c r="H63" s="509">
        <v>0</v>
      </c>
      <c r="I63" s="509">
        <v>0</v>
      </c>
      <c r="J63" s="509">
        <v>0</v>
      </c>
      <c r="K63" s="509">
        <v>0</v>
      </c>
      <c r="L63" s="509">
        <v>0</v>
      </c>
      <c r="M63" s="509">
        <v>0</v>
      </c>
      <c r="N63" s="509">
        <v>0</v>
      </c>
      <c r="O63" s="509">
        <v>0</v>
      </c>
      <c r="P63" s="509">
        <v>0</v>
      </c>
      <c r="Q63" s="509">
        <v>0</v>
      </c>
      <c r="R63" s="509">
        <v>0</v>
      </c>
      <c r="S63" s="509">
        <v>0</v>
      </c>
      <c r="T63" s="509">
        <v>0</v>
      </c>
      <c r="U63" s="509">
        <v>0</v>
      </c>
      <c r="V63" s="509">
        <v>0</v>
      </c>
      <c r="W63" s="509">
        <v>0</v>
      </c>
      <c r="X63" s="509">
        <v>0</v>
      </c>
      <c r="Y63" s="509">
        <v>0</v>
      </c>
      <c r="Z63" s="509">
        <v>0</v>
      </c>
      <c r="AA63" s="509">
        <v>0</v>
      </c>
      <c r="AB63" s="509">
        <v>0</v>
      </c>
      <c r="AC63" s="509">
        <v>0</v>
      </c>
      <c r="AD63" s="509">
        <v>0</v>
      </c>
      <c r="AE63" s="509">
        <v>0</v>
      </c>
      <c r="AF63" s="509">
        <v>0</v>
      </c>
      <c r="AG63" s="509">
        <v>0</v>
      </c>
      <c r="AH63" s="509">
        <v>0</v>
      </c>
      <c r="AI63" s="509">
        <v>0</v>
      </c>
      <c r="AJ63" s="509">
        <v>0</v>
      </c>
      <c r="AK63" s="509">
        <v>0</v>
      </c>
      <c r="AL63" s="509">
        <v>0</v>
      </c>
      <c r="AM63" s="509">
        <v>0</v>
      </c>
      <c r="AN63" s="509">
        <v>0</v>
      </c>
      <c r="AO63" s="509">
        <v>0</v>
      </c>
      <c r="AP63" s="509">
        <v>0</v>
      </c>
    </row>
    <row r="64" spans="1:44">
      <c r="A64">
        <v>211</v>
      </c>
      <c r="B64" s="156" t="s">
        <v>291</v>
      </c>
      <c r="C64" s="156" t="s">
        <v>287</v>
      </c>
      <c r="D64" s="509">
        <v>150.79</v>
      </c>
      <c r="E64" s="509">
        <v>150.79</v>
      </c>
      <c r="F64" s="509">
        <v>150.79</v>
      </c>
      <c r="G64" s="509">
        <v>150.79</v>
      </c>
      <c r="H64" s="509">
        <v>150.79</v>
      </c>
      <c r="I64" s="509">
        <v>150.79</v>
      </c>
      <c r="J64" s="509">
        <v>150.79</v>
      </c>
      <c r="K64" s="509">
        <v>150.79</v>
      </c>
      <c r="L64" s="509">
        <v>150.79</v>
      </c>
      <c r="M64" s="509">
        <v>150.79</v>
      </c>
      <c r="N64" s="509">
        <v>150.79</v>
      </c>
      <c r="O64" s="509">
        <v>150.79</v>
      </c>
      <c r="P64" s="509">
        <v>150.79</v>
      </c>
      <c r="Q64" s="509">
        <v>150.79</v>
      </c>
      <c r="R64" s="509">
        <v>150.79</v>
      </c>
      <c r="S64" s="509">
        <v>150.79</v>
      </c>
      <c r="T64" s="509">
        <v>150.79</v>
      </c>
      <c r="U64" s="509">
        <v>150.79</v>
      </c>
      <c r="V64" s="509">
        <v>150.79</v>
      </c>
      <c r="W64" s="509">
        <v>150.79</v>
      </c>
      <c r="X64" s="509">
        <v>150.79</v>
      </c>
      <c r="Y64" s="509">
        <v>150.79</v>
      </c>
      <c r="Z64" s="509">
        <v>150.79</v>
      </c>
      <c r="AA64" s="509">
        <v>150.79</v>
      </c>
      <c r="AB64" s="509">
        <v>150.79</v>
      </c>
      <c r="AC64" s="509">
        <v>150.79</v>
      </c>
      <c r="AD64" s="509">
        <v>150.79</v>
      </c>
      <c r="AE64" s="509">
        <v>150.79</v>
      </c>
      <c r="AF64" s="509">
        <v>150.79</v>
      </c>
      <c r="AG64" s="509">
        <v>150.79</v>
      </c>
      <c r="AH64" s="509">
        <v>150.79</v>
      </c>
      <c r="AI64" s="509">
        <v>150.79</v>
      </c>
      <c r="AJ64" s="509">
        <v>150.79</v>
      </c>
      <c r="AK64" s="509">
        <v>150.79</v>
      </c>
      <c r="AL64" s="509">
        <v>150.79</v>
      </c>
      <c r="AM64" s="509">
        <v>150.79</v>
      </c>
      <c r="AN64" s="509">
        <v>150.79</v>
      </c>
      <c r="AO64" s="509">
        <v>150.79</v>
      </c>
      <c r="AP64" s="509">
        <v>150.79</v>
      </c>
      <c r="AR64" s="158" t="s">
        <v>287</v>
      </c>
    </row>
    <row r="65" spans="1:44">
      <c r="A65">
        <v>212</v>
      </c>
      <c r="B65" s="156" t="s">
        <v>334</v>
      </c>
      <c r="C65" s="156" t="s">
        <v>287</v>
      </c>
      <c r="D65" s="509">
        <v>84.58</v>
      </c>
      <c r="E65" s="509">
        <v>84.58</v>
      </c>
      <c r="F65" s="509">
        <v>84.58</v>
      </c>
      <c r="G65" s="509">
        <v>84.58</v>
      </c>
      <c r="H65" s="509">
        <v>84.58</v>
      </c>
      <c r="I65" s="509">
        <v>84.58</v>
      </c>
      <c r="J65" s="509">
        <v>84.58</v>
      </c>
      <c r="K65" s="509">
        <v>84.58</v>
      </c>
      <c r="L65" s="509">
        <v>84.58</v>
      </c>
      <c r="M65" s="509">
        <v>84.58</v>
      </c>
      <c r="N65" s="509">
        <v>84.58</v>
      </c>
      <c r="O65" s="509">
        <v>84.58</v>
      </c>
      <c r="P65" s="509">
        <v>84.58</v>
      </c>
      <c r="Q65" s="509">
        <v>84.58</v>
      </c>
      <c r="R65" s="509">
        <v>84.58</v>
      </c>
      <c r="S65" s="509">
        <v>84.58</v>
      </c>
      <c r="T65" s="509">
        <v>84.58</v>
      </c>
      <c r="U65" s="509">
        <v>84.58</v>
      </c>
      <c r="V65" s="509">
        <v>84.58</v>
      </c>
      <c r="W65" s="509">
        <v>84.58</v>
      </c>
      <c r="X65" s="509">
        <v>84.58</v>
      </c>
      <c r="Y65" s="509">
        <v>84.58</v>
      </c>
      <c r="Z65" s="509">
        <v>84.58</v>
      </c>
      <c r="AA65" s="509">
        <v>84.58</v>
      </c>
      <c r="AB65" s="509">
        <v>84.58</v>
      </c>
      <c r="AC65" s="509">
        <v>84.58</v>
      </c>
      <c r="AD65" s="509">
        <v>84.58</v>
      </c>
      <c r="AE65" s="509">
        <v>84.58</v>
      </c>
      <c r="AF65" s="509">
        <v>84.58</v>
      </c>
      <c r="AG65" s="509">
        <v>84.58</v>
      </c>
      <c r="AH65" s="509">
        <v>84.58</v>
      </c>
      <c r="AI65" s="509">
        <v>84.58</v>
      </c>
      <c r="AJ65" s="509">
        <v>84.58</v>
      </c>
      <c r="AK65" s="509">
        <v>84.58</v>
      </c>
      <c r="AL65" s="509">
        <v>84.58</v>
      </c>
      <c r="AM65" s="509">
        <v>84.58</v>
      </c>
      <c r="AN65" s="509">
        <v>84.58</v>
      </c>
      <c r="AO65" s="509">
        <v>84.58</v>
      </c>
      <c r="AP65" s="509">
        <v>84.58</v>
      </c>
      <c r="AR65" s="158" t="s">
        <v>287</v>
      </c>
    </row>
    <row r="66" spans="1:44">
      <c r="A66">
        <v>224</v>
      </c>
      <c r="B66" s="156" t="s">
        <v>352</v>
      </c>
      <c r="C66" s="156" t="s">
        <v>287</v>
      </c>
      <c r="D66" s="509">
        <v>31.08</v>
      </c>
      <c r="E66" s="509">
        <v>31.08</v>
      </c>
      <c r="F66" s="509">
        <v>31.08</v>
      </c>
      <c r="G66" s="509">
        <v>31.08</v>
      </c>
      <c r="H66" s="509">
        <v>31.08</v>
      </c>
      <c r="I66" s="509">
        <v>31.08</v>
      </c>
      <c r="J66" s="509">
        <v>31.08</v>
      </c>
      <c r="K66" s="509">
        <v>31.08</v>
      </c>
      <c r="L66" s="509">
        <v>31.08</v>
      </c>
      <c r="M66" s="509">
        <v>31.08</v>
      </c>
      <c r="N66" s="509">
        <v>31.08</v>
      </c>
      <c r="O66" s="509">
        <v>31.08</v>
      </c>
      <c r="P66" s="509">
        <v>31.08</v>
      </c>
      <c r="Q66" s="509">
        <v>31.08</v>
      </c>
      <c r="R66" s="509">
        <v>31.08</v>
      </c>
      <c r="S66" s="509">
        <v>31.08</v>
      </c>
      <c r="T66" s="509">
        <v>31.08</v>
      </c>
      <c r="U66" s="509">
        <v>31.08</v>
      </c>
      <c r="V66" s="509">
        <v>31.08</v>
      </c>
      <c r="W66" s="509">
        <v>31.08</v>
      </c>
      <c r="X66" s="509">
        <v>31.08</v>
      </c>
      <c r="Y66" s="509">
        <v>31.08</v>
      </c>
      <c r="Z66" s="509">
        <v>31.08</v>
      </c>
      <c r="AA66" s="509">
        <v>31.08</v>
      </c>
      <c r="AB66" s="509">
        <v>31.08</v>
      </c>
      <c r="AC66" s="509">
        <v>31.08</v>
      </c>
      <c r="AD66" s="509">
        <v>31.08</v>
      </c>
      <c r="AE66" s="509">
        <v>31.08</v>
      </c>
      <c r="AF66" s="509">
        <v>31.08</v>
      </c>
      <c r="AG66" s="509">
        <v>31.08</v>
      </c>
      <c r="AH66" s="509">
        <v>31.08</v>
      </c>
      <c r="AI66" s="509">
        <v>31.08</v>
      </c>
      <c r="AJ66" s="509">
        <v>31.08</v>
      </c>
      <c r="AK66" s="509">
        <v>31.08</v>
      </c>
      <c r="AL66" s="509">
        <v>31.08</v>
      </c>
      <c r="AM66" s="509">
        <v>31.08</v>
      </c>
      <c r="AN66" s="509">
        <v>31.08</v>
      </c>
      <c r="AO66" s="509">
        <v>31.08</v>
      </c>
      <c r="AP66" s="509">
        <v>31.08</v>
      </c>
    </row>
    <row r="67" spans="1:44">
      <c r="A67" s="110">
        <v>225</v>
      </c>
      <c r="B67" s="156" t="s">
        <v>279</v>
      </c>
      <c r="C67" s="156" t="s">
        <v>280</v>
      </c>
      <c r="D67" s="509">
        <v>1329.7</v>
      </c>
      <c r="E67" s="509">
        <v>1329.7</v>
      </c>
      <c r="F67" s="509">
        <v>1329.7</v>
      </c>
      <c r="G67" s="509">
        <v>1329.7</v>
      </c>
      <c r="H67" s="509">
        <v>1329.7</v>
      </c>
      <c r="I67" s="509">
        <v>1329.7</v>
      </c>
      <c r="J67" s="509">
        <v>1329.7</v>
      </c>
      <c r="K67" s="509">
        <v>1329.7</v>
      </c>
      <c r="L67" s="509">
        <v>1329.7</v>
      </c>
      <c r="M67" s="509">
        <v>1329.7</v>
      </c>
      <c r="N67" s="509">
        <v>1329.7</v>
      </c>
      <c r="O67" s="509">
        <v>1329.7</v>
      </c>
      <c r="P67" s="509">
        <v>1329.7</v>
      </c>
      <c r="Q67" s="509">
        <v>1329.7</v>
      </c>
      <c r="R67" s="509">
        <v>1329.7</v>
      </c>
      <c r="S67" s="509">
        <v>1329.7</v>
      </c>
      <c r="T67" s="509">
        <v>1329.7</v>
      </c>
      <c r="U67" s="509">
        <v>1329.7</v>
      </c>
      <c r="V67" s="509">
        <v>1329.7</v>
      </c>
      <c r="W67" s="509">
        <v>1329.7</v>
      </c>
      <c r="X67" s="509">
        <v>1329.7</v>
      </c>
      <c r="Y67" s="509">
        <v>1329.7</v>
      </c>
      <c r="Z67" s="509">
        <v>1329.7</v>
      </c>
      <c r="AA67" s="509">
        <v>1329.7</v>
      </c>
      <c r="AB67" s="509">
        <v>1329.7</v>
      </c>
      <c r="AC67" s="509">
        <v>1329.7</v>
      </c>
      <c r="AD67" s="509">
        <v>1329.7</v>
      </c>
      <c r="AE67" s="509">
        <v>1329.7</v>
      </c>
      <c r="AF67" s="509">
        <v>1329.7</v>
      </c>
      <c r="AG67" s="509">
        <v>1329.7</v>
      </c>
      <c r="AH67" s="509">
        <v>1329.7</v>
      </c>
      <c r="AI67" s="509">
        <v>1329.7</v>
      </c>
      <c r="AJ67" s="509">
        <v>1329.7</v>
      </c>
      <c r="AK67" s="509">
        <v>1329.7</v>
      </c>
      <c r="AL67" s="509">
        <v>1329.7</v>
      </c>
      <c r="AM67" s="509">
        <v>1329.7</v>
      </c>
      <c r="AN67" s="509">
        <v>1329.7</v>
      </c>
      <c r="AO67" s="509">
        <v>1329.7</v>
      </c>
      <c r="AP67" s="509">
        <v>1329.7</v>
      </c>
      <c r="AR67" s="158" t="s">
        <v>214</v>
      </c>
    </row>
    <row r="68" spans="1:44">
      <c r="A68" s="110">
        <v>226</v>
      </c>
      <c r="B68" s="156" t="s">
        <v>285</v>
      </c>
      <c r="C68" s="156" t="s">
        <v>280</v>
      </c>
      <c r="D68" s="509">
        <v>1061.1300000000001</v>
      </c>
      <c r="E68" s="509">
        <v>1061.1300000000001</v>
      </c>
      <c r="F68" s="509">
        <v>1061.1300000000001</v>
      </c>
      <c r="G68" s="509">
        <v>1061.1300000000001</v>
      </c>
      <c r="H68" s="509">
        <v>1061.1300000000001</v>
      </c>
      <c r="I68" s="509">
        <v>1061.1300000000001</v>
      </c>
      <c r="J68" s="509">
        <v>1061.1300000000001</v>
      </c>
      <c r="K68" s="509">
        <v>1061.1300000000001</v>
      </c>
      <c r="L68" s="509">
        <v>1061.1300000000001</v>
      </c>
      <c r="M68" s="509">
        <v>1061.1300000000001</v>
      </c>
      <c r="N68" s="509">
        <v>1061.1300000000001</v>
      </c>
      <c r="O68" s="509">
        <v>1061.1300000000001</v>
      </c>
      <c r="P68" s="509">
        <v>1061.1300000000001</v>
      </c>
      <c r="Q68" s="509">
        <v>1061.1300000000001</v>
      </c>
      <c r="R68" s="509">
        <v>1061.1300000000001</v>
      </c>
      <c r="S68" s="509">
        <v>1061.1300000000001</v>
      </c>
      <c r="T68" s="509">
        <v>1061.1300000000001</v>
      </c>
      <c r="U68" s="509">
        <v>1061.1300000000001</v>
      </c>
      <c r="V68" s="509">
        <v>1061.1300000000001</v>
      </c>
      <c r="W68" s="509">
        <v>1061.1300000000001</v>
      </c>
      <c r="X68" s="509">
        <v>1061.1300000000001</v>
      </c>
      <c r="Y68" s="509">
        <v>1061.1300000000001</v>
      </c>
      <c r="Z68" s="509">
        <v>1061.1300000000001</v>
      </c>
      <c r="AA68" s="509">
        <v>1061.1300000000001</v>
      </c>
      <c r="AB68" s="509">
        <v>1061.1300000000001</v>
      </c>
      <c r="AC68" s="509">
        <v>1061.1300000000001</v>
      </c>
      <c r="AD68" s="509">
        <v>1061.1300000000001</v>
      </c>
      <c r="AE68" s="509">
        <v>1061.1300000000001</v>
      </c>
      <c r="AF68" s="509">
        <v>1061.1300000000001</v>
      </c>
      <c r="AG68" s="509">
        <v>1061.1300000000001</v>
      </c>
      <c r="AH68" s="509">
        <v>1061.1300000000001</v>
      </c>
      <c r="AI68" s="509">
        <v>1061.1300000000001</v>
      </c>
      <c r="AJ68" s="509">
        <v>1061.1300000000001</v>
      </c>
      <c r="AK68" s="509">
        <v>1061.1300000000001</v>
      </c>
      <c r="AL68" s="509">
        <v>1061.1300000000001</v>
      </c>
      <c r="AM68" s="509">
        <v>1061.1300000000001</v>
      </c>
      <c r="AN68" s="509">
        <v>1061.1300000000001</v>
      </c>
      <c r="AO68" s="509">
        <v>1061.1300000000001</v>
      </c>
      <c r="AP68" s="509">
        <v>1061.1300000000001</v>
      </c>
      <c r="AR68" s="158" t="s">
        <v>2512</v>
      </c>
    </row>
    <row r="69" spans="1:44">
      <c r="A69" s="110">
        <v>227</v>
      </c>
      <c r="B69" s="156" t="s">
        <v>288</v>
      </c>
      <c r="C69" s="156" t="s">
        <v>290</v>
      </c>
      <c r="D69" s="509">
        <v>447.52</v>
      </c>
      <c r="E69" s="509">
        <v>447.52</v>
      </c>
      <c r="F69" s="509">
        <v>447.52</v>
      </c>
      <c r="G69" s="509">
        <v>447.52</v>
      </c>
      <c r="H69" s="509">
        <v>447.52</v>
      </c>
      <c r="I69" s="509">
        <v>447.52</v>
      </c>
      <c r="J69" s="509">
        <v>447.52</v>
      </c>
      <c r="K69" s="509">
        <v>447.52</v>
      </c>
      <c r="L69" s="509">
        <v>447.52</v>
      </c>
      <c r="M69" s="509">
        <v>447.52</v>
      </c>
      <c r="N69" s="509">
        <v>447.52</v>
      </c>
      <c r="O69" s="509">
        <v>447.52</v>
      </c>
      <c r="P69" s="509">
        <v>447.52</v>
      </c>
      <c r="Q69" s="509">
        <v>447.52</v>
      </c>
      <c r="R69" s="509">
        <v>447.52</v>
      </c>
      <c r="S69" s="509">
        <v>447.52</v>
      </c>
      <c r="T69" s="509">
        <v>447.52</v>
      </c>
      <c r="U69" s="509">
        <v>447.52</v>
      </c>
      <c r="V69" s="509">
        <v>447.52</v>
      </c>
      <c r="W69" s="509">
        <v>447.52</v>
      </c>
      <c r="X69" s="509">
        <v>447.52</v>
      </c>
      <c r="Y69" s="509">
        <v>447.52</v>
      </c>
      <c r="Z69" s="509">
        <v>447.52</v>
      </c>
      <c r="AA69" s="509">
        <v>447.52</v>
      </c>
      <c r="AB69" s="509">
        <v>447.52</v>
      </c>
      <c r="AC69" s="509">
        <v>447.52</v>
      </c>
      <c r="AD69" s="509">
        <v>447.52</v>
      </c>
      <c r="AE69" s="509">
        <v>447.52</v>
      </c>
      <c r="AF69" s="509">
        <v>447.52</v>
      </c>
      <c r="AG69" s="509">
        <v>447.52</v>
      </c>
      <c r="AH69" s="509">
        <v>447.52</v>
      </c>
      <c r="AI69" s="509">
        <v>447.52</v>
      </c>
      <c r="AJ69" s="509">
        <v>447.52</v>
      </c>
      <c r="AK69" s="509">
        <v>447.52</v>
      </c>
      <c r="AL69" s="509">
        <v>447.52</v>
      </c>
      <c r="AM69" s="509">
        <v>447.52</v>
      </c>
      <c r="AN69" s="509">
        <v>447.52</v>
      </c>
      <c r="AO69" s="509">
        <v>447.52</v>
      </c>
      <c r="AP69" s="509">
        <v>447.52</v>
      </c>
      <c r="AR69" s="158" t="s">
        <v>216</v>
      </c>
    </row>
    <row r="70" spans="1:44">
      <c r="A70" s="110">
        <v>228</v>
      </c>
      <c r="B70" s="156" t="s">
        <v>292</v>
      </c>
      <c r="C70" s="156" t="s">
        <v>280</v>
      </c>
      <c r="D70" s="509">
        <v>1061.1400000000001</v>
      </c>
      <c r="E70" s="509">
        <v>1061.1400000000001</v>
      </c>
      <c r="F70" s="509">
        <v>1061.1400000000001</v>
      </c>
      <c r="G70" s="509">
        <v>1061.1400000000001</v>
      </c>
      <c r="H70" s="509">
        <v>1061.1400000000001</v>
      </c>
      <c r="I70" s="509">
        <v>1061.1400000000001</v>
      </c>
      <c r="J70" s="509">
        <v>1061.1400000000001</v>
      </c>
      <c r="K70" s="509">
        <v>1061.1400000000001</v>
      </c>
      <c r="L70" s="509">
        <v>1061.1400000000001</v>
      </c>
      <c r="M70" s="509">
        <v>1061.1400000000001</v>
      </c>
      <c r="N70" s="509">
        <v>1061.1400000000001</v>
      </c>
      <c r="O70" s="509">
        <v>1061.1400000000001</v>
      </c>
      <c r="P70" s="509">
        <v>1061.1400000000001</v>
      </c>
      <c r="Q70" s="509">
        <v>1061.1400000000001</v>
      </c>
      <c r="R70" s="509">
        <v>1061.1400000000001</v>
      </c>
      <c r="S70" s="509">
        <v>1061.1400000000001</v>
      </c>
      <c r="T70" s="509">
        <v>1061.1400000000001</v>
      </c>
      <c r="U70" s="509">
        <v>1061.1400000000001</v>
      </c>
      <c r="V70" s="509">
        <v>1061.1400000000001</v>
      </c>
      <c r="W70" s="509">
        <v>1061.1400000000001</v>
      </c>
      <c r="X70" s="509">
        <v>1061.1400000000001</v>
      </c>
      <c r="Y70" s="509">
        <v>1061.1400000000001</v>
      </c>
      <c r="Z70" s="509">
        <v>1061.1400000000001</v>
      </c>
      <c r="AA70" s="509">
        <v>1061.1400000000001</v>
      </c>
      <c r="AB70" s="509">
        <v>1061.1400000000001</v>
      </c>
      <c r="AC70" s="509">
        <v>1061.1400000000001</v>
      </c>
      <c r="AD70" s="509">
        <v>1061.1400000000001</v>
      </c>
      <c r="AE70" s="509">
        <v>1061.1400000000001</v>
      </c>
      <c r="AF70" s="509">
        <v>1061.1400000000001</v>
      </c>
      <c r="AG70" s="509">
        <v>1061.1400000000001</v>
      </c>
      <c r="AH70" s="509">
        <v>1061.1400000000001</v>
      </c>
      <c r="AI70" s="509">
        <v>1061.1400000000001</v>
      </c>
      <c r="AJ70" s="509">
        <v>1061.1400000000001</v>
      </c>
      <c r="AK70" s="509">
        <v>1061.1400000000001</v>
      </c>
      <c r="AL70" s="509">
        <v>1061.1400000000001</v>
      </c>
      <c r="AM70" s="509">
        <v>1061.1400000000001</v>
      </c>
      <c r="AN70" s="509">
        <v>1061.1400000000001</v>
      </c>
      <c r="AO70" s="509">
        <v>1061.1400000000001</v>
      </c>
      <c r="AP70" s="509">
        <v>1061.1400000000001</v>
      </c>
      <c r="AR70" s="158" t="s">
        <v>214</v>
      </c>
    </row>
    <row r="71" spans="1:44">
      <c r="A71" s="110">
        <v>229</v>
      </c>
      <c r="B71" s="156" t="s">
        <v>294</v>
      </c>
      <c r="C71" s="156" t="s">
        <v>290</v>
      </c>
      <c r="D71" s="509">
        <v>942.05</v>
      </c>
      <c r="E71" s="509">
        <v>942.05</v>
      </c>
      <c r="F71" s="509">
        <v>942.05</v>
      </c>
      <c r="G71" s="509">
        <v>942.05</v>
      </c>
      <c r="H71" s="509">
        <v>942.05</v>
      </c>
      <c r="I71" s="509">
        <v>942.05</v>
      </c>
      <c r="J71" s="509">
        <v>942.05</v>
      </c>
      <c r="K71" s="509">
        <v>942.05</v>
      </c>
      <c r="L71" s="509">
        <v>942.05</v>
      </c>
      <c r="M71" s="509">
        <v>942.05</v>
      </c>
      <c r="N71" s="509">
        <v>942.05</v>
      </c>
      <c r="O71" s="509">
        <v>942.05</v>
      </c>
      <c r="P71" s="509">
        <v>942.05</v>
      </c>
      <c r="Q71" s="509">
        <v>942.05</v>
      </c>
      <c r="R71" s="509">
        <v>942.05</v>
      </c>
      <c r="S71" s="509">
        <v>942.05</v>
      </c>
      <c r="T71" s="509">
        <v>942.05</v>
      </c>
      <c r="U71" s="509">
        <v>942.05</v>
      </c>
      <c r="V71" s="509">
        <v>942.05</v>
      </c>
      <c r="W71" s="509">
        <v>942.05</v>
      </c>
      <c r="X71" s="509">
        <v>942.05</v>
      </c>
      <c r="Y71" s="509">
        <v>942.05</v>
      </c>
      <c r="Z71" s="509">
        <v>942.05</v>
      </c>
      <c r="AA71" s="509">
        <v>942.05</v>
      </c>
      <c r="AB71" s="509">
        <v>942.05</v>
      </c>
      <c r="AC71" s="509">
        <v>942.05</v>
      </c>
      <c r="AD71" s="509">
        <v>942.05</v>
      </c>
      <c r="AE71" s="509">
        <v>942.05</v>
      </c>
      <c r="AF71" s="509">
        <v>942.05</v>
      </c>
      <c r="AG71" s="509">
        <v>942.05</v>
      </c>
      <c r="AH71" s="509">
        <v>942.05</v>
      </c>
      <c r="AI71" s="509">
        <v>942.05</v>
      </c>
      <c r="AJ71" s="509">
        <v>942.05</v>
      </c>
      <c r="AK71" s="509">
        <v>942.05</v>
      </c>
      <c r="AL71" s="509">
        <v>942.05</v>
      </c>
      <c r="AM71" s="509">
        <v>942.05</v>
      </c>
      <c r="AN71" s="509">
        <v>942.05</v>
      </c>
      <c r="AO71" s="509">
        <v>942.05</v>
      </c>
      <c r="AP71" s="509">
        <v>942.05</v>
      </c>
      <c r="AR71" s="158" t="s">
        <v>287</v>
      </c>
    </row>
    <row r="72" spans="1:44">
      <c r="A72" s="110">
        <v>230</v>
      </c>
      <c r="B72" s="156" t="s">
        <v>295</v>
      </c>
      <c r="C72" s="156" t="s">
        <v>290</v>
      </c>
      <c r="D72" s="509">
        <v>495.06</v>
      </c>
      <c r="E72" s="509">
        <v>495.06</v>
      </c>
      <c r="F72" s="509">
        <v>495.06</v>
      </c>
      <c r="G72" s="509">
        <v>495.06</v>
      </c>
      <c r="H72" s="509">
        <v>495.06</v>
      </c>
      <c r="I72" s="509">
        <v>495.06</v>
      </c>
      <c r="J72" s="509">
        <v>495.06</v>
      </c>
      <c r="K72" s="509">
        <v>495.06</v>
      </c>
      <c r="L72" s="509">
        <v>495.06</v>
      </c>
      <c r="M72" s="509">
        <v>495.06</v>
      </c>
      <c r="N72" s="509">
        <v>495.06</v>
      </c>
      <c r="O72" s="509">
        <v>495.06</v>
      </c>
      <c r="P72" s="509">
        <v>495.06</v>
      </c>
      <c r="Q72" s="509">
        <v>495.06</v>
      </c>
      <c r="R72" s="509">
        <v>495.06</v>
      </c>
      <c r="S72" s="509">
        <v>495.06</v>
      </c>
      <c r="T72" s="509">
        <v>495.06</v>
      </c>
      <c r="U72" s="509">
        <v>495.06</v>
      </c>
      <c r="V72" s="509">
        <v>495.06</v>
      </c>
      <c r="W72" s="509">
        <v>495.06</v>
      </c>
      <c r="X72" s="509">
        <v>495.06</v>
      </c>
      <c r="Y72" s="509">
        <v>495.06</v>
      </c>
      <c r="Z72" s="509">
        <v>495.06</v>
      </c>
      <c r="AA72" s="509">
        <v>495.06</v>
      </c>
      <c r="AB72" s="509">
        <v>495.06</v>
      </c>
      <c r="AC72" s="509">
        <v>495.06</v>
      </c>
      <c r="AD72" s="509">
        <v>495.06</v>
      </c>
      <c r="AE72" s="509">
        <v>495.06</v>
      </c>
      <c r="AF72" s="509">
        <v>495.06</v>
      </c>
      <c r="AG72" s="509">
        <v>495.06</v>
      </c>
      <c r="AH72" s="509">
        <v>495.06</v>
      </c>
      <c r="AI72" s="509">
        <v>495.06</v>
      </c>
      <c r="AJ72" s="509">
        <v>495.06</v>
      </c>
      <c r="AK72" s="509">
        <v>495.06</v>
      </c>
      <c r="AL72" s="509">
        <v>495.06</v>
      </c>
      <c r="AM72" s="509">
        <v>495.06</v>
      </c>
      <c r="AN72" s="509">
        <v>495.06</v>
      </c>
      <c r="AO72" s="509">
        <v>495.06</v>
      </c>
      <c r="AP72" s="509">
        <v>495.06</v>
      </c>
      <c r="AR72" s="158" t="s">
        <v>216</v>
      </c>
    </row>
    <row r="73" spans="1:44">
      <c r="A73" s="110">
        <v>231</v>
      </c>
      <c r="B73" s="156" t="s">
        <v>296</v>
      </c>
      <c r="C73" s="156" t="s">
        <v>280</v>
      </c>
      <c r="D73" s="509">
        <v>489.29</v>
      </c>
      <c r="E73" s="509">
        <v>489.29</v>
      </c>
      <c r="F73" s="509">
        <v>489.29</v>
      </c>
      <c r="G73" s="509">
        <v>489.29</v>
      </c>
      <c r="H73" s="509">
        <v>489.29</v>
      </c>
      <c r="I73" s="509">
        <v>489.29</v>
      </c>
      <c r="J73" s="509">
        <v>489.29</v>
      </c>
      <c r="K73" s="509">
        <v>489.29</v>
      </c>
      <c r="L73" s="509">
        <v>489.29</v>
      </c>
      <c r="M73" s="509">
        <v>489.29</v>
      </c>
      <c r="N73" s="509">
        <v>489.29</v>
      </c>
      <c r="O73" s="509">
        <v>489.29</v>
      </c>
      <c r="P73" s="509">
        <v>489.29</v>
      </c>
      <c r="Q73" s="509">
        <v>489.29</v>
      </c>
      <c r="R73" s="509">
        <v>489.29</v>
      </c>
      <c r="S73" s="509">
        <v>489.29</v>
      </c>
      <c r="T73" s="509">
        <v>489.29</v>
      </c>
      <c r="U73" s="509">
        <v>489.29</v>
      </c>
      <c r="V73" s="509">
        <v>489.29</v>
      </c>
      <c r="W73" s="509">
        <v>489.29</v>
      </c>
      <c r="X73" s="509">
        <v>489.29</v>
      </c>
      <c r="Y73" s="509">
        <v>489.29</v>
      </c>
      <c r="Z73" s="509">
        <v>489.29</v>
      </c>
      <c r="AA73" s="509">
        <v>489.29</v>
      </c>
      <c r="AB73" s="509">
        <v>489.29</v>
      </c>
      <c r="AC73" s="509">
        <v>489.29</v>
      </c>
      <c r="AD73" s="509">
        <v>489.29</v>
      </c>
      <c r="AE73" s="509">
        <v>489.29</v>
      </c>
      <c r="AF73" s="509">
        <v>489.29</v>
      </c>
      <c r="AG73" s="509">
        <v>489.29</v>
      </c>
      <c r="AH73" s="509">
        <v>489.29</v>
      </c>
      <c r="AI73" s="509">
        <v>489.29</v>
      </c>
      <c r="AJ73" s="509">
        <v>489.29</v>
      </c>
      <c r="AK73" s="509">
        <v>489.29</v>
      </c>
      <c r="AL73" s="509">
        <v>489.29</v>
      </c>
      <c r="AM73" s="509">
        <v>489.29</v>
      </c>
      <c r="AN73" s="509">
        <v>489.29</v>
      </c>
      <c r="AO73" s="509">
        <v>489.29</v>
      </c>
      <c r="AP73" s="509">
        <v>489.29</v>
      </c>
      <c r="AR73" s="158" t="s">
        <v>2512</v>
      </c>
    </row>
    <row r="74" spans="1:44">
      <c r="A74" s="110">
        <v>232</v>
      </c>
      <c r="B74" s="156" t="s">
        <v>300</v>
      </c>
      <c r="C74" s="156" t="s">
        <v>290</v>
      </c>
      <c r="D74" s="509">
        <v>842.33</v>
      </c>
      <c r="E74" s="509">
        <v>842.33</v>
      </c>
      <c r="F74" s="509">
        <v>842.33</v>
      </c>
      <c r="G74" s="509">
        <v>842.33</v>
      </c>
      <c r="H74" s="509">
        <v>842.33</v>
      </c>
      <c r="I74" s="509">
        <v>842.33</v>
      </c>
      <c r="J74" s="509">
        <v>842.33</v>
      </c>
      <c r="K74" s="509">
        <v>842.33</v>
      </c>
      <c r="L74" s="509">
        <v>842.33</v>
      </c>
      <c r="M74" s="509">
        <v>842.33</v>
      </c>
      <c r="N74" s="509">
        <v>842.33</v>
      </c>
      <c r="O74" s="509">
        <v>842.33</v>
      </c>
      <c r="P74" s="509">
        <v>842.33</v>
      </c>
      <c r="Q74" s="509">
        <v>842.33</v>
      </c>
      <c r="R74" s="509">
        <v>842.33</v>
      </c>
      <c r="S74" s="509">
        <v>842.33</v>
      </c>
      <c r="T74" s="509">
        <v>842.33</v>
      </c>
      <c r="U74" s="509">
        <v>842.33</v>
      </c>
      <c r="V74" s="509">
        <v>842.33</v>
      </c>
      <c r="W74" s="509">
        <v>842.33</v>
      </c>
      <c r="X74" s="509">
        <v>842.33</v>
      </c>
      <c r="Y74" s="509">
        <v>842.33</v>
      </c>
      <c r="Z74" s="509">
        <v>842.33</v>
      </c>
      <c r="AA74" s="509">
        <v>842.33</v>
      </c>
      <c r="AB74" s="509">
        <v>842.33</v>
      </c>
      <c r="AC74" s="509">
        <v>842.33</v>
      </c>
      <c r="AD74" s="509">
        <v>842.33</v>
      </c>
      <c r="AE74" s="509">
        <v>842.33</v>
      </c>
      <c r="AF74" s="509">
        <v>842.33</v>
      </c>
      <c r="AG74" s="509">
        <v>842.33</v>
      </c>
      <c r="AH74" s="509">
        <v>842.33</v>
      </c>
      <c r="AI74" s="509">
        <v>842.33</v>
      </c>
      <c r="AJ74" s="509">
        <v>842.33</v>
      </c>
      <c r="AK74" s="509">
        <v>842.33</v>
      </c>
      <c r="AL74" s="509">
        <v>842.33</v>
      </c>
      <c r="AM74" s="509">
        <v>842.33</v>
      </c>
      <c r="AN74" s="509">
        <v>842.33</v>
      </c>
      <c r="AO74" s="509">
        <v>842.33</v>
      </c>
      <c r="AP74" s="509">
        <v>842.33</v>
      </c>
      <c r="AR74" s="158" t="s">
        <v>2513</v>
      </c>
    </row>
    <row r="75" spans="1:44">
      <c r="A75" s="110">
        <v>233</v>
      </c>
      <c r="B75" s="156" t="s">
        <v>301</v>
      </c>
      <c r="C75" s="156" t="s">
        <v>280</v>
      </c>
      <c r="D75" s="509">
        <v>984.29</v>
      </c>
      <c r="E75" s="509">
        <v>984.29</v>
      </c>
      <c r="F75" s="509">
        <v>984.29</v>
      </c>
      <c r="G75" s="509">
        <v>984.29</v>
      </c>
      <c r="H75" s="509">
        <v>984.29</v>
      </c>
      <c r="I75" s="509">
        <v>984.29</v>
      </c>
      <c r="J75" s="509">
        <v>984.29</v>
      </c>
      <c r="K75" s="509">
        <v>984.29</v>
      </c>
      <c r="L75" s="509">
        <v>984.29</v>
      </c>
      <c r="M75" s="509">
        <v>984.29</v>
      </c>
      <c r="N75" s="509">
        <v>984.29</v>
      </c>
      <c r="O75" s="509">
        <v>984.29</v>
      </c>
      <c r="P75" s="509">
        <v>984.29</v>
      </c>
      <c r="Q75" s="509">
        <v>984.29</v>
      </c>
      <c r="R75" s="509">
        <v>984.29</v>
      </c>
      <c r="S75" s="509">
        <v>984.29</v>
      </c>
      <c r="T75" s="509">
        <v>984.29</v>
      </c>
      <c r="U75" s="509">
        <v>984.29</v>
      </c>
      <c r="V75" s="509">
        <v>984.29</v>
      </c>
      <c r="W75" s="509">
        <v>984.29</v>
      </c>
      <c r="X75" s="509">
        <v>984.29</v>
      </c>
      <c r="Y75" s="509">
        <v>984.29</v>
      </c>
      <c r="Z75" s="509">
        <v>984.29</v>
      </c>
      <c r="AA75" s="509">
        <v>984.29</v>
      </c>
      <c r="AB75" s="509">
        <v>984.29</v>
      </c>
      <c r="AC75" s="509">
        <v>984.29</v>
      </c>
      <c r="AD75" s="509">
        <v>984.29</v>
      </c>
      <c r="AE75" s="509">
        <v>984.29</v>
      </c>
      <c r="AF75" s="509">
        <v>984.29</v>
      </c>
      <c r="AG75" s="509">
        <v>984.29</v>
      </c>
      <c r="AH75" s="509">
        <v>984.29</v>
      </c>
      <c r="AI75" s="509">
        <v>984.29</v>
      </c>
      <c r="AJ75" s="509">
        <v>984.29</v>
      </c>
      <c r="AK75" s="509">
        <v>984.29</v>
      </c>
      <c r="AL75" s="509">
        <v>984.29</v>
      </c>
      <c r="AM75" s="509">
        <v>984.29</v>
      </c>
      <c r="AN75" s="509">
        <v>984.29</v>
      </c>
      <c r="AO75" s="509">
        <v>984.29</v>
      </c>
      <c r="AP75" s="509">
        <v>984.29</v>
      </c>
      <c r="AR75" s="158" t="s">
        <v>2513</v>
      </c>
    </row>
    <row r="76" spans="1:44">
      <c r="A76" s="110">
        <v>234</v>
      </c>
      <c r="B76" s="156" t="s">
        <v>302</v>
      </c>
      <c r="C76" s="156" t="s">
        <v>287</v>
      </c>
      <c r="D76" s="509">
        <v>290.26</v>
      </c>
      <c r="E76" s="509">
        <v>290.26</v>
      </c>
      <c r="F76" s="509">
        <v>290.26</v>
      </c>
      <c r="G76" s="509">
        <v>290.26</v>
      </c>
      <c r="H76" s="509">
        <v>290.26</v>
      </c>
      <c r="I76" s="509">
        <v>290.26</v>
      </c>
      <c r="J76" s="509">
        <v>290.26</v>
      </c>
      <c r="K76" s="509">
        <v>290.26</v>
      </c>
      <c r="L76" s="509">
        <v>290.26</v>
      </c>
      <c r="M76" s="509">
        <v>290.26</v>
      </c>
      <c r="N76" s="509">
        <v>290.26</v>
      </c>
      <c r="O76" s="509">
        <v>290.26</v>
      </c>
      <c r="P76" s="509">
        <v>290.26</v>
      </c>
      <c r="Q76" s="509">
        <v>290.26</v>
      </c>
      <c r="R76" s="509">
        <v>290.26</v>
      </c>
      <c r="S76" s="509">
        <v>290.26</v>
      </c>
      <c r="T76" s="509">
        <v>290.26</v>
      </c>
      <c r="U76" s="509">
        <v>290.26</v>
      </c>
      <c r="V76" s="509">
        <v>290.26</v>
      </c>
      <c r="W76" s="509">
        <v>290.26</v>
      </c>
      <c r="X76" s="509">
        <v>290.26</v>
      </c>
      <c r="Y76" s="509">
        <v>290.26</v>
      </c>
      <c r="Z76" s="509">
        <v>290.26</v>
      </c>
      <c r="AA76" s="509">
        <v>290.26</v>
      </c>
      <c r="AB76" s="509">
        <v>290.26</v>
      </c>
      <c r="AC76" s="509">
        <v>290.26</v>
      </c>
      <c r="AD76" s="509">
        <v>290.26</v>
      </c>
      <c r="AE76" s="509">
        <v>290.26</v>
      </c>
      <c r="AF76" s="509">
        <v>290.26</v>
      </c>
      <c r="AG76" s="509">
        <v>290.26</v>
      </c>
      <c r="AH76" s="509">
        <v>290.26</v>
      </c>
      <c r="AI76" s="509">
        <v>290.26</v>
      </c>
      <c r="AJ76" s="509">
        <v>290.26</v>
      </c>
      <c r="AK76" s="509">
        <v>290.26</v>
      </c>
      <c r="AL76" s="509">
        <v>290.26</v>
      </c>
      <c r="AM76" s="509">
        <v>290.26</v>
      </c>
      <c r="AN76" s="509">
        <v>290.26</v>
      </c>
      <c r="AO76" s="509">
        <v>290.26</v>
      </c>
      <c r="AP76" s="509">
        <v>290.26</v>
      </c>
      <c r="AR76" s="158" t="s">
        <v>2513</v>
      </c>
    </row>
    <row r="77" spans="1:44">
      <c r="A77" s="110">
        <v>235</v>
      </c>
      <c r="B77" s="156" t="s">
        <v>303</v>
      </c>
      <c r="C77" s="156" t="s">
        <v>280</v>
      </c>
      <c r="D77" s="509">
        <v>1350.87</v>
      </c>
      <c r="E77" s="509">
        <v>1350.87</v>
      </c>
      <c r="F77" s="509">
        <v>1350.87</v>
      </c>
      <c r="G77" s="509">
        <v>1350.87</v>
      </c>
      <c r="H77" s="509">
        <v>1350.87</v>
      </c>
      <c r="I77" s="509">
        <v>1350.87</v>
      </c>
      <c r="J77" s="509">
        <v>1350.87</v>
      </c>
      <c r="K77" s="509">
        <v>1350.87</v>
      </c>
      <c r="L77" s="509">
        <v>1350.87</v>
      </c>
      <c r="M77" s="509">
        <v>1350.87</v>
      </c>
      <c r="N77" s="509">
        <v>1350.87</v>
      </c>
      <c r="O77" s="509">
        <v>1350.87</v>
      </c>
      <c r="P77" s="509">
        <v>1350.87</v>
      </c>
      <c r="Q77" s="509">
        <v>1350.87</v>
      </c>
      <c r="R77" s="509">
        <v>1350.87</v>
      </c>
      <c r="S77" s="509">
        <v>1350.87</v>
      </c>
      <c r="T77" s="509">
        <v>1350.87</v>
      </c>
      <c r="U77" s="509">
        <v>1350.87</v>
      </c>
      <c r="V77" s="509">
        <v>1350.87</v>
      </c>
      <c r="W77" s="509">
        <v>1350.87</v>
      </c>
      <c r="X77" s="509">
        <v>1350.87</v>
      </c>
      <c r="Y77" s="509">
        <v>1350.87</v>
      </c>
      <c r="Z77" s="509">
        <v>1350.87</v>
      </c>
      <c r="AA77" s="509">
        <v>1350.87</v>
      </c>
      <c r="AB77" s="509">
        <v>1350.87</v>
      </c>
      <c r="AC77" s="509">
        <v>1350.87</v>
      </c>
      <c r="AD77" s="509">
        <v>1350.87</v>
      </c>
      <c r="AE77" s="509">
        <v>1350.87</v>
      </c>
      <c r="AF77" s="509">
        <v>1350.87</v>
      </c>
      <c r="AG77" s="509">
        <v>1350.87</v>
      </c>
      <c r="AH77" s="509">
        <v>1350.87</v>
      </c>
      <c r="AI77" s="509">
        <v>1350.87</v>
      </c>
      <c r="AJ77" s="509">
        <v>1350.87</v>
      </c>
      <c r="AK77" s="509">
        <v>1350.87</v>
      </c>
      <c r="AL77" s="509">
        <v>1350.87</v>
      </c>
      <c r="AM77" s="509">
        <v>1350.87</v>
      </c>
      <c r="AN77" s="509">
        <v>1350.87</v>
      </c>
      <c r="AO77" s="509">
        <v>1350.87</v>
      </c>
      <c r="AP77" s="509">
        <v>1350.87</v>
      </c>
      <c r="AR77" s="158" t="s">
        <v>2513</v>
      </c>
    </row>
    <row r="78" spans="1:44">
      <c r="A78" s="110">
        <v>236</v>
      </c>
      <c r="B78" s="156" t="s">
        <v>305</v>
      </c>
      <c r="C78" s="156" t="s">
        <v>280</v>
      </c>
      <c r="D78" s="509">
        <v>842.33</v>
      </c>
      <c r="E78" s="509">
        <v>842.33</v>
      </c>
      <c r="F78" s="509">
        <v>842.33</v>
      </c>
      <c r="G78" s="509">
        <v>842.33</v>
      </c>
      <c r="H78" s="509">
        <v>842.33</v>
      </c>
      <c r="I78" s="509">
        <v>842.33</v>
      </c>
      <c r="J78" s="509">
        <v>842.33</v>
      </c>
      <c r="K78" s="509">
        <v>842.33</v>
      </c>
      <c r="L78" s="509">
        <v>842.33</v>
      </c>
      <c r="M78" s="509">
        <v>842.33</v>
      </c>
      <c r="N78" s="509">
        <v>842.33</v>
      </c>
      <c r="O78" s="509">
        <v>842.33</v>
      </c>
      <c r="P78" s="509">
        <v>842.33</v>
      </c>
      <c r="Q78" s="509">
        <v>842.33</v>
      </c>
      <c r="R78" s="509">
        <v>842.33</v>
      </c>
      <c r="S78" s="509">
        <v>842.33</v>
      </c>
      <c r="T78" s="509">
        <v>842.33</v>
      </c>
      <c r="U78" s="509">
        <v>842.33</v>
      </c>
      <c r="V78" s="509">
        <v>842.33</v>
      </c>
      <c r="W78" s="509">
        <v>842.33</v>
      </c>
      <c r="X78" s="509">
        <v>842.33</v>
      </c>
      <c r="Y78" s="509">
        <v>842.33</v>
      </c>
      <c r="Z78" s="509">
        <v>842.33</v>
      </c>
      <c r="AA78" s="509">
        <v>842.33</v>
      </c>
      <c r="AB78" s="509">
        <v>842.33</v>
      </c>
      <c r="AC78" s="509">
        <v>842.33</v>
      </c>
      <c r="AD78" s="509">
        <v>842.33</v>
      </c>
      <c r="AE78" s="509">
        <v>842.33</v>
      </c>
      <c r="AF78" s="509">
        <v>842.33</v>
      </c>
      <c r="AG78" s="509">
        <v>842.33</v>
      </c>
      <c r="AH78" s="509">
        <v>842.33</v>
      </c>
      <c r="AI78" s="509">
        <v>842.33</v>
      </c>
      <c r="AJ78" s="509">
        <v>842.33</v>
      </c>
      <c r="AK78" s="509">
        <v>842.33</v>
      </c>
      <c r="AL78" s="509">
        <v>842.33</v>
      </c>
      <c r="AM78" s="509">
        <v>842.33</v>
      </c>
      <c r="AN78" s="509">
        <v>842.33</v>
      </c>
      <c r="AO78" s="509">
        <v>842.33</v>
      </c>
      <c r="AP78" s="509">
        <v>842.33</v>
      </c>
      <c r="AR78" s="158" t="s">
        <v>2513</v>
      </c>
    </row>
    <row r="79" spans="1:44">
      <c r="A79" s="110">
        <v>237</v>
      </c>
      <c r="B79" s="156" t="s">
        <v>309</v>
      </c>
      <c r="C79" s="156" t="s">
        <v>280</v>
      </c>
      <c r="D79" s="509">
        <v>760.85</v>
      </c>
      <c r="E79" s="509">
        <v>760.85</v>
      </c>
      <c r="F79" s="509">
        <v>760.85</v>
      </c>
      <c r="G79" s="509">
        <v>760.85</v>
      </c>
      <c r="H79" s="509">
        <v>760.85</v>
      </c>
      <c r="I79" s="509">
        <v>760.85</v>
      </c>
      <c r="J79" s="509">
        <v>760.85</v>
      </c>
      <c r="K79" s="509">
        <v>760.85</v>
      </c>
      <c r="L79" s="509">
        <v>760.85</v>
      </c>
      <c r="M79" s="509">
        <v>760.85</v>
      </c>
      <c r="N79" s="509">
        <v>760.85</v>
      </c>
      <c r="O79" s="509">
        <v>760.85</v>
      </c>
      <c r="P79" s="509">
        <v>760.85</v>
      </c>
      <c r="Q79" s="509">
        <v>760.85</v>
      </c>
      <c r="R79" s="509">
        <v>760.85</v>
      </c>
      <c r="S79" s="509">
        <v>760.85</v>
      </c>
      <c r="T79" s="509">
        <v>760.85</v>
      </c>
      <c r="U79" s="509">
        <v>760.85</v>
      </c>
      <c r="V79" s="509">
        <v>760.85</v>
      </c>
      <c r="W79" s="509">
        <v>760.85</v>
      </c>
      <c r="X79" s="509">
        <v>760.85</v>
      </c>
      <c r="Y79" s="509">
        <v>760.85</v>
      </c>
      <c r="Z79" s="509">
        <v>760.85</v>
      </c>
      <c r="AA79" s="509">
        <v>760.85</v>
      </c>
      <c r="AB79" s="509">
        <v>760.85</v>
      </c>
      <c r="AC79" s="509">
        <v>760.85</v>
      </c>
      <c r="AD79" s="509">
        <v>760.85</v>
      </c>
      <c r="AE79" s="509">
        <v>760.85</v>
      </c>
      <c r="AF79" s="509">
        <v>760.85</v>
      </c>
      <c r="AG79" s="509">
        <v>760.85</v>
      </c>
      <c r="AH79" s="509">
        <v>760.85</v>
      </c>
      <c r="AI79" s="509">
        <v>760.85</v>
      </c>
      <c r="AJ79" s="509">
        <v>760.85</v>
      </c>
      <c r="AK79" s="509">
        <v>760.85</v>
      </c>
      <c r="AL79" s="509">
        <v>760.85</v>
      </c>
      <c r="AM79" s="509">
        <v>760.85</v>
      </c>
      <c r="AN79" s="509">
        <v>760.85</v>
      </c>
      <c r="AO79" s="509">
        <v>760.85</v>
      </c>
      <c r="AP79" s="509">
        <v>760.85</v>
      </c>
      <c r="AR79" s="158" t="s">
        <v>2512</v>
      </c>
    </row>
    <row r="80" spans="1:44">
      <c r="A80" s="110">
        <v>238</v>
      </c>
      <c r="B80" s="156" t="s">
        <v>312</v>
      </c>
      <c r="C80" s="156" t="s">
        <v>280</v>
      </c>
      <c r="D80" s="509">
        <v>963.75</v>
      </c>
      <c r="E80" s="509">
        <v>963.75</v>
      </c>
      <c r="F80" s="509">
        <v>963.75</v>
      </c>
      <c r="G80" s="509">
        <v>963.75</v>
      </c>
      <c r="H80" s="509">
        <v>963.75</v>
      </c>
      <c r="I80" s="509">
        <v>963.75</v>
      </c>
      <c r="J80" s="509">
        <v>963.75</v>
      </c>
      <c r="K80" s="509">
        <v>963.75</v>
      </c>
      <c r="L80" s="509">
        <v>963.75</v>
      </c>
      <c r="M80" s="509">
        <v>963.75</v>
      </c>
      <c r="N80" s="509">
        <v>963.75</v>
      </c>
      <c r="O80" s="509">
        <v>963.75</v>
      </c>
      <c r="P80" s="509">
        <v>963.75</v>
      </c>
      <c r="Q80" s="509">
        <v>963.75</v>
      </c>
      <c r="R80" s="509">
        <v>963.75</v>
      </c>
      <c r="S80" s="509">
        <v>963.75</v>
      </c>
      <c r="T80" s="509">
        <v>963.75</v>
      </c>
      <c r="U80" s="509">
        <v>963.75</v>
      </c>
      <c r="V80" s="509">
        <v>963.75</v>
      </c>
      <c r="W80" s="509">
        <v>963.75</v>
      </c>
      <c r="X80" s="509">
        <v>963.75</v>
      </c>
      <c r="Y80" s="509">
        <v>963.75</v>
      </c>
      <c r="Z80" s="509">
        <v>963.75</v>
      </c>
      <c r="AA80" s="509">
        <v>963.75</v>
      </c>
      <c r="AB80" s="509">
        <v>963.75</v>
      </c>
      <c r="AC80" s="509">
        <v>963.75</v>
      </c>
      <c r="AD80" s="509">
        <v>963.75</v>
      </c>
      <c r="AE80" s="509">
        <v>963.75</v>
      </c>
      <c r="AF80" s="509">
        <v>963.75</v>
      </c>
      <c r="AG80" s="509">
        <v>963.75</v>
      </c>
      <c r="AH80" s="509">
        <v>963.75</v>
      </c>
      <c r="AI80" s="509">
        <v>963.75</v>
      </c>
      <c r="AJ80" s="509">
        <v>963.75</v>
      </c>
      <c r="AK80" s="509">
        <v>963.75</v>
      </c>
      <c r="AL80" s="509">
        <v>963.75</v>
      </c>
      <c r="AM80" s="509">
        <v>963.75</v>
      </c>
      <c r="AN80" s="509">
        <v>963.75</v>
      </c>
      <c r="AO80" s="509">
        <v>963.75</v>
      </c>
      <c r="AP80" s="509">
        <v>963.75</v>
      </c>
      <c r="AR80" s="158" t="s">
        <v>287</v>
      </c>
    </row>
    <row r="81" spans="1:44">
      <c r="A81" s="110">
        <v>239</v>
      </c>
      <c r="B81" s="156" t="s">
        <v>313</v>
      </c>
      <c r="C81" s="156" t="s">
        <v>280</v>
      </c>
      <c r="D81" s="509">
        <v>963.75</v>
      </c>
      <c r="E81" s="509">
        <v>963.75</v>
      </c>
      <c r="F81" s="509">
        <v>963.75</v>
      </c>
      <c r="G81" s="509">
        <v>963.75</v>
      </c>
      <c r="H81" s="509">
        <v>963.75</v>
      </c>
      <c r="I81" s="509">
        <v>963.75</v>
      </c>
      <c r="J81" s="509">
        <v>963.75</v>
      </c>
      <c r="K81" s="509">
        <v>963.75</v>
      </c>
      <c r="L81" s="509">
        <v>963.75</v>
      </c>
      <c r="M81" s="509">
        <v>963.75</v>
      </c>
      <c r="N81" s="509">
        <v>963.75</v>
      </c>
      <c r="O81" s="509">
        <v>963.75</v>
      </c>
      <c r="P81" s="509">
        <v>963.75</v>
      </c>
      <c r="Q81" s="509">
        <v>963.75</v>
      </c>
      <c r="R81" s="509">
        <v>963.75</v>
      </c>
      <c r="S81" s="509">
        <v>963.75</v>
      </c>
      <c r="T81" s="509">
        <v>963.75</v>
      </c>
      <c r="U81" s="509">
        <v>963.75</v>
      </c>
      <c r="V81" s="509">
        <v>963.75</v>
      </c>
      <c r="W81" s="509">
        <v>963.75</v>
      </c>
      <c r="X81" s="509">
        <v>963.75</v>
      </c>
      <c r="Y81" s="509">
        <v>963.75</v>
      </c>
      <c r="Z81" s="509">
        <v>963.75</v>
      </c>
      <c r="AA81" s="509">
        <v>963.75</v>
      </c>
      <c r="AB81" s="509">
        <v>963.75</v>
      </c>
      <c r="AC81" s="509">
        <v>963.75</v>
      </c>
      <c r="AD81" s="509">
        <v>963.75</v>
      </c>
      <c r="AE81" s="509">
        <v>963.75</v>
      </c>
      <c r="AF81" s="509">
        <v>963.75</v>
      </c>
      <c r="AG81" s="509">
        <v>963.75</v>
      </c>
      <c r="AH81" s="509">
        <v>963.75</v>
      </c>
      <c r="AI81" s="509">
        <v>963.75</v>
      </c>
      <c r="AJ81" s="509">
        <v>963.75</v>
      </c>
      <c r="AK81" s="509">
        <v>963.75</v>
      </c>
      <c r="AL81" s="509">
        <v>963.75</v>
      </c>
      <c r="AM81" s="509">
        <v>963.75</v>
      </c>
      <c r="AN81" s="509">
        <v>963.75</v>
      </c>
      <c r="AO81" s="509">
        <v>963.75</v>
      </c>
      <c r="AP81" s="509">
        <v>963.75</v>
      </c>
      <c r="AR81" s="158" t="s">
        <v>287</v>
      </c>
    </row>
    <row r="82" spans="1:44">
      <c r="A82" s="110">
        <v>240</v>
      </c>
      <c r="B82" s="156" t="s">
        <v>314</v>
      </c>
      <c r="C82" s="156" t="s">
        <v>280</v>
      </c>
      <c r="D82" s="509">
        <v>1115.96</v>
      </c>
      <c r="E82" s="509">
        <v>1115.96</v>
      </c>
      <c r="F82" s="509">
        <v>1115.96</v>
      </c>
      <c r="G82" s="509">
        <v>1115.96</v>
      </c>
      <c r="H82" s="509">
        <v>1115.96</v>
      </c>
      <c r="I82" s="509">
        <v>1115.96</v>
      </c>
      <c r="J82" s="509">
        <v>1115.96</v>
      </c>
      <c r="K82" s="509">
        <v>1115.96</v>
      </c>
      <c r="L82" s="509">
        <v>1115.96</v>
      </c>
      <c r="M82" s="509">
        <v>1115.96</v>
      </c>
      <c r="N82" s="509">
        <v>1115.96</v>
      </c>
      <c r="O82" s="509">
        <v>1115.96</v>
      </c>
      <c r="P82" s="509">
        <v>1115.96</v>
      </c>
      <c r="Q82" s="509">
        <v>1115.96</v>
      </c>
      <c r="R82" s="509">
        <v>1115.96</v>
      </c>
      <c r="S82" s="509">
        <v>1115.96</v>
      </c>
      <c r="T82" s="509">
        <v>1115.96</v>
      </c>
      <c r="U82" s="509">
        <v>1115.96</v>
      </c>
      <c r="V82" s="509">
        <v>1115.96</v>
      </c>
      <c r="W82" s="509">
        <v>1115.96</v>
      </c>
      <c r="X82" s="509">
        <v>1115.96</v>
      </c>
      <c r="Y82" s="509">
        <v>1115.96</v>
      </c>
      <c r="Z82" s="509">
        <v>1115.96</v>
      </c>
      <c r="AA82" s="509">
        <v>1115.96</v>
      </c>
      <c r="AB82" s="509">
        <v>1115.96</v>
      </c>
      <c r="AC82" s="509">
        <v>1115.96</v>
      </c>
      <c r="AD82" s="509">
        <v>1115.96</v>
      </c>
      <c r="AE82" s="509">
        <v>1115.96</v>
      </c>
      <c r="AF82" s="509">
        <v>1115.96</v>
      </c>
      <c r="AG82" s="509">
        <v>1115.96</v>
      </c>
      <c r="AH82" s="509">
        <v>1115.96</v>
      </c>
      <c r="AI82" s="509">
        <v>1115.96</v>
      </c>
      <c r="AJ82" s="509">
        <v>1115.96</v>
      </c>
      <c r="AK82" s="509">
        <v>1115.96</v>
      </c>
      <c r="AL82" s="509">
        <v>1115.96</v>
      </c>
      <c r="AM82" s="509">
        <v>1115.96</v>
      </c>
      <c r="AN82" s="509">
        <v>1115.96</v>
      </c>
      <c r="AO82" s="509">
        <v>1115.96</v>
      </c>
      <c r="AP82" s="509">
        <v>1115.96</v>
      </c>
      <c r="AR82" s="158" t="s">
        <v>287</v>
      </c>
    </row>
    <row r="83" spans="1:44">
      <c r="A83" s="110">
        <v>241</v>
      </c>
      <c r="B83" s="156" t="s">
        <v>316</v>
      </c>
      <c r="C83" s="156" t="s">
        <v>290</v>
      </c>
      <c r="D83" s="509">
        <v>495.75</v>
      </c>
      <c r="E83" s="509">
        <v>495.75</v>
      </c>
      <c r="F83" s="509">
        <v>495.75</v>
      </c>
      <c r="G83" s="509">
        <v>495.75</v>
      </c>
      <c r="H83" s="509">
        <v>495.75</v>
      </c>
      <c r="I83" s="509">
        <v>495.75</v>
      </c>
      <c r="J83" s="509">
        <v>495.75</v>
      </c>
      <c r="K83" s="509">
        <v>495.75</v>
      </c>
      <c r="L83" s="509">
        <v>495.75</v>
      </c>
      <c r="M83" s="509">
        <v>495.75</v>
      </c>
      <c r="N83" s="509">
        <v>495.75</v>
      </c>
      <c r="O83" s="509">
        <v>495.75</v>
      </c>
      <c r="P83" s="509">
        <v>495.75</v>
      </c>
      <c r="Q83" s="509">
        <v>495.75</v>
      </c>
      <c r="R83" s="509">
        <v>495.75</v>
      </c>
      <c r="S83" s="509">
        <v>495.75</v>
      </c>
      <c r="T83" s="509">
        <v>495.75</v>
      </c>
      <c r="U83" s="509">
        <v>495.75</v>
      </c>
      <c r="V83" s="509">
        <v>495.75</v>
      </c>
      <c r="W83" s="509">
        <v>495.75</v>
      </c>
      <c r="X83" s="509">
        <v>495.75</v>
      </c>
      <c r="Y83" s="509">
        <v>495.75</v>
      </c>
      <c r="Z83" s="509">
        <v>495.75</v>
      </c>
      <c r="AA83" s="509">
        <v>495.75</v>
      </c>
      <c r="AB83" s="509">
        <v>495.75</v>
      </c>
      <c r="AC83" s="509">
        <v>495.75</v>
      </c>
      <c r="AD83" s="509">
        <v>495.75</v>
      </c>
      <c r="AE83" s="509">
        <v>495.75</v>
      </c>
      <c r="AF83" s="509">
        <v>495.75</v>
      </c>
      <c r="AG83" s="509">
        <v>495.75</v>
      </c>
      <c r="AH83" s="509">
        <v>495.75</v>
      </c>
      <c r="AI83" s="509">
        <v>495.75</v>
      </c>
      <c r="AJ83" s="509">
        <v>495.75</v>
      </c>
      <c r="AK83" s="509">
        <v>495.75</v>
      </c>
      <c r="AL83" s="509">
        <v>495.75</v>
      </c>
      <c r="AM83" s="509">
        <v>495.75</v>
      </c>
      <c r="AN83" s="509">
        <v>495.75</v>
      </c>
      <c r="AO83" s="509">
        <v>495.75</v>
      </c>
      <c r="AP83" s="509">
        <v>495.75</v>
      </c>
      <c r="AR83" s="158" t="s">
        <v>214</v>
      </c>
    </row>
    <row r="84" spans="1:44">
      <c r="A84" s="110">
        <v>242</v>
      </c>
      <c r="B84" s="156" t="s">
        <v>317</v>
      </c>
      <c r="C84" s="156" t="s">
        <v>290</v>
      </c>
      <c r="D84" s="509">
        <v>1176.45</v>
      </c>
      <c r="E84" s="509">
        <v>1176.45</v>
      </c>
      <c r="F84" s="509">
        <v>1176.45</v>
      </c>
      <c r="G84" s="509">
        <v>1176.45</v>
      </c>
      <c r="H84" s="509">
        <v>1176.45</v>
      </c>
      <c r="I84" s="509">
        <v>1176.45</v>
      </c>
      <c r="J84" s="509">
        <v>1176.45</v>
      </c>
      <c r="K84" s="509">
        <v>1176.45</v>
      </c>
      <c r="L84" s="509">
        <v>1176.45</v>
      </c>
      <c r="M84" s="509">
        <v>1176.45</v>
      </c>
      <c r="N84" s="509">
        <v>1176.45</v>
      </c>
      <c r="O84" s="509">
        <v>1176.45</v>
      </c>
      <c r="P84" s="509">
        <v>1176.45</v>
      </c>
      <c r="Q84" s="509">
        <v>1176.45</v>
      </c>
      <c r="R84" s="509">
        <v>1176.45</v>
      </c>
      <c r="S84" s="509">
        <v>1176.45</v>
      </c>
      <c r="T84" s="509">
        <v>1176.45</v>
      </c>
      <c r="U84" s="509">
        <v>1176.45</v>
      </c>
      <c r="V84" s="509">
        <v>1176.45</v>
      </c>
      <c r="W84" s="509">
        <v>1176.45</v>
      </c>
      <c r="X84" s="509">
        <v>1176.45</v>
      </c>
      <c r="Y84" s="509">
        <v>1176.45</v>
      </c>
      <c r="Z84" s="509">
        <v>1176.45</v>
      </c>
      <c r="AA84" s="509">
        <v>1176.45</v>
      </c>
      <c r="AB84" s="509">
        <v>1176.45</v>
      </c>
      <c r="AC84" s="509">
        <v>1176.45</v>
      </c>
      <c r="AD84" s="509">
        <v>1176.45</v>
      </c>
      <c r="AE84" s="509">
        <v>1176.45</v>
      </c>
      <c r="AF84" s="509">
        <v>1176.45</v>
      </c>
      <c r="AG84" s="509">
        <v>1176.45</v>
      </c>
      <c r="AH84" s="509">
        <v>1176.45</v>
      </c>
      <c r="AI84" s="509">
        <v>1176.45</v>
      </c>
      <c r="AJ84" s="509">
        <v>1176.45</v>
      </c>
      <c r="AK84" s="509">
        <v>1176.45</v>
      </c>
      <c r="AL84" s="509">
        <v>1176.45</v>
      </c>
      <c r="AM84" s="509">
        <v>1176.45</v>
      </c>
      <c r="AN84" s="509">
        <v>1176.45</v>
      </c>
      <c r="AO84" s="509">
        <v>1176.45</v>
      </c>
      <c r="AP84" s="509">
        <v>1176.45</v>
      </c>
      <c r="AR84" s="158" t="s">
        <v>2512</v>
      </c>
    </row>
    <row r="85" spans="1:44">
      <c r="A85" s="110">
        <v>243</v>
      </c>
      <c r="B85" s="156" t="s">
        <v>318</v>
      </c>
      <c r="C85" s="156" t="s">
        <v>290</v>
      </c>
      <c r="D85" s="509">
        <v>495.08</v>
      </c>
      <c r="E85" s="509">
        <v>495.08</v>
      </c>
      <c r="F85" s="509">
        <v>495.08</v>
      </c>
      <c r="G85" s="509">
        <v>495.08</v>
      </c>
      <c r="H85" s="509">
        <v>495.08</v>
      </c>
      <c r="I85" s="509">
        <v>495.08</v>
      </c>
      <c r="J85" s="509">
        <v>495.08</v>
      </c>
      <c r="K85" s="509">
        <v>495.08</v>
      </c>
      <c r="L85" s="509">
        <v>495.08</v>
      </c>
      <c r="M85" s="509">
        <v>495.08</v>
      </c>
      <c r="N85" s="509">
        <v>495.08</v>
      </c>
      <c r="O85" s="509">
        <v>495.08</v>
      </c>
      <c r="P85" s="509">
        <v>495.08</v>
      </c>
      <c r="Q85" s="509">
        <v>495.08</v>
      </c>
      <c r="R85" s="509">
        <v>495.08</v>
      </c>
      <c r="S85" s="509">
        <v>495.08</v>
      </c>
      <c r="T85" s="509">
        <v>495.08</v>
      </c>
      <c r="U85" s="509">
        <v>495.08</v>
      </c>
      <c r="V85" s="509">
        <v>495.08</v>
      </c>
      <c r="W85" s="509">
        <v>495.08</v>
      </c>
      <c r="X85" s="509">
        <v>495.08</v>
      </c>
      <c r="Y85" s="509">
        <v>495.08</v>
      </c>
      <c r="Z85" s="509">
        <v>495.08</v>
      </c>
      <c r="AA85" s="509">
        <v>495.08</v>
      </c>
      <c r="AB85" s="509">
        <v>495.08</v>
      </c>
      <c r="AC85" s="509">
        <v>495.08</v>
      </c>
      <c r="AD85" s="509">
        <v>495.08</v>
      </c>
      <c r="AE85" s="509">
        <v>495.08</v>
      </c>
      <c r="AF85" s="509">
        <v>495.08</v>
      </c>
      <c r="AG85" s="509">
        <v>495.08</v>
      </c>
      <c r="AH85" s="509">
        <v>495.08</v>
      </c>
      <c r="AI85" s="509">
        <v>495.08</v>
      </c>
      <c r="AJ85" s="509">
        <v>495.08</v>
      </c>
      <c r="AK85" s="509">
        <v>495.08</v>
      </c>
      <c r="AL85" s="509">
        <v>495.08</v>
      </c>
      <c r="AM85" s="509">
        <v>495.08</v>
      </c>
      <c r="AN85" s="509">
        <v>495.08</v>
      </c>
      <c r="AO85" s="509">
        <v>495.08</v>
      </c>
      <c r="AP85" s="509">
        <v>495.08</v>
      </c>
      <c r="AR85" s="158" t="s">
        <v>2512</v>
      </c>
    </row>
    <row r="86" spans="1:44">
      <c r="A86" s="110">
        <v>244</v>
      </c>
      <c r="B86" s="156" t="s">
        <v>319</v>
      </c>
      <c r="C86" s="156" t="s">
        <v>290</v>
      </c>
      <c r="D86" s="509">
        <v>495.06</v>
      </c>
      <c r="E86" s="509">
        <v>495.06</v>
      </c>
      <c r="F86" s="509">
        <v>495.06</v>
      </c>
      <c r="G86" s="509">
        <v>495.06</v>
      </c>
      <c r="H86" s="509">
        <v>495.06</v>
      </c>
      <c r="I86" s="509">
        <v>495.06</v>
      </c>
      <c r="J86" s="509">
        <v>495.06</v>
      </c>
      <c r="K86" s="509">
        <v>495.06</v>
      </c>
      <c r="L86" s="509">
        <v>495.06</v>
      </c>
      <c r="M86" s="509">
        <v>495.06</v>
      </c>
      <c r="N86" s="509">
        <v>495.06</v>
      </c>
      <c r="O86" s="509">
        <v>495.06</v>
      </c>
      <c r="P86" s="509">
        <v>495.06</v>
      </c>
      <c r="Q86" s="509">
        <v>495.06</v>
      </c>
      <c r="R86" s="509">
        <v>495.06</v>
      </c>
      <c r="S86" s="509">
        <v>495.06</v>
      </c>
      <c r="T86" s="509">
        <v>495.06</v>
      </c>
      <c r="U86" s="509">
        <v>495.06</v>
      </c>
      <c r="V86" s="509">
        <v>495.06</v>
      </c>
      <c r="W86" s="509">
        <v>495.06</v>
      </c>
      <c r="X86" s="509">
        <v>495.06</v>
      </c>
      <c r="Y86" s="509">
        <v>495.06</v>
      </c>
      <c r="Z86" s="509">
        <v>495.06</v>
      </c>
      <c r="AA86" s="509">
        <v>495.06</v>
      </c>
      <c r="AB86" s="509">
        <v>495.06</v>
      </c>
      <c r="AC86" s="509">
        <v>495.06</v>
      </c>
      <c r="AD86" s="509">
        <v>495.06</v>
      </c>
      <c r="AE86" s="509">
        <v>495.06</v>
      </c>
      <c r="AF86" s="509">
        <v>495.06</v>
      </c>
      <c r="AG86" s="509">
        <v>495.06</v>
      </c>
      <c r="AH86" s="509">
        <v>495.06</v>
      </c>
      <c r="AI86" s="509">
        <v>495.06</v>
      </c>
      <c r="AJ86" s="509">
        <v>495.06</v>
      </c>
      <c r="AK86" s="509">
        <v>495.06</v>
      </c>
      <c r="AL86" s="509">
        <v>495.06</v>
      </c>
      <c r="AM86" s="509">
        <v>495.06</v>
      </c>
      <c r="AN86" s="509">
        <v>495.06</v>
      </c>
      <c r="AO86" s="509">
        <v>495.06</v>
      </c>
      <c r="AP86" s="509">
        <v>495.06</v>
      </c>
      <c r="AR86" s="158" t="s">
        <v>287</v>
      </c>
    </row>
    <row r="87" spans="1:44">
      <c r="A87" s="110">
        <v>245</v>
      </c>
      <c r="B87" s="156" t="s">
        <v>320</v>
      </c>
      <c r="C87" s="156" t="s">
        <v>280</v>
      </c>
      <c r="D87" s="509">
        <v>562.65</v>
      </c>
      <c r="E87" s="509">
        <v>562.65</v>
      </c>
      <c r="F87" s="509">
        <v>562.65</v>
      </c>
      <c r="G87" s="509">
        <v>562.65</v>
      </c>
      <c r="H87" s="509">
        <v>562.65</v>
      </c>
      <c r="I87" s="509">
        <v>562.65</v>
      </c>
      <c r="J87" s="509">
        <v>562.65</v>
      </c>
      <c r="K87" s="509">
        <v>562.65</v>
      </c>
      <c r="L87" s="509">
        <v>562.65</v>
      </c>
      <c r="M87" s="509">
        <v>562.65</v>
      </c>
      <c r="N87" s="509">
        <v>562.65</v>
      </c>
      <c r="O87" s="509">
        <v>562.65</v>
      </c>
      <c r="P87" s="509">
        <v>562.65</v>
      </c>
      <c r="Q87" s="509">
        <v>562.65</v>
      </c>
      <c r="R87" s="509">
        <v>562.65</v>
      </c>
      <c r="S87" s="509">
        <v>562.65</v>
      </c>
      <c r="T87" s="509">
        <v>562.65</v>
      </c>
      <c r="U87" s="509">
        <v>562.65</v>
      </c>
      <c r="V87" s="509">
        <v>562.65</v>
      </c>
      <c r="W87" s="509">
        <v>562.65</v>
      </c>
      <c r="X87" s="509">
        <v>562.65</v>
      </c>
      <c r="Y87" s="509">
        <v>562.65</v>
      </c>
      <c r="Z87" s="509">
        <v>562.65</v>
      </c>
      <c r="AA87" s="509">
        <v>562.65</v>
      </c>
      <c r="AB87" s="509">
        <v>562.65</v>
      </c>
      <c r="AC87" s="509">
        <v>562.65</v>
      </c>
      <c r="AD87" s="509">
        <v>562.65</v>
      </c>
      <c r="AE87" s="509">
        <v>562.65</v>
      </c>
      <c r="AF87" s="509">
        <v>562.65</v>
      </c>
      <c r="AG87" s="509">
        <v>562.65</v>
      </c>
      <c r="AH87" s="509">
        <v>562.65</v>
      </c>
      <c r="AI87" s="509">
        <v>562.65</v>
      </c>
      <c r="AJ87" s="509">
        <v>562.65</v>
      </c>
      <c r="AK87" s="509">
        <v>562.65</v>
      </c>
      <c r="AL87" s="509">
        <v>562.65</v>
      </c>
      <c r="AM87" s="509">
        <v>562.65</v>
      </c>
      <c r="AN87" s="509">
        <v>562.65</v>
      </c>
      <c r="AO87" s="509">
        <v>562.65</v>
      </c>
      <c r="AP87" s="509">
        <v>562.65</v>
      </c>
      <c r="AR87" s="158" t="s">
        <v>2512</v>
      </c>
    </row>
    <row r="88" spans="1:44">
      <c r="A88" s="110">
        <v>246</v>
      </c>
      <c r="B88" s="156" t="s">
        <v>323</v>
      </c>
      <c r="C88" s="156" t="s">
        <v>280</v>
      </c>
      <c r="D88" s="509">
        <v>1124.53</v>
      </c>
      <c r="E88" s="509">
        <v>1124.53</v>
      </c>
      <c r="F88" s="509">
        <v>1124.53</v>
      </c>
      <c r="G88" s="509">
        <v>1124.53</v>
      </c>
      <c r="H88" s="509">
        <v>1124.53</v>
      </c>
      <c r="I88" s="509">
        <v>1124.53</v>
      </c>
      <c r="J88" s="509">
        <v>1124.53</v>
      </c>
      <c r="K88" s="509">
        <v>1124.53</v>
      </c>
      <c r="L88" s="509">
        <v>1124.53</v>
      </c>
      <c r="M88" s="509">
        <v>1124.53</v>
      </c>
      <c r="N88" s="509">
        <v>1124.53</v>
      </c>
      <c r="O88" s="509">
        <v>1124.53</v>
      </c>
      <c r="P88" s="509">
        <v>1124.53</v>
      </c>
      <c r="Q88" s="509">
        <v>1124.53</v>
      </c>
      <c r="R88" s="509">
        <v>1124.53</v>
      </c>
      <c r="S88" s="509">
        <v>1124.53</v>
      </c>
      <c r="T88" s="509">
        <v>1124.53</v>
      </c>
      <c r="U88" s="509">
        <v>1124.53</v>
      </c>
      <c r="V88" s="509">
        <v>1124.53</v>
      </c>
      <c r="W88" s="509">
        <v>1124.53</v>
      </c>
      <c r="X88" s="509">
        <v>1124.53</v>
      </c>
      <c r="Y88" s="509">
        <v>1124.53</v>
      </c>
      <c r="Z88" s="509">
        <v>1124.53</v>
      </c>
      <c r="AA88" s="509">
        <v>1124.53</v>
      </c>
      <c r="AB88" s="509">
        <v>1124.53</v>
      </c>
      <c r="AC88" s="509">
        <v>1124.53</v>
      </c>
      <c r="AD88" s="509">
        <v>1124.53</v>
      </c>
      <c r="AE88" s="509">
        <v>1124.53</v>
      </c>
      <c r="AF88" s="509">
        <v>1124.53</v>
      </c>
      <c r="AG88" s="509">
        <v>1124.53</v>
      </c>
      <c r="AH88" s="509">
        <v>1124.53</v>
      </c>
      <c r="AI88" s="509">
        <v>1124.53</v>
      </c>
      <c r="AJ88" s="509">
        <v>1124.53</v>
      </c>
      <c r="AK88" s="509">
        <v>1124.53</v>
      </c>
      <c r="AL88" s="509">
        <v>1124.53</v>
      </c>
      <c r="AM88" s="509">
        <v>1124.53</v>
      </c>
      <c r="AN88" s="509">
        <v>1124.53</v>
      </c>
      <c r="AO88" s="509">
        <v>1124.53</v>
      </c>
      <c r="AP88" s="509">
        <v>1124.53</v>
      </c>
      <c r="AR88" s="158" t="s">
        <v>2512</v>
      </c>
    </row>
    <row r="89" spans="1:44">
      <c r="A89" s="110">
        <v>247</v>
      </c>
      <c r="B89" s="156" t="s">
        <v>328</v>
      </c>
      <c r="C89" s="156" t="s">
        <v>280</v>
      </c>
      <c r="D89" s="509">
        <v>609.51</v>
      </c>
      <c r="E89" s="509">
        <v>609.51</v>
      </c>
      <c r="F89" s="509">
        <v>609.51</v>
      </c>
      <c r="G89" s="509">
        <v>609.51</v>
      </c>
      <c r="H89" s="509">
        <v>609.51</v>
      </c>
      <c r="I89" s="509">
        <v>609.51</v>
      </c>
      <c r="J89" s="509">
        <v>609.51</v>
      </c>
      <c r="K89" s="509">
        <v>609.51</v>
      </c>
      <c r="L89" s="509">
        <v>609.51</v>
      </c>
      <c r="M89" s="509">
        <v>609.51</v>
      </c>
      <c r="N89" s="509">
        <v>609.51</v>
      </c>
      <c r="O89" s="509">
        <v>609.51</v>
      </c>
      <c r="P89" s="509">
        <v>609.51</v>
      </c>
      <c r="Q89" s="509">
        <v>609.51</v>
      </c>
      <c r="R89" s="509">
        <v>609.51</v>
      </c>
      <c r="S89" s="509">
        <v>609.51</v>
      </c>
      <c r="T89" s="509">
        <v>609.51</v>
      </c>
      <c r="U89" s="509">
        <v>609.51</v>
      </c>
      <c r="V89" s="509">
        <v>609.51</v>
      </c>
      <c r="W89" s="509">
        <v>609.51</v>
      </c>
      <c r="X89" s="509">
        <v>609.51</v>
      </c>
      <c r="Y89" s="509">
        <v>609.51</v>
      </c>
      <c r="Z89" s="509">
        <v>609.51</v>
      </c>
      <c r="AA89" s="509">
        <v>609.51</v>
      </c>
      <c r="AB89" s="509">
        <v>609.51</v>
      </c>
      <c r="AC89" s="509">
        <v>609.51</v>
      </c>
      <c r="AD89" s="509">
        <v>609.51</v>
      </c>
      <c r="AE89" s="509">
        <v>609.51</v>
      </c>
      <c r="AF89" s="509">
        <v>609.51</v>
      </c>
      <c r="AG89" s="509">
        <v>609.51</v>
      </c>
      <c r="AH89" s="509">
        <v>609.51</v>
      </c>
      <c r="AI89" s="509">
        <v>609.51</v>
      </c>
      <c r="AJ89" s="509">
        <v>609.51</v>
      </c>
      <c r="AK89" s="509">
        <v>609.51</v>
      </c>
      <c r="AL89" s="509">
        <v>609.51</v>
      </c>
      <c r="AM89" s="509">
        <v>609.51</v>
      </c>
      <c r="AN89" s="509">
        <v>609.51</v>
      </c>
      <c r="AO89" s="509">
        <v>609.51</v>
      </c>
      <c r="AP89" s="509">
        <v>609.51</v>
      </c>
      <c r="AR89" s="158" t="s">
        <v>287</v>
      </c>
    </row>
    <row r="90" spans="1:44">
      <c r="A90" s="110">
        <v>248</v>
      </c>
      <c r="B90" s="156" t="s">
        <v>332</v>
      </c>
      <c r="C90" s="156" t="s">
        <v>290</v>
      </c>
      <c r="D90" s="509">
        <v>495.06</v>
      </c>
      <c r="E90" s="509">
        <v>495.06</v>
      </c>
      <c r="F90" s="509">
        <v>495.06</v>
      </c>
      <c r="G90" s="509">
        <v>495.06</v>
      </c>
      <c r="H90" s="509">
        <v>495.06</v>
      </c>
      <c r="I90" s="509">
        <v>495.06</v>
      </c>
      <c r="J90" s="509">
        <v>495.06</v>
      </c>
      <c r="K90" s="509">
        <v>495.06</v>
      </c>
      <c r="L90" s="509">
        <v>495.06</v>
      </c>
      <c r="M90" s="509">
        <v>495.06</v>
      </c>
      <c r="N90" s="509">
        <v>495.06</v>
      </c>
      <c r="O90" s="509">
        <v>495.06</v>
      </c>
      <c r="P90" s="509">
        <v>495.06</v>
      </c>
      <c r="Q90" s="509">
        <v>495.06</v>
      </c>
      <c r="R90" s="509">
        <v>495.06</v>
      </c>
      <c r="S90" s="509">
        <v>495.06</v>
      </c>
      <c r="T90" s="509">
        <v>495.06</v>
      </c>
      <c r="U90" s="509">
        <v>495.06</v>
      </c>
      <c r="V90" s="509">
        <v>495.06</v>
      </c>
      <c r="W90" s="509">
        <v>495.06</v>
      </c>
      <c r="X90" s="509">
        <v>495.06</v>
      </c>
      <c r="Y90" s="509">
        <v>495.06</v>
      </c>
      <c r="Z90" s="509">
        <v>495.06</v>
      </c>
      <c r="AA90" s="509">
        <v>495.06</v>
      </c>
      <c r="AB90" s="509">
        <v>495.06</v>
      </c>
      <c r="AC90" s="509">
        <v>495.06</v>
      </c>
      <c r="AD90" s="509">
        <v>495.06</v>
      </c>
      <c r="AE90" s="509">
        <v>495.06</v>
      </c>
      <c r="AF90" s="509">
        <v>495.06</v>
      </c>
      <c r="AG90" s="509">
        <v>495.06</v>
      </c>
      <c r="AH90" s="509">
        <v>495.06</v>
      </c>
      <c r="AI90" s="509">
        <v>495.06</v>
      </c>
      <c r="AJ90" s="509">
        <v>495.06</v>
      </c>
      <c r="AK90" s="509">
        <v>495.06</v>
      </c>
      <c r="AL90" s="509">
        <v>495.06</v>
      </c>
      <c r="AM90" s="509">
        <v>495.06</v>
      </c>
      <c r="AN90" s="509">
        <v>495.06</v>
      </c>
      <c r="AO90" s="509">
        <v>495.06</v>
      </c>
      <c r="AP90" s="509">
        <v>495.06</v>
      </c>
      <c r="AR90" s="158" t="s">
        <v>2512</v>
      </c>
    </row>
    <row r="91" spans="1:44">
      <c r="A91" s="110">
        <v>249</v>
      </c>
      <c r="B91" s="156" t="s">
        <v>333</v>
      </c>
      <c r="C91" s="156" t="s">
        <v>280</v>
      </c>
      <c r="D91" s="509">
        <v>842.33</v>
      </c>
      <c r="E91" s="509">
        <v>842.33</v>
      </c>
      <c r="F91" s="509">
        <v>842.33</v>
      </c>
      <c r="G91" s="509">
        <v>842.33</v>
      </c>
      <c r="H91" s="509">
        <v>842.33</v>
      </c>
      <c r="I91" s="509">
        <v>842.33</v>
      </c>
      <c r="J91" s="509">
        <v>842.33</v>
      </c>
      <c r="K91" s="509">
        <v>842.33</v>
      </c>
      <c r="L91" s="509">
        <v>842.33</v>
      </c>
      <c r="M91" s="509">
        <v>842.33</v>
      </c>
      <c r="N91" s="509">
        <v>842.33</v>
      </c>
      <c r="O91" s="509">
        <v>842.33</v>
      </c>
      <c r="P91" s="509">
        <v>842.33</v>
      </c>
      <c r="Q91" s="509">
        <v>842.33</v>
      </c>
      <c r="R91" s="509">
        <v>842.33</v>
      </c>
      <c r="S91" s="509">
        <v>842.33</v>
      </c>
      <c r="T91" s="509">
        <v>842.33</v>
      </c>
      <c r="U91" s="509">
        <v>842.33</v>
      </c>
      <c r="V91" s="509">
        <v>842.33</v>
      </c>
      <c r="W91" s="509">
        <v>842.33</v>
      </c>
      <c r="X91" s="509">
        <v>842.33</v>
      </c>
      <c r="Y91" s="509">
        <v>842.33</v>
      </c>
      <c r="Z91" s="509">
        <v>842.33</v>
      </c>
      <c r="AA91" s="509">
        <v>842.33</v>
      </c>
      <c r="AB91" s="509">
        <v>842.33</v>
      </c>
      <c r="AC91" s="509">
        <v>842.33</v>
      </c>
      <c r="AD91" s="509">
        <v>842.33</v>
      </c>
      <c r="AE91" s="509">
        <v>842.33</v>
      </c>
      <c r="AF91" s="509">
        <v>842.33</v>
      </c>
      <c r="AG91" s="509">
        <v>842.33</v>
      </c>
      <c r="AH91" s="509">
        <v>842.33</v>
      </c>
      <c r="AI91" s="509">
        <v>842.33</v>
      </c>
      <c r="AJ91" s="509">
        <v>842.33</v>
      </c>
      <c r="AK91" s="509">
        <v>842.33</v>
      </c>
      <c r="AL91" s="509">
        <v>842.33</v>
      </c>
      <c r="AM91" s="509">
        <v>842.33</v>
      </c>
      <c r="AN91" s="509">
        <v>842.33</v>
      </c>
      <c r="AO91" s="509">
        <v>842.33</v>
      </c>
      <c r="AP91" s="509">
        <v>842.33</v>
      </c>
      <c r="AR91" s="158" t="s">
        <v>2512</v>
      </c>
    </row>
    <row r="92" spans="1:44">
      <c r="A92" s="110">
        <v>250</v>
      </c>
      <c r="B92" s="156" t="s">
        <v>340</v>
      </c>
      <c r="C92" s="156" t="s">
        <v>290</v>
      </c>
      <c r="D92" s="509">
        <v>1176.45</v>
      </c>
      <c r="E92" s="509">
        <v>1176.45</v>
      </c>
      <c r="F92" s="509">
        <v>1176.45</v>
      </c>
      <c r="G92" s="509">
        <v>1176.45</v>
      </c>
      <c r="H92" s="509">
        <v>1176.45</v>
      </c>
      <c r="I92" s="509">
        <v>1176.45</v>
      </c>
      <c r="J92" s="509">
        <v>1176.45</v>
      </c>
      <c r="K92" s="509">
        <v>1176.45</v>
      </c>
      <c r="L92" s="509">
        <v>1176.45</v>
      </c>
      <c r="M92" s="509">
        <v>1176.45</v>
      </c>
      <c r="N92" s="509">
        <v>1176.45</v>
      </c>
      <c r="O92" s="509">
        <v>1176.45</v>
      </c>
      <c r="P92" s="509">
        <v>1176.45</v>
      </c>
      <c r="Q92" s="509">
        <v>1176.45</v>
      </c>
      <c r="R92" s="509">
        <v>1176.45</v>
      </c>
      <c r="S92" s="509">
        <v>1176.45</v>
      </c>
      <c r="T92" s="509">
        <v>1176.45</v>
      </c>
      <c r="U92" s="509">
        <v>1176.45</v>
      </c>
      <c r="V92" s="509">
        <v>1176.45</v>
      </c>
      <c r="W92" s="509">
        <v>1176.45</v>
      </c>
      <c r="X92" s="509">
        <v>1176.45</v>
      </c>
      <c r="Y92" s="509">
        <v>1176.45</v>
      </c>
      <c r="Z92" s="509">
        <v>1176.45</v>
      </c>
      <c r="AA92" s="509">
        <v>1176.45</v>
      </c>
      <c r="AB92" s="509">
        <v>1176.45</v>
      </c>
      <c r="AC92" s="509">
        <v>1176.45</v>
      </c>
      <c r="AD92" s="509">
        <v>1176.45</v>
      </c>
      <c r="AE92" s="509">
        <v>1176.45</v>
      </c>
      <c r="AF92" s="509">
        <v>1176.45</v>
      </c>
      <c r="AG92" s="509">
        <v>1176.45</v>
      </c>
      <c r="AH92" s="509">
        <v>1176.45</v>
      </c>
      <c r="AI92" s="509">
        <v>1176.45</v>
      </c>
      <c r="AJ92" s="509">
        <v>1176.45</v>
      </c>
      <c r="AK92" s="509">
        <v>1176.45</v>
      </c>
      <c r="AL92" s="509">
        <v>1176.45</v>
      </c>
      <c r="AM92" s="509">
        <v>1176.45</v>
      </c>
      <c r="AN92" s="509">
        <v>1176.45</v>
      </c>
      <c r="AO92" s="509">
        <v>1176.45</v>
      </c>
      <c r="AP92" s="509">
        <v>1176.45</v>
      </c>
      <c r="AR92" s="158" t="s">
        <v>2512</v>
      </c>
    </row>
    <row r="93" spans="1:44">
      <c r="A93" s="110">
        <v>251</v>
      </c>
      <c r="B93" s="156" t="s">
        <v>341</v>
      </c>
      <c r="C93" s="156" t="s">
        <v>280</v>
      </c>
      <c r="D93" s="509">
        <v>842.33</v>
      </c>
      <c r="E93" s="509">
        <v>842.33</v>
      </c>
      <c r="F93" s="509">
        <v>842.33</v>
      </c>
      <c r="G93" s="509">
        <v>842.33</v>
      </c>
      <c r="H93" s="509">
        <v>842.33</v>
      </c>
      <c r="I93" s="509">
        <v>842.33</v>
      </c>
      <c r="J93" s="509">
        <v>842.33</v>
      </c>
      <c r="K93" s="509">
        <v>842.33</v>
      </c>
      <c r="L93" s="509">
        <v>842.33</v>
      </c>
      <c r="M93" s="509">
        <v>842.33</v>
      </c>
      <c r="N93" s="509">
        <v>842.33</v>
      </c>
      <c r="O93" s="509">
        <v>842.33</v>
      </c>
      <c r="P93" s="509">
        <v>842.33</v>
      </c>
      <c r="Q93" s="509">
        <v>842.33</v>
      </c>
      <c r="R93" s="509">
        <v>842.33</v>
      </c>
      <c r="S93" s="509">
        <v>842.33</v>
      </c>
      <c r="T93" s="509">
        <v>842.33</v>
      </c>
      <c r="U93" s="509">
        <v>842.33</v>
      </c>
      <c r="V93" s="509">
        <v>842.33</v>
      </c>
      <c r="W93" s="509">
        <v>842.33</v>
      </c>
      <c r="X93" s="509">
        <v>842.33</v>
      </c>
      <c r="Y93" s="509">
        <v>842.33</v>
      </c>
      <c r="Z93" s="509">
        <v>842.33</v>
      </c>
      <c r="AA93" s="509">
        <v>842.33</v>
      </c>
      <c r="AB93" s="509">
        <v>842.33</v>
      </c>
      <c r="AC93" s="509">
        <v>842.33</v>
      </c>
      <c r="AD93" s="509">
        <v>842.33</v>
      </c>
      <c r="AE93" s="509">
        <v>842.33</v>
      </c>
      <c r="AF93" s="509">
        <v>842.33</v>
      </c>
      <c r="AG93" s="509">
        <v>842.33</v>
      </c>
      <c r="AH93" s="509">
        <v>842.33</v>
      </c>
      <c r="AI93" s="509">
        <v>842.33</v>
      </c>
      <c r="AJ93" s="509">
        <v>842.33</v>
      </c>
      <c r="AK93" s="509">
        <v>842.33</v>
      </c>
      <c r="AL93" s="509">
        <v>842.33</v>
      </c>
      <c r="AM93" s="509">
        <v>842.33</v>
      </c>
      <c r="AN93" s="509">
        <v>842.33</v>
      </c>
      <c r="AO93" s="509">
        <v>842.33</v>
      </c>
      <c r="AP93" s="509">
        <v>842.33</v>
      </c>
      <c r="AR93" s="158" t="s">
        <v>2512</v>
      </c>
    </row>
    <row r="94" spans="1:44">
      <c r="A94" s="110">
        <v>252</v>
      </c>
      <c r="B94" s="156" t="s">
        <v>347</v>
      </c>
      <c r="C94" s="156" t="s">
        <v>290</v>
      </c>
      <c r="D94" s="509">
        <v>842.33</v>
      </c>
      <c r="E94" s="509">
        <v>842.33</v>
      </c>
      <c r="F94" s="509">
        <v>842.33</v>
      </c>
      <c r="G94" s="509">
        <v>842.33</v>
      </c>
      <c r="H94" s="509">
        <v>842.33</v>
      </c>
      <c r="I94" s="509">
        <v>842.33</v>
      </c>
      <c r="J94" s="509">
        <v>842.33</v>
      </c>
      <c r="K94" s="509">
        <v>842.33</v>
      </c>
      <c r="L94" s="509">
        <v>842.33</v>
      </c>
      <c r="M94" s="509">
        <v>842.33</v>
      </c>
      <c r="N94" s="509">
        <v>842.33</v>
      </c>
      <c r="O94" s="509">
        <v>842.33</v>
      </c>
      <c r="P94" s="509">
        <v>842.33</v>
      </c>
      <c r="Q94" s="509">
        <v>842.33</v>
      </c>
      <c r="R94" s="509">
        <v>842.33</v>
      </c>
      <c r="S94" s="509">
        <v>842.33</v>
      </c>
      <c r="T94" s="509">
        <v>842.33</v>
      </c>
      <c r="U94" s="509">
        <v>842.33</v>
      </c>
      <c r="V94" s="509">
        <v>842.33</v>
      </c>
      <c r="W94" s="509">
        <v>842.33</v>
      </c>
      <c r="X94" s="509">
        <v>842.33</v>
      </c>
      <c r="Y94" s="509">
        <v>842.33</v>
      </c>
      <c r="Z94" s="509">
        <v>842.33</v>
      </c>
      <c r="AA94" s="509">
        <v>842.33</v>
      </c>
      <c r="AB94" s="509">
        <v>842.33</v>
      </c>
      <c r="AC94" s="509">
        <v>842.33</v>
      </c>
      <c r="AD94" s="509">
        <v>842.33</v>
      </c>
      <c r="AE94" s="509">
        <v>842.33</v>
      </c>
      <c r="AF94" s="509">
        <v>842.33</v>
      </c>
      <c r="AG94" s="509">
        <v>842.33</v>
      </c>
      <c r="AH94" s="509">
        <v>842.33</v>
      </c>
      <c r="AI94" s="509">
        <v>842.33</v>
      </c>
      <c r="AJ94" s="509">
        <v>842.33</v>
      </c>
      <c r="AK94" s="509">
        <v>842.33</v>
      </c>
      <c r="AL94" s="509">
        <v>842.33</v>
      </c>
      <c r="AM94" s="509">
        <v>842.33</v>
      </c>
      <c r="AN94" s="509">
        <v>842.33</v>
      </c>
      <c r="AO94" s="509">
        <v>842.33</v>
      </c>
      <c r="AP94" s="509">
        <v>842.33</v>
      </c>
      <c r="AR94" s="158" t="s">
        <v>216</v>
      </c>
    </row>
    <row r="95" spans="1:44">
      <c r="A95" s="110">
        <v>253</v>
      </c>
      <c r="B95" s="156" t="s">
        <v>348</v>
      </c>
      <c r="C95" s="156" t="s">
        <v>287</v>
      </c>
      <c r="D95" s="509">
        <v>279.45</v>
      </c>
      <c r="E95" s="509">
        <v>279.45</v>
      </c>
      <c r="F95" s="509">
        <v>279.45</v>
      </c>
      <c r="G95" s="509">
        <v>279.45</v>
      </c>
      <c r="H95" s="509">
        <v>279.45</v>
      </c>
      <c r="I95" s="509">
        <v>279.45</v>
      </c>
      <c r="J95" s="509">
        <v>279.45</v>
      </c>
      <c r="K95" s="509">
        <v>279.45</v>
      </c>
      <c r="L95" s="509">
        <v>279.45</v>
      </c>
      <c r="M95" s="509">
        <v>279.45</v>
      </c>
      <c r="N95" s="509">
        <v>279.45</v>
      </c>
      <c r="O95" s="509">
        <v>279.45</v>
      </c>
      <c r="P95" s="509">
        <v>279.45</v>
      </c>
      <c r="Q95" s="509">
        <v>279.45</v>
      </c>
      <c r="R95" s="509">
        <v>279.45</v>
      </c>
      <c r="S95" s="509">
        <v>279.45</v>
      </c>
      <c r="T95" s="509">
        <v>279.45</v>
      </c>
      <c r="U95" s="509">
        <v>279.45</v>
      </c>
      <c r="V95" s="509">
        <v>279.45</v>
      </c>
      <c r="W95" s="509">
        <v>279.45</v>
      </c>
      <c r="X95" s="509">
        <v>279.45</v>
      </c>
      <c r="Y95" s="509">
        <v>279.45</v>
      </c>
      <c r="Z95" s="509">
        <v>279.45</v>
      </c>
      <c r="AA95" s="509">
        <v>279.45</v>
      </c>
      <c r="AB95" s="509">
        <v>279.45</v>
      </c>
      <c r="AC95" s="509">
        <v>279.45</v>
      </c>
      <c r="AD95" s="509">
        <v>279.45</v>
      </c>
      <c r="AE95" s="509">
        <v>279.45</v>
      </c>
      <c r="AF95" s="509">
        <v>279.45</v>
      </c>
      <c r="AG95" s="509">
        <v>279.45</v>
      </c>
      <c r="AH95" s="509">
        <v>279.45</v>
      </c>
      <c r="AI95" s="509">
        <v>279.45</v>
      </c>
      <c r="AJ95" s="509">
        <v>279.45</v>
      </c>
      <c r="AK95" s="509">
        <v>279.45</v>
      </c>
      <c r="AL95" s="509">
        <v>279.45</v>
      </c>
      <c r="AM95" s="509">
        <v>279.45</v>
      </c>
      <c r="AN95" s="509">
        <v>279.45</v>
      </c>
      <c r="AO95" s="509">
        <v>279.45</v>
      </c>
      <c r="AP95" s="509">
        <v>279.45</v>
      </c>
      <c r="AR95" s="158" t="s">
        <v>287</v>
      </c>
    </row>
    <row r="96" spans="1:44">
      <c r="A96" s="110">
        <v>254</v>
      </c>
      <c r="B96" s="156" t="s">
        <v>355</v>
      </c>
      <c r="C96" s="156" t="s">
        <v>280</v>
      </c>
      <c r="D96" s="509">
        <v>1153.98</v>
      </c>
      <c r="E96" s="509">
        <v>1153.98</v>
      </c>
      <c r="F96" s="509">
        <v>1153.98</v>
      </c>
      <c r="G96" s="509">
        <v>1153.98</v>
      </c>
      <c r="H96" s="509">
        <v>1153.98</v>
      </c>
      <c r="I96" s="509">
        <v>1153.98</v>
      </c>
      <c r="J96" s="509">
        <v>1153.98</v>
      </c>
      <c r="K96" s="509">
        <v>1153.98</v>
      </c>
      <c r="L96" s="509">
        <v>1153.98</v>
      </c>
      <c r="M96" s="509">
        <v>1153.98</v>
      </c>
      <c r="N96" s="509">
        <v>1153.98</v>
      </c>
      <c r="O96" s="509">
        <v>1153.98</v>
      </c>
      <c r="P96" s="509">
        <v>1153.98</v>
      </c>
      <c r="Q96" s="509">
        <v>1153.98</v>
      </c>
      <c r="R96" s="509">
        <v>1153.98</v>
      </c>
      <c r="S96" s="509">
        <v>1153.98</v>
      </c>
      <c r="T96" s="509">
        <v>1153.98</v>
      </c>
      <c r="U96" s="509">
        <v>1153.98</v>
      </c>
      <c r="V96" s="509">
        <v>1153.98</v>
      </c>
      <c r="W96" s="509">
        <v>1153.98</v>
      </c>
      <c r="X96" s="509">
        <v>1153.98</v>
      </c>
      <c r="Y96" s="509">
        <v>1153.98</v>
      </c>
      <c r="Z96" s="509">
        <v>1153.98</v>
      </c>
      <c r="AA96" s="509">
        <v>1153.98</v>
      </c>
      <c r="AB96" s="509">
        <v>1153.98</v>
      </c>
      <c r="AC96" s="509">
        <v>1153.98</v>
      </c>
      <c r="AD96" s="509">
        <v>1153.98</v>
      </c>
      <c r="AE96" s="509">
        <v>1153.98</v>
      </c>
      <c r="AF96" s="509">
        <v>1153.98</v>
      </c>
      <c r="AG96" s="509">
        <v>1153.98</v>
      </c>
      <c r="AH96" s="509">
        <v>1153.98</v>
      </c>
      <c r="AI96" s="509">
        <v>1153.98</v>
      </c>
      <c r="AJ96" s="509">
        <v>1153.98</v>
      </c>
      <c r="AK96" s="509">
        <v>1153.98</v>
      </c>
      <c r="AL96" s="509">
        <v>1153.98</v>
      </c>
      <c r="AM96" s="509">
        <v>1153.98</v>
      </c>
      <c r="AN96" s="509">
        <v>1153.98</v>
      </c>
      <c r="AO96" s="509">
        <v>1153.98</v>
      </c>
      <c r="AP96" s="509">
        <v>1153.98</v>
      </c>
    </row>
    <row r="97" spans="1:42">
      <c r="A97" s="110">
        <v>255</v>
      </c>
      <c r="B97" s="156" t="s">
        <v>359</v>
      </c>
      <c r="C97" s="156" t="s">
        <v>280</v>
      </c>
      <c r="D97" s="509">
        <v>828.98</v>
      </c>
      <c r="E97" s="509">
        <v>828.98</v>
      </c>
      <c r="F97" s="509">
        <v>828.98</v>
      </c>
      <c r="G97" s="509">
        <v>828.98</v>
      </c>
      <c r="H97" s="509">
        <v>828.98</v>
      </c>
      <c r="I97" s="509">
        <v>828.98</v>
      </c>
      <c r="J97" s="509">
        <v>828.98</v>
      </c>
      <c r="K97" s="509">
        <v>828.98</v>
      </c>
      <c r="L97" s="509">
        <v>828.98</v>
      </c>
      <c r="M97" s="509">
        <v>828.98</v>
      </c>
      <c r="N97" s="509">
        <v>828.98</v>
      </c>
      <c r="O97" s="509">
        <v>828.98</v>
      </c>
      <c r="P97" s="509">
        <v>828.98</v>
      </c>
      <c r="Q97" s="509">
        <v>828.98</v>
      </c>
      <c r="R97" s="509">
        <v>828.98</v>
      </c>
      <c r="S97" s="509">
        <v>828.98</v>
      </c>
      <c r="T97" s="509">
        <v>828.98</v>
      </c>
      <c r="U97" s="509">
        <v>828.98</v>
      </c>
      <c r="V97" s="509">
        <v>828.98</v>
      </c>
      <c r="W97" s="509">
        <v>828.98</v>
      </c>
      <c r="X97" s="509">
        <v>828.98</v>
      </c>
      <c r="Y97" s="509">
        <v>828.98</v>
      </c>
      <c r="Z97" s="509">
        <v>828.98</v>
      </c>
      <c r="AA97" s="509">
        <v>828.98</v>
      </c>
      <c r="AB97" s="509">
        <v>828.98</v>
      </c>
      <c r="AC97" s="509">
        <v>828.98</v>
      </c>
      <c r="AD97" s="509">
        <v>828.98</v>
      </c>
      <c r="AE97" s="509">
        <v>828.98</v>
      </c>
      <c r="AF97" s="509">
        <v>828.98</v>
      </c>
      <c r="AG97" s="509">
        <v>828.98</v>
      </c>
      <c r="AH97" s="509">
        <v>828.98</v>
      </c>
      <c r="AI97" s="509">
        <v>828.98</v>
      </c>
      <c r="AJ97" s="509">
        <v>828.98</v>
      </c>
      <c r="AK97" s="509">
        <v>828.98</v>
      </c>
      <c r="AL97" s="509">
        <v>828.98</v>
      </c>
      <c r="AM97" s="509">
        <v>828.98</v>
      </c>
      <c r="AN97" s="509">
        <v>828.98</v>
      </c>
      <c r="AO97" s="509">
        <v>828.98</v>
      </c>
      <c r="AP97" s="509">
        <v>828.98</v>
      </c>
    </row>
    <row r="98" spans="1:42">
      <c r="A98" s="110">
        <v>256</v>
      </c>
      <c r="B98" s="156" t="s">
        <v>361</v>
      </c>
      <c r="C98" s="156" t="s">
        <v>290</v>
      </c>
      <c r="D98" s="509">
        <v>562.65</v>
      </c>
      <c r="E98" s="509">
        <v>562.65</v>
      </c>
      <c r="F98" s="509">
        <v>562.65</v>
      </c>
      <c r="G98" s="509">
        <v>562.65</v>
      </c>
      <c r="H98" s="509">
        <v>562.65</v>
      </c>
      <c r="I98" s="509">
        <v>562.65</v>
      </c>
      <c r="J98" s="509">
        <v>562.65</v>
      </c>
      <c r="K98" s="509">
        <v>562.65</v>
      </c>
      <c r="L98" s="509">
        <v>562.65</v>
      </c>
      <c r="M98" s="509">
        <v>562.65</v>
      </c>
      <c r="N98" s="509">
        <v>562.65</v>
      </c>
      <c r="O98" s="509">
        <v>562.65</v>
      </c>
      <c r="P98" s="509">
        <v>562.65</v>
      </c>
      <c r="Q98" s="509">
        <v>562.65</v>
      </c>
      <c r="R98" s="509">
        <v>562.65</v>
      </c>
      <c r="S98" s="509">
        <v>562.65</v>
      </c>
      <c r="T98" s="509">
        <v>562.65</v>
      </c>
      <c r="U98" s="509">
        <v>562.65</v>
      </c>
      <c r="V98" s="509">
        <v>562.65</v>
      </c>
      <c r="W98" s="509">
        <v>562.65</v>
      </c>
      <c r="X98" s="509">
        <v>562.65</v>
      </c>
      <c r="Y98" s="509">
        <v>562.65</v>
      </c>
      <c r="Z98" s="509">
        <v>562.65</v>
      </c>
      <c r="AA98" s="509">
        <v>562.65</v>
      </c>
      <c r="AB98" s="509">
        <v>562.65</v>
      </c>
      <c r="AC98" s="509">
        <v>562.65</v>
      </c>
      <c r="AD98" s="509">
        <v>562.65</v>
      </c>
      <c r="AE98" s="509">
        <v>562.65</v>
      </c>
      <c r="AF98" s="509">
        <v>562.65</v>
      </c>
      <c r="AG98" s="509">
        <v>562.65</v>
      </c>
      <c r="AH98" s="509">
        <v>562.65</v>
      </c>
      <c r="AI98" s="509">
        <v>562.65</v>
      </c>
      <c r="AJ98" s="509">
        <v>562.65</v>
      </c>
      <c r="AK98" s="509">
        <v>562.65</v>
      </c>
      <c r="AL98" s="509">
        <v>562.65</v>
      </c>
      <c r="AM98" s="509">
        <v>562.65</v>
      </c>
      <c r="AN98" s="509">
        <v>562.65</v>
      </c>
      <c r="AO98" s="509">
        <v>562.65</v>
      </c>
      <c r="AP98" s="509">
        <v>562.65</v>
      </c>
    </row>
    <row r="99" spans="1:42">
      <c r="A99" s="110">
        <v>257</v>
      </c>
      <c r="B99" s="156" t="s">
        <v>369</v>
      </c>
      <c r="C99" s="156" t="s">
        <v>280</v>
      </c>
      <c r="D99" s="509">
        <v>907.52</v>
      </c>
      <c r="E99" s="509">
        <v>907.52</v>
      </c>
      <c r="F99" s="509">
        <v>907.52</v>
      </c>
      <c r="G99" s="509">
        <v>907.52</v>
      </c>
      <c r="H99" s="509">
        <v>907.52</v>
      </c>
      <c r="I99" s="509">
        <v>907.52</v>
      </c>
      <c r="J99" s="509">
        <v>907.52</v>
      </c>
      <c r="K99" s="509">
        <v>907.52</v>
      </c>
      <c r="L99" s="509">
        <v>907.52</v>
      </c>
      <c r="M99" s="509">
        <v>907.52</v>
      </c>
      <c r="N99" s="509">
        <v>907.52</v>
      </c>
      <c r="O99" s="509">
        <v>907.52</v>
      </c>
      <c r="P99" s="509">
        <v>907.52</v>
      </c>
      <c r="Q99" s="509">
        <v>907.52</v>
      </c>
      <c r="R99" s="509">
        <v>907.52</v>
      </c>
      <c r="S99" s="509">
        <v>907.52</v>
      </c>
      <c r="T99" s="509">
        <v>907.52</v>
      </c>
      <c r="U99" s="509">
        <v>907.52</v>
      </c>
      <c r="V99" s="509">
        <v>907.52</v>
      </c>
      <c r="W99" s="509">
        <v>907.52</v>
      </c>
      <c r="X99" s="509">
        <v>907.52</v>
      </c>
      <c r="Y99" s="509">
        <v>907.52</v>
      </c>
      <c r="Z99" s="509">
        <v>907.52</v>
      </c>
      <c r="AA99" s="509">
        <v>907.52</v>
      </c>
      <c r="AB99" s="509">
        <v>907.52</v>
      </c>
      <c r="AC99" s="509">
        <v>907.52</v>
      </c>
      <c r="AD99" s="509">
        <v>907.52</v>
      </c>
      <c r="AE99" s="509">
        <v>907.52</v>
      </c>
      <c r="AF99" s="509">
        <v>907.52</v>
      </c>
      <c r="AG99" s="509">
        <v>907.52</v>
      </c>
      <c r="AH99" s="509">
        <v>907.52</v>
      </c>
      <c r="AI99" s="509">
        <v>907.52</v>
      </c>
      <c r="AJ99" s="509">
        <v>907.52</v>
      </c>
      <c r="AK99" s="509">
        <v>907.52</v>
      </c>
      <c r="AL99" s="509">
        <v>907.52</v>
      </c>
      <c r="AM99" s="509">
        <v>907.52</v>
      </c>
      <c r="AN99" s="509">
        <v>907.52</v>
      </c>
      <c r="AO99" s="509">
        <v>907.52</v>
      </c>
      <c r="AP99" s="509">
        <v>907.52</v>
      </c>
    </row>
    <row r="100" spans="1:42">
      <c r="A100" s="110">
        <v>258</v>
      </c>
      <c r="B100" s="156" t="s">
        <v>370</v>
      </c>
      <c r="C100" s="156" t="s">
        <v>280</v>
      </c>
      <c r="D100" s="509">
        <v>1016.04</v>
      </c>
      <c r="E100" s="509">
        <v>1016.04</v>
      </c>
      <c r="F100" s="509">
        <v>1016.04</v>
      </c>
      <c r="G100" s="509">
        <v>1016.04</v>
      </c>
      <c r="H100" s="509">
        <v>1016.04</v>
      </c>
      <c r="I100" s="509">
        <v>1016.04</v>
      </c>
      <c r="J100" s="509">
        <v>1016.04</v>
      </c>
      <c r="K100" s="509">
        <v>1016.04</v>
      </c>
      <c r="L100" s="509">
        <v>1016.04</v>
      </c>
      <c r="M100" s="509">
        <v>1016.04</v>
      </c>
      <c r="N100" s="509">
        <v>1016.04</v>
      </c>
      <c r="O100" s="509">
        <v>1016.04</v>
      </c>
      <c r="P100" s="509">
        <v>1016.04</v>
      </c>
      <c r="Q100" s="509">
        <v>1016.04</v>
      </c>
      <c r="R100" s="509">
        <v>1016.04</v>
      </c>
      <c r="S100" s="509">
        <v>1016.04</v>
      </c>
      <c r="T100" s="509">
        <v>1016.04</v>
      </c>
      <c r="U100" s="509">
        <v>1016.04</v>
      </c>
      <c r="V100" s="509">
        <v>1016.04</v>
      </c>
      <c r="W100" s="509">
        <v>1016.04</v>
      </c>
      <c r="X100" s="509">
        <v>1016.04</v>
      </c>
      <c r="Y100" s="509">
        <v>1016.04</v>
      </c>
      <c r="Z100" s="509">
        <v>1016.04</v>
      </c>
      <c r="AA100" s="509">
        <v>1016.04</v>
      </c>
      <c r="AB100" s="509">
        <v>1016.04</v>
      </c>
      <c r="AC100" s="509">
        <v>1016.04</v>
      </c>
      <c r="AD100" s="509">
        <v>1016.04</v>
      </c>
      <c r="AE100" s="509">
        <v>1016.04</v>
      </c>
      <c r="AF100" s="509">
        <v>1016.04</v>
      </c>
      <c r="AG100" s="509">
        <v>1016.04</v>
      </c>
      <c r="AH100" s="509">
        <v>1016.04</v>
      </c>
      <c r="AI100" s="509">
        <v>1016.04</v>
      </c>
      <c r="AJ100" s="509">
        <v>1016.04</v>
      </c>
      <c r="AK100" s="509">
        <v>1016.04</v>
      </c>
      <c r="AL100" s="509">
        <v>1016.04</v>
      </c>
      <c r="AM100" s="509">
        <v>1016.04</v>
      </c>
      <c r="AN100" s="509">
        <v>1016.04</v>
      </c>
      <c r="AO100" s="509">
        <v>1016.04</v>
      </c>
      <c r="AP100" s="509">
        <v>1016.04</v>
      </c>
    </row>
    <row r="101" spans="1:42">
      <c r="A101" s="110">
        <v>259</v>
      </c>
      <c r="B101" s="156" t="s">
        <v>378</v>
      </c>
      <c r="C101" s="156" t="s">
        <v>290</v>
      </c>
      <c r="D101" s="509">
        <v>977.53</v>
      </c>
      <c r="E101" s="509">
        <v>977.53</v>
      </c>
      <c r="F101" s="509">
        <v>977.53</v>
      </c>
      <c r="G101" s="509">
        <v>977.53</v>
      </c>
      <c r="H101" s="509">
        <v>977.53</v>
      </c>
      <c r="I101" s="509">
        <v>977.53</v>
      </c>
      <c r="J101" s="509">
        <v>977.53</v>
      </c>
      <c r="K101" s="509">
        <v>977.53</v>
      </c>
      <c r="L101" s="509">
        <v>977.53</v>
      </c>
      <c r="M101" s="509">
        <v>977.53</v>
      </c>
      <c r="N101" s="509">
        <v>977.53</v>
      </c>
      <c r="O101" s="509">
        <v>977.53</v>
      </c>
      <c r="P101" s="509">
        <v>977.53</v>
      </c>
      <c r="Q101" s="509">
        <v>977.53</v>
      </c>
      <c r="R101" s="509">
        <v>977.53</v>
      </c>
      <c r="S101" s="509">
        <v>977.53</v>
      </c>
      <c r="T101" s="509">
        <v>977.53</v>
      </c>
      <c r="U101" s="509">
        <v>977.53</v>
      </c>
      <c r="V101" s="509">
        <v>977.53</v>
      </c>
      <c r="W101" s="509">
        <v>977.53</v>
      </c>
      <c r="X101" s="509">
        <v>977.53</v>
      </c>
      <c r="Y101" s="509">
        <v>977.53</v>
      </c>
      <c r="Z101" s="509">
        <v>977.53</v>
      </c>
      <c r="AA101" s="509">
        <v>977.53</v>
      </c>
      <c r="AB101" s="509">
        <v>977.53</v>
      </c>
      <c r="AC101" s="509">
        <v>977.53</v>
      </c>
      <c r="AD101" s="509">
        <v>977.53</v>
      </c>
      <c r="AE101" s="509">
        <v>977.53</v>
      </c>
      <c r="AF101" s="509">
        <v>977.53</v>
      </c>
      <c r="AG101" s="509">
        <v>977.53</v>
      </c>
      <c r="AH101" s="509">
        <v>977.53</v>
      </c>
      <c r="AI101" s="509">
        <v>977.53</v>
      </c>
      <c r="AJ101" s="509">
        <v>977.53</v>
      </c>
      <c r="AK101" s="509">
        <v>977.53</v>
      </c>
      <c r="AL101" s="509">
        <v>977.53</v>
      </c>
      <c r="AM101" s="509">
        <v>977.53</v>
      </c>
      <c r="AN101" s="509">
        <v>977.53</v>
      </c>
      <c r="AO101" s="509">
        <v>977.53</v>
      </c>
      <c r="AP101" s="509">
        <v>977.53</v>
      </c>
    </row>
    <row r="102" spans="1:42">
      <c r="A102" s="110">
        <v>260</v>
      </c>
      <c r="B102" s="156" t="s">
        <v>381</v>
      </c>
      <c r="C102" s="156" t="s">
        <v>290</v>
      </c>
      <c r="D102" s="509">
        <v>827.17</v>
      </c>
      <c r="E102" s="509">
        <v>827.17</v>
      </c>
      <c r="F102" s="509">
        <v>827.17</v>
      </c>
      <c r="G102" s="509">
        <v>827.17</v>
      </c>
      <c r="H102" s="509">
        <v>827.17</v>
      </c>
      <c r="I102" s="509">
        <v>827.17</v>
      </c>
      <c r="J102" s="509">
        <v>827.17</v>
      </c>
      <c r="K102" s="509">
        <v>827.17</v>
      </c>
      <c r="L102" s="509">
        <v>827.17</v>
      </c>
      <c r="M102" s="509">
        <v>827.17</v>
      </c>
      <c r="N102" s="509">
        <v>827.17</v>
      </c>
      <c r="O102" s="509">
        <v>827.17</v>
      </c>
      <c r="P102" s="509">
        <v>827.17</v>
      </c>
      <c r="Q102" s="509">
        <v>827.17</v>
      </c>
      <c r="R102" s="509">
        <v>827.17</v>
      </c>
      <c r="S102" s="509">
        <v>827.17</v>
      </c>
      <c r="T102" s="509">
        <v>827.17</v>
      </c>
      <c r="U102" s="509">
        <v>827.17</v>
      </c>
      <c r="V102" s="509">
        <v>827.17</v>
      </c>
      <c r="W102" s="509">
        <v>827.17</v>
      </c>
      <c r="X102" s="509">
        <v>827.17</v>
      </c>
      <c r="Y102" s="509">
        <v>827.17</v>
      </c>
      <c r="Z102" s="509">
        <v>827.17</v>
      </c>
      <c r="AA102" s="509">
        <v>827.17</v>
      </c>
      <c r="AB102" s="509">
        <v>827.17</v>
      </c>
      <c r="AC102" s="509">
        <v>827.17</v>
      </c>
      <c r="AD102" s="509">
        <v>827.17</v>
      </c>
      <c r="AE102" s="509">
        <v>827.17</v>
      </c>
      <c r="AF102" s="509">
        <v>827.17</v>
      </c>
      <c r="AG102" s="509">
        <v>827.17</v>
      </c>
      <c r="AH102" s="509">
        <v>827.17</v>
      </c>
      <c r="AI102" s="509">
        <v>827.17</v>
      </c>
      <c r="AJ102" s="509">
        <v>827.17</v>
      </c>
      <c r="AK102" s="509">
        <v>827.17</v>
      </c>
      <c r="AL102" s="509">
        <v>827.17</v>
      </c>
      <c r="AM102" s="509">
        <v>827.17</v>
      </c>
      <c r="AN102" s="509">
        <v>827.17</v>
      </c>
      <c r="AO102" s="509">
        <v>827.17</v>
      </c>
      <c r="AP102" s="509">
        <v>827.17</v>
      </c>
    </row>
    <row r="103" spans="1:42">
      <c r="A103" s="110">
        <v>261</v>
      </c>
      <c r="B103" s="156" t="s">
        <v>383</v>
      </c>
      <c r="C103" s="156" t="s">
        <v>280</v>
      </c>
      <c r="D103" s="509">
        <v>829.7</v>
      </c>
      <c r="E103" s="509">
        <v>829.7</v>
      </c>
      <c r="F103" s="509">
        <v>829.7</v>
      </c>
      <c r="G103" s="509">
        <v>829.7</v>
      </c>
      <c r="H103" s="509">
        <v>829.7</v>
      </c>
      <c r="I103" s="509">
        <v>829.7</v>
      </c>
      <c r="J103" s="509">
        <v>829.7</v>
      </c>
      <c r="K103" s="509">
        <v>829.7</v>
      </c>
      <c r="L103" s="509">
        <v>829.7</v>
      </c>
      <c r="M103" s="509">
        <v>829.7</v>
      </c>
      <c r="N103" s="509">
        <v>829.7</v>
      </c>
      <c r="O103" s="509">
        <v>829.7</v>
      </c>
      <c r="P103" s="509">
        <v>829.7</v>
      </c>
      <c r="Q103" s="509">
        <v>829.7</v>
      </c>
      <c r="R103" s="509">
        <v>829.7</v>
      </c>
      <c r="S103" s="509">
        <v>829.7</v>
      </c>
      <c r="T103" s="509">
        <v>829.7</v>
      </c>
      <c r="U103" s="509">
        <v>829.7</v>
      </c>
      <c r="V103" s="509">
        <v>829.7</v>
      </c>
      <c r="W103" s="509">
        <v>829.7</v>
      </c>
      <c r="X103" s="509">
        <v>829.7</v>
      </c>
      <c r="Y103" s="509">
        <v>829.7</v>
      </c>
      <c r="Z103" s="509">
        <v>829.7</v>
      </c>
      <c r="AA103" s="509">
        <v>829.7</v>
      </c>
      <c r="AB103" s="509">
        <v>829.7</v>
      </c>
      <c r="AC103" s="509">
        <v>829.7</v>
      </c>
      <c r="AD103" s="509">
        <v>829.7</v>
      </c>
      <c r="AE103" s="509">
        <v>829.7</v>
      </c>
      <c r="AF103" s="509">
        <v>829.7</v>
      </c>
      <c r="AG103" s="509">
        <v>829.7</v>
      </c>
      <c r="AH103" s="509">
        <v>829.7</v>
      </c>
      <c r="AI103" s="509">
        <v>829.7</v>
      </c>
      <c r="AJ103" s="509">
        <v>829.7</v>
      </c>
      <c r="AK103" s="509">
        <v>829.7</v>
      </c>
      <c r="AL103" s="509">
        <v>829.7</v>
      </c>
      <c r="AM103" s="509">
        <v>829.7</v>
      </c>
      <c r="AN103" s="509">
        <v>829.7</v>
      </c>
      <c r="AO103" s="509">
        <v>829.7</v>
      </c>
      <c r="AP103" s="509">
        <v>829.7</v>
      </c>
    </row>
    <row r="104" spans="1:42">
      <c r="A104" s="110">
        <v>262</v>
      </c>
      <c r="B104" s="156" t="s">
        <v>384</v>
      </c>
      <c r="C104" s="156" t="s">
        <v>290</v>
      </c>
      <c r="D104" s="509">
        <v>495.75</v>
      </c>
      <c r="E104" s="509">
        <v>495.75</v>
      </c>
      <c r="F104" s="509">
        <v>495.75</v>
      </c>
      <c r="G104" s="509">
        <v>495.75</v>
      </c>
      <c r="H104" s="509">
        <v>495.75</v>
      </c>
      <c r="I104" s="509">
        <v>495.75</v>
      </c>
      <c r="J104" s="509">
        <v>495.75</v>
      </c>
      <c r="K104" s="509">
        <v>495.75</v>
      </c>
      <c r="L104" s="509">
        <v>495.75</v>
      </c>
      <c r="M104" s="509">
        <v>495.75</v>
      </c>
      <c r="N104" s="509">
        <v>495.75</v>
      </c>
      <c r="O104" s="509">
        <v>495.75</v>
      </c>
      <c r="P104" s="509">
        <v>495.75</v>
      </c>
      <c r="Q104" s="509">
        <v>495.75</v>
      </c>
      <c r="R104" s="509">
        <v>495.75</v>
      </c>
      <c r="S104" s="509">
        <v>495.75</v>
      </c>
      <c r="T104" s="509">
        <v>495.75</v>
      </c>
      <c r="U104" s="509">
        <v>495.75</v>
      </c>
      <c r="V104" s="509">
        <v>495.75</v>
      </c>
      <c r="W104" s="509">
        <v>495.75</v>
      </c>
      <c r="X104" s="509">
        <v>495.75</v>
      </c>
      <c r="Y104" s="509">
        <v>495.75</v>
      </c>
      <c r="Z104" s="509">
        <v>495.75</v>
      </c>
      <c r="AA104" s="509">
        <v>495.75</v>
      </c>
      <c r="AB104" s="509">
        <v>495.75</v>
      </c>
      <c r="AC104" s="509">
        <v>495.75</v>
      </c>
      <c r="AD104" s="509">
        <v>495.75</v>
      </c>
      <c r="AE104" s="509">
        <v>495.75</v>
      </c>
      <c r="AF104" s="509">
        <v>495.75</v>
      </c>
      <c r="AG104" s="509">
        <v>495.75</v>
      </c>
      <c r="AH104" s="509">
        <v>495.75</v>
      </c>
      <c r="AI104" s="509">
        <v>495.75</v>
      </c>
      <c r="AJ104" s="509">
        <v>495.75</v>
      </c>
      <c r="AK104" s="509">
        <v>495.75</v>
      </c>
      <c r="AL104" s="509">
        <v>495.75</v>
      </c>
      <c r="AM104" s="509">
        <v>495.75</v>
      </c>
      <c r="AN104" s="509">
        <v>495.75</v>
      </c>
      <c r="AO104" s="509">
        <v>495.75</v>
      </c>
      <c r="AP104" s="509">
        <v>495.75</v>
      </c>
    </row>
    <row r="105" spans="1:42">
      <c r="A105" s="110">
        <v>263</v>
      </c>
      <c r="B105" s="156" t="s">
        <v>385</v>
      </c>
      <c r="C105" s="156" t="s">
        <v>290</v>
      </c>
      <c r="D105" s="509">
        <v>474.77</v>
      </c>
      <c r="E105" s="509">
        <v>474.77</v>
      </c>
      <c r="F105" s="509">
        <v>474.77</v>
      </c>
      <c r="G105" s="509">
        <v>474.77</v>
      </c>
      <c r="H105" s="509">
        <v>474.77</v>
      </c>
      <c r="I105" s="509">
        <v>474.77</v>
      </c>
      <c r="J105" s="509">
        <v>474.77</v>
      </c>
      <c r="K105" s="509">
        <v>474.77</v>
      </c>
      <c r="L105" s="509">
        <v>474.77</v>
      </c>
      <c r="M105" s="509">
        <v>474.77</v>
      </c>
      <c r="N105" s="509">
        <v>474.77</v>
      </c>
      <c r="O105" s="509">
        <v>474.77</v>
      </c>
      <c r="P105" s="509">
        <v>474.77</v>
      </c>
      <c r="Q105" s="509">
        <v>474.77</v>
      </c>
      <c r="R105" s="509">
        <v>474.77</v>
      </c>
      <c r="S105" s="509">
        <v>474.77</v>
      </c>
      <c r="T105" s="509">
        <v>474.77</v>
      </c>
      <c r="U105" s="509">
        <v>474.77</v>
      </c>
      <c r="V105" s="509">
        <v>474.77</v>
      </c>
      <c r="W105" s="509">
        <v>474.77</v>
      </c>
      <c r="X105" s="509">
        <v>474.77</v>
      </c>
      <c r="Y105" s="509">
        <v>474.77</v>
      </c>
      <c r="Z105" s="509">
        <v>474.77</v>
      </c>
      <c r="AA105" s="509">
        <v>474.77</v>
      </c>
      <c r="AB105" s="509">
        <v>474.77</v>
      </c>
      <c r="AC105" s="509">
        <v>474.77</v>
      </c>
      <c r="AD105" s="509">
        <v>474.77</v>
      </c>
      <c r="AE105" s="509">
        <v>474.77</v>
      </c>
      <c r="AF105" s="509">
        <v>474.77</v>
      </c>
      <c r="AG105" s="509">
        <v>474.77</v>
      </c>
      <c r="AH105" s="509">
        <v>474.77</v>
      </c>
      <c r="AI105" s="509">
        <v>474.77</v>
      </c>
      <c r="AJ105" s="509">
        <v>474.77</v>
      </c>
      <c r="AK105" s="509">
        <v>474.77</v>
      </c>
      <c r="AL105" s="509">
        <v>474.77</v>
      </c>
      <c r="AM105" s="509">
        <v>474.77</v>
      </c>
      <c r="AN105" s="509">
        <v>474.77</v>
      </c>
      <c r="AO105" s="509">
        <v>474.77</v>
      </c>
      <c r="AP105" s="509">
        <v>474.77</v>
      </c>
    </row>
    <row r="106" spans="1:42">
      <c r="A106" s="110">
        <v>264</v>
      </c>
      <c r="B106" s="156" t="s">
        <v>390</v>
      </c>
      <c r="C106" s="156" t="s">
        <v>280</v>
      </c>
      <c r="D106" s="509">
        <v>842.33</v>
      </c>
      <c r="E106" s="509">
        <v>842.33</v>
      </c>
      <c r="F106" s="509">
        <v>842.33</v>
      </c>
      <c r="G106" s="509">
        <v>842.33</v>
      </c>
      <c r="H106" s="509">
        <v>842.33</v>
      </c>
      <c r="I106" s="509">
        <v>842.33</v>
      </c>
      <c r="J106" s="509">
        <v>842.33</v>
      </c>
      <c r="K106" s="509">
        <v>842.33</v>
      </c>
      <c r="L106" s="509">
        <v>842.33</v>
      </c>
      <c r="M106" s="509">
        <v>842.33</v>
      </c>
      <c r="N106" s="509">
        <v>842.33</v>
      </c>
      <c r="O106" s="509">
        <v>842.33</v>
      </c>
      <c r="P106" s="509">
        <v>842.33</v>
      </c>
      <c r="Q106" s="509">
        <v>842.33</v>
      </c>
      <c r="R106" s="509">
        <v>842.33</v>
      </c>
      <c r="S106" s="509">
        <v>842.33</v>
      </c>
      <c r="T106" s="509">
        <v>842.33</v>
      </c>
      <c r="U106" s="509">
        <v>842.33</v>
      </c>
      <c r="V106" s="509">
        <v>842.33</v>
      </c>
      <c r="W106" s="509">
        <v>842.33</v>
      </c>
      <c r="X106" s="509">
        <v>842.33</v>
      </c>
      <c r="Y106" s="509">
        <v>842.33</v>
      </c>
      <c r="Z106" s="509">
        <v>842.33</v>
      </c>
      <c r="AA106" s="509">
        <v>842.33</v>
      </c>
      <c r="AB106" s="509">
        <v>842.33</v>
      </c>
      <c r="AC106" s="509">
        <v>842.33</v>
      </c>
      <c r="AD106" s="509">
        <v>842.33</v>
      </c>
      <c r="AE106" s="509">
        <v>842.33</v>
      </c>
      <c r="AF106" s="509">
        <v>842.33</v>
      </c>
      <c r="AG106" s="509">
        <v>842.33</v>
      </c>
      <c r="AH106" s="509">
        <v>842.33</v>
      </c>
      <c r="AI106" s="509">
        <v>842.33</v>
      </c>
      <c r="AJ106" s="509">
        <v>842.33</v>
      </c>
      <c r="AK106" s="509">
        <v>842.33</v>
      </c>
      <c r="AL106" s="509">
        <v>842.33</v>
      </c>
      <c r="AM106" s="509">
        <v>842.33</v>
      </c>
      <c r="AN106" s="509">
        <v>842.33</v>
      </c>
      <c r="AO106" s="509">
        <v>842.33</v>
      </c>
      <c r="AP106" s="509">
        <v>842.33</v>
      </c>
    </row>
    <row r="107" spans="1:42">
      <c r="A107" s="110">
        <v>265</v>
      </c>
      <c r="B107" s="156" t="s">
        <v>392</v>
      </c>
      <c r="C107" s="156" t="s">
        <v>290</v>
      </c>
      <c r="D107" s="509">
        <v>415.82</v>
      </c>
      <c r="E107" s="509">
        <v>415.82</v>
      </c>
      <c r="F107" s="509">
        <v>415.82</v>
      </c>
      <c r="G107" s="509">
        <v>415.82</v>
      </c>
      <c r="H107" s="509">
        <v>415.82</v>
      </c>
      <c r="I107" s="509">
        <v>415.82</v>
      </c>
      <c r="J107" s="509">
        <v>415.82</v>
      </c>
      <c r="K107" s="509">
        <v>415.82</v>
      </c>
      <c r="L107" s="509">
        <v>415.82</v>
      </c>
      <c r="M107" s="509">
        <v>415.82</v>
      </c>
      <c r="N107" s="509">
        <v>415.82</v>
      </c>
      <c r="O107" s="509">
        <v>415.82</v>
      </c>
      <c r="P107" s="509">
        <v>415.82</v>
      </c>
      <c r="Q107" s="509">
        <v>415.82</v>
      </c>
      <c r="R107" s="509">
        <v>415.82</v>
      </c>
      <c r="S107" s="509">
        <v>415.82</v>
      </c>
      <c r="T107" s="509">
        <v>415.82</v>
      </c>
      <c r="U107" s="509">
        <v>415.82</v>
      </c>
      <c r="V107" s="509">
        <v>415.82</v>
      </c>
      <c r="W107" s="509">
        <v>415.82</v>
      </c>
      <c r="X107" s="509">
        <v>415.82</v>
      </c>
      <c r="Y107" s="509">
        <v>415.82</v>
      </c>
      <c r="Z107" s="509">
        <v>415.82</v>
      </c>
      <c r="AA107" s="509">
        <v>415.82</v>
      </c>
      <c r="AB107" s="509">
        <v>415.82</v>
      </c>
      <c r="AC107" s="509">
        <v>415.82</v>
      </c>
      <c r="AD107" s="509">
        <v>415.82</v>
      </c>
      <c r="AE107" s="509">
        <v>415.82</v>
      </c>
      <c r="AF107" s="509">
        <v>415.82</v>
      </c>
      <c r="AG107" s="509">
        <v>415.82</v>
      </c>
      <c r="AH107" s="509">
        <v>415.82</v>
      </c>
      <c r="AI107" s="509">
        <v>415.82</v>
      </c>
      <c r="AJ107" s="509">
        <v>415.82</v>
      </c>
      <c r="AK107" s="509">
        <v>415.82</v>
      </c>
      <c r="AL107" s="509">
        <v>415.82</v>
      </c>
      <c r="AM107" s="509">
        <v>415.82</v>
      </c>
      <c r="AN107" s="509">
        <v>415.82</v>
      </c>
      <c r="AO107" s="509">
        <v>415.82</v>
      </c>
      <c r="AP107" s="509">
        <v>415.82</v>
      </c>
    </row>
    <row r="108" spans="1:42">
      <c r="A108" s="110">
        <v>266</v>
      </c>
      <c r="B108" s="156" t="s">
        <v>394</v>
      </c>
      <c r="C108" s="156" t="s">
        <v>280</v>
      </c>
      <c r="D108" s="509">
        <v>827.17</v>
      </c>
      <c r="E108" s="509">
        <v>827.17</v>
      </c>
      <c r="F108" s="509">
        <v>827.17</v>
      </c>
      <c r="G108" s="509">
        <v>827.17</v>
      </c>
      <c r="H108" s="509">
        <v>827.17</v>
      </c>
      <c r="I108" s="509">
        <v>827.17</v>
      </c>
      <c r="J108" s="509">
        <v>827.17</v>
      </c>
      <c r="K108" s="509">
        <v>827.17</v>
      </c>
      <c r="L108" s="509">
        <v>827.17</v>
      </c>
      <c r="M108" s="509">
        <v>827.17</v>
      </c>
      <c r="N108" s="509">
        <v>827.17</v>
      </c>
      <c r="O108" s="509">
        <v>827.17</v>
      </c>
      <c r="P108" s="509">
        <v>827.17</v>
      </c>
      <c r="Q108" s="509">
        <v>827.17</v>
      </c>
      <c r="R108" s="509">
        <v>827.17</v>
      </c>
      <c r="S108" s="509">
        <v>827.17</v>
      </c>
      <c r="T108" s="509">
        <v>827.17</v>
      </c>
      <c r="U108" s="509">
        <v>827.17</v>
      </c>
      <c r="V108" s="509">
        <v>827.17</v>
      </c>
      <c r="W108" s="509">
        <v>827.17</v>
      </c>
      <c r="X108" s="509">
        <v>827.17</v>
      </c>
      <c r="Y108" s="509">
        <v>827.17</v>
      </c>
      <c r="Z108" s="509">
        <v>827.17</v>
      </c>
      <c r="AA108" s="509">
        <v>827.17</v>
      </c>
      <c r="AB108" s="509">
        <v>827.17</v>
      </c>
      <c r="AC108" s="509">
        <v>827.17</v>
      </c>
      <c r="AD108" s="509">
        <v>827.17</v>
      </c>
      <c r="AE108" s="509">
        <v>827.17</v>
      </c>
      <c r="AF108" s="509">
        <v>827.17</v>
      </c>
      <c r="AG108" s="509">
        <v>827.17</v>
      </c>
      <c r="AH108" s="509">
        <v>827.17</v>
      </c>
      <c r="AI108" s="509">
        <v>827.17</v>
      </c>
      <c r="AJ108" s="509">
        <v>827.17</v>
      </c>
      <c r="AK108" s="509">
        <v>827.17</v>
      </c>
      <c r="AL108" s="509">
        <v>827.17</v>
      </c>
      <c r="AM108" s="509">
        <v>827.17</v>
      </c>
      <c r="AN108" s="509">
        <v>827.17</v>
      </c>
      <c r="AO108" s="509">
        <v>827.17</v>
      </c>
      <c r="AP108" s="509">
        <v>827.17</v>
      </c>
    </row>
    <row r="109" spans="1:42">
      <c r="A109">
        <v>301</v>
      </c>
      <c r="B109" t="s">
        <v>2515</v>
      </c>
      <c r="C109" s="156" t="s">
        <v>2516</v>
      </c>
      <c r="D109" s="24">
        <v>99.08</v>
      </c>
      <c r="E109" s="24">
        <v>99.08</v>
      </c>
      <c r="F109" s="24">
        <v>99.08</v>
      </c>
      <c r="G109" s="24">
        <v>99.08</v>
      </c>
      <c r="H109" s="24">
        <v>99.08</v>
      </c>
      <c r="I109" s="24">
        <v>99.08</v>
      </c>
      <c r="J109" s="24">
        <v>99.08</v>
      </c>
      <c r="K109" s="24">
        <v>99.08</v>
      </c>
      <c r="L109" s="24">
        <v>99.08</v>
      </c>
      <c r="M109" s="24">
        <v>99.08</v>
      </c>
      <c r="N109" s="24">
        <v>99.08</v>
      </c>
      <c r="O109" s="24">
        <v>99.08</v>
      </c>
      <c r="P109" s="24">
        <v>99.08</v>
      </c>
      <c r="Q109" s="24">
        <v>99.08</v>
      </c>
      <c r="R109" s="24">
        <v>99.08</v>
      </c>
      <c r="S109" s="24">
        <v>99.08</v>
      </c>
      <c r="T109" s="24">
        <v>99.08</v>
      </c>
      <c r="U109" s="24">
        <v>99.08</v>
      </c>
      <c r="V109" s="24">
        <v>99.08</v>
      </c>
      <c r="W109" s="24">
        <v>99.08</v>
      </c>
      <c r="X109" s="24">
        <v>99.08</v>
      </c>
      <c r="Y109" s="24">
        <v>99.08</v>
      </c>
      <c r="Z109" s="24">
        <v>99.08</v>
      </c>
      <c r="AA109" s="24">
        <v>99.08</v>
      </c>
      <c r="AB109" s="24">
        <v>99.08</v>
      </c>
      <c r="AC109" s="24">
        <v>99.08</v>
      </c>
      <c r="AD109" s="24">
        <v>99.08</v>
      </c>
      <c r="AE109" s="24">
        <v>99.08</v>
      </c>
      <c r="AF109" s="24">
        <v>99.08</v>
      </c>
      <c r="AG109" s="24">
        <v>99.08</v>
      </c>
      <c r="AH109" s="24">
        <v>99.08</v>
      </c>
      <c r="AI109" s="24">
        <v>99.08</v>
      </c>
      <c r="AJ109" s="24">
        <v>99.08</v>
      </c>
      <c r="AK109" s="24">
        <v>99.08</v>
      </c>
      <c r="AL109" s="24">
        <v>99.08</v>
      </c>
      <c r="AM109" s="24">
        <v>99.08</v>
      </c>
      <c r="AN109" s="24">
        <v>99.08</v>
      </c>
      <c r="AO109" s="24">
        <v>99.08</v>
      </c>
      <c r="AP109" s="24">
        <v>99.08</v>
      </c>
    </row>
    <row r="110" spans="1:42">
      <c r="A110">
        <v>302</v>
      </c>
      <c r="B110" t="s">
        <v>2517</v>
      </c>
      <c r="C110" s="156" t="s">
        <v>2516</v>
      </c>
      <c r="D110" s="24">
        <v>103.73</v>
      </c>
      <c r="E110" s="24">
        <v>103.73</v>
      </c>
      <c r="F110" s="24">
        <v>103.73</v>
      </c>
      <c r="G110" s="24">
        <v>103.73</v>
      </c>
      <c r="H110" s="24">
        <v>103.73</v>
      </c>
      <c r="I110" s="24">
        <v>103.73</v>
      </c>
      <c r="J110" s="24">
        <v>103.73</v>
      </c>
      <c r="K110" s="24">
        <v>103.73</v>
      </c>
      <c r="L110" s="24">
        <v>103.73</v>
      </c>
      <c r="M110" s="24">
        <v>103.73</v>
      </c>
      <c r="N110" s="24">
        <v>103.73</v>
      </c>
      <c r="O110" s="24">
        <v>103.73</v>
      </c>
      <c r="P110" s="24">
        <v>103.73</v>
      </c>
      <c r="Q110" s="24">
        <v>103.73</v>
      </c>
      <c r="R110" s="24">
        <v>103.73</v>
      </c>
      <c r="S110" s="24">
        <v>103.73</v>
      </c>
      <c r="T110" s="24">
        <v>103.73</v>
      </c>
      <c r="U110" s="24">
        <v>103.73</v>
      </c>
      <c r="V110" s="24">
        <v>103.73</v>
      </c>
      <c r="W110" s="24">
        <v>103.73</v>
      </c>
      <c r="X110" s="24">
        <v>103.73</v>
      </c>
      <c r="Y110" s="24">
        <v>103.73</v>
      </c>
      <c r="Z110" s="24">
        <v>103.73</v>
      </c>
      <c r="AA110" s="24">
        <v>103.73</v>
      </c>
      <c r="AB110" s="24">
        <v>103.73</v>
      </c>
      <c r="AC110" s="24">
        <v>103.73</v>
      </c>
      <c r="AD110" s="24">
        <v>103.73</v>
      </c>
      <c r="AE110" s="24">
        <v>103.73</v>
      </c>
      <c r="AF110" s="24">
        <v>103.73</v>
      </c>
      <c r="AG110" s="24">
        <v>103.73</v>
      </c>
      <c r="AH110" s="24">
        <v>103.73</v>
      </c>
      <c r="AI110" s="24">
        <v>103.73</v>
      </c>
      <c r="AJ110" s="24">
        <v>103.73</v>
      </c>
      <c r="AK110" s="24">
        <v>103.73</v>
      </c>
      <c r="AL110" s="24">
        <v>103.73</v>
      </c>
      <c r="AM110" s="24">
        <v>103.73</v>
      </c>
      <c r="AN110" s="24">
        <v>103.73</v>
      </c>
      <c r="AO110" s="24">
        <v>103.73</v>
      </c>
      <c r="AP110" s="24">
        <v>103.73</v>
      </c>
    </row>
    <row r="111" spans="1:42">
      <c r="A111">
        <v>303</v>
      </c>
      <c r="B111" t="s">
        <v>396</v>
      </c>
      <c r="C111" s="156" t="s">
        <v>2516</v>
      </c>
      <c r="D111" s="24">
        <v>103.73</v>
      </c>
      <c r="E111" s="24">
        <v>103.73</v>
      </c>
      <c r="F111" s="24">
        <v>103.73</v>
      </c>
      <c r="G111" s="24">
        <v>103.73</v>
      </c>
      <c r="H111" s="24">
        <v>103.73</v>
      </c>
      <c r="I111" s="24">
        <v>103.73</v>
      </c>
      <c r="J111" s="24">
        <v>103.73</v>
      </c>
      <c r="K111" s="24">
        <v>103.73</v>
      </c>
      <c r="L111" s="24">
        <v>103.73</v>
      </c>
      <c r="M111" s="24">
        <v>103.73</v>
      </c>
      <c r="N111" s="24">
        <v>103.73</v>
      </c>
      <c r="O111" s="24">
        <v>103.73</v>
      </c>
      <c r="P111" s="24">
        <v>103.73</v>
      </c>
      <c r="Q111" s="24">
        <v>103.73</v>
      </c>
      <c r="R111" s="24">
        <v>103.73</v>
      </c>
      <c r="S111" s="24">
        <v>103.73</v>
      </c>
      <c r="T111" s="24">
        <v>103.73</v>
      </c>
      <c r="U111" s="24">
        <v>103.73</v>
      </c>
      <c r="V111" s="24">
        <v>103.73</v>
      </c>
      <c r="W111" s="24">
        <v>103.73</v>
      </c>
      <c r="X111" s="24">
        <v>103.73</v>
      </c>
      <c r="Y111" s="24">
        <v>103.73</v>
      </c>
      <c r="Z111" s="24">
        <v>103.73</v>
      </c>
      <c r="AA111" s="24">
        <v>103.73</v>
      </c>
      <c r="AB111" s="24">
        <v>103.73</v>
      </c>
      <c r="AC111" s="24">
        <v>103.73</v>
      </c>
      <c r="AD111" s="24">
        <v>103.73</v>
      </c>
      <c r="AE111" s="24">
        <v>103.73</v>
      </c>
      <c r="AF111" s="24">
        <v>103.73</v>
      </c>
      <c r="AG111" s="24">
        <v>103.73</v>
      </c>
      <c r="AH111" s="24">
        <v>103.73</v>
      </c>
      <c r="AI111" s="24">
        <v>103.73</v>
      </c>
      <c r="AJ111" s="24">
        <v>103.73</v>
      </c>
      <c r="AK111" s="24">
        <v>103.73</v>
      </c>
      <c r="AL111" s="24">
        <v>103.73</v>
      </c>
      <c r="AM111" s="24">
        <v>103.73</v>
      </c>
      <c r="AN111" s="24">
        <v>103.73</v>
      </c>
      <c r="AO111" s="24">
        <v>103.73</v>
      </c>
      <c r="AP111" s="24">
        <v>103.73</v>
      </c>
    </row>
    <row r="112" spans="1:42">
      <c r="A112">
        <v>304</v>
      </c>
      <c r="B112" t="s">
        <v>397</v>
      </c>
      <c r="C112" s="156" t="s">
        <v>2516</v>
      </c>
      <c r="D112" s="24">
        <v>139.41999999999999</v>
      </c>
      <c r="E112" s="24">
        <v>139.41999999999999</v>
      </c>
      <c r="F112" s="24">
        <v>139.41999999999999</v>
      </c>
      <c r="G112" s="24">
        <v>139.41999999999999</v>
      </c>
      <c r="H112" s="24">
        <v>139.41999999999999</v>
      </c>
      <c r="I112" s="24">
        <v>139.41999999999999</v>
      </c>
      <c r="J112" s="24">
        <v>139.41999999999999</v>
      </c>
      <c r="K112" s="24">
        <v>139.41999999999999</v>
      </c>
      <c r="L112" s="24">
        <v>139.41999999999999</v>
      </c>
      <c r="M112" s="24">
        <v>139.41999999999999</v>
      </c>
      <c r="N112" s="24">
        <v>139.41999999999999</v>
      </c>
      <c r="O112" s="24">
        <v>139.41999999999999</v>
      </c>
      <c r="P112" s="24">
        <v>139.41999999999999</v>
      </c>
      <c r="Q112" s="24">
        <v>139.41999999999999</v>
      </c>
      <c r="R112" s="24">
        <v>139.41999999999999</v>
      </c>
      <c r="S112" s="24">
        <v>139.41999999999999</v>
      </c>
      <c r="T112" s="24">
        <v>139.41999999999999</v>
      </c>
      <c r="U112" s="24">
        <v>139.41999999999999</v>
      </c>
      <c r="V112" s="24">
        <v>139.41999999999999</v>
      </c>
      <c r="W112" s="24">
        <v>139.41999999999999</v>
      </c>
      <c r="X112" s="24">
        <v>139.41999999999999</v>
      </c>
      <c r="Y112" s="24">
        <v>139.41999999999999</v>
      </c>
      <c r="Z112" s="24">
        <v>139.41999999999999</v>
      </c>
      <c r="AA112" s="24">
        <v>139.41999999999999</v>
      </c>
      <c r="AB112" s="24">
        <v>139.41999999999999</v>
      </c>
      <c r="AC112" s="24">
        <v>139.41999999999999</v>
      </c>
      <c r="AD112" s="24">
        <v>139.41999999999999</v>
      </c>
      <c r="AE112" s="24">
        <v>139.41999999999999</v>
      </c>
      <c r="AF112" s="24">
        <v>139.41999999999999</v>
      </c>
      <c r="AG112" s="24">
        <v>139.41999999999999</v>
      </c>
      <c r="AH112" s="24">
        <v>139.41999999999999</v>
      </c>
      <c r="AI112" s="24">
        <v>139.41999999999999</v>
      </c>
      <c r="AJ112" s="24">
        <v>139.41999999999999</v>
      </c>
      <c r="AK112" s="24">
        <v>139.41999999999999</v>
      </c>
      <c r="AL112" s="24">
        <v>139.41999999999999</v>
      </c>
      <c r="AM112" s="24">
        <v>139.41999999999999</v>
      </c>
      <c r="AN112" s="24">
        <v>139.41999999999999</v>
      </c>
      <c r="AO112" s="24">
        <v>139.41999999999999</v>
      </c>
      <c r="AP112" s="24">
        <v>139.41999999999999</v>
      </c>
    </row>
    <row r="113" spans="1:44">
      <c r="A113">
        <v>305</v>
      </c>
      <c r="B113" t="s">
        <v>398</v>
      </c>
      <c r="C113" s="156" t="s">
        <v>2516</v>
      </c>
      <c r="D113" s="24">
        <v>89.7</v>
      </c>
      <c r="E113" s="24">
        <v>89.7</v>
      </c>
      <c r="F113" s="24">
        <v>89.7</v>
      </c>
      <c r="G113" s="24">
        <v>89.7</v>
      </c>
      <c r="H113" s="24">
        <v>89.7</v>
      </c>
      <c r="I113" s="24">
        <v>89.7</v>
      </c>
      <c r="J113" s="24">
        <v>89.7</v>
      </c>
      <c r="K113" s="24">
        <v>89.7</v>
      </c>
      <c r="L113" s="24">
        <v>89.7</v>
      </c>
      <c r="M113" s="24">
        <v>89.7</v>
      </c>
      <c r="N113" s="24">
        <v>89.7</v>
      </c>
      <c r="O113" s="24">
        <v>89.7</v>
      </c>
      <c r="P113" s="24">
        <v>89.7</v>
      </c>
      <c r="Q113" s="24">
        <v>89.7</v>
      </c>
      <c r="R113" s="24">
        <v>89.7</v>
      </c>
      <c r="S113" s="24">
        <v>89.7</v>
      </c>
      <c r="T113" s="24">
        <v>89.7</v>
      </c>
      <c r="U113" s="24">
        <v>89.7</v>
      </c>
      <c r="V113" s="24">
        <v>89.7</v>
      </c>
      <c r="W113" s="24">
        <v>89.7</v>
      </c>
      <c r="X113" s="24">
        <v>89.7</v>
      </c>
      <c r="Y113" s="24">
        <v>89.7</v>
      </c>
      <c r="Z113" s="24">
        <v>89.7</v>
      </c>
      <c r="AA113" s="24">
        <v>89.7</v>
      </c>
      <c r="AB113" s="24">
        <v>89.7</v>
      </c>
      <c r="AC113" s="24">
        <v>89.7</v>
      </c>
      <c r="AD113" s="24">
        <v>89.7</v>
      </c>
      <c r="AE113" s="24">
        <v>89.7</v>
      </c>
      <c r="AF113" s="24">
        <v>89.7</v>
      </c>
      <c r="AG113" s="24">
        <v>89.7</v>
      </c>
      <c r="AH113" s="24">
        <v>89.7</v>
      </c>
      <c r="AI113" s="24">
        <v>89.7</v>
      </c>
      <c r="AJ113" s="24">
        <v>89.7</v>
      </c>
      <c r="AK113" s="24">
        <v>89.7</v>
      </c>
      <c r="AL113" s="24">
        <v>89.7</v>
      </c>
      <c r="AM113" s="24">
        <v>89.7</v>
      </c>
      <c r="AN113" s="24">
        <v>89.7</v>
      </c>
      <c r="AO113" s="24">
        <v>89.7</v>
      </c>
      <c r="AP113" s="24">
        <v>89.7</v>
      </c>
    </row>
    <row r="114" spans="1:44">
      <c r="A114">
        <v>306</v>
      </c>
      <c r="B114" t="s">
        <v>399</v>
      </c>
      <c r="C114" s="156" t="s">
        <v>2516</v>
      </c>
      <c r="D114" s="24">
        <v>100.38</v>
      </c>
      <c r="E114" s="24">
        <v>100.38</v>
      </c>
      <c r="F114" s="24">
        <v>100.38</v>
      </c>
      <c r="G114" s="24">
        <v>100.38</v>
      </c>
      <c r="H114" s="24">
        <v>100.38</v>
      </c>
      <c r="I114" s="24">
        <v>100.38</v>
      </c>
      <c r="J114" s="24">
        <v>100.38</v>
      </c>
      <c r="K114" s="24">
        <v>100.38</v>
      </c>
      <c r="L114" s="24">
        <v>100.38</v>
      </c>
      <c r="M114" s="24">
        <v>100.38</v>
      </c>
      <c r="N114" s="24">
        <v>100.38</v>
      </c>
      <c r="O114" s="24">
        <v>100.38</v>
      </c>
      <c r="P114" s="24">
        <v>100.38</v>
      </c>
      <c r="Q114" s="24">
        <v>100.38</v>
      </c>
      <c r="R114" s="24">
        <v>100.38</v>
      </c>
      <c r="S114" s="24">
        <v>100.38</v>
      </c>
      <c r="T114" s="24">
        <v>100.38</v>
      </c>
      <c r="U114" s="24">
        <v>100.38</v>
      </c>
      <c r="V114" s="24">
        <v>100.38</v>
      </c>
      <c r="W114" s="24">
        <v>100.38</v>
      </c>
      <c r="X114" s="24">
        <v>100.38</v>
      </c>
      <c r="Y114" s="24">
        <v>100.38</v>
      </c>
      <c r="Z114" s="24">
        <v>100.38</v>
      </c>
      <c r="AA114" s="24">
        <v>100.38</v>
      </c>
      <c r="AB114" s="24">
        <v>100.38</v>
      </c>
      <c r="AC114" s="24">
        <v>100.38</v>
      </c>
      <c r="AD114" s="24">
        <v>100.38</v>
      </c>
      <c r="AE114" s="24">
        <v>100.38</v>
      </c>
      <c r="AF114" s="24">
        <v>100.38</v>
      </c>
      <c r="AG114" s="24">
        <v>100.38</v>
      </c>
      <c r="AH114" s="24">
        <v>100.38</v>
      </c>
      <c r="AI114" s="24">
        <v>100.38</v>
      </c>
      <c r="AJ114" s="24">
        <v>100.38</v>
      </c>
      <c r="AK114" s="24">
        <v>100.38</v>
      </c>
      <c r="AL114" s="24">
        <v>100.38</v>
      </c>
      <c r="AM114" s="24">
        <v>100.38</v>
      </c>
      <c r="AN114" s="24">
        <v>100.38</v>
      </c>
      <c r="AO114" s="24">
        <v>100.38</v>
      </c>
      <c r="AP114" s="24">
        <v>100.38</v>
      </c>
    </row>
    <row r="115" spans="1:44">
      <c r="A115">
        <v>307</v>
      </c>
      <c r="B115" t="s">
        <v>1857</v>
      </c>
      <c r="C115" s="156" t="s">
        <v>2516</v>
      </c>
      <c r="D115" s="24">
        <v>510.12</v>
      </c>
      <c r="E115" s="24">
        <v>510.12</v>
      </c>
      <c r="F115" s="24">
        <v>510.12</v>
      </c>
      <c r="G115" s="24">
        <v>510.12</v>
      </c>
      <c r="H115" s="24">
        <v>510.12</v>
      </c>
      <c r="I115" s="24">
        <v>510.12</v>
      </c>
      <c r="J115" s="24">
        <v>510.12</v>
      </c>
      <c r="K115" s="24">
        <v>510.12</v>
      </c>
      <c r="L115" s="24">
        <v>510.12</v>
      </c>
      <c r="M115" s="24">
        <v>510.12</v>
      </c>
      <c r="N115" s="24">
        <v>510.12</v>
      </c>
      <c r="O115" s="24">
        <v>510.12</v>
      </c>
      <c r="P115" s="24">
        <v>510.12</v>
      </c>
      <c r="Q115" s="24">
        <v>510.12</v>
      </c>
      <c r="R115" s="24">
        <v>510.12</v>
      </c>
      <c r="S115" s="24">
        <v>510.12</v>
      </c>
      <c r="T115" s="24">
        <v>510.12</v>
      </c>
      <c r="U115" s="24">
        <v>510.12</v>
      </c>
      <c r="V115" s="24">
        <v>510.12</v>
      </c>
      <c r="W115" s="24">
        <v>510.12</v>
      </c>
      <c r="X115" s="24">
        <v>510.12</v>
      </c>
      <c r="Y115" s="24">
        <v>510.12</v>
      </c>
      <c r="Z115" s="24">
        <v>510.12</v>
      </c>
      <c r="AA115" s="24">
        <v>510.12</v>
      </c>
      <c r="AB115" s="24">
        <v>510.12</v>
      </c>
      <c r="AC115" s="24">
        <v>510.12</v>
      </c>
      <c r="AD115" s="24">
        <v>510.12</v>
      </c>
      <c r="AE115" s="24">
        <v>510.12</v>
      </c>
      <c r="AF115" s="24">
        <v>510.12</v>
      </c>
      <c r="AG115" s="24">
        <v>510.12</v>
      </c>
      <c r="AH115" s="24">
        <v>510.12</v>
      </c>
      <c r="AI115" s="24">
        <v>510.12</v>
      </c>
      <c r="AJ115" s="24">
        <v>510.12</v>
      </c>
      <c r="AK115" s="24">
        <v>510.12</v>
      </c>
      <c r="AL115" s="24">
        <v>510.12</v>
      </c>
      <c r="AM115" s="24">
        <v>510.12</v>
      </c>
      <c r="AN115" s="24">
        <v>510.12</v>
      </c>
      <c r="AO115" s="24">
        <v>510.12</v>
      </c>
      <c r="AP115" s="24">
        <v>510.12</v>
      </c>
    </row>
    <row r="116" spans="1:44">
      <c r="A116">
        <v>308</v>
      </c>
      <c r="B116" t="s">
        <v>1858</v>
      </c>
      <c r="C116" s="156" t="s">
        <v>2516</v>
      </c>
      <c r="D116" s="24">
        <v>72.5</v>
      </c>
      <c r="E116" s="24">
        <v>72.5</v>
      </c>
      <c r="F116" s="24">
        <v>72.5</v>
      </c>
      <c r="G116" s="24">
        <v>72.5</v>
      </c>
      <c r="H116" s="24">
        <v>72.5</v>
      </c>
      <c r="I116" s="24">
        <v>72.5</v>
      </c>
      <c r="J116" s="24">
        <v>72.5</v>
      </c>
      <c r="K116" s="24">
        <v>72.5</v>
      </c>
      <c r="L116" s="24">
        <v>72.5</v>
      </c>
      <c r="M116" s="24">
        <v>72.5</v>
      </c>
      <c r="N116" s="24">
        <v>72.5</v>
      </c>
      <c r="O116" s="24">
        <v>72.5</v>
      </c>
      <c r="P116" s="24">
        <v>72.5</v>
      </c>
      <c r="Q116" s="24">
        <v>72.5</v>
      </c>
      <c r="R116" s="24">
        <v>72.5</v>
      </c>
      <c r="S116" s="24">
        <v>72.5</v>
      </c>
      <c r="T116" s="24">
        <v>72.5</v>
      </c>
      <c r="U116" s="24">
        <v>72.5</v>
      </c>
      <c r="V116" s="24">
        <v>72.5</v>
      </c>
      <c r="W116" s="24">
        <v>72.5</v>
      </c>
      <c r="X116" s="24">
        <v>72.5</v>
      </c>
      <c r="Y116" s="24">
        <v>72.5</v>
      </c>
      <c r="Z116" s="24">
        <v>72.5</v>
      </c>
      <c r="AA116" s="24">
        <v>72.5</v>
      </c>
      <c r="AB116" s="24">
        <v>72.5</v>
      </c>
      <c r="AC116" s="24">
        <v>72.5</v>
      </c>
      <c r="AD116" s="24">
        <v>72.5</v>
      </c>
      <c r="AE116" s="24">
        <v>72.5</v>
      </c>
      <c r="AF116" s="24">
        <v>72.5</v>
      </c>
      <c r="AG116" s="24">
        <v>72.5</v>
      </c>
      <c r="AH116" s="24">
        <v>72.5</v>
      </c>
      <c r="AI116" s="24">
        <v>72.5</v>
      </c>
      <c r="AJ116" s="24">
        <v>72.5</v>
      </c>
      <c r="AK116" s="24">
        <v>72.5</v>
      </c>
      <c r="AL116" s="24">
        <v>72.5</v>
      </c>
      <c r="AM116" s="24">
        <v>72.5</v>
      </c>
      <c r="AN116" s="24">
        <v>72.5</v>
      </c>
      <c r="AO116" s="24">
        <v>72.5</v>
      </c>
      <c r="AP116" s="24">
        <v>72.5</v>
      </c>
    </row>
    <row r="117" spans="1:44">
      <c r="A117">
        <v>309</v>
      </c>
      <c r="B117" t="s">
        <v>1859</v>
      </c>
      <c r="C117" s="156" t="s">
        <v>2516</v>
      </c>
      <c r="D117" s="24">
        <v>126.77</v>
      </c>
      <c r="E117" s="24">
        <v>126.77</v>
      </c>
      <c r="F117" s="24">
        <v>126.77</v>
      </c>
      <c r="G117" s="24">
        <v>126.77</v>
      </c>
      <c r="H117" s="24">
        <v>126.77</v>
      </c>
      <c r="I117" s="24">
        <v>126.77</v>
      </c>
      <c r="J117" s="24">
        <v>126.77</v>
      </c>
      <c r="K117" s="24">
        <v>126.77</v>
      </c>
      <c r="L117" s="24">
        <v>126.77</v>
      </c>
      <c r="M117" s="24">
        <v>126.77</v>
      </c>
      <c r="N117" s="24">
        <v>126.77</v>
      </c>
      <c r="O117" s="24">
        <v>126.77</v>
      </c>
      <c r="P117" s="24">
        <v>126.77</v>
      </c>
      <c r="Q117" s="24">
        <v>126.77</v>
      </c>
      <c r="R117" s="24">
        <v>126.77</v>
      </c>
      <c r="S117" s="24">
        <v>126.77</v>
      </c>
      <c r="T117" s="24">
        <v>126.77</v>
      </c>
      <c r="U117" s="24">
        <v>126.77</v>
      </c>
      <c r="V117" s="24">
        <v>126.77</v>
      </c>
      <c r="W117" s="24">
        <v>126.77</v>
      </c>
      <c r="X117" s="24">
        <v>126.77</v>
      </c>
      <c r="Y117" s="24">
        <v>126.77</v>
      </c>
      <c r="Z117" s="24">
        <v>126.77</v>
      </c>
      <c r="AA117" s="24">
        <v>126.77</v>
      </c>
      <c r="AB117" s="24">
        <v>126.77</v>
      </c>
      <c r="AC117" s="24">
        <v>126.77</v>
      </c>
      <c r="AD117" s="24">
        <v>126.77</v>
      </c>
      <c r="AE117" s="24">
        <v>126.77</v>
      </c>
      <c r="AF117" s="24">
        <v>126.77</v>
      </c>
      <c r="AG117" s="24">
        <v>126.77</v>
      </c>
      <c r="AH117" s="24">
        <v>126.77</v>
      </c>
      <c r="AI117" s="24">
        <v>126.77</v>
      </c>
      <c r="AJ117" s="24">
        <v>126.77</v>
      </c>
      <c r="AK117" s="24">
        <v>126.77</v>
      </c>
      <c r="AL117" s="24">
        <v>126.77</v>
      </c>
      <c r="AM117" s="24">
        <v>126.77</v>
      </c>
      <c r="AN117" s="24">
        <v>126.77</v>
      </c>
      <c r="AO117" s="24">
        <v>126.77</v>
      </c>
      <c r="AP117" s="24">
        <v>126.77</v>
      </c>
    </row>
    <row r="118" spans="1:44">
      <c r="A118">
        <v>310</v>
      </c>
      <c r="B118" t="s">
        <v>1860</v>
      </c>
      <c r="C118" s="156" t="s">
        <v>2516</v>
      </c>
      <c r="D118" s="24">
        <v>275.99</v>
      </c>
      <c r="E118" s="24">
        <v>275.99</v>
      </c>
      <c r="F118" s="24">
        <v>275.99</v>
      </c>
      <c r="G118" s="24">
        <v>275.99</v>
      </c>
      <c r="H118" s="24">
        <v>275.99</v>
      </c>
      <c r="I118" s="24">
        <v>275.99</v>
      </c>
      <c r="J118" s="24">
        <v>275.99</v>
      </c>
      <c r="K118" s="24">
        <v>275.99</v>
      </c>
      <c r="L118" s="24">
        <v>275.99</v>
      </c>
      <c r="M118" s="24">
        <v>275.99</v>
      </c>
      <c r="N118" s="24">
        <v>275.99</v>
      </c>
      <c r="O118" s="24">
        <v>275.99</v>
      </c>
      <c r="P118" s="24">
        <v>275.99</v>
      </c>
      <c r="Q118" s="24">
        <v>275.99</v>
      </c>
      <c r="R118" s="24">
        <v>275.99</v>
      </c>
      <c r="S118" s="24">
        <v>275.99</v>
      </c>
      <c r="T118" s="24">
        <v>275.99</v>
      </c>
      <c r="U118" s="24">
        <v>275.99</v>
      </c>
      <c r="V118" s="24">
        <v>275.99</v>
      </c>
      <c r="W118" s="24">
        <v>275.99</v>
      </c>
      <c r="X118" s="24">
        <v>275.99</v>
      </c>
      <c r="Y118" s="24">
        <v>275.99</v>
      </c>
      <c r="Z118" s="24">
        <v>275.99</v>
      </c>
      <c r="AA118" s="24">
        <v>275.99</v>
      </c>
      <c r="AB118" s="24">
        <v>275.99</v>
      </c>
      <c r="AC118" s="24">
        <v>275.99</v>
      </c>
      <c r="AD118" s="24">
        <v>275.99</v>
      </c>
      <c r="AE118" s="24">
        <v>275.99</v>
      </c>
      <c r="AF118" s="24">
        <v>275.99</v>
      </c>
      <c r="AG118" s="24">
        <v>275.99</v>
      </c>
      <c r="AH118" s="24">
        <v>275.99</v>
      </c>
      <c r="AI118" s="24">
        <v>275.99</v>
      </c>
      <c r="AJ118" s="24">
        <v>275.99</v>
      </c>
      <c r="AK118" s="24">
        <v>275.99</v>
      </c>
      <c r="AL118" s="24">
        <v>275.99</v>
      </c>
      <c r="AM118" s="24">
        <v>275.99</v>
      </c>
      <c r="AN118" s="24">
        <v>275.99</v>
      </c>
      <c r="AO118" s="24">
        <v>275.99</v>
      </c>
      <c r="AP118" s="24">
        <v>275.99</v>
      </c>
    </row>
    <row r="119" spans="1:44">
      <c r="A119">
        <v>311</v>
      </c>
      <c r="B119" t="s">
        <v>1861</v>
      </c>
      <c r="C119" s="156" t="s">
        <v>2516</v>
      </c>
      <c r="D119" s="24">
        <v>70.66</v>
      </c>
      <c r="E119" s="24">
        <v>70.66</v>
      </c>
      <c r="F119" s="24">
        <v>70.66</v>
      </c>
      <c r="G119" s="24">
        <v>70.66</v>
      </c>
      <c r="H119" s="24">
        <v>70.66</v>
      </c>
      <c r="I119" s="24">
        <v>70.66</v>
      </c>
      <c r="J119" s="24">
        <v>70.66</v>
      </c>
      <c r="K119" s="24">
        <v>70.66</v>
      </c>
      <c r="L119" s="24">
        <v>70.66</v>
      </c>
      <c r="M119" s="24">
        <v>70.66</v>
      </c>
      <c r="N119" s="24">
        <v>70.66</v>
      </c>
      <c r="O119" s="24">
        <v>70.66</v>
      </c>
      <c r="P119" s="24">
        <v>70.66</v>
      </c>
      <c r="Q119" s="24">
        <v>70.66</v>
      </c>
      <c r="R119" s="24">
        <v>70.66</v>
      </c>
      <c r="S119" s="24">
        <v>70.66</v>
      </c>
      <c r="T119" s="24">
        <v>70.66</v>
      </c>
      <c r="U119" s="24">
        <v>70.66</v>
      </c>
      <c r="V119" s="24">
        <v>70.66</v>
      </c>
      <c r="W119" s="24">
        <v>70.66</v>
      </c>
      <c r="X119" s="24">
        <v>70.66</v>
      </c>
      <c r="Y119" s="24">
        <v>70.66</v>
      </c>
      <c r="Z119" s="24">
        <v>70.66</v>
      </c>
      <c r="AA119" s="24">
        <v>70.66</v>
      </c>
      <c r="AB119" s="24">
        <v>70.66</v>
      </c>
      <c r="AC119" s="24">
        <v>70.66</v>
      </c>
      <c r="AD119" s="24">
        <v>70.66</v>
      </c>
      <c r="AE119" s="24">
        <v>70.66</v>
      </c>
      <c r="AF119" s="24">
        <v>70.66</v>
      </c>
      <c r="AG119" s="24">
        <v>70.66</v>
      </c>
      <c r="AH119" s="24">
        <v>70.66</v>
      </c>
      <c r="AI119" s="24">
        <v>70.66</v>
      </c>
      <c r="AJ119" s="24">
        <v>70.66</v>
      </c>
      <c r="AK119" s="24">
        <v>70.66</v>
      </c>
      <c r="AL119" s="24">
        <v>70.66</v>
      </c>
      <c r="AM119" s="24">
        <v>70.66</v>
      </c>
      <c r="AN119" s="24">
        <v>70.66</v>
      </c>
      <c r="AO119" s="24">
        <v>70.66</v>
      </c>
      <c r="AP119" s="24">
        <v>70.66</v>
      </c>
    </row>
    <row r="120" spans="1:44">
      <c r="A120">
        <v>312</v>
      </c>
      <c r="B120" t="s">
        <v>1862</v>
      </c>
      <c r="C120" s="156" t="s">
        <v>2516</v>
      </c>
      <c r="D120" s="24">
        <v>0</v>
      </c>
      <c r="E120" s="24">
        <v>0</v>
      </c>
      <c r="F120" s="24">
        <v>0</v>
      </c>
      <c r="G120" s="24">
        <v>0</v>
      </c>
      <c r="H120" s="24">
        <v>0</v>
      </c>
      <c r="I120" s="24">
        <v>0</v>
      </c>
      <c r="J120" s="24">
        <v>0</v>
      </c>
      <c r="K120" s="24">
        <v>0</v>
      </c>
      <c r="L120" s="24">
        <v>0</v>
      </c>
      <c r="M120" s="24">
        <v>0</v>
      </c>
      <c r="N120" s="24">
        <v>0</v>
      </c>
      <c r="O120" s="24">
        <v>0</v>
      </c>
      <c r="P120" s="24">
        <v>0</v>
      </c>
      <c r="Q120" s="24">
        <v>0</v>
      </c>
      <c r="R120" s="24">
        <v>0</v>
      </c>
      <c r="S120" s="24">
        <v>0</v>
      </c>
      <c r="T120" s="24">
        <v>0</v>
      </c>
      <c r="U120" s="24">
        <v>0</v>
      </c>
      <c r="V120" s="24">
        <v>0</v>
      </c>
      <c r="W120" s="24">
        <v>0</v>
      </c>
      <c r="X120" s="24">
        <v>0</v>
      </c>
      <c r="Y120" s="24">
        <v>0</v>
      </c>
      <c r="Z120" s="24">
        <v>0</v>
      </c>
      <c r="AA120" s="24">
        <v>0</v>
      </c>
      <c r="AB120" s="24">
        <v>0</v>
      </c>
      <c r="AC120" s="24">
        <v>0</v>
      </c>
      <c r="AD120" s="24">
        <v>0</v>
      </c>
      <c r="AE120" s="24">
        <v>0</v>
      </c>
      <c r="AF120" s="24">
        <v>0</v>
      </c>
      <c r="AG120" s="24">
        <v>0</v>
      </c>
      <c r="AH120" s="24">
        <v>0</v>
      </c>
      <c r="AI120" s="24">
        <v>0</v>
      </c>
      <c r="AJ120" s="24">
        <v>0</v>
      </c>
      <c r="AK120" s="24">
        <v>0</v>
      </c>
      <c r="AL120" s="24">
        <v>0</v>
      </c>
      <c r="AM120" s="24">
        <v>0</v>
      </c>
      <c r="AN120" s="24">
        <v>0</v>
      </c>
      <c r="AO120" s="24">
        <v>0</v>
      </c>
      <c r="AP120" s="24">
        <v>0</v>
      </c>
    </row>
    <row r="121" spans="1:44">
      <c r="A121" s="159">
        <v>1301</v>
      </c>
      <c r="B121" s="160" t="s">
        <v>2518</v>
      </c>
      <c r="C121" s="279" t="s">
        <v>28</v>
      </c>
      <c r="D121" s="164">
        <v>242.05</v>
      </c>
      <c r="E121" s="164">
        <v>242.05</v>
      </c>
      <c r="F121" s="164">
        <v>242.05</v>
      </c>
      <c r="G121" s="164">
        <v>242.05</v>
      </c>
      <c r="H121" s="164">
        <v>242.05</v>
      </c>
      <c r="I121" s="164">
        <v>242.05</v>
      </c>
      <c r="J121" s="164">
        <v>242.05</v>
      </c>
      <c r="K121" s="164">
        <v>242.05</v>
      </c>
      <c r="L121" s="164">
        <v>242.05</v>
      </c>
      <c r="M121" s="164">
        <v>242.05</v>
      </c>
      <c r="N121" s="164">
        <v>242.05</v>
      </c>
      <c r="O121" s="164">
        <v>242.05</v>
      </c>
      <c r="P121" s="164">
        <v>242.05</v>
      </c>
      <c r="Q121" s="164">
        <v>242.05</v>
      </c>
      <c r="R121" s="164">
        <v>242.05</v>
      </c>
      <c r="S121" s="164">
        <v>242.05</v>
      </c>
      <c r="T121" s="164">
        <v>242.05</v>
      </c>
      <c r="U121" s="164">
        <v>242.05</v>
      </c>
      <c r="V121" s="164">
        <v>242.05</v>
      </c>
      <c r="W121" s="164">
        <v>242.05</v>
      </c>
      <c r="X121" s="164">
        <v>242.05</v>
      </c>
      <c r="Y121" s="164">
        <v>242.05</v>
      </c>
      <c r="Z121" s="164">
        <v>242.05</v>
      </c>
      <c r="AA121" s="164">
        <v>242.05</v>
      </c>
      <c r="AB121" s="164">
        <v>242.05</v>
      </c>
      <c r="AC121" s="164">
        <v>242.05</v>
      </c>
      <c r="AD121" s="164">
        <v>242.05</v>
      </c>
      <c r="AE121" s="164">
        <v>242.05</v>
      </c>
      <c r="AF121" s="164">
        <v>242.05</v>
      </c>
      <c r="AG121" s="164">
        <v>242.05</v>
      </c>
      <c r="AH121" s="164">
        <v>242.05</v>
      </c>
      <c r="AI121" s="164">
        <v>242.05</v>
      </c>
      <c r="AJ121" s="164">
        <v>242.05</v>
      </c>
      <c r="AK121" s="164">
        <v>242.05</v>
      </c>
      <c r="AL121" s="164">
        <v>242.05</v>
      </c>
      <c r="AM121" s="164">
        <v>242.05</v>
      </c>
      <c r="AN121" s="164">
        <v>242.05</v>
      </c>
      <c r="AO121" s="164">
        <v>242.05</v>
      </c>
      <c r="AP121" s="164">
        <v>242.05</v>
      </c>
    </row>
    <row r="122" spans="1:44">
      <c r="A122" s="159">
        <v>1302</v>
      </c>
      <c r="B122" s="160" t="s">
        <v>2519</v>
      </c>
      <c r="C122" s="279" t="s">
        <v>28</v>
      </c>
      <c r="D122" s="164">
        <v>193.64</v>
      </c>
      <c r="E122" s="164">
        <v>193.64</v>
      </c>
      <c r="F122" s="164">
        <v>193.64</v>
      </c>
      <c r="G122" s="164">
        <v>193.64</v>
      </c>
      <c r="H122" s="164">
        <v>193.64</v>
      </c>
      <c r="I122" s="164">
        <v>193.64</v>
      </c>
      <c r="J122" s="164">
        <v>193.64</v>
      </c>
      <c r="K122" s="164">
        <v>193.64</v>
      </c>
      <c r="L122" s="164">
        <v>193.64</v>
      </c>
      <c r="M122" s="164">
        <v>193.64</v>
      </c>
      <c r="N122" s="164">
        <v>193.64</v>
      </c>
      <c r="O122" s="164">
        <v>193.64</v>
      </c>
      <c r="P122" s="164">
        <v>193.64</v>
      </c>
      <c r="Q122" s="164">
        <v>193.64</v>
      </c>
      <c r="R122" s="164">
        <v>193.64</v>
      </c>
      <c r="S122" s="164">
        <v>193.64</v>
      </c>
      <c r="T122" s="164">
        <v>193.64</v>
      </c>
      <c r="U122" s="164">
        <v>193.64</v>
      </c>
      <c r="V122" s="164">
        <v>193.64</v>
      </c>
      <c r="W122" s="164">
        <v>193.64</v>
      </c>
      <c r="X122" s="164">
        <v>193.64</v>
      </c>
      <c r="Y122" s="164">
        <v>193.64</v>
      </c>
      <c r="Z122" s="164">
        <v>193.64</v>
      </c>
      <c r="AA122" s="164">
        <v>193.64</v>
      </c>
      <c r="AB122" s="164">
        <v>193.64</v>
      </c>
      <c r="AC122" s="164">
        <v>193.64</v>
      </c>
      <c r="AD122" s="164">
        <v>193.64</v>
      </c>
      <c r="AE122" s="164">
        <v>193.64</v>
      </c>
      <c r="AF122" s="164">
        <v>193.64</v>
      </c>
      <c r="AG122" s="164">
        <v>193.64</v>
      </c>
      <c r="AH122" s="164">
        <v>193.64</v>
      </c>
      <c r="AI122" s="164">
        <v>193.64</v>
      </c>
      <c r="AJ122" s="164">
        <v>193.64</v>
      </c>
      <c r="AK122" s="164">
        <v>193.64</v>
      </c>
      <c r="AL122" s="164">
        <v>193.64</v>
      </c>
      <c r="AM122" s="164">
        <v>193.64</v>
      </c>
      <c r="AN122" s="164">
        <v>193.64</v>
      </c>
      <c r="AO122" s="164">
        <v>193.64</v>
      </c>
      <c r="AP122" s="164">
        <v>193.64</v>
      </c>
    </row>
    <row r="123" spans="1:44">
      <c r="A123" s="110">
        <v>1303</v>
      </c>
      <c r="B123" s="161" t="s">
        <v>214</v>
      </c>
      <c r="C123" s="279" t="s">
        <v>2520</v>
      </c>
      <c r="D123" s="164">
        <v>25.58</v>
      </c>
      <c r="E123" s="164">
        <v>25.58</v>
      </c>
      <c r="F123" s="164">
        <v>25.58</v>
      </c>
      <c r="G123" s="164">
        <v>25.58</v>
      </c>
      <c r="H123" s="164">
        <v>25.58</v>
      </c>
      <c r="I123" s="164">
        <v>25.58</v>
      </c>
      <c r="J123" s="164">
        <v>25.58</v>
      </c>
      <c r="K123" s="164">
        <v>25.58</v>
      </c>
      <c r="L123" s="164">
        <v>25.58</v>
      </c>
      <c r="M123" s="164">
        <v>25.58</v>
      </c>
      <c r="N123" s="164">
        <v>25.58</v>
      </c>
      <c r="O123" s="164">
        <v>25.58</v>
      </c>
      <c r="P123" s="164">
        <v>25.58</v>
      </c>
      <c r="Q123" s="164">
        <v>25.58</v>
      </c>
      <c r="R123" s="164">
        <v>25.58</v>
      </c>
      <c r="S123" s="164">
        <v>25.58</v>
      </c>
      <c r="T123" s="164">
        <v>25.58</v>
      </c>
      <c r="U123" s="164">
        <v>25.58</v>
      </c>
      <c r="V123" s="164">
        <v>25.58</v>
      </c>
      <c r="W123" s="164">
        <v>25.58</v>
      </c>
      <c r="X123" s="164">
        <v>25.58</v>
      </c>
      <c r="Y123" s="164">
        <v>25.58</v>
      </c>
      <c r="Z123" s="164">
        <v>25.58</v>
      </c>
      <c r="AA123" s="164">
        <v>25.58</v>
      </c>
      <c r="AB123" s="164">
        <v>25.58</v>
      </c>
      <c r="AC123" s="164">
        <v>25.58</v>
      </c>
      <c r="AD123" s="164">
        <v>25.58</v>
      </c>
      <c r="AE123" s="164">
        <v>25.58</v>
      </c>
      <c r="AF123" s="164">
        <v>25.58</v>
      </c>
      <c r="AG123" s="164">
        <v>25.58</v>
      </c>
      <c r="AH123" s="164">
        <v>25.58</v>
      </c>
      <c r="AI123" s="164">
        <v>25.58</v>
      </c>
      <c r="AJ123" s="164">
        <v>25.58</v>
      </c>
      <c r="AK123" s="164">
        <v>25.58</v>
      </c>
      <c r="AL123" s="164">
        <v>25.58</v>
      </c>
      <c r="AM123" s="164">
        <v>25.58</v>
      </c>
      <c r="AN123" s="164">
        <v>25.58</v>
      </c>
      <c r="AO123" s="164">
        <v>25.58</v>
      </c>
      <c r="AP123" s="164">
        <v>25.58</v>
      </c>
    </row>
    <row r="124" spans="1:44">
      <c r="A124" s="110">
        <v>1304</v>
      </c>
      <c r="B124" s="165" t="s">
        <v>202</v>
      </c>
      <c r="C124" s="279" t="s">
        <v>2516</v>
      </c>
      <c r="D124" s="164">
        <v>0</v>
      </c>
      <c r="E124" s="164">
        <v>0</v>
      </c>
      <c r="F124" s="164">
        <v>0</v>
      </c>
      <c r="G124" s="164">
        <v>0</v>
      </c>
      <c r="H124" s="164">
        <v>0</v>
      </c>
      <c r="I124" s="164">
        <v>0</v>
      </c>
      <c r="J124" s="164">
        <v>0</v>
      </c>
      <c r="K124" s="164">
        <v>0</v>
      </c>
      <c r="L124" s="164">
        <v>0</v>
      </c>
      <c r="M124" s="164">
        <v>0</v>
      </c>
      <c r="N124" s="164">
        <v>0</v>
      </c>
      <c r="O124" s="164">
        <v>0</v>
      </c>
      <c r="P124" s="164">
        <v>0</v>
      </c>
      <c r="Q124" s="164">
        <v>0</v>
      </c>
      <c r="R124" s="164">
        <v>0</v>
      </c>
      <c r="S124" s="164">
        <v>0</v>
      </c>
      <c r="T124" s="164">
        <v>0</v>
      </c>
      <c r="U124" s="164">
        <v>0</v>
      </c>
      <c r="V124" s="164">
        <v>0</v>
      </c>
      <c r="W124" s="164">
        <v>0</v>
      </c>
      <c r="X124" s="164">
        <v>0</v>
      </c>
      <c r="Y124" s="164">
        <v>0</v>
      </c>
      <c r="Z124" s="164">
        <v>0</v>
      </c>
      <c r="AA124" s="164">
        <v>0</v>
      </c>
      <c r="AB124" s="164">
        <v>0</v>
      </c>
      <c r="AC124" s="164">
        <v>0</v>
      </c>
      <c r="AD124" s="164">
        <v>0</v>
      </c>
      <c r="AE124" s="164">
        <v>0</v>
      </c>
      <c r="AF124" s="164">
        <v>0</v>
      </c>
      <c r="AG124" s="164">
        <v>0</v>
      </c>
      <c r="AH124" s="164">
        <v>0</v>
      </c>
      <c r="AI124" s="164">
        <v>0</v>
      </c>
      <c r="AJ124" s="164">
        <v>0</v>
      </c>
      <c r="AK124" s="164">
        <v>0</v>
      </c>
      <c r="AL124" s="164">
        <v>0</v>
      </c>
      <c r="AM124" s="164">
        <v>0</v>
      </c>
      <c r="AN124" s="164">
        <v>0</v>
      </c>
      <c r="AO124" s="164">
        <v>0</v>
      </c>
      <c r="AP124" s="164">
        <v>0</v>
      </c>
      <c r="AQ124" s="162"/>
      <c r="AR124" s="162"/>
    </row>
    <row r="125" spans="1:44">
      <c r="A125" s="110">
        <v>1315</v>
      </c>
      <c r="B125" s="167" t="s">
        <v>2521</v>
      </c>
      <c r="C125" s="279" t="s">
        <v>2516</v>
      </c>
      <c r="D125" s="164">
        <v>0</v>
      </c>
      <c r="E125" s="164">
        <v>0</v>
      </c>
      <c r="F125" s="164">
        <v>0</v>
      </c>
      <c r="G125" s="164">
        <v>0</v>
      </c>
      <c r="H125" s="164">
        <v>0</v>
      </c>
      <c r="I125" s="164">
        <v>0</v>
      </c>
      <c r="J125" s="164">
        <v>0</v>
      </c>
      <c r="K125" s="164">
        <v>0</v>
      </c>
      <c r="L125" s="164">
        <v>0</v>
      </c>
      <c r="M125" s="164">
        <v>0</v>
      </c>
      <c r="N125" s="164">
        <v>0</v>
      </c>
      <c r="O125" s="164">
        <v>0</v>
      </c>
      <c r="P125" s="164">
        <v>0</v>
      </c>
      <c r="Q125" s="164">
        <v>0</v>
      </c>
      <c r="R125" s="164">
        <v>0</v>
      </c>
      <c r="S125" s="164">
        <v>0</v>
      </c>
      <c r="T125" s="164">
        <v>0</v>
      </c>
      <c r="U125" s="164">
        <v>0</v>
      </c>
      <c r="V125" s="164">
        <v>0</v>
      </c>
      <c r="W125" s="164">
        <v>0</v>
      </c>
      <c r="X125" s="164">
        <v>0</v>
      </c>
      <c r="Y125" s="164">
        <v>0</v>
      </c>
      <c r="Z125" s="164">
        <v>0</v>
      </c>
      <c r="AA125" s="164">
        <v>0</v>
      </c>
      <c r="AB125" s="164">
        <v>0</v>
      </c>
      <c r="AC125" s="164">
        <v>0</v>
      </c>
      <c r="AD125" s="164">
        <v>0</v>
      </c>
      <c r="AE125" s="164">
        <v>0</v>
      </c>
      <c r="AF125" s="164">
        <v>0</v>
      </c>
      <c r="AG125" s="164">
        <v>0</v>
      </c>
      <c r="AH125" s="164">
        <v>0</v>
      </c>
      <c r="AI125" s="164">
        <v>0</v>
      </c>
      <c r="AJ125" s="164">
        <v>0</v>
      </c>
      <c r="AK125" s="164">
        <v>0</v>
      </c>
      <c r="AL125" s="164">
        <v>0</v>
      </c>
      <c r="AM125" s="164">
        <v>0</v>
      </c>
      <c r="AN125" s="164">
        <v>0</v>
      </c>
      <c r="AO125" s="164">
        <v>0</v>
      </c>
      <c r="AP125" s="164">
        <v>0</v>
      </c>
    </row>
    <row r="126" spans="1:44">
      <c r="A126" s="110">
        <v>1316</v>
      </c>
      <c r="B126" s="165" t="s">
        <v>2522</v>
      </c>
      <c r="C126" s="279" t="s">
        <v>2516</v>
      </c>
      <c r="D126" s="164">
        <v>0</v>
      </c>
      <c r="E126" s="164">
        <v>0</v>
      </c>
      <c r="F126" s="164">
        <v>0</v>
      </c>
      <c r="G126" s="164">
        <v>0</v>
      </c>
      <c r="H126" s="164">
        <v>0</v>
      </c>
      <c r="I126" s="164">
        <v>0</v>
      </c>
      <c r="J126" s="164">
        <v>0</v>
      </c>
      <c r="K126" s="164">
        <v>0</v>
      </c>
      <c r="L126" s="164">
        <v>0</v>
      </c>
      <c r="M126" s="164">
        <v>0</v>
      </c>
      <c r="N126" s="164">
        <v>0</v>
      </c>
      <c r="O126" s="164">
        <v>0</v>
      </c>
      <c r="P126" s="164">
        <v>0</v>
      </c>
      <c r="Q126" s="164">
        <v>0</v>
      </c>
      <c r="R126" s="164">
        <v>0</v>
      </c>
      <c r="S126" s="164">
        <v>0</v>
      </c>
      <c r="T126" s="164">
        <v>0</v>
      </c>
      <c r="U126" s="164">
        <v>0</v>
      </c>
      <c r="V126" s="164">
        <v>0</v>
      </c>
      <c r="W126" s="164">
        <v>0</v>
      </c>
      <c r="X126" s="164">
        <v>0</v>
      </c>
      <c r="Y126" s="164">
        <v>0</v>
      </c>
      <c r="Z126" s="164">
        <v>0</v>
      </c>
      <c r="AA126" s="164">
        <v>0</v>
      </c>
      <c r="AB126" s="164">
        <v>0</v>
      </c>
      <c r="AC126" s="164">
        <v>0</v>
      </c>
      <c r="AD126" s="164">
        <v>0</v>
      </c>
      <c r="AE126" s="164">
        <v>0</v>
      </c>
      <c r="AF126" s="164">
        <v>0</v>
      </c>
      <c r="AG126" s="164">
        <v>0</v>
      </c>
      <c r="AH126" s="164">
        <v>0</v>
      </c>
      <c r="AI126" s="164">
        <v>0</v>
      </c>
      <c r="AJ126" s="164">
        <v>0</v>
      </c>
      <c r="AK126" s="164">
        <v>0</v>
      </c>
      <c r="AL126" s="164">
        <v>0</v>
      </c>
      <c r="AM126" s="164">
        <v>0</v>
      </c>
      <c r="AN126" s="164">
        <v>0</v>
      </c>
      <c r="AO126" s="164">
        <v>0</v>
      </c>
      <c r="AP126" s="164">
        <v>0</v>
      </c>
    </row>
    <row r="127" spans="1:44">
      <c r="A127" s="110">
        <v>1318</v>
      </c>
      <c r="B127" s="391" t="s">
        <v>231</v>
      </c>
      <c r="C127" s="279" t="s">
        <v>2516</v>
      </c>
      <c r="D127" s="164">
        <v>200</v>
      </c>
      <c r="E127" s="164">
        <v>200</v>
      </c>
      <c r="F127" s="164">
        <v>200</v>
      </c>
      <c r="G127" s="164">
        <v>200</v>
      </c>
      <c r="H127" s="164">
        <v>200</v>
      </c>
      <c r="I127" s="164">
        <v>200</v>
      </c>
      <c r="J127" s="164">
        <v>200</v>
      </c>
      <c r="K127" s="164">
        <v>200</v>
      </c>
      <c r="L127" s="164">
        <v>200</v>
      </c>
      <c r="M127" s="164">
        <v>200</v>
      </c>
      <c r="N127" s="164">
        <v>200</v>
      </c>
      <c r="O127" s="164">
        <v>200</v>
      </c>
      <c r="P127" s="164">
        <v>200</v>
      </c>
      <c r="Q127" s="164">
        <v>200</v>
      </c>
      <c r="R127" s="164">
        <v>200</v>
      </c>
      <c r="S127" s="164">
        <v>200</v>
      </c>
      <c r="T127" s="164">
        <v>200</v>
      </c>
      <c r="U127" s="164">
        <v>200</v>
      </c>
      <c r="V127" s="164">
        <v>200</v>
      </c>
      <c r="W127" s="164">
        <v>150</v>
      </c>
      <c r="X127" s="164">
        <v>150</v>
      </c>
      <c r="Y127" s="164">
        <v>150</v>
      </c>
      <c r="Z127" s="164">
        <v>150</v>
      </c>
      <c r="AA127" s="164">
        <v>150</v>
      </c>
      <c r="AB127" s="164">
        <v>150</v>
      </c>
      <c r="AC127" s="164">
        <v>150</v>
      </c>
      <c r="AD127" s="164">
        <v>150</v>
      </c>
      <c r="AE127" s="164">
        <v>150</v>
      </c>
      <c r="AF127" s="164">
        <v>150</v>
      </c>
      <c r="AG127" s="164">
        <v>150</v>
      </c>
      <c r="AH127" s="164">
        <v>150</v>
      </c>
      <c r="AI127" s="164">
        <v>150</v>
      </c>
      <c r="AJ127" s="164">
        <v>150</v>
      </c>
      <c r="AK127" s="164">
        <v>150</v>
      </c>
      <c r="AL127" s="164">
        <v>150</v>
      </c>
      <c r="AM127" s="164">
        <v>150</v>
      </c>
      <c r="AN127" s="164">
        <v>150</v>
      </c>
      <c r="AO127" s="164">
        <v>150</v>
      </c>
      <c r="AP127" s="164">
        <v>150</v>
      </c>
    </row>
    <row r="128" spans="1:44">
      <c r="A128" s="110">
        <v>1321</v>
      </c>
      <c r="B128" s="166" t="s">
        <v>2523</v>
      </c>
      <c r="C128" s="279" t="s">
        <v>2524</v>
      </c>
      <c r="D128" s="164">
        <v>85</v>
      </c>
      <c r="E128" s="164">
        <v>85</v>
      </c>
      <c r="F128" s="164">
        <v>85</v>
      </c>
      <c r="G128" s="164">
        <v>85</v>
      </c>
      <c r="H128" s="164">
        <v>85</v>
      </c>
      <c r="I128" s="164">
        <v>85</v>
      </c>
      <c r="J128" s="164">
        <v>85</v>
      </c>
      <c r="K128" s="164">
        <v>85</v>
      </c>
      <c r="L128" s="164">
        <v>85</v>
      </c>
      <c r="M128" s="164">
        <v>85</v>
      </c>
      <c r="N128" s="164">
        <v>85</v>
      </c>
      <c r="O128" s="164">
        <v>85</v>
      </c>
      <c r="P128" s="164">
        <v>85</v>
      </c>
      <c r="Q128" s="164">
        <v>85</v>
      </c>
      <c r="R128" s="164">
        <v>85</v>
      </c>
      <c r="S128" s="164">
        <v>85</v>
      </c>
      <c r="T128" s="164">
        <v>85</v>
      </c>
      <c r="U128" s="164">
        <v>85</v>
      </c>
      <c r="V128" s="164">
        <v>85</v>
      </c>
      <c r="W128" s="164">
        <v>85</v>
      </c>
      <c r="X128" s="164">
        <v>85</v>
      </c>
      <c r="Y128" s="164">
        <v>85</v>
      </c>
      <c r="Z128" s="164">
        <v>85</v>
      </c>
      <c r="AA128" s="164">
        <v>85</v>
      </c>
      <c r="AB128" s="164">
        <v>85</v>
      </c>
      <c r="AC128" s="164">
        <v>85</v>
      </c>
      <c r="AD128" s="164">
        <v>85</v>
      </c>
      <c r="AE128" s="164">
        <v>85</v>
      </c>
      <c r="AF128" s="164">
        <v>85</v>
      </c>
      <c r="AG128" s="164">
        <v>85</v>
      </c>
      <c r="AH128" s="164">
        <v>85</v>
      </c>
      <c r="AI128" s="164">
        <v>85</v>
      </c>
      <c r="AJ128" s="164">
        <v>85</v>
      </c>
      <c r="AK128" s="164">
        <v>85</v>
      </c>
      <c r="AL128" s="164">
        <v>85</v>
      </c>
      <c r="AM128" s="164">
        <v>85</v>
      </c>
      <c r="AN128" s="164">
        <v>85</v>
      </c>
      <c r="AO128" s="164">
        <v>85</v>
      </c>
      <c r="AP128" s="164">
        <v>85</v>
      </c>
    </row>
    <row r="129" spans="1:65">
      <c r="A129" s="110">
        <v>1322</v>
      </c>
      <c r="B129" s="166" t="s">
        <v>2525</v>
      </c>
      <c r="C129" s="279" t="s">
        <v>2526</v>
      </c>
      <c r="D129" s="164">
        <v>140</v>
      </c>
      <c r="E129" s="164">
        <v>140</v>
      </c>
      <c r="F129" s="164">
        <v>140</v>
      </c>
      <c r="G129" s="164">
        <v>140</v>
      </c>
      <c r="H129" s="164">
        <v>140</v>
      </c>
      <c r="I129" s="164">
        <v>140</v>
      </c>
      <c r="J129" s="164">
        <v>140</v>
      </c>
      <c r="K129" s="164">
        <v>140</v>
      </c>
      <c r="L129" s="164">
        <v>140</v>
      </c>
      <c r="M129" s="164">
        <v>140</v>
      </c>
      <c r="N129" s="164">
        <v>140</v>
      </c>
      <c r="O129" s="164">
        <v>140</v>
      </c>
      <c r="P129" s="164">
        <v>140</v>
      </c>
      <c r="Q129" s="164">
        <v>140</v>
      </c>
      <c r="R129" s="164">
        <v>140</v>
      </c>
      <c r="S129" s="164">
        <v>140</v>
      </c>
      <c r="T129" s="164">
        <v>140</v>
      </c>
      <c r="U129" s="164">
        <v>140</v>
      </c>
      <c r="V129" s="164">
        <v>140</v>
      </c>
      <c r="W129" s="164">
        <v>140</v>
      </c>
      <c r="X129" s="164">
        <v>140</v>
      </c>
      <c r="Y129" s="164">
        <v>140</v>
      </c>
      <c r="Z129" s="164">
        <v>140</v>
      </c>
      <c r="AA129" s="164">
        <v>140</v>
      </c>
      <c r="AB129" s="164">
        <v>140</v>
      </c>
      <c r="AC129" s="164">
        <v>140</v>
      </c>
      <c r="AD129" s="164">
        <v>140</v>
      </c>
      <c r="AE129" s="164">
        <v>140</v>
      </c>
      <c r="AF129" s="164">
        <v>140</v>
      </c>
      <c r="AG129" s="164">
        <v>140</v>
      </c>
      <c r="AH129" s="164">
        <v>140</v>
      </c>
      <c r="AI129" s="164">
        <v>140</v>
      </c>
      <c r="AJ129" s="164">
        <v>140</v>
      </c>
      <c r="AK129" s="164">
        <v>140</v>
      </c>
      <c r="AL129" s="164">
        <v>140</v>
      </c>
      <c r="AM129" s="164">
        <v>140</v>
      </c>
      <c r="AN129" s="164">
        <v>140</v>
      </c>
      <c r="AO129" s="164">
        <v>140</v>
      </c>
      <c r="AP129" s="164">
        <v>140</v>
      </c>
      <c r="AS129" s="162"/>
      <c r="AT129" s="162"/>
      <c r="AU129" s="162"/>
      <c r="AV129" s="162"/>
      <c r="AW129" s="162"/>
      <c r="AX129" s="162"/>
      <c r="AY129" s="162"/>
      <c r="AZ129" s="162"/>
      <c r="BA129" s="162"/>
      <c r="BB129" s="162"/>
      <c r="BC129" s="162"/>
      <c r="BD129" s="162"/>
      <c r="BE129" s="162"/>
      <c r="BF129" s="162"/>
      <c r="BG129" s="162"/>
      <c r="BH129" s="162"/>
      <c r="BI129" s="162"/>
      <c r="BJ129" s="162"/>
      <c r="BK129" s="162"/>
      <c r="BL129" s="162"/>
      <c r="BM129" s="162"/>
    </row>
    <row r="130" spans="1:65">
      <c r="A130" s="110">
        <v>1323</v>
      </c>
      <c r="B130" s="166" t="s">
        <v>206</v>
      </c>
      <c r="C130" s="279" t="s">
        <v>2524</v>
      </c>
      <c r="D130" s="164">
        <f>85*0.75</f>
        <v>63.75</v>
      </c>
      <c r="E130" s="164">
        <f t="shared" ref="E130:AP130" si="0">85*0.75</f>
        <v>63.75</v>
      </c>
      <c r="F130" s="164">
        <f t="shared" si="0"/>
        <v>63.75</v>
      </c>
      <c r="G130" s="164">
        <f t="shared" si="0"/>
        <v>63.75</v>
      </c>
      <c r="H130" s="164">
        <f t="shared" si="0"/>
        <v>63.75</v>
      </c>
      <c r="I130" s="164">
        <f t="shared" si="0"/>
        <v>63.75</v>
      </c>
      <c r="J130" s="164">
        <f t="shared" si="0"/>
        <v>63.75</v>
      </c>
      <c r="K130" s="164">
        <f t="shared" si="0"/>
        <v>63.75</v>
      </c>
      <c r="L130" s="164">
        <f t="shared" si="0"/>
        <v>63.75</v>
      </c>
      <c r="M130" s="164">
        <f t="shared" si="0"/>
        <v>63.75</v>
      </c>
      <c r="N130" s="164">
        <f t="shared" si="0"/>
        <v>63.75</v>
      </c>
      <c r="O130" s="164">
        <f t="shared" si="0"/>
        <v>63.75</v>
      </c>
      <c r="P130" s="164">
        <f t="shared" si="0"/>
        <v>63.75</v>
      </c>
      <c r="Q130" s="164">
        <f t="shared" si="0"/>
        <v>63.75</v>
      </c>
      <c r="R130" s="164">
        <f t="shared" si="0"/>
        <v>63.75</v>
      </c>
      <c r="S130" s="164">
        <f t="shared" si="0"/>
        <v>63.75</v>
      </c>
      <c r="T130" s="164">
        <f t="shared" si="0"/>
        <v>63.75</v>
      </c>
      <c r="U130" s="164">
        <f t="shared" si="0"/>
        <v>63.75</v>
      </c>
      <c r="V130" s="164">
        <f t="shared" si="0"/>
        <v>63.75</v>
      </c>
      <c r="W130" s="164">
        <f t="shared" si="0"/>
        <v>63.75</v>
      </c>
      <c r="X130" s="164">
        <f t="shared" si="0"/>
        <v>63.75</v>
      </c>
      <c r="Y130" s="164">
        <f t="shared" si="0"/>
        <v>63.75</v>
      </c>
      <c r="Z130" s="164">
        <f t="shared" si="0"/>
        <v>63.75</v>
      </c>
      <c r="AA130" s="164">
        <f t="shared" si="0"/>
        <v>63.75</v>
      </c>
      <c r="AB130" s="164">
        <f t="shared" si="0"/>
        <v>63.75</v>
      </c>
      <c r="AC130" s="164">
        <f t="shared" si="0"/>
        <v>63.75</v>
      </c>
      <c r="AD130" s="164">
        <f t="shared" si="0"/>
        <v>63.75</v>
      </c>
      <c r="AE130" s="164">
        <f t="shared" si="0"/>
        <v>63.75</v>
      </c>
      <c r="AF130" s="164">
        <f t="shared" si="0"/>
        <v>63.75</v>
      </c>
      <c r="AG130" s="164">
        <f t="shared" si="0"/>
        <v>63.75</v>
      </c>
      <c r="AH130" s="164">
        <f t="shared" si="0"/>
        <v>63.75</v>
      </c>
      <c r="AI130" s="164">
        <f t="shared" si="0"/>
        <v>63.75</v>
      </c>
      <c r="AJ130" s="164">
        <f t="shared" si="0"/>
        <v>63.75</v>
      </c>
      <c r="AK130" s="164">
        <f t="shared" si="0"/>
        <v>63.75</v>
      </c>
      <c r="AL130" s="164">
        <f t="shared" si="0"/>
        <v>63.75</v>
      </c>
      <c r="AM130" s="164">
        <f t="shared" si="0"/>
        <v>63.75</v>
      </c>
      <c r="AN130" s="164">
        <f t="shared" si="0"/>
        <v>63.75</v>
      </c>
      <c r="AO130" s="164">
        <f t="shared" si="0"/>
        <v>63.75</v>
      </c>
      <c r="AP130" s="164">
        <f t="shared" si="0"/>
        <v>63.75</v>
      </c>
      <c r="AS130" s="162"/>
      <c r="AT130" s="162"/>
      <c r="AU130" s="162"/>
      <c r="AV130" s="162"/>
      <c r="AW130" s="162"/>
      <c r="AX130" s="162"/>
      <c r="AY130" s="162"/>
      <c r="AZ130" s="162"/>
      <c r="BA130" s="162"/>
      <c r="BB130" s="162"/>
      <c r="BC130" s="162"/>
      <c r="BD130" s="162"/>
      <c r="BE130" s="162"/>
      <c r="BF130" s="162"/>
      <c r="BG130" s="162"/>
      <c r="BH130" s="162"/>
      <c r="BI130" s="162"/>
      <c r="BJ130" s="162"/>
      <c r="BK130" s="162"/>
      <c r="BL130" s="162"/>
      <c r="BM130" s="162"/>
    </row>
    <row r="131" spans="1:65">
      <c r="A131" s="110">
        <v>1325</v>
      </c>
      <c r="B131" s="165" t="s">
        <v>203</v>
      </c>
      <c r="C131" s="279" t="s">
        <v>2516</v>
      </c>
      <c r="D131" s="164">
        <v>0</v>
      </c>
      <c r="E131" s="164">
        <v>0</v>
      </c>
      <c r="F131" s="164">
        <v>0</v>
      </c>
      <c r="G131" s="164">
        <v>0</v>
      </c>
      <c r="H131" s="164">
        <v>0</v>
      </c>
      <c r="I131" s="164">
        <v>0</v>
      </c>
      <c r="J131" s="164">
        <v>0</v>
      </c>
      <c r="K131" s="164">
        <v>0</v>
      </c>
      <c r="L131" s="164">
        <v>0</v>
      </c>
      <c r="M131" s="164">
        <v>0</v>
      </c>
      <c r="N131" s="164">
        <v>0</v>
      </c>
      <c r="O131" s="164">
        <v>0</v>
      </c>
      <c r="P131" s="164">
        <v>0</v>
      </c>
      <c r="Q131" s="164">
        <v>0</v>
      </c>
      <c r="R131" s="164">
        <v>0</v>
      </c>
      <c r="S131" s="164">
        <v>0</v>
      </c>
      <c r="T131" s="164">
        <v>0</v>
      </c>
      <c r="U131" s="164">
        <v>0</v>
      </c>
      <c r="V131" s="164">
        <v>0</v>
      </c>
      <c r="W131" s="164">
        <v>0</v>
      </c>
      <c r="X131" s="164">
        <v>0</v>
      </c>
      <c r="Y131" s="164">
        <v>0</v>
      </c>
      <c r="Z131" s="164">
        <v>0</v>
      </c>
      <c r="AA131" s="164">
        <v>0</v>
      </c>
      <c r="AB131" s="164">
        <v>0</v>
      </c>
      <c r="AC131" s="164">
        <v>0</v>
      </c>
      <c r="AD131" s="164">
        <v>0</v>
      </c>
      <c r="AE131" s="164">
        <v>0</v>
      </c>
      <c r="AF131" s="164">
        <v>0</v>
      </c>
      <c r="AG131" s="164">
        <v>0</v>
      </c>
      <c r="AH131" s="164">
        <v>0</v>
      </c>
      <c r="AI131" s="164">
        <v>0</v>
      </c>
      <c r="AJ131" s="164">
        <v>0</v>
      </c>
      <c r="AK131" s="164">
        <v>0</v>
      </c>
      <c r="AL131" s="164">
        <v>0</v>
      </c>
      <c r="AM131" s="164">
        <v>0</v>
      </c>
      <c r="AN131" s="164">
        <v>0</v>
      </c>
      <c r="AO131" s="164">
        <v>0</v>
      </c>
      <c r="AP131" s="164">
        <v>0</v>
      </c>
      <c r="AQ131" s="162"/>
      <c r="AR131" s="162"/>
    </row>
    <row r="132" spans="1:65">
      <c r="A132" s="159">
        <v>1326</v>
      </c>
      <c r="B132" s="160" t="s">
        <v>2527</v>
      </c>
      <c r="C132" s="279" t="s">
        <v>28</v>
      </c>
      <c r="D132" s="164">
        <v>260</v>
      </c>
      <c r="E132" s="164">
        <v>260</v>
      </c>
      <c r="F132" s="164">
        <v>260</v>
      </c>
      <c r="G132" s="164">
        <v>260</v>
      </c>
      <c r="H132" s="164">
        <v>260</v>
      </c>
      <c r="I132" s="164">
        <v>260</v>
      </c>
      <c r="J132" s="164">
        <v>260</v>
      </c>
      <c r="K132" s="164">
        <v>260</v>
      </c>
      <c r="L132" s="164">
        <v>260</v>
      </c>
      <c r="M132" s="164">
        <v>260</v>
      </c>
      <c r="N132" s="164">
        <v>260</v>
      </c>
      <c r="O132" s="164">
        <v>260</v>
      </c>
      <c r="P132" s="164">
        <v>260</v>
      </c>
      <c r="Q132" s="164">
        <v>260</v>
      </c>
      <c r="R132" s="164">
        <v>260</v>
      </c>
      <c r="S132" s="164">
        <v>260</v>
      </c>
      <c r="T132" s="164">
        <v>260</v>
      </c>
      <c r="U132" s="164">
        <v>260</v>
      </c>
      <c r="V132" s="164">
        <v>260</v>
      </c>
      <c r="W132" s="164">
        <v>260</v>
      </c>
      <c r="X132" s="164">
        <v>260</v>
      </c>
      <c r="Y132" s="164">
        <v>260</v>
      </c>
      <c r="Z132" s="164">
        <v>260</v>
      </c>
      <c r="AA132" s="164">
        <v>260</v>
      </c>
      <c r="AB132" s="164">
        <v>260</v>
      </c>
      <c r="AC132" s="164">
        <v>260</v>
      </c>
      <c r="AD132" s="164">
        <v>260</v>
      </c>
      <c r="AE132" s="164">
        <v>260</v>
      </c>
      <c r="AF132" s="164">
        <v>260</v>
      </c>
      <c r="AG132" s="164">
        <v>260</v>
      </c>
      <c r="AH132" s="164">
        <v>260</v>
      </c>
      <c r="AI132" s="164">
        <v>260</v>
      </c>
      <c r="AJ132" s="164">
        <v>260</v>
      </c>
      <c r="AK132" s="164">
        <v>260</v>
      </c>
      <c r="AL132" s="164">
        <v>260</v>
      </c>
      <c r="AM132" s="164">
        <v>260</v>
      </c>
      <c r="AN132" s="164">
        <v>260</v>
      </c>
      <c r="AO132" s="164">
        <v>260</v>
      </c>
      <c r="AP132" s="164">
        <v>260</v>
      </c>
      <c r="AR132" s="250"/>
    </row>
    <row r="133" spans="1:65">
      <c r="A133" s="159">
        <v>1501</v>
      </c>
      <c r="B133" s="163" t="s">
        <v>2528</v>
      </c>
      <c r="C133" s="279" t="s">
        <v>2529</v>
      </c>
      <c r="D133" s="164">
        <v>260</v>
      </c>
      <c r="E133" s="164">
        <v>260</v>
      </c>
      <c r="F133" s="164">
        <v>260</v>
      </c>
      <c r="G133" s="164">
        <v>260</v>
      </c>
      <c r="H133" s="164">
        <v>260</v>
      </c>
      <c r="I133" s="164">
        <v>260</v>
      </c>
      <c r="J133" s="164">
        <v>260</v>
      </c>
      <c r="K133" s="164">
        <v>260</v>
      </c>
      <c r="L133" s="164">
        <v>260</v>
      </c>
      <c r="M133" s="164">
        <v>260</v>
      </c>
      <c r="N133" s="164">
        <v>260</v>
      </c>
      <c r="O133" s="164">
        <v>260</v>
      </c>
      <c r="P133" s="164">
        <v>260</v>
      </c>
      <c r="Q133" s="164">
        <v>260</v>
      </c>
      <c r="R133" s="164">
        <v>260</v>
      </c>
      <c r="S133" s="164">
        <v>260</v>
      </c>
      <c r="T133" s="164">
        <v>260</v>
      </c>
      <c r="U133" s="164">
        <v>260</v>
      </c>
      <c r="V133" s="164">
        <v>260</v>
      </c>
      <c r="W133" s="164">
        <v>260</v>
      </c>
      <c r="X133" s="164">
        <v>260</v>
      </c>
      <c r="Y133" s="164">
        <v>260</v>
      </c>
      <c r="Z133" s="164">
        <v>260</v>
      </c>
      <c r="AA133" s="164">
        <v>260</v>
      </c>
      <c r="AB133" s="164">
        <v>260</v>
      </c>
      <c r="AC133" s="164">
        <v>260</v>
      </c>
      <c r="AD133" s="164">
        <v>260</v>
      </c>
      <c r="AE133" s="164">
        <v>260</v>
      </c>
      <c r="AF133" s="164">
        <v>260</v>
      </c>
      <c r="AG133" s="164">
        <v>260</v>
      </c>
      <c r="AH133" s="164">
        <v>260</v>
      </c>
      <c r="AI133" s="164">
        <v>260</v>
      </c>
      <c r="AJ133" s="164">
        <v>260</v>
      </c>
      <c r="AK133" s="164">
        <v>260</v>
      </c>
      <c r="AL133" s="164">
        <v>260</v>
      </c>
      <c r="AM133" s="164">
        <v>260</v>
      </c>
      <c r="AN133" s="164">
        <v>260</v>
      </c>
      <c r="AO133" s="164">
        <v>260</v>
      </c>
      <c r="AP133" s="164">
        <v>260</v>
      </c>
    </row>
    <row r="134" spans="1:65">
      <c r="A134" s="110">
        <v>1502</v>
      </c>
      <c r="B134" s="615" t="s">
        <v>252</v>
      </c>
      <c r="C134" s="279" t="s">
        <v>2516</v>
      </c>
      <c r="D134" s="24">
        <v>60</v>
      </c>
      <c r="E134" s="24">
        <v>60</v>
      </c>
      <c r="F134" s="24">
        <v>60</v>
      </c>
      <c r="G134" s="24">
        <v>60</v>
      </c>
      <c r="H134" s="24">
        <v>60</v>
      </c>
      <c r="I134" s="24">
        <v>60</v>
      </c>
      <c r="J134" s="24">
        <v>60</v>
      </c>
      <c r="K134" s="24">
        <v>60</v>
      </c>
      <c r="L134" s="24">
        <v>60</v>
      </c>
      <c r="M134" s="24">
        <v>60</v>
      </c>
      <c r="N134" s="24">
        <v>60</v>
      </c>
      <c r="O134" s="24">
        <v>60</v>
      </c>
      <c r="P134" s="24">
        <v>60</v>
      </c>
      <c r="Q134" s="24">
        <v>60</v>
      </c>
      <c r="R134" s="24">
        <v>60</v>
      </c>
      <c r="S134" s="24">
        <v>60</v>
      </c>
      <c r="T134" s="24">
        <v>60</v>
      </c>
      <c r="U134" s="24">
        <v>60</v>
      </c>
      <c r="V134" s="24">
        <v>60</v>
      </c>
      <c r="W134" s="24">
        <v>60</v>
      </c>
      <c r="X134" s="24">
        <v>60</v>
      </c>
      <c r="Y134" s="24">
        <v>60</v>
      </c>
      <c r="Z134" s="24">
        <v>60</v>
      </c>
      <c r="AA134" s="24">
        <v>60</v>
      </c>
      <c r="AB134" s="24">
        <v>60</v>
      </c>
      <c r="AC134" s="24">
        <v>60</v>
      </c>
      <c r="AD134" s="24">
        <v>60</v>
      </c>
      <c r="AE134" s="24">
        <v>60</v>
      </c>
      <c r="AF134" s="24">
        <v>60</v>
      </c>
      <c r="AG134" s="24">
        <v>60</v>
      </c>
      <c r="AH134" s="24">
        <v>60</v>
      </c>
      <c r="AI134" s="24">
        <v>60</v>
      </c>
      <c r="AJ134" s="24">
        <v>60</v>
      </c>
      <c r="AK134" s="24">
        <v>60</v>
      </c>
      <c r="AL134" s="24">
        <v>60</v>
      </c>
      <c r="AM134" s="24">
        <v>60</v>
      </c>
      <c r="AN134" s="24">
        <v>60</v>
      </c>
      <c r="AO134" s="24">
        <v>60</v>
      </c>
      <c r="AP134" s="24">
        <v>60</v>
      </c>
    </row>
    <row r="135" spans="1:65">
      <c r="A135" s="110">
        <v>1503</v>
      </c>
      <c r="B135" t="s">
        <v>2530</v>
      </c>
      <c r="C135" s="279" t="s">
        <v>2516</v>
      </c>
      <c r="D135" s="24">
        <v>96.82</v>
      </c>
      <c r="E135" s="24">
        <v>96.82</v>
      </c>
      <c r="F135" s="24">
        <v>96.82</v>
      </c>
      <c r="G135" s="24">
        <v>96.82</v>
      </c>
      <c r="H135" s="24">
        <v>96.82</v>
      </c>
      <c r="I135" s="24">
        <v>96.82</v>
      </c>
      <c r="J135" s="24">
        <v>96.82</v>
      </c>
      <c r="K135" s="24">
        <v>96.82</v>
      </c>
      <c r="L135" s="24">
        <v>96.82</v>
      </c>
      <c r="M135" s="24">
        <v>96.82</v>
      </c>
      <c r="N135" s="24">
        <v>96.82</v>
      </c>
      <c r="O135" s="24">
        <v>96.82</v>
      </c>
      <c r="P135" s="24">
        <v>96.82</v>
      </c>
      <c r="Q135" s="24">
        <v>96.82</v>
      </c>
      <c r="R135" s="24">
        <v>96.82</v>
      </c>
      <c r="S135" s="24">
        <v>96.82</v>
      </c>
      <c r="T135" s="24">
        <v>96.82</v>
      </c>
      <c r="U135" s="24">
        <v>96.82</v>
      </c>
      <c r="V135" s="24">
        <v>96.82</v>
      </c>
      <c r="W135" s="24">
        <v>96.82</v>
      </c>
      <c r="X135" s="24">
        <v>96.82</v>
      </c>
      <c r="Y135" s="24">
        <v>96.82</v>
      </c>
      <c r="Z135" s="24">
        <v>96.82</v>
      </c>
      <c r="AA135" s="24">
        <v>96.82</v>
      </c>
      <c r="AB135" s="24">
        <v>96.82</v>
      </c>
      <c r="AC135" s="24">
        <v>96.82</v>
      </c>
      <c r="AD135" s="24">
        <v>96.82</v>
      </c>
      <c r="AE135" s="24">
        <v>96.82</v>
      </c>
      <c r="AF135" s="24">
        <v>96.82</v>
      </c>
      <c r="AG135" s="24">
        <v>96.82</v>
      </c>
      <c r="AH135" s="24">
        <v>96.82</v>
      </c>
      <c r="AI135" s="24">
        <v>96.82</v>
      </c>
      <c r="AJ135" s="24">
        <v>96.82</v>
      </c>
      <c r="AK135" s="24">
        <v>96.82</v>
      </c>
      <c r="AL135" s="24">
        <v>96.82</v>
      </c>
      <c r="AM135" s="24">
        <v>96.82</v>
      </c>
      <c r="AN135" s="24">
        <v>96.82</v>
      </c>
      <c r="AO135" s="24">
        <v>96.82</v>
      </c>
      <c r="AP135" s="24">
        <v>96.82</v>
      </c>
    </row>
    <row r="136" spans="1:65">
      <c r="A136" s="110">
        <v>1504</v>
      </c>
      <c r="B136" t="s">
        <v>2531</v>
      </c>
      <c r="C136" s="279" t="s">
        <v>2516</v>
      </c>
      <c r="D136" s="24">
        <v>145.22999999999999</v>
      </c>
      <c r="E136" s="24">
        <v>145.22999999999999</v>
      </c>
      <c r="F136" s="24">
        <v>145.22999999999999</v>
      </c>
      <c r="G136" s="24">
        <v>145.22999999999999</v>
      </c>
      <c r="H136" s="24">
        <v>145.22999999999999</v>
      </c>
      <c r="I136" s="24">
        <v>145.22999999999999</v>
      </c>
      <c r="J136" s="24">
        <v>145.22999999999999</v>
      </c>
      <c r="K136" s="24">
        <v>145.22999999999999</v>
      </c>
      <c r="L136" s="24">
        <v>145.22999999999999</v>
      </c>
      <c r="M136" s="24">
        <v>145.22999999999999</v>
      </c>
      <c r="N136" s="24">
        <v>145.22999999999999</v>
      </c>
      <c r="O136" s="24">
        <v>145.22999999999999</v>
      </c>
      <c r="P136" s="24">
        <v>145.22999999999999</v>
      </c>
      <c r="Q136" s="24">
        <v>145.22999999999999</v>
      </c>
      <c r="R136" s="24">
        <v>145.22999999999999</v>
      </c>
      <c r="S136" s="24">
        <v>145.22999999999999</v>
      </c>
      <c r="T136" s="24">
        <v>145.22999999999999</v>
      </c>
      <c r="U136" s="24">
        <v>145.22999999999999</v>
      </c>
      <c r="V136" s="24">
        <v>145.22999999999999</v>
      </c>
      <c r="W136" s="24">
        <v>145.22999999999999</v>
      </c>
      <c r="X136" s="24">
        <v>145.22999999999999</v>
      </c>
      <c r="Y136" s="24">
        <v>145.22999999999999</v>
      </c>
      <c r="Z136" s="24">
        <v>145.22999999999999</v>
      </c>
      <c r="AA136" s="24">
        <v>145.22999999999999</v>
      </c>
      <c r="AB136" s="24">
        <v>145.22999999999999</v>
      </c>
      <c r="AC136" s="24">
        <v>145.22999999999999</v>
      </c>
      <c r="AD136" s="24">
        <v>145.22999999999999</v>
      </c>
      <c r="AE136" s="24">
        <v>145.22999999999999</v>
      </c>
      <c r="AF136" s="24">
        <v>145.22999999999999</v>
      </c>
      <c r="AG136" s="24">
        <v>145.22999999999999</v>
      </c>
      <c r="AH136" s="24">
        <v>145.22999999999999</v>
      </c>
      <c r="AI136" s="24">
        <v>145.22999999999999</v>
      </c>
      <c r="AJ136" s="24">
        <v>145.22999999999999</v>
      </c>
      <c r="AK136" s="24">
        <v>145.22999999999999</v>
      </c>
      <c r="AL136" s="24">
        <v>145.22999999999999</v>
      </c>
      <c r="AM136" s="24">
        <v>145.22999999999999</v>
      </c>
      <c r="AN136" s="24">
        <v>145.22999999999999</v>
      </c>
      <c r="AO136" s="24">
        <v>145.22999999999999</v>
      </c>
      <c r="AP136" s="24">
        <v>145.22999999999999</v>
      </c>
    </row>
    <row r="137" spans="1:65"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  <c r="AA137" s="24"/>
      <c r="AB137" s="24"/>
      <c r="AC137" s="24"/>
      <c r="AD137" s="24"/>
      <c r="AE137" s="24"/>
      <c r="AF137" s="24"/>
      <c r="AG137" s="24"/>
      <c r="AH137" s="24"/>
      <c r="AI137" s="24"/>
      <c r="AJ137" s="24"/>
      <c r="AK137" s="24"/>
      <c r="AL137" s="24"/>
      <c r="AM137" s="24"/>
      <c r="AN137" s="24"/>
      <c r="AO137" s="24"/>
      <c r="AP137" s="24"/>
    </row>
    <row r="138" spans="1:65">
      <c r="D138" s="2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  <c r="AA138" s="24"/>
      <c r="AB138" s="24"/>
      <c r="AC138" s="24"/>
      <c r="AD138" s="24"/>
      <c r="AE138" s="24"/>
      <c r="AF138" s="24"/>
      <c r="AG138" s="24"/>
      <c r="AH138" s="24"/>
      <c r="AI138" s="24"/>
      <c r="AJ138" s="24"/>
      <c r="AK138" s="24"/>
      <c r="AL138" s="24"/>
      <c r="AM138" s="24"/>
      <c r="AN138" s="24"/>
      <c r="AO138" s="24"/>
      <c r="AP138" s="24"/>
    </row>
    <row r="139" spans="1:65">
      <c r="D139" s="24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  <c r="AA139" s="24"/>
      <c r="AB139" s="24"/>
      <c r="AC139" s="24"/>
      <c r="AD139" s="24"/>
      <c r="AE139" s="24"/>
      <c r="AF139" s="24"/>
      <c r="AG139" s="24"/>
      <c r="AH139" s="24"/>
      <c r="AI139" s="24"/>
      <c r="AJ139" s="24"/>
      <c r="AK139" s="24"/>
      <c r="AL139" s="24"/>
      <c r="AM139" s="24"/>
      <c r="AN139" s="24"/>
      <c r="AO139" s="24"/>
      <c r="AP139" s="24"/>
    </row>
    <row r="140" spans="1:65"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  <c r="AD140" s="24"/>
      <c r="AE140" s="24"/>
      <c r="AF140" s="24"/>
      <c r="AG140" s="24"/>
      <c r="AH140" s="24"/>
      <c r="AI140" s="24"/>
      <c r="AJ140" s="24"/>
      <c r="AK140" s="24"/>
      <c r="AL140" s="24"/>
      <c r="AM140" s="24"/>
      <c r="AN140" s="24"/>
      <c r="AO140" s="24"/>
      <c r="AP140" s="24"/>
    </row>
    <row r="141" spans="1:65">
      <c r="D141" s="24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  <c r="AA141" s="24"/>
      <c r="AB141" s="24"/>
      <c r="AC141" s="24"/>
      <c r="AD141" s="24"/>
      <c r="AE141" s="24"/>
      <c r="AF141" s="24"/>
      <c r="AG141" s="24"/>
      <c r="AH141" s="24"/>
      <c r="AI141" s="24"/>
      <c r="AJ141" s="24"/>
      <c r="AK141" s="24"/>
      <c r="AL141" s="24"/>
      <c r="AM141" s="24"/>
      <c r="AN141" s="24"/>
      <c r="AO141" s="24"/>
      <c r="AP141" s="24"/>
    </row>
    <row r="142" spans="1:65">
      <c r="D142" s="24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  <c r="AD142" s="24"/>
      <c r="AE142" s="24"/>
      <c r="AF142" s="24"/>
      <c r="AG142" s="24"/>
      <c r="AH142" s="24"/>
      <c r="AI142" s="24"/>
      <c r="AJ142" s="24"/>
      <c r="AK142" s="24"/>
      <c r="AL142" s="24"/>
      <c r="AM142" s="24"/>
      <c r="AN142" s="24"/>
      <c r="AO142" s="24"/>
      <c r="AP142" s="24"/>
    </row>
    <row r="143" spans="1:65"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24"/>
      <c r="AG143" s="24"/>
      <c r="AH143" s="24"/>
      <c r="AI143" s="24"/>
      <c r="AJ143" s="24"/>
      <c r="AK143" s="24"/>
      <c r="AL143" s="24"/>
      <c r="AM143" s="24"/>
      <c r="AN143" s="24"/>
      <c r="AO143" s="24"/>
      <c r="AP143" s="24"/>
    </row>
    <row r="144" spans="1:65"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24"/>
      <c r="AG144" s="24"/>
      <c r="AH144" s="24"/>
      <c r="AI144" s="24"/>
      <c r="AJ144" s="24"/>
      <c r="AK144" s="24"/>
      <c r="AL144" s="24"/>
      <c r="AM144" s="24"/>
      <c r="AN144" s="24"/>
      <c r="AO144" s="24"/>
      <c r="AP144" s="24"/>
    </row>
  </sheetData>
  <autoFilter ref="A1:BM121" xr:uid="{00000000-0009-0000-0000-00000E000000}">
    <sortState xmlns:xlrd2="http://schemas.microsoft.com/office/spreadsheetml/2017/richdata2" ref="A2:BM133">
      <sortCondition ref="A1:A121"/>
    </sortState>
  </autoFilter>
  <conditionalFormatting sqref="C145:C1048576 C1 C67:C80">
    <cfRule type="containsText" dxfId="2" priority="2" operator="containsText" text="outro">
      <formula>NOT(ISERROR(SEARCH("outro",C1)))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E00-000000000000}">
          <x14:formula1>
            <xm:f>EvoluçãoCombustíveis!$A$2:$A$8</xm:f>
          </x14:formula1>
          <xm:sqref>C67:C80 C109:C121</xm:sqref>
        </x14:dataValidation>
      </x14:dataValidation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Plan15"/>
  <dimension ref="A1:C6211"/>
  <sheetViews>
    <sheetView topLeftCell="A5245" workbookViewId="0">
      <selection activeCell="C5260" sqref="C5260"/>
    </sheetView>
  </sheetViews>
  <sheetFormatPr defaultRowHeight="12.75"/>
  <cols>
    <col min="2" max="2" width="16.28515625" bestFit="1" customWidth="1"/>
    <col min="3" max="3" width="17.85546875" bestFit="1" customWidth="1"/>
  </cols>
  <sheetData>
    <row r="1" spans="1:3" ht="13.5" thickBot="1">
      <c r="A1" s="61" t="s">
        <v>2532</v>
      </c>
      <c r="B1" s="61" t="s">
        <v>180</v>
      </c>
      <c r="C1" s="61" t="s">
        <v>2533</v>
      </c>
    </row>
    <row r="2" spans="1:3" ht="13.5" thickTop="1">
      <c r="A2" s="3">
        <v>2012</v>
      </c>
      <c r="B2" s="106">
        <f>tab_tipo_Combustivel!A2</f>
        <v>1</v>
      </c>
      <c r="C2" s="107">
        <f ca="1">OFFSET(tab_tipo_Combustivel!$A$1,MATCH(B2,tab_tipo_Combustivel!$A$2:$A$121,0),MATCH(A2,tab_tipo_Combustivel!$B$1:$AQ$1,0),1,1)</f>
        <v>29.13</v>
      </c>
    </row>
    <row r="3" spans="1:3">
      <c r="A3" s="3">
        <v>2012</v>
      </c>
      <c r="B3" s="106">
        <f>tab_tipo_Combustivel!A3</f>
        <v>2</v>
      </c>
      <c r="C3" s="107">
        <f ca="1">OFFSET(tab_tipo_Combustivel!$A$1,MATCH(B3,tab_tipo_Combustivel!$A$2:$A$121,0),MATCH(A3,tab_tipo_Combustivel!$B$1:$AQ$1,0),1,1)</f>
        <v>842.33</v>
      </c>
    </row>
    <row r="4" spans="1:3">
      <c r="A4" s="3">
        <v>2012</v>
      </c>
      <c r="B4" s="106">
        <f>tab_tipo_Combustivel!A4</f>
        <v>4</v>
      </c>
      <c r="C4" s="107">
        <f ca="1">OFFSET(tab_tipo_Combustivel!$A$1,MATCH(B4,tab_tipo_Combustivel!$A$2:$A$121,0),MATCH(A4,tab_tipo_Combustivel!$B$1:$AQ$1,0),1,1)</f>
        <v>842.33</v>
      </c>
    </row>
    <row r="5" spans="1:3">
      <c r="A5" s="3">
        <v>2012</v>
      </c>
      <c r="B5" s="106">
        <f>tab_tipo_Combustivel!A5</f>
        <v>9</v>
      </c>
      <c r="C5" s="107">
        <f ca="1">OFFSET(tab_tipo_Combustivel!$A$1,MATCH(B5,tab_tipo_Combustivel!$A$2:$A$121,0),MATCH(A5,tab_tipo_Combustivel!$B$1:$AQ$1,0),1,1)</f>
        <v>842.33</v>
      </c>
    </row>
    <row r="6" spans="1:3">
      <c r="A6" s="3">
        <v>2012</v>
      </c>
      <c r="B6" s="106">
        <f>tab_tipo_Combustivel!A6</f>
        <v>12</v>
      </c>
      <c r="C6" s="107">
        <f ca="1">OFFSET(tab_tipo_Combustivel!$A$1,MATCH(B6,tab_tipo_Combustivel!$A$2:$A$121,0),MATCH(A6,tab_tipo_Combustivel!$B$1:$AQ$1,0),1,1)</f>
        <v>728.87</v>
      </c>
    </row>
    <row r="7" spans="1:3">
      <c r="A7" s="3">
        <v>2012</v>
      </c>
      <c r="B7" s="106">
        <f>tab_tipo_Combustivel!A7</f>
        <v>13</v>
      </c>
      <c r="C7" s="107">
        <f ca="1">OFFSET(tab_tipo_Combustivel!$A$1,MATCH(B7,tab_tipo_Combustivel!$A$2:$A$121,0),MATCH(A7,tab_tipo_Combustivel!$B$1:$AQ$1,0),1,1)</f>
        <v>20.12</v>
      </c>
    </row>
    <row r="8" spans="1:3">
      <c r="A8" s="3">
        <v>2012</v>
      </c>
      <c r="B8" s="106">
        <f>tab_tipo_Combustivel!A8</f>
        <v>15</v>
      </c>
      <c r="C8" s="107">
        <f ca="1">OFFSET(tab_tipo_Combustivel!$A$1,MATCH(B8,tab_tipo_Combustivel!$A$2:$A$121,0),MATCH(A8,tab_tipo_Combustivel!$B$1:$AQ$1,0),1,1)</f>
        <v>257.29000000000002</v>
      </c>
    </row>
    <row r="9" spans="1:3">
      <c r="A9" s="3">
        <v>2012</v>
      </c>
      <c r="B9" s="106">
        <f>tab_tipo_Combustivel!A9</f>
        <v>21</v>
      </c>
      <c r="C9" s="107">
        <f ca="1">OFFSET(tab_tipo_Combustivel!$A$1,MATCH(B9,tab_tipo_Combustivel!$A$2:$A$121,0),MATCH(A9,tab_tipo_Combustivel!$B$1:$AQ$1,0),1,1)</f>
        <v>157.83000000000001</v>
      </c>
    </row>
    <row r="10" spans="1:3">
      <c r="A10" s="3">
        <v>2012</v>
      </c>
      <c r="B10" s="106">
        <f>tab_tipo_Combustivel!A10</f>
        <v>22</v>
      </c>
      <c r="C10" s="107">
        <f ca="1">OFFSET(tab_tipo_Combustivel!$A$1,MATCH(B10,tab_tipo_Combustivel!$A$2:$A$121,0),MATCH(A10,tab_tipo_Combustivel!$B$1:$AQ$1,0),1,1)</f>
        <v>115.9</v>
      </c>
    </row>
    <row r="11" spans="1:3">
      <c r="A11" s="3">
        <v>2012</v>
      </c>
      <c r="B11" s="106">
        <f>tab_tipo_Combustivel!A11</f>
        <v>23</v>
      </c>
      <c r="C11" s="107">
        <f ca="1">OFFSET(tab_tipo_Combustivel!$A$1,MATCH(B11,tab_tipo_Combustivel!$A$2:$A$121,0),MATCH(A11,tab_tipo_Combustivel!$B$1:$AQ$1,0),1,1)</f>
        <v>115.9</v>
      </c>
    </row>
    <row r="12" spans="1:3">
      <c r="A12" s="3">
        <v>2012</v>
      </c>
      <c r="B12" s="106">
        <f>tab_tipo_Combustivel!A12</f>
        <v>24</v>
      </c>
      <c r="C12" s="107">
        <f ca="1">OFFSET(tab_tipo_Combustivel!$A$1,MATCH(B12,tab_tipo_Combustivel!$A$2:$A$121,0),MATCH(A12,tab_tipo_Combustivel!$B$1:$AQ$1,0),1,1)</f>
        <v>155.85</v>
      </c>
    </row>
    <row r="13" spans="1:3">
      <c r="A13" s="3">
        <v>2012</v>
      </c>
      <c r="B13" s="106">
        <f>tab_tipo_Combustivel!A13</f>
        <v>25</v>
      </c>
      <c r="C13" s="107">
        <f ca="1">OFFSET(tab_tipo_Combustivel!$A$1,MATCH(B13,tab_tipo_Combustivel!$A$2:$A$121,0),MATCH(A13,tab_tipo_Combustivel!$B$1:$AQ$1,0),1,1)</f>
        <v>186.33</v>
      </c>
    </row>
    <row r="14" spans="1:3">
      <c r="A14" s="3">
        <v>2012</v>
      </c>
      <c r="B14" s="106">
        <f>tab_tipo_Combustivel!A14</f>
        <v>26</v>
      </c>
      <c r="C14" s="107">
        <f ca="1">OFFSET(tab_tipo_Combustivel!$A$1,MATCH(B14,tab_tipo_Combustivel!$A$2:$A$121,0),MATCH(A14,tab_tipo_Combustivel!$B$1:$AQ$1,0),1,1)</f>
        <v>258.42</v>
      </c>
    </row>
    <row r="15" spans="1:3">
      <c r="A15" s="3">
        <v>2012</v>
      </c>
      <c r="B15" s="106">
        <f>tab_tipo_Combustivel!A15</f>
        <v>27</v>
      </c>
      <c r="C15" s="107">
        <f ca="1">OFFSET(tab_tipo_Combustivel!$A$1,MATCH(B15,tab_tipo_Combustivel!$A$2:$A$121,0),MATCH(A15,tab_tipo_Combustivel!$B$1:$AQ$1,0),1,1)</f>
        <v>195.49</v>
      </c>
    </row>
    <row r="16" spans="1:3">
      <c r="A16" s="3">
        <v>2012</v>
      </c>
      <c r="B16" s="106">
        <f>tab_tipo_Combustivel!A16</f>
        <v>28</v>
      </c>
      <c r="C16" s="107">
        <f ca="1">OFFSET(tab_tipo_Combustivel!$A$1,MATCH(B16,tab_tipo_Combustivel!$A$2:$A$121,0),MATCH(A16,tab_tipo_Combustivel!$B$1:$AQ$1,0),1,1)</f>
        <v>459.92</v>
      </c>
    </row>
    <row r="17" spans="1:3">
      <c r="A17" s="3">
        <v>2012</v>
      </c>
      <c r="B17" s="106">
        <f>tab_tipo_Combustivel!A17</f>
        <v>32</v>
      </c>
      <c r="C17" s="107">
        <f ca="1">OFFSET(tab_tipo_Combustivel!$A$1,MATCH(B17,tab_tipo_Combustivel!$A$2:$A$121,0),MATCH(A17,tab_tipo_Combustivel!$B$1:$AQ$1,0),1,1)</f>
        <v>248.31</v>
      </c>
    </row>
    <row r="18" spans="1:3">
      <c r="A18" s="3">
        <v>2012</v>
      </c>
      <c r="B18" s="106">
        <f>tab_tipo_Combustivel!A18</f>
        <v>34</v>
      </c>
      <c r="C18" s="107">
        <f ca="1">OFFSET(tab_tipo_Combustivel!$A$1,MATCH(B18,tab_tipo_Combustivel!$A$2:$A$121,0),MATCH(A18,tab_tipo_Combustivel!$B$1:$AQ$1,0),1,1)</f>
        <v>423.38</v>
      </c>
    </row>
    <row r="19" spans="1:3">
      <c r="A19" s="3">
        <v>2012</v>
      </c>
      <c r="B19" s="106">
        <f>tab_tipo_Combustivel!A19</f>
        <v>35</v>
      </c>
      <c r="C19" s="107">
        <f ca="1">OFFSET(tab_tipo_Combustivel!$A$1,MATCH(B19,tab_tipo_Combustivel!$A$2:$A$121,0),MATCH(A19,tab_tipo_Combustivel!$B$1:$AQ$1,0),1,1)</f>
        <v>692.45</v>
      </c>
    </row>
    <row r="20" spans="1:3">
      <c r="A20" s="3">
        <v>2012</v>
      </c>
      <c r="B20" s="106">
        <f>tab_tipo_Combustivel!A20</f>
        <v>36</v>
      </c>
      <c r="C20" s="107">
        <f ca="1">OFFSET(tab_tipo_Combustivel!$A$1,MATCH(B20,tab_tipo_Combustivel!$A$2:$A$121,0),MATCH(A20,tab_tipo_Combustivel!$B$1:$AQ$1,0),1,1)</f>
        <v>157.83000000000001</v>
      </c>
    </row>
    <row r="21" spans="1:3">
      <c r="A21" s="3">
        <v>2012</v>
      </c>
      <c r="B21" s="106">
        <f>tab_tipo_Combustivel!A21</f>
        <v>42</v>
      </c>
      <c r="C21" s="107">
        <f ca="1">OFFSET(tab_tipo_Combustivel!$A$1,MATCH(B21,tab_tipo_Combustivel!$A$2:$A$121,0),MATCH(A21,tab_tipo_Combustivel!$B$1:$AQ$1,0),1,1)</f>
        <v>199.22</v>
      </c>
    </row>
    <row r="22" spans="1:3">
      <c r="A22" s="3">
        <v>2012</v>
      </c>
      <c r="B22" s="106">
        <f>tab_tipo_Combustivel!A22</f>
        <v>43</v>
      </c>
      <c r="C22" s="107">
        <f ca="1">OFFSET(tab_tipo_Combustivel!$A$1,MATCH(B22,tab_tipo_Combustivel!$A$2:$A$121,0),MATCH(A22,tab_tipo_Combustivel!$B$1:$AQ$1,0),1,1)</f>
        <v>431.62</v>
      </c>
    </row>
    <row r="23" spans="1:3">
      <c r="A23" s="3">
        <v>2012</v>
      </c>
      <c r="B23" s="106">
        <f>tab_tipo_Combustivel!A23</f>
        <v>44</v>
      </c>
      <c r="C23" s="107">
        <f ca="1">OFFSET(tab_tipo_Combustivel!$A$1,MATCH(B23,tab_tipo_Combustivel!$A$2:$A$121,0),MATCH(A23,tab_tipo_Combustivel!$B$1:$AQ$1,0),1,1)</f>
        <v>25.58</v>
      </c>
    </row>
    <row r="24" spans="1:3">
      <c r="A24" s="3">
        <v>2012</v>
      </c>
      <c r="B24" s="106">
        <f>tab_tipo_Combustivel!A24</f>
        <v>46</v>
      </c>
      <c r="C24" s="107">
        <f ca="1">OFFSET(tab_tipo_Combustivel!$A$1,MATCH(B24,tab_tipo_Combustivel!$A$2:$A$121,0),MATCH(A24,tab_tipo_Combustivel!$B$1:$AQ$1,0),1,1)</f>
        <v>228.91</v>
      </c>
    </row>
    <row r="25" spans="1:3">
      <c r="A25" s="3">
        <v>2012</v>
      </c>
      <c r="B25" s="106">
        <f>tab_tipo_Combustivel!A25</f>
        <v>47</v>
      </c>
      <c r="C25" s="107">
        <f ca="1">OFFSET(tab_tipo_Combustivel!$A$1,MATCH(B25,tab_tipo_Combustivel!$A$2:$A$121,0),MATCH(A25,tab_tipo_Combustivel!$B$1:$AQ$1,0),1,1)</f>
        <v>235.6</v>
      </c>
    </row>
    <row r="26" spans="1:3">
      <c r="A26" s="3">
        <v>2012</v>
      </c>
      <c r="B26" s="106">
        <f>tab_tipo_Combustivel!A26</f>
        <v>48</v>
      </c>
      <c r="C26" s="107">
        <f ca="1">OFFSET(tab_tipo_Combustivel!$A$1,MATCH(B26,tab_tipo_Combustivel!$A$2:$A$121,0),MATCH(A26,tab_tipo_Combustivel!$B$1:$AQ$1,0),1,1)</f>
        <v>1012.12</v>
      </c>
    </row>
    <row r="27" spans="1:3">
      <c r="A27" s="3">
        <v>2012</v>
      </c>
      <c r="B27" s="106">
        <f>tab_tipo_Combustivel!A27</f>
        <v>50</v>
      </c>
      <c r="C27" s="107">
        <f ca="1">OFFSET(tab_tipo_Combustivel!$A$1,MATCH(B27,tab_tipo_Combustivel!$A$2:$A$121,0),MATCH(A27,tab_tipo_Combustivel!$B$1:$AQ$1,0),1,1)</f>
        <v>669.87</v>
      </c>
    </row>
    <row r="28" spans="1:3">
      <c r="A28" s="3">
        <v>2012</v>
      </c>
      <c r="B28" s="106">
        <f>tab_tipo_Combustivel!A28</f>
        <v>54</v>
      </c>
      <c r="C28" s="107">
        <f ca="1">OFFSET(tab_tipo_Combustivel!$A$1,MATCH(B28,tab_tipo_Combustivel!$A$2:$A$121,0),MATCH(A28,tab_tipo_Combustivel!$B$1:$AQ$1,0),1,1)</f>
        <v>304.55</v>
      </c>
    </row>
    <row r="29" spans="1:3">
      <c r="A29" s="3">
        <v>2012</v>
      </c>
      <c r="B29" s="106">
        <f>tab_tipo_Combustivel!A29</f>
        <v>58</v>
      </c>
      <c r="C29" s="107">
        <f ca="1">OFFSET(tab_tipo_Combustivel!$A$1,MATCH(B29,tab_tipo_Combustivel!$A$2:$A$121,0),MATCH(A29,tab_tipo_Combustivel!$B$1:$AQ$1,0),1,1)</f>
        <v>300.05</v>
      </c>
    </row>
    <row r="30" spans="1:3">
      <c r="A30" s="3">
        <v>2012</v>
      </c>
      <c r="B30" s="106">
        <f>tab_tipo_Combustivel!A30</f>
        <v>62</v>
      </c>
      <c r="C30" s="107">
        <f ca="1">OFFSET(tab_tipo_Combustivel!$A$1,MATCH(B30,tab_tipo_Combustivel!$A$2:$A$121,0),MATCH(A30,tab_tipo_Combustivel!$B$1:$AQ$1,0),1,1)</f>
        <v>309.24</v>
      </c>
    </row>
    <row r="31" spans="1:3">
      <c r="A31" s="3">
        <v>2012</v>
      </c>
      <c r="B31" s="106">
        <f>tab_tipo_Combustivel!A31</f>
        <v>63</v>
      </c>
      <c r="C31" s="107">
        <f ca="1">OFFSET(tab_tipo_Combustivel!$A$1,MATCH(B31,tab_tipo_Combustivel!$A$2:$A$121,0),MATCH(A31,tab_tipo_Combustivel!$B$1:$AQ$1,0),1,1)</f>
        <v>365.77</v>
      </c>
    </row>
    <row r="32" spans="1:3">
      <c r="A32" s="3">
        <v>2012</v>
      </c>
      <c r="B32" s="106">
        <f>tab_tipo_Combustivel!A32</f>
        <v>64</v>
      </c>
      <c r="C32" s="107">
        <f ca="1">OFFSET(tab_tipo_Combustivel!$A$1,MATCH(B32,tab_tipo_Combustivel!$A$2:$A$121,0),MATCH(A32,tab_tipo_Combustivel!$B$1:$AQ$1,0),1,1)</f>
        <v>853.54</v>
      </c>
    </row>
    <row r="33" spans="1:3">
      <c r="A33" s="3">
        <v>2012</v>
      </c>
      <c r="B33" s="106">
        <f>tab_tipo_Combustivel!A33</f>
        <v>68</v>
      </c>
      <c r="C33" s="107">
        <f ca="1">OFFSET(tab_tipo_Combustivel!$A$1,MATCH(B33,tab_tipo_Combustivel!$A$2:$A$121,0),MATCH(A33,tab_tipo_Combustivel!$B$1:$AQ$1,0),1,1)</f>
        <v>195.63</v>
      </c>
    </row>
    <row r="34" spans="1:3">
      <c r="A34" s="3">
        <v>2012</v>
      </c>
      <c r="B34" s="106">
        <f>tab_tipo_Combustivel!A34</f>
        <v>74</v>
      </c>
      <c r="C34" s="107">
        <f ca="1">OFFSET(tab_tipo_Combustivel!$A$1,MATCH(B34,tab_tipo_Combustivel!$A$2:$A$121,0),MATCH(A34,tab_tipo_Combustivel!$B$1:$AQ$1,0),1,1)</f>
        <v>364.46</v>
      </c>
    </row>
    <row r="35" spans="1:3">
      <c r="A35" s="3">
        <v>2012</v>
      </c>
      <c r="B35" s="106">
        <f>tab_tipo_Combustivel!A35</f>
        <v>83</v>
      </c>
      <c r="C35" s="107">
        <f ca="1">OFFSET(tab_tipo_Combustivel!$A$1,MATCH(B35,tab_tipo_Combustivel!$A$2:$A$121,0),MATCH(A35,tab_tipo_Combustivel!$B$1:$AQ$1,0),1,1)</f>
        <v>448.1</v>
      </c>
    </row>
    <row r="36" spans="1:3">
      <c r="A36" s="3">
        <v>2012</v>
      </c>
      <c r="B36" s="106">
        <f>tab_tipo_Combustivel!A36</f>
        <v>86</v>
      </c>
      <c r="C36" s="107">
        <f ca="1">OFFSET(tab_tipo_Combustivel!$A$1,MATCH(B36,tab_tipo_Combustivel!$A$2:$A$121,0),MATCH(A36,tab_tipo_Combustivel!$B$1:$AQ$1,0),1,1)</f>
        <v>170.34</v>
      </c>
    </row>
    <row r="37" spans="1:3">
      <c r="A37" s="3">
        <v>2012</v>
      </c>
      <c r="B37" s="106">
        <f>tab_tipo_Combustivel!A37</f>
        <v>90</v>
      </c>
      <c r="C37" s="107">
        <f ca="1">OFFSET(tab_tipo_Combustivel!$A$1,MATCH(B37,tab_tipo_Combustivel!$A$2:$A$121,0),MATCH(A37,tab_tipo_Combustivel!$B$1:$AQ$1,0),1,1)</f>
        <v>533.1</v>
      </c>
    </row>
    <row r="38" spans="1:3">
      <c r="A38" s="3">
        <v>2012</v>
      </c>
      <c r="B38" s="106">
        <f>tab_tipo_Combustivel!A38</f>
        <v>93</v>
      </c>
      <c r="C38" s="107">
        <f ca="1">OFFSET(tab_tipo_Combustivel!$A$1,MATCH(B38,tab_tipo_Combustivel!$A$2:$A$121,0),MATCH(A38,tab_tipo_Combustivel!$B$1:$AQ$1,0),1,1)</f>
        <v>842.33</v>
      </c>
    </row>
    <row r="39" spans="1:3">
      <c r="A39" s="3">
        <v>2012</v>
      </c>
      <c r="B39" s="106">
        <f>tab_tipo_Combustivel!A39</f>
        <v>94</v>
      </c>
      <c r="C39" s="107">
        <f ca="1">OFFSET(tab_tipo_Combustivel!$A$1,MATCH(B39,tab_tipo_Combustivel!$A$2:$A$121,0),MATCH(A39,tab_tipo_Combustivel!$B$1:$AQ$1,0),1,1)</f>
        <v>842.33</v>
      </c>
    </row>
    <row r="40" spans="1:3">
      <c r="A40" s="3">
        <v>2012</v>
      </c>
      <c r="B40" s="106">
        <f>tab_tipo_Combustivel!A40</f>
        <v>96</v>
      </c>
      <c r="C40" s="107">
        <f ca="1">OFFSET(tab_tipo_Combustivel!$A$1,MATCH(B40,tab_tipo_Combustivel!$A$2:$A$121,0),MATCH(A40,tab_tipo_Combustivel!$B$1:$AQ$1,0),1,1)</f>
        <v>99.92</v>
      </c>
    </row>
    <row r="41" spans="1:3">
      <c r="A41" s="3">
        <v>2012</v>
      </c>
      <c r="B41" s="106">
        <f>tab_tipo_Combustivel!A41</f>
        <v>98</v>
      </c>
      <c r="C41" s="107">
        <f ca="1">OFFSET(tab_tipo_Combustivel!$A$1,MATCH(B41,tab_tipo_Combustivel!$A$2:$A$121,0),MATCH(A41,tab_tipo_Combustivel!$B$1:$AQ$1,0),1,1)</f>
        <v>489.8</v>
      </c>
    </row>
    <row r="42" spans="1:3">
      <c r="A42" s="3">
        <v>2012</v>
      </c>
      <c r="B42" s="106">
        <f>tab_tipo_Combustivel!A42</f>
        <v>107</v>
      </c>
      <c r="C42" s="107">
        <f ca="1">OFFSET(tab_tipo_Combustivel!$A$1,MATCH(B42,tab_tipo_Combustivel!$A$2:$A$121,0),MATCH(A42,tab_tipo_Combustivel!$B$1:$AQ$1,0),1,1)</f>
        <v>57.63</v>
      </c>
    </row>
    <row r="43" spans="1:3">
      <c r="A43" s="3">
        <v>2012</v>
      </c>
      <c r="B43" s="106">
        <f>tab_tipo_Combustivel!A43</f>
        <v>110</v>
      </c>
      <c r="C43" s="107">
        <f ca="1">OFFSET(tab_tipo_Combustivel!$A$1,MATCH(B43,tab_tipo_Combustivel!$A$2:$A$121,0),MATCH(A43,tab_tipo_Combustivel!$B$1:$AQ$1,0),1,1)</f>
        <v>568.29</v>
      </c>
    </row>
    <row r="44" spans="1:3">
      <c r="A44" s="3">
        <v>2012</v>
      </c>
      <c r="B44" s="106">
        <f>tab_tipo_Combustivel!A44</f>
        <v>116</v>
      </c>
      <c r="C44" s="107">
        <f ca="1">OFFSET(tab_tipo_Combustivel!$A$1,MATCH(B44,tab_tipo_Combustivel!$A$2:$A$121,0),MATCH(A44,tab_tipo_Combustivel!$B$1:$AQ$1,0),1,1)</f>
        <v>117.46</v>
      </c>
    </row>
    <row r="45" spans="1:3">
      <c r="A45" s="3">
        <v>2012</v>
      </c>
      <c r="B45" s="106">
        <f>tab_tipo_Combustivel!A45</f>
        <v>140</v>
      </c>
      <c r="C45" s="107">
        <f ca="1">OFFSET(tab_tipo_Combustivel!$A$1,MATCH(B45,tab_tipo_Combustivel!$A$2:$A$121,0),MATCH(A45,tab_tipo_Combustivel!$B$1:$AQ$1,0),1,1)</f>
        <v>88.11</v>
      </c>
    </row>
    <row r="46" spans="1:3">
      <c r="A46" s="3">
        <v>2012</v>
      </c>
      <c r="B46" s="106">
        <f>tab_tipo_Combustivel!A46</f>
        <v>141</v>
      </c>
      <c r="C46" s="107">
        <f ca="1">OFFSET(tab_tipo_Combustivel!$A$1,MATCH(B46,tab_tipo_Combustivel!$A$2:$A$121,0),MATCH(A46,tab_tipo_Combustivel!$B$1:$AQ$1,0),1,1)</f>
        <v>1280.52</v>
      </c>
    </row>
    <row r="47" spans="1:3">
      <c r="A47" s="3">
        <v>2012</v>
      </c>
      <c r="B47" s="106">
        <f>tab_tipo_Combustivel!A47</f>
        <v>147</v>
      </c>
      <c r="C47" s="107">
        <f ca="1">OFFSET(tab_tipo_Combustivel!$A$1,MATCH(B47,tab_tipo_Combustivel!$A$2:$A$121,0),MATCH(A47,tab_tipo_Combustivel!$B$1:$AQ$1,0),1,1)</f>
        <v>134.18</v>
      </c>
    </row>
    <row r="48" spans="1:3">
      <c r="A48" s="3">
        <v>2012</v>
      </c>
      <c r="B48" s="106">
        <f>tab_tipo_Combustivel!A48</f>
        <v>156</v>
      </c>
      <c r="C48" s="107">
        <f ca="1">OFFSET(tab_tipo_Combustivel!$A$1,MATCH(B48,tab_tipo_Combustivel!$A$2:$A$121,0),MATCH(A48,tab_tipo_Combustivel!$B$1:$AQ$1,0),1,1)</f>
        <v>77.12</v>
      </c>
    </row>
    <row r="49" spans="1:3">
      <c r="A49" s="3">
        <v>2012</v>
      </c>
      <c r="B49" s="106">
        <f>tab_tipo_Combustivel!A49</f>
        <v>163</v>
      </c>
      <c r="C49" s="107">
        <f ca="1">OFFSET(tab_tipo_Combustivel!$A$1,MATCH(B49,tab_tipo_Combustivel!$A$2:$A$121,0),MATCH(A49,tab_tipo_Combustivel!$B$1:$AQ$1,0),1,1)</f>
        <v>156.69999999999999</v>
      </c>
    </row>
    <row r="50" spans="1:3">
      <c r="A50" s="3">
        <v>2012</v>
      </c>
      <c r="B50" s="106">
        <f>tab_tipo_Combustivel!A50</f>
        <v>167</v>
      </c>
      <c r="C50" s="107">
        <f ca="1">OFFSET(tab_tipo_Combustivel!$A$1,MATCH(B50,tab_tipo_Combustivel!$A$2:$A$121,0),MATCH(A50,tab_tipo_Combustivel!$B$1:$AQ$1,0),1,1)</f>
        <v>144.66999999999999</v>
      </c>
    </row>
    <row r="51" spans="1:3">
      <c r="A51" s="3">
        <v>2012</v>
      </c>
      <c r="B51" s="106">
        <f>tab_tipo_Combustivel!A51</f>
        <v>171</v>
      </c>
      <c r="C51" s="107">
        <f ca="1">OFFSET(tab_tipo_Combustivel!$A$1,MATCH(B51,tab_tipo_Combustivel!$A$2:$A$121,0),MATCH(A51,tab_tipo_Combustivel!$B$1:$AQ$1,0),1,1)</f>
        <v>88</v>
      </c>
    </row>
    <row r="52" spans="1:3">
      <c r="A52" s="3">
        <v>2012</v>
      </c>
      <c r="B52" s="106">
        <f>tab_tipo_Combustivel!A52</f>
        <v>172</v>
      </c>
      <c r="C52" s="107">
        <f ca="1">OFFSET(tab_tipo_Combustivel!$A$1,MATCH(B52,tab_tipo_Combustivel!$A$2:$A$121,0),MATCH(A52,tab_tipo_Combustivel!$B$1:$AQ$1,0),1,1)</f>
        <v>99.97</v>
      </c>
    </row>
    <row r="53" spans="1:3">
      <c r="A53" s="3">
        <v>2012</v>
      </c>
      <c r="B53" s="106">
        <f>tab_tipo_Combustivel!A53</f>
        <v>173</v>
      </c>
      <c r="C53" s="107">
        <f ca="1">OFFSET(tab_tipo_Combustivel!$A$1,MATCH(B53,tab_tipo_Combustivel!$A$2:$A$121,0),MATCH(A53,tab_tipo_Combustivel!$B$1:$AQ$1,0),1,1)</f>
        <v>192.03</v>
      </c>
    </row>
    <row r="54" spans="1:3">
      <c r="A54" s="3">
        <v>2012</v>
      </c>
      <c r="B54" s="106">
        <f>tab_tipo_Combustivel!A54</f>
        <v>174</v>
      </c>
      <c r="C54" s="107">
        <f ca="1">OFFSET(tab_tipo_Combustivel!$A$1,MATCH(B54,tab_tipo_Combustivel!$A$2:$A$121,0),MATCH(A54,tab_tipo_Combustivel!$B$1:$AQ$1,0),1,1)</f>
        <v>331.22</v>
      </c>
    </row>
    <row r="55" spans="1:3">
      <c r="A55" s="3">
        <v>2012</v>
      </c>
      <c r="B55" s="106">
        <f>tab_tipo_Combustivel!A55</f>
        <v>176</v>
      </c>
      <c r="C55" s="107">
        <f ca="1">OFFSET(tab_tipo_Combustivel!$A$1,MATCH(B55,tab_tipo_Combustivel!$A$2:$A$121,0),MATCH(A55,tab_tipo_Combustivel!$B$1:$AQ$1,0),1,1)</f>
        <v>149.47999999999999</v>
      </c>
    </row>
    <row r="56" spans="1:3">
      <c r="A56" s="3">
        <v>2012</v>
      </c>
      <c r="B56" s="106">
        <f>tab_tipo_Combustivel!A56</f>
        <v>183</v>
      </c>
      <c r="C56" s="107">
        <f ca="1">OFFSET(tab_tipo_Combustivel!$A$1,MATCH(B56,tab_tipo_Combustivel!$A$2:$A$121,0),MATCH(A56,tab_tipo_Combustivel!$B$1:$AQ$1,0),1,1)</f>
        <v>171.61</v>
      </c>
    </row>
    <row r="57" spans="1:3">
      <c r="A57" s="3">
        <v>2012</v>
      </c>
      <c r="B57" s="106">
        <f>tab_tipo_Combustivel!A57</f>
        <v>194</v>
      </c>
      <c r="C57" s="107">
        <f ca="1">OFFSET(tab_tipo_Combustivel!$A$1,MATCH(B57,tab_tipo_Combustivel!$A$2:$A$121,0),MATCH(A57,tab_tipo_Combustivel!$B$1:$AQ$1,0),1,1)</f>
        <v>1098.58</v>
      </c>
    </row>
    <row r="58" spans="1:3">
      <c r="A58" s="3">
        <v>2012</v>
      </c>
      <c r="B58" s="106">
        <f>tab_tipo_Combustivel!A58</f>
        <v>203</v>
      </c>
      <c r="C58" s="107">
        <f ca="1">OFFSET(tab_tipo_Combustivel!$A$1,MATCH(B58,tab_tipo_Combustivel!$A$2:$A$121,0),MATCH(A58,tab_tipo_Combustivel!$B$1:$AQ$1,0),1,1)</f>
        <v>0</v>
      </c>
    </row>
    <row r="59" spans="1:3">
      <c r="A59" s="3">
        <v>2012</v>
      </c>
      <c r="B59" s="106">
        <f>tab_tipo_Combustivel!A59</f>
        <v>204</v>
      </c>
      <c r="C59" s="107">
        <f ca="1">OFFSET(tab_tipo_Combustivel!$A$1,MATCH(B59,tab_tipo_Combustivel!$A$2:$A$121,0),MATCH(A59,tab_tipo_Combustivel!$B$1:$AQ$1,0),1,1)</f>
        <v>0</v>
      </c>
    </row>
    <row r="60" spans="1:3">
      <c r="A60" s="3">
        <v>2012</v>
      </c>
      <c r="B60" s="106">
        <f>tab_tipo_Combustivel!A60</f>
        <v>205</v>
      </c>
      <c r="C60" s="107">
        <f ca="1">OFFSET(tab_tipo_Combustivel!$A$1,MATCH(B60,tab_tipo_Combustivel!$A$2:$A$121,0),MATCH(A60,tab_tipo_Combustivel!$B$1:$AQ$1,0),1,1)</f>
        <v>0</v>
      </c>
    </row>
    <row r="61" spans="1:3">
      <c r="A61" s="3">
        <v>2012</v>
      </c>
      <c r="B61" s="106">
        <f>tab_tipo_Combustivel!A61</f>
        <v>207</v>
      </c>
      <c r="C61" s="107">
        <f ca="1">OFFSET(tab_tipo_Combustivel!$A$1,MATCH(B61,tab_tipo_Combustivel!$A$2:$A$121,0),MATCH(A61,tab_tipo_Combustivel!$B$1:$AQ$1,0),1,1)</f>
        <v>0</v>
      </c>
    </row>
    <row r="62" spans="1:3">
      <c r="A62" s="3">
        <v>2012</v>
      </c>
      <c r="B62" s="106">
        <f>tab_tipo_Combustivel!A62</f>
        <v>208</v>
      </c>
      <c r="C62" s="107">
        <f ca="1">OFFSET(tab_tipo_Combustivel!$A$1,MATCH(B62,tab_tipo_Combustivel!$A$2:$A$121,0),MATCH(A62,tab_tipo_Combustivel!$B$1:$AQ$1,0),1,1)</f>
        <v>783.64</v>
      </c>
    </row>
    <row r="63" spans="1:3">
      <c r="A63" s="3">
        <v>2012</v>
      </c>
      <c r="B63" s="106">
        <f>tab_tipo_Combustivel!A63</f>
        <v>209</v>
      </c>
      <c r="C63" s="107">
        <f ca="1">OFFSET(tab_tipo_Combustivel!$A$1,MATCH(B63,tab_tipo_Combustivel!$A$2:$A$121,0),MATCH(A63,tab_tipo_Combustivel!$B$1:$AQ$1,0),1,1)</f>
        <v>0</v>
      </c>
    </row>
    <row r="64" spans="1:3">
      <c r="A64" s="3">
        <v>2012</v>
      </c>
      <c r="B64" s="106">
        <f>tab_tipo_Combustivel!A64</f>
        <v>211</v>
      </c>
      <c r="C64" s="107">
        <f ca="1">OFFSET(tab_tipo_Combustivel!$A$1,MATCH(B64,tab_tipo_Combustivel!$A$2:$A$121,0),MATCH(A64,tab_tipo_Combustivel!$B$1:$AQ$1,0),1,1)</f>
        <v>150.79</v>
      </c>
    </row>
    <row r="65" spans="1:3">
      <c r="A65" s="3">
        <v>2012</v>
      </c>
      <c r="B65" s="106">
        <f>tab_tipo_Combustivel!A65</f>
        <v>212</v>
      </c>
      <c r="C65" s="107">
        <f ca="1">OFFSET(tab_tipo_Combustivel!$A$1,MATCH(B65,tab_tipo_Combustivel!$A$2:$A$121,0),MATCH(A65,tab_tipo_Combustivel!$B$1:$AQ$1,0),1,1)</f>
        <v>84.58</v>
      </c>
    </row>
    <row r="66" spans="1:3">
      <c r="A66" s="3">
        <v>2012</v>
      </c>
      <c r="B66" s="106">
        <f>tab_tipo_Combustivel!A66</f>
        <v>224</v>
      </c>
      <c r="C66" s="107">
        <f ca="1">OFFSET(tab_tipo_Combustivel!$A$1,MATCH(B66,tab_tipo_Combustivel!$A$2:$A$121,0),MATCH(A66,tab_tipo_Combustivel!$B$1:$AQ$1,0),1,1)</f>
        <v>31.08</v>
      </c>
    </row>
    <row r="67" spans="1:3">
      <c r="A67" s="3">
        <v>2012</v>
      </c>
      <c r="B67" s="106">
        <f>tab_tipo_Combustivel!A67</f>
        <v>225</v>
      </c>
      <c r="C67" s="107">
        <f ca="1">OFFSET(tab_tipo_Combustivel!$A$1,MATCH(B67,tab_tipo_Combustivel!$A$2:$A$121,0),MATCH(A67,tab_tipo_Combustivel!$B$1:$AQ$1,0),1,1)</f>
        <v>1329.7</v>
      </c>
    </row>
    <row r="68" spans="1:3">
      <c r="A68" s="3">
        <v>2012</v>
      </c>
      <c r="B68" s="106">
        <f>tab_tipo_Combustivel!A68</f>
        <v>226</v>
      </c>
      <c r="C68" s="107">
        <f ca="1">OFFSET(tab_tipo_Combustivel!$A$1,MATCH(B68,tab_tipo_Combustivel!$A$2:$A$121,0),MATCH(A68,tab_tipo_Combustivel!$B$1:$AQ$1,0),1,1)</f>
        <v>1061.1300000000001</v>
      </c>
    </row>
    <row r="69" spans="1:3">
      <c r="A69" s="3">
        <v>2012</v>
      </c>
      <c r="B69" s="106">
        <f>tab_tipo_Combustivel!A69</f>
        <v>227</v>
      </c>
      <c r="C69" s="107">
        <f ca="1">OFFSET(tab_tipo_Combustivel!$A$1,MATCH(B69,tab_tipo_Combustivel!$A$2:$A$121,0),MATCH(A69,tab_tipo_Combustivel!$B$1:$AQ$1,0),1,1)</f>
        <v>447.52</v>
      </c>
    </row>
    <row r="70" spans="1:3">
      <c r="A70" s="3">
        <v>2012</v>
      </c>
      <c r="B70" s="106">
        <f>tab_tipo_Combustivel!A70</f>
        <v>228</v>
      </c>
      <c r="C70" s="107">
        <f ca="1">OFFSET(tab_tipo_Combustivel!$A$1,MATCH(B70,tab_tipo_Combustivel!$A$2:$A$121,0),MATCH(A70,tab_tipo_Combustivel!$B$1:$AQ$1,0),1,1)</f>
        <v>1061.1400000000001</v>
      </c>
    </row>
    <row r="71" spans="1:3">
      <c r="A71" s="3">
        <v>2012</v>
      </c>
      <c r="B71" s="106">
        <f>tab_tipo_Combustivel!A71</f>
        <v>229</v>
      </c>
      <c r="C71" s="107">
        <f ca="1">OFFSET(tab_tipo_Combustivel!$A$1,MATCH(B71,tab_tipo_Combustivel!$A$2:$A$121,0),MATCH(A71,tab_tipo_Combustivel!$B$1:$AQ$1,0),1,1)</f>
        <v>942.05</v>
      </c>
    </row>
    <row r="72" spans="1:3">
      <c r="A72" s="3">
        <v>2012</v>
      </c>
      <c r="B72" s="106">
        <f>tab_tipo_Combustivel!A72</f>
        <v>230</v>
      </c>
      <c r="C72" s="107">
        <f ca="1">OFFSET(tab_tipo_Combustivel!$A$1,MATCH(B72,tab_tipo_Combustivel!$A$2:$A$121,0),MATCH(A72,tab_tipo_Combustivel!$B$1:$AQ$1,0),1,1)</f>
        <v>495.06</v>
      </c>
    </row>
    <row r="73" spans="1:3">
      <c r="A73" s="3">
        <v>2012</v>
      </c>
      <c r="B73" s="106">
        <f>tab_tipo_Combustivel!A73</f>
        <v>231</v>
      </c>
      <c r="C73" s="107">
        <f ca="1">OFFSET(tab_tipo_Combustivel!$A$1,MATCH(B73,tab_tipo_Combustivel!$A$2:$A$121,0),MATCH(A73,tab_tipo_Combustivel!$B$1:$AQ$1,0),1,1)</f>
        <v>489.29</v>
      </c>
    </row>
    <row r="74" spans="1:3">
      <c r="A74" s="3">
        <v>2012</v>
      </c>
      <c r="B74" s="106">
        <f>tab_tipo_Combustivel!A74</f>
        <v>232</v>
      </c>
      <c r="C74" s="107">
        <f ca="1">OFFSET(tab_tipo_Combustivel!$A$1,MATCH(B74,tab_tipo_Combustivel!$A$2:$A$121,0),MATCH(A74,tab_tipo_Combustivel!$B$1:$AQ$1,0),1,1)</f>
        <v>842.33</v>
      </c>
    </row>
    <row r="75" spans="1:3">
      <c r="A75" s="3">
        <v>2012</v>
      </c>
      <c r="B75" s="106">
        <f>tab_tipo_Combustivel!A75</f>
        <v>233</v>
      </c>
      <c r="C75" s="107">
        <f ca="1">OFFSET(tab_tipo_Combustivel!$A$1,MATCH(B75,tab_tipo_Combustivel!$A$2:$A$121,0),MATCH(A75,tab_tipo_Combustivel!$B$1:$AQ$1,0),1,1)</f>
        <v>984.29</v>
      </c>
    </row>
    <row r="76" spans="1:3">
      <c r="A76" s="3">
        <v>2012</v>
      </c>
      <c r="B76" s="106">
        <f>tab_tipo_Combustivel!A76</f>
        <v>234</v>
      </c>
      <c r="C76" s="107">
        <f ca="1">OFFSET(tab_tipo_Combustivel!$A$1,MATCH(B76,tab_tipo_Combustivel!$A$2:$A$121,0),MATCH(A76,tab_tipo_Combustivel!$B$1:$AQ$1,0),1,1)</f>
        <v>290.26</v>
      </c>
    </row>
    <row r="77" spans="1:3">
      <c r="A77" s="3">
        <v>2012</v>
      </c>
      <c r="B77" s="106">
        <f>tab_tipo_Combustivel!A77</f>
        <v>235</v>
      </c>
      <c r="C77" s="107">
        <f ca="1">OFFSET(tab_tipo_Combustivel!$A$1,MATCH(B77,tab_tipo_Combustivel!$A$2:$A$121,0),MATCH(A77,tab_tipo_Combustivel!$B$1:$AQ$1,0),1,1)</f>
        <v>1350.87</v>
      </c>
    </row>
    <row r="78" spans="1:3">
      <c r="A78" s="3">
        <v>2012</v>
      </c>
      <c r="B78" s="106">
        <f>tab_tipo_Combustivel!A78</f>
        <v>236</v>
      </c>
      <c r="C78" s="107">
        <f ca="1">OFFSET(tab_tipo_Combustivel!$A$1,MATCH(B78,tab_tipo_Combustivel!$A$2:$A$121,0),MATCH(A78,tab_tipo_Combustivel!$B$1:$AQ$1,0),1,1)</f>
        <v>842.33</v>
      </c>
    </row>
    <row r="79" spans="1:3">
      <c r="A79" s="3">
        <v>2012</v>
      </c>
      <c r="B79" s="106">
        <f>tab_tipo_Combustivel!A79</f>
        <v>237</v>
      </c>
      <c r="C79" s="107">
        <f ca="1">OFFSET(tab_tipo_Combustivel!$A$1,MATCH(B79,tab_tipo_Combustivel!$A$2:$A$121,0),MATCH(A79,tab_tipo_Combustivel!$B$1:$AQ$1,0),1,1)</f>
        <v>760.85</v>
      </c>
    </row>
    <row r="80" spans="1:3">
      <c r="A80" s="3">
        <v>2012</v>
      </c>
      <c r="B80" s="106">
        <f>tab_tipo_Combustivel!A80</f>
        <v>238</v>
      </c>
      <c r="C80" s="107">
        <f ca="1">OFFSET(tab_tipo_Combustivel!$A$1,MATCH(B80,tab_tipo_Combustivel!$A$2:$A$121,0),MATCH(A80,tab_tipo_Combustivel!$B$1:$AQ$1,0),1,1)</f>
        <v>963.75</v>
      </c>
    </row>
    <row r="81" spans="1:3">
      <c r="A81" s="3">
        <v>2012</v>
      </c>
      <c r="B81" s="106">
        <f>tab_tipo_Combustivel!A81</f>
        <v>239</v>
      </c>
      <c r="C81" s="107">
        <f ca="1">OFFSET(tab_tipo_Combustivel!$A$1,MATCH(B81,tab_tipo_Combustivel!$A$2:$A$121,0),MATCH(A81,tab_tipo_Combustivel!$B$1:$AQ$1,0),1,1)</f>
        <v>963.75</v>
      </c>
    </row>
    <row r="82" spans="1:3">
      <c r="A82" s="3">
        <v>2012</v>
      </c>
      <c r="B82" s="106">
        <f>tab_tipo_Combustivel!A82</f>
        <v>240</v>
      </c>
      <c r="C82" s="107">
        <f ca="1">OFFSET(tab_tipo_Combustivel!$A$1,MATCH(B82,tab_tipo_Combustivel!$A$2:$A$121,0),MATCH(A82,tab_tipo_Combustivel!$B$1:$AQ$1,0),1,1)</f>
        <v>1115.96</v>
      </c>
    </row>
    <row r="83" spans="1:3">
      <c r="A83" s="3">
        <v>2012</v>
      </c>
      <c r="B83" s="106">
        <f>tab_tipo_Combustivel!A83</f>
        <v>241</v>
      </c>
      <c r="C83" s="107">
        <f ca="1">OFFSET(tab_tipo_Combustivel!$A$1,MATCH(B83,tab_tipo_Combustivel!$A$2:$A$121,0),MATCH(A83,tab_tipo_Combustivel!$B$1:$AQ$1,0),1,1)</f>
        <v>495.75</v>
      </c>
    </row>
    <row r="84" spans="1:3">
      <c r="A84" s="3">
        <v>2012</v>
      </c>
      <c r="B84" s="106">
        <f>tab_tipo_Combustivel!A84</f>
        <v>242</v>
      </c>
      <c r="C84" s="107">
        <f ca="1">OFFSET(tab_tipo_Combustivel!$A$1,MATCH(B84,tab_tipo_Combustivel!$A$2:$A$121,0),MATCH(A84,tab_tipo_Combustivel!$B$1:$AQ$1,0),1,1)</f>
        <v>1176.45</v>
      </c>
    </row>
    <row r="85" spans="1:3">
      <c r="A85" s="3">
        <v>2012</v>
      </c>
      <c r="B85" s="106">
        <f>tab_tipo_Combustivel!A85</f>
        <v>243</v>
      </c>
      <c r="C85" s="107">
        <f ca="1">OFFSET(tab_tipo_Combustivel!$A$1,MATCH(B85,tab_tipo_Combustivel!$A$2:$A$121,0),MATCH(A85,tab_tipo_Combustivel!$B$1:$AQ$1,0),1,1)</f>
        <v>495.08</v>
      </c>
    </row>
    <row r="86" spans="1:3">
      <c r="A86" s="3">
        <v>2012</v>
      </c>
      <c r="B86" s="106">
        <f>tab_tipo_Combustivel!A86</f>
        <v>244</v>
      </c>
      <c r="C86" s="107">
        <f ca="1">OFFSET(tab_tipo_Combustivel!$A$1,MATCH(B86,tab_tipo_Combustivel!$A$2:$A$121,0),MATCH(A86,tab_tipo_Combustivel!$B$1:$AQ$1,0),1,1)</f>
        <v>495.06</v>
      </c>
    </row>
    <row r="87" spans="1:3">
      <c r="A87" s="3">
        <v>2012</v>
      </c>
      <c r="B87" s="106">
        <f>tab_tipo_Combustivel!A87</f>
        <v>245</v>
      </c>
      <c r="C87" s="107">
        <f ca="1">OFFSET(tab_tipo_Combustivel!$A$1,MATCH(B87,tab_tipo_Combustivel!$A$2:$A$121,0),MATCH(A87,tab_tipo_Combustivel!$B$1:$AQ$1,0),1,1)</f>
        <v>562.65</v>
      </c>
    </row>
    <row r="88" spans="1:3">
      <c r="A88" s="3">
        <v>2012</v>
      </c>
      <c r="B88" s="106">
        <f>tab_tipo_Combustivel!A88</f>
        <v>246</v>
      </c>
      <c r="C88" s="107">
        <f ca="1">OFFSET(tab_tipo_Combustivel!$A$1,MATCH(B88,tab_tipo_Combustivel!$A$2:$A$121,0),MATCH(A88,tab_tipo_Combustivel!$B$1:$AQ$1,0),1,1)</f>
        <v>1124.53</v>
      </c>
    </row>
    <row r="89" spans="1:3">
      <c r="A89" s="3">
        <v>2012</v>
      </c>
      <c r="B89" s="106">
        <f>tab_tipo_Combustivel!A89</f>
        <v>247</v>
      </c>
      <c r="C89" s="107">
        <f ca="1">OFFSET(tab_tipo_Combustivel!$A$1,MATCH(B89,tab_tipo_Combustivel!$A$2:$A$121,0),MATCH(A89,tab_tipo_Combustivel!$B$1:$AQ$1,0),1,1)</f>
        <v>609.51</v>
      </c>
    </row>
    <row r="90" spans="1:3">
      <c r="A90" s="3">
        <v>2012</v>
      </c>
      <c r="B90" s="106">
        <f>tab_tipo_Combustivel!A90</f>
        <v>248</v>
      </c>
      <c r="C90" s="107">
        <f ca="1">OFFSET(tab_tipo_Combustivel!$A$1,MATCH(B90,tab_tipo_Combustivel!$A$2:$A$121,0),MATCH(A90,tab_tipo_Combustivel!$B$1:$AQ$1,0),1,1)</f>
        <v>495.06</v>
      </c>
    </row>
    <row r="91" spans="1:3">
      <c r="A91" s="3">
        <v>2012</v>
      </c>
      <c r="B91" s="106">
        <f>tab_tipo_Combustivel!A91</f>
        <v>249</v>
      </c>
      <c r="C91" s="107">
        <f ca="1">OFFSET(tab_tipo_Combustivel!$A$1,MATCH(B91,tab_tipo_Combustivel!$A$2:$A$121,0),MATCH(A91,tab_tipo_Combustivel!$B$1:$AQ$1,0),1,1)</f>
        <v>842.33</v>
      </c>
    </row>
    <row r="92" spans="1:3">
      <c r="A92" s="3">
        <v>2012</v>
      </c>
      <c r="B92" s="106">
        <f>tab_tipo_Combustivel!A92</f>
        <v>250</v>
      </c>
      <c r="C92" s="107">
        <f ca="1">OFFSET(tab_tipo_Combustivel!$A$1,MATCH(B92,tab_tipo_Combustivel!$A$2:$A$121,0),MATCH(A92,tab_tipo_Combustivel!$B$1:$AQ$1,0),1,1)</f>
        <v>1176.45</v>
      </c>
    </row>
    <row r="93" spans="1:3">
      <c r="A93" s="3">
        <v>2012</v>
      </c>
      <c r="B93" s="106">
        <f>tab_tipo_Combustivel!A93</f>
        <v>251</v>
      </c>
      <c r="C93" s="107">
        <f ca="1">OFFSET(tab_tipo_Combustivel!$A$1,MATCH(B93,tab_tipo_Combustivel!$A$2:$A$121,0),MATCH(A93,tab_tipo_Combustivel!$B$1:$AQ$1,0),1,1)</f>
        <v>842.33</v>
      </c>
    </row>
    <row r="94" spans="1:3">
      <c r="A94" s="3">
        <v>2012</v>
      </c>
      <c r="B94" s="106">
        <f>tab_tipo_Combustivel!A94</f>
        <v>252</v>
      </c>
      <c r="C94" s="107">
        <f ca="1">OFFSET(tab_tipo_Combustivel!$A$1,MATCH(B94,tab_tipo_Combustivel!$A$2:$A$121,0),MATCH(A94,tab_tipo_Combustivel!$B$1:$AQ$1,0),1,1)</f>
        <v>842.33</v>
      </c>
    </row>
    <row r="95" spans="1:3">
      <c r="A95" s="3">
        <v>2012</v>
      </c>
      <c r="B95" s="106">
        <f>tab_tipo_Combustivel!A95</f>
        <v>253</v>
      </c>
      <c r="C95" s="107">
        <f ca="1">OFFSET(tab_tipo_Combustivel!$A$1,MATCH(B95,tab_tipo_Combustivel!$A$2:$A$121,0),MATCH(A95,tab_tipo_Combustivel!$B$1:$AQ$1,0),1,1)</f>
        <v>279.45</v>
      </c>
    </row>
    <row r="96" spans="1:3">
      <c r="A96" s="3">
        <v>2012</v>
      </c>
      <c r="B96" s="106">
        <f>tab_tipo_Combustivel!A96</f>
        <v>254</v>
      </c>
      <c r="C96" s="107">
        <f ca="1">OFFSET(tab_tipo_Combustivel!$A$1,MATCH(B96,tab_tipo_Combustivel!$A$2:$A$121,0),MATCH(A96,tab_tipo_Combustivel!$B$1:$AQ$1,0),1,1)</f>
        <v>1153.98</v>
      </c>
    </row>
    <row r="97" spans="1:3">
      <c r="A97" s="3">
        <v>2012</v>
      </c>
      <c r="B97" s="106">
        <f>tab_tipo_Combustivel!A97</f>
        <v>255</v>
      </c>
      <c r="C97" s="107">
        <f ca="1">OFFSET(tab_tipo_Combustivel!$A$1,MATCH(B97,tab_tipo_Combustivel!$A$2:$A$121,0),MATCH(A97,tab_tipo_Combustivel!$B$1:$AQ$1,0),1,1)</f>
        <v>828.98</v>
      </c>
    </row>
    <row r="98" spans="1:3">
      <c r="A98" s="3">
        <v>2012</v>
      </c>
      <c r="B98" s="106">
        <f>tab_tipo_Combustivel!A98</f>
        <v>256</v>
      </c>
      <c r="C98" s="107">
        <f ca="1">OFFSET(tab_tipo_Combustivel!$A$1,MATCH(B98,tab_tipo_Combustivel!$A$2:$A$121,0),MATCH(A98,tab_tipo_Combustivel!$B$1:$AQ$1,0),1,1)</f>
        <v>562.65</v>
      </c>
    </row>
    <row r="99" spans="1:3">
      <c r="A99" s="3">
        <v>2012</v>
      </c>
      <c r="B99" s="106">
        <f>tab_tipo_Combustivel!A99</f>
        <v>257</v>
      </c>
      <c r="C99" s="107">
        <f ca="1">OFFSET(tab_tipo_Combustivel!$A$1,MATCH(B99,tab_tipo_Combustivel!$A$2:$A$121,0),MATCH(A99,tab_tipo_Combustivel!$B$1:$AQ$1,0),1,1)</f>
        <v>907.52</v>
      </c>
    </row>
    <row r="100" spans="1:3">
      <c r="A100" s="3">
        <v>2012</v>
      </c>
      <c r="B100" s="106">
        <f>tab_tipo_Combustivel!A100</f>
        <v>258</v>
      </c>
      <c r="C100" s="107">
        <f ca="1">OFFSET(tab_tipo_Combustivel!$A$1,MATCH(B100,tab_tipo_Combustivel!$A$2:$A$121,0),MATCH(A100,tab_tipo_Combustivel!$B$1:$AQ$1,0),1,1)</f>
        <v>1016.04</v>
      </c>
    </row>
    <row r="101" spans="1:3">
      <c r="A101" s="3">
        <v>2012</v>
      </c>
      <c r="B101" s="106">
        <f>tab_tipo_Combustivel!A101</f>
        <v>259</v>
      </c>
      <c r="C101" s="107">
        <f ca="1">OFFSET(tab_tipo_Combustivel!$A$1,MATCH(B101,tab_tipo_Combustivel!$A$2:$A$121,0),MATCH(A101,tab_tipo_Combustivel!$B$1:$AQ$1,0),1,1)</f>
        <v>977.53</v>
      </c>
    </row>
    <row r="102" spans="1:3">
      <c r="A102" s="3">
        <v>2012</v>
      </c>
      <c r="B102" s="106">
        <f>tab_tipo_Combustivel!A102</f>
        <v>260</v>
      </c>
      <c r="C102" s="107">
        <f ca="1">OFFSET(tab_tipo_Combustivel!$A$1,MATCH(B102,tab_tipo_Combustivel!$A$2:$A$121,0),MATCH(A102,tab_tipo_Combustivel!$B$1:$AQ$1,0),1,1)</f>
        <v>827.17</v>
      </c>
    </row>
    <row r="103" spans="1:3">
      <c r="A103" s="3">
        <v>2012</v>
      </c>
      <c r="B103" s="106">
        <f>tab_tipo_Combustivel!A103</f>
        <v>261</v>
      </c>
      <c r="C103" s="107">
        <f ca="1">OFFSET(tab_tipo_Combustivel!$A$1,MATCH(B103,tab_tipo_Combustivel!$A$2:$A$121,0),MATCH(A103,tab_tipo_Combustivel!$B$1:$AQ$1,0),1,1)</f>
        <v>829.7</v>
      </c>
    </row>
    <row r="104" spans="1:3">
      <c r="A104" s="3">
        <v>2012</v>
      </c>
      <c r="B104" s="106">
        <f>tab_tipo_Combustivel!A104</f>
        <v>262</v>
      </c>
      <c r="C104" s="107">
        <f ca="1">OFFSET(tab_tipo_Combustivel!$A$1,MATCH(B104,tab_tipo_Combustivel!$A$2:$A$121,0),MATCH(A104,tab_tipo_Combustivel!$B$1:$AQ$1,0),1,1)</f>
        <v>495.75</v>
      </c>
    </row>
    <row r="105" spans="1:3">
      <c r="A105" s="3">
        <v>2012</v>
      </c>
      <c r="B105" s="106">
        <f>tab_tipo_Combustivel!A105</f>
        <v>263</v>
      </c>
      <c r="C105" s="107">
        <f ca="1">OFFSET(tab_tipo_Combustivel!$A$1,MATCH(B105,tab_tipo_Combustivel!$A$2:$A$121,0),MATCH(A105,tab_tipo_Combustivel!$B$1:$AQ$1,0),1,1)</f>
        <v>474.77</v>
      </c>
    </row>
    <row r="106" spans="1:3">
      <c r="A106" s="3">
        <v>2012</v>
      </c>
      <c r="B106" s="106">
        <f>tab_tipo_Combustivel!A106</f>
        <v>264</v>
      </c>
      <c r="C106" s="107">
        <f ca="1">OFFSET(tab_tipo_Combustivel!$A$1,MATCH(B106,tab_tipo_Combustivel!$A$2:$A$121,0),MATCH(A106,tab_tipo_Combustivel!$B$1:$AQ$1,0),1,1)</f>
        <v>842.33</v>
      </c>
    </row>
    <row r="107" spans="1:3">
      <c r="A107" s="3">
        <v>2012</v>
      </c>
      <c r="B107" s="106">
        <f>tab_tipo_Combustivel!A107</f>
        <v>265</v>
      </c>
      <c r="C107" s="107">
        <f ca="1">OFFSET(tab_tipo_Combustivel!$A$1,MATCH(B107,tab_tipo_Combustivel!$A$2:$A$121,0),MATCH(A107,tab_tipo_Combustivel!$B$1:$AQ$1,0),1,1)</f>
        <v>415.82</v>
      </c>
    </row>
    <row r="108" spans="1:3">
      <c r="A108" s="3">
        <v>2012</v>
      </c>
      <c r="B108" s="106">
        <f>tab_tipo_Combustivel!A108</f>
        <v>266</v>
      </c>
      <c r="C108" s="107">
        <f ca="1">OFFSET(tab_tipo_Combustivel!$A$1,MATCH(B108,tab_tipo_Combustivel!$A$2:$A$121,0),MATCH(A108,tab_tipo_Combustivel!$B$1:$AQ$1,0),1,1)</f>
        <v>827.17</v>
      </c>
    </row>
    <row r="109" spans="1:3">
      <c r="A109" s="3">
        <v>2012</v>
      </c>
      <c r="B109" s="106">
        <f>tab_tipo_Combustivel!A109</f>
        <v>301</v>
      </c>
      <c r="C109" s="107">
        <f ca="1">OFFSET(tab_tipo_Combustivel!$A$1,MATCH(B109,tab_tipo_Combustivel!$A$2:$A$121,0),MATCH(A109,tab_tipo_Combustivel!$B$1:$AQ$1,0),1,1)</f>
        <v>99.08</v>
      </c>
    </row>
    <row r="110" spans="1:3">
      <c r="A110" s="3">
        <v>2012</v>
      </c>
      <c r="B110" s="106">
        <f>tab_tipo_Combustivel!A110</f>
        <v>302</v>
      </c>
      <c r="C110" s="107">
        <f ca="1">OFFSET(tab_tipo_Combustivel!$A$1,MATCH(B110,tab_tipo_Combustivel!$A$2:$A$121,0),MATCH(A110,tab_tipo_Combustivel!$B$1:$AQ$1,0),1,1)</f>
        <v>103.73</v>
      </c>
    </row>
    <row r="111" spans="1:3">
      <c r="A111" s="3">
        <v>2012</v>
      </c>
      <c r="B111" s="106">
        <f>tab_tipo_Combustivel!A111</f>
        <v>303</v>
      </c>
      <c r="C111" s="107">
        <f ca="1">OFFSET(tab_tipo_Combustivel!$A$1,MATCH(B111,tab_tipo_Combustivel!$A$2:$A$121,0),MATCH(A111,tab_tipo_Combustivel!$B$1:$AQ$1,0),1,1)</f>
        <v>103.73</v>
      </c>
    </row>
    <row r="112" spans="1:3">
      <c r="A112" s="3">
        <v>2012</v>
      </c>
      <c r="B112" s="106">
        <f>tab_tipo_Combustivel!A112</f>
        <v>304</v>
      </c>
      <c r="C112" s="107">
        <f ca="1">OFFSET(tab_tipo_Combustivel!$A$1,MATCH(B112,tab_tipo_Combustivel!$A$2:$A$121,0),MATCH(A112,tab_tipo_Combustivel!$B$1:$AQ$1,0),1,1)</f>
        <v>139.41999999999999</v>
      </c>
    </row>
    <row r="113" spans="1:3">
      <c r="A113" s="3">
        <v>2012</v>
      </c>
      <c r="B113" s="106">
        <f>tab_tipo_Combustivel!A113</f>
        <v>305</v>
      </c>
      <c r="C113" s="107">
        <f ca="1">OFFSET(tab_tipo_Combustivel!$A$1,MATCH(B113,tab_tipo_Combustivel!$A$2:$A$121,0),MATCH(A113,tab_tipo_Combustivel!$B$1:$AQ$1,0),1,1)</f>
        <v>89.7</v>
      </c>
    </row>
    <row r="114" spans="1:3">
      <c r="A114" s="3">
        <v>2012</v>
      </c>
      <c r="B114" s="106">
        <f>tab_tipo_Combustivel!A114</f>
        <v>306</v>
      </c>
      <c r="C114" s="107">
        <f ca="1">OFFSET(tab_tipo_Combustivel!$A$1,MATCH(B114,tab_tipo_Combustivel!$A$2:$A$121,0),MATCH(A114,tab_tipo_Combustivel!$B$1:$AQ$1,0),1,1)</f>
        <v>100.38</v>
      </c>
    </row>
    <row r="115" spans="1:3">
      <c r="A115" s="3">
        <v>2012</v>
      </c>
      <c r="B115" s="106">
        <f>tab_tipo_Combustivel!A115</f>
        <v>307</v>
      </c>
      <c r="C115" s="107">
        <f ca="1">OFFSET(tab_tipo_Combustivel!$A$1,MATCH(B115,tab_tipo_Combustivel!$A$2:$A$121,0),MATCH(A115,tab_tipo_Combustivel!$B$1:$AQ$1,0),1,1)</f>
        <v>510.12</v>
      </c>
    </row>
    <row r="116" spans="1:3">
      <c r="A116" s="3">
        <v>2012</v>
      </c>
      <c r="B116" s="106">
        <f>tab_tipo_Combustivel!A116</f>
        <v>308</v>
      </c>
      <c r="C116" s="107">
        <f ca="1">OFFSET(tab_tipo_Combustivel!$A$1,MATCH(B116,tab_tipo_Combustivel!$A$2:$A$121,0),MATCH(A116,tab_tipo_Combustivel!$B$1:$AQ$1,0),1,1)</f>
        <v>72.5</v>
      </c>
    </row>
    <row r="117" spans="1:3">
      <c r="A117" s="3">
        <v>2012</v>
      </c>
      <c r="B117" s="106">
        <f>tab_tipo_Combustivel!A117</f>
        <v>309</v>
      </c>
      <c r="C117" s="107">
        <f ca="1">OFFSET(tab_tipo_Combustivel!$A$1,MATCH(B117,tab_tipo_Combustivel!$A$2:$A$121,0),MATCH(A117,tab_tipo_Combustivel!$B$1:$AQ$1,0),1,1)</f>
        <v>126.77</v>
      </c>
    </row>
    <row r="118" spans="1:3">
      <c r="A118" s="3">
        <v>2012</v>
      </c>
      <c r="B118" s="106">
        <f>tab_tipo_Combustivel!A118</f>
        <v>310</v>
      </c>
      <c r="C118" s="107">
        <f ca="1">OFFSET(tab_tipo_Combustivel!$A$1,MATCH(B118,tab_tipo_Combustivel!$A$2:$A$121,0),MATCH(A118,tab_tipo_Combustivel!$B$1:$AQ$1,0),1,1)</f>
        <v>275.99</v>
      </c>
    </row>
    <row r="119" spans="1:3">
      <c r="A119" s="3">
        <v>2012</v>
      </c>
      <c r="B119" s="106">
        <f>tab_tipo_Combustivel!A119</f>
        <v>311</v>
      </c>
      <c r="C119" s="107">
        <f ca="1">OFFSET(tab_tipo_Combustivel!$A$1,MATCH(B119,tab_tipo_Combustivel!$A$2:$A$121,0),MATCH(A119,tab_tipo_Combustivel!$B$1:$AQ$1,0),1,1)</f>
        <v>70.66</v>
      </c>
    </row>
    <row r="120" spans="1:3">
      <c r="A120" s="3">
        <v>2012</v>
      </c>
      <c r="B120" s="106">
        <f>tab_tipo_Combustivel!A120</f>
        <v>312</v>
      </c>
      <c r="C120" s="107">
        <f ca="1">OFFSET(tab_tipo_Combustivel!$A$1,MATCH(B120,tab_tipo_Combustivel!$A$2:$A$121,0),MATCH(A120,tab_tipo_Combustivel!$B$1:$AQ$1,0),1,1)</f>
        <v>0</v>
      </c>
    </row>
    <row r="121" spans="1:3">
      <c r="A121" s="3">
        <v>2012</v>
      </c>
      <c r="B121" s="106">
        <f>tab_tipo_Combustivel!A121</f>
        <v>1301</v>
      </c>
      <c r="C121" s="107">
        <f ca="1">OFFSET(tab_tipo_Combustivel!$A$1,MATCH(B121,tab_tipo_Combustivel!$A$2:$A$121,0),MATCH(A121,tab_tipo_Combustivel!$B$1:$AQ$1,0),1,1)</f>
        <v>242.05</v>
      </c>
    </row>
    <row r="122" spans="1:3">
      <c r="A122" s="3">
        <v>2012</v>
      </c>
      <c r="B122" s="106">
        <f>tab_tipo_Combustivel!A122</f>
        <v>1302</v>
      </c>
      <c r="C122" s="107">
        <f ca="1">OFFSET(tab_tipo_Combustivel!$A$1,MATCH(B122,tab_tipo_Combustivel!$A$2:$A$150,0),MATCH(A122,tab_tipo_Combustivel!$B$1:$AQ$1,0),1,1)</f>
        <v>193.64</v>
      </c>
    </row>
    <row r="123" spans="1:3">
      <c r="A123" s="3">
        <v>2012</v>
      </c>
      <c r="B123" s="106">
        <f>tab_tipo_Combustivel!A123</f>
        <v>1303</v>
      </c>
      <c r="C123" s="107">
        <f ca="1">OFFSET(tab_tipo_Combustivel!$A$1,MATCH(B123,tab_tipo_Combustivel!$A$2:$A$150,0),MATCH(A123,tab_tipo_Combustivel!$B$1:$AQ$1,0),1,1)</f>
        <v>25.58</v>
      </c>
    </row>
    <row r="124" spans="1:3">
      <c r="A124" s="3">
        <v>2012</v>
      </c>
      <c r="B124" s="106">
        <f>tab_tipo_Combustivel!A124</f>
        <v>1304</v>
      </c>
      <c r="C124" s="107">
        <f ca="1">OFFSET(tab_tipo_Combustivel!$A$1,MATCH(B124,tab_tipo_Combustivel!$A$2:$A$150,0),MATCH(A124,tab_tipo_Combustivel!$B$1:$AQ$1,0),1,1)</f>
        <v>0</v>
      </c>
    </row>
    <row r="125" spans="1:3">
      <c r="A125" s="3">
        <v>2012</v>
      </c>
      <c r="B125" s="106">
        <f>tab_tipo_Combustivel!A125</f>
        <v>1315</v>
      </c>
      <c r="C125" s="107">
        <f ca="1">OFFSET(tab_tipo_Combustivel!$A$1,MATCH(B125,tab_tipo_Combustivel!$A$2:$A$150,0),MATCH(A125,tab_tipo_Combustivel!$B$1:$AQ$1,0),1,1)</f>
        <v>0</v>
      </c>
    </row>
    <row r="126" spans="1:3">
      <c r="A126" s="3">
        <v>2012</v>
      </c>
      <c r="B126" s="106">
        <f>tab_tipo_Combustivel!A126</f>
        <v>1316</v>
      </c>
      <c r="C126" s="107">
        <f ca="1">OFFSET(tab_tipo_Combustivel!$A$1,MATCH(B126,tab_tipo_Combustivel!$A$2:$A$150,0),MATCH(A126,tab_tipo_Combustivel!$B$1:$AQ$1,0),1,1)</f>
        <v>0</v>
      </c>
    </row>
    <row r="127" spans="1:3">
      <c r="A127" s="3">
        <v>2012</v>
      </c>
      <c r="B127" s="106">
        <f>tab_tipo_Combustivel!A127</f>
        <v>1318</v>
      </c>
      <c r="C127" s="107">
        <f ca="1">OFFSET(tab_tipo_Combustivel!$A$1,MATCH(B127,tab_tipo_Combustivel!$A$2:$A$150,0),MATCH(A127,tab_tipo_Combustivel!$B$1:$AQ$1,0),1,1)</f>
        <v>200</v>
      </c>
    </row>
    <row r="128" spans="1:3">
      <c r="A128" s="3">
        <v>2012</v>
      </c>
      <c r="B128" s="106">
        <f>tab_tipo_Combustivel!A128</f>
        <v>1321</v>
      </c>
      <c r="C128" s="107">
        <f ca="1">OFFSET(tab_tipo_Combustivel!$A$1,MATCH(B128,tab_tipo_Combustivel!$A$2:$A$150,0),MATCH(A128,tab_tipo_Combustivel!$B$1:$AQ$1,0),1,1)</f>
        <v>85</v>
      </c>
    </row>
    <row r="129" spans="1:3">
      <c r="A129" s="3">
        <v>2012</v>
      </c>
      <c r="B129" s="106">
        <f>tab_tipo_Combustivel!A129</f>
        <v>1322</v>
      </c>
      <c r="C129" s="107">
        <f ca="1">OFFSET(tab_tipo_Combustivel!$A$1,MATCH(B129,tab_tipo_Combustivel!$A$2:$A$150,0),MATCH(A129,tab_tipo_Combustivel!$B$1:$AQ$1,0),1,1)</f>
        <v>140</v>
      </c>
    </row>
    <row r="130" spans="1:3">
      <c r="A130" s="3">
        <v>2012</v>
      </c>
      <c r="B130" s="106">
        <f>tab_tipo_Combustivel!A130</f>
        <v>1323</v>
      </c>
      <c r="C130" s="107">
        <f ca="1">OFFSET(tab_tipo_Combustivel!$A$1,MATCH(B130,tab_tipo_Combustivel!$A$2:$A$150,0),MATCH(A130,tab_tipo_Combustivel!$B$1:$AQ$1,0),1,1)</f>
        <v>63.75</v>
      </c>
    </row>
    <row r="131" spans="1:3">
      <c r="A131" s="3">
        <v>2012</v>
      </c>
      <c r="B131" s="106">
        <f>tab_tipo_Combustivel!A131</f>
        <v>1325</v>
      </c>
      <c r="C131" s="107">
        <f ca="1">OFFSET(tab_tipo_Combustivel!$A$1,MATCH(B131,tab_tipo_Combustivel!$A$2:$A$150,0),MATCH(A131,tab_tipo_Combustivel!$B$1:$AQ$1,0),1,1)</f>
        <v>0</v>
      </c>
    </row>
    <row r="132" spans="1:3">
      <c r="A132" s="3">
        <v>2012</v>
      </c>
      <c r="B132" s="106">
        <f>tab_tipo_Combustivel!A132</f>
        <v>1326</v>
      </c>
      <c r="C132" s="107">
        <f ca="1">OFFSET(tab_tipo_Combustivel!$A$1,MATCH(B132,tab_tipo_Combustivel!$A$2:$A$150,0),MATCH(A132,tab_tipo_Combustivel!$B$1:$AQ$1,0),1,1)</f>
        <v>260</v>
      </c>
    </row>
    <row r="133" spans="1:3">
      <c r="A133" s="3">
        <v>2012</v>
      </c>
      <c r="B133" s="106">
        <f>tab_tipo_Combustivel!A133</f>
        <v>1501</v>
      </c>
      <c r="C133" s="107">
        <f ca="1">OFFSET(tab_tipo_Combustivel!$A$1,MATCH(B133,tab_tipo_Combustivel!$A$2:$A$150,0),MATCH(A133,tab_tipo_Combustivel!$B$1:$AQ$1,0),1,1)</f>
        <v>260</v>
      </c>
    </row>
    <row r="134" spans="1:3">
      <c r="A134" s="3">
        <v>2012</v>
      </c>
      <c r="B134" s="106">
        <f>tab_tipo_Combustivel!A134</f>
        <v>1502</v>
      </c>
      <c r="C134" s="107">
        <f ca="1">OFFSET(tab_tipo_Combustivel!$A$1,MATCH(B134,tab_tipo_Combustivel!$A$2:$A$150,0),MATCH(A134,tab_tipo_Combustivel!$B$1:$AQ$1,0),1,1)</f>
        <v>60</v>
      </c>
    </row>
    <row r="135" spans="1:3">
      <c r="A135" s="3">
        <v>2012</v>
      </c>
      <c r="B135" s="106">
        <f>tab_tipo_Combustivel!A135</f>
        <v>1503</v>
      </c>
      <c r="C135" s="107">
        <f ca="1">OFFSET(tab_tipo_Combustivel!$A$1,MATCH(B135,tab_tipo_Combustivel!$A$2:$A$150,0),MATCH(A135,tab_tipo_Combustivel!$B$1:$AQ$1,0),1,1)</f>
        <v>96.82</v>
      </c>
    </row>
    <row r="136" spans="1:3">
      <c r="A136" s="3">
        <v>2012</v>
      </c>
      <c r="B136" s="106">
        <f>tab_tipo_Combustivel!A136</f>
        <v>1504</v>
      </c>
      <c r="C136" s="107">
        <f ca="1">OFFSET(tab_tipo_Combustivel!$A$1,MATCH(B136,tab_tipo_Combustivel!$A$2:$A$150,0),MATCH(A136,tab_tipo_Combustivel!$B$1:$AQ$1,0),1,1)</f>
        <v>145.22999999999999</v>
      </c>
    </row>
    <row r="137" spans="1:3">
      <c r="A137" s="3">
        <f>A2+1</f>
        <v>2013</v>
      </c>
      <c r="B137" s="106">
        <f>B2</f>
        <v>1</v>
      </c>
      <c r="C137" s="107">
        <f ca="1">OFFSET(tab_tipo_Combustivel!$A$1,MATCH(B137,tab_tipo_Combustivel!$A$2:$A$150,0),MATCH(A137,tab_tipo_Combustivel!$B$1:$AQ$1,0),1,1)</f>
        <v>29.13</v>
      </c>
    </row>
    <row r="138" spans="1:3">
      <c r="A138" s="3">
        <f t="shared" ref="A138:A201" si="0">A3+1</f>
        <v>2013</v>
      </c>
      <c r="B138" s="106">
        <f t="shared" ref="B138:B201" si="1">B3</f>
        <v>2</v>
      </c>
      <c r="C138" s="107">
        <f ca="1">OFFSET(tab_tipo_Combustivel!$A$1,MATCH(B138,tab_tipo_Combustivel!$A$2:$A$150,0),MATCH(A138,tab_tipo_Combustivel!$B$1:$AQ$1,0),1,1)</f>
        <v>842.33</v>
      </c>
    </row>
    <row r="139" spans="1:3">
      <c r="A139" s="3">
        <f t="shared" si="0"/>
        <v>2013</v>
      </c>
      <c r="B139" s="106">
        <f t="shared" si="1"/>
        <v>4</v>
      </c>
      <c r="C139" s="107">
        <f ca="1">OFFSET(tab_tipo_Combustivel!$A$1,MATCH(B139,tab_tipo_Combustivel!$A$2:$A$150,0),MATCH(A139,tab_tipo_Combustivel!$B$1:$AQ$1,0),1,1)</f>
        <v>842.33</v>
      </c>
    </row>
    <row r="140" spans="1:3">
      <c r="A140" s="3">
        <f t="shared" si="0"/>
        <v>2013</v>
      </c>
      <c r="B140" s="106">
        <f t="shared" si="1"/>
        <v>9</v>
      </c>
      <c r="C140" s="107">
        <f ca="1">OFFSET(tab_tipo_Combustivel!$A$1,MATCH(B140,tab_tipo_Combustivel!$A$2:$A$150,0),MATCH(A140,tab_tipo_Combustivel!$B$1:$AQ$1,0),1,1)</f>
        <v>842.33</v>
      </c>
    </row>
    <row r="141" spans="1:3">
      <c r="A141" s="3">
        <f t="shared" si="0"/>
        <v>2013</v>
      </c>
      <c r="B141" s="106">
        <f t="shared" si="1"/>
        <v>12</v>
      </c>
      <c r="C141" s="107">
        <f ca="1">OFFSET(tab_tipo_Combustivel!$A$1,MATCH(B141,tab_tipo_Combustivel!$A$2:$A$150,0),MATCH(A141,tab_tipo_Combustivel!$B$1:$AQ$1,0),1,1)</f>
        <v>728.87</v>
      </c>
    </row>
    <row r="142" spans="1:3">
      <c r="A142" s="3">
        <f t="shared" si="0"/>
        <v>2013</v>
      </c>
      <c r="B142" s="106">
        <f t="shared" si="1"/>
        <v>13</v>
      </c>
      <c r="C142" s="107">
        <f ca="1">OFFSET(tab_tipo_Combustivel!$A$1,MATCH(B142,tab_tipo_Combustivel!$A$2:$A$150,0),MATCH(A142,tab_tipo_Combustivel!$B$1:$AQ$1,0),1,1)</f>
        <v>20.12</v>
      </c>
    </row>
    <row r="143" spans="1:3">
      <c r="A143" s="3">
        <f t="shared" si="0"/>
        <v>2013</v>
      </c>
      <c r="B143" s="106">
        <f t="shared" si="1"/>
        <v>15</v>
      </c>
      <c r="C143" s="107">
        <f ca="1">OFFSET(tab_tipo_Combustivel!$A$1,MATCH(B143,tab_tipo_Combustivel!$A$2:$A$150,0),MATCH(A143,tab_tipo_Combustivel!$B$1:$AQ$1,0),1,1)</f>
        <v>257.29000000000002</v>
      </c>
    </row>
    <row r="144" spans="1:3">
      <c r="A144" s="3">
        <f t="shared" si="0"/>
        <v>2013</v>
      </c>
      <c r="B144" s="106">
        <f t="shared" si="1"/>
        <v>21</v>
      </c>
      <c r="C144" s="107">
        <f ca="1">OFFSET(tab_tipo_Combustivel!$A$1,MATCH(B144,tab_tipo_Combustivel!$A$2:$A$150,0),MATCH(A144,tab_tipo_Combustivel!$B$1:$AQ$1,0),1,1)</f>
        <v>157.83000000000001</v>
      </c>
    </row>
    <row r="145" spans="1:3">
      <c r="A145" s="3">
        <f t="shared" si="0"/>
        <v>2013</v>
      </c>
      <c r="B145" s="106">
        <f t="shared" si="1"/>
        <v>22</v>
      </c>
      <c r="C145" s="107">
        <f ca="1">OFFSET(tab_tipo_Combustivel!$A$1,MATCH(B145,tab_tipo_Combustivel!$A$2:$A$150,0),MATCH(A145,tab_tipo_Combustivel!$B$1:$AQ$1,0),1,1)</f>
        <v>115.9</v>
      </c>
    </row>
    <row r="146" spans="1:3">
      <c r="A146" s="3">
        <f t="shared" si="0"/>
        <v>2013</v>
      </c>
      <c r="B146" s="106">
        <f t="shared" si="1"/>
        <v>23</v>
      </c>
      <c r="C146" s="107">
        <f ca="1">OFFSET(tab_tipo_Combustivel!$A$1,MATCH(B146,tab_tipo_Combustivel!$A$2:$A$150,0),MATCH(A146,tab_tipo_Combustivel!$B$1:$AQ$1,0),1,1)</f>
        <v>115.9</v>
      </c>
    </row>
    <row r="147" spans="1:3">
      <c r="A147" s="3">
        <f t="shared" si="0"/>
        <v>2013</v>
      </c>
      <c r="B147" s="106">
        <f t="shared" si="1"/>
        <v>24</v>
      </c>
      <c r="C147" s="107">
        <f ca="1">OFFSET(tab_tipo_Combustivel!$A$1,MATCH(B147,tab_tipo_Combustivel!$A$2:$A$150,0),MATCH(A147,tab_tipo_Combustivel!$B$1:$AQ$1,0),1,1)</f>
        <v>155.85</v>
      </c>
    </row>
    <row r="148" spans="1:3">
      <c r="A148" s="3">
        <f t="shared" si="0"/>
        <v>2013</v>
      </c>
      <c r="B148" s="106">
        <f t="shared" si="1"/>
        <v>25</v>
      </c>
      <c r="C148" s="107">
        <f ca="1">OFFSET(tab_tipo_Combustivel!$A$1,MATCH(B148,tab_tipo_Combustivel!$A$2:$A$150,0),MATCH(A148,tab_tipo_Combustivel!$B$1:$AQ$1,0),1,1)</f>
        <v>186.33</v>
      </c>
    </row>
    <row r="149" spans="1:3">
      <c r="A149" s="3">
        <f t="shared" si="0"/>
        <v>2013</v>
      </c>
      <c r="B149" s="106">
        <f t="shared" si="1"/>
        <v>26</v>
      </c>
      <c r="C149" s="107">
        <f ca="1">OFFSET(tab_tipo_Combustivel!$A$1,MATCH(B149,tab_tipo_Combustivel!$A$2:$A$150,0),MATCH(A149,tab_tipo_Combustivel!$B$1:$AQ$1,0),1,1)</f>
        <v>258.42</v>
      </c>
    </row>
    <row r="150" spans="1:3">
      <c r="A150" s="3">
        <f t="shared" si="0"/>
        <v>2013</v>
      </c>
      <c r="B150" s="106">
        <f t="shared" si="1"/>
        <v>27</v>
      </c>
      <c r="C150" s="107">
        <f ca="1">OFFSET(tab_tipo_Combustivel!$A$1,MATCH(B150,tab_tipo_Combustivel!$A$2:$A$150,0),MATCH(A150,tab_tipo_Combustivel!$B$1:$AQ$1,0),1,1)</f>
        <v>195.49</v>
      </c>
    </row>
    <row r="151" spans="1:3">
      <c r="A151" s="3">
        <f t="shared" si="0"/>
        <v>2013</v>
      </c>
      <c r="B151" s="106">
        <f t="shared" si="1"/>
        <v>28</v>
      </c>
      <c r="C151" s="107">
        <f ca="1">OFFSET(tab_tipo_Combustivel!$A$1,MATCH(B151,tab_tipo_Combustivel!$A$2:$A$150,0),MATCH(A151,tab_tipo_Combustivel!$B$1:$AQ$1,0),1,1)</f>
        <v>459.92</v>
      </c>
    </row>
    <row r="152" spans="1:3">
      <c r="A152" s="3">
        <f t="shared" si="0"/>
        <v>2013</v>
      </c>
      <c r="B152" s="106">
        <f t="shared" si="1"/>
        <v>32</v>
      </c>
      <c r="C152" s="107">
        <f ca="1">OFFSET(tab_tipo_Combustivel!$A$1,MATCH(B152,tab_tipo_Combustivel!$A$2:$A$150,0),MATCH(A152,tab_tipo_Combustivel!$B$1:$AQ$1,0),1,1)</f>
        <v>248.31</v>
      </c>
    </row>
    <row r="153" spans="1:3">
      <c r="A153" s="3">
        <f t="shared" si="0"/>
        <v>2013</v>
      </c>
      <c r="B153" s="106">
        <f t="shared" si="1"/>
        <v>34</v>
      </c>
      <c r="C153" s="107">
        <f ca="1">OFFSET(tab_tipo_Combustivel!$A$1,MATCH(B153,tab_tipo_Combustivel!$A$2:$A$150,0),MATCH(A153,tab_tipo_Combustivel!$B$1:$AQ$1,0),1,1)</f>
        <v>423.38</v>
      </c>
    </row>
    <row r="154" spans="1:3">
      <c r="A154" s="3">
        <f t="shared" si="0"/>
        <v>2013</v>
      </c>
      <c r="B154" s="106">
        <f t="shared" si="1"/>
        <v>35</v>
      </c>
      <c r="C154" s="107">
        <f ca="1">OFFSET(tab_tipo_Combustivel!$A$1,MATCH(B154,tab_tipo_Combustivel!$A$2:$A$150,0),MATCH(A154,tab_tipo_Combustivel!$B$1:$AQ$1,0),1,1)</f>
        <v>692.45</v>
      </c>
    </row>
    <row r="155" spans="1:3">
      <c r="A155" s="3">
        <f t="shared" si="0"/>
        <v>2013</v>
      </c>
      <c r="B155" s="106">
        <f t="shared" si="1"/>
        <v>36</v>
      </c>
      <c r="C155" s="107">
        <f ca="1">OFFSET(tab_tipo_Combustivel!$A$1,MATCH(B155,tab_tipo_Combustivel!$A$2:$A$150,0),MATCH(A155,tab_tipo_Combustivel!$B$1:$AQ$1,0),1,1)</f>
        <v>157.83000000000001</v>
      </c>
    </row>
    <row r="156" spans="1:3">
      <c r="A156" s="3">
        <f t="shared" si="0"/>
        <v>2013</v>
      </c>
      <c r="B156" s="106">
        <f t="shared" si="1"/>
        <v>42</v>
      </c>
      <c r="C156" s="107">
        <f ca="1">OFFSET(tab_tipo_Combustivel!$A$1,MATCH(B156,tab_tipo_Combustivel!$A$2:$A$150,0),MATCH(A156,tab_tipo_Combustivel!$B$1:$AQ$1,0),1,1)</f>
        <v>199.22</v>
      </c>
    </row>
    <row r="157" spans="1:3">
      <c r="A157" s="3">
        <f t="shared" si="0"/>
        <v>2013</v>
      </c>
      <c r="B157" s="106">
        <f t="shared" si="1"/>
        <v>43</v>
      </c>
      <c r="C157" s="107">
        <f ca="1">OFFSET(tab_tipo_Combustivel!$A$1,MATCH(B157,tab_tipo_Combustivel!$A$2:$A$150,0),MATCH(A157,tab_tipo_Combustivel!$B$1:$AQ$1,0),1,1)</f>
        <v>431.62</v>
      </c>
    </row>
    <row r="158" spans="1:3">
      <c r="A158" s="3">
        <f t="shared" si="0"/>
        <v>2013</v>
      </c>
      <c r="B158" s="106">
        <f t="shared" si="1"/>
        <v>44</v>
      </c>
      <c r="C158" s="107">
        <f ca="1">OFFSET(tab_tipo_Combustivel!$A$1,MATCH(B158,tab_tipo_Combustivel!$A$2:$A$150,0),MATCH(A158,tab_tipo_Combustivel!$B$1:$AQ$1,0),1,1)</f>
        <v>25.58</v>
      </c>
    </row>
    <row r="159" spans="1:3">
      <c r="A159" s="3">
        <f t="shared" si="0"/>
        <v>2013</v>
      </c>
      <c r="B159" s="106">
        <f t="shared" si="1"/>
        <v>46</v>
      </c>
      <c r="C159" s="107">
        <f ca="1">OFFSET(tab_tipo_Combustivel!$A$1,MATCH(B159,tab_tipo_Combustivel!$A$2:$A$150,0),MATCH(A159,tab_tipo_Combustivel!$B$1:$AQ$1,0),1,1)</f>
        <v>228.91</v>
      </c>
    </row>
    <row r="160" spans="1:3">
      <c r="A160" s="3">
        <f t="shared" si="0"/>
        <v>2013</v>
      </c>
      <c r="B160" s="106">
        <f t="shared" si="1"/>
        <v>47</v>
      </c>
      <c r="C160" s="107">
        <f ca="1">OFFSET(tab_tipo_Combustivel!$A$1,MATCH(B160,tab_tipo_Combustivel!$A$2:$A$150,0),MATCH(A160,tab_tipo_Combustivel!$B$1:$AQ$1,0),1,1)</f>
        <v>235.6</v>
      </c>
    </row>
    <row r="161" spans="1:3">
      <c r="A161" s="3">
        <f t="shared" si="0"/>
        <v>2013</v>
      </c>
      <c r="B161" s="106">
        <f t="shared" si="1"/>
        <v>48</v>
      </c>
      <c r="C161" s="107">
        <f ca="1">OFFSET(tab_tipo_Combustivel!$A$1,MATCH(B161,tab_tipo_Combustivel!$A$2:$A$150,0),MATCH(A161,tab_tipo_Combustivel!$B$1:$AQ$1,0),1,1)</f>
        <v>1012.12</v>
      </c>
    </row>
    <row r="162" spans="1:3">
      <c r="A162" s="3">
        <f t="shared" si="0"/>
        <v>2013</v>
      </c>
      <c r="B162" s="106">
        <f t="shared" si="1"/>
        <v>50</v>
      </c>
      <c r="C162" s="107">
        <f ca="1">OFFSET(tab_tipo_Combustivel!$A$1,MATCH(B162,tab_tipo_Combustivel!$A$2:$A$150,0),MATCH(A162,tab_tipo_Combustivel!$B$1:$AQ$1,0),1,1)</f>
        <v>669.87</v>
      </c>
    </row>
    <row r="163" spans="1:3">
      <c r="A163" s="3">
        <f t="shared" si="0"/>
        <v>2013</v>
      </c>
      <c r="B163" s="106">
        <f t="shared" si="1"/>
        <v>54</v>
      </c>
      <c r="C163" s="107">
        <f ca="1">OFFSET(tab_tipo_Combustivel!$A$1,MATCH(B163,tab_tipo_Combustivel!$A$2:$A$150,0),MATCH(A163,tab_tipo_Combustivel!$B$1:$AQ$1,0),1,1)</f>
        <v>304.55</v>
      </c>
    </row>
    <row r="164" spans="1:3">
      <c r="A164" s="3">
        <f t="shared" si="0"/>
        <v>2013</v>
      </c>
      <c r="B164" s="106">
        <f t="shared" si="1"/>
        <v>58</v>
      </c>
      <c r="C164" s="107">
        <f ca="1">OFFSET(tab_tipo_Combustivel!$A$1,MATCH(B164,tab_tipo_Combustivel!$A$2:$A$150,0),MATCH(A164,tab_tipo_Combustivel!$B$1:$AQ$1,0),1,1)</f>
        <v>300.05</v>
      </c>
    </row>
    <row r="165" spans="1:3">
      <c r="A165" s="3">
        <f t="shared" si="0"/>
        <v>2013</v>
      </c>
      <c r="B165" s="106">
        <f t="shared" si="1"/>
        <v>62</v>
      </c>
      <c r="C165" s="107">
        <f ca="1">OFFSET(tab_tipo_Combustivel!$A$1,MATCH(B165,tab_tipo_Combustivel!$A$2:$A$150,0),MATCH(A165,tab_tipo_Combustivel!$B$1:$AQ$1,0),1,1)</f>
        <v>309.24</v>
      </c>
    </row>
    <row r="166" spans="1:3">
      <c r="A166" s="3">
        <f t="shared" si="0"/>
        <v>2013</v>
      </c>
      <c r="B166" s="106">
        <f t="shared" si="1"/>
        <v>63</v>
      </c>
      <c r="C166" s="107">
        <f ca="1">OFFSET(tab_tipo_Combustivel!$A$1,MATCH(B166,tab_tipo_Combustivel!$A$2:$A$150,0),MATCH(A166,tab_tipo_Combustivel!$B$1:$AQ$1,0),1,1)</f>
        <v>365.77</v>
      </c>
    </row>
    <row r="167" spans="1:3">
      <c r="A167" s="3">
        <f t="shared" si="0"/>
        <v>2013</v>
      </c>
      <c r="B167" s="106">
        <f t="shared" si="1"/>
        <v>64</v>
      </c>
      <c r="C167" s="107">
        <f ca="1">OFFSET(tab_tipo_Combustivel!$A$1,MATCH(B167,tab_tipo_Combustivel!$A$2:$A$150,0),MATCH(A167,tab_tipo_Combustivel!$B$1:$AQ$1,0),1,1)</f>
        <v>853.54</v>
      </c>
    </row>
    <row r="168" spans="1:3">
      <c r="A168" s="3">
        <f t="shared" si="0"/>
        <v>2013</v>
      </c>
      <c r="B168" s="106">
        <f t="shared" si="1"/>
        <v>68</v>
      </c>
      <c r="C168" s="107">
        <f ca="1">OFFSET(tab_tipo_Combustivel!$A$1,MATCH(B168,tab_tipo_Combustivel!$A$2:$A$150,0),MATCH(A168,tab_tipo_Combustivel!$B$1:$AQ$1,0),1,1)</f>
        <v>195.63</v>
      </c>
    </row>
    <row r="169" spans="1:3">
      <c r="A169" s="3">
        <f t="shared" si="0"/>
        <v>2013</v>
      </c>
      <c r="B169" s="106">
        <f t="shared" si="1"/>
        <v>74</v>
      </c>
      <c r="C169" s="107">
        <f ca="1">OFFSET(tab_tipo_Combustivel!$A$1,MATCH(B169,tab_tipo_Combustivel!$A$2:$A$150,0),MATCH(A169,tab_tipo_Combustivel!$B$1:$AQ$1,0),1,1)</f>
        <v>364.46</v>
      </c>
    </row>
    <row r="170" spans="1:3">
      <c r="A170" s="3">
        <f t="shared" si="0"/>
        <v>2013</v>
      </c>
      <c r="B170" s="106">
        <f t="shared" si="1"/>
        <v>83</v>
      </c>
      <c r="C170" s="107">
        <f ca="1">OFFSET(tab_tipo_Combustivel!$A$1,MATCH(B170,tab_tipo_Combustivel!$A$2:$A$150,0),MATCH(A170,tab_tipo_Combustivel!$B$1:$AQ$1,0),1,1)</f>
        <v>448.1</v>
      </c>
    </row>
    <row r="171" spans="1:3">
      <c r="A171" s="3">
        <f t="shared" si="0"/>
        <v>2013</v>
      </c>
      <c r="B171" s="106">
        <f t="shared" si="1"/>
        <v>86</v>
      </c>
      <c r="C171" s="107">
        <f ca="1">OFFSET(tab_tipo_Combustivel!$A$1,MATCH(B171,tab_tipo_Combustivel!$A$2:$A$150,0),MATCH(A171,tab_tipo_Combustivel!$B$1:$AQ$1,0),1,1)</f>
        <v>170.34</v>
      </c>
    </row>
    <row r="172" spans="1:3">
      <c r="A172" s="3">
        <f t="shared" si="0"/>
        <v>2013</v>
      </c>
      <c r="B172" s="106">
        <f t="shared" si="1"/>
        <v>90</v>
      </c>
      <c r="C172" s="107">
        <f ca="1">OFFSET(tab_tipo_Combustivel!$A$1,MATCH(B172,tab_tipo_Combustivel!$A$2:$A$150,0),MATCH(A172,tab_tipo_Combustivel!$B$1:$AQ$1,0),1,1)</f>
        <v>533.1</v>
      </c>
    </row>
    <row r="173" spans="1:3">
      <c r="A173" s="3">
        <f t="shared" si="0"/>
        <v>2013</v>
      </c>
      <c r="B173" s="106">
        <f t="shared" si="1"/>
        <v>93</v>
      </c>
      <c r="C173" s="107">
        <f ca="1">OFFSET(tab_tipo_Combustivel!$A$1,MATCH(B173,tab_tipo_Combustivel!$A$2:$A$150,0),MATCH(A173,tab_tipo_Combustivel!$B$1:$AQ$1,0),1,1)</f>
        <v>842.33</v>
      </c>
    </row>
    <row r="174" spans="1:3">
      <c r="A174" s="3">
        <f t="shared" si="0"/>
        <v>2013</v>
      </c>
      <c r="B174" s="106">
        <f t="shared" si="1"/>
        <v>94</v>
      </c>
      <c r="C174" s="107">
        <f ca="1">OFFSET(tab_tipo_Combustivel!$A$1,MATCH(B174,tab_tipo_Combustivel!$A$2:$A$150,0),MATCH(A174,tab_tipo_Combustivel!$B$1:$AQ$1,0),1,1)</f>
        <v>842.33</v>
      </c>
    </row>
    <row r="175" spans="1:3">
      <c r="A175" s="3">
        <f t="shared" si="0"/>
        <v>2013</v>
      </c>
      <c r="B175" s="106">
        <f t="shared" si="1"/>
        <v>96</v>
      </c>
      <c r="C175" s="107">
        <f ca="1">OFFSET(tab_tipo_Combustivel!$A$1,MATCH(B175,tab_tipo_Combustivel!$A$2:$A$150,0),MATCH(A175,tab_tipo_Combustivel!$B$1:$AQ$1,0),1,1)</f>
        <v>99.92</v>
      </c>
    </row>
    <row r="176" spans="1:3">
      <c r="A176" s="3">
        <f t="shared" si="0"/>
        <v>2013</v>
      </c>
      <c r="B176" s="106">
        <f t="shared" si="1"/>
        <v>98</v>
      </c>
      <c r="C176" s="107">
        <f ca="1">OFFSET(tab_tipo_Combustivel!$A$1,MATCH(B176,tab_tipo_Combustivel!$A$2:$A$150,0),MATCH(A176,tab_tipo_Combustivel!$B$1:$AQ$1,0),1,1)</f>
        <v>489.8</v>
      </c>
    </row>
    <row r="177" spans="1:3">
      <c r="A177" s="3">
        <f t="shared" si="0"/>
        <v>2013</v>
      </c>
      <c r="B177" s="106">
        <f t="shared" si="1"/>
        <v>107</v>
      </c>
      <c r="C177" s="107">
        <f ca="1">OFFSET(tab_tipo_Combustivel!$A$1,MATCH(B177,tab_tipo_Combustivel!$A$2:$A$150,0),MATCH(A177,tab_tipo_Combustivel!$B$1:$AQ$1,0),1,1)</f>
        <v>57.63</v>
      </c>
    </row>
    <row r="178" spans="1:3">
      <c r="A178" s="3">
        <f t="shared" si="0"/>
        <v>2013</v>
      </c>
      <c r="B178" s="106">
        <f t="shared" si="1"/>
        <v>110</v>
      </c>
      <c r="C178" s="107">
        <f ca="1">OFFSET(tab_tipo_Combustivel!$A$1,MATCH(B178,tab_tipo_Combustivel!$A$2:$A$150,0),MATCH(A178,tab_tipo_Combustivel!$B$1:$AQ$1,0),1,1)</f>
        <v>568.29</v>
      </c>
    </row>
    <row r="179" spans="1:3">
      <c r="A179" s="3">
        <f t="shared" si="0"/>
        <v>2013</v>
      </c>
      <c r="B179" s="106">
        <f t="shared" si="1"/>
        <v>116</v>
      </c>
      <c r="C179" s="107">
        <f ca="1">OFFSET(tab_tipo_Combustivel!$A$1,MATCH(B179,tab_tipo_Combustivel!$A$2:$A$150,0),MATCH(A179,tab_tipo_Combustivel!$B$1:$AQ$1,0),1,1)</f>
        <v>117.46</v>
      </c>
    </row>
    <row r="180" spans="1:3">
      <c r="A180" s="3">
        <f t="shared" si="0"/>
        <v>2013</v>
      </c>
      <c r="B180" s="106">
        <f t="shared" si="1"/>
        <v>140</v>
      </c>
      <c r="C180" s="107">
        <f ca="1">OFFSET(tab_tipo_Combustivel!$A$1,MATCH(B180,tab_tipo_Combustivel!$A$2:$A$150,0),MATCH(A180,tab_tipo_Combustivel!$B$1:$AQ$1,0),1,1)</f>
        <v>88.11</v>
      </c>
    </row>
    <row r="181" spans="1:3">
      <c r="A181" s="3">
        <f t="shared" si="0"/>
        <v>2013</v>
      </c>
      <c r="B181" s="106">
        <f t="shared" si="1"/>
        <v>141</v>
      </c>
      <c r="C181" s="107">
        <f ca="1">OFFSET(tab_tipo_Combustivel!$A$1,MATCH(B181,tab_tipo_Combustivel!$A$2:$A$150,0),MATCH(A181,tab_tipo_Combustivel!$B$1:$AQ$1,0),1,1)</f>
        <v>1280.52</v>
      </c>
    </row>
    <row r="182" spans="1:3">
      <c r="A182" s="3">
        <f t="shared" si="0"/>
        <v>2013</v>
      </c>
      <c r="B182" s="106">
        <f t="shared" si="1"/>
        <v>147</v>
      </c>
      <c r="C182" s="107">
        <f ca="1">OFFSET(tab_tipo_Combustivel!$A$1,MATCH(B182,tab_tipo_Combustivel!$A$2:$A$150,0),MATCH(A182,tab_tipo_Combustivel!$B$1:$AQ$1,0),1,1)</f>
        <v>134.18</v>
      </c>
    </row>
    <row r="183" spans="1:3">
      <c r="A183" s="3">
        <f t="shared" si="0"/>
        <v>2013</v>
      </c>
      <c r="B183" s="106">
        <f t="shared" si="1"/>
        <v>156</v>
      </c>
      <c r="C183" s="107">
        <f ca="1">OFFSET(tab_tipo_Combustivel!$A$1,MATCH(B183,tab_tipo_Combustivel!$A$2:$A$150,0),MATCH(A183,tab_tipo_Combustivel!$B$1:$AQ$1,0),1,1)</f>
        <v>77.12</v>
      </c>
    </row>
    <row r="184" spans="1:3">
      <c r="A184" s="3">
        <f t="shared" si="0"/>
        <v>2013</v>
      </c>
      <c r="B184" s="106">
        <f t="shared" si="1"/>
        <v>163</v>
      </c>
      <c r="C184" s="107">
        <f ca="1">OFFSET(tab_tipo_Combustivel!$A$1,MATCH(B184,tab_tipo_Combustivel!$A$2:$A$150,0),MATCH(A184,tab_tipo_Combustivel!$B$1:$AQ$1,0),1,1)</f>
        <v>156.69999999999999</v>
      </c>
    </row>
    <row r="185" spans="1:3">
      <c r="A185" s="3">
        <f t="shared" si="0"/>
        <v>2013</v>
      </c>
      <c r="B185" s="106">
        <f t="shared" si="1"/>
        <v>167</v>
      </c>
      <c r="C185" s="107">
        <f ca="1">OFFSET(tab_tipo_Combustivel!$A$1,MATCH(B185,tab_tipo_Combustivel!$A$2:$A$150,0),MATCH(A185,tab_tipo_Combustivel!$B$1:$AQ$1,0),1,1)</f>
        <v>144.66999999999999</v>
      </c>
    </row>
    <row r="186" spans="1:3">
      <c r="A186" s="3">
        <f t="shared" si="0"/>
        <v>2013</v>
      </c>
      <c r="B186" s="106">
        <f t="shared" si="1"/>
        <v>171</v>
      </c>
      <c r="C186" s="107">
        <f ca="1">OFFSET(tab_tipo_Combustivel!$A$1,MATCH(B186,tab_tipo_Combustivel!$A$2:$A$150,0),MATCH(A186,tab_tipo_Combustivel!$B$1:$AQ$1,0),1,1)</f>
        <v>88</v>
      </c>
    </row>
    <row r="187" spans="1:3">
      <c r="A187" s="3">
        <f t="shared" si="0"/>
        <v>2013</v>
      </c>
      <c r="B187" s="106">
        <f t="shared" si="1"/>
        <v>172</v>
      </c>
      <c r="C187" s="107">
        <f ca="1">OFFSET(tab_tipo_Combustivel!$A$1,MATCH(B187,tab_tipo_Combustivel!$A$2:$A$150,0),MATCH(A187,tab_tipo_Combustivel!$B$1:$AQ$1,0),1,1)</f>
        <v>99.97</v>
      </c>
    </row>
    <row r="188" spans="1:3">
      <c r="A188" s="3">
        <f t="shared" si="0"/>
        <v>2013</v>
      </c>
      <c r="B188" s="106">
        <f t="shared" si="1"/>
        <v>173</v>
      </c>
      <c r="C188" s="107">
        <f ca="1">OFFSET(tab_tipo_Combustivel!$A$1,MATCH(B188,tab_tipo_Combustivel!$A$2:$A$150,0),MATCH(A188,tab_tipo_Combustivel!$B$1:$AQ$1,0),1,1)</f>
        <v>192.03</v>
      </c>
    </row>
    <row r="189" spans="1:3">
      <c r="A189" s="3">
        <f t="shared" si="0"/>
        <v>2013</v>
      </c>
      <c r="B189" s="106">
        <f t="shared" si="1"/>
        <v>174</v>
      </c>
      <c r="C189" s="107">
        <f ca="1">OFFSET(tab_tipo_Combustivel!$A$1,MATCH(B189,tab_tipo_Combustivel!$A$2:$A$150,0),MATCH(A189,tab_tipo_Combustivel!$B$1:$AQ$1,0),1,1)</f>
        <v>331.22</v>
      </c>
    </row>
    <row r="190" spans="1:3">
      <c r="A190" s="3">
        <f t="shared" si="0"/>
        <v>2013</v>
      </c>
      <c r="B190" s="106">
        <f t="shared" si="1"/>
        <v>176</v>
      </c>
      <c r="C190" s="107">
        <f ca="1">OFFSET(tab_tipo_Combustivel!$A$1,MATCH(B190,tab_tipo_Combustivel!$A$2:$A$150,0),MATCH(A190,tab_tipo_Combustivel!$B$1:$AQ$1,0),1,1)</f>
        <v>149.47999999999999</v>
      </c>
    </row>
    <row r="191" spans="1:3">
      <c r="A191" s="3">
        <f t="shared" si="0"/>
        <v>2013</v>
      </c>
      <c r="B191" s="106">
        <f t="shared" si="1"/>
        <v>183</v>
      </c>
      <c r="C191" s="107">
        <f ca="1">OFFSET(tab_tipo_Combustivel!$A$1,MATCH(B191,tab_tipo_Combustivel!$A$2:$A$150,0),MATCH(A191,tab_tipo_Combustivel!$B$1:$AQ$1,0),1,1)</f>
        <v>171.61</v>
      </c>
    </row>
    <row r="192" spans="1:3">
      <c r="A192" s="3">
        <f t="shared" si="0"/>
        <v>2013</v>
      </c>
      <c r="B192" s="106">
        <f t="shared" si="1"/>
        <v>194</v>
      </c>
      <c r="C192" s="107">
        <f ca="1">OFFSET(tab_tipo_Combustivel!$A$1,MATCH(B192,tab_tipo_Combustivel!$A$2:$A$150,0),MATCH(A192,tab_tipo_Combustivel!$B$1:$AQ$1,0),1,1)</f>
        <v>1098.58</v>
      </c>
    </row>
    <row r="193" spans="1:3">
      <c r="A193" s="3">
        <f t="shared" si="0"/>
        <v>2013</v>
      </c>
      <c r="B193" s="106">
        <f t="shared" si="1"/>
        <v>203</v>
      </c>
      <c r="C193" s="107">
        <f ca="1">OFFSET(tab_tipo_Combustivel!$A$1,MATCH(B193,tab_tipo_Combustivel!$A$2:$A$150,0),MATCH(A193,tab_tipo_Combustivel!$B$1:$AQ$1,0),1,1)</f>
        <v>0</v>
      </c>
    </row>
    <row r="194" spans="1:3">
      <c r="A194" s="3">
        <f t="shared" si="0"/>
        <v>2013</v>
      </c>
      <c r="B194" s="106">
        <f t="shared" si="1"/>
        <v>204</v>
      </c>
      <c r="C194" s="107">
        <f ca="1">OFFSET(tab_tipo_Combustivel!$A$1,MATCH(B194,tab_tipo_Combustivel!$A$2:$A$150,0),MATCH(A194,tab_tipo_Combustivel!$B$1:$AQ$1,0),1,1)</f>
        <v>0</v>
      </c>
    </row>
    <row r="195" spans="1:3">
      <c r="A195" s="3">
        <f t="shared" si="0"/>
        <v>2013</v>
      </c>
      <c r="B195" s="106">
        <f t="shared" si="1"/>
        <v>205</v>
      </c>
      <c r="C195" s="107">
        <f ca="1">OFFSET(tab_tipo_Combustivel!$A$1,MATCH(B195,tab_tipo_Combustivel!$A$2:$A$150,0),MATCH(A195,tab_tipo_Combustivel!$B$1:$AQ$1,0),1,1)</f>
        <v>0</v>
      </c>
    </row>
    <row r="196" spans="1:3">
      <c r="A196" s="3">
        <f t="shared" si="0"/>
        <v>2013</v>
      </c>
      <c r="B196" s="106">
        <f t="shared" si="1"/>
        <v>207</v>
      </c>
      <c r="C196" s="107">
        <f ca="1">OFFSET(tab_tipo_Combustivel!$A$1,MATCH(B196,tab_tipo_Combustivel!$A$2:$A$150,0),MATCH(A196,tab_tipo_Combustivel!$B$1:$AQ$1,0),1,1)</f>
        <v>0</v>
      </c>
    </row>
    <row r="197" spans="1:3">
      <c r="A197" s="3">
        <f t="shared" si="0"/>
        <v>2013</v>
      </c>
      <c r="B197" s="106">
        <f t="shared" si="1"/>
        <v>208</v>
      </c>
      <c r="C197" s="107">
        <f ca="1">OFFSET(tab_tipo_Combustivel!$A$1,MATCH(B197,tab_tipo_Combustivel!$A$2:$A$150,0),MATCH(A197,tab_tipo_Combustivel!$B$1:$AQ$1,0),1,1)</f>
        <v>783.64</v>
      </c>
    </row>
    <row r="198" spans="1:3">
      <c r="A198" s="3">
        <f t="shared" si="0"/>
        <v>2013</v>
      </c>
      <c r="B198" s="106">
        <f t="shared" si="1"/>
        <v>209</v>
      </c>
      <c r="C198" s="107">
        <f ca="1">OFFSET(tab_tipo_Combustivel!$A$1,MATCH(B198,tab_tipo_Combustivel!$A$2:$A$150,0),MATCH(A198,tab_tipo_Combustivel!$B$1:$AQ$1,0),1,1)</f>
        <v>0</v>
      </c>
    </row>
    <row r="199" spans="1:3">
      <c r="A199" s="3">
        <f t="shared" si="0"/>
        <v>2013</v>
      </c>
      <c r="B199" s="106">
        <f t="shared" si="1"/>
        <v>211</v>
      </c>
      <c r="C199" s="107">
        <f ca="1">OFFSET(tab_tipo_Combustivel!$A$1,MATCH(B199,tab_tipo_Combustivel!$A$2:$A$150,0),MATCH(A199,tab_tipo_Combustivel!$B$1:$AQ$1,0),1,1)</f>
        <v>150.79</v>
      </c>
    </row>
    <row r="200" spans="1:3">
      <c r="A200" s="3">
        <f t="shared" si="0"/>
        <v>2013</v>
      </c>
      <c r="B200" s="106">
        <f t="shared" si="1"/>
        <v>212</v>
      </c>
      <c r="C200" s="107">
        <f ca="1">OFFSET(tab_tipo_Combustivel!$A$1,MATCH(B200,tab_tipo_Combustivel!$A$2:$A$150,0),MATCH(A200,tab_tipo_Combustivel!$B$1:$AQ$1,0),1,1)</f>
        <v>84.58</v>
      </c>
    </row>
    <row r="201" spans="1:3">
      <c r="A201" s="3">
        <f t="shared" si="0"/>
        <v>2013</v>
      </c>
      <c r="B201" s="106">
        <f t="shared" si="1"/>
        <v>224</v>
      </c>
      <c r="C201" s="107">
        <f ca="1">OFFSET(tab_tipo_Combustivel!$A$1,MATCH(B201,tab_tipo_Combustivel!$A$2:$A$150,0),MATCH(A201,tab_tipo_Combustivel!$B$1:$AQ$1,0),1,1)</f>
        <v>31.08</v>
      </c>
    </row>
    <row r="202" spans="1:3">
      <c r="A202" s="3">
        <f t="shared" ref="A202:A265" si="2">A67+1</f>
        <v>2013</v>
      </c>
      <c r="B202" s="106">
        <f t="shared" ref="B202:B265" si="3">B67</f>
        <v>225</v>
      </c>
      <c r="C202" s="107">
        <f ca="1">OFFSET(tab_tipo_Combustivel!$A$1,MATCH(B202,tab_tipo_Combustivel!$A$2:$A$150,0),MATCH(A202,tab_tipo_Combustivel!$B$1:$AQ$1,0),1,1)</f>
        <v>1329.7</v>
      </c>
    </row>
    <row r="203" spans="1:3">
      <c r="A203" s="3">
        <f t="shared" si="2"/>
        <v>2013</v>
      </c>
      <c r="B203" s="106">
        <f t="shared" si="3"/>
        <v>226</v>
      </c>
      <c r="C203" s="107">
        <f ca="1">OFFSET(tab_tipo_Combustivel!$A$1,MATCH(B203,tab_tipo_Combustivel!$A$2:$A$150,0),MATCH(A203,tab_tipo_Combustivel!$B$1:$AQ$1,0),1,1)</f>
        <v>1061.1300000000001</v>
      </c>
    </row>
    <row r="204" spans="1:3">
      <c r="A204" s="3">
        <f t="shared" si="2"/>
        <v>2013</v>
      </c>
      <c r="B204" s="106">
        <f t="shared" si="3"/>
        <v>227</v>
      </c>
      <c r="C204" s="107">
        <f ca="1">OFFSET(tab_tipo_Combustivel!$A$1,MATCH(B204,tab_tipo_Combustivel!$A$2:$A$150,0),MATCH(A204,tab_tipo_Combustivel!$B$1:$AQ$1,0),1,1)</f>
        <v>447.52</v>
      </c>
    </row>
    <row r="205" spans="1:3">
      <c r="A205" s="3">
        <f t="shared" si="2"/>
        <v>2013</v>
      </c>
      <c r="B205" s="106">
        <f t="shared" si="3"/>
        <v>228</v>
      </c>
      <c r="C205" s="107">
        <f ca="1">OFFSET(tab_tipo_Combustivel!$A$1,MATCH(B205,tab_tipo_Combustivel!$A$2:$A$150,0),MATCH(A205,tab_tipo_Combustivel!$B$1:$AQ$1,0),1,1)</f>
        <v>1061.1400000000001</v>
      </c>
    </row>
    <row r="206" spans="1:3">
      <c r="A206" s="3">
        <f t="shared" si="2"/>
        <v>2013</v>
      </c>
      <c r="B206" s="106">
        <f t="shared" si="3"/>
        <v>229</v>
      </c>
      <c r="C206" s="107">
        <f ca="1">OFFSET(tab_tipo_Combustivel!$A$1,MATCH(B206,tab_tipo_Combustivel!$A$2:$A$150,0),MATCH(A206,tab_tipo_Combustivel!$B$1:$AQ$1,0),1,1)</f>
        <v>942.05</v>
      </c>
    </row>
    <row r="207" spans="1:3">
      <c r="A207" s="3">
        <f t="shared" si="2"/>
        <v>2013</v>
      </c>
      <c r="B207" s="106">
        <f t="shared" si="3"/>
        <v>230</v>
      </c>
      <c r="C207" s="107">
        <f ca="1">OFFSET(tab_tipo_Combustivel!$A$1,MATCH(B207,tab_tipo_Combustivel!$A$2:$A$150,0),MATCH(A207,tab_tipo_Combustivel!$B$1:$AQ$1,0),1,1)</f>
        <v>495.06</v>
      </c>
    </row>
    <row r="208" spans="1:3">
      <c r="A208" s="3">
        <f t="shared" si="2"/>
        <v>2013</v>
      </c>
      <c r="B208" s="106">
        <f t="shared" si="3"/>
        <v>231</v>
      </c>
      <c r="C208" s="107">
        <f ca="1">OFFSET(tab_tipo_Combustivel!$A$1,MATCH(B208,tab_tipo_Combustivel!$A$2:$A$150,0),MATCH(A208,tab_tipo_Combustivel!$B$1:$AQ$1,0),1,1)</f>
        <v>489.29</v>
      </c>
    </row>
    <row r="209" spans="1:3">
      <c r="A209" s="3">
        <f t="shared" si="2"/>
        <v>2013</v>
      </c>
      <c r="B209" s="106">
        <f t="shared" si="3"/>
        <v>232</v>
      </c>
      <c r="C209" s="107">
        <f ca="1">OFFSET(tab_tipo_Combustivel!$A$1,MATCH(B209,tab_tipo_Combustivel!$A$2:$A$150,0),MATCH(A209,tab_tipo_Combustivel!$B$1:$AQ$1,0),1,1)</f>
        <v>842.33</v>
      </c>
    </row>
    <row r="210" spans="1:3">
      <c r="A210" s="3">
        <f t="shared" si="2"/>
        <v>2013</v>
      </c>
      <c r="B210" s="106">
        <f t="shared" si="3"/>
        <v>233</v>
      </c>
      <c r="C210" s="107">
        <f ca="1">OFFSET(tab_tipo_Combustivel!$A$1,MATCH(B210,tab_tipo_Combustivel!$A$2:$A$150,0),MATCH(A210,tab_tipo_Combustivel!$B$1:$AQ$1,0),1,1)</f>
        <v>984.29</v>
      </c>
    </row>
    <row r="211" spans="1:3">
      <c r="A211" s="3">
        <f t="shared" si="2"/>
        <v>2013</v>
      </c>
      <c r="B211" s="106">
        <f t="shared" si="3"/>
        <v>234</v>
      </c>
      <c r="C211" s="107">
        <f ca="1">OFFSET(tab_tipo_Combustivel!$A$1,MATCH(B211,tab_tipo_Combustivel!$A$2:$A$150,0),MATCH(A211,tab_tipo_Combustivel!$B$1:$AQ$1,0),1,1)</f>
        <v>290.26</v>
      </c>
    </row>
    <row r="212" spans="1:3">
      <c r="A212" s="3">
        <f t="shared" si="2"/>
        <v>2013</v>
      </c>
      <c r="B212" s="106">
        <f t="shared" si="3"/>
        <v>235</v>
      </c>
      <c r="C212" s="107">
        <f ca="1">OFFSET(tab_tipo_Combustivel!$A$1,MATCH(B212,tab_tipo_Combustivel!$A$2:$A$150,0),MATCH(A212,tab_tipo_Combustivel!$B$1:$AQ$1,0),1,1)</f>
        <v>1350.87</v>
      </c>
    </row>
    <row r="213" spans="1:3">
      <c r="A213" s="3">
        <f t="shared" si="2"/>
        <v>2013</v>
      </c>
      <c r="B213" s="106">
        <f t="shared" si="3"/>
        <v>236</v>
      </c>
      <c r="C213" s="107">
        <f ca="1">OFFSET(tab_tipo_Combustivel!$A$1,MATCH(B213,tab_tipo_Combustivel!$A$2:$A$150,0),MATCH(A213,tab_tipo_Combustivel!$B$1:$AQ$1,0),1,1)</f>
        <v>842.33</v>
      </c>
    </row>
    <row r="214" spans="1:3">
      <c r="A214" s="3">
        <f t="shared" si="2"/>
        <v>2013</v>
      </c>
      <c r="B214" s="106">
        <f t="shared" si="3"/>
        <v>237</v>
      </c>
      <c r="C214" s="107">
        <f ca="1">OFFSET(tab_tipo_Combustivel!$A$1,MATCH(B214,tab_tipo_Combustivel!$A$2:$A$150,0),MATCH(A214,tab_tipo_Combustivel!$B$1:$AQ$1,0),1,1)</f>
        <v>760.85</v>
      </c>
    </row>
    <row r="215" spans="1:3">
      <c r="A215" s="3">
        <f t="shared" si="2"/>
        <v>2013</v>
      </c>
      <c r="B215" s="106">
        <f t="shared" si="3"/>
        <v>238</v>
      </c>
      <c r="C215" s="107">
        <f ca="1">OFFSET(tab_tipo_Combustivel!$A$1,MATCH(B215,tab_tipo_Combustivel!$A$2:$A$150,0),MATCH(A215,tab_tipo_Combustivel!$B$1:$AQ$1,0),1,1)</f>
        <v>963.75</v>
      </c>
    </row>
    <row r="216" spans="1:3">
      <c r="A216" s="3">
        <f t="shared" si="2"/>
        <v>2013</v>
      </c>
      <c r="B216" s="106">
        <f t="shared" si="3"/>
        <v>239</v>
      </c>
      <c r="C216" s="107">
        <f ca="1">OFFSET(tab_tipo_Combustivel!$A$1,MATCH(B216,tab_tipo_Combustivel!$A$2:$A$150,0),MATCH(A216,tab_tipo_Combustivel!$B$1:$AQ$1,0),1,1)</f>
        <v>963.75</v>
      </c>
    </row>
    <row r="217" spans="1:3">
      <c r="A217" s="3">
        <f t="shared" si="2"/>
        <v>2013</v>
      </c>
      <c r="B217" s="106">
        <f t="shared" si="3"/>
        <v>240</v>
      </c>
      <c r="C217" s="107">
        <f ca="1">OFFSET(tab_tipo_Combustivel!$A$1,MATCH(B217,tab_tipo_Combustivel!$A$2:$A$150,0),MATCH(A217,tab_tipo_Combustivel!$B$1:$AQ$1,0),1,1)</f>
        <v>1115.96</v>
      </c>
    </row>
    <row r="218" spans="1:3">
      <c r="A218" s="3">
        <f t="shared" si="2"/>
        <v>2013</v>
      </c>
      <c r="B218" s="106">
        <f t="shared" si="3"/>
        <v>241</v>
      </c>
      <c r="C218" s="107">
        <f ca="1">OFFSET(tab_tipo_Combustivel!$A$1,MATCH(B218,tab_tipo_Combustivel!$A$2:$A$150,0),MATCH(A218,tab_tipo_Combustivel!$B$1:$AQ$1,0),1,1)</f>
        <v>495.75</v>
      </c>
    </row>
    <row r="219" spans="1:3">
      <c r="A219" s="3">
        <f t="shared" si="2"/>
        <v>2013</v>
      </c>
      <c r="B219" s="106">
        <f t="shared" si="3"/>
        <v>242</v>
      </c>
      <c r="C219" s="107">
        <f ca="1">OFFSET(tab_tipo_Combustivel!$A$1,MATCH(B219,tab_tipo_Combustivel!$A$2:$A$150,0),MATCH(A219,tab_tipo_Combustivel!$B$1:$AQ$1,0),1,1)</f>
        <v>1176.45</v>
      </c>
    </row>
    <row r="220" spans="1:3">
      <c r="A220" s="3">
        <f t="shared" si="2"/>
        <v>2013</v>
      </c>
      <c r="B220" s="106">
        <f t="shared" si="3"/>
        <v>243</v>
      </c>
      <c r="C220" s="107">
        <f ca="1">OFFSET(tab_tipo_Combustivel!$A$1,MATCH(B220,tab_tipo_Combustivel!$A$2:$A$150,0),MATCH(A220,tab_tipo_Combustivel!$B$1:$AQ$1,0),1,1)</f>
        <v>495.08</v>
      </c>
    </row>
    <row r="221" spans="1:3">
      <c r="A221" s="3">
        <f t="shared" si="2"/>
        <v>2013</v>
      </c>
      <c r="B221" s="106">
        <f t="shared" si="3"/>
        <v>244</v>
      </c>
      <c r="C221" s="107">
        <f ca="1">OFFSET(tab_tipo_Combustivel!$A$1,MATCH(B221,tab_tipo_Combustivel!$A$2:$A$150,0),MATCH(A221,tab_tipo_Combustivel!$B$1:$AQ$1,0),1,1)</f>
        <v>495.06</v>
      </c>
    </row>
    <row r="222" spans="1:3">
      <c r="A222" s="3">
        <f t="shared" si="2"/>
        <v>2013</v>
      </c>
      <c r="B222" s="106">
        <f t="shared" si="3"/>
        <v>245</v>
      </c>
      <c r="C222" s="107">
        <f ca="1">OFFSET(tab_tipo_Combustivel!$A$1,MATCH(B222,tab_tipo_Combustivel!$A$2:$A$150,0),MATCH(A222,tab_tipo_Combustivel!$B$1:$AQ$1,0),1,1)</f>
        <v>562.65</v>
      </c>
    </row>
    <row r="223" spans="1:3">
      <c r="A223" s="3">
        <f t="shared" si="2"/>
        <v>2013</v>
      </c>
      <c r="B223" s="106">
        <f t="shared" si="3"/>
        <v>246</v>
      </c>
      <c r="C223" s="107">
        <f ca="1">OFFSET(tab_tipo_Combustivel!$A$1,MATCH(B223,tab_tipo_Combustivel!$A$2:$A$150,0),MATCH(A223,tab_tipo_Combustivel!$B$1:$AQ$1,0),1,1)</f>
        <v>1124.53</v>
      </c>
    </row>
    <row r="224" spans="1:3">
      <c r="A224" s="3">
        <f t="shared" si="2"/>
        <v>2013</v>
      </c>
      <c r="B224" s="106">
        <f t="shared" si="3"/>
        <v>247</v>
      </c>
      <c r="C224" s="107">
        <f ca="1">OFFSET(tab_tipo_Combustivel!$A$1,MATCH(B224,tab_tipo_Combustivel!$A$2:$A$150,0),MATCH(A224,tab_tipo_Combustivel!$B$1:$AQ$1,0),1,1)</f>
        <v>609.51</v>
      </c>
    </row>
    <row r="225" spans="1:3">
      <c r="A225" s="3">
        <f t="shared" si="2"/>
        <v>2013</v>
      </c>
      <c r="B225" s="106">
        <f t="shared" si="3"/>
        <v>248</v>
      </c>
      <c r="C225" s="107">
        <f ca="1">OFFSET(tab_tipo_Combustivel!$A$1,MATCH(B225,tab_tipo_Combustivel!$A$2:$A$150,0),MATCH(A225,tab_tipo_Combustivel!$B$1:$AQ$1,0),1,1)</f>
        <v>495.06</v>
      </c>
    </row>
    <row r="226" spans="1:3">
      <c r="A226" s="3">
        <f t="shared" si="2"/>
        <v>2013</v>
      </c>
      <c r="B226" s="106">
        <f t="shared" si="3"/>
        <v>249</v>
      </c>
      <c r="C226" s="107">
        <f ca="1">OFFSET(tab_tipo_Combustivel!$A$1,MATCH(B226,tab_tipo_Combustivel!$A$2:$A$150,0),MATCH(A226,tab_tipo_Combustivel!$B$1:$AQ$1,0),1,1)</f>
        <v>842.33</v>
      </c>
    </row>
    <row r="227" spans="1:3">
      <c r="A227" s="3">
        <f t="shared" si="2"/>
        <v>2013</v>
      </c>
      <c r="B227" s="106">
        <f t="shared" si="3"/>
        <v>250</v>
      </c>
      <c r="C227" s="107">
        <f ca="1">OFFSET(tab_tipo_Combustivel!$A$1,MATCH(B227,tab_tipo_Combustivel!$A$2:$A$150,0),MATCH(A227,tab_tipo_Combustivel!$B$1:$AQ$1,0),1,1)</f>
        <v>1176.45</v>
      </c>
    </row>
    <row r="228" spans="1:3">
      <c r="A228" s="3">
        <f t="shared" si="2"/>
        <v>2013</v>
      </c>
      <c r="B228" s="106">
        <f t="shared" si="3"/>
        <v>251</v>
      </c>
      <c r="C228" s="107">
        <f ca="1">OFFSET(tab_tipo_Combustivel!$A$1,MATCH(B228,tab_tipo_Combustivel!$A$2:$A$150,0),MATCH(A228,tab_tipo_Combustivel!$B$1:$AQ$1,0),1,1)</f>
        <v>842.33</v>
      </c>
    </row>
    <row r="229" spans="1:3">
      <c r="A229" s="3">
        <f t="shared" si="2"/>
        <v>2013</v>
      </c>
      <c r="B229" s="106">
        <f t="shared" si="3"/>
        <v>252</v>
      </c>
      <c r="C229" s="107">
        <f ca="1">OFFSET(tab_tipo_Combustivel!$A$1,MATCH(B229,tab_tipo_Combustivel!$A$2:$A$150,0),MATCH(A229,tab_tipo_Combustivel!$B$1:$AQ$1,0),1,1)</f>
        <v>842.33</v>
      </c>
    </row>
    <row r="230" spans="1:3">
      <c r="A230" s="3">
        <f t="shared" si="2"/>
        <v>2013</v>
      </c>
      <c r="B230" s="106">
        <f t="shared" si="3"/>
        <v>253</v>
      </c>
      <c r="C230" s="107">
        <f ca="1">OFFSET(tab_tipo_Combustivel!$A$1,MATCH(B230,tab_tipo_Combustivel!$A$2:$A$150,0),MATCH(A230,tab_tipo_Combustivel!$B$1:$AQ$1,0),1,1)</f>
        <v>279.45</v>
      </c>
    </row>
    <row r="231" spans="1:3">
      <c r="A231" s="3">
        <f t="shared" si="2"/>
        <v>2013</v>
      </c>
      <c r="B231" s="106">
        <f t="shared" si="3"/>
        <v>254</v>
      </c>
      <c r="C231" s="107">
        <f ca="1">OFFSET(tab_tipo_Combustivel!$A$1,MATCH(B231,tab_tipo_Combustivel!$A$2:$A$150,0),MATCH(A231,tab_tipo_Combustivel!$B$1:$AQ$1,0),1,1)</f>
        <v>1153.98</v>
      </c>
    </row>
    <row r="232" spans="1:3">
      <c r="A232" s="3">
        <f t="shared" si="2"/>
        <v>2013</v>
      </c>
      <c r="B232" s="106">
        <f t="shared" si="3"/>
        <v>255</v>
      </c>
      <c r="C232" s="107">
        <f ca="1">OFFSET(tab_tipo_Combustivel!$A$1,MATCH(B232,tab_tipo_Combustivel!$A$2:$A$150,0),MATCH(A232,tab_tipo_Combustivel!$B$1:$AQ$1,0),1,1)</f>
        <v>828.98</v>
      </c>
    </row>
    <row r="233" spans="1:3">
      <c r="A233" s="3">
        <f t="shared" si="2"/>
        <v>2013</v>
      </c>
      <c r="B233" s="106">
        <f t="shared" si="3"/>
        <v>256</v>
      </c>
      <c r="C233" s="107">
        <f ca="1">OFFSET(tab_tipo_Combustivel!$A$1,MATCH(B233,tab_tipo_Combustivel!$A$2:$A$150,0),MATCH(A233,tab_tipo_Combustivel!$B$1:$AQ$1,0),1,1)</f>
        <v>562.65</v>
      </c>
    </row>
    <row r="234" spans="1:3">
      <c r="A234" s="3">
        <f t="shared" si="2"/>
        <v>2013</v>
      </c>
      <c r="B234" s="106">
        <f t="shared" si="3"/>
        <v>257</v>
      </c>
      <c r="C234" s="107">
        <f ca="1">OFFSET(tab_tipo_Combustivel!$A$1,MATCH(B234,tab_tipo_Combustivel!$A$2:$A$150,0),MATCH(A234,tab_tipo_Combustivel!$B$1:$AQ$1,0),1,1)</f>
        <v>907.52</v>
      </c>
    </row>
    <row r="235" spans="1:3">
      <c r="A235" s="3">
        <f t="shared" si="2"/>
        <v>2013</v>
      </c>
      <c r="B235" s="106">
        <f t="shared" si="3"/>
        <v>258</v>
      </c>
      <c r="C235" s="107">
        <f ca="1">OFFSET(tab_tipo_Combustivel!$A$1,MATCH(B235,tab_tipo_Combustivel!$A$2:$A$150,0),MATCH(A235,tab_tipo_Combustivel!$B$1:$AQ$1,0),1,1)</f>
        <v>1016.04</v>
      </c>
    </row>
    <row r="236" spans="1:3">
      <c r="A236" s="3">
        <f t="shared" si="2"/>
        <v>2013</v>
      </c>
      <c r="B236" s="106">
        <f t="shared" si="3"/>
        <v>259</v>
      </c>
      <c r="C236" s="107">
        <f ca="1">OFFSET(tab_tipo_Combustivel!$A$1,MATCH(B236,tab_tipo_Combustivel!$A$2:$A$150,0),MATCH(A236,tab_tipo_Combustivel!$B$1:$AQ$1,0),1,1)</f>
        <v>977.53</v>
      </c>
    </row>
    <row r="237" spans="1:3">
      <c r="A237" s="3">
        <f t="shared" si="2"/>
        <v>2013</v>
      </c>
      <c r="B237" s="106">
        <f t="shared" si="3"/>
        <v>260</v>
      </c>
      <c r="C237" s="107">
        <f ca="1">OFFSET(tab_tipo_Combustivel!$A$1,MATCH(B237,tab_tipo_Combustivel!$A$2:$A$150,0),MATCH(A237,tab_tipo_Combustivel!$B$1:$AQ$1,0),1,1)</f>
        <v>827.17</v>
      </c>
    </row>
    <row r="238" spans="1:3">
      <c r="A238" s="3">
        <f t="shared" si="2"/>
        <v>2013</v>
      </c>
      <c r="B238" s="106">
        <f t="shared" si="3"/>
        <v>261</v>
      </c>
      <c r="C238" s="107">
        <f ca="1">OFFSET(tab_tipo_Combustivel!$A$1,MATCH(B238,tab_tipo_Combustivel!$A$2:$A$150,0),MATCH(A238,tab_tipo_Combustivel!$B$1:$AQ$1,0),1,1)</f>
        <v>829.7</v>
      </c>
    </row>
    <row r="239" spans="1:3">
      <c r="A239" s="3">
        <f t="shared" si="2"/>
        <v>2013</v>
      </c>
      <c r="B239" s="106">
        <f t="shared" si="3"/>
        <v>262</v>
      </c>
      <c r="C239" s="107">
        <f ca="1">OFFSET(tab_tipo_Combustivel!$A$1,MATCH(B239,tab_tipo_Combustivel!$A$2:$A$150,0),MATCH(A239,tab_tipo_Combustivel!$B$1:$AQ$1,0),1,1)</f>
        <v>495.75</v>
      </c>
    </row>
    <row r="240" spans="1:3">
      <c r="A240" s="3">
        <f t="shared" si="2"/>
        <v>2013</v>
      </c>
      <c r="B240" s="106">
        <f t="shared" si="3"/>
        <v>263</v>
      </c>
      <c r="C240" s="107">
        <f ca="1">OFFSET(tab_tipo_Combustivel!$A$1,MATCH(B240,tab_tipo_Combustivel!$A$2:$A$150,0),MATCH(A240,tab_tipo_Combustivel!$B$1:$AQ$1,0),1,1)</f>
        <v>474.77</v>
      </c>
    </row>
    <row r="241" spans="1:3">
      <c r="A241" s="3">
        <f t="shared" si="2"/>
        <v>2013</v>
      </c>
      <c r="B241" s="106">
        <f t="shared" si="3"/>
        <v>264</v>
      </c>
      <c r="C241" s="107">
        <f ca="1">OFFSET(tab_tipo_Combustivel!$A$1,MATCH(B241,tab_tipo_Combustivel!$A$2:$A$150,0),MATCH(A241,tab_tipo_Combustivel!$B$1:$AQ$1,0),1,1)</f>
        <v>842.33</v>
      </c>
    </row>
    <row r="242" spans="1:3">
      <c r="A242" s="3">
        <f t="shared" si="2"/>
        <v>2013</v>
      </c>
      <c r="B242" s="106">
        <f t="shared" si="3"/>
        <v>265</v>
      </c>
      <c r="C242" s="107">
        <f ca="1">OFFSET(tab_tipo_Combustivel!$A$1,MATCH(B242,tab_tipo_Combustivel!$A$2:$A$150,0),MATCH(A242,tab_tipo_Combustivel!$B$1:$AQ$1,0),1,1)</f>
        <v>415.82</v>
      </c>
    </row>
    <row r="243" spans="1:3">
      <c r="A243" s="3">
        <f t="shared" si="2"/>
        <v>2013</v>
      </c>
      <c r="B243" s="106">
        <f t="shared" si="3"/>
        <v>266</v>
      </c>
      <c r="C243" s="107">
        <f ca="1">OFFSET(tab_tipo_Combustivel!$A$1,MATCH(B243,tab_tipo_Combustivel!$A$2:$A$150,0),MATCH(A243,tab_tipo_Combustivel!$B$1:$AQ$1,0),1,1)</f>
        <v>827.17</v>
      </c>
    </row>
    <row r="244" spans="1:3">
      <c r="A244" s="3">
        <f t="shared" si="2"/>
        <v>2013</v>
      </c>
      <c r="B244" s="106">
        <f t="shared" si="3"/>
        <v>301</v>
      </c>
      <c r="C244" s="107">
        <f ca="1">OFFSET(tab_tipo_Combustivel!$A$1,MATCH(B244,tab_tipo_Combustivel!$A$2:$A$150,0),MATCH(A244,tab_tipo_Combustivel!$B$1:$AQ$1,0),1,1)</f>
        <v>99.08</v>
      </c>
    </row>
    <row r="245" spans="1:3">
      <c r="A245" s="3">
        <f t="shared" si="2"/>
        <v>2013</v>
      </c>
      <c r="B245" s="106">
        <f t="shared" si="3"/>
        <v>302</v>
      </c>
      <c r="C245" s="107">
        <f ca="1">OFFSET(tab_tipo_Combustivel!$A$1,MATCH(B245,tab_tipo_Combustivel!$A$2:$A$150,0),MATCH(A245,tab_tipo_Combustivel!$B$1:$AQ$1,0),1,1)</f>
        <v>103.73</v>
      </c>
    </row>
    <row r="246" spans="1:3">
      <c r="A246" s="3">
        <f t="shared" si="2"/>
        <v>2013</v>
      </c>
      <c r="B246" s="106">
        <f t="shared" si="3"/>
        <v>303</v>
      </c>
      <c r="C246" s="107">
        <f ca="1">OFFSET(tab_tipo_Combustivel!$A$1,MATCH(B246,tab_tipo_Combustivel!$A$2:$A$150,0),MATCH(A246,tab_tipo_Combustivel!$B$1:$AQ$1,0),1,1)</f>
        <v>103.73</v>
      </c>
    </row>
    <row r="247" spans="1:3">
      <c r="A247" s="3">
        <f t="shared" si="2"/>
        <v>2013</v>
      </c>
      <c r="B247" s="106">
        <f t="shared" si="3"/>
        <v>304</v>
      </c>
      <c r="C247" s="107">
        <f ca="1">OFFSET(tab_tipo_Combustivel!$A$1,MATCH(B247,tab_tipo_Combustivel!$A$2:$A$150,0),MATCH(A247,tab_tipo_Combustivel!$B$1:$AQ$1,0),1,1)</f>
        <v>139.41999999999999</v>
      </c>
    </row>
    <row r="248" spans="1:3">
      <c r="A248" s="3">
        <f t="shared" si="2"/>
        <v>2013</v>
      </c>
      <c r="B248" s="106">
        <f t="shared" si="3"/>
        <v>305</v>
      </c>
      <c r="C248" s="107">
        <f ca="1">OFFSET(tab_tipo_Combustivel!$A$1,MATCH(B248,tab_tipo_Combustivel!$A$2:$A$150,0),MATCH(A248,tab_tipo_Combustivel!$B$1:$AQ$1,0),1,1)</f>
        <v>89.7</v>
      </c>
    </row>
    <row r="249" spans="1:3">
      <c r="A249" s="3">
        <f t="shared" si="2"/>
        <v>2013</v>
      </c>
      <c r="B249" s="106">
        <f t="shared" si="3"/>
        <v>306</v>
      </c>
      <c r="C249" s="107">
        <f ca="1">OFFSET(tab_tipo_Combustivel!$A$1,MATCH(B249,tab_tipo_Combustivel!$A$2:$A$150,0),MATCH(A249,tab_tipo_Combustivel!$B$1:$AQ$1,0),1,1)</f>
        <v>100.38</v>
      </c>
    </row>
    <row r="250" spans="1:3">
      <c r="A250" s="3">
        <f t="shared" si="2"/>
        <v>2013</v>
      </c>
      <c r="B250" s="106">
        <f t="shared" si="3"/>
        <v>307</v>
      </c>
      <c r="C250" s="107">
        <f ca="1">OFFSET(tab_tipo_Combustivel!$A$1,MATCH(B250,tab_tipo_Combustivel!$A$2:$A$150,0),MATCH(A250,tab_tipo_Combustivel!$B$1:$AQ$1,0),1,1)</f>
        <v>510.12</v>
      </c>
    </row>
    <row r="251" spans="1:3">
      <c r="A251" s="3">
        <f t="shared" si="2"/>
        <v>2013</v>
      </c>
      <c r="B251" s="106">
        <f t="shared" si="3"/>
        <v>308</v>
      </c>
      <c r="C251" s="107">
        <f ca="1">OFFSET(tab_tipo_Combustivel!$A$1,MATCH(B251,tab_tipo_Combustivel!$A$2:$A$150,0),MATCH(A251,tab_tipo_Combustivel!$B$1:$AQ$1,0),1,1)</f>
        <v>72.5</v>
      </c>
    </row>
    <row r="252" spans="1:3">
      <c r="A252" s="3">
        <f t="shared" si="2"/>
        <v>2013</v>
      </c>
      <c r="B252" s="106">
        <f t="shared" si="3"/>
        <v>309</v>
      </c>
      <c r="C252" s="107">
        <f ca="1">OFFSET(tab_tipo_Combustivel!$A$1,MATCH(B252,tab_tipo_Combustivel!$A$2:$A$150,0),MATCH(A252,tab_tipo_Combustivel!$B$1:$AQ$1,0),1,1)</f>
        <v>126.77</v>
      </c>
    </row>
    <row r="253" spans="1:3">
      <c r="A253" s="3">
        <f t="shared" si="2"/>
        <v>2013</v>
      </c>
      <c r="B253" s="106">
        <f t="shared" si="3"/>
        <v>310</v>
      </c>
      <c r="C253" s="107">
        <f ca="1">OFFSET(tab_tipo_Combustivel!$A$1,MATCH(B253,tab_tipo_Combustivel!$A$2:$A$150,0),MATCH(A253,tab_tipo_Combustivel!$B$1:$AQ$1,0),1,1)</f>
        <v>275.99</v>
      </c>
    </row>
    <row r="254" spans="1:3">
      <c r="A254" s="3">
        <f t="shared" si="2"/>
        <v>2013</v>
      </c>
      <c r="B254" s="106">
        <f t="shared" si="3"/>
        <v>311</v>
      </c>
      <c r="C254" s="107">
        <f ca="1">OFFSET(tab_tipo_Combustivel!$A$1,MATCH(B254,tab_tipo_Combustivel!$A$2:$A$150,0),MATCH(A254,tab_tipo_Combustivel!$B$1:$AQ$1,0),1,1)</f>
        <v>70.66</v>
      </c>
    </row>
    <row r="255" spans="1:3">
      <c r="A255" s="3">
        <f t="shared" si="2"/>
        <v>2013</v>
      </c>
      <c r="B255" s="106">
        <f t="shared" si="3"/>
        <v>312</v>
      </c>
      <c r="C255" s="107">
        <f ca="1">OFFSET(tab_tipo_Combustivel!$A$1,MATCH(B255,tab_tipo_Combustivel!$A$2:$A$150,0),MATCH(A255,tab_tipo_Combustivel!$B$1:$AQ$1,0),1,1)</f>
        <v>0</v>
      </c>
    </row>
    <row r="256" spans="1:3">
      <c r="A256" s="3">
        <f t="shared" si="2"/>
        <v>2013</v>
      </c>
      <c r="B256" s="106">
        <f t="shared" si="3"/>
        <v>1301</v>
      </c>
      <c r="C256" s="107">
        <f ca="1">OFFSET(tab_tipo_Combustivel!$A$1,MATCH(B256,tab_tipo_Combustivel!$A$2:$A$150,0),MATCH(A256,tab_tipo_Combustivel!$B$1:$AQ$1,0),1,1)</f>
        <v>242.05</v>
      </c>
    </row>
    <row r="257" spans="1:3">
      <c r="A257" s="3">
        <f t="shared" si="2"/>
        <v>2013</v>
      </c>
      <c r="B257" s="106">
        <f t="shared" si="3"/>
        <v>1302</v>
      </c>
      <c r="C257" s="107">
        <f ca="1">OFFSET(tab_tipo_Combustivel!$A$1,MATCH(B257,tab_tipo_Combustivel!$A$2:$A$150,0),MATCH(A257,tab_tipo_Combustivel!$B$1:$AQ$1,0),1,1)</f>
        <v>193.64</v>
      </c>
    </row>
    <row r="258" spans="1:3">
      <c r="A258" s="3">
        <f t="shared" si="2"/>
        <v>2013</v>
      </c>
      <c r="B258" s="106">
        <f t="shared" si="3"/>
        <v>1303</v>
      </c>
      <c r="C258" s="107">
        <f ca="1">OFFSET(tab_tipo_Combustivel!$A$1,MATCH(B258,tab_tipo_Combustivel!$A$2:$A$150,0),MATCH(A258,tab_tipo_Combustivel!$B$1:$AQ$1,0),1,1)</f>
        <v>25.58</v>
      </c>
    </row>
    <row r="259" spans="1:3">
      <c r="A259" s="3">
        <f t="shared" si="2"/>
        <v>2013</v>
      </c>
      <c r="B259" s="106">
        <f t="shared" si="3"/>
        <v>1304</v>
      </c>
      <c r="C259" s="107">
        <f ca="1">OFFSET(tab_tipo_Combustivel!$A$1,MATCH(B259,tab_tipo_Combustivel!$A$2:$A$150,0),MATCH(A259,tab_tipo_Combustivel!$B$1:$AQ$1,0),1,1)</f>
        <v>0</v>
      </c>
    </row>
    <row r="260" spans="1:3">
      <c r="A260" s="3">
        <f t="shared" si="2"/>
        <v>2013</v>
      </c>
      <c r="B260" s="106">
        <f t="shared" si="3"/>
        <v>1315</v>
      </c>
      <c r="C260" s="107">
        <f ca="1">OFFSET(tab_tipo_Combustivel!$A$1,MATCH(B260,tab_tipo_Combustivel!$A$2:$A$150,0),MATCH(A260,tab_tipo_Combustivel!$B$1:$AQ$1,0),1,1)</f>
        <v>0</v>
      </c>
    </row>
    <row r="261" spans="1:3">
      <c r="A261" s="3">
        <f t="shared" si="2"/>
        <v>2013</v>
      </c>
      <c r="B261" s="106">
        <f t="shared" si="3"/>
        <v>1316</v>
      </c>
      <c r="C261" s="107">
        <f ca="1">OFFSET(tab_tipo_Combustivel!$A$1,MATCH(B261,tab_tipo_Combustivel!$A$2:$A$150,0),MATCH(A261,tab_tipo_Combustivel!$B$1:$AQ$1,0),1,1)</f>
        <v>0</v>
      </c>
    </row>
    <row r="262" spans="1:3">
      <c r="A262" s="3">
        <f t="shared" si="2"/>
        <v>2013</v>
      </c>
      <c r="B262" s="106">
        <f t="shared" si="3"/>
        <v>1318</v>
      </c>
      <c r="C262" s="107">
        <f ca="1">OFFSET(tab_tipo_Combustivel!$A$1,MATCH(B262,tab_tipo_Combustivel!$A$2:$A$150,0),MATCH(A262,tab_tipo_Combustivel!$B$1:$AQ$1,0),1,1)</f>
        <v>200</v>
      </c>
    </row>
    <row r="263" spans="1:3">
      <c r="A263" s="3">
        <f t="shared" si="2"/>
        <v>2013</v>
      </c>
      <c r="B263" s="106">
        <f t="shared" si="3"/>
        <v>1321</v>
      </c>
      <c r="C263" s="107">
        <f ca="1">OFFSET(tab_tipo_Combustivel!$A$1,MATCH(B263,tab_tipo_Combustivel!$A$2:$A$150,0),MATCH(A263,tab_tipo_Combustivel!$B$1:$AQ$1,0),1,1)</f>
        <v>85</v>
      </c>
    </row>
    <row r="264" spans="1:3">
      <c r="A264" s="3">
        <f t="shared" si="2"/>
        <v>2013</v>
      </c>
      <c r="B264" s="106">
        <f t="shared" si="3"/>
        <v>1322</v>
      </c>
      <c r="C264" s="107">
        <f ca="1">OFFSET(tab_tipo_Combustivel!$A$1,MATCH(B264,tab_tipo_Combustivel!$A$2:$A$150,0),MATCH(A264,tab_tipo_Combustivel!$B$1:$AQ$1,0),1,1)</f>
        <v>140</v>
      </c>
    </row>
    <row r="265" spans="1:3">
      <c r="A265" s="3">
        <f t="shared" si="2"/>
        <v>2013</v>
      </c>
      <c r="B265" s="106">
        <f t="shared" si="3"/>
        <v>1323</v>
      </c>
      <c r="C265" s="107">
        <f ca="1">OFFSET(tab_tipo_Combustivel!$A$1,MATCH(B265,tab_tipo_Combustivel!$A$2:$A$150,0),MATCH(A265,tab_tipo_Combustivel!$B$1:$AQ$1,0),1,1)</f>
        <v>63.75</v>
      </c>
    </row>
    <row r="266" spans="1:3">
      <c r="A266" s="3">
        <f t="shared" ref="A266:A329" si="4">A131+1</f>
        <v>2013</v>
      </c>
      <c r="B266" s="106">
        <f t="shared" ref="B266:B329" si="5">B131</f>
        <v>1325</v>
      </c>
      <c r="C266" s="107">
        <f ca="1">OFFSET(tab_tipo_Combustivel!$A$1,MATCH(B266,tab_tipo_Combustivel!$A$2:$A$150,0),MATCH(A266,tab_tipo_Combustivel!$B$1:$AQ$1,0),1,1)</f>
        <v>0</v>
      </c>
    </row>
    <row r="267" spans="1:3">
      <c r="A267" s="3">
        <f t="shared" si="4"/>
        <v>2013</v>
      </c>
      <c r="B267" s="106">
        <f t="shared" si="5"/>
        <v>1326</v>
      </c>
      <c r="C267" s="107">
        <f ca="1">OFFSET(tab_tipo_Combustivel!$A$1,MATCH(B267,tab_tipo_Combustivel!$A$2:$A$150,0),MATCH(A267,tab_tipo_Combustivel!$B$1:$AQ$1,0),1,1)</f>
        <v>260</v>
      </c>
    </row>
    <row r="268" spans="1:3">
      <c r="A268" s="3">
        <f t="shared" si="4"/>
        <v>2013</v>
      </c>
      <c r="B268" s="106">
        <f t="shared" si="5"/>
        <v>1501</v>
      </c>
      <c r="C268" s="107">
        <f ca="1">OFFSET(tab_tipo_Combustivel!$A$1,MATCH(B268,tab_tipo_Combustivel!$A$2:$A$150,0),MATCH(A268,tab_tipo_Combustivel!$B$1:$AQ$1,0),1,1)</f>
        <v>260</v>
      </c>
    </row>
    <row r="269" spans="1:3">
      <c r="A269" s="3">
        <f t="shared" si="4"/>
        <v>2013</v>
      </c>
      <c r="B269" s="106">
        <f t="shared" si="5"/>
        <v>1502</v>
      </c>
      <c r="C269" s="107">
        <f ca="1">OFFSET(tab_tipo_Combustivel!$A$1,MATCH(B269,tab_tipo_Combustivel!$A$2:$A$150,0),MATCH(A269,tab_tipo_Combustivel!$B$1:$AQ$1,0),1,1)</f>
        <v>60</v>
      </c>
    </row>
    <row r="270" spans="1:3">
      <c r="A270" s="3">
        <f t="shared" si="4"/>
        <v>2013</v>
      </c>
      <c r="B270" s="106">
        <f t="shared" si="5"/>
        <v>1503</v>
      </c>
      <c r="C270" s="107">
        <f ca="1">OFFSET(tab_tipo_Combustivel!$A$1,MATCH(B270,tab_tipo_Combustivel!$A$2:$A$150,0),MATCH(A270,tab_tipo_Combustivel!$B$1:$AQ$1,0),1,1)</f>
        <v>96.82</v>
      </c>
    </row>
    <row r="271" spans="1:3">
      <c r="A271" s="3">
        <f t="shared" si="4"/>
        <v>2013</v>
      </c>
      <c r="B271" s="106">
        <f t="shared" si="5"/>
        <v>1504</v>
      </c>
      <c r="C271" s="107">
        <f ca="1">OFFSET(tab_tipo_Combustivel!$A$1,MATCH(B271,tab_tipo_Combustivel!$A$2:$A$150,0),MATCH(A271,tab_tipo_Combustivel!$B$1:$AQ$1,0),1,1)</f>
        <v>145.22999999999999</v>
      </c>
    </row>
    <row r="272" spans="1:3">
      <c r="A272" s="3">
        <f t="shared" si="4"/>
        <v>2014</v>
      </c>
      <c r="B272" s="106">
        <f t="shared" si="5"/>
        <v>1</v>
      </c>
      <c r="C272" s="107">
        <f ca="1">OFFSET(tab_tipo_Combustivel!$A$1,MATCH(B272,tab_tipo_Combustivel!$A$2:$A$150,0),MATCH(A272,tab_tipo_Combustivel!$B$1:$AQ$1,0),1,1)</f>
        <v>29.13</v>
      </c>
    </row>
    <row r="273" spans="1:3">
      <c r="A273" s="3">
        <f t="shared" si="4"/>
        <v>2014</v>
      </c>
      <c r="B273" s="106">
        <f t="shared" si="5"/>
        <v>2</v>
      </c>
      <c r="C273" s="107">
        <f ca="1">OFFSET(tab_tipo_Combustivel!$A$1,MATCH(B273,tab_tipo_Combustivel!$A$2:$A$150,0),MATCH(A273,tab_tipo_Combustivel!$B$1:$AQ$1,0),1,1)</f>
        <v>842.33</v>
      </c>
    </row>
    <row r="274" spans="1:3">
      <c r="A274" s="3">
        <f t="shared" si="4"/>
        <v>2014</v>
      </c>
      <c r="B274" s="106">
        <f t="shared" si="5"/>
        <v>4</v>
      </c>
      <c r="C274" s="107">
        <f ca="1">OFFSET(tab_tipo_Combustivel!$A$1,MATCH(B274,tab_tipo_Combustivel!$A$2:$A$150,0),MATCH(A274,tab_tipo_Combustivel!$B$1:$AQ$1,0),1,1)</f>
        <v>842.33</v>
      </c>
    </row>
    <row r="275" spans="1:3">
      <c r="A275" s="3">
        <f t="shared" si="4"/>
        <v>2014</v>
      </c>
      <c r="B275" s="106">
        <f t="shared" si="5"/>
        <v>9</v>
      </c>
      <c r="C275" s="107">
        <f ca="1">OFFSET(tab_tipo_Combustivel!$A$1,MATCH(B275,tab_tipo_Combustivel!$A$2:$A$150,0),MATCH(A275,tab_tipo_Combustivel!$B$1:$AQ$1,0),1,1)</f>
        <v>842.33</v>
      </c>
    </row>
    <row r="276" spans="1:3">
      <c r="A276" s="3">
        <f t="shared" si="4"/>
        <v>2014</v>
      </c>
      <c r="B276" s="106">
        <f t="shared" si="5"/>
        <v>12</v>
      </c>
      <c r="C276" s="107">
        <f ca="1">OFFSET(tab_tipo_Combustivel!$A$1,MATCH(B276,tab_tipo_Combustivel!$A$2:$A$150,0),MATCH(A276,tab_tipo_Combustivel!$B$1:$AQ$1,0),1,1)</f>
        <v>728.87</v>
      </c>
    </row>
    <row r="277" spans="1:3">
      <c r="A277" s="3">
        <f t="shared" si="4"/>
        <v>2014</v>
      </c>
      <c r="B277" s="106">
        <f t="shared" si="5"/>
        <v>13</v>
      </c>
      <c r="C277" s="107">
        <f ca="1">OFFSET(tab_tipo_Combustivel!$A$1,MATCH(B277,tab_tipo_Combustivel!$A$2:$A$150,0),MATCH(A277,tab_tipo_Combustivel!$B$1:$AQ$1,0),1,1)</f>
        <v>20.12</v>
      </c>
    </row>
    <row r="278" spans="1:3">
      <c r="A278" s="3">
        <f t="shared" si="4"/>
        <v>2014</v>
      </c>
      <c r="B278" s="106">
        <f t="shared" si="5"/>
        <v>15</v>
      </c>
      <c r="C278" s="107">
        <f ca="1">OFFSET(tab_tipo_Combustivel!$A$1,MATCH(B278,tab_tipo_Combustivel!$A$2:$A$150,0),MATCH(A278,tab_tipo_Combustivel!$B$1:$AQ$1,0),1,1)</f>
        <v>257.29000000000002</v>
      </c>
    </row>
    <row r="279" spans="1:3">
      <c r="A279" s="3">
        <f t="shared" si="4"/>
        <v>2014</v>
      </c>
      <c r="B279" s="106">
        <f t="shared" si="5"/>
        <v>21</v>
      </c>
      <c r="C279" s="107">
        <f ca="1">OFFSET(tab_tipo_Combustivel!$A$1,MATCH(B279,tab_tipo_Combustivel!$A$2:$A$150,0),MATCH(A279,tab_tipo_Combustivel!$B$1:$AQ$1,0),1,1)</f>
        <v>157.83000000000001</v>
      </c>
    </row>
    <row r="280" spans="1:3">
      <c r="A280" s="3">
        <f t="shared" si="4"/>
        <v>2014</v>
      </c>
      <c r="B280" s="106">
        <f t="shared" si="5"/>
        <v>22</v>
      </c>
      <c r="C280" s="107">
        <f ca="1">OFFSET(tab_tipo_Combustivel!$A$1,MATCH(B280,tab_tipo_Combustivel!$A$2:$A$150,0),MATCH(A280,tab_tipo_Combustivel!$B$1:$AQ$1,0),1,1)</f>
        <v>115.9</v>
      </c>
    </row>
    <row r="281" spans="1:3">
      <c r="A281" s="3">
        <f t="shared" si="4"/>
        <v>2014</v>
      </c>
      <c r="B281" s="106">
        <f t="shared" si="5"/>
        <v>23</v>
      </c>
      <c r="C281" s="107">
        <f ca="1">OFFSET(tab_tipo_Combustivel!$A$1,MATCH(B281,tab_tipo_Combustivel!$A$2:$A$150,0),MATCH(A281,tab_tipo_Combustivel!$B$1:$AQ$1,0),1,1)</f>
        <v>115.9</v>
      </c>
    </row>
    <row r="282" spans="1:3">
      <c r="A282" s="3">
        <f t="shared" si="4"/>
        <v>2014</v>
      </c>
      <c r="B282" s="106">
        <f t="shared" si="5"/>
        <v>24</v>
      </c>
      <c r="C282" s="107">
        <f ca="1">OFFSET(tab_tipo_Combustivel!$A$1,MATCH(B282,tab_tipo_Combustivel!$A$2:$A$150,0),MATCH(A282,tab_tipo_Combustivel!$B$1:$AQ$1,0),1,1)</f>
        <v>155.85</v>
      </c>
    </row>
    <row r="283" spans="1:3">
      <c r="A283" s="3">
        <f t="shared" si="4"/>
        <v>2014</v>
      </c>
      <c r="B283" s="106">
        <f t="shared" si="5"/>
        <v>25</v>
      </c>
      <c r="C283" s="107">
        <f ca="1">OFFSET(tab_tipo_Combustivel!$A$1,MATCH(B283,tab_tipo_Combustivel!$A$2:$A$150,0),MATCH(A283,tab_tipo_Combustivel!$B$1:$AQ$1,0),1,1)</f>
        <v>186.33</v>
      </c>
    </row>
    <row r="284" spans="1:3">
      <c r="A284" s="3">
        <f t="shared" si="4"/>
        <v>2014</v>
      </c>
      <c r="B284" s="106">
        <f t="shared" si="5"/>
        <v>26</v>
      </c>
      <c r="C284" s="107">
        <f ca="1">OFFSET(tab_tipo_Combustivel!$A$1,MATCH(B284,tab_tipo_Combustivel!$A$2:$A$150,0),MATCH(A284,tab_tipo_Combustivel!$B$1:$AQ$1,0),1,1)</f>
        <v>258.42</v>
      </c>
    </row>
    <row r="285" spans="1:3">
      <c r="A285" s="3">
        <f t="shared" si="4"/>
        <v>2014</v>
      </c>
      <c r="B285" s="106">
        <f t="shared" si="5"/>
        <v>27</v>
      </c>
      <c r="C285" s="107">
        <f ca="1">OFFSET(tab_tipo_Combustivel!$A$1,MATCH(B285,tab_tipo_Combustivel!$A$2:$A$150,0),MATCH(A285,tab_tipo_Combustivel!$B$1:$AQ$1,0),1,1)</f>
        <v>195.49</v>
      </c>
    </row>
    <row r="286" spans="1:3">
      <c r="A286" s="3">
        <f t="shared" si="4"/>
        <v>2014</v>
      </c>
      <c r="B286" s="106">
        <f t="shared" si="5"/>
        <v>28</v>
      </c>
      <c r="C286" s="107">
        <f ca="1">OFFSET(tab_tipo_Combustivel!$A$1,MATCH(B286,tab_tipo_Combustivel!$A$2:$A$150,0),MATCH(A286,tab_tipo_Combustivel!$B$1:$AQ$1,0),1,1)</f>
        <v>459.92</v>
      </c>
    </row>
    <row r="287" spans="1:3">
      <c r="A287" s="3">
        <f t="shared" si="4"/>
        <v>2014</v>
      </c>
      <c r="B287" s="106">
        <f t="shared" si="5"/>
        <v>32</v>
      </c>
      <c r="C287" s="107">
        <f ca="1">OFFSET(tab_tipo_Combustivel!$A$1,MATCH(B287,tab_tipo_Combustivel!$A$2:$A$150,0),MATCH(A287,tab_tipo_Combustivel!$B$1:$AQ$1,0),1,1)</f>
        <v>248.31</v>
      </c>
    </row>
    <row r="288" spans="1:3">
      <c r="A288" s="3">
        <f t="shared" si="4"/>
        <v>2014</v>
      </c>
      <c r="B288" s="106">
        <f t="shared" si="5"/>
        <v>34</v>
      </c>
      <c r="C288" s="107">
        <f ca="1">OFFSET(tab_tipo_Combustivel!$A$1,MATCH(B288,tab_tipo_Combustivel!$A$2:$A$150,0),MATCH(A288,tab_tipo_Combustivel!$B$1:$AQ$1,0),1,1)</f>
        <v>423.38</v>
      </c>
    </row>
    <row r="289" spans="1:3">
      <c r="A289" s="3">
        <f t="shared" si="4"/>
        <v>2014</v>
      </c>
      <c r="B289" s="106">
        <f t="shared" si="5"/>
        <v>35</v>
      </c>
      <c r="C289" s="107">
        <f ca="1">OFFSET(tab_tipo_Combustivel!$A$1,MATCH(B289,tab_tipo_Combustivel!$A$2:$A$150,0),MATCH(A289,tab_tipo_Combustivel!$B$1:$AQ$1,0),1,1)</f>
        <v>692.45</v>
      </c>
    </row>
    <row r="290" spans="1:3">
      <c r="A290" s="3">
        <f t="shared" si="4"/>
        <v>2014</v>
      </c>
      <c r="B290" s="106">
        <f t="shared" si="5"/>
        <v>36</v>
      </c>
      <c r="C290" s="107">
        <f ca="1">OFFSET(tab_tipo_Combustivel!$A$1,MATCH(B290,tab_tipo_Combustivel!$A$2:$A$150,0),MATCH(A290,tab_tipo_Combustivel!$B$1:$AQ$1,0),1,1)</f>
        <v>157.83000000000001</v>
      </c>
    </row>
    <row r="291" spans="1:3">
      <c r="A291" s="3">
        <f t="shared" si="4"/>
        <v>2014</v>
      </c>
      <c r="B291" s="106">
        <f t="shared" si="5"/>
        <v>42</v>
      </c>
      <c r="C291" s="107">
        <f ca="1">OFFSET(tab_tipo_Combustivel!$A$1,MATCH(B291,tab_tipo_Combustivel!$A$2:$A$150,0),MATCH(A291,tab_tipo_Combustivel!$B$1:$AQ$1,0),1,1)</f>
        <v>199.22</v>
      </c>
    </row>
    <row r="292" spans="1:3">
      <c r="A292" s="3">
        <f t="shared" si="4"/>
        <v>2014</v>
      </c>
      <c r="B292" s="106">
        <f t="shared" si="5"/>
        <v>43</v>
      </c>
      <c r="C292" s="107">
        <f ca="1">OFFSET(tab_tipo_Combustivel!$A$1,MATCH(B292,tab_tipo_Combustivel!$A$2:$A$150,0),MATCH(A292,tab_tipo_Combustivel!$B$1:$AQ$1,0),1,1)</f>
        <v>431.62</v>
      </c>
    </row>
    <row r="293" spans="1:3">
      <c r="A293" s="3">
        <f t="shared" si="4"/>
        <v>2014</v>
      </c>
      <c r="B293" s="106">
        <f t="shared" si="5"/>
        <v>44</v>
      </c>
      <c r="C293" s="107">
        <f ca="1">OFFSET(tab_tipo_Combustivel!$A$1,MATCH(B293,tab_tipo_Combustivel!$A$2:$A$150,0),MATCH(A293,tab_tipo_Combustivel!$B$1:$AQ$1,0),1,1)</f>
        <v>25.58</v>
      </c>
    </row>
    <row r="294" spans="1:3">
      <c r="A294" s="3">
        <f t="shared" si="4"/>
        <v>2014</v>
      </c>
      <c r="B294" s="106">
        <f t="shared" si="5"/>
        <v>46</v>
      </c>
      <c r="C294" s="107">
        <f ca="1">OFFSET(tab_tipo_Combustivel!$A$1,MATCH(B294,tab_tipo_Combustivel!$A$2:$A$150,0),MATCH(A294,tab_tipo_Combustivel!$B$1:$AQ$1,0),1,1)</f>
        <v>228.91</v>
      </c>
    </row>
    <row r="295" spans="1:3">
      <c r="A295" s="3">
        <f t="shared" si="4"/>
        <v>2014</v>
      </c>
      <c r="B295" s="106">
        <f t="shared" si="5"/>
        <v>47</v>
      </c>
      <c r="C295" s="107">
        <f ca="1">OFFSET(tab_tipo_Combustivel!$A$1,MATCH(B295,tab_tipo_Combustivel!$A$2:$A$150,0),MATCH(A295,tab_tipo_Combustivel!$B$1:$AQ$1,0),1,1)</f>
        <v>235.6</v>
      </c>
    </row>
    <row r="296" spans="1:3">
      <c r="A296" s="3">
        <f t="shared" si="4"/>
        <v>2014</v>
      </c>
      <c r="B296" s="106">
        <f t="shared" si="5"/>
        <v>48</v>
      </c>
      <c r="C296" s="107">
        <f ca="1">OFFSET(tab_tipo_Combustivel!$A$1,MATCH(B296,tab_tipo_Combustivel!$A$2:$A$150,0),MATCH(A296,tab_tipo_Combustivel!$B$1:$AQ$1,0),1,1)</f>
        <v>1012.12</v>
      </c>
    </row>
    <row r="297" spans="1:3">
      <c r="A297" s="3">
        <f t="shared" si="4"/>
        <v>2014</v>
      </c>
      <c r="B297" s="106">
        <f t="shared" si="5"/>
        <v>50</v>
      </c>
      <c r="C297" s="107">
        <f ca="1">OFFSET(tab_tipo_Combustivel!$A$1,MATCH(B297,tab_tipo_Combustivel!$A$2:$A$150,0),MATCH(A297,tab_tipo_Combustivel!$B$1:$AQ$1,0),1,1)</f>
        <v>669.87</v>
      </c>
    </row>
    <row r="298" spans="1:3">
      <c r="A298" s="3">
        <f t="shared" si="4"/>
        <v>2014</v>
      </c>
      <c r="B298" s="106">
        <f t="shared" si="5"/>
        <v>54</v>
      </c>
      <c r="C298" s="107">
        <f ca="1">OFFSET(tab_tipo_Combustivel!$A$1,MATCH(B298,tab_tipo_Combustivel!$A$2:$A$150,0),MATCH(A298,tab_tipo_Combustivel!$B$1:$AQ$1,0),1,1)</f>
        <v>304.55</v>
      </c>
    </row>
    <row r="299" spans="1:3">
      <c r="A299" s="3">
        <f t="shared" si="4"/>
        <v>2014</v>
      </c>
      <c r="B299" s="106">
        <f t="shared" si="5"/>
        <v>58</v>
      </c>
      <c r="C299" s="107">
        <f ca="1">OFFSET(tab_tipo_Combustivel!$A$1,MATCH(B299,tab_tipo_Combustivel!$A$2:$A$150,0),MATCH(A299,tab_tipo_Combustivel!$B$1:$AQ$1,0),1,1)</f>
        <v>300.05</v>
      </c>
    </row>
    <row r="300" spans="1:3">
      <c r="A300" s="3">
        <f t="shared" si="4"/>
        <v>2014</v>
      </c>
      <c r="B300" s="106">
        <f t="shared" si="5"/>
        <v>62</v>
      </c>
      <c r="C300" s="107">
        <f ca="1">OFFSET(tab_tipo_Combustivel!$A$1,MATCH(B300,tab_tipo_Combustivel!$A$2:$A$150,0),MATCH(A300,tab_tipo_Combustivel!$B$1:$AQ$1,0),1,1)</f>
        <v>309.24</v>
      </c>
    </row>
    <row r="301" spans="1:3">
      <c r="A301" s="3">
        <f t="shared" si="4"/>
        <v>2014</v>
      </c>
      <c r="B301" s="106">
        <f t="shared" si="5"/>
        <v>63</v>
      </c>
      <c r="C301" s="107">
        <f ca="1">OFFSET(tab_tipo_Combustivel!$A$1,MATCH(B301,tab_tipo_Combustivel!$A$2:$A$150,0),MATCH(A301,tab_tipo_Combustivel!$B$1:$AQ$1,0),1,1)</f>
        <v>365.77</v>
      </c>
    </row>
    <row r="302" spans="1:3">
      <c r="A302" s="3">
        <f t="shared" si="4"/>
        <v>2014</v>
      </c>
      <c r="B302" s="106">
        <f t="shared" si="5"/>
        <v>64</v>
      </c>
      <c r="C302" s="107">
        <f ca="1">OFFSET(tab_tipo_Combustivel!$A$1,MATCH(B302,tab_tipo_Combustivel!$A$2:$A$150,0),MATCH(A302,tab_tipo_Combustivel!$B$1:$AQ$1,0),1,1)</f>
        <v>853.54</v>
      </c>
    </row>
    <row r="303" spans="1:3">
      <c r="A303" s="3">
        <f t="shared" si="4"/>
        <v>2014</v>
      </c>
      <c r="B303" s="106">
        <f t="shared" si="5"/>
        <v>68</v>
      </c>
      <c r="C303" s="107">
        <f ca="1">OFFSET(tab_tipo_Combustivel!$A$1,MATCH(B303,tab_tipo_Combustivel!$A$2:$A$150,0),MATCH(A303,tab_tipo_Combustivel!$B$1:$AQ$1,0),1,1)</f>
        <v>195.63</v>
      </c>
    </row>
    <row r="304" spans="1:3">
      <c r="A304" s="3">
        <f t="shared" si="4"/>
        <v>2014</v>
      </c>
      <c r="B304" s="106">
        <f t="shared" si="5"/>
        <v>74</v>
      </c>
      <c r="C304" s="107">
        <f ca="1">OFFSET(tab_tipo_Combustivel!$A$1,MATCH(B304,tab_tipo_Combustivel!$A$2:$A$150,0),MATCH(A304,tab_tipo_Combustivel!$B$1:$AQ$1,0),1,1)</f>
        <v>364.46</v>
      </c>
    </row>
    <row r="305" spans="1:3">
      <c r="A305" s="3">
        <f t="shared" si="4"/>
        <v>2014</v>
      </c>
      <c r="B305" s="106">
        <f t="shared" si="5"/>
        <v>83</v>
      </c>
      <c r="C305" s="107">
        <f ca="1">OFFSET(tab_tipo_Combustivel!$A$1,MATCH(B305,tab_tipo_Combustivel!$A$2:$A$150,0),MATCH(A305,tab_tipo_Combustivel!$B$1:$AQ$1,0),1,1)</f>
        <v>448.1</v>
      </c>
    </row>
    <row r="306" spans="1:3">
      <c r="A306" s="3">
        <f t="shared" si="4"/>
        <v>2014</v>
      </c>
      <c r="B306" s="106">
        <f t="shared" si="5"/>
        <v>86</v>
      </c>
      <c r="C306" s="107">
        <f ca="1">OFFSET(tab_tipo_Combustivel!$A$1,MATCH(B306,tab_tipo_Combustivel!$A$2:$A$150,0),MATCH(A306,tab_tipo_Combustivel!$B$1:$AQ$1,0),1,1)</f>
        <v>170.34</v>
      </c>
    </row>
    <row r="307" spans="1:3">
      <c r="A307" s="3">
        <f t="shared" si="4"/>
        <v>2014</v>
      </c>
      <c r="B307" s="106">
        <f t="shared" si="5"/>
        <v>90</v>
      </c>
      <c r="C307" s="107">
        <f ca="1">OFFSET(tab_tipo_Combustivel!$A$1,MATCH(B307,tab_tipo_Combustivel!$A$2:$A$150,0),MATCH(A307,tab_tipo_Combustivel!$B$1:$AQ$1,0),1,1)</f>
        <v>533.1</v>
      </c>
    </row>
    <row r="308" spans="1:3">
      <c r="A308" s="3">
        <f t="shared" si="4"/>
        <v>2014</v>
      </c>
      <c r="B308" s="106">
        <f t="shared" si="5"/>
        <v>93</v>
      </c>
      <c r="C308" s="107">
        <f ca="1">OFFSET(tab_tipo_Combustivel!$A$1,MATCH(B308,tab_tipo_Combustivel!$A$2:$A$150,0),MATCH(A308,tab_tipo_Combustivel!$B$1:$AQ$1,0),1,1)</f>
        <v>842.33</v>
      </c>
    </row>
    <row r="309" spans="1:3">
      <c r="A309" s="3">
        <f t="shared" si="4"/>
        <v>2014</v>
      </c>
      <c r="B309" s="106">
        <f t="shared" si="5"/>
        <v>94</v>
      </c>
      <c r="C309" s="107">
        <f ca="1">OFFSET(tab_tipo_Combustivel!$A$1,MATCH(B309,tab_tipo_Combustivel!$A$2:$A$150,0),MATCH(A309,tab_tipo_Combustivel!$B$1:$AQ$1,0),1,1)</f>
        <v>842.33</v>
      </c>
    </row>
    <row r="310" spans="1:3">
      <c r="A310" s="3">
        <f t="shared" si="4"/>
        <v>2014</v>
      </c>
      <c r="B310" s="106">
        <f t="shared" si="5"/>
        <v>96</v>
      </c>
      <c r="C310" s="107">
        <f ca="1">OFFSET(tab_tipo_Combustivel!$A$1,MATCH(B310,tab_tipo_Combustivel!$A$2:$A$150,0),MATCH(A310,tab_tipo_Combustivel!$B$1:$AQ$1,0),1,1)</f>
        <v>99.92</v>
      </c>
    </row>
    <row r="311" spans="1:3">
      <c r="A311" s="3">
        <f t="shared" si="4"/>
        <v>2014</v>
      </c>
      <c r="B311" s="106">
        <f t="shared" si="5"/>
        <v>98</v>
      </c>
      <c r="C311" s="107">
        <f ca="1">OFFSET(tab_tipo_Combustivel!$A$1,MATCH(B311,tab_tipo_Combustivel!$A$2:$A$150,0),MATCH(A311,tab_tipo_Combustivel!$B$1:$AQ$1,0),1,1)</f>
        <v>489.8</v>
      </c>
    </row>
    <row r="312" spans="1:3">
      <c r="A312" s="3">
        <f t="shared" si="4"/>
        <v>2014</v>
      </c>
      <c r="B312" s="106">
        <f t="shared" si="5"/>
        <v>107</v>
      </c>
      <c r="C312" s="107">
        <f ca="1">OFFSET(tab_tipo_Combustivel!$A$1,MATCH(B312,tab_tipo_Combustivel!$A$2:$A$150,0),MATCH(A312,tab_tipo_Combustivel!$B$1:$AQ$1,0),1,1)</f>
        <v>57.63</v>
      </c>
    </row>
    <row r="313" spans="1:3">
      <c r="A313" s="3">
        <f t="shared" si="4"/>
        <v>2014</v>
      </c>
      <c r="B313" s="106">
        <f t="shared" si="5"/>
        <v>110</v>
      </c>
      <c r="C313" s="107">
        <f ca="1">OFFSET(tab_tipo_Combustivel!$A$1,MATCH(B313,tab_tipo_Combustivel!$A$2:$A$150,0),MATCH(A313,tab_tipo_Combustivel!$B$1:$AQ$1,0),1,1)</f>
        <v>568.29</v>
      </c>
    </row>
    <row r="314" spans="1:3">
      <c r="A314" s="3">
        <f t="shared" si="4"/>
        <v>2014</v>
      </c>
      <c r="B314" s="106">
        <f t="shared" si="5"/>
        <v>116</v>
      </c>
      <c r="C314" s="107">
        <f ca="1">OFFSET(tab_tipo_Combustivel!$A$1,MATCH(B314,tab_tipo_Combustivel!$A$2:$A$150,0),MATCH(A314,tab_tipo_Combustivel!$B$1:$AQ$1,0),1,1)</f>
        <v>117.46</v>
      </c>
    </row>
    <row r="315" spans="1:3">
      <c r="A315" s="3">
        <f t="shared" si="4"/>
        <v>2014</v>
      </c>
      <c r="B315" s="106">
        <f t="shared" si="5"/>
        <v>140</v>
      </c>
      <c r="C315" s="107">
        <f ca="1">OFFSET(tab_tipo_Combustivel!$A$1,MATCH(B315,tab_tipo_Combustivel!$A$2:$A$150,0),MATCH(A315,tab_tipo_Combustivel!$B$1:$AQ$1,0),1,1)</f>
        <v>88.11</v>
      </c>
    </row>
    <row r="316" spans="1:3">
      <c r="A316" s="3">
        <f t="shared" si="4"/>
        <v>2014</v>
      </c>
      <c r="B316" s="106">
        <f t="shared" si="5"/>
        <v>141</v>
      </c>
      <c r="C316" s="107">
        <f ca="1">OFFSET(tab_tipo_Combustivel!$A$1,MATCH(B316,tab_tipo_Combustivel!$A$2:$A$150,0),MATCH(A316,tab_tipo_Combustivel!$B$1:$AQ$1,0),1,1)</f>
        <v>1280.52</v>
      </c>
    </row>
    <row r="317" spans="1:3">
      <c r="A317" s="3">
        <f t="shared" si="4"/>
        <v>2014</v>
      </c>
      <c r="B317" s="106">
        <f t="shared" si="5"/>
        <v>147</v>
      </c>
      <c r="C317" s="107">
        <f ca="1">OFFSET(tab_tipo_Combustivel!$A$1,MATCH(B317,tab_tipo_Combustivel!$A$2:$A$150,0),MATCH(A317,tab_tipo_Combustivel!$B$1:$AQ$1,0),1,1)</f>
        <v>134.18</v>
      </c>
    </row>
    <row r="318" spans="1:3">
      <c r="A318" s="3">
        <f t="shared" si="4"/>
        <v>2014</v>
      </c>
      <c r="B318" s="106">
        <f t="shared" si="5"/>
        <v>156</v>
      </c>
      <c r="C318" s="107">
        <f ca="1">OFFSET(tab_tipo_Combustivel!$A$1,MATCH(B318,tab_tipo_Combustivel!$A$2:$A$150,0),MATCH(A318,tab_tipo_Combustivel!$B$1:$AQ$1,0),1,1)</f>
        <v>77.12</v>
      </c>
    </row>
    <row r="319" spans="1:3">
      <c r="A319" s="3">
        <f t="shared" si="4"/>
        <v>2014</v>
      </c>
      <c r="B319" s="106">
        <f t="shared" si="5"/>
        <v>163</v>
      </c>
      <c r="C319" s="107">
        <f ca="1">OFFSET(tab_tipo_Combustivel!$A$1,MATCH(B319,tab_tipo_Combustivel!$A$2:$A$150,0),MATCH(A319,tab_tipo_Combustivel!$B$1:$AQ$1,0),1,1)</f>
        <v>156.69999999999999</v>
      </c>
    </row>
    <row r="320" spans="1:3">
      <c r="A320" s="3">
        <f t="shared" si="4"/>
        <v>2014</v>
      </c>
      <c r="B320" s="106">
        <f t="shared" si="5"/>
        <v>167</v>
      </c>
      <c r="C320" s="107">
        <f ca="1">OFFSET(tab_tipo_Combustivel!$A$1,MATCH(B320,tab_tipo_Combustivel!$A$2:$A$150,0),MATCH(A320,tab_tipo_Combustivel!$B$1:$AQ$1,0),1,1)</f>
        <v>144.66999999999999</v>
      </c>
    </row>
    <row r="321" spans="1:3">
      <c r="A321" s="3">
        <f t="shared" si="4"/>
        <v>2014</v>
      </c>
      <c r="B321" s="106">
        <f t="shared" si="5"/>
        <v>171</v>
      </c>
      <c r="C321" s="107">
        <f ca="1">OFFSET(tab_tipo_Combustivel!$A$1,MATCH(B321,tab_tipo_Combustivel!$A$2:$A$150,0),MATCH(A321,tab_tipo_Combustivel!$B$1:$AQ$1,0),1,1)</f>
        <v>88</v>
      </c>
    </row>
    <row r="322" spans="1:3">
      <c r="A322" s="3">
        <f t="shared" si="4"/>
        <v>2014</v>
      </c>
      <c r="B322" s="106">
        <f t="shared" si="5"/>
        <v>172</v>
      </c>
      <c r="C322" s="107">
        <f ca="1">OFFSET(tab_tipo_Combustivel!$A$1,MATCH(B322,tab_tipo_Combustivel!$A$2:$A$150,0),MATCH(A322,tab_tipo_Combustivel!$B$1:$AQ$1,0),1,1)</f>
        <v>99.97</v>
      </c>
    </row>
    <row r="323" spans="1:3">
      <c r="A323" s="3">
        <f t="shared" si="4"/>
        <v>2014</v>
      </c>
      <c r="B323" s="106">
        <f t="shared" si="5"/>
        <v>173</v>
      </c>
      <c r="C323" s="107">
        <f ca="1">OFFSET(tab_tipo_Combustivel!$A$1,MATCH(B323,tab_tipo_Combustivel!$A$2:$A$150,0),MATCH(A323,tab_tipo_Combustivel!$B$1:$AQ$1,0),1,1)</f>
        <v>192.03</v>
      </c>
    </row>
    <row r="324" spans="1:3">
      <c r="A324" s="3">
        <f t="shared" si="4"/>
        <v>2014</v>
      </c>
      <c r="B324" s="106">
        <f t="shared" si="5"/>
        <v>174</v>
      </c>
      <c r="C324" s="107">
        <f ca="1">OFFSET(tab_tipo_Combustivel!$A$1,MATCH(B324,tab_tipo_Combustivel!$A$2:$A$150,0),MATCH(A324,tab_tipo_Combustivel!$B$1:$AQ$1,0),1,1)</f>
        <v>331.22</v>
      </c>
    </row>
    <row r="325" spans="1:3">
      <c r="A325" s="3">
        <f t="shared" si="4"/>
        <v>2014</v>
      </c>
      <c r="B325" s="106">
        <f t="shared" si="5"/>
        <v>176</v>
      </c>
      <c r="C325" s="107">
        <f ca="1">OFFSET(tab_tipo_Combustivel!$A$1,MATCH(B325,tab_tipo_Combustivel!$A$2:$A$150,0),MATCH(A325,tab_tipo_Combustivel!$B$1:$AQ$1,0),1,1)</f>
        <v>149.47999999999999</v>
      </c>
    </row>
    <row r="326" spans="1:3">
      <c r="A326" s="3">
        <f t="shared" si="4"/>
        <v>2014</v>
      </c>
      <c r="B326" s="106">
        <f t="shared" si="5"/>
        <v>183</v>
      </c>
      <c r="C326" s="107">
        <f ca="1">OFFSET(tab_tipo_Combustivel!$A$1,MATCH(B326,tab_tipo_Combustivel!$A$2:$A$150,0),MATCH(A326,tab_tipo_Combustivel!$B$1:$AQ$1,0),1,1)</f>
        <v>171.61</v>
      </c>
    </row>
    <row r="327" spans="1:3">
      <c r="A327" s="3">
        <f t="shared" si="4"/>
        <v>2014</v>
      </c>
      <c r="B327" s="106">
        <f t="shared" si="5"/>
        <v>194</v>
      </c>
      <c r="C327" s="107">
        <f ca="1">OFFSET(tab_tipo_Combustivel!$A$1,MATCH(B327,tab_tipo_Combustivel!$A$2:$A$150,0),MATCH(A327,tab_tipo_Combustivel!$B$1:$AQ$1,0),1,1)</f>
        <v>1098.58</v>
      </c>
    </row>
    <row r="328" spans="1:3">
      <c r="A328" s="3">
        <f t="shared" si="4"/>
        <v>2014</v>
      </c>
      <c r="B328" s="106">
        <f t="shared" si="5"/>
        <v>203</v>
      </c>
      <c r="C328" s="107">
        <f ca="1">OFFSET(tab_tipo_Combustivel!$A$1,MATCH(B328,tab_tipo_Combustivel!$A$2:$A$150,0),MATCH(A328,tab_tipo_Combustivel!$B$1:$AQ$1,0),1,1)</f>
        <v>0</v>
      </c>
    </row>
    <row r="329" spans="1:3">
      <c r="A329" s="3">
        <f t="shared" si="4"/>
        <v>2014</v>
      </c>
      <c r="B329" s="106">
        <f t="shared" si="5"/>
        <v>204</v>
      </c>
      <c r="C329" s="107">
        <f ca="1">OFFSET(tab_tipo_Combustivel!$A$1,MATCH(B329,tab_tipo_Combustivel!$A$2:$A$150,0),MATCH(A329,tab_tipo_Combustivel!$B$1:$AQ$1,0),1,1)</f>
        <v>0</v>
      </c>
    </row>
    <row r="330" spans="1:3">
      <c r="A330" s="3">
        <f t="shared" ref="A330:A393" si="6">A195+1</f>
        <v>2014</v>
      </c>
      <c r="B330" s="106">
        <f t="shared" ref="B330:B393" si="7">B195</f>
        <v>205</v>
      </c>
      <c r="C330" s="107">
        <f ca="1">OFFSET(tab_tipo_Combustivel!$A$1,MATCH(B330,tab_tipo_Combustivel!$A$2:$A$150,0),MATCH(A330,tab_tipo_Combustivel!$B$1:$AQ$1,0),1,1)</f>
        <v>0</v>
      </c>
    </row>
    <row r="331" spans="1:3">
      <c r="A331" s="3">
        <f t="shared" si="6"/>
        <v>2014</v>
      </c>
      <c r="B331" s="106">
        <f t="shared" si="7"/>
        <v>207</v>
      </c>
      <c r="C331" s="107">
        <f ca="1">OFFSET(tab_tipo_Combustivel!$A$1,MATCH(B331,tab_tipo_Combustivel!$A$2:$A$150,0),MATCH(A331,tab_tipo_Combustivel!$B$1:$AQ$1,0),1,1)</f>
        <v>0</v>
      </c>
    </row>
    <row r="332" spans="1:3">
      <c r="A332" s="3">
        <f t="shared" si="6"/>
        <v>2014</v>
      </c>
      <c r="B332" s="106">
        <f t="shared" si="7"/>
        <v>208</v>
      </c>
      <c r="C332" s="107">
        <f ca="1">OFFSET(tab_tipo_Combustivel!$A$1,MATCH(B332,tab_tipo_Combustivel!$A$2:$A$150,0),MATCH(A332,tab_tipo_Combustivel!$B$1:$AQ$1,0),1,1)</f>
        <v>783.64</v>
      </c>
    </row>
    <row r="333" spans="1:3">
      <c r="A333" s="3">
        <f t="shared" si="6"/>
        <v>2014</v>
      </c>
      <c r="B333" s="106">
        <f t="shared" si="7"/>
        <v>209</v>
      </c>
      <c r="C333" s="107">
        <f ca="1">OFFSET(tab_tipo_Combustivel!$A$1,MATCH(B333,tab_tipo_Combustivel!$A$2:$A$150,0),MATCH(A333,tab_tipo_Combustivel!$B$1:$AQ$1,0),1,1)</f>
        <v>0</v>
      </c>
    </row>
    <row r="334" spans="1:3">
      <c r="A334" s="3">
        <f t="shared" si="6"/>
        <v>2014</v>
      </c>
      <c r="B334" s="106">
        <f t="shared" si="7"/>
        <v>211</v>
      </c>
      <c r="C334" s="107">
        <f ca="1">OFFSET(tab_tipo_Combustivel!$A$1,MATCH(B334,tab_tipo_Combustivel!$A$2:$A$150,0),MATCH(A334,tab_tipo_Combustivel!$B$1:$AQ$1,0),1,1)</f>
        <v>150.79</v>
      </c>
    </row>
    <row r="335" spans="1:3">
      <c r="A335" s="3">
        <f t="shared" si="6"/>
        <v>2014</v>
      </c>
      <c r="B335" s="106">
        <f t="shared" si="7"/>
        <v>212</v>
      </c>
      <c r="C335" s="107">
        <f ca="1">OFFSET(tab_tipo_Combustivel!$A$1,MATCH(B335,tab_tipo_Combustivel!$A$2:$A$150,0),MATCH(A335,tab_tipo_Combustivel!$B$1:$AQ$1,0),1,1)</f>
        <v>84.58</v>
      </c>
    </row>
    <row r="336" spans="1:3">
      <c r="A336" s="3">
        <f t="shared" si="6"/>
        <v>2014</v>
      </c>
      <c r="B336" s="106">
        <f t="shared" si="7"/>
        <v>224</v>
      </c>
      <c r="C336" s="107">
        <f ca="1">OFFSET(tab_tipo_Combustivel!$A$1,MATCH(B336,tab_tipo_Combustivel!$A$2:$A$150,0),MATCH(A336,tab_tipo_Combustivel!$B$1:$AQ$1,0),1,1)</f>
        <v>31.08</v>
      </c>
    </row>
    <row r="337" spans="1:3">
      <c r="A337" s="3">
        <f t="shared" si="6"/>
        <v>2014</v>
      </c>
      <c r="B337" s="106">
        <f t="shared" si="7"/>
        <v>225</v>
      </c>
      <c r="C337" s="107">
        <f ca="1">OFFSET(tab_tipo_Combustivel!$A$1,MATCH(B337,tab_tipo_Combustivel!$A$2:$A$150,0),MATCH(A337,tab_tipo_Combustivel!$B$1:$AQ$1,0),1,1)</f>
        <v>1329.7</v>
      </c>
    </row>
    <row r="338" spans="1:3">
      <c r="A338" s="3">
        <f t="shared" si="6"/>
        <v>2014</v>
      </c>
      <c r="B338" s="106">
        <f t="shared" si="7"/>
        <v>226</v>
      </c>
      <c r="C338" s="107">
        <f ca="1">OFFSET(tab_tipo_Combustivel!$A$1,MATCH(B338,tab_tipo_Combustivel!$A$2:$A$150,0),MATCH(A338,tab_tipo_Combustivel!$B$1:$AQ$1,0),1,1)</f>
        <v>1061.1300000000001</v>
      </c>
    </row>
    <row r="339" spans="1:3">
      <c r="A339" s="3">
        <f t="shared" si="6"/>
        <v>2014</v>
      </c>
      <c r="B339" s="106">
        <f t="shared" si="7"/>
        <v>227</v>
      </c>
      <c r="C339" s="107">
        <f ca="1">OFFSET(tab_tipo_Combustivel!$A$1,MATCH(B339,tab_tipo_Combustivel!$A$2:$A$150,0),MATCH(A339,tab_tipo_Combustivel!$B$1:$AQ$1,0),1,1)</f>
        <v>447.52</v>
      </c>
    </row>
    <row r="340" spans="1:3">
      <c r="A340" s="3">
        <f t="shared" si="6"/>
        <v>2014</v>
      </c>
      <c r="B340" s="106">
        <f t="shared" si="7"/>
        <v>228</v>
      </c>
      <c r="C340" s="107">
        <f ca="1">OFFSET(tab_tipo_Combustivel!$A$1,MATCH(B340,tab_tipo_Combustivel!$A$2:$A$150,0),MATCH(A340,tab_tipo_Combustivel!$B$1:$AQ$1,0),1,1)</f>
        <v>1061.1400000000001</v>
      </c>
    </row>
    <row r="341" spans="1:3">
      <c r="A341" s="3">
        <f t="shared" si="6"/>
        <v>2014</v>
      </c>
      <c r="B341" s="106">
        <f t="shared" si="7"/>
        <v>229</v>
      </c>
      <c r="C341" s="107">
        <f ca="1">OFFSET(tab_tipo_Combustivel!$A$1,MATCH(B341,tab_tipo_Combustivel!$A$2:$A$150,0),MATCH(A341,tab_tipo_Combustivel!$B$1:$AQ$1,0),1,1)</f>
        <v>942.05</v>
      </c>
    </row>
    <row r="342" spans="1:3">
      <c r="A342" s="3">
        <f t="shared" si="6"/>
        <v>2014</v>
      </c>
      <c r="B342" s="106">
        <f t="shared" si="7"/>
        <v>230</v>
      </c>
      <c r="C342" s="107">
        <f ca="1">OFFSET(tab_tipo_Combustivel!$A$1,MATCH(B342,tab_tipo_Combustivel!$A$2:$A$150,0),MATCH(A342,tab_tipo_Combustivel!$B$1:$AQ$1,0),1,1)</f>
        <v>495.06</v>
      </c>
    </row>
    <row r="343" spans="1:3">
      <c r="A343" s="3">
        <f t="shared" si="6"/>
        <v>2014</v>
      </c>
      <c r="B343" s="106">
        <f t="shared" si="7"/>
        <v>231</v>
      </c>
      <c r="C343" s="107">
        <f ca="1">OFFSET(tab_tipo_Combustivel!$A$1,MATCH(B343,tab_tipo_Combustivel!$A$2:$A$150,0),MATCH(A343,tab_tipo_Combustivel!$B$1:$AQ$1,0),1,1)</f>
        <v>489.29</v>
      </c>
    </row>
    <row r="344" spans="1:3">
      <c r="A344" s="3">
        <f t="shared" si="6"/>
        <v>2014</v>
      </c>
      <c r="B344" s="106">
        <f t="shared" si="7"/>
        <v>232</v>
      </c>
      <c r="C344" s="107">
        <f ca="1">OFFSET(tab_tipo_Combustivel!$A$1,MATCH(B344,tab_tipo_Combustivel!$A$2:$A$150,0),MATCH(A344,tab_tipo_Combustivel!$B$1:$AQ$1,0),1,1)</f>
        <v>842.33</v>
      </c>
    </row>
    <row r="345" spans="1:3">
      <c r="A345" s="3">
        <f t="shared" si="6"/>
        <v>2014</v>
      </c>
      <c r="B345" s="106">
        <f t="shared" si="7"/>
        <v>233</v>
      </c>
      <c r="C345" s="107">
        <f ca="1">OFFSET(tab_tipo_Combustivel!$A$1,MATCH(B345,tab_tipo_Combustivel!$A$2:$A$150,0),MATCH(A345,tab_tipo_Combustivel!$B$1:$AQ$1,0),1,1)</f>
        <v>984.29</v>
      </c>
    </row>
    <row r="346" spans="1:3">
      <c r="A346" s="3">
        <f t="shared" si="6"/>
        <v>2014</v>
      </c>
      <c r="B346" s="106">
        <f t="shared" si="7"/>
        <v>234</v>
      </c>
      <c r="C346" s="107">
        <f ca="1">OFFSET(tab_tipo_Combustivel!$A$1,MATCH(B346,tab_tipo_Combustivel!$A$2:$A$150,0),MATCH(A346,tab_tipo_Combustivel!$B$1:$AQ$1,0),1,1)</f>
        <v>290.26</v>
      </c>
    </row>
    <row r="347" spans="1:3">
      <c r="A347" s="3">
        <f t="shared" si="6"/>
        <v>2014</v>
      </c>
      <c r="B347" s="106">
        <f t="shared" si="7"/>
        <v>235</v>
      </c>
      <c r="C347" s="107">
        <f ca="1">OFFSET(tab_tipo_Combustivel!$A$1,MATCH(B347,tab_tipo_Combustivel!$A$2:$A$150,0),MATCH(A347,tab_tipo_Combustivel!$B$1:$AQ$1,0),1,1)</f>
        <v>1350.87</v>
      </c>
    </row>
    <row r="348" spans="1:3">
      <c r="A348" s="3">
        <f t="shared" si="6"/>
        <v>2014</v>
      </c>
      <c r="B348" s="106">
        <f t="shared" si="7"/>
        <v>236</v>
      </c>
      <c r="C348" s="107">
        <f ca="1">OFFSET(tab_tipo_Combustivel!$A$1,MATCH(B348,tab_tipo_Combustivel!$A$2:$A$150,0),MATCH(A348,tab_tipo_Combustivel!$B$1:$AQ$1,0),1,1)</f>
        <v>842.33</v>
      </c>
    </row>
    <row r="349" spans="1:3">
      <c r="A349" s="3">
        <f t="shared" si="6"/>
        <v>2014</v>
      </c>
      <c r="B349" s="106">
        <f t="shared" si="7"/>
        <v>237</v>
      </c>
      <c r="C349" s="107">
        <f ca="1">OFFSET(tab_tipo_Combustivel!$A$1,MATCH(B349,tab_tipo_Combustivel!$A$2:$A$150,0),MATCH(A349,tab_tipo_Combustivel!$B$1:$AQ$1,0),1,1)</f>
        <v>760.85</v>
      </c>
    </row>
    <row r="350" spans="1:3">
      <c r="A350" s="3">
        <f t="shared" si="6"/>
        <v>2014</v>
      </c>
      <c r="B350" s="106">
        <f t="shared" si="7"/>
        <v>238</v>
      </c>
      <c r="C350" s="107">
        <f ca="1">OFFSET(tab_tipo_Combustivel!$A$1,MATCH(B350,tab_tipo_Combustivel!$A$2:$A$150,0),MATCH(A350,tab_tipo_Combustivel!$B$1:$AQ$1,0),1,1)</f>
        <v>963.75</v>
      </c>
    </row>
    <row r="351" spans="1:3">
      <c r="A351" s="3">
        <f t="shared" si="6"/>
        <v>2014</v>
      </c>
      <c r="B351" s="106">
        <f t="shared" si="7"/>
        <v>239</v>
      </c>
      <c r="C351" s="107">
        <f ca="1">OFFSET(tab_tipo_Combustivel!$A$1,MATCH(B351,tab_tipo_Combustivel!$A$2:$A$150,0),MATCH(A351,tab_tipo_Combustivel!$B$1:$AQ$1,0),1,1)</f>
        <v>963.75</v>
      </c>
    </row>
    <row r="352" spans="1:3">
      <c r="A352" s="3">
        <f t="shared" si="6"/>
        <v>2014</v>
      </c>
      <c r="B352" s="106">
        <f t="shared" si="7"/>
        <v>240</v>
      </c>
      <c r="C352" s="107">
        <f ca="1">OFFSET(tab_tipo_Combustivel!$A$1,MATCH(B352,tab_tipo_Combustivel!$A$2:$A$150,0),MATCH(A352,tab_tipo_Combustivel!$B$1:$AQ$1,0),1,1)</f>
        <v>1115.96</v>
      </c>
    </row>
    <row r="353" spans="1:3">
      <c r="A353" s="3">
        <f t="shared" si="6"/>
        <v>2014</v>
      </c>
      <c r="B353" s="106">
        <f t="shared" si="7"/>
        <v>241</v>
      </c>
      <c r="C353" s="107">
        <f ca="1">OFFSET(tab_tipo_Combustivel!$A$1,MATCH(B353,tab_tipo_Combustivel!$A$2:$A$150,0),MATCH(A353,tab_tipo_Combustivel!$B$1:$AQ$1,0),1,1)</f>
        <v>495.75</v>
      </c>
    </row>
    <row r="354" spans="1:3">
      <c r="A354" s="3">
        <f t="shared" si="6"/>
        <v>2014</v>
      </c>
      <c r="B354" s="106">
        <f t="shared" si="7"/>
        <v>242</v>
      </c>
      <c r="C354" s="107">
        <f ca="1">OFFSET(tab_tipo_Combustivel!$A$1,MATCH(B354,tab_tipo_Combustivel!$A$2:$A$150,0),MATCH(A354,tab_tipo_Combustivel!$B$1:$AQ$1,0),1,1)</f>
        <v>1176.45</v>
      </c>
    </row>
    <row r="355" spans="1:3">
      <c r="A355" s="3">
        <f t="shared" si="6"/>
        <v>2014</v>
      </c>
      <c r="B355" s="106">
        <f t="shared" si="7"/>
        <v>243</v>
      </c>
      <c r="C355" s="107">
        <f ca="1">OFFSET(tab_tipo_Combustivel!$A$1,MATCH(B355,tab_tipo_Combustivel!$A$2:$A$150,0),MATCH(A355,tab_tipo_Combustivel!$B$1:$AQ$1,0),1,1)</f>
        <v>495.08</v>
      </c>
    </row>
    <row r="356" spans="1:3">
      <c r="A356" s="3">
        <f t="shared" si="6"/>
        <v>2014</v>
      </c>
      <c r="B356" s="106">
        <f t="shared" si="7"/>
        <v>244</v>
      </c>
      <c r="C356" s="107">
        <f ca="1">OFFSET(tab_tipo_Combustivel!$A$1,MATCH(B356,tab_tipo_Combustivel!$A$2:$A$150,0),MATCH(A356,tab_tipo_Combustivel!$B$1:$AQ$1,0),1,1)</f>
        <v>495.06</v>
      </c>
    </row>
    <row r="357" spans="1:3">
      <c r="A357" s="3">
        <f t="shared" si="6"/>
        <v>2014</v>
      </c>
      <c r="B357" s="106">
        <f t="shared" si="7"/>
        <v>245</v>
      </c>
      <c r="C357" s="107">
        <f ca="1">OFFSET(tab_tipo_Combustivel!$A$1,MATCH(B357,tab_tipo_Combustivel!$A$2:$A$150,0),MATCH(A357,tab_tipo_Combustivel!$B$1:$AQ$1,0),1,1)</f>
        <v>562.65</v>
      </c>
    </row>
    <row r="358" spans="1:3">
      <c r="A358" s="3">
        <f t="shared" si="6"/>
        <v>2014</v>
      </c>
      <c r="B358" s="106">
        <f t="shared" si="7"/>
        <v>246</v>
      </c>
      <c r="C358" s="107">
        <f ca="1">OFFSET(tab_tipo_Combustivel!$A$1,MATCH(B358,tab_tipo_Combustivel!$A$2:$A$150,0),MATCH(A358,tab_tipo_Combustivel!$B$1:$AQ$1,0),1,1)</f>
        <v>1124.53</v>
      </c>
    </row>
    <row r="359" spans="1:3">
      <c r="A359" s="3">
        <f t="shared" si="6"/>
        <v>2014</v>
      </c>
      <c r="B359" s="106">
        <f t="shared" si="7"/>
        <v>247</v>
      </c>
      <c r="C359" s="107">
        <f ca="1">OFFSET(tab_tipo_Combustivel!$A$1,MATCH(B359,tab_tipo_Combustivel!$A$2:$A$150,0),MATCH(A359,tab_tipo_Combustivel!$B$1:$AQ$1,0),1,1)</f>
        <v>609.51</v>
      </c>
    </row>
    <row r="360" spans="1:3">
      <c r="A360" s="3">
        <f t="shared" si="6"/>
        <v>2014</v>
      </c>
      <c r="B360" s="106">
        <f t="shared" si="7"/>
        <v>248</v>
      </c>
      <c r="C360" s="107">
        <f ca="1">OFFSET(tab_tipo_Combustivel!$A$1,MATCH(B360,tab_tipo_Combustivel!$A$2:$A$150,0),MATCH(A360,tab_tipo_Combustivel!$B$1:$AQ$1,0),1,1)</f>
        <v>495.06</v>
      </c>
    </row>
    <row r="361" spans="1:3">
      <c r="A361" s="3">
        <f t="shared" si="6"/>
        <v>2014</v>
      </c>
      <c r="B361" s="106">
        <f t="shared" si="7"/>
        <v>249</v>
      </c>
      <c r="C361" s="107">
        <f ca="1">OFFSET(tab_tipo_Combustivel!$A$1,MATCH(B361,tab_tipo_Combustivel!$A$2:$A$150,0),MATCH(A361,tab_tipo_Combustivel!$B$1:$AQ$1,0),1,1)</f>
        <v>842.33</v>
      </c>
    </row>
    <row r="362" spans="1:3">
      <c r="A362" s="3">
        <f t="shared" si="6"/>
        <v>2014</v>
      </c>
      <c r="B362" s="106">
        <f t="shared" si="7"/>
        <v>250</v>
      </c>
      <c r="C362" s="107">
        <f ca="1">OFFSET(tab_tipo_Combustivel!$A$1,MATCH(B362,tab_tipo_Combustivel!$A$2:$A$150,0),MATCH(A362,tab_tipo_Combustivel!$B$1:$AQ$1,0),1,1)</f>
        <v>1176.45</v>
      </c>
    </row>
    <row r="363" spans="1:3">
      <c r="A363" s="3">
        <f t="shared" si="6"/>
        <v>2014</v>
      </c>
      <c r="B363" s="106">
        <f t="shared" si="7"/>
        <v>251</v>
      </c>
      <c r="C363" s="107">
        <f ca="1">OFFSET(tab_tipo_Combustivel!$A$1,MATCH(B363,tab_tipo_Combustivel!$A$2:$A$150,0),MATCH(A363,tab_tipo_Combustivel!$B$1:$AQ$1,0),1,1)</f>
        <v>842.33</v>
      </c>
    </row>
    <row r="364" spans="1:3">
      <c r="A364" s="3">
        <f t="shared" si="6"/>
        <v>2014</v>
      </c>
      <c r="B364" s="106">
        <f t="shared" si="7"/>
        <v>252</v>
      </c>
      <c r="C364" s="107">
        <f ca="1">OFFSET(tab_tipo_Combustivel!$A$1,MATCH(B364,tab_tipo_Combustivel!$A$2:$A$150,0),MATCH(A364,tab_tipo_Combustivel!$B$1:$AQ$1,0),1,1)</f>
        <v>842.33</v>
      </c>
    </row>
    <row r="365" spans="1:3">
      <c r="A365" s="3">
        <f t="shared" si="6"/>
        <v>2014</v>
      </c>
      <c r="B365" s="106">
        <f t="shared" si="7"/>
        <v>253</v>
      </c>
      <c r="C365" s="107">
        <f ca="1">OFFSET(tab_tipo_Combustivel!$A$1,MATCH(B365,tab_tipo_Combustivel!$A$2:$A$150,0),MATCH(A365,tab_tipo_Combustivel!$B$1:$AQ$1,0),1,1)</f>
        <v>279.45</v>
      </c>
    </row>
    <row r="366" spans="1:3">
      <c r="A366" s="3">
        <f t="shared" si="6"/>
        <v>2014</v>
      </c>
      <c r="B366" s="106">
        <f t="shared" si="7"/>
        <v>254</v>
      </c>
      <c r="C366" s="107">
        <f ca="1">OFFSET(tab_tipo_Combustivel!$A$1,MATCH(B366,tab_tipo_Combustivel!$A$2:$A$150,0),MATCH(A366,tab_tipo_Combustivel!$B$1:$AQ$1,0),1,1)</f>
        <v>1153.98</v>
      </c>
    </row>
    <row r="367" spans="1:3">
      <c r="A367" s="3">
        <f t="shared" si="6"/>
        <v>2014</v>
      </c>
      <c r="B367" s="106">
        <f t="shared" si="7"/>
        <v>255</v>
      </c>
      <c r="C367" s="107">
        <f ca="1">OFFSET(tab_tipo_Combustivel!$A$1,MATCH(B367,tab_tipo_Combustivel!$A$2:$A$150,0),MATCH(A367,tab_tipo_Combustivel!$B$1:$AQ$1,0),1,1)</f>
        <v>828.98</v>
      </c>
    </row>
    <row r="368" spans="1:3">
      <c r="A368" s="3">
        <f t="shared" si="6"/>
        <v>2014</v>
      </c>
      <c r="B368" s="106">
        <f t="shared" si="7"/>
        <v>256</v>
      </c>
      <c r="C368" s="107">
        <f ca="1">OFFSET(tab_tipo_Combustivel!$A$1,MATCH(B368,tab_tipo_Combustivel!$A$2:$A$150,0),MATCH(A368,tab_tipo_Combustivel!$B$1:$AQ$1,0),1,1)</f>
        <v>562.65</v>
      </c>
    </row>
    <row r="369" spans="1:3">
      <c r="A369" s="3">
        <f t="shared" si="6"/>
        <v>2014</v>
      </c>
      <c r="B369" s="106">
        <f t="shared" si="7"/>
        <v>257</v>
      </c>
      <c r="C369" s="107">
        <f ca="1">OFFSET(tab_tipo_Combustivel!$A$1,MATCH(B369,tab_tipo_Combustivel!$A$2:$A$150,0),MATCH(A369,tab_tipo_Combustivel!$B$1:$AQ$1,0),1,1)</f>
        <v>907.52</v>
      </c>
    </row>
    <row r="370" spans="1:3">
      <c r="A370" s="3">
        <f t="shared" si="6"/>
        <v>2014</v>
      </c>
      <c r="B370" s="106">
        <f t="shared" si="7"/>
        <v>258</v>
      </c>
      <c r="C370" s="107">
        <f ca="1">OFFSET(tab_tipo_Combustivel!$A$1,MATCH(B370,tab_tipo_Combustivel!$A$2:$A$150,0),MATCH(A370,tab_tipo_Combustivel!$B$1:$AQ$1,0),1,1)</f>
        <v>1016.04</v>
      </c>
    </row>
    <row r="371" spans="1:3">
      <c r="A371" s="3">
        <f t="shared" si="6"/>
        <v>2014</v>
      </c>
      <c r="B371" s="106">
        <f t="shared" si="7"/>
        <v>259</v>
      </c>
      <c r="C371" s="107">
        <f ca="1">OFFSET(tab_tipo_Combustivel!$A$1,MATCH(B371,tab_tipo_Combustivel!$A$2:$A$150,0),MATCH(A371,tab_tipo_Combustivel!$B$1:$AQ$1,0),1,1)</f>
        <v>977.53</v>
      </c>
    </row>
    <row r="372" spans="1:3">
      <c r="A372" s="3">
        <f t="shared" si="6"/>
        <v>2014</v>
      </c>
      <c r="B372" s="106">
        <f t="shared" si="7"/>
        <v>260</v>
      </c>
      <c r="C372" s="107">
        <f ca="1">OFFSET(tab_tipo_Combustivel!$A$1,MATCH(B372,tab_tipo_Combustivel!$A$2:$A$150,0),MATCH(A372,tab_tipo_Combustivel!$B$1:$AQ$1,0),1,1)</f>
        <v>827.17</v>
      </c>
    </row>
    <row r="373" spans="1:3">
      <c r="A373" s="3">
        <f t="shared" si="6"/>
        <v>2014</v>
      </c>
      <c r="B373" s="106">
        <f t="shared" si="7"/>
        <v>261</v>
      </c>
      <c r="C373" s="107">
        <f ca="1">OFFSET(tab_tipo_Combustivel!$A$1,MATCH(B373,tab_tipo_Combustivel!$A$2:$A$150,0),MATCH(A373,tab_tipo_Combustivel!$B$1:$AQ$1,0),1,1)</f>
        <v>829.7</v>
      </c>
    </row>
    <row r="374" spans="1:3">
      <c r="A374" s="3">
        <f t="shared" si="6"/>
        <v>2014</v>
      </c>
      <c r="B374" s="106">
        <f t="shared" si="7"/>
        <v>262</v>
      </c>
      <c r="C374" s="107">
        <f ca="1">OFFSET(tab_tipo_Combustivel!$A$1,MATCH(B374,tab_tipo_Combustivel!$A$2:$A$150,0),MATCH(A374,tab_tipo_Combustivel!$B$1:$AQ$1,0),1,1)</f>
        <v>495.75</v>
      </c>
    </row>
    <row r="375" spans="1:3">
      <c r="A375" s="3">
        <f t="shared" si="6"/>
        <v>2014</v>
      </c>
      <c r="B375" s="106">
        <f t="shared" si="7"/>
        <v>263</v>
      </c>
      <c r="C375" s="107">
        <f ca="1">OFFSET(tab_tipo_Combustivel!$A$1,MATCH(B375,tab_tipo_Combustivel!$A$2:$A$150,0),MATCH(A375,tab_tipo_Combustivel!$B$1:$AQ$1,0),1,1)</f>
        <v>474.77</v>
      </c>
    </row>
    <row r="376" spans="1:3">
      <c r="A376" s="3">
        <f t="shared" si="6"/>
        <v>2014</v>
      </c>
      <c r="B376" s="106">
        <f t="shared" si="7"/>
        <v>264</v>
      </c>
      <c r="C376" s="107">
        <f ca="1">OFFSET(tab_tipo_Combustivel!$A$1,MATCH(B376,tab_tipo_Combustivel!$A$2:$A$150,0),MATCH(A376,tab_tipo_Combustivel!$B$1:$AQ$1,0),1,1)</f>
        <v>842.33</v>
      </c>
    </row>
    <row r="377" spans="1:3">
      <c r="A377" s="3">
        <f t="shared" si="6"/>
        <v>2014</v>
      </c>
      <c r="B377" s="106">
        <f t="shared" si="7"/>
        <v>265</v>
      </c>
      <c r="C377" s="107">
        <f ca="1">OFFSET(tab_tipo_Combustivel!$A$1,MATCH(B377,tab_tipo_Combustivel!$A$2:$A$150,0),MATCH(A377,tab_tipo_Combustivel!$B$1:$AQ$1,0),1,1)</f>
        <v>415.82</v>
      </c>
    </row>
    <row r="378" spans="1:3">
      <c r="A378" s="3">
        <f t="shared" si="6"/>
        <v>2014</v>
      </c>
      <c r="B378" s="106">
        <f t="shared" si="7"/>
        <v>266</v>
      </c>
      <c r="C378" s="107">
        <f ca="1">OFFSET(tab_tipo_Combustivel!$A$1,MATCH(B378,tab_tipo_Combustivel!$A$2:$A$150,0),MATCH(A378,tab_tipo_Combustivel!$B$1:$AQ$1,0),1,1)</f>
        <v>827.17</v>
      </c>
    </row>
    <row r="379" spans="1:3">
      <c r="A379" s="3">
        <f t="shared" si="6"/>
        <v>2014</v>
      </c>
      <c r="B379" s="106">
        <f t="shared" si="7"/>
        <v>301</v>
      </c>
      <c r="C379" s="107">
        <f ca="1">OFFSET(tab_tipo_Combustivel!$A$1,MATCH(B379,tab_tipo_Combustivel!$A$2:$A$150,0),MATCH(A379,tab_tipo_Combustivel!$B$1:$AQ$1,0),1,1)</f>
        <v>99.08</v>
      </c>
    </row>
    <row r="380" spans="1:3">
      <c r="A380" s="3">
        <f t="shared" si="6"/>
        <v>2014</v>
      </c>
      <c r="B380" s="106">
        <f t="shared" si="7"/>
        <v>302</v>
      </c>
      <c r="C380" s="107">
        <f ca="1">OFFSET(tab_tipo_Combustivel!$A$1,MATCH(B380,tab_tipo_Combustivel!$A$2:$A$150,0),MATCH(A380,tab_tipo_Combustivel!$B$1:$AQ$1,0),1,1)</f>
        <v>103.73</v>
      </c>
    </row>
    <row r="381" spans="1:3">
      <c r="A381" s="3">
        <f t="shared" si="6"/>
        <v>2014</v>
      </c>
      <c r="B381" s="106">
        <f t="shared" si="7"/>
        <v>303</v>
      </c>
      <c r="C381" s="107">
        <f ca="1">OFFSET(tab_tipo_Combustivel!$A$1,MATCH(B381,tab_tipo_Combustivel!$A$2:$A$150,0),MATCH(A381,tab_tipo_Combustivel!$B$1:$AQ$1,0),1,1)</f>
        <v>103.73</v>
      </c>
    </row>
    <row r="382" spans="1:3">
      <c r="A382" s="3">
        <f t="shared" si="6"/>
        <v>2014</v>
      </c>
      <c r="B382" s="106">
        <f t="shared" si="7"/>
        <v>304</v>
      </c>
      <c r="C382" s="107">
        <f ca="1">OFFSET(tab_tipo_Combustivel!$A$1,MATCH(B382,tab_tipo_Combustivel!$A$2:$A$150,0),MATCH(A382,tab_tipo_Combustivel!$B$1:$AQ$1,0),1,1)</f>
        <v>139.41999999999999</v>
      </c>
    </row>
    <row r="383" spans="1:3">
      <c r="A383" s="3">
        <f t="shared" si="6"/>
        <v>2014</v>
      </c>
      <c r="B383" s="106">
        <f t="shared" si="7"/>
        <v>305</v>
      </c>
      <c r="C383" s="107">
        <f ca="1">OFFSET(tab_tipo_Combustivel!$A$1,MATCH(B383,tab_tipo_Combustivel!$A$2:$A$150,0),MATCH(A383,tab_tipo_Combustivel!$B$1:$AQ$1,0),1,1)</f>
        <v>89.7</v>
      </c>
    </row>
    <row r="384" spans="1:3">
      <c r="A384" s="3">
        <f t="shared" si="6"/>
        <v>2014</v>
      </c>
      <c r="B384" s="106">
        <f t="shared" si="7"/>
        <v>306</v>
      </c>
      <c r="C384" s="107">
        <f ca="1">OFFSET(tab_tipo_Combustivel!$A$1,MATCH(B384,tab_tipo_Combustivel!$A$2:$A$150,0),MATCH(A384,tab_tipo_Combustivel!$B$1:$AQ$1,0),1,1)</f>
        <v>100.38</v>
      </c>
    </row>
    <row r="385" spans="1:3">
      <c r="A385" s="3">
        <f t="shared" si="6"/>
        <v>2014</v>
      </c>
      <c r="B385" s="106">
        <f t="shared" si="7"/>
        <v>307</v>
      </c>
      <c r="C385" s="107">
        <f ca="1">OFFSET(tab_tipo_Combustivel!$A$1,MATCH(B385,tab_tipo_Combustivel!$A$2:$A$150,0),MATCH(A385,tab_tipo_Combustivel!$B$1:$AQ$1,0),1,1)</f>
        <v>510.12</v>
      </c>
    </row>
    <row r="386" spans="1:3">
      <c r="A386" s="3">
        <f t="shared" si="6"/>
        <v>2014</v>
      </c>
      <c r="B386" s="106">
        <f t="shared" si="7"/>
        <v>308</v>
      </c>
      <c r="C386" s="107">
        <f ca="1">OFFSET(tab_tipo_Combustivel!$A$1,MATCH(B386,tab_tipo_Combustivel!$A$2:$A$150,0),MATCH(A386,tab_tipo_Combustivel!$B$1:$AQ$1,0),1,1)</f>
        <v>72.5</v>
      </c>
    </row>
    <row r="387" spans="1:3">
      <c r="A387" s="3">
        <f t="shared" si="6"/>
        <v>2014</v>
      </c>
      <c r="B387" s="106">
        <f t="shared" si="7"/>
        <v>309</v>
      </c>
      <c r="C387" s="107">
        <f ca="1">OFFSET(tab_tipo_Combustivel!$A$1,MATCH(B387,tab_tipo_Combustivel!$A$2:$A$150,0),MATCH(A387,tab_tipo_Combustivel!$B$1:$AQ$1,0),1,1)</f>
        <v>126.77</v>
      </c>
    </row>
    <row r="388" spans="1:3">
      <c r="A388" s="3">
        <f t="shared" si="6"/>
        <v>2014</v>
      </c>
      <c r="B388" s="106">
        <f t="shared" si="7"/>
        <v>310</v>
      </c>
      <c r="C388" s="107">
        <f ca="1">OFFSET(tab_tipo_Combustivel!$A$1,MATCH(B388,tab_tipo_Combustivel!$A$2:$A$150,0),MATCH(A388,tab_tipo_Combustivel!$B$1:$AQ$1,0),1,1)</f>
        <v>275.99</v>
      </c>
    </row>
    <row r="389" spans="1:3">
      <c r="A389" s="3">
        <f t="shared" si="6"/>
        <v>2014</v>
      </c>
      <c r="B389" s="106">
        <f t="shared" si="7"/>
        <v>311</v>
      </c>
      <c r="C389" s="107">
        <f ca="1">OFFSET(tab_tipo_Combustivel!$A$1,MATCH(B389,tab_tipo_Combustivel!$A$2:$A$150,0),MATCH(A389,tab_tipo_Combustivel!$B$1:$AQ$1,0),1,1)</f>
        <v>70.66</v>
      </c>
    </row>
    <row r="390" spans="1:3">
      <c r="A390" s="3">
        <f t="shared" si="6"/>
        <v>2014</v>
      </c>
      <c r="B390" s="106">
        <f t="shared" si="7"/>
        <v>312</v>
      </c>
      <c r="C390" s="107">
        <f ca="1">OFFSET(tab_tipo_Combustivel!$A$1,MATCH(B390,tab_tipo_Combustivel!$A$2:$A$150,0),MATCH(A390,tab_tipo_Combustivel!$B$1:$AQ$1,0),1,1)</f>
        <v>0</v>
      </c>
    </row>
    <row r="391" spans="1:3">
      <c r="A391" s="3">
        <f t="shared" si="6"/>
        <v>2014</v>
      </c>
      <c r="B391" s="106">
        <f t="shared" si="7"/>
        <v>1301</v>
      </c>
      <c r="C391" s="107">
        <f ca="1">OFFSET(tab_tipo_Combustivel!$A$1,MATCH(B391,tab_tipo_Combustivel!$A$2:$A$150,0),MATCH(A391,tab_tipo_Combustivel!$B$1:$AQ$1,0),1,1)</f>
        <v>242.05</v>
      </c>
    </row>
    <row r="392" spans="1:3">
      <c r="A392" s="3">
        <f t="shared" si="6"/>
        <v>2014</v>
      </c>
      <c r="B392" s="106">
        <f t="shared" si="7"/>
        <v>1302</v>
      </c>
      <c r="C392" s="107">
        <f ca="1">OFFSET(tab_tipo_Combustivel!$A$1,MATCH(B392,tab_tipo_Combustivel!$A$2:$A$150,0),MATCH(A392,tab_tipo_Combustivel!$B$1:$AQ$1,0),1,1)</f>
        <v>193.64</v>
      </c>
    </row>
    <row r="393" spans="1:3">
      <c r="A393" s="3">
        <f t="shared" si="6"/>
        <v>2014</v>
      </c>
      <c r="B393" s="106">
        <f t="shared" si="7"/>
        <v>1303</v>
      </c>
      <c r="C393" s="107">
        <f ca="1">OFFSET(tab_tipo_Combustivel!$A$1,MATCH(B393,tab_tipo_Combustivel!$A$2:$A$150,0),MATCH(A393,tab_tipo_Combustivel!$B$1:$AQ$1,0),1,1)</f>
        <v>25.58</v>
      </c>
    </row>
    <row r="394" spans="1:3">
      <c r="A394" s="3">
        <f t="shared" ref="A394:A457" si="8">A259+1</f>
        <v>2014</v>
      </c>
      <c r="B394" s="106">
        <f t="shared" ref="B394:B457" si="9">B259</f>
        <v>1304</v>
      </c>
      <c r="C394" s="107">
        <f ca="1">OFFSET(tab_tipo_Combustivel!$A$1,MATCH(B394,tab_tipo_Combustivel!$A$2:$A$150,0),MATCH(A394,tab_tipo_Combustivel!$B$1:$AQ$1,0),1,1)</f>
        <v>0</v>
      </c>
    </row>
    <row r="395" spans="1:3">
      <c r="A395" s="3">
        <f t="shared" si="8"/>
        <v>2014</v>
      </c>
      <c r="B395" s="106">
        <f t="shared" si="9"/>
        <v>1315</v>
      </c>
      <c r="C395" s="107">
        <f ca="1">OFFSET(tab_tipo_Combustivel!$A$1,MATCH(B395,tab_tipo_Combustivel!$A$2:$A$150,0),MATCH(A395,tab_tipo_Combustivel!$B$1:$AQ$1,0),1,1)</f>
        <v>0</v>
      </c>
    </row>
    <row r="396" spans="1:3">
      <c r="A396" s="3">
        <f t="shared" si="8"/>
        <v>2014</v>
      </c>
      <c r="B396" s="106">
        <f t="shared" si="9"/>
        <v>1316</v>
      </c>
      <c r="C396" s="107">
        <f ca="1">OFFSET(tab_tipo_Combustivel!$A$1,MATCH(B396,tab_tipo_Combustivel!$A$2:$A$150,0),MATCH(A396,tab_tipo_Combustivel!$B$1:$AQ$1,0),1,1)</f>
        <v>0</v>
      </c>
    </row>
    <row r="397" spans="1:3">
      <c r="A397" s="3">
        <f t="shared" si="8"/>
        <v>2014</v>
      </c>
      <c r="B397" s="106">
        <f t="shared" si="9"/>
        <v>1318</v>
      </c>
      <c r="C397" s="107">
        <f ca="1">OFFSET(tab_tipo_Combustivel!$A$1,MATCH(B397,tab_tipo_Combustivel!$A$2:$A$150,0),MATCH(A397,tab_tipo_Combustivel!$B$1:$AQ$1,0),1,1)</f>
        <v>200</v>
      </c>
    </row>
    <row r="398" spans="1:3">
      <c r="A398" s="3">
        <f t="shared" si="8"/>
        <v>2014</v>
      </c>
      <c r="B398" s="106">
        <f t="shared" si="9"/>
        <v>1321</v>
      </c>
      <c r="C398" s="107">
        <f ca="1">OFFSET(tab_tipo_Combustivel!$A$1,MATCH(B398,tab_tipo_Combustivel!$A$2:$A$150,0),MATCH(A398,tab_tipo_Combustivel!$B$1:$AQ$1,0),1,1)</f>
        <v>85</v>
      </c>
    </row>
    <row r="399" spans="1:3">
      <c r="A399" s="3">
        <f t="shared" si="8"/>
        <v>2014</v>
      </c>
      <c r="B399" s="106">
        <f t="shared" si="9"/>
        <v>1322</v>
      </c>
      <c r="C399" s="107">
        <f ca="1">OFFSET(tab_tipo_Combustivel!$A$1,MATCH(B399,tab_tipo_Combustivel!$A$2:$A$150,0),MATCH(A399,tab_tipo_Combustivel!$B$1:$AQ$1,0),1,1)</f>
        <v>140</v>
      </c>
    </row>
    <row r="400" spans="1:3">
      <c r="A400" s="3">
        <f t="shared" si="8"/>
        <v>2014</v>
      </c>
      <c r="B400" s="106">
        <f t="shared" si="9"/>
        <v>1323</v>
      </c>
      <c r="C400" s="107">
        <f ca="1">OFFSET(tab_tipo_Combustivel!$A$1,MATCH(B400,tab_tipo_Combustivel!$A$2:$A$150,0),MATCH(A400,tab_tipo_Combustivel!$B$1:$AQ$1,0),1,1)</f>
        <v>63.75</v>
      </c>
    </row>
    <row r="401" spans="1:3">
      <c r="A401" s="3">
        <f t="shared" si="8"/>
        <v>2014</v>
      </c>
      <c r="B401" s="106">
        <f t="shared" si="9"/>
        <v>1325</v>
      </c>
      <c r="C401" s="107">
        <f ca="1">OFFSET(tab_tipo_Combustivel!$A$1,MATCH(B401,tab_tipo_Combustivel!$A$2:$A$150,0),MATCH(A401,tab_tipo_Combustivel!$B$1:$AQ$1,0),1,1)</f>
        <v>0</v>
      </c>
    </row>
    <row r="402" spans="1:3">
      <c r="A402" s="3">
        <f t="shared" si="8"/>
        <v>2014</v>
      </c>
      <c r="B402" s="106">
        <f t="shared" si="9"/>
        <v>1326</v>
      </c>
      <c r="C402" s="107">
        <f ca="1">OFFSET(tab_tipo_Combustivel!$A$1,MATCH(B402,tab_tipo_Combustivel!$A$2:$A$150,0),MATCH(A402,tab_tipo_Combustivel!$B$1:$AQ$1,0),1,1)</f>
        <v>260</v>
      </c>
    </row>
    <row r="403" spans="1:3">
      <c r="A403" s="3">
        <f t="shared" si="8"/>
        <v>2014</v>
      </c>
      <c r="B403" s="106">
        <f t="shared" si="9"/>
        <v>1501</v>
      </c>
      <c r="C403" s="107">
        <f ca="1">OFFSET(tab_tipo_Combustivel!$A$1,MATCH(B403,tab_tipo_Combustivel!$A$2:$A$150,0),MATCH(A403,tab_tipo_Combustivel!$B$1:$AQ$1,0),1,1)</f>
        <v>260</v>
      </c>
    </row>
    <row r="404" spans="1:3">
      <c r="A404" s="3">
        <f t="shared" si="8"/>
        <v>2014</v>
      </c>
      <c r="B404" s="106">
        <f t="shared" si="9"/>
        <v>1502</v>
      </c>
      <c r="C404" s="107">
        <f ca="1">OFFSET(tab_tipo_Combustivel!$A$1,MATCH(B404,tab_tipo_Combustivel!$A$2:$A$150,0),MATCH(A404,tab_tipo_Combustivel!$B$1:$AQ$1,0),1,1)</f>
        <v>60</v>
      </c>
    </row>
    <row r="405" spans="1:3">
      <c r="A405" s="3">
        <f t="shared" si="8"/>
        <v>2014</v>
      </c>
      <c r="B405" s="106">
        <f t="shared" si="9"/>
        <v>1503</v>
      </c>
      <c r="C405" s="107">
        <f ca="1">OFFSET(tab_tipo_Combustivel!$A$1,MATCH(B405,tab_tipo_Combustivel!$A$2:$A$150,0),MATCH(A405,tab_tipo_Combustivel!$B$1:$AQ$1,0),1,1)</f>
        <v>96.82</v>
      </c>
    </row>
    <row r="406" spans="1:3">
      <c r="A406" s="3">
        <f t="shared" si="8"/>
        <v>2014</v>
      </c>
      <c r="B406" s="106">
        <f t="shared" si="9"/>
        <v>1504</v>
      </c>
      <c r="C406" s="107">
        <f ca="1">OFFSET(tab_tipo_Combustivel!$A$1,MATCH(B406,tab_tipo_Combustivel!$A$2:$A$150,0),MATCH(A406,tab_tipo_Combustivel!$B$1:$AQ$1,0),1,1)</f>
        <v>145.22999999999999</v>
      </c>
    </row>
    <row r="407" spans="1:3">
      <c r="A407" s="3">
        <f t="shared" si="8"/>
        <v>2015</v>
      </c>
      <c r="B407" s="106">
        <f t="shared" si="9"/>
        <v>1</v>
      </c>
      <c r="C407" s="107">
        <f ca="1">OFFSET(tab_tipo_Combustivel!$A$1,MATCH(B407,tab_tipo_Combustivel!$A$2:$A$150,0),MATCH(A407,tab_tipo_Combustivel!$B$1:$AQ$1,0),1,1)</f>
        <v>29.13</v>
      </c>
    </row>
    <row r="408" spans="1:3">
      <c r="A408" s="3">
        <f t="shared" si="8"/>
        <v>2015</v>
      </c>
      <c r="B408" s="106">
        <f t="shared" si="9"/>
        <v>2</v>
      </c>
      <c r="C408" s="107">
        <f ca="1">OFFSET(tab_tipo_Combustivel!$A$1,MATCH(B408,tab_tipo_Combustivel!$A$2:$A$150,0),MATCH(A408,tab_tipo_Combustivel!$B$1:$AQ$1,0),1,1)</f>
        <v>842.33</v>
      </c>
    </row>
    <row r="409" spans="1:3">
      <c r="A409" s="3">
        <f t="shared" si="8"/>
        <v>2015</v>
      </c>
      <c r="B409" s="106">
        <f t="shared" si="9"/>
        <v>4</v>
      </c>
      <c r="C409" s="107">
        <f ca="1">OFFSET(tab_tipo_Combustivel!$A$1,MATCH(B409,tab_tipo_Combustivel!$A$2:$A$150,0),MATCH(A409,tab_tipo_Combustivel!$B$1:$AQ$1,0),1,1)</f>
        <v>842.33</v>
      </c>
    </row>
    <row r="410" spans="1:3">
      <c r="A410" s="3">
        <f t="shared" si="8"/>
        <v>2015</v>
      </c>
      <c r="B410" s="106">
        <f t="shared" si="9"/>
        <v>9</v>
      </c>
      <c r="C410" s="107">
        <f ca="1">OFFSET(tab_tipo_Combustivel!$A$1,MATCH(B410,tab_tipo_Combustivel!$A$2:$A$150,0),MATCH(A410,tab_tipo_Combustivel!$B$1:$AQ$1,0),1,1)</f>
        <v>842.33</v>
      </c>
    </row>
    <row r="411" spans="1:3">
      <c r="A411" s="3">
        <f t="shared" si="8"/>
        <v>2015</v>
      </c>
      <c r="B411" s="106">
        <f t="shared" si="9"/>
        <v>12</v>
      </c>
      <c r="C411" s="107">
        <f ca="1">OFFSET(tab_tipo_Combustivel!$A$1,MATCH(B411,tab_tipo_Combustivel!$A$2:$A$150,0),MATCH(A411,tab_tipo_Combustivel!$B$1:$AQ$1,0),1,1)</f>
        <v>728.87</v>
      </c>
    </row>
    <row r="412" spans="1:3">
      <c r="A412" s="3">
        <f t="shared" si="8"/>
        <v>2015</v>
      </c>
      <c r="B412" s="106">
        <f t="shared" si="9"/>
        <v>13</v>
      </c>
      <c r="C412" s="107">
        <f ca="1">OFFSET(tab_tipo_Combustivel!$A$1,MATCH(B412,tab_tipo_Combustivel!$A$2:$A$150,0),MATCH(A412,tab_tipo_Combustivel!$B$1:$AQ$1,0),1,1)</f>
        <v>20.12</v>
      </c>
    </row>
    <row r="413" spans="1:3">
      <c r="A413" s="3">
        <f t="shared" si="8"/>
        <v>2015</v>
      </c>
      <c r="B413" s="106">
        <f t="shared" si="9"/>
        <v>15</v>
      </c>
      <c r="C413" s="107">
        <f ca="1">OFFSET(tab_tipo_Combustivel!$A$1,MATCH(B413,tab_tipo_Combustivel!$A$2:$A$150,0),MATCH(A413,tab_tipo_Combustivel!$B$1:$AQ$1,0),1,1)</f>
        <v>257.29000000000002</v>
      </c>
    </row>
    <row r="414" spans="1:3">
      <c r="A414" s="3">
        <f t="shared" si="8"/>
        <v>2015</v>
      </c>
      <c r="B414" s="106">
        <f t="shared" si="9"/>
        <v>21</v>
      </c>
      <c r="C414" s="107">
        <f ca="1">OFFSET(tab_tipo_Combustivel!$A$1,MATCH(B414,tab_tipo_Combustivel!$A$2:$A$150,0),MATCH(A414,tab_tipo_Combustivel!$B$1:$AQ$1,0),1,1)</f>
        <v>157.83000000000001</v>
      </c>
    </row>
    <row r="415" spans="1:3">
      <c r="A415" s="3">
        <f t="shared" si="8"/>
        <v>2015</v>
      </c>
      <c r="B415" s="106">
        <f t="shared" si="9"/>
        <v>22</v>
      </c>
      <c r="C415" s="107">
        <f ca="1">OFFSET(tab_tipo_Combustivel!$A$1,MATCH(B415,tab_tipo_Combustivel!$A$2:$A$150,0),MATCH(A415,tab_tipo_Combustivel!$B$1:$AQ$1,0),1,1)</f>
        <v>115.9</v>
      </c>
    </row>
    <row r="416" spans="1:3">
      <c r="A416" s="3">
        <f t="shared" si="8"/>
        <v>2015</v>
      </c>
      <c r="B416" s="106">
        <f t="shared" si="9"/>
        <v>23</v>
      </c>
      <c r="C416" s="107">
        <f ca="1">OFFSET(tab_tipo_Combustivel!$A$1,MATCH(B416,tab_tipo_Combustivel!$A$2:$A$150,0),MATCH(A416,tab_tipo_Combustivel!$B$1:$AQ$1,0),1,1)</f>
        <v>115.9</v>
      </c>
    </row>
    <row r="417" spans="1:3">
      <c r="A417" s="3">
        <f t="shared" si="8"/>
        <v>2015</v>
      </c>
      <c r="B417" s="106">
        <f t="shared" si="9"/>
        <v>24</v>
      </c>
      <c r="C417" s="107">
        <f ca="1">OFFSET(tab_tipo_Combustivel!$A$1,MATCH(B417,tab_tipo_Combustivel!$A$2:$A$150,0),MATCH(A417,tab_tipo_Combustivel!$B$1:$AQ$1,0),1,1)</f>
        <v>155.85</v>
      </c>
    </row>
    <row r="418" spans="1:3">
      <c r="A418" s="3">
        <f t="shared" si="8"/>
        <v>2015</v>
      </c>
      <c r="B418" s="106">
        <f t="shared" si="9"/>
        <v>25</v>
      </c>
      <c r="C418" s="107">
        <f ca="1">OFFSET(tab_tipo_Combustivel!$A$1,MATCH(B418,tab_tipo_Combustivel!$A$2:$A$150,0),MATCH(A418,tab_tipo_Combustivel!$B$1:$AQ$1,0),1,1)</f>
        <v>186.33</v>
      </c>
    </row>
    <row r="419" spans="1:3">
      <c r="A419" s="3">
        <f t="shared" si="8"/>
        <v>2015</v>
      </c>
      <c r="B419" s="106">
        <f t="shared" si="9"/>
        <v>26</v>
      </c>
      <c r="C419" s="107">
        <f ca="1">OFFSET(tab_tipo_Combustivel!$A$1,MATCH(B419,tab_tipo_Combustivel!$A$2:$A$150,0),MATCH(A419,tab_tipo_Combustivel!$B$1:$AQ$1,0),1,1)</f>
        <v>258.42</v>
      </c>
    </row>
    <row r="420" spans="1:3">
      <c r="A420" s="3">
        <f t="shared" si="8"/>
        <v>2015</v>
      </c>
      <c r="B420" s="106">
        <f t="shared" si="9"/>
        <v>27</v>
      </c>
      <c r="C420" s="107">
        <f ca="1">OFFSET(tab_tipo_Combustivel!$A$1,MATCH(B420,tab_tipo_Combustivel!$A$2:$A$150,0),MATCH(A420,tab_tipo_Combustivel!$B$1:$AQ$1,0),1,1)</f>
        <v>195.49</v>
      </c>
    </row>
    <row r="421" spans="1:3">
      <c r="A421" s="3">
        <f t="shared" si="8"/>
        <v>2015</v>
      </c>
      <c r="B421" s="106">
        <f t="shared" si="9"/>
        <v>28</v>
      </c>
      <c r="C421" s="107">
        <f ca="1">OFFSET(tab_tipo_Combustivel!$A$1,MATCH(B421,tab_tipo_Combustivel!$A$2:$A$150,0),MATCH(A421,tab_tipo_Combustivel!$B$1:$AQ$1,0),1,1)</f>
        <v>459.92</v>
      </c>
    </row>
    <row r="422" spans="1:3">
      <c r="A422" s="3">
        <f t="shared" si="8"/>
        <v>2015</v>
      </c>
      <c r="B422" s="106">
        <f t="shared" si="9"/>
        <v>32</v>
      </c>
      <c r="C422" s="107">
        <f ca="1">OFFSET(tab_tipo_Combustivel!$A$1,MATCH(B422,tab_tipo_Combustivel!$A$2:$A$150,0),MATCH(A422,tab_tipo_Combustivel!$B$1:$AQ$1,0),1,1)</f>
        <v>248.31</v>
      </c>
    </row>
    <row r="423" spans="1:3">
      <c r="A423" s="3">
        <f t="shared" si="8"/>
        <v>2015</v>
      </c>
      <c r="B423" s="106">
        <f t="shared" si="9"/>
        <v>34</v>
      </c>
      <c r="C423" s="107">
        <f ca="1">OFFSET(tab_tipo_Combustivel!$A$1,MATCH(B423,tab_tipo_Combustivel!$A$2:$A$150,0),MATCH(A423,tab_tipo_Combustivel!$B$1:$AQ$1,0),1,1)</f>
        <v>423.38</v>
      </c>
    </row>
    <row r="424" spans="1:3">
      <c r="A424" s="3">
        <f t="shared" si="8"/>
        <v>2015</v>
      </c>
      <c r="B424" s="106">
        <f t="shared" si="9"/>
        <v>35</v>
      </c>
      <c r="C424" s="107">
        <f ca="1">OFFSET(tab_tipo_Combustivel!$A$1,MATCH(B424,tab_tipo_Combustivel!$A$2:$A$150,0),MATCH(A424,tab_tipo_Combustivel!$B$1:$AQ$1,0),1,1)</f>
        <v>692.45</v>
      </c>
    </row>
    <row r="425" spans="1:3">
      <c r="A425" s="3">
        <f t="shared" si="8"/>
        <v>2015</v>
      </c>
      <c r="B425" s="106">
        <f t="shared" si="9"/>
        <v>36</v>
      </c>
      <c r="C425" s="107">
        <f ca="1">OFFSET(tab_tipo_Combustivel!$A$1,MATCH(B425,tab_tipo_Combustivel!$A$2:$A$150,0),MATCH(A425,tab_tipo_Combustivel!$B$1:$AQ$1,0),1,1)</f>
        <v>157.83000000000001</v>
      </c>
    </row>
    <row r="426" spans="1:3">
      <c r="A426" s="3">
        <f t="shared" si="8"/>
        <v>2015</v>
      </c>
      <c r="B426" s="106">
        <f t="shared" si="9"/>
        <v>42</v>
      </c>
      <c r="C426" s="107">
        <f ca="1">OFFSET(tab_tipo_Combustivel!$A$1,MATCH(B426,tab_tipo_Combustivel!$A$2:$A$150,0),MATCH(A426,tab_tipo_Combustivel!$B$1:$AQ$1,0),1,1)</f>
        <v>199.22</v>
      </c>
    </row>
    <row r="427" spans="1:3">
      <c r="A427" s="3">
        <f t="shared" si="8"/>
        <v>2015</v>
      </c>
      <c r="B427" s="106">
        <f t="shared" si="9"/>
        <v>43</v>
      </c>
      <c r="C427" s="107">
        <f ca="1">OFFSET(tab_tipo_Combustivel!$A$1,MATCH(B427,tab_tipo_Combustivel!$A$2:$A$150,0),MATCH(A427,tab_tipo_Combustivel!$B$1:$AQ$1,0),1,1)</f>
        <v>431.62</v>
      </c>
    </row>
    <row r="428" spans="1:3">
      <c r="A428" s="3">
        <f t="shared" si="8"/>
        <v>2015</v>
      </c>
      <c r="B428" s="106">
        <f t="shared" si="9"/>
        <v>44</v>
      </c>
      <c r="C428" s="107">
        <f ca="1">OFFSET(tab_tipo_Combustivel!$A$1,MATCH(B428,tab_tipo_Combustivel!$A$2:$A$150,0),MATCH(A428,tab_tipo_Combustivel!$B$1:$AQ$1,0),1,1)</f>
        <v>25.58</v>
      </c>
    </row>
    <row r="429" spans="1:3">
      <c r="A429" s="3">
        <f t="shared" si="8"/>
        <v>2015</v>
      </c>
      <c r="B429" s="106">
        <f t="shared" si="9"/>
        <v>46</v>
      </c>
      <c r="C429" s="107">
        <f ca="1">OFFSET(tab_tipo_Combustivel!$A$1,MATCH(B429,tab_tipo_Combustivel!$A$2:$A$150,0),MATCH(A429,tab_tipo_Combustivel!$B$1:$AQ$1,0),1,1)</f>
        <v>228.91</v>
      </c>
    </row>
    <row r="430" spans="1:3">
      <c r="A430" s="3">
        <f t="shared" si="8"/>
        <v>2015</v>
      </c>
      <c r="B430" s="106">
        <f t="shared" si="9"/>
        <v>47</v>
      </c>
      <c r="C430" s="107">
        <f ca="1">OFFSET(tab_tipo_Combustivel!$A$1,MATCH(B430,tab_tipo_Combustivel!$A$2:$A$150,0),MATCH(A430,tab_tipo_Combustivel!$B$1:$AQ$1,0),1,1)</f>
        <v>235.6</v>
      </c>
    </row>
    <row r="431" spans="1:3">
      <c r="A431" s="3">
        <f t="shared" si="8"/>
        <v>2015</v>
      </c>
      <c r="B431" s="106">
        <f t="shared" si="9"/>
        <v>48</v>
      </c>
      <c r="C431" s="107">
        <f ca="1">OFFSET(tab_tipo_Combustivel!$A$1,MATCH(B431,tab_tipo_Combustivel!$A$2:$A$150,0),MATCH(A431,tab_tipo_Combustivel!$B$1:$AQ$1,0),1,1)</f>
        <v>1012.12</v>
      </c>
    </row>
    <row r="432" spans="1:3">
      <c r="A432" s="3">
        <f t="shared" si="8"/>
        <v>2015</v>
      </c>
      <c r="B432" s="106">
        <f t="shared" si="9"/>
        <v>50</v>
      </c>
      <c r="C432" s="107">
        <f ca="1">OFFSET(tab_tipo_Combustivel!$A$1,MATCH(B432,tab_tipo_Combustivel!$A$2:$A$150,0),MATCH(A432,tab_tipo_Combustivel!$B$1:$AQ$1,0),1,1)</f>
        <v>669.87</v>
      </c>
    </row>
    <row r="433" spans="1:3">
      <c r="A433" s="3">
        <f t="shared" si="8"/>
        <v>2015</v>
      </c>
      <c r="B433" s="106">
        <f t="shared" si="9"/>
        <v>54</v>
      </c>
      <c r="C433" s="107">
        <f ca="1">OFFSET(tab_tipo_Combustivel!$A$1,MATCH(B433,tab_tipo_Combustivel!$A$2:$A$150,0),MATCH(A433,tab_tipo_Combustivel!$B$1:$AQ$1,0),1,1)</f>
        <v>304.55</v>
      </c>
    </row>
    <row r="434" spans="1:3">
      <c r="A434" s="3">
        <f t="shared" si="8"/>
        <v>2015</v>
      </c>
      <c r="B434" s="106">
        <f t="shared" si="9"/>
        <v>58</v>
      </c>
      <c r="C434" s="107">
        <f ca="1">OFFSET(tab_tipo_Combustivel!$A$1,MATCH(B434,tab_tipo_Combustivel!$A$2:$A$150,0),MATCH(A434,tab_tipo_Combustivel!$B$1:$AQ$1,0),1,1)</f>
        <v>300.05</v>
      </c>
    </row>
    <row r="435" spans="1:3">
      <c r="A435" s="3">
        <f t="shared" si="8"/>
        <v>2015</v>
      </c>
      <c r="B435" s="106">
        <f t="shared" si="9"/>
        <v>62</v>
      </c>
      <c r="C435" s="107">
        <f ca="1">OFFSET(tab_tipo_Combustivel!$A$1,MATCH(B435,tab_tipo_Combustivel!$A$2:$A$150,0),MATCH(A435,tab_tipo_Combustivel!$B$1:$AQ$1,0),1,1)</f>
        <v>309.24</v>
      </c>
    </row>
    <row r="436" spans="1:3">
      <c r="A436" s="3">
        <f t="shared" si="8"/>
        <v>2015</v>
      </c>
      <c r="B436" s="106">
        <f t="shared" si="9"/>
        <v>63</v>
      </c>
      <c r="C436" s="107">
        <f ca="1">OFFSET(tab_tipo_Combustivel!$A$1,MATCH(B436,tab_tipo_Combustivel!$A$2:$A$150,0),MATCH(A436,tab_tipo_Combustivel!$B$1:$AQ$1,0),1,1)</f>
        <v>365.77</v>
      </c>
    </row>
    <row r="437" spans="1:3">
      <c r="A437" s="3">
        <f t="shared" si="8"/>
        <v>2015</v>
      </c>
      <c r="B437" s="106">
        <f t="shared" si="9"/>
        <v>64</v>
      </c>
      <c r="C437" s="107">
        <f ca="1">OFFSET(tab_tipo_Combustivel!$A$1,MATCH(B437,tab_tipo_Combustivel!$A$2:$A$150,0),MATCH(A437,tab_tipo_Combustivel!$B$1:$AQ$1,0),1,1)</f>
        <v>853.54</v>
      </c>
    </row>
    <row r="438" spans="1:3">
      <c r="A438" s="3">
        <f t="shared" si="8"/>
        <v>2015</v>
      </c>
      <c r="B438" s="106">
        <f t="shared" si="9"/>
        <v>68</v>
      </c>
      <c r="C438" s="107">
        <f ca="1">OFFSET(tab_tipo_Combustivel!$A$1,MATCH(B438,tab_tipo_Combustivel!$A$2:$A$150,0),MATCH(A438,tab_tipo_Combustivel!$B$1:$AQ$1,0),1,1)</f>
        <v>195.63</v>
      </c>
    </row>
    <row r="439" spans="1:3">
      <c r="A439" s="3">
        <f t="shared" si="8"/>
        <v>2015</v>
      </c>
      <c r="B439" s="106">
        <f t="shared" si="9"/>
        <v>74</v>
      </c>
      <c r="C439" s="107">
        <f ca="1">OFFSET(tab_tipo_Combustivel!$A$1,MATCH(B439,tab_tipo_Combustivel!$A$2:$A$150,0),MATCH(A439,tab_tipo_Combustivel!$B$1:$AQ$1,0),1,1)</f>
        <v>364.46</v>
      </c>
    </row>
    <row r="440" spans="1:3">
      <c r="A440" s="3">
        <f t="shared" si="8"/>
        <v>2015</v>
      </c>
      <c r="B440" s="106">
        <f t="shared" si="9"/>
        <v>83</v>
      </c>
      <c r="C440" s="107">
        <f ca="1">OFFSET(tab_tipo_Combustivel!$A$1,MATCH(B440,tab_tipo_Combustivel!$A$2:$A$150,0),MATCH(A440,tab_tipo_Combustivel!$B$1:$AQ$1,0),1,1)</f>
        <v>448.1</v>
      </c>
    </row>
    <row r="441" spans="1:3">
      <c r="A441" s="3">
        <f t="shared" si="8"/>
        <v>2015</v>
      </c>
      <c r="B441" s="106">
        <f t="shared" si="9"/>
        <v>86</v>
      </c>
      <c r="C441" s="107">
        <f ca="1">OFFSET(tab_tipo_Combustivel!$A$1,MATCH(B441,tab_tipo_Combustivel!$A$2:$A$150,0),MATCH(A441,tab_tipo_Combustivel!$B$1:$AQ$1,0),1,1)</f>
        <v>170.34</v>
      </c>
    </row>
    <row r="442" spans="1:3">
      <c r="A442" s="3">
        <f t="shared" si="8"/>
        <v>2015</v>
      </c>
      <c r="B442" s="106">
        <f t="shared" si="9"/>
        <v>90</v>
      </c>
      <c r="C442" s="107">
        <f ca="1">OFFSET(tab_tipo_Combustivel!$A$1,MATCH(B442,tab_tipo_Combustivel!$A$2:$A$150,0),MATCH(A442,tab_tipo_Combustivel!$B$1:$AQ$1,0),1,1)</f>
        <v>533.1</v>
      </c>
    </row>
    <row r="443" spans="1:3">
      <c r="A443" s="3">
        <f t="shared" si="8"/>
        <v>2015</v>
      </c>
      <c r="B443" s="106">
        <f t="shared" si="9"/>
        <v>93</v>
      </c>
      <c r="C443" s="107">
        <f ca="1">OFFSET(tab_tipo_Combustivel!$A$1,MATCH(B443,tab_tipo_Combustivel!$A$2:$A$150,0),MATCH(A443,tab_tipo_Combustivel!$B$1:$AQ$1,0),1,1)</f>
        <v>842.33</v>
      </c>
    </row>
    <row r="444" spans="1:3">
      <c r="A444" s="3">
        <f t="shared" si="8"/>
        <v>2015</v>
      </c>
      <c r="B444" s="106">
        <f t="shared" si="9"/>
        <v>94</v>
      </c>
      <c r="C444" s="107">
        <f ca="1">OFFSET(tab_tipo_Combustivel!$A$1,MATCH(B444,tab_tipo_Combustivel!$A$2:$A$150,0),MATCH(A444,tab_tipo_Combustivel!$B$1:$AQ$1,0),1,1)</f>
        <v>842.33</v>
      </c>
    </row>
    <row r="445" spans="1:3">
      <c r="A445" s="3">
        <f t="shared" si="8"/>
        <v>2015</v>
      </c>
      <c r="B445" s="106">
        <f t="shared" si="9"/>
        <v>96</v>
      </c>
      <c r="C445" s="107">
        <f ca="1">OFFSET(tab_tipo_Combustivel!$A$1,MATCH(B445,tab_tipo_Combustivel!$A$2:$A$150,0),MATCH(A445,tab_tipo_Combustivel!$B$1:$AQ$1,0),1,1)</f>
        <v>99.92</v>
      </c>
    </row>
    <row r="446" spans="1:3">
      <c r="A446" s="3">
        <f t="shared" si="8"/>
        <v>2015</v>
      </c>
      <c r="B446" s="106">
        <f t="shared" si="9"/>
        <v>98</v>
      </c>
      <c r="C446" s="107">
        <f ca="1">OFFSET(tab_tipo_Combustivel!$A$1,MATCH(B446,tab_tipo_Combustivel!$A$2:$A$150,0),MATCH(A446,tab_tipo_Combustivel!$B$1:$AQ$1,0),1,1)</f>
        <v>489.8</v>
      </c>
    </row>
    <row r="447" spans="1:3">
      <c r="A447" s="3">
        <f t="shared" si="8"/>
        <v>2015</v>
      </c>
      <c r="B447" s="106">
        <f t="shared" si="9"/>
        <v>107</v>
      </c>
      <c r="C447" s="107">
        <f ca="1">OFFSET(tab_tipo_Combustivel!$A$1,MATCH(B447,tab_tipo_Combustivel!$A$2:$A$150,0),MATCH(A447,tab_tipo_Combustivel!$B$1:$AQ$1,0),1,1)</f>
        <v>57.63</v>
      </c>
    </row>
    <row r="448" spans="1:3">
      <c r="A448" s="3">
        <f t="shared" si="8"/>
        <v>2015</v>
      </c>
      <c r="B448" s="106">
        <f t="shared" si="9"/>
        <v>110</v>
      </c>
      <c r="C448" s="107">
        <f ca="1">OFFSET(tab_tipo_Combustivel!$A$1,MATCH(B448,tab_tipo_Combustivel!$A$2:$A$150,0),MATCH(A448,tab_tipo_Combustivel!$B$1:$AQ$1,0),1,1)</f>
        <v>568.29</v>
      </c>
    </row>
    <row r="449" spans="1:3">
      <c r="A449" s="3">
        <f t="shared" si="8"/>
        <v>2015</v>
      </c>
      <c r="B449" s="106">
        <f t="shared" si="9"/>
        <v>116</v>
      </c>
      <c r="C449" s="107">
        <f ca="1">OFFSET(tab_tipo_Combustivel!$A$1,MATCH(B449,tab_tipo_Combustivel!$A$2:$A$150,0),MATCH(A449,tab_tipo_Combustivel!$B$1:$AQ$1,0),1,1)</f>
        <v>117.46</v>
      </c>
    </row>
    <row r="450" spans="1:3">
      <c r="A450" s="3">
        <f t="shared" si="8"/>
        <v>2015</v>
      </c>
      <c r="B450" s="106">
        <f t="shared" si="9"/>
        <v>140</v>
      </c>
      <c r="C450" s="107">
        <f ca="1">OFFSET(tab_tipo_Combustivel!$A$1,MATCH(B450,tab_tipo_Combustivel!$A$2:$A$150,0),MATCH(A450,tab_tipo_Combustivel!$B$1:$AQ$1,0),1,1)</f>
        <v>88.11</v>
      </c>
    </row>
    <row r="451" spans="1:3">
      <c r="A451" s="3">
        <f t="shared" si="8"/>
        <v>2015</v>
      </c>
      <c r="B451" s="106">
        <f t="shared" si="9"/>
        <v>141</v>
      </c>
      <c r="C451" s="107">
        <f ca="1">OFFSET(tab_tipo_Combustivel!$A$1,MATCH(B451,tab_tipo_Combustivel!$A$2:$A$150,0),MATCH(A451,tab_tipo_Combustivel!$B$1:$AQ$1,0),1,1)</f>
        <v>1280.52</v>
      </c>
    </row>
    <row r="452" spans="1:3">
      <c r="A452" s="3">
        <f t="shared" si="8"/>
        <v>2015</v>
      </c>
      <c r="B452" s="106">
        <f t="shared" si="9"/>
        <v>147</v>
      </c>
      <c r="C452" s="107">
        <f ca="1">OFFSET(tab_tipo_Combustivel!$A$1,MATCH(B452,tab_tipo_Combustivel!$A$2:$A$150,0),MATCH(A452,tab_tipo_Combustivel!$B$1:$AQ$1,0),1,1)</f>
        <v>134.18</v>
      </c>
    </row>
    <row r="453" spans="1:3">
      <c r="A453" s="3">
        <f t="shared" si="8"/>
        <v>2015</v>
      </c>
      <c r="B453" s="106">
        <f t="shared" si="9"/>
        <v>156</v>
      </c>
      <c r="C453" s="107">
        <f ca="1">OFFSET(tab_tipo_Combustivel!$A$1,MATCH(B453,tab_tipo_Combustivel!$A$2:$A$150,0),MATCH(A453,tab_tipo_Combustivel!$B$1:$AQ$1,0),1,1)</f>
        <v>77.12</v>
      </c>
    </row>
    <row r="454" spans="1:3">
      <c r="A454" s="3">
        <f t="shared" si="8"/>
        <v>2015</v>
      </c>
      <c r="B454" s="106">
        <f t="shared" si="9"/>
        <v>163</v>
      </c>
      <c r="C454" s="107">
        <f ca="1">OFFSET(tab_tipo_Combustivel!$A$1,MATCH(B454,tab_tipo_Combustivel!$A$2:$A$150,0),MATCH(A454,tab_tipo_Combustivel!$B$1:$AQ$1,0),1,1)</f>
        <v>156.69999999999999</v>
      </c>
    </row>
    <row r="455" spans="1:3">
      <c r="A455" s="3">
        <f t="shared" si="8"/>
        <v>2015</v>
      </c>
      <c r="B455" s="106">
        <f t="shared" si="9"/>
        <v>167</v>
      </c>
      <c r="C455" s="107">
        <f ca="1">OFFSET(tab_tipo_Combustivel!$A$1,MATCH(B455,tab_tipo_Combustivel!$A$2:$A$150,0),MATCH(A455,tab_tipo_Combustivel!$B$1:$AQ$1,0),1,1)</f>
        <v>144.66999999999999</v>
      </c>
    </row>
    <row r="456" spans="1:3">
      <c r="A456" s="3">
        <f t="shared" si="8"/>
        <v>2015</v>
      </c>
      <c r="B456" s="106">
        <f t="shared" si="9"/>
        <v>171</v>
      </c>
      <c r="C456" s="107">
        <f ca="1">OFFSET(tab_tipo_Combustivel!$A$1,MATCH(B456,tab_tipo_Combustivel!$A$2:$A$150,0),MATCH(A456,tab_tipo_Combustivel!$B$1:$AQ$1,0),1,1)</f>
        <v>88</v>
      </c>
    </row>
    <row r="457" spans="1:3">
      <c r="A457" s="3">
        <f t="shared" si="8"/>
        <v>2015</v>
      </c>
      <c r="B457" s="106">
        <f t="shared" si="9"/>
        <v>172</v>
      </c>
      <c r="C457" s="107">
        <f ca="1">OFFSET(tab_tipo_Combustivel!$A$1,MATCH(B457,tab_tipo_Combustivel!$A$2:$A$150,0),MATCH(A457,tab_tipo_Combustivel!$B$1:$AQ$1,0),1,1)</f>
        <v>99.97</v>
      </c>
    </row>
    <row r="458" spans="1:3">
      <c r="A458" s="3">
        <f t="shared" ref="A458:A521" si="10">A323+1</f>
        <v>2015</v>
      </c>
      <c r="B458" s="106">
        <f t="shared" ref="B458:B521" si="11">B323</f>
        <v>173</v>
      </c>
      <c r="C458" s="107">
        <f ca="1">OFFSET(tab_tipo_Combustivel!$A$1,MATCH(B458,tab_tipo_Combustivel!$A$2:$A$150,0),MATCH(A458,tab_tipo_Combustivel!$B$1:$AQ$1,0),1,1)</f>
        <v>192.03</v>
      </c>
    </row>
    <row r="459" spans="1:3">
      <c r="A459" s="3">
        <f t="shared" si="10"/>
        <v>2015</v>
      </c>
      <c r="B459" s="106">
        <f t="shared" si="11"/>
        <v>174</v>
      </c>
      <c r="C459" s="107">
        <f ca="1">OFFSET(tab_tipo_Combustivel!$A$1,MATCH(B459,tab_tipo_Combustivel!$A$2:$A$150,0),MATCH(A459,tab_tipo_Combustivel!$B$1:$AQ$1,0),1,1)</f>
        <v>331.22</v>
      </c>
    </row>
    <row r="460" spans="1:3">
      <c r="A460" s="3">
        <f t="shared" si="10"/>
        <v>2015</v>
      </c>
      <c r="B460" s="106">
        <f t="shared" si="11"/>
        <v>176</v>
      </c>
      <c r="C460" s="107">
        <f ca="1">OFFSET(tab_tipo_Combustivel!$A$1,MATCH(B460,tab_tipo_Combustivel!$A$2:$A$150,0),MATCH(A460,tab_tipo_Combustivel!$B$1:$AQ$1,0),1,1)</f>
        <v>149.47999999999999</v>
      </c>
    </row>
    <row r="461" spans="1:3">
      <c r="A461" s="3">
        <f t="shared" si="10"/>
        <v>2015</v>
      </c>
      <c r="B461" s="106">
        <f t="shared" si="11"/>
        <v>183</v>
      </c>
      <c r="C461" s="107">
        <f ca="1">OFFSET(tab_tipo_Combustivel!$A$1,MATCH(B461,tab_tipo_Combustivel!$A$2:$A$150,0),MATCH(A461,tab_tipo_Combustivel!$B$1:$AQ$1,0),1,1)</f>
        <v>171.61</v>
      </c>
    </row>
    <row r="462" spans="1:3">
      <c r="A462" s="3">
        <f t="shared" si="10"/>
        <v>2015</v>
      </c>
      <c r="B462" s="106">
        <f t="shared" si="11"/>
        <v>194</v>
      </c>
      <c r="C462" s="107">
        <f ca="1">OFFSET(tab_tipo_Combustivel!$A$1,MATCH(B462,tab_tipo_Combustivel!$A$2:$A$150,0),MATCH(A462,tab_tipo_Combustivel!$B$1:$AQ$1,0),1,1)</f>
        <v>1098.58</v>
      </c>
    </row>
    <row r="463" spans="1:3">
      <c r="A463" s="3">
        <f t="shared" si="10"/>
        <v>2015</v>
      </c>
      <c r="B463" s="106">
        <f t="shared" si="11"/>
        <v>203</v>
      </c>
      <c r="C463" s="107">
        <f ca="1">OFFSET(tab_tipo_Combustivel!$A$1,MATCH(B463,tab_tipo_Combustivel!$A$2:$A$150,0),MATCH(A463,tab_tipo_Combustivel!$B$1:$AQ$1,0),1,1)</f>
        <v>0</v>
      </c>
    </row>
    <row r="464" spans="1:3">
      <c r="A464" s="3">
        <f t="shared" si="10"/>
        <v>2015</v>
      </c>
      <c r="B464" s="106">
        <f t="shared" si="11"/>
        <v>204</v>
      </c>
      <c r="C464" s="107">
        <f ca="1">OFFSET(tab_tipo_Combustivel!$A$1,MATCH(B464,tab_tipo_Combustivel!$A$2:$A$150,0),MATCH(A464,tab_tipo_Combustivel!$B$1:$AQ$1,0),1,1)</f>
        <v>0</v>
      </c>
    </row>
    <row r="465" spans="1:3">
      <c r="A465" s="3">
        <f t="shared" si="10"/>
        <v>2015</v>
      </c>
      <c r="B465" s="106">
        <f t="shared" si="11"/>
        <v>205</v>
      </c>
      <c r="C465" s="107">
        <f ca="1">OFFSET(tab_tipo_Combustivel!$A$1,MATCH(B465,tab_tipo_Combustivel!$A$2:$A$150,0),MATCH(A465,tab_tipo_Combustivel!$B$1:$AQ$1,0),1,1)</f>
        <v>0</v>
      </c>
    </row>
    <row r="466" spans="1:3">
      <c r="A466" s="3">
        <f t="shared" si="10"/>
        <v>2015</v>
      </c>
      <c r="B466" s="106">
        <f t="shared" si="11"/>
        <v>207</v>
      </c>
      <c r="C466" s="107">
        <f ca="1">OFFSET(tab_tipo_Combustivel!$A$1,MATCH(B466,tab_tipo_Combustivel!$A$2:$A$150,0),MATCH(A466,tab_tipo_Combustivel!$B$1:$AQ$1,0),1,1)</f>
        <v>0</v>
      </c>
    </row>
    <row r="467" spans="1:3">
      <c r="A467" s="3">
        <f t="shared" si="10"/>
        <v>2015</v>
      </c>
      <c r="B467" s="106">
        <f t="shared" si="11"/>
        <v>208</v>
      </c>
      <c r="C467" s="107">
        <f ca="1">OFFSET(tab_tipo_Combustivel!$A$1,MATCH(B467,tab_tipo_Combustivel!$A$2:$A$150,0),MATCH(A467,tab_tipo_Combustivel!$B$1:$AQ$1,0),1,1)</f>
        <v>783.64</v>
      </c>
    </row>
    <row r="468" spans="1:3">
      <c r="A468" s="3">
        <f t="shared" si="10"/>
        <v>2015</v>
      </c>
      <c r="B468" s="106">
        <f t="shared" si="11"/>
        <v>209</v>
      </c>
      <c r="C468" s="107">
        <f ca="1">OFFSET(tab_tipo_Combustivel!$A$1,MATCH(B468,tab_tipo_Combustivel!$A$2:$A$150,0),MATCH(A468,tab_tipo_Combustivel!$B$1:$AQ$1,0),1,1)</f>
        <v>0</v>
      </c>
    </row>
    <row r="469" spans="1:3">
      <c r="A469" s="3">
        <f t="shared" si="10"/>
        <v>2015</v>
      </c>
      <c r="B469" s="106">
        <f t="shared" si="11"/>
        <v>211</v>
      </c>
      <c r="C469" s="107">
        <f ca="1">OFFSET(tab_tipo_Combustivel!$A$1,MATCH(B469,tab_tipo_Combustivel!$A$2:$A$150,0),MATCH(A469,tab_tipo_Combustivel!$B$1:$AQ$1,0),1,1)</f>
        <v>150.79</v>
      </c>
    </row>
    <row r="470" spans="1:3">
      <c r="A470" s="3">
        <f t="shared" si="10"/>
        <v>2015</v>
      </c>
      <c r="B470" s="106">
        <f t="shared" si="11"/>
        <v>212</v>
      </c>
      <c r="C470" s="107">
        <f ca="1">OFFSET(tab_tipo_Combustivel!$A$1,MATCH(B470,tab_tipo_Combustivel!$A$2:$A$150,0),MATCH(A470,tab_tipo_Combustivel!$B$1:$AQ$1,0),1,1)</f>
        <v>84.58</v>
      </c>
    </row>
    <row r="471" spans="1:3">
      <c r="A471" s="3">
        <f t="shared" si="10"/>
        <v>2015</v>
      </c>
      <c r="B471" s="106">
        <f t="shared" si="11"/>
        <v>224</v>
      </c>
      <c r="C471" s="107">
        <f ca="1">OFFSET(tab_tipo_Combustivel!$A$1,MATCH(B471,tab_tipo_Combustivel!$A$2:$A$150,0),MATCH(A471,tab_tipo_Combustivel!$B$1:$AQ$1,0),1,1)</f>
        <v>31.08</v>
      </c>
    </row>
    <row r="472" spans="1:3">
      <c r="A472" s="3">
        <f t="shared" si="10"/>
        <v>2015</v>
      </c>
      <c r="B472" s="106">
        <f t="shared" si="11"/>
        <v>225</v>
      </c>
      <c r="C472" s="107">
        <f ca="1">OFFSET(tab_tipo_Combustivel!$A$1,MATCH(B472,tab_tipo_Combustivel!$A$2:$A$150,0),MATCH(A472,tab_tipo_Combustivel!$B$1:$AQ$1,0),1,1)</f>
        <v>1329.7</v>
      </c>
    </row>
    <row r="473" spans="1:3">
      <c r="A473" s="3">
        <f t="shared" si="10"/>
        <v>2015</v>
      </c>
      <c r="B473" s="106">
        <f t="shared" si="11"/>
        <v>226</v>
      </c>
      <c r="C473" s="107">
        <f ca="1">OFFSET(tab_tipo_Combustivel!$A$1,MATCH(B473,tab_tipo_Combustivel!$A$2:$A$150,0),MATCH(A473,tab_tipo_Combustivel!$B$1:$AQ$1,0),1,1)</f>
        <v>1061.1300000000001</v>
      </c>
    </row>
    <row r="474" spans="1:3">
      <c r="A474" s="3">
        <f t="shared" si="10"/>
        <v>2015</v>
      </c>
      <c r="B474" s="106">
        <f t="shared" si="11"/>
        <v>227</v>
      </c>
      <c r="C474" s="107">
        <f ca="1">OFFSET(tab_tipo_Combustivel!$A$1,MATCH(B474,tab_tipo_Combustivel!$A$2:$A$150,0),MATCH(A474,tab_tipo_Combustivel!$B$1:$AQ$1,0),1,1)</f>
        <v>447.52</v>
      </c>
    </row>
    <row r="475" spans="1:3">
      <c r="A475" s="3">
        <f t="shared" si="10"/>
        <v>2015</v>
      </c>
      <c r="B475" s="106">
        <f t="shared" si="11"/>
        <v>228</v>
      </c>
      <c r="C475" s="107">
        <f ca="1">OFFSET(tab_tipo_Combustivel!$A$1,MATCH(B475,tab_tipo_Combustivel!$A$2:$A$150,0),MATCH(A475,tab_tipo_Combustivel!$B$1:$AQ$1,0),1,1)</f>
        <v>1061.1400000000001</v>
      </c>
    </row>
    <row r="476" spans="1:3">
      <c r="A476" s="3">
        <f t="shared" si="10"/>
        <v>2015</v>
      </c>
      <c r="B476" s="106">
        <f t="shared" si="11"/>
        <v>229</v>
      </c>
      <c r="C476" s="107">
        <f ca="1">OFFSET(tab_tipo_Combustivel!$A$1,MATCH(B476,tab_tipo_Combustivel!$A$2:$A$150,0),MATCH(A476,tab_tipo_Combustivel!$B$1:$AQ$1,0),1,1)</f>
        <v>942.05</v>
      </c>
    </row>
    <row r="477" spans="1:3">
      <c r="A477" s="3">
        <f t="shared" si="10"/>
        <v>2015</v>
      </c>
      <c r="B477" s="106">
        <f t="shared" si="11"/>
        <v>230</v>
      </c>
      <c r="C477" s="107">
        <f ca="1">OFFSET(tab_tipo_Combustivel!$A$1,MATCH(B477,tab_tipo_Combustivel!$A$2:$A$150,0),MATCH(A477,tab_tipo_Combustivel!$B$1:$AQ$1,0),1,1)</f>
        <v>495.06</v>
      </c>
    </row>
    <row r="478" spans="1:3">
      <c r="A478" s="3">
        <f t="shared" si="10"/>
        <v>2015</v>
      </c>
      <c r="B478" s="106">
        <f t="shared" si="11"/>
        <v>231</v>
      </c>
      <c r="C478" s="107">
        <f ca="1">OFFSET(tab_tipo_Combustivel!$A$1,MATCH(B478,tab_tipo_Combustivel!$A$2:$A$150,0),MATCH(A478,tab_tipo_Combustivel!$B$1:$AQ$1,0),1,1)</f>
        <v>489.29</v>
      </c>
    </row>
    <row r="479" spans="1:3">
      <c r="A479" s="3">
        <f t="shared" si="10"/>
        <v>2015</v>
      </c>
      <c r="B479" s="106">
        <f t="shared" si="11"/>
        <v>232</v>
      </c>
      <c r="C479" s="107">
        <f ca="1">OFFSET(tab_tipo_Combustivel!$A$1,MATCH(B479,tab_tipo_Combustivel!$A$2:$A$150,0),MATCH(A479,tab_tipo_Combustivel!$B$1:$AQ$1,0),1,1)</f>
        <v>842.33</v>
      </c>
    </row>
    <row r="480" spans="1:3">
      <c r="A480" s="3">
        <f t="shared" si="10"/>
        <v>2015</v>
      </c>
      <c r="B480" s="106">
        <f t="shared" si="11"/>
        <v>233</v>
      </c>
      <c r="C480" s="107">
        <f ca="1">OFFSET(tab_tipo_Combustivel!$A$1,MATCH(B480,tab_tipo_Combustivel!$A$2:$A$150,0),MATCH(A480,tab_tipo_Combustivel!$B$1:$AQ$1,0),1,1)</f>
        <v>984.29</v>
      </c>
    </row>
    <row r="481" spans="1:3">
      <c r="A481" s="3">
        <f t="shared" si="10"/>
        <v>2015</v>
      </c>
      <c r="B481" s="106">
        <f t="shared" si="11"/>
        <v>234</v>
      </c>
      <c r="C481" s="107">
        <f ca="1">OFFSET(tab_tipo_Combustivel!$A$1,MATCH(B481,tab_tipo_Combustivel!$A$2:$A$150,0),MATCH(A481,tab_tipo_Combustivel!$B$1:$AQ$1,0),1,1)</f>
        <v>290.26</v>
      </c>
    </row>
    <row r="482" spans="1:3">
      <c r="A482" s="3">
        <f t="shared" si="10"/>
        <v>2015</v>
      </c>
      <c r="B482" s="106">
        <f t="shared" si="11"/>
        <v>235</v>
      </c>
      <c r="C482" s="107">
        <f ca="1">OFFSET(tab_tipo_Combustivel!$A$1,MATCH(B482,tab_tipo_Combustivel!$A$2:$A$150,0),MATCH(A482,tab_tipo_Combustivel!$B$1:$AQ$1,0),1,1)</f>
        <v>1350.87</v>
      </c>
    </row>
    <row r="483" spans="1:3">
      <c r="A483" s="3">
        <f t="shared" si="10"/>
        <v>2015</v>
      </c>
      <c r="B483" s="106">
        <f t="shared" si="11"/>
        <v>236</v>
      </c>
      <c r="C483" s="107">
        <f ca="1">OFFSET(tab_tipo_Combustivel!$A$1,MATCH(B483,tab_tipo_Combustivel!$A$2:$A$150,0),MATCH(A483,tab_tipo_Combustivel!$B$1:$AQ$1,0),1,1)</f>
        <v>842.33</v>
      </c>
    </row>
    <row r="484" spans="1:3">
      <c r="A484" s="3">
        <f t="shared" si="10"/>
        <v>2015</v>
      </c>
      <c r="B484" s="106">
        <f t="shared" si="11"/>
        <v>237</v>
      </c>
      <c r="C484" s="107">
        <f ca="1">OFFSET(tab_tipo_Combustivel!$A$1,MATCH(B484,tab_tipo_Combustivel!$A$2:$A$150,0),MATCH(A484,tab_tipo_Combustivel!$B$1:$AQ$1,0),1,1)</f>
        <v>760.85</v>
      </c>
    </row>
    <row r="485" spans="1:3">
      <c r="A485" s="3">
        <f t="shared" si="10"/>
        <v>2015</v>
      </c>
      <c r="B485" s="106">
        <f t="shared" si="11"/>
        <v>238</v>
      </c>
      <c r="C485" s="107">
        <f ca="1">OFFSET(tab_tipo_Combustivel!$A$1,MATCH(B485,tab_tipo_Combustivel!$A$2:$A$150,0),MATCH(A485,tab_tipo_Combustivel!$B$1:$AQ$1,0),1,1)</f>
        <v>963.75</v>
      </c>
    </row>
    <row r="486" spans="1:3">
      <c r="A486" s="3">
        <f t="shared" si="10"/>
        <v>2015</v>
      </c>
      <c r="B486" s="106">
        <f t="shared" si="11"/>
        <v>239</v>
      </c>
      <c r="C486" s="107">
        <f ca="1">OFFSET(tab_tipo_Combustivel!$A$1,MATCH(B486,tab_tipo_Combustivel!$A$2:$A$150,0),MATCH(A486,tab_tipo_Combustivel!$B$1:$AQ$1,0),1,1)</f>
        <v>963.75</v>
      </c>
    </row>
    <row r="487" spans="1:3">
      <c r="A487" s="3">
        <f t="shared" si="10"/>
        <v>2015</v>
      </c>
      <c r="B487" s="106">
        <f t="shared" si="11"/>
        <v>240</v>
      </c>
      <c r="C487" s="107">
        <f ca="1">OFFSET(tab_tipo_Combustivel!$A$1,MATCH(B487,tab_tipo_Combustivel!$A$2:$A$150,0),MATCH(A487,tab_tipo_Combustivel!$B$1:$AQ$1,0),1,1)</f>
        <v>1115.96</v>
      </c>
    </row>
    <row r="488" spans="1:3">
      <c r="A488" s="3">
        <f t="shared" si="10"/>
        <v>2015</v>
      </c>
      <c r="B488" s="106">
        <f t="shared" si="11"/>
        <v>241</v>
      </c>
      <c r="C488" s="107">
        <f ca="1">OFFSET(tab_tipo_Combustivel!$A$1,MATCH(B488,tab_tipo_Combustivel!$A$2:$A$150,0),MATCH(A488,tab_tipo_Combustivel!$B$1:$AQ$1,0),1,1)</f>
        <v>495.75</v>
      </c>
    </row>
    <row r="489" spans="1:3">
      <c r="A489" s="3">
        <f t="shared" si="10"/>
        <v>2015</v>
      </c>
      <c r="B489" s="106">
        <f t="shared" si="11"/>
        <v>242</v>
      </c>
      <c r="C489" s="107">
        <f ca="1">OFFSET(tab_tipo_Combustivel!$A$1,MATCH(B489,tab_tipo_Combustivel!$A$2:$A$150,0),MATCH(A489,tab_tipo_Combustivel!$B$1:$AQ$1,0),1,1)</f>
        <v>1176.45</v>
      </c>
    </row>
    <row r="490" spans="1:3">
      <c r="A490" s="3">
        <f t="shared" si="10"/>
        <v>2015</v>
      </c>
      <c r="B490" s="106">
        <f t="shared" si="11"/>
        <v>243</v>
      </c>
      <c r="C490" s="107">
        <f ca="1">OFFSET(tab_tipo_Combustivel!$A$1,MATCH(B490,tab_tipo_Combustivel!$A$2:$A$150,0),MATCH(A490,tab_tipo_Combustivel!$B$1:$AQ$1,0),1,1)</f>
        <v>495.08</v>
      </c>
    </row>
    <row r="491" spans="1:3">
      <c r="A491" s="3">
        <f t="shared" si="10"/>
        <v>2015</v>
      </c>
      <c r="B491" s="106">
        <f t="shared" si="11"/>
        <v>244</v>
      </c>
      <c r="C491" s="107">
        <f ca="1">OFFSET(tab_tipo_Combustivel!$A$1,MATCH(B491,tab_tipo_Combustivel!$A$2:$A$150,0),MATCH(A491,tab_tipo_Combustivel!$B$1:$AQ$1,0),1,1)</f>
        <v>495.06</v>
      </c>
    </row>
    <row r="492" spans="1:3">
      <c r="A492" s="3">
        <f t="shared" si="10"/>
        <v>2015</v>
      </c>
      <c r="B492" s="106">
        <f t="shared" si="11"/>
        <v>245</v>
      </c>
      <c r="C492" s="107">
        <f ca="1">OFFSET(tab_tipo_Combustivel!$A$1,MATCH(B492,tab_tipo_Combustivel!$A$2:$A$150,0),MATCH(A492,tab_tipo_Combustivel!$B$1:$AQ$1,0),1,1)</f>
        <v>562.65</v>
      </c>
    </row>
    <row r="493" spans="1:3">
      <c r="A493" s="3">
        <f t="shared" si="10"/>
        <v>2015</v>
      </c>
      <c r="B493" s="106">
        <f t="shared" si="11"/>
        <v>246</v>
      </c>
      <c r="C493" s="107">
        <f ca="1">OFFSET(tab_tipo_Combustivel!$A$1,MATCH(B493,tab_tipo_Combustivel!$A$2:$A$150,0),MATCH(A493,tab_tipo_Combustivel!$B$1:$AQ$1,0),1,1)</f>
        <v>1124.53</v>
      </c>
    </row>
    <row r="494" spans="1:3">
      <c r="A494" s="3">
        <f t="shared" si="10"/>
        <v>2015</v>
      </c>
      <c r="B494" s="106">
        <f t="shared" si="11"/>
        <v>247</v>
      </c>
      <c r="C494" s="107">
        <f ca="1">OFFSET(tab_tipo_Combustivel!$A$1,MATCH(B494,tab_tipo_Combustivel!$A$2:$A$150,0),MATCH(A494,tab_tipo_Combustivel!$B$1:$AQ$1,0),1,1)</f>
        <v>609.51</v>
      </c>
    </row>
    <row r="495" spans="1:3">
      <c r="A495" s="3">
        <f t="shared" si="10"/>
        <v>2015</v>
      </c>
      <c r="B495" s="106">
        <f t="shared" si="11"/>
        <v>248</v>
      </c>
      <c r="C495" s="107">
        <f ca="1">OFFSET(tab_tipo_Combustivel!$A$1,MATCH(B495,tab_tipo_Combustivel!$A$2:$A$150,0),MATCH(A495,tab_tipo_Combustivel!$B$1:$AQ$1,0),1,1)</f>
        <v>495.06</v>
      </c>
    </row>
    <row r="496" spans="1:3">
      <c r="A496" s="3">
        <f t="shared" si="10"/>
        <v>2015</v>
      </c>
      <c r="B496" s="106">
        <f t="shared" si="11"/>
        <v>249</v>
      </c>
      <c r="C496" s="107">
        <f ca="1">OFFSET(tab_tipo_Combustivel!$A$1,MATCH(B496,tab_tipo_Combustivel!$A$2:$A$150,0),MATCH(A496,tab_tipo_Combustivel!$B$1:$AQ$1,0),1,1)</f>
        <v>842.33</v>
      </c>
    </row>
    <row r="497" spans="1:3">
      <c r="A497" s="3">
        <f t="shared" si="10"/>
        <v>2015</v>
      </c>
      <c r="B497" s="106">
        <f t="shared" si="11"/>
        <v>250</v>
      </c>
      <c r="C497" s="107">
        <f ca="1">OFFSET(tab_tipo_Combustivel!$A$1,MATCH(B497,tab_tipo_Combustivel!$A$2:$A$150,0),MATCH(A497,tab_tipo_Combustivel!$B$1:$AQ$1,0),1,1)</f>
        <v>1176.45</v>
      </c>
    </row>
    <row r="498" spans="1:3">
      <c r="A498" s="3">
        <f t="shared" si="10"/>
        <v>2015</v>
      </c>
      <c r="B498" s="106">
        <f t="shared" si="11"/>
        <v>251</v>
      </c>
      <c r="C498" s="107">
        <f ca="1">OFFSET(tab_tipo_Combustivel!$A$1,MATCH(B498,tab_tipo_Combustivel!$A$2:$A$150,0),MATCH(A498,tab_tipo_Combustivel!$B$1:$AQ$1,0),1,1)</f>
        <v>842.33</v>
      </c>
    </row>
    <row r="499" spans="1:3">
      <c r="A499" s="3">
        <f t="shared" si="10"/>
        <v>2015</v>
      </c>
      <c r="B499" s="106">
        <f t="shared" si="11"/>
        <v>252</v>
      </c>
      <c r="C499" s="107">
        <f ca="1">OFFSET(tab_tipo_Combustivel!$A$1,MATCH(B499,tab_tipo_Combustivel!$A$2:$A$150,0),MATCH(A499,tab_tipo_Combustivel!$B$1:$AQ$1,0),1,1)</f>
        <v>842.33</v>
      </c>
    </row>
    <row r="500" spans="1:3">
      <c r="A500" s="3">
        <f t="shared" si="10"/>
        <v>2015</v>
      </c>
      <c r="B500" s="106">
        <f t="shared" si="11"/>
        <v>253</v>
      </c>
      <c r="C500" s="107">
        <f ca="1">OFFSET(tab_tipo_Combustivel!$A$1,MATCH(B500,tab_tipo_Combustivel!$A$2:$A$150,0),MATCH(A500,tab_tipo_Combustivel!$B$1:$AQ$1,0),1,1)</f>
        <v>279.45</v>
      </c>
    </row>
    <row r="501" spans="1:3">
      <c r="A501" s="3">
        <f t="shared" si="10"/>
        <v>2015</v>
      </c>
      <c r="B501" s="106">
        <f t="shared" si="11"/>
        <v>254</v>
      </c>
      <c r="C501" s="107">
        <f ca="1">OFFSET(tab_tipo_Combustivel!$A$1,MATCH(B501,tab_tipo_Combustivel!$A$2:$A$150,0),MATCH(A501,tab_tipo_Combustivel!$B$1:$AQ$1,0),1,1)</f>
        <v>1153.98</v>
      </c>
    </row>
    <row r="502" spans="1:3">
      <c r="A502" s="3">
        <f t="shared" si="10"/>
        <v>2015</v>
      </c>
      <c r="B502" s="106">
        <f t="shared" si="11"/>
        <v>255</v>
      </c>
      <c r="C502" s="107">
        <f ca="1">OFFSET(tab_tipo_Combustivel!$A$1,MATCH(B502,tab_tipo_Combustivel!$A$2:$A$150,0),MATCH(A502,tab_tipo_Combustivel!$B$1:$AQ$1,0),1,1)</f>
        <v>828.98</v>
      </c>
    </row>
    <row r="503" spans="1:3">
      <c r="A503" s="3">
        <f t="shared" si="10"/>
        <v>2015</v>
      </c>
      <c r="B503" s="106">
        <f t="shared" si="11"/>
        <v>256</v>
      </c>
      <c r="C503" s="107">
        <f ca="1">OFFSET(tab_tipo_Combustivel!$A$1,MATCH(B503,tab_tipo_Combustivel!$A$2:$A$150,0),MATCH(A503,tab_tipo_Combustivel!$B$1:$AQ$1,0),1,1)</f>
        <v>562.65</v>
      </c>
    </row>
    <row r="504" spans="1:3">
      <c r="A504" s="3">
        <f t="shared" si="10"/>
        <v>2015</v>
      </c>
      <c r="B504" s="106">
        <f t="shared" si="11"/>
        <v>257</v>
      </c>
      <c r="C504" s="107">
        <f ca="1">OFFSET(tab_tipo_Combustivel!$A$1,MATCH(B504,tab_tipo_Combustivel!$A$2:$A$150,0),MATCH(A504,tab_tipo_Combustivel!$B$1:$AQ$1,0),1,1)</f>
        <v>907.52</v>
      </c>
    </row>
    <row r="505" spans="1:3">
      <c r="A505" s="3">
        <f t="shared" si="10"/>
        <v>2015</v>
      </c>
      <c r="B505" s="106">
        <f t="shared" si="11"/>
        <v>258</v>
      </c>
      <c r="C505" s="107">
        <f ca="1">OFFSET(tab_tipo_Combustivel!$A$1,MATCH(B505,tab_tipo_Combustivel!$A$2:$A$150,0),MATCH(A505,tab_tipo_Combustivel!$B$1:$AQ$1,0),1,1)</f>
        <v>1016.04</v>
      </c>
    </row>
    <row r="506" spans="1:3">
      <c r="A506" s="3">
        <f t="shared" si="10"/>
        <v>2015</v>
      </c>
      <c r="B506" s="106">
        <f t="shared" si="11"/>
        <v>259</v>
      </c>
      <c r="C506" s="107">
        <f ca="1">OFFSET(tab_tipo_Combustivel!$A$1,MATCH(B506,tab_tipo_Combustivel!$A$2:$A$150,0),MATCH(A506,tab_tipo_Combustivel!$B$1:$AQ$1,0),1,1)</f>
        <v>977.53</v>
      </c>
    </row>
    <row r="507" spans="1:3">
      <c r="A507" s="3">
        <f t="shared" si="10"/>
        <v>2015</v>
      </c>
      <c r="B507" s="106">
        <f t="shared" si="11"/>
        <v>260</v>
      </c>
      <c r="C507" s="107">
        <f ca="1">OFFSET(tab_tipo_Combustivel!$A$1,MATCH(B507,tab_tipo_Combustivel!$A$2:$A$150,0),MATCH(A507,tab_tipo_Combustivel!$B$1:$AQ$1,0),1,1)</f>
        <v>827.17</v>
      </c>
    </row>
    <row r="508" spans="1:3">
      <c r="A508" s="3">
        <f t="shared" si="10"/>
        <v>2015</v>
      </c>
      <c r="B508" s="106">
        <f t="shared" si="11"/>
        <v>261</v>
      </c>
      <c r="C508" s="107">
        <f ca="1">OFFSET(tab_tipo_Combustivel!$A$1,MATCH(B508,tab_tipo_Combustivel!$A$2:$A$150,0),MATCH(A508,tab_tipo_Combustivel!$B$1:$AQ$1,0),1,1)</f>
        <v>829.7</v>
      </c>
    </row>
    <row r="509" spans="1:3">
      <c r="A509" s="3">
        <f t="shared" si="10"/>
        <v>2015</v>
      </c>
      <c r="B509" s="106">
        <f t="shared" si="11"/>
        <v>262</v>
      </c>
      <c r="C509" s="107">
        <f ca="1">OFFSET(tab_tipo_Combustivel!$A$1,MATCH(B509,tab_tipo_Combustivel!$A$2:$A$150,0),MATCH(A509,tab_tipo_Combustivel!$B$1:$AQ$1,0),1,1)</f>
        <v>495.75</v>
      </c>
    </row>
    <row r="510" spans="1:3">
      <c r="A510" s="3">
        <f t="shared" si="10"/>
        <v>2015</v>
      </c>
      <c r="B510" s="106">
        <f t="shared" si="11"/>
        <v>263</v>
      </c>
      <c r="C510" s="107">
        <f ca="1">OFFSET(tab_tipo_Combustivel!$A$1,MATCH(B510,tab_tipo_Combustivel!$A$2:$A$150,0),MATCH(A510,tab_tipo_Combustivel!$B$1:$AQ$1,0),1,1)</f>
        <v>474.77</v>
      </c>
    </row>
    <row r="511" spans="1:3">
      <c r="A511" s="3">
        <f t="shared" si="10"/>
        <v>2015</v>
      </c>
      <c r="B511" s="106">
        <f t="shared" si="11"/>
        <v>264</v>
      </c>
      <c r="C511" s="107">
        <f ca="1">OFFSET(tab_tipo_Combustivel!$A$1,MATCH(B511,tab_tipo_Combustivel!$A$2:$A$150,0),MATCH(A511,tab_tipo_Combustivel!$B$1:$AQ$1,0),1,1)</f>
        <v>842.33</v>
      </c>
    </row>
    <row r="512" spans="1:3">
      <c r="A512" s="3">
        <f t="shared" si="10"/>
        <v>2015</v>
      </c>
      <c r="B512" s="106">
        <f t="shared" si="11"/>
        <v>265</v>
      </c>
      <c r="C512" s="107">
        <f ca="1">OFFSET(tab_tipo_Combustivel!$A$1,MATCH(B512,tab_tipo_Combustivel!$A$2:$A$150,0),MATCH(A512,tab_tipo_Combustivel!$B$1:$AQ$1,0),1,1)</f>
        <v>415.82</v>
      </c>
    </row>
    <row r="513" spans="1:3">
      <c r="A513" s="3">
        <f t="shared" si="10"/>
        <v>2015</v>
      </c>
      <c r="B513" s="106">
        <f t="shared" si="11"/>
        <v>266</v>
      </c>
      <c r="C513" s="107">
        <f ca="1">OFFSET(tab_tipo_Combustivel!$A$1,MATCH(B513,tab_tipo_Combustivel!$A$2:$A$150,0),MATCH(A513,tab_tipo_Combustivel!$B$1:$AQ$1,0),1,1)</f>
        <v>827.17</v>
      </c>
    </row>
    <row r="514" spans="1:3">
      <c r="A514" s="3">
        <f t="shared" si="10"/>
        <v>2015</v>
      </c>
      <c r="B514" s="106">
        <f t="shared" si="11"/>
        <v>301</v>
      </c>
      <c r="C514" s="107">
        <f ca="1">OFFSET(tab_tipo_Combustivel!$A$1,MATCH(B514,tab_tipo_Combustivel!$A$2:$A$150,0),MATCH(A514,tab_tipo_Combustivel!$B$1:$AQ$1,0),1,1)</f>
        <v>99.08</v>
      </c>
    </row>
    <row r="515" spans="1:3">
      <c r="A515" s="3">
        <f t="shared" si="10"/>
        <v>2015</v>
      </c>
      <c r="B515" s="106">
        <f t="shared" si="11"/>
        <v>302</v>
      </c>
      <c r="C515" s="107">
        <f ca="1">OFFSET(tab_tipo_Combustivel!$A$1,MATCH(B515,tab_tipo_Combustivel!$A$2:$A$150,0),MATCH(A515,tab_tipo_Combustivel!$B$1:$AQ$1,0),1,1)</f>
        <v>103.73</v>
      </c>
    </row>
    <row r="516" spans="1:3">
      <c r="A516" s="3">
        <f t="shared" si="10"/>
        <v>2015</v>
      </c>
      <c r="B516" s="106">
        <f t="shared" si="11"/>
        <v>303</v>
      </c>
      <c r="C516" s="107">
        <f ca="1">OFFSET(tab_tipo_Combustivel!$A$1,MATCH(B516,tab_tipo_Combustivel!$A$2:$A$150,0),MATCH(A516,tab_tipo_Combustivel!$B$1:$AQ$1,0),1,1)</f>
        <v>103.73</v>
      </c>
    </row>
    <row r="517" spans="1:3">
      <c r="A517" s="3">
        <f t="shared" si="10"/>
        <v>2015</v>
      </c>
      <c r="B517" s="106">
        <f t="shared" si="11"/>
        <v>304</v>
      </c>
      <c r="C517" s="107">
        <f ca="1">OFFSET(tab_tipo_Combustivel!$A$1,MATCH(B517,tab_tipo_Combustivel!$A$2:$A$150,0),MATCH(A517,tab_tipo_Combustivel!$B$1:$AQ$1,0),1,1)</f>
        <v>139.41999999999999</v>
      </c>
    </row>
    <row r="518" spans="1:3">
      <c r="A518" s="3">
        <f t="shared" si="10"/>
        <v>2015</v>
      </c>
      <c r="B518" s="106">
        <f t="shared" si="11"/>
        <v>305</v>
      </c>
      <c r="C518" s="107">
        <f ca="1">OFFSET(tab_tipo_Combustivel!$A$1,MATCH(B518,tab_tipo_Combustivel!$A$2:$A$150,0),MATCH(A518,tab_tipo_Combustivel!$B$1:$AQ$1,0),1,1)</f>
        <v>89.7</v>
      </c>
    </row>
    <row r="519" spans="1:3">
      <c r="A519" s="3">
        <f t="shared" si="10"/>
        <v>2015</v>
      </c>
      <c r="B519" s="106">
        <f t="shared" si="11"/>
        <v>306</v>
      </c>
      <c r="C519" s="107">
        <f ca="1">OFFSET(tab_tipo_Combustivel!$A$1,MATCH(B519,tab_tipo_Combustivel!$A$2:$A$150,0),MATCH(A519,tab_tipo_Combustivel!$B$1:$AQ$1,0),1,1)</f>
        <v>100.38</v>
      </c>
    </row>
    <row r="520" spans="1:3">
      <c r="A520" s="3">
        <f t="shared" si="10"/>
        <v>2015</v>
      </c>
      <c r="B520" s="106">
        <f t="shared" si="11"/>
        <v>307</v>
      </c>
      <c r="C520" s="107">
        <f ca="1">OFFSET(tab_tipo_Combustivel!$A$1,MATCH(B520,tab_tipo_Combustivel!$A$2:$A$150,0),MATCH(A520,tab_tipo_Combustivel!$B$1:$AQ$1,0),1,1)</f>
        <v>510.12</v>
      </c>
    </row>
    <row r="521" spans="1:3">
      <c r="A521" s="3">
        <f t="shared" si="10"/>
        <v>2015</v>
      </c>
      <c r="B521" s="106">
        <f t="shared" si="11"/>
        <v>308</v>
      </c>
      <c r="C521" s="107">
        <f ca="1">OFFSET(tab_tipo_Combustivel!$A$1,MATCH(B521,tab_tipo_Combustivel!$A$2:$A$150,0),MATCH(A521,tab_tipo_Combustivel!$B$1:$AQ$1,0),1,1)</f>
        <v>72.5</v>
      </c>
    </row>
    <row r="522" spans="1:3">
      <c r="A522" s="3">
        <f t="shared" ref="A522:A585" si="12">A387+1</f>
        <v>2015</v>
      </c>
      <c r="B522" s="106">
        <f t="shared" ref="B522:B585" si="13">B387</f>
        <v>309</v>
      </c>
      <c r="C522" s="107">
        <f ca="1">OFFSET(tab_tipo_Combustivel!$A$1,MATCH(B522,tab_tipo_Combustivel!$A$2:$A$150,0),MATCH(A522,tab_tipo_Combustivel!$B$1:$AQ$1,0),1,1)</f>
        <v>126.77</v>
      </c>
    </row>
    <row r="523" spans="1:3">
      <c r="A523" s="3">
        <f t="shared" si="12"/>
        <v>2015</v>
      </c>
      <c r="B523" s="106">
        <f t="shared" si="13"/>
        <v>310</v>
      </c>
      <c r="C523" s="107">
        <f ca="1">OFFSET(tab_tipo_Combustivel!$A$1,MATCH(B523,tab_tipo_Combustivel!$A$2:$A$150,0),MATCH(A523,tab_tipo_Combustivel!$B$1:$AQ$1,0),1,1)</f>
        <v>275.99</v>
      </c>
    </row>
    <row r="524" spans="1:3">
      <c r="A524" s="3">
        <f t="shared" si="12"/>
        <v>2015</v>
      </c>
      <c r="B524" s="106">
        <f t="shared" si="13"/>
        <v>311</v>
      </c>
      <c r="C524" s="107">
        <f ca="1">OFFSET(tab_tipo_Combustivel!$A$1,MATCH(B524,tab_tipo_Combustivel!$A$2:$A$150,0),MATCH(A524,tab_tipo_Combustivel!$B$1:$AQ$1,0),1,1)</f>
        <v>70.66</v>
      </c>
    </row>
    <row r="525" spans="1:3">
      <c r="A525" s="3">
        <f t="shared" si="12"/>
        <v>2015</v>
      </c>
      <c r="B525" s="106">
        <f t="shared" si="13"/>
        <v>312</v>
      </c>
      <c r="C525" s="107">
        <f ca="1">OFFSET(tab_tipo_Combustivel!$A$1,MATCH(B525,tab_tipo_Combustivel!$A$2:$A$150,0),MATCH(A525,tab_tipo_Combustivel!$B$1:$AQ$1,0),1,1)</f>
        <v>0</v>
      </c>
    </row>
    <row r="526" spans="1:3">
      <c r="A526" s="3">
        <f t="shared" si="12"/>
        <v>2015</v>
      </c>
      <c r="B526" s="106">
        <f t="shared" si="13"/>
        <v>1301</v>
      </c>
      <c r="C526" s="107">
        <f ca="1">OFFSET(tab_tipo_Combustivel!$A$1,MATCH(B526,tab_tipo_Combustivel!$A$2:$A$150,0),MATCH(A526,tab_tipo_Combustivel!$B$1:$AQ$1,0),1,1)</f>
        <v>242.05</v>
      </c>
    </row>
    <row r="527" spans="1:3">
      <c r="A527" s="3">
        <f t="shared" si="12"/>
        <v>2015</v>
      </c>
      <c r="B527" s="106">
        <f t="shared" si="13"/>
        <v>1302</v>
      </c>
      <c r="C527" s="107">
        <f ca="1">OFFSET(tab_tipo_Combustivel!$A$1,MATCH(B527,tab_tipo_Combustivel!$A$2:$A$150,0),MATCH(A527,tab_tipo_Combustivel!$B$1:$AQ$1,0),1,1)</f>
        <v>193.64</v>
      </c>
    </row>
    <row r="528" spans="1:3">
      <c r="A528" s="3">
        <f t="shared" si="12"/>
        <v>2015</v>
      </c>
      <c r="B528" s="106">
        <f t="shared" si="13"/>
        <v>1303</v>
      </c>
      <c r="C528" s="107">
        <f ca="1">OFFSET(tab_tipo_Combustivel!$A$1,MATCH(B528,tab_tipo_Combustivel!$A$2:$A$150,0),MATCH(A528,tab_tipo_Combustivel!$B$1:$AQ$1,0),1,1)</f>
        <v>25.58</v>
      </c>
    </row>
    <row r="529" spans="1:3">
      <c r="A529" s="3">
        <f t="shared" si="12"/>
        <v>2015</v>
      </c>
      <c r="B529" s="106">
        <f t="shared" si="13"/>
        <v>1304</v>
      </c>
      <c r="C529" s="107">
        <f ca="1">OFFSET(tab_tipo_Combustivel!$A$1,MATCH(B529,tab_tipo_Combustivel!$A$2:$A$150,0),MATCH(A529,tab_tipo_Combustivel!$B$1:$AQ$1,0),1,1)</f>
        <v>0</v>
      </c>
    </row>
    <row r="530" spans="1:3">
      <c r="A530" s="3">
        <f t="shared" si="12"/>
        <v>2015</v>
      </c>
      <c r="B530" s="106">
        <f t="shared" si="13"/>
        <v>1315</v>
      </c>
      <c r="C530" s="107">
        <f ca="1">OFFSET(tab_tipo_Combustivel!$A$1,MATCH(B530,tab_tipo_Combustivel!$A$2:$A$150,0),MATCH(A530,tab_tipo_Combustivel!$B$1:$AQ$1,0),1,1)</f>
        <v>0</v>
      </c>
    </row>
    <row r="531" spans="1:3">
      <c r="A531" s="3">
        <f t="shared" si="12"/>
        <v>2015</v>
      </c>
      <c r="B531" s="106">
        <f t="shared" si="13"/>
        <v>1316</v>
      </c>
      <c r="C531" s="107">
        <f ca="1">OFFSET(tab_tipo_Combustivel!$A$1,MATCH(B531,tab_tipo_Combustivel!$A$2:$A$150,0),MATCH(A531,tab_tipo_Combustivel!$B$1:$AQ$1,0),1,1)</f>
        <v>0</v>
      </c>
    </row>
    <row r="532" spans="1:3">
      <c r="A532" s="3">
        <f t="shared" si="12"/>
        <v>2015</v>
      </c>
      <c r="B532" s="106">
        <f t="shared" si="13"/>
        <v>1318</v>
      </c>
      <c r="C532" s="107">
        <f ca="1">OFFSET(tab_tipo_Combustivel!$A$1,MATCH(B532,tab_tipo_Combustivel!$A$2:$A$150,0),MATCH(A532,tab_tipo_Combustivel!$B$1:$AQ$1,0),1,1)</f>
        <v>200</v>
      </c>
    </row>
    <row r="533" spans="1:3">
      <c r="A533" s="3">
        <f t="shared" si="12"/>
        <v>2015</v>
      </c>
      <c r="B533" s="106">
        <f t="shared" si="13"/>
        <v>1321</v>
      </c>
      <c r="C533" s="107">
        <f ca="1">OFFSET(tab_tipo_Combustivel!$A$1,MATCH(B533,tab_tipo_Combustivel!$A$2:$A$150,0),MATCH(A533,tab_tipo_Combustivel!$B$1:$AQ$1,0),1,1)</f>
        <v>85</v>
      </c>
    </row>
    <row r="534" spans="1:3">
      <c r="A534" s="3">
        <f t="shared" si="12"/>
        <v>2015</v>
      </c>
      <c r="B534" s="106">
        <f t="shared" si="13"/>
        <v>1322</v>
      </c>
      <c r="C534" s="107">
        <f ca="1">OFFSET(tab_tipo_Combustivel!$A$1,MATCH(B534,tab_tipo_Combustivel!$A$2:$A$150,0),MATCH(A534,tab_tipo_Combustivel!$B$1:$AQ$1,0),1,1)</f>
        <v>140</v>
      </c>
    </row>
    <row r="535" spans="1:3">
      <c r="A535" s="3">
        <f t="shared" si="12"/>
        <v>2015</v>
      </c>
      <c r="B535" s="106">
        <f t="shared" si="13"/>
        <v>1323</v>
      </c>
      <c r="C535" s="107">
        <f ca="1">OFFSET(tab_tipo_Combustivel!$A$1,MATCH(B535,tab_tipo_Combustivel!$A$2:$A$150,0),MATCH(A535,tab_tipo_Combustivel!$B$1:$AQ$1,0),1,1)</f>
        <v>63.75</v>
      </c>
    </row>
    <row r="536" spans="1:3">
      <c r="A536" s="3">
        <f t="shared" si="12"/>
        <v>2015</v>
      </c>
      <c r="B536" s="106">
        <f t="shared" si="13"/>
        <v>1325</v>
      </c>
      <c r="C536" s="107">
        <f ca="1">OFFSET(tab_tipo_Combustivel!$A$1,MATCH(B536,tab_tipo_Combustivel!$A$2:$A$150,0),MATCH(A536,tab_tipo_Combustivel!$B$1:$AQ$1,0),1,1)</f>
        <v>0</v>
      </c>
    </row>
    <row r="537" spans="1:3">
      <c r="A537" s="3">
        <f t="shared" si="12"/>
        <v>2015</v>
      </c>
      <c r="B537" s="106">
        <f t="shared" si="13"/>
        <v>1326</v>
      </c>
      <c r="C537" s="107">
        <f ca="1">OFFSET(tab_tipo_Combustivel!$A$1,MATCH(B537,tab_tipo_Combustivel!$A$2:$A$150,0),MATCH(A537,tab_tipo_Combustivel!$B$1:$AQ$1,0),1,1)</f>
        <v>260</v>
      </c>
    </row>
    <row r="538" spans="1:3">
      <c r="A538" s="3">
        <f t="shared" si="12"/>
        <v>2015</v>
      </c>
      <c r="B538" s="106">
        <f t="shared" si="13"/>
        <v>1501</v>
      </c>
      <c r="C538" s="107">
        <f ca="1">OFFSET(tab_tipo_Combustivel!$A$1,MATCH(B538,tab_tipo_Combustivel!$A$2:$A$150,0),MATCH(A538,tab_tipo_Combustivel!$B$1:$AQ$1,0),1,1)</f>
        <v>260</v>
      </c>
    </row>
    <row r="539" spans="1:3">
      <c r="A539" s="3">
        <f t="shared" si="12"/>
        <v>2015</v>
      </c>
      <c r="B539" s="106">
        <f t="shared" si="13"/>
        <v>1502</v>
      </c>
      <c r="C539" s="107">
        <f ca="1">OFFSET(tab_tipo_Combustivel!$A$1,MATCH(B539,tab_tipo_Combustivel!$A$2:$A$150,0),MATCH(A539,tab_tipo_Combustivel!$B$1:$AQ$1,0),1,1)</f>
        <v>60</v>
      </c>
    </row>
    <row r="540" spans="1:3">
      <c r="A540" s="3">
        <f t="shared" si="12"/>
        <v>2015</v>
      </c>
      <c r="B540" s="106">
        <f t="shared" si="13"/>
        <v>1503</v>
      </c>
      <c r="C540" s="107">
        <f ca="1">OFFSET(tab_tipo_Combustivel!$A$1,MATCH(B540,tab_tipo_Combustivel!$A$2:$A$150,0),MATCH(A540,tab_tipo_Combustivel!$B$1:$AQ$1,0),1,1)</f>
        <v>96.82</v>
      </c>
    </row>
    <row r="541" spans="1:3">
      <c r="A541" s="3">
        <f t="shared" si="12"/>
        <v>2015</v>
      </c>
      <c r="B541" s="106">
        <f t="shared" si="13"/>
        <v>1504</v>
      </c>
      <c r="C541" s="107">
        <f ca="1">OFFSET(tab_tipo_Combustivel!$A$1,MATCH(B541,tab_tipo_Combustivel!$A$2:$A$150,0),MATCH(A541,tab_tipo_Combustivel!$B$1:$AQ$1,0),1,1)</f>
        <v>145.22999999999999</v>
      </c>
    </row>
    <row r="542" spans="1:3">
      <c r="A542" s="3">
        <f t="shared" si="12"/>
        <v>2016</v>
      </c>
      <c r="B542" s="106">
        <f t="shared" si="13"/>
        <v>1</v>
      </c>
      <c r="C542" s="107">
        <f ca="1">OFFSET(tab_tipo_Combustivel!$A$1,MATCH(B542,tab_tipo_Combustivel!$A$2:$A$150,0),MATCH(A542,tab_tipo_Combustivel!$B$1:$AQ$1,0),1,1)</f>
        <v>29.13</v>
      </c>
    </row>
    <row r="543" spans="1:3">
      <c r="A543" s="3">
        <f t="shared" si="12"/>
        <v>2016</v>
      </c>
      <c r="B543" s="106">
        <f t="shared" si="13"/>
        <v>2</v>
      </c>
      <c r="C543" s="107">
        <f ca="1">OFFSET(tab_tipo_Combustivel!$A$1,MATCH(B543,tab_tipo_Combustivel!$A$2:$A$150,0),MATCH(A543,tab_tipo_Combustivel!$B$1:$AQ$1,0),1,1)</f>
        <v>842.33</v>
      </c>
    </row>
    <row r="544" spans="1:3">
      <c r="A544" s="3">
        <f t="shared" si="12"/>
        <v>2016</v>
      </c>
      <c r="B544" s="106">
        <f t="shared" si="13"/>
        <v>4</v>
      </c>
      <c r="C544" s="107">
        <f ca="1">OFFSET(tab_tipo_Combustivel!$A$1,MATCH(B544,tab_tipo_Combustivel!$A$2:$A$150,0),MATCH(A544,tab_tipo_Combustivel!$B$1:$AQ$1,0),1,1)</f>
        <v>842.33</v>
      </c>
    </row>
    <row r="545" spans="1:3">
      <c r="A545" s="3">
        <f t="shared" si="12"/>
        <v>2016</v>
      </c>
      <c r="B545" s="106">
        <f t="shared" si="13"/>
        <v>9</v>
      </c>
      <c r="C545" s="107">
        <f ca="1">OFFSET(tab_tipo_Combustivel!$A$1,MATCH(B545,tab_tipo_Combustivel!$A$2:$A$150,0),MATCH(A545,tab_tipo_Combustivel!$B$1:$AQ$1,0),1,1)</f>
        <v>842.33</v>
      </c>
    </row>
    <row r="546" spans="1:3">
      <c r="A546" s="3">
        <f t="shared" si="12"/>
        <v>2016</v>
      </c>
      <c r="B546" s="106">
        <f t="shared" si="13"/>
        <v>12</v>
      </c>
      <c r="C546" s="107">
        <f ca="1">OFFSET(tab_tipo_Combustivel!$A$1,MATCH(B546,tab_tipo_Combustivel!$A$2:$A$150,0),MATCH(A546,tab_tipo_Combustivel!$B$1:$AQ$1,0),1,1)</f>
        <v>728.87</v>
      </c>
    </row>
    <row r="547" spans="1:3">
      <c r="A547" s="3">
        <f t="shared" si="12"/>
        <v>2016</v>
      </c>
      <c r="B547" s="106">
        <f t="shared" si="13"/>
        <v>13</v>
      </c>
      <c r="C547" s="107">
        <f ca="1">OFFSET(tab_tipo_Combustivel!$A$1,MATCH(B547,tab_tipo_Combustivel!$A$2:$A$150,0),MATCH(A547,tab_tipo_Combustivel!$B$1:$AQ$1,0),1,1)</f>
        <v>20.12</v>
      </c>
    </row>
    <row r="548" spans="1:3">
      <c r="A548" s="3">
        <f t="shared" si="12"/>
        <v>2016</v>
      </c>
      <c r="B548" s="106">
        <f t="shared" si="13"/>
        <v>15</v>
      </c>
      <c r="C548" s="107">
        <f ca="1">OFFSET(tab_tipo_Combustivel!$A$1,MATCH(B548,tab_tipo_Combustivel!$A$2:$A$150,0),MATCH(A548,tab_tipo_Combustivel!$B$1:$AQ$1,0),1,1)</f>
        <v>257.29000000000002</v>
      </c>
    </row>
    <row r="549" spans="1:3">
      <c r="A549" s="3">
        <f t="shared" si="12"/>
        <v>2016</v>
      </c>
      <c r="B549" s="106">
        <f t="shared" si="13"/>
        <v>21</v>
      </c>
      <c r="C549" s="107">
        <f ca="1">OFFSET(tab_tipo_Combustivel!$A$1,MATCH(B549,tab_tipo_Combustivel!$A$2:$A$150,0),MATCH(A549,tab_tipo_Combustivel!$B$1:$AQ$1,0),1,1)</f>
        <v>157.83000000000001</v>
      </c>
    </row>
    <row r="550" spans="1:3">
      <c r="A550" s="3">
        <f t="shared" si="12"/>
        <v>2016</v>
      </c>
      <c r="B550" s="106">
        <f t="shared" si="13"/>
        <v>22</v>
      </c>
      <c r="C550" s="107">
        <f ca="1">OFFSET(tab_tipo_Combustivel!$A$1,MATCH(B550,tab_tipo_Combustivel!$A$2:$A$150,0),MATCH(A550,tab_tipo_Combustivel!$B$1:$AQ$1,0),1,1)</f>
        <v>115.9</v>
      </c>
    </row>
    <row r="551" spans="1:3">
      <c r="A551" s="3">
        <f t="shared" si="12"/>
        <v>2016</v>
      </c>
      <c r="B551" s="106">
        <f t="shared" si="13"/>
        <v>23</v>
      </c>
      <c r="C551" s="107">
        <f ca="1">OFFSET(tab_tipo_Combustivel!$A$1,MATCH(B551,tab_tipo_Combustivel!$A$2:$A$150,0),MATCH(A551,tab_tipo_Combustivel!$B$1:$AQ$1,0),1,1)</f>
        <v>115.9</v>
      </c>
    </row>
    <row r="552" spans="1:3">
      <c r="A552" s="3">
        <f t="shared" si="12"/>
        <v>2016</v>
      </c>
      <c r="B552" s="106">
        <f t="shared" si="13"/>
        <v>24</v>
      </c>
      <c r="C552" s="107">
        <f ca="1">OFFSET(tab_tipo_Combustivel!$A$1,MATCH(B552,tab_tipo_Combustivel!$A$2:$A$150,0),MATCH(A552,tab_tipo_Combustivel!$B$1:$AQ$1,0),1,1)</f>
        <v>155.85</v>
      </c>
    </row>
    <row r="553" spans="1:3">
      <c r="A553" s="3">
        <f t="shared" si="12"/>
        <v>2016</v>
      </c>
      <c r="B553" s="106">
        <f t="shared" si="13"/>
        <v>25</v>
      </c>
      <c r="C553" s="107">
        <f ca="1">OFFSET(tab_tipo_Combustivel!$A$1,MATCH(B553,tab_tipo_Combustivel!$A$2:$A$150,0),MATCH(A553,tab_tipo_Combustivel!$B$1:$AQ$1,0),1,1)</f>
        <v>186.33</v>
      </c>
    </row>
    <row r="554" spans="1:3">
      <c r="A554" s="3">
        <f t="shared" si="12"/>
        <v>2016</v>
      </c>
      <c r="B554" s="106">
        <f t="shared" si="13"/>
        <v>26</v>
      </c>
      <c r="C554" s="107">
        <f ca="1">OFFSET(tab_tipo_Combustivel!$A$1,MATCH(B554,tab_tipo_Combustivel!$A$2:$A$150,0),MATCH(A554,tab_tipo_Combustivel!$B$1:$AQ$1,0),1,1)</f>
        <v>258.42</v>
      </c>
    </row>
    <row r="555" spans="1:3">
      <c r="A555" s="3">
        <f t="shared" si="12"/>
        <v>2016</v>
      </c>
      <c r="B555" s="106">
        <f t="shared" si="13"/>
        <v>27</v>
      </c>
      <c r="C555" s="107">
        <f ca="1">OFFSET(tab_tipo_Combustivel!$A$1,MATCH(B555,tab_tipo_Combustivel!$A$2:$A$150,0),MATCH(A555,tab_tipo_Combustivel!$B$1:$AQ$1,0),1,1)</f>
        <v>195.49</v>
      </c>
    </row>
    <row r="556" spans="1:3">
      <c r="A556" s="3">
        <f t="shared" si="12"/>
        <v>2016</v>
      </c>
      <c r="B556" s="106">
        <f t="shared" si="13"/>
        <v>28</v>
      </c>
      <c r="C556" s="107">
        <f ca="1">OFFSET(tab_tipo_Combustivel!$A$1,MATCH(B556,tab_tipo_Combustivel!$A$2:$A$150,0),MATCH(A556,tab_tipo_Combustivel!$B$1:$AQ$1,0),1,1)</f>
        <v>459.92</v>
      </c>
    </row>
    <row r="557" spans="1:3">
      <c r="A557" s="3">
        <f t="shared" si="12"/>
        <v>2016</v>
      </c>
      <c r="B557" s="106">
        <f t="shared" si="13"/>
        <v>32</v>
      </c>
      <c r="C557" s="107">
        <f ca="1">OFFSET(tab_tipo_Combustivel!$A$1,MATCH(B557,tab_tipo_Combustivel!$A$2:$A$150,0),MATCH(A557,tab_tipo_Combustivel!$B$1:$AQ$1,0),1,1)</f>
        <v>248.31</v>
      </c>
    </row>
    <row r="558" spans="1:3">
      <c r="A558" s="3">
        <f t="shared" si="12"/>
        <v>2016</v>
      </c>
      <c r="B558" s="106">
        <f t="shared" si="13"/>
        <v>34</v>
      </c>
      <c r="C558" s="107">
        <f ca="1">OFFSET(tab_tipo_Combustivel!$A$1,MATCH(B558,tab_tipo_Combustivel!$A$2:$A$150,0),MATCH(A558,tab_tipo_Combustivel!$B$1:$AQ$1,0),1,1)</f>
        <v>423.38</v>
      </c>
    </row>
    <row r="559" spans="1:3">
      <c r="A559" s="3">
        <f t="shared" si="12"/>
        <v>2016</v>
      </c>
      <c r="B559" s="106">
        <f t="shared" si="13"/>
        <v>35</v>
      </c>
      <c r="C559" s="107">
        <f ca="1">OFFSET(tab_tipo_Combustivel!$A$1,MATCH(B559,tab_tipo_Combustivel!$A$2:$A$150,0),MATCH(A559,tab_tipo_Combustivel!$B$1:$AQ$1,0),1,1)</f>
        <v>692.45</v>
      </c>
    </row>
    <row r="560" spans="1:3">
      <c r="A560" s="3">
        <f t="shared" si="12"/>
        <v>2016</v>
      </c>
      <c r="B560" s="106">
        <f t="shared" si="13"/>
        <v>36</v>
      </c>
      <c r="C560" s="107">
        <f ca="1">OFFSET(tab_tipo_Combustivel!$A$1,MATCH(B560,tab_tipo_Combustivel!$A$2:$A$150,0),MATCH(A560,tab_tipo_Combustivel!$B$1:$AQ$1,0),1,1)</f>
        <v>157.83000000000001</v>
      </c>
    </row>
    <row r="561" spans="1:3">
      <c r="A561" s="3">
        <f t="shared" si="12"/>
        <v>2016</v>
      </c>
      <c r="B561" s="106">
        <f t="shared" si="13"/>
        <v>42</v>
      </c>
      <c r="C561" s="107">
        <f ca="1">OFFSET(tab_tipo_Combustivel!$A$1,MATCH(B561,tab_tipo_Combustivel!$A$2:$A$150,0),MATCH(A561,tab_tipo_Combustivel!$B$1:$AQ$1,0),1,1)</f>
        <v>199.22</v>
      </c>
    </row>
    <row r="562" spans="1:3">
      <c r="A562" s="3">
        <f t="shared" si="12"/>
        <v>2016</v>
      </c>
      <c r="B562" s="106">
        <f t="shared" si="13"/>
        <v>43</v>
      </c>
      <c r="C562" s="107">
        <f ca="1">OFFSET(tab_tipo_Combustivel!$A$1,MATCH(B562,tab_tipo_Combustivel!$A$2:$A$150,0),MATCH(A562,tab_tipo_Combustivel!$B$1:$AQ$1,0),1,1)</f>
        <v>431.62</v>
      </c>
    </row>
    <row r="563" spans="1:3">
      <c r="A563" s="3">
        <f t="shared" si="12"/>
        <v>2016</v>
      </c>
      <c r="B563" s="106">
        <f t="shared" si="13"/>
        <v>44</v>
      </c>
      <c r="C563" s="107">
        <f ca="1">OFFSET(tab_tipo_Combustivel!$A$1,MATCH(B563,tab_tipo_Combustivel!$A$2:$A$150,0),MATCH(A563,tab_tipo_Combustivel!$B$1:$AQ$1,0),1,1)</f>
        <v>25.58</v>
      </c>
    </row>
    <row r="564" spans="1:3">
      <c r="A564" s="3">
        <f t="shared" si="12"/>
        <v>2016</v>
      </c>
      <c r="B564" s="106">
        <f t="shared" si="13"/>
        <v>46</v>
      </c>
      <c r="C564" s="107">
        <f ca="1">OFFSET(tab_tipo_Combustivel!$A$1,MATCH(B564,tab_tipo_Combustivel!$A$2:$A$150,0),MATCH(A564,tab_tipo_Combustivel!$B$1:$AQ$1,0),1,1)</f>
        <v>228.91</v>
      </c>
    </row>
    <row r="565" spans="1:3">
      <c r="A565" s="3">
        <f t="shared" si="12"/>
        <v>2016</v>
      </c>
      <c r="B565" s="106">
        <f t="shared" si="13"/>
        <v>47</v>
      </c>
      <c r="C565" s="107">
        <f ca="1">OFFSET(tab_tipo_Combustivel!$A$1,MATCH(B565,tab_tipo_Combustivel!$A$2:$A$150,0),MATCH(A565,tab_tipo_Combustivel!$B$1:$AQ$1,0),1,1)</f>
        <v>235.6</v>
      </c>
    </row>
    <row r="566" spans="1:3">
      <c r="A566" s="3">
        <f t="shared" si="12"/>
        <v>2016</v>
      </c>
      <c r="B566" s="106">
        <f t="shared" si="13"/>
        <v>48</v>
      </c>
      <c r="C566" s="107">
        <f ca="1">OFFSET(tab_tipo_Combustivel!$A$1,MATCH(B566,tab_tipo_Combustivel!$A$2:$A$150,0),MATCH(A566,tab_tipo_Combustivel!$B$1:$AQ$1,0),1,1)</f>
        <v>1012.12</v>
      </c>
    </row>
    <row r="567" spans="1:3">
      <c r="A567" s="3">
        <f t="shared" si="12"/>
        <v>2016</v>
      </c>
      <c r="B567" s="106">
        <f t="shared" si="13"/>
        <v>50</v>
      </c>
      <c r="C567" s="107">
        <f ca="1">OFFSET(tab_tipo_Combustivel!$A$1,MATCH(B567,tab_tipo_Combustivel!$A$2:$A$150,0),MATCH(A567,tab_tipo_Combustivel!$B$1:$AQ$1,0),1,1)</f>
        <v>669.87</v>
      </c>
    </row>
    <row r="568" spans="1:3">
      <c r="A568" s="3">
        <f t="shared" si="12"/>
        <v>2016</v>
      </c>
      <c r="B568" s="106">
        <f t="shared" si="13"/>
        <v>54</v>
      </c>
      <c r="C568" s="107">
        <f ca="1">OFFSET(tab_tipo_Combustivel!$A$1,MATCH(B568,tab_tipo_Combustivel!$A$2:$A$150,0),MATCH(A568,tab_tipo_Combustivel!$B$1:$AQ$1,0),1,1)</f>
        <v>304.55</v>
      </c>
    </row>
    <row r="569" spans="1:3">
      <c r="A569" s="3">
        <f t="shared" si="12"/>
        <v>2016</v>
      </c>
      <c r="B569" s="106">
        <f t="shared" si="13"/>
        <v>58</v>
      </c>
      <c r="C569" s="107">
        <f ca="1">OFFSET(tab_tipo_Combustivel!$A$1,MATCH(B569,tab_tipo_Combustivel!$A$2:$A$150,0),MATCH(A569,tab_tipo_Combustivel!$B$1:$AQ$1,0),1,1)</f>
        <v>300.05</v>
      </c>
    </row>
    <row r="570" spans="1:3">
      <c r="A570" s="3">
        <f t="shared" si="12"/>
        <v>2016</v>
      </c>
      <c r="B570" s="106">
        <f t="shared" si="13"/>
        <v>62</v>
      </c>
      <c r="C570" s="107">
        <f ca="1">OFFSET(tab_tipo_Combustivel!$A$1,MATCH(B570,tab_tipo_Combustivel!$A$2:$A$150,0),MATCH(A570,tab_tipo_Combustivel!$B$1:$AQ$1,0),1,1)</f>
        <v>309.24</v>
      </c>
    </row>
    <row r="571" spans="1:3">
      <c r="A571" s="3">
        <f t="shared" si="12"/>
        <v>2016</v>
      </c>
      <c r="B571" s="106">
        <f t="shared" si="13"/>
        <v>63</v>
      </c>
      <c r="C571" s="107">
        <f ca="1">OFFSET(tab_tipo_Combustivel!$A$1,MATCH(B571,tab_tipo_Combustivel!$A$2:$A$150,0),MATCH(A571,tab_tipo_Combustivel!$B$1:$AQ$1,0),1,1)</f>
        <v>365.77</v>
      </c>
    </row>
    <row r="572" spans="1:3">
      <c r="A572" s="3">
        <f t="shared" si="12"/>
        <v>2016</v>
      </c>
      <c r="B572" s="106">
        <f t="shared" si="13"/>
        <v>64</v>
      </c>
      <c r="C572" s="107">
        <f ca="1">OFFSET(tab_tipo_Combustivel!$A$1,MATCH(B572,tab_tipo_Combustivel!$A$2:$A$150,0),MATCH(A572,tab_tipo_Combustivel!$B$1:$AQ$1,0),1,1)</f>
        <v>853.54</v>
      </c>
    </row>
    <row r="573" spans="1:3">
      <c r="A573" s="3">
        <f t="shared" si="12"/>
        <v>2016</v>
      </c>
      <c r="B573" s="106">
        <f t="shared" si="13"/>
        <v>68</v>
      </c>
      <c r="C573" s="107">
        <f ca="1">OFFSET(tab_tipo_Combustivel!$A$1,MATCH(B573,tab_tipo_Combustivel!$A$2:$A$150,0),MATCH(A573,tab_tipo_Combustivel!$B$1:$AQ$1,0),1,1)</f>
        <v>195.63</v>
      </c>
    </row>
    <row r="574" spans="1:3">
      <c r="A574" s="3">
        <f t="shared" si="12"/>
        <v>2016</v>
      </c>
      <c r="B574" s="106">
        <f t="shared" si="13"/>
        <v>74</v>
      </c>
      <c r="C574" s="107">
        <f ca="1">OFFSET(tab_tipo_Combustivel!$A$1,MATCH(B574,tab_tipo_Combustivel!$A$2:$A$150,0),MATCH(A574,tab_tipo_Combustivel!$B$1:$AQ$1,0),1,1)</f>
        <v>364.46</v>
      </c>
    </row>
    <row r="575" spans="1:3">
      <c r="A575" s="3">
        <f t="shared" si="12"/>
        <v>2016</v>
      </c>
      <c r="B575" s="106">
        <f t="shared" si="13"/>
        <v>83</v>
      </c>
      <c r="C575" s="107">
        <f ca="1">OFFSET(tab_tipo_Combustivel!$A$1,MATCH(B575,tab_tipo_Combustivel!$A$2:$A$150,0),MATCH(A575,tab_tipo_Combustivel!$B$1:$AQ$1,0),1,1)</f>
        <v>448.1</v>
      </c>
    </row>
    <row r="576" spans="1:3">
      <c r="A576" s="3">
        <f t="shared" si="12"/>
        <v>2016</v>
      </c>
      <c r="B576" s="106">
        <f t="shared" si="13"/>
        <v>86</v>
      </c>
      <c r="C576" s="107">
        <f ca="1">OFFSET(tab_tipo_Combustivel!$A$1,MATCH(B576,tab_tipo_Combustivel!$A$2:$A$150,0),MATCH(A576,tab_tipo_Combustivel!$B$1:$AQ$1,0),1,1)</f>
        <v>170.34</v>
      </c>
    </row>
    <row r="577" spans="1:3">
      <c r="A577" s="3">
        <f t="shared" si="12"/>
        <v>2016</v>
      </c>
      <c r="B577" s="106">
        <f t="shared" si="13"/>
        <v>90</v>
      </c>
      <c r="C577" s="107">
        <f ca="1">OFFSET(tab_tipo_Combustivel!$A$1,MATCH(B577,tab_tipo_Combustivel!$A$2:$A$150,0),MATCH(A577,tab_tipo_Combustivel!$B$1:$AQ$1,0),1,1)</f>
        <v>533.1</v>
      </c>
    </row>
    <row r="578" spans="1:3">
      <c r="A578" s="3">
        <f t="shared" si="12"/>
        <v>2016</v>
      </c>
      <c r="B578" s="106">
        <f t="shared" si="13"/>
        <v>93</v>
      </c>
      <c r="C578" s="107">
        <f ca="1">OFFSET(tab_tipo_Combustivel!$A$1,MATCH(B578,tab_tipo_Combustivel!$A$2:$A$150,0),MATCH(A578,tab_tipo_Combustivel!$B$1:$AQ$1,0),1,1)</f>
        <v>842.33</v>
      </c>
    </row>
    <row r="579" spans="1:3">
      <c r="A579" s="3">
        <f t="shared" si="12"/>
        <v>2016</v>
      </c>
      <c r="B579" s="106">
        <f t="shared" si="13"/>
        <v>94</v>
      </c>
      <c r="C579" s="107">
        <f ca="1">OFFSET(tab_tipo_Combustivel!$A$1,MATCH(B579,tab_tipo_Combustivel!$A$2:$A$150,0),MATCH(A579,tab_tipo_Combustivel!$B$1:$AQ$1,0),1,1)</f>
        <v>842.33</v>
      </c>
    </row>
    <row r="580" spans="1:3">
      <c r="A580" s="3">
        <f t="shared" si="12"/>
        <v>2016</v>
      </c>
      <c r="B580" s="106">
        <f t="shared" si="13"/>
        <v>96</v>
      </c>
      <c r="C580" s="107">
        <f ca="1">OFFSET(tab_tipo_Combustivel!$A$1,MATCH(B580,tab_tipo_Combustivel!$A$2:$A$150,0),MATCH(A580,tab_tipo_Combustivel!$B$1:$AQ$1,0),1,1)</f>
        <v>99.92</v>
      </c>
    </row>
    <row r="581" spans="1:3">
      <c r="A581" s="3">
        <f t="shared" si="12"/>
        <v>2016</v>
      </c>
      <c r="B581" s="106">
        <f t="shared" si="13"/>
        <v>98</v>
      </c>
      <c r="C581" s="107">
        <f ca="1">OFFSET(tab_tipo_Combustivel!$A$1,MATCH(B581,tab_tipo_Combustivel!$A$2:$A$150,0),MATCH(A581,tab_tipo_Combustivel!$B$1:$AQ$1,0),1,1)</f>
        <v>489.8</v>
      </c>
    </row>
    <row r="582" spans="1:3">
      <c r="A582" s="3">
        <f t="shared" si="12"/>
        <v>2016</v>
      </c>
      <c r="B582" s="106">
        <f t="shared" si="13"/>
        <v>107</v>
      </c>
      <c r="C582" s="107">
        <f ca="1">OFFSET(tab_tipo_Combustivel!$A$1,MATCH(B582,tab_tipo_Combustivel!$A$2:$A$150,0),MATCH(A582,tab_tipo_Combustivel!$B$1:$AQ$1,0),1,1)</f>
        <v>57.63</v>
      </c>
    </row>
    <row r="583" spans="1:3">
      <c r="A583" s="3">
        <f t="shared" si="12"/>
        <v>2016</v>
      </c>
      <c r="B583" s="106">
        <f t="shared" si="13"/>
        <v>110</v>
      </c>
      <c r="C583" s="107">
        <f ca="1">OFFSET(tab_tipo_Combustivel!$A$1,MATCH(B583,tab_tipo_Combustivel!$A$2:$A$150,0),MATCH(A583,tab_tipo_Combustivel!$B$1:$AQ$1,0),1,1)</f>
        <v>568.29</v>
      </c>
    </row>
    <row r="584" spans="1:3">
      <c r="A584" s="3">
        <f t="shared" si="12"/>
        <v>2016</v>
      </c>
      <c r="B584" s="106">
        <f t="shared" si="13"/>
        <v>116</v>
      </c>
      <c r="C584" s="107">
        <f ca="1">OFFSET(tab_tipo_Combustivel!$A$1,MATCH(B584,tab_tipo_Combustivel!$A$2:$A$150,0),MATCH(A584,tab_tipo_Combustivel!$B$1:$AQ$1,0),1,1)</f>
        <v>117.46</v>
      </c>
    </row>
    <row r="585" spans="1:3">
      <c r="A585" s="3">
        <f t="shared" si="12"/>
        <v>2016</v>
      </c>
      <c r="B585" s="106">
        <f t="shared" si="13"/>
        <v>140</v>
      </c>
      <c r="C585" s="107">
        <f ca="1">OFFSET(tab_tipo_Combustivel!$A$1,MATCH(B585,tab_tipo_Combustivel!$A$2:$A$150,0),MATCH(A585,tab_tipo_Combustivel!$B$1:$AQ$1,0),1,1)</f>
        <v>88.11</v>
      </c>
    </row>
    <row r="586" spans="1:3">
      <c r="A586" s="3">
        <f t="shared" ref="A586:A649" si="14">A451+1</f>
        <v>2016</v>
      </c>
      <c r="B586" s="106">
        <f t="shared" ref="B586:B649" si="15">B451</f>
        <v>141</v>
      </c>
      <c r="C586" s="107">
        <f ca="1">OFFSET(tab_tipo_Combustivel!$A$1,MATCH(B586,tab_tipo_Combustivel!$A$2:$A$150,0),MATCH(A586,tab_tipo_Combustivel!$B$1:$AQ$1,0),1,1)</f>
        <v>1280.52</v>
      </c>
    </row>
    <row r="587" spans="1:3">
      <c r="A587" s="3">
        <f t="shared" si="14"/>
        <v>2016</v>
      </c>
      <c r="B587" s="106">
        <f t="shared" si="15"/>
        <v>147</v>
      </c>
      <c r="C587" s="107">
        <f ca="1">OFFSET(tab_tipo_Combustivel!$A$1,MATCH(B587,tab_tipo_Combustivel!$A$2:$A$150,0),MATCH(A587,tab_tipo_Combustivel!$B$1:$AQ$1,0),1,1)</f>
        <v>134.18</v>
      </c>
    </row>
    <row r="588" spans="1:3">
      <c r="A588" s="3">
        <f t="shared" si="14"/>
        <v>2016</v>
      </c>
      <c r="B588" s="106">
        <f t="shared" si="15"/>
        <v>156</v>
      </c>
      <c r="C588" s="107">
        <f ca="1">OFFSET(tab_tipo_Combustivel!$A$1,MATCH(B588,tab_tipo_Combustivel!$A$2:$A$150,0),MATCH(A588,tab_tipo_Combustivel!$B$1:$AQ$1,0),1,1)</f>
        <v>77.12</v>
      </c>
    </row>
    <row r="589" spans="1:3">
      <c r="A589" s="3">
        <f t="shared" si="14"/>
        <v>2016</v>
      </c>
      <c r="B589" s="106">
        <f t="shared" si="15"/>
        <v>163</v>
      </c>
      <c r="C589" s="107">
        <f ca="1">OFFSET(tab_tipo_Combustivel!$A$1,MATCH(B589,tab_tipo_Combustivel!$A$2:$A$150,0),MATCH(A589,tab_tipo_Combustivel!$B$1:$AQ$1,0),1,1)</f>
        <v>156.69999999999999</v>
      </c>
    </row>
    <row r="590" spans="1:3">
      <c r="A590" s="3">
        <f t="shared" si="14"/>
        <v>2016</v>
      </c>
      <c r="B590" s="106">
        <f t="shared" si="15"/>
        <v>167</v>
      </c>
      <c r="C590" s="107">
        <f ca="1">OFFSET(tab_tipo_Combustivel!$A$1,MATCH(B590,tab_tipo_Combustivel!$A$2:$A$150,0),MATCH(A590,tab_tipo_Combustivel!$B$1:$AQ$1,0),1,1)</f>
        <v>144.66999999999999</v>
      </c>
    </row>
    <row r="591" spans="1:3">
      <c r="A591" s="3">
        <f t="shared" si="14"/>
        <v>2016</v>
      </c>
      <c r="B591" s="106">
        <f t="shared" si="15"/>
        <v>171</v>
      </c>
      <c r="C591" s="107">
        <f ca="1">OFFSET(tab_tipo_Combustivel!$A$1,MATCH(B591,tab_tipo_Combustivel!$A$2:$A$150,0),MATCH(A591,tab_tipo_Combustivel!$B$1:$AQ$1,0),1,1)</f>
        <v>88</v>
      </c>
    </row>
    <row r="592" spans="1:3">
      <c r="A592" s="3">
        <f t="shared" si="14"/>
        <v>2016</v>
      </c>
      <c r="B592" s="106">
        <f t="shared" si="15"/>
        <v>172</v>
      </c>
      <c r="C592" s="107">
        <f ca="1">OFFSET(tab_tipo_Combustivel!$A$1,MATCH(B592,tab_tipo_Combustivel!$A$2:$A$150,0),MATCH(A592,tab_tipo_Combustivel!$B$1:$AQ$1,0),1,1)</f>
        <v>99.97</v>
      </c>
    </row>
    <row r="593" spans="1:3">
      <c r="A593" s="3">
        <f t="shared" si="14"/>
        <v>2016</v>
      </c>
      <c r="B593" s="106">
        <f t="shared" si="15"/>
        <v>173</v>
      </c>
      <c r="C593" s="107">
        <f ca="1">OFFSET(tab_tipo_Combustivel!$A$1,MATCH(B593,tab_tipo_Combustivel!$A$2:$A$150,0),MATCH(A593,tab_tipo_Combustivel!$B$1:$AQ$1,0),1,1)</f>
        <v>192.03</v>
      </c>
    </row>
    <row r="594" spans="1:3">
      <c r="A594" s="3">
        <f t="shared" si="14"/>
        <v>2016</v>
      </c>
      <c r="B594" s="106">
        <f t="shared" si="15"/>
        <v>174</v>
      </c>
      <c r="C594" s="107">
        <f ca="1">OFFSET(tab_tipo_Combustivel!$A$1,MATCH(B594,tab_tipo_Combustivel!$A$2:$A$150,0),MATCH(A594,tab_tipo_Combustivel!$B$1:$AQ$1,0),1,1)</f>
        <v>331.22</v>
      </c>
    </row>
    <row r="595" spans="1:3">
      <c r="A595" s="3">
        <f t="shared" si="14"/>
        <v>2016</v>
      </c>
      <c r="B595" s="106">
        <f t="shared" si="15"/>
        <v>176</v>
      </c>
      <c r="C595" s="107">
        <f ca="1">OFFSET(tab_tipo_Combustivel!$A$1,MATCH(B595,tab_tipo_Combustivel!$A$2:$A$150,0),MATCH(A595,tab_tipo_Combustivel!$B$1:$AQ$1,0),1,1)</f>
        <v>149.47999999999999</v>
      </c>
    </row>
    <row r="596" spans="1:3">
      <c r="A596" s="3">
        <f t="shared" si="14"/>
        <v>2016</v>
      </c>
      <c r="B596" s="106">
        <f t="shared" si="15"/>
        <v>183</v>
      </c>
      <c r="C596" s="107">
        <f ca="1">OFFSET(tab_tipo_Combustivel!$A$1,MATCH(B596,tab_tipo_Combustivel!$A$2:$A$150,0),MATCH(A596,tab_tipo_Combustivel!$B$1:$AQ$1,0),1,1)</f>
        <v>171.61</v>
      </c>
    </row>
    <row r="597" spans="1:3">
      <c r="A597" s="3">
        <f t="shared" si="14"/>
        <v>2016</v>
      </c>
      <c r="B597" s="106">
        <f t="shared" si="15"/>
        <v>194</v>
      </c>
      <c r="C597" s="107">
        <f ca="1">OFFSET(tab_tipo_Combustivel!$A$1,MATCH(B597,tab_tipo_Combustivel!$A$2:$A$150,0),MATCH(A597,tab_tipo_Combustivel!$B$1:$AQ$1,0),1,1)</f>
        <v>1098.58</v>
      </c>
    </row>
    <row r="598" spans="1:3">
      <c r="A598" s="3">
        <f t="shared" si="14"/>
        <v>2016</v>
      </c>
      <c r="B598" s="106">
        <f t="shared" si="15"/>
        <v>203</v>
      </c>
      <c r="C598" s="107">
        <f ca="1">OFFSET(tab_tipo_Combustivel!$A$1,MATCH(B598,tab_tipo_Combustivel!$A$2:$A$150,0),MATCH(A598,tab_tipo_Combustivel!$B$1:$AQ$1,0),1,1)</f>
        <v>0</v>
      </c>
    </row>
    <row r="599" spans="1:3">
      <c r="A599" s="3">
        <f t="shared" si="14"/>
        <v>2016</v>
      </c>
      <c r="B599" s="106">
        <f t="shared" si="15"/>
        <v>204</v>
      </c>
      <c r="C599" s="107">
        <f ca="1">OFFSET(tab_tipo_Combustivel!$A$1,MATCH(B599,tab_tipo_Combustivel!$A$2:$A$150,0),MATCH(A599,tab_tipo_Combustivel!$B$1:$AQ$1,0),1,1)</f>
        <v>0</v>
      </c>
    </row>
    <row r="600" spans="1:3">
      <c r="A600" s="3">
        <f t="shared" si="14"/>
        <v>2016</v>
      </c>
      <c r="B600" s="106">
        <f t="shared" si="15"/>
        <v>205</v>
      </c>
      <c r="C600" s="107">
        <f ca="1">OFFSET(tab_tipo_Combustivel!$A$1,MATCH(B600,tab_tipo_Combustivel!$A$2:$A$150,0),MATCH(A600,tab_tipo_Combustivel!$B$1:$AQ$1,0),1,1)</f>
        <v>0</v>
      </c>
    </row>
    <row r="601" spans="1:3">
      <c r="A601" s="3">
        <f t="shared" si="14"/>
        <v>2016</v>
      </c>
      <c r="B601" s="106">
        <f t="shared" si="15"/>
        <v>207</v>
      </c>
      <c r="C601" s="107">
        <f ca="1">OFFSET(tab_tipo_Combustivel!$A$1,MATCH(B601,tab_tipo_Combustivel!$A$2:$A$150,0),MATCH(A601,tab_tipo_Combustivel!$B$1:$AQ$1,0),1,1)</f>
        <v>0</v>
      </c>
    </row>
    <row r="602" spans="1:3">
      <c r="A602" s="3">
        <f t="shared" si="14"/>
        <v>2016</v>
      </c>
      <c r="B602" s="106">
        <f t="shared" si="15"/>
        <v>208</v>
      </c>
      <c r="C602" s="107">
        <f ca="1">OFFSET(tab_tipo_Combustivel!$A$1,MATCH(B602,tab_tipo_Combustivel!$A$2:$A$150,0),MATCH(A602,tab_tipo_Combustivel!$B$1:$AQ$1,0),1,1)</f>
        <v>783.64</v>
      </c>
    </row>
    <row r="603" spans="1:3">
      <c r="A603" s="3">
        <f t="shared" si="14"/>
        <v>2016</v>
      </c>
      <c r="B603" s="106">
        <f t="shared" si="15"/>
        <v>209</v>
      </c>
      <c r="C603" s="107">
        <f ca="1">OFFSET(tab_tipo_Combustivel!$A$1,MATCH(B603,tab_tipo_Combustivel!$A$2:$A$150,0),MATCH(A603,tab_tipo_Combustivel!$B$1:$AQ$1,0),1,1)</f>
        <v>0</v>
      </c>
    </row>
    <row r="604" spans="1:3">
      <c r="A604" s="3">
        <f t="shared" si="14"/>
        <v>2016</v>
      </c>
      <c r="B604" s="106">
        <f t="shared" si="15"/>
        <v>211</v>
      </c>
      <c r="C604" s="107">
        <f ca="1">OFFSET(tab_tipo_Combustivel!$A$1,MATCH(B604,tab_tipo_Combustivel!$A$2:$A$150,0),MATCH(A604,tab_tipo_Combustivel!$B$1:$AQ$1,0),1,1)</f>
        <v>150.79</v>
      </c>
    </row>
    <row r="605" spans="1:3">
      <c r="A605" s="3">
        <f t="shared" si="14"/>
        <v>2016</v>
      </c>
      <c r="B605" s="106">
        <f t="shared" si="15"/>
        <v>212</v>
      </c>
      <c r="C605" s="107">
        <f ca="1">OFFSET(tab_tipo_Combustivel!$A$1,MATCH(B605,tab_tipo_Combustivel!$A$2:$A$150,0),MATCH(A605,tab_tipo_Combustivel!$B$1:$AQ$1,0),1,1)</f>
        <v>84.58</v>
      </c>
    </row>
    <row r="606" spans="1:3">
      <c r="A606" s="3">
        <f t="shared" si="14"/>
        <v>2016</v>
      </c>
      <c r="B606" s="106">
        <f t="shared" si="15"/>
        <v>224</v>
      </c>
      <c r="C606" s="107">
        <f ca="1">OFFSET(tab_tipo_Combustivel!$A$1,MATCH(B606,tab_tipo_Combustivel!$A$2:$A$150,0),MATCH(A606,tab_tipo_Combustivel!$B$1:$AQ$1,0),1,1)</f>
        <v>31.08</v>
      </c>
    </row>
    <row r="607" spans="1:3">
      <c r="A607" s="3">
        <f t="shared" si="14"/>
        <v>2016</v>
      </c>
      <c r="B607" s="106">
        <f t="shared" si="15"/>
        <v>225</v>
      </c>
      <c r="C607" s="107">
        <f ca="1">OFFSET(tab_tipo_Combustivel!$A$1,MATCH(B607,tab_tipo_Combustivel!$A$2:$A$150,0),MATCH(A607,tab_tipo_Combustivel!$B$1:$AQ$1,0),1,1)</f>
        <v>1329.7</v>
      </c>
    </row>
    <row r="608" spans="1:3">
      <c r="A608" s="3">
        <f t="shared" si="14"/>
        <v>2016</v>
      </c>
      <c r="B608" s="106">
        <f t="shared" si="15"/>
        <v>226</v>
      </c>
      <c r="C608" s="107">
        <f ca="1">OFFSET(tab_tipo_Combustivel!$A$1,MATCH(B608,tab_tipo_Combustivel!$A$2:$A$150,0),MATCH(A608,tab_tipo_Combustivel!$B$1:$AQ$1,0),1,1)</f>
        <v>1061.1300000000001</v>
      </c>
    </row>
    <row r="609" spans="1:3">
      <c r="A609" s="3">
        <f t="shared" si="14"/>
        <v>2016</v>
      </c>
      <c r="B609" s="106">
        <f t="shared" si="15"/>
        <v>227</v>
      </c>
      <c r="C609" s="107">
        <f ca="1">OFFSET(tab_tipo_Combustivel!$A$1,MATCH(B609,tab_tipo_Combustivel!$A$2:$A$150,0),MATCH(A609,tab_tipo_Combustivel!$B$1:$AQ$1,0),1,1)</f>
        <v>447.52</v>
      </c>
    </row>
    <row r="610" spans="1:3">
      <c r="A610" s="3">
        <f t="shared" si="14"/>
        <v>2016</v>
      </c>
      <c r="B610" s="106">
        <f t="shared" si="15"/>
        <v>228</v>
      </c>
      <c r="C610" s="107">
        <f ca="1">OFFSET(tab_tipo_Combustivel!$A$1,MATCH(B610,tab_tipo_Combustivel!$A$2:$A$150,0),MATCH(A610,tab_tipo_Combustivel!$B$1:$AQ$1,0),1,1)</f>
        <v>1061.1400000000001</v>
      </c>
    </row>
    <row r="611" spans="1:3">
      <c r="A611" s="3">
        <f t="shared" si="14"/>
        <v>2016</v>
      </c>
      <c r="B611" s="106">
        <f t="shared" si="15"/>
        <v>229</v>
      </c>
      <c r="C611" s="107">
        <f ca="1">OFFSET(tab_tipo_Combustivel!$A$1,MATCH(B611,tab_tipo_Combustivel!$A$2:$A$150,0),MATCH(A611,tab_tipo_Combustivel!$B$1:$AQ$1,0),1,1)</f>
        <v>942.05</v>
      </c>
    </row>
    <row r="612" spans="1:3">
      <c r="A612" s="3">
        <f t="shared" si="14"/>
        <v>2016</v>
      </c>
      <c r="B612" s="106">
        <f t="shared" si="15"/>
        <v>230</v>
      </c>
      <c r="C612" s="107">
        <f ca="1">OFFSET(tab_tipo_Combustivel!$A$1,MATCH(B612,tab_tipo_Combustivel!$A$2:$A$150,0),MATCH(A612,tab_tipo_Combustivel!$B$1:$AQ$1,0),1,1)</f>
        <v>495.06</v>
      </c>
    </row>
    <row r="613" spans="1:3">
      <c r="A613" s="3">
        <f t="shared" si="14"/>
        <v>2016</v>
      </c>
      <c r="B613" s="106">
        <f t="shared" si="15"/>
        <v>231</v>
      </c>
      <c r="C613" s="107">
        <f ca="1">OFFSET(tab_tipo_Combustivel!$A$1,MATCH(B613,tab_tipo_Combustivel!$A$2:$A$150,0),MATCH(A613,tab_tipo_Combustivel!$B$1:$AQ$1,0),1,1)</f>
        <v>489.29</v>
      </c>
    </row>
    <row r="614" spans="1:3">
      <c r="A614" s="3">
        <f t="shared" si="14"/>
        <v>2016</v>
      </c>
      <c r="B614" s="106">
        <f t="shared" si="15"/>
        <v>232</v>
      </c>
      <c r="C614" s="107">
        <f ca="1">OFFSET(tab_tipo_Combustivel!$A$1,MATCH(B614,tab_tipo_Combustivel!$A$2:$A$150,0),MATCH(A614,tab_tipo_Combustivel!$B$1:$AQ$1,0),1,1)</f>
        <v>842.33</v>
      </c>
    </row>
    <row r="615" spans="1:3">
      <c r="A615" s="3">
        <f t="shared" si="14"/>
        <v>2016</v>
      </c>
      <c r="B615" s="106">
        <f t="shared" si="15"/>
        <v>233</v>
      </c>
      <c r="C615" s="107">
        <f ca="1">OFFSET(tab_tipo_Combustivel!$A$1,MATCH(B615,tab_tipo_Combustivel!$A$2:$A$150,0),MATCH(A615,tab_tipo_Combustivel!$B$1:$AQ$1,0),1,1)</f>
        <v>984.29</v>
      </c>
    </row>
    <row r="616" spans="1:3">
      <c r="A616" s="3">
        <f t="shared" si="14"/>
        <v>2016</v>
      </c>
      <c r="B616" s="106">
        <f t="shared" si="15"/>
        <v>234</v>
      </c>
      <c r="C616" s="107">
        <f ca="1">OFFSET(tab_tipo_Combustivel!$A$1,MATCH(B616,tab_tipo_Combustivel!$A$2:$A$150,0),MATCH(A616,tab_tipo_Combustivel!$B$1:$AQ$1,0),1,1)</f>
        <v>290.26</v>
      </c>
    </row>
    <row r="617" spans="1:3">
      <c r="A617" s="3">
        <f t="shared" si="14"/>
        <v>2016</v>
      </c>
      <c r="B617" s="106">
        <f t="shared" si="15"/>
        <v>235</v>
      </c>
      <c r="C617" s="107">
        <f ca="1">OFFSET(tab_tipo_Combustivel!$A$1,MATCH(B617,tab_tipo_Combustivel!$A$2:$A$150,0),MATCH(A617,tab_tipo_Combustivel!$B$1:$AQ$1,0),1,1)</f>
        <v>1350.87</v>
      </c>
    </row>
    <row r="618" spans="1:3">
      <c r="A618" s="3">
        <f t="shared" si="14"/>
        <v>2016</v>
      </c>
      <c r="B618" s="106">
        <f t="shared" si="15"/>
        <v>236</v>
      </c>
      <c r="C618" s="107">
        <f ca="1">OFFSET(tab_tipo_Combustivel!$A$1,MATCH(B618,tab_tipo_Combustivel!$A$2:$A$150,0),MATCH(A618,tab_tipo_Combustivel!$B$1:$AQ$1,0),1,1)</f>
        <v>842.33</v>
      </c>
    </row>
    <row r="619" spans="1:3">
      <c r="A619" s="3">
        <f t="shared" si="14"/>
        <v>2016</v>
      </c>
      <c r="B619" s="106">
        <f t="shared" si="15"/>
        <v>237</v>
      </c>
      <c r="C619" s="107">
        <f ca="1">OFFSET(tab_tipo_Combustivel!$A$1,MATCH(B619,tab_tipo_Combustivel!$A$2:$A$150,0),MATCH(A619,tab_tipo_Combustivel!$B$1:$AQ$1,0),1,1)</f>
        <v>760.85</v>
      </c>
    </row>
    <row r="620" spans="1:3">
      <c r="A620" s="3">
        <f t="shared" si="14"/>
        <v>2016</v>
      </c>
      <c r="B620" s="106">
        <f t="shared" si="15"/>
        <v>238</v>
      </c>
      <c r="C620" s="107">
        <f ca="1">OFFSET(tab_tipo_Combustivel!$A$1,MATCH(B620,tab_tipo_Combustivel!$A$2:$A$150,0),MATCH(A620,tab_tipo_Combustivel!$B$1:$AQ$1,0),1,1)</f>
        <v>963.75</v>
      </c>
    </row>
    <row r="621" spans="1:3">
      <c r="A621" s="3">
        <f t="shared" si="14"/>
        <v>2016</v>
      </c>
      <c r="B621" s="106">
        <f t="shared" si="15"/>
        <v>239</v>
      </c>
      <c r="C621" s="107">
        <f ca="1">OFFSET(tab_tipo_Combustivel!$A$1,MATCH(B621,tab_tipo_Combustivel!$A$2:$A$150,0),MATCH(A621,tab_tipo_Combustivel!$B$1:$AQ$1,0),1,1)</f>
        <v>963.75</v>
      </c>
    </row>
    <row r="622" spans="1:3">
      <c r="A622" s="3">
        <f t="shared" si="14"/>
        <v>2016</v>
      </c>
      <c r="B622" s="106">
        <f t="shared" si="15"/>
        <v>240</v>
      </c>
      <c r="C622" s="107">
        <f ca="1">OFFSET(tab_tipo_Combustivel!$A$1,MATCH(B622,tab_tipo_Combustivel!$A$2:$A$150,0),MATCH(A622,tab_tipo_Combustivel!$B$1:$AQ$1,0),1,1)</f>
        <v>1115.96</v>
      </c>
    </row>
    <row r="623" spans="1:3">
      <c r="A623" s="3">
        <f t="shared" si="14"/>
        <v>2016</v>
      </c>
      <c r="B623" s="106">
        <f t="shared" si="15"/>
        <v>241</v>
      </c>
      <c r="C623" s="107">
        <f ca="1">OFFSET(tab_tipo_Combustivel!$A$1,MATCH(B623,tab_tipo_Combustivel!$A$2:$A$150,0),MATCH(A623,tab_tipo_Combustivel!$B$1:$AQ$1,0),1,1)</f>
        <v>495.75</v>
      </c>
    </row>
    <row r="624" spans="1:3">
      <c r="A624" s="3">
        <f t="shared" si="14"/>
        <v>2016</v>
      </c>
      <c r="B624" s="106">
        <f t="shared" si="15"/>
        <v>242</v>
      </c>
      <c r="C624" s="107">
        <f ca="1">OFFSET(tab_tipo_Combustivel!$A$1,MATCH(B624,tab_tipo_Combustivel!$A$2:$A$150,0),MATCH(A624,tab_tipo_Combustivel!$B$1:$AQ$1,0),1,1)</f>
        <v>1176.45</v>
      </c>
    </row>
    <row r="625" spans="1:3">
      <c r="A625" s="3">
        <f t="shared" si="14"/>
        <v>2016</v>
      </c>
      <c r="B625" s="106">
        <f t="shared" si="15"/>
        <v>243</v>
      </c>
      <c r="C625" s="107">
        <f ca="1">OFFSET(tab_tipo_Combustivel!$A$1,MATCH(B625,tab_tipo_Combustivel!$A$2:$A$150,0),MATCH(A625,tab_tipo_Combustivel!$B$1:$AQ$1,0),1,1)</f>
        <v>495.08</v>
      </c>
    </row>
    <row r="626" spans="1:3">
      <c r="A626" s="3">
        <f t="shared" si="14"/>
        <v>2016</v>
      </c>
      <c r="B626" s="106">
        <f t="shared" si="15"/>
        <v>244</v>
      </c>
      <c r="C626" s="107">
        <f ca="1">OFFSET(tab_tipo_Combustivel!$A$1,MATCH(B626,tab_tipo_Combustivel!$A$2:$A$150,0),MATCH(A626,tab_tipo_Combustivel!$B$1:$AQ$1,0),1,1)</f>
        <v>495.06</v>
      </c>
    </row>
    <row r="627" spans="1:3">
      <c r="A627" s="3">
        <f t="shared" si="14"/>
        <v>2016</v>
      </c>
      <c r="B627" s="106">
        <f t="shared" si="15"/>
        <v>245</v>
      </c>
      <c r="C627" s="107">
        <f ca="1">OFFSET(tab_tipo_Combustivel!$A$1,MATCH(B627,tab_tipo_Combustivel!$A$2:$A$150,0),MATCH(A627,tab_tipo_Combustivel!$B$1:$AQ$1,0),1,1)</f>
        <v>562.65</v>
      </c>
    </row>
    <row r="628" spans="1:3">
      <c r="A628" s="3">
        <f t="shared" si="14"/>
        <v>2016</v>
      </c>
      <c r="B628" s="106">
        <f t="shared" si="15"/>
        <v>246</v>
      </c>
      <c r="C628" s="107">
        <f ca="1">OFFSET(tab_tipo_Combustivel!$A$1,MATCH(B628,tab_tipo_Combustivel!$A$2:$A$150,0),MATCH(A628,tab_tipo_Combustivel!$B$1:$AQ$1,0),1,1)</f>
        <v>1124.53</v>
      </c>
    </row>
    <row r="629" spans="1:3">
      <c r="A629" s="3">
        <f t="shared" si="14"/>
        <v>2016</v>
      </c>
      <c r="B629" s="106">
        <f t="shared" si="15"/>
        <v>247</v>
      </c>
      <c r="C629" s="107">
        <f ca="1">OFFSET(tab_tipo_Combustivel!$A$1,MATCH(B629,tab_tipo_Combustivel!$A$2:$A$150,0),MATCH(A629,tab_tipo_Combustivel!$B$1:$AQ$1,0),1,1)</f>
        <v>609.51</v>
      </c>
    </row>
    <row r="630" spans="1:3">
      <c r="A630" s="3">
        <f t="shared" si="14"/>
        <v>2016</v>
      </c>
      <c r="B630" s="106">
        <f t="shared" si="15"/>
        <v>248</v>
      </c>
      <c r="C630" s="107">
        <f ca="1">OFFSET(tab_tipo_Combustivel!$A$1,MATCH(B630,tab_tipo_Combustivel!$A$2:$A$150,0),MATCH(A630,tab_tipo_Combustivel!$B$1:$AQ$1,0),1,1)</f>
        <v>495.06</v>
      </c>
    </row>
    <row r="631" spans="1:3">
      <c r="A631" s="3">
        <f t="shared" si="14"/>
        <v>2016</v>
      </c>
      <c r="B631" s="106">
        <f t="shared" si="15"/>
        <v>249</v>
      </c>
      <c r="C631" s="107">
        <f ca="1">OFFSET(tab_tipo_Combustivel!$A$1,MATCH(B631,tab_tipo_Combustivel!$A$2:$A$150,0),MATCH(A631,tab_tipo_Combustivel!$B$1:$AQ$1,0),1,1)</f>
        <v>842.33</v>
      </c>
    </row>
    <row r="632" spans="1:3">
      <c r="A632" s="3">
        <f t="shared" si="14"/>
        <v>2016</v>
      </c>
      <c r="B632" s="106">
        <f t="shared" si="15"/>
        <v>250</v>
      </c>
      <c r="C632" s="107">
        <f ca="1">OFFSET(tab_tipo_Combustivel!$A$1,MATCH(B632,tab_tipo_Combustivel!$A$2:$A$150,0),MATCH(A632,tab_tipo_Combustivel!$B$1:$AQ$1,0),1,1)</f>
        <v>1176.45</v>
      </c>
    </row>
    <row r="633" spans="1:3">
      <c r="A633" s="3">
        <f t="shared" si="14"/>
        <v>2016</v>
      </c>
      <c r="B633" s="106">
        <f t="shared" si="15"/>
        <v>251</v>
      </c>
      <c r="C633" s="107">
        <f ca="1">OFFSET(tab_tipo_Combustivel!$A$1,MATCH(B633,tab_tipo_Combustivel!$A$2:$A$150,0),MATCH(A633,tab_tipo_Combustivel!$B$1:$AQ$1,0),1,1)</f>
        <v>842.33</v>
      </c>
    </row>
    <row r="634" spans="1:3">
      <c r="A634" s="3">
        <f t="shared" si="14"/>
        <v>2016</v>
      </c>
      <c r="B634" s="106">
        <f t="shared" si="15"/>
        <v>252</v>
      </c>
      <c r="C634" s="107">
        <f ca="1">OFFSET(tab_tipo_Combustivel!$A$1,MATCH(B634,tab_tipo_Combustivel!$A$2:$A$150,0),MATCH(A634,tab_tipo_Combustivel!$B$1:$AQ$1,0),1,1)</f>
        <v>842.33</v>
      </c>
    </row>
    <row r="635" spans="1:3">
      <c r="A635" s="3">
        <f t="shared" si="14"/>
        <v>2016</v>
      </c>
      <c r="B635" s="106">
        <f t="shared" si="15"/>
        <v>253</v>
      </c>
      <c r="C635" s="107">
        <f ca="1">OFFSET(tab_tipo_Combustivel!$A$1,MATCH(B635,tab_tipo_Combustivel!$A$2:$A$150,0),MATCH(A635,tab_tipo_Combustivel!$B$1:$AQ$1,0),1,1)</f>
        <v>279.45</v>
      </c>
    </row>
    <row r="636" spans="1:3">
      <c r="A636" s="3">
        <f t="shared" si="14"/>
        <v>2016</v>
      </c>
      <c r="B636" s="106">
        <f t="shared" si="15"/>
        <v>254</v>
      </c>
      <c r="C636" s="107">
        <f ca="1">OFFSET(tab_tipo_Combustivel!$A$1,MATCH(B636,tab_tipo_Combustivel!$A$2:$A$150,0),MATCH(A636,tab_tipo_Combustivel!$B$1:$AQ$1,0),1,1)</f>
        <v>1153.98</v>
      </c>
    </row>
    <row r="637" spans="1:3">
      <c r="A637" s="3">
        <f t="shared" si="14"/>
        <v>2016</v>
      </c>
      <c r="B637" s="106">
        <f t="shared" si="15"/>
        <v>255</v>
      </c>
      <c r="C637" s="107">
        <f ca="1">OFFSET(tab_tipo_Combustivel!$A$1,MATCH(B637,tab_tipo_Combustivel!$A$2:$A$150,0),MATCH(A637,tab_tipo_Combustivel!$B$1:$AQ$1,0),1,1)</f>
        <v>828.98</v>
      </c>
    </row>
    <row r="638" spans="1:3">
      <c r="A638" s="3">
        <f t="shared" si="14"/>
        <v>2016</v>
      </c>
      <c r="B638" s="106">
        <f t="shared" si="15"/>
        <v>256</v>
      </c>
      <c r="C638" s="107">
        <f ca="1">OFFSET(tab_tipo_Combustivel!$A$1,MATCH(B638,tab_tipo_Combustivel!$A$2:$A$150,0),MATCH(A638,tab_tipo_Combustivel!$B$1:$AQ$1,0),1,1)</f>
        <v>562.65</v>
      </c>
    </row>
    <row r="639" spans="1:3">
      <c r="A639" s="3">
        <f t="shared" si="14"/>
        <v>2016</v>
      </c>
      <c r="B639" s="106">
        <f t="shared" si="15"/>
        <v>257</v>
      </c>
      <c r="C639" s="107">
        <f ca="1">OFFSET(tab_tipo_Combustivel!$A$1,MATCH(B639,tab_tipo_Combustivel!$A$2:$A$150,0),MATCH(A639,tab_tipo_Combustivel!$B$1:$AQ$1,0),1,1)</f>
        <v>907.52</v>
      </c>
    </row>
    <row r="640" spans="1:3">
      <c r="A640" s="3">
        <f t="shared" si="14"/>
        <v>2016</v>
      </c>
      <c r="B640" s="106">
        <f t="shared" si="15"/>
        <v>258</v>
      </c>
      <c r="C640" s="107">
        <f ca="1">OFFSET(tab_tipo_Combustivel!$A$1,MATCH(B640,tab_tipo_Combustivel!$A$2:$A$150,0),MATCH(A640,tab_tipo_Combustivel!$B$1:$AQ$1,0),1,1)</f>
        <v>1016.04</v>
      </c>
    </row>
    <row r="641" spans="1:3">
      <c r="A641" s="3">
        <f t="shared" si="14"/>
        <v>2016</v>
      </c>
      <c r="B641" s="106">
        <f t="shared" si="15"/>
        <v>259</v>
      </c>
      <c r="C641" s="107">
        <f ca="1">OFFSET(tab_tipo_Combustivel!$A$1,MATCH(B641,tab_tipo_Combustivel!$A$2:$A$150,0),MATCH(A641,tab_tipo_Combustivel!$B$1:$AQ$1,0),1,1)</f>
        <v>977.53</v>
      </c>
    </row>
    <row r="642" spans="1:3">
      <c r="A642" s="3">
        <f t="shared" si="14"/>
        <v>2016</v>
      </c>
      <c r="B642" s="106">
        <f t="shared" si="15"/>
        <v>260</v>
      </c>
      <c r="C642" s="107">
        <f ca="1">OFFSET(tab_tipo_Combustivel!$A$1,MATCH(B642,tab_tipo_Combustivel!$A$2:$A$150,0),MATCH(A642,tab_tipo_Combustivel!$B$1:$AQ$1,0),1,1)</f>
        <v>827.17</v>
      </c>
    </row>
    <row r="643" spans="1:3">
      <c r="A643" s="3">
        <f t="shared" si="14"/>
        <v>2016</v>
      </c>
      <c r="B643" s="106">
        <f t="shared" si="15"/>
        <v>261</v>
      </c>
      <c r="C643" s="107">
        <f ca="1">OFFSET(tab_tipo_Combustivel!$A$1,MATCH(B643,tab_tipo_Combustivel!$A$2:$A$150,0),MATCH(A643,tab_tipo_Combustivel!$B$1:$AQ$1,0),1,1)</f>
        <v>829.7</v>
      </c>
    </row>
    <row r="644" spans="1:3">
      <c r="A644" s="3">
        <f t="shared" si="14"/>
        <v>2016</v>
      </c>
      <c r="B644" s="106">
        <f t="shared" si="15"/>
        <v>262</v>
      </c>
      <c r="C644" s="107">
        <f ca="1">OFFSET(tab_tipo_Combustivel!$A$1,MATCH(B644,tab_tipo_Combustivel!$A$2:$A$150,0),MATCH(A644,tab_tipo_Combustivel!$B$1:$AQ$1,0),1,1)</f>
        <v>495.75</v>
      </c>
    </row>
    <row r="645" spans="1:3">
      <c r="A645" s="3">
        <f t="shared" si="14"/>
        <v>2016</v>
      </c>
      <c r="B645" s="106">
        <f t="shared" si="15"/>
        <v>263</v>
      </c>
      <c r="C645" s="107">
        <f ca="1">OFFSET(tab_tipo_Combustivel!$A$1,MATCH(B645,tab_tipo_Combustivel!$A$2:$A$150,0),MATCH(A645,tab_tipo_Combustivel!$B$1:$AQ$1,0),1,1)</f>
        <v>474.77</v>
      </c>
    </row>
    <row r="646" spans="1:3">
      <c r="A646" s="3">
        <f t="shared" si="14"/>
        <v>2016</v>
      </c>
      <c r="B646" s="106">
        <f t="shared" si="15"/>
        <v>264</v>
      </c>
      <c r="C646" s="107">
        <f ca="1">OFFSET(tab_tipo_Combustivel!$A$1,MATCH(B646,tab_tipo_Combustivel!$A$2:$A$150,0),MATCH(A646,tab_tipo_Combustivel!$B$1:$AQ$1,0),1,1)</f>
        <v>842.33</v>
      </c>
    </row>
    <row r="647" spans="1:3">
      <c r="A647" s="3">
        <f t="shared" si="14"/>
        <v>2016</v>
      </c>
      <c r="B647" s="106">
        <f t="shared" si="15"/>
        <v>265</v>
      </c>
      <c r="C647" s="107">
        <f ca="1">OFFSET(tab_tipo_Combustivel!$A$1,MATCH(B647,tab_tipo_Combustivel!$A$2:$A$150,0),MATCH(A647,tab_tipo_Combustivel!$B$1:$AQ$1,0),1,1)</f>
        <v>415.82</v>
      </c>
    </row>
    <row r="648" spans="1:3">
      <c r="A648" s="3">
        <f t="shared" si="14"/>
        <v>2016</v>
      </c>
      <c r="B648" s="106">
        <f t="shared" si="15"/>
        <v>266</v>
      </c>
      <c r="C648" s="107">
        <f ca="1">OFFSET(tab_tipo_Combustivel!$A$1,MATCH(B648,tab_tipo_Combustivel!$A$2:$A$150,0),MATCH(A648,tab_tipo_Combustivel!$B$1:$AQ$1,0),1,1)</f>
        <v>827.17</v>
      </c>
    </row>
    <row r="649" spans="1:3">
      <c r="A649" s="3">
        <f t="shared" si="14"/>
        <v>2016</v>
      </c>
      <c r="B649" s="106">
        <f t="shared" si="15"/>
        <v>301</v>
      </c>
      <c r="C649" s="107">
        <f ca="1">OFFSET(tab_tipo_Combustivel!$A$1,MATCH(B649,tab_tipo_Combustivel!$A$2:$A$150,0),MATCH(A649,tab_tipo_Combustivel!$B$1:$AQ$1,0),1,1)</f>
        <v>99.08</v>
      </c>
    </row>
    <row r="650" spans="1:3">
      <c r="A650" s="3">
        <f t="shared" ref="A650:A713" si="16">A515+1</f>
        <v>2016</v>
      </c>
      <c r="B650" s="106">
        <f t="shared" ref="B650:B713" si="17">B515</f>
        <v>302</v>
      </c>
      <c r="C650" s="107">
        <f ca="1">OFFSET(tab_tipo_Combustivel!$A$1,MATCH(B650,tab_tipo_Combustivel!$A$2:$A$150,0),MATCH(A650,tab_tipo_Combustivel!$B$1:$AQ$1,0),1,1)</f>
        <v>103.73</v>
      </c>
    </row>
    <row r="651" spans="1:3">
      <c r="A651" s="3">
        <f t="shared" si="16"/>
        <v>2016</v>
      </c>
      <c r="B651" s="106">
        <f t="shared" si="17"/>
        <v>303</v>
      </c>
      <c r="C651" s="107">
        <f ca="1">OFFSET(tab_tipo_Combustivel!$A$1,MATCH(B651,tab_tipo_Combustivel!$A$2:$A$150,0),MATCH(A651,tab_tipo_Combustivel!$B$1:$AQ$1,0),1,1)</f>
        <v>103.73</v>
      </c>
    </row>
    <row r="652" spans="1:3">
      <c r="A652" s="3">
        <f t="shared" si="16"/>
        <v>2016</v>
      </c>
      <c r="B652" s="106">
        <f t="shared" si="17"/>
        <v>304</v>
      </c>
      <c r="C652" s="107">
        <f ca="1">OFFSET(tab_tipo_Combustivel!$A$1,MATCH(B652,tab_tipo_Combustivel!$A$2:$A$150,0),MATCH(A652,tab_tipo_Combustivel!$B$1:$AQ$1,0),1,1)</f>
        <v>139.41999999999999</v>
      </c>
    </row>
    <row r="653" spans="1:3">
      <c r="A653" s="3">
        <f t="shared" si="16"/>
        <v>2016</v>
      </c>
      <c r="B653" s="106">
        <f t="shared" si="17"/>
        <v>305</v>
      </c>
      <c r="C653" s="107">
        <f ca="1">OFFSET(tab_tipo_Combustivel!$A$1,MATCH(B653,tab_tipo_Combustivel!$A$2:$A$150,0),MATCH(A653,tab_tipo_Combustivel!$B$1:$AQ$1,0),1,1)</f>
        <v>89.7</v>
      </c>
    </row>
    <row r="654" spans="1:3">
      <c r="A654" s="3">
        <f t="shared" si="16"/>
        <v>2016</v>
      </c>
      <c r="B654" s="106">
        <f t="shared" si="17"/>
        <v>306</v>
      </c>
      <c r="C654" s="107">
        <f ca="1">OFFSET(tab_tipo_Combustivel!$A$1,MATCH(B654,tab_tipo_Combustivel!$A$2:$A$150,0),MATCH(A654,tab_tipo_Combustivel!$B$1:$AQ$1,0),1,1)</f>
        <v>100.38</v>
      </c>
    </row>
    <row r="655" spans="1:3">
      <c r="A655" s="3">
        <f t="shared" si="16"/>
        <v>2016</v>
      </c>
      <c r="B655" s="106">
        <f t="shared" si="17"/>
        <v>307</v>
      </c>
      <c r="C655" s="107">
        <f ca="1">OFFSET(tab_tipo_Combustivel!$A$1,MATCH(B655,tab_tipo_Combustivel!$A$2:$A$150,0),MATCH(A655,tab_tipo_Combustivel!$B$1:$AQ$1,0),1,1)</f>
        <v>510.12</v>
      </c>
    </row>
    <row r="656" spans="1:3">
      <c r="A656" s="3">
        <f t="shared" si="16"/>
        <v>2016</v>
      </c>
      <c r="B656" s="106">
        <f t="shared" si="17"/>
        <v>308</v>
      </c>
      <c r="C656" s="107">
        <f ca="1">OFFSET(tab_tipo_Combustivel!$A$1,MATCH(B656,tab_tipo_Combustivel!$A$2:$A$150,0),MATCH(A656,tab_tipo_Combustivel!$B$1:$AQ$1,0),1,1)</f>
        <v>72.5</v>
      </c>
    </row>
    <row r="657" spans="1:3">
      <c r="A657" s="3">
        <f t="shared" si="16"/>
        <v>2016</v>
      </c>
      <c r="B657" s="106">
        <f t="shared" si="17"/>
        <v>309</v>
      </c>
      <c r="C657" s="107">
        <f ca="1">OFFSET(tab_tipo_Combustivel!$A$1,MATCH(B657,tab_tipo_Combustivel!$A$2:$A$150,0),MATCH(A657,tab_tipo_Combustivel!$B$1:$AQ$1,0),1,1)</f>
        <v>126.77</v>
      </c>
    </row>
    <row r="658" spans="1:3">
      <c r="A658" s="3">
        <f t="shared" si="16"/>
        <v>2016</v>
      </c>
      <c r="B658" s="106">
        <f t="shared" si="17"/>
        <v>310</v>
      </c>
      <c r="C658" s="107">
        <f ca="1">OFFSET(tab_tipo_Combustivel!$A$1,MATCH(B658,tab_tipo_Combustivel!$A$2:$A$150,0),MATCH(A658,tab_tipo_Combustivel!$B$1:$AQ$1,0),1,1)</f>
        <v>275.99</v>
      </c>
    </row>
    <row r="659" spans="1:3">
      <c r="A659" s="3">
        <f t="shared" si="16"/>
        <v>2016</v>
      </c>
      <c r="B659" s="106">
        <f t="shared" si="17"/>
        <v>311</v>
      </c>
      <c r="C659" s="107">
        <f ca="1">OFFSET(tab_tipo_Combustivel!$A$1,MATCH(B659,tab_tipo_Combustivel!$A$2:$A$150,0),MATCH(A659,tab_tipo_Combustivel!$B$1:$AQ$1,0),1,1)</f>
        <v>70.66</v>
      </c>
    </row>
    <row r="660" spans="1:3">
      <c r="A660" s="3">
        <f t="shared" si="16"/>
        <v>2016</v>
      </c>
      <c r="B660" s="106">
        <f t="shared" si="17"/>
        <v>312</v>
      </c>
      <c r="C660" s="107">
        <f ca="1">OFFSET(tab_tipo_Combustivel!$A$1,MATCH(B660,tab_tipo_Combustivel!$A$2:$A$150,0),MATCH(A660,tab_tipo_Combustivel!$B$1:$AQ$1,0),1,1)</f>
        <v>0</v>
      </c>
    </row>
    <row r="661" spans="1:3">
      <c r="A661" s="3">
        <f t="shared" si="16"/>
        <v>2016</v>
      </c>
      <c r="B661" s="106">
        <f t="shared" si="17"/>
        <v>1301</v>
      </c>
      <c r="C661" s="107">
        <f ca="1">OFFSET(tab_tipo_Combustivel!$A$1,MATCH(B661,tab_tipo_Combustivel!$A$2:$A$150,0),MATCH(A661,tab_tipo_Combustivel!$B$1:$AQ$1,0),1,1)</f>
        <v>242.05</v>
      </c>
    </row>
    <row r="662" spans="1:3">
      <c r="A662" s="3">
        <f t="shared" si="16"/>
        <v>2016</v>
      </c>
      <c r="B662" s="106">
        <f t="shared" si="17"/>
        <v>1302</v>
      </c>
      <c r="C662" s="107">
        <f ca="1">OFFSET(tab_tipo_Combustivel!$A$1,MATCH(B662,tab_tipo_Combustivel!$A$2:$A$150,0),MATCH(A662,tab_tipo_Combustivel!$B$1:$AQ$1,0),1,1)</f>
        <v>193.64</v>
      </c>
    </row>
    <row r="663" spans="1:3">
      <c r="A663" s="3">
        <f t="shared" si="16"/>
        <v>2016</v>
      </c>
      <c r="B663" s="106">
        <f t="shared" si="17"/>
        <v>1303</v>
      </c>
      <c r="C663" s="107">
        <f ca="1">OFFSET(tab_tipo_Combustivel!$A$1,MATCH(B663,tab_tipo_Combustivel!$A$2:$A$150,0),MATCH(A663,tab_tipo_Combustivel!$B$1:$AQ$1,0),1,1)</f>
        <v>25.58</v>
      </c>
    </row>
    <row r="664" spans="1:3">
      <c r="A664" s="3">
        <f t="shared" si="16"/>
        <v>2016</v>
      </c>
      <c r="B664" s="106">
        <f t="shared" si="17"/>
        <v>1304</v>
      </c>
      <c r="C664" s="107">
        <f ca="1">OFFSET(tab_tipo_Combustivel!$A$1,MATCH(B664,tab_tipo_Combustivel!$A$2:$A$150,0),MATCH(A664,tab_tipo_Combustivel!$B$1:$AQ$1,0),1,1)</f>
        <v>0</v>
      </c>
    </row>
    <row r="665" spans="1:3">
      <c r="A665" s="3">
        <f t="shared" si="16"/>
        <v>2016</v>
      </c>
      <c r="B665" s="106">
        <f t="shared" si="17"/>
        <v>1315</v>
      </c>
      <c r="C665" s="107">
        <f ca="1">OFFSET(tab_tipo_Combustivel!$A$1,MATCH(B665,tab_tipo_Combustivel!$A$2:$A$150,0),MATCH(A665,tab_tipo_Combustivel!$B$1:$AQ$1,0),1,1)</f>
        <v>0</v>
      </c>
    </row>
    <row r="666" spans="1:3">
      <c r="A666" s="3">
        <f t="shared" si="16"/>
        <v>2016</v>
      </c>
      <c r="B666" s="106">
        <f t="shared" si="17"/>
        <v>1316</v>
      </c>
      <c r="C666" s="107">
        <f ca="1">OFFSET(tab_tipo_Combustivel!$A$1,MATCH(B666,tab_tipo_Combustivel!$A$2:$A$150,0),MATCH(A666,tab_tipo_Combustivel!$B$1:$AQ$1,0),1,1)</f>
        <v>0</v>
      </c>
    </row>
    <row r="667" spans="1:3">
      <c r="A667" s="3">
        <f t="shared" si="16"/>
        <v>2016</v>
      </c>
      <c r="B667" s="106">
        <f t="shared" si="17"/>
        <v>1318</v>
      </c>
      <c r="C667" s="107">
        <f ca="1">OFFSET(tab_tipo_Combustivel!$A$1,MATCH(B667,tab_tipo_Combustivel!$A$2:$A$150,0),MATCH(A667,tab_tipo_Combustivel!$B$1:$AQ$1,0),1,1)</f>
        <v>200</v>
      </c>
    </row>
    <row r="668" spans="1:3">
      <c r="A668" s="3">
        <f t="shared" si="16"/>
        <v>2016</v>
      </c>
      <c r="B668" s="106">
        <f t="shared" si="17"/>
        <v>1321</v>
      </c>
      <c r="C668" s="107">
        <f ca="1">OFFSET(tab_tipo_Combustivel!$A$1,MATCH(B668,tab_tipo_Combustivel!$A$2:$A$150,0),MATCH(A668,tab_tipo_Combustivel!$B$1:$AQ$1,0),1,1)</f>
        <v>85</v>
      </c>
    </row>
    <row r="669" spans="1:3">
      <c r="A669" s="3">
        <f t="shared" si="16"/>
        <v>2016</v>
      </c>
      <c r="B669" s="106">
        <f t="shared" si="17"/>
        <v>1322</v>
      </c>
      <c r="C669" s="107">
        <f ca="1">OFFSET(tab_tipo_Combustivel!$A$1,MATCH(B669,tab_tipo_Combustivel!$A$2:$A$150,0),MATCH(A669,tab_tipo_Combustivel!$B$1:$AQ$1,0),1,1)</f>
        <v>140</v>
      </c>
    </row>
    <row r="670" spans="1:3">
      <c r="A670" s="3">
        <f t="shared" si="16"/>
        <v>2016</v>
      </c>
      <c r="B670" s="106">
        <f t="shared" si="17"/>
        <v>1323</v>
      </c>
      <c r="C670" s="107">
        <f ca="1">OFFSET(tab_tipo_Combustivel!$A$1,MATCH(B670,tab_tipo_Combustivel!$A$2:$A$150,0),MATCH(A670,tab_tipo_Combustivel!$B$1:$AQ$1,0),1,1)</f>
        <v>63.75</v>
      </c>
    </row>
    <row r="671" spans="1:3">
      <c r="A671" s="3">
        <f t="shared" si="16"/>
        <v>2016</v>
      </c>
      <c r="B671" s="106">
        <f t="shared" si="17"/>
        <v>1325</v>
      </c>
      <c r="C671" s="107">
        <f ca="1">OFFSET(tab_tipo_Combustivel!$A$1,MATCH(B671,tab_tipo_Combustivel!$A$2:$A$150,0),MATCH(A671,tab_tipo_Combustivel!$B$1:$AQ$1,0),1,1)</f>
        <v>0</v>
      </c>
    </row>
    <row r="672" spans="1:3">
      <c r="A672" s="3">
        <f t="shared" si="16"/>
        <v>2016</v>
      </c>
      <c r="B672" s="106">
        <f t="shared" si="17"/>
        <v>1326</v>
      </c>
      <c r="C672" s="107">
        <f ca="1">OFFSET(tab_tipo_Combustivel!$A$1,MATCH(B672,tab_tipo_Combustivel!$A$2:$A$150,0),MATCH(A672,tab_tipo_Combustivel!$B$1:$AQ$1,0),1,1)</f>
        <v>260</v>
      </c>
    </row>
    <row r="673" spans="1:3">
      <c r="A673" s="3">
        <f t="shared" si="16"/>
        <v>2016</v>
      </c>
      <c r="B673" s="106">
        <f t="shared" si="17"/>
        <v>1501</v>
      </c>
      <c r="C673" s="107">
        <f ca="1">OFFSET(tab_tipo_Combustivel!$A$1,MATCH(B673,tab_tipo_Combustivel!$A$2:$A$150,0),MATCH(A673,tab_tipo_Combustivel!$B$1:$AQ$1,0),1,1)</f>
        <v>260</v>
      </c>
    </row>
    <row r="674" spans="1:3">
      <c r="A674" s="3">
        <f t="shared" si="16"/>
        <v>2016</v>
      </c>
      <c r="B674" s="106">
        <f t="shared" si="17"/>
        <v>1502</v>
      </c>
      <c r="C674" s="107">
        <f ca="1">OFFSET(tab_tipo_Combustivel!$A$1,MATCH(B674,tab_tipo_Combustivel!$A$2:$A$150,0),MATCH(A674,tab_tipo_Combustivel!$B$1:$AQ$1,0),1,1)</f>
        <v>60</v>
      </c>
    </row>
    <row r="675" spans="1:3">
      <c r="A675" s="3">
        <f t="shared" si="16"/>
        <v>2016</v>
      </c>
      <c r="B675" s="106">
        <f t="shared" si="17"/>
        <v>1503</v>
      </c>
      <c r="C675" s="107">
        <f ca="1">OFFSET(tab_tipo_Combustivel!$A$1,MATCH(B675,tab_tipo_Combustivel!$A$2:$A$150,0),MATCH(A675,tab_tipo_Combustivel!$B$1:$AQ$1,0),1,1)</f>
        <v>96.82</v>
      </c>
    </row>
    <row r="676" spans="1:3">
      <c r="A676" s="3">
        <f t="shared" si="16"/>
        <v>2016</v>
      </c>
      <c r="B676" s="106">
        <f t="shared" si="17"/>
        <v>1504</v>
      </c>
      <c r="C676" s="107">
        <f ca="1">OFFSET(tab_tipo_Combustivel!$A$1,MATCH(B676,tab_tipo_Combustivel!$A$2:$A$150,0),MATCH(A676,tab_tipo_Combustivel!$B$1:$AQ$1,0),1,1)</f>
        <v>145.22999999999999</v>
      </c>
    </row>
    <row r="677" spans="1:3">
      <c r="A677" s="3">
        <f t="shared" si="16"/>
        <v>2017</v>
      </c>
      <c r="B677" s="106">
        <f t="shared" si="17"/>
        <v>1</v>
      </c>
      <c r="C677" s="107">
        <f ca="1">OFFSET(tab_tipo_Combustivel!$A$1,MATCH(B677,tab_tipo_Combustivel!$A$2:$A$150,0),MATCH(A677,tab_tipo_Combustivel!$B$1:$AQ$1,0),1,1)</f>
        <v>29.13</v>
      </c>
    </row>
    <row r="678" spans="1:3">
      <c r="A678" s="3">
        <f t="shared" si="16"/>
        <v>2017</v>
      </c>
      <c r="B678" s="106">
        <f t="shared" si="17"/>
        <v>2</v>
      </c>
      <c r="C678" s="107">
        <f ca="1">OFFSET(tab_tipo_Combustivel!$A$1,MATCH(B678,tab_tipo_Combustivel!$A$2:$A$150,0),MATCH(A678,tab_tipo_Combustivel!$B$1:$AQ$1,0),1,1)</f>
        <v>842.33</v>
      </c>
    </row>
    <row r="679" spans="1:3">
      <c r="A679" s="3">
        <f t="shared" si="16"/>
        <v>2017</v>
      </c>
      <c r="B679" s="106">
        <f t="shared" si="17"/>
        <v>4</v>
      </c>
      <c r="C679" s="107">
        <f ca="1">OFFSET(tab_tipo_Combustivel!$A$1,MATCH(B679,tab_tipo_Combustivel!$A$2:$A$150,0),MATCH(A679,tab_tipo_Combustivel!$B$1:$AQ$1,0),1,1)</f>
        <v>842.33</v>
      </c>
    </row>
    <row r="680" spans="1:3">
      <c r="A680" s="3">
        <f t="shared" si="16"/>
        <v>2017</v>
      </c>
      <c r="B680" s="106">
        <f t="shared" si="17"/>
        <v>9</v>
      </c>
      <c r="C680" s="107">
        <f ca="1">OFFSET(tab_tipo_Combustivel!$A$1,MATCH(B680,tab_tipo_Combustivel!$A$2:$A$150,0),MATCH(A680,tab_tipo_Combustivel!$B$1:$AQ$1,0),1,1)</f>
        <v>842.33</v>
      </c>
    </row>
    <row r="681" spans="1:3">
      <c r="A681" s="3">
        <f t="shared" si="16"/>
        <v>2017</v>
      </c>
      <c r="B681" s="106">
        <f t="shared" si="17"/>
        <v>12</v>
      </c>
      <c r="C681" s="107">
        <f ca="1">OFFSET(tab_tipo_Combustivel!$A$1,MATCH(B681,tab_tipo_Combustivel!$A$2:$A$150,0),MATCH(A681,tab_tipo_Combustivel!$B$1:$AQ$1,0),1,1)</f>
        <v>728.87</v>
      </c>
    </row>
    <row r="682" spans="1:3">
      <c r="A682" s="3">
        <f t="shared" si="16"/>
        <v>2017</v>
      </c>
      <c r="B682" s="106">
        <f t="shared" si="17"/>
        <v>13</v>
      </c>
      <c r="C682" s="107">
        <f ca="1">OFFSET(tab_tipo_Combustivel!$A$1,MATCH(B682,tab_tipo_Combustivel!$A$2:$A$150,0),MATCH(A682,tab_tipo_Combustivel!$B$1:$AQ$1,0),1,1)</f>
        <v>20.12</v>
      </c>
    </row>
    <row r="683" spans="1:3">
      <c r="A683" s="3">
        <f t="shared" si="16"/>
        <v>2017</v>
      </c>
      <c r="B683" s="106">
        <f t="shared" si="17"/>
        <v>15</v>
      </c>
      <c r="C683" s="107">
        <f ca="1">OFFSET(tab_tipo_Combustivel!$A$1,MATCH(B683,tab_tipo_Combustivel!$A$2:$A$150,0),MATCH(A683,tab_tipo_Combustivel!$B$1:$AQ$1,0),1,1)</f>
        <v>257.29000000000002</v>
      </c>
    </row>
    <row r="684" spans="1:3">
      <c r="A684" s="3">
        <f t="shared" si="16"/>
        <v>2017</v>
      </c>
      <c r="B684" s="106">
        <f t="shared" si="17"/>
        <v>21</v>
      </c>
      <c r="C684" s="107">
        <f ca="1">OFFSET(tab_tipo_Combustivel!$A$1,MATCH(B684,tab_tipo_Combustivel!$A$2:$A$150,0),MATCH(A684,tab_tipo_Combustivel!$B$1:$AQ$1,0),1,1)</f>
        <v>157.83000000000001</v>
      </c>
    </row>
    <row r="685" spans="1:3">
      <c r="A685" s="3">
        <f t="shared" si="16"/>
        <v>2017</v>
      </c>
      <c r="B685" s="106">
        <f t="shared" si="17"/>
        <v>22</v>
      </c>
      <c r="C685" s="107">
        <f ca="1">OFFSET(tab_tipo_Combustivel!$A$1,MATCH(B685,tab_tipo_Combustivel!$A$2:$A$150,0),MATCH(A685,tab_tipo_Combustivel!$B$1:$AQ$1,0),1,1)</f>
        <v>115.9</v>
      </c>
    </row>
    <row r="686" spans="1:3">
      <c r="A686" s="3">
        <f t="shared" si="16"/>
        <v>2017</v>
      </c>
      <c r="B686" s="106">
        <f t="shared" si="17"/>
        <v>23</v>
      </c>
      <c r="C686" s="107">
        <f ca="1">OFFSET(tab_tipo_Combustivel!$A$1,MATCH(B686,tab_tipo_Combustivel!$A$2:$A$150,0),MATCH(A686,tab_tipo_Combustivel!$B$1:$AQ$1,0),1,1)</f>
        <v>115.9</v>
      </c>
    </row>
    <row r="687" spans="1:3">
      <c r="A687" s="3">
        <f t="shared" si="16"/>
        <v>2017</v>
      </c>
      <c r="B687" s="106">
        <f t="shared" si="17"/>
        <v>24</v>
      </c>
      <c r="C687" s="107">
        <f ca="1">OFFSET(tab_tipo_Combustivel!$A$1,MATCH(B687,tab_tipo_Combustivel!$A$2:$A$150,0),MATCH(A687,tab_tipo_Combustivel!$B$1:$AQ$1,0),1,1)</f>
        <v>155.85</v>
      </c>
    </row>
    <row r="688" spans="1:3">
      <c r="A688" s="3">
        <f t="shared" si="16"/>
        <v>2017</v>
      </c>
      <c r="B688" s="106">
        <f t="shared" si="17"/>
        <v>25</v>
      </c>
      <c r="C688" s="107">
        <f ca="1">OFFSET(tab_tipo_Combustivel!$A$1,MATCH(B688,tab_tipo_Combustivel!$A$2:$A$150,0),MATCH(A688,tab_tipo_Combustivel!$B$1:$AQ$1,0),1,1)</f>
        <v>186.33</v>
      </c>
    </row>
    <row r="689" spans="1:3">
      <c r="A689" s="3">
        <f t="shared" si="16"/>
        <v>2017</v>
      </c>
      <c r="B689" s="106">
        <f t="shared" si="17"/>
        <v>26</v>
      </c>
      <c r="C689" s="107">
        <f ca="1">OFFSET(tab_tipo_Combustivel!$A$1,MATCH(B689,tab_tipo_Combustivel!$A$2:$A$150,0),MATCH(A689,tab_tipo_Combustivel!$B$1:$AQ$1,0),1,1)</f>
        <v>258.42</v>
      </c>
    </row>
    <row r="690" spans="1:3">
      <c r="A690" s="3">
        <f t="shared" si="16"/>
        <v>2017</v>
      </c>
      <c r="B690" s="106">
        <f t="shared" si="17"/>
        <v>27</v>
      </c>
      <c r="C690" s="107">
        <f ca="1">OFFSET(tab_tipo_Combustivel!$A$1,MATCH(B690,tab_tipo_Combustivel!$A$2:$A$150,0),MATCH(A690,tab_tipo_Combustivel!$B$1:$AQ$1,0),1,1)</f>
        <v>195.49</v>
      </c>
    </row>
    <row r="691" spans="1:3">
      <c r="A691" s="3">
        <f t="shared" si="16"/>
        <v>2017</v>
      </c>
      <c r="B691" s="106">
        <f t="shared" si="17"/>
        <v>28</v>
      </c>
      <c r="C691" s="107">
        <f ca="1">OFFSET(tab_tipo_Combustivel!$A$1,MATCH(B691,tab_tipo_Combustivel!$A$2:$A$150,0),MATCH(A691,tab_tipo_Combustivel!$B$1:$AQ$1,0),1,1)</f>
        <v>459.92</v>
      </c>
    </row>
    <row r="692" spans="1:3">
      <c r="A692" s="3">
        <f t="shared" si="16"/>
        <v>2017</v>
      </c>
      <c r="B692" s="106">
        <f t="shared" si="17"/>
        <v>32</v>
      </c>
      <c r="C692" s="107">
        <f ca="1">OFFSET(tab_tipo_Combustivel!$A$1,MATCH(B692,tab_tipo_Combustivel!$A$2:$A$150,0),MATCH(A692,tab_tipo_Combustivel!$B$1:$AQ$1,0),1,1)</f>
        <v>248.31</v>
      </c>
    </row>
    <row r="693" spans="1:3">
      <c r="A693" s="3">
        <f t="shared" si="16"/>
        <v>2017</v>
      </c>
      <c r="B693" s="106">
        <f t="shared" si="17"/>
        <v>34</v>
      </c>
      <c r="C693" s="107">
        <f ca="1">OFFSET(tab_tipo_Combustivel!$A$1,MATCH(B693,tab_tipo_Combustivel!$A$2:$A$150,0),MATCH(A693,tab_tipo_Combustivel!$B$1:$AQ$1,0),1,1)</f>
        <v>423.38</v>
      </c>
    </row>
    <row r="694" spans="1:3">
      <c r="A694" s="3">
        <f t="shared" si="16"/>
        <v>2017</v>
      </c>
      <c r="B694" s="106">
        <f t="shared" si="17"/>
        <v>35</v>
      </c>
      <c r="C694" s="107">
        <f ca="1">OFFSET(tab_tipo_Combustivel!$A$1,MATCH(B694,tab_tipo_Combustivel!$A$2:$A$150,0),MATCH(A694,tab_tipo_Combustivel!$B$1:$AQ$1,0),1,1)</f>
        <v>692.45</v>
      </c>
    </row>
    <row r="695" spans="1:3">
      <c r="A695" s="3">
        <f t="shared" si="16"/>
        <v>2017</v>
      </c>
      <c r="B695" s="106">
        <f t="shared" si="17"/>
        <v>36</v>
      </c>
      <c r="C695" s="107">
        <f ca="1">OFFSET(tab_tipo_Combustivel!$A$1,MATCH(B695,tab_tipo_Combustivel!$A$2:$A$150,0),MATCH(A695,tab_tipo_Combustivel!$B$1:$AQ$1,0),1,1)</f>
        <v>157.83000000000001</v>
      </c>
    </row>
    <row r="696" spans="1:3">
      <c r="A696" s="3">
        <f t="shared" si="16"/>
        <v>2017</v>
      </c>
      <c r="B696" s="106">
        <f t="shared" si="17"/>
        <v>42</v>
      </c>
      <c r="C696" s="107">
        <f ca="1">OFFSET(tab_tipo_Combustivel!$A$1,MATCH(B696,tab_tipo_Combustivel!$A$2:$A$150,0),MATCH(A696,tab_tipo_Combustivel!$B$1:$AQ$1,0),1,1)</f>
        <v>199.22</v>
      </c>
    </row>
    <row r="697" spans="1:3">
      <c r="A697" s="3">
        <f t="shared" si="16"/>
        <v>2017</v>
      </c>
      <c r="B697" s="106">
        <f t="shared" si="17"/>
        <v>43</v>
      </c>
      <c r="C697" s="107">
        <f ca="1">OFFSET(tab_tipo_Combustivel!$A$1,MATCH(B697,tab_tipo_Combustivel!$A$2:$A$150,0),MATCH(A697,tab_tipo_Combustivel!$B$1:$AQ$1,0),1,1)</f>
        <v>431.62</v>
      </c>
    </row>
    <row r="698" spans="1:3">
      <c r="A698" s="3">
        <f t="shared" si="16"/>
        <v>2017</v>
      </c>
      <c r="B698" s="106">
        <f t="shared" si="17"/>
        <v>44</v>
      </c>
      <c r="C698" s="107">
        <f ca="1">OFFSET(tab_tipo_Combustivel!$A$1,MATCH(B698,tab_tipo_Combustivel!$A$2:$A$150,0),MATCH(A698,tab_tipo_Combustivel!$B$1:$AQ$1,0),1,1)</f>
        <v>25.58</v>
      </c>
    </row>
    <row r="699" spans="1:3">
      <c r="A699" s="3">
        <f t="shared" si="16"/>
        <v>2017</v>
      </c>
      <c r="B699" s="106">
        <f t="shared" si="17"/>
        <v>46</v>
      </c>
      <c r="C699" s="107">
        <f ca="1">OFFSET(tab_tipo_Combustivel!$A$1,MATCH(B699,tab_tipo_Combustivel!$A$2:$A$150,0),MATCH(A699,tab_tipo_Combustivel!$B$1:$AQ$1,0),1,1)</f>
        <v>228.91</v>
      </c>
    </row>
    <row r="700" spans="1:3">
      <c r="A700" s="3">
        <f t="shared" si="16"/>
        <v>2017</v>
      </c>
      <c r="B700" s="106">
        <f t="shared" si="17"/>
        <v>47</v>
      </c>
      <c r="C700" s="107">
        <f ca="1">OFFSET(tab_tipo_Combustivel!$A$1,MATCH(B700,tab_tipo_Combustivel!$A$2:$A$150,0),MATCH(A700,tab_tipo_Combustivel!$B$1:$AQ$1,0),1,1)</f>
        <v>235.6</v>
      </c>
    </row>
    <row r="701" spans="1:3">
      <c r="A701" s="3">
        <f t="shared" si="16"/>
        <v>2017</v>
      </c>
      <c r="B701" s="106">
        <f t="shared" si="17"/>
        <v>48</v>
      </c>
      <c r="C701" s="107">
        <f ca="1">OFFSET(tab_tipo_Combustivel!$A$1,MATCH(B701,tab_tipo_Combustivel!$A$2:$A$150,0),MATCH(A701,tab_tipo_Combustivel!$B$1:$AQ$1,0),1,1)</f>
        <v>1012.12</v>
      </c>
    </row>
    <row r="702" spans="1:3">
      <c r="A702" s="3">
        <f t="shared" si="16"/>
        <v>2017</v>
      </c>
      <c r="B702" s="106">
        <f t="shared" si="17"/>
        <v>50</v>
      </c>
      <c r="C702" s="107">
        <f ca="1">OFFSET(tab_tipo_Combustivel!$A$1,MATCH(B702,tab_tipo_Combustivel!$A$2:$A$150,0),MATCH(A702,tab_tipo_Combustivel!$B$1:$AQ$1,0),1,1)</f>
        <v>669.87</v>
      </c>
    </row>
    <row r="703" spans="1:3">
      <c r="A703" s="3">
        <f t="shared" si="16"/>
        <v>2017</v>
      </c>
      <c r="B703" s="106">
        <f t="shared" si="17"/>
        <v>54</v>
      </c>
      <c r="C703" s="107">
        <f ca="1">OFFSET(tab_tipo_Combustivel!$A$1,MATCH(B703,tab_tipo_Combustivel!$A$2:$A$150,0),MATCH(A703,tab_tipo_Combustivel!$B$1:$AQ$1,0),1,1)</f>
        <v>304.55</v>
      </c>
    </row>
    <row r="704" spans="1:3">
      <c r="A704" s="3">
        <f t="shared" si="16"/>
        <v>2017</v>
      </c>
      <c r="B704" s="106">
        <f t="shared" si="17"/>
        <v>58</v>
      </c>
      <c r="C704" s="107">
        <f ca="1">OFFSET(tab_tipo_Combustivel!$A$1,MATCH(B704,tab_tipo_Combustivel!$A$2:$A$150,0),MATCH(A704,tab_tipo_Combustivel!$B$1:$AQ$1,0),1,1)</f>
        <v>300.05</v>
      </c>
    </row>
    <row r="705" spans="1:3">
      <c r="A705" s="3">
        <f t="shared" si="16"/>
        <v>2017</v>
      </c>
      <c r="B705" s="106">
        <f t="shared" si="17"/>
        <v>62</v>
      </c>
      <c r="C705" s="107">
        <f ca="1">OFFSET(tab_tipo_Combustivel!$A$1,MATCH(B705,tab_tipo_Combustivel!$A$2:$A$150,0),MATCH(A705,tab_tipo_Combustivel!$B$1:$AQ$1,0),1,1)</f>
        <v>309.24</v>
      </c>
    </row>
    <row r="706" spans="1:3">
      <c r="A706" s="3">
        <f t="shared" si="16"/>
        <v>2017</v>
      </c>
      <c r="B706" s="106">
        <f t="shared" si="17"/>
        <v>63</v>
      </c>
      <c r="C706" s="107">
        <f ca="1">OFFSET(tab_tipo_Combustivel!$A$1,MATCH(B706,tab_tipo_Combustivel!$A$2:$A$150,0),MATCH(A706,tab_tipo_Combustivel!$B$1:$AQ$1,0),1,1)</f>
        <v>365.77</v>
      </c>
    </row>
    <row r="707" spans="1:3">
      <c r="A707" s="3">
        <f t="shared" si="16"/>
        <v>2017</v>
      </c>
      <c r="B707" s="106">
        <f t="shared" si="17"/>
        <v>64</v>
      </c>
      <c r="C707" s="107">
        <f ca="1">OFFSET(tab_tipo_Combustivel!$A$1,MATCH(B707,tab_tipo_Combustivel!$A$2:$A$150,0),MATCH(A707,tab_tipo_Combustivel!$B$1:$AQ$1,0),1,1)</f>
        <v>853.54</v>
      </c>
    </row>
    <row r="708" spans="1:3">
      <c r="A708" s="3">
        <f t="shared" si="16"/>
        <v>2017</v>
      </c>
      <c r="B708" s="106">
        <f t="shared" si="17"/>
        <v>68</v>
      </c>
      <c r="C708" s="107">
        <f ca="1">OFFSET(tab_tipo_Combustivel!$A$1,MATCH(B708,tab_tipo_Combustivel!$A$2:$A$150,0),MATCH(A708,tab_tipo_Combustivel!$B$1:$AQ$1,0),1,1)</f>
        <v>195.63</v>
      </c>
    </row>
    <row r="709" spans="1:3">
      <c r="A709" s="3">
        <f t="shared" si="16"/>
        <v>2017</v>
      </c>
      <c r="B709" s="106">
        <f t="shared" si="17"/>
        <v>74</v>
      </c>
      <c r="C709" s="107">
        <f ca="1">OFFSET(tab_tipo_Combustivel!$A$1,MATCH(B709,tab_tipo_Combustivel!$A$2:$A$150,0),MATCH(A709,tab_tipo_Combustivel!$B$1:$AQ$1,0),1,1)</f>
        <v>364.46</v>
      </c>
    </row>
    <row r="710" spans="1:3">
      <c r="A710" s="3">
        <f t="shared" si="16"/>
        <v>2017</v>
      </c>
      <c r="B710" s="106">
        <f t="shared" si="17"/>
        <v>83</v>
      </c>
      <c r="C710" s="107">
        <f ca="1">OFFSET(tab_tipo_Combustivel!$A$1,MATCH(B710,tab_tipo_Combustivel!$A$2:$A$150,0),MATCH(A710,tab_tipo_Combustivel!$B$1:$AQ$1,0),1,1)</f>
        <v>448.1</v>
      </c>
    </row>
    <row r="711" spans="1:3">
      <c r="A711" s="3">
        <f t="shared" si="16"/>
        <v>2017</v>
      </c>
      <c r="B711" s="106">
        <f t="shared" si="17"/>
        <v>86</v>
      </c>
      <c r="C711" s="107">
        <f ca="1">OFFSET(tab_tipo_Combustivel!$A$1,MATCH(B711,tab_tipo_Combustivel!$A$2:$A$150,0),MATCH(A711,tab_tipo_Combustivel!$B$1:$AQ$1,0),1,1)</f>
        <v>170.34</v>
      </c>
    </row>
    <row r="712" spans="1:3">
      <c r="A712" s="3">
        <f t="shared" si="16"/>
        <v>2017</v>
      </c>
      <c r="B712" s="106">
        <f t="shared" si="17"/>
        <v>90</v>
      </c>
      <c r="C712" s="107">
        <f ca="1">OFFSET(tab_tipo_Combustivel!$A$1,MATCH(B712,tab_tipo_Combustivel!$A$2:$A$150,0),MATCH(A712,tab_tipo_Combustivel!$B$1:$AQ$1,0),1,1)</f>
        <v>533.1</v>
      </c>
    </row>
    <row r="713" spans="1:3">
      <c r="A713" s="3">
        <f t="shared" si="16"/>
        <v>2017</v>
      </c>
      <c r="B713" s="106">
        <f t="shared" si="17"/>
        <v>93</v>
      </c>
      <c r="C713" s="107">
        <f ca="1">OFFSET(tab_tipo_Combustivel!$A$1,MATCH(B713,tab_tipo_Combustivel!$A$2:$A$150,0),MATCH(A713,tab_tipo_Combustivel!$B$1:$AQ$1,0),1,1)</f>
        <v>842.33</v>
      </c>
    </row>
    <row r="714" spans="1:3">
      <c r="A714" s="3">
        <f t="shared" ref="A714:A777" si="18">A579+1</f>
        <v>2017</v>
      </c>
      <c r="B714" s="106">
        <f t="shared" ref="B714:B777" si="19">B579</f>
        <v>94</v>
      </c>
      <c r="C714" s="107">
        <f ca="1">OFFSET(tab_tipo_Combustivel!$A$1,MATCH(B714,tab_tipo_Combustivel!$A$2:$A$150,0),MATCH(A714,tab_tipo_Combustivel!$B$1:$AQ$1,0),1,1)</f>
        <v>842.33</v>
      </c>
    </row>
    <row r="715" spans="1:3">
      <c r="A715" s="3">
        <f t="shared" si="18"/>
        <v>2017</v>
      </c>
      <c r="B715" s="106">
        <f t="shared" si="19"/>
        <v>96</v>
      </c>
      <c r="C715" s="107">
        <f ca="1">OFFSET(tab_tipo_Combustivel!$A$1,MATCH(B715,tab_tipo_Combustivel!$A$2:$A$150,0),MATCH(A715,tab_tipo_Combustivel!$B$1:$AQ$1,0),1,1)</f>
        <v>99.92</v>
      </c>
    </row>
    <row r="716" spans="1:3">
      <c r="A716" s="3">
        <f t="shared" si="18"/>
        <v>2017</v>
      </c>
      <c r="B716" s="106">
        <f t="shared" si="19"/>
        <v>98</v>
      </c>
      <c r="C716" s="107">
        <f ca="1">OFFSET(tab_tipo_Combustivel!$A$1,MATCH(B716,tab_tipo_Combustivel!$A$2:$A$150,0),MATCH(A716,tab_tipo_Combustivel!$B$1:$AQ$1,0),1,1)</f>
        <v>489.8</v>
      </c>
    </row>
    <row r="717" spans="1:3">
      <c r="A717" s="3">
        <f t="shared" si="18"/>
        <v>2017</v>
      </c>
      <c r="B717" s="106">
        <f t="shared" si="19"/>
        <v>107</v>
      </c>
      <c r="C717" s="107">
        <f ca="1">OFFSET(tab_tipo_Combustivel!$A$1,MATCH(B717,tab_tipo_Combustivel!$A$2:$A$150,0),MATCH(A717,tab_tipo_Combustivel!$B$1:$AQ$1,0),1,1)</f>
        <v>57.63</v>
      </c>
    </row>
    <row r="718" spans="1:3">
      <c r="A718" s="3">
        <f t="shared" si="18"/>
        <v>2017</v>
      </c>
      <c r="B718" s="106">
        <f t="shared" si="19"/>
        <v>110</v>
      </c>
      <c r="C718" s="107">
        <f ca="1">OFFSET(tab_tipo_Combustivel!$A$1,MATCH(B718,tab_tipo_Combustivel!$A$2:$A$150,0),MATCH(A718,tab_tipo_Combustivel!$B$1:$AQ$1,0),1,1)</f>
        <v>568.29</v>
      </c>
    </row>
    <row r="719" spans="1:3">
      <c r="A719" s="3">
        <f t="shared" si="18"/>
        <v>2017</v>
      </c>
      <c r="B719" s="106">
        <f t="shared" si="19"/>
        <v>116</v>
      </c>
      <c r="C719" s="107">
        <f ca="1">OFFSET(tab_tipo_Combustivel!$A$1,MATCH(B719,tab_tipo_Combustivel!$A$2:$A$150,0),MATCH(A719,tab_tipo_Combustivel!$B$1:$AQ$1,0),1,1)</f>
        <v>117.46</v>
      </c>
    </row>
    <row r="720" spans="1:3">
      <c r="A720" s="3">
        <f t="shared" si="18"/>
        <v>2017</v>
      </c>
      <c r="B720" s="106">
        <f t="shared" si="19"/>
        <v>140</v>
      </c>
      <c r="C720" s="107">
        <f ca="1">OFFSET(tab_tipo_Combustivel!$A$1,MATCH(B720,tab_tipo_Combustivel!$A$2:$A$150,0),MATCH(A720,tab_tipo_Combustivel!$B$1:$AQ$1,0),1,1)</f>
        <v>88.11</v>
      </c>
    </row>
    <row r="721" spans="1:3">
      <c r="A721" s="3">
        <f t="shared" si="18"/>
        <v>2017</v>
      </c>
      <c r="B721" s="106">
        <f t="shared" si="19"/>
        <v>141</v>
      </c>
      <c r="C721" s="107">
        <f ca="1">OFFSET(tab_tipo_Combustivel!$A$1,MATCH(B721,tab_tipo_Combustivel!$A$2:$A$150,0),MATCH(A721,tab_tipo_Combustivel!$B$1:$AQ$1,0),1,1)</f>
        <v>1280.52</v>
      </c>
    </row>
    <row r="722" spans="1:3">
      <c r="A722" s="3">
        <f t="shared" si="18"/>
        <v>2017</v>
      </c>
      <c r="B722" s="106">
        <f t="shared" si="19"/>
        <v>147</v>
      </c>
      <c r="C722" s="107">
        <f ca="1">OFFSET(tab_tipo_Combustivel!$A$1,MATCH(B722,tab_tipo_Combustivel!$A$2:$A$150,0),MATCH(A722,tab_tipo_Combustivel!$B$1:$AQ$1,0),1,1)</f>
        <v>134.18</v>
      </c>
    </row>
    <row r="723" spans="1:3">
      <c r="A723" s="3">
        <f t="shared" si="18"/>
        <v>2017</v>
      </c>
      <c r="B723" s="106">
        <f t="shared" si="19"/>
        <v>156</v>
      </c>
      <c r="C723" s="107">
        <f ca="1">OFFSET(tab_tipo_Combustivel!$A$1,MATCH(B723,tab_tipo_Combustivel!$A$2:$A$150,0),MATCH(A723,tab_tipo_Combustivel!$B$1:$AQ$1,0),1,1)</f>
        <v>77.12</v>
      </c>
    </row>
    <row r="724" spans="1:3">
      <c r="A724" s="3">
        <f t="shared" si="18"/>
        <v>2017</v>
      </c>
      <c r="B724" s="106">
        <f t="shared" si="19"/>
        <v>163</v>
      </c>
      <c r="C724" s="107">
        <f ca="1">OFFSET(tab_tipo_Combustivel!$A$1,MATCH(B724,tab_tipo_Combustivel!$A$2:$A$150,0),MATCH(A724,tab_tipo_Combustivel!$B$1:$AQ$1,0),1,1)</f>
        <v>156.69999999999999</v>
      </c>
    </row>
    <row r="725" spans="1:3">
      <c r="A725" s="3">
        <f t="shared" si="18"/>
        <v>2017</v>
      </c>
      <c r="B725" s="106">
        <f t="shared" si="19"/>
        <v>167</v>
      </c>
      <c r="C725" s="107">
        <f ca="1">OFFSET(tab_tipo_Combustivel!$A$1,MATCH(B725,tab_tipo_Combustivel!$A$2:$A$150,0),MATCH(A725,tab_tipo_Combustivel!$B$1:$AQ$1,0),1,1)</f>
        <v>144.66999999999999</v>
      </c>
    </row>
    <row r="726" spans="1:3">
      <c r="A726" s="3">
        <f t="shared" si="18"/>
        <v>2017</v>
      </c>
      <c r="B726" s="106">
        <f t="shared" si="19"/>
        <v>171</v>
      </c>
      <c r="C726" s="107">
        <f ca="1">OFFSET(tab_tipo_Combustivel!$A$1,MATCH(B726,tab_tipo_Combustivel!$A$2:$A$150,0),MATCH(A726,tab_tipo_Combustivel!$B$1:$AQ$1,0),1,1)</f>
        <v>88</v>
      </c>
    </row>
    <row r="727" spans="1:3">
      <c r="A727" s="3">
        <f t="shared" si="18"/>
        <v>2017</v>
      </c>
      <c r="B727" s="106">
        <f t="shared" si="19"/>
        <v>172</v>
      </c>
      <c r="C727" s="107">
        <f ca="1">OFFSET(tab_tipo_Combustivel!$A$1,MATCH(B727,tab_tipo_Combustivel!$A$2:$A$150,0),MATCH(A727,tab_tipo_Combustivel!$B$1:$AQ$1,0),1,1)</f>
        <v>99.97</v>
      </c>
    </row>
    <row r="728" spans="1:3">
      <c r="A728" s="3">
        <f t="shared" si="18"/>
        <v>2017</v>
      </c>
      <c r="B728" s="106">
        <f t="shared" si="19"/>
        <v>173</v>
      </c>
      <c r="C728" s="107">
        <f ca="1">OFFSET(tab_tipo_Combustivel!$A$1,MATCH(B728,tab_tipo_Combustivel!$A$2:$A$150,0),MATCH(A728,tab_tipo_Combustivel!$B$1:$AQ$1,0),1,1)</f>
        <v>192.03</v>
      </c>
    </row>
    <row r="729" spans="1:3">
      <c r="A729" s="3">
        <f t="shared" si="18"/>
        <v>2017</v>
      </c>
      <c r="B729" s="106">
        <f t="shared" si="19"/>
        <v>174</v>
      </c>
      <c r="C729" s="107">
        <f ca="1">OFFSET(tab_tipo_Combustivel!$A$1,MATCH(B729,tab_tipo_Combustivel!$A$2:$A$150,0),MATCH(A729,tab_tipo_Combustivel!$B$1:$AQ$1,0),1,1)</f>
        <v>331.22</v>
      </c>
    </row>
    <row r="730" spans="1:3">
      <c r="A730" s="3">
        <f t="shared" si="18"/>
        <v>2017</v>
      </c>
      <c r="B730" s="106">
        <f t="shared" si="19"/>
        <v>176</v>
      </c>
      <c r="C730" s="107">
        <f ca="1">OFFSET(tab_tipo_Combustivel!$A$1,MATCH(B730,tab_tipo_Combustivel!$A$2:$A$150,0),MATCH(A730,tab_tipo_Combustivel!$B$1:$AQ$1,0),1,1)</f>
        <v>149.47999999999999</v>
      </c>
    </row>
    <row r="731" spans="1:3">
      <c r="A731" s="3">
        <f t="shared" si="18"/>
        <v>2017</v>
      </c>
      <c r="B731" s="106">
        <f t="shared" si="19"/>
        <v>183</v>
      </c>
      <c r="C731" s="107">
        <f ca="1">OFFSET(tab_tipo_Combustivel!$A$1,MATCH(B731,tab_tipo_Combustivel!$A$2:$A$150,0),MATCH(A731,tab_tipo_Combustivel!$B$1:$AQ$1,0),1,1)</f>
        <v>171.61</v>
      </c>
    </row>
    <row r="732" spans="1:3">
      <c r="A732" s="3">
        <f t="shared" si="18"/>
        <v>2017</v>
      </c>
      <c r="B732" s="106">
        <f t="shared" si="19"/>
        <v>194</v>
      </c>
      <c r="C732" s="107">
        <f ca="1">OFFSET(tab_tipo_Combustivel!$A$1,MATCH(B732,tab_tipo_Combustivel!$A$2:$A$150,0),MATCH(A732,tab_tipo_Combustivel!$B$1:$AQ$1,0),1,1)</f>
        <v>1098.58</v>
      </c>
    </row>
    <row r="733" spans="1:3">
      <c r="A733" s="3">
        <f t="shared" si="18"/>
        <v>2017</v>
      </c>
      <c r="B733" s="106">
        <f t="shared" si="19"/>
        <v>203</v>
      </c>
      <c r="C733" s="107">
        <f ca="1">OFFSET(tab_tipo_Combustivel!$A$1,MATCH(B733,tab_tipo_Combustivel!$A$2:$A$150,0),MATCH(A733,tab_tipo_Combustivel!$B$1:$AQ$1,0),1,1)</f>
        <v>0</v>
      </c>
    </row>
    <row r="734" spans="1:3">
      <c r="A734" s="3">
        <f t="shared" si="18"/>
        <v>2017</v>
      </c>
      <c r="B734" s="106">
        <f t="shared" si="19"/>
        <v>204</v>
      </c>
      <c r="C734" s="107">
        <f ca="1">OFFSET(tab_tipo_Combustivel!$A$1,MATCH(B734,tab_tipo_Combustivel!$A$2:$A$150,0),MATCH(A734,tab_tipo_Combustivel!$B$1:$AQ$1,0),1,1)</f>
        <v>0</v>
      </c>
    </row>
    <row r="735" spans="1:3">
      <c r="A735" s="3">
        <f t="shared" si="18"/>
        <v>2017</v>
      </c>
      <c r="B735" s="106">
        <f t="shared" si="19"/>
        <v>205</v>
      </c>
      <c r="C735" s="107">
        <f ca="1">OFFSET(tab_tipo_Combustivel!$A$1,MATCH(B735,tab_tipo_Combustivel!$A$2:$A$150,0),MATCH(A735,tab_tipo_Combustivel!$B$1:$AQ$1,0),1,1)</f>
        <v>0</v>
      </c>
    </row>
    <row r="736" spans="1:3">
      <c r="A736" s="3">
        <f t="shared" si="18"/>
        <v>2017</v>
      </c>
      <c r="B736" s="106">
        <f t="shared" si="19"/>
        <v>207</v>
      </c>
      <c r="C736" s="107">
        <f ca="1">OFFSET(tab_tipo_Combustivel!$A$1,MATCH(B736,tab_tipo_Combustivel!$A$2:$A$150,0),MATCH(A736,tab_tipo_Combustivel!$B$1:$AQ$1,0),1,1)</f>
        <v>0</v>
      </c>
    </row>
    <row r="737" spans="1:3">
      <c r="A737" s="3">
        <f t="shared" si="18"/>
        <v>2017</v>
      </c>
      <c r="B737" s="106">
        <f t="shared" si="19"/>
        <v>208</v>
      </c>
      <c r="C737" s="107">
        <f ca="1">OFFSET(tab_tipo_Combustivel!$A$1,MATCH(B737,tab_tipo_Combustivel!$A$2:$A$150,0),MATCH(A737,tab_tipo_Combustivel!$B$1:$AQ$1,0),1,1)</f>
        <v>783.64</v>
      </c>
    </row>
    <row r="738" spans="1:3">
      <c r="A738" s="3">
        <f t="shared" si="18"/>
        <v>2017</v>
      </c>
      <c r="B738" s="106">
        <f t="shared" si="19"/>
        <v>209</v>
      </c>
      <c r="C738" s="107">
        <f ca="1">OFFSET(tab_tipo_Combustivel!$A$1,MATCH(B738,tab_tipo_Combustivel!$A$2:$A$150,0),MATCH(A738,tab_tipo_Combustivel!$B$1:$AQ$1,0),1,1)</f>
        <v>0</v>
      </c>
    </row>
    <row r="739" spans="1:3">
      <c r="A739" s="3">
        <f t="shared" si="18"/>
        <v>2017</v>
      </c>
      <c r="B739" s="106">
        <f t="shared" si="19"/>
        <v>211</v>
      </c>
      <c r="C739" s="107">
        <f ca="1">OFFSET(tab_tipo_Combustivel!$A$1,MATCH(B739,tab_tipo_Combustivel!$A$2:$A$150,0),MATCH(A739,tab_tipo_Combustivel!$B$1:$AQ$1,0),1,1)</f>
        <v>150.79</v>
      </c>
    </row>
    <row r="740" spans="1:3">
      <c r="A740" s="3">
        <f t="shared" si="18"/>
        <v>2017</v>
      </c>
      <c r="B740" s="106">
        <f t="shared" si="19"/>
        <v>212</v>
      </c>
      <c r="C740" s="107">
        <f ca="1">OFFSET(tab_tipo_Combustivel!$A$1,MATCH(B740,tab_tipo_Combustivel!$A$2:$A$150,0),MATCH(A740,tab_tipo_Combustivel!$B$1:$AQ$1,0),1,1)</f>
        <v>84.58</v>
      </c>
    </row>
    <row r="741" spans="1:3">
      <c r="A741" s="3">
        <f t="shared" si="18"/>
        <v>2017</v>
      </c>
      <c r="B741" s="106">
        <f t="shared" si="19"/>
        <v>224</v>
      </c>
      <c r="C741" s="107">
        <f ca="1">OFFSET(tab_tipo_Combustivel!$A$1,MATCH(B741,tab_tipo_Combustivel!$A$2:$A$150,0),MATCH(A741,tab_tipo_Combustivel!$B$1:$AQ$1,0),1,1)</f>
        <v>31.08</v>
      </c>
    </row>
    <row r="742" spans="1:3">
      <c r="A742" s="3">
        <f t="shared" si="18"/>
        <v>2017</v>
      </c>
      <c r="B742" s="106">
        <f t="shared" si="19"/>
        <v>225</v>
      </c>
      <c r="C742" s="107">
        <f ca="1">OFFSET(tab_tipo_Combustivel!$A$1,MATCH(B742,tab_tipo_Combustivel!$A$2:$A$150,0),MATCH(A742,tab_tipo_Combustivel!$B$1:$AQ$1,0),1,1)</f>
        <v>1329.7</v>
      </c>
    </row>
    <row r="743" spans="1:3">
      <c r="A743" s="3">
        <f t="shared" si="18"/>
        <v>2017</v>
      </c>
      <c r="B743" s="106">
        <f t="shared" si="19"/>
        <v>226</v>
      </c>
      <c r="C743" s="107">
        <f ca="1">OFFSET(tab_tipo_Combustivel!$A$1,MATCH(B743,tab_tipo_Combustivel!$A$2:$A$150,0),MATCH(A743,tab_tipo_Combustivel!$B$1:$AQ$1,0),1,1)</f>
        <v>1061.1300000000001</v>
      </c>
    </row>
    <row r="744" spans="1:3">
      <c r="A744" s="3">
        <f t="shared" si="18"/>
        <v>2017</v>
      </c>
      <c r="B744" s="106">
        <f t="shared" si="19"/>
        <v>227</v>
      </c>
      <c r="C744" s="107">
        <f ca="1">OFFSET(tab_tipo_Combustivel!$A$1,MATCH(B744,tab_tipo_Combustivel!$A$2:$A$150,0),MATCH(A744,tab_tipo_Combustivel!$B$1:$AQ$1,0),1,1)</f>
        <v>447.52</v>
      </c>
    </row>
    <row r="745" spans="1:3">
      <c r="A745" s="3">
        <f t="shared" si="18"/>
        <v>2017</v>
      </c>
      <c r="B745" s="106">
        <f t="shared" si="19"/>
        <v>228</v>
      </c>
      <c r="C745" s="107">
        <f ca="1">OFFSET(tab_tipo_Combustivel!$A$1,MATCH(B745,tab_tipo_Combustivel!$A$2:$A$150,0),MATCH(A745,tab_tipo_Combustivel!$B$1:$AQ$1,0),1,1)</f>
        <v>1061.1400000000001</v>
      </c>
    </row>
    <row r="746" spans="1:3">
      <c r="A746" s="3">
        <f t="shared" si="18"/>
        <v>2017</v>
      </c>
      <c r="B746" s="106">
        <f t="shared" si="19"/>
        <v>229</v>
      </c>
      <c r="C746" s="107">
        <f ca="1">OFFSET(tab_tipo_Combustivel!$A$1,MATCH(B746,tab_tipo_Combustivel!$A$2:$A$150,0),MATCH(A746,tab_tipo_Combustivel!$B$1:$AQ$1,0),1,1)</f>
        <v>942.05</v>
      </c>
    </row>
    <row r="747" spans="1:3">
      <c r="A747" s="3">
        <f t="shared" si="18"/>
        <v>2017</v>
      </c>
      <c r="B747" s="106">
        <f t="shared" si="19"/>
        <v>230</v>
      </c>
      <c r="C747" s="107">
        <f ca="1">OFFSET(tab_tipo_Combustivel!$A$1,MATCH(B747,tab_tipo_Combustivel!$A$2:$A$150,0),MATCH(A747,tab_tipo_Combustivel!$B$1:$AQ$1,0),1,1)</f>
        <v>495.06</v>
      </c>
    </row>
    <row r="748" spans="1:3">
      <c r="A748" s="3">
        <f t="shared" si="18"/>
        <v>2017</v>
      </c>
      <c r="B748" s="106">
        <f t="shared" si="19"/>
        <v>231</v>
      </c>
      <c r="C748" s="107">
        <f ca="1">OFFSET(tab_tipo_Combustivel!$A$1,MATCH(B748,tab_tipo_Combustivel!$A$2:$A$150,0),MATCH(A748,tab_tipo_Combustivel!$B$1:$AQ$1,0),1,1)</f>
        <v>489.29</v>
      </c>
    </row>
    <row r="749" spans="1:3">
      <c r="A749" s="3">
        <f t="shared" si="18"/>
        <v>2017</v>
      </c>
      <c r="B749" s="106">
        <f t="shared" si="19"/>
        <v>232</v>
      </c>
      <c r="C749" s="107">
        <f ca="1">OFFSET(tab_tipo_Combustivel!$A$1,MATCH(B749,tab_tipo_Combustivel!$A$2:$A$150,0),MATCH(A749,tab_tipo_Combustivel!$B$1:$AQ$1,0),1,1)</f>
        <v>842.33</v>
      </c>
    </row>
    <row r="750" spans="1:3">
      <c r="A750" s="3">
        <f t="shared" si="18"/>
        <v>2017</v>
      </c>
      <c r="B750" s="106">
        <f t="shared" si="19"/>
        <v>233</v>
      </c>
      <c r="C750" s="107">
        <f ca="1">OFFSET(tab_tipo_Combustivel!$A$1,MATCH(B750,tab_tipo_Combustivel!$A$2:$A$150,0),MATCH(A750,tab_tipo_Combustivel!$B$1:$AQ$1,0),1,1)</f>
        <v>984.29</v>
      </c>
    </row>
    <row r="751" spans="1:3">
      <c r="A751" s="3">
        <f t="shared" si="18"/>
        <v>2017</v>
      </c>
      <c r="B751" s="106">
        <f t="shared" si="19"/>
        <v>234</v>
      </c>
      <c r="C751" s="107">
        <f ca="1">OFFSET(tab_tipo_Combustivel!$A$1,MATCH(B751,tab_tipo_Combustivel!$A$2:$A$150,0),MATCH(A751,tab_tipo_Combustivel!$B$1:$AQ$1,0),1,1)</f>
        <v>290.26</v>
      </c>
    </row>
    <row r="752" spans="1:3">
      <c r="A752" s="3">
        <f t="shared" si="18"/>
        <v>2017</v>
      </c>
      <c r="B752" s="106">
        <f t="shared" si="19"/>
        <v>235</v>
      </c>
      <c r="C752" s="107">
        <f ca="1">OFFSET(tab_tipo_Combustivel!$A$1,MATCH(B752,tab_tipo_Combustivel!$A$2:$A$150,0),MATCH(A752,tab_tipo_Combustivel!$B$1:$AQ$1,0),1,1)</f>
        <v>1350.87</v>
      </c>
    </row>
    <row r="753" spans="1:3">
      <c r="A753" s="3">
        <f t="shared" si="18"/>
        <v>2017</v>
      </c>
      <c r="B753" s="106">
        <f t="shared" si="19"/>
        <v>236</v>
      </c>
      <c r="C753" s="107">
        <f ca="1">OFFSET(tab_tipo_Combustivel!$A$1,MATCH(B753,tab_tipo_Combustivel!$A$2:$A$150,0),MATCH(A753,tab_tipo_Combustivel!$B$1:$AQ$1,0),1,1)</f>
        <v>842.33</v>
      </c>
    </row>
    <row r="754" spans="1:3">
      <c r="A754" s="3">
        <f t="shared" si="18"/>
        <v>2017</v>
      </c>
      <c r="B754" s="106">
        <f t="shared" si="19"/>
        <v>237</v>
      </c>
      <c r="C754" s="107">
        <f ca="1">OFFSET(tab_tipo_Combustivel!$A$1,MATCH(B754,tab_tipo_Combustivel!$A$2:$A$150,0),MATCH(A754,tab_tipo_Combustivel!$B$1:$AQ$1,0),1,1)</f>
        <v>760.85</v>
      </c>
    </row>
    <row r="755" spans="1:3">
      <c r="A755" s="3">
        <f t="shared" si="18"/>
        <v>2017</v>
      </c>
      <c r="B755" s="106">
        <f t="shared" si="19"/>
        <v>238</v>
      </c>
      <c r="C755" s="107">
        <f ca="1">OFFSET(tab_tipo_Combustivel!$A$1,MATCH(B755,tab_tipo_Combustivel!$A$2:$A$150,0),MATCH(A755,tab_tipo_Combustivel!$B$1:$AQ$1,0),1,1)</f>
        <v>963.75</v>
      </c>
    </row>
    <row r="756" spans="1:3">
      <c r="A756" s="3">
        <f t="shared" si="18"/>
        <v>2017</v>
      </c>
      <c r="B756" s="106">
        <f t="shared" si="19"/>
        <v>239</v>
      </c>
      <c r="C756" s="107">
        <f ca="1">OFFSET(tab_tipo_Combustivel!$A$1,MATCH(B756,tab_tipo_Combustivel!$A$2:$A$150,0),MATCH(A756,tab_tipo_Combustivel!$B$1:$AQ$1,0),1,1)</f>
        <v>963.75</v>
      </c>
    </row>
    <row r="757" spans="1:3">
      <c r="A757" s="3">
        <f t="shared" si="18"/>
        <v>2017</v>
      </c>
      <c r="B757" s="106">
        <f t="shared" si="19"/>
        <v>240</v>
      </c>
      <c r="C757" s="107">
        <f ca="1">OFFSET(tab_tipo_Combustivel!$A$1,MATCH(B757,tab_tipo_Combustivel!$A$2:$A$150,0),MATCH(A757,tab_tipo_Combustivel!$B$1:$AQ$1,0),1,1)</f>
        <v>1115.96</v>
      </c>
    </row>
    <row r="758" spans="1:3">
      <c r="A758" s="3">
        <f t="shared" si="18"/>
        <v>2017</v>
      </c>
      <c r="B758" s="106">
        <f t="shared" si="19"/>
        <v>241</v>
      </c>
      <c r="C758" s="107">
        <f ca="1">OFFSET(tab_tipo_Combustivel!$A$1,MATCH(B758,tab_tipo_Combustivel!$A$2:$A$150,0),MATCH(A758,tab_tipo_Combustivel!$B$1:$AQ$1,0),1,1)</f>
        <v>495.75</v>
      </c>
    </row>
    <row r="759" spans="1:3">
      <c r="A759" s="3">
        <f t="shared" si="18"/>
        <v>2017</v>
      </c>
      <c r="B759" s="106">
        <f t="shared" si="19"/>
        <v>242</v>
      </c>
      <c r="C759" s="107">
        <f ca="1">OFFSET(tab_tipo_Combustivel!$A$1,MATCH(B759,tab_tipo_Combustivel!$A$2:$A$150,0),MATCH(A759,tab_tipo_Combustivel!$B$1:$AQ$1,0),1,1)</f>
        <v>1176.45</v>
      </c>
    </row>
    <row r="760" spans="1:3">
      <c r="A760" s="3">
        <f t="shared" si="18"/>
        <v>2017</v>
      </c>
      <c r="B760" s="106">
        <f t="shared" si="19"/>
        <v>243</v>
      </c>
      <c r="C760" s="107">
        <f ca="1">OFFSET(tab_tipo_Combustivel!$A$1,MATCH(B760,tab_tipo_Combustivel!$A$2:$A$150,0),MATCH(A760,tab_tipo_Combustivel!$B$1:$AQ$1,0),1,1)</f>
        <v>495.08</v>
      </c>
    </row>
    <row r="761" spans="1:3">
      <c r="A761" s="3">
        <f t="shared" si="18"/>
        <v>2017</v>
      </c>
      <c r="B761" s="106">
        <f t="shared" si="19"/>
        <v>244</v>
      </c>
      <c r="C761" s="107">
        <f ca="1">OFFSET(tab_tipo_Combustivel!$A$1,MATCH(B761,tab_tipo_Combustivel!$A$2:$A$150,0),MATCH(A761,tab_tipo_Combustivel!$B$1:$AQ$1,0),1,1)</f>
        <v>495.06</v>
      </c>
    </row>
    <row r="762" spans="1:3">
      <c r="A762" s="3">
        <f t="shared" si="18"/>
        <v>2017</v>
      </c>
      <c r="B762" s="106">
        <f t="shared" si="19"/>
        <v>245</v>
      </c>
      <c r="C762" s="107">
        <f ca="1">OFFSET(tab_tipo_Combustivel!$A$1,MATCH(B762,tab_tipo_Combustivel!$A$2:$A$150,0),MATCH(A762,tab_tipo_Combustivel!$B$1:$AQ$1,0),1,1)</f>
        <v>562.65</v>
      </c>
    </row>
    <row r="763" spans="1:3">
      <c r="A763" s="3">
        <f t="shared" si="18"/>
        <v>2017</v>
      </c>
      <c r="B763" s="106">
        <f t="shared" si="19"/>
        <v>246</v>
      </c>
      <c r="C763" s="107">
        <f ca="1">OFFSET(tab_tipo_Combustivel!$A$1,MATCH(B763,tab_tipo_Combustivel!$A$2:$A$150,0),MATCH(A763,tab_tipo_Combustivel!$B$1:$AQ$1,0),1,1)</f>
        <v>1124.53</v>
      </c>
    </row>
    <row r="764" spans="1:3">
      <c r="A764" s="3">
        <f t="shared" si="18"/>
        <v>2017</v>
      </c>
      <c r="B764" s="106">
        <f t="shared" si="19"/>
        <v>247</v>
      </c>
      <c r="C764" s="107">
        <f ca="1">OFFSET(tab_tipo_Combustivel!$A$1,MATCH(B764,tab_tipo_Combustivel!$A$2:$A$150,0),MATCH(A764,tab_tipo_Combustivel!$B$1:$AQ$1,0),1,1)</f>
        <v>609.51</v>
      </c>
    </row>
    <row r="765" spans="1:3">
      <c r="A765" s="3">
        <f t="shared" si="18"/>
        <v>2017</v>
      </c>
      <c r="B765" s="106">
        <f t="shared" si="19"/>
        <v>248</v>
      </c>
      <c r="C765" s="107">
        <f ca="1">OFFSET(tab_tipo_Combustivel!$A$1,MATCH(B765,tab_tipo_Combustivel!$A$2:$A$150,0),MATCH(A765,tab_tipo_Combustivel!$B$1:$AQ$1,0),1,1)</f>
        <v>495.06</v>
      </c>
    </row>
    <row r="766" spans="1:3">
      <c r="A766" s="3">
        <f t="shared" si="18"/>
        <v>2017</v>
      </c>
      <c r="B766" s="106">
        <f t="shared" si="19"/>
        <v>249</v>
      </c>
      <c r="C766" s="107">
        <f ca="1">OFFSET(tab_tipo_Combustivel!$A$1,MATCH(B766,tab_tipo_Combustivel!$A$2:$A$150,0),MATCH(A766,tab_tipo_Combustivel!$B$1:$AQ$1,0),1,1)</f>
        <v>842.33</v>
      </c>
    </row>
    <row r="767" spans="1:3">
      <c r="A767" s="3">
        <f t="shared" si="18"/>
        <v>2017</v>
      </c>
      <c r="B767" s="106">
        <f t="shared" si="19"/>
        <v>250</v>
      </c>
      <c r="C767" s="107">
        <f ca="1">OFFSET(tab_tipo_Combustivel!$A$1,MATCH(B767,tab_tipo_Combustivel!$A$2:$A$150,0),MATCH(A767,tab_tipo_Combustivel!$B$1:$AQ$1,0),1,1)</f>
        <v>1176.45</v>
      </c>
    </row>
    <row r="768" spans="1:3">
      <c r="A768" s="3">
        <f t="shared" si="18"/>
        <v>2017</v>
      </c>
      <c r="B768" s="106">
        <f t="shared" si="19"/>
        <v>251</v>
      </c>
      <c r="C768" s="107">
        <f ca="1">OFFSET(tab_tipo_Combustivel!$A$1,MATCH(B768,tab_tipo_Combustivel!$A$2:$A$150,0),MATCH(A768,tab_tipo_Combustivel!$B$1:$AQ$1,0),1,1)</f>
        <v>842.33</v>
      </c>
    </row>
    <row r="769" spans="1:3">
      <c r="A769" s="3">
        <f t="shared" si="18"/>
        <v>2017</v>
      </c>
      <c r="B769" s="106">
        <f t="shared" si="19"/>
        <v>252</v>
      </c>
      <c r="C769" s="107">
        <f ca="1">OFFSET(tab_tipo_Combustivel!$A$1,MATCH(B769,tab_tipo_Combustivel!$A$2:$A$150,0),MATCH(A769,tab_tipo_Combustivel!$B$1:$AQ$1,0),1,1)</f>
        <v>842.33</v>
      </c>
    </row>
    <row r="770" spans="1:3">
      <c r="A770" s="3">
        <f t="shared" si="18"/>
        <v>2017</v>
      </c>
      <c r="B770" s="106">
        <f t="shared" si="19"/>
        <v>253</v>
      </c>
      <c r="C770" s="107">
        <f ca="1">OFFSET(tab_tipo_Combustivel!$A$1,MATCH(B770,tab_tipo_Combustivel!$A$2:$A$150,0),MATCH(A770,tab_tipo_Combustivel!$B$1:$AQ$1,0),1,1)</f>
        <v>279.45</v>
      </c>
    </row>
    <row r="771" spans="1:3">
      <c r="A771" s="3">
        <f t="shared" si="18"/>
        <v>2017</v>
      </c>
      <c r="B771" s="106">
        <f t="shared" si="19"/>
        <v>254</v>
      </c>
      <c r="C771" s="107">
        <f ca="1">OFFSET(tab_tipo_Combustivel!$A$1,MATCH(B771,tab_tipo_Combustivel!$A$2:$A$150,0),MATCH(A771,tab_tipo_Combustivel!$B$1:$AQ$1,0),1,1)</f>
        <v>1153.98</v>
      </c>
    </row>
    <row r="772" spans="1:3">
      <c r="A772" s="3">
        <f t="shared" si="18"/>
        <v>2017</v>
      </c>
      <c r="B772" s="106">
        <f t="shared" si="19"/>
        <v>255</v>
      </c>
      <c r="C772" s="107">
        <f ca="1">OFFSET(tab_tipo_Combustivel!$A$1,MATCH(B772,tab_tipo_Combustivel!$A$2:$A$150,0),MATCH(A772,tab_tipo_Combustivel!$B$1:$AQ$1,0),1,1)</f>
        <v>828.98</v>
      </c>
    </row>
    <row r="773" spans="1:3">
      <c r="A773" s="3">
        <f t="shared" si="18"/>
        <v>2017</v>
      </c>
      <c r="B773" s="106">
        <f t="shared" si="19"/>
        <v>256</v>
      </c>
      <c r="C773" s="107">
        <f ca="1">OFFSET(tab_tipo_Combustivel!$A$1,MATCH(B773,tab_tipo_Combustivel!$A$2:$A$150,0),MATCH(A773,tab_tipo_Combustivel!$B$1:$AQ$1,0),1,1)</f>
        <v>562.65</v>
      </c>
    </row>
    <row r="774" spans="1:3">
      <c r="A774" s="3">
        <f t="shared" si="18"/>
        <v>2017</v>
      </c>
      <c r="B774" s="106">
        <f t="shared" si="19"/>
        <v>257</v>
      </c>
      <c r="C774" s="107">
        <f ca="1">OFFSET(tab_tipo_Combustivel!$A$1,MATCH(B774,tab_tipo_Combustivel!$A$2:$A$150,0),MATCH(A774,tab_tipo_Combustivel!$B$1:$AQ$1,0),1,1)</f>
        <v>907.52</v>
      </c>
    </row>
    <row r="775" spans="1:3">
      <c r="A775" s="3">
        <f t="shared" si="18"/>
        <v>2017</v>
      </c>
      <c r="B775" s="106">
        <f t="shared" si="19"/>
        <v>258</v>
      </c>
      <c r="C775" s="107">
        <f ca="1">OFFSET(tab_tipo_Combustivel!$A$1,MATCH(B775,tab_tipo_Combustivel!$A$2:$A$150,0),MATCH(A775,tab_tipo_Combustivel!$B$1:$AQ$1,0),1,1)</f>
        <v>1016.04</v>
      </c>
    </row>
    <row r="776" spans="1:3">
      <c r="A776" s="3">
        <f t="shared" si="18"/>
        <v>2017</v>
      </c>
      <c r="B776" s="106">
        <f t="shared" si="19"/>
        <v>259</v>
      </c>
      <c r="C776" s="107">
        <f ca="1">OFFSET(tab_tipo_Combustivel!$A$1,MATCH(B776,tab_tipo_Combustivel!$A$2:$A$150,0),MATCH(A776,tab_tipo_Combustivel!$B$1:$AQ$1,0),1,1)</f>
        <v>977.53</v>
      </c>
    </row>
    <row r="777" spans="1:3">
      <c r="A777" s="3">
        <f t="shared" si="18"/>
        <v>2017</v>
      </c>
      <c r="B777" s="106">
        <f t="shared" si="19"/>
        <v>260</v>
      </c>
      <c r="C777" s="107">
        <f ca="1">OFFSET(tab_tipo_Combustivel!$A$1,MATCH(B777,tab_tipo_Combustivel!$A$2:$A$150,0),MATCH(A777,tab_tipo_Combustivel!$B$1:$AQ$1,0),1,1)</f>
        <v>827.17</v>
      </c>
    </row>
    <row r="778" spans="1:3">
      <c r="A778" s="3">
        <f t="shared" ref="A778:A841" si="20">A643+1</f>
        <v>2017</v>
      </c>
      <c r="B778" s="106">
        <f t="shared" ref="B778:B841" si="21">B643</f>
        <v>261</v>
      </c>
      <c r="C778" s="107">
        <f ca="1">OFFSET(tab_tipo_Combustivel!$A$1,MATCH(B778,tab_tipo_Combustivel!$A$2:$A$150,0),MATCH(A778,tab_tipo_Combustivel!$B$1:$AQ$1,0),1,1)</f>
        <v>829.7</v>
      </c>
    </row>
    <row r="779" spans="1:3">
      <c r="A779" s="3">
        <f t="shared" si="20"/>
        <v>2017</v>
      </c>
      <c r="B779" s="106">
        <f t="shared" si="21"/>
        <v>262</v>
      </c>
      <c r="C779" s="107">
        <f ca="1">OFFSET(tab_tipo_Combustivel!$A$1,MATCH(B779,tab_tipo_Combustivel!$A$2:$A$150,0),MATCH(A779,tab_tipo_Combustivel!$B$1:$AQ$1,0),1,1)</f>
        <v>495.75</v>
      </c>
    </row>
    <row r="780" spans="1:3">
      <c r="A780" s="3">
        <f t="shared" si="20"/>
        <v>2017</v>
      </c>
      <c r="B780" s="106">
        <f t="shared" si="21"/>
        <v>263</v>
      </c>
      <c r="C780" s="107">
        <f ca="1">OFFSET(tab_tipo_Combustivel!$A$1,MATCH(B780,tab_tipo_Combustivel!$A$2:$A$150,0),MATCH(A780,tab_tipo_Combustivel!$B$1:$AQ$1,0),1,1)</f>
        <v>474.77</v>
      </c>
    </row>
    <row r="781" spans="1:3">
      <c r="A781" s="3">
        <f t="shared" si="20"/>
        <v>2017</v>
      </c>
      <c r="B781" s="106">
        <f t="shared" si="21"/>
        <v>264</v>
      </c>
      <c r="C781" s="107">
        <f ca="1">OFFSET(tab_tipo_Combustivel!$A$1,MATCH(B781,tab_tipo_Combustivel!$A$2:$A$150,0),MATCH(A781,tab_tipo_Combustivel!$B$1:$AQ$1,0),1,1)</f>
        <v>842.33</v>
      </c>
    </row>
    <row r="782" spans="1:3">
      <c r="A782" s="3">
        <f t="shared" si="20"/>
        <v>2017</v>
      </c>
      <c r="B782" s="106">
        <f t="shared" si="21"/>
        <v>265</v>
      </c>
      <c r="C782" s="107">
        <f ca="1">OFFSET(tab_tipo_Combustivel!$A$1,MATCH(B782,tab_tipo_Combustivel!$A$2:$A$150,0),MATCH(A782,tab_tipo_Combustivel!$B$1:$AQ$1,0),1,1)</f>
        <v>415.82</v>
      </c>
    </row>
    <row r="783" spans="1:3">
      <c r="A783" s="3">
        <f t="shared" si="20"/>
        <v>2017</v>
      </c>
      <c r="B783" s="106">
        <f t="shared" si="21"/>
        <v>266</v>
      </c>
      <c r="C783" s="107">
        <f ca="1">OFFSET(tab_tipo_Combustivel!$A$1,MATCH(B783,tab_tipo_Combustivel!$A$2:$A$150,0),MATCH(A783,tab_tipo_Combustivel!$B$1:$AQ$1,0),1,1)</f>
        <v>827.17</v>
      </c>
    </row>
    <row r="784" spans="1:3">
      <c r="A784" s="3">
        <f t="shared" si="20"/>
        <v>2017</v>
      </c>
      <c r="B784" s="106">
        <f t="shared" si="21"/>
        <v>301</v>
      </c>
      <c r="C784" s="107">
        <f ca="1">OFFSET(tab_tipo_Combustivel!$A$1,MATCH(B784,tab_tipo_Combustivel!$A$2:$A$150,0),MATCH(A784,tab_tipo_Combustivel!$B$1:$AQ$1,0),1,1)</f>
        <v>99.08</v>
      </c>
    </row>
    <row r="785" spans="1:3">
      <c r="A785" s="3">
        <f t="shared" si="20"/>
        <v>2017</v>
      </c>
      <c r="B785" s="106">
        <f t="shared" si="21"/>
        <v>302</v>
      </c>
      <c r="C785" s="107">
        <f ca="1">OFFSET(tab_tipo_Combustivel!$A$1,MATCH(B785,tab_tipo_Combustivel!$A$2:$A$150,0),MATCH(A785,tab_tipo_Combustivel!$B$1:$AQ$1,0),1,1)</f>
        <v>103.73</v>
      </c>
    </row>
    <row r="786" spans="1:3">
      <c r="A786" s="3">
        <f t="shared" si="20"/>
        <v>2017</v>
      </c>
      <c r="B786" s="106">
        <f t="shared" si="21"/>
        <v>303</v>
      </c>
      <c r="C786" s="107">
        <f ca="1">OFFSET(tab_tipo_Combustivel!$A$1,MATCH(B786,tab_tipo_Combustivel!$A$2:$A$150,0),MATCH(A786,tab_tipo_Combustivel!$B$1:$AQ$1,0),1,1)</f>
        <v>103.73</v>
      </c>
    </row>
    <row r="787" spans="1:3">
      <c r="A787" s="3">
        <f t="shared" si="20"/>
        <v>2017</v>
      </c>
      <c r="B787" s="106">
        <f t="shared" si="21"/>
        <v>304</v>
      </c>
      <c r="C787" s="107">
        <f ca="1">OFFSET(tab_tipo_Combustivel!$A$1,MATCH(B787,tab_tipo_Combustivel!$A$2:$A$150,0),MATCH(A787,tab_tipo_Combustivel!$B$1:$AQ$1,0),1,1)</f>
        <v>139.41999999999999</v>
      </c>
    </row>
    <row r="788" spans="1:3">
      <c r="A788" s="3">
        <f t="shared" si="20"/>
        <v>2017</v>
      </c>
      <c r="B788" s="106">
        <f t="shared" si="21"/>
        <v>305</v>
      </c>
      <c r="C788" s="107">
        <f ca="1">OFFSET(tab_tipo_Combustivel!$A$1,MATCH(B788,tab_tipo_Combustivel!$A$2:$A$150,0),MATCH(A788,tab_tipo_Combustivel!$B$1:$AQ$1,0),1,1)</f>
        <v>89.7</v>
      </c>
    </row>
    <row r="789" spans="1:3">
      <c r="A789" s="3">
        <f t="shared" si="20"/>
        <v>2017</v>
      </c>
      <c r="B789" s="106">
        <f t="shared" si="21"/>
        <v>306</v>
      </c>
      <c r="C789" s="107">
        <f ca="1">OFFSET(tab_tipo_Combustivel!$A$1,MATCH(B789,tab_tipo_Combustivel!$A$2:$A$150,0),MATCH(A789,tab_tipo_Combustivel!$B$1:$AQ$1,0),1,1)</f>
        <v>100.38</v>
      </c>
    </row>
    <row r="790" spans="1:3">
      <c r="A790" s="3">
        <f t="shared" si="20"/>
        <v>2017</v>
      </c>
      <c r="B790" s="106">
        <f t="shared" si="21"/>
        <v>307</v>
      </c>
      <c r="C790" s="107">
        <f ca="1">OFFSET(tab_tipo_Combustivel!$A$1,MATCH(B790,tab_tipo_Combustivel!$A$2:$A$150,0),MATCH(A790,tab_tipo_Combustivel!$B$1:$AQ$1,0),1,1)</f>
        <v>510.12</v>
      </c>
    </row>
    <row r="791" spans="1:3">
      <c r="A791" s="3">
        <f t="shared" si="20"/>
        <v>2017</v>
      </c>
      <c r="B791" s="106">
        <f t="shared" si="21"/>
        <v>308</v>
      </c>
      <c r="C791" s="107">
        <f ca="1">OFFSET(tab_tipo_Combustivel!$A$1,MATCH(B791,tab_tipo_Combustivel!$A$2:$A$150,0),MATCH(A791,tab_tipo_Combustivel!$B$1:$AQ$1,0),1,1)</f>
        <v>72.5</v>
      </c>
    </row>
    <row r="792" spans="1:3">
      <c r="A792" s="3">
        <f t="shared" si="20"/>
        <v>2017</v>
      </c>
      <c r="B792" s="106">
        <f t="shared" si="21"/>
        <v>309</v>
      </c>
      <c r="C792" s="107">
        <f ca="1">OFFSET(tab_tipo_Combustivel!$A$1,MATCH(B792,tab_tipo_Combustivel!$A$2:$A$150,0),MATCH(A792,tab_tipo_Combustivel!$B$1:$AQ$1,0),1,1)</f>
        <v>126.77</v>
      </c>
    </row>
    <row r="793" spans="1:3">
      <c r="A793" s="3">
        <f t="shared" si="20"/>
        <v>2017</v>
      </c>
      <c r="B793" s="106">
        <f t="shared" si="21"/>
        <v>310</v>
      </c>
      <c r="C793" s="107">
        <f ca="1">OFFSET(tab_tipo_Combustivel!$A$1,MATCH(B793,tab_tipo_Combustivel!$A$2:$A$150,0),MATCH(A793,tab_tipo_Combustivel!$B$1:$AQ$1,0),1,1)</f>
        <v>275.99</v>
      </c>
    </row>
    <row r="794" spans="1:3">
      <c r="A794" s="3">
        <f t="shared" si="20"/>
        <v>2017</v>
      </c>
      <c r="B794" s="106">
        <f t="shared" si="21"/>
        <v>311</v>
      </c>
      <c r="C794" s="107">
        <f ca="1">OFFSET(tab_tipo_Combustivel!$A$1,MATCH(B794,tab_tipo_Combustivel!$A$2:$A$150,0),MATCH(A794,tab_tipo_Combustivel!$B$1:$AQ$1,0),1,1)</f>
        <v>70.66</v>
      </c>
    </row>
    <row r="795" spans="1:3">
      <c r="A795" s="3">
        <f t="shared" si="20"/>
        <v>2017</v>
      </c>
      <c r="B795" s="106">
        <f t="shared" si="21"/>
        <v>312</v>
      </c>
      <c r="C795" s="107">
        <f ca="1">OFFSET(tab_tipo_Combustivel!$A$1,MATCH(B795,tab_tipo_Combustivel!$A$2:$A$150,0),MATCH(A795,tab_tipo_Combustivel!$B$1:$AQ$1,0),1,1)</f>
        <v>0</v>
      </c>
    </row>
    <row r="796" spans="1:3">
      <c r="A796" s="3">
        <f t="shared" si="20"/>
        <v>2017</v>
      </c>
      <c r="B796" s="106">
        <f t="shared" si="21"/>
        <v>1301</v>
      </c>
      <c r="C796" s="107">
        <f ca="1">OFFSET(tab_tipo_Combustivel!$A$1,MATCH(B796,tab_tipo_Combustivel!$A$2:$A$150,0),MATCH(A796,tab_tipo_Combustivel!$B$1:$AQ$1,0),1,1)</f>
        <v>242.05</v>
      </c>
    </row>
    <row r="797" spans="1:3">
      <c r="A797" s="3">
        <f t="shared" si="20"/>
        <v>2017</v>
      </c>
      <c r="B797" s="106">
        <f t="shared" si="21"/>
        <v>1302</v>
      </c>
      <c r="C797" s="107">
        <f ca="1">OFFSET(tab_tipo_Combustivel!$A$1,MATCH(B797,tab_tipo_Combustivel!$A$2:$A$150,0),MATCH(A797,tab_tipo_Combustivel!$B$1:$AQ$1,0),1,1)</f>
        <v>193.64</v>
      </c>
    </row>
    <row r="798" spans="1:3">
      <c r="A798" s="3">
        <f t="shared" si="20"/>
        <v>2017</v>
      </c>
      <c r="B798" s="106">
        <f t="shared" si="21"/>
        <v>1303</v>
      </c>
      <c r="C798" s="107">
        <f ca="1">OFFSET(tab_tipo_Combustivel!$A$1,MATCH(B798,tab_tipo_Combustivel!$A$2:$A$150,0),MATCH(A798,tab_tipo_Combustivel!$B$1:$AQ$1,0),1,1)</f>
        <v>25.58</v>
      </c>
    </row>
    <row r="799" spans="1:3">
      <c r="A799" s="3">
        <f t="shared" si="20"/>
        <v>2017</v>
      </c>
      <c r="B799" s="106">
        <f t="shared" si="21"/>
        <v>1304</v>
      </c>
      <c r="C799" s="107">
        <f ca="1">OFFSET(tab_tipo_Combustivel!$A$1,MATCH(B799,tab_tipo_Combustivel!$A$2:$A$150,0),MATCH(A799,tab_tipo_Combustivel!$B$1:$AQ$1,0),1,1)</f>
        <v>0</v>
      </c>
    </row>
    <row r="800" spans="1:3">
      <c r="A800" s="3">
        <f t="shared" si="20"/>
        <v>2017</v>
      </c>
      <c r="B800" s="106">
        <f t="shared" si="21"/>
        <v>1315</v>
      </c>
      <c r="C800" s="107">
        <f ca="1">OFFSET(tab_tipo_Combustivel!$A$1,MATCH(B800,tab_tipo_Combustivel!$A$2:$A$150,0),MATCH(A800,tab_tipo_Combustivel!$B$1:$AQ$1,0),1,1)</f>
        <v>0</v>
      </c>
    </row>
    <row r="801" spans="1:3">
      <c r="A801" s="3">
        <f t="shared" si="20"/>
        <v>2017</v>
      </c>
      <c r="B801" s="106">
        <f t="shared" si="21"/>
        <v>1316</v>
      </c>
      <c r="C801" s="107">
        <f ca="1">OFFSET(tab_tipo_Combustivel!$A$1,MATCH(B801,tab_tipo_Combustivel!$A$2:$A$150,0),MATCH(A801,tab_tipo_Combustivel!$B$1:$AQ$1,0),1,1)</f>
        <v>0</v>
      </c>
    </row>
    <row r="802" spans="1:3">
      <c r="A802" s="3">
        <f t="shared" si="20"/>
        <v>2017</v>
      </c>
      <c r="B802" s="106">
        <f t="shared" si="21"/>
        <v>1318</v>
      </c>
      <c r="C802" s="107">
        <f ca="1">OFFSET(tab_tipo_Combustivel!$A$1,MATCH(B802,tab_tipo_Combustivel!$A$2:$A$150,0),MATCH(A802,tab_tipo_Combustivel!$B$1:$AQ$1,0),1,1)</f>
        <v>200</v>
      </c>
    </row>
    <row r="803" spans="1:3">
      <c r="A803" s="3">
        <f t="shared" si="20"/>
        <v>2017</v>
      </c>
      <c r="B803" s="106">
        <f t="shared" si="21"/>
        <v>1321</v>
      </c>
      <c r="C803" s="107">
        <f ca="1">OFFSET(tab_tipo_Combustivel!$A$1,MATCH(B803,tab_tipo_Combustivel!$A$2:$A$150,0),MATCH(A803,tab_tipo_Combustivel!$B$1:$AQ$1,0),1,1)</f>
        <v>85</v>
      </c>
    </row>
    <row r="804" spans="1:3">
      <c r="A804" s="3">
        <f t="shared" si="20"/>
        <v>2017</v>
      </c>
      <c r="B804" s="106">
        <f t="shared" si="21"/>
        <v>1322</v>
      </c>
      <c r="C804" s="107">
        <f ca="1">OFFSET(tab_tipo_Combustivel!$A$1,MATCH(B804,tab_tipo_Combustivel!$A$2:$A$150,0),MATCH(A804,tab_tipo_Combustivel!$B$1:$AQ$1,0),1,1)</f>
        <v>140</v>
      </c>
    </row>
    <row r="805" spans="1:3">
      <c r="A805" s="3">
        <f t="shared" si="20"/>
        <v>2017</v>
      </c>
      <c r="B805" s="106">
        <f t="shared" si="21"/>
        <v>1323</v>
      </c>
      <c r="C805" s="107">
        <f ca="1">OFFSET(tab_tipo_Combustivel!$A$1,MATCH(B805,tab_tipo_Combustivel!$A$2:$A$150,0),MATCH(A805,tab_tipo_Combustivel!$B$1:$AQ$1,0),1,1)</f>
        <v>63.75</v>
      </c>
    </row>
    <row r="806" spans="1:3">
      <c r="A806" s="3">
        <f t="shared" si="20"/>
        <v>2017</v>
      </c>
      <c r="B806" s="106">
        <f t="shared" si="21"/>
        <v>1325</v>
      </c>
      <c r="C806" s="107">
        <f ca="1">OFFSET(tab_tipo_Combustivel!$A$1,MATCH(B806,tab_tipo_Combustivel!$A$2:$A$150,0),MATCH(A806,tab_tipo_Combustivel!$B$1:$AQ$1,0),1,1)</f>
        <v>0</v>
      </c>
    </row>
    <row r="807" spans="1:3">
      <c r="A807" s="3">
        <f t="shared" si="20"/>
        <v>2017</v>
      </c>
      <c r="B807" s="106">
        <f t="shared" si="21"/>
        <v>1326</v>
      </c>
      <c r="C807" s="107">
        <f ca="1">OFFSET(tab_tipo_Combustivel!$A$1,MATCH(B807,tab_tipo_Combustivel!$A$2:$A$150,0),MATCH(A807,tab_tipo_Combustivel!$B$1:$AQ$1,0),1,1)</f>
        <v>260</v>
      </c>
    </row>
    <row r="808" spans="1:3">
      <c r="A808" s="3">
        <f t="shared" si="20"/>
        <v>2017</v>
      </c>
      <c r="B808" s="106">
        <f t="shared" si="21"/>
        <v>1501</v>
      </c>
      <c r="C808" s="107">
        <f ca="1">OFFSET(tab_tipo_Combustivel!$A$1,MATCH(B808,tab_tipo_Combustivel!$A$2:$A$150,0),MATCH(A808,tab_tipo_Combustivel!$B$1:$AQ$1,0),1,1)</f>
        <v>260</v>
      </c>
    </row>
    <row r="809" spans="1:3">
      <c r="A809" s="3">
        <f t="shared" si="20"/>
        <v>2017</v>
      </c>
      <c r="B809" s="106">
        <f t="shared" si="21"/>
        <v>1502</v>
      </c>
      <c r="C809" s="107">
        <f ca="1">OFFSET(tab_tipo_Combustivel!$A$1,MATCH(B809,tab_tipo_Combustivel!$A$2:$A$150,0),MATCH(A809,tab_tipo_Combustivel!$B$1:$AQ$1,0),1,1)</f>
        <v>60</v>
      </c>
    </row>
    <row r="810" spans="1:3">
      <c r="A810" s="3">
        <f t="shared" si="20"/>
        <v>2017</v>
      </c>
      <c r="B810" s="106">
        <f t="shared" si="21"/>
        <v>1503</v>
      </c>
      <c r="C810" s="107">
        <f ca="1">OFFSET(tab_tipo_Combustivel!$A$1,MATCH(B810,tab_tipo_Combustivel!$A$2:$A$150,0),MATCH(A810,tab_tipo_Combustivel!$B$1:$AQ$1,0),1,1)</f>
        <v>96.82</v>
      </c>
    </row>
    <row r="811" spans="1:3">
      <c r="A811" s="3">
        <f t="shared" si="20"/>
        <v>2017</v>
      </c>
      <c r="B811" s="106">
        <f t="shared" si="21"/>
        <v>1504</v>
      </c>
      <c r="C811" s="107">
        <f ca="1">OFFSET(tab_tipo_Combustivel!$A$1,MATCH(B811,tab_tipo_Combustivel!$A$2:$A$150,0),MATCH(A811,tab_tipo_Combustivel!$B$1:$AQ$1,0),1,1)</f>
        <v>145.22999999999999</v>
      </c>
    </row>
    <row r="812" spans="1:3">
      <c r="A812" s="3">
        <f t="shared" si="20"/>
        <v>2018</v>
      </c>
      <c r="B812" s="106">
        <f t="shared" si="21"/>
        <v>1</v>
      </c>
      <c r="C812" s="107">
        <f ca="1">OFFSET(tab_tipo_Combustivel!$A$1,MATCH(B812,tab_tipo_Combustivel!$A$2:$A$150,0),MATCH(A812,tab_tipo_Combustivel!$B$1:$AQ$1,0),1,1)</f>
        <v>29.13</v>
      </c>
    </row>
    <row r="813" spans="1:3">
      <c r="A813" s="3">
        <f t="shared" si="20"/>
        <v>2018</v>
      </c>
      <c r="B813" s="106">
        <f t="shared" si="21"/>
        <v>2</v>
      </c>
      <c r="C813" s="107">
        <f ca="1">OFFSET(tab_tipo_Combustivel!$A$1,MATCH(B813,tab_tipo_Combustivel!$A$2:$A$150,0),MATCH(A813,tab_tipo_Combustivel!$B$1:$AQ$1,0),1,1)</f>
        <v>842.33</v>
      </c>
    </row>
    <row r="814" spans="1:3">
      <c r="A814" s="3">
        <f t="shared" si="20"/>
        <v>2018</v>
      </c>
      <c r="B814" s="106">
        <f t="shared" si="21"/>
        <v>4</v>
      </c>
      <c r="C814" s="107">
        <f ca="1">OFFSET(tab_tipo_Combustivel!$A$1,MATCH(B814,tab_tipo_Combustivel!$A$2:$A$150,0),MATCH(A814,tab_tipo_Combustivel!$B$1:$AQ$1,0),1,1)</f>
        <v>842.33</v>
      </c>
    </row>
    <row r="815" spans="1:3">
      <c r="A815" s="3">
        <f t="shared" si="20"/>
        <v>2018</v>
      </c>
      <c r="B815" s="106">
        <f t="shared" si="21"/>
        <v>9</v>
      </c>
      <c r="C815" s="107">
        <f ca="1">OFFSET(tab_tipo_Combustivel!$A$1,MATCH(B815,tab_tipo_Combustivel!$A$2:$A$150,0),MATCH(A815,tab_tipo_Combustivel!$B$1:$AQ$1,0),1,1)</f>
        <v>842.33</v>
      </c>
    </row>
    <row r="816" spans="1:3">
      <c r="A816" s="3">
        <f t="shared" si="20"/>
        <v>2018</v>
      </c>
      <c r="B816" s="106">
        <f t="shared" si="21"/>
        <v>12</v>
      </c>
      <c r="C816" s="107">
        <f ca="1">OFFSET(tab_tipo_Combustivel!$A$1,MATCH(B816,tab_tipo_Combustivel!$A$2:$A$150,0),MATCH(A816,tab_tipo_Combustivel!$B$1:$AQ$1,0),1,1)</f>
        <v>728.87</v>
      </c>
    </row>
    <row r="817" spans="1:3">
      <c r="A817" s="3">
        <f t="shared" si="20"/>
        <v>2018</v>
      </c>
      <c r="B817" s="106">
        <f t="shared" si="21"/>
        <v>13</v>
      </c>
      <c r="C817" s="107">
        <f ca="1">OFFSET(tab_tipo_Combustivel!$A$1,MATCH(B817,tab_tipo_Combustivel!$A$2:$A$150,0),MATCH(A817,tab_tipo_Combustivel!$B$1:$AQ$1,0),1,1)</f>
        <v>20.12</v>
      </c>
    </row>
    <row r="818" spans="1:3">
      <c r="A818" s="3">
        <f t="shared" si="20"/>
        <v>2018</v>
      </c>
      <c r="B818" s="106">
        <f t="shared" si="21"/>
        <v>15</v>
      </c>
      <c r="C818" s="107">
        <f ca="1">OFFSET(tab_tipo_Combustivel!$A$1,MATCH(B818,tab_tipo_Combustivel!$A$2:$A$150,0),MATCH(A818,tab_tipo_Combustivel!$B$1:$AQ$1,0),1,1)</f>
        <v>257.29000000000002</v>
      </c>
    </row>
    <row r="819" spans="1:3">
      <c r="A819" s="3">
        <f t="shared" si="20"/>
        <v>2018</v>
      </c>
      <c r="B819" s="106">
        <f t="shared" si="21"/>
        <v>21</v>
      </c>
      <c r="C819" s="107">
        <f ca="1">OFFSET(tab_tipo_Combustivel!$A$1,MATCH(B819,tab_tipo_Combustivel!$A$2:$A$150,0),MATCH(A819,tab_tipo_Combustivel!$B$1:$AQ$1,0),1,1)</f>
        <v>157.83000000000001</v>
      </c>
    </row>
    <row r="820" spans="1:3">
      <c r="A820" s="3">
        <f t="shared" si="20"/>
        <v>2018</v>
      </c>
      <c r="B820" s="106">
        <f t="shared" si="21"/>
        <v>22</v>
      </c>
      <c r="C820" s="107">
        <f ca="1">OFFSET(tab_tipo_Combustivel!$A$1,MATCH(B820,tab_tipo_Combustivel!$A$2:$A$150,0),MATCH(A820,tab_tipo_Combustivel!$B$1:$AQ$1,0),1,1)</f>
        <v>115.9</v>
      </c>
    </row>
    <row r="821" spans="1:3">
      <c r="A821" s="3">
        <f t="shared" si="20"/>
        <v>2018</v>
      </c>
      <c r="B821" s="106">
        <f t="shared" si="21"/>
        <v>23</v>
      </c>
      <c r="C821" s="107">
        <f ca="1">OFFSET(tab_tipo_Combustivel!$A$1,MATCH(B821,tab_tipo_Combustivel!$A$2:$A$150,0),MATCH(A821,tab_tipo_Combustivel!$B$1:$AQ$1,0),1,1)</f>
        <v>115.9</v>
      </c>
    </row>
    <row r="822" spans="1:3">
      <c r="A822" s="3">
        <f t="shared" si="20"/>
        <v>2018</v>
      </c>
      <c r="B822" s="106">
        <f t="shared" si="21"/>
        <v>24</v>
      </c>
      <c r="C822" s="107">
        <f ca="1">OFFSET(tab_tipo_Combustivel!$A$1,MATCH(B822,tab_tipo_Combustivel!$A$2:$A$150,0),MATCH(A822,tab_tipo_Combustivel!$B$1:$AQ$1,0),1,1)</f>
        <v>155.85</v>
      </c>
    </row>
    <row r="823" spans="1:3">
      <c r="A823" s="3">
        <f t="shared" si="20"/>
        <v>2018</v>
      </c>
      <c r="B823" s="106">
        <f t="shared" si="21"/>
        <v>25</v>
      </c>
      <c r="C823" s="107">
        <f ca="1">OFFSET(tab_tipo_Combustivel!$A$1,MATCH(B823,tab_tipo_Combustivel!$A$2:$A$150,0),MATCH(A823,tab_tipo_Combustivel!$B$1:$AQ$1,0),1,1)</f>
        <v>186.33</v>
      </c>
    </row>
    <row r="824" spans="1:3">
      <c r="A824" s="3">
        <f t="shared" si="20"/>
        <v>2018</v>
      </c>
      <c r="B824" s="106">
        <f t="shared" si="21"/>
        <v>26</v>
      </c>
      <c r="C824" s="107">
        <f ca="1">OFFSET(tab_tipo_Combustivel!$A$1,MATCH(B824,tab_tipo_Combustivel!$A$2:$A$150,0),MATCH(A824,tab_tipo_Combustivel!$B$1:$AQ$1,0),1,1)</f>
        <v>258.42</v>
      </c>
    </row>
    <row r="825" spans="1:3">
      <c r="A825" s="3">
        <f t="shared" si="20"/>
        <v>2018</v>
      </c>
      <c r="B825" s="106">
        <f t="shared" si="21"/>
        <v>27</v>
      </c>
      <c r="C825" s="107">
        <f ca="1">OFFSET(tab_tipo_Combustivel!$A$1,MATCH(B825,tab_tipo_Combustivel!$A$2:$A$150,0),MATCH(A825,tab_tipo_Combustivel!$B$1:$AQ$1,0),1,1)</f>
        <v>195.49</v>
      </c>
    </row>
    <row r="826" spans="1:3">
      <c r="A826" s="3">
        <f t="shared" si="20"/>
        <v>2018</v>
      </c>
      <c r="B826" s="106">
        <f t="shared" si="21"/>
        <v>28</v>
      </c>
      <c r="C826" s="107">
        <f ca="1">OFFSET(tab_tipo_Combustivel!$A$1,MATCH(B826,tab_tipo_Combustivel!$A$2:$A$150,0),MATCH(A826,tab_tipo_Combustivel!$B$1:$AQ$1,0),1,1)</f>
        <v>459.92</v>
      </c>
    </row>
    <row r="827" spans="1:3">
      <c r="A827" s="3">
        <f t="shared" si="20"/>
        <v>2018</v>
      </c>
      <c r="B827" s="106">
        <f t="shared" si="21"/>
        <v>32</v>
      </c>
      <c r="C827" s="107">
        <f ca="1">OFFSET(tab_tipo_Combustivel!$A$1,MATCH(B827,tab_tipo_Combustivel!$A$2:$A$150,0),MATCH(A827,tab_tipo_Combustivel!$B$1:$AQ$1,0),1,1)</f>
        <v>248.31</v>
      </c>
    </row>
    <row r="828" spans="1:3">
      <c r="A828" s="3">
        <f t="shared" si="20"/>
        <v>2018</v>
      </c>
      <c r="B828" s="106">
        <f t="shared" si="21"/>
        <v>34</v>
      </c>
      <c r="C828" s="107">
        <f ca="1">OFFSET(tab_tipo_Combustivel!$A$1,MATCH(B828,tab_tipo_Combustivel!$A$2:$A$150,0),MATCH(A828,tab_tipo_Combustivel!$B$1:$AQ$1,0),1,1)</f>
        <v>423.38</v>
      </c>
    </row>
    <row r="829" spans="1:3">
      <c r="A829" s="3">
        <f t="shared" si="20"/>
        <v>2018</v>
      </c>
      <c r="B829" s="106">
        <f t="shared" si="21"/>
        <v>35</v>
      </c>
      <c r="C829" s="107">
        <f ca="1">OFFSET(tab_tipo_Combustivel!$A$1,MATCH(B829,tab_tipo_Combustivel!$A$2:$A$150,0),MATCH(A829,tab_tipo_Combustivel!$B$1:$AQ$1,0),1,1)</f>
        <v>692.45</v>
      </c>
    </row>
    <row r="830" spans="1:3">
      <c r="A830" s="3">
        <f t="shared" si="20"/>
        <v>2018</v>
      </c>
      <c r="B830" s="106">
        <f t="shared" si="21"/>
        <v>36</v>
      </c>
      <c r="C830" s="107">
        <f ca="1">OFFSET(tab_tipo_Combustivel!$A$1,MATCH(B830,tab_tipo_Combustivel!$A$2:$A$150,0),MATCH(A830,tab_tipo_Combustivel!$B$1:$AQ$1,0),1,1)</f>
        <v>157.83000000000001</v>
      </c>
    </row>
    <row r="831" spans="1:3">
      <c r="A831" s="3">
        <f t="shared" si="20"/>
        <v>2018</v>
      </c>
      <c r="B831" s="106">
        <f t="shared" si="21"/>
        <v>42</v>
      </c>
      <c r="C831" s="107">
        <f ca="1">OFFSET(tab_tipo_Combustivel!$A$1,MATCH(B831,tab_tipo_Combustivel!$A$2:$A$150,0),MATCH(A831,tab_tipo_Combustivel!$B$1:$AQ$1,0),1,1)</f>
        <v>199.22</v>
      </c>
    </row>
    <row r="832" spans="1:3">
      <c r="A832" s="3">
        <f t="shared" si="20"/>
        <v>2018</v>
      </c>
      <c r="B832" s="106">
        <f t="shared" si="21"/>
        <v>43</v>
      </c>
      <c r="C832" s="107">
        <f ca="1">OFFSET(tab_tipo_Combustivel!$A$1,MATCH(B832,tab_tipo_Combustivel!$A$2:$A$150,0),MATCH(A832,tab_tipo_Combustivel!$B$1:$AQ$1,0),1,1)</f>
        <v>431.62</v>
      </c>
    </row>
    <row r="833" spans="1:3">
      <c r="A833" s="3">
        <f t="shared" si="20"/>
        <v>2018</v>
      </c>
      <c r="B833" s="106">
        <f t="shared" si="21"/>
        <v>44</v>
      </c>
      <c r="C833" s="107">
        <f ca="1">OFFSET(tab_tipo_Combustivel!$A$1,MATCH(B833,tab_tipo_Combustivel!$A$2:$A$150,0),MATCH(A833,tab_tipo_Combustivel!$B$1:$AQ$1,0),1,1)</f>
        <v>25.58</v>
      </c>
    </row>
    <row r="834" spans="1:3">
      <c r="A834" s="3">
        <f t="shared" si="20"/>
        <v>2018</v>
      </c>
      <c r="B834" s="106">
        <f t="shared" si="21"/>
        <v>46</v>
      </c>
      <c r="C834" s="107">
        <f ca="1">OFFSET(tab_tipo_Combustivel!$A$1,MATCH(B834,tab_tipo_Combustivel!$A$2:$A$150,0),MATCH(A834,tab_tipo_Combustivel!$B$1:$AQ$1,0),1,1)</f>
        <v>228.91</v>
      </c>
    </row>
    <row r="835" spans="1:3">
      <c r="A835" s="3">
        <f t="shared" si="20"/>
        <v>2018</v>
      </c>
      <c r="B835" s="106">
        <f t="shared" si="21"/>
        <v>47</v>
      </c>
      <c r="C835" s="107">
        <f ca="1">OFFSET(tab_tipo_Combustivel!$A$1,MATCH(B835,tab_tipo_Combustivel!$A$2:$A$150,0),MATCH(A835,tab_tipo_Combustivel!$B$1:$AQ$1,0),1,1)</f>
        <v>235.6</v>
      </c>
    </row>
    <row r="836" spans="1:3">
      <c r="A836" s="3">
        <f t="shared" si="20"/>
        <v>2018</v>
      </c>
      <c r="B836" s="106">
        <f t="shared" si="21"/>
        <v>48</v>
      </c>
      <c r="C836" s="107">
        <f ca="1">OFFSET(tab_tipo_Combustivel!$A$1,MATCH(B836,tab_tipo_Combustivel!$A$2:$A$150,0),MATCH(A836,tab_tipo_Combustivel!$B$1:$AQ$1,0),1,1)</f>
        <v>1012.12</v>
      </c>
    </row>
    <row r="837" spans="1:3">
      <c r="A837" s="3">
        <f t="shared" si="20"/>
        <v>2018</v>
      </c>
      <c r="B837" s="106">
        <f t="shared" si="21"/>
        <v>50</v>
      </c>
      <c r="C837" s="107">
        <f ca="1">OFFSET(tab_tipo_Combustivel!$A$1,MATCH(B837,tab_tipo_Combustivel!$A$2:$A$150,0),MATCH(A837,tab_tipo_Combustivel!$B$1:$AQ$1,0),1,1)</f>
        <v>669.87</v>
      </c>
    </row>
    <row r="838" spans="1:3">
      <c r="A838" s="3">
        <f t="shared" si="20"/>
        <v>2018</v>
      </c>
      <c r="B838" s="106">
        <f t="shared" si="21"/>
        <v>54</v>
      </c>
      <c r="C838" s="107">
        <f ca="1">OFFSET(tab_tipo_Combustivel!$A$1,MATCH(B838,tab_tipo_Combustivel!$A$2:$A$150,0),MATCH(A838,tab_tipo_Combustivel!$B$1:$AQ$1,0),1,1)</f>
        <v>304.55</v>
      </c>
    </row>
    <row r="839" spans="1:3">
      <c r="A839" s="3">
        <f t="shared" si="20"/>
        <v>2018</v>
      </c>
      <c r="B839" s="106">
        <f t="shared" si="21"/>
        <v>58</v>
      </c>
      <c r="C839" s="107">
        <f ca="1">OFFSET(tab_tipo_Combustivel!$A$1,MATCH(B839,tab_tipo_Combustivel!$A$2:$A$150,0),MATCH(A839,tab_tipo_Combustivel!$B$1:$AQ$1,0),1,1)</f>
        <v>300.05</v>
      </c>
    </row>
    <row r="840" spans="1:3">
      <c r="A840" s="3">
        <f t="shared" si="20"/>
        <v>2018</v>
      </c>
      <c r="B840" s="106">
        <f t="shared" si="21"/>
        <v>62</v>
      </c>
      <c r="C840" s="107">
        <f ca="1">OFFSET(tab_tipo_Combustivel!$A$1,MATCH(B840,tab_tipo_Combustivel!$A$2:$A$150,0),MATCH(A840,tab_tipo_Combustivel!$B$1:$AQ$1,0),1,1)</f>
        <v>309.24</v>
      </c>
    </row>
    <row r="841" spans="1:3">
      <c r="A841" s="3">
        <f t="shared" si="20"/>
        <v>2018</v>
      </c>
      <c r="B841" s="106">
        <f t="shared" si="21"/>
        <v>63</v>
      </c>
      <c r="C841" s="107">
        <f ca="1">OFFSET(tab_tipo_Combustivel!$A$1,MATCH(B841,tab_tipo_Combustivel!$A$2:$A$150,0),MATCH(A841,tab_tipo_Combustivel!$B$1:$AQ$1,0),1,1)</f>
        <v>365.77</v>
      </c>
    </row>
    <row r="842" spans="1:3">
      <c r="A842" s="3">
        <f t="shared" ref="A842:A905" si="22">A707+1</f>
        <v>2018</v>
      </c>
      <c r="B842" s="106">
        <f t="shared" ref="B842:B905" si="23">B707</f>
        <v>64</v>
      </c>
      <c r="C842" s="107">
        <f ca="1">OFFSET(tab_tipo_Combustivel!$A$1,MATCH(B842,tab_tipo_Combustivel!$A$2:$A$150,0),MATCH(A842,tab_tipo_Combustivel!$B$1:$AQ$1,0),1,1)</f>
        <v>853.54</v>
      </c>
    </row>
    <row r="843" spans="1:3">
      <c r="A843" s="3">
        <f t="shared" si="22"/>
        <v>2018</v>
      </c>
      <c r="B843" s="106">
        <f t="shared" si="23"/>
        <v>68</v>
      </c>
      <c r="C843" s="107">
        <f ca="1">OFFSET(tab_tipo_Combustivel!$A$1,MATCH(B843,tab_tipo_Combustivel!$A$2:$A$150,0),MATCH(A843,tab_tipo_Combustivel!$B$1:$AQ$1,0),1,1)</f>
        <v>195.63</v>
      </c>
    </row>
    <row r="844" spans="1:3">
      <c r="A844" s="3">
        <f t="shared" si="22"/>
        <v>2018</v>
      </c>
      <c r="B844" s="106">
        <f t="shared" si="23"/>
        <v>74</v>
      </c>
      <c r="C844" s="107">
        <f ca="1">OFFSET(tab_tipo_Combustivel!$A$1,MATCH(B844,tab_tipo_Combustivel!$A$2:$A$150,0),MATCH(A844,tab_tipo_Combustivel!$B$1:$AQ$1,0),1,1)</f>
        <v>364.46</v>
      </c>
    </row>
    <row r="845" spans="1:3">
      <c r="A845" s="3">
        <f t="shared" si="22"/>
        <v>2018</v>
      </c>
      <c r="B845" s="106">
        <f t="shared" si="23"/>
        <v>83</v>
      </c>
      <c r="C845" s="107">
        <f ca="1">OFFSET(tab_tipo_Combustivel!$A$1,MATCH(B845,tab_tipo_Combustivel!$A$2:$A$150,0),MATCH(A845,tab_tipo_Combustivel!$B$1:$AQ$1,0),1,1)</f>
        <v>448.1</v>
      </c>
    </row>
    <row r="846" spans="1:3">
      <c r="A846" s="3">
        <f t="shared" si="22"/>
        <v>2018</v>
      </c>
      <c r="B846" s="106">
        <f t="shared" si="23"/>
        <v>86</v>
      </c>
      <c r="C846" s="107">
        <f ca="1">OFFSET(tab_tipo_Combustivel!$A$1,MATCH(B846,tab_tipo_Combustivel!$A$2:$A$150,0),MATCH(A846,tab_tipo_Combustivel!$B$1:$AQ$1,0),1,1)</f>
        <v>170.34</v>
      </c>
    </row>
    <row r="847" spans="1:3">
      <c r="A847" s="3">
        <f t="shared" si="22"/>
        <v>2018</v>
      </c>
      <c r="B847" s="106">
        <f t="shared" si="23"/>
        <v>90</v>
      </c>
      <c r="C847" s="107">
        <f ca="1">OFFSET(tab_tipo_Combustivel!$A$1,MATCH(B847,tab_tipo_Combustivel!$A$2:$A$150,0),MATCH(A847,tab_tipo_Combustivel!$B$1:$AQ$1,0),1,1)</f>
        <v>533.1</v>
      </c>
    </row>
    <row r="848" spans="1:3">
      <c r="A848" s="3">
        <f t="shared" si="22"/>
        <v>2018</v>
      </c>
      <c r="B848" s="106">
        <f t="shared" si="23"/>
        <v>93</v>
      </c>
      <c r="C848" s="107">
        <f ca="1">OFFSET(tab_tipo_Combustivel!$A$1,MATCH(B848,tab_tipo_Combustivel!$A$2:$A$150,0),MATCH(A848,tab_tipo_Combustivel!$B$1:$AQ$1,0),1,1)</f>
        <v>842.33</v>
      </c>
    </row>
    <row r="849" spans="1:3">
      <c r="A849" s="3">
        <f t="shared" si="22"/>
        <v>2018</v>
      </c>
      <c r="B849" s="106">
        <f t="shared" si="23"/>
        <v>94</v>
      </c>
      <c r="C849" s="107">
        <f ca="1">OFFSET(tab_tipo_Combustivel!$A$1,MATCH(B849,tab_tipo_Combustivel!$A$2:$A$150,0),MATCH(A849,tab_tipo_Combustivel!$B$1:$AQ$1,0),1,1)</f>
        <v>842.33</v>
      </c>
    </row>
    <row r="850" spans="1:3">
      <c r="A850" s="3">
        <f t="shared" si="22"/>
        <v>2018</v>
      </c>
      <c r="B850" s="106">
        <f t="shared" si="23"/>
        <v>96</v>
      </c>
      <c r="C850" s="107">
        <f ca="1">OFFSET(tab_tipo_Combustivel!$A$1,MATCH(B850,tab_tipo_Combustivel!$A$2:$A$150,0),MATCH(A850,tab_tipo_Combustivel!$B$1:$AQ$1,0),1,1)</f>
        <v>99.92</v>
      </c>
    </row>
    <row r="851" spans="1:3">
      <c r="A851" s="3">
        <f t="shared" si="22"/>
        <v>2018</v>
      </c>
      <c r="B851" s="106">
        <f t="shared" si="23"/>
        <v>98</v>
      </c>
      <c r="C851" s="107">
        <f ca="1">OFFSET(tab_tipo_Combustivel!$A$1,MATCH(B851,tab_tipo_Combustivel!$A$2:$A$150,0),MATCH(A851,tab_tipo_Combustivel!$B$1:$AQ$1,0),1,1)</f>
        <v>489.8</v>
      </c>
    </row>
    <row r="852" spans="1:3">
      <c r="A852" s="3">
        <f t="shared" si="22"/>
        <v>2018</v>
      </c>
      <c r="B852" s="106">
        <f t="shared" si="23"/>
        <v>107</v>
      </c>
      <c r="C852" s="107">
        <f ca="1">OFFSET(tab_tipo_Combustivel!$A$1,MATCH(B852,tab_tipo_Combustivel!$A$2:$A$150,0),MATCH(A852,tab_tipo_Combustivel!$B$1:$AQ$1,0),1,1)</f>
        <v>57.63</v>
      </c>
    </row>
    <row r="853" spans="1:3">
      <c r="A853" s="3">
        <f t="shared" si="22"/>
        <v>2018</v>
      </c>
      <c r="B853" s="106">
        <f t="shared" si="23"/>
        <v>110</v>
      </c>
      <c r="C853" s="107">
        <f ca="1">OFFSET(tab_tipo_Combustivel!$A$1,MATCH(B853,tab_tipo_Combustivel!$A$2:$A$150,0),MATCH(A853,tab_tipo_Combustivel!$B$1:$AQ$1,0),1,1)</f>
        <v>568.29</v>
      </c>
    </row>
    <row r="854" spans="1:3">
      <c r="A854" s="3">
        <f t="shared" si="22"/>
        <v>2018</v>
      </c>
      <c r="B854" s="106">
        <f t="shared" si="23"/>
        <v>116</v>
      </c>
      <c r="C854" s="107">
        <f ca="1">OFFSET(tab_tipo_Combustivel!$A$1,MATCH(B854,tab_tipo_Combustivel!$A$2:$A$150,0),MATCH(A854,tab_tipo_Combustivel!$B$1:$AQ$1,0),1,1)</f>
        <v>117.46</v>
      </c>
    </row>
    <row r="855" spans="1:3">
      <c r="A855" s="3">
        <f t="shared" si="22"/>
        <v>2018</v>
      </c>
      <c r="B855" s="106">
        <f t="shared" si="23"/>
        <v>140</v>
      </c>
      <c r="C855" s="107">
        <f ca="1">OFFSET(tab_tipo_Combustivel!$A$1,MATCH(B855,tab_tipo_Combustivel!$A$2:$A$150,0),MATCH(A855,tab_tipo_Combustivel!$B$1:$AQ$1,0),1,1)</f>
        <v>88.11</v>
      </c>
    </row>
    <row r="856" spans="1:3">
      <c r="A856" s="3">
        <f t="shared" si="22"/>
        <v>2018</v>
      </c>
      <c r="B856" s="106">
        <f t="shared" si="23"/>
        <v>141</v>
      </c>
      <c r="C856" s="107">
        <f ca="1">OFFSET(tab_tipo_Combustivel!$A$1,MATCH(B856,tab_tipo_Combustivel!$A$2:$A$150,0),MATCH(A856,tab_tipo_Combustivel!$B$1:$AQ$1,0),1,1)</f>
        <v>1280.52</v>
      </c>
    </row>
    <row r="857" spans="1:3">
      <c r="A857" s="3">
        <f t="shared" si="22"/>
        <v>2018</v>
      </c>
      <c r="B857" s="106">
        <f t="shared" si="23"/>
        <v>147</v>
      </c>
      <c r="C857" s="107">
        <f ca="1">OFFSET(tab_tipo_Combustivel!$A$1,MATCH(B857,tab_tipo_Combustivel!$A$2:$A$150,0),MATCH(A857,tab_tipo_Combustivel!$B$1:$AQ$1,0),1,1)</f>
        <v>134.18</v>
      </c>
    </row>
    <row r="858" spans="1:3">
      <c r="A858" s="3">
        <f t="shared" si="22"/>
        <v>2018</v>
      </c>
      <c r="B858" s="106">
        <f t="shared" si="23"/>
        <v>156</v>
      </c>
      <c r="C858" s="107">
        <f ca="1">OFFSET(tab_tipo_Combustivel!$A$1,MATCH(B858,tab_tipo_Combustivel!$A$2:$A$150,0),MATCH(A858,tab_tipo_Combustivel!$B$1:$AQ$1,0),1,1)</f>
        <v>77.12</v>
      </c>
    </row>
    <row r="859" spans="1:3">
      <c r="A859" s="3">
        <f t="shared" si="22"/>
        <v>2018</v>
      </c>
      <c r="B859" s="106">
        <f t="shared" si="23"/>
        <v>163</v>
      </c>
      <c r="C859" s="107">
        <f ca="1">OFFSET(tab_tipo_Combustivel!$A$1,MATCH(B859,tab_tipo_Combustivel!$A$2:$A$150,0),MATCH(A859,tab_tipo_Combustivel!$B$1:$AQ$1,0),1,1)</f>
        <v>156.69999999999999</v>
      </c>
    </row>
    <row r="860" spans="1:3">
      <c r="A860" s="3">
        <f t="shared" si="22"/>
        <v>2018</v>
      </c>
      <c r="B860" s="106">
        <f t="shared" si="23"/>
        <v>167</v>
      </c>
      <c r="C860" s="107">
        <f ca="1">OFFSET(tab_tipo_Combustivel!$A$1,MATCH(B860,tab_tipo_Combustivel!$A$2:$A$150,0),MATCH(A860,tab_tipo_Combustivel!$B$1:$AQ$1,0),1,1)</f>
        <v>144.66999999999999</v>
      </c>
    </row>
    <row r="861" spans="1:3">
      <c r="A861" s="3">
        <f t="shared" si="22"/>
        <v>2018</v>
      </c>
      <c r="B861" s="106">
        <f t="shared" si="23"/>
        <v>171</v>
      </c>
      <c r="C861" s="107">
        <f ca="1">OFFSET(tab_tipo_Combustivel!$A$1,MATCH(B861,tab_tipo_Combustivel!$A$2:$A$150,0),MATCH(A861,tab_tipo_Combustivel!$B$1:$AQ$1,0),1,1)</f>
        <v>88</v>
      </c>
    </row>
    <row r="862" spans="1:3">
      <c r="A862" s="3">
        <f t="shared" si="22"/>
        <v>2018</v>
      </c>
      <c r="B862" s="106">
        <f t="shared" si="23"/>
        <v>172</v>
      </c>
      <c r="C862" s="107">
        <f ca="1">OFFSET(tab_tipo_Combustivel!$A$1,MATCH(B862,tab_tipo_Combustivel!$A$2:$A$150,0),MATCH(A862,tab_tipo_Combustivel!$B$1:$AQ$1,0),1,1)</f>
        <v>99.97</v>
      </c>
    </row>
    <row r="863" spans="1:3">
      <c r="A863" s="3">
        <f t="shared" si="22"/>
        <v>2018</v>
      </c>
      <c r="B863" s="106">
        <f t="shared" si="23"/>
        <v>173</v>
      </c>
      <c r="C863" s="107">
        <f ca="1">OFFSET(tab_tipo_Combustivel!$A$1,MATCH(B863,tab_tipo_Combustivel!$A$2:$A$150,0),MATCH(A863,tab_tipo_Combustivel!$B$1:$AQ$1,0),1,1)</f>
        <v>192.03</v>
      </c>
    </row>
    <row r="864" spans="1:3">
      <c r="A864" s="3">
        <f t="shared" si="22"/>
        <v>2018</v>
      </c>
      <c r="B864" s="106">
        <f t="shared" si="23"/>
        <v>174</v>
      </c>
      <c r="C864" s="107">
        <f ca="1">OFFSET(tab_tipo_Combustivel!$A$1,MATCH(B864,tab_tipo_Combustivel!$A$2:$A$150,0),MATCH(A864,tab_tipo_Combustivel!$B$1:$AQ$1,0),1,1)</f>
        <v>331.22</v>
      </c>
    </row>
    <row r="865" spans="1:3">
      <c r="A865" s="3">
        <f t="shared" si="22"/>
        <v>2018</v>
      </c>
      <c r="B865" s="106">
        <f t="shared" si="23"/>
        <v>176</v>
      </c>
      <c r="C865" s="107">
        <f ca="1">OFFSET(tab_tipo_Combustivel!$A$1,MATCH(B865,tab_tipo_Combustivel!$A$2:$A$150,0),MATCH(A865,tab_tipo_Combustivel!$B$1:$AQ$1,0),1,1)</f>
        <v>149.47999999999999</v>
      </c>
    </row>
    <row r="866" spans="1:3">
      <c r="A866" s="3">
        <f t="shared" si="22"/>
        <v>2018</v>
      </c>
      <c r="B866" s="106">
        <f t="shared" si="23"/>
        <v>183</v>
      </c>
      <c r="C866" s="107">
        <f ca="1">OFFSET(tab_tipo_Combustivel!$A$1,MATCH(B866,tab_tipo_Combustivel!$A$2:$A$150,0),MATCH(A866,tab_tipo_Combustivel!$B$1:$AQ$1,0),1,1)</f>
        <v>171.61</v>
      </c>
    </row>
    <row r="867" spans="1:3">
      <c r="A867" s="3">
        <f t="shared" si="22"/>
        <v>2018</v>
      </c>
      <c r="B867" s="106">
        <f t="shared" si="23"/>
        <v>194</v>
      </c>
      <c r="C867" s="107">
        <f ca="1">OFFSET(tab_tipo_Combustivel!$A$1,MATCH(B867,tab_tipo_Combustivel!$A$2:$A$150,0),MATCH(A867,tab_tipo_Combustivel!$B$1:$AQ$1,0),1,1)</f>
        <v>1098.58</v>
      </c>
    </row>
    <row r="868" spans="1:3">
      <c r="A868" s="3">
        <f t="shared" si="22"/>
        <v>2018</v>
      </c>
      <c r="B868" s="106">
        <f t="shared" si="23"/>
        <v>203</v>
      </c>
      <c r="C868" s="107">
        <f ca="1">OFFSET(tab_tipo_Combustivel!$A$1,MATCH(B868,tab_tipo_Combustivel!$A$2:$A$150,0),MATCH(A868,tab_tipo_Combustivel!$B$1:$AQ$1,0),1,1)</f>
        <v>0</v>
      </c>
    </row>
    <row r="869" spans="1:3">
      <c r="A869" s="3">
        <f t="shared" si="22"/>
        <v>2018</v>
      </c>
      <c r="B869" s="106">
        <f t="shared" si="23"/>
        <v>204</v>
      </c>
      <c r="C869" s="107">
        <f ca="1">OFFSET(tab_tipo_Combustivel!$A$1,MATCH(B869,tab_tipo_Combustivel!$A$2:$A$150,0),MATCH(A869,tab_tipo_Combustivel!$B$1:$AQ$1,0),1,1)</f>
        <v>0</v>
      </c>
    </row>
    <row r="870" spans="1:3">
      <c r="A870" s="3">
        <f t="shared" si="22"/>
        <v>2018</v>
      </c>
      <c r="B870" s="106">
        <f t="shared" si="23"/>
        <v>205</v>
      </c>
      <c r="C870" s="107">
        <f ca="1">OFFSET(tab_tipo_Combustivel!$A$1,MATCH(B870,tab_tipo_Combustivel!$A$2:$A$150,0),MATCH(A870,tab_tipo_Combustivel!$B$1:$AQ$1,0),1,1)</f>
        <v>0</v>
      </c>
    </row>
    <row r="871" spans="1:3">
      <c r="A871" s="3">
        <f t="shared" si="22"/>
        <v>2018</v>
      </c>
      <c r="B871" s="106">
        <f t="shared" si="23"/>
        <v>207</v>
      </c>
      <c r="C871" s="107">
        <f ca="1">OFFSET(tab_tipo_Combustivel!$A$1,MATCH(B871,tab_tipo_Combustivel!$A$2:$A$150,0),MATCH(A871,tab_tipo_Combustivel!$B$1:$AQ$1,0),1,1)</f>
        <v>0</v>
      </c>
    </row>
    <row r="872" spans="1:3">
      <c r="A872" s="3">
        <f t="shared" si="22"/>
        <v>2018</v>
      </c>
      <c r="B872" s="106">
        <f t="shared" si="23"/>
        <v>208</v>
      </c>
      <c r="C872" s="107">
        <f ca="1">OFFSET(tab_tipo_Combustivel!$A$1,MATCH(B872,tab_tipo_Combustivel!$A$2:$A$150,0),MATCH(A872,tab_tipo_Combustivel!$B$1:$AQ$1,0),1,1)</f>
        <v>783.64</v>
      </c>
    </row>
    <row r="873" spans="1:3">
      <c r="A873" s="3">
        <f t="shared" si="22"/>
        <v>2018</v>
      </c>
      <c r="B873" s="106">
        <f t="shared" si="23"/>
        <v>209</v>
      </c>
      <c r="C873" s="107">
        <f ca="1">OFFSET(tab_tipo_Combustivel!$A$1,MATCH(B873,tab_tipo_Combustivel!$A$2:$A$150,0),MATCH(A873,tab_tipo_Combustivel!$B$1:$AQ$1,0),1,1)</f>
        <v>0</v>
      </c>
    </row>
    <row r="874" spans="1:3">
      <c r="A874" s="3">
        <f t="shared" si="22"/>
        <v>2018</v>
      </c>
      <c r="B874" s="106">
        <f t="shared" si="23"/>
        <v>211</v>
      </c>
      <c r="C874" s="107">
        <f ca="1">OFFSET(tab_tipo_Combustivel!$A$1,MATCH(B874,tab_tipo_Combustivel!$A$2:$A$150,0),MATCH(A874,tab_tipo_Combustivel!$B$1:$AQ$1,0),1,1)</f>
        <v>150.79</v>
      </c>
    </row>
    <row r="875" spans="1:3">
      <c r="A875" s="3">
        <f t="shared" si="22"/>
        <v>2018</v>
      </c>
      <c r="B875" s="106">
        <f t="shared" si="23"/>
        <v>212</v>
      </c>
      <c r="C875" s="107">
        <f ca="1">OFFSET(tab_tipo_Combustivel!$A$1,MATCH(B875,tab_tipo_Combustivel!$A$2:$A$150,0),MATCH(A875,tab_tipo_Combustivel!$B$1:$AQ$1,0),1,1)</f>
        <v>84.58</v>
      </c>
    </row>
    <row r="876" spans="1:3">
      <c r="A876" s="3">
        <f t="shared" si="22"/>
        <v>2018</v>
      </c>
      <c r="B876" s="106">
        <f t="shared" si="23"/>
        <v>224</v>
      </c>
      <c r="C876" s="107">
        <f ca="1">OFFSET(tab_tipo_Combustivel!$A$1,MATCH(B876,tab_tipo_Combustivel!$A$2:$A$150,0),MATCH(A876,tab_tipo_Combustivel!$B$1:$AQ$1,0),1,1)</f>
        <v>31.08</v>
      </c>
    </row>
    <row r="877" spans="1:3">
      <c r="A877" s="3">
        <f t="shared" si="22"/>
        <v>2018</v>
      </c>
      <c r="B877" s="106">
        <f t="shared" si="23"/>
        <v>225</v>
      </c>
      <c r="C877" s="107">
        <f ca="1">OFFSET(tab_tipo_Combustivel!$A$1,MATCH(B877,tab_tipo_Combustivel!$A$2:$A$150,0),MATCH(A877,tab_tipo_Combustivel!$B$1:$AQ$1,0),1,1)</f>
        <v>1329.7</v>
      </c>
    </row>
    <row r="878" spans="1:3">
      <c r="A878" s="3">
        <f t="shared" si="22"/>
        <v>2018</v>
      </c>
      <c r="B878" s="106">
        <f t="shared" si="23"/>
        <v>226</v>
      </c>
      <c r="C878" s="107">
        <f ca="1">OFFSET(tab_tipo_Combustivel!$A$1,MATCH(B878,tab_tipo_Combustivel!$A$2:$A$150,0),MATCH(A878,tab_tipo_Combustivel!$B$1:$AQ$1,0),1,1)</f>
        <v>1061.1300000000001</v>
      </c>
    </row>
    <row r="879" spans="1:3">
      <c r="A879" s="3">
        <f t="shared" si="22"/>
        <v>2018</v>
      </c>
      <c r="B879" s="106">
        <f t="shared" si="23"/>
        <v>227</v>
      </c>
      <c r="C879" s="107">
        <f ca="1">OFFSET(tab_tipo_Combustivel!$A$1,MATCH(B879,tab_tipo_Combustivel!$A$2:$A$150,0),MATCH(A879,tab_tipo_Combustivel!$B$1:$AQ$1,0),1,1)</f>
        <v>447.52</v>
      </c>
    </row>
    <row r="880" spans="1:3">
      <c r="A880" s="3">
        <f t="shared" si="22"/>
        <v>2018</v>
      </c>
      <c r="B880" s="106">
        <f t="shared" si="23"/>
        <v>228</v>
      </c>
      <c r="C880" s="107">
        <f ca="1">OFFSET(tab_tipo_Combustivel!$A$1,MATCH(B880,tab_tipo_Combustivel!$A$2:$A$150,0),MATCH(A880,tab_tipo_Combustivel!$B$1:$AQ$1,0),1,1)</f>
        <v>1061.1400000000001</v>
      </c>
    </row>
    <row r="881" spans="1:3">
      <c r="A881" s="3">
        <f t="shared" si="22"/>
        <v>2018</v>
      </c>
      <c r="B881" s="106">
        <f t="shared" si="23"/>
        <v>229</v>
      </c>
      <c r="C881" s="107">
        <f ca="1">OFFSET(tab_tipo_Combustivel!$A$1,MATCH(B881,tab_tipo_Combustivel!$A$2:$A$150,0),MATCH(A881,tab_tipo_Combustivel!$B$1:$AQ$1,0),1,1)</f>
        <v>942.05</v>
      </c>
    </row>
    <row r="882" spans="1:3">
      <c r="A882" s="3">
        <f t="shared" si="22"/>
        <v>2018</v>
      </c>
      <c r="B882" s="106">
        <f t="shared" si="23"/>
        <v>230</v>
      </c>
      <c r="C882" s="107">
        <f ca="1">OFFSET(tab_tipo_Combustivel!$A$1,MATCH(B882,tab_tipo_Combustivel!$A$2:$A$150,0),MATCH(A882,tab_tipo_Combustivel!$B$1:$AQ$1,0),1,1)</f>
        <v>495.06</v>
      </c>
    </row>
    <row r="883" spans="1:3">
      <c r="A883" s="3">
        <f t="shared" si="22"/>
        <v>2018</v>
      </c>
      <c r="B883" s="106">
        <f t="shared" si="23"/>
        <v>231</v>
      </c>
      <c r="C883" s="107">
        <f ca="1">OFFSET(tab_tipo_Combustivel!$A$1,MATCH(B883,tab_tipo_Combustivel!$A$2:$A$150,0),MATCH(A883,tab_tipo_Combustivel!$B$1:$AQ$1,0),1,1)</f>
        <v>489.29</v>
      </c>
    </row>
    <row r="884" spans="1:3">
      <c r="A884" s="3">
        <f t="shared" si="22"/>
        <v>2018</v>
      </c>
      <c r="B884" s="106">
        <f t="shared" si="23"/>
        <v>232</v>
      </c>
      <c r="C884" s="107">
        <f ca="1">OFFSET(tab_tipo_Combustivel!$A$1,MATCH(B884,tab_tipo_Combustivel!$A$2:$A$150,0),MATCH(A884,tab_tipo_Combustivel!$B$1:$AQ$1,0),1,1)</f>
        <v>842.33</v>
      </c>
    </row>
    <row r="885" spans="1:3">
      <c r="A885" s="3">
        <f t="shared" si="22"/>
        <v>2018</v>
      </c>
      <c r="B885" s="106">
        <f t="shared" si="23"/>
        <v>233</v>
      </c>
      <c r="C885" s="107">
        <f ca="1">OFFSET(tab_tipo_Combustivel!$A$1,MATCH(B885,tab_tipo_Combustivel!$A$2:$A$150,0),MATCH(A885,tab_tipo_Combustivel!$B$1:$AQ$1,0),1,1)</f>
        <v>984.29</v>
      </c>
    </row>
    <row r="886" spans="1:3">
      <c r="A886" s="3">
        <f t="shared" si="22"/>
        <v>2018</v>
      </c>
      <c r="B886" s="106">
        <f t="shared" si="23"/>
        <v>234</v>
      </c>
      <c r="C886" s="107">
        <f ca="1">OFFSET(tab_tipo_Combustivel!$A$1,MATCH(B886,tab_tipo_Combustivel!$A$2:$A$150,0),MATCH(A886,tab_tipo_Combustivel!$B$1:$AQ$1,0),1,1)</f>
        <v>290.26</v>
      </c>
    </row>
    <row r="887" spans="1:3">
      <c r="A887" s="3">
        <f t="shared" si="22"/>
        <v>2018</v>
      </c>
      <c r="B887" s="106">
        <f t="shared" si="23"/>
        <v>235</v>
      </c>
      <c r="C887" s="107">
        <f ca="1">OFFSET(tab_tipo_Combustivel!$A$1,MATCH(B887,tab_tipo_Combustivel!$A$2:$A$150,0),MATCH(A887,tab_tipo_Combustivel!$B$1:$AQ$1,0),1,1)</f>
        <v>1350.87</v>
      </c>
    </row>
    <row r="888" spans="1:3">
      <c r="A888" s="3">
        <f t="shared" si="22"/>
        <v>2018</v>
      </c>
      <c r="B888" s="106">
        <f t="shared" si="23"/>
        <v>236</v>
      </c>
      <c r="C888" s="107">
        <f ca="1">OFFSET(tab_tipo_Combustivel!$A$1,MATCH(B888,tab_tipo_Combustivel!$A$2:$A$150,0),MATCH(A888,tab_tipo_Combustivel!$B$1:$AQ$1,0),1,1)</f>
        <v>842.33</v>
      </c>
    </row>
    <row r="889" spans="1:3">
      <c r="A889" s="3">
        <f t="shared" si="22"/>
        <v>2018</v>
      </c>
      <c r="B889" s="106">
        <f t="shared" si="23"/>
        <v>237</v>
      </c>
      <c r="C889" s="107">
        <f ca="1">OFFSET(tab_tipo_Combustivel!$A$1,MATCH(B889,tab_tipo_Combustivel!$A$2:$A$150,0),MATCH(A889,tab_tipo_Combustivel!$B$1:$AQ$1,0),1,1)</f>
        <v>760.85</v>
      </c>
    </row>
    <row r="890" spans="1:3">
      <c r="A890" s="3">
        <f t="shared" si="22"/>
        <v>2018</v>
      </c>
      <c r="B890" s="106">
        <f t="shared" si="23"/>
        <v>238</v>
      </c>
      <c r="C890" s="107">
        <f ca="1">OFFSET(tab_tipo_Combustivel!$A$1,MATCH(B890,tab_tipo_Combustivel!$A$2:$A$150,0),MATCH(A890,tab_tipo_Combustivel!$B$1:$AQ$1,0),1,1)</f>
        <v>963.75</v>
      </c>
    </row>
    <row r="891" spans="1:3">
      <c r="A891" s="3">
        <f t="shared" si="22"/>
        <v>2018</v>
      </c>
      <c r="B891" s="106">
        <f t="shared" si="23"/>
        <v>239</v>
      </c>
      <c r="C891" s="107">
        <f ca="1">OFFSET(tab_tipo_Combustivel!$A$1,MATCH(B891,tab_tipo_Combustivel!$A$2:$A$150,0),MATCH(A891,tab_tipo_Combustivel!$B$1:$AQ$1,0),1,1)</f>
        <v>963.75</v>
      </c>
    </row>
    <row r="892" spans="1:3">
      <c r="A892" s="3">
        <f t="shared" si="22"/>
        <v>2018</v>
      </c>
      <c r="B892" s="106">
        <f t="shared" si="23"/>
        <v>240</v>
      </c>
      <c r="C892" s="107">
        <f ca="1">OFFSET(tab_tipo_Combustivel!$A$1,MATCH(B892,tab_tipo_Combustivel!$A$2:$A$150,0),MATCH(A892,tab_tipo_Combustivel!$B$1:$AQ$1,0),1,1)</f>
        <v>1115.96</v>
      </c>
    </row>
    <row r="893" spans="1:3">
      <c r="A893" s="3">
        <f t="shared" si="22"/>
        <v>2018</v>
      </c>
      <c r="B893" s="106">
        <f t="shared" si="23"/>
        <v>241</v>
      </c>
      <c r="C893" s="107">
        <f ca="1">OFFSET(tab_tipo_Combustivel!$A$1,MATCH(B893,tab_tipo_Combustivel!$A$2:$A$150,0),MATCH(A893,tab_tipo_Combustivel!$B$1:$AQ$1,0),1,1)</f>
        <v>495.75</v>
      </c>
    </row>
    <row r="894" spans="1:3">
      <c r="A894" s="3">
        <f t="shared" si="22"/>
        <v>2018</v>
      </c>
      <c r="B894" s="106">
        <f t="shared" si="23"/>
        <v>242</v>
      </c>
      <c r="C894" s="107">
        <f ca="1">OFFSET(tab_tipo_Combustivel!$A$1,MATCH(B894,tab_tipo_Combustivel!$A$2:$A$150,0),MATCH(A894,tab_tipo_Combustivel!$B$1:$AQ$1,0),1,1)</f>
        <v>1176.45</v>
      </c>
    </row>
    <row r="895" spans="1:3">
      <c r="A895" s="3">
        <f t="shared" si="22"/>
        <v>2018</v>
      </c>
      <c r="B895" s="106">
        <f t="shared" si="23"/>
        <v>243</v>
      </c>
      <c r="C895" s="107">
        <f ca="1">OFFSET(tab_tipo_Combustivel!$A$1,MATCH(B895,tab_tipo_Combustivel!$A$2:$A$150,0),MATCH(A895,tab_tipo_Combustivel!$B$1:$AQ$1,0),1,1)</f>
        <v>495.08</v>
      </c>
    </row>
    <row r="896" spans="1:3">
      <c r="A896" s="3">
        <f t="shared" si="22"/>
        <v>2018</v>
      </c>
      <c r="B896" s="106">
        <f t="shared" si="23"/>
        <v>244</v>
      </c>
      <c r="C896" s="107">
        <f ca="1">OFFSET(tab_tipo_Combustivel!$A$1,MATCH(B896,tab_tipo_Combustivel!$A$2:$A$150,0),MATCH(A896,tab_tipo_Combustivel!$B$1:$AQ$1,0),1,1)</f>
        <v>495.06</v>
      </c>
    </row>
    <row r="897" spans="1:3">
      <c r="A897" s="3">
        <f t="shared" si="22"/>
        <v>2018</v>
      </c>
      <c r="B897" s="106">
        <f t="shared" si="23"/>
        <v>245</v>
      </c>
      <c r="C897" s="107">
        <f ca="1">OFFSET(tab_tipo_Combustivel!$A$1,MATCH(B897,tab_tipo_Combustivel!$A$2:$A$150,0),MATCH(A897,tab_tipo_Combustivel!$B$1:$AQ$1,0),1,1)</f>
        <v>562.65</v>
      </c>
    </row>
    <row r="898" spans="1:3">
      <c r="A898" s="3">
        <f t="shared" si="22"/>
        <v>2018</v>
      </c>
      <c r="B898" s="106">
        <f t="shared" si="23"/>
        <v>246</v>
      </c>
      <c r="C898" s="107">
        <f ca="1">OFFSET(tab_tipo_Combustivel!$A$1,MATCH(B898,tab_tipo_Combustivel!$A$2:$A$150,0),MATCH(A898,tab_tipo_Combustivel!$B$1:$AQ$1,0),1,1)</f>
        <v>1124.53</v>
      </c>
    </row>
    <row r="899" spans="1:3">
      <c r="A899" s="3">
        <f t="shared" si="22"/>
        <v>2018</v>
      </c>
      <c r="B899" s="106">
        <f t="shared" si="23"/>
        <v>247</v>
      </c>
      <c r="C899" s="107">
        <f ca="1">OFFSET(tab_tipo_Combustivel!$A$1,MATCH(B899,tab_tipo_Combustivel!$A$2:$A$150,0),MATCH(A899,tab_tipo_Combustivel!$B$1:$AQ$1,0),1,1)</f>
        <v>609.51</v>
      </c>
    </row>
    <row r="900" spans="1:3">
      <c r="A900" s="3">
        <f t="shared" si="22"/>
        <v>2018</v>
      </c>
      <c r="B900" s="106">
        <f t="shared" si="23"/>
        <v>248</v>
      </c>
      <c r="C900" s="107">
        <f ca="1">OFFSET(tab_tipo_Combustivel!$A$1,MATCH(B900,tab_tipo_Combustivel!$A$2:$A$150,0),MATCH(A900,tab_tipo_Combustivel!$B$1:$AQ$1,0),1,1)</f>
        <v>495.06</v>
      </c>
    </row>
    <row r="901" spans="1:3">
      <c r="A901" s="3">
        <f t="shared" si="22"/>
        <v>2018</v>
      </c>
      <c r="B901" s="106">
        <f t="shared" si="23"/>
        <v>249</v>
      </c>
      <c r="C901" s="107">
        <f ca="1">OFFSET(tab_tipo_Combustivel!$A$1,MATCH(B901,tab_tipo_Combustivel!$A$2:$A$150,0),MATCH(A901,tab_tipo_Combustivel!$B$1:$AQ$1,0),1,1)</f>
        <v>842.33</v>
      </c>
    </row>
    <row r="902" spans="1:3">
      <c r="A902" s="3">
        <f t="shared" si="22"/>
        <v>2018</v>
      </c>
      <c r="B902" s="106">
        <f t="shared" si="23"/>
        <v>250</v>
      </c>
      <c r="C902" s="107">
        <f ca="1">OFFSET(tab_tipo_Combustivel!$A$1,MATCH(B902,tab_tipo_Combustivel!$A$2:$A$150,0),MATCH(A902,tab_tipo_Combustivel!$B$1:$AQ$1,0),1,1)</f>
        <v>1176.45</v>
      </c>
    </row>
    <row r="903" spans="1:3">
      <c r="A903" s="3">
        <f t="shared" si="22"/>
        <v>2018</v>
      </c>
      <c r="B903" s="106">
        <f t="shared" si="23"/>
        <v>251</v>
      </c>
      <c r="C903" s="107">
        <f ca="1">OFFSET(tab_tipo_Combustivel!$A$1,MATCH(B903,tab_tipo_Combustivel!$A$2:$A$150,0),MATCH(A903,tab_tipo_Combustivel!$B$1:$AQ$1,0),1,1)</f>
        <v>842.33</v>
      </c>
    </row>
    <row r="904" spans="1:3">
      <c r="A904" s="3">
        <f t="shared" si="22"/>
        <v>2018</v>
      </c>
      <c r="B904" s="106">
        <f t="shared" si="23"/>
        <v>252</v>
      </c>
      <c r="C904" s="107">
        <f ca="1">OFFSET(tab_tipo_Combustivel!$A$1,MATCH(B904,tab_tipo_Combustivel!$A$2:$A$150,0),MATCH(A904,tab_tipo_Combustivel!$B$1:$AQ$1,0),1,1)</f>
        <v>842.33</v>
      </c>
    </row>
    <row r="905" spans="1:3">
      <c r="A905" s="3">
        <f t="shared" si="22"/>
        <v>2018</v>
      </c>
      <c r="B905" s="106">
        <f t="shared" si="23"/>
        <v>253</v>
      </c>
      <c r="C905" s="107">
        <f ca="1">OFFSET(tab_tipo_Combustivel!$A$1,MATCH(B905,tab_tipo_Combustivel!$A$2:$A$150,0),MATCH(A905,tab_tipo_Combustivel!$B$1:$AQ$1,0),1,1)</f>
        <v>279.45</v>
      </c>
    </row>
    <row r="906" spans="1:3">
      <c r="A906" s="3">
        <f t="shared" ref="A906:A969" si="24">A771+1</f>
        <v>2018</v>
      </c>
      <c r="B906" s="106">
        <f t="shared" ref="B906:B969" si="25">B771</f>
        <v>254</v>
      </c>
      <c r="C906" s="107">
        <f ca="1">OFFSET(tab_tipo_Combustivel!$A$1,MATCH(B906,tab_tipo_Combustivel!$A$2:$A$150,0),MATCH(A906,tab_tipo_Combustivel!$B$1:$AQ$1,0),1,1)</f>
        <v>1153.98</v>
      </c>
    </row>
    <row r="907" spans="1:3">
      <c r="A907" s="3">
        <f t="shared" si="24"/>
        <v>2018</v>
      </c>
      <c r="B907" s="106">
        <f t="shared" si="25"/>
        <v>255</v>
      </c>
      <c r="C907" s="107">
        <f ca="1">OFFSET(tab_tipo_Combustivel!$A$1,MATCH(B907,tab_tipo_Combustivel!$A$2:$A$150,0),MATCH(A907,tab_tipo_Combustivel!$B$1:$AQ$1,0),1,1)</f>
        <v>828.98</v>
      </c>
    </row>
    <row r="908" spans="1:3">
      <c r="A908" s="3">
        <f t="shared" si="24"/>
        <v>2018</v>
      </c>
      <c r="B908" s="106">
        <f t="shared" si="25"/>
        <v>256</v>
      </c>
      <c r="C908" s="107">
        <f ca="1">OFFSET(tab_tipo_Combustivel!$A$1,MATCH(B908,tab_tipo_Combustivel!$A$2:$A$150,0),MATCH(A908,tab_tipo_Combustivel!$B$1:$AQ$1,0),1,1)</f>
        <v>562.65</v>
      </c>
    </row>
    <row r="909" spans="1:3">
      <c r="A909" s="3">
        <f t="shared" si="24"/>
        <v>2018</v>
      </c>
      <c r="B909" s="106">
        <f t="shared" si="25"/>
        <v>257</v>
      </c>
      <c r="C909" s="107">
        <f ca="1">OFFSET(tab_tipo_Combustivel!$A$1,MATCH(B909,tab_tipo_Combustivel!$A$2:$A$150,0),MATCH(A909,tab_tipo_Combustivel!$B$1:$AQ$1,0),1,1)</f>
        <v>907.52</v>
      </c>
    </row>
    <row r="910" spans="1:3">
      <c r="A910" s="3">
        <f t="shared" si="24"/>
        <v>2018</v>
      </c>
      <c r="B910" s="106">
        <f t="shared" si="25"/>
        <v>258</v>
      </c>
      <c r="C910" s="107">
        <f ca="1">OFFSET(tab_tipo_Combustivel!$A$1,MATCH(B910,tab_tipo_Combustivel!$A$2:$A$150,0),MATCH(A910,tab_tipo_Combustivel!$B$1:$AQ$1,0),1,1)</f>
        <v>1016.04</v>
      </c>
    </row>
    <row r="911" spans="1:3">
      <c r="A911" s="3">
        <f t="shared" si="24"/>
        <v>2018</v>
      </c>
      <c r="B911" s="106">
        <f t="shared" si="25"/>
        <v>259</v>
      </c>
      <c r="C911" s="107">
        <f ca="1">OFFSET(tab_tipo_Combustivel!$A$1,MATCH(B911,tab_tipo_Combustivel!$A$2:$A$150,0),MATCH(A911,tab_tipo_Combustivel!$B$1:$AQ$1,0),1,1)</f>
        <v>977.53</v>
      </c>
    </row>
    <row r="912" spans="1:3">
      <c r="A912" s="3">
        <f t="shared" si="24"/>
        <v>2018</v>
      </c>
      <c r="B912" s="106">
        <f t="shared" si="25"/>
        <v>260</v>
      </c>
      <c r="C912" s="107">
        <f ca="1">OFFSET(tab_tipo_Combustivel!$A$1,MATCH(B912,tab_tipo_Combustivel!$A$2:$A$150,0),MATCH(A912,tab_tipo_Combustivel!$B$1:$AQ$1,0),1,1)</f>
        <v>827.17</v>
      </c>
    </row>
    <row r="913" spans="1:3">
      <c r="A913" s="3">
        <f t="shared" si="24"/>
        <v>2018</v>
      </c>
      <c r="B913" s="106">
        <f t="shared" si="25"/>
        <v>261</v>
      </c>
      <c r="C913" s="107">
        <f ca="1">OFFSET(tab_tipo_Combustivel!$A$1,MATCH(B913,tab_tipo_Combustivel!$A$2:$A$150,0),MATCH(A913,tab_tipo_Combustivel!$B$1:$AQ$1,0),1,1)</f>
        <v>829.7</v>
      </c>
    </row>
    <row r="914" spans="1:3">
      <c r="A914" s="3">
        <f t="shared" si="24"/>
        <v>2018</v>
      </c>
      <c r="B914" s="106">
        <f t="shared" si="25"/>
        <v>262</v>
      </c>
      <c r="C914" s="107">
        <f ca="1">OFFSET(tab_tipo_Combustivel!$A$1,MATCH(B914,tab_tipo_Combustivel!$A$2:$A$150,0),MATCH(A914,tab_tipo_Combustivel!$B$1:$AQ$1,0),1,1)</f>
        <v>495.75</v>
      </c>
    </row>
    <row r="915" spans="1:3">
      <c r="A915" s="3">
        <f t="shared" si="24"/>
        <v>2018</v>
      </c>
      <c r="B915" s="106">
        <f t="shared" si="25"/>
        <v>263</v>
      </c>
      <c r="C915" s="107">
        <f ca="1">OFFSET(tab_tipo_Combustivel!$A$1,MATCH(B915,tab_tipo_Combustivel!$A$2:$A$150,0),MATCH(A915,tab_tipo_Combustivel!$B$1:$AQ$1,0),1,1)</f>
        <v>474.77</v>
      </c>
    </row>
    <row r="916" spans="1:3">
      <c r="A916" s="3">
        <f t="shared" si="24"/>
        <v>2018</v>
      </c>
      <c r="B916" s="106">
        <f t="shared" si="25"/>
        <v>264</v>
      </c>
      <c r="C916" s="107">
        <f ca="1">OFFSET(tab_tipo_Combustivel!$A$1,MATCH(B916,tab_tipo_Combustivel!$A$2:$A$150,0),MATCH(A916,tab_tipo_Combustivel!$B$1:$AQ$1,0),1,1)</f>
        <v>842.33</v>
      </c>
    </row>
    <row r="917" spans="1:3">
      <c r="A917" s="3">
        <f t="shared" si="24"/>
        <v>2018</v>
      </c>
      <c r="B917" s="106">
        <f t="shared" si="25"/>
        <v>265</v>
      </c>
      <c r="C917" s="107">
        <f ca="1">OFFSET(tab_tipo_Combustivel!$A$1,MATCH(B917,tab_tipo_Combustivel!$A$2:$A$150,0),MATCH(A917,tab_tipo_Combustivel!$B$1:$AQ$1,0),1,1)</f>
        <v>415.82</v>
      </c>
    </row>
    <row r="918" spans="1:3">
      <c r="A918" s="3">
        <f t="shared" si="24"/>
        <v>2018</v>
      </c>
      <c r="B918" s="106">
        <f t="shared" si="25"/>
        <v>266</v>
      </c>
      <c r="C918" s="107">
        <f ca="1">OFFSET(tab_tipo_Combustivel!$A$1,MATCH(B918,tab_tipo_Combustivel!$A$2:$A$150,0),MATCH(A918,tab_tipo_Combustivel!$B$1:$AQ$1,0),1,1)</f>
        <v>827.17</v>
      </c>
    </row>
    <row r="919" spans="1:3">
      <c r="A919" s="3">
        <f t="shared" si="24"/>
        <v>2018</v>
      </c>
      <c r="B919" s="106">
        <f t="shared" si="25"/>
        <v>301</v>
      </c>
      <c r="C919" s="107">
        <f ca="1">OFFSET(tab_tipo_Combustivel!$A$1,MATCH(B919,tab_tipo_Combustivel!$A$2:$A$150,0),MATCH(A919,tab_tipo_Combustivel!$B$1:$AQ$1,0),1,1)</f>
        <v>99.08</v>
      </c>
    </row>
    <row r="920" spans="1:3">
      <c r="A920" s="3">
        <f t="shared" si="24"/>
        <v>2018</v>
      </c>
      <c r="B920" s="106">
        <f t="shared" si="25"/>
        <v>302</v>
      </c>
      <c r="C920" s="107">
        <f ca="1">OFFSET(tab_tipo_Combustivel!$A$1,MATCH(B920,tab_tipo_Combustivel!$A$2:$A$150,0),MATCH(A920,tab_tipo_Combustivel!$B$1:$AQ$1,0),1,1)</f>
        <v>103.73</v>
      </c>
    </row>
    <row r="921" spans="1:3">
      <c r="A921" s="3">
        <f t="shared" si="24"/>
        <v>2018</v>
      </c>
      <c r="B921" s="106">
        <f t="shared" si="25"/>
        <v>303</v>
      </c>
      <c r="C921" s="107">
        <f ca="1">OFFSET(tab_tipo_Combustivel!$A$1,MATCH(B921,tab_tipo_Combustivel!$A$2:$A$150,0),MATCH(A921,tab_tipo_Combustivel!$B$1:$AQ$1,0),1,1)</f>
        <v>103.73</v>
      </c>
    </row>
    <row r="922" spans="1:3">
      <c r="A922" s="3">
        <f t="shared" si="24"/>
        <v>2018</v>
      </c>
      <c r="B922" s="106">
        <f t="shared" si="25"/>
        <v>304</v>
      </c>
      <c r="C922" s="107">
        <f ca="1">OFFSET(tab_tipo_Combustivel!$A$1,MATCH(B922,tab_tipo_Combustivel!$A$2:$A$150,0),MATCH(A922,tab_tipo_Combustivel!$B$1:$AQ$1,0),1,1)</f>
        <v>139.41999999999999</v>
      </c>
    </row>
    <row r="923" spans="1:3">
      <c r="A923" s="3">
        <f t="shared" si="24"/>
        <v>2018</v>
      </c>
      <c r="B923" s="106">
        <f t="shared" si="25"/>
        <v>305</v>
      </c>
      <c r="C923" s="107">
        <f ca="1">OFFSET(tab_tipo_Combustivel!$A$1,MATCH(B923,tab_tipo_Combustivel!$A$2:$A$150,0),MATCH(A923,tab_tipo_Combustivel!$B$1:$AQ$1,0),1,1)</f>
        <v>89.7</v>
      </c>
    </row>
    <row r="924" spans="1:3">
      <c r="A924" s="3">
        <f t="shared" si="24"/>
        <v>2018</v>
      </c>
      <c r="B924" s="106">
        <f t="shared" si="25"/>
        <v>306</v>
      </c>
      <c r="C924" s="107">
        <f ca="1">OFFSET(tab_tipo_Combustivel!$A$1,MATCH(B924,tab_tipo_Combustivel!$A$2:$A$150,0),MATCH(A924,tab_tipo_Combustivel!$B$1:$AQ$1,0),1,1)</f>
        <v>100.38</v>
      </c>
    </row>
    <row r="925" spans="1:3">
      <c r="A925" s="3">
        <f t="shared" si="24"/>
        <v>2018</v>
      </c>
      <c r="B925" s="106">
        <f t="shared" si="25"/>
        <v>307</v>
      </c>
      <c r="C925" s="107">
        <f ca="1">OFFSET(tab_tipo_Combustivel!$A$1,MATCH(B925,tab_tipo_Combustivel!$A$2:$A$150,0),MATCH(A925,tab_tipo_Combustivel!$B$1:$AQ$1,0),1,1)</f>
        <v>510.12</v>
      </c>
    </row>
    <row r="926" spans="1:3">
      <c r="A926" s="3">
        <f t="shared" si="24"/>
        <v>2018</v>
      </c>
      <c r="B926" s="106">
        <f t="shared" si="25"/>
        <v>308</v>
      </c>
      <c r="C926" s="107">
        <f ca="1">OFFSET(tab_tipo_Combustivel!$A$1,MATCH(B926,tab_tipo_Combustivel!$A$2:$A$150,0),MATCH(A926,tab_tipo_Combustivel!$B$1:$AQ$1,0),1,1)</f>
        <v>72.5</v>
      </c>
    </row>
    <row r="927" spans="1:3">
      <c r="A927" s="3">
        <f t="shared" si="24"/>
        <v>2018</v>
      </c>
      <c r="B927" s="106">
        <f t="shared" si="25"/>
        <v>309</v>
      </c>
      <c r="C927" s="107">
        <f ca="1">OFFSET(tab_tipo_Combustivel!$A$1,MATCH(B927,tab_tipo_Combustivel!$A$2:$A$150,0),MATCH(A927,tab_tipo_Combustivel!$B$1:$AQ$1,0),1,1)</f>
        <v>126.77</v>
      </c>
    </row>
    <row r="928" spans="1:3">
      <c r="A928" s="3">
        <f t="shared" si="24"/>
        <v>2018</v>
      </c>
      <c r="B928" s="106">
        <f t="shared" si="25"/>
        <v>310</v>
      </c>
      <c r="C928" s="107">
        <f ca="1">OFFSET(tab_tipo_Combustivel!$A$1,MATCH(B928,tab_tipo_Combustivel!$A$2:$A$150,0),MATCH(A928,tab_tipo_Combustivel!$B$1:$AQ$1,0),1,1)</f>
        <v>275.99</v>
      </c>
    </row>
    <row r="929" spans="1:3">
      <c r="A929" s="3">
        <f t="shared" si="24"/>
        <v>2018</v>
      </c>
      <c r="B929" s="106">
        <f t="shared" si="25"/>
        <v>311</v>
      </c>
      <c r="C929" s="107">
        <f ca="1">OFFSET(tab_tipo_Combustivel!$A$1,MATCH(B929,tab_tipo_Combustivel!$A$2:$A$150,0),MATCH(A929,tab_tipo_Combustivel!$B$1:$AQ$1,0),1,1)</f>
        <v>70.66</v>
      </c>
    </row>
    <row r="930" spans="1:3">
      <c r="A930" s="3">
        <f t="shared" si="24"/>
        <v>2018</v>
      </c>
      <c r="B930" s="106">
        <f t="shared" si="25"/>
        <v>312</v>
      </c>
      <c r="C930" s="107">
        <f ca="1">OFFSET(tab_tipo_Combustivel!$A$1,MATCH(B930,tab_tipo_Combustivel!$A$2:$A$150,0),MATCH(A930,tab_tipo_Combustivel!$B$1:$AQ$1,0),1,1)</f>
        <v>0</v>
      </c>
    </row>
    <row r="931" spans="1:3">
      <c r="A931" s="3">
        <f t="shared" si="24"/>
        <v>2018</v>
      </c>
      <c r="B931" s="106">
        <f t="shared" si="25"/>
        <v>1301</v>
      </c>
      <c r="C931" s="107">
        <f ca="1">OFFSET(tab_tipo_Combustivel!$A$1,MATCH(B931,tab_tipo_Combustivel!$A$2:$A$150,0),MATCH(A931,tab_tipo_Combustivel!$B$1:$AQ$1,0),1,1)</f>
        <v>242.05</v>
      </c>
    </row>
    <row r="932" spans="1:3">
      <c r="A932" s="3">
        <f t="shared" si="24"/>
        <v>2018</v>
      </c>
      <c r="B932" s="106">
        <f t="shared" si="25"/>
        <v>1302</v>
      </c>
      <c r="C932" s="107">
        <f ca="1">OFFSET(tab_tipo_Combustivel!$A$1,MATCH(B932,tab_tipo_Combustivel!$A$2:$A$150,0),MATCH(A932,tab_tipo_Combustivel!$B$1:$AQ$1,0),1,1)</f>
        <v>193.64</v>
      </c>
    </row>
    <row r="933" spans="1:3">
      <c r="A933" s="3">
        <f t="shared" si="24"/>
        <v>2018</v>
      </c>
      <c r="B933" s="106">
        <f t="shared" si="25"/>
        <v>1303</v>
      </c>
      <c r="C933" s="107">
        <f ca="1">OFFSET(tab_tipo_Combustivel!$A$1,MATCH(B933,tab_tipo_Combustivel!$A$2:$A$150,0),MATCH(A933,tab_tipo_Combustivel!$B$1:$AQ$1,0),1,1)</f>
        <v>25.58</v>
      </c>
    </row>
    <row r="934" spans="1:3">
      <c r="A934" s="3">
        <f t="shared" si="24"/>
        <v>2018</v>
      </c>
      <c r="B934" s="106">
        <f t="shared" si="25"/>
        <v>1304</v>
      </c>
      <c r="C934" s="107">
        <f ca="1">OFFSET(tab_tipo_Combustivel!$A$1,MATCH(B934,tab_tipo_Combustivel!$A$2:$A$150,0),MATCH(A934,tab_tipo_Combustivel!$B$1:$AQ$1,0),1,1)</f>
        <v>0</v>
      </c>
    </row>
    <row r="935" spans="1:3">
      <c r="A935" s="3">
        <f t="shared" si="24"/>
        <v>2018</v>
      </c>
      <c r="B935" s="106">
        <f t="shared" si="25"/>
        <v>1315</v>
      </c>
      <c r="C935" s="107">
        <f ca="1">OFFSET(tab_tipo_Combustivel!$A$1,MATCH(B935,tab_tipo_Combustivel!$A$2:$A$150,0),MATCH(A935,tab_tipo_Combustivel!$B$1:$AQ$1,0),1,1)</f>
        <v>0</v>
      </c>
    </row>
    <row r="936" spans="1:3">
      <c r="A936" s="3">
        <f t="shared" si="24"/>
        <v>2018</v>
      </c>
      <c r="B936" s="106">
        <f t="shared" si="25"/>
        <v>1316</v>
      </c>
      <c r="C936" s="107">
        <f ca="1">OFFSET(tab_tipo_Combustivel!$A$1,MATCH(B936,tab_tipo_Combustivel!$A$2:$A$150,0),MATCH(A936,tab_tipo_Combustivel!$B$1:$AQ$1,0),1,1)</f>
        <v>0</v>
      </c>
    </row>
    <row r="937" spans="1:3">
      <c r="A937" s="3">
        <f t="shared" si="24"/>
        <v>2018</v>
      </c>
      <c r="B937" s="106">
        <f t="shared" si="25"/>
        <v>1318</v>
      </c>
      <c r="C937" s="107">
        <f ca="1">OFFSET(tab_tipo_Combustivel!$A$1,MATCH(B937,tab_tipo_Combustivel!$A$2:$A$150,0),MATCH(A937,tab_tipo_Combustivel!$B$1:$AQ$1,0),1,1)</f>
        <v>200</v>
      </c>
    </row>
    <row r="938" spans="1:3">
      <c r="A938" s="3">
        <f t="shared" si="24"/>
        <v>2018</v>
      </c>
      <c r="B938" s="106">
        <f t="shared" si="25"/>
        <v>1321</v>
      </c>
      <c r="C938" s="107">
        <f ca="1">OFFSET(tab_tipo_Combustivel!$A$1,MATCH(B938,tab_tipo_Combustivel!$A$2:$A$150,0),MATCH(A938,tab_tipo_Combustivel!$B$1:$AQ$1,0),1,1)</f>
        <v>85</v>
      </c>
    </row>
    <row r="939" spans="1:3">
      <c r="A939" s="3">
        <f t="shared" si="24"/>
        <v>2018</v>
      </c>
      <c r="B939" s="106">
        <f t="shared" si="25"/>
        <v>1322</v>
      </c>
      <c r="C939" s="107">
        <f ca="1">OFFSET(tab_tipo_Combustivel!$A$1,MATCH(B939,tab_tipo_Combustivel!$A$2:$A$150,0),MATCH(A939,tab_tipo_Combustivel!$B$1:$AQ$1,0),1,1)</f>
        <v>140</v>
      </c>
    </row>
    <row r="940" spans="1:3">
      <c r="A940" s="3">
        <f t="shared" si="24"/>
        <v>2018</v>
      </c>
      <c r="B940" s="106">
        <f t="shared" si="25"/>
        <v>1323</v>
      </c>
      <c r="C940" s="107">
        <f ca="1">OFFSET(tab_tipo_Combustivel!$A$1,MATCH(B940,tab_tipo_Combustivel!$A$2:$A$150,0),MATCH(A940,tab_tipo_Combustivel!$B$1:$AQ$1,0),1,1)</f>
        <v>63.75</v>
      </c>
    </row>
    <row r="941" spans="1:3">
      <c r="A941" s="3">
        <f t="shared" si="24"/>
        <v>2018</v>
      </c>
      <c r="B941" s="106">
        <f t="shared" si="25"/>
        <v>1325</v>
      </c>
      <c r="C941" s="107">
        <f ca="1">OFFSET(tab_tipo_Combustivel!$A$1,MATCH(B941,tab_tipo_Combustivel!$A$2:$A$150,0),MATCH(A941,tab_tipo_Combustivel!$B$1:$AQ$1,0),1,1)</f>
        <v>0</v>
      </c>
    </row>
    <row r="942" spans="1:3">
      <c r="A942" s="3">
        <f t="shared" si="24"/>
        <v>2018</v>
      </c>
      <c r="B942" s="106">
        <f t="shared" si="25"/>
        <v>1326</v>
      </c>
      <c r="C942" s="107">
        <f ca="1">OFFSET(tab_tipo_Combustivel!$A$1,MATCH(B942,tab_tipo_Combustivel!$A$2:$A$150,0),MATCH(A942,tab_tipo_Combustivel!$B$1:$AQ$1,0),1,1)</f>
        <v>260</v>
      </c>
    </row>
    <row r="943" spans="1:3">
      <c r="A943" s="3">
        <f t="shared" si="24"/>
        <v>2018</v>
      </c>
      <c r="B943" s="106">
        <f t="shared" si="25"/>
        <v>1501</v>
      </c>
      <c r="C943" s="107">
        <f ca="1">OFFSET(tab_tipo_Combustivel!$A$1,MATCH(B943,tab_tipo_Combustivel!$A$2:$A$150,0),MATCH(A943,tab_tipo_Combustivel!$B$1:$AQ$1,0),1,1)</f>
        <v>260</v>
      </c>
    </row>
    <row r="944" spans="1:3">
      <c r="A944" s="3">
        <f t="shared" si="24"/>
        <v>2018</v>
      </c>
      <c r="B944" s="106">
        <f t="shared" si="25"/>
        <v>1502</v>
      </c>
      <c r="C944" s="107">
        <f ca="1">OFFSET(tab_tipo_Combustivel!$A$1,MATCH(B944,tab_tipo_Combustivel!$A$2:$A$150,0),MATCH(A944,tab_tipo_Combustivel!$B$1:$AQ$1,0),1,1)</f>
        <v>60</v>
      </c>
    </row>
    <row r="945" spans="1:3">
      <c r="A945" s="3">
        <f t="shared" si="24"/>
        <v>2018</v>
      </c>
      <c r="B945" s="106">
        <f t="shared" si="25"/>
        <v>1503</v>
      </c>
      <c r="C945" s="107">
        <f ca="1">OFFSET(tab_tipo_Combustivel!$A$1,MATCH(B945,tab_tipo_Combustivel!$A$2:$A$150,0),MATCH(A945,tab_tipo_Combustivel!$B$1:$AQ$1,0),1,1)</f>
        <v>96.82</v>
      </c>
    </row>
    <row r="946" spans="1:3">
      <c r="A946" s="3">
        <f t="shared" si="24"/>
        <v>2018</v>
      </c>
      <c r="B946" s="106">
        <f t="shared" si="25"/>
        <v>1504</v>
      </c>
      <c r="C946" s="107">
        <f ca="1">OFFSET(tab_tipo_Combustivel!$A$1,MATCH(B946,tab_tipo_Combustivel!$A$2:$A$150,0),MATCH(A946,tab_tipo_Combustivel!$B$1:$AQ$1,0),1,1)</f>
        <v>145.22999999999999</v>
      </c>
    </row>
    <row r="947" spans="1:3">
      <c r="A947" s="3">
        <f t="shared" si="24"/>
        <v>2019</v>
      </c>
      <c r="B947" s="106">
        <f t="shared" si="25"/>
        <v>1</v>
      </c>
      <c r="C947" s="107">
        <f ca="1">OFFSET(tab_tipo_Combustivel!$A$1,MATCH(B947,tab_tipo_Combustivel!$A$2:$A$150,0),MATCH(A947,tab_tipo_Combustivel!$B$1:$AQ$1,0),1,1)</f>
        <v>29.13</v>
      </c>
    </row>
    <row r="948" spans="1:3">
      <c r="A948" s="3">
        <f t="shared" si="24"/>
        <v>2019</v>
      </c>
      <c r="B948" s="106">
        <f t="shared" si="25"/>
        <v>2</v>
      </c>
      <c r="C948" s="107">
        <f ca="1">OFFSET(tab_tipo_Combustivel!$A$1,MATCH(B948,tab_tipo_Combustivel!$A$2:$A$150,0),MATCH(A948,tab_tipo_Combustivel!$B$1:$AQ$1,0),1,1)</f>
        <v>842.33</v>
      </c>
    </row>
    <row r="949" spans="1:3">
      <c r="A949" s="3">
        <f t="shared" si="24"/>
        <v>2019</v>
      </c>
      <c r="B949" s="106">
        <f t="shared" si="25"/>
        <v>4</v>
      </c>
      <c r="C949" s="107">
        <f ca="1">OFFSET(tab_tipo_Combustivel!$A$1,MATCH(B949,tab_tipo_Combustivel!$A$2:$A$150,0),MATCH(A949,tab_tipo_Combustivel!$B$1:$AQ$1,0),1,1)</f>
        <v>842.33</v>
      </c>
    </row>
    <row r="950" spans="1:3">
      <c r="A950" s="3">
        <f t="shared" si="24"/>
        <v>2019</v>
      </c>
      <c r="B950" s="106">
        <f t="shared" si="25"/>
        <v>9</v>
      </c>
      <c r="C950" s="107">
        <f ca="1">OFFSET(tab_tipo_Combustivel!$A$1,MATCH(B950,tab_tipo_Combustivel!$A$2:$A$150,0),MATCH(A950,tab_tipo_Combustivel!$B$1:$AQ$1,0),1,1)</f>
        <v>842.33</v>
      </c>
    </row>
    <row r="951" spans="1:3">
      <c r="A951" s="3">
        <f t="shared" si="24"/>
        <v>2019</v>
      </c>
      <c r="B951" s="106">
        <f t="shared" si="25"/>
        <v>12</v>
      </c>
      <c r="C951" s="107">
        <f ca="1">OFFSET(tab_tipo_Combustivel!$A$1,MATCH(B951,tab_tipo_Combustivel!$A$2:$A$150,0),MATCH(A951,tab_tipo_Combustivel!$B$1:$AQ$1,0),1,1)</f>
        <v>728.87</v>
      </c>
    </row>
    <row r="952" spans="1:3">
      <c r="A952" s="3">
        <f t="shared" si="24"/>
        <v>2019</v>
      </c>
      <c r="B952" s="106">
        <f t="shared" si="25"/>
        <v>13</v>
      </c>
      <c r="C952" s="107">
        <f ca="1">OFFSET(tab_tipo_Combustivel!$A$1,MATCH(B952,tab_tipo_Combustivel!$A$2:$A$150,0),MATCH(A952,tab_tipo_Combustivel!$B$1:$AQ$1,0),1,1)</f>
        <v>20.12</v>
      </c>
    </row>
    <row r="953" spans="1:3">
      <c r="A953" s="3">
        <f t="shared" si="24"/>
        <v>2019</v>
      </c>
      <c r="B953" s="106">
        <f t="shared" si="25"/>
        <v>15</v>
      </c>
      <c r="C953" s="107">
        <f ca="1">OFFSET(tab_tipo_Combustivel!$A$1,MATCH(B953,tab_tipo_Combustivel!$A$2:$A$150,0),MATCH(A953,tab_tipo_Combustivel!$B$1:$AQ$1,0),1,1)</f>
        <v>257.29000000000002</v>
      </c>
    </row>
    <row r="954" spans="1:3">
      <c r="A954" s="3">
        <f t="shared" si="24"/>
        <v>2019</v>
      </c>
      <c r="B954" s="106">
        <f t="shared" si="25"/>
        <v>21</v>
      </c>
      <c r="C954" s="107">
        <f ca="1">OFFSET(tab_tipo_Combustivel!$A$1,MATCH(B954,tab_tipo_Combustivel!$A$2:$A$150,0),MATCH(A954,tab_tipo_Combustivel!$B$1:$AQ$1,0),1,1)</f>
        <v>157.83000000000001</v>
      </c>
    </row>
    <row r="955" spans="1:3">
      <c r="A955" s="3">
        <f t="shared" si="24"/>
        <v>2019</v>
      </c>
      <c r="B955" s="106">
        <f t="shared" si="25"/>
        <v>22</v>
      </c>
      <c r="C955" s="107">
        <f ca="1">OFFSET(tab_tipo_Combustivel!$A$1,MATCH(B955,tab_tipo_Combustivel!$A$2:$A$150,0),MATCH(A955,tab_tipo_Combustivel!$B$1:$AQ$1,0),1,1)</f>
        <v>115.9</v>
      </c>
    </row>
    <row r="956" spans="1:3">
      <c r="A956" s="3">
        <f t="shared" si="24"/>
        <v>2019</v>
      </c>
      <c r="B956" s="106">
        <f t="shared" si="25"/>
        <v>23</v>
      </c>
      <c r="C956" s="107">
        <f ca="1">OFFSET(tab_tipo_Combustivel!$A$1,MATCH(B956,tab_tipo_Combustivel!$A$2:$A$150,0),MATCH(A956,tab_tipo_Combustivel!$B$1:$AQ$1,0),1,1)</f>
        <v>115.9</v>
      </c>
    </row>
    <row r="957" spans="1:3">
      <c r="A957" s="3">
        <f t="shared" si="24"/>
        <v>2019</v>
      </c>
      <c r="B957" s="106">
        <f t="shared" si="25"/>
        <v>24</v>
      </c>
      <c r="C957" s="107">
        <f ca="1">OFFSET(tab_tipo_Combustivel!$A$1,MATCH(B957,tab_tipo_Combustivel!$A$2:$A$150,0),MATCH(A957,tab_tipo_Combustivel!$B$1:$AQ$1,0),1,1)</f>
        <v>155.85</v>
      </c>
    </row>
    <row r="958" spans="1:3">
      <c r="A958" s="3">
        <f t="shared" si="24"/>
        <v>2019</v>
      </c>
      <c r="B958" s="106">
        <f t="shared" si="25"/>
        <v>25</v>
      </c>
      <c r="C958" s="107">
        <f ca="1">OFFSET(tab_tipo_Combustivel!$A$1,MATCH(B958,tab_tipo_Combustivel!$A$2:$A$150,0),MATCH(A958,tab_tipo_Combustivel!$B$1:$AQ$1,0),1,1)</f>
        <v>186.33</v>
      </c>
    </row>
    <row r="959" spans="1:3">
      <c r="A959" s="3">
        <f t="shared" si="24"/>
        <v>2019</v>
      </c>
      <c r="B959" s="106">
        <f t="shared" si="25"/>
        <v>26</v>
      </c>
      <c r="C959" s="107">
        <f ca="1">OFFSET(tab_tipo_Combustivel!$A$1,MATCH(B959,tab_tipo_Combustivel!$A$2:$A$150,0),MATCH(A959,tab_tipo_Combustivel!$B$1:$AQ$1,0),1,1)</f>
        <v>258.42</v>
      </c>
    </row>
    <row r="960" spans="1:3">
      <c r="A960" s="3">
        <f t="shared" si="24"/>
        <v>2019</v>
      </c>
      <c r="B960" s="106">
        <f t="shared" si="25"/>
        <v>27</v>
      </c>
      <c r="C960" s="107">
        <f ca="1">OFFSET(tab_tipo_Combustivel!$A$1,MATCH(B960,tab_tipo_Combustivel!$A$2:$A$150,0),MATCH(A960,tab_tipo_Combustivel!$B$1:$AQ$1,0),1,1)</f>
        <v>195.49</v>
      </c>
    </row>
    <row r="961" spans="1:3">
      <c r="A961" s="3">
        <f t="shared" si="24"/>
        <v>2019</v>
      </c>
      <c r="B961" s="106">
        <f t="shared" si="25"/>
        <v>28</v>
      </c>
      <c r="C961" s="107">
        <f ca="1">OFFSET(tab_tipo_Combustivel!$A$1,MATCH(B961,tab_tipo_Combustivel!$A$2:$A$150,0),MATCH(A961,tab_tipo_Combustivel!$B$1:$AQ$1,0),1,1)</f>
        <v>459.92</v>
      </c>
    </row>
    <row r="962" spans="1:3">
      <c r="A962" s="3">
        <f t="shared" si="24"/>
        <v>2019</v>
      </c>
      <c r="B962" s="106">
        <f t="shared" si="25"/>
        <v>32</v>
      </c>
      <c r="C962" s="107">
        <f ca="1">OFFSET(tab_tipo_Combustivel!$A$1,MATCH(B962,tab_tipo_Combustivel!$A$2:$A$150,0),MATCH(A962,tab_tipo_Combustivel!$B$1:$AQ$1,0),1,1)</f>
        <v>248.31</v>
      </c>
    </row>
    <row r="963" spans="1:3">
      <c r="A963" s="3">
        <f t="shared" si="24"/>
        <v>2019</v>
      </c>
      <c r="B963" s="106">
        <f t="shared" si="25"/>
        <v>34</v>
      </c>
      <c r="C963" s="107">
        <f ca="1">OFFSET(tab_tipo_Combustivel!$A$1,MATCH(B963,tab_tipo_Combustivel!$A$2:$A$150,0),MATCH(A963,tab_tipo_Combustivel!$B$1:$AQ$1,0),1,1)</f>
        <v>423.38</v>
      </c>
    </row>
    <row r="964" spans="1:3">
      <c r="A964" s="3">
        <f t="shared" si="24"/>
        <v>2019</v>
      </c>
      <c r="B964" s="106">
        <f t="shared" si="25"/>
        <v>35</v>
      </c>
      <c r="C964" s="107">
        <f ca="1">OFFSET(tab_tipo_Combustivel!$A$1,MATCH(B964,tab_tipo_Combustivel!$A$2:$A$150,0),MATCH(A964,tab_tipo_Combustivel!$B$1:$AQ$1,0),1,1)</f>
        <v>692.45</v>
      </c>
    </row>
    <row r="965" spans="1:3">
      <c r="A965" s="3">
        <f t="shared" si="24"/>
        <v>2019</v>
      </c>
      <c r="B965" s="106">
        <f t="shared" si="25"/>
        <v>36</v>
      </c>
      <c r="C965" s="107">
        <f ca="1">OFFSET(tab_tipo_Combustivel!$A$1,MATCH(B965,tab_tipo_Combustivel!$A$2:$A$150,0),MATCH(A965,tab_tipo_Combustivel!$B$1:$AQ$1,0),1,1)</f>
        <v>157.83000000000001</v>
      </c>
    </row>
    <row r="966" spans="1:3">
      <c r="A966" s="3">
        <f t="shared" si="24"/>
        <v>2019</v>
      </c>
      <c r="B966" s="106">
        <f t="shared" si="25"/>
        <v>42</v>
      </c>
      <c r="C966" s="107">
        <f ca="1">OFFSET(tab_tipo_Combustivel!$A$1,MATCH(B966,tab_tipo_Combustivel!$A$2:$A$150,0),MATCH(A966,tab_tipo_Combustivel!$B$1:$AQ$1,0),1,1)</f>
        <v>199.22</v>
      </c>
    </row>
    <row r="967" spans="1:3">
      <c r="A967" s="3">
        <f t="shared" si="24"/>
        <v>2019</v>
      </c>
      <c r="B967" s="106">
        <f t="shared" si="25"/>
        <v>43</v>
      </c>
      <c r="C967" s="107">
        <f ca="1">OFFSET(tab_tipo_Combustivel!$A$1,MATCH(B967,tab_tipo_Combustivel!$A$2:$A$150,0),MATCH(A967,tab_tipo_Combustivel!$B$1:$AQ$1,0),1,1)</f>
        <v>431.62</v>
      </c>
    </row>
    <row r="968" spans="1:3">
      <c r="A968" s="3">
        <f t="shared" si="24"/>
        <v>2019</v>
      </c>
      <c r="B968" s="106">
        <f t="shared" si="25"/>
        <v>44</v>
      </c>
      <c r="C968" s="107">
        <f ca="1">OFFSET(tab_tipo_Combustivel!$A$1,MATCH(B968,tab_tipo_Combustivel!$A$2:$A$150,0),MATCH(A968,tab_tipo_Combustivel!$B$1:$AQ$1,0),1,1)</f>
        <v>25.58</v>
      </c>
    </row>
    <row r="969" spans="1:3">
      <c r="A969" s="3">
        <f t="shared" si="24"/>
        <v>2019</v>
      </c>
      <c r="B969" s="106">
        <f t="shared" si="25"/>
        <v>46</v>
      </c>
      <c r="C969" s="107">
        <f ca="1">OFFSET(tab_tipo_Combustivel!$A$1,MATCH(B969,tab_tipo_Combustivel!$A$2:$A$150,0),MATCH(A969,tab_tipo_Combustivel!$B$1:$AQ$1,0),1,1)</f>
        <v>228.91</v>
      </c>
    </row>
    <row r="970" spans="1:3">
      <c r="A970" s="3">
        <f t="shared" ref="A970:A1033" si="26">A835+1</f>
        <v>2019</v>
      </c>
      <c r="B970" s="106">
        <f t="shared" ref="B970:B1033" si="27">B835</f>
        <v>47</v>
      </c>
      <c r="C970" s="107">
        <f ca="1">OFFSET(tab_tipo_Combustivel!$A$1,MATCH(B970,tab_tipo_Combustivel!$A$2:$A$150,0),MATCH(A970,tab_tipo_Combustivel!$B$1:$AQ$1,0),1,1)</f>
        <v>235.6</v>
      </c>
    </row>
    <row r="971" spans="1:3">
      <c r="A971" s="3">
        <f t="shared" si="26"/>
        <v>2019</v>
      </c>
      <c r="B971" s="106">
        <f t="shared" si="27"/>
        <v>48</v>
      </c>
      <c r="C971" s="107">
        <f ca="1">OFFSET(tab_tipo_Combustivel!$A$1,MATCH(B971,tab_tipo_Combustivel!$A$2:$A$150,0),MATCH(A971,tab_tipo_Combustivel!$B$1:$AQ$1,0),1,1)</f>
        <v>1012.12</v>
      </c>
    </row>
    <row r="972" spans="1:3">
      <c r="A972" s="3">
        <f t="shared" si="26"/>
        <v>2019</v>
      </c>
      <c r="B972" s="106">
        <f t="shared" si="27"/>
        <v>50</v>
      </c>
      <c r="C972" s="107">
        <f ca="1">OFFSET(tab_tipo_Combustivel!$A$1,MATCH(B972,tab_tipo_Combustivel!$A$2:$A$150,0),MATCH(A972,tab_tipo_Combustivel!$B$1:$AQ$1,0),1,1)</f>
        <v>669.87</v>
      </c>
    </row>
    <row r="973" spans="1:3">
      <c r="A973" s="3">
        <f t="shared" si="26"/>
        <v>2019</v>
      </c>
      <c r="B973" s="106">
        <f t="shared" si="27"/>
        <v>54</v>
      </c>
      <c r="C973" s="107">
        <f ca="1">OFFSET(tab_tipo_Combustivel!$A$1,MATCH(B973,tab_tipo_Combustivel!$A$2:$A$150,0),MATCH(A973,tab_tipo_Combustivel!$B$1:$AQ$1,0),1,1)</f>
        <v>304.55</v>
      </c>
    </row>
    <row r="974" spans="1:3">
      <c r="A974" s="3">
        <f t="shared" si="26"/>
        <v>2019</v>
      </c>
      <c r="B974" s="106">
        <f t="shared" si="27"/>
        <v>58</v>
      </c>
      <c r="C974" s="107">
        <f ca="1">OFFSET(tab_tipo_Combustivel!$A$1,MATCH(B974,tab_tipo_Combustivel!$A$2:$A$150,0),MATCH(A974,tab_tipo_Combustivel!$B$1:$AQ$1,0),1,1)</f>
        <v>300.05</v>
      </c>
    </row>
    <row r="975" spans="1:3">
      <c r="A975" s="3">
        <f t="shared" si="26"/>
        <v>2019</v>
      </c>
      <c r="B975" s="106">
        <f t="shared" si="27"/>
        <v>62</v>
      </c>
      <c r="C975" s="107">
        <f ca="1">OFFSET(tab_tipo_Combustivel!$A$1,MATCH(B975,tab_tipo_Combustivel!$A$2:$A$150,0),MATCH(A975,tab_tipo_Combustivel!$B$1:$AQ$1,0),1,1)</f>
        <v>309.24</v>
      </c>
    </row>
    <row r="976" spans="1:3">
      <c r="A976" s="3">
        <f t="shared" si="26"/>
        <v>2019</v>
      </c>
      <c r="B976" s="106">
        <f t="shared" si="27"/>
        <v>63</v>
      </c>
      <c r="C976" s="107">
        <f ca="1">OFFSET(tab_tipo_Combustivel!$A$1,MATCH(B976,tab_tipo_Combustivel!$A$2:$A$150,0),MATCH(A976,tab_tipo_Combustivel!$B$1:$AQ$1,0),1,1)</f>
        <v>365.77</v>
      </c>
    </row>
    <row r="977" spans="1:3">
      <c r="A977" s="3">
        <f t="shared" si="26"/>
        <v>2019</v>
      </c>
      <c r="B977" s="106">
        <f t="shared" si="27"/>
        <v>64</v>
      </c>
      <c r="C977" s="107">
        <f ca="1">OFFSET(tab_tipo_Combustivel!$A$1,MATCH(B977,tab_tipo_Combustivel!$A$2:$A$150,0),MATCH(A977,tab_tipo_Combustivel!$B$1:$AQ$1,0),1,1)</f>
        <v>853.54</v>
      </c>
    </row>
    <row r="978" spans="1:3">
      <c r="A978" s="3">
        <f t="shared" si="26"/>
        <v>2019</v>
      </c>
      <c r="B978" s="106">
        <f t="shared" si="27"/>
        <v>68</v>
      </c>
      <c r="C978" s="107">
        <f ca="1">OFFSET(tab_tipo_Combustivel!$A$1,MATCH(B978,tab_tipo_Combustivel!$A$2:$A$150,0),MATCH(A978,tab_tipo_Combustivel!$B$1:$AQ$1,0),1,1)</f>
        <v>195.63</v>
      </c>
    </row>
    <row r="979" spans="1:3">
      <c r="A979" s="3">
        <f t="shared" si="26"/>
        <v>2019</v>
      </c>
      <c r="B979" s="106">
        <f t="shared" si="27"/>
        <v>74</v>
      </c>
      <c r="C979" s="107">
        <f ca="1">OFFSET(tab_tipo_Combustivel!$A$1,MATCH(B979,tab_tipo_Combustivel!$A$2:$A$150,0),MATCH(A979,tab_tipo_Combustivel!$B$1:$AQ$1,0),1,1)</f>
        <v>364.46</v>
      </c>
    </row>
    <row r="980" spans="1:3">
      <c r="A980" s="3">
        <f t="shared" si="26"/>
        <v>2019</v>
      </c>
      <c r="B980" s="106">
        <f t="shared" si="27"/>
        <v>83</v>
      </c>
      <c r="C980" s="107">
        <f ca="1">OFFSET(tab_tipo_Combustivel!$A$1,MATCH(B980,tab_tipo_Combustivel!$A$2:$A$150,0),MATCH(A980,tab_tipo_Combustivel!$B$1:$AQ$1,0),1,1)</f>
        <v>448.1</v>
      </c>
    </row>
    <row r="981" spans="1:3">
      <c r="A981" s="3">
        <f t="shared" si="26"/>
        <v>2019</v>
      </c>
      <c r="B981" s="106">
        <f t="shared" si="27"/>
        <v>86</v>
      </c>
      <c r="C981" s="107">
        <f ca="1">OFFSET(tab_tipo_Combustivel!$A$1,MATCH(B981,tab_tipo_Combustivel!$A$2:$A$150,0),MATCH(A981,tab_tipo_Combustivel!$B$1:$AQ$1,0),1,1)</f>
        <v>170.34</v>
      </c>
    </row>
    <row r="982" spans="1:3">
      <c r="A982" s="3">
        <f t="shared" si="26"/>
        <v>2019</v>
      </c>
      <c r="B982" s="106">
        <f t="shared" si="27"/>
        <v>90</v>
      </c>
      <c r="C982" s="107">
        <f ca="1">OFFSET(tab_tipo_Combustivel!$A$1,MATCH(B982,tab_tipo_Combustivel!$A$2:$A$150,0),MATCH(A982,tab_tipo_Combustivel!$B$1:$AQ$1,0),1,1)</f>
        <v>533.1</v>
      </c>
    </row>
    <row r="983" spans="1:3">
      <c r="A983" s="3">
        <f t="shared" si="26"/>
        <v>2019</v>
      </c>
      <c r="B983" s="106">
        <f t="shared" si="27"/>
        <v>93</v>
      </c>
      <c r="C983" s="107">
        <f ca="1">OFFSET(tab_tipo_Combustivel!$A$1,MATCH(B983,tab_tipo_Combustivel!$A$2:$A$150,0),MATCH(A983,tab_tipo_Combustivel!$B$1:$AQ$1,0),1,1)</f>
        <v>842.33</v>
      </c>
    </row>
    <row r="984" spans="1:3">
      <c r="A984" s="3">
        <f t="shared" si="26"/>
        <v>2019</v>
      </c>
      <c r="B984" s="106">
        <f t="shared" si="27"/>
        <v>94</v>
      </c>
      <c r="C984" s="107">
        <f ca="1">OFFSET(tab_tipo_Combustivel!$A$1,MATCH(B984,tab_tipo_Combustivel!$A$2:$A$150,0),MATCH(A984,tab_tipo_Combustivel!$B$1:$AQ$1,0),1,1)</f>
        <v>842.33</v>
      </c>
    </row>
    <row r="985" spans="1:3">
      <c r="A985" s="3">
        <f t="shared" si="26"/>
        <v>2019</v>
      </c>
      <c r="B985" s="106">
        <f t="shared" si="27"/>
        <v>96</v>
      </c>
      <c r="C985" s="107">
        <f ca="1">OFFSET(tab_tipo_Combustivel!$A$1,MATCH(B985,tab_tipo_Combustivel!$A$2:$A$150,0),MATCH(A985,tab_tipo_Combustivel!$B$1:$AQ$1,0),1,1)</f>
        <v>99.92</v>
      </c>
    </row>
    <row r="986" spans="1:3">
      <c r="A986" s="3">
        <f t="shared" si="26"/>
        <v>2019</v>
      </c>
      <c r="B986" s="106">
        <f t="shared" si="27"/>
        <v>98</v>
      </c>
      <c r="C986" s="107">
        <f ca="1">OFFSET(tab_tipo_Combustivel!$A$1,MATCH(B986,tab_tipo_Combustivel!$A$2:$A$150,0),MATCH(A986,tab_tipo_Combustivel!$B$1:$AQ$1,0),1,1)</f>
        <v>489.8</v>
      </c>
    </row>
    <row r="987" spans="1:3">
      <c r="A987" s="3">
        <f t="shared" si="26"/>
        <v>2019</v>
      </c>
      <c r="B987" s="106">
        <f t="shared" si="27"/>
        <v>107</v>
      </c>
      <c r="C987" s="107">
        <f ca="1">OFFSET(tab_tipo_Combustivel!$A$1,MATCH(B987,tab_tipo_Combustivel!$A$2:$A$150,0),MATCH(A987,tab_tipo_Combustivel!$B$1:$AQ$1,0),1,1)</f>
        <v>57.63</v>
      </c>
    </row>
    <row r="988" spans="1:3">
      <c r="A988" s="3">
        <f t="shared" si="26"/>
        <v>2019</v>
      </c>
      <c r="B988" s="106">
        <f t="shared" si="27"/>
        <v>110</v>
      </c>
      <c r="C988" s="107">
        <f ca="1">OFFSET(tab_tipo_Combustivel!$A$1,MATCH(B988,tab_tipo_Combustivel!$A$2:$A$150,0),MATCH(A988,tab_tipo_Combustivel!$B$1:$AQ$1,0),1,1)</f>
        <v>568.29</v>
      </c>
    </row>
    <row r="989" spans="1:3">
      <c r="A989" s="3">
        <f t="shared" si="26"/>
        <v>2019</v>
      </c>
      <c r="B989" s="106">
        <f t="shared" si="27"/>
        <v>116</v>
      </c>
      <c r="C989" s="107">
        <f ca="1">OFFSET(tab_tipo_Combustivel!$A$1,MATCH(B989,tab_tipo_Combustivel!$A$2:$A$150,0),MATCH(A989,tab_tipo_Combustivel!$B$1:$AQ$1,0),1,1)</f>
        <v>117.46</v>
      </c>
    </row>
    <row r="990" spans="1:3">
      <c r="A990" s="3">
        <f t="shared" si="26"/>
        <v>2019</v>
      </c>
      <c r="B990" s="106">
        <f t="shared" si="27"/>
        <v>140</v>
      </c>
      <c r="C990" s="107">
        <f ca="1">OFFSET(tab_tipo_Combustivel!$A$1,MATCH(B990,tab_tipo_Combustivel!$A$2:$A$150,0),MATCH(A990,tab_tipo_Combustivel!$B$1:$AQ$1,0),1,1)</f>
        <v>88.11</v>
      </c>
    </row>
    <row r="991" spans="1:3">
      <c r="A991" s="3">
        <f t="shared" si="26"/>
        <v>2019</v>
      </c>
      <c r="B991" s="106">
        <f t="shared" si="27"/>
        <v>141</v>
      </c>
      <c r="C991" s="107">
        <f ca="1">OFFSET(tab_tipo_Combustivel!$A$1,MATCH(B991,tab_tipo_Combustivel!$A$2:$A$150,0),MATCH(A991,tab_tipo_Combustivel!$B$1:$AQ$1,0),1,1)</f>
        <v>1280.52</v>
      </c>
    </row>
    <row r="992" spans="1:3">
      <c r="A992" s="3">
        <f t="shared" si="26"/>
        <v>2019</v>
      </c>
      <c r="B992" s="106">
        <f t="shared" si="27"/>
        <v>147</v>
      </c>
      <c r="C992" s="107">
        <f ca="1">OFFSET(tab_tipo_Combustivel!$A$1,MATCH(B992,tab_tipo_Combustivel!$A$2:$A$150,0),MATCH(A992,tab_tipo_Combustivel!$B$1:$AQ$1,0),1,1)</f>
        <v>134.18</v>
      </c>
    </row>
    <row r="993" spans="1:3">
      <c r="A993" s="3">
        <f t="shared" si="26"/>
        <v>2019</v>
      </c>
      <c r="B993" s="106">
        <f t="shared" si="27"/>
        <v>156</v>
      </c>
      <c r="C993" s="107">
        <f ca="1">OFFSET(tab_tipo_Combustivel!$A$1,MATCH(B993,tab_tipo_Combustivel!$A$2:$A$150,0),MATCH(A993,tab_tipo_Combustivel!$B$1:$AQ$1,0),1,1)</f>
        <v>77.12</v>
      </c>
    </row>
    <row r="994" spans="1:3">
      <c r="A994" s="3">
        <f t="shared" si="26"/>
        <v>2019</v>
      </c>
      <c r="B994" s="106">
        <f t="shared" si="27"/>
        <v>163</v>
      </c>
      <c r="C994" s="107">
        <f ca="1">OFFSET(tab_tipo_Combustivel!$A$1,MATCH(B994,tab_tipo_Combustivel!$A$2:$A$150,0),MATCH(A994,tab_tipo_Combustivel!$B$1:$AQ$1,0),1,1)</f>
        <v>156.69999999999999</v>
      </c>
    </row>
    <row r="995" spans="1:3">
      <c r="A995" s="3">
        <f t="shared" si="26"/>
        <v>2019</v>
      </c>
      <c r="B995" s="106">
        <f t="shared" si="27"/>
        <v>167</v>
      </c>
      <c r="C995" s="107">
        <f ca="1">OFFSET(tab_tipo_Combustivel!$A$1,MATCH(B995,tab_tipo_Combustivel!$A$2:$A$150,0),MATCH(A995,tab_tipo_Combustivel!$B$1:$AQ$1,0),1,1)</f>
        <v>144.66999999999999</v>
      </c>
    </row>
    <row r="996" spans="1:3">
      <c r="A996" s="3">
        <f t="shared" si="26"/>
        <v>2019</v>
      </c>
      <c r="B996" s="106">
        <f t="shared" si="27"/>
        <v>171</v>
      </c>
      <c r="C996" s="107">
        <f ca="1">OFFSET(tab_tipo_Combustivel!$A$1,MATCH(B996,tab_tipo_Combustivel!$A$2:$A$150,0),MATCH(A996,tab_tipo_Combustivel!$B$1:$AQ$1,0),1,1)</f>
        <v>88</v>
      </c>
    </row>
    <row r="997" spans="1:3">
      <c r="A997" s="3">
        <f t="shared" si="26"/>
        <v>2019</v>
      </c>
      <c r="B997" s="106">
        <f t="shared" si="27"/>
        <v>172</v>
      </c>
      <c r="C997" s="107">
        <f ca="1">OFFSET(tab_tipo_Combustivel!$A$1,MATCH(B997,tab_tipo_Combustivel!$A$2:$A$150,0),MATCH(A997,tab_tipo_Combustivel!$B$1:$AQ$1,0),1,1)</f>
        <v>99.97</v>
      </c>
    </row>
    <row r="998" spans="1:3">
      <c r="A998" s="3">
        <f t="shared" si="26"/>
        <v>2019</v>
      </c>
      <c r="B998" s="106">
        <f t="shared" si="27"/>
        <v>173</v>
      </c>
      <c r="C998" s="107">
        <f ca="1">OFFSET(tab_tipo_Combustivel!$A$1,MATCH(B998,tab_tipo_Combustivel!$A$2:$A$150,0),MATCH(A998,tab_tipo_Combustivel!$B$1:$AQ$1,0),1,1)</f>
        <v>192.03</v>
      </c>
    </row>
    <row r="999" spans="1:3">
      <c r="A999" s="3">
        <f t="shared" si="26"/>
        <v>2019</v>
      </c>
      <c r="B999" s="106">
        <f t="shared" si="27"/>
        <v>174</v>
      </c>
      <c r="C999" s="107">
        <f ca="1">OFFSET(tab_tipo_Combustivel!$A$1,MATCH(B999,tab_tipo_Combustivel!$A$2:$A$150,0),MATCH(A999,tab_tipo_Combustivel!$B$1:$AQ$1,0),1,1)</f>
        <v>331.22</v>
      </c>
    </row>
    <row r="1000" spans="1:3">
      <c r="A1000" s="3">
        <f t="shared" si="26"/>
        <v>2019</v>
      </c>
      <c r="B1000" s="106">
        <f t="shared" si="27"/>
        <v>176</v>
      </c>
      <c r="C1000" s="107">
        <f ca="1">OFFSET(tab_tipo_Combustivel!$A$1,MATCH(B1000,tab_tipo_Combustivel!$A$2:$A$150,0),MATCH(A1000,tab_tipo_Combustivel!$B$1:$AQ$1,0),1,1)</f>
        <v>149.47999999999999</v>
      </c>
    </row>
    <row r="1001" spans="1:3">
      <c r="A1001" s="3">
        <f t="shared" si="26"/>
        <v>2019</v>
      </c>
      <c r="B1001" s="106">
        <f t="shared" si="27"/>
        <v>183</v>
      </c>
      <c r="C1001" s="107">
        <f ca="1">OFFSET(tab_tipo_Combustivel!$A$1,MATCH(B1001,tab_tipo_Combustivel!$A$2:$A$150,0),MATCH(A1001,tab_tipo_Combustivel!$B$1:$AQ$1,0),1,1)</f>
        <v>171.61</v>
      </c>
    </row>
    <row r="1002" spans="1:3">
      <c r="A1002" s="3">
        <f t="shared" si="26"/>
        <v>2019</v>
      </c>
      <c r="B1002" s="106">
        <f t="shared" si="27"/>
        <v>194</v>
      </c>
      <c r="C1002" s="107">
        <f ca="1">OFFSET(tab_tipo_Combustivel!$A$1,MATCH(B1002,tab_tipo_Combustivel!$A$2:$A$150,0),MATCH(A1002,tab_tipo_Combustivel!$B$1:$AQ$1,0),1,1)</f>
        <v>1098.58</v>
      </c>
    </row>
    <row r="1003" spans="1:3">
      <c r="A1003" s="3">
        <f t="shared" si="26"/>
        <v>2019</v>
      </c>
      <c r="B1003" s="106">
        <f t="shared" si="27"/>
        <v>203</v>
      </c>
      <c r="C1003" s="107">
        <f ca="1">OFFSET(tab_tipo_Combustivel!$A$1,MATCH(B1003,tab_tipo_Combustivel!$A$2:$A$150,0),MATCH(A1003,tab_tipo_Combustivel!$B$1:$AQ$1,0),1,1)</f>
        <v>0</v>
      </c>
    </row>
    <row r="1004" spans="1:3">
      <c r="A1004" s="3">
        <f t="shared" si="26"/>
        <v>2019</v>
      </c>
      <c r="B1004" s="106">
        <f t="shared" si="27"/>
        <v>204</v>
      </c>
      <c r="C1004" s="107">
        <f ca="1">OFFSET(tab_tipo_Combustivel!$A$1,MATCH(B1004,tab_tipo_Combustivel!$A$2:$A$150,0),MATCH(A1004,tab_tipo_Combustivel!$B$1:$AQ$1,0),1,1)</f>
        <v>0</v>
      </c>
    </row>
    <row r="1005" spans="1:3">
      <c r="A1005" s="3">
        <f t="shared" si="26"/>
        <v>2019</v>
      </c>
      <c r="B1005" s="106">
        <f t="shared" si="27"/>
        <v>205</v>
      </c>
      <c r="C1005" s="107">
        <f ca="1">OFFSET(tab_tipo_Combustivel!$A$1,MATCH(B1005,tab_tipo_Combustivel!$A$2:$A$150,0),MATCH(A1005,tab_tipo_Combustivel!$B$1:$AQ$1,0),1,1)</f>
        <v>0</v>
      </c>
    </row>
    <row r="1006" spans="1:3">
      <c r="A1006" s="3">
        <f t="shared" si="26"/>
        <v>2019</v>
      </c>
      <c r="B1006" s="106">
        <f t="shared" si="27"/>
        <v>207</v>
      </c>
      <c r="C1006" s="107">
        <f ca="1">OFFSET(tab_tipo_Combustivel!$A$1,MATCH(B1006,tab_tipo_Combustivel!$A$2:$A$150,0),MATCH(A1006,tab_tipo_Combustivel!$B$1:$AQ$1,0),1,1)</f>
        <v>0</v>
      </c>
    </row>
    <row r="1007" spans="1:3">
      <c r="A1007" s="3">
        <f t="shared" si="26"/>
        <v>2019</v>
      </c>
      <c r="B1007" s="106">
        <f t="shared" si="27"/>
        <v>208</v>
      </c>
      <c r="C1007" s="107">
        <f ca="1">OFFSET(tab_tipo_Combustivel!$A$1,MATCH(B1007,tab_tipo_Combustivel!$A$2:$A$150,0),MATCH(A1007,tab_tipo_Combustivel!$B$1:$AQ$1,0),1,1)</f>
        <v>783.64</v>
      </c>
    </row>
    <row r="1008" spans="1:3">
      <c r="A1008" s="3">
        <f t="shared" si="26"/>
        <v>2019</v>
      </c>
      <c r="B1008" s="106">
        <f t="shared" si="27"/>
        <v>209</v>
      </c>
      <c r="C1008" s="107">
        <f ca="1">OFFSET(tab_tipo_Combustivel!$A$1,MATCH(B1008,tab_tipo_Combustivel!$A$2:$A$150,0),MATCH(A1008,tab_tipo_Combustivel!$B$1:$AQ$1,0),1,1)</f>
        <v>0</v>
      </c>
    </row>
    <row r="1009" spans="1:3">
      <c r="A1009" s="3">
        <f t="shared" si="26"/>
        <v>2019</v>
      </c>
      <c r="B1009" s="106">
        <f t="shared" si="27"/>
        <v>211</v>
      </c>
      <c r="C1009" s="107">
        <f ca="1">OFFSET(tab_tipo_Combustivel!$A$1,MATCH(B1009,tab_tipo_Combustivel!$A$2:$A$150,0),MATCH(A1009,tab_tipo_Combustivel!$B$1:$AQ$1,0),1,1)</f>
        <v>150.79</v>
      </c>
    </row>
    <row r="1010" spans="1:3">
      <c r="A1010" s="3">
        <f t="shared" si="26"/>
        <v>2019</v>
      </c>
      <c r="B1010" s="106">
        <f t="shared" si="27"/>
        <v>212</v>
      </c>
      <c r="C1010" s="107">
        <f ca="1">OFFSET(tab_tipo_Combustivel!$A$1,MATCH(B1010,tab_tipo_Combustivel!$A$2:$A$150,0),MATCH(A1010,tab_tipo_Combustivel!$B$1:$AQ$1,0),1,1)</f>
        <v>84.58</v>
      </c>
    </row>
    <row r="1011" spans="1:3">
      <c r="A1011" s="3">
        <f t="shared" si="26"/>
        <v>2019</v>
      </c>
      <c r="B1011" s="106">
        <f t="shared" si="27"/>
        <v>224</v>
      </c>
      <c r="C1011" s="107">
        <f ca="1">OFFSET(tab_tipo_Combustivel!$A$1,MATCH(B1011,tab_tipo_Combustivel!$A$2:$A$150,0),MATCH(A1011,tab_tipo_Combustivel!$B$1:$AQ$1,0),1,1)</f>
        <v>31.08</v>
      </c>
    </row>
    <row r="1012" spans="1:3">
      <c r="A1012" s="3">
        <f t="shared" si="26"/>
        <v>2019</v>
      </c>
      <c r="B1012" s="106">
        <f t="shared" si="27"/>
        <v>225</v>
      </c>
      <c r="C1012" s="107">
        <f ca="1">OFFSET(tab_tipo_Combustivel!$A$1,MATCH(B1012,tab_tipo_Combustivel!$A$2:$A$150,0),MATCH(A1012,tab_tipo_Combustivel!$B$1:$AQ$1,0),1,1)</f>
        <v>1329.7</v>
      </c>
    </row>
    <row r="1013" spans="1:3">
      <c r="A1013" s="3">
        <f t="shared" si="26"/>
        <v>2019</v>
      </c>
      <c r="B1013" s="106">
        <f t="shared" si="27"/>
        <v>226</v>
      </c>
      <c r="C1013" s="107">
        <f ca="1">OFFSET(tab_tipo_Combustivel!$A$1,MATCH(B1013,tab_tipo_Combustivel!$A$2:$A$150,0),MATCH(A1013,tab_tipo_Combustivel!$B$1:$AQ$1,0),1,1)</f>
        <v>1061.1300000000001</v>
      </c>
    </row>
    <row r="1014" spans="1:3">
      <c r="A1014" s="3">
        <f t="shared" si="26"/>
        <v>2019</v>
      </c>
      <c r="B1014" s="106">
        <f t="shared" si="27"/>
        <v>227</v>
      </c>
      <c r="C1014" s="107">
        <f ca="1">OFFSET(tab_tipo_Combustivel!$A$1,MATCH(B1014,tab_tipo_Combustivel!$A$2:$A$150,0),MATCH(A1014,tab_tipo_Combustivel!$B$1:$AQ$1,0),1,1)</f>
        <v>447.52</v>
      </c>
    </row>
    <row r="1015" spans="1:3">
      <c r="A1015" s="3">
        <f t="shared" si="26"/>
        <v>2019</v>
      </c>
      <c r="B1015" s="106">
        <f t="shared" si="27"/>
        <v>228</v>
      </c>
      <c r="C1015" s="107">
        <f ca="1">OFFSET(tab_tipo_Combustivel!$A$1,MATCH(B1015,tab_tipo_Combustivel!$A$2:$A$150,0),MATCH(A1015,tab_tipo_Combustivel!$B$1:$AQ$1,0),1,1)</f>
        <v>1061.1400000000001</v>
      </c>
    </row>
    <row r="1016" spans="1:3">
      <c r="A1016" s="3">
        <f t="shared" si="26"/>
        <v>2019</v>
      </c>
      <c r="B1016" s="106">
        <f t="shared" si="27"/>
        <v>229</v>
      </c>
      <c r="C1016" s="107">
        <f ca="1">OFFSET(tab_tipo_Combustivel!$A$1,MATCH(B1016,tab_tipo_Combustivel!$A$2:$A$150,0),MATCH(A1016,tab_tipo_Combustivel!$B$1:$AQ$1,0),1,1)</f>
        <v>942.05</v>
      </c>
    </row>
    <row r="1017" spans="1:3">
      <c r="A1017" s="3">
        <f t="shared" si="26"/>
        <v>2019</v>
      </c>
      <c r="B1017" s="106">
        <f t="shared" si="27"/>
        <v>230</v>
      </c>
      <c r="C1017" s="107">
        <f ca="1">OFFSET(tab_tipo_Combustivel!$A$1,MATCH(B1017,tab_tipo_Combustivel!$A$2:$A$150,0),MATCH(A1017,tab_tipo_Combustivel!$B$1:$AQ$1,0),1,1)</f>
        <v>495.06</v>
      </c>
    </row>
    <row r="1018" spans="1:3">
      <c r="A1018" s="3">
        <f t="shared" si="26"/>
        <v>2019</v>
      </c>
      <c r="B1018" s="106">
        <f t="shared" si="27"/>
        <v>231</v>
      </c>
      <c r="C1018" s="107">
        <f ca="1">OFFSET(tab_tipo_Combustivel!$A$1,MATCH(B1018,tab_tipo_Combustivel!$A$2:$A$150,0),MATCH(A1018,tab_tipo_Combustivel!$B$1:$AQ$1,0),1,1)</f>
        <v>489.29</v>
      </c>
    </row>
    <row r="1019" spans="1:3">
      <c r="A1019" s="3">
        <f t="shared" si="26"/>
        <v>2019</v>
      </c>
      <c r="B1019" s="106">
        <f t="shared" si="27"/>
        <v>232</v>
      </c>
      <c r="C1019" s="107">
        <f ca="1">OFFSET(tab_tipo_Combustivel!$A$1,MATCH(B1019,tab_tipo_Combustivel!$A$2:$A$150,0),MATCH(A1019,tab_tipo_Combustivel!$B$1:$AQ$1,0),1,1)</f>
        <v>842.33</v>
      </c>
    </row>
    <row r="1020" spans="1:3">
      <c r="A1020" s="3">
        <f t="shared" si="26"/>
        <v>2019</v>
      </c>
      <c r="B1020" s="106">
        <f t="shared" si="27"/>
        <v>233</v>
      </c>
      <c r="C1020" s="107">
        <f ca="1">OFFSET(tab_tipo_Combustivel!$A$1,MATCH(B1020,tab_tipo_Combustivel!$A$2:$A$150,0),MATCH(A1020,tab_tipo_Combustivel!$B$1:$AQ$1,0),1,1)</f>
        <v>984.29</v>
      </c>
    </row>
    <row r="1021" spans="1:3">
      <c r="A1021" s="3">
        <f t="shared" si="26"/>
        <v>2019</v>
      </c>
      <c r="B1021" s="106">
        <f t="shared" si="27"/>
        <v>234</v>
      </c>
      <c r="C1021" s="107">
        <f ca="1">OFFSET(tab_tipo_Combustivel!$A$1,MATCH(B1021,tab_tipo_Combustivel!$A$2:$A$150,0),MATCH(A1021,tab_tipo_Combustivel!$B$1:$AQ$1,0),1,1)</f>
        <v>290.26</v>
      </c>
    </row>
    <row r="1022" spans="1:3">
      <c r="A1022" s="3">
        <f t="shared" si="26"/>
        <v>2019</v>
      </c>
      <c r="B1022" s="106">
        <f t="shared" si="27"/>
        <v>235</v>
      </c>
      <c r="C1022" s="107">
        <f ca="1">OFFSET(tab_tipo_Combustivel!$A$1,MATCH(B1022,tab_tipo_Combustivel!$A$2:$A$150,0),MATCH(A1022,tab_tipo_Combustivel!$B$1:$AQ$1,0),1,1)</f>
        <v>1350.87</v>
      </c>
    </row>
    <row r="1023" spans="1:3">
      <c r="A1023" s="3">
        <f t="shared" si="26"/>
        <v>2019</v>
      </c>
      <c r="B1023" s="106">
        <f t="shared" si="27"/>
        <v>236</v>
      </c>
      <c r="C1023" s="107">
        <f ca="1">OFFSET(tab_tipo_Combustivel!$A$1,MATCH(B1023,tab_tipo_Combustivel!$A$2:$A$150,0),MATCH(A1023,tab_tipo_Combustivel!$B$1:$AQ$1,0),1,1)</f>
        <v>842.33</v>
      </c>
    </row>
    <row r="1024" spans="1:3">
      <c r="A1024" s="3">
        <f t="shared" si="26"/>
        <v>2019</v>
      </c>
      <c r="B1024" s="106">
        <f t="shared" si="27"/>
        <v>237</v>
      </c>
      <c r="C1024" s="107">
        <f ca="1">OFFSET(tab_tipo_Combustivel!$A$1,MATCH(B1024,tab_tipo_Combustivel!$A$2:$A$150,0),MATCH(A1024,tab_tipo_Combustivel!$B$1:$AQ$1,0),1,1)</f>
        <v>760.85</v>
      </c>
    </row>
    <row r="1025" spans="1:3">
      <c r="A1025" s="3">
        <f t="shared" si="26"/>
        <v>2019</v>
      </c>
      <c r="B1025" s="106">
        <f t="shared" si="27"/>
        <v>238</v>
      </c>
      <c r="C1025" s="107">
        <f ca="1">OFFSET(tab_tipo_Combustivel!$A$1,MATCH(B1025,tab_tipo_Combustivel!$A$2:$A$150,0),MATCH(A1025,tab_tipo_Combustivel!$B$1:$AQ$1,0),1,1)</f>
        <v>963.75</v>
      </c>
    </row>
    <row r="1026" spans="1:3">
      <c r="A1026" s="3">
        <f t="shared" si="26"/>
        <v>2019</v>
      </c>
      <c r="B1026" s="106">
        <f t="shared" si="27"/>
        <v>239</v>
      </c>
      <c r="C1026" s="107">
        <f ca="1">OFFSET(tab_tipo_Combustivel!$A$1,MATCH(B1026,tab_tipo_Combustivel!$A$2:$A$150,0),MATCH(A1026,tab_tipo_Combustivel!$B$1:$AQ$1,0),1,1)</f>
        <v>963.75</v>
      </c>
    </row>
    <row r="1027" spans="1:3">
      <c r="A1027" s="3">
        <f t="shared" si="26"/>
        <v>2019</v>
      </c>
      <c r="B1027" s="106">
        <f t="shared" si="27"/>
        <v>240</v>
      </c>
      <c r="C1027" s="107">
        <f ca="1">OFFSET(tab_tipo_Combustivel!$A$1,MATCH(B1027,tab_tipo_Combustivel!$A$2:$A$150,0),MATCH(A1027,tab_tipo_Combustivel!$B$1:$AQ$1,0),1,1)</f>
        <v>1115.96</v>
      </c>
    </row>
    <row r="1028" spans="1:3">
      <c r="A1028" s="3">
        <f t="shared" si="26"/>
        <v>2019</v>
      </c>
      <c r="B1028" s="106">
        <f t="shared" si="27"/>
        <v>241</v>
      </c>
      <c r="C1028" s="107">
        <f ca="1">OFFSET(tab_tipo_Combustivel!$A$1,MATCH(B1028,tab_tipo_Combustivel!$A$2:$A$150,0),MATCH(A1028,tab_tipo_Combustivel!$B$1:$AQ$1,0),1,1)</f>
        <v>495.75</v>
      </c>
    </row>
    <row r="1029" spans="1:3">
      <c r="A1029" s="3">
        <f t="shared" si="26"/>
        <v>2019</v>
      </c>
      <c r="B1029" s="106">
        <f t="shared" si="27"/>
        <v>242</v>
      </c>
      <c r="C1029" s="107">
        <f ca="1">OFFSET(tab_tipo_Combustivel!$A$1,MATCH(B1029,tab_tipo_Combustivel!$A$2:$A$150,0),MATCH(A1029,tab_tipo_Combustivel!$B$1:$AQ$1,0),1,1)</f>
        <v>1176.45</v>
      </c>
    </row>
    <row r="1030" spans="1:3">
      <c r="A1030" s="3">
        <f t="shared" si="26"/>
        <v>2019</v>
      </c>
      <c r="B1030" s="106">
        <f t="shared" si="27"/>
        <v>243</v>
      </c>
      <c r="C1030" s="107">
        <f ca="1">OFFSET(tab_tipo_Combustivel!$A$1,MATCH(B1030,tab_tipo_Combustivel!$A$2:$A$150,0),MATCH(A1030,tab_tipo_Combustivel!$B$1:$AQ$1,0),1,1)</f>
        <v>495.08</v>
      </c>
    </row>
    <row r="1031" spans="1:3">
      <c r="A1031" s="3">
        <f t="shared" si="26"/>
        <v>2019</v>
      </c>
      <c r="B1031" s="106">
        <f t="shared" si="27"/>
        <v>244</v>
      </c>
      <c r="C1031" s="107">
        <f ca="1">OFFSET(tab_tipo_Combustivel!$A$1,MATCH(B1031,tab_tipo_Combustivel!$A$2:$A$150,0),MATCH(A1031,tab_tipo_Combustivel!$B$1:$AQ$1,0),1,1)</f>
        <v>495.06</v>
      </c>
    </row>
    <row r="1032" spans="1:3">
      <c r="A1032" s="3">
        <f t="shared" si="26"/>
        <v>2019</v>
      </c>
      <c r="B1032" s="106">
        <f t="shared" si="27"/>
        <v>245</v>
      </c>
      <c r="C1032" s="107">
        <f ca="1">OFFSET(tab_tipo_Combustivel!$A$1,MATCH(B1032,tab_tipo_Combustivel!$A$2:$A$150,0),MATCH(A1032,tab_tipo_Combustivel!$B$1:$AQ$1,0),1,1)</f>
        <v>562.65</v>
      </c>
    </row>
    <row r="1033" spans="1:3">
      <c r="A1033" s="3">
        <f t="shared" si="26"/>
        <v>2019</v>
      </c>
      <c r="B1033" s="106">
        <f t="shared" si="27"/>
        <v>246</v>
      </c>
      <c r="C1033" s="107">
        <f ca="1">OFFSET(tab_tipo_Combustivel!$A$1,MATCH(B1033,tab_tipo_Combustivel!$A$2:$A$150,0),MATCH(A1033,tab_tipo_Combustivel!$B$1:$AQ$1,0),1,1)</f>
        <v>1124.53</v>
      </c>
    </row>
    <row r="1034" spans="1:3">
      <c r="A1034" s="3">
        <f t="shared" ref="A1034:A1097" si="28">A899+1</f>
        <v>2019</v>
      </c>
      <c r="B1034" s="106">
        <f t="shared" ref="B1034:B1097" si="29">B899</f>
        <v>247</v>
      </c>
      <c r="C1034" s="107">
        <f ca="1">OFFSET(tab_tipo_Combustivel!$A$1,MATCH(B1034,tab_tipo_Combustivel!$A$2:$A$150,0),MATCH(A1034,tab_tipo_Combustivel!$B$1:$AQ$1,0),1,1)</f>
        <v>609.51</v>
      </c>
    </row>
    <row r="1035" spans="1:3">
      <c r="A1035" s="3">
        <f t="shared" si="28"/>
        <v>2019</v>
      </c>
      <c r="B1035" s="106">
        <f t="shared" si="29"/>
        <v>248</v>
      </c>
      <c r="C1035" s="107">
        <f ca="1">OFFSET(tab_tipo_Combustivel!$A$1,MATCH(B1035,tab_tipo_Combustivel!$A$2:$A$150,0),MATCH(A1035,tab_tipo_Combustivel!$B$1:$AQ$1,0),1,1)</f>
        <v>495.06</v>
      </c>
    </row>
    <row r="1036" spans="1:3">
      <c r="A1036" s="3">
        <f t="shared" si="28"/>
        <v>2019</v>
      </c>
      <c r="B1036" s="106">
        <f t="shared" si="29"/>
        <v>249</v>
      </c>
      <c r="C1036" s="107">
        <f ca="1">OFFSET(tab_tipo_Combustivel!$A$1,MATCH(B1036,tab_tipo_Combustivel!$A$2:$A$150,0),MATCH(A1036,tab_tipo_Combustivel!$B$1:$AQ$1,0),1,1)</f>
        <v>842.33</v>
      </c>
    </row>
    <row r="1037" spans="1:3">
      <c r="A1037" s="3">
        <f t="shared" si="28"/>
        <v>2019</v>
      </c>
      <c r="B1037" s="106">
        <f t="shared" si="29"/>
        <v>250</v>
      </c>
      <c r="C1037" s="107">
        <f ca="1">OFFSET(tab_tipo_Combustivel!$A$1,MATCH(B1037,tab_tipo_Combustivel!$A$2:$A$150,0),MATCH(A1037,tab_tipo_Combustivel!$B$1:$AQ$1,0),1,1)</f>
        <v>1176.45</v>
      </c>
    </row>
    <row r="1038" spans="1:3">
      <c r="A1038" s="3">
        <f t="shared" si="28"/>
        <v>2019</v>
      </c>
      <c r="B1038" s="106">
        <f t="shared" si="29"/>
        <v>251</v>
      </c>
      <c r="C1038" s="107">
        <f ca="1">OFFSET(tab_tipo_Combustivel!$A$1,MATCH(B1038,tab_tipo_Combustivel!$A$2:$A$150,0),MATCH(A1038,tab_tipo_Combustivel!$B$1:$AQ$1,0),1,1)</f>
        <v>842.33</v>
      </c>
    </row>
    <row r="1039" spans="1:3">
      <c r="A1039" s="3">
        <f t="shared" si="28"/>
        <v>2019</v>
      </c>
      <c r="B1039" s="106">
        <f t="shared" si="29"/>
        <v>252</v>
      </c>
      <c r="C1039" s="107">
        <f ca="1">OFFSET(tab_tipo_Combustivel!$A$1,MATCH(B1039,tab_tipo_Combustivel!$A$2:$A$150,0),MATCH(A1039,tab_tipo_Combustivel!$B$1:$AQ$1,0),1,1)</f>
        <v>842.33</v>
      </c>
    </row>
    <row r="1040" spans="1:3">
      <c r="A1040" s="3">
        <f t="shared" si="28"/>
        <v>2019</v>
      </c>
      <c r="B1040" s="106">
        <f t="shared" si="29"/>
        <v>253</v>
      </c>
      <c r="C1040" s="107">
        <f ca="1">OFFSET(tab_tipo_Combustivel!$A$1,MATCH(B1040,tab_tipo_Combustivel!$A$2:$A$150,0),MATCH(A1040,tab_tipo_Combustivel!$B$1:$AQ$1,0),1,1)</f>
        <v>279.45</v>
      </c>
    </row>
    <row r="1041" spans="1:3">
      <c r="A1041" s="3">
        <f t="shared" si="28"/>
        <v>2019</v>
      </c>
      <c r="B1041" s="106">
        <f t="shared" si="29"/>
        <v>254</v>
      </c>
      <c r="C1041" s="107">
        <f ca="1">OFFSET(tab_tipo_Combustivel!$A$1,MATCH(B1041,tab_tipo_Combustivel!$A$2:$A$150,0),MATCH(A1041,tab_tipo_Combustivel!$B$1:$AQ$1,0),1,1)</f>
        <v>1153.98</v>
      </c>
    </row>
    <row r="1042" spans="1:3">
      <c r="A1042" s="3">
        <f t="shared" si="28"/>
        <v>2019</v>
      </c>
      <c r="B1042" s="106">
        <f t="shared" si="29"/>
        <v>255</v>
      </c>
      <c r="C1042" s="107">
        <f ca="1">OFFSET(tab_tipo_Combustivel!$A$1,MATCH(B1042,tab_tipo_Combustivel!$A$2:$A$150,0),MATCH(A1042,tab_tipo_Combustivel!$B$1:$AQ$1,0),1,1)</f>
        <v>828.98</v>
      </c>
    </row>
    <row r="1043" spans="1:3">
      <c r="A1043" s="3">
        <f t="shared" si="28"/>
        <v>2019</v>
      </c>
      <c r="B1043" s="106">
        <f t="shared" si="29"/>
        <v>256</v>
      </c>
      <c r="C1043" s="107">
        <f ca="1">OFFSET(tab_tipo_Combustivel!$A$1,MATCH(B1043,tab_tipo_Combustivel!$A$2:$A$150,0),MATCH(A1043,tab_tipo_Combustivel!$B$1:$AQ$1,0),1,1)</f>
        <v>562.65</v>
      </c>
    </row>
    <row r="1044" spans="1:3">
      <c r="A1044" s="3">
        <f t="shared" si="28"/>
        <v>2019</v>
      </c>
      <c r="B1044" s="106">
        <f t="shared" si="29"/>
        <v>257</v>
      </c>
      <c r="C1044" s="107">
        <f ca="1">OFFSET(tab_tipo_Combustivel!$A$1,MATCH(B1044,tab_tipo_Combustivel!$A$2:$A$150,0),MATCH(A1044,tab_tipo_Combustivel!$B$1:$AQ$1,0),1,1)</f>
        <v>907.52</v>
      </c>
    </row>
    <row r="1045" spans="1:3">
      <c r="A1045" s="3">
        <f t="shared" si="28"/>
        <v>2019</v>
      </c>
      <c r="B1045" s="106">
        <f t="shared" si="29"/>
        <v>258</v>
      </c>
      <c r="C1045" s="107">
        <f ca="1">OFFSET(tab_tipo_Combustivel!$A$1,MATCH(B1045,tab_tipo_Combustivel!$A$2:$A$150,0),MATCH(A1045,tab_tipo_Combustivel!$B$1:$AQ$1,0),1,1)</f>
        <v>1016.04</v>
      </c>
    </row>
    <row r="1046" spans="1:3">
      <c r="A1046" s="3">
        <f t="shared" si="28"/>
        <v>2019</v>
      </c>
      <c r="B1046" s="106">
        <f t="shared" si="29"/>
        <v>259</v>
      </c>
      <c r="C1046" s="107">
        <f ca="1">OFFSET(tab_tipo_Combustivel!$A$1,MATCH(B1046,tab_tipo_Combustivel!$A$2:$A$150,0),MATCH(A1046,tab_tipo_Combustivel!$B$1:$AQ$1,0),1,1)</f>
        <v>977.53</v>
      </c>
    </row>
    <row r="1047" spans="1:3">
      <c r="A1047" s="3">
        <f t="shared" si="28"/>
        <v>2019</v>
      </c>
      <c r="B1047" s="106">
        <f t="shared" si="29"/>
        <v>260</v>
      </c>
      <c r="C1047" s="107">
        <f ca="1">OFFSET(tab_tipo_Combustivel!$A$1,MATCH(B1047,tab_tipo_Combustivel!$A$2:$A$150,0),MATCH(A1047,tab_tipo_Combustivel!$B$1:$AQ$1,0),1,1)</f>
        <v>827.17</v>
      </c>
    </row>
    <row r="1048" spans="1:3">
      <c r="A1048" s="3">
        <f t="shared" si="28"/>
        <v>2019</v>
      </c>
      <c r="B1048" s="106">
        <f t="shared" si="29"/>
        <v>261</v>
      </c>
      <c r="C1048" s="107">
        <f ca="1">OFFSET(tab_tipo_Combustivel!$A$1,MATCH(B1048,tab_tipo_Combustivel!$A$2:$A$150,0),MATCH(A1048,tab_tipo_Combustivel!$B$1:$AQ$1,0),1,1)</f>
        <v>829.7</v>
      </c>
    </row>
    <row r="1049" spans="1:3">
      <c r="A1049" s="3">
        <f t="shared" si="28"/>
        <v>2019</v>
      </c>
      <c r="B1049" s="106">
        <f t="shared" si="29"/>
        <v>262</v>
      </c>
      <c r="C1049" s="107">
        <f ca="1">OFFSET(tab_tipo_Combustivel!$A$1,MATCH(B1049,tab_tipo_Combustivel!$A$2:$A$150,0),MATCH(A1049,tab_tipo_Combustivel!$B$1:$AQ$1,0),1,1)</f>
        <v>495.75</v>
      </c>
    </row>
    <row r="1050" spans="1:3">
      <c r="A1050" s="3">
        <f t="shared" si="28"/>
        <v>2019</v>
      </c>
      <c r="B1050" s="106">
        <f t="shared" si="29"/>
        <v>263</v>
      </c>
      <c r="C1050" s="107">
        <f ca="1">OFFSET(tab_tipo_Combustivel!$A$1,MATCH(B1050,tab_tipo_Combustivel!$A$2:$A$150,0),MATCH(A1050,tab_tipo_Combustivel!$B$1:$AQ$1,0),1,1)</f>
        <v>474.77</v>
      </c>
    </row>
    <row r="1051" spans="1:3">
      <c r="A1051" s="3">
        <f t="shared" si="28"/>
        <v>2019</v>
      </c>
      <c r="B1051" s="106">
        <f t="shared" si="29"/>
        <v>264</v>
      </c>
      <c r="C1051" s="107">
        <f ca="1">OFFSET(tab_tipo_Combustivel!$A$1,MATCH(B1051,tab_tipo_Combustivel!$A$2:$A$150,0),MATCH(A1051,tab_tipo_Combustivel!$B$1:$AQ$1,0),1,1)</f>
        <v>842.33</v>
      </c>
    </row>
    <row r="1052" spans="1:3">
      <c r="A1052" s="3">
        <f t="shared" si="28"/>
        <v>2019</v>
      </c>
      <c r="B1052" s="106">
        <f t="shared" si="29"/>
        <v>265</v>
      </c>
      <c r="C1052" s="107">
        <f ca="1">OFFSET(tab_tipo_Combustivel!$A$1,MATCH(B1052,tab_tipo_Combustivel!$A$2:$A$150,0),MATCH(A1052,tab_tipo_Combustivel!$B$1:$AQ$1,0),1,1)</f>
        <v>415.82</v>
      </c>
    </row>
    <row r="1053" spans="1:3">
      <c r="A1053" s="3">
        <f t="shared" si="28"/>
        <v>2019</v>
      </c>
      <c r="B1053" s="106">
        <f t="shared" si="29"/>
        <v>266</v>
      </c>
      <c r="C1053" s="107">
        <f ca="1">OFFSET(tab_tipo_Combustivel!$A$1,MATCH(B1053,tab_tipo_Combustivel!$A$2:$A$150,0),MATCH(A1053,tab_tipo_Combustivel!$B$1:$AQ$1,0),1,1)</f>
        <v>827.17</v>
      </c>
    </row>
    <row r="1054" spans="1:3">
      <c r="A1054" s="3">
        <f t="shared" si="28"/>
        <v>2019</v>
      </c>
      <c r="B1054" s="106">
        <f t="shared" si="29"/>
        <v>301</v>
      </c>
      <c r="C1054" s="107">
        <f ca="1">OFFSET(tab_tipo_Combustivel!$A$1,MATCH(B1054,tab_tipo_Combustivel!$A$2:$A$150,0),MATCH(A1054,tab_tipo_Combustivel!$B$1:$AQ$1,0),1,1)</f>
        <v>99.08</v>
      </c>
    </row>
    <row r="1055" spans="1:3">
      <c r="A1055" s="3">
        <f t="shared" si="28"/>
        <v>2019</v>
      </c>
      <c r="B1055" s="106">
        <f t="shared" si="29"/>
        <v>302</v>
      </c>
      <c r="C1055" s="107">
        <f ca="1">OFFSET(tab_tipo_Combustivel!$A$1,MATCH(B1055,tab_tipo_Combustivel!$A$2:$A$150,0),MATCH(A1055,tab_tipo_Combustivel!$B$1:$AQ$1,0),1,1)</f>
        <v>103.73</v>
      </c>
    </row>
    <row r="1056" spans="1:3">
      <c r="A1056" s="3">
        <f t="shared" si="28"/>
        <v>2019</v>
      </c>
      <c r="B1056" s="106">
        <f t="shared" si="29"/>
        <v>303</v>
      </c>
      <c r="C1056" s="107">
        <f ca="1">OFFSET(tab_tipo_Combustivel!$A$1,MATCH(B1056,tab_tipo_Combustivel!$A$2:$A$150,0),MATCH(A1056,tab_tipo_Combustivel!$B$1:$AQ$1,0),1,1)</f>
        <v>103.73</v>
      </c>
    </row>
    <row r="1057" spans="1:3">
      <c r="A1057" s="3">
        <f t="shared" si="28"/>
        <v>2019</v>
      </c>
      <c r="B1057" s="106">
        <f t="shared" si="29"/>
        <v>304</v>
      </c>
      <c r="C1057" s="107">
        <f ca="1">OFFSET(tab_tipo_Combustivel!$A$1,MATCH(B1057,tab_tipo_Combustivel!$A$2:$A$150,0),MATCH(A1057,tab_tipo_Combustivel!$B$1:$AQ$1,0),1,1)</f>
        <v>139.41999999999999</v>
      </c>
    </row>
    <row r="1058" spans="1:3">
      <c r="A1058" s="3">
        <f t="shared" si="28"/>
        <v>2019</v>
      </c>
      <c r="B1058" s="106">
        <f t="shared" si="29"/>
        <v>305</v>
      </c>
      <c r="C1058" s="107">
        <f ca="1">OFFSET(tab_tipo_Combustivel!$A$1,MATCH(B1058,tab_tipo_Combustivel!$A$2:$A$150,0),MATCH(A1058,tab_tipo_Combustivel!$B$1:$AQ$1,0),1,1)</f>
        <v>89.7</v>
      </c>
    </row>
    <row r="1059" spans="1:3">
      <c r="A1059" s="3">
        <f t="shared" si="28"/>
        <v>2019</v>
      </c>
      <c r="B1059" s="106">
        <f t="shared" si="29"/>
        <v>306</v>
      </c>
      <c r="C1059" s="107">
        <f ca="1">OFFSET(tab_tipo_Combustivel!$A$1,MATCH(B1059,tab_tipo_Combustivel!$A$2:$A$150,0),MATCH(A1059,tab_tipo_Combustivel!$B$1:$AQ$1,0),1,1)</f>
        <v>100.38</v>
      </c>
    </row>
    <row r="1060" spans="1:3">
      <c r="A1060" s="3">
        <f t="shared" si="28"/>
        <v>2019</v>
      </c>
      <c r="B1060" s="106">
        <f t="shared" si="29"/>
        <v>307</v>
      </c>
      <c r="C1060" s="107">
        <f ca="1">OFFSET(tab_tipo_Combustivel!$A$1,MATCH(B1060,tab_tipo_Combustivel!$A$2:$A$150,0),MATCH(A1060,tab_tipo_Combustivel!$B$1:$AQ$1,0),1,1)</f>
        <v>510.12</v>
      </c>
    </row>
    <row r="1061" spans="1:3">
      <c r="A1061" s="3">
        <f t="shared" si="28"/>
        <v>2019</v>
      </c>
      <c r="B1061" s="106">
        <f t="shared" si="29"/>
        <v>308</v>
      </c>
      <c r="C1061" s="107">
        <f ca="1">OFFSET(tab_tipo_Combustivel!$A$1,MATCH(B1061,tab_tipo_Combustivel!$A$2:$A$150,0),MATCH(A1061,tab_tipo_Combustivel!$B$1:$AQ$1,0),1,1)</f>
        <v>72.5</v>
      </c>
    </row>
    <row r="1062" spans="1:3">
      <c r="A1062" s="3">
        <f t="shared" si="28"/>
        <v>2019</v>
      </c>
      <c r="B1062" s="106">
        <f t="shared" si="29"/>
        <v>309</v>
      </c>
      <c r="C1062" s="107">
        <f ca="1">OFFSET(tab_tipo_Combustivel!$A$1,MATCH(B1062,tab_tipo_Combustivel!$A$2:$A$150,0),MATCH(A1062,tab_tipo_Combustivel!$B$1:$AQ$1,0),1,1)</f>
        <v>126.77</v>
      </c>
    </row>
    <row r="1063" spans="1:3">
      <c r="A1063" s="3">
        <f t="shared" si="28"/>
        <v>2019</v>
      </c>
      <c r="B1063" s="106">
        <f t="shared" si="29"/>
        <v>310</v>
      </c>
      <c r="C1063" s="107">
        <f ca="1">OFFSET(tab_tipo_Combustivel!$A$1,MATCH(B1063,tab_tipo_Combustivel!$A$2:$A$150,0),MATCH(A1063,tab_tipo_Combustivel!$B$1:$AQ$1,0),1,1)</f>
        <v>275.99</v>
      </c>
    </row>
    <row r="1064" spans="1:3">
      <c r="A1064" s="3">
        <f t="shared" si="28"/>
        <v>2019</v>
      </c>
      <c r="B1064" s="106">
        <f t="shared" si="29"/>
        <v>311</v>
      </c>
      <c r="C1064" s="107">
        <f ca="1">OFFSET(tab_tipo_Combustivel!$A$1,MATCH(B1064,tab_tipo_Combustivel!$A$2:$A$150,0),MATCH(A1064,tab_tipo_Combustivel!$B$1:$AQ$1,0),1,1)</f>
        <v>70.66</v>
      </c>
    </row>
    <row r="1065" spans="1:3">
      <c r="A1065" s="3">
        <f t="shared" si="28"/>
        <v>2019</v>
      </c>
      <c r="B1065" s="106">
        <f t="shared" si="29"/>
        <v>312</v>
      </c>
      <c r="C1065" s="107">
        <f ca="1">OFFSET(tab_tipo_Combustivel!$A$1,MATCH(B1065,tab_tipo_Combustivel!$A$2:$A$150,0),MATCH(A1065,tab_tipo_Combustivel!$B$1:$AQ$1,0),1,1)</f>
        <v>0</v>
      </c>
    </row>
    <row r="1066" spans="1:3">
      <c r="A1066" s="3">
        <f t="shared" si="28"/>
        <v>2019</v>
      </c>
      <c r="B1066" s="106">
        <f t="shared" si="29"/>
        <v>1301</v>
      </c>
      <c r="C1066" s="107">
        <f ca="1">OFFSET(tab_tipo_Combustivel!$A$1,MATCH(B1066,tab_tipo_Combustivel!$A$2:$A$150,0),MATCH(A1066,tab_tipo_Combustivel!$B$1:$AQ$1,0),1,1)</f>
        <v>242.05</v>
      </c>
    </row>
    <row r="1067" spans="1:3">
      <c r="A1067" s="3">
        <f t="shared" si="28"/>
        <v>2019</v>
      </c>
      <c r="B1067" s="106">
        <f t="shared" si="29"/>
        <v>1302</v>
      </c>
      <c r="C1067" s="107">
        <f ca="1">OFFSET(tab_tipo_Combustivel!$A$1,MATCH(B1067,tab_tipo_Combustivel!$A$2:$A$150,0),MATCH(A1067,tab_tipo_Combustivel!$B$1:$AQ$1,0),1,1)</f>
        <v>193.64</v>
      </c>
    </row>
    <row r="1068" spans="1:3">
      <c r="A1068" s="3">
        <f t="shared" si="28"/>
        <v>2019</v>
      </c>
      <c r="B1068" s="106">
        <f t="shared" si="29"/>
        <v>1303</v>
      </c>
      <c r="C1068" s="107">
        <f ca="1">OFFSET(tab_tipo_Combustivel!$A$1,MATCH(B1068,tab_tipo_Combustivel!$A$2:$A$150,0),MATCH(A1068,tab_tipo_Combustivel!$B$1:$AQ$1,0),1,1)</f>
        <v>25.58</v>
      </c>
    </row>
    <row r="1069" spans="1:3">
      <c r="A1069" s="3">
        <f t="shared" si="28"/>
        <v>2019</v>
      </c>
      <c r="B1069" s="106">
        <f t="shared" si="29"/>
        <v>1304</v>
      </c>
      <c r="C1069" s="107">
        <f ca="1">OFFSET(tab_tipo_Combustivel!$A$1,MATCH(B1069,tab_tipo_Combustivel!$A$2:$A$150,0),MATCH(A1069,tab_tipo_Combustivel!$B$1:$AQ$1,0),1,1)</f>
        <v>0</v>
      </c>
    </row>
    <row r="1070" spans="1:3">
      <c r="A1070" s="3">
        <f t="shared" si="28"/>
        <v>2019</v>
      </c>
      <c r="B1070" s="106">
        <f t="shared" si="29"/>
        <v>1315</v>
      </c>
      <c r="C1070" s="107">
        <f ca="1">OFFSET(tab_tipo_Combustivel!$A$1,MATCH(B1070,tab_tipo_Combustivel!$A$2:$A$150,0),MATCH(A1070,tab_tipo_Combustivel!$B$1:$AQ$1,0),1,1)</f>
        <v>0</v>
      </c>
    </row>
    <row r="1071" spans="1:3">
      <c r="A1071" s="3">
        <f t="shared" si="28"/>
        <v>2019</v>
      </c>
      <c r="B1071" s="106">
        <f t="shared" si="29"/>
        <v>1316</v>
      </c>
      <c r="C1071" s="107">
        <f ca="1">OFFSET(tab_tipo_Combustivel!$A$1,MATCH(B1071,tab_tipo_Combustivel!$A$2:$A$150,0),MATCH(A1071,tab_tipo_Combustivel!$B$1:$AQ$1,0),1,1)</f>
        <v>0</v>
      </c>
    </row>
    <row r="1072" spans="1:3">
      <c r="A1072" s="3">
        <f t="shared" si="28"/>
        <v>2019</v>
      </c>
      <c r="B1072" s="106">
        <f t="shared" si="29"/>
        <v>1318</v>
      </c>
      <c r="C1072" s="107">
        <f ca="1">OFFSET(tab_tipo_Combustivel!$A$1,MATCH(B1072,tab_tipo_Combustivel!$A$2:$A$150,0),MATCH(A1072,tab_tipo_Combustivel!$B$1:$AQ$1,0),1,1)</f>
        <v>200</v>
      </c>
    </row>
    <row r="1073" spans="1:3">
      <c r="A1073" s="3">
        <f t="shared" si="28"/>
        <v>2019</v>
      </c>
      <c r="B1073" s="106">
        <f t="shared" si="29"/>
        <v>1321</v>
      </c>
      <c r="C1073" s="107">
        <f ca="1">OFFSET(tab_tipo_Combustivel!$A$1,MATCH(B1073,tab_tipo_Combustivel!$A$2:$A$150,0),MATCH(A1073,tab_tipo_Combustivel!$B$1:$AQ$1,0),1,1)</f>
        <v>85</v>
      </c>
    </row>
    <row r="1074" spans="1:3">
      <c r="A1074" s="3">
        <f t="shared" si="28"/>
        <v>2019</v>
      </c>
      <c r="B1074" s="106">
        <f t="shared" si="29"/>
        <v>1322</v>
      </c>
      <c r="C1074" s="107">
        <f ca="1">OFFSET(tab_tipo_Combustivel!$A$1,MATCH(B1074,tab_tipo_Combustivel!$A$2:$A$150,0),MATCH(A1074,tab_tipo_Combustivel!$B$1:$AQ$1,0),1,1)</f>
        <v>140</v>
      </c>
    </row>
    <row r="1075" spans="1:3">
      <c r="A1075" s="3">
        <f t="shared" si="28"/>
        <v>2019</v>
      </c>
      <c r="B1075" s="106">
        <f t="shared" si="29"/>
        <v>1323</v>
      </c>
      <c r="C1075" s="107">
        <f ca="1">OFFSET(tab_tipo_Combustivel!$A$1,MATCH(B1075,tab_tipo_Combustivel!$A$2:$A$150,0),MATCH(A1075,tab_tipo_Combustivel!$B$1:$AQ$1,0),1,1)</f>
        <v>63.75</v>
      </c>
    </row>
    <row r="1076" spans="1:3">
      <c r="A1076" s="3">
        <f t="shared" si="28"/>
        <v>2019</v>
      </c>
      <c r="B1076" s="106">
        <f t="shared" si="29"/>
        <v>1325</v>
      </c>
      <c r="C1076" s="107">
        <f ca="1">OFFSET(tab_tipo_Combustivel!$A$1,MATCH(B1076,tab_tipo_Combustivel!$A$2:$A$150,0),MATCH(A1076,tab_tipo_Combustivel!$B$1:$AQ$1,0),1,1)</f>
        <v>0</v>
      </c>
    </row>
    <row r="1077" spans="1:3">
      <c r="A1077" s="3">
        <f t="shared" si="28"/>
        <v>2019</v>
      </c>
      <c r="B1077" s="106">
        <f t="shared" si="29"/>
        <v>1326</v>
      </c>
      <c r="C1077" s="107">
        <f ca="1">OFFSET(tab_tipo_Combustivel!$A$1,MATCH(B1077,tab_tipo_Combustivel!$A$2:$A$150,0),MATCH(A1077,tab_tipo_Combustivel!$B$1:$AQ$1,0),1,1)</f>
        <v>260</v>
      </c>
    </row>
    <row r="1078" spans="1:3">
      <c r="A1078" s="3">
        <f t="shared" si="28"/>
        <v>2019</v>
      </c>
      <c r="B1078" s="106">
        <f t="shared" si="29"/>
        <v>1501</v>
      </c>
      <c r="C1078" s="107">
        <f ca="1">OFFSET(tab_tipo_Combustivel!$A$1,MATCH(B1078,tab_tipo_Combustivel!$A$2:$A$150,0),MATCH(A1078,tab_tipo_Combustivel!$B$1:$AQ$1,0),1,1)</f>
        <v>260</v>
      </c>
    </row>
    <row r="1079" spans="1:3">
      <c r="A1079" s="3">
        <f t="shared" si="28"/>
        <v>2019</v>
      </c>
      <c r="B1079" s="106">
        <f t="shared" si="29"/>
        <v>1502</v>
      </c>
      <c r="C1079" s="107">
        <f ca="1">OFFSET(tab_tipo_Combustivel!$A$1,MATCH(B1079,tab_tipo_Combustivel!$A$2:$A$150,0),MATCH(A1079,tab_tipo_Combustivel!$B$1:$AQ$1,0),1,1)</f>
        <v>60</v>
      </c>
    </row>
    <row r="1080" spans="1:3">
      <c r="A1080" s="3">
        <f t="shared" si="28"/>
        <v>2019</v>
      </c>
      <c r="B1080" s="106">
        <f t="shared" si="29"/>
        <v>1503</v>
      </c>
      <c r="C1080" s="107">
        <f ca="1">OFFSET(tab_tipo_Combustivel!$A$1,MATCH(B1080,tab_tipo_Combustivel!$A$2:$A$150,0),MATCH(A1080,tab_tipo_Combustivel!$B$1:$AQ$1,0),1,1)</f>
        <v>96.82</v>
      </c>
    </row>
    <row r="1081" spans="1:3">
      <c r="A1081" s="3">
        <f t="shared" si="28"/>
        <v>2019</v>
      </c>
      <c r="B1081" s="106">
        <f t="shared" si="29"/>
        <v>1504</v>
      </c>
      <c r="C1081" s="107">
        <f ca="1">OFFSET(tab_tipo_Combustivel!$A$1,MATCH(B1081,tab_tipo_Combustivel!$A$2:$A$150,0),MATCH(A1081,tab_tipo_Combustivel!$B$1:$AQ$1,0),1,1)</f>
        <v>145.22999999999999</v>
      </c>
    </row>
    <row r="1082" spans="1:3">
      <c r="A1082" s="3">
        <f t="shared" si="28"/>
        <v>2020</v>
      </c>
      <c r="B1082" s="106">
        <f t="shared" si="29"/>
        <v>1</v>
      </c>
      <c r="C1082" s="107">
        <f ca="1">OFFSET(tab_tipo_Combustivel!$A$1,MATCH(B1082,tab_tipo_Combustivel!$A$2:$A$150,0),MATCH(A1082,tab_tipo_Combustivel!$B$1:$AQ$1,0),1,1)</f>
        <v>29.13</v>
      </c>
    </row>
    <row r="1083" spans="1:3">
      <c r="A1083" s="3">
        <f t="shared" si="28"/>
        <v>2020</v>
      </c>
      <c r="B1083" s="106">
        <f t="shared" si="29"/>
        <v>2</v>
      </c>
      <c r="C1083" s="107">
        <f ca="1">OFFSET(tab_tipo_Combustivel!$A$1,MATCH(B1083,tab_tipo_Combustivel!$A$2:$A$150,0),MATCH(A1083,tab_tipo_Combustivel!$B$1:$AQ$1,0),1,1)</f>
        <v>842.33</v>
      </c>
    </row>
    <row r="1084" spans="1:3">
      <c r="A1084" s="3">
        <f t="shared" si="28"/>
        <v>2020</v>
      </c>
      <c r="B1084" s="106">
        <f t="shared" si="29"/>
        <v>4</v>
      </c>
      <c r="C1084" s="107">
        <f ca="1">OFFSET(tab_tipo_Combustivel!$A$1,MATCH(B1084,tab_tipo_Combustivel!$A$2:$A$150,0),MATCH(A1084,tab_tipo_Combustivel!$B$1:$AQ$1,0),1,1)</f>
        <v>842.33</v>
      </c>
    </row>
    <row r="1085" spans="1:3">
      <c r="A1085" s="3">
        <f t="shared" si="28"/>
        <v>2020</v>
      </c>
      <c r="B1085" s="106">
        <f t="shared" si="29"/>
        <v>9</v>
      </c>
      <c r="C1085" s="107">
        <f ca="1">OFFSET(tab_tipo_Combustivel!$A$1,MATCH(B1085,tab_tipo_Combustivel!$A$2:$A$150,0),MATCH(A1085,tab_tipo_Combustivel!$B$1:$AQ$1,0),1,1)</f>
        <v>842.33</v>
      </c>
    </row>
    <row r="1086" spans="1:3">
      <c r="A1086" s="3">
        <f t="shared" si="28"/>
        <v>2020</v>
      </c>
      <c r="B1086" s="106">
        <f t="shared" si="29"/>
        <v>12</v>
      </c>
      <c r="C1086" s="107">
        <f ca="1">OFFSET(tab_tipo_Combustivel!$A$1,MATCH(B1086,tab_tipo_Combustivel!$A$2:$A$150,0),MATCH(A1086,tab_tipo_Combustivel!$B$1:$AQ$1,0),1,1)</f>
        <v>728.87</v>
      </c>
    </row>
    <row r="1087" spans="1:3">
      <c r="A1087" s="3">
        <f t="shared" si="28"/>
        <v>2020</v>
      </c>
      <c r="B1087" s="106">
        <f t="shared" si="29"/>
        <v>13</v>
      </c>
      <c r="C1087" s="107">
        <f ca="1">OFFSET(tab_tipo_Combustivel!$A$1,MATCH(B1087,tab_tipo_Combustivel!$A$2:$A$150,0),MATCH(A1087,tab_tipo_Combustivel!$B$1:$AQ$1,0),1,1)</f>
        <v>20.12</v>
      </c>
    </row>
    <row r="1088" spans="1:3">
      <c r="A1088" s="3">
        <f t="shared" si="28"/>
        <v>2020</v>
      </c>
      <c r="B1088" s="106">
        <f t="shared" si="29"/>
        <v>15</v>
      </c>
      <c r="C1088" s="107">
        <f ca="1">OFFSET(tab_tipo_Combustivel!$A$1,MATCH(B1088,tab_tipo_Combustivel!$A$2:$A$150,0),MATCH(A1088,tab_tipo_Combustivel!$B$1:$AQ$1,0),1,1)</f>
        <v>257.29000000000002</v>
      </c>
    </row>
    <row r="1089" spans="1:3">
      <c r="A1089" s="3">
        <f t="shared" si="28"/>
        <v>2020</v>
      </c>
      <c r="B1089" s="106">
        <f t="shared" si="29"/>
        <v>21</v>
      </c>
      <c r="C1089" s="107">
        <f ca="1">OFFSET(tab_tipo_Combustivel!$A$1,MATCH(B1089,tab_tipo_Combustivel!$A$2:$A$150,0),MATCH(A1089,tab_tipo_Combustivel!$B$1:$AQ$1,0),1,1)</f>
        <v>157.83000000000001</v>
      </c>
    </row>
    <row r="1090" spans="1:3">
      <c r="A1090" s="3">
        <f t="shared" si="28"/>
        <v>2020</v>
      </c>
      <c r="B1090" s="106">
        <f t="shared" si="29"/>
        <v>22</v>
      </c>
      <c r="C1090" s="107">
        <f ca="1">OFFSET(tab_tipo_Combustivel!$A$1,MATCH(B1090,tab_tipo_Combustivel!$A$2:$A$150,0),MATCH(A1090,tab_tipo_Combustivel!$B$1:$AQ$1,0),1,1)</f>
        <v>115.9</v>
      </c>
    </row>
    <row r="1091" spans="1:3">
      <c r="A1091" s="3">
        <f t="shared" si="28"/>
        <v>2020</v>
      </c>
      <c r="B1091" s="106">
        <f t="shared" si="29"/>
        <v>23</v>
      </c>
      <c r="C1091" s="107">
        <f ca="1">OFFSET(tab_tipo_Combustivel!$A$1,MATCH(B1091,tab_tipo_Combustivel!$A$2:$A$150,0),MATCH(A1091,tab_tipo_Combustivel!$B$1:$AQ$1,0),1,1)</f>
        <v>115.9</v>
      </c>
    </row>
    <row r="1092" spans="1:3">
      <c r="A1092" s="3">
        <f t="shared" si="28"/>
        <v>2020</v>
      </c>
      <c r="B1092" s="106">
        <f t="shared" si="29"/>
        <v>24</v>
      </c>
      <c r="C1092" s="107">
        <f ca="1">OFFSET(tab_tipo_Combustivel!$A$1,MATCH(B1092,tab_tipo_Combustivel!$A$2:$A$150,0),MATCH(A1092,tab_tipo_Combustivel!$B$1:$AQ$1,0),1,1)</f>
        <v>155.85</v>
      </c>
    </row>
    <row r="1093" spans="1:3">
      <c r="A1093" s="3">
        <f t="shared" si="28"/>
        <v>2020</v>
      </c>
      <c r="B1093" s="106">
        <f t="shared" si="29"/>
        <v>25</v>
      </c>
      <c r="C1093" s="107">
        <f ca="1">OFFSET(tab_tipo_Combustivel!$A$1,MATCH(B1093,tab_tipo_Combustivel!$A$2:$A$150,0),MATCH(A1093,tab_tipo_Combustivel!$B$1:$AQ$1,0),1,1)</f>
        <v>186.33</v>
      </c>
    </row>
    <row r="1094" spans="1:3">
      <c r="A1094" s="3">
        <f t="shared" si="28"/>
        <v>2020</v>
      </c>
      <c r="B1094" s="106">
        <f t="shared" si="29"/>
        <v>26</v>
      </c>
      <c r="C1094" s="107">
        <f ca="1">OFFSET(tab_tipo_Combustivel!$A$1,MATCH(B1094,tab_tipo_Combustivel!$A$2:$A$150,0),MATCH(A1094,tab_tipo_Combustivel!$B$1:$AQ$1,0),1,1)</f>
        <v>258.42</v>
      </c>
    </row>
    <row r="1095" spans="1:3">
      <c r="A1095" s="3">
        <f t="shared" si="28"/>
        <v>2020</v>
      </c>
      <c r="B1095" s="106">
        <f t="shared" si="29"/>
        <v>27</v>
      </c>
      <c r="C1095" s="107">
        <f ca="1">OFFSET(tab_tipo_Combustivel!$A$1,MATCH(B1095,tab_tipo_Combustivel!$A$2:$A$150,0),MATCH(A1095,tab_tipo_Combustivel!$B$1:$AQ$1,0),1,1)</f>
        <v>195.49</v>
      </c>
    </row>
    <row r="1096" spans="1:3">
      <c r="A1096" s="3">
        <f t="shared" si="28"/>
        <v>2020</v>
      </c>
      <c r="B1096" s="106">
        <f t="shared" si="29"/>
        <v>28</v>
      </c>
      <c r="C1096" s="107">
        <f ca="1">OFFSET(tab_tipo_Combustivel!$A$1,MATCH(B1096,tab_tipo_Combustivel!$A$2:$A$150,0),MATCH(A1096,tab_tipo_Combustivel!$B$1:$AQ$1,0),1,1)</f>
        <v>459.92</v>
      </c>
    </row>
    <row r="1097" spans="1:3">
      <c r="A1097" s="3">
        <f t="shared" si="28"/>
        <v>2020</v>
      </c>
      <c r="B1097" s="106">
        <f t="shared" si="29"/>
        <v>32</v>
      </c>
      <c r="C1097" s="107">
        <f ca="1">OFFSET(tab_tipo_Combustivel!$A$1,MATCH(B1097,tab_tipo_Combustivel!$A$2:$A$150,0),MATCH(A1097,tab_tipo_Combustivel!$B$1:$AQ$1,0),1,1)</f>
        <v>248.31</v>
      </c>
    </row>
    <row r="1098" spans="1:3">
      <c r="A1098" s="3">
        <f t="shared" ref="A1098:A1161" si="30">A963+1</f>
        <v>2020</v>
      </c>
      <c r="B1098" s="106">
        <f t="shared" ref="B1098:B1161" si="31">B963</f>
        <v>34</v>
      </c>
      <c r="C1098" s="107">
        <f ca="1">OFFSET(tab_tipo_Combustivel!$A$1,MATCH(B1098,tab_tipo_Combustivel!$A$2:$A$150,0),MATCH(A1098,tab_tipo_Combustivel!$B$1:$AQ$1,0),1,1)</f>
        <v>423.38</v>
      </c>
    </row>
    <row r="1099" spans="1:3">
      <c r="A1099" s="3">
        <f t="shared" si="30"/>
        <v>2020</v>
      </c>
      <c r="B1099" s="106">
        <f t="shared" si="31"/>
        <v>35</v>
      </c>
      <c r="C1099" s="107">
        <f ca="1">OFFSET(tab_tipo_Combustivel!$A$1,MATCH(B1099,tab_tipo_Combustivel!$A$2:$A$150,0),MATCH(A1099,tab_tipo_Combustivel!$B$1:$AQ$1,0),1,1)</f>
        <v>692.45</v>
      </c>
    </row>
    <row r="1100" spans="1:3">
      <c r="A1100" s="3">
        <f t="shared" si="30"/>
        <v>2020</v>
      </c>
      <c r="B1100" s="106">
        <f t="shared" si="31"/>
        <v>36</v>
      </c>
      <c r="C1100" s="107">
        <f ca="1">OFFSET(tab_tipo_Combustivel!$A$1,MATCH(B1100,tab_tipo_Combustivel!$A$2:$A$150,0),MATCH(A1100,tab_tipo_Combustivel!$B$1:$AQ$1,0),1,1)</f>
        <v>157.83000000000001</v>
      </c>
    </row>
    <row r="1101" spans="1:3">
      <c r="A1101" s="3">
        <f t="shared" si="30"/>
        <v>2020</v>
      </c>
      <c r="B1101" s="106">
        <f t="shared" si="31"/>
        <v>42</v>
      </c>
      <c r="C1101" s="107">
        <f ca="1">OFFSET(tab_tipo_Combustivel!$A$1,MATCH(B1101,tab_tipo_Combustivel!$A$2:$A$150,0),MATCH(A1101,tab_tipo_Combustivel!$B$1:$AQ$1,0),1,1)</f>
        <v>199.22</v>
      </c>
    </row>
    <row r="1102" spans="1:3">
      <c r="A1102" s="3">
        <f t="shared" si="30"/>
        <v>2020</v>
      </c>
      <c r="B1102" s="106">
        <f t="shared" si="31"/>
        <v>43</v>
      </c>
      <c r="C1102" s="107">
        <f ca="1">OFFSET(tab_tipo_Combustivel!$A$1,MATCH(B1102,tab_tipo_Combustivel!$A$2:$A$150,0),MATCH(A1102,tab_tipo_Combustivel!$B$1:$AQ$1,0),1,1)</f>
        <v>431.62</v>
      </c>
    </row>
    <row r="1103" spans="1:3">
      <c r="A1103" s="3">
        <f t="shared" si="30"/>
        <v>2020</v>
      </c>
      <c r="B1103" s="106">
        <f t="shared" si="31"/>
        <v>44</v>
      </c>
      <c r="C1103" s="107">
        <f ca="1">OFFSET(tab_tipo_Combustivel!$A$1,MATCH(B1103,tab_tipo_Combustivel!$A$2:$A$150,0),MATCH(A1103,tab_tipo_Combustivel!$B$1:$AQ$1,0),1,1)</f>
        <v>25.58</v>
      </c>
    </row>
    <row r="1104" spans="1:3">
      <c r="A1104" s="3">
        <f t="shared" si="30"/>
        <v>2020</v>
      </c>
      <c r="B1104" s="106">
        <f t="shared" si="31"/>
        <v>46</v>
      </c>
      <c r="C1104" s="107">
        <f ca="1">OFFSET(tab_tipo_Combustivel!$A$1,MATCH(B1104,tab_tipo_Combustivel!$A$2:$A$150,0),MATCH(A1104,tab_tipo_Combustivel!$B$1:$AQ$1,0),1,1)</f>
        <v>228.91</v>
      </c>
    </row>
    <row r="1105" spans="1:3">
      <c r="A1105" s="3">
        <f t="shared" si="30"/>
        <v>2020</v>
      </c>
      <c r="B1105" s="106">
        <f t="shared" si="31"/>
        <v>47</v>
      </c>
      <c r="C1105" s="107">
        <f ca="1">OFFSET(tab_tipo_Combustivel!$A$1,MATCH(B1105,tab_tipo_Combustivel!$A$2:$A$150,0),MATCH(A1105,tab_tipo_Combustivel!$B$1:$AQ$1,0),1,1)</f>
        <v>235.6</v>
      </c>
    </row>
    <row r="1106" spans="1:3">
      <c r="A1106" s="3">
        <f t="shared" si="30"/>
        <v>2020</v>
      </c>
      <c r="B1106" s="106">
        <f t="shared" si="31"/>
        <v>48</v>
      </c>
      <c r="C1106" s="107">
        <f ca="1">OFFSET(tab_tipo_Combustivel!$A$1,MATCH(B1106,tab_tipo_Combustivel!$A$2:$A$150,0),MATCH(A1106,tab_tipo_Combustivel!$B$1:$AQ$1,0),1,1)</f>
        <v>1012.12</v>
      </c>
    </row>
    <row r="1107" spans="1:3">
      <c r="A1107" s="3">
        <f t="shared" si="30"/>
        <v>2020</v>
      </c>
      <c r="B1107" s="106">
        <f t="shared" si="31"/>
        <v>50</v>
      </c>
      <c r="C1107" s="107">
        <f ca="1">OFFSET(tab_tipo_Combustivel!$A$1,MATCH(B1107,tab_tipo_Combustivel!$A$2:$A$150,0),MATCH(A1107,tab_tipo_Combustivel!$B$1:$AQ$1,0),1,1)</f>
        <v>669.87</v>
      </c>
    </row>
    <row r="1108" spans="1:3">
      <c r="A1108" s="3">
        <f t="shared" si="30"/>
        <v>2020</v>
      </c>
      <c r="B1108" s="106">
        <f t="shared" si="31"/>
        <v>54</v>
      </c>
      <c r="C1108" s="107">
        <f ca="1">OFFSET(tab_tipo_Combustivel!$A$1,MATCH(B1108,tab_tipo_Combustivel!$A$2:$A$150,0),MATCH(A1108,tab_tipo_Combustivel!$B$1:$AQ$1,0),1,1)</f>
        <v>304.55</v>
      </c>
    </row>
    <row r="1109" spans="1:3">
      <c r="A1109" s="3">
        <f t="shared" si="30"/>
        <v>2020</v>
      </c>
      <c r="B1109" s="106">
        <f t="shared" si="31"/>
        <v>58</v>
      </c>
      <c r="C1109" s="107">
        <f ca="1">OFFSET(tab_tipo_Combustivel!$A$1,MATCH(B1109,tab_tipo_Combustivel!$A$2:$A$150,0),MATCH(A1109,tab_tipo_Combustivel!$B$1:$AQ$1,0),1,1)</f>
        <v>300.05</v>
      </c>
    </row>
    <row r="1110" spans="1:3">
      <c r="A1110" s="3">
        <f t="shared" si="30"/>
        <v>2020</v>
      </c>
      <c r="B1110" s="106">
        <f t="shared" si="31"/>
        <v>62</v>
      </c>
      <c r="C1110" s="107">
        <f ca="1">OFFSET(tab_tipo_Combustivel!$A$1,MATCH(B1110,tab_tipo_Combustivel!$A$2:$A$150,0),MATCH(A1110,tab_tipo_Combustivel!$B$1:$AQ$1,0),1,1)</f>
        <v>309.24</v>
      </c>
    </row>
    <row r="1111" spans="1:3">
      <c r="A1111" s="3">
        <f t="shared" si="30"/>
        <v>2020</v>
      </c>
      <c r="B1111" s="106">
        <f t="shared" si="31"/>
        <v>63</v>
      </c>
      <c r="C1111" s="107">
        <f ca="1">OFFSET(tab_tipo_Combustivel!$A$1,MATCH(B1111,tab_tipo_Combustivel!$A$2:$A$150,0),MATCH(A1111,tab_tipo_Combustivel!$B$1:$AQ$1,0),1,1)</f>
        <v>365.77</v>
      </c>
    </row>
    <row r="1112" spans="1:3">
      <c r="A1112" s="3">
        <f t="shared" si="30"/>
        <v>2020</v>
      </c>
      <c r="B1112" s="106">
        <f t="shared" si="31"/>
        <v>64</v>
      </c>
      <c r="C1112" s="107">
        <f ca="1">OFFSET(tab_tipo_Combustivel!$A$1,MATCH(B1112,tab_tipo_Combustivel!$A$2:$A$150,0),MATCH(A1112,tab_tipo_Combustivel!$B$1:$AQ$1,0),1,1)</f>
        <v>853.54</v>
      </c>
    </row>
    <row r="1113" spans="1:3">
      <c r="A1113" s="3">
        <f t="shared" si="30"/>
        <v>2020</v>
      </c>
      <c r="B1113" s="106">
        <f t="shared" si="31"/>
        <v>68</v>
      </c>
      <c r="C1113" s="107">
        <f ca="1">OFFSET(tab_tipo_Combustivel!$A$1,MATCH(B1113,tab_tipo_Combustivel!$A$2:$A$150,0),MATCH(A1113,tab_tipo_Combustivel!$B$1:$AQ$1,0),1,1)</f>
        <v>195.63</v>
      </c>
    </row>
    <row r="1114" spans="1:3">
      <c r="A1114" s="3">
        <f t="shared" si="30"/>
        <v>2020</v>
      </c>
      <c r="B1114" s="106">
        <f t="shared" si="31"/>
        <v>74</v>
      </c>
      <c r="C1114" s="107">
        <f ca="1">OFFSET(tab_tipo_Combustivel!$A$1,MATCH(B1114,tab_tipo_Combustivel!$A$2:$A$150,0),MATCH(A1114,tab_tipo_Combustivel!$B$1:$AQ$1,0),1,1)</f>
        <v>364.46</v>
      </c>
    </row>
    <row r="1115" spans="1:3">
      <c r="A1115" s="3">
        <f t="shared" si="30"/>
        <v>2020</v>
      </c>
      <c r="B1115" s="106">
        <f t="shared" si="31"/>
        <v>83</v>
      </c>
      <c r="C1115" s="107">
        <f ca="1">OFFSET(tab_tipo_Combustivel!$A$1,MATCH(B1115,tab_tipo_Combustivel!$A$2:$A$150,0),MATCH(A1115,tab_tipo_Combustivel!$B$1:$AQ$1,0),1,1)</f>
        <v>448.1</v>
      </c>
    </row>
    <row r="1116" spans="1:3">
      <c r="A1116" s="3">
        <f t="shared" si="30"/>
        <v>2020</v>
      </c>
      <c r="B1116" s="106">
        <f t="shared" si="31"/>
        <v>86</v>
      </c>
      <c r="C1116" s="107">
        <f ca="1">OFFSET(tab_tipo_Combustivel!$A$1,MATCH(B1116,tab_tipo_Combustivel!$A$2:$A$150,0),MATCH(A1116,tab_tipo_Combustivel!$B$1:$AQ$1,0),1,1)</f>
        <v>170.34</v>
      </c>
    </row>
    <row r="1117" spans="1:3">
      <c r="A1117" s="3">
        <f t="shared" si="30"/>
        <v>2020</v>
      </c>
      <c r="B1117" s="106">
        <f t="shared" si="31"/>
        <v>90</v>
      </c>
      <c r="C1117" s="107">
        <f ca="1">OFFSET(tab_tipo_Combustivel!$A$1,MATCH(B1117,tab_tipo_Combustivel!$A$2:$A$150,0),MATCH(A1117,tab_tipo_Combustivel!$B$1:$AQ$1,0),1,1)</f>
        <v>533.1</v>
      </c>
    </row>
    <row r="1118" spans="1:3">
      <c r="A1118" s="3">
        <f t="shared" si="30"/>
        <v>2020</v>
      </c>
      <c r="B1118" s="106">
        <f t="shared" si="31"/>
        <v>93</v>
      </c>
      <c r="C1118" s="107">
        <f ca="1">OFFSET(tab_tipo_Combustivel!$A$1,MATCH(B1118,tab_tipo_Combustivel!$A$2:$A$150,0),MATCH(A1118,tab_tipo_Combustivel!$B$1:$AQ$1,0),1,1)</f>
        <v>842.33</v>
      </c>
    </row>
    <row r="1119" spans="1:3">
      <c r="A1119" s="3">
        <f t="shared" si="30"/>
        <v>2020</v>
      </c>
      <c r="B1119" s="106">
        <f t="shared" si="31"/>
        <v>94</v>
      </c>
      <c r="C1119" s="107">
        <f ca="1">OFFSET(tab_tipo_Combustivel!$A$1,MATCH(B1119,tab_tipo_Combustivel!$A$2:$A$150,0),MATCH(A1119,tab_tipo_Combustivel!$B$1:$AQ$1,0),1,1)</f>
        <v>842.33</v>
      </c>
    </row>
    <row r="1120" spans="1:3">
      <c r="A1120" s="3">
        <f t="shared" si="30"/>
        <v>2020</v>
      </c>
      <c r="B1120" s="106">
        <f t="shared" si="31"/>
        <v>96</v>
      </c>
      <c r="C1120" s="107">
        <f ca="1">OFFSET(tab_tipo_Combustivel!$A$1,MATCH(B1120,tab_tipo_Combustivel!$A$2:$A$150,0),MATCH(A1120,tab_tipo_Combustivel!$B$1:$AQ$1,0),1,1)</f>
        <v>99.92</v>
      </c>
    </row>
    <row r="1121" spans="1:3">
      <c r="A1121" s="3">
        <f t="shared" si="30"/>
        <v>2020</v>
      </c>
      <c r="B1121" s="106">
        <f t="shared" si="31"/>
        <v>98</v>
      </c>
      <c r="C1121" s="107">
        <f ca="1">OFFSET(tab_tipo_Combustivel!$A$1,MATCH(B1121,tab_tipo_Combustivel!$A$2:$A$150,0),MATCH(A1121,tab_tipo_Combustivel!$B$1:$AQ$1,0),1,1)</f>
        <v>489.8</v>
      </c>
    </row>
    <row r="1122" spans="1:3">
      <c r="A1122" s="3">
        <f t="shared" si="30"/>
        <v>2020</v>
      </c>
      <c r="B1122" s="106">
        <f t="shared" si="31"/>
        <v>107</v>
      </c>
      <c r="C1122" s="107">
        <f ca="1">OFFSET(tab_tipo_Combustivel!$A$1,MATCH(B1122,tab_tipo_Combustivel!$A$2:$A$150,0),MATCH(A1122,tab_tipo_Combustivel!$B$1:$AQ$1,0),1,1)</f>
        <v>57.63</v>
      </c>
    </row>
    <row r="1123" spans="1:3">
      <c r="A1123" s="3">
        <f t="shared" si="30"/>
        <v>2020</v>
      </c>
      <c r="B1123" s="106">
        <f t="shared" si="31"/>
        <v>110</v>
      </c>
      <c r="C1123" s="107">
        <f ca="1">OFFSET(tab_tipo_Combustivel!$A$1,MATCH(B1123,tab_tipo_Combustivel!$A$2:$A$150,0),MATCH(A1123,tab_tipo_Combustivel!$B$1:$AQ$1,0),1,1)</f>
        <v>568.29</v>
      </c>
    </row>
    <row r="1124" spans="1:3">
      <c r="A1124" s="3">
        <f t="shared" si="30"/>
        <v>2020</v>
      </c>
      <c r="B1124" s="106">
        <f t="shared" si="31"/>
        <v>116</v>
      </c>
      <c r="C1124" s="107">
        <f ca="1">OFFSET(tab_tipo_Combustivel!$A$1,MATCH(B1124,tab_tipo_Combustivel!$A$2:$A$150,0),MATCH(A1124,tab_tipo_Combustivel!$B$1:$AQ$1,0),1,1)</f>
        <v>117.46</v>
      </c>
    </row>
    <row r="1125" spans="1:3">
      <c r="A1125" s="3">
        <f t="shared" si="30"/>
        <v>2020</v>
      </c>
      <c r="B1125" s="106">
        <f t="shared" si="31"/>
        <v>140</v>
      </c>
      <c r="C1125" s="107">
        <f ca="1">OFFSET(tab_tipo_Combustivel!$A$1,MATCH(B1125,tab_tipo_Combustivel!$A$2:$A$150,0),MATCH(A1125,tab_tipo_Combustivel!$B$1:$AQ$1,0),1,1)</f>
        <v>88.11</v>
      </c>
    </row>
    <row r="1126" spans="1:3">
      <c r="A1126" s="3">
        <f t="shared" si="30"/>
        <v>2020</v>
      </c>
      <c r="B1126" s="106">
        <f t="shared" si="31"/>
        <v>141</v>
      </c>
      <c r="C1126" s="107">
        <f ca="1">OFFSET(tab_tipo_Combustivel!$A$1,MATCH(B1126,tab_tipo_Combustivel!$A$2:$A$150,0),MATCH(A1126,tab_tipo_Combustivel!$B$1:$AQ$1,0),1,1)</f>
        <v>1280.52</v>
      </c>
    </row>
    <row r="1127" spans="1:3">
      <c r="A1127" s="3">
        <f t="shared" si="30"/>
        <v>2020</v>
      </c>
      <c r="B1127" s="106">
        <f t="shared" si="31"/>
        <v>147</v>
      </c>
      <c r="C1127" s="107">
        <f ca="1">OFFSET(tab_tipo_Combustivel!$A$1,MATCH(B1127,tab_tipo_Combustivel!$A$2:$A$150,0),MATCH(A1127,tab_tipo_Combustivel!$B$1:$AQ$1,0),1,1)</f>
        <v>134.18</v>
      </c>
    </row>
    <row r="1128" spans="1:3">
      <c r="A1128" s="3">
        <f t="shared" si="30"/>
        <v>2020</v>
      </c>
      <c r="B1128" s="106">
        <f t="shared" si="31"/>
        <v>156</v>
      </c>
      <c r="C1128" s="107">
        <f ca="1">OFFSET(tab_tipo_Combustivel!$A$1,MATCH(B1128,tab_tipo_Combustivel!$A$2:$A$150,0),MATCH(A1128,tab_tipo_Combustivel!$B$1:$AQ$1,0),1,1)</f>
        <v>77.12</v>
      </c>
    </row>
    <row r="1129" spans="1:3">
      <c r="A1129" s="3">
        <f t="shared" si="30"/>
        <v>2020</v>
      </c>
      <c r="B1129" s="106">
        <f t="shared" si="31"/>
        <v>163</v>
      </c>
      <c r="C1129" s="107">
        <f ca="1">OFFSET(tab_tipo_Combustivel!$A$1,MATCH(B1129,tab_tipo_Combustivel!$A$2:$A$150,0),MATCH(A1129,tab_tipo_Combustivel!$B$1:$AQ$1,0),1,1)</f>
        <v>156.69999999999999</v>
      </c>
    </row>
    <row r="1130" spans="1:3">
      <c r="A1130" s="3">
        <f t="shared" si="30"/>
        <v>2020</v>
      </c>
      <c r="B1130" s="106">
        <f t="shared" si="31"/>
        <v>167</v>
      </c>
      <c r="C1130" s="107">
        <f ca="1">OFFSET(tab_tipo_Combustivel!$A$1,MATCH(B1130,tab_tipo_Combustivel!$A$2:$A$150,0),MATCH(A1130,tab_tipo_Combustivel!$B$1:$AQ$1,0),1,1)</f>
        <v>144.66999999999999</v>
      </c>
    </row>
    <row r="1131" spans="1:3">
      <c r="A1131" s="3">
        <f t="shared" si="30"/>
        <v>2020</v>
      </c>
      <c r="B1131" s="106">
        <f t="shared" si="31"/>
        <v>171</v>
      </c>
      <c r="C1131" s="107">
        <f ca="1">OFFSET(tab_tipo_Combustivel!$A$1,MATCH(B1131,tab_tipo_Combustivel!$A$2:$A$150,0),MATCH(A1131,tab_tipo_Combustivel!$B$1:$AQ$1,0),1,1)</f>
        <v>88</v>
      </c>
    </row>
    <row r="1132" spans="1:3">
      <c r="A1132" s="3">
        <f t="shared" si="30"/>
        <v>2020</v>
      </c>
      <c r="B1132" s="106">
        <f t="shared" si="31"/>
        <v>172</v>
      </c>
      <c r="C1132" s="107">
        <f ca="1">OFFSET(tab_tipo_Combustivel!$A$1,MATCH(B1132,tab_tipo_Combustivel!$A$2:$A$150,0),MATCH(A1132,tab_tipo_Combustivel!$B$1:$AQ$1,0),1,1)</f>
        <v>99.97</v>
      </c>
    </row>
    <row r="1133" spans="1:3">
      <c r="A1133" s="3">
        <f t="shared" si="30"/>
        <v>2020</v>
      </c>
      <c r="B1133" s="106">
        <f t="shared" si="31"/>
        <v>173</v>
      </c>
      <c r="C1133" s="107">
        <f ca="1">OFFSET(tab_tipo_Combustivel!$A$1,MATCH(B1133,tab_tipo_Combustivel!$A$2:$A$150,0),MATCH(A1133,tab_tipo_Combustivel!$B$1:$AQ$1,0),1,1)</f>
        <v>192.03</v>
      </c>
    </row>
    <row r="1134" spans="1:3">
      <c r="A1134" s="3">
        <f t="shared" si="30"/>
        <v>2020</v>
      </c>
      <c r="B1134" s="106">
        <f t="shared" si="31"/>
        <v>174</v>
      </c>
      <c r="C1134" s="107">
        <f ca="1">OFFSET(tab_tipo_Combustivel!$A$1,MATCH(B1134,tab_tipo_Combustivel!$A$2:$A$150,0),MATCH(A1134,tab_tipo_Combustivel!$B$1:$AQ$1,0),1,1)</f>
        <v>331.22</v>
      </c>
    </row>
    <row r="1135" spans="1:3">
      <c r="A1135" s="3">
        <f t="shared" si="30"/>
        <v>2020</v>
      </c>
      <c r="B1135" s="106">
        <f t="shared" si="31"/>
        <v>176</v>
      </c>
      <c r="C1135" s="107">
        <f ca="1">OFFSET(tab_tipo_Combustivel!$A$1,MATCH(B1135,tab_tipo_Combustivel!$A$2:$A$150,0),MATCH(A1135,tab_tipo_Combustivel!$B$1:$AQ$1,0),1,1)</f>
        <v>149.47999999999999</v>
      </c>
    </row>
    <row r="1136" spans="1:3">
      <c r="A1136" s="3">
        <f t="shared" si="30"/>
        <v>2020</v>
      </c>
      <c r="B1136" s="106">
        <f t="shared" si="31"/>
        <v>183</v>
      </c>
      <c r="C1136" s="107">
        <f ca="1">OFFSET(tab_tipo_Combustivel!$A$1,MATCH(B1136,tab_tipo_Combustivel!$A$2:$A$150,0),MATCH(A1136,tab_tipo_Combustivel!$B$1:$AQ$1,0),1,1)</f>
        <v>171.61</v>
      </c>
    </row>
    <row r="1137" spans="1:3">
      <c r="A1137" s="3">
        <f t="shared" si="30"/>
        <v>2020</v>
      </c>
      <c r="B1137" s="106">
        <f t="shared" si="31"/>
        <v>194</v>
      </c>
      <c r="C1137" s="107">
        <f ca="1">OFFSET(tab_tipo_Combustivel!$A$1,MATCH(B1137,tab_tipo_Combustivel!$A$2:$A$150,0),MATCH(A1137,tab_tipo_Combustivel!$B$1:$AQ$1,0),1,1)</f>
        <v>1098.58</v>
      </c>
    </row>
    <row r="1138" spans="1:3">
      <c r="A1138" s="3">
        <f t="shared" si="30"/>
        <v>2020</v>
      </c>
      <c r="B1138" s="106">
        <f t="shared" si="31"/>
        <v>203</v>
      </c>
      <c r="C1138" s="107">
        <f ca="1">OFFSET(tab_tipo_Combustivel!$A$1,MATCH(B1138,tab_tipo_Combustivel!$A$2:$A$150,0),MATCH(A1138,tab_tipo_Combustivel!$B$1:$AQ$1,0),1,1)</f>
        <v>0</v>
      </c>
    </row>
    <row r="1139" spans="1:3">
      <c r="A1139" s="3">
        <f t="shared" si="30"/>
        <v>2020</v>
      </c>
      <c r="B1139" s="106">
        <f t="shared" si="31"/>
        <v>204</v>
      </c>
      <c r="C1139" s="107">
        <f ca="1">OFFSET(tab_tipo_Combustivel!$A$1,MATCH(B1139,tab_tipo_Combustivel!$A$2:$A$150,0),MATCH(A1139,tab_tipo_Combustivel!$B$1:$AQ$1,0),1,1)</f>
        <v>0</v>
      </c>
    </row>
    <row r="1140" spans="1:3">
      <c r="A1140" s="3">
        <f t="shared" si="30"/>
        <v>2020</v>
      </c>
      <c r="B1140" s="106">
        <f t="shared" si="31"/>
        <v>205</v>
      </c>
      <c r="C1140" s="107">
        <f ca="1">OFFSET(tab_tipo_Combustivel!$A$1,MATCH(B1140,tab_tipo_Combustivel!$A$2:$A$150,0),MATCH(A1140,tab_tipo_Combustivel!$B$1:$AQ$1,0),1,1)</f>
        <v>0</v>
      </c>
    </row>
    <row r="1141" spans="1:3">
      <c r="A1141" s="3">
        <f t="shared" si="30"/>
        <v>2020</v>
      </c>
      <c r="B1141" s="106">
        <f t="shared" si="31"/>
        <v>207</v>
      </c>
      <c r="C1141" s="107">
        <f ca="1">OFFSET(tab_tipo_Combustivel!$A$1,MATCH(B1141,tab_tipo_Combustivel!$A$2:$A$150,0),MATCH(A1141,tab_tipo_Combustivel!$B$1:$AQ$1,0),1,1)</f>
        <v>0</v>
      </c>
    </row>
    <row r="1142" spans="1:3">
      <c r="A1142" s="3">
        <f t="shared" si="30"/>
        <v>2020</v>
      </c>
      <c r="B1142" s="106">
        <f t="shared" si="31"/>
        <v>208</v>
      </c>
      <c r="C1142" s="107">
        <f ca="1">OFFSET(tab_tipo_Combustivel!$A$1,MATCH(B1142,tab_tipo_Combustivel!$A$2:$A$150,0),MATCH(A1142,tab_tipo_Combustivel!$B$1:$AQ$1,0),1,1)</f>
        <v>783.64</v>
      </c>
    </row>
    <row r="1143" spans="1:3">
      <c r="A1143" s="3">
        <f t="shared" si="30"/>
        <v>2020</v>
      </c>
      <c r="B1143" s="106">
        <f t="shared" si="31"/>
        <v>209</v>
      </c>
      <c r="C1143" s="107">
        <f ca="1">OFFSET(tab_tipo_Combustivel!$A$1,MATCH(B1143,tab_tipo_Combustivel!$A$2:$A$150,0),MATCH(A1143,tab_tipo_Combustivel!$B$1:$AQ$1,0),1,1)</f>
        <v>0</v>
      </c>
    </row>
    <row r="1144" spans="1:3">
      <c r="A1144" s="3">
        <f t="shared" si="30"/>
        <v>2020</v>
      </c>
      <c r="B1144" s="106">
        <f t="shared" si="31"/>
        <v>211</v>
      </c>
      <c r="C1144" s="107">
        <f ca="1">OFFSET(tab_tipo_Combustivel!$A$1,MATCH(B1144,tab_tipo_Combustivel!$A$2:$A$150,0),MATCH(A1144,tab_tipo_Combustivel!$B$1:$AQ$1,0),1,1)</f>
        <v>150.79</v>
      </c>
    </row>
    <row r="1145" spans="1:3">
      <c r="A1145" s="3">
        <f t="shared" si="30"/>
        <v>2020</v>
      </c>
      <c r="B1145" s="106">
        <f t="shared" si="31"/>
        <v>212</v>
      </c>
      <c r="C1145" s="107">
        <f ca="1">OFFSET(tab_tipo_Combustivel!$A$1,MATCH(B1145,tab_tipo_Combustivel!$A$2:$A$150,0),MATCH(A1145,tab_tipo_Combustivel!$B$1:$AQ$1,0),1,1)</f>
        <v>84.58</v>
      </c>
    </row>
    <row r="1146" spans="1:3">
      <c r="A1146" s="3">
        <f t="shared" si="30"/>
        <v>2020</v>
      </c>
      <c r="B1146" s="106">
        <f t="shared" si="31"/>
        <v>224</v>
      </c>
      <c r="C1146" s="107">
        <f ca="1">OFFSET(tab_tipo_Combustivel!$A$1,MATCH(B1146,tab_tipo_Combustivel!$A$2:$A$150,0),MATCH(A1146,tab_tipo_Combustivel!$B$1:$AQ$1,0),1,1)</f>
        <v>31.08</v>
      </c>
    </row>
    <row r="1147" spans="1:3">
      <c r="A1147" s="3">
        <f t="shared" si="30"/>
        <v>2020</v>
      </c>
      <c r="B1147" s="106">
        <f t="shared" si="31"/>
        <v>225</v>
      </c>
      <c r="C1147" s="107">
        <f ca="1">OFFSET(tab_tipo_Combustivel!$A$1,MATCH(B1147,tab_tipo_Combustivel!$A$2:$A$150,0),MATCH(A1147,tab_tipo_Combustivel!$B$1:$AQ$1,0),1,1)</f>
        <v>1329.7</v>
      </c>
    </row>
    <row r="1148" spans="1:3">
      <c r="A1148" s="3">
        <f t="shared" si="30"/>
        <v>2020</v>
      </c>
      <c r="B1148" s="106">
        <f t="shared" si="31"/>
        <v>226</v>
      </c>
      <c r="C1148" s="107">
        <f ca="1">OFFSET(tab_tipo_Combustivel!$A$1,MATCH(B1148,tab_tipo_Combustivel!$A$2:$A$150,0),MATCH(A1148,tab_tipo_Combustivel!$B$1:$AQ$1,0),1,1)</f>
        <v>1061.1300000000001</v>
      </c>
    </row>
    <row r="1149" spans="1:3">
      <c r="A1149" s="3">
        <f t="shared" si="30"/>
        <v>2020</v>
      </c>
      <c r="B1149" s="106">
        <f t="shared" si="31"/>
        <v>227</v>
      </c>
      <c r="C1149" s="107">
        <f ca="1">OFFSET(tab_tipo_Combustivel!$A$1,MATCH(B1149,tab_tipo_Combustivel!$A$2:$A$150,0),MATCH(A1149,tab_tipo_Combustivel!$B$1:$AQ$1,0),1,1)</f>
        <v>447.52</v>
      </c>
    </row>
    <row r="1150" spans="1:3">
      <c r="A1150" s="3">
        <f t="shared" si="30"/>
        <v>2020</v>
      </c>
      <c r="B1150" s="106">
        <f t="shared" si="31"/>
        <v>228</v>
      </c>
      <c r="C1150" s="107">
        <f ca="1">OFFSET(tab_tipo_Combustivel!$A$1,MATCH(B1150,tab_tipo_Combustivel!$A$2:$A$150,0),MATCH(A1150,tab_tipo_Combustivel!$B$1:$AQ$1,0),1,1)</f>
        <v>1061.1400000000001</v>
      </c>
    </row>
    <row r="1151" spans="1:3">
      <c r="A1151" s="3">
        <f t="shared" si="30"/>
        <v>2020</v>
      </c>
      <c r="B1151" s="106">
        <f t="shared" si="31"/>
        <v>229</v>
      </c>
      <c r="C1151" s="107">
        <f ca="1">OFFSET(tab_tipo_Combustivel!$A$1,MATCH(B1151,tab_tipo_Combustivel!$A$2:$A$150,0),MATCH(A1151,tab_tipo_Combustivel!$B$1:$AQ$1,0),1,1)</f>
        <v>942.05</v>
      </c>
    </row>
    <row r="1152" spans="1:3">
      <c r="A1152" s="3">
        <f t="shared" si="30"/>
        <v>2020</v>
      </c>
      <c r="B1152" s="106">
        <f t="shared" si="31"/>
        <v>230</v>
      </c>
      <c r="C1152" s="107">
        <f ca="1">OFFSET(tab_tipo_Combustivel!$A$1,MATCH(B1152,tab_tipo_Combustivel!$A$2:$A$150,0),MATCH(A1152,tab_tipo_Combustivel!$B$1:$AQ$1,0),1,1)</f>
        <v>495.06</v>
      </c>
    </row>
    <row r="1153" spans="1:3">
      <c r="A1153" s="3">
        <f t="shared" si="30"/>
        <v>2020</v>
      </c>
      <c r="B1153" s="106">
        <f t="shared" si="31"/>
        <v>231</v>
      </c>
      <c r="C1153" s="107">
        <f ca="1">OFFSET(tab_tipo_Combustivel!$A$1,MATCH(B1153,tab_tipo_Combustivel!$A$2:$A$150,0),MATCH(A1153,tab_tipo_Combustivel!$B$1:$AQ$1,0),1,1)</f>
        <v>489.29</v>
      </c>
    </row>
    <row r="1154" spans="1:3">
      <c r="A1154" s="3">
        <f t="shared" si="30"/>
        <v>2020</v>
      </c>
      <c r="B1154" s="106">
        <f t="shared" si="31"/>
        <v>232</v>
      </c>
      <c r="C1154" s="107">
        <f ca="1">OFFSET(tab_tipo_Combustivel!$A$1,MATCH(B1154,tab_tipo_Combustivel!$A$2:$A$150,0),MATCH(A1154,tab_tipo_Combustivel!$B$1:$AQ$1,0),1,1)</f>
        <v>842.33</v>
      </c>
    </row>
    <row r="1155" spans="1:3">
      <c r="A1155" s="3">
        <f t="shared" si="30"/>
        <v>2020</v>
      </c>
      <c r="B1155" s="106">
        <f t="shared" si="31"/>
        <v>233</v>
      </c>
      <c r="C1155" s="107">
        <f ca="1">OFFSET(tab_tipo_Combustivel!$A$1,MATCH(B1155,tab_tipo_Combustivel!$A$2:$A$150,0),MATCH(A1155,tab_tipo_Combustivel!$B$1:$AQ$1,0),1,1)</f>
        <v>984.29</v>
      </c>
    </row>
    <row r="1156" spans="1:3">
      <c r="A1156" s="3">
        <f t="shared" si="30"/>
        <v>2020</v>
      </c>
      <c r="B1156" s="106">
        <f t="shared" si="31"/>
        <v>234</v>
      </c>
      <c r="C1156" s="107">
        <f ca="1">OFFSET(tab_tipo_Combustivel!$A$1,MATCH(B1156,tab_tipo_Combustivel!$A$2:$A$150,0),MATCH(A1156,tab_tipo_Combustivel!$B$1:$AQ$1,0),1,1)</f>
        <v>290.26</v>
      </c>
    </row>
    <row r="1157" spans="1:3">
      <c r="A1157" s="3">
        <f t="shared" si="30"/>
        <v>2020</v>
      </c>
      <c r="B1157" s="106">
        <f t="shared" si="31"/>
        <v>235</v>
      </c>
      <c r="C1157" s="107">
        <f ca="1">OFFSET(tab_tipo_Combustivel!$A$1,MATCH(B1157,tab_tipo_Combustivel!$A$2:$A$150,0),MATCH(A1157,tab_tipo_Combustivel!$B$1:$AQ$1,0),1,1)</f>
        <v>1350.87</v>
      </c>
    </row>
    <row r="1158" spans="1:3">
      <c r="A1158" s="3">
        <f t="shared" si="30"/>
        <v>2020</v>
      </c>
      <c r="B1158" s="106">
        <f t="shared" si="31"/>
        <v>236</v>
      </c>
      <c r="C1158" s="107">
        <f ca="1">OFFSET(tab_tipo_Combustivel!$A$1,MATCH(B1158,tab_tipo_Combustivel!$A$2:$A$150,0),MATCH(A1158,tab_tipo_Combustivel!$B$1:$AQ$1,0),1,1)</f>
        <v>842.33</v>
      </c>
    </row>
    <row r="1159" spans="1:3">
      <c r="A1159" s="3">
        <f t="shared" si="30"/>
        <v>2020</v>
      </c>
      <c r="B1159" s="106">
        <f t="shared" si="31"/>
        <v>237</v>
      </c>
      <c r="C1159" s="107">
        <f ca="1">OFFSET(tab_tipo_Combustivel!$A$1,MATCH(B1159,tab_tipo_Combustivel!$A$2:$A$150,0),MATCH(A1159,tab_tipo_Combustivel!$B$1:$AQ$1,0),1,1)</f>
        <v>760.85</v>
      </c>
    </row>
    <row r="1160" spans="1:3">
      <c r="A1160" s="3">
        <f t="shared" si="30"/>
        <v>2020</v>
      </c>
      <c r="B1160" s="106">
        <f t="shared" si="31"/>
        <v>238</v>
      </c>
      <c r="C1160" s="107">
        <f ca="1">OFFSET(tab_tipo_Combustivel!$A$1,MATCH(B1160,tab_tipo_Combustivel!$A$2:$A$150,0),MATCH(A1160,tab_tipo_Combustivel!$B$1:$AQ$1,0),1,1)</f>
        <v>963.75</v>
      </c>
    </row>
    <row r="1161" spans="1:3">
      <c r="A1161" s="3">
        <f t="shared" si="30"/>
        <v>2020</v>
      </c>
      <c r="B1161" s="106">
        <f t="shared" si="31"/>
        <v>239</v>
      </c>
      <c r="C1161" s="107">
        <f ca="1">OFFSET(tab_tipo_Combustivel!$A$1,MATCH(B1161,tab_tipo_Combustivel!$A$2:$A$150,0),MATCH(A1161,tab_tipo_Combustivel!$B$1:$AQ$1,0),1,1)</f>
        <v>963.75</v>
      </c>
    </row>
    <row r="1162" spans="1:3">
      <c r="A1162" s="3">
        <f t="shared" ref="A1162:A1225" si="32">A1027+1</f>
        <v>2020</v>
      </c>
      <c r="B1162" s="106">
        <f t="shared" ref="B1162:B1225" si="33">B1027</f>
        <v>240</v>
      </c>
      <c r="C1162" s="107">
        <f ca="1">OFFSET(tab_tipo_Combustivel!$A$1,MATCH(B1162,tab_tipo_Combustivel!$A$2:$A$150,0),MATCH(A1162,tab_tipo_Combustivel!$B$1:$AQ$1,0),1,1)</f>
        <v>1115.96</v>
      </c>
    </row>
    <row r="1163" spans="1:3">
      <c r="A1163" s="3">
        <f t="shared" si="32"/>
        <v>2020</v>
      </c>
      <c r="B1163" s="106">
        <f t="shared" si="33"/>
        <v>241</v>
      </c>
      <c r="C1163" s="107">
        <f ca="1">OFFSET(tab_tipo_Combustivel!$A$1,MATCH(B1163,tab_tipo_Combustivel!$A$2:$A$150,0),MATCH(A1163,tab_tipo_Combustivel!$B$1:$AQ$1,0),1,1)</f>
        <v>495.75</v>
      </c>
    </row>
    <row r="1164" spans="1:3">
      <c r="A1164" s="3">
        <f t="shared" si="32"/>
        <v>2020</v>
      </c>
      <c r="B1164" s="106">
        <f t="shared" si="33"/>
        <v>242</v>
      </c>
      <c r="C1164" s="107">
        <f ca="1">OFFSET(tab_tipo_Combustivel!$A$1,MATCH(B1164,tab_tipo_Combustivel!$A$2:$A$150,0),MATCH(A1164,tab_tipo_Combustivel!$B$1:$AQ$1,0),1,1)</f>
        <v>1176.45</v>
      </c>
    </row>
    <row r="1165" spans="1:3">
      <c r="A1165" s="3">
        <f t="shared" si="32"/>
        <v>2020</v>
      </c>
      <c r="B1165" s="106">
        <f t="shared" si="33"/>
        <v>243</v>
      </c>
      <c r="C1165" s="107">
        <f ca="1">OFFSET(tab_tipo_Combustivel!$A$1,MATCH(B1165,tab_tipo_Combustivel!$A$2:$A$150,0),MATCH(A1165,tab_tipo_Combustivel!$B$1:$AQ$1,0),1,1)</f>
        <v>495.08</v>
      </c>
    </row>
    <row r="1166" spans="1:3">
      <c r="A1166" s="3">
        <f t="shared" si="32"/>
        <v>2020</v>
      </c>
      <c r="B1166" s="106">
        <f t="shared" si="33"/>
        <v>244</v>
      </c>
      <c r="C1166" s="107">
        <f ca="1">OFFSET(tab_tipo_Combustivel!$A$1,MATCH(B1166,tab_tipo_Combustivel!$A$2:$A$150,0),MATCH(A1166,tab_tipo_Combustivel!$B$1:$AQ$1,0),1,1)</f>
        <v>495.06</v>
      </c>
    </row>
    <row r="1167" spans="1:3">
      <c r="A1167" s="3">
        <f t="shared" si="32"/>
        <v>2020</v>
      </c>
      <c r="B1167" s="106">
        <f t="shared" si="33"/>
        <v>245</v>
      </c>
      <c r="C1167" s="107">
        <f ca="1">OFFSET(tab_tipo_Combustivel!$A$1,MATCH(B1167,tab_tipo_Combustivel!$A$2:$A$150,0),MATCH(A1167,tab_tipo_Combustivel!$B$1:$AQ$1,0),1,1)</f>
        <v>562.65</v>
      </c>
    </row>
    <row r="1168" spans="1:3">
      <c r="A1168" s="3">
        <f t="shared" si="32"/>
        <v>2020</v>
      </c>
      <c r="B1168" s="106">
        <f t="shared" si="33"/>
        <v>246</v>
      </c>
      <c r="C1168" s="107">
        <f ca="1">OFFSET(tab_tipo_Combustivel!$A$1,MATCH(B1168,tab_tipo_Combustivel!$A$2:$A$150,0),MATCH(A1168,tab_tipo_Combustivel!$B$1:$AQ$1,0),1,1)</f>
        <v>1124.53</v>
      </c>
    </row>
    <row r="1169" spans="1:3">
      <c r="A1169" s="3">
        <f t="shared" si="32"/>
        <v>2020</v>
      </c>
      <c r="B1169" s="106">
        <f t="shared" si="33"/>
        <v>247</v>
      </c>
      <c r="C1169" s="107">
        <f ca="1">OFFSET(tab_tipo_Combustivel!$A$1,MATCH(B1169,tab_tipo_Combustivel!$A$2:$A$150,0),MATCH(A1169,tab_tipo_Combustivel!$B$1:$AQ$1,0),1,1)</f>
        <v>609.51</v>
      </c>
    </row>
    <row r="1170" spans="1:3">
      <c r="A1170" s="3">
        <f t="shared" si="32"/>
        <v>2020</v>
      </c>
      <c r="B1170" s="106">
        <f t="shared" si="33"/>
        <v>248</v>
      </c>
      <c r="C1170" s="107">
        <f ca="1">OFFSET(tab_tipo_Combustivel!$A$1,MATCH(B1170,tab_tipo_Combustivel!$A$2:$A$150,0),MATCH(A1170,tab_tipo_Combustivel!$B$1:$AQ$1,0),1,1)</f>
        <v>495.06</v>
      </c>
    </row>
    <row r="1171" spans="1:3">
      <c r="A1171" s="3">
        <f t="shared" si="32"/>
        <v>2020</v>
      </c>
      <c r="B1171" s="106">
        <f t="shared" si="33"/>
        <v>249</v>
      </c>
      <c r="C1171" s="107">
        <f ca="1">OFFSET(tab_tipo_Combustivel!$A$1,MATCH(B1171,tab_tipo_Combustivel!$A$2:$A$150,0),MATCH(A1171,tab_tipo_Combustivel!$B$1:$AQ$1,0),1,1)</f>
        <v>842.33</v>
      </c>
    </row>
    <row r="1172" spans="1:3">
      <c r="A1172" s="3">
        <f t="shared" si="32"/>
        <v>2020</v>
      </c>
      <c r="B1172" s="106">
        <f t="shared" si="33"/>
        <v>250</v>
      </c>
      <c r="C1172" s="107">
        <f ca="1">OFFSET(tab_tipo_Combustivel!$A$1,MATCH(B1172,tab_tipo_Combustivel!$A$2:$A$150,0),MATCH(A1172,tab_tipo_Combustivel!$B$1:$AQ$1,0),1,1)</f>
        <v>1176.45</v>
      </c>
    </row>
    <row r="1173" spans="1:3">
      <c r="A1173" s="3">
        <f t="shared" si="32"/>
        <v>2020</v>
      </c>
      <c r="B1173" s="106">
        <f t="shared" si="33"/>
        <v>251</v>
      </c>
      <c r="C1173" s="107">
        <f ca="1">OFFSET(tab_tipo_Combustivel!$A$1,MATCH(B1173,tab_tipo_Combustivel!$A$2:$A$150,0),MATCH(A1173,tab_tipo_Combustivel!$B$1:$AQ$1,0),1,1)</f>
        <v>842.33</v>
      </c>
    </row>
    <row r="1174" spans="1:3">
      <c r="A1174" s="3">
        <f t="shared" si="32"/>
        <v>2020</v>
      </c>
      <c r="B1174" s="106">
        <f t="shared" si="33"/>
        <v>252</v>
      </c>
      <c r="C1174" s="107">
        <f ca="1">OFFSET(tab_tipo_Combustivel!$A$1,MATCH(B1174,tab_tipo_Combustivel!$A$2:$A$150,0),MATCH(A1174,tab_tipo_Combustivel!$B$1:$AQ$1,0),1,1)</f>
        <v>842.33</v>
      </c>
    </row>
    <row r="1175" spans="1:3">
      <c r="A1175" s="3">
        <f t="shared" si="32"/>
        <v>2020</v>
      </c>
      <c r="B1175" s="106">
        <f t="shared" si="33"/>
        <v>253</v>
      </c>
      <c r="C1175" s="107">
        <f ca="1">OFFSET(tab_tipo_Combustivel!$A$1,MATCH(B1175,tab_tipo_Combustivel!$A$2:$A$150,0),MATCH(A1175,tab_tipo_Combustivel!$B$1:$AQ$1,0),1,1)</f>
        <v>279.45</v>
      </c>
    </row>
    <row r="1176" spans="1:3">
      <c r="A1176" s="3">
        <f t="shared" si="32"/>
        <v>2020</v>
      </c>
      <c r="B1176" s="106">
        <f t="shared" si="33"/>
        <v>254</v>
      </c>
      <c r="C1176" s="107">
        <f ca="1">OFFSET(tab_tipo_Combustivel!$A$1,MATCH(B1176,tab_tipo_Combustivel!$A$2:$A$150,0),MATCH(A1176,tab_tipo_Combustivel!$B$1:$AQ$1,0),1,1)</f>
        <v>1153.98</v>
      </c>
    </row>
    <row r="1177" spans="1:3">
      <c r="A1177" s="3">
        <f t="shared" si="32"/>
        <v>2020</v>
      </c>
      <c r="B1177" s="106">
        <f t="shared" si="33"/>
        <v>255</v>
      </c>
      <c r="C1177" s="107">
        <f ca="1">OFFSET(tab_tipo_Combustivel!$A$1,MATCH(B1177,tab_tipo_Combustivel!$A$2:$A$150,0),MATCH(A1177,tab_tipo_Combustivel!$B$1:$AQ$1,0),1,1)</f>
        <v>828.98</v>
      </c>
    </row>
    <row r="1178" spans="1:3">
      <c r="A1178" s="3">
        <f t="shared" si="32"/>
        <v>2020</v>
      </c>
      <c r="B1178" s="106">
        <f t="shared" si="33"/>
        <v>256</v>
      </c>
      <c r="C1178" s="107">
        <f ca="1">OFFSET(tab_tipo_Combustivel!$A$1,MATCH(B1178,tab_tipo_Combustivel!$A$2:$A$150,0),MATCH(A1178,tab_tipo_Combustivel!$B$1:$AQ$1,0),1,1)</f>
        <v>562.65</v>
      </c>
    </row>
    <row r="1179" spans="1:3">
      <c r="A1179" s="3">
        <f t="shared" si="32"/>
        <v>2020</v>
      </c>
      <c r="B1179" s="106">
        <f t="shared" si="33"/>
        <v>257</v>
      </c>
      <c r="C1179" s="107">
        <f ca="1">OFFSET(tab_tipo_Combustivel!$A$1,MATCH(B1179,tab_tipo_Combustivel!$A$2:$A$150,0),MATCH(A1179,tab_tipo_Combustivel!$B$1:$AQ$1,0),1,1)</f>
        <v>907.52</v>
      </c>
    </row>
    <row r="1180" spans="1:3">
      <c r="A1180" s="3">
        <f t="shared" si="32"/>
        <v>2020</v>
      </c>
      <c r="B1180" s="106">
        <f t="shared" si="33"/>
        <v>258</v>
      </c>
      <c r="C1180" s="107">
        <f ca="1">OFFSET(tab_tipo_Combustivel!$A$1,MATCH(B1180,tab_tipo_Combustivel!$A$2:$A$150,0),MATCH(A1180,tab_tipo_Combustivel!$B$1:$AQ$1,0),1,1)</f>
        <v>1016.04</v>
      </c>
    </row>
    <row r="1181" spans="1:3">
      <c r="A1181" s="3">
        <f t="shared" si="32"/>
        <v>2020</v>
      </c>
      <c r="B1181" s="106">
        <f t="shared" si="33"/>
        <v>259</v>
      </c>
      <c r="C1181" s="107">
        <f ca="1">OFFSET(tab_tipo_Combustivel!$A$1,MATCH(B1181,tab_tipo_Combustivel!$A$2:$A$150,0),MATCH(A1181,tab_tipo_Combustivel!$B$1:$AQ$1,0),1,1)</f>
        <v>977.53</v>
      </c>
    </row>
    <row r="1182" spans="1:3">
      <c r="A1182" s="3">
        <f t="shared" si="32"/>
        <v>2020</v>
      </c>
      <c r="B1182" s="106">
        <f t="shared" si="33"/>
        <v>260</v>
      </c>
      <c r="C1182" s="107">
        <f ca="1">OFFSET(tab_tipo_Combustivel!$A$1,MATCH(B1182,tab_tipo_Combustivel!$A$2:$A$150,0),MATCH(A1182,tab_tipo_Combustivel!$B$1:$AQ$1,0),1,1)</f>
        <v>827.17</v>
      </c>
    </row>
    <row r="1183" spans="1:3">
      <c r="A1183" s="3">
        <f t="shared" si="32"/>
        <v>2020</v>
      </c>
      <c r="B1183" s="106">
        <f t="shared" si="33"/>
        <v>261</v>
      </c>
      <c r="C1183" s="107">
        <f ca="1">OFFSET(tab_tipo_Combustivel!$A$1,MATCH(B1183,tab_tipo_Combustivel!$A$2:$A$150,0),MATCH(A1183,tab_tipo_Combustivel!$B$1:$AQ$1,0),1,1)</f>
        <v>829.7</v>
      </c>
    </row>
    <row r="1184" spans="1:3">
      <c r="A1184" s="3">
        <f t="shared" si="32"/>
        <v>2020</v>
      </c>
      <c r="B1184" s="106">
        <f t="shared" si="33"/>
        <v>262</v>
      </c>
      <c r="C1184" s="107">
        <f ca="1">OFFSET(tab_tipo_Combustivel!$A$1,MATCH(B1184,tab_tipo_Combustivel!$A$2:$A$150,0),MATCH(A1184,tab_tipo_Combustivel!$B$1:$AQ$1,0),1,1)</f>
        <v>495.75</v>
      </c>
    </row>
    <row r="1185" spans="1:3">
      <c r="A1185" s="3">
        <f t="shared" si="32"/>
        <v>2020</v>
      </c>
      <c r="B1185" s="106">
        <f t="shared" si="33"/>
        <v>263</v>
      </c>
      <c r="C1185" s="107">
        <f ca="1">OFFSET(tab_tipo_Combustivel!$A$1,MATCH(B1185,tab_tipo_Combustivel!$A$2:$A$150,0),MATCH(A1185,tab_tipo_Combustivel!$B$1:$AQ$1,0),1,1)</f>
        <v>474.77</v>
      </c>
    </row>
    <row r="1186" spans="1:3">
      <c r="A1186" s="3">
        <f t="shared" si="32"/>
        <v>2020</v>
      </c>
      <c r="B1186" s="106">
        <f t="shared" si="33"/>
        <v>264</v>
      </c>
      <c r="C1186" s="107">
        <f ca="1">OFFSET(tab_tipo_Combustivel!$A$1,MATCH(B1186,tab_tipo_Combustivel!$A$2:$A$150,0),MATCH(A1186,tab_tipo_Combustivel!$B$1:$AQ$1,0),1,1)</f>
        <v>842.33</v>
      </c>
    </row>
    <row r="1187" spans="1:3">
      <c r="A1187" s="3">
        <f t="shared" si="32"/>
        <v>2020</v>
      </c>
      <c r="B1187" s="106">
        <f t="shared" si="33"/>
        <v>265</v>
      </c>
      <c r="C1187" s="107">
        <f ca="1">OFFSET(tab_tipo_Combustivel!$A$1,MATCH(B1187,tab_tipo_Combustivel!$A$2:$A$150,0),MATCH(A1187,tab_tipo_Combustivel!$B$1:$AQ$1,0),1,1)</f>
        <v>415.82</v>
      </c>
    </row>
    <row r="1188" spans="1:3">
      <c r="A1188" s="3">
        <f t="shared" si="32"/>
        <v>2020</v>
      </c>
      <c r="B1188" s="106">
        <f t="shared" si="33"/>
        <v>266</v>
      </c>
      <c r="C1188" s="107">
        <f ca="1">OFFSET(tab_tipo_Combustivel!$A$1,MATCH(B1188,tab_tipo_Combustivel!$A$2:$A$150,0),MATCH(A1188,tab_tipo_Combustivel!$B$1:$AQ$1,0),1,1)</f>
        <v>827.17</v>
      </c>
    </row>
    <row r="1189" spans="1:3">
      <c r="A1189" s="3">
        <f t="shared" si="32"/>
        <v>2020</v>
      </c>
      <c r="B1189" s="106">
        <f t="shared" si="33"/>
        <v>301</v>
      </c>
      <c r="C1189" s="107">
        <f ca="1">OFFSET(tab_tipo_Combustivel!$A$1,MATCH(B1189,tab_tipo_Combustivel!$A$2:$A$150,0),MATCH(A1189,tab_tipo_Combustivel!$B$1:$AQ$1,0),1,1)</f>
        <v>99.08</v>
      </c>
    </row>
    <row r="1190" spans="1:3">
      <c r="A1190" s="3">
        <f t="shared" si="32"/>
        <v>2020</v>
      </c>
      <c r="B1190" s="106">
        <f t="shared" si="33"/>
        <v>302</v>
      </c>
      <c r="C1190" s="107">
        <f ca="1">OFFSET(tab_tipo_Combustivel!$A$1,MATCH(B1190,tab_tipo_Combustivel!$A$2:$A$150,0),MATCH(A1190,tab_tipo_Combustivel!$B$1:$AQ$1,0),1,1)</f>
        <v>103.73</v>
      </c>
    </row>
    <row r="1191" spans="1:3">
      <c r="A1191" s="3">
        <f t="shared" si="32"/>
        <v>2020</v>
      </c>
      <c r="B1191" s="106">
        <f t="shared" si="33"/>
        <v>303</v>
      </c>
      <c r="C1191" s="107">
        <f ca="1">OFFSET(tab_tipo_Combustivel!$A$1,MATCH(B1191,tab_tipo_Combustivel!$A$2:$A$150,0),MATCH(A1191,tab_tipo_Combustivel!$B$1:$AQ$1,0),1,1)</f>
        <v>103.73</v>
      </c>
    </row>
    <row r="1192" spans="1:3">
      <c r="A1192" s="3">
        <f t="shared" si="32"/>
        <v>2020</v>
      </c>
      <c r="B1192" s="106">
        <f t="shared" si="33"/>
        <v>304</v>
      </c>
      <c r="C1192" s="107">
        <f ca="1">OFFSET(tab_tipo_Combustivel!$A$1,MATCH(B1192,tab_tipo_Combustivel!$A$2:$A$150,0),MATCH(A1192,tab_tipo_Combustivel!$B$1:$AQ$1,0),1,1)</f>
        <v>139.41999999999999</v>
      </c>
    </row>
    <row r="1193" spans="1:3">
      <c r="A1193" s="3">
        <f t="shared" si="32"/>
        <v>2020</v>
      </c>
      <c r="B1193" s="106">
        <f t="shared" si="33"/>
        <v>305</v>
      </c>
      <c r="C1193" s="107">
        <f ca="1">OFFSET(tab_tipo_Combustivel!$A$1,MATCH(B1193,tab_tipo_Combustivel!$A$2:$A$150,0),MATCH(A1193,tab_tipo_Combustivel!$B$1:$AQ$1,0),1,1)</f>
        <v>89.7</v>
      </c>
    </row>
    <row r="1194" spans="1:3">
      <c r="A1194" s="3">
        <f t="shared" si="32"/>
        <v>2020</v>
      </c>
      <c r="B1194" s="106">
        <f t="shared" si="33"/>
        <v>306</v>
      </c>
      <c r="C1194" s="107">
        <f ca="1">OFFSET(tab_tipo_Combustivel!$A$1,MATCH(B1194,tab_tipo_Combustivel!$A$2:$A$150,0),MATCH(A1194,tab_tipo_Combustivel!$B$1:$AQ$1,0),1,1)</f>
        <v>100.38</v>
      </c>
    </row>
    <row r="1195" spans="1:3">
      <c r="A1195" s="3">
        <f t="shared" si="32"/>
        <v>2020</v>
      </c>
      <c r="B1195" s="106">
        <f t="shared" si="33"/>
        <v>307</v>
      </c>
      <c r="C1195" s="107">
        <f ca="1">OFFSET(tab_tipo_Combustivel!$A$1,MATCH(B1195,tab_tipo_Combustivel!$A$2:$A$150,0),MATCH(A1195,tab_tipo_Combustivel!$B$1:$AQ$1,0),1,1)</f>
        <v>510.12</v>
      </c>
    </row>
    <row r="1196" spans="1:3">
      <c r="A1196" s="3">
        <f t="shared" si="32"/>
        <v>2020</v>
      </c>
      <c r="B1196" s="106">
        <f t="shared" si="33"/>
        <v>308</v>
      </c>
      <c r="C1196" s="107">
        <f ca="1">OFFSET(tab_tipo_Combustivel!$A$1,MATCH(B1196,tab_tipo_Combustivel!$A$2:$A$150,0),MATCH(A1196,tab_tipo_Combustivel!$B$1:$AQ$1,0),1,1)</f>
        <v>72.5</v>
      </c>
    </row>
    <row r="1197" spans="1:3">
      <c r="A1197" s="3">
        <f t="shared" si="32"/>
        <v>2020</v>
      </c>
      <c r="B1197" s="106">
        <f t="shared" si="33"/>
        <v>309</v>
      </c>
      <c r="C1197" s="107">
        <f ca="1">OFFSET(tab_tipo_Combustivel!$A$1,MATCH(B1197,tab_tipo_Combustivel!$A$2:$A$150,0),MATCH(A1197,tab_tipo_Combustivel!$B$1:$AQ$1,0),1,1)</f>
        <v>126.77</v>
      </c>
    </row>
    <row r="1198" spans="1:3">
      <c r="A1198" s="3">
        <f t="shared" si="32"/>
        <v>2020</v>
      </c>
      <c r="B1198" s="106">
        <f t="shared" si="33"/>
        <v>310</v>
      </c>
      <c r="C1198" s="107">
        <f ca="1">OFFSET(tab_tipo_Combustivel!$A$1,MATCH(B1198,tab_tipo_Combustivel!$A$2:$A$150,0),MATCH(A1198,tab_tipo_Combustivel!$B$1:$AQ$1,0),1,1)</f>
        <v>275.99</v>
      </c>
    </row>
    <row r="1199" spans="1:3">
      <c r="A1199" s="3">
        <f t="shared" si="32"/>
        <v>2020</v>
      </c>
      <c r="B1199" s="106">
        <f t="shared" si="33"/>
        <v>311</v>
      </c>
      <c r="C1199" s="107">
        <f ca="1">OFFSET(tab_tipo_Combustivel!$A$1,MATCH(B1199,tab_tipo_Combustivel!$A$2:$A$150,0),MATCH(A1199,tab_tipo_Combustivel!$B$1:$AQ$1,0),1,1)</f>
        <v>70.66</v>
      </c>
    </row>
    <row r="1200" spans="1:3">
      <c r="A1200" s="3">
        <f t="shared" si="32"/>
        <v>2020</v>
      </c>
      <c r="B1200" s="106">
        <f t="shared" si="33"/>
        <v>312</v>
      </c>
      <c r="C1200" s="107">
        <f ca="1">OFFSET(tab_tipo_Combustivel!$A$1,MATCH(B1200,tab_tipo_Combustivel!$A$2:$A$150,0),MATCH(A1200,tab_tipo_Combustivel!$B$1:$AQ$1,0),1,1)</f>
        <v>0</v>
      </c>
    </row>
    <row r="1201" spans="1:3">
      <c r="A1201" s="3">
        <f t="shared" si="32"/>
        <v>2020</v>
      </c>
      <c r="B1201" s="106">
        <f t="shared" si="33"/>
        <v>1301</v>
      </c>
      <c r="C1201" s="107">
        <f ca="1">OFFSET(tab_tipo_Combustivel!$A$1,MATCH(B1201,tab_tipo_Combustivel!$A$2:$A$150,0),MATCH(A1201,tab_tipo_Combustivel!$B$1:$AQ$1,0),1,1)</f>
        <v>242.05</v>
      </c>
    </row>
    <row r="1202" spans="1:3">
      <c r="A1202" s="3">
        <f t="shared" si="32"/>
        <v>2020</v>
      </c>
      <c r="B1202" s="106">
        <f t="shared" si="33"/>
        <v>1302</v>
      </c>
      <c r="C1202" s="107">
        <f ca="1">OFFSET(tab_tipo_Combustivel!$A$1,MATCH(B1202,tab_tipo_Combustivel!$A$2:$A$150,0),MATCH(A1202,tab_tipo_Combustivel!$B$1:$AQ$1,0),1,1)</f>
        <v>193.64</v>
      </c>
    </row>
    <row r="1203" spans="1:3">
      <c r="A1203" s="3">
        <f t="shared" si="32"/>
        <v>2020</v>
      </c>
      <c r="B1203" s="106">
        <f t="shared" si="33"/>
        <v>1303</v>
      </c>
      <c r="C1203" s="107">
        <f ca="1">OFFSET(tab_tipo_Combustivel!$A$1,MATCH(B1203,tab_tipo_Combustivel!$A$2:$A$150,0),MATCH(A1203,tab_tipo_Combustivel!$B$1:$AQ$1,0),1,1)</f>
        <v>25.58</v>
      </c>
    </row>
    <row r="1204" spans="1:3">
      <c r="A1204" s="3">
        <f t="shared" si="32"/>
        <v>2020</v>
      </c>
      <c r="B1204" s="106">
        <f t="shared" si="33"/>
        <v>1304</v>
      </c>
      <c r="C1204" s="107">
        <f ca="1">OFFSET(tab_tipo_Combustivel!$A$1,MATCH(B1204,tab_tipo_Combustivel!$A$2:$A$150,0),MATCH(A1204,tab_tipo_Combustivel!$B$1:$AQ$1,0),1,1)</f>
        <v>0</v>
      </c>
    </row>
    <row r="1205" spans="1:3">
      <c r="A1205" s="3">
        <f t="shared" si="32"/>
        <v>2020</v>
      </c>
      <c r="B1205" s="106">
        <f t="shared" si="33"/>
        <v>1315</v>
      </c>
      <c r="C1205" s="107">
        <f ca="1">OFFSET(tab_tipo_Combustivel!$A$1,MATCH(B1205,tab_tipo_Combustivel!$A$2:$A$150,0),MATCH(A1205,tab_tipo_Combustivel!$B$1:$AQ$1,0),1,1)</f>
        <v>0</v>
      </c>
    </row>
    <row r="1206" spans="1:3">
      <c r="A1206" s="3">
        <f t="shared" si="32"/>
        <v>2020</v>
      </c>
      <c r="B1206" s="106">
        <f t="shared" si="33"/>
        <v>1316</v>
      </c>
      <c r="C1206" s="107">
        <f ca="1">OFFSET(tab_tipo_Combustivel!$A$1,MATCH(B1206,tab_tipo_Combustivel!$A$2:$A$150,0),MATCH(A1206,tab_tipo_Combustivel!$B$1:$AQ$1,0),1,1)</f>
        <v>0</v>
      </c>
    </row>
    <row r="1207" spans="1:3">
      <c r="A1207" s="3">
        <f t="shared" si="32"/>
        <v>2020</v>
      </c>
      <c r="B1207" s="106">
        <f t="shared" si="33"/>
        <v>1318</v>
      </c>
      <c r="C1207" s="107">
        <f ca="1">OFFSET(tab_tipo_Combustivel!$A$1,MATCH(B1207,tab_tipo_Combustivel!$A$2:$A$150,0),MATCH(A1207,tab_tipo_Combustivel!$B$1:$AQ$1,0),1,1)</f>
        <v>200</v>
      </c>
    </row>
    <row r="1208" spans="1:3">
      <c r="A1208" s="3">
        <f t="shared" si="32"/>
        <v>2020</v>
      </c>
      <c r="B1208" s="106">
        <f t="shared" si="33"/>
        <v>1321</v>
      </c>
      <c r="C1208" s="107">
        <f ca="1">OFFSET(tab_tipo_Combustivel!$A$1,MATCH(B1208,tab_tipo_Combustivel!$A$2:$A$150,0),MATCH(A1208,tab_tipo_Combustivel!$B$1:$AQ$1,0),1,1)</f>
        <v>85</v>
      </c>
    </row>
    <row r="1209" spans="1:3">
      <c r="A1209" s="3">
        <f t="shared" si="32"/>
        <v>2020</v>
      </c>
      <c r="B1209" s="106">
        <f t="shared" si="33"/>
        <v>1322</v>
      </c>
      <c r="C1209" s="107">
        <f ca="1">OFFSET(tab_tipo_Combustivel!$A$1,MATCH(B1209,tab_tipo_Combustivel!$A$2:$A$150,0),MATCH(A1209,tab_tipo_Combustivel!$B$1:$AQ$1,0),1,1)</f>
        <v>140</v>
      </c>
    </row>
    <row r="1210" spans="1:3">
      <c r="A1210" s="3">
        <f t="shared" si="32"/>
        <v>2020</v>
      </c>
      <c r="B1210" s="106">
        <f t="shared" si="33"/>
        <v>1323</v>
      </c>
      <c r="C1210" s="107">
        <f ca="1">OFFSET(tab_tipo_Combustivel!$A$1,MATCH(B1210,tab_tipo_Combustivel!$A$2:$A$150,0),MATCH(A1210,tab_tipo_Combustivel!$B$1:$AQ$1,0),1,1)</f>
        <v>63.75</v>
      </c>
    </row>
    <row r="1211" spans="1:3">
      <c r="A1211" s="3">
        <f t="shared" si="32"/>
        <v>2020</v>
      </c>
      <c r="B1211" s="106">
        <f t="shared" si="33"/>
        <v>1325</v>
      </c>
      <c r="C1211" s="107">
        <f ca="1">OFFSET(tab_tipo_Combustivel!$A$1,MATCH(B1211,tab_tipo_Combustivel!$A$2:$A$150,0),MATCH(A1211,tab_tipo_Combustivel!$B$1:$AQ$1,0),1,1)</f>
        <v>0</v>
      </c>
    </row>
    <row r="1212" spans="1:3">
      <c r="A1212" s="3">
        <f t="shared" si="32"/>
        <v>2020</v>
      </c>
      <c r="B1212" s="106">
        <f t="shared" si="33"/>
        <v>1326</v>
      </c>
      <c r="C1212" s="107">
        <f ca="1">OFFSET(tab_tipo_Combustivel!$A$1,MATCH(B1212,tab_tipo_Combustivel!$A$2:$A$150,0),MATCH(A1212,tab_tipo_Combustivel!$B$1:$AQ$1,0),1,1)</f>
        <v>260</v>
      </c>
    </row>
    <row r="1213" spans="1:3">
      <c r="A1213" s="3">
        <f t="shared" si="32"/>
        <v>2020</v>
      </c>
      <c r="B1213" s="106">
        <f t="shared" si="33"/>
        <v>1501</v>
      </c>
      <c r="C1213" s="107">
        <f ca="1">OFFSET(tab_tipo_Combustivel!$A$1,MATCH(B1213,tab_tipo_Combustivel!$A$2:$A$150,0),MATCH(A1213,tab_tipo_Combustivel!$B$1:$AQ$1,0),1,1)</f>
        <v>260</v>
      </c>
    </row>
    <row r="1214" spans="1:3">
      <c r="A1214" s="3">
        <f t="shared" si="32"/>
        <v>2020</v>
      </c>
      <c r="B1214" s="106">
        <f t="shared" si="33"/>
        <v>1502</v>
      </c>
      <c r="C1214" s="107">
        <f ca="1">OFFSET(tab_tipo_Combustivel!$A$1,MATCH(B1214,tab_tipo_Combustivel!$A$2:$A$150,0),MATCH(A1214,tab_tipo_Combustivel!$B$1:$AQ$1,0),1,1)</f>
        <v>60</v>
      </c>
    </row>
    <row r="1215" spans="1:3">
      <c r="A1215" s="3">
        <f t="shared" si="32"/>
        <v>2020</v>
      </c>
      <c r="B1215" s="106">
        <f t="shared" si="33"/>
        <v>1503</v>
      </c>
      <c r="C1215" s="107">
        <f ca="1">OFFSET(tab_tipo_Combustivel!$A$1,MATCH(B1215,tab_tipo_Combustivel!$A$2:$A$150,0),MATCH(A1215,tab_tipo_Combustivel!$B$1:$AQ$1,0),1,1)</f>
        <v>96.82</v>
      </c>
    </row>
    <row r="1216" spans="1:3">
      <c r="A1216" s="3">
        <f t="shared" si="32"/>
        <v>2020</v>
      </c>
      <c r="B1216" s="106">
        <f t="shared" si="33"/>
        <v>1504</v>
      </c>
      <c r="C1216" s="107">
        <f ca="1">OFFSET(tab_tipo_Combustivel!$A$1,MATCH(B1216,tab_tipo_Combustivel!$A$2:$A$150,0),MATCH(A1216,tab_tipo_Combustivel!$B$1:$AQ$1,0),1,1)</f>
        <v>145.22999999999999</v>
      </c>
    </row>
    <row r="1217" spans="1:3">
      <c r="A1217" s="3">
        <f t="shared" si="32"/>
        <v>2021</v>
      </c>
      <c r="B1217" s="106">
        <f t="shared" si="33"/>
        <v>1</v>
      </c>
      <c r="C1217" s="107">
        <f ca="1">OFFSET(tab_tipo_Combustivel!$A$1,MATCH(B1217,tab_tipo_Combustivel!$A$2:$A$150,0),MATCH(A1217,tab_tipo_Combustivel!$B$1:$AQ$1,0),1,1)</f>
        <v>29.13</v>
      </c>
    </row>
    <row r="1218" spans="1:3">
      <c r="A1218" s="3">
        <f t="shared" si="32"/>
        <v>2021</v>
      </c>
      <c r="B1218" s="106">
        <f t="shared" si="33"/>
        <v>2</v>
      </c>
      <c r="C1218" s="107">
        <f ca="1">OFFSET(tab_tipo_Combustivel!$A$1,MATCH(B1218,tab_tipo_Combustivel!$A$2:$A$150,0),MATCH(A1218,tab_tipo_Combustivel!$B$1:$AQ$1,0),1,1)</f>
        <v>842.33</v>
      </c>
    </row>
    <row r="1219" spans="1:3">
      <c r="A1219" s="3">
        <f t="shared" si="32"/>
        <v>2021</v>
      </c>
      <c r="B1219" s="106">
        <f t="shared" si="33"/>
        <v>4</v>
      </c>
      <c r="C1219" s="107">
        <f ca="1">OFFSET(tab_tipo_Combustivel!$A$1,MATCH(B1219,tab_tipo_Combustivel!$A$2:$A$150,0),MATCH(A1219,tab_tipo_Combustivel!$B$1:$AQ$1,0),1,1)</f>
        <v>842.33</v>
      </c>
    </row>
    <row r="1220" spans="1:3">
      <c r="A1220" s="3">
        <f t="shared" si="32"/>
        <v>2021</v>
      </c>
      <c r="B1220" s="106">
        <f t="shared" si="33"/>
        <v>9</v>
      </c>
      <c r="C1220" s="107">
        <f ca="1">OFFSET(tab_tipo_Combustivel!$A$1,MATCH(B1220,tab_tipo_Combustivel!$A$2:$A$150,0),MATCH(A1220,tab_tipo_Combustivel!$B$1:$AQ$1,0),1,1)</f>
        <v>842.33</v>
      </c>
    </row>
    <row r="1221" spans="1:3">
      <c r="A1221" s="3">
        <f t="shared" si="32"/>
        <v>2021</v>
      </c>
      <c r="B1221" s="106">
        <f t="shared" si="33"/>
        <v>12</v>
      </c>
      <c r="C1221" s="107">
        <f ca="1">OFFSET(tab_tipo_Combustivel!$A$1,MATCH(B1221,tab_tipo_Combustivel!$A$2:$A$150,0),MATCH(A1221,tab_tipo_Combustivel!$B$1:$AQ$1,0),1,1)</f>
        <v>728.87</v>
      </c>
    </row>
    <row r="1222" spans="1:3">
      <c r="A1222" s="3">
        <f t="shared" si="32"/>
        <v>2021</v>
      </c>
      <c r="B1222" s="106">
        <f t="shared" si="33"/>
        <v>13</v>
      </c>
      <c r="C1222" s="107">
        <f ca="1">OFFSET(tab_tipo_Combustivel!$A$1,MATCH(B1222,tab_tipo_Combustivel!$A$2:$A$150,0),MATCH(A1222,tab_tipo_Combustivel!$B$1:$AQ$1,0),1,1)</f>
        <v>20.12</v>
      </c>
    </row>
    <row r="1223" spans="1:3">
      <c r="A1223" s="3">
        <f t="shared" si="32"/>
        <v>2021</v>
      </c>
      <c r="B1223" s="106">
        <f t="shared" si="33"/>
        <v>15</v>
      </c>
      <c r="C1223" s="107">
        <f ca="1">OFFSET(tab_tipo_Combustivel!$A$1,MATCH(B1223,tab_tipo_Combustivel!$A$2:$A$150,0),MATCH(A1223,tab_tipo_Combustivel!$B$1:$AQ$1,0),1,1)</f>
        <v>257.29000000000002</v>
      </c>
    </row>
    <row r="1224" spans="1:3">
      <c r="A1224" s="3">
        <f t="shared" si="32"/>
        <v>2021</v>
      </c>
      <c r="B1224" s="106">
        <f t="shared" si="33"/>
        <v>21</v>
      </c>
      <c r="C1224" s="107">
        <f ca="1">OFFSET(tab_tipo_Combustivel!$A$1,MATCH(B1224,tab_tipo_Combustivel!$A$2:$A$150,0),MATCH(A1224,tab_tipo_Combustivel!$B$1:$AQ$1,0),1,1)</f>
        <v>157.83000000000001</v>
      </c>
    </row>
    <row r="1225" spans="1:3">
      <c r="A1225" s="3">
        <f t="shared" si="32"/>
        <v>2021</v>
      </c>
      <c r="B1225" s="106">
        <f t="shared" si="33"/>
        <v>22</v>
      </c>
      <c r="C1225" s="107">
        <f ca="1">OFFSET(tab_tipo_Combustivel!$A$1,MATCH(B1225,tab_tipo_Combustivel!$A$2:$A$150,0),MATCH(A1225,tab_tipo_Combustivel!$B$1:$AQ$1,0),1,1)</f>
        <v>115.9</v>
      </c>
    </row>
    <row r="1226" spans="1:3">
      <c r="A1226" s="3">
        <f t="shared" ref="A1226:A1289" si="34">A1091+1</f>
        <v>2021</v>
      </c>
      <c r="B1226" s="106">
        <f t="shared" ref="B1226:B1289" si="35">B1091</f>
        <v>23</v>
      </c>
      <c r="C1226" s="107">
        <f ca="1">OFFSET(tab_tipo_Combustivel!$A$1,MATCH(B1226,tab_tipo_Combustivel!$A$2:$A$150,0),MATCH(A1226,tab_tipo_Combustivel!$B$1:$AQ$1,0),1,1)</f>
        <v>115.9</v>
      </c>
    </row>
    <row r="1227" spans="1:3">
      <c r="A1227" s="3">
        <f t="shared" si="34"/>
        <v>2021</v>
      </c>
      <c r="B1227" s="106">
        <f t="shared" si="35"/>
        <v>24</v>
      </c>
      <c r="C1227" s="107">
        <f ca="1">OFFSET(tab_tipo_Combustivel!$A$1,MATCH(B1227,tab_tipo_Combustivel!$A$2:$A$150,0),MATCH(A1227,tab_tipo_Combustivel!$B$1:$AQ$1,0),1,1)</f>
        <v>155.85</v>
      </c>
    </row>
    <row r="1228" spans="1:3">
      <c r="A1228" s="3">
        <f t="shared" si="34"/>
        <v>2021</v>
      </c>
      <c r="B1228" s="106">
        <f t="shared" si="35"/>
        <v>25</v>
      </c>
      <c r="C1228" s="107">
        <f ca="1">OFFSET(tab_tipo_Combustivel!$A$1,MATCH(B1228,tab_tipo_Combustivel!$A$2:$A$150,0),MATCH(A1228,tab_tipo_Combustivel!$B$1:$AQ$1,0),1,1)</f>
        <v>186.33</v>
      </c>
    </row>
    <row r="1229" spans="1:3">
      <c r="A1229" s="3">
        <f t="shared" si="34"/>
        <v>2021</v>
      </c>
      <c r="B1229" s="106">
        <f t="shared" si="35"/>
        <v>26</v>
      </c>
      <c r="C1229" s="107">
        <f ca="1">OFFSET(tab_tipo_Combustivel!$A$1,MATCH(B1229,tab_tipo_Combustivel!$A$2:$A$150,0),MATCH(A1229,tab_tipo_Combustivel!$B$1:$AQ$1,0),1,1)</f>
        <v>258.42</v>
      </c>
    </row>
    <row r="1230" spans="1:3">
      <c r="A1230" s="3">
        <f t="shared" si="34"/>
        <v>2021</v>
      </c>
      <c r="B1230" s="106">
        <f t="shared" si="35"/>
        <v>27</v>
      </c>
      <c r="C1230" s="107">
        <f ca="1">OFFSET(tab_tipo_Combustivel!$A$1,MATCH(B1230,tab_tipo_Combustivel!$A$2:$A$150,0),MATCH(A1230,tab_tipo_Combustivel!$B$1:$AQ$1,0),1,1)</f>
        <v>195.49</v>
      </c>
    </row>
    <row r="1231" spans="1:3">
      <c r="A1231" s="3">
        <f t="shared" si="34"/>
        <v>2021</v>
      </c>
      <c r="B1231" s="106">
        <f t="shared" si="35"/>
        <v>28</v>
      </c>
      <c r="C1231" s="107">
        <f ca="1">OFFSET(tab_tipo_Combustivel!$A$1,MATCH(B1231,tab_tipo_Combustivel!$A$2:$A$150,0),MATCH(A1231,tab_tipo_Combustivel!$B$1:$AQ$1,0),1,1)</f>
        <v>459.92</v>
      </c>
    </row>
    <row r="1232" spans="1:3">
      <c r="A1232" s="3">
        <f t="shared" si="34"/>
        <v>2021</v>
      </c>
      <c r="B1232" s="106">
        <f t="shared" si="35"/>
        <v>32</v>
      </c>
      <c r="C1232" s="107">
        <f ca="1">OFFSET(tab_tipo_Combustivel!$A$1,MATCH(B1232,tab_tipo_Combustivel!$A$2:$A$150,0),MATCH(A1232,tab_tipo_Combustivel!$B$1:$AQ$1,0),1,1)</f>
        <v>248.31</v>
      </c>
    </row>
    <row r="1233" spans="1:3">
      <c r="A1233" s="3">
        <f t="shared" si="34"/>
        <v>2021</v>
      </c>
      <c r="B1233" s="106">
        <f t="shared" si="35"/>
        <v>34</v>
      </c>
      <c r="C1233" s="107">
        <f ca="1">OFFSET(tab_tipo_Combustivel!$A$1,MATCH(B1233,tab_tipo_Combustivel!$A$2:$A$150,0),MATCH(A1233,tab_tipo_Combustivel!$B$1:$AQ$1,0),1,1)</f>
        <v>423.38</v>
      </c>
    </row>
    <row r="1234" spans="1:3">
      <c r="A1234" s="3">
        <f t="shared" si="34"/>
        <v>2021</v>
      </c>
      <c r="B1234" s="106">
        <f t="shared" si="35"/>
        <v>35</v>
      </c>
      <c r="C1234" s="107">
        <f ca="1">OFFSET(tab_tipo_Combustivel!$A$1,MATCH(B1234,tab_tipo_Combustivel!$A$2:$A$150,0),MATCH(A1234,tab_tipo_Combustivel!$B$1:$AQ$1,0),1,1)</f>
        <v>692.45</v>
      </c>
    </row>
    <row r="1235" spans="1:3">
      <c r="A1235" s="3">
        <f t="shared" si="34"/>
        <v>2021</v>
      </c>
      <c r="B1235" s="106">
        <f t="shared" si="35"/>
        <v>36</v>
      </c>
      <c r="C1235" s="107">
        <f ca="1">OFFSET(tab_tipo_Combustivel!$A$1,MATCH(B1235,tab_tipo_Combustivel!$A$2:$A$150,0),MATCH(A1235,tab_tipo_Combustivel!$B$1:$AQ$1,0),1,1)</f>
        <v>157.83000000000001</v>
      </c>
    </row>
    <row r="1236" spans="1:3">
      <c r="A1236" s="3">
        <f t="shared" si="34"/>
        <v>2021</v>
      </c>
      <c r="B1236" s="106">
        <f t="shared" si="35"/>
        <v>42</v>
      </c>
      <c r="C1236" s="107">
        <f ca="1">OFFSET(tab_tipo_Combustivel!$A$1,MATCH(B1236,tab_tipo_Combustivel!$A$2:$A$150,0),MATCH(A1236,tab_tipo_Combustivel!$B$1:$AQ$1,0),1,1)</f>
        <v>199.22</v>
      </c>
    </row>
    <row r="1237" spans="1:3">
      <c r="A1237" s="3">
        <f t="shared" si="34"/>
        <v>2021</v>
      </c>
      <c r="B1237" s="106">
        <f t="shared" si="35"/>
        <v>43</v>
      </c>
      <c r="C1237" s="107">
        <f ca="1">OFFSET(tab_tipo_Combustivel!$A$1,MATCH(B1237,tab_tipo_Combustivel!$A$2:$A$150,0),MATCH(A1237,tab_tipo_Combustivel!$B$1:$AQ$1,0),1,1)</f>
        <v>431.62</v>
      </c>
    </row>
    <row r="1238" spans="1:3">
      <c r="A1238" s="3">
        <f t="shared" si="34"/>
        <v>2021</v>
      </c>
      <c r="B1238" s="106">
        <f t="shared" si="35"/>
        <v>44</v>
      </c>
      <c r="C1238" s="107">
        <f ca="1">OFFSET(tab_tipo_Combustivel!$A$1,MATCH(B1238,tab_tipo_Combustivel!$A$2:$A$150,0),MATCH(A1238,tab_tipo_Combustivel!$B$1:$AQ$1,0),1,1)</f>
        <v>25.58</v>
      </c>
    </row>
    <row r="1239" spans="1:3">
      <c r="A1239" s="3">
        <f t="shared" si="34"/>
        <v>2021</v>
      </c>
      <c r="B1239" s="106">
        <f t="shared" si="35"/>
        <v>46</v>
      </c>
      <c r="C1239" s="107">
        <f ca="1">OFFSET(tab_tipo_Combustivel!$A$1,MATCH(B1239,tab_tipo_Combustivel!$A$2:$A$150,0),MATCH(A1239,tab_tipo_Combustivel!$B$1:$AQ$1,0),1,1)</f>
        <v>228.91</v>
      </c>
    </row>
    <row r="1240" spans="1:3">
      <c r="A1240" s="3">
        <f t="shared" si="34"/>
        <v>2021</v>
      </c>
      <c r="B1240" s="106">
        <f t="shared" si="35"/>
        <v>47</v>
      </c>
      <c r="C1240" s="107">
        <f ca="1">OFFSET(tab_tipo_Combustivel!$A$1,MATCH(B1240,tab_tipo_Combustivel!$A$2:$A$150,0),MATCH(A1240,tab_tipo_Combustivel!$B$1:$AQ$1,0),1,1)</f>
        <v>235.6</v>
      </c>
    </row>
    <row r="1241" spans="1:3">
      <c r="A1241" s="3">
        <f t="shared" si="34"/>
        <v>2021</v>
      </c>
      <c r="B1241" s="106">
        <f t="shared" si="35"/>
        <v>48</v>
      </c>
      <c r="C1241" s="107">
        <f ca="1">OFFSET(tab_tipo_Combustivel!$A$1,MATCH(B1241,tab_tipo_Combustivel!$A$2:$A$150,0),MATCH(A1241,tab_tipo_Combustivel!$B$1:$AQ$1,0),1,1)</f>
        <v>1012.12</v>
      </c>
    </row>
    <row r="1242" spans="1:3">
      <c r="A1242" s="3">
        <f t="shared" si="34"/>
        <v>2021</v>
      </c>
      <c r="B1242" s="106">
        <f t="shared" si="35"/>
        <v>50</v>
      </c>
      <c r="C1242" s="107">
        <f ca="1">OFFSET(tab_tipo_Combustivel!$A$1,MATCH(B1242,tab_tipo_Combustivel!$A$2:$A$150,0),MATCH(A1242,tab_tipo_Combustivel!$B$1:$AQ$1,0),1,1)</f>
        <v>669.87</v>
      </c>
    </row>
    <row r="1243" spans="1:3">
      <c r="A1243" s="3">
        <f t="shared" si="34"/>
        <v>2021</v>
      </c>
      <c r="B1243" s="106">
        <f t="shared" si="35"/>
        <v>54</v>
      </c>
      <c r="C1243" s="107">
        <f ca="1">OFFSET(tab_tipo_Combustivel!$A$1,MATCH(B1243,tab_tipo_Combustivel!$A$2:$A$150,0),MATCH(A1243,tab_tipo_Combustivel!$B$1:$AQ$1,0),1,1)</f>
        <v>304.55</v>
      </c>
    </row>
    <row r="1244" spans="1:3">
      <c r="A1244" s="3">
        <f t="shared" si="34"/>
        <v>2021</v>
      </c>
      <c r="B1244" s="106">
        <f t="shared" si="35"/>
        <v>58</v>
      </c>
      <c r="C1244" s="107">
        <f ca="1">OFFSET(tab_tipo_Combustivel!$A$1,MATCH(B1244,tab_tipo_Combustivel!$A$2:$A$150,0),MATCH(A1244,tab_tipo_Combustivel!$B$1:$AQ$1,0),1,1)</f>
        <v>300.05</v>
      </c>
    </row>
    <row r="1245" spans="1:3">
      <c r="A1245" s="3">
        <f t="shared" si="34"/>
        <v>2021</v>
      </c>
      <c r="B1245" s="106">
        <f t="shared" si="35"/>
        <v>62</v>
      </c>
      <c r="C1245" s="107">
        <f ca="1">OFFSET(tab_tipo_Combustivel!$A$1,MATCH(B1245,tab_tipo_Combustivel!$A$2:$A$150,0),MATCH(A1245,tab_tipo_Combustivel!$B$1:$AQ$1,0),1,1)</f>
        <v>309.24</v>
      </c>
    </row>
    <row r="1246" spans="1:3">
      <c r="A1246" s="3">
        <f t="shared" si="34"/>
        <v>2021</v>
      </c>
      <c r="B1246" s="106">
        <f t="shared" si="35"/>
        <v>63</v>
      </c>
      <c r="C1246" s="107">
        <f ca="1">OFFSET(tab_tipo_Combustivel!$A$1,MATCH(B1246,tab_tipo_Combustivel!$A$2:$A$150,0),MATCH(A1246,tab_tipo_Combustivel!$B$1:$AQ$1,0),1,1)</f>
        <v>365.77</v>
      </c>
    </row>
    <row r="1247" spans="1:3">
      <c r="A1247" s="3">
        <f t="shared" si="34"/>
        <v>2021</v>
      </c>
      <c r="B1247" s="106">
        <f t="shared" si="35"/>
        <v>64</v>
      </c>
      <c r="C1247" s="107">
        <f ca="1">OFFSET(tab_tipo_Combustivel!$A$1,MATCH(B1247,tab_tipo_Combustivel!$A$2:$A$150,0),MATCH(A1247,tab_tipo_Combustivel!$B$1:$AQ$1,0),1,1)</f>
        <v>853.54</v>
      </c>
    </row>
    <row r="1248" spans="1:3">
      <c r="A1248" s="3">
        <f t="shared" si="34"/>
        <v>2021</v>
      </c>
      <c r="B1248" s="106">
        <f t="shared" si="35"/>
        <v>68</v>
      </c>
      <c r="C1248" s="107">
        <f ca="1">OFFSET(tab_tipo_Combustivel!$A$1,MATCH(B1248,tab_tipo_Combustivel!$A$2:$A$150,0),MATCH(A1248,tab_tipo_Combustivel!$B$1:$AQ$1,0),1,1)</f>
        <v>195.63</v>
      </c>
    </row>
    <row r="1249" spans="1:3">
      <c r="A1249" s="3">
        <f t="shared" si="34"/>
        <v>2021</v>
      </c>
      <c r="B1249" s="106">
        <f t="shared" si="35"/>
        <v>74</v>
      </c>
      <c r="C1249" s="107">
        <f ca="1">OFFSET(tab_tipo_Combustivel!$A$1,MATCH(B1249,tab_tipo_Combustivel!$A$2:$A$150,0),MATCH(A1249,tab_tipo_Combustivel!$B$1:$AQ$1,0),1,1)</f>
        <v>364.46</v>
      </c>
    </row>
    <row r="1250" spans="1:3">
      <c r="A1250" s="3">
        <f t="shared" si="34"/>
        <v>2021</v>
      </c>
      <c r="B1250" s="106">
        <f t="shared" si="35"/>
        <v>83</v>
      </c>
      <c r="C1250" s="107">
        <f ca="1">OFFSET(tab_tipo_Combustivel!$A$1,MATCH(B1250,tab_tipo_Combustivel!$A$2:$A$150,0),MATCH(A1250,tab_tipo_Combustivel!$B$1:$AQ$1,0),1,1)</f>
        <v>448.1</v>
      </c>
    </row>
    <row r="1251" spans="1:3">
      <c r="A1251" s="3">
        <f t="shared" si="34"/>
        <v>2021</v>
      </c>
      <c r="B1251" s="106">
        <f t="shared" si="35"/>
        <v>86</v>
      </c>
      <c r="C1251" s="107">
        <f ca="1">OFFSET(tab_tipo_Combustivel!$A$1,MATCH(B1251,tab_tipo_Combustivel!$A$2:$A$150,0),MATCH(A1251,tab_tipo_Combustivel!$B$1:$AQ$1,0),1,1)</f>
        <v>170.34</v>
      </c>
    </row>
    <row r="1252" spans="1:3">
      <c r="A1252" s="3">
        <f t="shared" si="34"/>
        <v>2021</v>
      </c>
      <c r="B1252" s="106">
        <f t="shared" si="35"/>
        <v>90</v>
      </c>
      <c r="C1252" s="107">
        <f ca="1">OFFSET(tab_tipo_Combustivel!$A$1,MATCH(B1252,tab_tipo_Combustivel!$A$2:$A$150,0),MATCH(A1252,tab_tipo_Combustivel!$B$1:$AQ$1,0),1,1)</f>
        <v>533.1</v>
      </c>
    </row>
    <row r="1253" spans="1:3">
      <c r="A1253" s="3">
        <f t="shared" si="34"/>
        <v>2021</v>
      </c>
      <c r="B1253" s="106">
        <f t="shared" si="35"/>
        <v>93</v>
      </c>
      <c r="C1253" s="107">
        <f ca="1">OFFSET(tab_tipo_Combustivel!$A$1,MATCH(B1253,tab_tipo_Combustivel!$A$2:$A$150,0),MATCH(A1253,tab_tipo_Combustivel!$B$1:$AQ$1,0),1,1)</f>
        <v>842.33</v>
      </c>
    </row>
    <row r="1254" spans="1:3">
      <c r="A1254" s="3">
        <f t="shared" si="34"/>
        <v>2021</v>
      </c>
      <c r="B1254" s="106">
        <f t="shared" si="35"/>
        <v>94</v>
      </c>
      <c r="C1254" s="107">
        <f ca="1">OFFSET(tab_tipo_Combustivel!$A$1,MATCH(B1254,tab_tipo_Combustivel!$A$2:$A$150,0),MATCH(A1254,tab_tipo_Combustivel!$B$1:$AQ$1,0),1,1)</f>
        <v>842.33</v>
      </c>
    </row>
    <row r="1255" spans="1:3">
      <c r="A1255" s="3">
        <f t="shared" si="34"/>
        <v>2021</v>
      </c>
      <c r="B1255" s="106">
        <f t="shared" si="35"/>
        <v>96</v>
      </c>
      <c r="C1255" s="107">
        <f ca="1">OFFSET(tab_tipo_Combustivel!$A$1,MATCH(B1255,tab_tipo_Combustivel!$A$2:$A$150,0),MATCH(A1255,tab_tipo_Combustivel!$B$1:$AQ$1,0),1,1)</f>
        <v>99.92</v>
      </c>
    </row>
    <row r="1256" spans="1:3">
      <c r="A1256" s="3">
        <f t="shared" si="34"/>
        <v>2021</v>
      </c>
      <c r="B1256" s="106">
        <f t="shared" si="35"/>
        <v>98</v>
      </c>
      <c r="C1256" s="107">
        <f ca="1">OFFSET(tab_tipo_Combustivel!$A$1,MATCH(B1256,tab_tipo_Combustivel!$A$2:$A$150,0),MATCH(A1256,tab_tipo_Combustivel!$B$1:$AQ$1,0),1,1)</f>
        <v>489.8</v>
      </c>
    </row>
    <row r="1257" spans="1:3">
      <c r="A1257" s="3">
        <f t="shared" si="34"/>
        <v>2021</v>
      </c>
      <c r="B1257" s="106">
        <f t="shared" si="35"/>
        <v>107</v>
      </c>
      <c r="C1257" s="107">
        <f ca="1">OFFSET(tab_tipo_Combustivel!$A$1,MATCH(B1257,tab_tipo_Combustivel!$A$2:$A$150,0),MATCH(A1257,tab_tipo_Combustivel!$B$1:$AQ$1,0),1,1)</f>
        <v>57.63</v>
      </c>
    </row>
    <row r="1258" spans="1:3">
      <c r="A1258" s="3">
        <f t="shared" si="34"/>
        <v>2021</v>
      </c>
      <c r="B1258" s="106">
        <f t="shared" si="35"/>
        <v>110</v>
      </c>
      <c r="C1258" s="107">
        <f ca="1">OFFSET(tab_tipo_Combustivel!$A$1,MATCH(B1258,tab_tipo_Combustivel!$A$2:$A$150,0),MATCH(A1258,tab_tipo_Combustivel!$B$1:$AQ$1,0),1,1)</f>
        <v>568.29</v>
      </c>
    </row>
    <row r="1259" spans="1:3">
      <c r="A1259" s="3">
        <f t="shared" si="34"/>
        <v>2021</v>
      </c>
      <c r="B1259" s="106">
        <f t="shared" si="35"/>
        <v>116</v>
      </c>
      <c r="C1259" s="107">
        <f ca="1">OFFSET(tab_tipo_Combustivel!$A$1,MATCH(B1259,tab_tipo_Combustivel!$A$2:$A$150,0),MATCH(A1259,tab_tipo_Combustivel!$B$1:$AQ$1,0),1,1)</f>
        <v>117.46</v>
      </c>
    </row>
    <row r="1260" spans="1:3">
      <c r="A1260" s="3">
        <f t="shared" si="34"/>
        <v>2021</v>
      </c>
      <c r="B1260" s="106">
        <f t="shared" si="35"/>
        <v>140</v>
      </c>
      <c r="C1260" s="107">
        <f ca="1">OFFSET(tab_tipo_Combustivel!$A$1,MATCH(B1260,tab_tipo_Combustivel!$A$2:$A$150,0),MATCH(A1260,tab_tipo_Combustivel!$B$1:$AQ$1,0),1,1)</f>
        <v>88.11</v>
      </c>
    </row>
    <row r="1261" spans="1:3">
      <c r="A1261" s="3">
        <f t="shared" si="34"/>
        <v>2021</v>
      </c>
      <c r="B1261" s="106">
        <f t="shared" si="35"/>
        <v>141</v>
      </c>
      <c r="C1261" s="107">
        <f ca="1">OFFSET(tab_tipo_Combustivel!$A$1,MATCH(B1261,tab_tipo_Combustivel!$A$2:$A$150,0),MATCH(A1261,tab_tipo_Combustivel!$B$1:$AQ$1,0),1,1)</f>
        <v>1280.52</v>
      </c>
    </row>
    <row r="1262" spans="1:3">
      <c r="A1262" s="3">
        <f t="shared" si="34"/>
        <v>2021</v>
      </c>
      <c r="B1262" s="106">
        <f t="shared" si="35"/>
        <v>147</v>
      </c>
      <c r="C1262" s="107">
        <f ca="1">OFFSET(tab_tipo_Combustivel!$A$1,MATCH(B1262,tab_tipo_Combustivel!$A$2:$A$150,0),MATCH(A1262,tab_tipo_Combustivel!$B$1:$AQ$1,0),1,1)</f>
        <v>134.18</v>
      </c>
    </row>
    <row r="1263" spans="1:3">
      <c r="A1263" s="3">
        <f t="shared" si="34"/>
        <v>2021</v>
      </c>
      <c r="B1263" s="106">
        <f t="shared" si="35"/>
        <v>156</v>
      </c>
      <c r="C1263" s="107">
        <f ca="1">OFFSET(tab_tipo_Combustivel!$A$1,MATCH(B1263,tab_tipo_Combustivel!$A$2:$A$150,0),MATCH(A1263,tab_tipo_Combustivel!$B$1:$AQ$1,0),1,1)</f>
        <v>77.12</v>
      </c>
    </row>
    <row r="1264" spans="1:3">
      <c r="A1264" s="3">
        <f t="shared" si="34"/>
        <v>2021</v>
      </c>
      <c r="B1264" s="106">
        <f t="shared" si="35"/>
        <v>163</v>
      </c>
      <c r="C1264" s="107">
        <f ca="1">OFFSET(tab_tipo_Combustivel!$A$1,MATCH(B1264,tab_tipo_Combustivel!$A$2:$A$150,0),MATCH(A1264,tab_tipo_Combustivel!$B$1:$AQ$1,0),1,1)</f>
        <v>156.69999999999999</v>
      </c>
    </row>
    <row r="1265" spans="1:3">
      <c r="A1265" s="3">
        <f t="shared" si="34"/>
        <v>2021</v>
      </c>
      <c r="B1265" s="106">
        <f t="shared" si="35"/>
        <v>167</v>
      </c>
      <c r="C1265" s="107">
        <f ca="1">OFFSET(tab_tipo_Combustivel!$A$1,MATCH(B1265,tab_tipo_Combustivel!$A$2:$A$150,0),MATCH(A1265,tab_tipo_Combustivel!$B$1:$AQ$1,0),1,1)</f>
        <v>144.66999999999999</v>
      </c>
    </row>
    <row r="1266" spans="1:3">
      <c r="A1266" s="3">
        <f t="shared" si="34"/>
        <v>2021</v>
      </c>
      <c r="B1266" s="106">
        <f t="shared" si="35"/>
        <v>171</v>
      </c>
      <c r="C1266" s="107">
        <f ca="1">OFFSET(tab_tipo_Combustivel!$A$1,MATCH(B1266,tab_tipo_Combustivel!$A$2:$A$150,0),MATCH(A1266,tab_tipo_Combustivel!$B$1:$AQ$1,0),1,1)</f>
        <v>88</v>
      </c>
    </row>
    <row r="1267" spans="1:3">
      <c r="A1267" s="3">
        <f t="shared" si="34"/>
        <v>2021</v>
      </c>
      <c r="B1267" s="106">
        <f t="shared" si="35"/>
        <v>172</v>
      </c>
      <c r="C1267" s="107">
        <f ca="1">OFFSET(tab_tipo_Combustivel!$A$1,MATCH(B1267,tab_tipo_Combustivel!$A$2:$A$150,0),MATCH(A1267,tab_tipo_Combustivel!$B$1:$AQ$1,0),1,1)</f>
        <v>99.97</v>
      </c>
    </row>
    <row r="1268" spans="1:3">
      <c r="A1268" s="3">
        <f t="shared" si="34"/>
        <v>2021</v>
      </c>
      <c r="B1268" s="106">
        <f t="shared" si="35"/>
        <v>173</v>
      </c>
      <c r="C1268" s="107">
        <f ca="1">OFFSET(tab_tipo_Combustivel!$A$1,MATCH(B1268,tab_tipo_Combustivel!$A$2:$A$150,0),MATCH(A1268,tab_tipo_Combustivel!$B$1:$AQ$1,0),1,1)</f>
        <v>192.03</v>
      </c>
    </row>
    <row r="1269" spans="1:3">
      <c r="A1269" s="3">
        <f t="shared" si="34"/>
        <v>2021</v>
      </c>
      <c r="B1269" s="106">
        <f t="shared" si="35"/>
        <v>174</v>
      </c>
      <c r="C1269" s="107">
        <f ca="1">OFFSET(tab_tipo_Combustivel!$A$1,MATCH(B1269,tab_tipo_Combustivel!$A$2:$A$150,0),MATCH(A1269,tab_tipo_Combustivel!$B$1:$AQ$1,0),1,1)</f>
        <v>331.22</v>
      </c>
    </row>
    <row r="1270" spans="1:3">
      <c r="A1270" s="3">
        <f t="shared" si="34"/>
        <v>2021</v>
      </c>
      <c r="B1270" s="106">
        <f t="shared" si="35"/>
        <v>176</v>
      </c>
      <c r="C1270" s="107">
        <f ca="1">OFFSET(tab_tipo_Combustivel!$A$1,MATCH(B1270,tab_tipo_Combustivel!$A$2:$A$150,0),MATCH(A1270,tab_tipo_Combustivel!$B$1:$AQ$1,0),1,1)</f>
        <v>149.47999999999999</v>
      </c>
    </row>
    <row r="1271" spans="1:3">
      <c r="A1271" s="3">
        <f t="shared" si="34"/>
        <v>2021</v>
      </c>
      <c r="B1271" s="106">
        <f t="shared" si="35"/>
        <v>183</v>
      </c>
      <c r="C1271" s="107">
        <f ca="1">OFFSET(tab_tipo_Combustivel!$A$1,MATCH(B1271,tab_tipo_Combustivel!$A$2:$A$150,0),MATCH(A1271,tab_tipo_Combustivel!$B$1:$AQ$1,0),1,1)</f>
        <v>171.61</v>
      </c>
    </row>
    <row r="1272" spans="1:3">
      <c r="A1272" s="3">
        <f t="shared" si="34"/>
        <v>2021</v>
      </c>
      <c r="B1272" s="106">
        <f t="shared" si="35"/>
        <v>194</v>
      </c>
      <c r="C1272" s="107">
        <f ca="1">OFFSET(tab_tipo_Combustivel!$A$1,MATCH(B1272,tab_tipo_Combustivel!$A$2:$A$150,0),MATCH(A1272,tab_tipo_Combustivel!$B$1:$AQ$1,0),1,1)</f>
        <v>1098.58</v>
      </c>
    </row>
    <row r="1273" spans="1:3">
      <c r="A1273" s="3">
        <f t="shared" si="34"/>
        <v>2021</v>
      </c>
      <c r="B1273" s="106">
        <f t="shared" si="35"/>
        <v>203</v>
      </c>
      <c r="C1273" s="107">
        <f ca="1">OFFSET(tab_tipo_Combustivel!$A$1,MATCH(B1273,tab_tipo_Combustivel!$A$2:$A$150,0),MATCH(A1273,tab_tipo_Combustivel!$B$1:$AQ$1,0),1,1)</f>
        <v>0</v>
      </c>
    </row>
    <row r="1274" spans="1:3">
      <c r="A1274" s="3">
        <f t="shared" si="34"/>
        <v>2021</v>
      </c>
      <c r="B1274" s="106">
        <f t="shared" si="35"/>
        <v>204</v>
      </c>
      <c r="C1274" s="107">
        <f ca="1">OFFSET(tab_tipo_Combustivel!$A$1,MATCH(B1274,tab_tipo_Combustivel!$A$2:$A$150,0),MATCH(A1274,tab_tipo_Combustivel!$B$1:$AQ$1,0),1,1)</f>
        <v>0</v>
      </c>
    </row>
    <row r="1275" spans="1:3">
      <c r="A1275" s="3">
        <f t="shared" si="34"/>
        <v>2021</v>
      </c>
      <c r="B1275" s="106">
        <f t="shared" si="35"/>
        <v>205</v>
      </c>
      <c r="C1275" s="107">
        <f ca="1">OFFSET(tab_tipo_Combustivel!$A$1,MATCH(B1275,tab_tipo_Combustivel!$A$2:$A$150,0),MATCH(A1275,tab_tipo_Combustivel!$B$1:$AQ$1,0),1,1)</f>
        <v>0</v>
      </c>
    </row>
    <row r="1276" spans="1:3">
      <c r="A1276" s="3">
        <f t="shared" si="34"/>
        <v>2021</v>
      </c>
      <c r="B1276" s="106">
        <f t="shared" si="35"/>
        <v>207</v>
      </c>
      <c r="C1276" s="107">
        <f ca="1">OFFSET(tab_tipo_Combustivel!$A$1,MATCH(B1276,tab_tipo_Combustivel!$A$2:$A$150,0),MATCH(A1276,tab_tipo_Combustivel!$B$1:$AQ$1,0),1,1)</f>
        <v>0</v>
      </c>
    </row>
    <row r="1277" spans="1:3">
      <c r="A1277" s="3">
        <f t="shared" si="34"/>
        <v>2021</v>
      </c>
      <c r="B1277" s="106">
        <f t="shared" si="35"/>
        <v>208</v>
      </c>
      <c r="C1277" s="107">
        <f ca="1">OFFSET(tab_tipo_Combustivel!$A$1,MATCH(B1277,tab_tipo_Combustivel!$A$2:$A$150,0),MATCH(A1277,tab_tipo_Combustivel!$B$1:$AQ$1,0),1,1)</f>
        <v>783.64</v>
      </c>
    </row>
    <row r="1278" spans="1:3">
      <c r="A1278" s="3">
        <f t="shared" si="34"/>
        <v>2021</v>
      </c>
      <c r="B1278" s="106">
        <f t="shared" si="35"/>
        <v>209</v>
      </c>
      <c r="C1278" s="107">
        <f ca="1">OFFSET(tab_tipo_Combustivel!$A$1,MATCH(B1278,tab_tipo_Combustivel!$A$2:$A$150,0),MATCH(A1278,tab_tipo_Combustivel!$B$1:$AQ$1,0),1,1)</f>
        <v>0</v>
      </c>
    </row>
    <row r="1279" spans="1:3">
      <c r="A1279" s="3">
        <f t="shared" si="34"/>
        <v>2021</v>
      </c>
      <c r="B1279" s="106">
        <f t="shared" si="35"/>
        <v>211</v>
      </c>
      <c r="C1279" s="107">
        <f ca="1">OFFSET(tab_tipo_Combustivel!$A$1,MATCH(B1279,tab_tipo_Combustivel!$A$2:$A$150,0),MATCH(A1279,tab_tipo_Combustivel!$B$1:$AQ$1,0),1,1)</f>
        <v>150.79</v>
      </c>
    </row>
    <row r="1280" spans="1:3">
      <c r="A1280" s="3">
        <f t="shared" si="34"/>
        <v>2021</v>
      </c>
      <c r="B1280" s="106">
        <f t="shared" si="35"/>
        <v>212</v>
      </c>
      <c r="C1280" s="107">
        <f ca="1">OFFSET(tab_tipo_Combustivel!$A$1,MATCH(B1280,tab_tipo_Combustivel!$A$2:$A$150,0),MATCH(A1280,tab_tipo_Combustivel!$B$1:$AQ$1,0),1,1)</f>
        <v>84.58</v>
      </c>
    </row>
    <row r="1281" spans="1:3">
      <c r="A1281" s="3">
        <f t="shared" si="34"/>
        <v>2021</v>
      </c>
      <c r="B1281" s="106">
        <f t="shared" si="35"/>
        <v>224</v>
      </c>
      <c r="C1281" s="107">
        <f ca="1">OFFSET(tab_tipo_Combustivel!$A$1,MATCH(B1281,tab_tipo_Combustivel!$A$2:$A$150,0),MATCH(A1281,tab_tipo_Combustivel!$B$1:$AQ$1,0),1,1)</f>
        <v>31.08</v>
      </c>
    </row>
    <row r="1282" spans="1:3">
      <c r="A1282" s="3">
        <f t="shared" si="34"/>
        <v>2021</v>
      </c>
      <c r="B1282" s="106">
        <f t="shared" si="35"/>
        <v>225</v>
      </c>
      <c r="C1282" s="107">
        <f ca="1">OFFSET(tab_tipo_Combustivel!$A$1,MATCH(B1282,tab_tipo_Combustivel!$A$2:$A$150,0),MATCH(A1282,tab_tipo_Combustivel!$B$1:$AQ$1,0),1,1)</f>
        <v>1329.7</v>
      </c>
    </row>
    <row r="1283" spans="1:3">
      <c r="A1283" s="3">
        <f t="shared" si="34"/>
        <v>2021</v>
      </c>
      <c r="B1283" s="106">
        <f t="shared" si="35"/>
        <v>226</v>
      </c>
      <c r="C1283" s="107">
        <f ca="1">OFFSET(tab_tipo_Combustivel!$A$1,MATCH(B1283,tab_tipo_Combustivel!$A$2:$A$150,0),MATCH(A1283,tab_tipo_Combustivel!$B$1:$AQ$1,0),1,1)</f>
        <v>1061.1300000000001</v>
      </c>
    </row>
    <row r="1284" spans="1:3">
      <c r="A1284" s="3">
        <f t="shared" si="34"/>
        <v>2021</v>
      </c>
      <c r="B1284" s="106">
        <f t="shared" si="35"/>
        <v>227</v>
      </c>
      <c r="C1284" s="107">
        <f ca="1">OFFSET(tab_tipo_Combustivel!$A$1,MATCH(B1284,tab_tipo_Combustivel!$A$2:$A$150,0),MATCH(A1284,tab_tipo_Combustivel!$B$1:$AQ$1,0),1,1)</f>
        <v>447.52</v>
      </c>
    </row>
    <row r="1285" spans="1:3">
      <c r="A1285" s="3">
        <f t="shared" si="34"/>
        <v>2021</v>
      </c>
      <c r="B1285" s="106">
        <f t="shared" si="35"/>
        <v>228</v>
      </c>
      <c r="C1285" s="107">
        <f ca="1">OFFSET(tab_tipo_Combustivel!$A$1,MATCH(B1285,tab_tipo_Combustivel!$A$2:$A$150,0),MATCH(A1285,tab_tipo_Combustivel!$B$1:$AQ$1,0),1,1)</f>
        <v>1061.1400000000001</v>
      </c>
    </row>
    <row r="1286" spans="1:3">
      <c r="A1286" s="3">
        <f t="shared" si="34"/>
        <v>2021</v>
      </c>
      <c r="B1286" s="106">
        <f t="shared" si="35"/>
        <v>229</v>
      </c>
      <c r="C1286" s="107">
        <f ca="1">OFFSET(tab_tipo_Combustivel!$A$1,MATCH(B1286,tab_tipo_Combustivel!$A$2:$A$150,0),MATCH(A1286,tab_tipo_Combustivel!$B$1:$AQ$1,0),1,1)</f>
        <v>942.05</v>
      </c>
    </row>
    <row r="1287" spans="1:3">
      <c r="A1287" s="3">
        <f t="shared" si="34"/>
        <v>2021</v>
      </c>
      <c r="B1287" s="106">
        <f t="shared" si="35"/>
        <v>230</v>
      </c>
      <c r="C1287" s="107">
        <f ca="1">OFFSET(tab_tipo_Combustivel!$A$1,MATCH(B1287,tab_tipo_Combustivel!$A$2:$A$150,0),MATCH(A1287,tab_tipo_Combustivel!$B$1:$AQ$1,0),1,1)</f>
        <v>495.06</v>
      </c>
    </row>
    <row r="1288" spans="1:3">
      <c r="A1288" s="3">
        <f t="shared" si="34"/>
        <v>2021</v>
      </c>
      <c r="B1288" s="106">
        <f t="shared" si="35"/>
        <v>231</v>
      </c>
      <c r="C1288" s="107">
        <f ca="1">OFFSET(tab_tipo_Combustivel!$A$1,MATCH(B1288,tab_tipo_Combustivel!$A$2:$A$150,0),MATCH(A1288,tab_tipo_Combustivel!$B$1:$AQ$1,0),1,1)</f>
        <v>489.29</v>
      </c>
    </row>
    <row r="1289" spans="1:3">
      <c r="A1289" s="3">
        <f t="shared" si="34"/>
        <v>2021</v>
      </c>
      <c r="B1289" s="106">
        <f t="shared" si="35"/>
        <v>232</v>
      </c>
      <c r="C1289" s="107">
        <f ca="1">OFFSET(tab_tipo_Combustivel!$A$1,MATCH(B1289,tab_tipo_Combustivel!$A$2:$A$150,0),MATCH(A1289,tab_tipo_Combustivel!$B$1:$AQ$1,0),1,1)</f>
        <v>842.33</v>
      </c>
    </row>
    <row r="1290" spans="1:3">
      <c r="A1290" s="3">
        <f t="shared" ref="A1290:A1353" si="36">A1155+1</f>
        <v>2021</v>
      </c>
      <c r="B1290" s="106">
        <f t="shared" ref="B1290:B1353" si="37">B1155</f>
        <v>233</v>
      </c>
      <c r="C1290" s="107">
        <f ca="1">OFFSET(tab_tipo_Combustivel!$A$1,MATCH(B1290,tab_tipo_Combustivel!$A$2:$A$150,0),MATCH(A1290,tab_tipo_Combustivel!$B$1:$AQ$1,0),1,1)</f>
        <v>984.29</v>
      </c>
    </row>
    <row r="1291" spans="1:3">
      <c r="A1291" s="3">
        <f t="shared" si="36"/>
        <v>2021</v>
      </c>
      <c r="B1291" s="106">
        <f t="shared" si="37"/>
        <v>234</v>
      </c>
      <c r="C1291" s="107">
        <f ca="1">OFFSET(tab_tipo_Combustivel!$A$1,MATCH(B1291,tab_tipo_Combustivel!$A$2:$A$150,0),MATCH(A1291,tab_tipo_Combustivel!$B$1:$AQ$1,0),1,1)</f>
        <v>290.26</v>
      </c>
    </row>
    <row r="1292" spans="1:3">
      <c r="A1292" s="3">
        <f t="shared" si="36"/>
        <v>2021</v>
      </c>
      <c r="B1292" s="106">
        <f t="shared" si="37"/>
        <v>235</v>
      </c>
      <c r="C1292" s="107">
        <f ca="1">OFFSET(tab_tipo_Combustivel!$A$1,MATCH(B1292,tab_tipo_Combustivel!$A$2:$A$150,0),MATCH(A1292,tab_tipo_Combustivel!$B$1:$AQ$1,0),1,1)</f>
        <v>1350.87</v>
      </c>
    </row>
    <row r="1293" spans="1:3">
      <c r="A1293" s="3">
        <f t="shared" si="36"/>
        <v>2021</v>
      </c>
      <c r="B1293" s="106">
        <f t="shared" si="37"/>
        <v>236</v>
      </c>
      <c r="C1293" s="107">
        <f ca="1">OFFSET(tab_tipo_Combustivel!$A$1,MATCH(B1293,tab_tipo_Combustivel!$A$2:$A$150,0),MATCH(A1293,tab_tipo_Combustivel!$B$1:$AQ$1,0),1,1)</f>
        <v>842.33</v>
      </c>
    </row>
    <row r="1294" spans="1:3">
      <c r="A1294" s="3">
        <f t="shared" si="36"/>
        <v>2021</v>
      </c>
      <c r="B1294" s="106">
        <f t="shared" si="37"/>
        <v>237</v>
      </c>
      <c r="C1294" s="107">
        <f ca="1">OFFSET(tab_tipo_Combustivel!$A$1,MATCH(B1294,tab_tipo_Combustivel!$A$2:$A$150,0),MATCH(A1294,tab_tipo_Combustivel!$B$1:$AQ$1,0),1,1)</f>
        <v>760.85</v>
      </c>
    </row>
    <row r="1295" spans="1:3">
      <c r="A1295" s="3">
        <f t="shared" si="36"/>
        <v>2021</v>
      </c>
      <c r="B1295" s="106">
        <f t="shared" si="37"/>
        <v>238</v>
      </c>
      <c r="C1295" s="107">
        <f ca="1">OFFSET(tab_tipo_Combustivel!$A$1,MATCH(B1295,tab_tipo_Combustivel!$A$2:$A$150,0),MATCH(A1295,tab_tipo_Combustivel!$B$1:$AQ$1,0),1,1)</f>
        <v>963.75</v>
      </c>
    </row>
    <row r="1296" spans="1:3">
      <c r="A1296" s="3">
        <f t="shared" si="36"/>
        <v>2021</v>
      </c>
      <c r="B1296" s="106">
        <f t="shared" si="37"/>
        <v>239</v>
      </c>
      <c r="C1296" s="107">
        <f ca="1">OFFSET(tab_tipo_Combustivel!$A$1,MATCH(B1296,tab_tipo_Combustivel!$A$2:$A$150,0),MATCH(A1296,tab_tipo_Combustivel!$B$1:$AQ$1,0),1,1)</f>
        <v>963.75</v>
      </c>
    </row>
    <row r="1297" spans="1:3">
      <c r="A1297" s="3">
        <f t="shared" si="36"/>
        <v>2021</v>
      </c>
      <c r="B1297" s="106">
        <f t="shared" si="37"/>
        <v>240</v>
      </c>
      <c r="C1297" s="107">
        <f ca="1">OFFSET(tab_tipo_Combustivel!$A$1,MATCH(B1297,tab_tipo_Combustivel!$A$2:$A$150,0),MATCH(A1297,tab_tipo_Combustivel!$B$1:$AQ$1,0),1,1)</f>
        <v>1115.96</v>
      </c>
    </row>
    <row r="1298" spans="1:3">
      <c r="A1298" s="3">
        <f t="shared" si="36"/>
        <v>2021</v>
      </c>
      <c r="B1298" s="106">
        <f t="shared" si="37"/>
        <v>241</v>
      </c>
      <c r="C1298" s="107">
        <f ca="1">OFFSET(tab_tipo_Combustivel!$A$1,MATCH(B1298,tab_tipo_Combustivel!$A$2:$A$150,0),MATCH(A1298,tab_tipo_Combustivel!$B$1:$AQ$1,0),1,1)</f>
        <v>495.75</v>
      </c>
    </row>
    <row r="1299" spans="1:3">
      <c r="A1299" s="3">
        <f t="shared" si="36"/>
        <v>2021</v>
      </c>
      <c r="B1299" s="106">
        <f t="shared" si="37"/>
        <v>242</v>
      </c>
      <c r="C1299" s="107">
        <f ca="1">OFFSET(tab_tipo_Combustivel!$A$1,MATCH(B1299,tab_tipo_Combustivel!$A$2:$A$150,0),MATCH(A1299,tab_tipo_Combustivel!$B$1:$AQ$1,0),1,1)</f>
        <v>1176.45</v>
      </c>
    </row>
    <row r="1300" spans="1:3">
      <c r="A1300" s="3">
        <f t="shared" si="36"/>
        <v>2021</v>
      </c>
      <c r="B1300" s="106">
        <f t="shared" si="37"/>
        <v>243</v>
      </c>
      <c r="C1300" s="107">
        <f ca="1">OFFSET(tab_tipo_Combustivel!$A$1,MATCH(B1300,tab_tipo_Combustivel!$A$2:$A$150,0),MATCH(A1300,tab_tipo_Combustivel!$B$1:$AQ$1,0),1,1)</f>
        <v>495.08</v>
      </c>
    </row>
    <row r="1301" spans="1:3">
      <c r="A1301" s="3">
        <f t="shared" si="36"/>
        <v>2021</v>
      </c>
      <c r="B1301" s="106">
        <f t="shared" si="37"/>
        <v>244</v>
      </c>
      <c r="C1301" s="107">
        <f ca="1">OFFSET(tab_tipo_Combustivel!$A$1,MATCH(B1301,tab_tipo_Combustivel!$A$2:$A$150,0),MATCH(A1301,tab_tipo_Combustivel!$B$1:$AQ$1,0),1,1)</f>
        <v>495.06</v>
      </c>
    </row>
    <row r="1302" spans="1:3">
      <c r="A1302" s="3">
        <f t="shared" si="36"/>
        <v>2021</v>
      </c>
      <c r="B1302" s="106">
        <f t="shared" si="37"/>
        <v>245</v>
      </c>
      <c r="C1302" s="107">
        <f ca="1">OFFSET(tab_tipo_Combustivel!$A$1,MATCH(B1302,tab_tipo_Combustivel!$A$2:$A$150,0),MATCH(A1302,tab_tipo_Combustivel!$B$1:$AQ$1,0),1,1)</f>
        <v>562.65</v>
      </c>
    </row>
    <row r="1303" spans="1:3">
      <c r="A1303" s="3">
        <f t="shared" si="36"/>
        <v>2021</v>
      </c>
      <c r="B1303" s="106">
        <f t="shared" si="37"/>
        <v>246</v>
      </c>
      <c r="C1303" s="107">
        <f ca="1">OFFSET(tab_tipo_Combustivel!$A$1,MATCH(B1303,tab_tipo_Combustivel!$A$2:$A$150,0),MATCH(A1303,tab_tipo_Combustivel!$B$1:$AQ$1,0),1,1)</f>
        <v>1124.53</v>
      </c>
    </row>
    <row r="1304" spans="1:3">
      <c r="A1304" s="3">
        <f t="shared" si="36"/>
        <v>2021</v>
      </c>
      <c r="B1304" s="106">
        <f t="shared" si="37"/>
        <v>247</v>
      </c>
      <c r="C1304" s="107">
        <f ca="1">OFFSET(tab_tipo_Combustivel!$A$1,MATCH(B1304,tab_tipo_Combustivel!$A$2:$A$150,0),MATCH(A1304,tab_tipo_Combustivel!$B$1:$AQ$1,0),1,1)</f>
        <v>609.51</v>
      </c>
    </row>
    <row r="1305" spans="1:3">
      <c r="A1305" s="3">
        <f t="shared" si="36"/>
        <v>2021</v>
      </c>
      <c r="B1305" s="106">
        <f t="shared" si="37"/>
        <v>248</v>
      </c>
      <c r="C1305" s="107">
        <f ca="1">OFFSET(tab_tipo_Combustivel!$A$1,MATCH(B1305,tab_tipo_Combustivel!$A$2:$A$150,0),MATCH(A1305,tab_tipo_Combustivel!$B$1:$AQ$1,0),1,1)</f>
        <v>495.06</v>
      </c>
    </row>
    <row r="1306" spans="1:3">
      <c r="A1306" s="3">
        <f t="shared" si="36"/>
        <v>2021</v>
      </c>
      <c r="B1306" s="106">
        <f t="shared" si="37"/>
        <v>249</v>
      </c>
      <c r="C1306" s="107">
        <f ca="1">OFFSET(tab_tipo_Combustivel!$A$1,MATCH(B1306,tab_tipo_Combustivel!$A$2:$A$150,0),MATCH(A1306,tab_tipo_Combustivel!$B$1:$AQ$1,0),1,1)</f>
        <v>842.33</v>
      </c>
    </row>
    <row r="1307" spans="1:3">
      <c r="A1307" s="3">
        <f t="shared" si="36"/>
        <v>2021</v>
      </c>
      <c r="B1307" s="106">
        <f t="shared" si="37"/>
        <v>250</v>
      </c>
      <c r="C1307" s="107">
        <f ca="1">OFFSET(tab_tipo_Combustivel!$A$1,MATCH(B1307,tab_tipo_Combustivel!$A$2:$A$150,0),MATCH(A1307,tab_tipo_Combustivel!$B$1:$AQ$1,0),1,1)</f>
        <v>1176.45</v>
      </c>
    </row>
    <row r="1308" spans="1:3">
      <c r="A1308" s="3">
        <f t="shared" si="36"/>
        <v>2021</v>
      </c>
      <c r="B1308" s="106">
        <f t="shared" si="37"/>
        <v>251</v>
      </c>
      <c r="C1308" s="107">
        <f ca="1">OFFSET(tab_tipo_Combustivel!$A$1,MATCH(B1308,tab_tipo_Combustivel!$A$2:$A$150,0),MATCH(A1308,tab_tipo_Combustivel!$B$1:$AQ$1,0),1,1)</f>
        <v>842.33</v>
      </c>
    </row>
    <row r="1309" spans="1:3">
      <c r="A1309" s="3">
        <f t="shared" si="36"/>
        <v>2021</v>
      </c>
      <c r="B1309" s="106">
        <f t="shared" si="37"/>
        <v>252</v>
      </c>
      <c r="C1309" s="107">
        <f ca="1">OFFSET(tab_tipo_Combustivel!$A$1,MATCH(B1309,tab_tipo_Combustivel!$A$2:$A$150,0),MATCH(A1309,tab_tipo_Combustivel!$B$1:$AQ$1,0),1,1)</f>
        <v>842.33</v>
      </c>
    </row>
    <row r="1310" spans="1:3">
      <c r="A1310" s="3">
        <f t="shared" si="36"/>
        <v>2021</v>
      </c>
      <c r="B1310" s="106">
        <f t="shared" si="37"/>
        <v>253</v>
      </c>
      <c r="C1310" s="107">
        <f ca="1">OFFSET(tab_tipo_Combustivel!$A$1,MATCH(B1310,tab_tipo_Combustivel!$A$2:$A$150,0),MATCH(A1310,tab_tipo_Combustivel!$B$1:$AQ$1,0),1,1)</f>
        <v>279.45</v>
      </c>
    </row>
    <row r="1311" spans="1:3">
      <c r="A1311" s="3">
        <f t="shared" si="36"/>
        <v>2021</v>
      </c>
      <c r="B1311" s="106">
        <f t="shared" si="37"/>
        <v>254</v>
      </c>
      <c r="C1311" s="107">
        <f ca="1">OFFSET(tab_tipo_Combustivel!$A$1,MATCH(B1311,tab_tipo_Combustivel!$A$2:$A$150,0),MATCH(A1311,tab_tipo_Combustivel!$B$1:$AQ$1,0),1,1)</f>
        <v>1153.98</v>
      </c>
    </row>
    <row r="1312" spans="1:3">
      <c r="A1312" s="3">
        <f t="shared" si="36"/>
        <v>2021</v>
      </c>
      <c r="B1312" s="106">
        <f t="shared" si="37"/>
        <v>255</v>
      </c>
      <c r="C1312" s="107">
        <f ca="1">OFFSET(tab_tipo_Combustivel!$A$1,MATCH(B1312,tab_tipo_Combustivel!$A$2:$A$150,0),MATCH(A1312,tab_tipo_Combustivel!$B$1:$AQ$1,0),1,1)</f>
        <v>828.98</v>
      </c>
    </row>
    <row r="1313" spans="1:3">
      <c r="A1313" s="3">
        <f t="shared" si="36"/>
        <v>2021</v>
      </c>
      <c r="B1313" s="106">
        <f t="shared" si="37"/>
        <v>256</v>
      </c>
      <c r="C1313" s="107">
        <f ca="1">OFFSET(tab_tipo_Combustivel!$A$1,MATCH(B1313,tab_tipo_Combustivel!$A$2:$A$150,0),MATCH(A1313,tab_tipo_Combustivel!$B$1:$AQ$1,0),1,1)</f>
        <v>562.65</v>
      </c>
    </row>
    <row r="1314" spans="1:3">
      <c r="A1314" s="3">
        <f t="shared" si="36"/>
        <v>2021</v>
      </c>
      <c r="B1314" s="106">
        <f t="shared" si="37"/>
        <v>257</v>
      </c>
      <c r="C1314" s="107">
        <f ca="1">OFFSET(tab_tipo_Combustivel!$A$1,MATCH(B1314,tab_tipo_Combustivel!$A$2:$A$150,0),MATCH(A1314,tab_tipo_Combustivel!$B$1:$AQ$1,0),1,1)</f>
        <v>907.52</v>
      </c>
    </row>
    <row r="1315" spans="1:3">
      <c r="A1315" s="3">
        <f t="shared" si="36"/>
        <v>2021</v>
      </c>
      <c r="B1315" s="106">
        <f t="shared" si="37"/>
        <v>258</v>
      </c>
      <c r="C1315" s="107">
        <f ca="1">OFFSET(tab_tipo_Combustivel!$A$1,MATCH(B1315,tab_tipo_Combustivel!$A$2:$A$150,0),MATCH(A1315,tab_tipo_Combustivel!$B$1:$AQ$1,0),1,1)</f>
        <v>1016.04</v>
      </c>
    </row>
    <row r="1316" spans="1:3">
      <c r="A1316" s="3">
        <f t="shared" si="36"/>
        <v>2021</v>
      </c>
      <c r="B1316" s="106">
        <f t="shared" si="37"/>
        <v>259</v>
      </c>
      <c r="C1316" s="107">
        <f ca="1">OFFSET(tab_tipo_Combustivel!$A$1,MATCH(B1316,tab_tipo_Combustivel!$A$2:$A$150,0),MATCH(A1316,tab_tipo_Combustivel!$B$1:$AQ$1,0),1,1)</f>
        <v>977.53</v>
      </c>
    </row>
    <row r="1317" spans="1:3">
      <c r="A1317" s="3">
        <f t="shared" si="36"/>
        <v>2021</v>
      </c>
      <c r="B1317" s="106">
        <f t="shared" si="37"/>
        <v>260</v>
      </c>
      <c r="C1317" s="107">
        <f ca="1">OFFSET(tab_tipo_Combustivel!$A$1,MATCH(B1317,tab_tipo_Combustivel!$A$2:$A$150,0),MATCH(A1317,tab_tipo_Combustivel!$B$1:$AQ$1,0),1,1)</f>
        <v>827.17</v>
      </c>
    </row>
    <row r="1318" spans="1:3">
      <c r="A1318" s="3">
        <f t="shared" si="36"/>
        <v>2021</v>
      </c>
      <c r="B1318" s="106">
        <f t="shared" si="37"/>
        <v>261</v>
      </c>
      <c r="C1318" s="107">
        <f ca="1">OFFSET(tab_tipo_Combustivel!$A$1,MATCH(B1318,tab_tipo_Combustivel!$A$2:$A$150,0),MATCH(A1318,tab_tipo_Combustivel!$B$1:$AQ$1,0),1,1)</f>
        <v>829.7</v>
      </c>
    </row>
    <row r="1319" spans="1:3">
      <c r="A1319" s="3">
        <f t="shared" si="36"/>
        <v>2021</v>
      </c>
      <c r="B1319" s="106">
        <f t="shared" si="37"/>
        <v>262</v>
      </c>
      <c r="C1319" s="107">
        <f ca="1">OFFSET(tab_tipo_Combustivel!$A$1,MATCH(B1319,tab_tipo_Combustivel!$A$2:$A$150,0),MATCH(A1319,tab_tipo_Combustivel!$B$1:$AQ$1,0),1,1)</f>
        <v>495.75</v>
      </c>
    </row>
    <row r="1320" spans="1:3">
      <c r="A1320" s="3">
        <f t="shared" si="36"/>
        <v>2021</v>
      </c>
      <c r="B1320" s="106">
        <f t="shared" si="37"/>
        <v>263</v>
      </c>
      <c r="C1320" s="107">
        <f ca="1">OFFSET(tab_tipo_Combustivel!$A$1,MATCH(B1320,tab_tipo_Combustivel!$A$2:$A$150,0),MATCH(A1320,tab_tipo_Combustivel!$B$1:$AQ$1,0),1,1)</f>
        <v>474.77</v>
      </c>
    </row>
    <row r="1321" spans="1:3">
      <c r="A1321" s="3">
        <f t="shared" si="36"/>
        <v>2021</v>
      </c>
      <c r="B1321" s="106">
        <f t="shared" si="37"/>
        <v>264</v>
      </c>
      <c r="C1321" s="107">
        <f ca="1">OFFSET(tab_tipo_Combustivel!$A$1,MATCH(B1321,tab_tipo_Combustivel!$A$2:$A$150,0),MATCH(A1321,tab_tipo_Combustivel!$B$1:$AQ$1,0),1,1)</f>
        <v>842.33</v>
      </c>
    </row>
    <row r="1322" spans="1:3">
      <c r="A1322" s="3">
        <f t="shared" si="36"/>
        <v>2021</v>
      </c>
      <c r="B1322" s="106">
        <f t="shared" si="37"/>
        <v>265</v>
      </c>
      <c r="C1322" s="107">
        <f ca="1">OFFSET(tab_tipo_Combustivel!$A$1,MATCH(B1322,tab_tipo_Combustivel!$A$2:$A$150,0),MATCH(A1322,tab_tipo_Combustivel!$B$1:$AQ$1,0),1,1)</f>
        <v>415.82</v>
      </c>
    </row>
    <row r="1323" spans="1:3">
      <c r="A1323" s="3">
        <f t="shared" si="36"/>
        <v>2021</v>
      </c>
      <c r="B1323" s="106">
        <f t="shared" si="37"/>
        <v>266</v>
      </c>
      <c r="C1323" s="107">
        <f ca="1">OFFSET(tab_tipo_Combustivel!$A$1,MATCH(B1323,tab_tipo_Combustivel!$A$2:$A$150,0),MATCH(A1323,tab_tipo_Combustivel!$B$1:$AQ$1,0),1,1)</f>
        <v>827.17</v>
      </c>
    </row>
    <row r="1324" spans="1:3">
      <c r="A1324" s="3">
        <f t="shared" si="36"/>
        <v>2021</v>
      </c>
      <c r="B1324" s="106">
        <f t="shared" si="37"/>
        <v>301</v>
      </c>
      <c r="C1324" s="107">
        <f ca="1">OFFSET(tab_tipo_Combustivel!$A$1,MATCH(B1324,tab_tipo_Combustivel!$A$2:$A$150,0),MATCH(A1324,tab_tipo_Combustivel!$B$1:$AQ$1,0),1,1)</f>
        <v>99.08</v>
      </c>
    </row>
    <row r="1325" spans="1:3">
      <c r="A1325" s="3">
        <f t="shared" si="36"/>
        <v>2021</v>
      </c>
      <c r="B1325" s="106">
        <f t="shared" si="37"/>
        <v>302</v>
      </c>
      <c r="C1325" s="107">
        <f ca="1">OFFSET(tab_tipo_Combustivel!$A$1,MATCH(B1325,tab_tipo_Combustivel!$A$2:$A$150,0),MATCH(A1325,tab_tipo_Combustivel!$B$1:$AQ$1,0),1,1)</f>
        <v>103.73</v>
      </c>
    </row>
    <row r="1326" spans="1:3">
      <c r="A1326" s="3">
        <f t="shared" si="36"/>
        <v>2021</v>
      </c>
      <c r="B1326" s="106">
        <f t="shared" si="37"/>
        <v>303</v>
      </c>
      <c r="C1326" s="107">
        <f ca="1">OFFSET(tab_tipo_Combustivel!$A$1,MATCH(B1326,tab_tipo_Combustivel!$A$2:$A$150,0),MATCH(A1326,tab_tipo_Combustivel!$B$1:$AQ$1,0),1,1)</f>
        <v>103.73</v>
      </c>
    </row>
    <row r="1327" spans="1:3">
      <c r="A1327" s="3">
        <f t="shared" si="36"/>
        <v>2021</v>
      </c>
      <c r="B1327" s="106">
        <f t="shared" si="37"/>
        <v>304</v>
      </c>
      <c r="C1327" s="107">
        <f ca="1">OFFSET(tab_tipo_Combustivel!$A$1,MATCH(B1327,tab_tipo_Combustivel!$A$2:$A$150,0),MATCH(A1327,tab_tipo_Combustivel!$B$1:$AQ$1,0),1,1)</f>
        <v>139.41999999999999</v>
      </c>
    </row>
    <row r="1328" spans="1:3">
      <c r="A1328" s="3">
        <f t="shared" si="36"/>
        <v>2021</v>
      </c>
      <c r="B1328" s="106">
        <f t="shared" si="37"/>
        <v>305</v>
      </c>
      <c r="C1328" s="107">
        <f ca="1">OFFSET(tab_tipo_Combustivel!$A$1,MATCH(B1328,tab_tipo_Combustivel!$A$2:$A$150,0),MATCH(A1328,tab_tipo_Combustivel!$B$1:$AQ$1,0),1,1)</f>
        <v>89.7</v>
      </c>
    </row>
    <row r="1329" spans="1:3">
      <c r="A1329" s="3">
        <f t="shared" si="36"/>
        <v>2021</v>
      </c>
      <c r="B1329" s="106">
        <f t="shared" si="37"/>
        <v>306</v>
      </c>
      <c r="C1329" s="107">
        <f ca="1">OFFSET(tab_tipo_Combustivel!$A$1,MATCH(B1329,tab_tipo_Combustivel!$A$2:$A$150,0),MATCH(A1329,tab_tipo_Combustivel!$B$1:$AQ$1,0),1,1)</f>
        <v>100.38</v>
      </c>
    </row>
    <row r="1330" spans="1:3">
      <c r="A1330" s="3">
        <f t="shared" si="36"/>
        <v>2021</v>
      </c>
      <c r="B1330" s="106">
        <f t="shared" si="37"/>
        <v>307</v>
      </c>
      <c r="C1330" s="107">
        <f ca="1">OFFSET(tab_tipo_Combustivel!$A$1,MATCH(B1330,tab_tipo_Combustivel!$A$2:$A$150,0),MATCH(A1330,tab_tipo_Combustivel!$B$1:$AQ$1,0),1,1)</f>
        <v>510.12</v>
      </c>
    </row>
    <row r="1331" spans="1:3">
      <c r="A1331" s="3">
        <f t="shared" si="36"/>
        <v>2021</v>
      </c>
      <c r="B1331" s="106">
        <f t="shared" si="37"/>
        <v>308</v>
      </c>
      <c r="C1331" s="107">
        <f ca="1">OFFSET(tab_tipo_Combustivel!$A$1,MATCH(B1331,tab_tipo_Combustivel!$A$2:$A$150,0),MATCH(A1331,tab_tipo_Combustivel!$B$1:$AQ$1,0),1,1)</f>
        <v>72.5</v>
      </c>
    </row>
    <row r="1332" spans="1:3">
      <c r="A1332" s="3">
        <f t="shared" si="36"/>
        <v>2021</v>
      </c>
      <c r="B1332" s="106">
        <f t="shared" si="37"/>
        <v>309</v>
      </c>
      <c r="C1332" s="107">
        <f ca="1">OFFSET(tab_tipo_Combustivel!$A$1,MATCH(B1332,tab_tipo_Combustivel!$A$2:$A$150,0),MATCH(A1332,tab_tipo_Combustivel!$B$1:$AQ$1,0),1,1)</f>
        <v>126.77</v>
      </c>
    </row>
    <row r="1333" spans="1:3">
      <c r="A1333" s="3">
        <f t="shared" si="36"/>
        <v>2021</v>
      </c>
      <c r="B1333" s="106">
        <f t="shared" si="37"/>
        <v>310</v>
      </c>
      <c r="C1333" s="107">
        <f ca="1">OFFSET(tab_tipo_Combustivel!$A$1,MATCH(B1333,tab_tipo_Combustivel!$A$2:$A$150,0),MATCH(A1333,tab_tipo_Combustivel!$B$1:$AQ$1,0),1,1)</f>
        <v>275.99</v>
      </c>
    </row>
    <row r="1334" spans="1:3">
      <c r="A1334" s="3">
        <f t="shared" si="36"/>
        <v>2021</v>
      </c>
      <c r="B1334" s="106">
        <f t="shared" si="37"/>
        <v>311</v>
      </c>
      <c r="C1334" s="107">
        <f ca="1">OFFSET(tab_tipo_Combustivel!$A$1,MATCH(B1334,tab_tipo_Combustivel!$A$2:$A$150,0),MATCH(A1334,tab_tipo_Combustivel!$B$1:$AQ$1,0),1,1)</f>
        <v>70.66</v>
      </c>
    </row>
    <row r="1335" spans="1:3">
      <c r="A1335" s="3">
        <f t="shared" si="36"/>
        <v>2021</v>
      </c>
      <c r="B1335" s="106">
        <f t="shared" si="37"/>
        <v>312</v>
      </c>
      <c r="C1335" s="107">
        <f ca="1">OFFSET(tab_tipo_Combustivel!$A$1,MATCH(B1335,tab_tipo_Combustivel!$A$2:$A$150,0),MATCH(A1335,tab_tipo_Combustivel!$B$1:$AQ$1,0),1,1)</f>
        <v>0</v>
      </c>
    </row>
    <row r="1336" spans="1:3">
      <c r="A1336" s="3">
        <f t="shared" si="36"/>
        <v>2021</v>
      </c>
      <c r="B1336" s="106">
        <f t="shared" si="37"/>
        <v>1301</v>
      </c>
      <c r="C1336" s="107">
        <f ca="1">OFFSET(tab_tipo_Combustivel!$A$1,MATCH(B1336,tab_tipo_Combustivel!$A$2:$A$150,0),MATCH(A1336,tab_tipo_Combustivel!$B$1:$AQ$1,0),1,1)</f>
        <v>242.05</v>
      </c>
    </row>
    <row r="1337" spans="1:3">
      <c r="A1337" s="3">
        <f t="shared" si="36"/>
        <v>2021</v>
      </c>
      <c r="B1337" s="106">
        <f t="shared" si="37"/>
        <v>1302</v>
      </c>
      <c r="C1337" s="107">
        <f ca="1">OFFSET(tab_tipo_Combustivel!$A$1,MATCH(B1337,tab_tipo_Combustivel!$A$2:$A$150,0),MATCH(A1337,tab_tipo_Combustivel!$B$1:$AQ$1,0),1,1)</f>
        <v>193.64</v>
      </c>
    </row>
    <row r="1338" spans="1:3">
      <c r="A1338" s="3">
        <f t="shared" si="36"/>
        <v>2021</v>
      </c>
      <c r="B1338" s="106">
        <f t="shared" si="37"/>
        <v>1303</v>
      </c>
      <c r="C1338" s="107">
        <f ca="1">OFFSET(tab_tipo_Combustivel!$A$1,MATCH(B1338,tab_tipo_Combustivel!$A$2:$A$150,0),MATCH(A1338,tab_tipo_Combustivel!$B$1:$AQ$1,0),1,1)</f>
        <v>25.58</v>
      </c>
    </row>
    <row r="1339" spans="1:3">
      <c r="A1339" s="3">
        <f t="shared" si="36"/>
        <v>2021</v>
      </c>
      <c r="B1339" s="106">
        <f t="shared" si="37"/>
        <v>1304</v>
      </c>
      <c r="C1339" s="107">
        <f ca="1">OFFSET(tab_tipo_Combustivel!$A$1,MATCH(B1339,tab_tipo_Combustivel!$A$2:$A$150,0),MATCH(A1339,tab_tipo_Combustivel!$B$1:$AQ$1,0),1,1)</f>
        <v>0</v>
      </c>
    </row>
    <row r="1340" spans="1:3">
      <c r="A1340" s="3">
        <f t="shared" si="36"/>
        <v>2021</v>
      </c>
      <c r="B1340" s="106">
        <f t="shared" si="37"/>
        <v>1315</v>
      </c>
      <c r="C1340" s="107">
        <f ca="1">OFFSET(tab_tipo_Combustivel!$A$1,MATCH(B1340,tab_tipo_Combustivel!$A$2:$A$150,0),MATCH(A1340,tab_tipo_Combustivel!$B$1:$AQ$1,0),1,1)</f>
        <v>0</v>
      </c>
    </row>
    <row r="1341" spans="1:3">
      <c r="A1341" s="3">
        <f t="shared" si="36"/>
        <v>2021</v>
      </c>
      <c r="B1341" s="106">
        <f t="shared" si="37"/>
        <v>1316</v>
      </c>
      <c r="C1341" s="107">
        <f ca="1">OFFSET(tab_tipo_Combustivel!$A$1,MATCH(B1341,tab_tipo_Combustivel!$A$2:$A$150,0),MATCH(A1341,tab_tipo_Combustivel!$B$1:$AQ$1,0),1,1)</f>
        <v>0</v>
      </c>
    </row>
    <row r="1342" spans="1:3">
      <c r="A1342" s="3">
        <f t="shared" si="36"/>
        <v>2021</v>
      </c>
      <c r="B1342" s="106">
        <f t="shared" si="37"/>
        <v>1318</v>
      </c>
      <c r="C1342" s="107">
        <f ca="1">OFFSET(tab_tipo_Combustivel!$A$1,MATCH(B1342,tab_tipo_Combustivel!$A$2:$A$150,0),MATCH(A1342,tab_tipo_Combustivel!$B$1:$AQ$1,0),1,1)</f>
        <v>200</v>
      </c>
    </row>
    <row r="1343" spans="1:3">
      <c r="A1343" s="3">
        <f t="shared" si="36"/>
        <v>2021</v>
      </c>
      <c r="B1343" s="106">
        <f t="shared" si="37"/>
        <v>1321</v>
      </c>
      <c r="C1343" s="107">
        <f ca="1">OFFSET(tab_tipo_Combustivel!$A$1,MATCH(B1343,tab_tipo_Combustivel!$A$2:$A$150,0),MATCH(A1343,tab_tipo_Combustivel!$B$1:$AQ$1,0),1,1)</f>
        <v>85</v>
      </c>
    </row>
    <row r="1344" spans="1:3">
      <c r="A1344" s="3">
        <f t="shared" si="36"/>
        <v>2021</v>
      </c>
      <c r="B1344" s="106">
        <f t="shared" si="37"/>
        <v>1322</v>
      </c>
      <c r="C1344" s="107">
        <f ca="1">OFFSET(tab_tipo_Combustivel!$A$1,MATCH(B1344,tab_tipo_Combustivel!$A$2:$A$150,0),MATCH(A1344,tab_tipo_Combustivel!$B$1:$AQ$1,0),1,1)</f>
        <v>140</v>
      </c>
    </row>
    <row r="1345" spans="1:3">
      <c r="A1345" s="3">
        <f t="shared" si="36"/>
        <v>2021</v>
      </c>
      <c r="B1345" s="106">
        <f t="shared" si="37"/>
        <v>1323</v>
      </c>
      <c r="C1345" s="107">
        <f ca="1">OFFSET(tab_tipo_Combustivel!$A$1,MATCH(B1345,tab_tipo_Combustivel!$A$2:$A$150,0),MATCH(A1345,tab_tipo_Combustivel!$B$1:$AQ$1,0),1,1)</f>
        <v>63.75</v>
      </c>
    </row>
    <row r="1346" spans="1:3">
      <c r="A1346" s="3">
        <f t="shared" si="36"/>
        <v>2021</v>
      </c>
      <c r="B1346" s="106">
        <f t="shared" si="37"/>
        <v>1325</v>
      </c>
      <c r="C1346" s="107">
        <f ca="1">OFFSET(tab_tipo_Combustivel!$A$1,MATCH(B1346,tab_tipo_Combustivel!$A$2:$A$150,0),MATCH(A1346,tab_tipo_Combustivel!$B$1:$AQ$1,0),1,1)</f>
        <v>0</v>
      </c>
    </row>
    <row r="1347" spans="1:3">
      <c r="A1347" s="3">
        <f t="shared" si="36"/>
        <v>2021</v>
      </c>
      <c r="B1347" s="106">
        <f t="shared" si="37"/>
        <v>1326</v>
      </c>
      <c r="C1347" s="107">
        <f ca="1">OFFSET(tab_tipo_Combustivel!$A$1,MATCH(B1347,tab_tipo_Combustivel!$A$2:$A$150,0),MATCH(A1347,tab_tipo_Combustivel!$B$1:$AQ$1,0),1,1)</f>
        <v>260</v>
      </c>
    </row>
    <row r="1348" spans="1:3">
      <c r="A1348" s="3">
        <f t="shared" si="36"/>
        <v>2021</v>
      </c>
      <c r="B1348" s="106">
        <f t="shared" si="37"/>
        <v>1501</v>
      </c>
      <c r="C1348" s="107">
        <f ca="1">OFFSET(tab_tipo_Combustivel!$A$1,MATCH(B1348,tab_tipo_Combustivel!$A$2:$A$150,0),MATCH(A1348,tab_tipo_Combustivel!$B$1:$AQ$1,0),1,1)</f>
        <v>260</v>
      </c>
    </row>
    <row r="1349" spans="1:3">
      <c r="A1349" s="3">
        <f t="shared" si="36"/>
        <v>2021</v>
      </c>
      <c r="B1349" s="106">
        <f t="shared" si="37"/>
        <v>1502</v>
      </c>
      <c r="C1349" s="107">
        <f ca="1">OFFSET(tab_tipo_Combustivel!$A$1,MATCH(B1349,tab_tipo_Combustivel!$A$2:$A$150,0),MATCH(A1349,tab_tipo_Combustivel!$B$1:$AQ$1,0),1,1)</f>
        <v>60</v>
      </c>
    </row>
    <row r="1350" spans="1:3">
      <c r="A1350" s="3">
        <f t="shared" si="36"/>
        <v>2021</v>
      </c>
      <c r="B1350" s="106">
        <f t="shared" si="37"/>
        <v>1503</v>
      </c>
      <c r="C1350" s="107">
        <f ca="1">OFFSET(tab_tipo_Combustivel!$A$1,MATCH(B1350,tab_tipo_Combustivel!$A$2:$A$150,0),MATCH(A1350,tab_tipo_Combustivel!$B$1:$AQ$1,0),1,1)</f>
        <v>96.82</v>
      </c>
    </row>
    <row r="1351" spans="1:3">
      <c r="A1351" s="3">
        <f t="shared" si="36"/>
        <v>2021</v>
      </c>
      <c r="B1351" s="106">
        <f t="shared" si="37"/>
        <v>1504</v>
      </c>
      <c r="C1351" s="107">
        <f ca="1">OFFSET(tab_tipo_Combustivel!$A$1,MATCH(B1351,tab_tipo_Combustivel!$A$2:$A$150,0),MATCH(A1351,tab_tipo_Combustivel!$B$1:$AQ$1,0),1,1)</f>
        <v>145.22999999999999</v>
      </c>
    </row>
    <row r="1352" spans="1:3">
      <c r="A1352" s="3">
        <f t="shared" si="36"/>
        <v>2022</v>
      </c>
      <c r="B1352" s="106">
        <f t="shared" si="37"/>
        <v>1</v>
      </c>
      <c r="C1352" s="107">
        <f ca="1">OFFSET(tab_tipo_Combustivel!$A$1,MATCH(B1352,tab_tipo_Combustivel!$A$2:$A$150,0),MATCH(A1352,tab_tipo_Combustivel!$B$1:$AQ$1,0),1,1)</f>
        <v>29.13</v>
      </c>
    </row>
    <row r="1353" spans="1:3">
      <c r="A1353" s="3">
        <f t="shared" si="36"/>
        <v>2022</v>
      </c>
      <c r="B1353" s="106">
        <f t="shared" si="37"/>
        <v>2</v>
      </c>
      <c r="C1353" s="107">
        <f ca="1">OFFSET(tab_tipo_Combustivel!$A$1,MATCH(B1353,tab_tipo_Combustivel!$A$2:$A$150,0),MATCH(A1353,tab_tipo_Combustivel!$B$1:$AQ$1,0),1,1)</f>
        <v>842.33</v>
      </c>
    </row>
    <row r="1354" spans="1:3">
      <c r="A1354" s="3">
        <f t="shared" ref="A1354:A1417" si="38">A1219+1</f>
        <v>2022</v>
      </c>
      <c r="B1354" s="106">
        <f t="shared" ref="B1354:B1417" si="39">B1219</f>
        <v>4</v>
      </c>
      <c r="C1354" s="107">
        <f ca="1">OFFSET(tab_tipo_Combustivel!$A$1,MATCH(B1354,tab_tipo_Combustivel!$A$2:$A$150,0),MATCH(A1354,tab_tipo_Combustivel!$B$1:$AQ$1,0),1,1)</f>
        <v>842.33</v>
      </c>
    </row>
    <row r="1355" spans="1:3">
      <c r="A1355" s="3">
        <f t="shared" si="38"/>
        <v>2022</v>
      </c>
      <c r="B1355" s="106">
        <f t="shared" si="39"/>
        <v>9</v>
      </c>
      <c r="C1355" s="107">
        <f ca="1">OFFSET(tab_tipo_Combustivel!$A$1,MATCH(B1355,tab_tipo_Combustivel!$A$2:$A$150,0),MATCH(A1355,tab_tipo_Combustivel!$B$1:$AQ$1,0),1,1)</f>
        <v>842.33</v>
      </c>
    </row>
    <row r="1356" spans="1:3">
      <c r="A1356" s="3">
        <f t="shared" si="38"/>
        <v>2022</v>
      </c>
      <c r="B1356" s="106">
        <f t="shared" si="39"/>
        <v>12</v>
      </c>
      <c r="C1356" s="107">
        <f ca="1">OFFSET(tab_tipo_Combustivel!$A$1,MATCH(B1356,tab_tipo_Combustivel!$A$2:$A$150,0),MATCH(A1356,tab_tipo_Combustivel!$B$1:$AQ$1,0),1,1)</f>
        <v>728.87</v>
      </c>
    </row>
    <row r="1357" spans="1:3">
      <c r="A1357" s="3">
        <f t="shared" si="38"/>
        <v>2022</v>
      </c>
      <c r="B1357" s="106">
        <f t="shared" si="39"/>
        <v>13</v>
      </c>
      <c r="C1357" s="107">
        <f ca="1">OFFSET(tab_tipo_Combustivel!$A$1,MATCH(B1357,tab_tipo_Combustivel!$A$2:$A$150,0),MATCH(A1357,tab_tipo_Combustivel!$B$1:$AQ$1,0),1,1)</f>
        <v>20.12</v>
      </c>
    </row>
    <row r="1358" spans="1:3">
      <c r="A1358" s="3">
        <f t="shared" si="38"/>
        <v>2022</v>
      </c>
      <c r="B1358" s="106">
        <f t="shared" si="39"/>
        <v>15</v>
      </c>
      <c r="C1358" s="107">
        <f ca="1">OFFSET(tab_tipo_Combustivel!$A$1,MATCH(B1358,tab_tipo_Combustivel!$A$2:$A$150,0),MATCH(A1358,tab_tipo_Combustivel!$B$1:$AQ$1,0),1,1)</f>
        <v>257.29000000000002</v>
      </c>
    </row>
    <row r="1359" spans="1:3">
      <c r="A1359" s="3">
        <f t="shared" si="38"/>
        <v>2022</v>
      </c>
      <c r="B1359" s="106">
        <f t="shared" si="39"/>
        <v>21</v>
      </c>
      <c r="C1359" s="107">
        <f ca="1">OFFSET(tab_tipo_Combustivel!$A$1,MATCH(B1359,tab_tipo_Combustivel!$A$2:$A$150,0),MATCH(A1359,tab_tipo_Combustivel!$B$1:$AQ$1,0),1,1)</f>
        <v>157.83000000000001</v>
      </c>
    </row>
    <row r="1360" spans="1:3">
      <c r="A1360" s="3">
        <f t="shared" si="38"/>
        <v>2022</v>
      </c>
      <c r="B1360" s="106">
        <f t="shared" si="39"/>
        <v>22</v>
      </c>
      <c r="C1360" s="107">
        <f ca="1">OFFSET(tab_tipo_Combustivel!$A$1,MATCH(B1360,tab_tipo_Combustivel!$A$2:$A$150,0),MATCH(A1360,tab_tipo_Combustivel!$B$1:$AQ$1,0),1,1)</f>
        <v>115.9</v>
      </c>
    </row>
    <row r="1361" spans="1:3">
      <c r="A1361" s="3">
        <f t="shared" si="38"/>
        <v>2022</v>
      </c>
      <c r="B1361" s="106">
        <f t="shared" si="39"/>
        <v>23</v>
      </c>
      <c r="C1361" s="107">
        <f ca="1">OFFSET(tab_tipo_Combustivel!$A$1,MATCH(B1361,tab_tipo_Combustivel!$A$2:$A$150,0),MATCH(A1361,tab_tipo_Combustivel!$B$1:$AQ$1,0),1,1)</f>
        <v>115.9</v>
      </c>
    </row>
    <row r="1362" spans="1:3">
      <c r="A1362" s="3">
        <f t="shared" si="38"/>
        <v>2022</v>
      </c>
      <c r="B1362" s="106">
        <f t="shared" si="39"/>
        <v>24</v>
      </c>
      <c r="C1362" s="107">
        <f ca="1">OFFSET(tab_tipo_Combustivel!$A$1,MATCH(B1362,tab_tipo_Combustivel!$A$2:$A$150,0),MATCH(A1362,tab_tipo_Combustivel!$B$1:$AQ$1,0),1,1)</f>
        <v>155.85</v>
      </c>
    </row>
    <row r="1363" spans="1:3">
      <c r="A1363" s="3">
        <f t="shared" si="38"/>
        <v>2022</v>
      </c>
      <c r="B1363" s="106">
        <f t="shared" si="39"/>
        <v>25</v>
      </c>
      <c r="C1363" s="107">
        <f ca="1">OFFSET(tab_tipo_Combustivel!$A$1,MATCH(B1363,tab_tipo_Combustivel!$A$2:$A$150,0),MATCH(A1363,tab_tipo_Combustivel!$B$1:$AQ$1,0),1,1)</f>
        <v>186.33</v>
      </c>
    </row>
    <row r="1364" spans="1:3">
      <c r="A1364" s="3">
        <f t="shared" si="38"/>
        <v>2022</v>
      </c>
      <c r="B1364" s="106">
        <f t="shared" si="39"/>
        <v>26</v>
      </c>
      <c r="C1364" s="107">
        <f ca="1">OFFSET(tab_tipo_Combustivel!$A$1,MATCH(B1364,tab_tipo_Combustivel!$A$2:$A$150,0),MATCH(A1364,tab_tipo_Combustivel!$B$1:$AQ$1,0),1,1)</f>
        <v>258.42</v>
      </c>
    </row>
    <row r="1365" spans="1:3">
      <c r="A1365" s="3">
        <f t="shared" si="38"/>
        <v>2022</v>
      </c>
      <c r="B1365" s="106">
        <f t="shared" si="39"/>
        <v>27</v>
      </c>
      <c r="C1365" s="107">
        <f ca="1">OFFSET(tab_tipo_Combustivel!$A$1,MATCH(B1365,tab_tipo_Combustivel!$A$2:$A$150,0),MATCH(A1365,tab_tipo_Combustivel!$B$1:$AQ$1,0),1,1)</f>
        <v>195.49</v>
      </c>
    </row>
    <row r="1366" spans="1:3">
      <c r="A1366" s="3">
        <f t="shared" si="38"/>
        <v>2022</v>
      </c>
      <c r="B1366" s="106">
        <f t="shared" si="39"/>
        <v>28</v>
      </c>
      <c r="C1366" s="107">
        <f ca="1">OFFSET(tab_tipo_Combustivel!$A$1,MATCH(B1366,tab_tipo_Combustivel!$A$2:$A$150,0),MATCH(A1366,tab_tipo_Combustivel!$B$1:$AQ$1,0),1,1)</f>
        <v>459.92</v>
      </c>
    </row>
    <row r="1367" spans="1:3">
      <c r="A1367" s="3">
        <f t="shared" si="38"/>
        <v>2022</v>
      </c>
      <c r="B1367" s="106">
        <f t="shared" si="39"/>
        <v>32</v>
      </c>
      <c r="C1367" s="107">
        <f ca="1">OFFSET(tab_tipo_Combustivel!$A$1,MATCH(B1367,tab_tipo_Combustivel!$A$2:$A$150,0),MATCH(A1367,tab_tipo_Combustivel!$B$1:$AQ$1,0),1,1)</f>
        <v>248.31</v>
      </c>
    </row>
    <row r="1368" spans="1:3">
      <c r="A1368" s="3">
        <f t="shared" si="38"/>
        <v>2022</v>
      </c>
      <c r="B1368" s="106">
        <f t="shared" si="39"/>
        <v>34</v>
      </c>
      <c r="C1368" s="107">
        <f ca="1">OFFSET(tab_tipo_Combustivel!$A$1,MATCH(B1368,tab_tipo_Combustivel!$A$2:$A$150,0),MATCH(A1368,tab_tipo_Combustivel!$B$1:$AQ$1,0),1,1)</f>
        <v>423.38</v>
      </c>
    </row>
    <row r="1369" spans="1:3">
      <c r="A1369" s="3">
        <f t="shared" si="38"/>
        <v>2022</v>
      </c>
      <c r="B1369" s="106">
        <f t="shared" si="39"/>
        <v>35</v>
      </c>
      <c r="C1369" s="107">
        <f ca="1">OFFSET(tab_tipo_Combustivel!$A$1,MATCH(B1369,tab_tipo_Combustivel!$A$2:$A$150,0),MATCH(A1369,tab_tipo_Combustivel!$B$1:$AQ$1,0),1,1)</f>
        <v>692.45</v>
      </c>
    </row>
    <row r="1370" spans="1:3">
      <c r="A1370" s="3">
        <f t="shared" si="38"/>
        <v>2022</v>
      </c>
      <c r="B1370" s="106">
        <f t="shared" si="39"/>
        <v>36</v>
      </c>
      <c r="C1370" s="107">
        <f ca="1">OFFSET(tab_tipo_Combustivel!$A$1,MATCH(B1370,tab_tipo_Combustivel!$A$2:$A$150,0),MATCH(A1370,tab_tipo_Combustivel!$B$1:$AQ$1,0),1,1)</f>
        <v>157.83000000000001</v>
      </c>
    </row>
    <row r="1371" spans="1:3">
      <c r="A1371" s="3">
        <f t="shared" si="38"/>
        <v>2022</v>
      </c>
      <c r="B1371" s="106">
        <f t="shared" si="39"/>
        <v>42</v>
      </c>
      <c r="C1371" s="107">
        <f ca="1">OFFSET(tab_tipo_Combustivel!$A$1,MATCH(B1371,tab_tipo_Combustivel!$A$2:$A$150,0),MATCH(A1371,tab_tipo_Combustivel!$B$1:$AQ$1,0),1,1)</f>
        <v>199.22</v>
      </c>
    </row>
    <row r="1372" spans="1:3">
      <c r="A1372" s="3">
        <f t="shared" si="38"/>
        <v>2022</v>
      </c>
      <c r="B1372" s="106">
        <f t="shared" si="39"/>
        <v>43</v>
      </c>
      <c r="C1372" s="107">
        <f ca="1">OFFSET(tab_tipo_Combustivel!$A$1,MATCH(B1372,tab_tipo_Combustivel!$A$2:$A$150,0),MATCH(A1372,tab_tipo_Combustivel!$B$1:$AQ$1,0),1,1)</f>
        <v>431.62</v>
      </c>
    </row>
    <row r="1373" spans="1:3">
      <c r="A1373" s="3">
        <f t="shared" si="38"/>
        <v>2022</v>
      </c>
      <c r="B1373" s="106">
        <f t="shared" si="39"/>
        <v>44</v>
      </c>
      <c r="C1373" s="107">
        <f ca="1">OFFSET(tab_tipo_Combustivel!$A$1,MATCH(B1373,tab_tipo_Combustivel!$A$2:$A$150,0),MATCH(A1373,tab_tipo_Combustivel!$B$1:$AQ$1,0),1,1)</f>
        <v>25.58</v>
      </c>
    </row>
    <row r="1374" spans="1:3">
      <c r="A1374" s="3">
        <f t="shared" si="38"/>
        <v>2022</v>
      </c>
      <c r="B1374" s="106">
        <f t="shared" si="39"/>
        <v>46</v>
      </c>
      <c r="C1374" s="107">
        <f ca="1">OFFSET(tab_tipo_Combustivel!$A$1,MATCH(B1374,tab_tipo_Combustivel!$A$2:$A$150,0),MATCH(A1374,tab_tipo_Combustivel!$B$1:$AQ$1,0),1,1)</f>
        <v>228.91</v>
      </c>
    </row>
    <row r="1375" spans="1:3">
      <c r="A1375" s="3">
        <f t="shared" si="38"/>
        <v>2022</v>
      </c>
      <c r="B1375" s="106">
        <f t="shared" si="39"/>
        <v>47</v>
      </c>
      <c r="C1375" s="107">
        <f ca="1">OFFSET(tab_tipo_Combustivel!$A$1,MATCH(B1375,tab_tipo_Combustivel!$A$2:$A$150,0),MATCH(A1375,tab_tipo_Combustivel!$B$1:$AQ$1,0),1,1)</f>
        <v>235.6</v>
      </c>
    </row>
    <row r="1376" spans="1:3">
      <c r="A1376" s="3">
        <f t="shared" si="38"/>
        <v>2022</v>
      </c>
      <c r="B1376" s="106">
        <f t="shared" si="39"/>
        <v>48</v>
      </c>
      <c r="C1376" s="107">
        <f ca="1">OFFSET(tab_tipo_Combustivel!$A$1,MATCH(B1376,tab_tipo_Combustivel!$A$2:$A$150,0),MATCH(A1376,tab_tipo_Combustivel!$B$1:$AQ$1,0),1,1)</f>
        <v>1012.12</v>
      </c>
    </row>
    <row r="1377" spans="1:3">
      <c r="A1377" s="3">
        <f t="shared" si="38"/>
        <v>2022</v>
      </c>
      <c r="B1377" s="106">
        <f t="shared" si="39"/>
        <v>50</v>
      </c>
      <c r="C1377" s="107">
        <f ca="1">OFFSET(tab_tipo_Combustivel!$A$1,MATCH(B1377,tab_tipo_Combustivel!$A$2:$A$150,0),MATCH(A1377,tab_tipo_Combustivel!$B$1:$AQ$1,0),1,1)</f>
        <v>669.87</v>
      </c>
    </row>
    <row r="1378" spans="1:3">
      <c r="A1378" s="3">
        <f t="shared" si="38"/>
        <v>2022</v>
      </c>
      <c r="B1378" s="106">
        <f t="shared" si="39"/>
        <v>54</v>
      </c>
      <c r="C1378" s="107">
        <f ca="1">OFFSET(tab_tipo_Combustivel!$A$1,MATCH(B1378,tab_tipo_Combustivel!$A$2:$A$150,0),MATCH(A1378,tab_tipo_Combustivel!$B$1:$AQ$1,0),1,1)</f>
        <v>304.55</v>
      </c>
    </row>
    <row r="1379" spans="1:3">
      <c r="A1379" s="3">
        <f t="shared" si="38"/>
        <v>2022</v>
      </c>
      <c r="B1379" s="106">
        <f t="shared" si="39"/>
        <v>58</v>
      </c>
      <c r="C1379" s="107">
        <f ca="1">OFFSET(tab_tipo_Combustivel!$A$1,MATCH(B1379,tab_tipo_Combustivel!$A$2:$A$150,0),MATCH(A1379,tab_tipo_Combustivel!$B$1:$AQ$1,0),1,1)</f>
        <v>300.05</v>
      </c>
    </row>
    <row r="1380" spans="1:3">
      <c r="A1380" s="3">
        <f t="shared" si="38"/>
        <v>2022</v>
      </c>
      <c r="B1380" s="106">
        <f t="shared" si="39"/>
        <v>62</v>
      </c>
      <c r="C1380" s="107">
        <f ca="1">OFFSET(tab_tipo_Combustivel!$A$1,MATCH(B1380,tab_tipo_Combustivel!$A$2:$A$150,0),MATCH(A1380,tab_tipo_Combustivel!$B$1:$AQ$1,0),1,1)</f>
        <v>309.24</v>
      </c>
    </row>
    <row r="1381" spans="1:3">
      <c r="A1381" s="3">
        <f t="shared" si="38"/>
        <v>2022</v>
      </c>
      <c r="B1381" s="106">
        <f t="shared" si="39"/>
        <v>63</v>
      </c>
      <c r="C1381" s="107">
        <f ca="1">OFFSET(tab_tipo_Combustivel!$A$1,MATCH(B1381,tab_tipo_Combustivel!$A$2:$A$150,0),MATCH(A1381,tab_tipo_Combustivel!$B$1:$AQ$1,0),1,1)</f>
        <v>365.77</v>
      </c>
    </row>
    <row r="1382" spans="1:3">
      <c r="A1382" s="3">
        <f t="shared" si="38"/>
        <v>2022</v>
      </c>
      <c r="B1382" s="106">
        <f t="shared" si="39"/>
        <v>64</v>
      </c>
      <c r="C1382" s="107">
        <f ca="1">OFFSET(tab_tipo_Combustivel!$A$1,MATCH(B1382,tab_tipo_Combustivel!$A$2:$A$150,0),MATCH(A1382,tab_tipo_Combustivel!$B$1:$AQ$1,0),1,1)</f>
        <v>853.54</v>
      </c>
    </row>
    <row r="1383" spans="1:3">
      <c r="A1383" s="3">
        <f t="shared" si="38"/>
        <v>2022</v>
      </c>
      <c r="B1383" s="106">
        <f t="shared" si="39"/>
        <v>68</v>
      </c>
      <c r="C1383" s="107">
        <f ca="1">OFFSET(tab_tipo_Combustivel!$A$1,MATCH(B1383,tab_tipo_Combustivel!$A$2:$A$150,0),MATCH(A1383,tab_tipo_Combustivel!$B$1:$AQ$1,0),1,1)</f>
        <v>195.63</v>
      </c>
    </row>
    <row r="1384" spans="1:3">
      <c r="A1384" s="3">
        <f t="shared" si="38"/>
        <v>2022</v>
      </c>
      <c r="B1384" s="106">
        <f t="shared" si="39"/>
        <v>74</v>
      </c>
      <c r="C1384" s="107">
        <f ca="1">OFFSET(tab_tipo_Combustivel!$A$1,MATCH(B1384,tab_tipo_Combustivel!$A$2:$A$150,0),MATCH(A1384,tab_tipo_Combustivel!$B$1:$AQ$1,0),1,1)</f>
        <v>364.46</v>
      </c>
    </row>
    <row r="1385" spans="1:3">
      <c r="A1385" s="3">
        <f t="shared" si="38"/>
        <v>2022</v>
      </c>
      <c r="B1385" s="106">
        <f t="shared" si="39"/>
        <v>83</v>
      </c>
      <c r="C1385" s="107">
        <f ca="1">OFFSET(tab_tipo_Combustivel!$A$1,MATCH(B1385,tab_tipo_Combustivel!$A$2:$A$150,0),MATCH(A1385,tab_tipo_Combustivel!$B$1:$AQ$1,0),1,1)</f>
        <v>448.1</v>
      </c>
    </row>
    <row r="1386" spans="1:3">
      <c r="A1386" s="3">
        <f t="shared" si="38"/>
        <v>2022</v>
      </c>
      <c r="B1386" s="106">
        <f t="shared" si="39"/>
        <v>86</v>
      </c>
      <c r="C1386" s="107">
        <f ca="1">OFFSET(tab_tipo_Combustivel!$A$1,MATCH(B1386,tab_tipo_Combustivel!$A$2:$A$150,0),MATCH(A1386,tab_tipo_Combustivel!$B$1:$AQ$1,0),1,1)</f>
        <v>170.34</v>
      </c>
    </row>
    <row r="1387" spans="1:3">
      <c r="A1387" s="3">
        <f t="shared" si="38"/>
        <v>2022</v>
      </c>
      <c r="B1387" s="106">
        <f t="shared" si="39"/>
        <v>90</v>
      </c>
      <c r="C1387" s="107">
        <f ca="1">OFFSET(tab_tipo_Combustivel!$A$1,MATCH(B1387,tab_tipo_Combustivel!$A$2:$A$150,0),MATCH(A1387,tab_tipo_Combustivel!$B$1:$AQ$1,0),1,1)</f>
        <v>533.1</v>
      </c>
    </row>
    <row r="1388" spans="1:3">
      <c r="A1388" s="3">
        <f t="shared" si="38"/>
        <v>2022</v>
      </c>
      <c r="B1388" s="106">
        <f t="shared" si="39"/>
        <v>93</v>
      </c>
      <c r="C1388" s="107">
        <f ca="1">OFFSET(tab_tipo_Combustivel!$A$1,MATCH(B1388,tab_tipo_Combustivel!$A$2:$A$150,0),MATCH(A1388,tab_tipo_Combustivel!$B$1:$AQ$1,0),1,1)</f>
        <v>842.33</v>
      </c>
    </row>
    <row r="1389" spans="1:3">
      <c r="A1389" s="3">
        <f t="shared" si="38"/>
        <v>2022</v>
      </c>
      <c r="B1389" s="106">
        <f t="shared" si="39"/>
        <v>94</v>
      </c>
      <c r="C1389" s="107">
        <f ca="1">OFFSET(tab_tipo_Combustivel!$A$1,MATCH(B1389,tab_tipo_Combustivel!$A$2:$A$150,0),MATCH(A1389,tab_tipo_Combustivel!$B$1:$AQ$1,0),1,1)</f>
        <v>842.33</v>
      </c>
    </row>
    <row r="1390" spans="1:3">
      <c r="A1390" s="3">
        <f t="shared" si="38"/>
        <v>2022</v>
      </c>
      <c r="B1390" s="106">
        <f t="shared" si="39"/>
        <v>96</v>
      </c>
      <c r="C1390" s="107">
        <f ca="1">OFFSET(tab_tipo_Combustivel!$A$1,MATCH(B1390,tab_tipo_Combustivel!$A$2:$A$150,0),MATCH(A1390,tab_tipo_Combustivel!$B$1:$AQ$1,0),1,1)</f>
        <v>99.92</v>
      </c>
    </row>
    <row r="1391" spans="1:3">
      <c r="A1391" s="3">
        <f t="shared" si="38"/>
        <v>2022</v>
      </c>
      <c r="B1391" s="106">
        <f t="shared" si="39"/>
        <v>98</v>
      </c>
      <c r="C1391" s="107">
        <f ca="1">OFFSET(tab_tipo_Combustivel!$A$1,MATCH(B1391,tab_tipo_Combustivel!$A$2:$A$150,0),MATCH(A1391,tab_tipo_Combustivel!$B$1:$AQ$1,0),1,1)</f>
        <v>489.8</v>
      </c>
    </row>
    <row r="1392" spans="1:3">
      <c r="A1392" s="3">
        <f t="shared" si="38"/>
        <v>2022</v>
      </c>
      <c r="B1392" s="106">
        <f t="shared" si="39"/>
        <v>107</v>
      </c>
      <c r="C1392" s="107">
        <f ca="1">OFFSET(tab_tipo_Combustivel!$A$1,MATCH(B1392,tab_tipo_Combustivel!$A$2:$A$150,0),MATCH(A1392,tab_tipo_Combustivel!$B$1:$AQ$1,0),1,1)</f>
        <v>57.63</v>
      </c>
    </row>
    <row r="1393" spans="1:3">
      <c r="A1393" s="3">
        <f t="shared" si="38"/>
        <v>2022</v>
      </c>
      <c r="B1393" s="106">
        <f t="shared" si="39"/>
        <v>110</v>
      </c>
      <c r="C1393" s="107">
        <f ca="1">OFFSET(tab_tipo_Combustivel!$A$1,MATCH(B1393,tab_tipo_Combustivel!$A$2:$A$150,0),MATCH(A1393,tab_tipo_Combustivel!$B$1:$AQ$1,0),1,1)</f>
        <v>568.29</v>
      </c>
    </row>
    <row r="1394" spans="1:3">
      <c r="A1394" s="3">
        <f t="shared" si="38"/>
        <v>2022</v>
      </c>
      <c r="B1394" s="106">
        <f t="shared" si="39"/>
        <v>116</v>
      </c>
      <c r="C1394" s="107">
        <f ca="1">OFFSET(tab_tipo_Combustivel!$A$1,MATCH(B1394,tab_tipo_Combustivel!$A$2:$A$150,0),MATCH(A1394,tab_tipo_Combustivel!$B$1:$AQ$1,0),1,1)</f>
        <v>117.46</v>
      </c>
    </row>
    <row r="1395" spans="1:3">
      <c r="A1395" s="3">
        <f t="shared" si="38"/>
        <v>2022</v>
      </c>
      <c r="B1395" s="106">
        <f t="shared" si="39"/>
        <v>140</v>
      </c>
      <c r="C1395" s="107">
        <f ca="1">OFFSET(tab_tipo_Combustivel!$A$1,MATCH(B1395,tab_tipo_Combustivel!$A$2:$A$150,0),MATCH(A1395,tab_tipo_Combustivel!$B$1:$AQ$1,0),1,1)</f>
        <v>88.11</v>
      </c>
    </row>
    <row r="1396" spans="1:3">
      <c r="A1396" s="3">
        <f t="shared" si="38"/>
        <v>2022</v>
      </c>
      <c r="B1396" s="106">
        <f t="shared" si="39"/>
        <v>141</v>
      </c>
      <c r="C1396" s="107">
        <f ca="1">OFFSET(tab_tipo_Combustivel!$A$1,MATCH(B1396,tab_tipo_Combustivel!$A$2:$A$150,0),MATCH(A1396,tab_tipo_Combustivel!$B$1:$AQ$1,0),1,1)</f>
        <v>1280.52</v>
      </c>
    </row>
    <row r="1397" spans="1:3">
      <c r="A1397" s="3">
        <f t="shared" si="38"/>
        <v>2022</v>
      </c>
      <c r="B1397" s="106">
        <f t="shared" si="39"/>
        <v>147</v>
      </c>
      <c r="C1397" s="107">
        <f ca="1">OFFSET(tab_tipo_Combustivel!$A$1,MATCH(B1397,tab_tipo_Combustivel!$A$2:$A$150,0),MATCH(A1397,tab_tipo_Combustivel!$B$1:$AQ$1,0),1,1)</f>
        <v>134.18</v>
      </c>
    </row>
    <row r="1398" spans="1:3">
      <c r="A1398" s="3">
        <f t="shared" si="38"/>
        <v>2022</v>
      </c>
      <c r="B1398" s="106">
        <f t="shared" si="39"/>
        <v>156</v>
      </c>
      <c r="C1398" s="107">
        <f ca="1">OFFSET(tab_tipo_Combustivel!$A$1,MATCH(B1398,tab_tipo_Combustivel!$A$2:$A$150,0),MATCH(A1398,tab_tipo_Combustivel!$B$1:$AQ$1,0),1,1)</f>
        <v>77.12</v>
      </c>
    </row>
    <row r="1399" spans="1:3">
      <c r="A1399" s="3">
        <f t="shared" si="38"/>
        <v>2022</v>
      </c>
      <c r="B1399" s="106">
        <f t="shared" si="39"/>
        <v>163</v>
      </c>
      <c r="C1399" s="107">
        <f ca="1">OFFSET(tab_tipo_Combustivel!$A$1,MATCH(B1399,tab_tipo_Combustivel!$A$2:$A$150,0),MATCH(A1399,tab_tipo_Combustivel!$B$1:$AQ$1,0),1,1)</f>
        <v>156.69999999999999</v>
      </c>
    </row>
    <row r="1400" spans="1:3">
      <c r="A1400" s="3">
        <f t="shared" si="38"/>
        <v>2022</v>
      </c>
      <c r="B1400" s="106">
        <f t="shared" si="39"/>
        <v>167</v>
      </c>
      <c r="C1400" s="107">
        <f ca="1">OFFSET(tab_tipo_Combustivel!$A$1,MATCH(B1400,tab_tipo_Combustivel!$A$2:$A$150,0),MATCH(A1400,tab_tipo_Combustivel!$B$1:$AQ$1,0),1,1)</f>
        <v>144.66999999999999</v>
      </c>
    </row>
    <row r="1401" spans="1:3">
      <c r="A1401" s="3">
        <f t="shared" si="38"/>
        <v>2022</v>
      </c>
      <c r="B1401" s="106">
        <f t="shared" si="39"/>
        <v>171</v>
      </c>
      <c r="C1401" s="107">
        <f ca="1">OFFSET(tab_tipo_Combustivel!$A$1,MATCH(B1401,tab_tipo_Combustivel!$A$2:$A$150,0),MATCH(A1401,tab_tipo_Combustivel!$B$1:$AQ$1,0),1,1)</f>
        <v>88</v>
      </c>
    </row>
    <row r="1402" spans="1:3">
      <c r="A1402" s="3">
        <f t="shared" si="38"/>
        <v>2022</v>
      </c>
      <c r="B1402" s="106">
        <f t="shared" si="39"/>
        <v>172</v>
      </c>
      <c r="C1402" s="107">
        <f ca="1">OFFSET(tab_tipo_Combustivel!$A$1,MATCH(B1402,tab_tipo_Combustivel!$A$2:$A$150,0),MATCH(A1402,tab_tipo_Combustivel!$B$1:$AQ$1,0),1,1)</f>
        <v>99.97</v>
      </c>
    </row>
    <row r="1403" spans="1:3">
      <c r="A1403" s="3">
        <f t="shared" si="38"/>
        <v>2022</v>
      </c>
      <c r="B1403" s="106">
        <f t="shared" si="39"/>
        <v>173</v>
      </c>
      <c r="C1403" s="107">
        <f ca="1">OFFSET(tab_tipo_Combustivel!$A$1,MATCH(B1403,tab_tipo_Combustivel!$A$2:$A$150,0),MATCH(A1403,tab_tipo_Combustivel!$B$1:$AQ$1,0),1,1)</f>
        <v>192.03</v>
      </c>
    </row>
    <row r="1404" spans="1:3">
      <c r="A1404" s="3">
        <f t="shared" si="38"/>
        <v>2022</v>
      </c>
      <c r="B1404" s="106">
        <f t="shared" si="39"/>
        <v>174</v>
      </c>
      <c r="C1404" s="107">
        <f ca="1">OFFSET(tab_tipo_Combustivel!$A$1,MATCH(B1404,tab_tipo_Combustivel!$A$2:$A$150,0),MATCH(A1404,tab_tipo_Combustivel!$B$1:$AQ$1,0),1,1)</f>
        <v>331.22</v>
      </c>
    </row>
    <row r="1405" spans="1:3">
      <c r="A1405" s="3">
        <f t="shared" si="38"/>
        <v>2022</v>
      </c>
      <c r="B1405" s="106">
        <f t="shared" si="39"/>
        <v>176</v>
      </c>
      <c r="C1405" s="107">
        <f ca="1">OFFSET(tab_tipo_Combustivel!$A$1,MATCH(B1405,tab_tipo_Combustivel!$A$2:$A$150,0),MATCH(A1405,tab_tipo_Combustivel!$B$1:$AQ$1,0),1,1)</f>
        <v>149.47999999999999</v>
      </c>
    </row>
    <row r="1406" spans="1:3">
      <c r="A1406" s="3">
        <f t="shared" si="38"/>
        <v>2022</v>
      </c>
      <c r="B1406" s="106">
        <f t="shared" si="39"/>
        <v>183</v>
      </c>
      <c r="C1406" s="107">
        <f ca="1">OFFSET(tab_tipo_Combustivel!$A$1,MATCH(B1406,tab_tipo_Combustivel!$A$2:$A$150,0),MATCH(A1406,tab_tipo_Combustivel!$B$1:$AQ$1,0),1,1)</f>
        <v>171.61</v>
      </c>
    </row>
    <row r="1407" spans="1:3">
      <c r="A1407" s="3">
        <f t="shared" si="38"/>
        <v>2022</v>
      </c>
      <c r="B1407" s="106">
        <f t="shared" si="39"/>
        <v>194</v>
      </c>
      <c r="C1407" s="107">
        <f ca="1">OFFSET(tab_tipo_Combustivel!$A$1,MATCH(B1407,tab_tipo_Combustivel!$A$2:$A$150,0),MATCH(A1407,tab_tipo_Combustivel!$B$1:$AQ$1,0),1,1)</f>
        <v>1098.58</v>
      </c>
    </row>
    <row r="1408" spans="1:3">
      <c r="A1408" s="3">
        <f t="shared" si="38"/>
        <v>2022</v>
      </c>
      <c r="B1408" s="106">
        <f t="shared" si="39"/>
        <v>203</v>
      </c>
      <c r="C1408" s="107">
        <f ca="1">OFFSET(tab_tipo_Combustivel!$A$1,MATCH(B1408,tab_tipo_Combustivel!$A$2:$A$150,0),MATCH(A1408,tab_tipo_Combustivel!$B$1:$AQ$1,0),1,1)</f>
        <v>0</v>
      </c>
    </row>
    <row r="1409" spans="1:3">
      <c r="A1409" s="3">
        <f t="shared" si="38"/>
        <v>2022</v>
      </c>
      <c r="B1409" s="106">
        <f t="shared" si="39"/>
        <v>204</v>
      </c>
      <c r="C1409" s="107">
        <f ca="1">OFFSET(tab_tipo_Combustivel!$A$1,MATCH(B1409,tab_tipo_Combustivel!$A$2:$A$150,0),MATCH(A1409,tab_tipo_Combustivel!$B$1:$AQ$1,0),1,1)</f>
        <v>0</v>
      </c>
    </row>
    <row r="1410" spans="1:3">
      <c r="A1410" s="3">
        <f t="shared" si="38"/>
        <v>2022</v>
      </c>
      <c r="B1410" s="106">
        <f t="shared" si="39"/>
        <v>205</v>
      </c>
      <c r="C1410" s="107">
        <f ca="1">OFFSET(tab_tipo_Combustivel!$A$1,MATCH(B1410,tab_tipo_Combustivel!$A$2:$A$150,0),MATCH(A1410,tab_tipo_Combustivel!$B$1:$AQ$1,0),1,1)</f>
        <v>0</v>
      </c>
    </row>
    <row r="1411" spans="1:3">
      <c r="A1411" s="3">
        <f t="shared" si="38"/>
        <v>2022</v>
      </c>
      <c r="B1411" s="106">
        <f t="shared" si="39"/>
        <v>207</v>
      </c>
      <c r="C1411" s="107">
        <f ca="1">OFFSET(tab_tipo_Combustivel!$A$1,MATCH(B1411,tab_tipo_Combustivel!$A$2:$A$150,0),MATCH(A1411,tab_tipo_Combustivel!$B$1:$AQ$1,0),1,1)</f>
        <v>0</v>
      </c>
    </row>
    <row r="1412" spans="1:3">
      <c r="A1412" s="3">
        <f t="shared" si="38"/>
        <v>2022</v>
      </c>
      <c r="B1412" s="106">
        <f t="shared" si="39"/>
        <v>208</v>
      </c>
      <c r="C1412" s="107">
        <f ca="1">OFFSET(tab_tipo_Combustivel!$A$1,MATCH(B1412,tab_tipo_Combustivel!$A$2:$A$150,0),MATCH(A1412,tab_tipo_Combustivel!$B$1:$AQ$1,0),1,1)</f>
        <v>783.64</v>
      </c>
    </row>
    <row r="1413" spans="1:3">
      <c r="A1413" s="3">
        <f t="shared" si="38"/>
        <v>2022</v>
      </c>
      <c r="B1413" s="106">
        <f t="shared" si="39"/>
        <v>209</v>
      </c>
      <c r="C1413" s="107">
        <f ca="1">OFFSET(tab_tipo_Combustivel!$A$1,MATCH(B1413,tab_tipo_Combustivel!$A$2:$A$150,0),MATCH(A1413,tab_tipo_Combustivel!$B$1:$AQ$1,0),1,1)</f>
        <v>0</v>
      </c>
    </row>
    <row r="1414" spans="1:3">
      <c r="A1414" s="3">
        <f t="shared" si="38"/>
        <v>2022</v>
      </c>
      <c r="B1414" s="106">
        <f t="shared" si="39"/>
        <v>211</v>
      </c>
      <c r="C1414" s="107">
        <f ca="1">OFFSET(tab_tipo_Combustivel!$A$1,MATCH(B1414,tab_tipo_Combustivel!$A$2:$A$150,0),MATCH(A1414,tab_tipo_Combustivel!$B$1:$AQ$1,0),1,1)</f>
        <v>150.79</v>
      </c>
    </row>
    <row r="1415" spans="1:3">
      <c r="A1415" s="3">
        <f t="shared" si="38"/>
        <v>2022</v>
      </c>
      <c r="B1415" s="106">
        <f t="shared" si="39"/>
        <v>212</v>
      </c>
      <c r="C1415" s="107">
        <f ca="1">OFFSET(tab_tipo_Combustivel!$A$1,MATCH(B1415,tab_tipo_Combustivel!$A$2:$A$150,0),MATCH(A1415,tab_tipo_Combustivel!$B$1:$AQ$1,0),1,1)</f>
        <v>84.58</v>
      </c>
    </row>
    <row r="1416" spans="1:3">
      <c r="A1416" s="3">
        <f t="shared" si="38"/>
        <v>2022</v>
      </c>
      <c r="B1416" s="106">
        <f t="shared" si="39"/>
        <v>224</v>
      </c>
      <c r="C1416" s="107">
        <f ca="1">OFFSET(tab_tipo_Combustivel!$A$1,MATCH(B1416,tab_tipo_Combustivel!$A$2:$A$150,0),MATCH(A1416,tab_tipo_Combustivel!$B$1:$AQ$1,0),1,1)</f>
        <v>31.08</v>
      </c>
    </row>
    <row r="1417" spans="1:3">
      <c r="A1417" s="3">
        <f t="shared" si="38"/>
        <v>2022</v>
      </c>
      <c r="B1417" s="106">
        <f t="shared" si="39"/>
        <v>225</v>
      </c>
      <c r="C1417" s="107">
        <f ca="1">OFFSET(tab_tipo_Combustivel!$A$1,MATCH(B1417,tab_tipo_Combustivel!$A$2:$A$150,0),MATCH(A1417,tab_tipo_Combustivel!$B$1:$AQ$1,0),1,1)</f>
        <v>1329.7</v>
      </c>
    </row>
    <row r="1418" spans="1:3">
      <c r="A1418" s="3">
        <f t="shared" ref="A1418:A1481" si="40">A1283+1</f>
        <v>2022</v>
      </c>
      <c r="B1418" s="106">
        <f t="shared" ref="B1418:B1481" si="41">B1283</f>
        <v>226</v>
      </c>
      <c r="C1418" s="107">
        <f ca="1">OFFSET(tab_tipo_Combustivel!$A$1,MATCH(B1418,tab_tipo_Combustivel!$A$2:$A$150,0),MATCH(A1418,tab_tipo_Combustivel!$B$1:$AQ$1,0),1,1)</f>
        <v>1061.1300000000001</v>
      </c>
    </row>
    <row r="1419" spans="1:3">
      <c r="A1419" s="3">
        <f t="shared" si="40"/>
        <v>2022</v>
      </c>
      <c r="B1419" s="106">
        <f t="shared" si="41"/>
        <v>227</v>
      </c>
      <c r="C1419" s="107">
        <f ca="1">OFFSET(tab_tipo_Combustivel!$A$1,MATCH(B1419,tab_tipo_Combustivel!$A$2:$A$150,0),MATCH(A1419,tab_tipo_Combustivel!$B$1:$AQ$1,0),1,1)</f>
        <v>447.52</v>
      </c>
    </row>
    <row r="1420" spans="1:3">
      <c r="A1420" s="3">
        <f t="shared" si="40"/>
        <v>2022</v>
      </c>
      <c r="B1420" s="106">
        <f t="shared" si="41"/>
        <v>228</v>
      </c>
      <c r="C1420" s="107">
        <f ca="1">OFFSET(tab_tipo_Combustivel!$A$1,MATCH(B1420,tab_tipo_Combustivel!$A$2:$A$150,0),MATCH(A1420,tab_tipo_Combustivel!$B$1:$AQ$1,0),1,1)</f>
        <v>1061.1400000000001</v>
      </c>
    </row>
    <row r="1421" spans="1:3">
      <c r="A1421" s="3">
        <f t="shared" si="40"/>
        <v>2022</v>
      </c>
      <c r="B1421" s="106">
        <f t="shared" si="41"/>
        <v>229</v>
      </c>
      <c r="C1421" s="107">
        <f ca="1">OFFSET(tab_tipo_Combustivel!$A$1,MATCH(B1421,tab_tipo_Combustivel!$A$2:$A$150,0),MATCH(A1421,tab_tipo_Combustivel!$B$1:$AQ$1,0),1,1)</f>
        <v>942.05</v>
      </c>
    </row>
    <row r="1422" spans="1:3">
      <c r="A1422" s="3">
        <f t="shared" si="40"/>
        <v>2022</v>
      </c>
      <c r="B1422" s="106">
        <f t="shared" si="41"/>
        <v>230</v>
      </c>
      <c r="C1422" s="107">
        <f ca="1">OFFSET(tab_tipo_Combustivel!$A$1,MATCH(B1422,tab_tipo_Combustivel!$A$2:$A$150,0),MATCH(A1422,tab_tipo_Combustivel!$B$1:$AQ$1,0),1,1)</f>
        <v>495.06</v>
      </c>
    </row>
    <row r="1423" spans="1:3">
      <c r="A1423" s="3">
        <f t="shared" si="40"/>
        <v>2022</v>
      </c>
      <c r="B1423" s="106">
        <f t="shared" si="41"/>
        <v>231</v>
      </c>
      <c r="C1423" s="107">
        <f ca="1">OFFSET(tab_tipo_Combustivel!$A$1,MATCH(B1423,tab_tipo_Combustivel!$A$2:$A$150,0),MATCH(A1423,tab_tipo_Combustivel!$B$1:$AQ$1,0),1,1)</f>
        <v>489.29</v>
      </c>
    </row>
    <row r="1424" spans="1:3">
      <c r="A1424" s="3">
        <f t="shared" si="40"/>
        <v>2022</v>
      </c>
      <c r="B1424" s="106">
        <f t="shared" si="41"/>
        <v>232</v>
      </c>
      <c r="C1424" s="107">
        <f ca="1">OFFSET(tab_tipo_Combustivel!$A$1,MATCH(B1424,tab_tipo_Combustivel!$A$2:$A$150,0),MATCH(A1424,tab_tipo_Combustivel!$B$1:$AQ$1,0),1,1)</f>
        <v>842.33</v>
      </c>
    </row>
    <row r="1425" spans="1:3">
      <c r="A1425" s="3">
        <f t="shared" si="40"/>
        <v>2022</v>
      </c>
      <c r="B1425" s="106">
        <f t="shared" si="41"/>
        <v>233</v>
      </c>
      <c r="C1425" s="107">
        <f ca="1">OFFSET(tab_tipo_Combustivel!$A$1,MATCH(B1425,tab_tipo_Combustivel!$A$2:$A$150,0),MATCH(A1425,tab_tipo_Combustivel!$B$1:$AQ$1,0),1,1)</f>
        <v>984.29</v>
      </c>
    </row>
    <row r="1426" spans="1:3">
      <c r="A1426" s="3">
        <f t="shared" si="40"/>
        <v>2022</v>
      </c>
      <c r="B1426" s="106">
        <f t="shared" si="41"/>
        <v>234</v>
      </c>
      <c r="C1426" s="107">
        <f ca="1">OFFSET(tab_tipo_Combustivel!$A$1,MATCH(B1426,tab_tipo_Combustivel!$A$2:$A$150,0),MATCH(A1426,tab_tipo_Combustivel!$B$1:$AQ$1,0),1,1)</f>
        <v>290.26</v>
      </c>
    </row>
    <row r="1427" spans="1:3">
      <c r="A1427" s="3">
        <f t="shared" si="40"/>
        <v>2022</v>
      </c>
      <c r="B1427" s="106">
        <f t="shared" si="41"/>
        <v>235</v>
      </c>
      <c r="C1427" s="107">
        <f ca="1">OFFSET(tab_tipo_Combustivel!$A$1,MATCH(B1427,tab_tipo_Combustivel!$A$2:$A$150,0),MATCH(A1427,tab_tipo_Combustivel!$B$1:$AQ$1,0),1,1)</f>
        <v>1350.87</v>
      </c>
    </row>
    <row r="1428" spans="1:3">
      <c r="A1428" s="3">
        <f t="shared" si="40"/>
        <v>2022</v>
      </c>
      <c r="B1428" s="106">
        <f t="shared" si="41"/>
        <v>236</v>
      </c>
      <c r="C1428" s="107">
        <f ca="1">OFFSET(tab_tipo_Combustivel!$A$1,MATCH(B1428,tab_tipo_Combustivel!$A$2:$A$150,0),MATCH(A1428,tab_tipo_Combustivel!$B$1:$AQ$1,0),1,1)</f>
        <v>842.33</v>
      </c>
    </row>
    <row r="1429" spans="1:3">
      <c r="A1429" s="3">
        <f t="shared" si="40"/>
        <v>2022</v>
      </c>
      <c r="B1429" s="106">
        <f t="shared" si="41"/>
        <v>237</v>
      </c>
      <c r="C1429" s="107">
        <f ca="1">OFFSET(tab_tipo_Combustivel!$A$1,MATCH(B1429,tab_tipo_Combustivel!$A$2:$A$150,0),MATCH(A1429,tab_tipo_Combustivel!$B$1:$AQ$1,0),1,1)</f>
        <v>760.85</v>
      </c>
    </row>
    <row r="1430" spans="1:3">
      <c r="A1430" s="3">
        <f t="shared" si="40"/>
        <v>2022</v>
      </c>
      <c r="B1430" s="106">
        <f t="shared" si="41"/>
        <v>238</v>
      </c>
      <c r="C1430" s="107">
        <f ca="1">OFFSET(tab_tipo_Combustivel!$A$1,MATCH(B1430,tab_tipo_Combustivel!$A$2:$A$150,0),MATCH(A1430,tab_tipo_Combustivel!$B$1:$AQ$1,0),1,1)</f>
        <v>963.75</v>
      </c>
    </row>
    <row r="1431" spans="1:3">
      <c r="A1431" s="3">
        <f t="shared" si="40"/>
        <v>2022</v>
      </c>
      <c r="B1431" s="106">
        <f t="shared" si="41"/>
        <v>239</v>
      </c>
      <c r="C1431" s="107">
        <f ca="1">OFFSET(tab_tipo_Combustivel!$A$1,MATCH(B1431,tab_tipo_Combustivel!$A$2:$A$150,0),MATCH(A1431,tab_tipo_Combustivel!$B$1:$AQ$1,0),1,1)</f>
        <v>963.75</v>
      </c>
    </row>
    <row r="1432" spans="1:3">
      <c r="A1432" s="3">
        <f t="shared" si="40"/>
        <v>2022</v>
      </c>
      <c r="B1432" s="106">
        <f t="shared" si="41"/>
        <v>240</v>
      </c>
      <c r="C1432" s="107">
        <f ca="1">OFFSET(tab_tipo_Combustivel!$A$1,MATCH(B1432,tab_tipo_Combustivel!$A$2:$A$150,0),MATCH(A1432,tab_tipo_Combustivel!$B$1:$AQ$1,0),1,1)</f>
        <v>1115.96</v>
      </c>
    </row>
    <row r="1433" spans="1:3">
      <c r="A1433" s="3">
        <f t="shared" si="40"/>
        <v>2022</v>
      </c>
      <c r="B1433" s="106">
        <f t="shared" si="41"/>
        <v>241</v>
      </c>
      <c r="C1433" s="107">
        <f ca="1">OFFSET(tab_tipo_Combustivel!$A$1,MATCH(B1433,tab_tipo_Combustivel!$A$2:$A$150,0),MATCH(A1433,tab_tipo_Combustivel!$B$1:$AQ$1,0),1,1)</f>
        <v>495.75</v>
      </c>
    </row>
    <row r="1434" spans="1:3">
      <c r="A1434" s="3">
        <f t="shared" si="40"/>
        <v>2022</v>
      </c>
      <c r="B1434" s="106">
        <f t="shared" si="41"/>
        <v>242</v>
      </c>
      <c r="C1434" s="107">
        <f ca="1">OFFSET(tab_tipo_Combustivel!$A$1,MATCH(B1434,tab_tipo_Combustivel!$A$2:$A$150,0),MATCH(A1434,tab_tipo_Combustivel!$B$1:$AQ$1,0),1,1)</f>
        <v>1176.45</v>
      </c>
    </row>
    <row r="1435" spans="1:3">
      <c r="A1435" s="3">
        <f t="shared" si="40"/>
        <v>2022</v>
      </c>
      <c r="B1435" s="106">
        <f t="shared" si="41"/>
        <v>243</v>
      </c>
      <c r="C1435" s="107">
        <f ca="1">OFFSET(tab_tipo_Combustivel!$A$1,MATCH(B1435,tab_tipo_Combustivel!$A$2:$A$150,0),MATCH(A1435,tab_tipo_Combustivel!$B$1:$AQ$1,0),1,1)</f>
        <v>495.08</v>
      </c>
    </row>
    <row r="1436" spans="1:3">
      <c r="A1436" s="3">
        <f t="shared" si="40"/>
        <v>2022</v>
      </c>
      <c r="B1436" s="106">
        <f t="shared" si="41"/>
        <v>244</v>
      </c>
      <c r="C1436" s="107">
        <f ca="1">OFFSET(tab_tipo_Combustivel!$A$1,MATCH(B1436,tab_tipo_Combustivel!$A$2:$A$150,0),MATCH(A1436,tab_tipo_Combustivel!$B$1:$AQ$1,0),1,1)</f>
        <v>495.06</v>
      </c>
    </row>
    <row r="1437" spans="1:3">
      <c r="A1437" s="3">
        <f t="shared" si="40"/>
        <v>2022</v>
      </c>
      <c r="B1437" s="106">
        <f t="shared" si="41"/>
        <v>245</v>
      </c>
      <c r="C1437" s="107">
        <f ca="1">OFFSET(tab_tipo_Combustivel!$A$1,MATCH(B1437,tab_tipo_Combustivel!$A$2:$A$150,0),MATCH(A1437,tab_tipo_Combustivel!$B$1:$AQ$1,0),1,1)</f>
        <v>562.65</v>
      </c>
    </row>
    <row r="1438" spans="1:3">
      <c r="A1438" s="3">
        <f t="shared" si="40"/>
        <v>2022</v>
      </c>
      <c r="B1438" s="106">
        <f t="shared" si="41"/>
        <v>246</v>
      </c>
      <c r="C1438" s="107">
        <f ca="1">OFFSET(tab_tipo_Combustivel!$A$1,MATCH(B1438,tab_tipo_Combustivel!$A$2:$A$150,0),MATCH(A1438,tab_tipo_Combustivel!$B$1:$AQ$1,0),1,1)</f>
        <v>1124.53</v>
      </c>
    </row>
    <row r="1439" spans="1:3">
      <c r="A1439" s="3">
        <f t="shared" si="40"/>
        <v>2022</v>
      </c>
      <c r="B1439" s="106">
        <f t="shared" si="41"/>
        <v>247</v>
      </c>
      <c r="C1439" s="107">
        <f ca="1">OFFSET(tab_tipo_Combustivel!$A$1,MATCH(B1439,tab_tipo_Combustivel!$A$2:$A$150,0),MATCH(A1439,tab_tipo_Combustivel!$B$1:$AQ$1,0),1,1)</f>
        <v>609.51</v>
      </c>
    </row>
    <row r="1440" spans="1:3">
      <c r="A1440" s="3">
        <f t="shared" si="40"/>
        <v>2022</v>
      </c>
      <c r="B1440" s="106">
        <f t="shared" si="41"/>
        <v>248</v>
      </c>
      <c r="C1440" s="107">
        <f ca="1">OFFSET(tab_tipo_Combustivel!$A$1,MATCH(B1440,tab_tipo_Combustivel!$A$2:$A$150,0),MATCH(A1440,tab_tipo_Combustivel!$B$1:$AQ$1,0),1,1)</f>
        <v>495.06</v>
      </c>
    </row>
    <row r="1441" spans="1:3">
      <c r="A1441" s="3">
        <f t="shared" si="40"/>
        <v>2022</v>
      </c>
      <c r="B1441" s="106">
        <f t="shared" si="41"/>
        <v>249</v>
      </c>
      <c r="C1441" s="107">
        <f ca="1">OFFSET(tab_tipo_Combustivel!$A$1,MATCH(B1441,tab_tipo_Combustivel!$A$2:$A$150,0),MATCH(A1441,tab_tipo_Combustivel!$B$1:$AQ$1,0),1,1)</f>
        <v>842.33</v>
      </c>
    </row>
    <row r="1442" spans="1:3">
      <c r="A1442" s="3">
        <f t="shared" si="40"/>
        <v>2022</v>
      </c>
      <c r="B1442" s="106">
        <f t="shared" si="41"/>
        <v>250</v>
      </c>
      <c r="C1442" s="107">
        <f ca="1">OFFSET(tab_tipo_Combustivel!$A$1,MATCH(B1442,tab_tipo_Combustivel!$A$2:$A$150,0),MATCH(A1442,tab_tipo_Combustivel!$B$1:$AQ$1,0),1,1)</f>
        <v>1176.45</v>
      </c>
    </row>
    <row r="1443" spans="1:3">
      <c r="A1443" s="3">
        <f t="shared" si="40"/>
        <v>2022</v>
      </c>
      <c r="B1443" s="106">
        <f t="shared" si="41"/>
        <v>251</v>
      </c>
      <c r="C1443" s="107">
        <f ca="1">OFFSET(tab_tipo_Combustivel!$A$1,MATCH(B1443,tab_tipo_Combustivel!$A$2:$A$150,0),MATCH(A1443,tab_tipo_Combustivel!$B$1:$AQ$1,0),1,1)</f>
        <v>842.33</v>
      </c>
    </row>
    <row r="1444" spans="1:3">
      <c r="A1444" s="3">
        <f t="shared" si="40"/>
        <v>2022</v>
      </c>
      <c r="B1444" s="106">
        <f t="shared" si="41"/>
        <v>252</v>
      </c>
      <c r="C1444" s="107">
        <f ca="1">OFFSET(tab_tipo_Combustivel!$A$1,MATCH(B1444,tab_tipo_Combustivel!$A$2:$A$150,0),MATCH(A1444,tab_tipo_Combustivel!$B$1:$AQ$1,0),1,1)</f>
        <v>842.33</v>
      </c>
    </row>
    <row r="1445" spans="1:3">
      <c r="A1445" s="3">
        <f t="shared" si="40"/>
        <v>2022</v>
      </c>
      <c r="B1445" s="106">
        <f t="shared" si="41"/>
        <v>253</v>
      </c>
      <c r="C1445" s="107">
        <f ca="1">OFFSET(tab_tipo_Combustivel!$A$1,MATCH(B1445,tab_tipo_Combustivel!$A$2:$A$150,0),MATCH(A1445,tab_tipo_Combustivel!$B$1:$AQ$1,0),1,1)</f>
        <v>279.45</v>
      </c>
    </row>
    <row r="1446" spans="1:3">
      <c r="A1446" s="3">
        <f t="shared" si="40"/>
        <v>2022</v>
      </c>
      <c r="B1446" s="106">
        <f t="shared" si="41"/>
        <v>254</v>
      </c>
      <c r="C1446" s="107">
        <f ca="1">OFFSET(tab_tipo_Combustivel!$A$1,MATCH(B1446,tab_tipo_Combustivel!$A$2:$A$150,0),MATCH(A1446,tab_tipo_Combustivel!$B$1:$AQ$1,0),1,1)</f>
        <v>1153.98</v>
      </c>
    </row>
    <row r="1447" spans="1:3">
      <c r="A1447" s="3">
        <f t="shared" si="40"/>
        <v>2022</v>
      </c>
      <c r="B1447" s="106">
        <f t="shared" si="41"/>
        <v>255</v>
      </c>
      <c r="C1447" s="107">
        <f ca="1">OFFSET(tab_tipo_Combustivel!$A$1,MATCH(B1447,tab_tipo_Combustivel!$A$2:$A$150,0),MATCH(A1447,tab_tipo_Combustivel!$B$1:$AQ$1,0),1,1)</f>
        <v>828.98</v>
      </c>
    </row>
    <row r="1448" spans="1:3">
      <c r="A1448" s="3">
        <f t="shared" si="40"/>
        <v>2022</v>
      </c>
      <c r="B1448" s="106">
        <f t="shared" si="41"/>
        <v>256</v>
      </c>
      <c r="C1448" s="107">
        <f ca="1">OFFSET(tab_tipo_Combustivel!$A$1,MATCH(B1448,tab_tipo_Combustivel!$A$2:$A$150,0),MATCH(A1448,tab_tipo_Combustivel!$B$1:$AQ$1,0),1,1)</f>
        <v>562.65</v>
      </c>
    </row>
    <row r="1449" spans="1:3">
      <c r="A1449" s="3">
        <f t="shared" si="40"/>
        <v>2022</v>
      </c>
      <c r="B1449" s="106">
        <f t="shared" si="41"/>
        <v>257</v>
      </c>
      <c r="C1449" s="107">
        <f ca="1">OFFSET(tab_tipo_Combustivel!$A$1,MATCH(B1449,tab_tipo_Combustivel!$A$2:$A$150,0),MATCH(A1449,tab_tipo_Combustivel!$B$1:$AQ$1,0),1,1)</f>
        <v>907.52</v>
      </c>
    </row>
    <row r="1450" spans="1:3">
      <c r="A1450" s="3">
        <f t="shared" si="40"/>
        <v>2022</v>
      </c>
      <c r="B1450" s="106">
        <f t="shared" si="41"/>
        <v>258</v>
      </c>
      <c r="C1450" s="107">
        <f ca="1">OFFSET(tab_tipo_Combustivel!$A$1,MATCH(B1450,tab_tipo_Combustivel!$A$2:$A$150,0),MATCH(A1450,tab_tipo_Combustivel!$B$1:$AQ$1,0),1,1)</f>
        <v>1016.04</v>
      </c>
    </row>
    <row r="1451" spans="1:3">
      <c r="A1451" s="3">
        <f t="shared" si="40"/>
        <v>2022</v>
      </c>
      <c r="B1451" s="106">
        <f t="shared" si="41"/>
        <v>259</v>
      </c>
      <c r="C1451" s="107">
        <f ca="1">OFFSET(tab_tipo_Combustivel!$A$1,MATCH(B1451,tab_tipo_Combustivel!$A$2:$A$150,0),MATCH(A1451,tab_tipo_Combustivel!$B$1:$AQ$1,0),1,1)</f>
        <v>977.53</v>
      </c>
    </row>
    <row r="1452" spans="1:3">
      <c r="A1452" s="3">
        <f t="shared" si="40"/>
        <v>2022</v>
      </c>
      <c r="B1452" s="106">
        <f t="shared" si="41"/>
        <v>260</v>
      </c>
      <c r="C1452" s="107">
        <f ca="1">OFFSET(tab_tipo_Combustivel!$A$1,MATCH(B1452,tab_tipo_Combustivel!$A$2:$A$150,0),MATCH(A1452,tab_tipo_Combustivel!$B$1:$AQ$1,0),1,1)</f>
        <v>827.17</v>
      </c>
    </row>
    <row r="1453" spans="1:3">
      <c r="A1453" s="3">
        <f t="shared" si="40"/>
        <v>2022</v>
      </c>
      <c r="B1453" s="106">
        <f t="shared" si="41"/>
        <v>261</v>
      </c>
      <c r="C1453" s="107">
        <f ca="1">OFFSET(tab_tipo_Combustivel!$A$1,MATCH(B1453,tab_tipo_Combustivel!$A$2:$A$150,0),MATCH(A1453,tab_tipo_Combustivel!$B$1:$AQ$1,0),1,1)</f>
        <v>829.7</v>
      </c>
    </row>
    <row r="1454" spans="1:3">
      <c r="A1454" s="3">
        <f t="shared" si="40"/>
        <v>2022</v>
      </c>
      <c r="B1454" s="106">
        <f t="shared" si="41"/>
        <v>262</v>
      </c>
      <c r="C1454" s="107">
        <f ca="1">OFFSET(tab_tipo_Combustivel!$A$1,MATCH(B1454,tab_tipo_Combustivel!$A$2:$A$150,0),MATCH(A1454,tab_tipo_Combustivel!$B$1:$AQ$1,0),1,1)</f>
        <v>495.75</v>
      </c>
    </row>
    <row r="1455" spans="1:3">
      <c r="A1455" s="3">
        <f t="shared" si="40"/>
        <v>2022</v>
      </c>
      <c r="B1455" s="106">
        <f t="shared" si="41"/>
        <v>263</v>
      </c>
      <c r="C1455" s="107">
        <f ca="1">OFFSET(tab_tipo_Combustivel!$A$1,MATCH(B1455,tab_tipo_Combustivel!$A$2:$A$150,0),MATCH(A1455,tab_tipo_Combustivel!$B$1:$AQ$1,0),1,1)</f>
        <v>474.77</v>
      </c>
    </row>
    <row r="1456" spans="1:3">
      <c r="A1456" s="3">
        <f t="shared" si="40"/>
        <v>2022</v>
      </c>
      <c r="B1456" s="106">
        <f t="shared" si="41"/>
        <v>264</v>
      </c>
      <c r="C1456" s="107">
        <f ca="1">OFFSET(tab_tipo_Combustivel!$A$1,MATCH(B1456,tab_tipo_Combustivel!$A$2:$A$150,0),MATCH(A1456,tab_tipo_Combustivel!$B$1:$AQ$1,0),1,1)</f>
        <v>842.33</v>
      </c>
    </row>
    <row r="1457" spans="1:3">
      <c r="A1457" s="3">
        <f t="shared" si="40"/>
        <v>2022</v>
      </c>
      <c r="B1457" s="106">
        <f t="shared" si="41"/>
        <v>265</v>
      </c>
      <c r="C1457" s="107">
        <f ca="1">OFFSET(tab_tipo_Combustivel!$A$1,MATCH(B1457,tab_tipo_Combustivel!$A$2:$A$150,0),MATCH(A1457,tab_tipo_Combustivel!$B$1:$AQ$1,0),1,1)</f>
        <v>415.82</v>
      </c>
    </row>
    <row r="1458" spans="1:3">
      <c r="A1458" s="3">
        <f t="shared" si="40"/>
        <v>2022</v>
      </c>
      <c r="B1458" s="106">
        <f t="shared" si="41"/>
        <v>266</v>
      </c>
      <c r="C1458" s="107">
        <f ca="1">OFFSET(tab_tipo_Combustivel!$A$1,MATCH(B1458,tab_tipo_Combustivel!$A$2:$A$150,0),MATCH(A1458,tab_tipo_Combustivel!$B$1:$AQ$1,0),1,1)</f>
        <v>827.17</v>
      </c>
    </row>
    <row r="1459" spans="1:3">
      <c r="A1459" s="3">
        <f t="shared" si="40"/>
        <v>2022</v>
      </c>
      <c r="B1459" s="106">
        <f t="shared" si="41"/>
        <v>301</v>
      </c>
      <c r="C1459" s="107">
        <f ca="1">OFFSET(tab_tipo_Combustivel!$A$1,MATCH(B1459,tab_tipo_Combustivel!$A$2:$A$150,0),MATCH(A1459,tab_tipo_Combustivel!$B$1:$AQ$1,0),1,1)</f>
        <v>99.08</v>
      </c>
    </row>
    <row r="1460" spans="1:3">
      <c r="A1460" s="3">
        <f t="shared" si="40"/>
        <v>2022</v>
      </c>
      <c r="B1460" s="106">
        <f t="shared" si="41"/>
        <v>302</v>
      </c>
      <c r="C1460" s="107">
        <f ca="1">OFFSET(tab_tipo_Combustivel!$A$1,MATCH(B1460,tab_tipo_Combustivel!$A$2:$A$150,0),MATCH(A1460,tab_tipo_Combustivel!$B$1:$AQ$1,0),1,1)</f>
        <v>103.73</v>
      </c>
    </row>
    <row r="1461" spans="1:3">
      <c r="A1461" s="3">
        <f t="shared" si="40"/>
        <v>2022</v>
      </c>
      <c r="B1461" s="106">
        <f t="shared" si="41"/>
        <v>303</v>
      </c>
      <c r="C1461" s="107">
        <f ca="1">OFFSET(tab_tipo_Combustivel!$A$1,MATCH(B1461,tab_tipo_Combustivel!$A$2:$A$150,0),MATCH(A1461,tab_tipo_Combustivel!$B$1:$AQ$1,0),1,1)</f>
        <v>103.73</v>
      </c>
    </row>
    <row r="1462" spans="1:3">
      <c r="A1462" s="3">
        <f t="shared" si="40"/>
        <v>2022</v>
      </c>
      <c r="B1462" s="106">
        <f t="shared" si="41"/>
        <v>304</v>
      </c>
      <c r="C1462" s="107">
        <f ca="1">OFFSET(tab_tipo_Combustivel!$A$1,MATCH(B1462,tab_tipo_Combustivel!$A$2:$A$150,0),MATCH(A1462,tab_tipo_Combustivel!$B$1:$AQ$1,0),1,1)</f>
        <v>139.41999999999999</v>
      </c>
    </row>
    <row r="1463" spans="1:3">
      <c r="A1463" s="3">
        <f t="shared" si="40"/>
        <v>2022</v>
      </c>
      <c r="B1463" s="106">
        <f t="shared" si="41"/>
        <v>305</v>
      </c>
      <c r="C1463" s="107">
        <f ca="1">OFFSET(tab_tipo_Combustivel!$A$1,MATCH(B1463,tab_tipo_Combustivel!$A$2:$A$150,0),MATCH(A1463,tab_tipo_Combustivel!$B$1:$AQ$1,0),1,1)</f>
        <v>89.7</v>
      </c>
    </row>
    <row r="1464" spans="1:3">
      <c r="A1464" s="3">
        <f t="shared" si="40"/>
        <v>2022</v>
      </c>
      <c r="B1464" s="106">
        <f t="shared" si="41"/>
        <v>306</v>
      </c>
      <c r="C1464" s="107">
        <f ca="1">OFFSET(tab_tipo_Combustivel!$A$1,MATCH(B1464,tab_tipo_Combustivel!$A$2:$A$150,0),MATCH(A1464,tab_tipo_Combustivel!$B$1:$AQ$1,0),1,1)</f>
        <v>100.38</v>
      </c>
    </row>
    <row r="1465" spans="1:3">
      <c r="A1465" s="3">
        <f t="shared" si="40"/>
        <v>2022</v>
      </c>
      <c r="B1465" s="106">
        <f t="shared" si="41"/>
        <v>307</v>
      </c>
      <c r="C1465" s="107">
        <f ca="1">OFFSET(tab_tipo_Combustivel!$A$1,MATCH(B1465,tab_tipo_Combustivel!$A$2:$A$150,0),MATCH(A1465,tab_tipo_Combustivel!$B$1:$AQ$1,0),1,1)</f>
        <v>510.12</v>
      </c>
    </row>
    <row r="1466" spans="1:3">
      <c r="A1466" s="3">
        <f t="shared" si="40"/>
        <v>2022</v>
      </c>
      <c r="B1466" s="106">
        <f t="shared" si="41"/>
        <v>308</v>
      </c>
      <c r="C1466" s="107">
        <f ca="1">OFFSET(tab_tipo_Combustivel!$A$1,MATCH(B1466,tab_tipo_Combustivel!$A$2:$A$150,0),MATCH(A1466,tab_tipo_Combustivel!$B$1:$AQ$1,0),1,1)</f>
        <v>72.5</v>
      </c>
    </row>
    <row r="1467" spans="1:3">
      <c r="A1467" s="3">
        <f t="shared" si="40"/>
        <v>2022</v>
      </c>
      <c r="B1467" s="106">
        <f t="shared" si="41"/>
        <v>309</v>
      </c>
      <c r="C1467" s="107">
        <f ca="1">OFFSET(tab_tipo_Combustivel!$A$1,MATCH(B1467,tab_tipo_Combustivel!$A$2:$A$150,0),MATCH(A1467,tab_tipo_Combustivel!$B$1:$AQ$1,0),1,1)</f>
        <v>126.77</v>
      </c>
    </row>
    <row r="1468" spans="1:3">
      <c r="A1468" s="3">
        <f t="shared" si="40"/>
        <v>2022</v>
      </c>
      <c r="B1468" s="106">
        <f t="shared" si="41"/>
        <v>310</v>
      </c>
      <c r="C1468" s="107">
        <f ca="1">OFFSET(tab_tipo_Combustivel!$A$1,MATCH(B1468,tab_tipo_Combustivel!$A$2:$A$150,0),MATCH(A1468,tab_tipo_Combustivel!$B$1:$AQ$1,0),1,1)</f>
        <v>275.99</v>
      </c>
    </row>
    <row r="1469" spans="1:3">
      <c r="A1469" s="3">
        <f t="shared" si="40"/>
        <v>2022</v>
      </c>
      <c r="B1469" s="106">
        <f t="shared" si="41"/>
        <v>311</v>
      </c>
      <c r="C1469" s="107">
        <f ca="1">OFFSET(tab_tipo_Combustivel!$A$1,MATCH(B1469,tab_tipo_Combustivel!$A$2:$A$150,0),MATCH(A1469,tab_tipo_Combustivel!$B$1:$AQ$1,0),1,1)</f>
        <v>70.66</v>
      </c>
    </row>
    <row r="1470" spans="1:3">
      <c r="A1470" s="3">
        <f t="shared" si="40"/>
        <v>2022</v>
      </c>
      <c r="B1470" s="106">
        <f t="shared" si="41"/>
        <v>312</v>
      </c>
      <c r="C1470" s="107">
        <f ca="1">OFFSET(tab_tipo_Combustivel!$A$1,MATCH(B1470,tab_tipo_Combustivel!$A$2:$A$150,0),MATCH(A1470,tab_tipo_Combustivel!$B$1:$AQ$1,0),1,1)</f>
        <v>0</v>
      </c>
    </row>
    <row r="1471" spans="1:3">
      <c r="A1471" s="3">
        <f t="shared" si="40"/>
        <v>2022</v>
      </c>
      <c r="B1471" s="106">
        <f t="shared" si="41"/>
        <v>1301</v>
      </c>
      <c r="C1471" s="107">
        <f ca="1">OFFSET(tab_tipo_Combustivel!$A$1,MATCH(B1471,tab_tipo_Combustivel!$A$2:$A$150,0),MATCH(A1471,tab_tipo_Combustivel!$B$1:$AQ$1,0),1,1)</f>
        <v>242.05</v>
      </c>
    </row>
    <row r="1472" spans="1:3">
      <c r="A1472" s="3">
        <f t="shared" si="40"/>
        <v>2022</v>
      </c>
      <c r="B1472" s="106">
        <f t="shared" si="41"/>
        <v>1302</v>
      </c>
      <c r="C1472" s="107">
        <f ca="1">OFFSET(tab_tipo_Combustivel!$A$1,MATCH(B1472,tab_tipo_Combustivel!$A$2:$A$150,0),MATCH(A1472,tab_tipo_Combustivel!$B$1:$AQ$1,0),1,1)</f>
        <v>193.64</v>
      </c>
    </row>
    <row r="1473" spans="1:3">
      <c r="A1473" s="3">
        <f t="shared" si="40"/>
        <v>2022</v>
      </c>
      <c r="B1473" s="106">
        <f t="shared" si="41"/>
        <v>1303</v>
      </c>
      <c r="C1473" s="107">
        <f ca="1">OFFSET(tab_tipo_Combustivel!$A$1,MATCH(B1473,tab_tipo_Combustivel!$A$2:$A$150,0),MATCH(A1473,tab_tipo_Combustivel!$B$1:$AQ$1,0),1,1)</f>
        <v>25.58</v>
      </c>
    </row>
    <row r="1474" spans="1:3">
      <c r="A1474" s="3">
        <f t="shared" si="40"/>
        <v>2022</v>
      </c>
      <c r="B1474" s="106">
        <f t="shared" si="41"/>
        <v>1304</v>
      </c>
      <c r="C1474" s="107">
        <f ca="1">OFFSET(tab_tipo_Combustivel!$A$1,MATCH(B1474,tab_tipo_Combustivel!$A$2:$A$150,0),MATCH(A1474,tab_tipo_Combustivel!$B$1:$AQ$1,0),1,1)</f>
        <v>0</v>
      </c>
    </row>
    <row r="1475" spans="1:3">
      <c r="A1475" s="3">
        <f t="shared" si="40"/>
        <v>2022</v>
      </c>
      <c r="B1475" s="106">
        <f t="shared" si="41"/>
        <v>1315</v>
      </c>
      <c r="C1475" s="107">
        <f ca="1">OFFSET(tab_tipo_Combustivel!$A$1,MATCH(B1475,tab_tipo_Combustivel!$A$2:$A$150,0),MATCH(A1475,tab_tipo_Combustivel!$B$1:$AQ$1,0),1,1)</f>
        <v>0</v>
      </c>
    </row>
    <row r="1476" spans="1:3">
      <c r="A1476" s="3">
        <f t="shared" si="40"/>
        <v>2022</v>
      </c>
      <c r="B1476" s="106">
        <f t="shared" si="41"/>
        <v>1316</v>
      </c>
      <c r="C1476" s="107">
        <f ca="1">OFFSET(tab_tipo_Combustivel!$A$1,MATCH(B1476,tab_tipo_Combustivel!$A$2:$A$150,0),MATCH(A1476,tab_tipo_Combustivel!$B$1:$AQ$1,0),1,1)</f>
        <v>0</v>
      </c>
    </row>
    <row r="1477" spans="1:3">
      <c r="A1477" s="3">
        <f t="shared" si="40"/>
        <v>2022</v>
      </c>
      <c r="B1477" s="106">
        <f t="shared" si="41"/>
        <v>1318</v>
      </c>
      <c r="C1477" s="107">
        <f ca="1">OFFSET(tab_tipo_Combustivel!$A$1,MATCH(B1477,tab_tipo_Combustivel!$A$2:$A$150,0),MATCH(A1477,tab_tipo_Combustivel!$B$1:$AQ$1,0),1,1)</f>
        <v>200</v>
      </c>
    </row>
    <row r="1478" spans="1:3">
      <c r="A1478" s="3">
        <f t="shared" si="40"/>
        <v>2022</v>
      </c>
      <c r="B1478" s="106">
        <f t="shared" si="41"/>
        <v>1321</v>
      </c>
      <c r="C1478" s="107">
        <f ca="1">OFFSET(tab_tipo_Combustivel!$A$1,MATCH(B1478,tab_tipo_Combustivel!$A$2:$A$150,0),MATCH(A1478,tab_tipo_Combustivel!$B$1:$AQ$1,0),1,1)</f>
        <v>85</v>
      </c>
    </row>
    <row r="1479" spans="1:3">
      <c r="A1479" s="3">
        <f t="shared" si="40"/>
        <v>2022</v>
      </c>
      <c r="B1479" s="106">
        <f t="shared" si="41"/>
        <v>1322</v>
      </c>
      <c r="C1479" s="107">
        <f ca="1">OFFSET(tab_tipo_Combustivel!$A$1,MATCH(B1479,tab_tipo_Combustivel!$A$2:$A$150,0),MATCH(A1479,tab_tipo_Combustivel!$B$1:$AQ$1,0),1,1)</f>
        <v>140</v>
      </c>
    </row>
    <row r="1480" spans="1:3">
      <c r="A1480" s="3">
        <f t="shared" si="40"/>
        <v>2022</v>
      </c>
      <c r="B1480" s="106">
        <f t="shared" si="41"/>
        <v>1323</v>
      </c>
      <c r="C1480" s="107">
        <f ca="1">OFFSET(tab_tipo_Combustivel!$A$1,MATCH(B1480,tab_tipo_Combustivel!$A$2:$A$150,0),MATCH(A1480,tab_tipo_Combustivel!$B$1:$AQ$1,0),1,1)</f>
        <v>63.75</v>
      </c>
    </row>
    <row r="1481" spans="1:3">
      <c r="A1481" s="3">
        <f t="shared" si="40"/>
        <v>2022</v>
      </c>
      <c r="B1481" s="106">
        <f t="shared" si="41"/>
        <v>1325</v>
      </c>
      <c r="C1481" s="107">
        <f ca="1">OFFSET(tab_tipo_Combustivel!$A$1,MATCH(B1481,tab_tipo_Combustivel!$A$2:$A$150,0),MATCH(A1481,tab_tipo_Combustivel!$B$1:$AQ$1,0),1,1)</f>
        <v>0</v>
      </c>
    </row>
    <row r="1482" spans="1:3">
      <c r="A1482" s="3">
        <f t="shared" ref="A1482:A1545" si="42">A1347+1</f>
        <v>2022</v>
      </c>
      <c r="B1482" s="106">
        <f t="shared" ref="B1482:B1545" si="43">B1347</f>
        <v>1326</v>
      </c>
      <c r="C1482" s="107">
        <f ca="1">OFFSET(tab_tipo_Combustivel!$A$1,MATCH(B1482,tab_tipo_Combustivel!$A$2:$A$150,0),MATCH(A1482,tab_tipo_Combustivel!$B$1:$AQ$1,0),1,1)</f>
        <v>260</v>
      </c>
    </row>
    <row r="1483" spans="1:3">
      <c r="A1483" s="3">
        <f t="shared" si="42"/>
        <v>2022</v>
      </c>
      <c r="B1483" s="106">
        <f t="shared" si="43"/>
        <v>1501</v>
      </c>
      <c r="C1483" s="107">
        <f ca="1">OFFSET(tab_tipo_Combustivel!$A$1,MATCH(B1483,tab_tipo_Combustivel!$A$2:$A$150,0),MATCH(A1483,tab_tipo_Combustivel!$B$1:$AQ$1,0),1,1)</f>
        <v>260</v>
      </c>
    </row>
    <row r="1484" spans="1:3">
      <c r="A1484" s="3">
        <f t="shared" si="42"/>
        <v>2022</v>
      </c>
      <c r="B1484" s="106">
        <f t="shared" si="43"/>
        <v>1502</v>
      </c>
      <c r="C1484" s="107">
        <f ca="1">OFFSET(tab_tipo_Combustivel!$A$1,MATCH(B1484,tab_tipo_Combustivel!$A$2:$A$150,0),MATCH(A1484,tab_tipo_Combustivel!$B$1:$AQ$1,0),1,1)</f>
        <v>60</v>
      </c>
    </row>
    <row r="1485" spans="1:3">
      <c r="A1485" s="3">
        <f t="shared" si="42"/>
        <v>2022</v>
      </c>
      <c r="B1485" s="106">
        <f t="shared" si="43"/>
        <v>1503</v>
      </c>
      <c r="C1485" s="107">
        <f ca="1">OFFSET(tab_tipo_Combustivel!$A$1,MATCH(B1485,tab_tipo_Combustivel!$A$2:$A$150,0),MATCH(A1485,tab_tipo_Combustivel!$B$1:$AQ$1,0),1,1)</f>
        <v>96.82</v>
      </c>
    </row>
    <row r="1486" spans="1:3">
      <c r="A1486" s="3">
        <f t="shared" si="42"/>
        <v>2022</v>
      </c>
      <c r="B1486" s="106">
        <f t="shared" si="43"/>
        <v>1504</v>
      </c>
      <c r="C1486" s="107">
        <f ca="1">OFFSET(tab_tipo_Combustivel!$A$1,MATCH(B1486,tab_tipo_Combustivel!$A$2:$A$150,0),MATCH(A1486,tab_tipo_Combustivel!$B$1:$AQ$1,0),1,1)</f>
        <v>145.22999999999999</v>
      </c>
    </row>
    <row r="1487" spans="1:3">
      <c r="A1487" s="3">
        <f t="shared" si="42"/>
        <v>2023</v>
      </c>
      <c r="B1487" s="106">
        <f t="shared" si="43"/>
        <v>1</v>
      </c>
      <c r="C1487" s="107">
        <f ca="1">OFFSET(tab_tipo_Combustivel!$A$1,MATCH(B1487,tab_tipo_Combustivel!$A$2:$A$150,0),MATCH(A1487,tab_tipo_Combustivel!$B$1:$AQ$1,0),1,1)</f>
        <v>29.13</v>
      </c>
    </row>
    <row r="1488" spans="1:3">
      <c r="A1488" s="3">
        <f t="shared" si="42"/>
        <v>2023</v>
      </c>
      <c r="B1488" s="106">
        <f t="shared" si="43"/>
        <v>2</v>
      </c>
      <c r="C1488" s="107">
        <f ca="1">OFFSET(tab_tipo_Combustivel!$A$1,MATCH(B1488,tab_tipo_Combustivel!$A$2:$A$150,0),MATCH(A1488,tab_tipo_Combustivel!$B$1:$AQ$1,0),1,1)</f>
        <v>842.33</v>
      </c>
    </row>
    <row r="1489" spans="1:3">
      <c r="A1489" s="3">
        <f t="shared" si="42"/>
        <v>2023</v>
      </c>
      <c r="B1489" s="106">
        <f t="shared" si="43"/>
        <v>4</v>
      </c>
      <c r="C1489" s="107">
        <f ca="1">OFFSET(tab_tipo_Combustivel!$A$1,MATCH(B1489,tab_tipo_Combustivel!$A$2:$A$150,0),MATCH(A1489,tab_tipo_Combustivel!$B$1:$AQ$1,0),1,1)</f>
        <v>842.33</v>
      </c>
    </row>
    <row r="1490" spans="1:3">
      <c r="A1490" s="3">
        <f t="shared" si="42"/>
        <v>2023</v>
      </c>
      <c r="B1490" s="106">
        <f t="shared" si="43"/>
        <v>9</v>
      </c>
      <c r="C1490" s="107">
        <f ca="1">OFFSET(tab_tipo_Combustivel!$A$1,MATCH(B1490,tab_tipo_Combustivel!$A$2:$A$150,0),MATCH(A1490,tab_tipo_Combustivel!$B$1:$AQ$1,0),1,1)</f>
        <v>842.33</v>
      </c>
    </row>
    <row r="1491" spans="1:3">
      <c r="A1491" s="3">
        <f t="shared" si="42"/>
        <v>2023</v>
      </c>
      <c r="B1491" s="106">
        <f t="shared" si="43"/>
        <v>12</v>
      </c>
      <c r="C1491" s="107">
        <f ca="1">OFFSET(tab_tipo_Combustivel!$A$1,MATCH(B1491,tab_tipo_Combustivel!$A$2:$A$150,0),MATCH(A1491,tab_tipo_Combustivel!$B$1:$AQ$1,0),1,1)</f>
        <v>728.87</v>
      </c>
    </row>
    <row r="1492" spans="1:3">
      <c r="A1492" s="3">
        <f t="shared" si="42"/>
        <v>2023</v>
      </c>
      <c r="B1492" s="106">
        <f t="shared" si="43"/>
        <v>13</v>
      </c>
      <c r="C1492" s="107">
        <f ca="1">OFFSET(tab_tipo_Combustivel!$A$1,MATCH(B1492,tab_tipo_Combustivel!$A$2:$A$150,0),MATCH(A1492,tab_tipo_Combustivel!$B$1:$AQ$1,0),1,1)</f>
        <v>20.12</v>
      </c>
    </row>
    <row r="1493" spans="1:3">
      <c r="A1493" s="3">
        <f t="shared" si="42"/>
        <v>2023</v>
      </c>
      <c r="B1493" s="106">
        <f t="shared" si="43"/>
        <v>15</v>
      </c>
      <c r="C1493" s="107">
        <f ca="1">OFFSET(tab_tipo_Combustivel!$A$1,MATCH(B1493,tab_tipo_Combustivel!$A$2:$A$150,0),MATCH(A1493,tab_tipo_Combustivel!$B$1:$AQ$1,0),1,1)</f>
        <v>257.29000000000002</v>
      </c>
    </row>
    <row r="1494" spans="1:3">
      <c r="A1494" s="3">
        <f t="shared" si="42"/>
        <v>2023</v>
      </c>
      <c r="B1494" s="106">
        <f t="shared" si="43"/>
        <v>21</v>
      </c>
      <c r="C1494" s="107">
        <f ca="1">OFFSET(tab_tipo_Combustivel!$A$1,MATCH(B1494,tab_tipo_Combustivel!$A$2:$A$150,0),MATCH(A1494,tab_tipo_Combustivel!$B$1:$AQ$1,0),1,1)</f>
        <v>157.83000000000001</v>
      </c>
    </row>
    <row r="1495" spans="1:3">
      <c r="A1495" s="3">
        <f t="shared" si="42"/>
        <v>2023</v>
      </c>
      <c r="B1495" s="106">
        <f t="shared" si="43"/>
        <v>22</v>
      </c>
      <c r="C1495" s="107">
        <f ca="1">OFFSET(tab_tipo_Combustivel!$A$1,MATCH(B1495,tab_tipo_Combustivel!$A$2:$A$150,0),MATCH(A1495,tab_tipo_Combustivel!$B$1:$AQ$1,0),1,1)</f>
        <v>115.9</v>
      </c>
    </row>
    <row r="1496" spans="1:3">
      <c r="A1496" s="3">
        <f t="shared" si="42"/>
        <v>2023</v>
      </c>
      <c r="B1496" s="106">
        <f t="shared" si="43"/>
        <v>23</v>
      </c>
      <c r="C1496" s="107">
        <f ca="1">OFFSET(tab_tipo_Combustivel!$A$1,MATCH(B1496,tab_tipo_Combustivel!$A$2:$A$150,0),MATCH(A1496,tab_tipo_Combustivel!$B$1:$AQ$1,0),1,1)</f>
        <v>115.9</v>
      </c>
    </row>
    <row r="1497" spans="1:3">
      <c r="A1497" s="3">
        <f t="shared" si="42"/>
        <v>2023</v>
      </c>
      <c r="B1497" s="106">
        <f t="shared" si="43"/>
        <v>24</v>
      </c>
      <c r="C1497" s="107">
        <f ca="1">OFFSET(tab_tipo_Combustivel!$A$1,MATCH(B1497,tab_tipo_Combustivel!$A$2:$A$150,0),MATCH(A1497,tab_tipo_Combustivel!$B$1:$AQ$1,0),1,1)</f>
        <v>155.85</v>
      </c>
    </row>
    <row r="1498" spans="1:3">
      <c r="A1498" s="3">
        <f t="shared" si="42"/>
        <v>2023</v>
      </c>
      <c r="B1498" s="106">
        <f t="shared" si="43"/>
        <v>25</v>
      </c>
      <c r="C1498" s="107">
        <f ca="1">OFFSET(tab_tipo_Combustivel!$A$1,MATCH(B1498,tab_tipo_Combustivel!$A$2:$A$150,0),MATCH(A1498,tab_tipo_Combustivel!$B$1:$AQ$1,0),1,1)</f>
        <v>186.33</v>
      </c>
    </row>
    <row r="1499" spans="1:3">
      <c r="A1499" s="3">
        <f t="shared" si="42"/>
        <v>2023</v>
      </c>
      <c r="B1499" s="106">
        <f t="shared" si="43"/>
        <v>26</v>
      </c>
      <c r="C1499" s="107">
        <f ca="1">OFFSET(tab_tipo_Combustivel!$A$1,MATCH(B1499,tab_tipo_Combustivel!$A$2:$A$150,0),MATCH(A1499,tab_tipo_Combustivel!$B$1:$AQ$1,0),1,1)</f>
        <v>258.42</v>
      </c>
    </row>
    <row r="1500" spans="1:3">
      <c r="A1500" s="3">
        <f t="shared" si="42"/>
        <v>2023</v>
      </c>
      <c r="B1500" s="106">
        <f t="shared" si="43"/>
        <v>27</v>
      </c>
      <c r="C1500" s="107">
        <f ca="1">OFFSET(tab_tipo_Combustivel!$A$1,MATCH(B1500,tab_tipo_Combustivel!$A$2:$A$150,0),MATCH(A1500,tab_tipo_Combustivel!$B$1:$AQ$1,0),1,1)</f>
        <v>195.49</v>
      </c>
    </row>
    <row r="1501" spans="1:3">
      <c r="A1501" s="3">
        <f t="shared" si="42"/>
        <v>2023</v>
      </c>
      <c r="B1501" s="106">
        <f t="shared" si="43"/>
        <v>28</v>
      </c>
      <c r="C1501" s="107">
        <f ca="1">OFFSET(tab_tipo_Combustivel!$A$1,MATCH(B1501,tab_tipo_Combustivel!$A$2:$A$150,0),MATCH(A1501,tab_tipo_Combustivel!$B$1:$AQ$1,0),1,1)</f>
        <v>459.92</v>
      </c>
    </row>
    <row r="1502" spans="1:3">
      <c r="A1502" s="3">
        <f t="shared" si="42"/>
        <v>2023</v>
      </c>
      <c r="B1502" s="106">
        <f t="shared" si="43"/>
        <v>32</v>
      </c>
      <c r="C1502" s="107">
        <f ca="1">OFFSET(tab_tipo_Combustivel!$A$1,MATCH(B1502,tab_tipo_Combustivel!$A$2:$A$150,0),MATCH(A1502,tab_tipo_Combustivel!$B$1:$AQ$1,0),1,1)</f>
        <v>248.31</v>
      </c>
    </row>
    <row r="1503" spans="1:3">
      <c r="A1503" s="3">
        <f t="shared" si="42"/>
        <v>2023</v>
      </c>
      <c r="B1503" s="106">
        <f t="shared" si="43"/>
        <v>34</v>
      </c>
      <c r="C1503" s="107">
        <f ca="1">OFFSET(tab_tipo_Combustivel!$A$1,MATCH(B1503,tab_tipo_Combustivel!$A$2:$A$150,0),MATCH(A1503,tab_tipo_Combustivel!$B$1:$AQ$1,0),1,1)</f>
        <v>423.38</v>
      </c>
    </row>
    <row r="1504" spans="1:3">
      <c r="A1504" s="3">
        <f t="shared" si="42"/>
        <v>2023</v>
      </c>
      <c r="B1504" s="106">
        <f t="shared" si="43"/>
        <v>35</v>
      </c>
      <c r="C1504" s="107">
        <f ca="1">OFFSET(tab_tipo_Combustivel!$A$1,MATCH(B1504,tab_tipo_Combustivel!$A$2:$A$150,0),MATCH(A1504,tab_tipo_Combustivel!$B$1:$AQ$1,0),1,1)</f>
        <v>692.45</v>
      </c>
    </row>
    <row r="1505" spans="1:3">
      <c r="A1505" s="3">
        <f t="shared" si="42"/>
        <v>2023</v>
      </c>
      <c r="B1505" s="106">
        <f t="shared" si="43"/>
        <v>36</v>
      </c>
      <c r="C1505" s="107">
        <f ca="1">OFFSET(tab_tipo_Combustivel!$A$1,MATCH(B1505,tab_tipo_Combustivel!$A$2:$A$150,0),MATCH(A1505,tab_tipo_Combustivel!$B$1:$AQ$1,0),1,1)</f>
        <v>157.83000000000001</v>
      </c>
    </row>
    <row r="1506" spans="1:3">
      <c r="A1506" s="3">
        <f t="shared" si="42"/>
        <v>2023</v>
      </c>
      <c r="B1506" s="106">
        <f t="shared" si="43"/>
        <v>42</v>
      </c>
      <c r="C1506" s="107">
        <f ca="1">OFFSET(tab_tipo_Combustivel!$A$1,MATCH(B1506,tab_tipo_Combustivel!$A$2:$A$150,0),MATCH(A1506,tab_tipo_Combustivel!$B$1:$AQ$1,0),1,1)</f>
        <v>199.22</v>
      </c>
    </row>
    <row r="1507" spans="1:3">
      <c r="A1507" s="3">
        <f t="shared" si="42"/>
        <v>2023</v>
      </c>
      <c r="B1507" s="106">
        <f t="shared" si="43"/>
        <v>43</v>
      </c>
      <c r="C1507" s="107">
        <f ca="1">OFFSET(tab_tipo_Combustivel!$A$1,MATCH(B1507,tab_tipo_Combustivel!$A$2:$A$150,0),MATCH(A1507,tab_tipo_Combustivel!$B$1:$AQ$1,0),1,1)</f>
        <v>431.62</v>
      </c>
    </row>
    <row r="1508" spans="1:3">
      <c r="A1508" s="3">
        <f t="shared" si="42"/>
        <v>2023</v>
      </c>
      <c r="B1508" s="106">
        <f t="shared" si="43"/>
        <v>44</v>
      </c>
      <c r="C1508" s="107">
        <f ca="1">OFFSET(tab_tipo_Combustivel!$A$1,MATCH(B1508,tab_tipo_Combustivel!$A$2:$A$150,0),MATCH(A1508,tab_tipo_Combustivel!$B$1:$AQ$1,0),1,1)</f>
        <v>25.58</v>
      </c>
    </row>
    <row r="1509" spans="1:3">
      <c r="A1509" s="3">
        <f t="shared" si="42"/>
        <v>2023</v>
      </c>
      <c r="B1509" s="106">
        <f t="shared" si="43"/>
        <v>46</v>
      </c>
      <c r="C1509" s="107">
        <f ca="1">OFFSET(tab_tipo_Combustivel!$A$1,MATCH(B1509,tab_tipo_Combustivel!$A$2:$A$150,0),MATCH(A1509,tab_tipo_Combustivel!$B$1:$AQ$1,0),1,1)</f>
        <v>228.91</v>
      </c>
    </row>
    <row r="1510" spans="1:3">
      <c r="A1510" s="3">
        <f t="shared" si="42"/>
        <v>2023</v>
      </c>
      <c r="B1510" s="106">
        <f t="shared" si="43"/>
        <v>47</v>
      </c>
      <c r="C1510" s="107">
        <f ca="1">OFFSET(tab_tipo_Combustivel!$A$1,MATCH(B1510,tab_tipo_Combustivel!$A$2:$A$150,0),MATCH(A1510,tab_tipo_Combustivel!$B$1:$AQ$1,0),1,1)</f>
        <v>235.6</v>
      </c>
    </row>
    <row r="1511" spans="1:3">
      <c r="A1511" s="3">
        <f t="shared" si="42"/>
        <v>2023</v>
      </c>
      <c r="B1511" s="106">
        <f t="shared" si="43"/>
        <v>48</v>
      </c>
      <c r="C1511" s="107">
        <f ca="1">OFFSET(tab_tipo_Combustivel!$A$1,MATCH(B1511,tab_tipo_Combustivel!$A$2:$A$150,0),MATCH(A1511,tab_tipo_Combustivel!$B$1:$AQ$1,0),1,1)</f>
        <v>1012.12</v>
      </c>
    </row>
    <row r="1512" spans="1:3">
      <c r="A1512" s="3">
        <f t="shared" si="42"/>
        <v>2023</v>
      </c>
      <c r="B1512" s="106">
        <f t="shared" si="43"/>
        <v>50</v>
      </c>
      <c r="C1512" s="107">
        <f ca="1">OFFSET(tab_tipo_Combustivel!$A$1,MATCH(B1512,tab_tipo_Combustivel!$A$2:$A$150,0),MATCH(A1512,tab_tipo_Combustivel!$B$1:$AQ$1,0),1,1)</f>
        <v>669.87</v>
      </c>
    </row>
    <row r="1513" spans="1:3">
      <c r="A1513" s="3">
        <f t="shared" si="42"/>
        <v>2023</v>
      </c>
      <c r="B1513" s="106">
        <f t="shared" si="43"/>
        <v>54</v>
      </c>
      <c r="C1513" s="107">
        <f ca="1">OFFSET(tab_tipo_Combustivel!$A$1,MATCH(B1513,tab_tipo_Combustivel!$A$2:$A$150,0),MATCH(A1513,tab_tipo_Combustivel!$B$1:$AQ$1,0),1,1)</f>
        <v>304.55</v>
      </c>
    </row>
    <row r="1514" spans="1:3">
      <c r="A1514" s="3">
        <f t="shared" si="42"/>
        <v>2023</v>
      </c>
      <c r="B1514" s="106">
        <f t="shared" si="43"/>
        <v>58</v>
      </c>
      <c r="C1514" s="107">
        <f ca="1">OFFSET(tab_tipo_Combustivel!$A$1,MATCH(B1514,tab_tipo_Combustivel!$A$2:$A$150,0),MATCH(A1514,tab_tipo_Combustivel!$B$1:$AQ$1,0),1,1)</f>
        <v>300.05</v>
      </c>
    </row>
    <row r="1515" spans="1:3">
      <c r="A1515" s="3">
        <f t="shared" si="42"/>
        <v>2023</v>
      </c>
      <c r="B1515" s="106">
        <f t="shared" si="43"/>
        <v>62</v>
      </c>
      <c r="C1515" s="107">
        <f ca="1">OFFSET(tab_tipo_Combustivel!$A$1,MATCH(B1515,tab_tipo_Combustivel!$A$2:$A$150,0),MATCH(A1515,tab_tipo_Combustivel!$B$1:$AQ$1,0),1,1)</f>
        <v>309.24</v>
      </c>
    </row>
    <row r="1516" spans="1:3">
      <c r="A1516" s="3">
        <f t="shared" si="42"/>
        <v>2023</v>
      </c>
      <c r="B1516" s="106">
        <f t="shared" si="43"/>
        <v>63</v>
      </c>
      <c r="C1516" s="107">
        <f ca="1">OFFSET(tab_tipo_Combustivel!$A$1,MATCH(B1516,tab_tipo_Combustivel!$A$2:$A$150,0),MATCH(A1516,tab_tipo_Combustivel!$B$1:$AQ$1,0),1,1)</f>
        <v>365.77</v>
      </c>
    </row>
    <row r="1517" spans="1:3">
      <c r="A1517" s="3">
        <f t="shared" si="42"/>
        <v>2023</v>
      </c>
      <c r="B1517" s="106">
        <f t="shared" si="43"/>
        <v>64</v>
      </c>
      <c r="C1517" s="107">
        <f ca="1">OFFSET(tab_tipo_Combustivel!$A$1,MATCH(B1517,tab_tipo_Combustivel!$A$2:$A$150,0),MATCH(A1517,tab_tipo_Combustivel!$B$1:$AQ$1,0),1,1)</f>
        <v>853.54</v>
      </c>
    </row>
    <row r="1518" spans="1:3">
      <c r="A1518" s="3">
        <f t="shared" si="42"/>
        <v>2023</v>
      </c>
      <c r="B1518" s="106">
        <f t="shared" si="43"/>
        <v>68</v>
      </c>
      <c r="C1518" s="107">
        <f ca="1">OFFSET(tab_tipo_Combustivel!$A$1,MATCH(B1518,tab_tipo_Combustivel!$A$2:$A$150,0),MATCH(A1518,tab_tipo_Combustivel!$B$1:$AQ$1,0),1,1)</f>
        <v>195.63</v>
      </c>
    </row>
    <row r="1519" spans="1:3">
      <c r="A1519" s="3">
        <f t="shared" si="42"/>
        <v>2023</v>
      </c>
      <c r="B1519" s="106">
        <f t="shared" si="43"/>
        <v>74</v>
      </c>
      <c r="C1519" s="107">
        <f ca="1">OFFSET(tab_tipo_Combustivel!$A$1,MATCH(B1519,tab_tipo_Combustivel!$A$2:$A$150,0),MATCH(A1519,tab_tipo_Combustivel!$B$1:$AQ$1,0),1,1)</f>
        <v>364.46</v>
      </c>
    </row>
    <row r="1520" spans="1:3">
      <c r="A1520" s="3">
        <f t="shared" si="42"/>
        <v>2023</v>
      </c>
      <c r="B1520" s="106">
        <f t="shared" si="43"/>
        <v>83</v>
      </c>
      <c r="C1520" s="107">
        <f ca="1">OFFSET(tab_tipo_Combustivel!$A$1,MATCH(B1520,tab_tipo_Combustivel!$A$2:$A$150,0),MATCH(A1520,tab_tipo_Combustivel!$B$1:$AQ$1,0),1,1)</f>
        <v>448.1</v>
      </c>
    </row>
    <row r="1521" spans="1:3">
      <c r="A1521" s="3">
        <f t="shared" si="42"/>
        <v>2023</v>
      </c>
      <c r="B1521" s="106">
        <f t="shared" si="43"/>
        <v>86</v>
      </c>
      <c r="C1521" s="107">
        <f ca="1">OFFSET(tab_tipo_Combustivel!$A$1,MATCH(B1521,tab_tipo_Combustivel!$A$2:$A$150,0),MATCH(A1521,tab_tipo_Combustivel!$B$1:$AQ$1,0),1,1)</f>
        <v>170.34</v>
      </c>
    </row>
    <row r="1522" spans="1:3">
      <c r="A1522" s="3">
        <f t="shared" si="42"/>
        <v>2023</v>
      </c>
      <c r="B1522" s="106">
        <f t="shared" si="43"/>
        <v>90</v>
      </c>
      <c r="C1522" s="107">
        <f ca="1">OFFSET(tab_tipo_Combustivel!$A$1,MATCH(B1522,tab_tipo_Combustivel!$A$2:$A$150,0),MATCH(A1522,tab_tipo_Combustivel!$B$1:$AQ$1,0),1,1)</f>
        <v>533.1</v>
      </c>
    </row>
    <row r="1523" spans="1:3">
      <c r="A1523" s="3">
        <f t="shared" si="42"/>
        <v>2023</v>
      </c>
      <c r="B1523" s="106">
        <f t="shared" si="43"/>
        <v>93</v>
      </c>
      <c r="C1523" s="107">
        <f ca="1">OFFSET(tab_tipo_Combustivel!$A$1,MATCH(B1523,tab_tipo_Combustivel!$A$2:$A$150,0),MATCH(A1523,tab_tipo_Combustivel!$B$1:$AQ$1,0),1,1)</f>
        <v>842.33</v>
      </c>
    </row>
    <row r="1524" spans="1:3">
      <c r="A1524" s="3">
        <f t="shared" si="42"/>
        <v>2023</v>
      </c>
      <c r="B1524" s="106">
        <f t="shared" si="43"/>
        <v>94</v>
      </c>
      <c r="C1524" s="107">
        <f ca="1">OFFSET(tab_tipo_Combustivel!$A$1,MATCH(B1524,tab_tipo_Combustivel!$A$2:$A$150,0),MATCH(A1524,tab_tipo_Combustivel!$B$1:$AQ$1,0),1,1)</f>
        <v>842.33</v>
      </c>
    </row>
    <row r="1525" spans="1:3">
      <c r="A1525" s="3">
        <f t="shared" si="42"/>
        <v>2023</v>
      </c>
      <c r="B1525" s="106">
        <f t="shared" si="43"/>
        <v>96</v>
      </c>
      <c r="C1525" s="107">
        <f ca="1">OFFSET(tab_tipo_Combustivel!$A$1,MATCH(B1525,tab_tipo_Combustivel!$A$2:$A$150,0),MATCH(A1525,tab_tipo_Combustivel!$B$1:$AQ$1,0),1,1)</f>
        <v>99.92</v>
      </c>
    </row>
    <row r="1526" spans="1:3">
      <c r="A1526" s="3">
        <f t="shared" si="42"/>
        <v>2023</v>
      </c>
      <c r="B1526" s="106">
        <f t="shared" si="43"/>
        <v>98</v>
      </c>
      <c r="C1526" s="107">
        <f ca="1">OFFSET(tab_tipo_Combustivel!$A$1,MATCH(B1526,tab_tipo_Combustivel!$A$2:$A$150,0),MATCH(A1526,tab_tipo_Combustivel!$B$1:$AQ$1,0),1,1)</f>
        <v>489.8</v>
      </c>
    </row>
    <row r="1527" spans="1:3">
      <c r="A1527" s="3">
        <f t="shared" si="42"/>
        <v>2023</v>
      </c>
      <c r="B1527" s="106">
        <f t="shared" si="43"/>
        <v>107</v>
      </c>
      <c r="C1527" s="107">
        <f ca="1">OFFSET(tab_tipo_Combustivel!$A$1,MATCH(B1527,tab_tipo_Combustivel!$A$2:$A$150,0),MATCH(A1527,tab_tipo_Combustivel!$B$1:$AQ$1,0),1,1)</f>
        <v>57.63</v>
      </c>
    </row>
    <row r="1528" spans="1:3">
      <c r="A1528" s="3">
        <f t="shared" si="42"/>
        <v>2023</v>
      </c>
      <c r="B1528" s="106">
        <f t="shared" si="43"/>
        <v>110</v>
      </c>
      <c r="C1528" s="107">
        <f ca="1">OFFSET(tab_tipo_Combustivel!$A$1,MATCH(B1528,tab_tipo_Combustivel!$A$2:$A$150,0),MATCH(A1528,tab_tipo_Combustivel!$B$1:$AQ$1,0),1,1)</f>
        <v>568.29</v>
      </c>
    </row>
    <row r="1529" spans="1:3">
      <c r="A1529" s="3">
        <f t="shared" si="42"/>
        <v>2023</v>
      </c>
      <c r="B1529" s="106">
        <f t="shared" si="43"/>
        <v>116</v>
      </c>
      <c r="C1529" s="107">
        <f ca="1">OFFSET(tab_tipo_Combustivel!$A$1,MATCH(B1529,tab_tipo_Combustivel!$A$2:$A$150,0),MATCH(A1529,tab_tipo_Combustivel!$B$1:$AQ$1,0),1,1)</f>
        <v>117.46</v>
      </c>
    </row>
    <row r="1530" spans="1:3">
      <c r="A1530" s="3">
        <f t="shared" si="42"/>
        <v>2023</v>
      </c>
      <c r="B1530" s="106">
        <f t="shared" si="43"/>
        <v>140</v>
      </c>
      <c r="C1530" s="107">
        <f ca="1">OFFSET(tab_tipo_Combustivel!$A$1,MATCH(B1530,tab_tipo_Combustivel!$A$2:$A$150,0),MATCH(A1530,tab_tipo_Combustivel!$B$1:$AQ$1,0),1,1)</f>
        <v>88.11</v>
      </c>
    </row>
    <row r="1531" spans="1:3">
      <c r="A1531" s="3">
        <f t="shared" si="42"/>
        <v>2023</v>
      </c>
      <c r="B1531" s="106">
        <f t="shared" si="43"/>
        <v>141</v>
      </c>
      <c r="C1531" s="107">
        <f ca="1">OFFSET(tab_tipo_Combustivel!$A$1,MATCH(B1531,tab_tipo_Combustivel!$A$2:$A$150,0),MATCH(A1531,tab_tipo_Combustivel!$B$1:$AQ$1,0),1,1)</f>
        <v>1280.52</v>
      </c>
    </row>
    <row r="1532" spans="1:3">
      <c r="A1532" s="3">
        <f t="shared" si="42"/>
        <v>2023</v>
      </c>
      <c r="B1532" s="106">
        <f t="shared" si="43"/>
        <v>147</v>
      </c>
      <c r="C1532" s="107">
        <f ca="1">OFFSET(tab_tipo_Combustivel!$A$1,MATCH(B1532,tab_tipo_Combustivel!$A$2:$A$150,0),MATCH(A1532,tab_tipo_Combustivel!$B$1:$AQ$1,0),1,1)</f>
        <v>134.18</v>
      </c>
    </row>
    <row r="1533" spans="1:3">
      <c r="A1533" s="3">
        <f t="shared" si="42"/>
        <v>2023</v>
      </c>
      <c r="B1533" s="106">
        <f t="shared" si="43"/>
        <v>156</v>
      </c>
      <c r="C1533" s="107">
        <f ca="1">OFFSET(tab_tipo_Combustivel!$A$1,MATCH(B1533,tab_tipo_Combustivel!$A$2:$A$150,0),MATCH(A1533,tab_tipo_Combustivel!$B$1:$AQ$1,0),1,1)</f>
        <v>77.12</v>
      </c>
    </row>
    <row r="1534" spans="1:3">
      <c r="A1534" s="3">
        <f t="shared" si="42"/>
        <v>2023</v>
      </c>
      <c r="B1534" s="106">
        <f t="shared" si="43"/>
        <v>163</v>
      </c>
      <c r="C1534" s="107">
        <f ca="1">OFFSET(tab_tipo_Combustivel!$A$1,MATCH(B1534,tab_tipo_Combustivel!$A$2:$A$150,0),MATCH(A1534,tab_tipo_Combustivel!$B$1:$AQ$1,0),1,1)</f>
        <v>156.69999999999999</v>
      </c>
    </row>
    <row r="1535" spans="1:3">
      <c r="A1535" s="3">
        <f t="shared" si="42"/>
        <v>2023</v>
      </c>
      <c r="B1535" s="106">
        <f t="shared" si="43"/>
        <v>167</v>
      </c>
      <c r="C1535" s="107">
        <f ca="1">OFFSET(tab_tipo_Combustivel!$A$1,MATCH(B1535,tab_tipo_Combustivel!$A$2:$A$150,0),MATCH(A1535,tab_tipo_Combustivel!$B$1:$AQ$1,0),1,1)</f>
        <v>144.66999999999999</v>
      </c>
    </row>
    <row r="1536" spans="1:3">
      <c r="A1536" s="3">
        <f t="shared" si="42"/>
        <v>2023</v>
      </c>
      <c r="B1536" s="106">
        <f t="shared" si="43"/>
        <v>171</v>
      </c>
      <c r="C1536" s="107">
        <f ca="1">OFFSET(tab_tipo_Combustivel!$A$1,MATCH(B1536,tab_tipo_Combustivel!$A$2:$A$150,0),MATCH(A1536,tab_tipo_Combustivel!$B$1:$AQ$1,0),1,1)</f>
        <v>88</v>
      </c>
    </row>
    <row r="1537" spans="1:3">
      <c r="A1537" s="3">
        <f t="shared" si="42"/>
        <v>2023</v>
      </c>
      <c r="B1537" s="106">
        <f t="shared" si="43"/>
        <v>172</v>
      </c>
      <c r="C1537" s="107">
        <f ca="1">OFFSET(tab_tipo_Combustivel!$A$1,MATCH(B1537,tab_tipo_Combustivel!$A$2:$A$150,0),MATCH(A1537,tab_tipo_Combustivel!$B$1:$AQ$1,0),1,1)</f>
        <v>99.97</v>
      </c>
    </row>
    <row r="1538" spans="1:3">
      <c r="A1538" s="3">
        <f t="shared" si="42"/>
        <v>2023</v>
      </c>
      <c r="B1538" s="106">
        <f t="shared" si="43"/>
        <v>173</v>
      </c>
      <c r="C1538" s="107">
        <f ca="1">OFFSET(tab_tipo_Combustivel!$A$1,MATCH(B1538,tab_tipo_Combustivel!$A$2:$A$150,0),MATCH(A1538,tab_tipo_Combustivel!$B$1:$AQ$1,0),1,1)</f>
        <v>192.03</v>
      </c>
    </row>
    <row r="1539" spans="1:3">
      <c r="A1539" s="3">
        <f t="shared" si="42"/>
        <v>2023</v>
      </c>
      <c r="B1539" s="106">
        <f t="shared" si="43"/>
        <v>174</v>
      </c>
      <c r="C1539" s="107">
        <f ca="1">OFFSET(tab_tipo_Combustivel!$A$1,MATCH(B1539,tab_tipo_Combustivel!$A$2:$A$150,0),MATCH(A1539,tab_tipo_Combustivel!$B$1:$AQ$1,0),1,1)</f>
        <v>331.22</v>
      </c>
    </row>
    <row r="1540" spans="1:3">
      <c r="A1540" s="3">
        <f t="shared" si="42"/>
        <v>2023</v>
      </c>
      <c r="B1540" s="106">
        <f t="shared" si="43"/>
        <v>176</v>
      </c>
      <c r="C1540" s="107">
        <f ca="1">OFFSET(tab_tipo_Combustivel!$A$1,MATCH(B1540,tab_tipo_Combustivel!$A$2:$A$150,0),MATCH(A1540,tab_tipo_Combustivel!$B$1:$AQ$1,0),1,1)</f>
        <v>149.47999999999999</v>
      </c>
    </row>
    <row r="1541" spans="1:3">
      <c r="A1541" s="3">
        <f t="shared" si="42"/>
        <v>2023</v>
      </c>
      <c r="B1541" s="106">
        <f t="shared" si="43"/>
        <v>183</v>
      </c>
      <c r="C1541" s="107">
        <f ca="1">OFFSET(tab_tipo_Combustivel!$A$1,MATCH(B1541,tab_tipo_Combustivel!$A$2:$A$150,0),MATCH(A1541,tab_tipo_Combustivel!$B$1:$AQ$1,0),1,1)</f>
        <v>171.61</v>
      </c>
    </row>
    <row r="1542" spans="1:3">
      <c r="A1542" s="3">
        <f t="shared" si="42"/>
        <v>2023</v>
      </c>
      <c r="B1542" s="106">
        <f t="shared" si="43"/>
        <v>194</v>
      </c>
      <c r="C1542" s="107">
        <f ca="1">OFFSET(tab_tipo_Combustivel!$A$1,MATCH(B1542,tab_tipo_Combustivel!$A$2:$A$150,0),MATCH(A1542,tab_tipo_Combustivel!$B$1:$AQ$1,0),1,1)</f>
        <v>1098.58</v>
      </c>
    </row>
    <row r="1543" spans="1:3">
      <c r="A1543" s="3">
        <f t="shared" si="42"/>
        <v>2023</v>
      </c>
      <c r="B1543" s="106">
        <f t="shared" si="43"/>
        <v>203</v>
      </c>
      <c r="C1543" s="107">
        <f ca="1">OFFSET(tab_tipo_Combustivel!$A$1,MATCH(B1543,tab_tipo_Combustivel!$A$2:$A$150,0),MATCH(A1543,tab_tipo_Combustivel!$B$1:$AQ$1,0),1,1)</f>
        <v>0</v>
      </c>
    </row>
    <row r="1544" spans="1:3">
      <c r="A1544" s="3">
        <f t="shared" si="42"/>
        <v>2023</v>
      </c>
      <c r="B1544" s="106">
        <f t="shared" si="43"/>
        <v>204</v>
      </c>
      <c r="C1544" s="107">
        <f ca="1">OFFSET(tab_tipo_Combustivel!$A$1,MATCH(B1544,tab_tipo_Combustivel!$A$2:$A$150,0),MATCH(A1544,tab_tipo_Combustivel!$B$1:$AQ$1,0),1,1)</f>
        <v>0</v>
      </c>
    </row>
    <row r="1545" spans="1:3">
      <c r="A1545" s="3">
        <f t="shared" si="42"/>
        <v>2023</v>
      </c>
      <c r="B1545" s="106">
        <f t="shared" si="43"/>
        <v>205</v>
      </c>
      <c r="C1545" s="107">
        <f ca="1">OFFSET(tab_tipo_Combustivel!$A$1,MATCH(B1545,tab_tipo_Combustivel!$A$2:$A$150,0),MATCH(A1545,tab_tipo_Combustivel!$B$1:$AQ$1,0),1,1)</f>
        <v>0</v>
      </c>
    </row>
    <row r="1546" spans="1:3">
      <c r="A1546" s="3">
        <f t="shared" ref="A1546:A1609" si="44">A1411+1</f>
        <v>2023</v>
      </c>
      <c r="B1546" s="106">
        <f t="shared" ref="B1546:B1609" si="45">B1411</f>
        <v>207</v>
      </c>
      <c r="C1546" s="107">
        <f ca="1">OFFSET(tab_tipo_Combustivel!$A$1,MATCH(B1546,tab_tipo_Combustivel!$A$2:$A$150,0),MATCH(A1546,tab_tipo_Combustivel!$B$1:$AQ$1,0),1,1)</f>
        <v>0</v>
      </c>
    </row>
    <row r="1547" spans="1:3">
      <c r="A1547" s="3">
        <f t="shared" si="44"/>
        <v>2023</v>
      </c>
      <c r="B1547" s="106">
        <f t="shared" si="45"/>
        <v>208</v>
      </c>
      <c r="C1547" s="107">
        <f ca="1">OFFSET(tab_tipo_Combustivel!$A$1,MATCH(B1547,tab_tipo_Combustivel!$A$2:$A$150,0),MATCH(A1547,tab_tipo_Combustivel!$B$1:$AQ$1,0),1,1)</f>
        <v>783.64</v>
      </c>
    </row>
    <row r="1548" spans="1:3">
      <c r="A1548" s="3">
        <f t="shared" si="44"/>
        <v>2023</v>
      </c>
      <c r="B1548" s="106">
        <f t="shared" si="45"/>
        <v>209</v>
      </c>
      <c r="C1548" s="107">
        <f ca="1">OFFSET(tab_tipo_Combustivel!$A$1,MATCH(B1548,tab_tipo_Combustivel!$A$2:$A$150,0),MATCH(A1548,tab_tipo_Combustivel!$B$1:$AQ$1,0),1,1)</f>
        <v>0</v>
      </c>
    </row>
    <row r="1549" spans="1:3">
      <c r="A1549" s="3">
        <f t="shared" si="44"/>
        <v>2023</v>
      </c>
      <c r="B1549" s="106">
        <f t="shared" si="45"/>
        <v>211</v>
      </c>
      <c r="C1549" s="107">
        <f ca="1">OFFSET(tab_tipo_Combustivel!$A$1,MATCH(B1549,tab_tipo_Combustivel!$A$2:$A$150,0),MATCH(A1549,tab_tipo_Combustivel!$B$1:$AQ$1,0),1,1)</f>
        <v>150.79</v>
      </c>
    </row>
    <row r="1550" spans="1:3">
      <c r="A1550" s="3">
        <f t="shared" si="44"/>
        <v>2023</v>
      </c>
      <c r="B1550" s="106">
        <f t="shared" si="45"/>
        <v>212</v>
      </c>
      <c r="C1550" s="107">
        <f ca="1">OFFSET(tab_tipo_Combustivel!$A$1,MATCH(B1550,tab_tipo_Combustivel!$A$2:$A$150,0),MATCH(A1550,tab_tipo_Combustivel!$B$1:$AQ$1,0),1,1)</f>
        <v>84.58</v>
      </c>
    </row>
    <row r="1551" spans="1:3">
      <c r="A1551" s="3">
        <f t="shared" si="44"/>
        <v>2023</v>
      </c>
      <c r="B1551" s="106">
        <f t="shared" si="45"/>
        <v>224</v>
      </c>
      <c r="C1551" s="107">
        <f ca="1">OFFSET(tab_tipo_Combustivel!$A$1,MATCH(B1551,tab_tipo_Combustivel!$A$2:$A$150,0),MATCH(A1551,tab_tipo_Combustivel!$B$1:$AQ$1,0),1,1)</f>
        <v>31.08</v>
      </c>
    </row>
    <row r="1552" spans="1:3">
      <c r="A1552" s="3">
        <f t="shared" si="44"/>
        <v>2023</v>
      </c>
      <c r="B1552" s="106">
        <f t="shared" si="45"/>
        <v>225</v>
      </c>
      <c r="C1552" s="107">
        <f ca="1">OFFSET(tab_tipo_Combustivel!$A$1,MATCH(B1552,tab_tipo_Combustivel!$A$2:$A$150,0),MATCH(A1552,tab_tipo_Combustivel!$B$1:$AQ$1,0),1,1)</f>
        <v>1329.7</v>
      </c>
    </row>
    <row r="1553" spans="1:3">
      <c r="A1553" s="3">
        <f t="shared" si="44"/>
        <v>2023</v>
      </c>
      <c r="B1553" s="106">
        <f t="shared" si="45"/>
        <v>226</v>
      </c>
      <c r="C1553" s="107">
        <f ca="1">OFFSET(tab_tipo_Combustivel!$A$1,MATCH(B1553,tab_tipo_Combustivel!$A$2:$A$150,0),MATCH(A1553,tab_tipo_Combustivel!$B$1:$AQ$1,0),1,1)</f>
        <v>1061.1300000000001</v>
      </c>
    </row>
    <row r="1554" spans="1:3">
      <c r="A1554" s="3">
        <f t="shared" si="44"/>
        <v>2023</v>
      </c>
      <c r="B1554" s="106">
        <f t="shared" si="45"/>
        <v>227</v>
      </c>
      <c r="C1554" s="107">
        <f ca="1">OFFSET(tab_tipo_Combustivel!$A$1,MATCH(B1554,tab_tipo_Combustivel!$A$2:$A$150,0),MATCH(A1554,tab_tipo_Combustivel!$B$1:$AQ$1,0),1,1)</f>
        <v>447.52</v>
      </c>
    </row>
    <row r="1555" spans="1:3">
      <c r="A1555" s="3">
        <f t="shared" si="44"/>
        <v>2023</v>
      </c>
      <c r="B1555" s="106">
        <f t="shared" si="45"/>
        <v>228</v>
      </c>
      <c r="C1555" s="107">
        <f ca="1">OFFSET(tab_tipo_Combustivel!$A$1,MATCH(B1555,tab_tipo_Combustivel!$A$2:$A$150,0),MATCH(A1555,tab_tipo_Combustivel!$B$1:$AQ$1,0),1,1)</f>
        <v>1061.1400000000001</v>
      </c>
    </row>
    <row r="1556" spans="1:3">
      <c r="A1556" s="3">
        <f t="shared" si="44"/>
        <v>2023</v>
      </c>
      <c r="B1556" s="106">
        <f t="shared" si="45"/>
        <v>229</v>
      </c>
      <c r="C1556" s="107">
        <f ca="1">OFFSET(tab_tipo_Combustivel!$A$1,MATCH(B1556,tab_tipo_Combustivel!$A$2:$A$150,0),MATCH(A1556,tab_tipo_Combustivel!$B$1:$AQ$1,0),1,1)</f>
        <v>942.05</v>
      </c>
    </row>
    <row r="1557" spans="1:3">
      <c r="A1557" s="3">
        <f t="shared" si="44"/>
        <v>2023</v>
      </c>
      <c r="B1557" s="106">
        <f t="shared" si="45"/>
        <v>230</v>
      </c>
      <c r="C1557" s="107">
        <f ca="1">OFFSET(tab_tipo_Combustivel!$A$1,MATCH(B1557,tab_tipo_Combustivel!$A$2:$A$150,0),MATCH(A1557,tab_tipo_Combustivel!$B$1:$AQ$1,0),1,1)</f>
        <v>495.06</v>
      </c>
    </row>
    <row r="1558" spans="1:3">
      <c r="A1558" s="3">
        <f t="shared" si="44"/>
        <v>2023</v>
      </c>
      <c r="B1558" s="106">
        <f t="shared" si="45"/>
        <v>231</v>
      </c>
      <c r="C1558" s="107">
        <f ca="1">OFFSET(tab_tipo_Combustivel!$A$1,MATCH(B1558,tab_tipo_Combustivel!$A$2:$A$150,0),MATCH(A1558,tab_tipo_Combustivel!$B$1:$AQ$1,0),1,1)</f>
        <v>489.29</v>
      </c>
    </row>
    <row r="1559" spans="1:3">
      <c r="A1559" s="3">
        <f t="shared" si="44"/>
        <v>2023</v>
      </c>
      <c r="B1559" s="106">
        <f t="shared" si="45"/>
        <v>232</v>
      </c>
      <c r="C1559" s="107">
        <f ca="1">OFFSET(tab_tipo_Combustivel!$A$1,MATCH(B1559,tab_tipo_Combustivel!$A$2:$A$150,0),MATCH(A1559,tab_tipo_Combustivel!$B$1:$AQ$1,0),1,1)</f>
        <v>842.33</v>
      </c>
    </row>
    <row r="1560" spans="1:3">
      <c r="A1560" s="3">
        <f t="shared" si="44"/>
        <v>2023</v>
      </c>
      <c r="B1560" s="106">
        <f t="shared" si="45"/>
        <v>233</v>
      </c>
      <c r="C1560" s="107">
        <f ca="1">OFFSET(tab_tipo_Combustivel!$A$1,MATCH(B1560,tab_tipo_Combustivel!$A$2:$A$150,0),MATCH(A1560,tab_tipo_Combustivel!$B$1:$AQ$1,0),1,1)</f>
        <v>984.29</v>
      </c>
    </row>
    <row r="1561" spans="1:3">
      <c r="A1561" s="3">
        <f t="shared" si="44"/>
        <v>2023</v>
      </c>
      <c r="B1561" s="106">
        <f t="shared" si="45"/>
        <v>234</v>
      </c>
      <c r="C1561" s="107">
        <f ca="1">OFFSET(tab_tipo_Combustivel!$A$1,MATCH(B1561,tab_tipo_Combustivel!$A$2:$A$150,0),MATCH(A1561,tab_tipo_Combustivel!$B$1:$AQ$1,0),1,1)</f>
        <v>290.26</v>
      </c>
    </row>
    <row r="1562" spans="1:3">
      <c r="A1562" s="3">
        <f t="shared" si="44"/>
        <v>2023</v>
      </c>
      <c r="B1562" s="106">
        <f t="shared" si="45"/>
        <v>235</v>
      </c>
      <c r="C1562" s="107">
        <f ca="1">OFFSET(tab_tipo_Combustivel!$A$1,MATCH(B1562,tab_tipo_Combustivel!$A$2:$A$150,0),MATCH(A1562,tab_tipo_Combustivel!$B$1:$AQ$1,0),1,1)</f>
        <v>1350.87</v>
      </c>
    </row>
    <row r="1563" spans="1:3">
      <c r="A1563" s="3">
        <f t="shared" si="44"/>
        <v>2023</v>
      </c>
      <c r="B1563" s="106">
        <f t="shared" si="45"/>
        <v>236</v>
      </c>
      <c r="C1563" s="107">
        <f ca="1">OFFSET(tab_tipo_Combustivel!$A$1,MATCH(B1563,tab_tipo_Combustivel!$A$2:$A$150,0),MATCH(A1563,tab_tipo_Combustivel!$B$1:$AQ$1,0),1,1)</f>
        <v>842.33</v>
      </c>
    </row>
    <row r="1564" spans="1:3">
      <c r="A1564" s="3">
        <f t="shared" si="44"/>
        <v>2023</v>
      </c>
      <c r="B1564" s="106">
        <f t="shared" si="45"/>
        <v>237</v>
      </c>
      <c r="C1564" s="107">
        <f ca="1">OFFSET(tab_tipo_Combustivel!$A$1,MATCH(B1564,tab_tipo_Combustivel!$A$2:$A$150,0),MATCH(A1564,tab_tipo_Combustivel!$B$1:$AQ$1,0),1,1)</f>
        <v>760.85</v>
      </c>
    </row>
    <row r="1565" spans="1:3">
      <c r="A1565" s="3">
        <f t="shared" si="44"/>
        <v>2023</v>
      </c>
      <c r="B1565" s="106">
        <f t="shared" si="45"/>
        <v>238</v>
      </c>
      <c r="C1565" s="107">
        <f ca="1">OFFSET(tab_tipo_Combustivel!$A$1,MATCH(B1565,tab_tipo_Combustivel!$A$2:$A$150,0),MATCH(A1565,tab_tipo_Combustivel!$B$1:$AQ$1,0),1,1)</f>
        <v>963.75</v>
      </c>
    </row>
    <row r="1566" spans="1:3">
      <c r="A1566" s="3">
        <f t="shared" si="44"/>
        <v>2023</v>
      </c>
      <c r="B1566" s="106">
        <f t="shared" si="45"/>
        <v>239</v>
      </c>
      <c r="C1566" s="107">
        <f ca="1">OFFSET(tab_tipo_Combustivel!$A$1,MATCH(B1566,tab_tipo_Combustivel!$A$2:$A$150,0),MATCH(A1566,tab_tipo_Combustivel!$B$1:$AQ$1,0),1,1)</f>
        <v>963.75</v>
      </c>
    </row>
    <row r="1567" spans="1:3">
      <c r="A1567" s="3">
        <f t="shared" si="44"/>
        <v>2023</v>
      </c>
      <c r="B1567" s="106">
        <f t="shared" si="45"/>
        <v>240</v>
      </c>
      <c r="C1567" s="107">
        <f ca="1">OFFSET(tab_tipo_Combustivel!$A$1,MATCH(B1567,tab_tipo_Combustivel!$A$2:$A$150,0),MATCH(A1567,tab_tipo_Combustivel!$B$1:$AQ$1,0),1,1)</f>
        <v>1115.96</v>
      </c>
    </row>
    <row r="1568" spans="1:3">
      <c r="A1568" s="3">
        <f t="shared" si="44"/>
        <v>2023</v>
      </c>
      <c r="B1568" s="106">
        <f t="shared" si="45"/>
        <v>241</v>
      </c>
      <c r="C1568" s="107">
        <f ca="1">OFFSET(tab_tipo_Combustivel!$A$1,MATCH(B1568,tab_tipo_Combustivel!$A$2:$A$150,0),MATCH(A1568,tab_tipo_Combustivel!$B$1:$AQ$1,0),1,1)</f>
        <v>495.75</v>
      </c>
    </row>
    <row r="1569" spans="1:3">
      <c r="A1569" s="3">
        <f t="shared" si="44"/>
        <v>2023</v>
      </c>
      <c r="B1569" s="106">
        <f t="shared" si="45"/>
        <v>242</v>
      </c>
      <c r="C1569" s="107">
        <f ca="1">OFFSET(tab_tipo_Combustivel!$A$1,MATCH(B1569,tab_tipo_Combustivel!$A$2:$A$150,0),MATCH(A1569,tab_tipo_Combustivel!$B$1:$AQ$1,0),1,1)</f>
        <v>1176.45</v>
      </c>
    </row>
    <row r="1570" spans="1:3">
      <c r="A1570" s="3">
        <f t="shared" si="44"/>
        <v>2023</v>
      </c>
      <c r="B1570" s="106">
        <f t="shared" si="45"/>
        <v>243</v>
      </c>
      <c r="C1570" s="107">
        <f ca="1">OFFSET(tab_tipo_Combustivel!$A$1,MATCH(B1570,tab_tipo_Combustivel!$A$2:$A$150,0),MATCH(A1570,tab_tipo_Combustivel!$B$1:$AQ$1,0),1,1)</f>
        <v>495.08</v>
      </c>
    </row>
    <row r="1571" spans="1:3">
      <c r="A1571" s="3">
        <f t="shared" si="44"/>
        <v>2023</v>
      </c>
      <c r="B1571" s="106">
        <f t="shared" si="45"/>
        <v>244</v>
      </c>
      <c r="C1571" s="107">
        <f ca="1">OFFSET(tab_tipo_Combustivel!$A$1,MATCH(B1571,tab_tipo_Combustivel!$A$2:$A$150,0),MATCH(A1571,tab_tipo_Combustivel!$B$1:$AQ$1,0),1,1)</f>
        <v>495.06</v>
      </c>
    </row>
    <row r="1572" spans="1:3">
      <c r="A1572" s="3">
        <f t="shared" si="44"/>
        <v>2023</v>
      </c>
      <c r="B1572" s="106">
        <f t="shared" si="45"/>
        <v>245</v>
      </c>
      <c r="C1572" s="107">
        <f ca="1">OFFSET(tab_tipo_Combustivel!$A$1,MATCH(B1572,tab_tipo_Combustivel!$A$2:$A$150,0),MATCH(A1572,tab_tipo_Combustivel!$B$1:$AQ$1,0),1,1)</f>
        <v>562.65</v>
      </c>
    </row>
    <row r="1573" spans="1:3">
      <c r="A1573" s="3">
        <f t="shared" si="44"/>
        <v>2023</v>
      </c>
      <c r="B1573" s="106">
        <f t="shared" si="45"/>
        <v>246</v>
      </c>
      <c r="C1573" s="107">
        <f ca="1">OFFSET(tab_tipo_Combustivel!$A$1,MATCH(B1573,tab_tipo_Combustivel!$A$2:$A$150,0),MATCH(A1573,tab_tipo_Combustivel!$B$1:$AQ$1,0),1,1)</f>
        <v>1124.53</v>
      </c>
    </row>
    <row r="1574" spans="1:3">
      <c r="A1574" s="3">
        <f t="shared" si="44"/>
        <v>2023</v>
      </c>
      <c r="B1574" s="106">
        <f t="shared" si="45"/>
        <v>247</v>
      </c>
      <c r="C1574" s="107">
        <f ca="1">OFFSET(tab_tipo_Combustivel!$A$1,MATCH(B1574,tab_tipo_Combustivel!$A$2:$A$150,0),MATCH(A1574,tab_tipo_Combustivel!$B$1:$AQ$1,0),1,1)</f>
        <v>609.51</v>
      </c>
    </row>
    <row r="1575" spans="1:3">
      <c r="A1575" s="3">
        <f t="shared" si="44"/>
        <v>2023</v>
      </c>
      <c r="B1575" s="106">
        <f t="shared" si="45"/>
        <v>248</v>
      </c>
      <c r="C1575" s="107">
        <f ca="1">OFFSET(tab_tipo_Combustivel!$A$1,MATCH(B1575,tab_tipo_Combustivel!$A$2:$A$150,0),MATCH(A1575,tab_tipo_Combustivel!$B$1:$AQ$1,0),1,1)</f>
        <v>495.06</v>
      </c>
    </row>
    <row r="1576" spans="1:3">
      <c r="A1576" s="3">
        <f t="shared" si="44"/>
        <v>2023</v>
      </c>
      <c r="B1576" s="106">
        <f t="shared" si="45"/>
        <v>249</v>
      </c>
      <c r="C1576" s="107">
        <f ca="1">OFFSET(tab_tipo_Combustivel!$A$1,MATCH(B1576,tab_tipo_Combustivel!$A$2:$A$150,0),MATCH(A1576,tab_tipo_Combustivel!$B$1:$AQ$1,0),1,1)</f>
        <v>842.33</v>
      </c>
    </row>
    <row r="1577" spans="1:3">
      <c r="A1577" s="3">
        <f t="shared" si="44"/>
        <v>2023</v>
      </c>
      <c r="B1577" s="106">
        <f t="shared" si="45"/>
        <v>250</v>
      </c>
      <c r="C1577" s="107">
        <f ca="1">OFFSET(tab_tipo_Combustivel!$A$1,MATCH(B1577,tab_tipo_Combustivel!$A$2:$A$150,0),MATCH(A1577,tab_tipo_Combustivel!$B$1:$AQ$1,0),1,1)</f>
        <v>1176.45</v>
      </c>
    </row>
    <row r="1578" spans="1:3">
      <c r="A1578" s="3">
        <f t="shared" si="44"/>
        <v>2023</v>
      </c>
      <c r="B1578" s="106">
        <f t="shared" si="45"/>
        <v>251</v>
      </c>
      <c r="C1578" s="107">
        <f ca="1">OFFSET(tab_tipo_Combustivel!$A$1,MATCH(B1578,tab_tipo_Combustivel!$A$2:$A$150,0),MATCH(A1578,tab_tipo_Combustivel!$B$1:$AQ$1,0),1,1)</f>
        <v>842.33</v>
      </c>
    </row>
    <row r="1579" spans="1:3">
      <c r="A1579" s="3">
        <f t="shared" si="44"/>
        <v>2023</v>
      </c>
      <c r="B1579" s="106">
        <f t="shared" si="45"/>
        <v>252</v>
      </c>
      <c r="C1579" s="107">
        <f ca="1">OFFSET(tab_tipo_Combustivel!$A$1,MATCH(B1579,tab_tipo_Combustivel!$A$2:$A$150,0),MATCH(A1579,tab_tipo_Combustivel!$B$1:$AQ$1,0),1,1)</f>
        <v>842.33</v>
      </c>
    </row>
    <row r="1580" spans="1:3">
      <c r="A1580" s="3">
        <f t="shared" si="44"/>
        <v>2023</v>
      </c>
      <c r="B1580" s="106">
        <f t="shared" si="45"/>
        <v>253</v>
      </c>
      <c r="C1580" s="107">
        <f ca="1">OFFSET(tab_tipo_Combustivel!$A$1,MATCH(B1580,tab_tipo_Combustivel!$A$2:$A$150,0),MATCH(A1580,tab_tipo_Combustivel!$B$1:$AQ$1,0),1,1)</f>
        <v>279.45</v>
      </c>
    </row>
    <row r="1581" spans="1:3">
      <c r="A1581" s="3">
        <f t="shared" si="44"/>
        <v>2023</v>
      </c>
      <c r="B1581" s="106">
        <f t="shared" si="45"/>
        <v>254</v>
      </c>
      <c r="C1581" s="107">
        <f ca="1">OFFSET(tab_tipo_Combustivel!$A$1,MATCH(B1581,tab_tipo_Combustivel!$A$2:$A$150,0),MATCH(A1581,tab_tipo_Combustivel!$B$1:$AQ$1,0),1,1)</f>
        <v>1153.98</v>
      </c>
    </row>
    <row r="1582" spans="1:3">
      <c r="A1582" s="3">
        <f t="shared" si="44"/>
        <v>2023</v>
      </c>
      <c r="B1582" s="106">
        <f t="shared" si="45"/>
        <v>255</v>
      </c>
      <c r="C1582" s="107">
        <f ca="1">OFFSET(tab_tipo_Combustivel!$A$1,MATCH(B1582,tab_tipo_Combustivel!$A$2:$A$150,0),MATCH(A1582,tab_tipo_Combustivel!$B$1:$AQ$1,0),1,1)</f>
        <v>828.98</v>
      </c>
    </row>
    <row r="1583" spans="1:3">
      <c r="A1583" s="3">
        <f t="shared" si="44"/>
        <v>2023</v>
      </c>
      <c r="B1583" s="106">
        <f t="shared" si="45"/>
        <v>256</v>
      </c>
      <c r="C1583" s="107">
        <f ca="1">OFFSET(tab_tipo_Combustivel!$A$1,MATCH(B1583,tab_tipo_Combustivel!$A$2:$A$150,0),MATCH(A1583,tab_tipo_Combustivel!$B$1:$AQ$1,0),1,1)</f>
        <v>562.65</v>
      </c>
    </row>
    <row r="1584" spans="1:3">
      <c r="A1584" s="3">
        <f t="shared" si="44"/>
        <v>2023</v>
      </c>
      <c r="B1584" s="106">
        <f t="shared" si="45"/>
        <v>257</v>
      </c>
      <c r="C1584" s="107">
        <f ca="1">OFFSET(tab_tipo_Combustivel!$A$1,MATCH(B1584,tab_tipo_Combustivel!$A$2:$A$150,0),MATCH(A1584,tab_tipo_Combustivel!$B$1:$AQ$1,0),1,1)</f>
        <v>907.52</v>
      </c>
    </row>
    <row r="1585" spans="1:3">
      <c r="A1585" s="3">
        <f t="shared" si="44"/>
        <v>2023</v>
      </c>
      <c r="B1585" s="106">
        <f t="shared" si="45"/>
        <v>258</v>
      </c>
      <c r="C1585" s="107">
        <f ca="1">OFFSET(tab_tipo_Combustivel!$A$1,MATCH(B1585,tab_tipo_Combustivel!$A$2:$A$150,0),MATCH(A1585,tab_tipo_Combustivel!$B$1:$AQ$1,0),1,1)</f>
        <v>1016.04</v>
      </c>
    </row>
    <row r="1586" spans="1:3">
      <c r="A1586" s="3">
        <f t="shared" si="44"/>
        <v>2023</v>
      </c>
      <c r="B1586" s="106">
        <f t="shared" si="45"/>
        <v>259</v>
      </c>
      <c r="C1586" s="107">
        <f ca="1">OFFSET(tab_tipo_Combustivel!$A$1,MATCH(B1586,tab_tipo_Combustivel!$A$2:$A$150,0),MATCH(A1586,tab_tipo_Combustivel!$B$1:$AQ$1,0),1,1)</f>
        <v>977.53</v>
      </c>
    </row>
    <row r="1587" spans="1:3">
      <c r="A1587" s="3">
        <f t="shared" si="44"/>
        <v>2023</v>
      </c>
      <c r="B1587" s="106">
        <f t="shared" si="45"/>
        <v>260</v>
      </c>
      <c r="C1587" s="107">
        <f ca="1">OFFSET(tab_tipo_Combustivel!$A$1,MATCH(B1587,tab_tipo_Combustivel!$A$2:$A$150,0),MATCH(A1587,tab_tipo_Combustivel!$B$1:$AQ$1,0),1,1)</f>
        <v>827.17</v>
      </c>
    </row>
    <row r="1588" spans="1:3">
      <c r="A1588" s="3">
        <f t="shared" si="44"/>
        <v>2023</v>
      </c>
      <c r="B1588" s="106">
        <f t="shared" si="45"/>
        <v>261</v>
      </c>
      <c r="C1588" s="107">
        <f ca="1">OFFSET(tab_tipo_Combustivel!$A$1,MATCH(B1588,tab_tipo_Combustivel!$A$2:$A$150,0),MATCH(A1588,tab_tipo_Combustivel!$B$1:$AQ$1,0),1,1)</f>
        <v>829.7</v>
      </c>
    </row>
    <row r="1589" spans="1:3">
      <c r="A1589" s="3">
        <f t="shared" si="44"/>
        <v>2023</v>
      </c>
      <c r="B1589" s="106">
        <f t="shared" si="45"/>
        <v>262</v>
      </c>
      <c r="C1589" s="107">
        <f ca="1">OFFSET(tab_tipo_Combustivel!$A$1,MATCH(B1589,tab_tipo_Combustivel!$A$2:$A$150,0),MATCH(A1589,tab_tipo_Combustivel!$B$1:$AQ$1,0),1,1)</f>
        <v>495.75</v>
      </c>
    </row>
    <row r="1590" spans="1:3">
      <c r="A1590" s="3">
        <f t="shared" si="44"/>
        <v>2023</v>
      </c>
      <c r="B1590" s="106">
        <f t="shared" si="45"/>
        <v>263</v>
      </c>
      <c r="C1590" s="107">
        <f ca="1">OFFSET(tab_tipo_Combustivel!$A$1,MATCH(B1590,tab_tipo_Combustivel!$A$2:$A$150,0),MATCH(A1590,tab_tipo_Combustivel!$B$1:$AQ$1,0),1,1)</f>
        <v>474.77</v>
      </c>
    </row>
    <row r="1591" spans="1:3">
      <c r="A1591" s="3">
        <f t="shared" si="44"/>
        <v>2023</v>
      </c>
      <c r="B1591" s="106">
        <f t="shared" si="45"/>
        <v>264</v>
      </c>
      <c r="C1591" s="107">
        <f ca="1">OFFSET(tab_tipo_Combustivel!$A$1,MATCH(B1591,tab_tipo_Combustivel!$A$2:$A$150,0),MATCH(A1591,tab_tipo_Combustivel!$B$1:$AQ$1,0),1,1)</f>
        <v>842.33</v>
      </c>
    </row>
    <row r="1592" spans="1:3">
      <c r="A1592" s="3">
        <f t="shared" si="44"/>
        <v>2023</v>
      </c>
      <c r="B1592" s="106">
        <f t="shared" si="45"/>
        <v>265</v>
      </c>
      <c r="C1592" s="107">
        <f ca="1">OFFSET(tab_tipo_Combustivel!$A$1,MATCH(B1592,tab_tipo_Combustivel!$A$2:$A$150,0),MATCH(A1592,tab_tipo_Combustivel!$B$1:$AQ$1,0),1,1)</f>
        <v>415.82</v>
      </c>
    </row>
    <row r="1593" spans="1:3">
      <c r="A1593" s="3">
        <f t="shared" si="44"/>
        <v>2023</v>
      </c>
      <c r="B1593" s="106">
        <f t="shared" si="45"/>
        <v>266</v>
      </c>
      <c r="C1593" s="107">
        <f ca="1">OFFSET(tab_tipo_Combustivel!$A$1,MATCH(B1593,tab_tipo_Combustivel!$A$2:$A$150,0),MATCH(A1593,tab_tipo_Combustivel!$B$1:$AQ$1,0),1,1)</f>
        <v>827.17</v>
      </c>
    </row>
    <row r="1594" spans="1:3">
      <c r="A1594" s="3">
        <f t="shared" si="44"/>
        <v>2023</v>
      </c>
      <c r="B1594" s="106">
        <f t="shared" si="45"/>
        <v>301</v>
      </c>
      <c r="C1594" s="107">
        <f ca="1">OFFSET(tab_tipo_Combustivel!$A$1,MATCH(B1594,tab_tipo_Combustivel!$A$2:$A$150,0),MATCH(A1594,tab_tipo_Combustivel!$B$1:$AQ$1,0),1,1)</f>
        <v>99.08</v>
      </c>
    </row>
    <row r="1595" spans="1:3">
      <c r="A1595" s="3">
        <f t="shared" si="44"/>
        <v>2023</v>
      </c>
      <c r="B1595" s="106">
        <f t="shared" si="45"/>
        <v>302</v>
      </c>
      <c r="C1595" s="107">
        <f ca="1">OFFSET(tab_tipo_Combustivel!$A$1,MATCH(B1595,tab_tipo_Combustivel!$A$2:$A$150,0),MATCH(A1595,tab_tipo_Combustivel!$B$1:$AQ$1,0),1,1)</f>
        <v>103.73</v>
      </c>
    </row>
    <row r="1596" spans="1:3">
      <c r="A1596" s="3">
        <f t="shared" si="44"/>
        <v>2023</v>
      </c>
      <c r="B1596" s="106">
        <f t="shared" si="45"/>
        <v>303</v>
      </c>
      <c r="C1596" s="107">
        <f ca="1">OFFSET(tab_tipo_Combustivel!$A$1,MATCH(B1596,tab_tipo_Combustivel!$A$2:$A$150,0),MATCH(A1596,tab_tipo_Combustivel!$B$1:$AQ$1,0),1,1)</f>
        <v>103.73</v>
      </c>
    </row>
    <row r="1597" spans="1:3">
      <c r="A1597" s="3">
        <f t="shared" si="44"/>
        <v>2023</v>
      </c>
      <c r="B1597" s="106">
        <f t="shared" si="45"/>
        <v>304</v>
      </c>
      <c r="C1597" s="107">
        <f ca="1">OFFSET(tab_tipo_Combustivel!$A$1,MATCH(B1597,tab_tipo_Combustivel!$A$2:$A$150,0),MATCH(A1597,tab_tipo_Combustivel!$B$1:$AQ$1,0),1,1)</f>
        <v>139.41999999999999</v>
      </c>
    </row>
    <row r="1598" spans="1:3">
      <c r="A1598" s="3">
        <f t="shared" si="44"/>
        <v>2023</v>
      </c>
      <c r="B1598" s="106">
        <f t="shared" si="45"/>
        <v>305</v>
      </c>
      <c r="C1598" s="107">
        <f ca="1">OFFSET(tab_tipo_Combustivel!$A$1,MATCH(B1598,tab_tipo_Combustivel!$A$2:$A$150,0),MATCH(A1598,tab_tipo_Combustivel!$B$1:$AQ$1,0),1,1)</f>
        <v>89.7</v>
      </c>
    </row>
    <row r="1599" spans="1:3">
      <c r="A1599" s="3">
        <f t="shared" si="44"/>
        <v>2023</v>
      </c>
      <c r="B1599" s="106">
        <f t="shared" si="45"/>
        <v>306</v>
      </c>
      <c r="C1599" s="107">
        <f ca="1">OFFSET(tab_tipo_Combustivel!$A$1,MATCH(B1599,tab_tipo_Combustivel!$A$2:$A$150,0),MATCH(A1599,tab_tipo_Combustivel!$B$1:$AQ$1,0),1,1)</f>
        <v>100.38</v>
      </c>
    </row>
    <row r="1600" spans="1:3">
      <c r="A1600" s="3">
        <f t="shared" si="44"/>
        <v>2023</v>
      </c>
      <c r="B1600" s="106">
        <f t="shared" si="45"/>
        <v>307</v>
      </c>
      <c r="C1600" s="107">
        <f ca="1">OFFSET(tab_tipo_Combustivel!$A$1,MATCH(B1600,tab_tipo_Combustivel!$A$2:$A$150,0),MATCH(A1600,tab_tipo_Combustivel!$B$1:$AQ$1,0),1,1)</f>
        <v>510.12</v>
      </c>
    </row>
    <row r="1601" spans="1:3">
      <c r="A1601" s="3">
        <f t="shared" si="44"/>
        <v>2023</v>
      </c>
      <c r="B1601" s="106">
        <f t="shared" si="45"/>
        <v>308</v>
      </c>
      <c r="C1601" s="107">
        <f ca="1">OFFSET(tab_tipo_Combustivel!$A$1,MATCH(B1601,tab_tipo_Combustivel!$A$2:$A$150,0),MATCH(A1601,tab_tipo_Combustivel!$B$1:$AQ$1,0),1,1)</f>
        <v>72.5</v>
      </c>
    </row>
    <row r="1602" spans="1:3">
      <c r="A1602" s="3">
        <f t="shared" si="44"/>
        <v>2023</v>
      </c>
      <c r="B1602" s="106">
        <f t="shared" si="45"/>
        <v>309</v>
      </c>
      <c r="C1602" s="107">
        <f ca="1">OFFSET(tab_tipo_Combustivel!$A$1,MATCH(B1602,tab_tipo_Combustivel!$A$2:$A$150,0),MATCH(A1602,tab_tipo_Combustivel!$B$1:$AQ$1,0),1,1)</f>
        <v>126.77</v>
      </c>
    </row>
    <row r="1603" spans="1:3">
      <c r="A1603" s="3">
        <f t="shared" si="44"/>
        <v>2023</v>
      </c>
      <c r="B1603" s="106">
        <f t="shared" si="45"/>
        <v>310</v>
      </c>
      <c r="C1603" s="107">
        <f ca="1">OFFSET(tab_tipo_Combustivel!$A$1,MATCH(B1603,tab_tipo_Combustivel!$A$2:$A$150,0),MATCH(A1603,tab_tipo_Combustivel!$B$1:$AQ$1,0),1,1)</f>
        <v>275.99</v>
      </c>
    </row>
    <row r="1604" spans="1:3">
      <c r="A1604" s="3">
        <f t="shared" si="44"/>
        <v>2023</v>
      </c>
      <c r="B1604" s="106">
        <f t="shared" si="45"/>
        <v>311</v>
      </c>
      <c r="C1604" s="107">
        <f ca="1">OFFSET(tab_tipo_Combustivel!$A$1,MATCH(B1604,tab_tipo_Combustivel!$A$2:$A$150,0),MATCH(A1604,tab_tipo_Combustivel!$B$1:$AQ$1,0),1,1)</f>
        <v>70.66</v>
      </c>
    </row>
    <row r="1605" spans="1:3">
      <c r="A1605" s="3">
        <f t="shared" si="44"/>
        <v>2023</v>
      </c>
      <c r="B1605" s="106">
        <f t="shared" si="45"/>
        <v>312</v>
      </c>
      <c r="C1605" s="107">
        <f ca="1">OFFSET(tab_tipo_Combustivel!$A$1,MATCH(B1605,tab_tipo_Combustivel!$A$2:$A$150,0),MATCH(A1605,tab_tipo_Combustivel!$B$1:$AQ$1,0),1,1)</f>
        <v>0</v>
      </c>
    </row>
    <row r="1606" spans="1:3">
      <c r="A1606" s="3">
        <f t="shared" si="44"/>
        <v>2023</v>
      </c>
      <c r="B1606" s="106">
        <f t="shared" si="45"/>
        <v>1301</v>
      </c>
      <c r="C1606" s="107">
        <f ca="1">OFFSET(tab_tipo_Combustivel!$A$1,MATCH(B1606,tab_tipo_Combustivel!$A$2:$A$150,0),MATCH(A1606,tab_tipo_Combustivel!$B$1:$AQ$1,0),1,1)</f>
        <v>242.05</v>
      </c>
    </row>
    <row r="1607" spans="1:3">
      <c r="A1607" s="3">
        <f t="shared" si="44"/>
        <v>2023</v>
      </c>
      <c r="B1607" s="106">
        <f t="shared" si="45"/>
        <v>1302</v>
      </c>
      <c r="C1607" s="107">
        <f ca="1">OFFSET(tab_tipo_Combustivel!$A$1,MATCH(B1607,tab_tipo_Combustivel!$A$2:$A$150,0),MATCH(A1607,tab_tipo_Combustivel!$B$1:$AQ$1,0),1,1)</f>
        <v>193.64</v>
      </c>
    </row>
    <row r="1608" spans="1:3">
      <c r="A1608" s="3">
        <f t="shared" si="44"/>
        <v>2023</v>
      </c>
      <c r="B1608" s="106">
        <f t="shared" si="45"/>
        <v>1303</v>
      </c>
      <c r="C1608" s="107">
        <f ca="1">OFFSET(tab_tipo_Combustivel!$A$1,MATCH(B1608,tab_tipo_Combustivel!$A$2:$A$150,0),MATCH(A1608,tab_tipo_Combustivel!$B$1:$AQ$1,0),1,1)</f>
        <v>25.58</v>
      </c>
    </row>
    <row r="1609" spans="1:3">
      <c r="A1609" s="3">
        <f t="shared" si="44"/>
        <v>2023</v>
      </c>
      <c r="B1609" s="106">
        <f t="shared" si="45"/>
        <v>1304</v>
      </c>
      <c r="C1609" s="107">
        <f ca="1">OFFSET(tab_tipo_Combustivel!$A$1,MATCH(B1609,tab_tipo_Combustivel!$A$2:$A$150,0),MATCH(A1609,tab_tipo_Combustivel!$B$1:$AQ$1,0),1,1)</f>
        <v>0</v>
      </c>
    </row>
    <row r="1610" spans="1:3">
      <c r="A1610" s="3">
        <f t="shared" ref="A1610:A1673" si="46">A1475+1</f>
        <v>2023</v>
      </c>
      <c r="B1610" s="106">
        <f t="shared" ref="B1610:B1673" si="47">B1475</f>
        <v>1315</v>
      </c>
      <c r="C1610" s="107">
        <f ca="1">OFFSET(tab_tipo_Combustivel!$A$1,MATCH(B1610,tab_tipo_Combustivel!$A$2:$A$150,0),MATCH(A1610,tab_tipo_Combustivel!$B$1:$AQ$1,0),1,1)</f>
        <v>0</v>
      </c>
    </row>
    <row r="1611" spans="1:3">
      <c r="A1611" s="3">
        <f t="shared" si="46"/>
        <v>2023</v>
      </c>
      <c r="B1611" s="106">
        <f t="shared" si="47"/>
        <v>1316</v>
      </c>
      <c r="C1611" s="107">
        <f ca="1">OFFSET(tab_tipo_Combustivel!$A$1,MATCH(B1611,tab_tipo_Combustivel!$A$2:$A$150,0),MATCH(A1611,tab_tipo_Combustivel!$B$1:$AQ$1,0),1,1)</f>
        <v>0</v>
      </c>
    </row>
    <row r="1612" spans="1:3">
      <c r="A1612" s="3">
        <f t="shared" si="46"/>
        <v>2023</v>
      </c>
      <c r="B1612" s="106">
        <f t="shared" si="47"/>
        <v>1318</v>
      </c>
      <c r="C1612" s="107">
        <f ca="1">OFFSET(tab_tipo_Combustivel!$A$1,MATCH(B1612,tab_tipo_Combustivel!$A$2:$A$150,0),MATCH(A1612,tab_tipo_Combustivel!$B$1:$AQ$1,0),1,1)</f>
        <v>200</v>
      </c>
    </row>
    <row r="1613" spans="1:3">
      <c r="A1613" s="3">
        <f t="shared" si="46"/>
        <v>2023</v>
      </c>
      <c r="B1613" s="106">
        <f t="shared" si="47"/>
        <v>1321</v>
      </c>
      <c r="C1613" s="107">
        <f ca="1">OFFSET(tab_tipo_Combustivel!$A$1,MATCH(B1613,tab_tipo_Combustivel!$A$2:$A$150,0),MATCH(A1613,tab_tipo_Combustivel!$B$1:$AQ$1,0),1,1)</f>
        <v>85</v>
      </c>
    </row>
    <row r="1614" spans="1:3">
      <c r="A1614" s="3">
        <f t="shared" si="46"/>
        <v>2023</v>
      </c>
      <c r="B1614" s="106">
        <f t="shared" si="47"/>
        <v>1322</v>
      </c>
      <c r="C1614" s="107">
        <f ca="1">OFFSET(tab_tipo_Combustivel!$A$1,MATCH(B1614,tab_tipo_Combustivel!$A$2:$A$150,0),MATCH(A1614,tab_tipo_Combustivel!$B$1:$AQ$1,0),1,1)</f>
        <v>140</v>
      </c>
    </row>
    <row r="1615" spans="1:3">
      <c r="A1615" s="3">
        <f t="shared" si="46"/>
        <v>2023</v>
      </c>
      <c r="B1615" s="106">
        <f t="shared" si="47"/>
        <v>1323</v>
      </c>
      <c r="C1615" s="107">
        <f ca="1">OFFSET(tab_tipo_Combustivel!$A$1,MATCH(B1615,tab_tipo_Combustivel!$A$2:$A$150,0),MATCH(A1615,tab_tipo_Combustivel!$B$1:$AQ$1,0),1,1)</f>
        <v>63.75</v>
      </c>
    </row>
    <row r="1616" spans="1:3">
      <c r="A1616" s="3">
        <f t="shared" si="46"/>
        <v>2023</v>
      </c>
      <c r="B1616" s="106">
        <f t="shared" si="47"/>
        <v>1325</v>
      </c>
      <c r="C1616" s="107">
        <f ca="1">OFFSET(tab_tipo_Combustivel!$A$1,MATCH(B1616,tab_tipo_Combustivel!$A$2:$A$150,0),MATCH(A1616,tab_tipo_Combustivel!$B$1:$AQ$1,0),1,1)</f>
        <v>0</v>
      </c>
    </row>
    <row r="1617" spans="1:3">
      <c r="A1617" s="3">
        <f t="shared" si="46"/>
        <v>2023</v>
      </c>
      <c r="B1617" s="106">
        <f t="shared" si="47"/>
        <v>1326</v>
      </c>
      <c r="C1617" s="107">
        <f ca="1">OFFSET(tab_tipo_Combustivel!$A$1,MATCH(B1617,tab_tipo_Combustivel!$A$2:$A$150,0),MATCH(A1617,tab_tipo_Combustivel!$B$1:$AQ$1,0),1,1)</f>
        <v>260</v>
      </c>
    </row>
    <row r="1618" spans="1:3">
      <c r="A1618" s="3">
        <f t="shared" si="46"/>
        <v>2023</v>
      </c>
      <c r="B1618" s="106">
        <f t="shared" si="47"/>
        <v>1501</v>
      </c>
      <c r="C1618" s="107">
        <f ca="1">OFFSET(tab_tipo_Combustivel!$A$1,MATCH(B1618,tab_tipo_Combustivel!$A$2:$A$150,0),MATCH(A1618,tab_tipo_Combustivel!$B$1:$AQ$1,0),1,1)</f>
        <v>260</v>
      </c>
    </row>
    <row r="1619" spans="1:3">
      <c r="A1619" s="3">
        <f t="shared" si="46"/>
        <v>2023</v>
      </c>
      <c r="B1619" s="106">
        <f t="shared" si="47"/>
        <v>1502</v>
      </c>
      <c r="C1619" s="107">
        <f ca="1">OFFSET(tab_tipo_Combustivel!$A$1,MATCH(B1619,tab_tipo_Combustivel!$A$2:$A$150,0),MATCH(A1619,tab_tipo_Combustivel!$B$1:$AQ$1,0),1,1)</f>
        <v>60</v>
      </c>
    </row>
    <row r="1620" spans="1:3">
      <c r="A1620" s="3">
        <f t="shared" si="46"/>
        <v>2023</v>
      </c>
      <c r="B1620" s="106">
        <f t="shared" si="47"/>
        <v>1503</v>
      </c>
      <c r="C1620" s="107">
        <f ca="1">OFFSET(tab_tipo_Combustivel!$A$1,MATCH(B1620,tab_tipo_Combustivel!$A$2:$A$150,0),MATCH(A1620,tab_tipo_Combustivel!$B$1:$AQ$1,0),1,1)</f>
        <v>96.82</v>
      </c>
    </row>
    <row r="1621" spans="1:3">
      <c r="A1621" s="3">
        <f t="shared" si="46"/>
        <v>2023</v>
      </c>
      <c r="B1621" s="106">
        <f t="shared" si="47"/>
        <v>1504</v>
      </c>
      <c r="C1621" s="107">
        <f ca="1">OFFSET(tab_tipo_Combustivel!$A$1,MATCH(B1621,tab_tipo_Combustivel!$A$2:$A$150,0),MATCH(A1621,tab_tipo_Combustivel!$B$1:$AQ$1,0),1,1)</f>
        <v>145.22999999999999</v>
      </c>
    </row>
    <row r="1622" spans="1:3">
      <c r="A1622" s="3">
        <f t="shared" si="46"/>
        <v>2024</v>
      </c>
      <c r="B1622" s="106">
        <f t="shared" si="47"/>
        <v>1</v>
      </c>
      <c r="C1622" s="107">
        <f ca="1">OFFSET(tab_tipo_Combustivel!$A$1,MATCH(B1622,tab_tipo_Combustivel!$A$2:$A$150,0),MATCH(A1622,tab_tipo_Combustivel!$B$1:$AQ$1,0),1,1)</f>
        <v>29.13</v>
      </c>
    </row>
    <row r="1623" spans="1:3">
      <c r="A1623" s="3">
        <f t="shared" si="46"/>
        <v>2024</v>
      </c>
      <c r="B1623" s="106">
        <f t="shared" si="47"/>
        <v>2</v>
      </c>
      <c r="C1623" s="107">
        <f ca="1">OFFSET(tab_tipo_Combustivel!$A$1,MATCH(B1623,tab_tipo_Combustivel!$A$2:$A$150,0),MATCH(A1623,tab_tipo_Combustivel!$B$1:$AQ$1,0),1,1)</f>
        <v>842.33</v>
      </c>
    </row>
    <row r="1624" spans="1:3">
      <c r="A1624" s="3">
        <f t="shared" si="46"/>
        <v>2024</v>
      </c>
      <c r="B1624" s="106">
        <f t="shared" si="47"/>
        <v>4</v>
      </c>
      <c r="C1624" s="107">
        <f ca="1">OFFSET(tab_tipo_Combustivel!$A$1,MATCH(B1624,tab_tipo_Combustivel!$A$2:$A$150,0),MATCH(A1624,tab_tipo_Combustivel!$B$1:$AQ$1,0),1,1)</f>
        <v>842.33</v>
      </c>
    </row>
    <row r="1625" spans="1:3">
      <c r="A1625" s="3">
        <f t="shared" si="46"/>
        <v>2024</v>
      </c>
      <c r="B1625" s="106">
        <f t="shared" si="47"/>
        <v>9</v>
      </c>
      <c r="C1625" s="107">
        <f ca="1">OFFSET(tab_tipo_Combustivel!$A$1,MATCH(B1625,tab_tipo_Combustivel!$A$2:$A$150,0),MATCH(A1625,tab_tipo_Combustivel!$B$1:$AQ$1,0),1,1)</f>
        <v>842.33</v>
      </c>
    </row>
    <row r="1626" spans="1:3">
      <c r="A1626" s="3">
        <f t="shared" si="46"/>
        <v>2024</v>
      </c>
      <c r="B1626" s="106">
        <f t="shared" si="47"/>
        <v>12</v>
      </c>
      <c r="C1626" s="107">
        <f ca="1">OFFSET(tab_tipo_Combustivel!$A$1,MATCH(B1626,tab_tipo_Combustivel!$A$2:$A$150,0),MATCH(A1626,tab_tipo_Combustivel!$B$1:$AQ$1,0),1,1)</f>
        <v>728.87</v>
      </c>
    </row>
    <row r="1627" spans="1:3">
      <c r="A1627" s="3">
        <f t="shared" si="46"/>
        <v>2024</v>
      </c>
      <c r="B1627" s="106">
        <f t="shared" si="47"/>
        <v>13</v>
      </c>
      <c r="C1627" s="107">
        <f ca="1">OFFSET(tab_tipo_Combustivel!$A$1,MATCH(B1627,tab_tipo_Combustivel!$A$2:$A$150,0),MATCH(A1627,tab_tipo_Combustivel!$B$1:$AQ$1,0),1,1)</f>
        <v>20.12</v>
      </c>
    </row>
    <row r="1628" spans="1:3">
      <c r="A1628" s="3">
        <f t="shared" si="46"/>
        <v>2024</v>
      </c>
      <c r="B1628" s="106">
        <f t="shared" si="47"/>
        <v>15</v>
      </c>
      <c r="C1628" s="107">
        <f ca="1">OFFSET(tab_tipo_Combustivel!$A$1,MATCH(B1628,tab_tipo_Combustivel!$A$2:$A$150,0),MATCH(A1628,tab_tipo_Combustivel!$B$1:$AQ$1,0),1,1)</f>
        <v>257.29000000000002</v>
      </c>
    </row>
    <row r="1629" spans="1:3">
      <c r="A1629" s="3">
        <f t="shared" si="46"/>
        <v>2024</v>
      </c>
      <c r="B1629" s="106">
        <f t="shared" si="47"/>
        <v>21</v>
      </c>
      <c r="C1629" s="107">
        <f ca="1">OFFSET(tab_tipo_Combustivel!$A$1,MATCH(B1629,tab_tipo_Combustivel!$A$2:$A$150,0),MATCH(A1629,tab_tipo_Combustivel!$B$1:$AQ$1,0),1,1)</f>
        <v>157.83000000000001</v>
      </c>
    </row>
    <row r="1630" spans="1:3">
      <c r="A1630" s="3">
        <f t="shared" si="46"/>
        <v>2024</v>
      </c>
      <c r="B1630" s="106">
        <f t="shared" si="47"/>
        <v>22</v>
      </c>
      <c r="C1630" s="107">
        <f ca="1">OFFSET(tab_tipo_Combustivel!$A$1,MATCH(B1630,tab_tipo_Combustivel!$A$2:$A$150,0),MATCH(A1630,tab_tipo_Combustivel!$B$1:$AQ$1,0),1,1)</f>
        <v>115.9</v>
      </c>
    </row>
    <row r="1631" spans="1:3">
      <c r="A1631" s="3">
        <f t="shared" si="46"/>
        <v>2024</v>
      </c>
      <c r="B1631" s="106">
        <f t="shared" si="47"/>
        <v>23</v>
      </c>
      <c r="C1631" s="107">
        <f ca="1">OFFSET(tab_tipo_Combustivel!$A$1,MATCH(B1631,tab_tipo_Combustivel!$A$2:$A$150,0),MATCH(A1631,tab_tipo_Combustivel!$B$1:$AQ$1,0),1,1)</f>
        <v>115.9</v>
      </c>
    </row>
    <row r="1632" spans="1:3">
      <c r="A1632" s="3">
        <f t="shared" si="46"/>
        <v>2024</v>
      </c>
      <c r="B1632" s="106">
        <f t="shared" si="47"/>
        <v>24</v>
      </c>
      <c r="C1632" s="107">
        <f ca="1">OFFSET(tab_tipo_Combustivel!$A$1,MATCH(B1632,tab_tipo_Combustivel!$A$2:$A$150,0),MATCH(A1632,tab_tipo_Combustivel!$B$1:$AQ$1,0),1,1)</f>
        <v>155.85</v>
      </c>
    </row>
    <row r="1633" spans="1:3">
      <c r="A1633" s="3">
        <f t="shared" si="46"/>
        <v>2024</v>
      </c>
      <c r="B1633" s="106">
        <f t="shared" si="47"/>
        <v>25</v>
      </c>
      <c r="C1633" s="107">
        <f ca="1">OFFSET(tab_tipo_Combustivel!$A$1,MATCH(B1633,tab_tipo_Combustivel!$A$2:$A$150,0),MATCH(A1633,tab_tipo_Combustivel!$B$1:$AQ$1,0),1,1)</f>
        <v>186.33</v>
      </c>
    </row>
    <row r="1634" spans="1:3">
      <c r="A1634" s="3">
        <f t="shared" si="46"/>
        <v>2024</v>
      </c>
      <c r="B1634" s="106">
        <f t="shared" si="47"/>
        <v>26</v>
      </c>
      <c r="C1634" s="107">
        <f ca="1">OFFSET(tab_tipo_Combustivel!$A$1,MATCH(B1634,tab_tipo_Combustivel!$A$2:$A$150,0),MATCH(A1634,tab_tipo_Combustivel!$B$1:$AQ$1,0),1,1)</f>
        <v>258.42</v>
      </c>
    </row>
    <row r="1635" spans="1:3">
      <c r="A1635" s="3">
        <f t="shared" si="46"/>
        <v>2024</v>
      </c>
      <c r="B1635" s="106">
        <f t="shared" si="47"/>
        <v>27</v>
      </c>
      <c r="C1635" s="107">
        <f ca="1">OFFSET(tab_tipo_Combustivel!$A$1,MATCH(B1635,tab_tipo_Combustivel!$A$2:$A$150,0),MATCH(A1635,tab_tipo_Combustivel!$B$1:$AQ$1,0),1,1)</f>
        <v>195.49</v>
      </c>
    </row>
    <row r="1636" spans="1:3">
      <c r="A1636" s="3">
        <f t="shared" si="46"/>
        <v>2024</v>
      </c>
      <c r="B1636" s="106">
        <f t="shared" si="47"/>
        <v>28</v>
      </c>
      <c r="C1636" s="107">
        <f ca="1">OFFSET(tab_tipo_Combustivel!$A$1,MATCH(B1636,tab_tipo_Combustivel!$A$2:$A$150,0),MATCH(A1636,tab_tipo_Combustivel!$B$1:$AQ$1,0),1,1)</f>
        <v>459.92</v>
      </c>
    </row>
    <row r="1637" spans="1:3">
      <c r="A1637" s="3">
        <f t="shared" si="46"/>
        <v>2024</v>
      </c>
      <c r="B1637" s="106">
        <f t="shared" si="47"/>
        <v>32</v>
      </c>
      <c r="C1637" s="107">
        <f ca="1">OFFSET(tab_tipo_Combustivel!$A$1,MATCH(B1637,tab_tipo_Combustivel!$A$2:$A$150,0),MATCH(A1637,tab_tipo_Combustivel!$B$1:$AQ$1,0),1,1)</f>
        <v>248.31</v>
      </c>
    </row>
    <row r="1638" spans="1:3">
      <c r="A1638" s="3">
        <f t="shared" si="46"/>
        <v>2024</v>
      </c>
      <c r="B1638" s="106">
        <f t="shared" si="47"/>
        <v>34</v>
      </c>
      <c r="C1638" s="107">
        <f ca="1">OFFSET(tab_tipo_Combustivel!$A$1,MATCH(B1638,tab_tipo_Combustivel!$A$2:$A$150,0),MATCH(A1638,tab_tipo_Combustivel!$B$1:$AQ$1,0),1,1)</f>
        <v>423.38</v>
      </c>
    </row>
    <row r="1639" spans="1:3">
      <c r="A1639" s="3">
        <f t="shared" si="46"/>
        <v>2024</v>
      </c>
      <c r="B1639" s="106">
        <f t="shared" si="47"/>
        <v>35</v>
      </c>
      <c r="C1639" s="107">
        <f ca="1">OFFSET(tab_tipo_Combustivel!$A$1,MATCH(B1639,tab_tipo_Combustivel!$A$2:$A$150,0),MATCH(A1639,tab_tipo_Combustivel!$B$1:$AQ$1,0),1,1)</f>
        <v>692.45</v>
      </c>
    </row>
    <row r="1640" spans="1:3">
      <c r="A1640" s="3">
        <f t="shared" si="46"/>
        <v>2024</v>
      </c>
      <c r="B1640" s="106">
        <f t="shared" si="47"/>
        <v>36</v>
      </c>
      <c r="C1640" s="107">
        <f ca="1">OFFSET(tab_tipo_Combustivel!$A$1,MATCH(B1640,tab_tipo_Combustivel!$A$2:$A$150,0),MATCH(A1640,tab_tipo_Combustivel!$B$1:$AQ$1,0),1,1)</f>
        <v>157.83000000000001</v>
      </c>
    </row>
    <row r="1641" spans="1:3">
      <c r="A1641" s="3">
        <f t="shared" si="46"/>
        <v>2024</v>
      </c>
      <c r="B1641" s="106">
        <f t="shared" si="47"/>
        <v>42</v>
      </c>
      <c r="C1641" s="107">
        <f ca="1">OFFSET(tab_tipo_Combustivel!$A$1,MATCH(B1641,tab_tipo_Combustivel!$A$2:$A$150,0),MATCH(A1641,tab_tipo_Combustivel!$B$1:$AQ$1,0),1,1)</f>
        <v>199.22</v>
      </c>
    </row>
    <row r="1642" spans="1:3">
      <c r="A1642" s="3">
        <f t="shared" si="46"/>
        <v>2024</v>
      </c>
      <c r="B1642" s="106">
        <f t="shared" si="47"/>
        <v>43</v>
      </c>
      <c r="C1642" s="107">
        <f ca="1">OFFSET(tab_tipo_Combustivel!$A$1,MATCH(B1642,tab_tipo_Combustivel!$A$2:$A$150,0),MATCH(A1642,tab_tipo_Combustivel!$B$1:$AQ$1,0),1,1)</f>
        <v>431.62</v>
      </c>
    </row>
    <row r="1643" spans="1:3">
      <c r="A1643" s="3">
        <f t="shared" si="46"/>
        <v>2024</v>
      </c>
      <c r="B1643" s="106">
        <f t="shared" si="47"/>
        <v>44</v>
      </c>
      <c r="C1643" s="107">
        <f ca="1">OFFSET(tab_tipo_Combustivel!$A$1,MATCH(B1643,tab_tipo_Combustivel!$A$2:$A$150,0),MATCH(A1643,tab_tipo_Combustivel!$B$1:$AQ$1,0),1,1)</f>
        <v>25.58</v>
      </c>
    </row>
    <row r="1644" spans="1:3">
      <c r="A1644" s="3">
        <f t="shared" si="46"/>
        <v>2024</v>
      </c>
      <c r="B1644" s="106">
        <f t="shared" si="47"/>
        <v>46</v>
      </c>
      <c r="C1644" s="107">
        <f ca="1">OFFSET(tab_tipo_Combustivel!$A$1,MATCH(B1644,tab_tipo_Combustivel!$A$2:$A$150,0),MATCH(A1644,tab_tipo_Combustivel!$B$1:$AQ$1,0),1,1)</f>
        <v>228.91</v>
      </c>
    </row>
    <row r="1645" spans="1:3">
      <c r="A1645" s="3">
        <f t="shared" si="46"/>
        <v>2024</v>
      </c>
      <c r="B1645" s="106">
        <f t="shared" si="47"/>
        <v>47</v>
      </c>
      <c r="C1645" s="107">
        <f ca="1">OFFSET(tab_tipo_Combustivel!$A$1,MATCH(B1645,tab_tipo_Combustivel!$A$2:$A$150,0),MATCH(A1645,tab_tipo_Combustivel!$B$1:$AQ$1,0),1,1)</f>
        <v>235.6</v>
      </c>
    </row>
    <row r="1646" spans="1:3">
      <c r="A1646" s="3">
        <f t="shared" si="46"/>
        <v>2024</v>
      </c>
      <c r="B1646" s="106">
        <f t="shared" si="47"/>
        <v>48</v>
      </c>
      <c r="C1646" s="107">
        <f ca="1">OFFSET(tab_tipo_Combustivel!$A$1,MATCH(B1646,tab_tipo_Combustivel!$A$2:$A$150,0),MATCH(A1646,tab_tipo_Combustivel!$B$1:$AQ$1,0),1,1)</f>
        <v>1012.12</v>
      </c>
    </row>
    <row r="1647" spans="1:3">
      <c r="A1647" s="3">
        <f t="shared" si="46"/>
        <v>2024</v>
      </c>
      <c r="B1647" s="106">
        <f t="shared" si="47"/>
        <v>50</v>
      </c>
      <c r="C1647" s="107">
        <f ca="1">OFFSET(tab_tipo_Combustivel!$A$1,MATCH(B1647,tab_tipo_Combustivel!$A$2:$A$150,0),MATCH(A1647,tab_tipo_Combustivel!$B$1:$AQ$1,0),1,1)</f>
        <v>669.87</v>
      </c>
    </row>
    <row r="1648" spans="1:3">
      <c r="A1648" s="3">
        <f t="shared" si="46"/>
        <v>2024</v>
      </c>
      <c r="B1648" s="106">
        <f t="shared" si="47"/>
        <v>54</v>
      </c>
      <c r="C1648" s="107">
        <f ca="1">OFFSET(tab_tipo_Combustivel!$A$1,MATCH(B1648,tab_tipo_Combustivel!$A$2:$A$150,0),MATCH(A1648,tab_tipo_Combustivel!$B$1:$AQ$1,0),1,1)</f>
        <v>304.55</v>
      </c>
    </row>
    <row r="1649" spans="1:3">
      <c r="A1649" s="3">
        <f t="shared" si="46"/>
        <v>2024</v>
      </c>
      <c r="B1649" s="106">
        <f t="shared" si="47"/>
        <v>58</v>
      </c>
      <c r="C1649" s="107">
        <f ca="1">OFFSET(tab_tipo_Combustivel!$A$1,MATCH(B1649,tab_tipo_Combustivel!$A$2:$A$150,0),MATCH(A1649,tab_tipo_Combustivel!$B$1:$AQ$1,0),1,1)</f>
        <v>300.05</v>
      </c>
    </row>
    <row r="1650" spans="1:3">
      <c r="A1650" s="3">
        <f t="shared" si="46"/>
        <v>2024</v>
      </c>
      <c r="B1650" s="106">
        <f t="shared" si="47"/>
        <v>62</v>
      </c>
      <c r="C1650" s="107">
        <f ca="1">OFFSET(tab_tipo_Combustivel!$A$1,MATCH(B1650,tab_tipo_Combustivel!$A$2:$A$150,0),MATCH(A1650,tab_tipo_Combustivel!$B$1:$AQ$1,0),1,1)</f>
        <v>309.24</v>
      </c>
    </row>
    <row r="1651" spans="1:3">
      <c r="A1651" s="3">
        <f t="shared" si="46"/>
        <v>2024</v>
      </c>
      <c r="B1651" s="106">
        <f t="shared" si="47"/>
        <v>63</v>
      </c>
      <c r="C1651" s="107">
        <f ca="1">OFFSET(tab_tipo_Combustivel!$A$1,MATCH(B1651,tab_tipo_Combustivel!$A$2:$A$150,0),MATCH(A1651,tab_tipo_Combustivel!$B$1:$AQ$1,0),1,1)</f>
        <v>365.77</v>
      </c>
    </row>
    <row r="1652" spans="1:3">
      <c r="A1652" s="3">
        <f t="shared" si="46"/>
        <v>2024</v>
      </c>
      <c r="B1652" s="106">
        <f t="shared" si="47"/>
        <v>64</v>
      </c>
      <c r="C1652" s="107">
        <f ca="1">OFFSET(tab_tipo_Combustivel!$A$1,MATCH(B1652,tab_tipo_Combustivel!$A$2:$A$150,0),MATCH(A1652,tab_tipo_Combustivel!$B$1:$AQ$1,0),1,1)</f>
        <v>853.54</v>
      </c>
    </row>
    <row r="1653" spans="1:3">
      <c r="A1653" s="3">
        <f t="shared" si="46"/>
        <v>2024</v>
      </c>
      <c r="B1653" s="106">
        <f t="shared" si="47"/>
        <v>68</v>
      </c>
      <c r="C1653" s="107">
        <f ca="1">OFFSET(tab_tipo_Combustivel!$A$1,MATCH(B1653,tab_tipo_Combustivel!$A$2:$A$150,0),MATCH(A1653,tab_tipo_Combustivel!$B$1:$AQ$1,0),1,1)</f>
        <v>195.63</v>
      </c>
    </row>
    <row r="1654" spans="1:3">
      <c r="A1654" s="3">
        <f t="shared" si="46"/>
        <v>2024</v>
      </c>
      <c r="B1654" s="106">
        <f t="shared" si="47"/>
        <v>74</v>
      </c>
      <c r="C1654" s="107">
        <f ca="1">OFFSET(tab_tipo_Combustivel!$A$1,MATCH(B1654,tab_tipo_Combustivel!$A$2:$A$150,0),MATCH(A1654,tab_tipo_Combustivel!$B$1:$AQ$1,0),1,1)</f>
        <v>364.46</v>
      </c>
    </row>
    <row r="1655" spans="1:3">
      <c r="A1655" s="3">
        <f t="shared" si="46"/>
        <v>2024</v>
      </c>
      <c r="B1655" s="106">
        <f t="shared" si="47"/>
        <v>83</v>
      </c>
      <c r="C1655" s="107">
        <f ca="1">OFFSET(tab_tipo_Combustivel!$A$1,MATCH(B1655,tab_tipo_Combustivel!$A$2:$A$150,0),MATCH(A1655,tab_tipo_Combustivel!$B$1:$AQ$1,0),1,1)</f>
        <v>448.1</v>
      </c>
    </row>
    <row r="1656" spans="1:3">
      <c r="A1656" s="3">
        <f t="shared" si="46"/>
        <v>2024</v>
      </c>
      <c r="B1656" s="106">
        <f t="shared" si="47"/>
        <v>86</v>
      </c>
      <c r="C1656" s="107">
        <f ca="1">OFFSET(tab_tipo_Combustivel!$A$1,MATCH(B1656,tab_tipo_Combustivel!$A$2:$A$150,0),MATCH(A1656,tab_tipo_Combustivel!$B$1:$AQ$1,0),1,1)</f>
        <v>170.34</v>
      </c>
    </row>
    <row r="1657" spans="1:3">
      <c r="A1657" s="3">
        <f t="shared" si="46"/>
        <v>2024</v>
      </c>
      <c r="B1657" s="106">
        <f t="shared" si="47"/>
        <v>90</v>
      </c>
      <c r="C1657" s="107">
        <f ca="1">OFFSET(tab_tipo_Combustivel!$A$1,MATCH(B1657,tab_tipo_Combustivel!$A$2:$A$150,0),MATCH(A1657,tab_tipo_Combustivel!$B$1:$AQ$1,0),1,1)</f>
        <v>533.1</v>
      </c>
    </row>
    <row r="1658" spans="1:3">
      <c r="A1658" s="3">
        <f t="shared" si="46"/>
        <v>2024</v>
      </c>
      <c r="B1658" s="106">
        <f t="shared" si="47"/>
        <v>93</v>
      </c>
      <c r="C1658" s="107">
        <f ca="1">OFFSET(tab_tipo_Combustivel!$A$1,MATCH(B1658,tab_tipo_Combustivel!$A$2:$A$150,0),MATCH(A1658,tab_tipo_Combustivel!$B$1:$AQ$1,0),1,1)</f>
        <v>842.33</v>
      </c>
    </row>
    <row r="1659" spans="1:3">
      <c r="A1659" s="3">
        <f t="shared" si="46"/>
        <v>2024</v>
      </c>
      <c r="B1659" s="106">
        <f t="shared" si="47"/>
        <v>94</v>
      </c>
      <c r="C1659" s="107">
        <f ca="1">OFFSET(tab_tipo_Combustivel!$A$1,MATCH(B1659,tab_tipo_Combustivel!$A$2:$A$150,0),MATCH(A1659,tab_tipo_Combustivel!$B$1:$AQ$1,0),1,1)</f>
        <v>842.33</v>
      </c>
    </row>
    <row r="1660" spans="1:3">
      <c r="A1660" s="3">
        <f t="shared" si="46"/>
        <v>2024</v>
      </c>
      <c r="B1660" s="106">
        <f t="shared" si="47"/>
        <v>96</v>
      </c>
      <c r="C1660" s="107">
        <f ca="1">OFFSET(tab_tipo_Combustivel!$A$1,MATCH(B1660,tab_tipo_Combustivel!$A$2:$A$150,0),MATCH(A1660,tab_tipo_Combustivel!$B$1:$AQ$1,0),1,1)</f>
        <v>99.92</v>
      </c>
    </row>
    <row r="1661" spans="1:3">
      <c r="A1661" s="3">
        <f t="shared" si="46"/>
        <v>2024</v>
      </c>
      <c r="B1661" s="106">
        <f t="shared" si="47"/>
        <v>98</v>
      </c>
      <c r="C1661" s="107">
        <f ca="1">OFFSET(tab_tipo_Combustivel!$A$1,MATCH(B1661,tab_tipo_Combustivel!$A$2:$A$150,0),MATCH(A1661,tab_tipo_Combustivel!$B$1:$AQ$1,0),1,1)</f>
        <v>489.8</v>
      </c>
    </row>
    <row r="1662" spans="1:3">
      <c r="A1662" s="3">
        <f t="shared" si="46"/>
        <v>2024</v>
      </c>
      <c r="B1662" s="106">
        <f t="shared" si="47"/>
        <v>107</v>
      </c>
      <c r="C1662" s="107">
        <f ca="1">OFFSET(tab_tipo_Combustivel!$A$1,MATCH(B1662,tab_tipo_Combustivel!$A$2:$A$150,0),MATCH(A1662,tab_tipo_Combustivel!$B$1:$AQ$1,0),1,1)</f>
        <v>57.63</v>
      </c>
    </row>
    <row r="1663" spans="1:3">
      <c r="A1663" s="3">
        <f t="shared" si="46"/>
        <v>2024</v>
      </c>
      <c r="B1663" s="106">
        <f t="shared" si="47"/>
        <v>110</v>
      </c>
      <c r="C1663" s="107">
        <f ca="1">OFFSET(tab_tipo_Combustivel!$A$1,MATCH(B1663,tab_tipo_Combustivel!$A$2:$A$150,0),MATCH(A1663,tab_tipo_Combustivel!$B$1:$AQ$1,0),1,1)</f>
        <v>568.29</v>
      </c>
    </row>
    <row r="1664" spans="1:3">
      <c r="A1664" s="3">
        <f t="shared" si="46"/>
        <v>2024</v>
      </c>
      <c r="B1664" s="106">
        <f t="shared" si="47"/>
        <v>116</v>
      </c>
      <c r="C1664" s="107">
        <f ca="1">OFFSET(tab_tipo_Combustivel!$A$1,MATCH(B1664,tab_tipo_Combustivel!$A$2:$A$150,0),MATCH(A1664,tab_tipo_Combustivel!$B$1:$AQ$1,0),1,1)</f>
        <v>117.46</v>
      </c>
    </row>
    <row r="1665" spans="1:3">
      <c r="A1665" s="3">
        <f t="shared" si="46"/>
        <v>2024</v>
      </c>
      <c r="B1665" s="106">
        <f t="shared" si="47"/>
        <v>140</v>
      </c>
      <c r="C1665" s="107">
        <f ca="1">OFFSET(tab_tipo_Combustivel!$A$1,MATCH(B1665,tab_tipo_Combustivel!$A$2:$A$150,0),MATCH(A1665,tab_tipo_Combustivel!$B$1:$AQ$1,0),1,1)</f>
        <v>88.11</v>
      </c>
    </row>
    <row r="1666" spans="1:3">
      <c r="A1666" s="3">
        <f t="shared" si="46"/>
        <v>2024</v>
      </c>
      <c r="B1666" s="106">
        <f t="shared" si="47"/>
        <v>141</v>
      </c>
      <c r="C1666" s="107">
        <f ca="1">OFFSET(tab_tipo_Combustivel!$A$1,MATCH(B1666,tab_tipo_Combustivel!$A$2:$A$150,0),MATCH(A1666,tab_tipo_Combustivel!$B$1:$AQ$1,0),1,1)</f>
        <v>1280.52</v>
      </c>
    </row>
    <row r="1667" spans="1:3">
      <c r="A1667" s="3">
        <f t="shared" si="46"/>
        <v>2024</v>
      </c>
      <c r="B1667" s="106">
        <f t="shared" si="47"/>
        <v>147</v>
      </c>
      <c r="C1667" s="107">
        <f ca="1">OFFSET(tab_tipo_Combustivel!$A$1,MATCH(B1667,tab_tipo_Combustivel!$A$2:$A$150,0),MATCH(A1667,tab_tipo_Combustivel!$B$1:$AQ$1,0),1,1)</f>
        <v>134.18</v>
      </c>
    </row>
    <row r="1668" spans="1:3">
      <c r="A1668" s="3">
        <f t="shared" si="46"/>
        <v>2024</v>
      </c>
      <c r="B1668" s="106">
        <f t="shared" si="47"/>
        <v>156</v>
      </c>
      <c r="C1668" s="107">
        <f ca="1">OFFSET(tab_tipo_Combustivel!$A$1,MATCH(B1668,tab_tipo_Combustivel!$A$2:$A$150,0),MATCH(A1668,tab_tipo_Combustivel!$B$1:$AQ$1,0),1,1)</f>
        <v>77.12</v>
      </c>
    </row>
    <row r="1669" spans="1:3">
      <c r="A1669" s="3">
        <f t="shared" si="46"/>
        <v>2024</v>
      </c>
      <c r="B1669" s="106">
        <f t="shared" si="47"/>
        <v>163</v>
      </c>
      <c r="C1669" s="107">
        <f ca="1">OFFSET(tab_tipo_Combustivel!$A$1,MATCH(B1669,tab_tipo_Combustivel!$A$2:$A$150,0),MATCH(A1669,tab_tipo_Combustivel!$B$1:$AQ$1,0),1,1)</f>
        <v>156.69999999999999</v>
      </c>
    </row>
    <row r="1670" spans="1:3">
      <c r="A1670" s="3">
        <f t="shared" si="46"/>
        <v>2024</v>
      </c>
      <c r="B1670" s="106">
        <f t="shared" si="47"/>
        <v>167</v>
      </c>
      <c r="C1670" s="107">
        <f ca="1">OFFSET(tab_tipo_Combustivel!$A$1,MATCH(B1670,tab_tipo_Combustivel!$A$2:$A$150,0),MATCH(A1670,tab_tipo_Combustivel!$B$1:$AQ$1,0),1,1)</f>
        <v>144.66999999999999</v>
      </c>
    </row>
    <row r="1671" spans="1:3">
      <c r="A1671" s="3">
        <f t="shared" si="46"/>
        <v>2024</v>
      </c>
      <c r="B1671" s="106">
        <f t="shared" si="47"/>
        <v>171</v>
      </c>
      <c r="C1671" s="107">
        <f ca="1">OFFSET(tab_tipo_Combustivel!$A$1,MATCH(B1671,tab_tipo_Combustivel!$A$2:$A$150,0),MATCH(A1671,tab_tipo_Combustivel!$B$1:$AQ$1,0),1,1)</f>
        <v>88</v>
      </c>
    </row>
    <row r="1672" spans="1:3">
      <c r="A1672" s="3">
        <f t="shared" si="46"/>
        <v>2024</v>
      </c>
      <c r="B1672" s="106">
        <f t="shared" si="47"/>
        <v>172</v>
      </c>
      <c r="C1672" s="107">
        <f ca="1">OFFSET(tab_tipo_Combustivel!$A$1,MATCH(B1672,tab_tipo_Combustivel!$A$2:$A$150,0),MATCH(A1672,tab_tipo_Combustivel!$B$1:$AQ$1,0),1,1)</f>
        <v>99.97</v>
      </c>
    </row>
    <row r="1673" spans="1:3">
      <c r="A1673" s="3">
        <f t="shared" si="46"/>
        <v>2024</v>
      </c>
      <c r="B1673" s="106">
        <f t="shared" si="47"/>
        <v>173</v>
      </c>
      <c r="C1673" s="107">
        <f ca="1">OFFSET(tab_tipo_Combustivel!$A$1,MATCH(B1673,tab_tipo_Combustivel!$A$2:$A$150,0),MATCH(A1673,tab_tipo_Combustivel!$B$1:$AQ$1,0),1,1)</f>
        <v>192.03</v>
      </c>
    </row>
    <row r="1674" spans="1:3">
      <c r="A1674" s="3">
        <f t="shared" ref="A1674:A1737" si="48">A1539+1</f>
        <v>2024</v>
      </c>
      <c r="B1674" s="106">
        <f t="shared" ref="B1674:B1737" si="49">B1539</f>
        <v>174</v>
      </c>
      <c r="C1674" s="107">
        <f ca="1">OFFSET(tab_tipo_Combustivel!$A$1,MATCH(B1674,tab_tipo_Combustivel!$A$2:$A$150,0),MATCH(A1674,tab_tipo_Combustivel!$B$1:$AQ$1,0),1,1)</f>
        <v>331.22</v>
      </c>
    </row>
    <row r="1675" spans="1:3">
      <c r="A1675" s="3">
        <f t="shared" si="48"/>
        <v>2024</v>
      </c>
      <c r="B1675" s="106">
        <f t="shared" si="49"/>
        <v>176</v>
      </c>
      <c r="C1675" s="107">
        <f ca="1">OFFSET(tab_tipo_Combustivel!$A$1,MATCH(B1675,tab_tipo_Combustivel!$A$2:$A$150,0),MATCH(A1675,tab_tipo_Combustivel!$B$1:$AQ$1,0),1,1)</f>
        <v>149.47999999999999</v>
      </c>
    </row>
    <row r="1676" spans="1:3">
      <c r="A1676" s="3">
        <f t="shared" si="48"/>
        <v>2024</v>
      </c>
      <c r="B1676" s="106">
        <f t="shared" si="49"/>
        <v>183</v>
      </c>
      <c r="C1676" s="107">
        <f ca="1">OFFSET(tab_tipo_Combustivel!$A$1,MATCH(B1676,tab_tipo_Combustivel!$A$2:$A$150,0),MATCH(A1676,tab_tipo_Combustivel!$B$1:$AQ$1,0),1,1)</f>
        <v>171.61</v>
      </c>
    </row>
    <row r="1677" spans="1:3">
      <c r="A1677" s="3">
        <f t="shared" si="48"/>
        <v>2024</v>
      </c>
      <c r="B1677" s="106">
        <f t="shared" si="49"/>
        <v>194</v>
      </c>
      <c r="C1677" s="107">
        <f ca="1">OFFSET(tab_tipo_Combustivel!$A$1,MATCH(B1677,tab_tipo_Combustivel!$A$2:$A$150,0),MATCH(A1677,tab_tipo_Combustivel!$B$1:$AQ$1,0),1,1)</f>
        <v>1098.58</v>
      </c>
    </row>
    <row r="1678" spans="1:3">
      <c r="A1678" s="3">
        <f t="shared" si="48"/>
        <v>2024</v>
      </c>
      <c r="B1678" s="106">
        <f t="shared" si="49"/>
        <v>203</v>
      </c>
      <c r="C1678" s="107">
        <f ca="1">OFFSET(tab_tipo_Combustivel!$A$1,MATCH(B1678,tab_tipo_Combustivel!$A$2:$A$150,0),MATCH(A1678,tab_tipo_Combustivel!$B$1:$AQ$1,0),1,1)</f>
        <v>0</v>
      </c>
    </row>
    <row r="1679" spans="1:3">
      <c r="A1679" s="3">
        <f t="shared" si="48"/>
        <v>2024</v>
      </c>
      <c r="B1679" s="106">
        <f t="shared" si="49"/>
        <v>204</v>
      </c>
      <c r="C1679" s="107">
        <f ca="1">OFFSET(tab_tipo_Combustivel!$A$1,MATCH(B1679,tab_tipo_Combustivel!$A$2:$A$150,0),MATCH(A1679,tab_tipo_Combustivel!$B$1:$AQ$1,0),1,1)</f>
        <v>0</v>
      </c>
    </row>
    <row r="1680" spans="1:3">
      <c r="A1680" s="3">
        <f t="shared" si="48"/>
        <v>2024</v>
      </c>
      <c r="B1680" s="106">
        <f t="shared" si="49"/>
        <v>205</v>
      </c>
      <c r="C1680" s="107">
        <f ca="1">OFFSET(tab_tipo_Combustivel!$A$1,MATCH(B1680,tab_tipo_Combustivel!$A$2:$A$150,0),MATCH(A1680,tab_tipo_Combustivel!$B$1:$AQ$1,0),1,1)</f>
        <v>0</v>
      </c>
    </row>
    <row r="1681" spans="1:3">
      <c r="A1681" s="3">
        <f t="shared" si="48"/>
        <v>2024</v>
      </c>
      <c r="B1681" s="106">
        <f t="shared" si="49"/>
        <v>207</v>
      </c>
      <c r="C1681" s="107">
        <f ca="1">OFFSET(tab_tipo_Combustivel!$A$1,MATCH(B1681,tab_tipo_Combustivel!$A$2:$A$150,0),MATCH(A1681,tab_tipo_Combustivel!$B$1:$AQ$1,0),1,1)</f>
        <v>0</v>
      </c>
    </row>
    <row r="1682" spans="1:3">
      <c r="A1682" s="3">
        <f t="shared" si="48"/>
        <v>2024</v>
      </c>
      <c r="B1682" s="106">
        <f t="shared" si="49"/>
        <v>208</v>
      </c>
      <c r="C1682" s="107">
        <f ca="1">OFFSET(tab_tipo_Combustivel!$A$1,MATCH(B1682,tab_tipo_Combustivel!$A$2:$A$150,0),MATCH(A1682,tab_tipo_Combustivel!$B$1:$AQ$1,0),1,1)</f>
        <v>783.64</v>
      </c>
    </row>
    <row r="1683" spans="1:3">
      <c r="A1683" s="3">
        <f t="shared" si="48"/>
        <v>2024</v>
      </c>
      <c r="B1683" s="106">
        <f t="shared" si="49"/>
        <v>209</v>
      </c>
      <c r="C1683" s="107">
        <f ca="1">OFFSET(tab_tipo_Combustivel!$A$1,MATCH(B1683,tab_tipo_Combustivel!$A$2:$A$150,0),MATCH(A1683,tab_tipo_Combustivel!$B$1:$AQ$1,0),1,1)</f>
        <v>0</v>
      </c>
    </row>
    <row r="1684" spans="1:3">
      <c r="A1684" s="3">
        <f t="shared" si="48"/>
        <v>2024</v>
      </c>
      <c r="B1684" s="106">
        <f t="shared" si="49"/>
        <v>211</v>
      </c>
      <c r="C1684" s="107">
        <f ca="1">OFFSET(tab_tipo_Combustivel!$A$1,MATCH(B1684,tab_tipo_Combustivel!$A$2:$A$150,0),MATCH(A1684,tab_tipo_Combustivel!$B$1:$AQ$1,0),1,1)</f>
        <v>150.79</v>
      </c>
    </row>
    <row r="1685" spans="1:3">
      <c r="A1685" s="3">
        <f t="shared" si="48"/>
        <v>2024</v>
      </c>
      <c r="B1685" s="106">
        <f t="shared" si="49"/>
        <v>212</v>
      </c>
      <c r="C1685" s="107">
        <f ca="1">OFFSET(tab_tipo_Combustivel!$A$1,MATCH(B1685,tab_tipo_Combustivel!$A$2:$A$150,0),MATCH(A1685,tab_tipo_Combustivel!$B$1:$AQ$1,0),1,1)</f>
        <v>84.58</v>
      </c>
    </row>
    <row r="1686" spans="1:3">
      <c r="A1686" s="3">
        <f t="shared" si="48"/>
        <v>2024</v>
      </c>
      <c r="B1686" s="106">
        <f t="shared" si="49"/>
        <v>224</v>
      </c>
      <c r="C1686" s="107">
        <f ca="1">OFFSET(tab_tipo_Combustivel!$A$1,MATCH(B1686,tab_tipo_Combustivel!$A$2:$A$150,0),MATCH(A1686,tab_tipo_Combustivel!$B$1:$AQ$1,0),1,1)</f>
        <v>31.08</v>
      </c>
    </row>
    <row r="1687" spans="1:3">
      <c r="A1687" s="3">
        <f t="shared" si="48"/>
        <v>2024</v>
      </c>
      <c r="B1687" s="106">
        <f t="shared" si="49"/>
        <v>225</v>
      </c>
      <c r="C1687" s="107">
        <f ca="1">OFFSET(tab_tipo_Combustivel!$A$1,MATCH(B1687,tab_tipo_Combustivel!$A$2:$A$150,0),MATCH(A1687,tab_tipo_Combustivel!$B$1:$AQ$1,0),1,1)</f>
        <v>1329.7</v>
      </c>
    </row>
    <row r="1688" spans="1:3">
      <c r="A1688" s="3">
        <f t="shared" si="48"/>
        <v>2024</v>
      </c>
      <c r="B1688" s="106">
        <f t="shared" si="49"/>
        <v>226</v>
      </c>
      <c r="C1688" s="107">
        <f ca="1">OFFSET(tab_tipo_Combustivel!$A$1,MATCH(B1688,tab_tipo_Combustivel!$A$2:$A$150,0),MATCH(A1688,tab_tipo_Combustivel!$B$1:$AQ$1,0),1,1)</f>
        <v>1061.1300000000001</v>
      </c>
    </row>
    <row r="1689" spans="1:3">
      <c r="A1689" s="3">
        <f t="shared" si="48"/>
        <v>2024</v>
      </c>
      <c r="B1689" s="106">
        <f t="shared" si="49"/>
        <v>227</v>
      </c>
      <c r="C1689" s="107">
        <f ca="1">OFFSET(tab_tipo_Combustivel!$A$1,MATCH(B1689,tab_tipo_Combustivel!$A$2:$A$150,0),MATCH(A1689,tab_tipo_Combustivel!$B$1:$AQ$1,0),1,1)</f>
        <v>447.52</v>
      </c>
    </row>
    <row r="1690" spans="1:3">
      <c r="A1690" s="3">
        <f t="shared" si="48"/>
        <v>2024</v>
      </c>
      <c r="B1690" s="106">
        <f t="shared" si="49"/>
        <v>228</v>
      </c>
      <c r="C1690" s="107">
        <f ca="1">OFFSET(tab_tipo_Combustivel!$A$1,MATCH(B1690,tab_tipo_Combustivel!$A$2:$A$150,0),MATCH(A1690,tab_tipo_Combustivel!$B$1:$AQ$1,0),1,1)</f>
        <v>1061.1400000000001</v>
      </c>
    </row>
    <row r="1691" spans="1:3">
      <c r="A1691" s="3">
        <f t="shared" si="48"/>
        <v>2024</v>
      </c>
      <c r="B1691" s="106">
        <f t="shared" si="49"/>
        <v>229</v>
      </c>
      <c r="C1691" s="107">
        <f ca="1">OFFSET(tab_tipo_Combustivel!$A$1,MATCH(B1691,tab_tipo_Combustivel!$A$2:$A$150,0),MATCH(A1691,tab_tipo_Combustivel!$B$1:$AQ$1,0),1,1)</f>
        <v>942.05</v>
      </c>
    </row>
    <row r="1692" spans="1:3">
      <c r="A1692" s="3">
        <f t="shared" si="48"/>
        <v>2024</v>
      </c>
      <c r="B1692" s="106">
        <f t="shared" si="49"/>
        <v>230</v>
      </c>
      <c r="C1692" s="107">
        <f ca="1">OFFSET(tab_tipo_Combustivel!$A$1,MATCH(B1692,tab_tipo_Combustivel!$A$2:$A$150,0),MATCH(A1692,tab_tipo_Combustivel!$B$1:$AQ$1,0),1,1)</f>
        <v>495.06</v>
      </c>
    </row>
    <row r="1693" spans="1:3">
      <c r="A1693" s="3">
        <f t="shared" si="48"/>
        <v>2024</v>
      </c>
      <c r="B1693" s="106">
        <f t="shared" si="49"/>
        <v>231</v>
      </c>
      <c r="C1693" s="107">
        <f ca="1">OFFSET(tab_tipo_Combustivel!$A$1,MATCH(B1693,tab_tipo_Combustivel!$A$2:$A$150,0),MATCH(A1693,tab_tipo_Combustivel!$B$1:$AQ$1,0),1,1)</f>
        <v>489.29</v>
      </c>
    </row>
    <row r="1694" spans="1:3">
      <c r="A1694" s="3">
        <f t="shared" si="48"/>
        <v>2024</v>
      </c>
      <c r="B1694" s="106">
        <f t="shared" si="49"/>
        <v>232</v>
      </c>
      <c r="C1694" s="107">
        <f ca="1">OFFSET(tab_tipo_Combustivel!$A$1,MATCH(B1694,tab_tipo_Combustivel!$A$2:$A$150,0),MATCH(A1694,tab_tipo_Combustivel!$B$1:$AQ$1,0),1,1)</f>
        <v>842.33</v>
      </c>
    </row>
    <row r="1695" spans="1:3">
      <c r="A1695" s="3">
        <f t="shared" si="48"/>
        <v>2024</v>
      </c>
      <c r="B1695" s="106">
        <f t="shared" si="49"/>
        <v>233</v>
      </c>
      <c r="C1695" s="107">
        <f ca="1">OFFSET(tab_tipo_Combustivel!$A$1,MATCH(B1695,tab_tipo_Combustivel!$A$2:$A$150,0),MATCH(A1695,tab_tipo_Combustivel!$B$1:$AQ$1,0),1,1)</f>
        <v>984.29</v>
      </c>
    </row>
    <row r="1696" spans="1:3">
      <c r="A1696" s="3">
        <f t="shared" si="48"/>
        <v>2024</v>
      </c>
      <c r="B1696" s="106">
        <f t="shared" si="49"/>
        <v>234</v>
      </c>
      <c r="C1696" s="107">
        <f ca="1">OFFSET(tab_tipo_Combustivel!$A$1,MATCH(B1696,tab_tipo_Combustivel!$A$2:$A$150,0),MATCH(A1696,tab_tipo_Combustivel!$B$1:$AQ$1,0),1,1)</f>
        <v>290.26</v>
      </c>
    </row>
    <row r="1697" spans="1:3">
      <c r="A1697" s="3">
        <f t="shared" si="48"/>
        <v>2024</v>
      </c>
      <c r="B1697" s="106">
        <f t="shared" si="49"/>
        <v>235</v>
      </c>
      <c r="C1697" s="107">
        <f ca="1">OFFSET(tab_tipo_Combustivel!$A$1,MATCH(B1697,tab_tipo_Combustivel!$A$2:$A$150,0),MATCH(A1697,tab_tipo_Combustivel!$B$1:$AQ$1,0),1,1)</f>
        <v>1350.87</v>
      </c>
    </row>
    <row r="1698" spans="1:3">
      <c r="A1698" s="3">
        <f t="shared" si="48"/>
        <v>2024</v>
      </c>
      <c r="B1698" s="106">
        <f t="shared" si="49"/>
        <v>236</v>
      </c>
      <c r="C1698" s="107">
        <f ca="1">OFFSET(tab_tipo_Combustivel!$A$1,MATCH(B1698,tab_tipo_Combustivel!$A$2:$A$150,0),MATCH(A1698,tab_tipo_Combustivel!$B$1:$AQ$1,0),1,1)</f>
        <v>842.33</v>
      </c>
    </row>
    <row r="1699" spans="1:3">
      <c r="A1699" s="3">
        <f t="shared" si="48"/>
        <v>2024</v>
      </c>
      <c r="B1699" s="106">
        <f t="shared" si="49"/>
        <v>237</v>
      </c>
      <c r="C1699" s="107">
        <f ca="1">OFFSET(tab_tipo_Combustivel!$A$1,MATCH(B1699,tab_tipo_Combustivel!$A$2:$A$150,0),MATCH(A1699,tab_tipo_Combustivel!$B$1:$AQ$1,0),1,1)</f>
        <v>760.85</v>
      </c>
    </row>
    <row r="1700" spans="1:3">
      <c r="A1700" s="3">
        <f t="shared" si="48"/>
        <v>2024</v>
      </c>
      <c r="B1700" s="106">
        <f t="shared" si="49"/>
        <v>238</v>
      </c>
      <c r="C1700" s="107">
        <f ca="1">OFFSET(tab_tipo_Combustivel!$A$1,MATCH(B1700,tab_tipo_Combustivel!$A$2:$A$150,0),MATCH(A1700,tab_tipo_Combustivel!$B$1:$AQ$1,0),1,1)</f>
        <v>963.75</v>
      </c>
    </row>
    <row r="1701" spans="1:3">
      <c r="A1701" s="3">
        <f t="shared" si="48"/>
        <v>2024</v>
      </c>
      <c r="B1701" s="106">
        <f t="shared" si="49"/>
        <v>239</v>
      </c>
      <c r="C1701" s="107">
        <f ca="1">OFFSET(tab_tipo_Combustivel!$A$1,MATCH(B1701,tab_tipo_Combustivel!$A$2:$A$150,0),MATCH(A1701,tab_tipo_Combustivel!$B$1:$AQ$1,0),1,1)</f>
        <v>963.75</v>
      </c>
    </row>
    <row r="1702" spans="1:3">
      <c r="A1702" s="3">
        <f t="shared" si="48"/>
        <v>2024</v>
      </c>
      <c r="B1702" s="106">
        <f t="shared" si="49"/>
        <v>240</v>
      </c>
      <c r="C1702" s="107">
        <f ca="1">OFFSET(tab_tipo_Combustivel!$A$1,MATCH(B1702,tab_tipo_Combustivel!$A$2:$A$150,0),MATCH(A1702,tab_tipo_Combustivel!$B$1:$AQ$1,0),1,1)</f>
        <v>1115.96</v>
      </c>
    </row>
    <row r="1703" spans="1:3">
      <c r="A1703" s="3">
        <f t="shared" si="48"/>
        <v>2024</v>
      </c>
      <c r="B1703" s="106">
        <f t="shared" si="49"/>
        <v>241</v>
      </c>
      <c r="C1703" s="107">
        <f ca="1">OFFSET(tab_tipo_Combustivel!$A$1,MATCH(B1703,tab_tipo_Combustivel!$A$2:$A$150,0),MATCH(A1703,tab_tipo_Combustivel!$B$1:$AQ$1,0),1,1)</f>
        <v>495.75</v>
      </c>
    </row>
    <row r="1704" spans="1:3">
      <c r="A1704" s="3">
        <f t="shared" si="48"/>
        <v>2024</v>
      </c>
      <c r="B1704" s="106">
        <f t="shared" si="49"/>
        <v>242</v>
      </c>
      <c r="C1704" s="107">
        <f ca="1">OFFSET(tab_tipo_Combustivel!$A$1,MATCH(B1704,tab_tipo_Combustivel!$A$2:$A$150,0),MATCH(A1704,tab_tipo_Combustivel!$B$1:$AQ$1,0),1,1)</f>
        <v>1176.45</v>
      </c>
    </row>
    <row r="1705" spans="1:3">
      <c r="A1705" s="3">
        <f t="shared" si="48"/>
        <v>2024</v>
      </c>
      <c r="B1705" s="106">
        <f t="shared" si="49"/>
        <v>243</v>
      </c>
      <c r="C1705" s="107">
        <f ca="1">OFFSET(tab_tipo_Combustivel!$A$1,MATCH(B1705,tab_tipo_Combustivel!$A$2:$A$150,0),MATCH(A1705,tab_tipo_Combustivel!$B$1:$AQ$1,0),1,1)</f>
        <v>495.08</v>
      </c>
    </row>
    <row r="1706" spans="1:3">
      <c r="A1706" s="3">
        <f t="shared" si="48"/>
        <v>2024</v>
      </c>
      <c r="B1706" s="106">
        <f t="shared" si="49"/>
        <v>244</v>
      </c>
      <c r="C1706" s="107">
        <f ca="1">OFFSET(tab_tipo_Combustivel!$A$1,MATCH(B1706,tab_tipo_Combustivel!$A$2:$A$150,0),MATCH(A1706,tab_tipo_Combustivel!$B$1:$AQ$1,0),1,1)</f>
        <v>495.06</v>
      </c>
    </row>
    <row r="1707" spans="1:3">
      <c r="A1707" s="3">
        <f t="shared" si="48"/>
        <v>2024</v>
      </c>
      <c r="B1707" s="106">
        <f t="shared" si="49"/>
        <v>245</v>
      </c>
      <c r="C1707" s="107">
        <f ca="1">OFFSET(tab_tipo_Combustivel!$A$1,MATCH(B1707,tab_tipo_Combustivel!$A$2:$A$150,0),MATCH(A1707,tab_tipo_Combustivel!$B$1:$AQ$1,0),1,1)</f>
        <v>562.65</v>
      </c>
    </row>
    <row r="1708" spans="1:3">
      <c r="A1708" s="3">
        <f t="shared" si="48"/>
        <v>2024</v>
      </c>
      <c r="B1708" s="106">
        <f t="shared" si="49"/>
        <v>246</v>
      </c>
      <c r="C1708" s="107">
        <f ca="1">OFFSET(tab_tipo_Combustivel!$A$1,MATCH(B1708,tab_tipo_Combustivel!$A$2:$A$150,0),MATCH(A1708,tab_tipo_Combustivel!$B$1:$AQ$1,0),1,1)</f>
        <v>1124.53</v>
      </c>
    </row>
    <row r="1709" spans="1:3">
      <c r="A1709" s="3">
        <f t="shared" si="48"/>
        <v>2024</v>
      </c>
      <c r="B1709" s="106">
        <f t="shared" si="49"/>
        <v>247</v>
      </c>
      <c r="C1709" s="107">
        <f ca="1">OFFSET(tab_tipo_Combustivel!$A$1,MATCH(B1709,tab_tipo_Combustivel!$A$2:$A$150,0),MATCH(A1709,tab_tipo_Combustivel!$B$1:$AQ$1,0),1,1)</f>
        <v>609.51</v>
      </c>
    </row>
    <row r="1710" spans="1:3">
      <c r="A1710" s="3">
        <f t="shared" si="48"/>
        <v>2024</v>
      </c>
      <c r="B1710" s="106">
        <f t="shared" si="49"/>
        <v>248</v>
      </c>
      <c r="C1710" s="107">
        <f ca="1">OFFSET(tab_tipo_Combustivel!$A$1,MATCH(B1710,tab_tipo_Combustivel!$A$2:$A$150,0),MATCH(A1710,tab_tipo_Combustivel!$B$1:$AQ$1,0),1,1)</f>
        <v>495.06</v>
      </c>
    </row>
    <row r="1711" spans="1:3">
      <c r="A1711" s="3">
        <f t="shared" si="48"/>
        <v>2024</v>
      </c>
      <c r="B1711" s="106">
        <f t="shared" si="49"/>
        <v>249</v>
      </c>
      <c r="C1711" s="107">
        <f ca="1">OFFSET(tab_tipo_Combustivel!$A$1,MATCH(B1711,tab_tipo_Combustivel!$A$2:$A$150,0),MATCH(A1711,tab_tipo_Combustivel!$B$1:$AQ$1,0),1,1)</f>
        <v>842.33</v>
      </c>
    </row>
    <row r="1712" spans="1:3">
      <c r="A1712" s="3">
        <f t="shared" si="48"/>
        <v>2024</v>
      </c>
      <c r="B1712" s="106">
        <f t="shared" si="49"/>
        <v>250</v>
      </c>
      <c r="C1712" s="107">
        <f ca="1">OFFSET(tab_tipo_Combustivel!$A$1,MATCH(B1712,tab_tipo_Combustivel!$A$2:$A$150,0),MATCH(A1712,tab_tipo_Combustivel!$B$1:$AQ$1,0),1,1)</f>
        <v>1176.45</v>
      </c>
    </row>
    <row r="1713" spans="1:3">
      <c r="A1713" s="3">
        <f t="shared" si="48"/>
        <v>2024</v>
      </c>
      <c r="B1713" s="106">
        <f t="shared" si="49"/>
        <v>251</v>
      </c>
      <c r="C1713" s="107">
        <f ca="1">OFFSET(tab_tipo_Combustivel!$A$1,MATCH(B1713,tab_tipo_Combustivel!$A$2:$A$150,0),MATCH(A1713,tab_tipo_Combustivel!$B$1:$AQ$1,0),1,1)</f>
        <v>842.33</v>
      </c>
    </row>
    <row r="1714" spans="1:3">
      <c r="A1714" s="3">
        <f t="shared" si="48"/>
        <v>2024</v>
      </c>
      <c r="B1714" s="106">
        <f t="shared" si="49"/>
        <v>252</v>
      </c>
      <c r="C1714" s="107">
        <f ca="1">OFFSET(tab_tipo_Combustivel!$A$1,MATCH(B1714,tab_tipo_Combustivel!$A$2:$A$150,0),MATCH(A1714,tab_tipo_Combustivel!$B$1:$AQ$1,0),1,1)</f>
        <v>842.33</v>
      </c>
    </row>
    <row r="1715" spans="1:3">
      <c r="A1715" s="3">
        <f t="shared" si="48"/>
        <v>2024</v>
      </c>
      <c r="B1715" s="106">
        <f t="shared" si="49"/>
        <v>253</v>
      </c>
      <c r="C1715" s="107">
        <f ca="1">OFFSET(tab_tipo_Combustivel!$A$1,MATCH(B1715,tab_tipo_Combustivel!$A$2:$A$150,0),MATCH(A1715,tab_tipo_Combustivel!$B$1:$AQ$1,0),1,1)</f>
        <v>279.45</v>
      </c>
    </row>
    <row r="1716" spans="1:3">
      <c r="A1716" s="3">
        <f t="shared" si="48"/>
        <v>2024</v>
      </c>
      <c r="B1716" s="106">
        <f t="shared" si="49"/>
        <v>254</v>
      </c>
      <c r="C1716" s="107">
        <f ca="1">OFFSET(tab_tipo_Combustivel!$A$1,MATCH(B1716,tab_tipo_Combustivel!$A$2:$A$150,0),MATCH(A1716,tab_tipo_Combustivel!$B$1:$AQ$1,0),1,1)</f>
        <v>1153.98</v>
      </c>
    </row>
    <row r="1717" spans="1:3">
      <c r="A1717" s="3">
        <f t="shared" si="48"/>
        <v>2024</v>
      </c>
      <c r="B1717" s="106">
        <f t="shared" si="49"/>
        <v>255</v>
      </c>
      <c r="C1717" s="107">
        <f ca="1">OFFSET(tab_tipo_Combustivel!$A$1,MATCH(B1717,tab_tipo_Combustivel!$A$2:$A$150,0),MATCH(A1717,tab_tipo_Combustivel!$B$1:$AQ$1,0),1,1)</f>
        <v>828.98</v>
      </c>
    </row>
    <row r="1718" spans="1:3">
      <c r="A1718" s="3">
        <f t="shared" si="48"/>
        <v>2024</v>
      </c>
      <c r="B1718" s="106">
        <f t="shared" si="49"/>
        <v>256</v>
      </c>
      <c r="C1718" s="107">
        <f ca="1">OFFSET(tab_tipo_Combustivel!$A$1,MATCH(B1718,tab_tipo_Combustivel!$A$2:$A$150,0),MATCH(A1718,tab_tipo_Combustivel!$B$1:$AQ$1,0),1,1)</f>
        <v>562.65</v>
      </c>
    </row>
    <row r="1719" spans="1:3">
      <c r="A1719" s="3">
        <f t="shared" si="48"/>
        <v>2024</v>
      </c>
      <c r="B1719" s="106">
        <f t="shared" si="49"/>
        <v>257</v>
      </c>
      <c r="C1719" s="107">
        <f ca="1">OFFSET(tab_tipo_Combustivel!$A$1,MATCH(B1719,tab_tipo_Combustivel!$A$2:$A$150,0),MATCH(A1719,tab_tipo_Combustivel!$B$1:$AQ$1,0),1,1)</f>
        <v>907.52</v>
      </c>
    </row>
    <row r="1720" spans="1:3">
      <c r="A1720" s="3">
        <f t="shared" si="48"/>
        <v>2024</v>
      </c>
      <c r="B1720" s="106">
        <f t="shared" si="49"/>
        <v>258</v>
      </c>
      <c r="C1720" s="107">
        <f ca="1">OFFSET(tab_tipo_Combustivel!$A$1,MATCH(B1720,tab_tipo_Combustivel!$A$2:$A$150,0),MATCH(A1720,tab_tipo_Combustivel!$B$1:$AQ$1,0),1,1)</f>
        <v>1016.04</v>
      </c>
    </row>
    <row r="1721" spans="1:3">
      <c r="A1721" s="3">
        <f t="shared" si="48"/>
        <v>2024</v>
      </c>
      <c r="B1721" s="106">
        <f t="shared" si="49"/>
        <v>259</v>
      </c>
      <c r="C1721" s="107">
        <f ca="1">OFFSET(tab_tipo_Combustivel!$A$1,MATCH(B1721,tab_tipo_Combustivel!$A$2:$A$150,0),MATCH(A1721,tab_tipo_Combustivel!$B$1:$AQ$1,0),1,1)</f>
        <v>977.53</v>
      </c>
    </row>
    <row r="1722" spans="1:3">
      <c r="A1722" s="3">
        <f t="shared" si="48"/>
        <v>2024</v>
      </c>
      <c r="B1722" s="106">
        <f t="shared" si="49"/>
        <v>260</v>
      </c>
      <c r="C1722" s="107">
        <f ca="1">OFFSET(tab_tipo_Combustivel!$A$1,MATCH(B1722,tab_tipo_Combustivel!$A$2:$A$150,0),MATCH(A1722,tab_tipo_Combustivel!$B$1:$AQ$1,0),1,1)</f>
        <v>827.17</v>
      </c>
    </row>
    <row r="1723" spans="1:3">
      <c r="A1723" s="3">
        <f t="shared" si="48"/>
        <v>2024</v>
      </c>
      <c r="B1723" s="106">
        <f t="shared" si="49"/>
        <v>261</v>
      </c>
      <c r="C1723" s="107">
        <f ca="1">OFFSET(tab_tipo_Combustivel!$A$1,MATCH(B1723,tab_tipo_Combustivel!$A$2:$A$150,0),MATCH(A1723,tab_tipo_Combustivel!$B$1:$AQ$1,0),1,1)</f>
        <v>829.7</v>
      </c>
    </row>
    <row r="1724" spans="1:3">
      <c r="A1724" s="3">
        <f t="shared" si="48"/>
        <v>2024</v>
      </c>
      <c r="B1724" s="106">
        <f t="shared" si="49"/>
        <v>262</v>
      </c>
      <c r="C1724" s="107">
        <f ca="1">OFFSET(tab_tipo_Combustivel!$A$1,MATCH(B1724,tab_tipo_Combustivel!$A$2:$A$150,0),MATCH(A1724,tab_tipo_Combustivel!$B$1:$AQ$1,0),1,1)</f>
        <v>495.75</v>
      </c>
    </row>
    <row r="1725" spans="1:3">
      <c r="A1725" s="3">
        <f t="shared" si="48"/>
        <v>2024</v>
      </c>
      <c r="B1725" s="106">
        <f t="shared" si="49"/>
        <v>263</v>
      </c>
      <c r="C1725" s="107">
        <f ca="1">OFFSET(tab_tipo_Combustivel!$A$1,MATCH(B1725,tab_tipo_Combustivel!$A$2:$A$150,0),MATCH(A1725,tab_tipo_Combustivel!$B$1:$AQ$1,0),1,1)</f>
        <v>474.77</v>
      </c>
    </row>
    <row r="1726" spans="1:3">
      <c r="A1726" s="3">
        <f t="shared" si="48"/>
        <v>2024</v>
      </c>
      <c r="B1726" s="106">
        <f t="shared" si="49"/>
        <v>264</v>
      </c>
      <c r="C1726" s="107">
        <f ca="1">OFFSET(tab_tipo_Combustivel!$A$1,MATCH(B1726,tab_tipo_Combustivel!$A$2:$A$150,0),MATCH(A1726,tab_tipo_Combustivel!$B$1:$AQ$1,0),1,1)</f>
        <v>842.33</v>
      </c>
    </row>
    <row r="1727" spans="1:3">
      <c r="A1727" s="3">
        <f t="shared" si="48"/>
        <v>2024</v>
      </c>
      <c r="B1727" s="106">
        <f t="shared" si="49"/>
        <v>265</v>
      </c>
      <c r="C1727" s="107">
        <f ca="1">OFFSET(tab_tipo_Combustivel!$A$1,MATCH(B1727,tab_tipo_Combustivel!$A$2:$A$150,0),MATCH(A1727,tab_tipo_Combustivel!$B$1:$AQ$1,0),1,1)</f>
        <v>415.82</v>
      </c>
    </row>
    <row r="1728" spans="1:3">
      <c r="A1728" s="3">
        <f t="shared" si="48"/>
        <v>2024</v>
      </c>
      <c r="B1728" s="106">
        <f t="shared" si="49"/>
        <v>266</v>
      </c>
      <c r="C1728" s="107">
        <f ca="1">OFFSET(tab_tipo_Combustivel!$A$1,MATCH(B1728,tab_tipo_Combustivel!$A$2:$A$150,0),MATCH(A1728,tab_tipo_Combustivel!$B$1:$AQ$1,0),1,1)</f>
        <v>827.17</v>
      </c>
    </row>
    <row r="1729" spans="1:3">
      <c r="A1729" s="3">
        <f t="shared" si="48"/>
        <v>2024</v>
      </c>
      <c r="B1729" s="106">
        <f t="shared" si="49"/>
        <v>301</v>
      </c>
      <c r="C1729" s="107">
        <f ca="1">OFFSET(tab_tipo_Combustivel!$A$1,MATCH(B1729,tab_tipo_Combustivel!$A$2:$A$150,0),MATCH(A1729,tab_tipo_Combustivel!$B$1:$AQ$1,0),1,1)</f>
        <v>99.08</v>
      </c>
    </row>
    <row r="1730" spans="1:3">
      <c r="A1730" s="3">
        <f t="shared" si="48"/>
        <v>2024</v>
      </c>
      <c r="B1730" s="106">
        <f t="shared" si="49"/>
        <v>302</v>
      </c>
      <c r="C1730" s="107">
        <f ca="1">OFFSET(tab_tipo_Combustivel!$A$1,MATCH(B1730,tab_tipo_Combustivel!$A$2:$A$150,0),MATCH(A1730,tab_tipo_Combustivel!$B$1:$AQ$1,0),1,1)</f>
        <v>103.73</v>
      </c>
    </row>
    <row r="1731" spans="1:3">
      <c r="A1731" s="3">
        <f t="shared" si="48"/>
        <v>2024</v>
      </c>
      <c r="B1731" s="106">
        <f t="shared" si="49"/>
        <v>303</v>
      </c>
      <c r="C1731" s="107">
        <f ca="1">OFFSET(tab_tipo_Combustivel!$A$1,MATCH(B1731,tab_tipo_Combustivel!$A$2:$A$150,0),MATCH(A1731,tab_tipo_Combustivel!$B$1:$AQ$1,0),1,1)</f>
        <v>103.73</v>
      </c>
    </row>
    <row r="1732" spans="1:3">
      <c r="A1732" s="3">
        <f t="shared" si="48"/>
        <v>2024</v>
      </c>
      <c r="B1732" s="106">
        <f t="shared" si="49"/>
        <v>304</v>
      </c>
      <c r="C1732" s="107">
        <f ca="1">OFFSET(tab_tipo_Combustivel!$A$1,MATCH(B1732,tab_tipo_Combustivel!$A$2:$A$150,0),MATCH(A1732,tab_tipo_Combustivel!$B$1:$AQ$1,0),1,1)</f>
        <v>139.41999999999999</v>
      </c>
    </row>
    <row r="1733" spans="1:3">
      <c r="A1733" s="3">
        <f t="shared" si="48"/>
        <v>2024</v>
      </c>
      <c r="B1733" s="106">
        <f t="shared" si="49"/>
        <v>305</v>
      </c>
      <c r="C1733" s="107">
        <f ca="1">OFFSET(tab_tipo_Combustivel!$A$1,MATCH(B1733,tab_tipo_Combustivel!$A$2:$A$150,0),MATCH(A1733,tab_tipo_Combustivel!$B$1:$AQ$1,0),1,1)</f>
        <v>89.7</v>
      </c>
    </row>
    <row r="1734" spans="1:3">
      <c r="A1734" s="3">
        <f t="shared" si="48"/>
        <v>2024</v>
      </c>
      <c r="B1734" s="106">
        <f t="shared" si="49"/>
        <v>306</v>
      </c>
      <c r="C1734" s="107">
        <f ca="1">OFFSET(tab_tipo_Combustivel!$A$1,MATCH(B1734,tab_tipo_Combustivel!$A$2:$A$150,0),MATCH(A1734,tab_tipo_Combustivel!$B$1:$AQ$1,0),1,1)</f>
        <v>100.38</v>
      </c>
    </row>
    <row r="1735" spans="1:3">
      <c r="A1735" s="3">
        <f t="shared" si="48"/>
        <v>2024</v>
      </c>
      <c r="B1735" s="106">
        <f t="shared" si="49"/>
        <v>307</v>
      </c>
      <c r="C1735" s="107">
        <f ca="1">OFFSET(tab_tipo_Combustivel!$A$1,MATCH(B1735,tab_tipo_Combustivel!$A$2:$A$150,0),MATCH(A1735,tab_tipo_Combustivel!$B$1:$AQ$1,0),1,1)</f>
        <v>510.12</v>
      </c>
    </row>
    <row r="1736" spans="1:3">
      <c r="A1736" s="3">
        <f t="shared" si="48"/>
        <v>2024</v>
      </c>
      <c r="B1736" s="106">
        <f t="shared" si="49"/>
        <v>308</v>
      </c>
      <c r="C1736" s="107">
        <f ca="1">OFFSET(tab_tipo_Combustivel!$A$1,MATCH(B1736,tab_tipo_Combustivel!$A$2:$A$150,0),MATCH(A1736,tab_tipo_Combustivel!$B$1:$AQ$1,0),1,1)</f>
        <v>72.5</v>
      </c>
    </row>
    <row r="1737" spans="1:3">
      <c r="A1737" s="3">
        <f t="shared" si="48"/>
        <v>2024</v>
      </c>
      <c r="B1737" s="106">
        <f t="shared" si="49"/>
        <v>309</v>
      </c>
      <c r="C1737" s="107">
        <f ca="1">OFFSET(tab_tipo_Combustivel!$A$1,MATCH(B1737,tab_tipo_Combustivel!$A$2:$A$150,0),MATCH(A1737,tab_tipo_Combustivel!$B$1:$AQ$1,0),1,1)</f>
        <v>126.77</v>
      </c>
    </row>
    <row r="1738" spans="1:3">
      <c r="A1738" s="3">
        <f t="shared" ref="A1738:A1801" si="50">A1603+1</f>
        <v>2024</v>
      </c>
      <c r="B1738" s="106">
        <f t="shared" ref="B1738:B1801" si="51">B1603</f>
        <v>310</v>
      </c>
      <c r="C1738" s="107">
        <f ca="1">OFFSET(tab_tipo_Combustivel!$A$1,MATCH(B1738,tab_tipo_Combustivel!$A$2:$A$150,0),MATCH(A1738,tab_tipo_Combustivel!$B$1:$AQ$1,0),1,1)</f>
        <v>275.99</v>
      </c>
    </row>
    <row r="1739" spans="1:3">
      <c r="A1739" s="3">
        <f t="shared" si="50"/>
        <v>2024</v>
      </c>
      <c r="B1739" s="106">
        <f t="shared" si="51"/>
        <v>311</v>
      </c>
      <c r="C1739" s="107">
        <f ca="1">OFFSET(tab_tipo_Combustivel!$A$1,MATCH(B1739,tab_tipo_Combustivel!$A$2:$A$150,0),MATCH(A1739,tab_tipo_Combustivel!$B$1:$AQ$1,0),1,1)</f>
        <v>70.66</v>
      </c>
    </row>
    <row r="1740" spans="1:3">
      <c r="A1740" s="3">
        <f t="shared" si="50"/>
        <v>2024</v>
      </c>
      <c r="B1740" s="106">
        <f t="shared" si="51"/>
        <v>312</v>
      </c>
      <c r="C1740" s="107">
        <f ca="1">OFFSET(tab_tipo_Combustivel!$A$1,MATCH(B1740,tab_tipo_Combustivel!$A$2:$A$150,0),MATCH(A1740,tab_tipo_Combustivel!$B$1:$AQ$1,0),1,1)</f>
        <v>0</v>
      </c>
    </row>
    <row r="1741" spans="1:3">
      <c r="A1741" s="3">
        <f t="shared" si="50"/>
        <v>2024</v>
      </c>
      <c r="B1741" s="106">
        <f t="shared" si="51"/>
        <v>1301</v>
      </c>
      <c r="C1741" s="107">
        <f ca="1">OFFSET(tab_tipo_Combustivel!$A$1,MATCH(B1741,tab_tipo_Combustivel!$A$2:$A$150,0),MATCH(A1741,tab_tipo_Combustivel!$B$1:$AQ$1,0),1,1)</f>
        <v>242.05</v>
      </c>
    </row>
    <row r="1742" spans="1:3">
      <c r="A1742" s="3">
        <f t="shared" si="50"/>
        <v>2024</v>
      </c>
      <c r="B1742" s="106">
        <f t="shared" si="51"/>
        <v>1302</v>
      </c>
      <c r="C1742" s="107">
        <f ca="1">OFFSET(tab_tipo_Combustivel!$A$1,MATCH(B1742,tab_tipo_Combustivel!$A$2:$A$150,0),MATCH(A1742,tab_tipo_Combustivel!$B$1:$AQ$1,0),1,1)</f>
        <v>193.64</v>
      </c>
    </row>
    <row r="1743" spans="1:3">
      <c r="A1743" s="3">
        <f t="shared" si="50"/>
        <v>2024</v>
      </c>
      <c r="B1743" s="106">
        <f t="shared" si="51"/>
        <v>1303</v>
      </c>
      <c r="C1743" s="107">
        <f ca="1">OFFSET(tab_tipo_Combustivel!$A$1,MATCH(B1743,tab_tipo_Combustivel!$A$2:$A$150,0),MATCH(A1743,tab_tipo_Combustivel!$B$1:$AQ$1,0),1,1)</f>
        <v>25.58</v>
      </c>
    </row>
    <row r="1744" spans="1:3">
      <c r="A1744" s="3">
        <f t="shared" si="50"/>
        <v>2024</v>
      </c>
      <c r="B1744" s="106">
        <f t="shared" si="51"/>
        <v>1304</v>
      </c>
      <c r="C1744" s="107">
        <f ca="1">OFFSET(tab_tipo_Combustivel!$A$1,MATCH(B1744,tab_tipo_Combustivel!$A$2:$A$150,0),MATCH(A1744,tab_tipo_Combustivel!$B$1:$AQ$1,0),1,1)</f>
        <v>0</v>
      </c>
    </row>
    <row r="1745" spans="1:3">
      <c r="A1745" s="3">
        <f t="shared" si="50"/>
        <v>2024</v>
      </c>
      <c r="B1745" s="106">
        <f t="shared" si="51"/>
        <v>1315</v>
      </c>
      <c r="C1745" s="107">
        <f ca="1">OFFSET(tab_tipo_Combustivel!$A$1,MATCH(B1745,tab_tipo_Combustivel!$A$2:$A$150,0),MATCH(A1745,tab_tipo_Combustivel!$B$1:$AQ$1,0),1,1)</f>
        <v>0</v>
      </c>
    </row>
    <row r="1746" spans="1:3">
      <c r="A1746" s="3">
        <f t="shared" si="50"/>
        <v>2024</v>
      </c>
      <c r="B1746" s="106">
        <f t="shared" si="51"/>
        <v>1316</v>
      </c>
      <c r="C1746" s="107">
        <f ca="1">OFFSET(tab_tipo_Combustivel!$A$1,MATCH(B1746,tab_tipo_Combustivel!$A$2:$A$150,0),MATCH(A1746,tab_tipo_Combustivel!$B$1:$AQ$1,0),1,1)</f>
        <v>0</v>
      </c>
    </row>
    <row r="1747" spans="1:3">
      <c r="A1747" s="3">
        <f t="shared" si="50"/>
        <v>2024</v>
      </c>
      <c r="B1747" s="106">
        <f t="shared" si="51"/>
        <v>1318</v>
      </c>
      <c r="C1747" s="107">
        <f ca="1">OFFSET(tab_tipo_Combustivel!$A$1,MATCH(B1747,tab_tipo_Combustivel!$A$2:$A$150,0),MATCH(A1747,tab_tipo_Combustivel!$B$1:$AQ$1,0),1,1)</f>
        <v>200</v>
      </c>
    </row>
    <row r="1748" spans="1:3">
      <c r="A1748" s="3">
        <f t="shared" si="50"/>
        <v>2024</v>
      </c>
      <c r="B1748" s="106">
        <f t="shared" si="51"/>
        <v>1321</v>
      </c>
      <c r="C1748" s="107">
        <f ca="1">OFFSET(tab_tipo_Combustivel!$A$1,MATCH(B1748,tab_tipo_Combustivel!$A$2:$A$150,0),MATCH(A1748,tab_tipo_Combustivel!$B$1:$AQ$1,0),1,1)</f>
        <v>85</v>
      </c>
    </row>
    <row r="1749" spans="1:3">
      <c r="A1749" s="3">
        <f t="shared" si="50"/>
        <v>2024</v>
      </c>
      <c r="B1749" s="106">
        <f t="shared" si="51"/>
        <v>1322</v>
      </c>
      <c r="C1749" s="107">
        <f ca="1">OFFSET(tab_tipo_Combustivel!$A$1,MATCH(B1749,tab_tipo_Combustivel!$A$2:$A$150,0),MATCH(A1749,tab_tipo_Combustivel!$B$1:$AQ$1,0),1,1)</f>
        <v>140</v>
      </c>
    </row>
    <row r="1750" spans="1:3">
      <c r="A1750" s="3">
        <f t="shared" si="50"/>
        <v>2024</v>
      </c>
      <c r="B1750" s="106">
        <f t="shared" si="51"/>
        <v>1323</v>
      </c>
      <c r="C1750" s="107">
        <f ca="1">OFFSET(tab_tipo_Combustivel!$A$1,MATCH(B1750,tab_tipo_Combustivel!$A$2:$A$150,0),MATCH(A1750,tab_tipo_Combustivel!$B$1:$AQ$1,0),1,1)</f>
        <v>63.75</v>
      </c>
    </row>
    <row r="1751" spans="1:3">
      <c r="A1751" s="3">
        <f t="shared" si="50"/>
        <v>2024</v>
      </c>
      <c r="B1751" s="106">
        <f t="shared" si="51"/>
        <v>1325</v>
      </c>
      <c r="C1751" s="107">
        <f ca="1">OFFSET(tab_tipo_Combustivel!$A$1,MATCH(B1751,tab_tipo_Combustivel!$A$2:$A$150,0),MATCH(A1751,tab_tipo_Combustivel!$B$1:$AQ$1,0),1,1)</f>
        <v>0</v>
      </c>
    </row>
    <row r="1752" spans="1:3">
      <c r="A1752" s="3">
        <f t="shared" si="50"/>
        <v>2024</v>
      </c>
      <c r="B1752" s="106">
        <f t="shared" si="51"/>
        <v>1326</v>
      </c>
      <c r="C1752" s="107">
        <f ca="1">OFFSET(tab_tipo_Combustivel!$A$1,MATCH(B1752,tab_tipo_Combustivel!$A$2:$A$150,0),MATCH(A1752,tab_tipo_Combustivel!$B$1:$AQ$1,0),1,1)</f>
        <v>260</v>
      </c>
    </row>
    <row r="1753" spans="1:3">
      <c r="A1753" s="3">
        <f t="shared" si="50"/>
        <v>2024</v>
      </c>
      <c r="B1753" s="106">
        <f t="shared" si="51"/>
        <v>1501</v>
      </c>
      <c r="C1753" s="107">
        <f ca="1">OFFSET(tab_tipo_Combustivel!$A$1,MATCH(B1753,tab_tipo_Combustivel!$A$2:$A$150,0),MATCH(A1753,tab_tipo_Combustivel!$B$1:$AQ$1,0),1,1)</f>
        <v>260</v>
      </c>
    </row>
    <row r="1754" spans="1:3">
      <c r="A1754" s="3">
        <f t="shared" si="50"/>
        <v>2024</v>
      </c>
      <c r="B1754" s="106">
        <f t="shared" si="51"/>
        <v>1502</v>
      </c>
      <c r="C1754" s="107">
        <f ca="1">OFFSET(tab_tipo_Combustivel!$A$1,MATCH(B1754,tab_tipo_Combustivel!$A$2:$A$150,0),MATCH(A1754,tab_tipo_Combustivel!$B$1:$AQ$1,0),1,1)</f>
        <v>60</v>
      </c>
    </row>
    <row r="1755" spans="1:3">
      <c r="A1755" s="3">
        <f t="shared" si="50"/>
        <v>2024</v>
      </c>
      <c r="B1755" s="106">
        <f t="shared" si="51"/>
        <v>1503</v>
      </c>
      <c r="C1755" s="107">
        <f ca="1">OFFSET(tab_tipo_Combustivel!$A$1,MATCH(B1755,tab_tipo_Combustivel!$A$2:$A$150,0),MATCH(A1755,tab_tipo_Combustivel!$B$1:$AQ$1,0),1,1)</f>
        <v>96.82</v>
      </c>
    </row>
    <row r="1756" spans="1:3">
      <c r="A1756" s="3">
        <f t="shared" si="50"/>
        <v>2024</v>
      </c>
      <c r="B1756" s="106">
        <f t="shared" si="51"/>
        <v>1504</v>
      </c>
      <c r="C1756" s="107">
        <f ca="1">OFFSET(tab_tipo_Combustivel!$A$1,MATCH(B1756,tab_tipo_Combustivel!$A$2:$A$150,0),MATCH(A1756,tab_tipo_Combustivel!$B$1:$AQ$1,0),1,1)</f>
        <v>145.22999999999999</v>
      </c>
    </row>
    <row r="1757" spans="1:3">
      <c r="A1757" s="3">
        <f t="shared" si="50"/>
        <v>2025</v>
      </c>
      <c r="B1757" s="106">
        <f t="shared" si="51"/>
        <v>1</v>
      </c>
      <c r="C1757" s="107">
        <f ca="1">OFFSET(tab_tipo_Combustivel!$A$1,MATCH(B1757,tab_tipo_Combustivel!$A$2:$A$150,0),MATCH(A1757,tab_tipo_Combustivel!$B$1:$AQ$1,0),1,1)</f>
        <v>29.13</v>
      </c>
    </row>
    <row r="1758" spans="1:3">
      <c r="A1758" s="3">
        <f t="shared" si="50"/>
        <v>2025</v>
      </c>
      <c r="B1758" s="106">
        <f t="shared" si="51"/>
        <v>2</v>
      </c>
      <c r="C1758" s="107">
        <f ca="1">OFFSET(tab_tipo_Combustivel!$A$1,MATCH(B1758,tab_tipo_Combustivel!$A$2:$A$150,0),MATCH(A1758,tab_tipo_Combustivel!$B$1:$AQ$1,0),1,1)</f>
        <v>842.33</v>
      </c>
    </row>
    <row r="1759" spans="1:3">
      <c r="A1759" s="3">
        <f t="shared" si="50"/>
        <v>2025</v>
      </c>
      <c r="B1759" s="106">
        <f t="shared" si="51"/>
        <v>4</v>
      </c>
      <c r="C1759" s="107">
        <f ca="1">OFFSET(tab_tipo_Combustivel!$A$1,MATCH(B1759,tab_tipo_Combustivel!$A$2:$A$150,0),MATCH(A1759,tab_tipo_Combustivel!$B$1:$AQ$1,0),1,1)</f>
        <v>842.33</v>
      </c>
    </row>
    <row r="1760" spans="1:3">
      <c r="A1760" s="3">
        <f t="shared" si="50"/>
        <v>2025</v>
      </c>
      <c r="B1760" s="106">
        <f t="shared" si="51"/>
        <v>9</v>
      </c>
      <c r="C1760" s="107">
        <f ca="1">OFFSET(tab_tipo_Combustivel!$A$1,MATCH(B1760,tab_tipo_Combustivel!$A$2:$A$150,0),MATCH(A1760,tab_tipo_Combustivel!$B$1:$AQ$1,0),1,1)</f>
        <v>842.33</v>
      </c>
    </row>
    <row r="1761" spans="1:3">
      <c r="A1761" s="3">
        <f t="shared" si="50"/>
        <v>2025</v>
      </c>
      <c r="B1761" s="106">
        <f t="shared" si="51"/>
        <v>12</v>
      </c>
      <c r="C1761" s="107">
        <f ca="1">OFFSET(tab_tipo_Combustivel!$A$1,MATCH(B1761,tab_tipo_Combustivel!$A$2:$A$150,0),MATCH(A1761,tab_tipo_Combustivel!$B$1:$AQ$1,0),1,1)</f>
        <v>728.87</v>
      </c>
    </row>
    <row r="1762" spans="1:3">
      <c r="A1762" s="3">
        <f t="shared" si="50"/>
        <v>2025</v>
      </c>
      <c r="B1762" s="106">
        <f t="shared" si="51"/>
        <v>13</v>
      </c>
      <c r="C1762" s="107">
        <f ca="1">OFFSET(tab_tipo_Combustivel!$A$1,MATCH(B1762,tab_tipo_Combustivel!$A$2:$A$150,0),MATCH(A1762,tab_tipo_Combustivel!$B$1:$AQ$1,0),1,1)</f>
        <v>20.12</v>
      </c>
    </row>
    <row r="1763" spans="1:3">
      <c r="A1763" s="3">
        <f t="shared" si="50"/>
        <v>2025</v>
      </c>
      <c r="B1763" s="106">
        <f t="shared" si="51"/>
        <v>15</v>
      </c>
      <c r="C1763" s="107">
        <f ca="1">OFFSET(tab_tipo_Combustivel!$A$1,MATCH(B1763,tab_tipo_Combustivel!$A$2:$A$150,0),MATCH(A1763,tab_tipo_Combustivel!$B$1:$AQ$1,0),1,1)</f>
        <v>257.29000000000002</v>
      </c>
    </row>
    <row r="1764" spans="1:3">
      <c r="A1764" s="3">
        <f t="shared" si="50"/>
        <v>2025</v>
      </c>
      <c r="B1764" s="106">
        <f t="shared" si="51"/>
        <v>21</v>
      </c>
      <c r="C1764" s="107">
        <f ca="1">OFFSET(tab_tipo_Combustivel!$A$1,MATCH(B1764,tab_tipo_Combustivel!$A$2:$A$150,0),MATCH(A1764,tab_tipo_Combustivel!$B$1:$AQ$1,0),1,1)</f>
        <v>157.83000000000001</v>
      </c>
    </row>
    <row r="1765" spans="1:3">
      <c r="A1765" s="3">
        <f t="shared" si="50"/>
        <v>2025</v>
      </c>
      <c r="B1765" s="106">
        <f t="shared" si="51"/>
        <v>22</v>
      </c>
      <c r="C1765" s="107">
        <f ca="1">OFFSET(tab_tipo_Combustivel!$A$1,MATCH(B1765,tab_tipo_Combustivel!$A$2:$A$150,0),MATCH(A1765,tab_tipo_Combustivel!$B$1:$AQ$1,0),1,1)</f>
        <v>115.9</v>
      </c>
    </row>
    <row r="1766" spans="1:3">
      <c r="A1766" s="3">
        <f t="shared" si="50"/>
        <v>2025</v>
      </c>
      <c r="B1766" s="106">
        <f t="shared" si="51"/>
        <v>23</v>
      </c>
      <c r="C1766" s="107">
        <f ca="1">OFFSET(tab_tipo_Combustivel!$A$1,MATCH(B1766,tab_tipo_Combustivel!$A$2:$A$150,0),MATCH(A1766,tab_tipo_Combustivel!$B$1:$AQ$1,0),1,1)</f>
        <v>115.9</v>
      </c>
    </row>
    <row r="1767" spans="1:3">
      <c r="A1767" s="3">
        <f t="shared" si="50"/>
        <v>2025</v>
      </c>
      <c r="B1767" s="106">
        <f t="shared" si="51"/>
        <v>24</v>
      </c>
      <c r="C1767" s="107">
        <f ca="1">OFFSET(tab_tipo_Combustivel!$A$1,MATCH(B1767,tab_tipo_Combustivel!$A$2:$A$150,0),MATCH(A1767,tab_tipo_Combustivel!$B$1:$AQ$1,0),1,1)</f>
        <v>155.85</v>
      </c>
    </row>
    <row r="1768" spans="1:3">
      <c r="A1768" s="3">
        <f t="shared" si="50"/>
        <v>2025</v>
      </c>
      <c r="B1768" s="106">
        <f t="shared" si="51"/>
        <v>25</v>
      </c>
      <c r="C1768" s="107">
        <f ca="1">OFFSET(tab_tipo_Combustivel!$A$1,MATCH(B1768,tab_tipo_Combustivel!$A$2:$A$150,0),MATCH(A1768,tab_tipo_Combustivel!$B$1:$AQ$1,0),1,1)</f>
        <v>186.33</v>
      </c>
    </row>
    <row r="1769" spans="1:3">
      <c r="A1769" s="3">
        <f t="shared" si="50"/>
        <v>2025</v>
      </c>
      <c r="B1769" s="106">
        <f t="shared" si="51"/>
        <v>26</v>
      </c>
      <c r="C1769" s="107">
        <f ca="1">OFFSET(tab_tipo_Combustivel!$A$1,MATCH(B1769,tab_tipo_Combustivel!$A$2:$A$150,0),MATCH(A1769,tab_tipo_Combustivel!$B$1:$AQ$1,0),1,1)</f>
        <v>258.42</v>
      </c>
    </row>
    <row r="1770" spans="1:3">
      <c r="A1770" s="3">
        <f t="shared" si="50"/>
        <v>2025</v>
      </c>
      <c r="B1770" s="106">
        <f t="shared" si="51"/>
        <v>27</v>
      </c>
      <c r="C1770" s="107">
        <f ca="1">OFFSET(tab_tipo_Combustivel!$A$1,MATCH(B1770,tab_tipo_Combustivel!$A$2:$A$150,0),MATCH(A1770,tab_tipo_Combustivel!$B$1:$AQ$1,0),1,1)</f>
        <v>195.49</v>
      </c>
    </row>
    <row r="1771" spans="1:3">
      <c r="A1771" s="3">
        <f t="shared" si="50"/>
        <v>2025</v>
      </c>
      <c r="B1771" s="106">
        <f t="shared" si="51"/>
        <v>28</v>
      </c>
      <c r="C1771" s="107">
        <f ca="1">OFFSET(tab_tipo_Combustivel!$A$1,MATCH(B1771,tab_tipo_Combustivel!$A$2:$A$150,0),MATCH(A1771,tab_tipo_Combustivel!$B$1:$AQ$1,0),1,1)</f>
        <v>459.92</v>
      </c>
    </row>
    <row r="1772" spans="1:3">
      <c r="A1772" s="3">
        <f t="shared" si="50"/>
        <v>2025</v>
      </c>
      <c r="B1772" s="106">
        <f t="shared" si="51"/>
        <v>32</v>
      </c>
      <c r="C1772" s="107">
        <f ca="1">OFFSET(tab_tipo_Combustivel!$A$1,MATCH(B1772,tab_tipo_Combustivel!$A$2:$A$150,0),MATCH(A1772,tab_tipo_Combustivel!$B$1:$AQ$1,0),1,1)</f>
        <v>248.31</v>
      </c>
    </row>
    <row r="1773" spans="1:3">
      <c r="A1773" s="3">
        <f t="shared" si="50"/>
        <v>2025</v>
      </c>
      <c r="B1773" s="106">
        <f t="shared" si="51"/>
        <v>34</v>
      </c>
      <c r="C1773" s="107">
        <f ca="1">OFFSET(tab_tipo_Combustivel!$A$1,MATCH(B1773,tab_tipo_Combustivel!$A$2:$A$150,0),MATCH(A1773,tab_tipo_Combustivel!$B$1:$AQ$1,0),1,1)</f>
        <v>423.38</v>
      </c>
    </row>
    <row r="1774" spans="1:3">
      <c r="A1774" s="3">
        <f t="shared" si="50"/>
        <v>2025</v>
      </c>
      <c r="B1774" s="106">
        <f t="shared" si="51"/>
        <v>35</v>
      </c>
      <c r="C1774" s="107">
        <f ca="1">OFFSET(tab_tipo_Combustivel!$A$1,MATCH(B1774,tab_tipo_Combustivel!$A$2:$A$150,0),MATCH(A1774,tab_tipo_Combustivel!$B$1:$AQ$1,0),1,1)</f>
        <v>692.45</v>
      </c>
    </row>
    <row r="1775" spans="1:3">
      <c r="A1775" s="3">
        <f t="shared" si="50"/>
        <v>2025</v>
      </c>
      <c r="B1775" s="106">
        <f t="shared" si="51"/>
        <v>36</v>
      </c>
      <c r="C1775" s="107">
        <f ca="1">OFFSET(tab_tipo_Combustivel!$A$1,MATCH(B1775,tab_tipo_Combustivel!$A$2:$A$150,0),MATCH(A1775,tab_tipo_Combustivel!$B$1:$AQ$1,0),1,1)</f>
        <v>157.83000000000001</v>
      </c>
    </row>
    <row r="1776" spans="1:3">
      <c r="A1776" s="3">
        <f t="shared" si="50"/>
        <v>2025</v>
      </c>
      <c r="B1776" s="106">
        <f t="shared" si="51"/>
        <v>42</v>
      </c>
      <c r="C1776" s="107">
        <f ca="1">OFFSET(tab_tipo_Combustivel!$A$1,MATCH(B1776,tab_tipo_Combustivel!$A$2:$A$150,0),MATCH(A1776,tab_tipo_Combustivel!$B$1:$AQ$1,0),1,1)</f>
        <v>199.22</v>
      </c>
    </row>
    <row r="1777" spans="1:3">
      <c r="A1777" s="3">
        <f t="shared" si="50"/>
        <v>2025</v>
      </c>
      <c r="B1777" s="106">
        <f t="shared" si="51"/>
        <v>43</v>
      </c>
      <c r="C1777" s="107">
        <f ca="1">OFFSET(tab_tipo_Combustivel!$A$1,MATCH(B1777,tab_tipo_Combustivel!$A$2:$A$150,0),MATCH(A1777,tab_tipo_Combustivel!$B$1:$AQ$1,0),1,1)</f>
        <v>431.62</v>
      </c>
    </row>
    <row r="1778" spans="1:3">
      <c r="A1778" s="3">
        <f t="shared" si="50"/>
        <v>2025</v>
      </c>
      <c r="B1778" s="106">
        <f t="shared" si="51"/>
        <v>44</v>
      </c>
      <c r="C1778" s="107">
        <f ca="1">OFFSET(tab_tipo_Combustivel!$A$1,MATCH(B1778,tab_tipo_Combustivel!$A$2:$A$150,0),MATCH(A1778,tab_tipo_Combustivel!$B$1:$AQ$1,0),1,1)</f>
        <v>25.58</v>
      </c>
    </row>
    <row r="1779" spans="1:3">
      <c r="A1779" s="3">
        <f t="shared" si="50"/>
        <v>2025</v>
      </c>
      <c r="B1779" s="106">
        <f t="shared" si="51"/>
        <v>46</v>
      </c>
      <c r="C1779" s="107">
        <f ca="1">OFFSET(tab_tipo_Combustivel!$A$1,MATCH(B1779,tab_tipo_Combustivel!$A$2:$A$150,0),MATCH(A1779,tab_tipo_Combustivel!$B$1:$AQ$1,0),1,1)</f>
        <v>228.91</v>
      </c>
    </row>
    <row r="1780" spans="1:3">
      <c r="A1780" s="3">
        <f t="shared" si="50"/>
        <v>2025</v>
      </c>
      <c r="B1780" s="106">
        <f t="shared" si="51"/>
        <v>47</v>
      </c>
      <c r="C1780" s="107">
        <f ca="1">OFFSET(tab_tipo_Combustivel!$A$1,MATCH(B1780,tab_tipo_Combustivel!$A$2:$A$150,0),MATCH(A1780,tab_tipo_Combustivel!$B$1:$AQ$1,0),1,1)</f>
        <v>235.6</v>
      </c>
    </row>
    <row r="1781" spans="1:3">
      <c r="A1781" s="3">
        <f t="shared" si="50"/>
        <v>2025</v>
      </c>
      <c r="B1781" s="106">
        <f t="shared" si="51"/>
        <v>48</v>
      </c>
      <c r="C1781" s="107">
        <f ca="1">OFFSET(tab_tipo_Combustivel!$A$1,MATCH(B1781,tab_tipo_Combustivel!$A$2:$A$150,0),MATCH(A1781,tab_tipo_Combustivel!$B$1:$AQ$1,0),1,1)</f>
        <v>1012.12</v>
      </c>
    </row>
    <row r="1782" spans="1:3">
      <c r="A1782" s="3">
        <f t="shared" si="50"/>
        <v>2025</v>
      </c>
      <c r="B1782" s="106">
        <f t="shared" si="51"/>
        <v>50</v>
      </c>
      <c r="C1782" s="107">
        <f ca="1">OFFSET(tab_tipo_Combustivel!$A$1,MATCH(B1782,tab_tipo_Combustivel!$A$2:$A$150,0),MATCH(A1782,tab_tipo_Combustivel!$B$1:$AQ$1,0),1,1)</f>
        <v>669.87</v>
      </c>
    </row>
    <row r="1783" spans="1:3">
      <c r="A1783" s="3">
        <f t="shared" si="50"/>
        <v>2025</v>
      </c>
      <c r="B1783" s="106">
        <f t="shared" si="51"/>
        <v>54</v>
      </c>
      <c r="C1783" s="107">
        <f ca="1">OFFSET(tab_tipo_Combustivel!$A$1,MATCH(B1783,tab_tipo_Combustivel!$A$2:$A$150,0),MATCH(A1783,tab_tipo_Combustivel!$B$1:$AQ$1,0),1,1)</f>
        <v>304.55</v>
      </c>
    </row>
    <row r="1784" spans="1:3">
      <c r="A1784" s="3">
        <f t="shared" si="50"/>
        <v>2025</v>
      </c>
      <c r="B1784" s="106">
        <f t="shared" si="51"/>
        <v>58</v>
      </c>
      <c r="C1784" s="107">
        <f ca="1">OFFSET(tab_tipo_Combustivel!$A$1,MATCH(B1784,tab_tipo_Combustivel!$A$2:$A$150,0),MATCH(A1784,tab_tipo_Combustivel!$B$1:$AQ$1,0),1,1)</f>
        <v>300.05</v>
      </c>
    </row>
    <row r="1785" spans="1:3">
      <c r="A1785" s="3">
        <f t="shared" si="50"/>
        <v>2025</v>
      </c>
      <c r="B1785" s="106">
        <f t="shared" si="51"/>
        <v>62</v>
      </c>
      <c r="C1785" s="107">
        <f ca="1">OFFSET(tab_tipo_Combustivel!$A$1,MATCH(B1785,tab_tipo_Combustivel!$A$2:$A$150,0),MATCH(A1785,tab_tipo_Combustivel!$B$1:$AQ$1,0),1,1)</f>
        <v>309.24</v>
      </c>
    </row>
    <row r="1786" spans="1:3">
      <c r="A1786" s="3">
        <f t="shared" si="50"/>
        <v>2025</v>
      </c>
      <c r="B1786" s="106">
        <f t="shared" si="51"/>
        <v>63</v>
      </c>
      <c r="C1786" s="107">
        <f ca="1">OFFSET(tab_tipo_Combustivel!$A$1,MATCH(B1786,tab_tipo_Combustivel!$A$2:$A$150,0),MATCH(A1786,tab_tipo_Combustivel!$B$1:$AQ$1,0),1,1)</f>
        <v>365.77</v>
      </c>
    </row>
    <row r="1787" spans="1:3">
      <c r="A1787" s="3">
        <f t="shared" si="50"/>
        <v>2025</v>
      </c>
      <c r="B1787" s="106">
        <f t="shared" si="51"/>
        <v>64</v>
      </c>
      <c r="C1787" s="107">
        <f ca="1">OFFSET(tab_tipo_Combustivel!$A$1,MATCH(B1787,tab_tipo_Combustivel!$A$2:$A$150,0),MATCH(A1787,tab_tipo_Combustivel!$B$1:$AQ$1,0),1,1)</f>
        <v>853.54</v>
      </c>
    </row>
    <row r="1788" spans="1:3">
      <c r="A1788" s="3">
        <f t="shared" si="50"/>
        <v>2025</v>
      </c>
      <c r="B1788" s="106">
        <f t="shared" si="51"/>
        <v>68</v>
      </c>
      <c r="C1788" s="107">
        <f ca="1">OFFSET(tab_tipo_Combustivel!$A$1,MATCH(B1788,tab_tipo_Combustivel!$A$2:$A$150,0),MATCH(A1788,tab_tipo_Combustivel!$B$1:$AQ$1,0),1,1)</f>
        <v>195.63</v>
      </c>
    </row>
    <row r="1789" spans="1:3">
      <c r="A1789" s="3">
        <f t="shared" si="50"/>
        <v>2025</v>
      </c>
      <c r="B1789" s="106">
        <f t="shared" si="51"/>
        <v>74</v>
      </c>
      <c r="C1789" s="107">
        <f ca="1">OFFSET(tab_tipo_Combustivel!$A$1,MATCH(B1789,tab_tipo_Combustivel!$A$2:$A$150,0),MATCH(A1789,tab_tipo_Combustivel!$B$1:$AQ$1,0),1,1)</f>
        <v>364.46</v>
      </c>
    </row>
    <row r="1790" spans="1:3">
      <c r="A1790" s="3">
        <f t="shared" si="50"/>
        <v>2025</v>
      </c>
      <c r="B1790" s="106">
        <f t="shared" si="51"/>
        <v>83</v>
      </c>
      <c r="C1790" s="107">
        <f ca="1">OFFSET(tab_tipo_Combustivel!$A$1,MATCH(B1790,tab_tipo_Combustivel!$A$2:$A$150,0),MATCH(A1790,tab_tipo_Combustivel!$B$1:$AQ$1,0),1,1)</f>
        <v>448.1</v>
      </c>
    </row>
    <row r="1791" spans="1:3">
      <c r="A1791" s="3">
        <f t="shared" si="50"/>
        <v>2025</v>
      </c>
      <c r="B1791" s="106">
        <f t="shared" si="51"/>
        <v>86</v>
      </c>
      <c r="C1791" s="107">
        <f ca="1">OFFSET(tab_tipo_Combustivel!$A$1,MATCH(B1791,tab_tipo_Combustivel!$A$2:$A$150,0),MATCH(A1791,tab_tipo_Combustivel!$B$1:$AQ$1,0),1,1)</f>
        <v>170.34</v>
      </c>
    </row>
    <row r="1792" spans="1:3">
      <c r="A1792" s="3">
        <f t="shared" si="50"/>
        <v>2025</v>
      </c>
      <c r="B1792" s="106">
        <f t="shared" si="51"/>
        <v>90</v>
      </c>
      <c r="C1792" s="107">
        <f ca="1">OFFSET(tab_tipo_Combustivel!$A$1,MATCH(B1792,tab_tipo_Combustivel!$A$2:$A$150,0),MATCH(A1792,tab_tipo_Combustivel!$B$1:$AQ$1,0),1,1)</f>
        <v>533.1</v>
      </c>
    </row>
    <row r="1793" spans="1:3">
      <c r="A1793" s="3">
        <f t="shared" si="50"/>
        <v>2025</v>
      </c>
      <c r="B1793" s="106">
        <f t="shared" si="51"/>
        <v>93</v>
      </c>
      <c r="C1793" s="107">
        <f ca="1">OFFSET(tab_tipo_Combustivel!$A$1,MATCH(B1793,tab_tipo_Combustivel!$A$2:$A$150,0),MATCH(A1793,tab_tipo_Combustivel!$B$1:$AQ$1,0),1,1)</f>
        <v>842.33</v>
      </c>
    </row>
    <row r="1794" spans="1:3">
      <c r="A1794" s="3">
        <f t="shared" si="50"/>
        <v>2025</v>
      </c>
      <c r="B1794" s="106">
        <f t="shared" si="51"/>
        <v>94</v>
      </c>
      <c r="C1794" s="107">
        <f ca="1">OFFSET(tab_tipo_Combustivel!$A$1,MATCH(B1794,tab_tipo_Combustivel!$A$2:$A$150,0),MATCH(A1794,tab_tipo_Combustivel!$B$1:$AQ$1,0),1,1)</f>
        <v>842.33</v>
      </c>
    </row>
    <row r="1795" spans="1:3">
      <c r="A1795" s="3">
        <f t="shared" si="50"/>
        <v>2025</v>
      </c>
      <c r="B1795" s="106">
        <f t="shared" si="51"/>
        <v>96</v>
      </c>
      <c r="C1795" s="107">
        <f ca="1">OFFSET(tab_tipo_Combustivel!$A$1,MATCH(B1795,tab_tipo_Combustivel!$A$2:$A$150,0),MATCH(A1795,tab_tipo_Combustivel!$B$1:$AQ$1,0),1,1)</f>
        <v>99.92</v>
      </c>
    </row>
    <row r="1796" spans="1:3">
      <c r="A1796" s="3">
        <f t="shared" si="50"/>
        <v>2025</v>
      </c>
      <c r="B1796" s="106">
        <f t="shared" si="51"/>
        <v>98</v>
      </c>
      <c r="C1796" s="107">
        <f ca="1">OFFSET(tab_tipo_Combustivel!$A$1,MATCH(B1796,tab_tipo_Combustivel!$A$2:$A$150,0),MATCH(A1796,tab_tipo_Combustivel!$B$1:$AQ$1,0),1,1)</f>
        <v>489.8</v>
      </c>
    </row>
    <row r="1797" spans="1:3">
      <c r="A1797" s="3">
        <f t="shared" si="50"/>
        <v>2025</v>
      </c>
      <c r="B1797" s="106">
        <f t="shared" si="51"/>
        <v>107</v>
      </c>
      <c r="C1797" s="107">
        <f ca="1">OFFSET(tab_tipo_Combustivel!$A$1,MATCH(B1797,tab_tipo_Combustivel!$A$2:$A$150,0),MATCH(A1797,tab_tipo_Combustivel!$B$1:$AQ$1,0),1,1)</f>
        <v>57.63</v>
      </c>
    </row>
    <row r="1798" spans="1:3">
      <c r="A1798" s="3">
        <f t="shared" si="50"/>
        <v>2025</v>
      </c>
      <c r="B1798" s="106">
        <f t="shared" si="51"/>
        <v>110</v>
      </c>
      <c r="C1798" s="107">
        <f ca="1">OFFSET(tab_tipo_Combustivel!$A$1,MATCH(B1798,tab_tipo_Combustivel!$A$2:$A$150,0),MATCH(A1798,tab_tipo_Combustivel!$B$1:$AQ$1,0),1,1)</f>
        <v>568.29</v>
      </c>
    </row>
    <row r="1799" spans="1:3">
      <c r="A1799" s="3">
        <f t="shared" si="50"/>
        <v>2025</v>
      </c>
      <c r="B1799" s="106">
        <f t="shared" si="51"/>
        <v>116</v>
      </c>
      <c r="C1799" s="107">
        <f ca="1">OFFSET(tab_tipo_Combustivel!$A$1,MATCH(B1799,tab_tipo_Combustivel!$A$2:$A$150,0),MATCH(A1799,tab_tipo_Combustivel!$B$1:$AQ$1,0),1,1)</f>
        <v>117.46</v>
      </c>
    </row>
    <row r="1800" spans="1:3">
      <c r="A1800" s="3">
        <f t="shared" si="50"/>
        <v>2025</v>
      </c>
      <c r="B1800" s="106">
        <f t="shared" si="51"/>
        <v>140</v>
      </c>
      <c r="C1800" s="107">
        <f ca="1">OFFSET(tab_tipo_Combustivel!$A$1,MATCH(B1800,tab_tipo_Combustivel!$A$2:$A$150,0),MATCH(A1800,tab_tipo_Combustivel!$B$1:$AQ$1,0),1,1)</f>
        <v>88.11</v>
      </c>
    </row>
    <row r="1801" spans="1:3">
      <c r="A1801" s="3">
        <f t="shared" si="50"/>
        <v>2025</v>
      </c>
      <c r="B1801" s="106">
        <f t="shared" si="51"/>
        <v>141</v>
      </c>
      <c r="C1801" s="107">
        <f ca="1">OFFSET(tab_tipo_Combustivel!$A$1,MATCH(B1801,tab_tipo_Combustivel!$A$2:$A$150,0),MATCH(A1801,tab_tipo_Combustivel!$B$1:$AQ$1,0),1,1)</f>
        <v>1280.52</v>
      </c>
    </row>
    <row r="1802" spans="1:3">
      <c r="A1802" s="3">
        <f t="shared" ref="A1802:A1865" si="52">A1667+1</f>
        <v>2025</v>
      </c>
      <c r="B1802" s="106">
        <f t="shared" ref="B1802:B1865" si="53">B1667</f>
        <v>147</v>
      </c>
      <c r="C1802" s="107">
        <f ca="1">OFFSET(tab_tipo_Combustivel!$A$1,MATCH(B1802,tab_tipo_Combustivel!$A$2:$A$150,0),MATCH(A1802,tab_tipo_Combustivel!$B$1:$AQ$1,0),1,1)</f>
        <v>134.18</v>
      </c>
    </row>
    <row r="1803" spans="1:3">
      <c r="A1803" s="3">
        <f t="shared" si="52"/>
        <v>2025</v>
      </c>
      <c r="B1803" s="106">
        <f t="shared" si="53"/>
        <v>156</v>
      </c>
      <c r="C1803" s="107">
        <f ca="1">OFFSET(tab_tipo_Combustivel!$A$1,MATCH(B1803,tab_tipo_Combustivel!$A$2:$A$150,0),MATCH(A1803,tab_tipo_Combustivel!$B$1:$AQ$1,0),1,1)</f>
        <v>77.12</v>
      </c>
    </row>
    <row r="1804" spans="1:3">
      <c r="A1804" s="3">
        <f t="shared" si="52"/>
        <v>2025</v>
      </c>
      <c r="B1804" s="106">
        <f t="shared" si="53"/>
        <v>163</v>
      </c>
      <c r="C1804" s="107">
        <f ca="1">OFFSET(tab_tipo_Combustivel!$A$1,MATCH(B1804,tab_tipo_Combustivel!$A$2:$A$150,0),MATCH(A1804,tab_tipo_Combustivel!$B$1:$AQ$1,0),1,1)</f>
        <v>156.69999999999999</v>
      </c>
    </row>
    <row r="1805" spans="1:3">
      <c r="A1805" s="3">
        <f t="shared" si="52"/>
        <v>2025</v>
      </c>
      <c r="B1805" s="106">
        <f t="shared" si="53"/>
        <v>167</v>
      </c>
      <c r="C1805" s="107">
        <f ca="1">OFFSET(tab_tipo_Combustivel!$A$1,MATCH(B1805,tab_tipo_Combustivel!$A$2:$A$150,0),MATCH(A1805,tab_tipo_Combustivel!$B$1:$AQ$1,0),1,1)</f>
        <v>144.66999999999999</v>
      </c>
    </row>
    <row r="1806" spans="1:3">
      <c r="A1806" s="3">
        <f t="shared" si="52"/>
        <v>2025</v>
      </c>
      <c r="B1806" s="106">
        <f t="shared" si="53"/>
        <v>171</v>
      </c>
      <c r="C1806" s="107">
        <f ca="1">OFFSET(tab_tipo_Combustivel!$A$1,MATCH(B1806,tab_tipo_Combustivel!$A$2:$A$150,0),MATCH(A1806,tab_tipo_Combustivel!$B$1:$AQ$1,0),1,1)</f>
        <v>88</v>
      </c>
    </row>
    <row r="1807" spans="1:3">
      <c r="A1807" s="3">
        <f t="shared" si="52"/>
        <v>2025</v>
      </c>
      <c r="B1807" s="106">
        <f t="shared" si="53"/>
        <v>172</v>
      </c>
      <c r="C1807" s="107">
        <f ca="1">OFFSET(tab_tipo_Combustivel!$A$1,MATCH(B1807,tab_tipo_Combustivel!$A$2:$A$150,0),MATCH(A1807,tab_tipo_Combustivel!$B$1:$AQ$1,0),1,1)</f>
        <v>99.97</v>
      </c>
    </row>
    <row r="1808" spans="1:3">
      <c r="A1808" s="3">
        <f t="shared" si="52"/>
        <v>2025</v>
      </c>
      <c r="B1808" s="106">
        <f t="shared" si="53"/>
        <v>173</v>
      </c>
      <c r="C1808" s="107">
        <f ca="1">OFFSET(tab_tipo_Combustivel!$A$1,MATCH(B1808,tab_tipo_Combustivel!$A$2:$A$150,0),MATCH(A1808,tab_tipo_Combustivel!$B$1:$AQ$1,0),1,1)</f>
        <v>192.03</v>
      </c>
    </row>
    <row r="1809" spans="1:3">
      <c r="A1809" s="3">
        <f t="shared" si="52"/>
        <v>2025</v>
      </c>
      <c r="B1809" s="106">
        <f t="shared" si="53"/>
        <v>174</v>
      </c>
      <c r="C1809" s="107">
        <f ca="1">OFFSET(tab_tipo_Combustivel!$A$1,MATCH(B1809,tab_tipo_Combustivel!$A$2:$A$150,0),MATCH(A1809,tab_tipo_Combustivel!$B$1:$AQ$1,0),1,1)</f>
        <v>331.22</v>
      </c>
    </row>
    <row r="1810" spans="1:3">
      <c r="A1810" s="3">
        <f t="shared" si="52"/>
        <v>2025</v>
      </c>
      <c r="B1810" s="106">
        <f t="shared" si="53"/>
        <v>176</v>
      </c>
      <c r="C1810" s="107">
        <f ca="1">OFFSET(tab_tipo_Combustivel!$A$1,MATCH(B1810,tab_tipo_Combustivel!$A$2:$A$150,0),MATCH(A1810,tab_tipo_Combustivel!$B$1:$AQ$1,0),1,1)</f>
        <v>149.47999999999999</v>
      </c>
    </row>
    <row r="1811" spans="1:3">
      <c r="A1811" s="3">
        <f t="shared" si="52"/>
        <v>2025</v>
      </c>
      <c r="B1811" s="106">
        <f t="shared" si="53"/>
        <v>183</v>
      </c>
      <c r="C1811" s="107">
        <f ca="1">OFFSET(tab_tipo_Combustivel!$A$1,MATCH(B1811,tab_tipo_Combustivel!$A$2:$A$150,0),MATCH(A1811,tab_tipo_Combustivel!$B$1:$AQ$1,0),1,1)</f>
        <v>171.61</v>
      </c>
    </row>
    <row r="1812" spans="1:3">
      <c r="A1812" s="3">
        <f t="shared" si="52"/>
        <v>2025</v>
      </c>
      <c r="B1812" s="106">
        <f t="shared" si="53"/>
        <v>194</v>
      </c>
      <c r="C1812" s="107">
        <f ca="1">OFFSET(tab_tipo_Combustivel!$A$1,MATCH(B1812,tab_tipo_Combustivel!$A$2:$A$150,0),MATCH(A1812,tab_tipo_Combustivel!$B$1:$AQ$1,0),1,1)</f>
        <v>1098.58</v>
      </c>
    </row>
    <row r="1813" spans="1:3">
      <c r="A1813" s="3">
        <f t="shared" si="52"/>
        <v>2025</v>
      </c>
      <c r="B1813" s="106">
        <f t="shared" si="53"/>
        <v>203</v>
      </c>
      <c r="C1813" s="107">
        <f ca="1">OFFSET(tab_tipo_Combustivel!$A$1,MATCH(B1813,tab_tipo_Combustivel!$A$2:$A$150,0),MATCH(A1813,tab_tipo_Combustivel!$B$1:$AQ$1,0),1,1)</f>
        <v>0</v>
      </c>
    </row>
    <row r="1814" spans="1:3">
      <c r="A1814" s="3">
        <f t="shared" si="52"/>
        <v>2025</v>
      </c>
      <c r="B1814" s="106">
        <f t="shared" si="53"/>
        <v>204</v>
      </c>
      <c r="C1814" s="107">
        <f ca="1">OFFSET(tab_tipo_Combustivel!$A$1,MATCH(B1814,tab_tipo_Combustivel!$A$2:$A$150,0),MATCH(A1814,tab_tipo_Combustivel!$B$1:$AQ$1,0),1,1)</f>
        <v>0</v>
      </c>
    </row>
    <row r="1815" spans="1:3">
      <c r="A1815" s="3">
        <f t="shared" si="52"/>
        <v>2025</v>
      </c>
      <c r="B1815" s="106">
        <f t="shared" si="53"/>
        <v>205</v>
      </c>
      <c r="C1815" s="107">
        <f ca="1">OFFSET(tab_tipo_Combustivel!$A$1,MATCH(B1815,tab_tipo_Combustivel!$A$2:$A$150,0),MATCH(A1815,tab_tipo_Combustivel!$B$1:$AQ$1,0),1,1)</f>
        <v>0</v>
      </c>
    </row>
    <row r="1816" spans="1:3">
      <c r="A1816" s="3">
        <f t="shared" si="52"/>
        <v>2025</v>
      </c>
      <c r="B1816" s="106">
        <f t="shared" si="53"/>
        <v>207</v>
      </c>
      <c r="C1816" s="107">
        <f ca="1">OFFSET(tab_tipo_Combustivel!$A$1,MATCH(B1816,tab_tipo_Combustivel!$A$2:$A$150,0),MATCH(A1816,tab_tipo_Combustivel!$B$1:$AQ$1,0),1,1)</f>
        <v>0</v>
      </c>
    </row>
    <row r="1817" spans="1:3">
      <c r="A1817" s="3">
        <f t="shared" si="52"/>
        <v>2025</v>
      </c>
      <c r="B1817" s="106">
        <f t="shared" si="53"/>
        <v>208</v>
      </c>
      <c r="C1817" s="107">
        <f ca="1">OFFSET(tab_tipo_Combustivel!$A$1,MATCH(B1817,tab_tipo_Combustivel!$A$2:$A$150,0),MATCH(A1817,tab_tipo_Combustivel!$B$1:$AQ$1,0),1,1)</f>
        <v>783.64</v>
      </c>
    </row>
    <row r="1818" spans="1:3">
      <c r="A1818" s="3">
        <f t="shared" si="52"/>
        <v>2025</v>
      </c>
      <c r="B1818" s="106">
        <f t="shared" si="53"/>
        <v>209</v>
      </c>
      <c r="C1818" s="107">
        <f ca="1">OFFSET(tab_tipo_Combustivel!$A$1,MATCH(B1818,tab_tipo_Combustivel!$A$2:$A$150,0),MATCH(A1818,tab_tipo_Combustivel!$B$1:$AQ$1,0),1,1)</f>
        <v>0</v>
      </c>
    </row>
    <row r="1819" spans="1:3">
      <c r="A1819" s="3">
        <f t="shared" si="52"/>
        <v>2025</v>
      </c>
      <c r="B1819" s="106">
        <f t="shared" si="53"/>
        <v>211</v>
      </c>
      <c r="C1819" s="107">
        <f ca="1">OFFSET(tab_tipo_Combustivel!$A$1,MATCH(B1819,tab_tipo_Combustivel!$A$2:$A$150,0),MATCH(A1819,tab_tipo_Combustivel!$B$1:$AQ$1,0),1,1)</f>
        <v>150.79</v>
      </c>
    </row>
    <row r="1820" spans="1:3">
      <c r="A1820" s="3">
        <f t="shared" si="52"/>
        <v>2025</v>
      </c>
      <c r="B1820" s="106">
        <f t="shared" si="53"/>
        <v>212</v>
      </c>
      <c r="C1820" s="107">
        <f ca="1">OFFSET(tab_tipo_Combustivel!$A$1,MATCH(B1820,tab_tipo_Combustivel!$A$2:$A$150,0),MATCH(A1820,tab_tipo_Combustivel!$B$1:$AQ$1,0),1,1)</f>
        <v>84.58</v>
      </c>
    </row>
    <row r="1821" spans="1:3">
      <c r="A1821" s="3">
        <f t="shared" si="52"/>
        <v>2025</v>
      </c>
      <c r="B1821" s="106">
        <f t="shared" si="53"/>
        <v>224</v>
      </c>
      <c r="C1821" s="107">
        <f ca="1">OFFSET(tab_tipo_Combustivel!$A$1,MATCH(B1821,tab_tipo_Combustivel!$A$2:$A$150,0),MATCH(A1821,tab_tipo_Combustivel!$B$1:$AQ$1,0),1,1)</f>
        <v>31.08</v>
      </c>
    </row>
    <row r="1822" spans="1:3">
      <c r="A1822" s="3">
        <f t="shared" si="52"/>
        <v>2025</v>
      </c>
      <c r="B1822" s="106">
        <f t="shared" si="53"/>
        <v>225</v>
      </c>
      <c r="C1822" s="107">
        <f ca="1">OFFSET(tab_tipo_Combustivel!$A$1,MATCH(B1822,tab_tipo_Combustivel!$A$2:$A$150,0),MATCH(A1822,tab_tipo_Combustivel!$B$1:$AQ$1,0),1,1)</f>
        <v>1329.7</v>
      </c>
    </row>
    <row r="1823" spans="1:3">
      <c r="A1823" s="3">
        <f t="shared" si="52"/>
        <v>2025</v>
      </c>
      <c r="B1823" s="106">
        <f t="shared" si="53"/>
        <v>226</v>
      </c>
      <c r="C1823" s="107">
        <f ca="1">OFFSET(tab_tipo_Combustivel!$A$1,MATCH(B1823,tab_tipo_Combustivel!$A$2:$A$150,0),MATCH(A1823,tab_tipo_Combustivel!$B$1:$AQ$1,0),1,1)</f>
        <v>1061.1300000000001</v>
      </c>
    </row>
    <row r="1824" spans="1:3">
      <c r="A1824" s="3">
        <f t="shared" si="52"/>
        <v>2025</v>
      </c>
      <c r="B1824" s="106">
        <f t="shared" si="53"/>
        <v>227</v>
      </c>
      <c r="C1824" s="107">
        <f ca="1">OFFSET(tab_tipo_Combustivel!$A$1,MATCH(B1824,tab_tipo_Combustivel!$A$2:$A$150,0),MATCH(A1824,tab_tipo_Combustivel!$B$1:$AQ$1,0),1,1)</f>
        <v>447.52</v>
      </c>
    </row>
    <row r="1825" spans="1:3">
      <c r="A1825" s="3">
        <f t="shared" si="52"/>
        <v>2025</v>
      </c>
      <c r="B1825" s="106">
        <f t="shared" si="53"/>
        <v>228</v>
      </c>
      <c r="C1825" s="107">
        <f ca="1">OFFSET(tab_tipo_Combustivel!$A$1,MATCH(B1825,tab_tipo_Combustivel!$A$2:$A$150,0),MATCH(A1825,tab_tipo_Combustivel!$B$1:$AQ$1,0),1,1)</f>
        <v>1061.1400000000001</v>
      </c>
    </row>
    <row r="1826" spans="1:3">
      <c r="A1826" s="3">
        <f t="shared" si="52"/>
        <v>2025</v>
      </c>
      <c r="B1826" s="106">
        <f t="shared" si="53"/>
        <v>229</v>
      </c>
      <c r="C1826" s="107">
        <f ca="1">OFFSET(tab_tipo_Combustivel!$A$1,MATCH(B1826,tab_tipo_Combustivel!$A$2:$A$150,0),MATCH(A1826,tab_tipo_Combustivel!$B$1:$AQ$1,0),1,1)</f>
        <v>942.05</v>
      </c>
    </row>
    <row r="1827" spans="1:3">
      <c r="A1827" s="3">
        <f t="shared" si="52"/>
        <v>2025</v>
      </c>
      <c r="B1827" s="106">
        <f t="shared" si="53"/>
        <v>230</v>
      </c>
      <c r="C1827" s="107">
        <f ca="1">OFFSET(tab_tipo_Combustivel!$A$1,MATCH(B1827,tab_tipo_Combustivel!$A$2:$A$150,0),MATCH(A1827,tab_tipo_Combustivel!$B$1:$AQ$1,0),1,1)</f>
        <v>495.06</v>
      </c>
    </row>
    <row r="1828" spans="1:3">
      <c r="A1828" s="3">
        <f t="shared" si="52"/>
        <v>2025</v>
      </c>
      <c r="B1828" s="106">
        <f t="shared" si="53"/>
        <v>231</v>
      </c>
      <c r="C1828" s="107">
        <f ca="1">OFFSET(tab_tipo_Combustivel!$A$1,MATCH(B1828,tab_tipo_Combustivel!$A$2:$A$150,0),MATCH(A1828,tab_tipo_Combustivel!$B$1:$AQ$1,0),1,1)</f>
        <v>489.29</v>
      </c>
    </row>
    <row r="1829" spans="1:3">
      <c r="A1829" s="3">
        <f t="shared" si="52"/>
        <v>2025</v>
      </c>
      <c r="B1829" s="106">
        <f t="shared" si="53"/>
        <v>232</v>
      </c>
      <c r="C1829" s="107">
        <f ca="1">OFFSET(tab_tipo_Combustivel!$A$1,MATCH(B1829,tab_tipo_Combustivel!$A$2:$A$150,0),MATCH(A1829,tab_tipo_Combustivel!$B$1:$AQ$1,0),1,1)</f>
        <v>842.33</v>
      </c>
    </row>
    <row r="1830" spans="1:3">
      <c r="A1830" s="3">
        <f t="shared" si="52"/>
        <v>2025</v>
      </c>
      <c r="B1830" s="106">
        <f t="shared" si="53"/>
        <v>233</v>
      </c>
      <c r="C1830" s="107">
        <f ca="1">OFFSET(tab_tipo_Combustivel!$A$1,MATCH(B1830,tab_tipo_Combustivel!$A$2:$A$150,0),MATCH(A1830,tab_tipo_Combustivel!$B$1:$AQ$1,0),1,1)</f>
        <v>984.29</v>
      </c>
    </row>
    <row r="1831" spans="1:3">
      <c r="A1831" s="3">
        <f t="shared" si="52"/>
        <v>2025</v>
      </c>
      <c r="B1831" s="106">
        <f t="shared" si="53"/>
        <v>234</v>
      </c>
      <c r="C1831" s="107">
        <f ca="1">OFFSET(tab_tipo_Combustivel!$A$1,MATCH(B1831,tab_tipo_Combustivel!$A$2:$A$150,0),MATCH(A1831,tab_tipo_Combustivel!$B$1:$AQ$1,0),1,1)</f>
        <v>290.26</v>
      </c>
    </row>
    <row r="1832" spans="1:3">
      <c r="A1832" s="3">
        <f t="shared" si="52"/>
        <v>2025</v>
      </c>
      <c r="B1832" s="106">
        <f t="shared" si="53"/>
        <v>235</v>
      </c>
      <c r="C1832" s="107">
        <f ca="1">OFFSET(tab_tipo_Combustivel!$A$1,MATCH(B1832,tab_tipo_Combustivel!$A$2:$A$150,0),MATCH(A1832,tab_tipo_Combustivel!$B$1:$AQ$1,0),1,1)</f>
        <v>1350.87</v>
      </c>
    </row>
    <row r="1833" spans="1:3">
      <c r="A1833" s="3">
        <f t="shared" si="52"/>
        <v>2025</v>
      </c>
      <c r="B1833" s="106">
        <f t="shared" si="53"/>
        <v>236</v>
      </c>
      <c r="C1833" s="107">
        <f ca="1">OFFSET(tab_tipo_Combustivel!$A$1,MATCH(B1833,tab_tipo_Combustivel!$A$2:$A$150,0),MATCH(A1833,tab_tipo_Combustivel!$B$1:$AQ$1,0),1,1)</f>
        <v>842.33</v>
      </c>
    </row>
    <row r="1834" spans="1:3">
      <c r="A1834" s="3">
        <f t="shared" si="52"/>
        <v>2025</v>
      </c>
      <c r="B1834" s="106">
        <f t="shared" si="53"/>
        <v>237</v>
      </c>
      <c r="C1834" s="107">
        <f ca="1">OFFSET(tab_tipo_Combustivel!$A$1,MATCH(B1834,tab_tipo_Combustivel!$A$2:$A$150,0),MATCH(A1834,tab_tipo_Combustivel!$B$1:$AQ$1,0),1,1)</f>
        <v>760.85</v>
      </c>
    </row>
    <row r="1835" spans="1:3">
      <c r="A1835" s="3">
        <f t="shared" si="52"/>
        <v>2025</v>
      </c>
      <c r="B1835" s="106">
        <f t="shared" si="53"/>
        <v>238</v>
      </c>
      <c r="C1835" s="107">
        <f ca="1">OFFSET(tab_tipo_Combustivel!$A$1,MATCH(B1835,tab_tipo_Combustivel!$A$2:$A$150,0),MATCH(A1835,tab_tipo_Combustivel!$B$1:$AQ$1,0),1,1)</f>
        <v>963.75</v>
      </c>
    </row>
    <row r="1836" spans="1:3">
      <c r="A1836" s="3">
        <f t="shared" si="52"/>
        <v>2025</v>
      </c>
      <c r="B1836" s="106">
        <f t="shared" si="53"/>
        <v>239</v>
      </c>
      <c r="C1836" s="107">
        <f ca="1">OFFSET(tab_tipo_Combustivel!$A$1,MATCH(B1836,tab_tipo_Combustivel!$A$2:$A$150,0),MATCH(A1836,tab_tipo_Combustivel!$B$1:$AQ$1,0),1,1)</f>
        <v>963.75</v>
      </c>
    </row>
    <row r="1837" spans="1:3">
      <c r="A1837" s="3">
        <f t="shared" si="52"/>
        <v>2025</v>
      </c>
      <c r="B1837" s="106">
        <f t="shared" si="53"/>
        <v>240</v>
      </c>
      <c r="C1837" s="107">
        <f ca="1">OFFSET(tab_tipo_Combustivel!$A$1,MATCH(B1837,tab_tipo_Combustivel!$A$2:$A$150,0),MATCH(A1837,tab_tipo_Combustivel!$B$1:$AQ$1,0),1,1)</f>
        <v>1115.96</v>
      </c>
    </row>
    <row r="1838" spans="1:3">
      <c r="A1838" s="3">
        <f t="shared" si="52"/>
        <v>2025</v>
      </c>
      <c r="B1838" s="106">
        <f t="shared" si="53"/>
        <v>241</v>
      </c>
      <c r="C1838" s="107">
        <f ca="1">OFFSET(tab_tipo_Combustivel!$A$1,MATCH(B1838,tab_tipo_Combustivel!$A$2:$A$150,0),MATCH(A1838,tab_tipo_Combustivel!$B$1:$AQ$1,0),1,1)</f>
        <v>495.75</v>
      </c>
    </row>
    <row r="1839" spans="1:3">
      <c r="A1839" s="3">
        <f t="shared" si="52"/>
        <v>2025</v>
      </c>
      <c r="B1839" s="106">
        <f t="shared" si="53"/>
        <v>242</v>
      </c>
      <c r="C1839" s="107">
        <f ca="1">OFFSET(tab_tipo_Combustivel!$A$1,MATCH(B1839,tab_tipo_Combustivel!$A$2:$A$150,0),MATCH(A1839,tab_tipo_Combustivel!$B$1:$AQ$1,0),1,1)</f>
        <v>1176.45</v>
      </c>
    </row>
    <row r="1840" spans="1:3">
      <c r="A1840" s="3">
        <f t="shared" si="52"/>
        <v>2025</v>
      </c>
      <c r="B1840" s="106">
        <f t="shared" si="53"/>
        <v>243</v>
      </c>
      <c r="C1840" s="107">
        <f ca="1">OFFSET(tab_tipo_Combustivel!$A$1,MATCH(B1840,tab_tipo_Combustivel!$A$2:$A$150,0),MATCH(A1840,tab_tipo_Combustivel!$B$1:$AQ$1,0),1,1)</f>
        <v>495.08</v>
      </c>
    </row>
    <row r="1841" spans="1:3">
      <c r="A1841" s="3">
        <f t="shared" si="52"/>
        <v>2025</v>
      </c>
      <c r="B1841" s="106">
        <f t="shared" si="53"/>
        <v>244</v>
      </c>
      <c r="C1841" s="107">
        <f ca="1">OFFSET(tab_tipo_Combustivel!$A$1,MATCH(B1841,tab_tipo_Combustivel!$A$2:$A$150,0),MATCH(A1841,tab_tipo_Combustivel!$B$1:$AQ$1,0),1,1)</f>
        <v>495.06</v>
      </c>
    </row>
    <row r="1842" spans="1:3">
      <c r="A1842" s="3">
        <f t="shared" si="52"/>
        <v>2025</v>
      </c>
      <c r="B1842" s="106">
        <f t="shared" si="53"/>
        <v>245</v>
      </c>
      <c r="C1842" s="107">
        <f ca="1">OFFSET(tab_tipo_Combustivel!$A$1,MATCH(B1842,tab_tipo_Combustivel!$A$2:$A$150,0),MATCH(A1842,tab_tipo_Combustivel!$B$1:$AQ$1,0),1,1)</f>
        <v>562.65</v>
      </c>
    </row>
    <row r="1843" spans="1:3">
      <c r="A1843" s="3">
        <f t="shared" si="52"/>
        <v>2025</v>
      </c>
      <c r="B1843" s="106">
        <f t="shared" si="53"/>
        <v>246</v>
      </c>
      <c r="C1843" s="107">
        <f ca="1">OFFSET(tab_tipo_Combustivel!$A$1,MATCH(B1843,tab_tipo_Combustivel!$A$2:$A$150,0),MATCH(A1843,tab_tipo_Combustivel!$B$1:$AQ$1,0),1,1)</f>
        <v>1124.53</v>
      </c>
    </row>
    <row r="1844" spans="1:3">
      <c r="A1844" s="3">
        <f t="shared" si="52"/>
        <v>2025</v>
      </c>
      <c r="B1844" s="106">
        <f t="shared" si="53"/>
        <v>247</v>
      </c>
      <c r="C1844" s="107">
        <f ca="1">OFFSET(tab_tipo_Combustivel!$A$1,MATCH(B1844,tab_tipo_Combustivel!$A$2:$A$150,0),MATCH(A1844,tab_tipo_Combustivel!$B$1:$AQ$1,0),1,1)</f>
        <v>609.51</v>
      </c>
    </row>
    <row r="1845" spans="1:3">
      <c r="A1845" s="3">
        <f t="shared" si="52"/>
        <v>2025</v>
      </c>
      <c r="B1845" s="106">
        <f t="shared" si="53"/>
        <v>248</v>
      </c>
      <c r="C1845" s="107">
        <f ca="1">OFFSET(tab_tipo_Combustivel!$A$1,MATCH(B1845,tab_tipo_Combustivel!$A$2:$A$150,0),MATCH(A1845,tab_tipo_Combustivel!$B$1:$AQ$1,0),1,1)</f>
        <v>495.06</v>
      </c>
    </row>
    <row r="1846" spans="1:3">
      <c r="A1846" s="3">
        <f t="shared" si="52"/>
        <v>2025</v>
      </c>
      <c r="B1846" s="106">
        <f t="shared" si="53"/>
        <v>249</v>
      </c>
      <c r="C1846" s="107">
        <f ca="1">OFFSET(tab_tipo_Combustivel!$A$1,MATCH(B1846,tab_tipo_Combustivel!$A$2:$A$150,0),MATCH(A1846,tab_tipo_Combustivel!$B$1:$AQ$1,0),1,1)</f>
        <v>842.33</v>
      </c>
    </row>
    <row r="1847" spans="1:3">
      <c r="A1847" s="3">
        <f t="shared" si="52"/>
        <v>2025</v>
      </c>
      <c r="B1847" s="106">
        <f t="shared" si="53"/>
        <v>250</v>
      </c>
      <c r="C1847" s="107">
        <f ca="1">OFFSET(tab_tipo_Combustivel!$A$1,MATCH(B1847,tab_tipo_Combustivel!$A$2:$A$150,0),MATCH(A1847,tab_tipo_Combustivel!$B$1:$AQ$1,0),1,1)</f>
        <v>1176.45</v>
      </c>
    </row>
    <row r="1848" spans="1:3">
      <c r="A1848" s="3">
        <f t="shared" si="52"/>
        <v>2025</v>
      </c>
      <c r="B1848" s="106">
        <f t="shared" si="53"/>
        <v>251</v>
      </c>
      <c r="C1848" s="107">
        <f ca="1">OFFSET(tab_tipo_Combustivel!$A$1,MATCH(B1848,tab_tipo_Combustivel!$A$2:$A$150,0),MATCH(A1848,tab_tipo_Combustivel!$B$1:$AQ$1,0),1,1)</f>
        <v>842.33</v>
      </c>
    </row>
    <row r="1849" spans="1:3">
      <c r="A1849" s="3">
        <f t="shared" si="52"/>
        <v>2025</v>
      </c>
      <c r="B1849" s="106">
        <f t="shared" si="53"/>
        <v>252</v>
      </c>
      <c r="C1849" s="107">
        <f ca="1">OFFSET(tab_tipo_Combustivel!$A$1,MATCH(B1849,tab_tipo_Combustivel!$A$2:$A$150,0),MATCH(A1849,tab_tipo_Combustivel!$B$1:$AQ$1,0),1,1)</f>
        <v>842.33</v>
      </c>
    </row>
    <row r="1850" spans="1:3">
      <c r="A1850" s="3">
        <f t="shared" si="52"/>
        <v>2025</v>
      </c>
      <c r="B1850" s="106">
        <f t="shared" si="53"/>
        <v>253</v>
      </c>
      <c r="C1850" s="107">
        <f ca="1">OFFSET(tab_tipo_Combustivel!$A$1,MATCH(B1850,tab_tipo_Combustivel!$A$2:$A$150,0),MATCH(A1850,tab_tipo_Combustivel!$B$1:$AQ$1,0),1,1)</f>
        <v>279.45</v>
      </c>
    </row>
    <row r="1851" spans="1:3">
      <c r="A1851" s="3">
        <f t="shared" si="52"/>
        <v>2025</v>
      </c>
      <c r="B1851" s="106">
        <f t="shared" si="53"/>
        <v>254</v>
      </c>
      <c r="C1851" s="107">
        <f ca="1">OFFSET(tab_tipo_Combustivel!$A$1,MATCH(B1851,tab_tipo_Combustivel!$A$2:$A$150,0),MATCH(A1851,tab_tipo_Combustivel!$B$1:$AQ$1,0),1,1)</f>
        <v>1153.98</v>
      </c>
    </row>
    <row r="1852" spans="1:3">
      <c r="A1852" s="3">
        <f t="shared" si="52"/>
        <v>2025</v>
      </c>
      <c r="B1852" s="106">
        <f t="shared" si="53"/>
        <v>255</v>
      </c>
      <c r="C1852" s="107">
        <f ca="1">OFFSET(tab_tipo_Combustivel!$A$1,MATCH(B1852,tab_tipo_Combustivel!$A$2:$A$150,0),MATCH(A1852,tab_tipo_Combustivel!$B$1:$AQ$1,0),1,1)</f>
        <v>828.98</v>
      </c>
    </row>
    <row r="1853" spans="1:3">
      <c r="A1853" s="3">
        <f t="shared" si="52"/>
        <v>2025</v>
      </c>
      <c r="B1853" s="106">
        <f t="shared" si="53"/>
        <v>256</v>
      </c>
      <c r="C1853" s="107">
        <f ca="1">OFFSET(tab_tipo_Combustivel!$A$1,MATCH(B1853,tab_tipo_Combustivel!$A$2:$A$150,0),MATCH(A1853,tab_tipo_Combustivel!$B$1:$AQ$1,0),1,1)</f>
        <v>562.65</v>
      </c>
    </row>
    <row r="1854" spans="1:3">
      <c r="A1854" s="3">
        <f t="shared" si="52"/>
        <v>2025</v>
      </c>
      <c r="B1854" s="106">
        <f t="shared" si="53"/>
        <v>257</v>
      </c>
      <c r="C1854" s="107">
        <f ca="1">OFFSET(tab_tipo_Combustivel!$A$1,MATCH(B1854,tab_tipo_Combustivel!$A$2:$A$150,0),MATCH(A1854,tab_tipo_Combustivel!$B$1:$AQ$1,0),1,1)</f>
        <v>907.52</v>
      </c>
    </row>
    <row r="1855" spans="1:3">
      <c r="A1855" s="3">
        <f t="shared" si="52"/>
        <v>2025</v>
      </c>
      <c r="B1855" s="106">
        <f t="shared" si="53"/>
        <v>258</v>
      </c>
      <c r="C1855" s="107">
        <f ca="1">OFFSET(tab_tipo_Combustivel!$A$1,MATCH(B1855,tab_tipo_Combustivel!$A$2:$A$150,0),MATCH(A1855,tab_tipo_Combustivel!$B$1:$AQ$1,0),1,1)</f>
        <v>1016.04</v>
      </c>
    </row>
    <row r="1856" spans="1:3">
      <c r="A1856" s="3">
        <f t="shared" si="52"/>
        <v>2025</v>
      </c>
      <c r="B1856" s="106">
        <f t="shared" si="53"/>
        <v>259</v>
      </c>
      <c r="C1856" s="107">
        <f ca="1">OFFSET(tab_tipo_Combustivel!$A$1,MATCH(B1856,tab_tipo_Combustivel!$A$2:$A$150,0),MATCH(A1856,tab_tipo_Combustivel!$B$1:$AQ$1,0),1,1)</f>
        <v>977.53</v>
      </c>
    </row>
    <row r="1857" spans="1:3">
      <c r="A1857" s="3">
        <f t="shared" si="52"/>
        <v>2025</v>
      </c>
      <c r="B1857" s="106">
        <f t="shared" si="53"/>
        <v>260</v>
      </c>
      <c r="C1857" s="107">
        <f ca="1">OFFSET(tab_tipo_Combustivel!$A$1,MATCH(B1857,tab_tipo_Combustivel!$A$2:$A$150,0),MATCH(A1857,tab_tipo_Combustivel!$B$1:$AQ$1,0),1,1)</f>
        <v>827.17</v>
      </c>
    </row>
    <row r="1858" spans="1:3">
      <c r="A1858" s="3">
        <f t="shared" si="52"/>
        <v>2025</v>
      </c>
      <c r="B1858" s="106">
        <f t="shared" si="53"/>
        <v>261</v>
      </c>
      <c r="C1858" s="107">
        <f ca="1">OFFSET(tab_tipo_Combustivel!$A$1,MATCH(B1858,tab_tipo_Combustivel!$A$2:$A$150,0),MATCH(A1858,tab_tipo_Combustivel!$B$1:$AQ$1,0),1,1)</f>
        <v>829.7</v>
      </c>
    </row>
    <row r="1859" spans="1:3">
      <c r="A1859" s="3">
        <f t="shared" si="52"/>
        <v>2025</v>
      </c>
      <c r="B1859" s="106">
        <f t="shared" si="53"/>
        <v>262</v>
      </c>
      <c r="C1859" s="107">
        <f ca="1">OFFSET(tab_tipo_Combustivel!$A$1,MATCH(B1859,tab_tipo_Combustivel!$A$2:$A$150,0),MATCH(A1859,tab_tipo_Combustivel!$B$1:$AQ$1,0),1,1)</f>
        <v>495.75</v>
      </c>
    </row>
    <row r="1860" spans="1:3">
      <c r="A1860" s="3">
        <f t="shared" si="52"/>
        <v>2025</v>
      </c>
      <c r="B1860" s="106">
        <f t="shared" si="53"/>
        <v>263</v>
      </c>
      <c r="C1860" s="107">
        <f ca="1">OFFSET(tab_tipo_Combustivel!$A$1,MATCH(B1860,tab_tipo_Combustivel!$A$2:$A$150,0),MATCH(A1860,tab_tipo_Combustivel!$B$1:$AQ$1,0),1,1)</f>
        <v>474.77</v>
      </c>
    </row>
    <row r="1861" spans="1:3">
      <c r="A1861" s="3">
        <f t="shared" si="52"/>
        <v>2025</v>
      </c>
      <c r="B1861" s="106">
        <f t="shared" si="53"/>
        <v>264</v>
      </c>
      <c r="C1861" s="107">
        <f ca="1">OFFSET(tab_tipo_Combustivel!$A$1,MATCH(B1861,tab_tipo_Combustivel!$A$2:$A$150,0),MATCH(A1861,tab_tipo_Combustivel!$B$1:$AQ$1,0),1,1)</f>
        <v>842.33</v>
      </c>
    </row>
    <row r="1862" spans="1:3">
      <c r="A1862" s="3">
        <f t="shared" si="52"/>
        <v>2025</v>
      </c>
      <c r="B1862" s="106">
        <f t="shared" si="53"/>
        <v>265</v>
      </c>
      <c r="C1862" s="107">
        <f ca="1">OFFSET(tab_tipo_Combustivel!$A$1,MATCH(B1862,tab_tipo_Combustivel!$A$2:$A$150,0),MATCH(A1862,tab_tipo_Combustivel!$B$1:$AQ$1,0),1,1)</f>
        <v>415.82</v>
      </c>
    </row>
    <row r="1863" spans="1:3">
      <c r="A1863" s="3">
        <f t="shared" si="52"/>
        <v>2025</v>
      </c>
      <c r="B1863" s="106">
        <f t="shared" si="53"/>
        <v>266</v>
      </c>
      <c r="C1863" s="107">
        <f ca="1">OFFSET(tab_tipo_Combustivel!$A$1,MATCH(B1863,tab_tipo_Combustivel!$A$2:$A$150,0),MATCH(A1863,tab_tipo_Combustivel!$B$1:$AQ$1,0),1,1)</f>
        <v>827.17</v>
      </c>
    </row>
    <row r="1864" spans="1:3">
      <c r="A1864" s="3">
        <f t="shared" si="52"/>
        <v>2025</v>
      </c>
      <c r="B1864" s="106">
        <f t="shared" si="53"/>
        <v>301</v>
      </c>
      <c r="C1864" s="107">
        <f ca="1">OFFSET(tab_tipo_Combustivel!$A$1,MATCH(B1864,tab_tipo_Combustivel!$A$2:$A$150,0),MATCH(A1864,tab_tipo_Combustivel!$B$1:$AQ$1,0),1,1)</f>
        <v>99.08</v>
      </c>
    </row>
    <row r="1865" spans="1:3">
      <c r="A1865" s="3">
        <f t="shared" si="52"/>
        <v>2025</v>
      </c>
      <c r="B1865" s="106">
        <f t="shared" si="53"/>
        <v>302</v>
      </c>
      <c r="C1865" s="107">
        <f ca="1">OFFSET(tab_tipo_Combustivel!$A$1,MATCH(B1865,tab_tipo_Combustivel!$A$2:$A$150,0),MATCH(A1865,tab_tipo_Combustivel!$B$1:$AQ$1,0),1,1)</f>
        <v>103.73</v>
      </c>
    </row>
    <row r="1866" spans="1:3">
      <c r="A1866" s="3">
        <f t="shared" ref="A1866:A1929" si="54">A1731+1</f>
        <v>2025</v>
      </c>
      <c r="B1866" s="106">
        <f t="shared" ref="B1866:B1929" si="55">B1731</f>
        <v>303</v>
      </c>
      <c r="C1866" s="107">
        <f ca="1">OFFSET(tab_tipo_Combustivel!$A$1,MATCH(B1866,tab_tipo_Combustivel!$A$2:$A$150,0),MATCH(A1866,tab_tipo_Combustivel!$B$1:$AQ$1,0),1,1)</f>
        <v>103.73</v>
      </c>
    </row>
    <row r="1867" spans="1:3">
      <c r="A1867" s="3">
        <f t="shared" si="54"/>
        <v>2025</v>
      </c>
      <c r="B1867" s="106">
        <f t="shared" si="55"/>
        <v>304</v>
      </c>
      <c r="C1867" s="107">
        <f ca="1">OFFSET(tab_tipo_Combustivel!$A$1,MATCH(B1867,tab_tipo_Combustivel!$A$2:$A$150,0),MATCH(A1867,tab_tipo_Combustivel!$B$1:$AQ$1,0),1,1)</f>
        <v>139.41999999999999</v>
      </c>
    </row>
    <row r="1868" spans="1:3">
      <c r="A1868" s="3">
        <f t="shared" si="54"/>
        <v>2025</v>
      </c>
      <c r="B1868" s="106">
        <f t="shared" si="55"/>
        <v>305</v>
      </c>
      <c r="C1868" s="107">
        <f ca="1">OFFSET(tab_tipo_Combustivel!$A$1,MATCH(B1868,tab_tipo_Combustivel!$A$2:$A$150,0),MATCH(A1868,tab_tipo_Combustivel!$B$1:$AQ$1,0),1,1)</f>
        <v>89.7</v>
      </c>
    </row>
    <row r="1869" spans="1:3">
      <c r="A1869" s="3">
        <f t="shared" si="54"/>
        <v>2025</v>
      </c>
      <c r="B1869" s="106">
        <f t="shared" si="55"/>
        <v>306</v>
      </c>
      <c r="C1869" s="107">
        <f ca="1">OFFSET(tab_tipo_Combustivel!$A$1,MATCH(B1869,tab_tipo_Combustivel!$A$2:$A$150,0),MATCH(A1869,tab_tipo_Combustivel!$B$1:$AQ$1,0),1,1)</f>
        <v>100.38</v>
      </c>
    </row>
    <row r="1870" spans="1:3">
      <c r="A1870" s="3">
        <f t="shared" si="54"/>
        <v>2025</v>
      </c>
      <c r="B1870" s="106">
        <f t="shared" si="55"/>
        <v>307</v>
      </c>
      <c r="C1870" s="107">
        <f ca="1">OFFSET(tab_tipo_Combustivel!$A$1,MATCH(B1870,tab_tipo_Combustivel!$A$2:$A$150,0),MATCH(A1870,tab_tipo_Combustivel!$B$1:$AQ$1,0),1,1)</f>
        <v>510.12</v>
      </c>
    </row>
    <row r="1871" spans="1:3">
      <c r="A1871" s="3">
        <f t="shared" si="54"/>
        <v>2025</v>
      </c>
      <c r="B1871" s="106">
        <f t="shared" si="55"/>
        <v>308</v>
      </c>
      <c r="C1871" s="107">
        <f ca="1">OFFSET(tab_tipo_Combustivel!$A$1,MATCH(B1871,tab_tipo_Combustivel!$A$2:$A$150,0),MATCH(A1871,tab_tipo_Combustivel!$B$1:$AQ$1,0),1,1)</f>
        <v>72.5</v>
      </c>
    </row>
    <row r="1872" spans="1:3">
      <c r="A1872" s="3">
        <f t="shared" si="54"/>
        <v>2025</v>
      </c>
      <c r="B1872" s="106">
        <f t="shared" si="55"/>
        <v>309</v>
      </c>
      <c r="C1872" s="107">
        <f ca="1">OFFSET(tab_tipo_Combustivel!$A$1,MATCH(B1872,tab_tipo_Combustivel!$A$2:$A$150,0),MATCH(A1872,tab_tipo_Combustivel!$B$1:$AQ$1,0),1,1)</f>
        <v>126.77</v>
      </c>
    </row>
    <row r="1873" spans="1:3">
      <c r="A1873" s="3">
        <f t="shared" si="54"/>
        <v>2025</v>
      </c>
      <c r="B1873" s="106">
        <f t="shared" si="55"/>
        <v>310</v>
      </c>
      <c r="C1873" s="107">
        <f ca="1">OFFSET(tab_tipo_Combustivel!$A$1,MATCH(B1873,tab_tipo_Combustivel!$A$2:$A$150,0),MATCH(A1873,tab_tipo_Combustivel!$B$1:$AQ$1,0),1,1)</f>
        <v>275.99</v>
      </c>
    </row>
    <row r="1874" spans="1:3">
      <c r="A1874" s="3">
        <f t="shared" si="54"/>
        <v>2025</v>
      </c>
      <c r="B1874" s="106">
        <f t="shared" si="55"/>
        <v>311</v>
      </c>
      <c r="C1874" s="107">
        <f ca="1">OFFSET(tab_tipo_Combustivel!$A$1,MATCH(B1874,tab_tipo_Combustivel!$A$2:$A$150,0),MATCH(A1874,tab_tipo_Combustivel!$B$1:$AQ$1,0),1,1)</f>
        <v>70.66</v>
      </c>
    </row>
    <row r="1875" spans="1:3">
      <c r="A1875" s="3">
        <f t="shared" si="54"/>
        <v>2025</v>
      </c>
      <c r="B1875" s="106">
        <f t="shared" si="55"/>
        <v>312</v>
      </c>
      <c r="C1875" s="107">
        <f ca="1">OFFSET(tab_tipo_Combustivel!$A$1,MATCH(B1875,tab_tipo_Combustivel!$A$2:$A$150,0),MATCH(A1875,tab_tipo_Combustivel!$B$1:$AQ$1,0),1,1)</f>
        <v>0</v>
      </c>
    </row>
    <row r="1876" spans="1:3">
      <c r="A1876" s="3">
        <f t="shared" si="54"/>
        <v>2025</v>
      </c>
      <c r="B1876" s="106">
        <f t="shared" si="55"/>
        <v>1301</v>
      </c>
      <c r="C1876" s="107">
        <f ca="1">OFFSET(tab_tipo_Combustivel!$A$1,MATCH(B1876,tab_tipo_Combustivel!$A$2:$A$150,0),MATCH(A1876,tab_tipo_Combustivel!$B$1:$AQ$1,0),1,1)</f>
        <v>242.05</v>
      </c>
    </row>
    <row r="1877" spans="1:3">
      <c r="A1877" s="3">
        <f t="shared" si="54"/>
        <v>2025</v>
      </c>
      <c r="B1877" s="106">
        <f t="shared" si="55"/>
        <v>1302</v>
      </c>
      <c r="C1877" s="107">
        <f ca="1">OFFSET(tab_tipo_Combustivel!$A$1,MATCH(B1877,tab_tipo_Combustivel!$A$2:$A$150,0),MATCH(A1877,tab_tipo_Combustivel!$B$1:$AQ$1,0),1,1)</f>
        <v>193.64</v>
      </c>
    </row>
    <row r="1878" spans="1:3">
      <c r="A1878" s="3">
        <f t="shared" si="54"/>
        <v>2025</v>
      </c>
      <c r="B1878" s="106">
        <f t="shared" si="55"/>
        <v>1303</v>
      </c>
      <c r="C1878" s="107">
        <f ca="1">OFFSET(tab_tipo_Combustivel!$A$1,MATCH(B1878,tab_tipo_Combustivel!$A$2:$A$150,0),MATCH(A1878,tab_tipo_Combustivel!$B$1:$AQ$1,0),1,1)</f>
        <v>25.58</v>
      </c>
    </row>
    <row r="1879" spans="1:3">
      <c r="A1879" s="3">
        <f t="shared" si="54"/>
        <v>2025</v>
      </c>
      <c r="B1879" s="106">
        <f t="shared" si="55"/>
        <v>1304</v>
      </c>
      <c r="C1879" s="107">
        <f ca="1">OFFSET(tab_tipo_Combustivel!$A$1,MATCH(B1879,tab_tipo_Combustivel!$A$2:$A$150,0),MATCH(A1879,tab_tipo_Combustivel!$B$1:$AQ$1,0),1,1)</f>
        <v>0</v>
      </c>
    </row>
    <row r="1880" spans="1:3">
      <c r="A1880" s="3">
        <f t="shared" si="54"/>
        <v>2025</v>
      </c>
      <c r="B1880" s="106">
        <f t="shared" si="55"/>
        <v>1315</v>
      </c>
      <c r="C1880" s="107">
        <f ca="1">OFFSET(tab_tipo_Combustivel!$A$1,MATCH(B1880,tab_tipo_Combustivel!$A$2:$A$150,0),MATCH(A1880,tab_tipo_Combustivel!$B$1:$AQ$1,0),1,1)</f>
        <v>0</v>
      </c>
    </row>
    <row r="1881" spans="1:3">
      <c r="A1881" s="3">
        <f t="shared" si="54"/>
        <v>2025</v>
      </c>
      <c r="B1881" s="106">
        <f t="shared" si="55"/>
        <v>1316</v>
      </c>
      <c r="C1881" s="107">
        <f ca="1">OFFSET(tab_tipo_Combustivel!$A$1,MATCH(B1881,tab_tipo_Combustivel!$A$2:$A$150,0),MATCH(A1881,tab_tipo_Combustivel!$B$1:$AQ$1,0),1,1)</f>
        <v>0</v>
      </c>
    </row>
    <row r="1882" spans="1:3">
      <c r="A1882" s="3">
        <f t="shared" si="54"/>
        <v>2025</v>
      </c>
      <c r="B1882" s="106">
        <f t="shared" si="55"/>
        <v>1318</v>
      </c>
      <c r="C1882" s="107">
        <f ca="1">OFFSET(tab_tipo_Combustivel!$A$1,MATCH(B1882,tab_tipo_Combustivel!$A$2:$A$150,0),MATCH(A1882,tab_tipo_Combustivel!$B$1:$AQ$1,0),1,1)</f>
        <v>200</v>
      </c>
    </row>
    <row r="1883" spans="1:3">
      <c r="A1883" s="3">
        <f t="shared" si="54"/>
        <v>2025</v>
      </c>
      <c r="B1883" s="106">
        <f t="shared" si="55"/>
        <v>1321</v>
      </c>
      <c r="C1883" s="107">
        <f ca="1">OFFSET(tab_tipo_Combustivel!$A$1,MATCH(B1883,tab_tipo_Combustivel!$A$2:$A$150,0),MATCH(A1883,tab_tipo_Combustivel!$B$1:$AQ$1,0),1,1)</f>
        <v>85</v>
      </c>
    </row>
    <row r="1884" spans="1:3">
      <c r="A1884" s="3">
        <f t="shared" si="54"/>
        <v>2025</v>
      </c>
      <c r="B1884" s="106">
        <f t="shared" si="55"/>
        <v>1322</v>
      </c>
      <c r="C1884" s="107">
        <f ca="1">OFFSET(tab_tipo_Combustivel!$A$1,MATCH(B1884,tab_tipo_Combustivel!$A$2:$A$150,0),MATCH(A1884,tab_tipo_Combustivel!$B$1:$AQ$1,0),1,1)</f>
        <v>140</v>
      </c>
    </row>
    <row r="1885" spans="1:3">
      <c r="A1885" s="3">
        <f t="shared" si="54"/>
        <v>2025</v>
      </c>
      <c r="B1885" s="106">
        <f t="shared" si="55"/>
        <v>1323</v>
      </c>
      <c r="C1885" s="107">
        <f ca="1">OFFSET(tab_tipo_Combustivel!$A$1,MATCH(B1885,tab_tipo_Combustivel!$A$2:$A$150,0),MATCH(A1885,tab_tipo_Combustivel!$B$1:$AQ$1,0),1,1)</f>
        <v>63.75</v>
      </c>
    </row>
    <row r="1886" spans="1:3">
      <c r="A1886" s="3">
        <f t="shared" si="54"/>
        <v>2025</v>
      </c>
      <c r="B1886" s="106">
        <f t="shared" si="55"/>
        <v>1325</v>
      </c>
      <c r="C1886" s="107">
        <f ca="1">OFFSET(tab_tipo_Combustivel!$A$1,MATCH(B1886,tab_tipo_Combustivel!$A$2:$A$150,0),MATCH(A1886,tab_tipo_Combustivel!$B$1:$AQ$1,0),1,1)</f>
        <v>0</v>
      </c>
    </row>
    <row r="1887" spans="1:3">
      <c r="A1887" s="3">
        <f t="shared" si="54"/>
        <v>2025</v>
      </c>
      <c r="B1887" s="106">
        <f t="shared" si="55"/>
        <v>1326</v>
      </c>
      <c r="C1887" s="107">
        <f ca="1">OFFSET(tab_tipo_Combustivel!$A$1,MATCH(B1887,tab_tipo_Combustivel!$A$2:$A$150,0),MATCH(A1887,tab_tipo_Combustivel!$B$1:$AQ$1,0),1,1)</f>
        <v>260</v>
      </c>
    </row>
    <row r="1888" spans="1:3">
      <c r="A1888" s="3">
        <f t="shared" si="54"/>
        <v>2025</v>
      </c>
      <c r="B1888" s="106">
        <f t="shared" si="55"/>
        <v>1501</v>
      </c>
      <c r="C1888" s="107">
        <f ca="1">OFFSET(tab_tipo_Combustivel!$A$1,MATCH(B1888,tab_tipo_Combustivel!$A$2:$A$150,0),MATCH(A1888,tab_tipo_Combustivel!$B$1:$AQ$1,0),1,1)</f>
        <v>260</v>
      </c>
    </row>
    <row r="1889" spans="1:3">
      <c r="A1889" s="3">
        <f t="shared" si="54"/>
        <v>2025</v>
      </c>
      <c r="B1889" s="106">
        <f t="shared" si="55"/>
        <v>1502</v>
      </c>
      <c r="C1889" s="107">
        <f ca="1">OFFSET(tab_tipo_Combustivel!$A$1,MATCH(B1889,tab_tipo_Combustivel!$A$2:$A$150,0),MATCH(A1889,tab_tipo_Combustivel!$B$1:$AQ$1,0),1,1)</f>
        <v>60</v>
      </c>
    </row>
    <row r="1890" spans="1:3">
      <c r="A1890" s="3">
        <f t="shared" si="54"/>
        <v>2025</v>
      </c>
      <c r="B1890" s="106">
        <f t="shared" si="55"/>
        <v>1503</v>
      </c>
      <c r="C1890" s="107">
        <f ca="1">OFFSET(tab_tipo_Combustivel!$A$1,MATCH(B1890,tab_tipo_Combustivel!$A$2:$A$150,0),MATCH(A1890,tab_tipo_Combustivel!$B$1:$AQ$1,0),1,1)</f>
        <v>96.82</v>
      </c>
    </row>
    <row r="1891" spans="1:3">
      <c r="A1891" s="3">
        <f t="shared" si="54"/>
        <v>2025</v>
      </c>
      <c r="B1891" s="106">
        <f t="shared" si="55"/>
        <v>1504</v>
      </c>
      <c r="C1891" s="107">
        <f ca="1">OFFSET(tab_tipo_Combustivel!$A$1,MATCH(B1891,tab_tipo_Combustivel!$A$2:$A$150,0),MATCH(A1891,tab_tipo_Combustivel!$B$1:$AQ$1,0),1,1)</f>
        <v>145.22999999999999</v>
      </c>
    </row>
    <row r="1892" spans="1:3">
      <c r="A1892" s="3">
        <f t="shared" si="54"/>
        <v>2026</v>
      </c>
      <c r="B1892" s="106">
        <f t="shared" si="55"/>
        <v>1</v>
      </c>
      <c r="C1892" s="107">
        <f ca="1">OFFSET(tab_tipo_Combustivel!$A$1,MATCH(B1892,tab_tipo_Combustivel!$A$2:$A$150,0),MATCH(A1892,tab_tipo_Combustivel!$B$1:$AQ$1,0),1,1)</f>
        <v>29.13</v>
      </c>
    </row>
    <row r="1893" spans="1:3">
      <c r="A1893" s="3">
        <f t="shared" si="54"/>
        <v>2026</v>
      </c>
      <c r="B1893" s="106">
        <f t="shared" si="55"/>
        <v>2</v>
      </c>
      <c r="C1893" s="107">
        <f ca="1">OFFSET(tab_tipo_Combustivel!$A$1,MATCH(B1893,tab_tipo_Combustivel!$A$2:$A$150,0),MATCH(A1893,tab_tipo_Combustivel!$B$1:$AQ$1,0),1,1)</f>
        <v>842.33</v>
      </c>
    </row>
    <row r="1894" spans="1:3">
      <c r="A1894" s="3">
        <f t="shared" si="54"/>
        <v>2026</v>
      </c>
      <c r="B1894" s="106">
        <f t="shared" si="55"/>
        <v>4</v>
      </c>
      <c r="C1894" s="107">
        <f ca="1">OFFSET(tab_tipo_Combustivel!$A$1,MATCH(B1894,tab_tipo_Combustivel!$A$2:$A$150,0),MATCH(A1894,tab_tipo_Combustivel!$B$1:$AQ$1,0),1,1)</f>
        <v>842.33</v>
      </c>
    </row>
    <row r="1895" spans="1:3">
      <c r="A1895" s="3">
        <f t="shared" si="54"/>
        <v>2026</v>
      </c>
      <c r="B1895" s="106">
        <f t="shared" si="55"/>
        <v>9</v>
      </c>
      <c r="C1895" s="107">
        <f ca="1">OFFSET(tab_tipo_Combustivel!$A$1,MATCH(B1895,tab_tipo_Combustivel!$A$2:$A$150,0),MATCH(A1895,tab_tipo_Combustivel!$B$1:$AQ$1,0),1,1)</f>
        <v>842.33</v>
      </c>
    </row>
    <row r="1896" spans="1:3">
      <c r="A1896" s="3">
        <f t="shared" si="54"/>
        <v>2026</v>
      </c>
      <c r="B1896" s="106">
        <f t="shared" si="55"/>
        <v>12</v>
      </c>
      <c r="C1896" s="107">
        <f ca="1">OFFSET(tab_tipo_Combustivel!$A$1,MATCH(B1896,tab_tipo_Combustivel!$A$2:$A$150,0),MATCH(A1896,tab_tipo_Combustivel!$B$1:$AQ$1,0),1,1)</f>
        <v>728.87</v>
      </c>
    </row>
    <row r="1897" spans="1:3">
      <c r="A1897" s="3">
        <f t="shared" si="54"/>
        <v>2026</v>
      </c>
      <c r="B1897" s="106">
        <f t="shared" si="55"/>
        <v>13</v>
      </c>
      <c r="C1897" s="107">
        <f ca="1">OFFSET(tab_tipo_Combustivel!$A$1,MATCH(B1897,tab_tipo_Combustivel!$A$2:$A$150,0),MATCH(A1897,tab_tipo_Combustivel!$B$1:$AQ$1,0),1,1)</f>
        <v>20.12</v>
      </c>
    </row>
    <row r="1898" spans="1:3">
      <c r="A1898" s="3">
        <f t="shared" si="54"/>
        <v>2026</v>
      </c>
      <c r="B1898" s="106">
        <f t="shared" si="55"/>
        <v>15</v>
      </c>
      <c r="C1898" s="107">
        <f ca="1">OFFSET(tab_tipo_Combustivel!$A$1,MATCH(B1898,tab_tipo_Combustivel!$A$2:$A$150,0),MATCH(A1898,tab_tipo_Combustivel!$B$1:$AQ$1,0),1,1)</f>
        <v>257.29000000000002</v>
      </c>
    </row>
    <row r="1899" spans="1:3">
      <c r="A1899" s="3">
        <f t="shared" si="54"/>
        <v>2026</v>
      </c>
      <c r="B1899" s="106">
        <f t="shared" si="55"/>
        <v>21</v>
      </c>
      <c r="C1899" s="107">
        <f ca="1">OFFSET(tab_tipo_Combustivel!$A$1,MATCH(B1899,tab_tipo_Combustivel!$A$2:$A$150,0),MATCH(A1899,tab_tipo_Combustivel!$B$1:$AQ$1,0),1,1)</f>
        <v>157.83000000000001</v>
      </c>
    </row>
    <row r="1900" spans="1:3">
      <c r="A1900" s="3">
        <f t="shared" si="54"/>
        <v>2026</v>
      </c>
      <c r="B1900" s="106">
        <f t="shared" si="55"/>
        <v>22</v>
      </c>
      <c r="C1900" s="107">
        <f ca="1">OFFSET(tab_tipo_Combustivel!$A$1,MATCH(B1900,tab_tipo_Combustivel!$A$2:$A$150,0),MATCH(A1900,tab_tipo_Combustivel!$B$1:$AQ$1,0),1,1)</f>
        <v>115.9</v>
      </c>
    </row>
    <row r="1901" spans="1:3">
      <c r="A1901" s="3">
        <f t="shared" si="54"/>
        <v>2026</v>
      </c>
      <c r="B1901" s="106">
        <f t="shared" si="55"/>
        <v>23</v>
      </c>
      <c r="C1901" s="107">
        <f ca="1">OFFSET(tab_tipo_Combustivel!$A$1,MATCH(B1901,tab_tipo_Combustivel!$A$2:$A$150,0),MATCH(A1901,tab_tipo_Combustivel!$B$1:$AQ$1,0),1,1)</f>
        <v>115.9</v>
      </c>
    </row>
    <row r="1902" spans="1:3">
      <c r="A1902" s="3">
        <f t="shared" si="54"/>
        <v>2026</v>
      </c>
      <c r="B1902" s="106">
        <f t="shared" si="55"/>
        <v>24</v>
      </c>
      <c r="C1902" s="107">
        <f ca="1">OFFSET(tab_tipo_Combustivel!$A$1,MATCH(B1902,tab_tipo_Combustivel!$A$2:$A$150,0),MATCH(A1902,tab_tipo_Combustivel!$B$1:$AQ$1,0),1,1)</f>
        <v>155.85</v>
      </c>
    </row>
    <row r="1903" spans="1:3">
      <c r="A1903" s="3">
        <f t="shared" si="54"/>
        <v>2026</v>
      </c>
      <c r="B1903" s="106">
        <f t="shared" si="55"/>
        <v>25</v>
      </c>
      <c r="C1903" s="107">
        <f ca="1">OFFSET(tab_tipo_Combustivel!$A$1,MATCH(B1903,tab_tipo_Combustivel!$A$2:$A$150,0),MATCH(A1903,tab_tipo_Combustivel!$B$1:$AQ$1,0),1,1)</f>
        <v>186.33</v>
      </c>
    </row>
    <row r="1904" spans="1:3">
      <c r="A1904" s="3">
        <f t="shared" si="54"/>
        <v>2026</v>
      </c>
      <c r="B1904" s="106">
        <f t="shared" si="55"/>
        <v>26</v>
      </c>
      <c r="C1904" s="107">
        <f ca="1">OFFSET(tab_tipo_Combustivel!$A$1,MATCH(B1904,tab_tipo_Combustivel!$A$2:$A$150,0),MATCH(A1904,tab_tipo_Combustivel!$B$1:$AQ$1,0),1,1)</f>
        <v>258.42</v>
      </c>
    </row>
    <row r="1905" spans="1:3">
      <c r="A1905" s="3">
        <f t="shared" si="54"/>
        <v>2026</v>
      </c>
      <c r="B1905" s="106">
        <f t="shared" si="55"/>
        <v>27</v>
      </c>
      <c r="C1905" s="107">
        <f ca="1">OFFSET(tab_tipo_Combustivel!$A$1,MATCH(B1905,tab_tipo_Combustivel!$A$2:$A$150,0),MATCH(A1905,tab_tipo_Combustivel!$B$1:$AQ$1,0),1,1)</f>
        <v>195.49</v>
      </c>
    </row>
    <row r="1906" spans="1:3">
      <c r="A1906" s="3">
        <f t="shared" si="54"/>
        <v>2026</v>
      </c>
      <c r="B1906" s="106">
        <f t="shared" si="55"/>
        <v>28</v>
      </c>
      <c r="C1906" s="107">
        <f ca="1">OFFSET(tab_tipo_Combustivel!$A$1,MATCH(B1906,tab_tipo_Combustivel!$A$2:$A$150,0),MATCH(A1906,tab_tipo_Combustivel!$B$1:$AQ$1,0),1,1)</f>
        <v>459.92</v>
      </c>
    </row>
    <row r="1907" spans="1:3">
      <c r="A1907" s="3">
        <f t="shared" si="54"/>
        <v>2026</v>
      </c>
      <c r="B1907" s="106">
        <f t="shared" si="55"/>
        <v>32</v>
      </c>
      <c r="C1907" s="107">
        <f ca="1">OFFSET(tab_tipo_Combustivel!$A$1,MATCH(B1907,tab_tipo_Combustivel!$A$2:$A$150,0),MATCH(A1907,tab_tipo_Combustivel!$B$1:$AQ$1,0),1,1)</f>
        <v>248.31</v>
      </c>
    </row>
    <row r="1908" spans="1:3">
      <c r="A1908" s="3">
        <f t="shared" si="54"/>
        <v>2026</v>
      </c>
      <c r="B1908" s="106">
        <f t="shared" si="55"/>
        <v>34</v>
      </c>
      <c r="C1908" s="107">
        <f ca="1">OFFSET(tab_tipo_Combustivel!$A$1,MATCH(B1908,tab_tipo_Combustivel!$A$2:$A$150,0),MATCH(A1908,tab_tipo_Combustivel!$B$1:$AQ$1,0),1,1)</f>
        <v>423.38</v>
      </c>
    </row>
    <row r="1909" spans="1:3">
      <c r="A1909" s="3">
        <f t="shared" si="54"/>
        <v>2026</v>
      </c>
      <c r="B1909" s="106">
        <f t="shared" si="55"/>
        <v>35</v>
      </c>
      <c r="C1909" s="107">
        <f ca="1">OFFSET(tab_tipo_Combustivel!$A$1,MATCH(B1909,tab_tipo_Combustivel!$A$2:$A$150,0),MATCH(A1909,tab_tipo_Combustivel!$B$1:$AQ$1,0),1,1)</f>
        <v>692.45</v>
      </c>
    </row>
    <row r="1910" spans="1:3">
      <c r="A1910" s="3">
        <f t="shared" si="54"/>
        <v>2026</v>
      </c>
      <c r="B1910" s="106">
        <f t="shared" si="55"/>
        <v>36</v>
      </c>
      <c r="C1910" s="107">
        <f ca="1">OFFSET(tab_tipo_Combustivel!$A$1,MATCH(B1910,tab_tipo_Combustivel!$A$2:$A$150,0),MATCH(A1910,tab_tipo_Combustivel!$B$1:$AQ$1,0),1,1)</f>
        <v>157.83000000000001</v>
      </c>
    </row>
    <row r="1911" spans="1:3">
      <c r="A1911" s="3">
        <f t="shared" si="54"/>
        <v>2026</v>
      </c>
      <c r="B1911" s="106">
        <f t="shared" si="55"/>
        <v>42</v>
      </c>
      <c r="C1911" s="107">
        <f ca="1">OFFSET(tab_tipo_Combustivel!$A$1,MATCH(B1911,tab_tipo_Combustivel!$A$2:$A$150,0),MATCH(A1911,tab_tipo_Combustivel!$B$1:$AQ$1,0),1,1)</f>
        <v>199.22</v>
      </c>
    </row>
    <row r="1912" spans="1:3">
      <c r="A1912" s="3">
        <f t="shared" si="54"/>
        <v>2026</v>
      </c>
      <c r="B1912" s="106">
        <f t="shared" si="55"/>
        <v>43</v>
      </c>
      <c r="C1912" s="107">
        <f ca="1">OFFSET(tab_tipo_Combustivel!$A$1,MATCH(B1912,tab_tipo_Combustivel!$A$2:$A$150,0),MATCH(A1912,tab_tipo_Combustivel!$B$1:$AQ$1,0),1,1)</f>
        <v>431.62</v>
      </c>
    </row>
    <row r="1913" spans="1:3">
      <c r="A1913" s="3">
        <f t="shared" si="54"/>
        <v>2026</v>
      </c>
      <c r="B1913" s="106">
        <f t="shared" si="55"/>
        <v>44</v>
      </c>
      <c r="C1913" s="107">
        <f ca="1">OFFSET(tab_tipo_Combustivel!$A$1,MATCH(B1913,tab_tipo_Combustivel!$A$2:$A$150,0),MATCH(A1913,tab_tipo_Combustivel!$B$1:$AQ$1,0),1,1)</f>
        <v>25.58</v>
      </c>
    </row>
    <row r="1914" spans="1:3">
      <c r="A1914" s="3">
        <f t="shared" si="54"/>
        <v>2026</v>
      </c>
      <c r="B1914" s="106">
        <f t="shared" si="55"/>
        <v>46</v>
      </c>
      <c r="C1914" s="107">
        <f ca="1">OFFSET(tab_tipo_Combustivel!$A$1,MATCH(B1914,tab_tipo_Combustivel!$A$2:$A$150,0),MATCH(A1914,tab_tipo_Combustivel!$B$1:$AQ$1,0),1,1)</f>
        <v>228.91</v>
      </c>
    </row>
    <row r="1915" spans="1:3">
      <c r="A1915" s="3">
        <f t="shared" si="54"/>
        <v>2026</v>
      </c>
      <c r="B1915" s="106">
        <f t="shared" si="55"/>
        <v>47</v>
      </c>
      <c r="C1915" s="107">
        <f ca="1">OFFSET(tab_tipo_Combustivel!$A$1,MATCH(B1915,tab_tipo_Combustivel!$A$2:$A$150,0),MATCH(A1915,tab_tipo_Combustivel!$B$1:$AQ$1,0),1,1)</f>
        <v>235.6</v>
      </c>
    </row>
    <row r="1916" spans="1:3">
      <c r="A1916" s="3">
        <f t="shared" si="54"/>
        <v>2026</v>
      </c>
      <c r="B1916" s="106">
        <f t="shared" si="55"/>
        <v>48</v>
      </c>
      <c r="C1916" s="107">
        <f ca="1">OFFSET(tab_tipo_Combustivel!$A$1,MATCH(B1916,tab_tipo_Combustivel!$A$2:$A$150,0),MATCH(A1916,tab_tipo_Combustivel!$B$1:$AQ$1,0),1,1)</f>
        <v>1012.12</v>
      </c>
    </row>
    <row r="1917" spans="1:3">
      <c r="A1917" s="3">
        <f t="shared" si="54"/>
        <v>2026</v>
      </c>
      <c r="B1917" s="106">
        <f t="shared" si="55"/>
        <v>50</v>
      </c>
      <c r="C1917" s="107">
        <f ca="1">OFFSET(tab_tipo_Combustivel!$A$1,MATCH(B1917,tab_tipo_Combustivel!$A$2:$A$150,0),MATCH(A1917,tab_tipo_Combustivel!$B$1:$AQ$1,0),1,1)</f>
        <v>669.87</v>
      </c>
    </row>
    <row r="1918" spans="1:3">
      <c r="A1918" s="3">
        <f t="shared" si="54"/>
        <v>2026</v>
      </c>
      <c r="B1918" s="106">
        <f t="shared" si="55"/>
        <v>54</v>
      </c>
      <c r="C1918" s="107">
        <f ca="1">OFFSET(tab_tipo_Combustivel!$A$1,MATCH(B1918,tab_tipo_Combustivel!$A$2:$A$150,0),MATCH(A1918,tab_tipo_Combustivel!$B$1:$AQ$1,0),1,1)</f>
        <v>304.55</v>
      </c>
    </row>
    <row r="1919" spans="1:3">
      <c r="A1919" s="3">
        <f t="shared" si="54"/>
        <v>2026</v>
      </c>
      <c r="B1919" s="106">
        <f t="shared" si="55"/>
        <v>58</v>
      </c>
      <c r="C1919" s="107">
        <f ca="1">OFFSET(tab_tipo_Combustivel!$A$1,MATCH(B1919,tab_tipo_Combustivel!$A$2:$A$150,0),MATCH(A1919,tab_tipo_Combustivel!$B$1:$AQ$1,0),1,1)</f>
        <v>300.05</v>
      </c>
    </row>
    <row r="1920" spans="1:3">
      <c r="A1920" s="3">
        <f t="shared" si="54"/>
        <v>2026</v>
      </c>
      <c r="B1920" s="106">
        <f t="shared" si="55"/>
        <v>62</v>
      </c>
      <c r="C1920" s="107">
        <f ca="1">OFFSET(tab_tipo_Combustivel!$A$1,MATCH(B1920,tab_tipo_Combustivel!$A$2:$A$150,0),MATCH(A1920,tab_tipo_Combustivel!$B$1:$AQ$1,0),1,1)</f>
        <v>309.24</v>
      </c>
    </row>
    <row r="1921" spans="1:3">
      <c r="A1921" s="3">
        <f t="shared" si="54"/>
        <v>2026</v>
      </c>
      <c r="B1921" s="106">
        <f t="shared" si="55"/>
        <v>63</v>
      </c>
      <c r="C1921" s="107">
        <f ca="1">OFFSET(tab_tipo_Combustivel!$A$1,MATCH(B1921,tab_tipo_Combustivel!$A$2:$A$150,0),MATCH(A1921,tab_tipo_Combustivel!$B$1:$AQ$1,0),1,1)</f>
        <v>365.77</v>
      </c>
    </row>
    <row r="1922" spans="1:3">
      <c r="A1922" s="3">
        <f t="shared" si="54"/>
        <v>2026</v>
      </c>
      <c r="B1922" s="106">
        <f t="shared" si="55"/>
        <v>64</v>
      </c>
      <c r="C1922" s="107">
        <f ca="1">OFFSET(tab_tipo_Combustivel!$A$1,MATCH(B1922,tab_tipo_Combustivel!$A$2:$A$150,0),MATCH(A1922,tab_tipo_Combustivel!$B$1:$AQ$1,0),1,1)</f>
        <v>853.54</v>
      </c>
    </row>
    <row r="1923" spans="1:3">
      <c r="A1923" s="3">
        <f t="shared" si="54"/>
        <v>2026</v>
      </c>
      <c r="B1923" s="106">
        <f t="shared" si="55"/>
        <v>68</v>
      </c>
      <c r="C1923" s="107">
        <f ca="1">OFFSET(tab_tipo_Combustivel!$A$1,MATCH(B1923,tab_tipo_Combustivel!$A$2:$A$150,0),MATCH(A1923,tab_tipo_Combustivel!$B$1:$AQ$1,0),1,1)</f>
        <v>195.63</v>
      </c>
    </row>
    <row r="1924" spans="1:3">
      <c r="A1924" s="3">
        <f t="shared" si="54"/>
        <v>2026</v>
      </c>
      <c r="B1924" s="106">
        <f t="shared" si="55"/>
        <v>74</v>
      </c>
      <c r="C1924" s="107">
        <f ca="1">OFFSET(tab_tipo_Combustivel!$A$1,MATCH(B1924,tab_tipo_Combustivel!$A$2:$A$150,0),MATCH(A1924,tab_tipo_Combustivel!$B$1:$AQ$1,0),1,1)</f>
        <v>364.46</v>
      </c>
    </row>
    <row r="1925" spans="1:3">
      <c r="A1925" s="3">
        <f t="shared" si="54"/>
        <v>2026</v>
      </c>
      <c r="B1925" s="106">
        <f t="shared" si="55"/>
        <v>83</v>
      </c>
      <c r="C1925" s="107">
        <f ca="1">OFFSET(tab_tipo_Combustivel!$A$1,MATCH(B1925,tab_tipo_Combustivel!$A$2:$A$150,0),MATCH(A1925,tab_tipo_Combustivel!$B$1:$AQ$1,0),1,1)</f>
        <v>448.1</v>
      </c>
    </row>
    <row r="1926" spans="1:3">
      <c r="A1926" s="3">
        <f t="shared" si="54"/>
        <v>2026</v>
      </c>
      <c r="B1926" s="106">
        <f t="shared" si="55"/>
        <v>86</v>
      </c>
      <c r="C1926" s="107">
        <f ca="1">OFFSET(tab_tipo_Combustivel!$A$1,MATCH(B1926,tab_tipo_Combustivel!$A$2:$A$150,0),MATCH(A1926,tab_tipo_Combustivel!$B$1:$AQ$1,0),1,1)</f>
        <v>170.34</v>
      </c>
    </row>
    <row r="1927" spans="1:3">
      <c r="A1927" s="3">
        <f t="shared" si="54"/>
        <v>2026</v>
      </c>
      <c r="B1927" s="106">
        <f t="shared" si="55"/>
        <v>90</v>
      </c>
      <c r="C1927" s="107">
        <f ca="1">OFFSET(tab_tipo_Combustivel!$A$1,MATCH(B1927,tab_tipo_Combustivel!$A$2:$A$150,0),MATCH(A1927,tab_tipo_Combustivel!$B$1:$AQ$1,0),1,1)</f>
        <v>533.1</v>
      </c>
    </row>
    <row r="1928" spans="1:3">
      <c r="A1928" s="3">
        <f t="shared" si="54"/>
        <v>2026</v>
      </c>
      <c r="B1928" s="106">
        <f t="shared" si="55"/>
        <v>93</v>
      </c>
      <c r="C1928" s="107">
        <f ca="1">OFFSET(tab_tipo_Combustivel!$A$1,MATCH(B1928,tab_tipo_Combustivel!$A$2:$A$150,0),MATCH(A1928,tab_tipo_Combustivel!$B$1:$AQ$1,0),1,1)</f>
        <v>842.33</v>
      </c>
    </row>
    <row r="1929" spans="1:3">
      <c r="A1929" s="3">
        <f t="shared" si="54"/>
        <v>2026</v>
      </c>
      <c r="B1929" s="106">
        <f t="shared" si="55"/>
        <v>94</v>
      </c>
      <c r="C1929" s="107">
        <f ca="1">OFFSET(tab_tipo_Combustivel!$A$1,MATCH(B1929,tab_tipo_Combustivel!$A$2:$A$150,0),MATCH(A1929,tab_tipo_Combustivel!$B$1:$AQ$1,0),1,1)</f>
        <v>842.33</v>
      </c>
    </row>
    <row r="1930" spans="1:3">
      <c r="A1930" s="3">
        <f t="shared" ref="A1930:A1993" si="56">A1795+1</f>
        <v>2026</v>
      </c>
      <c r="B1930" s="106">
        <f t="shared" ref="B1930:B1993" si="57">B1795</f>
        <v>96</v>
      </c>
      <c r="C1930" s="107">
        <f ca="1">OFFSET(tab_tipo_Combustivel!$A$1,MATCH(B1930,tab_tipo_Combustivel!$A$2:$A$150,0),MATCH(A1930,tab_tipo_Combustivel!$B$1:$AQ$1,0),1,1)</f>
        <v>99.92</v>
      </c>
    </row>
    <row r="1931" spans="1:3">
      <c r="A1931" s="3">
        <f t="shared" si="56"/>
        <v>2026</v>
      </c>
      <c r="B1931" s="106">
        <f t="shared" si="57"/>
        <v>98</v>
      </c>
      <c r="C1931" s="107">
        <f ca="1">OFFSET(tab_tipo_Combustivel!$A$1,MATCH(B1931,tab_tipo_Combustivel!$A$2:$A$150,0),MATCH(A1931,tab_tipo_Combustivel!$B$1:$AQ$1,0),1,1)</f>
        <v>489.8</v>
      </c>
    </row>
    <row r="1932" spans="1:3">
      <c r="A1932" s="3">
        <f t="shared" si="56"/>
        <v>2026</v>
      </c>
      <c r="B1932" s="106">
        <f t="shared" si="57"/>
        <v>107</v>
      </c>
      <c r="C1932" s="107">
        <f ca="1">OFFSET(tab_tipo_Combustivel!$A$1,MATCH(B1932,tab_tipo_Combustivel!$A$2:$A$150,0),MATCH(A1932,tab_tipo_Combustivel!$B$1:$AQ$1,0),1,1)</f>
        <v>57.63</v>
      </c>
    </row>
    <row r="1933" spans="1:3">
      <c r="A1933" s="3">
        <f t="shared" si="56"/>
        <v>2026</v>
      </c>
      <c r="B1933" s="106">
        <f t="shared" si="57"/>
        <v>110</v>
      </c>
      <c r="C1933" s="107">
        <f ca="1">OFFSET(tab_tipo_Combustivel!$A$1,MATCH(B1933,tab_tipo_Combustivel!$A$2:$A$150,0),MATCH(A1933,tab_tipo_Combustivel!$B$1:$AQ$1,0),1,1)</f>
        <v>568.29</v>
      </c>
    </row>
    <row r="1934" spans="1:3">
      <c r="A1934" s="3">
        <f t="shared" si="56"/>
        <v>2026</v>
      </c>
      <c r="B1934" s="106">
        <f t="shared" si="57"/>
        <v>116</v>
      </c>
      <c r="C1934" s="107">
        <f ca="1">OFFSET(tab_tipo_Combustivel!$A$1,MATCH(B1934,tab_tipo_Combustivel!$A$2:$A$150,0),MATCH(A1934,tab_tipo_Combustivel!$B$1:$AQ$1,0),1,1)</f>
        <v>117.46</v>
      </c>
    </row>
    <row r="1935" spans="1:3">
      <c r="A1935" s="3">
        <f t="shared" si="56"/>
        <v>2026</v>
      </c>
      <c r="B1935" s="106">
        <f t="shared" si="57"/>
        <v>140</v>
      </c>
      <c r="C1935" s="107">
        <f ca="1">OFFSET(tab_tipo_Combustivel!$A$1,MATCH(B1935,tab_tipo_Combustivel!$A$2:$A$150,0),MATCH(A1935,tab_tipo_Combustivel!$B$1:$AQ$1,0),1,1)</f>
        <v>88.11</v>
      </c>
    </row>
    <row r="1936" spans="1:3">
      <c r="A1936" s="3">
        <f t="shared" si="56"/>
        <v>2026</v>
      </c>
      <c r="B1936" s="106">
        <f t="shared" si="57"/>
        <v>141</v>
      </c>
      <c r="C1936" s="107">
        <f ca="1">OFFSET(tab_tipo_Combustivel!$A$1,MATCH(B1936,tab_tipo_Combustivel!$A$2:$A$150,0),MATCH(A1936,tab_tipo_Combustivel!$B$1:$AQ$1,0),1,1)</f>
        <v>1280.52</v>
      </c>
    </row>
    <row r="1937" spans="1:3">
      <c r="A1937" s="3">
        <f t="shared" si="56"/>
        <v>2026</v>
      </c>
      <c r="B1937" s="106">
        <f t="shared" si="57"/>
        <v>147</v>
      </c>
      <c r="C1937" s="107">
        <f ca="1">OFFSET(tab_tipo_Combustivel!$A$1,MATCH(B1937,tab_tipo_Combustivel!$A$2:$A$150,0),MATCH(A1937,tab_tipo_Combustivel!$B$1:$AQ$1,0),1,1)</f>
        <v>134.18</v>
      </c>
    </row>
    <row r="1938" spans="1:3">
      <c r="A1938" s="3">
        <f t="shared" si="56"/>
        <v>2026</v>
      </c>
      <c r="B1938" s="106">
        <f t="shared" si="57"/>
        <v>156</v>
      </c>
      <c r="C1938" s="107">
        <f ca="1">OFFSET(tab_tipo_Combustivel!$A$1,MATCH(B1938,tab_tipo_Combustivel!$A$2:$A$150,0),MATCH(A1938,tab_tipo_Combustivel!$B$1:$AQ$1,0),1,1)</f>
        <v>77.12</v>
      </c>
    </row>
    <row r="1939" spans="1:3">
      <c r="A1939" s="3">
        <f t="shared" si="56"/>
        <v>2026</v>
      </c>
      <c r="B1939" s="106">
        <f t="shared" si="57"/>
        <v>163</v>
      </c>
      <c r="C1939" s="107">
        <f ca="1">OFFSET(tab_tipo_Combustivel!$A$1,MATCH(B1939,tab_tipo_Combustivel!$A$2:$A$150,0),MATCH(A1939,tab_tipo_Combustivel!$B$1:$AQ$1,0),1,1)</f>
        <v>156.69999999999999</v>
      </c>
    </row>
    <row r="1940" spans="1:3">
      <c r="A1940" s="3">
        <f t="shared" si="56"/>
        <v>2026</v>
      </c>
      <c r="B1940" s="106">
        <f t="shared" si="57"/>
        <v>167</v>
      </c>
      <c r="C1940" s="107">
        <f ca="1">OFFSET(tab_tipo_Combustivel!$A$1,MATCH(B1940,tab_tipo_Combustivel!$A$2:$A$150,0),MATCH(A1940,tab_tipo_Combustivel!$B$1:$AQ$1,0),1,1)</f>
        <v>144.66999999999999</v>
      </c>
    </row>
    <row r="1941" spans="1:3">
      <c r="A1941" s="3">
        <f t="shared" si="56"/>
        <v>2026</v>
      </c>
      <c r="B1941" s="106">
        <f t="shared" si="57"/>
        <v>171</v>
      </c>
      <c r="C1941" s="107">
        <f ca="1">OFFSET(tab_tipo_Combustivel!$A$1,MATCH(B1941,tab_tipo_Combustivel!$A$2:$A$150,0),MATCH(A1941,tab_tipo_Combustivel!$B$1:$AQ$1,0),1,1)</f>
        <v>88</v>
      </c>
    </row>
    <row r="1942" spans="1:3">
      <c r="A1942" s="3">
        <f t="shared" si="56"/>
        <v>2026</v>
      </c>
      <c r="B1942" s="106">
        <f t="shared" si="57"/>
        <v>172</v>
      </c>
      <c r="C1942" s="107">
        <f ca="1">OFFSET(tab_tipo_Combustivel!$A$1,MATCH(B1942,tab_tipo_Combustivel!$A$2:$A$150,0),MATCH(A1942,tab_tipo_Combustivel!$B$1:$AQ$1,0),1,1)</f>
        <v>99.97</v>
      </c>
    </row>
    <row r="1943" spans="1:3">
      <c r="A1943" s="3">
        <f t="shared" si="56"/>
        <v>2026</v>
      </c>
      <c r="B1943" s="106">
        <f t="shared" si="57"/>
        <v>173</v>
      </c>
      <c r="C1943" s="107">
        <f ca="1">OFFSET(tab_tipo_Combustivel!$A$1,MATCH(B1943,tab_tipo_Combustivel!$A$2:$A$150,0),MATCH(A1943,tab_tipo_Combustivel!$B$1:$AQ$1,0),1,1)</f>
        <v>192.03</v>
      </c>
    </row>
    <row r="1944" spans="1:3">
      <c r="A1944" s="3">
        <f t="shared" si="56"/>
        <v>2026</v>
      </c>
      <c r="B1944" s="106">
        <f t="shared" si="57"/>
        <v>174</v>
      </c>
      <c r="C1944" s="107">
        <f ca="1">OFFSET(tab_tipo_Combustivel!$A$1,MATCH(B1944,tab_tipo_Combustivel!$A$2:$A$150,0),MATCH(A1944,tab_tipo_Combustivel!$B$1:$AQ$1,0),1,1)</f>
        <v>331.22</v>
      </c>
    </row>
    <row r="1945" spans="1:3">
      <c r="A1945" s="3">
        <f t="shared" si="56"/>
        <v>2026</v>
      </c>
      <c r="B1945" s="106">
        <f t="shared" si="57"/>
        <v>176</v>
      </c>
      <c r="C1945" s="107">
        <f ca="1">OFFSET(tab_tipo_Combustivel!$A$1,MATCH(B1945,tab_tipo_Combustivel!$A$2:$A$150,0),MATCH(A1945,tab_tipo_Combustivel!$B$1:$AQ$1,0),1,1)</f>
        <v>149.47999999999999</v>
      </c>
    </row>
    <row r="1946" spans="1:3">
      <c r="A1946" s="3">
        <f t="shared" si="56"/>
        <v>2026</v>
      </c>
      <c r="B1946" s="106">
        <f t="shared" si="57"/>
        <v>183</v>
      </c>
      <c r="C1946" s="107">
        <f ca="1">OFFSET(tab_tipo_Combustivel!$A$1,MATCH(B1946,tab_tipo_Combustivel!$A$2:$A$150,0),MATCH(A1946,tab_tipo_Combustivel!$B$1:$AQ$1,0),1,1)</f>
        <v>171.61</v>
      </c>
    </row>
    <row r="1947" spans="1:3">
      <c r="A1947" s="3">
        <f t="shared" si="56"/>
        <v>2026</v>
      </c>
      <c r="B1947" s="106">
        <f t="shared" si="57"/>
        <v>194</v>
      </c>
      <c r="C1947" s="107">
        <f ca="1">OFFSET(tab_tipo_Combustivel!$A$1,MATCH(B1947,tab_tipo_Combustivel!$A$2:$A$150,0),MATCH(A1947,tab_tipo_Combustivel!$B$1:$AQ$1,0),1,1)</f>
        <v>1098.58</v>
      </c>
    </row>
    <row r="1948" spans="1:3">
      <c r="A1948" s="3">
        <f t="shared" si="56"/>
        <v>2026</v>
      </c>
      <c r="B1948" s="106">
        <f t="shared" si="57"/>
        <v>203</v>
      </c>
      <c r="C1948" s="107">
        <f ca="1">OFFSET(tab_tipo_Combustivel!$A$1,MATCH(B1948,tab_tipo_Combustivel!$A$2:$A$150,0),MATCH(A1948,tab_tipo_Combustivel!$B$1:$AQ$1,0),1,1)</f>
        <v>0</v>
      </c>
    </row>
    <row r="1949" spans="1:3">
      <c r="A1949" s="3">
        <f t="shared" si="56"/>
        <v>2026</v>
      </c>
      <c r="B1949" s="106">
        <f t="shared" si="57"/>
        <v>204</v>
      </c>
      <c r="C1949" s="107">
        <f ca="1">OFFSET(tab_tipo_Combustivel!$A$1,MATCH(B1949,tab_tipo_Combustivel!$A$2:$A$150,0),MATCH(A1949,tab_tipo_Combustivel!$B$1:$AQ$1,0),1,1)</f>
        <v>0</v>
      </c>
    </row>
    <row r="1950" spans="1:3">
      <c r="A1950" s="3">
        <f t="shared" si="56"/>
        <v>2026</v>
      </c>
      <c r="B1950" s="106">
        <f t="shared" si="57"/>
        <v>205</v>
      </c>
      <c r="C1950" s="107">
        <f ca="1">OFFSET(tab_tipo_Combustivel!$A$1,MATCH(B1950,tab_tipo_Combustivel!$A$2:$A$150,0),MATCH(A1950,tab_tipo_Combustivel!$B$1:$AQ$1,0),1,1)</f>
        <v>0</v>
      </c>
    </row>
    <row r="1951" spans="1:3">
      <c r="A1951" s="3">
        <f t="shared" si="56"/>
        <v>2026</v>
      </c>
      <c r="B1951" s="106">
        <f t="shared" si="57"/>
        <v>207</v>
      </c>
      <c r="C1951" s="107">
        <f ca="1">OFFSET(tab_tipo_Combustivel!$A$1,MATCH(B1951,tab_tipo_Combustivel!$A$2:$A$150,0),MATCH(A1951,tab_tipo_Combustivel!$B$1:$AQ$1,0),1,1)</f>
        <v>0</v>
      </c>
    </row>
    <row r="1952" spans="1:3">
      <c r="A1952" s="3">
        <f t="shared" si="56"/>
        <v>2026</v>
      </c>
      <c r="B1952" s="106">
        <f t="shared" si="57"/>
        <v>208</v>
      </c>
      <c r="C1952" s="107">
        <f ca="1">OFFSET(tab_tipo_Combustivel!$A$1,MATCH(B1952,tab_tipo_Combustivel!$A$2:$A$150,0),MATCH(A1952,tab_tipo_Combustivel!$B$1:$AQ$1,0),1,1)</f>
        <v>783.64</v>
      </c>
    </row>
    <row r="1953" spans="1:3">
      <c r="A1953" s="3">
        <f t="shared" si="56"/>
        <v>2026</v>
      </c>
      <c r="B1953" s="106">
        <f t="shared" si="57"/>
        <v>209</v>
      </c>
      <c r="C1953" s="107">
        <f ca="1">OFFSET(tab_tipo_Combustivel!$A$1,MATCH(B1953,tab_tipo_Combustivel!$A$2:$A$150,0),MATCH(A1953,tab_tipo_Combustivel!$B$1:$AQ$1,0),1,1)</f>
        <v>0</v>
      </c>
    </row>
    <row r="1954" spans="1:3">
      <c r="A1954" s="3">
        <f t="shared" si="56"/>
        <v>2026</v>
      </c>
      <c r="B1954" s="106">
        <f t="shared" si="57"/>
        <v>211</v>
      </c>
      <c r="C1954" s="107">
        <f ca="1">OFFSET(tab_tipo_Combustivel!$A$1,MATCH(B1954,tab_tipo_Combustivel!$A$2:$A$150,0),MATCH(A1954,tab_tipo_Combustivel!$B$1:$AQ$1,0),1,1)</f>
        <v>150.79</v>
      </c>
    </row>
    <row r="1955" spans="1:3">
      <c r="A1955" s="3">
        <f t="shared" si="56"/>
        <v>2026</v>
      </c>
      <c r="B1955" s="106">
        <f t="shared" si="57"/>
        <v>212</v>
      </c>
      <c r="C1955" s="107">
        <f ca="1">OFFSET(tab_tipo_Combustivel!$A$1,MATCH(B1955,tab_tipo_Combustivel!$A$2:$A$150,0),MATCH(A1955,tab_tipo_Combustivel!$B$1:$AQ$1,0),1,1)</f>
        <v>84.58</v>
      </c>
    </row>
    <row r="1956" spans="1:3">
      <c r="A1956" s="3">
        <f t="shared" si="56"/>
        <v>2026</v>
      </c>
      <c r="B1956" s="106">
        <f t="shared" si="57"/>
        <v>224</v>
      </c>
      <c r="C1956" s="107">
        <f ca="1">OFFSET(tab_tipo_Combustivel!$A$1,MATCH(B1956,tab_tipo_Combustivel!$A$2:$A$150,0),MATCH(A1956,tab_tipo_Combustivel!$B$1:$AQ$1,0),1,1)</f>
        <v>31.08</v>
      </c>
    </row>
    <row r="1957" spans="1:3">
      <c r="A1957" s="3">
        <f t="shared" si="56"/>
        <v>2026</v>
      </c>
      <c r="B1957" s="106">
        <f t="shared" si="57"/>
        <v>225</v>
      </c>
      <c r="C1957" s="107">
        <f ca="1">OFFSET(tab_tipo_Combustivel!$A$1,MATCH(B1957,tab_tipo_Combustivel!$A$2:$A$150,0),MATCH(A1957,tab_tipo_Combustivel!$B$1:$AQ$1,0),1,1)</f>
        <v>1329.7</v>
      </c>
    </row>
    <row r="1958" spans="1:3">
      <c r="A1958" s="3">
        <f t="shared" si="56"/>
        <v>2026</v>
      </c>
      <c r="B1958" s="106">
        <f t="shared" si="57"/>
        <v>226</v>
      </c>
      <c r="C1958" s="107">
        <f ca="1">OFFSET(tab_tipo_Combustivel!$A$1,MATCH(B1958,tab_tipo_Combustivel!$A$2:$A$150,0),MATCH(A1958,tab_tipo_Combustivel!$B$1:$AQ$1,0),1,1)</f>
        <v>1061.1300000000001</v>
      </c>
    </row>
    <row r="1959" spans="1:3">
      <c r="A1959" s="3">
        <f t="shared" si="56"/>
        <v>2026</v>
      </c>
      <c r="B1959" s="106">
        <f t="shared" si="57"/>
        <v>227</v>
      </c>
      <c r="C1959" s="107">
        <f ca="1">OFFSET(tab_tipo_Combustivel!$A$1,MATCH(B1959,tab_tipo_Combustivel!$A$2:$A$150,0),MATCH(A1959,tab_tipo_Combustivel!$B$1:$AQ$1,0),1,1)</f>
        <v>447.52</v>
      </c>
    </row>
    <row r="1960" spans="1:3">
      <c r="A1960" s="3">
        <f t="shared" si="56"/>
        <v>2026</v>
      </c>
      <c r="B1960" s="106">
        <f t="shared" si="57"/>
        <v>228</v>
      </c>
      <c r="C1960" s="107">
        <f ca="1">OFFSET(tab_tipo_Combustivel!$A$1,MATCH(B1960,tab_tipo_Combustivel!$A$2:$A$150,0),MATCH(A1960,tab_tipo_Combustivel!$B$1:$AQ$1,0),1,1)</f>
        <v>1061.1400000000001</v>
      </c>
    </row>
    <row r="1961" spans="1:3">
      <c r="A1961" s="3">
        <f t="shared" si="56"/>
        <v>2026</v>
      </c>
      <c r="B1961" s="106">
        <f t="shared" si="57"/>
        <v>229</v>
      </c>
      <c r="C1961" s="107">
        <f ca="1">OFFSET(tab_tipo_Combustivel!$A$1,MATCH(B1961,tab_tipo_Combustivel!$A$2:$A$150,0),MATCH(A1961,tab_tipo_Combustivel!$B$1:$AQ$1,0),1,1)</f>
        <v>942.05</v>
      </c>
    </row>
    <row r="1962" spans="1:3">
      <c r="A1962" s="3">
        <f t="shared" si="56"/>
        <v>2026</v>
      </c>
      <c r="B1962" s="106">
        <f t="shared" si="57"/>
        <v>230</v>
      </c>
      <c r="C1962" s="107">
        <f ca="1">OFFSET(tab_tipo_Combustivel!$A$1,MATCH(B1962,tab_tipo_Combustivel!$A$2:$A$150,0),MATCH(A1962,tab_tipo_Combustivel!$B$1:$AQ$1,0),1,1)</f>
        <v>495.06</v>
      </c>
    </row>
    <row r="1963" spans="1:3">
      <c r="A1963" s="3">
        <f t="shared" si="56"/>
        <v>2026</v>
      </c>
      <c r="B1963" s="106">
        <f t="shared" si="57"/>
        <v>231</v>
      </c>
      <c r="C1963" s="107">
        <f ca="1">OFFSET(tab_tipo_Combustivel!$A$1,MATCH(B1963,tab_tipo_Combustivel!$A$2:$A$150,0),MATCH(A1963,tab_tipo_Combustivel!$B$1:$AQ$1,0),1,1)</f>
        <v>489.29</v>
      </c>
    </row>
    <row r="1964" spans="1:3">
      <c r="A1964" s="3">
        <f t="shared" si="56"/>
        <v>2026</v>
      </c>
      <c r="B1964" s="106">
        <f t="shared" si="57"/>
        <v>232</v>
      </c>
      <c r="C1964" s="107">
        <f ca="1">OFFSET(tab_tipo_Combustivel!$A$1,MATCH(B1964,tab_tipo_Combustivel!$A$2:$A$150,0),MATCH(A1964,tab_tipo_Combustivel!$B$1:$AQ$1,0),1,1)</f>
        <v>842.33</v>
      </c>
    </row>
    <row r="1965" spans="1:3">
      <c r="A1965" s="3">
        <f t="shared" si="56"/>
        <v>2026</v>
      </c>
      <c r="B1965" s="106">
        <f t="shared" si="57"/>
        <v>233</v>
      </c>
      <c r="C1965" s="107">
        <f ca="1">OFFSET(tab_tipo_Combustivel!$A$1,MATCH(B1965,tab_tipo_Combustivel!$A$2:$A$150,0),MATCH(A1965,tab_tipo_Combustivel!$B$1:$AQ$1,0),1,1)</f>
        <v>984.29</v>
      </c>
    </row>
    <row r="1966" spans="1:3">
      <c r="A1966" s="3">
        <f t="shared" si="56"/>
        <v>2026</v>
      </c>
      <c r="B1966" s="106">
        <f t="shared" si="57"/>
        <v>234</v>
      </c>
      <c r="C1966" s="107">
        <f ca="1">OFFSET(tab_tipo_Combustivel!$A$1,MATCH(B1966,tab_tipo_Combustivel!$A$2:$A$150,0),MATCH(A1966,tab_tipo_Combustivel!$B$1:$AQ$1,0),1,1)</f>
        <v>290.26</v>
      </c>
    </row>
    <row r="1967" spans="1:3">
      <c r="A1967" s="3">
        <f t="shared" si="56"/>
        <v>2026</v>
      </c>
      <c r="B1967" s="106">
        <f t="shared" si="57"/>
        <v>235</v>
      </c>
      <c r="C1967" s="107">
        <f ca="1">OFFSET(tab_tipo_Combustivel!$A$1,MATCH(B1967,tab_tipo_Combustivel!$A$2:$A$150,0),MATCH(A1967,tab_tipo_Combustivel!$B$1:$AQ$1,0),1,1)</f>
        <v>1350.87</v>
      </c>
    </row>
    <row r="1968" spans="1:3">
      <c r="A1968" s="3">
        <f t="shared" si="56"/>
        <v>2026</v>
      </c>
      <c r="B1968" s="106">
        <f t="shared" si="57"/>
        <v>236</v>
      </c>
      <c r="C1968" s="107">
        <f ca="1">OFFSET(tab_tipo_Combustivel!$A$1,MATCH(B1968,tab_tipo_Combustivel!$A$2:$A$150,0),MATCH(A1968,tab_tipo_Combustivel!$B$1:$AQ$1,0),1,1)</f>
        <v>842.33</v>
      </c>
    </row>
    <row r="1969" spans="1:3">
      <c r="A1969" s="3">
        <f t="shared" si="56"/>
        <v>2026</v>
      </c>
      <c r="B1969" s="106">
        <f t="shared" si="57"/>
        <v>237</v>
      </c>
      <c r="C1969" s="107">
        <f ca="1">OFFSET(tab_tipo_Combustivel!$A$1,MATCH(B1969,tab_tipo_Combustivel!$A$2:$A$150,0),MATCH(A1969,tab_tipo_Combustivel!$B$1:$AQ$1,0),1,1)</f>
        <v>760.85</v>
      </c>
    </row>
    <row r="1970" spans="1:3">
      <c r="A1970" s="3">
        <f t="shared" si="56"/>
        <v>2026</v>
      </c>
      <c r="B1970" s="106">
        <f t="shared" si="57"/>
        <v>238</v>
      </c>
      <c r="C1970" s="107">
        <f ca="1">OFFSET(tab_tipo_Combustivel!$A$1,MATCH(B1970,tab_tipo_Combustivel!$A$2:$A$150,0),MATCH(A1970,tab_tipo_Combustivel!$B$1:$AQ$1,0),1,1)</f>
        <v>963.75</v>
      </c>
    </row>
    <row r="1971" spans="1:3">
      <c r="A1971" s="3">
        <f t="shared" si="56"/>
        <v>2026</v>
      </c>
      <c r="B1971" s="106">
        <f t="shared" si="57"/>
        <v>239</v>
      </c>
      <c r="C1971" s="107">
        <f ca="1">OFFSET(tab_tipo_Combustivel!$A$1,MATCH(B1971,tab_tipo_Combustivel!$A$2:$A$150,0),MATCH(A1971,tab_tipo_Combustivel!$B$1:$AQ$1,0),1,1)</f>
        <v>963.75</v>
      </c>
    </row>
    <row r="1972" spans="1:3">
      <c r="A1972" s="3">
        <f t="shared" si="56"/>
        <v>2026</v>
      </c>
      <c r="B1972" s="106">
        <f t="shared" si="57"/>
        <v>240</v>
      </c>
      <c r="C1972" s="107">
        <f ca="1">OFFSET(tab_tipo_Combustivel!$A$1,MATCH(B1972,tab_tipo_Combustivel!$A$2:$A$150,0),MATCH(A1972,tab_tipo_Combustivel!$B$1:$AQ$1,0),1,1)</f>
        <v>1115.96</v>
      </c>
    </row>
    <row r="1973" spans="1:3">
      <c r="A1973" s="3">
        <f t="shared" si="56"/>
        <v>2026</v>
      </c>
      <c r="B1973" s="106">
        <f t="shared" si="57"/>
        <v>241</v>
      </c>
      <c r="C1973" s="107">
        <f ca="1">OFFSET(tab_tipo_Combustivel!$A$1,MATCH(B1973,tab_tipo_Combustivel!$A$2:$A$150,0),MATCH(A1973,tab_tipo_Combustivel!$B$1:$AQ$1,0),1,1)</f>
        <v>495.75</v>
      </c>
    </row>
    <row r="1974" spans="1:3">
      <c r="A1974" s="3">
        <f t="shared" si="56"/>
        <v>2026</v>
      </c>
      <c r="B1974" s="106">
        <f t="shared" si="57"/>
        <v>242</v>
      </c>
      <c r="C1974" s="107">
        <f ca="1">OFFSET(tab_tipo_Combustivel!$A$1,MATCH(B1974,tab_tipo_Combustivel!$A$2:$A$150,0),MATCH(A1974,tab_tipo_Combustivel!$B$1:$AQ$1,0),1,1)</f>
        <v>1176.45</v>
      </c>
    </row>
    <row r="1975" spans="1:3">
      <c r="A1975" s="3">
        <f t="shared" si="56"/>
        <v>2026</v>
      </c>
      <c r="B1975" s="106">
        <f t="shared" si="57"/>
        <v>243</v>
      </c>
      <c r="C1975" s="107">
        <f ca="1">OFFSET(tab_tipo_Combustivel!$A$1,MATCH(B1975,tab_tipo_Combustivel!$A$2:$A$150,0),MATCH(A1975,tab_tipo_Combustivel!$B$1:$AQ$1,0),1,1)</f>
        <v>495.08</v>
      </c>
    </row>
    <row r="1976" spans="1:3">
      <c r="A1976" s="3">
        <f t="shared" si="56"/>
        <v>2026</v>
      </c>
      <c r="B1976" s="106">
        <f t="shared" si="57"/>
        <v>244</v>
      </c>
      <c r="C1976" s="107">
        <f ca="1">OFFSET(tab_tipo_Combustivel!$A$1,MATCH(B1976,tab_tipo_Combustivel!$A$2:$A$150,0),MATCH(A1976,tab_tipo_Combustivel!$B$1:$AQ$1,0),1,1)</f>
        <v>495.06</v>
      </c>
    </row>
    <row r="1977" spans="1:3">
      <c r="A1977" s="3">
        <f t="shared" si="56"/>
        <v>2026</v>
      </c>
      <c r="B1977" s="106">
        <f t="shared" si="57"/>
        <v>245</v>
      </c>
      <c r="C1977" s="107">
        <f ca="1">OFFSET(tab_tipo_Combustivel!$A$1,MATCH(B1977,tab_tipo_Combustivel!$A$2:$A$150,0),MATCH(A1977,tab_tipo_Combustivel!$B$1:$AQ$1,0),1,1)</f>
        <v>562.65</v>
      </c>
    </row>
    <row r="1978" spans="1:3">
      <c r="A1978" s="3">
        <f t="shared" si="56"/>
        <v>2026</v>
      </c>
      <c r="B1978" s="106">
        <f t="shared" si="57"/>
        <v>246</v>
      </c>
      <c r="C1978" s="107">
        <f ca="1">OFFSET(tab_tipo_Combustivel!$A$1,MATCH(B1978,tab_tipo_Combustivel!$A$2:$A$150,0),MATCH(A1978,tab_tipo_Combustivel!$B$1:$AQ$1,0),1,1)</f>
        <v>1124.53</v>
      </c>
    </row>
    <row r="1979" spans="1:3">
      <c r="A1979" s="3">
        <f t="shared" si="56"/>
        <v>2026</v>
      </c>
      <c r="B1979" s="106">
        <f t="shared" si="57"/>
        <v>247</v>
      </c>
      <c r="C1979" s="107">
        <f ca="1">OFFSET(tab_tipo_Combustivel!$A$1,MATCH(B1979,tab_tipo_Combustivel!$A$2:$A$150,0),MATCH(A1979,tab_tipo_Combustivel!$B$1:$AQ$1,0),1,1)</f>
        <v>609.51</v>
      </c>
    </row>
    <row r="1980" spans="1:3">
      <c r="A1980" s="3">
        <f t="shared" si="56"/>
        <v>2026</v>
      </c>
      <c r="B1980" s="106">
        <f t="shared" si="57"/>
        <v>248</v>
      </c>
      <c r="C1980" s="107">
        <f ca="1">OFFSET(tab_tipo_Combustivel!$A$1,MATCH(B1980,tab_tipo_Combustivel!$A$2:$A$150,0),MATCH(A1980,tab_tipo_Combustivel!$B$1:$AQ$1,0),1,1)</f>
        <v>495.06</v>
      </c>
    </row>
    <row r="1981" spans="1:3">
      <c r="A1981" s="3">
        <f t="shared" si="56"/>
        <v>2026</v>
      </c>
      <c r="B1981" s="106">
        <f t="shared" si="57"/>
        <v>249</v>
      </c>
      <c r="C1981" s="107">
        <f ca="1">OFFSET(tab_tipo_Combustivel!$A$1,MATCH(B1981,tab_tipo_Combustivel!$A$2:$A$150,0),MATCH(A1981,tab_tipo_Combustivel!$B$1:$AQ$1,0),1,1)</f>
        <v>842.33</v>
      </c>
    </row>
    <row r="1982" spans="1:3">
      <c r="A1982" s="3">
        <f t="shared" si="56"/>
        <v>2026</v>
      </c>
      <c r="B1982" s="106">
        <f t="shared" si="57"/>
        <v>250</v>
      </c>
      <c r="C1982" s="107">
        <f ca="1">OFFSET(tab_tipo_Combustivel!$A$1,MATCH(B1982,tab_tipo_Combustivel!$A$2:$A$150,0),MATCH(A1982,tab_tipo_Combustivel!$B$1:$AQ$1,0),1,1)</f>
        <v>1176.45</v>
      </c>
    </row>
    <row r="1983" spans="1:3">
      <c r="A1983" s="3">
        <f t="shared" si="56"/>
        <v>2026</v>
      </c>
      <c r="B1983" s="106">
        <f t="shared" si="57"/>
        <v>251</v>
      </c>
      <c r="C1983" s="107">
        <f ca="1">OFFSET(tab_tipo_Combustivel!$A$1,MATCH(B1983,tab_tipo_Combustivel!$A$2:$A$150,0),MATCH(A1983,tab_tipo_Combustivel!$B$1:$AQ$1,0),1,1)</f>
        <v>842.33</v>
      </c>
    </row>
    <row r="1984" spans="1:3">
      <c r="A1984" s="3">
        <f t="shared" si="56"/>
        <v>2026</v>
      </c>
      <c r="B1984" s="106">
        <f t="shared" si="57"/>
        <v>252</v>
      </c>
      <c r="C1984" s="107">
        <f ca="1">OFFSET(tab_tipo_Combustivel!$A$1,MATCH(B1984,tab_tipo_Combustivel!$A$2:$A$150,0),MATCH(A1984,tab_tipo_Combustivel!$B$1:$AQ$1,0),1,1)</f>
        <v>842.33</v>
      </c>
    </row>
    <row r="1985" spans="1:3">
      <c r="A1985" s="3">
        <f t="shared" si="56"/>
        <v>2026</v>
      </c>
      <c r="B1985" s="106">
        <f t="shared" si="57"/>
        <v>253</v>
      </c>
      <c r="C1985" s="107">
        <f ca="1">OFFSET(tab_tipo_Combustivel!$A$1,MATCH(B1985,tab_tipo_Combustivel!$A$2:$A$150,0),MATCH(A1985,tab_tipo_Combustivel!$B$1:$AQ$1,0),1,1)</f>
        <v>279.45</v>
      </c>
    </row>
    <row r="1986" spans="1:3">
      <c r="A1986" s="3">
        <f t="shared" si="56"/>
        <v>2026</v>
      </c>
      <c r="B1986" s="106">
        <f t="shared" si="57"/>
        <v>254</v>
      </c>
      <c r="C1986" s="107">
        <f ca="1">OFFSET(tab_tipo_Combustivel!$A$1,MATCH(B1986,tab_tipo_Combustivel!$A$2:$A$150,0),MATCH(A1986,tab_tipo_Combustivel!$B$1:$AQ$1,0),1,1)</f>
        <v>1153.98</v>
      </c>
    </row>
    <row r="1987" spans="1:3">
      <c r="A1987" s="3">
        <f t="shared" si="56"/>
        <v>2026</v>
      </c>
      <c r="B1987" s="106">
        <f t="shared" si="57"/>
        <v>255</v>
      </c>
      <c r="C1987" s="107">
        <f ca="1">OFFSET(tab_tipo_Combustivel!$A$1,MATCH(B1987,tab_tipo_Combustivel!$A$2:$A$150,0),MATCH(A1987,tab_tipo_Combustivel!$B$1:$AQ$1,0),1,1)</f>
        <v>828.98</v>
      </c>
    </row>
    <row r="1988" spans="1:3">
      <c r="A1988" s="3">
        <f t="shared" si="56"/>
        <v>2026</v>
      </c>
      <c r="B1988" s="106">
        <f t="shared" si="57"/>
        <v>256</v>
      </c>
      <c r="C1988" s="107">
        <f ca="1">OFFSET(tab_tipo_Combustivel!$A$1,MATCH(B1988,tab_tipo_Combustivel!$A$2:$A$150,0),MATCH(A1988,tab_tipo_Combustivel!$B$1:$AQ$1,0),1,1)</f>
        <v>562.65</v>
      </c>
    </row>
    <row r="1989" spans="1:3">
      <c r="A1989" s="3">
        <f t="shared" si="56"/>
        <v>2026</v>
      </c>
      <c r="B1989" s="106">
        <f t="shared" si="57"/>
        <v>257</v>
      </c>
      <c r="C1989" s="107">
        <f ca="1">OFFSET(tab_tipo_Combustivel!$A$1,MATCH(B1989,tab_tipo_Combustivel!$A$2:$A$150,0),MATCH(A1989,tab_tipo_Combustivel!$B$1:$AQ$1,0),1,1)</f>
        <v>907.52</v>
      </c>
    </row>
    <row r="1990" spans="1:3">
      <c r="A1990" s="3">
        <f t="shared" si="56"/>
        <v>2026</v>
      </c>
      <c r="B1990" s="106">
        <f t="shared" si="57"/>
        <v>258</v>
      </c>
      <c r="C1990" s="107">
        <f ca="1">OFFSET(tab_tipo_Combustivel!$A$1,MATCH(B1990,tab_tipo_Combustivel!$A$2:$A$150,0),MATCH(A1990,tab_tipo_Combustivel!$B$1:$AQ$1,0),1,1)</f>
        <v>1016.04</v>
      </c>
    </row>
    <row r="1991" spans="1:3">
      <c r="A1991" s="3">
        <f t="shared" si="56"/>
        <v>2026</v>
      </c>
      <c r="B1991" s="106">
        <f t="shared" si="57"/>
        <v>259</v>
      </c>
      <c r="C1991" s="107">
        <f ca="1">OFFSET(tab_tipo_Combustivel!$A$1,MATCH(B1991,tab_tipo_Combustivel!$A$2:$A$150,0),MATCH(A1991,tab_tipo_Combustivel!$B$1:$AQ$1,0),1,1)</f>
        <v>977.53</v>
      </c>
    </row>
    <row r="1992" spans="1:3">
      <c r="A1992" s="3">
        <f t="shared" si="56"/>
        <v>2026</v>
      </c>
      <c r="B1992" s="106">
        <f t="shared" si="57"/>
        <v>260</v>
      </c>
      <c r="C1992" s="107">
        <f ca="1">OFFSET(tab_tipo_Combustivel!$A$1,MATCH(B1992,tab_tipo_Combustivel!$A$2:$A$150,0),MATCH(A1992,tab_tipo_Combustivel!$B$1:$AQ$1,0),1,1)</f>
        <v>827.17</v>
      </c>
    </row>
    <row r="1993" spans="1:3">
      <c r="A1993" s="3">
        <f t="shared" si="56"/>
        <v>2026</v>
      </c>
      <c r="B1993" s="106">
        <f t="shared" si="57"/>
        <v>261</v>
      </c>
      <c r="C1993" s="107">
        <f ca="1">OFFSET(tab_tipo_Combustivel!$A$1,MATCH(B1993,tab_tipo_Combustivel!$A$2:$A$150,0),MATCH(A1993,tab_tipo_Combustivel!$B$1:$AQ$1,0),1,1)</f>
        <v>829.7</v>
      </c>
    </row>
    <row r="1994" spans="1:3">
      <c r="A1994" s="3">
        <f t="shared" ref="A1994:A2057" si="58">A1859+1</f>
        <v>2026</v>
      </c>
      <c r="B1994" s="106">
        <f t="shared" ref="B1994:B2057" si="59">B1859</f>
        <v>262</v>
      </c>
      <c r="C1994" s="107">
        <f ca="1">OFFSET(tab_tipo_Combustivel!$A$1,MATCH(B1994,tab_tipo_Combustivel!$A$2:$A$150,0),MATCH(A1994,tab_tipo_Combustivel!$B$1:$AQ$1,0),1,1)</f>
        <v>495.75</v>
      </c>
    </row>
    <row r="1995" spans="1:3">
      <c r="A1995" s="3">
        <f t="shared" si="58"/>
        <v>2026</v>
      </c>
      <c r="B1995" s="106">
        <f t="shared" si="59"/>
        <v>263</v>
      </c>
      <c r="C1995" s="107">
        <f ca="1">OFFSET(tab_tipo_Combustivel!$A$1,MATCH(B1995,tab_tipo_Combustivel!$A$2:$A$150,0),MATCH(A1995,tab_tipo_Combustivel!$B$1:$AQ$1,0),1,1)</f>
        <v>474.77</v>
      </c>
    </row>
    <row r="1996" spans="1:3">
      <c r="A1996" s="3">
        <f t="shared" si="58"/>
        <v>2026</v>
      </c>
      <c r="B1996" s="106">
        <f t="shared" si="59"/>
        <v>264</v>
      </c>
      <c r="C1996" s="107">
        <f ca="1">OFFSET(tab_tipo_Combustivel!$A$1,MATCH(B1996,tab_tipo_Combustivel!$A$2:$A$150,0),MATCH(A1996,tab_tipo_Combustivel!$B$1:$AQ$1,0),1,1)</f>
        <v>842.33</v>
      </c>
    </row>
    <row r="1997" spans="1:3">
      <c r="A1997" s="3">
        <f t="shared" si="58"/>
        <v>2026</v>
      </c>
      <c r="B1997" s="106">
        <f t="shared" si="59"/>
        <v>265</v>
      </c>
      <c r="C1997" s="107">
        <f ca="1">OFFSET(tab_tipo_Combustivel!$A$1,MATCH(B1997,tab_tipo_Combustivel!$A$2:$A$150,0),MATCH(A1997,tab_tipo_Combustivel!$B$1:$AQ$1,0),1,1)</f>
        <v>415.82</v>
      </c>
    </row>
    <row r="1998" spans="1:3">
      <c r="A1998" s="3">
        <f t="shared" si="58"/>
        <v>2026</v>
      </c>
      <c r="B1998" s="106">
        <f t="shared" si="59"/>
        <v>266</v>
      </c>
      <c r="C1998" s="107">
        <f ca="1">OFFSET(tab_tipo_Combustivel!$A$1,MATCH(B1998,tab_tipo_Combustivel!$A$2:$A$150,0),MATCH(A1998,tab_tipo_Combustivel!$B$1:$AQ$1,0),1,1)</f>
        <v>827.17</v>
      </c>
    </row>
    <row r="1999" spans="1:3">
      <c r="A1999" s="3">
        <f t="shared" si="58"/>
        <v>2026</v>
      </c>
      <c r="B1999" s="106">
        <f t="shared" si="59"/>
        <v>301</v>
      </c>
      <c r="C1999" s="107">
        <f ca="1">OFFSET(tab_tipo_Combustivel!$A$1,MATCH(B1999,tab_tipo_Combustivel!$A$2:$A$150,0),MATCH(A1999,tab_tipo_Combustivel!$B$1:$AQ$1,0),1,1)</f>
        <v>99.08</v>
      </c>
    </row>
    <row r="2000" spans="1:3">
      <c r="A2000" s="3">
        <f t="shared" si="58"/>
        <v>2026</v>
      </c>
      <c r="B2000" s="106">
        <f t="shared" si="59"/>
        <v>302</v>
      </c>
      <c r="C2000" s="107">
        <f ca="1">OFFSET(tab_tipo_Combustivel!$A$1,MATCH(B2000,tab_tipo_Combustivel!$A$2:$A$150,0),MATCH(A2000,tab_tipo_Combustivel!$B$1:$AQ$1,0),1,1)</f>
        <v>103.73</v>
      </c>
    </row>
    <row r="2001" spans="1:3">
      <c r="A2001" s="3">
        <f t="shared" si="58"/>
        <v>2026</v>
      </c>
      <c r="B2001" s="106">
        <f t="shared" si="59"/>
        <v>303</v>
      </c>
      <c r="C2001" s="107">
        <f ca="1">OFFSET(tab_tipo_Combustivel!$A$1,MATCH(B2001,tab_tipo_Combustivel!$A$2:$A$150,0),MATCH(A2001,tab_tipo_Combustivel!$B$1:$AQ$1,0),1,1)</f>
        <v>103.73</v>
      </c>
    </row>
    <row r="2002" spans="1:3">
      <c r="A2002" s="3">
        <f t="shared" si="58"/>
        <v>2026</v>
      </c>
      <c r="B2002" s="106">
        <f t="shared" si="59"/>
        <v>304</v>
      </c>
      <c r="C2002" s="107">
        <f ca="1">OFFSET(tab_tipo_Combustivel!$A$1,MATCH(B2002,tab_tipo_Combustivel!$A$2:$A$150,0),MATCH(A2002,tab_tipo_Combustivel!$B$1:$AQ$1,0),1,1)</f>
        <v>139.41999999999999</v>
      </c>
    </row>
    <row r="2003" spans="1:3">
      <c r="A2003" s="3">
        <f t="shared" si="58"/>
        <v>2026</v>
      </c>
      <c r="B2003" s="106">
        <f t="shared" si="59"/>
        <v>305</v>
      </c>
      <c r="C2003" s="107">
        <f ca="1">OFFSET(tab_tipo_Combustivel!$A$1,MATCH(B2003,tab_tipo_Combustivel!$A$2:$A$150,0),MATCH(A2003,tab_tipo_Combustivel!$B$1:$AQ$1,0),1,1)</f>
        <v>89.7</v>
      </c>
    </row>
    <row r="2004" spans="1:3">
      <c r="A2004" s="3">
        <f t="shared" si="58"/>
        <v>2026</v>
      </c>
      <c r="B2004" s="106">
        <f t="shared" si="59"/>
        <v>306</v>
      </c>
      <c r="C2004" s="107">
        <f ca="1">OFFSET(tab_tipo_Combustivel!$A$1,MATCH(B2004,tab_tipo_Combustivel!$A$2:$A$150,0),MATCH(A2004,tab_tipo_Combustivel!$B$1:$AQ$1,0),1,1)</f>
        <v>100.38</v>
      </c>
    </row>
    <row r="2005" spans="1:3">
      <c r="A2005" s="3">
        <f t="shared" si="58"/>
        <v>2026</v>
      </c>
      <c r="B2005" s="106">
        <f t="shared" si="59"/>
        <v>307</v>
      </c>
      <c r="C2005" s="107">
        <f ca="1">OFFSET(tab_tipo_Combustivel!$A$1,MATCH(B2005,tab_tipo_Combustivel!$A$2:$A$150,0),MATCH(A2005,tab_tipo_Combustivel!$B$1:$AQ$1,0),1,1)</f>
        <v>510.12</v>
      </c>
    </row>
    <row r="2006" spans="1:3">
      <c r="A2006" s="3">
        <f t="shared" si="58"/>
        <v>2026</v>
      </c>
      <c r="B2006" s="106">
        <f t="shared" si="59"/>
        <v>308</v>
      </c>
      <c r="C2006" s="107">
        <f ca="1">OFFSET(tab_tipo_Combustivel!$A$1,MATCH(B2006,tab_tipo_Combustivel!$A$2:$A$150,0),MATCH(A2006,tab_tipo_Combustivel!$B$1:$AQ$1,0),1,1)</f>
        <v>72.5</v>
      </c>
    </row>
    <row r="2007" spans="1:3">
      <c r="A2007" s="3">
        <f t="shared" si="58"/>
        <v>2026</v>
      </c>
      <c r="B2007" s="106">
        <f t="shared" si="59"/>
        <v>309</v>
      </c>
      <c r="C2007" s="107">
        <f ca="1">OFFSET(tab_tipo_Combustivel!$A$1,MATCH(B2007,tab_tipo_Combustivel!$A$2:$A$150,0),MATCH(A2007,tab_tipo_Combustivel!$B$1:$AQ$1,0),1,1)</f>
        <v>126.77</v>
      </c>
    </row>
    <row r="2008" spans="1:3">
      <c r="A2008" s="3">
        <f t="shared" si="58"/>
        <v>2026</v>
      </c>
      <c r="B2008" s="106">
        <f t="shared" si="59"/>
        <v>310</v>
      </c>
      <c r="C2008" s="107">
        <f ca="1">OFFSET(tab_tipo_Combustivel!$A$1,MATCH(B2008,tab_tipo_Combustivel!$A$2:$A$150,0),MATCH(A2008,tab_tipo_Combustivel!$B$1:$AQ$1,0),1,1)</f>
        <v>275.99</v>
      </c>
    </row>
    <row r="2009" spans="1:3">
      <c r="A2009" s="3">
        <f t="shared" si="58"/>
        <v>2026</v>
      </c>
      <c r="B2009" s="106">
        <f t="shared" si="59"/>
        <v>311</v>
      </c>
      <c r="C2009" s="107">
        <f ca="1">OFFSET(tab_tipo_Combustivel!$A$1,MATCH(B2009,tab_tipo_Combustivel!$A$2:$A$150,0),MATCH(A2009,tab_tipo_Combustivel!$B$1:$AQ$1,0),1,1)</f>
        <v>70.66</v>
      </c>
    </row>
    <row r="2010" spans="1:3">
      <c r="A2010" s="3">
        <f t="shared" si="58"/>
        <v>2026</v>
      </c>
      <c r="B2010" s="106">
        <f t="shared" si="59"/>
        <v>312</v>
      </c>
      <c r="C2010" s="107">
        <f ca="1">OFFSET(tab_tipo_Combustivel!$A$1,MATCH(B2010,tab_tipo_Combustivel!$A$2:$A$150,0),MATCH(A2010,tab_tipo_Combustivel!$B$1:$AQ$1,0),1,1)</f>
        <v>0</v>
      </c>
    </row>
    <row r="2011" spans="1:3">
      <c r="A2011" s="3">
        <f t="shared" si="58"/>
        <v>2026</v>
      </c>
      <c r="B2011" s="106">
        <f t="shared" si="59"/>
        <v>1301</v>
      </c>
      <c r="C2011" s="107">
        <f ca="1">OFFSET(tab_tipo_Combustivel!$A$1,MATCH(B2011,tab_tipo_Combustivel!$A$2:$A$150,0),MATCH(A2011,tab_tipo_Combustivel!$B$1:$AQ$1,0),1,1)</f>
        <v>242.05</v>
      </c>
    </row>
    <row r="2012" spans="1:3">
      <c r="A2012" s="3">
        <f t="shared" si="58"/>
        <v>2026</v>
      </c>
      <c r="B2012" s="106">
        <f t="shared" si="59"/>
        <v>1302</v>
      </c>
      <c r="C2012" s="107">
        <f ca="1">OFFSET(tab_tipo_Combustivel!$A$1,MATCH(B2012,tab_tipo_Combustivel!$A$2:$A$150,0),MATCH(A2012,tab_tipo_Combustivel!$B$1:$AQ$1,0),1,1)</f>
        <v>193.64</v>
      </c>
    </row>
    <row r="2013" spans="1:3">
      <c r="A2013" s="3">
        <f t="shared" si="58"/>
        <v>2026</v>
      </c>
      <c r="B2013" s="106">
        <f t="shared" si="59"/>
        <v>1303</v>
      </c>
      <c r="C2013" s="107">
        <f ca="1">OFFSET(tab_tipo_Combustivel!$A$1,MATCH(B2013,tab_tipo_Combustivel!$A$2:$A$150,0),MATCH(A2013,tab_tipo_Combustivel!$B$1:$AQ$1,0),1,1)</f>
        <v>25.58</v>
      </c>
    </row>
    <row r="2014" spans="1:3">
      <c r="A2014" s="3">
        <f t="shared" si="58"/>
        <v>2026</v>
      </c>
      <c r="B2014" s="106">
        <f t="shared" si="59"/>
        <v>1304</v>
      </c>
      <c r="C2014" s="107">
        <f ca="1">OFFSET(tab_tipo_Combustivel!$A$1,MATCH(B2014,tab_tipo_Combustivel!$A$2:$A$150,0),MATCH(A2014,tab_tipo_Combustivel!$B$1:$AQ$1,0),1,1)</f>
        <v>0</v>
      </c>
    </row>
    <row r="2015" spans="1:3">
      <c r="A2015" s="3">
        <f t="shared" si="58"/>
        <v>2026</v>
      </c>
      <c r="B2015" s="106">
        <f t="shared" si="59"/>
        <v>1315</v>
      </c>
      <c r="C2015" s="107">
        <f ca="1">OFFSET(tab_tipo_Combustivel!$A$1,MATCH(B2015,tab_tipo_Combustivel!$A$2:$A$150,0),MATCH(A2015,tab_tipo_Combustivel!$B$1:$AQ$1,0),1,1)</f>
        <v>0</v>
      </c>
    </row>
    <row r="2016" spans="1:3">
      <c r="A2016" s="3">
        <f t="shared" si="58"/>
        <v>2026</v>
      </c>
      <c r="B2016" s="106">
        <f t="shared" si="59"/>
        <v>1316</v>
      </c>
      <c r="C2016" s="107">
        <f ca="1">OFFSET(tab_tipo_Combustivel!$A$1,MATCH(B2016,tab_tipo_Combustivel!$A$2:$A$150,0),MATCH(A2016,tab_tipo_Combustivel!$B$1:$AQ$1,0),1,1)</f>
        <v>0</v>
      </c>
    </row>
    <row r="2017" spans="1:3">
      <c r="A2017" s="3">
        <f t="shared" si="58"/>
        <v>2026</v>
      </c>
      <c r="B2017" s="106">
        <f t="shared" si="59"/>
        <v>1318</v>
      </c>
      <c r="C2017" s="107">
        <f ca="1">OFFSET(tab_tipo_Combustivel!$A$1,MATCH(B2017,tab_tipo_Combustivel!$A$2:$A$150,0),MATCH(A2017,tab_tipo_Combustivel!$B$1:$AQ$1,0),1,1)</f>
        <v>200</v>
      </c>
    </row>
    <row r="2018" spans="1:3">
      <c r="A2018" s="3">
        <f t="shared" si="58"/>
        <v>2026</v>
      </c>
      <c r="B2018" s="106">
        <f t="shared" si="59"/>
        <v>1321</v>
      </c>
      <c r="C2018" s="107">
        <f ca="1">OFFSET(tab_tipo_Combustivel!$A$1,MATCH(B2018,tab_tipo_Combustivel!$A$2:$A$150,0),MATCH(A2018,tab_tipo_Combustivel!$B$1:$AQ$1,0),1,1)</f>
        <v>85</v>
      </c>
    </row>
    <row r="2019" spans="1:3">
      <c r="A2019" s="3">
        <f t="shared" si="58"/>
        <v>2026</v>
      </c>
      <c r="B2019" s="106">
        <f t="shared" si="59"/>
        <v>1322</v>
      </c>
      <c r="C2019" s="107">
        <f ca="1">OFFSET(tab_tipo_Combustivel!$A$1,MATCH(B2019,tab_tipo_Combustivel!$A$2:$A$150,0),MATCH(A2019,tab_tipo_Combustivel!$B$1:$AQ$1,0),1,1)</f>
        <v>140</v>
      </c>
    </row>
    <row r="2020" spans="1:3">
      <c r="A2020" s="3">
        <f t="shared" si="58"/>
        <v>2026</v>
      </c>
      <c r="B2020" s="106">
        <f t="shared" si="59"/>
        <v>1323</v>
      </c>
      <c r="C2020" s="107">
        <f ca="1">OFFSET(tab_tipo_Combustivel!$A$1,MATCH(B2020,tab_tipo_Combustivel!$A$2:$A$150,0),MATCH(A2020,tab_tipo_Combustivel!$B$1:$AQ$1,0),1,1)</f>
        <v>63.75</v>
      </c>
    </row>
    <row r="2021" spans="1:3">
      <c r="A2021" s="3">
        <f t="shared" si="58"/>
        <v>2026</v>
      </c>
      <c r="B2021" s="106">
        <f t="shared" si="59"/>
        <v>1325</v>
      </c>
      <c r="C2021" s="107">
        <f ca="1">OFFSET(tab_tipo_Combustivel!$A$1,MATCH(B2021,tab_tipo_Combustivel!$A$2:$A$150,0),MATCH(A2021,tab_tipo_Combustivel!$B$1:$AQ$1,0),1,1)</f>
        <v>0</v>
      </c>
    </row>
    <row r="2022" spans="1:3">
      <c r="A2022" s="3">
        <f t="shared" si="58"/>
        <v>2026</v>
      </c>
      <c r="B2022" s="106">
        <f t="shared" si="59"/>
        <v>1326</v>
      </c>
      <c r="C2022" s="107">
        <f ca="1">OFFSET(tab_tipo_Combustivel!$A$1,MATCH(B2022,tab_tipo_Combustivel!$A$2:$A$150,0),MATCH(A2022,tab_tipo_Combustivel!$B$1:$AQ$1,0),1,1)</f>
        <v>260</v>
      </c>
    </row>
    <row r="2023" spans="1:3">
      <c r="A2023" s="3">
        <f t="shared" si="58"/>
        <v>2026</v>
      </c>
      <c r="B2023" s="106">
        <f t="shared" si="59"/>
        <v>1501</v>
      </c>
      <c r="C2023" s="107">
        <f ca="1">OFFSET(tab_tipo_Combustivel!$A$1,MATCH(B2023,tab_tipo_Combustivel!$A$2:$A$150,0),MATCH(A2023,tab_tipo_Combustivel!$B$1:$AQ$1,0),1,1)</f>
        <v>260</v>
      </c>
    </row>
    <row r="2024" spans="1:3">
      <c r="A2024" s="3">
        <f t="shared" si="58"/>
        <v>2026</v>
      </c>
      <c r="B2024" s="106">
        <f t="shared" si="59"/>
        <v>1502</v>
      </c>
      <c r="C2024" s="107">
        <f ca="1">OFFSET(tab_tipo_Combustivel!$A$1,MATCH(B2024,tab_tipo_Combustivel!$A$2:$A$150,0),MATCH(A2024,tab_tipo_Combustivel!$B$1:$AQ$1,0),1,1)</f>
        <v>60</v>
      </c>
    </row>
    <row r="2025" spans="1:3">
      <c r="A2025" s="3">
        <f t="shared" si="58"/>
        <v>2026</v>
      </c>
      <c r="B2025" s="106">
        <f t="shared" si="59"/>
        <v>1503</v>
      </c>
      <c r="C2025" s="107">
        <f ca="1">OFFSET(tab_tipo_Combustivel!$A$1,MATCH(B2025,tab_tipo_Combustivel!$A$2:$A$150,0),MATCH(A2025,tab_tipo_Combustivel!$B$1:$AQ$1,0),1,1)</f>
        <v>96.82</v>
      </c>
    </row>
    <row r="2026" spans="1:3">
      <c r="A2026" s="3">
        <f t="shared" si="58"/>
        <v>2026</v>
      </c>
      <c r="B2026" s="106">
        <f t="shared" si="59"/>
        <v>1504</v>
      </c>
      <c r="C2026" s="107">
        <f ca="1">OFFSET(tab_tipo_Combustivel!$A$1,MATCH(B2026,tab_tipo_Combustivel!$A$2:$A$150,0),MATCH(A2026,tab_tipo_Combustivel!$B$1:$AQ$1,0),1,1)</f>
        <v>145.22999999999999</v>
      </c>
    </row>
    <row r="2027" spans="1:3">
      <c r="A2027" s="3">
        <f t="shared" si="58"/>
        <v>2027</v>
      </c>
      <c r="B2027" s="106">
        <f t="shared" si="59"/>
        <v>1</v>
      </c>
      <c r="C2027" s="107">
        <f ca="1">OFFSET(tab_tipo_Combustivel!$A$1,MATCH(B2027,tab_tipo_Combustivel!$A$2:$A$150,0),MATCH(A2027,tab_tipo_Combustivel!$B$1:$AQ$1,0),1,1)</f>
        <v>29.13</v>
      </c>
    </row>
    <row r="2028" spans="1:3">
      <c r="A2028" s="3">
        <f t="shared" si="58"/>
        <v>2027</v>
      </c>
      <c r="B2028" s="106">
        <f t="shared" si="59"/>
        <v>2</v>
      </c>
      <c r="C2028" s="107">
        <f ca="1">OFFSET(tab_tipo_Combustivel!$A$1,MATCH(B2028,tab_tipo_Combustivel!$A$2:$A$150,0),MATCH(A2028,tab_tipo_Combustivel!$B$1:$AQ$1,0),1,1)</f>
        <v>842.33</v>
      </c>
    </row>
    <row r="2029" spans="1:3">
      <c r="A2029" s="3">
        <f t="shared" si="58"/>
        <v>2027</v>
      </c>
      <c r="B2029" s="106">
        <f t="shared" si="59"/>
        <v>4</v>
      </c>
      <c r="C2029" s="107">
        <f ca="1">OFFSET(tab_tipo_Combustivel!$A$1,MATCH(B2029,tab_tipo_Combustivel!$A$2:$A$150,0),MATCH(A2029,tab_tipo_Combustivel!$B$1:$AQ$1,0),1,1)</f>
        <v>842.33</v>
      </c>
    </row>
    <row r="2030" spans="1:3">
      <c r="A2030" s="3">
        <f t="shared" si="58"/>
        <v>2027</v>
      </c>
      <c r="B2030" s="106">
        <f t="shared" si="59"/>
        <v>9</v>
      </c>
      <c r="C2030" s="107">
        <f ca="1">OFFSET(tab_tipo_Combustivel!$A$1,MATCH(B2030,tab_tipo_Combustivel!$A$2:$A$150,0),MATCH(A2030,tab_tipo_Combustivel!$B$1:$AQ$1,0),1,1)</f>
        <v>842.33</v>
      </c>
    </row>
    <row r="2031" spans="1:3">
      <c r="A2031" s="3">
        <f t="shared" si="58"/>
        <v>2027</v>
      </c>
      <c r="B2031" s="106">
        <f t="shared" si="59"/>
        <v>12</v>
      </c>
      <c r="C2031" s="107">
        <f ca="1">OFFSET(tab_tipo_Combustivel!$A$1,MATCH(B2031,tab_tipo_Combustivel!$A$2:$A$150,0),MATCH(A2031,tab_tipo_Combustivel!$B$1:$AQ$1,0),1,1)</f>
        <v>728.87</v>
      </c>
    </row>
    <row r="2032" spans="1:3">
      <c r="A2032" s="3">
        <f t="shared" si="58"/>
        <v>2027</v>
      </c>
      <c r="B2032" s="106">
        <f t="shared" si="59"/>
        <v>13</v>
      </c>
      <c r="C2032" s="107">
        <f ca="1">OFFSET(tab_tipo_Combustivel!$A$1,MATCH(B2032,tab_tipo_Combustivel!$A$2:$A$150,0),MATCH(A2032,tab_tipo_Combustivel!$B$1:$AQ$1,0),1,1)</f>
        <v>20.12</v>
      </c>
    </row>
    <row r="2033" spans="1:3">
      <c r="A2033" s="3">
        <f t="shared" si="58"/>
        <v>2027</v>
      </c>
      <c r="B2033" s="106">
        <f t="shared" si="59"/>
        <v>15</v>
      </c>
      <c r="C2033" s="107">
        <f ca="1">OFFSET(tab_tipo_Combustivel!$A$1,MATCH(B2033,tab_tipo_Combustivel!$A$2:$A$150,0),MATCH(A2033,tab_tipo_Combustivel!$B$1:$AQ$1,0),1,1)</f>
        <v>257.29000000000002</v>
      </c>
    </row>
    <row r="2034" spans="1:3">
      <c r="A2034" s="3">
        <f t="shared" si="58"/>
        <v>2027</v>
      </c>
      <c r="B2034" s="106">
        <f t="shared" si="59"/>
        <v>21</v>
      </c>
      <c r="C2034" s="107">
        <f ca="1">OFFSET(tab_tipo_Combustivel!$A$1,MATCH(B2034,tab_tipo_Combustivel!$A$2:$A$150,0),MATCH(A2034,tab_tipo_Combustivel!$B$1:$AQ$1,0),1,1)</f>
        <v>157.83000000000001</v>
      </c>
    </row>
    <row r="2035" spans="1:3">
      <c r="A2035" s="3">
        <f t="shared" si="58"/>
        <v>2027</v>
      </c>
      <c r="B2035" s="106">
        <f t="shared" si="59"/>
        <v>22</v>
      </c>
      <c r="C2035" s="107">
        <f ca="1">OFFSET(tab_tipo_Combustivel!$A$1,MATCH(B2035,tab_tipo_Combustivel!$A$2:$A$150,0),MATCH(A2035,tab_tipo_Combustivel!$B$1:$AQ$1,0),1,1)</f>
        <v>115.9</v>
      </c>
    </row>
    <row r="2036" spans="1:3">
      <c r="A2036" s="3">
        <f t="shared" si="58"/>
        <v>2027</v>
      </c>
      <c r="B2036" s="106">
        <f t="shared" si="59"/>
        <v>23</v>
      </c>
      <c r="C2036" s="107">
        <f ca="1">OFFSET(tab_tipo_Combustivel!$A$1,MATCH(B2036,tab_tipo_Combustivel!$A$2:$A$150,0),MATCH(A2036,tab_tipo_Combustivel!$B$1:$AQ$1,0),1,1)</f>
        <v>115.9</v>
      </c>
    </row>
    <row r="2037" spans="1:3">
      <c r="A2037" s="3">
        <f t="shared" si="58"/>
        <v>2027</v>
      </c>
      <c r="B2037" s="106">
        <f t="shared" si="59"/>
        <v>24</v>
      </c>
      <c r="C2037" s="107">
        <f ca="1">OFFSET(tab_tipo_Combustivel!$A$1,MATCH(B2037,tab_tipo_Combustivel!$A$2:$A$150,0),MATCH(A2037,tab_tipo_Combustivel!$B$1:$AQ$1,0),1,1)</f>
        <v>155.85</v>
      </c>
    </row>
    <row r="2038" spans="1:3">
      <c r="A2038" s="3">
        <f t="shared" si="58"/>
        <v>2027</v>
      </c>
      <c r="B2038" s="106">
        <f t="shared" si="59"/>
        <v>25</v>
      </c>
      <c r="C2038" s="107">
        <f ca="1">OFFSET(tab_tipo_Combustivel!$A$1,MATCH(B2038,tab_tipo_Combustivel!$A$2:$A$150,0),MATCH(A2038,tab_tipo_Combustivel!$B$1:$AQ$1,0),1,1)</f>
        <v>186.33</v>
      </c>
    </row>
    <row r="2039" spans="1:3">
      <c r="A2039" s="3">
        <f t="shared" si="58"/>
        <v>2027</v>
      </c>
      <c r="B2039" s="106">
        <f t="shared" si="59"/>
        <v>26</v>
      </c>
      <c r="C2039" s="107">
        <f ca="1">OFFSET(tab_tipo_Combustivel!$A$1,MATCH(B2039,tab_tipo_Combustivel!$A$2:$A$150,0),MATCH(A2039,tab_tipo_Combustivel!$B$1:$AQ$1,0),1,1)</f>
        <v>258.42</v>
      </c>
    </row>
    <row r="2040" spans="1:3">
      <c r="A2040" s="3">
        <f t="shared" si="58"/>
        <v>2027</v>
      </c>
      <c r="B2040" s="106">
        <f t="shared" si="59"/>
        <v>27</v>
      </c>
      <c r="C2040" s="107">
        <f ca="1">OFFSET(tab_tipo_Combustivel!$A$1,MATCH(B2040,tab_tipo_Combustivel!$A$2:$A$150,0),MATCH(A2040,tab_tipo_Combustivel!$B$1:$AQ$1,0),1,1)</f>
        <v>195.49</v>
      </c>
    </row>
    <row r="2041" spans="1:3">
      <c r="A2041" s="3">
        <f t="shared" si="58"/>
        <v>2027</v>
      </c>
      <c r="B2041" s="106">
        <f t="shared" si="59"/>
        <v>28</v>
      </c>
      <c r="C2041" s="107">
        <f ca="1">OFFSET(tab_tipo_Combustivel!$A$1,MATCH(B2041,tab_tipo_Combustivel!$A$2:$A$150,0),MATCH(A2041,tab_tipo_Combustivel!$B$1:$AQ$1,0),1,1)</f>
        <v>459.92</v>
      </c>
    </row>
    <row r="2042" spans="1:3">
      <c r="A2042" s="3">
        <f t="shared" si="58"/>
        <v>2027</v>
      </c>
      <c r="B2042" s="106">
        <f t="shared" si="59"/>
        <v>32</v>
      </c>
      <c r="C2042" s="107">
        <f ca="1">OFFSET(tab_tipo_Combustivel!$A$1,MATCH(B2042,tab_tipo_Combustivel!$A$2:$A$150,0),MATCH(A2042,tab_tipo_Combustivel!$B$1:$AQ$1,0),1,1)</f>
        <v>248.31</v>
      </c>
    </row>
    <row r="2043" spans="1:3">
      <c r="A2043" s="3">
        <f t="shared" si="58"/>
        <v>2027</v>
      </c>
      <c r="B2043" s="106">
        <f t="shared" si="59"/>
        <v>34</v>
      </c>
      <c r="C2043" s="107">
        <f ca="1">OFFSET(tab_tipo_Combustivel!$A$1,MATCH(B2043,tab_tipo_Combustivel!$A$2:$A$150,0),MATCH(A2043,tab_tipo_Combustivel!$B$1:$AQ$1,0),1,1)</f>
        <v>423.38</v>
      </c>
    </row>
    <row r="2044" spans="1:3">
      <c r="A2044" s="3">
        <f t="shared" si="58"/>
        <v>2027</v>
      </c>
      <c r="B2044" s="106">
        <f t="shared" si="59"/>
        <v>35</v>
      </c>
      <c r="C2044" s="107">
        <f ca="1">OFFSET(tab_tipo_Combustivel!$A$1,MATCH(B2044,tab_tipo_Combustivel!$A$2:$A$150,0),MATCH(A2044,tab_tipo_Combustivel!$B$1:$AQ$1,0),1,1)</f>
        <v>692.45</v>
      </c>
    </row>
    <row r="2045" spans="1:3">
      <c r="A2045" s="3">
        <f t="shared" si="58"/>
        <v>2027</v>
      </c>
      <c r="B2045" s="106">
        <f t="shared" si="59"/>
        <v>36</v>
      </c>
      <c r="C2045" s="107">
        <f ca="1">OFFSET(tab_tipo_Combustivel!$A$1,MATCH(B2045,tab_tipo_Combustivel!$A$2:$A$150,0),MATCH(A2045,tab_tipo_Combustivel!$B$1:$AQ$1,0),1,1)</f>
        <v>157.83000000000001</v>
      </c>
    </row>
    <row r="2046" spans="1:3">
      <c r="A2046" s="3">
        <f t="shared" si="58"/>
        <v>2027</v>
      </c>
      <c r="B2046" s="106">
        <f t="shared" si="59"/>
        <v>42</v>
      </c>
      <c r="C2046" s="107">
        <f ca="1">OFFSET(tab_tipo_Combustivel!$A$1,MATCH(B2046,tab_tipo_Combustivel!$A$2:$A$150,0),MATCH(A2046,tab_tipo_Combustivel!$B$1:$AQ$1,0),1,1)</f>
        <v>199.22</v>
      </c>
    </row>
    <row r="2047" spans="1:3">
      <c r="A2047" s="3">
        <f t="shared" si="58"/>
        <v>2027</v>
      </c>
      <c r="B2047" s="106">
        <f t="shared" si="59"/>
        <v>43</v>
      </c>
      <c r="C2047" s="107">
        <f ca="1">OFFSET(tab_tipo_Combustivel!$A$1,MATCH(B2047,tab_tipo_Combustivel!$A$2:$A$150,0),MATCH(A2047,tab_tipo_Combustivel!$B$1:$AQ$1,0),1,1)</f>
        <v>431.62</v>
      </c>
    </row>
    <row r="2048" spans="1:3">
      <c r="A2048" s="3">
        <f t="shared" si="58"/>
        <v>2027</v>
      </c>
      <c r="B2048" s="106">
        <f t="shared" si="59"/>
        <v>44</v>
      </c>
      <c r="C2048" s="107">
        <f ca="1">OFFSET(tab_tipo_Combustivel!$A$1,MATCH(B2048,tab_tipo_Combustivel!$A$2:$A$150,0),MATCH(A2048,tab_tipo_Combustivel!$B$1:$AQ$1,0),1,1)</f>
        <v>25.58</v>
      </c>
    </row>
    <row r="2049" spans="1:3">
      <c r="A2049" s="3">
        <f t="shared" si="58"/>
        <v>2027</v>
      </c>
      <c r="B2049" s="106">
        <f t="shared" si="59"/>
        <v>46</v>
      </c>
      <c r="C2049" s="107">
        <f ca="1">OFFSET(tab_tipo_Combustivel!$A$1,MATCH(B2049,tab_tipo_Combustivel!$A$2:$A$150,0),MATCH(A2049,tab_tipo_Combustivel!$B$1:$AQ$1,0),1,1)</f>
        <v>228.91</v>
      </c>
    </row>
    <row r="2050" spans="1:3">
      <c r="A2050" s="3">
        <f t="shared" si="58"/>
        <v>2027</v>
      </c>
      <c r="B2050" s="106">
        <f t="shared" si="59"/>
        <v>47</v>
      </c>
      <c r="C2050" s="107">
        <f ca="1">OFFSET(tab_tipo_Combustivel!$A$1,MATCH(B2050,tab_tipo_Combustivel!$A$2:$A$150,0),MATCH(A2050,tab_tipo_Combustivel!$B$1:$AQ$1,0),1,1)</f>
        <v>235.6</v>
      </c>
    </row>
    <row r="2051" spans="1:3">
      <c r="A2051" s="3">
        <f t="shared" si="58"/>
        <v>2027</v>
      </c>
      <c r="B2051" s="106">
        <f t="shared" si="59"/>
        <v>48</v>
      </c>
      <c r="C2051" s="107">
        <f ca="1">OFFSET(tab_tipo_Combustivel!$A$1,MATCH(B2051,tab_tipo_Combustivel!$A$2:$A$150,0),MATCH(A2051,tab_tipo_Combustivel!$B$1:$AQ$1,0),1,1)</f>
        <v>1012.12</v>
      </c>
    </row>
    <row r="2052" spans="1:3">
      <c r="A2052" s="3">
        <f t="shared" si="58"/>
        <v>2027</v>
      </c>
      <c r="B2052" s="106">
        <f t="shared" si="59"/>
        <v>50</v>
      </c>
      <c r="C2052" s="107">
        <f ca="1">OFFSET(tab_tipo_Combustivel!$A$1,MATCH(B2052,tab_tipo_Combustivel!$A$2:$A$150,0),MATCH(A2052,tab_tipo_Combustivel!$B$1:$AQ$1,0),1,1)</f>
        <v>669.87</v>
      </c>
    </row>
    <row r="2053" spans="1:3">
      <c r="A2053" s="3">
        <f t="shared" si="58"/>
        <v>2027</v>
      </c>
      <c r="B2053" s="106">
        <f t="shared" si="59"/>
        <v>54</v>
      </c>
      <c r="C2053" s="107">
        <f ca="1">OFFSET(tab_tipo_Combustivel!$A$1,MATCH(B2053,tab_tipo_Combustivel!$A$2:$A$150,0),MATCH(A2053,tab_tipo_Combustivel!$B$1:$AQ$1,0),1,1)</f>
        <v>304.55</v>
      </c>
    </row>
    <row r="2054" spans="1:3">
      <c r="A2054" s="3">
        <f t="shared" si="58"/>
        <v>2027</v>
      </c>
      <c r="B2054" s="106">
        <f t="shared" si="59"/>
        <v>58</v>
      </c>
      <c r="C2054" s="107">
        <f ca="1">OFFSET(tab_tipo_Combustivel!$A$1,MATCH(B2054,tab_tipo_Combustivel!$A$2:$A$150,0),MATCH(A2054,tab_tipo_Combustivel!$B$1:$AQ$1,0),1,1)</f>
        <v>300.05</v>
      </c>
    </row>
    <row r="2055" spans="1:3">
      <c r="A2055" s="3">
        <f t="shared" si="58"/>
        <v>2027</v>
      </c>
      <c r="B2055" s="106">
        <f t="shared" si="59"/>
        <v>62</v>
      </c>
      <c r="C2055" s="107">
        <f ca="1">OFFSET(tab_tipo_Combustivel!$A$1,MATCH(B2055,tab_tipo_Combustivel!$A$2:$A$150,0),MATCH(A2055,tab_tipo_Combustivel!$B$1:$AQ$1,0),1,1)</f>
        <v>309.24</v>
      </c>
    </row>
    <row r="2056" spans="1:3">
      <c r="A2056" s="3">
        <f t="shared" si="58"/>
        <v>2027</v>
      </c>
      <c r="B2056" s="106">
        <f t="shared" si="59"/>
        <v>63</v>
      </c>
      <c r="C2056" s="107">
        <f ca="1">OFFSET(tab_tipo_Combustivel!$A$1,MATCH(B2056,tab_tipo_Combustivel!$A$2:$A$150,0),MATCH(A2056,tab_tipo_Combustivel!$B$1:$AQ$1,0),1,1)</f>
        <v>365.77</v>
      </c>
    </row>
    <row r="2057" spans="1:3">
      <c r="A2057" s="3">
        <f t="shared" si="58"/>
        <v>2027</v>
      </c>
      <c r="B2057" s="106">
        <f t="shared" si="59"/>
        <v>64</v>
      </c>
      <c r="C2057" s="107">
        <f ca="1">OFFSET(tab_tipo_Combustivel!$A$1,MATCH(B2057,tab_tipo_Combustivel!$A$2:$A$150,0),MATCH(A2057,tab_tipo_Combustivel!$B$1:$AQ$1,0),1,1)</f>
        <v>853.54</v>
      </c>
    </row>
    <row r="2058" spans="1:3">
      <c r="A2058" s="3">
        <f t="shared" ref="A2058:A2121" si="60">A1923+1</f>
        <v>2027</v>
      </c>
      <c r="B2058" s="106">
        <f t="shared" ref="B2058:B2121" si="61">B1923</f>
        <v>68</v>
      </c>
      <c r="C2058" s="107">
        <f ca="1">OFFSET(tab_tipo_Combustivel!$A$1,MATCH(B2058,tab_tipo_Combustivel!$A$2:$A$150,0),MATCH(A2058,tab_tipo_Combustivel!$B$1:$AQ$1,0),1,1)</f>
        <v>195.63</v>
      </c>
    </row>
    <row r="2059" spans="1:3">
      <c r="A2059" s="3">
        <f t="shared" si="60"/>
        <v>2027</v>
      </c>
      <c r="B2059" s="106">
        <f t="shared" si="61"/>
        <v>74</v>
      </c>
      <c r="C2059" s="107">
        <f ca="1">OFFSET(tab_tipo_Combustivel!$A$1,MATCH(B2059,tab_tipo_Combustivel!$A$2:$A$150,0),MATCH(A2059,tab_tipo_Combustivel!$B$1:$AQ$1,0),1,1)</f>
        <v>364.46</v>
      </c>
    </row>
    <row r="2060" spans="1:3">
      <c r="A2060" s="3">
        <f t="shared" si="60"/>
        <v>2027</v>
      </c>
      <c r="B2060" s="106">
        <f t="shared" si="61"/>
        <v>83</v>
      </c>
      <c r="C2060" s="107">
        <f ca="1">OFFSET(tab_tipo_Combustivel!$A$1,MATCH(B2060,tab_tipo_Combustivel!$A$2:$A$150,0),MATCH(A2060,tab_tipo_Combustivel!$B$1:$AQ$1,0),1,1)</f>
        <v>448.1</v>
      </c>
    </row>
    <row r="2061" spans="1:3">
      <c r="A2061" s="3">
        <f t="shared" si="60"/>
        <v>2027</v>
      </c>
      <c r="B2061" s="106">
        <f t="shared" si="61"/>
        <v>86</v>
      </c>
      <c r="C2061" s="107">
        <f ca="1">OFFSET(tab_tipo_Combustivel!$A$1,MATCH(B2061,tab_tipo_Combustivel!$A$2:$A$150,0),MATCH(A2061,tab_tipo_Combustivel!$B$1:$AQ$1,0),1,1)</f>
        <v>170.34</v>
      </c>
    </row>
    <row r="2062" spans="1:3">
      <c r="A2062" s="3">
        <f t="shared" si="60"/>
        <v>2027</v>
      </c>
      <c r="B2062" s="106">
        <f t="shared" si="61"/>
        <v>90</v>
      </c>
      <c r="C2062" s="107">
        <f ca="1">OFFSET(tab_tipo_Combustivel!$A$1,MATCH(B2062,tab_tipo_Combustivel!$A$2:$A$150,0),MATCH(A2062,tab_tipo_Combustivel!$B$1:$AQ$1,0),1,1)</f>
        <v>533.1</v>
      </c>
    </row>
    <row r="2063" spans="1:3">
      <c r="A2063" s="3">
        <f t="shared" si="60"/>
        <v>2027</v>
      </c>
      <c r="B2063" s="106">
        <f t="shared" si="61"/>
        <v>93</v>
      </c>
      <c r="C2063" s="107">
        <f ca="1">OFFSET(tab_tipo_Combustivel!$A$1,MATCH(B2063,tab_tipo_Combustivel!$A$2:$A$150,0),MATCH(A2063,tab_tipo_Combustivel!$B$1:$AQ$1,0),1,1)</f>
        <v>842.33</v>
      </c>
    </row>
    <row r="2064" spans="1:3">
      <c r="A2064" s="3">
        <f t="shared" si="60"/>
        <v>2027</v>
      </c>
      <c r="B2064" s="106">
        <f t="shared" si="61"/>
        <v>94</v>
      </c>
      <c r="C2064" s="107">
        <f ca="1">OFFSET(tab_tipo_Combustivel!$A$1,MATCH(B2064,tab_tipo_Combustivel!$A$2:$A$150,0),MATCH(A2064,tab_tipo_Combustivel!$B$1:$AQ$1,0),1,1)</f>
        <v>842.33</v>
      </c>
    </row>
    <row r="2065" spans="1:3">
      <c r="A2065" s="3">
        <f t="shared" si="60"/>
        <v>2027</v>
      </c>
      <c r="B2065" s="106">
        <f t="shared" si="61"/>
        <v>96</v>
      </c>
      <c r="C2065" s="107">
        <f ca="1">OFFSET(tab_tipo_Combustivel!$A$1,MATCH(B2065,tab_tipo_Combustivel!$A$2:$A$150,0),MATCH(A2065,tab_tipo_Combustivel!$B$1:$AQ$1,0),1,1)</f>
        <v>99.92</v>
      </c>
    </row>
    <row r="2066" spans="1:3">
      <c r="A2066" s="3">
        <f t="shared" si="60"/>
        <v>2027</v>
      </c>
      <c r="B2066" s="106">
        <f t="shared" si="61"/>
        <v>98</v>
      </c>
      <c r="C2066" s="107">
        <f ca="1">OFFSET(tab_tipo_Combustivel!$A$1,MATCH(B2066,tab_tipo_Combustivel!$A$2:$A$150,0),MATCH(A2066,tab_tipo_Combustivel!$B$1:$AQ$1,0),1,1)</f>
        <v>489.8</v>
      </c>
    </row>
    <row r="2067" spans="1:3">
      <c r="A2067" s="3">
        <f t="shared" si="60"/>
        <v>2027</v>
      </c>
      <c r="B2067" s="106">
        <f t="shared" si="61"/>
        <v>107</v>
      </c>
      <c r="C2067" s="107">
        <f ca="1">OFFSET(tab_tipo_Combustivel!$A$1,MATCH(B2067,tab_tipo_Combustivel!$A$2:$A$150,0),MATCH(A2067,tab_tipo_Combustivel!$B$1:$AQ$1,0),1,1)</f>
        <v>57.63</v>
      </c>
    </row>
    <row r="2068" spans="1:3">
      <c r="A2068" s="3">
        <f t="shared" si="60"/>
        <v>2027</v>
      </c>
      <c r="B2068" s="106">
        <f t="shared" si="61"/>
        <v>110</v>
      </c>
      <c r="C2068" s="107">
        <f ca="1">OFFSET(tab_tipo_Combustivel!$A$1,MATCH(B2068,tab_tipo_Combustivel!$A$2:$A$150,0),MATCH(A2068,tab_tipo_Combustivel!$B$1:$AQ$1,0),1,1)</f>
        <v>568.29</v>
      </c>
    </row>
    <row r="2069" spans="1:3">
      <c r="A2069" s="3">
        <f t="shared" si="60"/>
        <v>2027</v>
      </c>
      <c r="B2069" s="106">
        <f t="shared" si="61"/>
        <v>116</v>
      </c>
      <c r="C2069" s="107">
        <f ca="1">OFFSET(tab_tipo_Combustivel!$A$1,MATCH(B2069,tab_tipo_Combustivel!$A$2:$A$150,0),MATCH(A2069,tab_tipo_Combustivel!$B$1:$AQ$1,0),1,1)</f>
        <v>117.46</v>
      </c>
    </row>
    <row r="2070" spans="1:3">
      <c r="A2070" s="3">
        <f t="shared" si="60"/>
        <v>2027</v>
      </c>
      <c r="B2070" s="106">
        <f t="shared" si="61"/>
        <v>140</v>
      </c>
      <c r="C2070" s="107">
        <f ca="1">OFFSET(tab_tipo_Combustivel!$A$1,MATCH(B2070,tab_tipo_Combustivel!$A$2:$A$150,0),MATCH(A2070,tab_tipo_Combustivel!$B$1:$AQ$1,0),1,1)</f>
        <v>88.11</v>
      </c>
    </row>
    <row r="2071" spans="1:3">
      <c r="A2071" s="3">
        <f t="shared" si="60"/>
        <v>2027</v>
      </c>
      <c r="B2071" s="106">
        <f t="shared" si="61"/>
        <v>141</v>
      </c>
      <c r="C2071" s="107">
        <f ca="1">OFFSET(tab_tipo_Combustivel!$A$1,MATCH(B2071,tab_tipo_Combustivel!$A$2:$A$150,0),MATCH(A2071,tab_tipo_Combustivel!$B$1:$AQ$1,0),1,1)</f>
        <v>1280.52</v>
      </c>
    </row>
    <row r="2072" spans="1:3">
      <c r="A2072" s="3">
        <f t="shared" si="60"/>
        <v>2027</v>
      </c>
      <c r="B2072" s="106">
        <f t="shared" si="61"/>
        <v>147</v>
      </c>
      <c r="C2072" s="107">
        <f ca="1">OFFSET(tab_tipo_Combustivel!$A$1,MATCH(B2072,tab_tipo_Combustivel!$A$2:$A$150,0),MATCH(A2072,tab_tipo_Combustivel!$B$1:$AQ$1,0),1,1)</f>
        <v>134.18</v>
      </c>
    </row>
    <row r="2073" spans="1:3">
      <c r="A2073" s="3">
        <f t="shared" si="60"/>
        <v>2027</v>
      </c>
      <c r="B2073" s="106">
        <f t="shared" si="61"/>
        <v>156</v>
      </c>
      <c r="C2073" s="107">
        <f ca="1">OFFSET(tab_tipo_Combustivel!$A$1,MATCH(B2073,tab_tipo_Combustivel!$A$2:$A$150,0),MATCH(A2073,tab_tipo_Combustivel!$B$1:$AQ$1,0),1,1)</f>
        <v>77.12</v>
      </c>
    </row>
    <row r="2074" spans="1:3">
      <c r="A2074" s="3">
        <f t="shared" si="60"/>
        <v>2027</v>
      </c>
      <c r="B2074" s="106">
        <f t="shared" si="61"/>
        <v>163</v>
      </c>
      <c r="C2074" s="107">
        <f ca="1">OFFSET(tab_tipo_Combustivel!$A$1,MATCH(B2074,tab_tipo_Combustivel!$A$2:$A$150,0),MATCH(A2074,tab_tipo_Combustivel!$B$1:$AQ$1,0),1,1)</f>
        <v>156.69999999999999</v>
      </c>
    </row>
    <row r="2075" spans="1:3">
      <c r="A2075" s="3">
        <f t="shared" si="60"/>
        <v>2027</v>
      </c>
      <c r="B2075" s="106">
        <f t="shared" si="61"/>
        <v>167</v>
      </c>
      <c r="C2075" s="107">
        <f ca="1">OFFSET(tab_tipo_Combustivel!$A$1,MATCH(B2075,tab_tipo_Combustivel!$A$2:$A$150,0),MATCH(A2075,tab_tipo_Combustivel!$B$1:$AQ$1,0),1,1)</f>
        <v>144.66999999999999</v>
      </c>
    </row>
    <row r="2076" spans="1:3">
      <c r="A2076" s="3">
        <f t="shared" si="60"/>
        <v>2027</v>
      </c>
      <c r="B2076" s="106">
        <f t="shared" si="61"/>
        <v>171</v>
      </c>
      <c r="C2076" s="107">
        <f ca="1">OFFSET(tab_tipo_Combustivel!$A$1,MATCH(B2076,tab_tipo_Combustivel!$A$2:$A$150,0),MATCH(A2076,tab_tipo_Combustivel!$B$1:$AQ$1,0),1,1)</f>
        <v>88</v>
      </c>
    </row>
    <row r="2077" spans="1:3">
      <c r="A2077" s="3">
        <f t="shared" si="60"/>
        <v>2027</v>
      </c>
      <c r="B2077" s="106">
        <f t="shared" si="61"/>
        <v>172</v>
      </c>
      <c r="C2077" s="107">
        <f ca="1">OFFSET(tab_tipo_Combustivel!$A$1,MATCH(B2077,tab_tipo_Combustivel!$A$2:$A$150,0),MATCH(A2077,tab_tipo_Combustivel!$B$1:$AQ$1,0),1,1)</f>
        <v>99.97</v>
      </c>
    </row>
    <row r="2078" spans="1:3">
      <c r="A2078" s="3">
        <f t="shared" si="60"/>
        <v>2027</v>
      </c>
      <c r="B2078" s="106">
        <f t="shared" si="61"/>
        <v>173</v>
      </c>
      <c r="C2078" s="107">
        <f ca="1">OFFSET(tab_tipo_Combustivel!$A$1,MATCH(B2078,tab_tipo_Combustivel!$A$2:$A$150,0),MATCH(A2078,tab_tipo_Combustivel!$B$1:$AQ$1,0),1,1)</f>
        <v>192.03</v>
      </c>
    </row>
    <row r="2079" spans="1:3">
      <c r="A2079" s="3">
        <f t="shared" si="60"/>
        <v>2027</v>
      </c>
      <c r="B2079" s="106">
        <f t="shared" si="61"/>
        <v>174</v>
      </c>
      <c r="C2079" s="107">
        <f ca="1">OFFSET(tab_tipo_Combustivel!$A$1,MATCH(B2079,tab_tipo_Combustivel!$A$2:$A$150,0),MATCH(A2079,tab_tipo_Combustivel!$B$1:$AQ$1,0),1,1)</f>
        <v>331.22</v>
      </c>
    </row>
    <row r="2080" spans="1:3">
      <c r="A2080" s="3">
        <f t="shared" si="60"/>
        <v>2027</v>
      </c>
      <c r="B2080" s="106">
        <f t="shared" si="61"/>
        <v>176</v>
      </c>
      <c r="C2080" s="107">
        <f ca="1">OFFSET(tab_tipo_Combustivel!$A$1,MATCH(B2080,tab_tipo_Combustivel!$A$2:$A$150,0),MATCH(A2080,tab_tipo_Combustivel!$B$1:$AQ$1,0),1,1)</f>
        <v>149.47999999999999</v>
      </c>
    </row>
    <row r="2081" spans="1:3">
      <c r="A2081" s="3">
        <f t="shared" si="60"/>
        <v>2027</v>
      </c>
      <c r="B2081" s="106">
        <f t="shared" si="61"/>
        <v>183</v>
      </c>
      <c r="C2081" s="107">
        <f ca="1">OFFSET(tab_tipo_Combustivel!$A$1,MATCH(B2081,tab_tipo_Combustivel!$A$2:$A$150,0),MATCH(A2081,tab_tipo_Combustivel!$B$1:$AQ$1,0),1,1)</f>
        <v>171.61</v>
      </c>
    </row>
    <row r="2082" spans="1:3">
      <c r="A2082" s="3">
        <f t="shared" si="60"/>
        <v>2027</v>
      </c>
      <c r="B2082" s="106">
        <f t="shared" si="61"/>
        <v>194</v>
      </c>
      <c r="C2082" s="107">
        <f ca="1">OFFSET(tab_tipo_Combustivel!$A$1,MATCH(B2082,tab_tipo_Combustivel!$A$2:$A$150,0),MATCH(A2082,tab_tipo_Combustivel!$B$1:$AQ$1,0),1,1)</f>
        <v>1098.58</v>
      </c>
    </row>
    <row r="2083" spans="1:3">
      <c r="A2083" s="3">
        <f t="shared" si="60"/>
        <v>2027</v>
      </c>
      <c r="B2083" s="106">
        <f t="shared" si="61"/>
        <v>203</v>
      </c>
      <c r="C2083" s="107">
        <f ca="1">OFFSET(tab_tipo_Combustivel!$A$1,MATCH(B2083,tab_tipo_Combustivel!$A$2:$A$150,0),MATCH(A2083,tab_tipo_Combustivel!$B$1:$AQ$1,0),1,1)</f>
        <v>0</v>
      </c>
    </row>
    <row r="2084" spans="1:3">
      <c r="A2084" s="3">
        <f t="shared" si="60"/>
        <v>2027</v>
      </c>
      <c r="B2084" s="106">
        <f t="shared" si="61"/>
        <v>204</v>
      </c>
      <c r="C2084" s="107">
        <f ca="1">OFFSET(tab_tipo_Combustivel!$A$1,MATCH(B2084,tab_tipo_Combustivel!$A$2:$A$150,0),MATCH(A2084,tab_tipo_Combustivel!$B$1:$AQ$1,0),1,1)</f>
        <v>0</v>
      </c>
    </row>
    <row r="2085" spans="1:3">
      <c r="A2085" s="3">
        <f t="shared" si="60"/>
        <v>2027</v>
      </c>
      <c r="B2085" s="106">
        <f t="shared" si="61"/>
        <v>205</v>
      </c>
      <c r="C2085" s="107">
        <f ca="1">OFFSET(tab_tipo_Combustivel!$A$1,MATCH(B2085,tab_tipo_Combustivel!$A$2:$A$150,0),MATCH(A2085,tab_tipo_Combustivel!$B$1:$AQ$1,0),1,1)</f>
        <v>0</v>
      </c>
    </row>
    <row r="2086" spans="1:3">
      <c r="A2086" s="3">
        <f t="shared" si="60"/>
        <v>2027</v>
      </c>
      <c r="B2086" s="106">
        <f t="shared" si="61"/>
        <v>207</v>
      </c>
      <c r="C2086" s="107">
        <f ca="1">OFFSET(tab_tipo_Combustivel!$A$1,MATCH(B2086,tab_tipo_Combustivel!$A$2:$A$150,0),MATCH(A2086,tab_tipo_Combustivel!$B$1:$AQ$1,0),1,1)</f>
        <v>0</v>
      </c>
    </row>
    <row r="2087" spans="1:3">
      <c r="A2087" s="3">
        <f t="shared" si="60"/>
        <v>2027</v>
      </c>
      <c r="B2087" s="106">
        <f t="shared" si="61"/>
        <v>208</v>
      </c>
      <c r="C2087" s="107">
        <f ca="1">OFFSET(tab_tipo_Combustivel!$A$1,MATCH(B2087,tab_tipo_Combustivel!$A$2:$A$150,0),MATCH(A2087,tab_tipo_Combustivel!$B$1:$AQ$1,0),1,1)</f>
        <v>783.64</v>
      </c>
    </row>
    <row r="2088" spans="1:3">
      <c r="A2088" s="3">
        <f t="shared" si="60"/>
        <v>2027</v>
      </c>
      <c r="B2088" s="106">
        <f t="shared" si="61"/>
        <v>209</v>
      </c>
      <c r="C2088" s="107">
        <f ca="1">OFFSET(tab_tipo_Combustivel!$A$1,MATCH(B2088,tab_tipo_Combustivel!$A$2:$A$150,0),MATCH(A2088,tab_tipo_Combustivel!$B$1:$AQ$1,0),1,1)</f>
        <v>0</v>
      </c>
    </row>
    <row r="2089" spans="1:3">
      <c r="A2089" s="3">
        <f t="shared" si="60"/>
        <v>2027</v>
      </c>
      <c r="B2089" s="106">
        <f t="shared" si="61"/>
        <v>211</v>
      </c>
      <c r="C2089" s="107">
        <f ca="1">OFFSET(tab_tipo_Combustivel!$A$1,MATCH(B2089,tab_tipo_Combustivel!$A$2:$A$150,0),MATCH(A2089,tab_tipo_Combustivel!$B$1:$AQ$1,0),1,1)</f>
        <v>150.79</v>
      </c>
    </row>
    <row r="2090" spans="1:3">
      <c r="A2090" s="3">
        <f t="shared" si="60"/>
        <v>2027</v>
      </c>
      <c r="B2090" s="106">
        <f t="shared" si="61"/>
        <v>212</v>
      </c>
      <c r="C2090" s="107">
        <f ca="1">OFFSET(tab_tipo_Combustivel!$A$1,MATCH(B2090,tab_tipo_Combustivel!$A$2:$A$150,0),MATCH(A2090,tab_tipo_Combustivel!$B$1:$AQ$1,0),1,1)</f>
        <v>84.58</v>
      </c>
    </row>
    <row r="2091" spans="1:3">
      <c r="A2091" s="3">
        <f t="shared" si="60"/>
        <v>2027</v>
      </c>
      <c r="B2091" s="106">
        <f t="shared" si="61"/>
        <v>224</v>
      </c>
      <c r="C2091" s="107">
        <f ca="1">OFFSET(tab_tipo_Combustivel!$A$1,MATCH(B2091,tab_tipo_Combustivel!$A$2:$A$150,0),MATCH(A2091,tab_tipo_Combustivel!$B$1:$AQ$1,0),1,1)</f>
        <v>31.08</v>
      </c>
    </row>
    <row r="2092" spans="1:3">
      <c r="A2092" s="3">
        <f t="shared" si="60"/>
        <v>2027</v>
      </c>
      <c r="B2092" s="106">
        <f t="shared" si="61"/>
        <v>225</v>
      </c>
      <c r="C2092" s="107">
        <f ca="1">OFFSET(tab_tipo_Combustivel!$A$1,MATCH(B2092,tab_tipo_Combustivel!$A$2:$A$150,0),MATCH(A2092,tab_tipo_Combustivel!$B$1:$AQ$1,0),1,1)</f>
        <v>1329.7</v>
      </c>
    </row>
    <row r="2093" spans="1:3">
      <c r="A2093" s="3">
        <f t="shared" si="60"/>
        <v>2027</v>
      </c>
      <c r="B2093" s="106">
        <f t="shared" si="61"/>
        <v>226</v>
      </c>
      <c r="C2093" s="107">
        <f ca="1">OFFSET(tab_tipo_Combustivel!$A$1,MATCH(B2093,tab_tipo_Combustivel!$A$2:$A$150,0),MATCH(A2093,tab_tipo_Combustivel!$B$1:$AQ$1,0),1,1)</f>
        <v>1061.1300000000001</v>
      </c>
    </row>
    <row r="2094" spans="1:3">
      <c r="A2094" s="3">
        <f t="shared" si="60"/>
        <v>2027</v>
      </c>
      <c r="B2094" s="106">
        <f t="shared" si="61"/>
        <v>227</v>
      </c>
      <c r="C2094" s="107">
        <f ca="1">OFFSET(tab_tipo_Combustivel!$A$1,MATCH(B2094,tab_tipo_Combustivel!$A$2:$A$150,0),MATCH(A2094,tab_tipo_Combustivel!$B$1:$AQ$1,0),1,1)</f>
        <v>447.52</v>
      </c>
    </row>
    <row r="2095" spans="1:3">
      <c r="A2095" s="3">
        <f t="shared" si="60"/>
        <v>2027</v>
      </c>
      <c r="B2095" s="106">
        <f t="shared" si="61"/>
        <v>228</v>
      </c>
      <c r="C2095" s="107">
        <f ca="1">OFFSET(tab_tipo_Combustivel!$A$1,MATCH(B2095,tab_tipo_Combustivel!$A$2:$A$150,0),MATCH(A2095,tab_tipo_Combustivel!$B$1:$AQ$1,0),1,1)</f>
        <v>1061.1400000000001</v>
      </c>
    </row>
    <row r="2096" spans="1:3">
      <c r="A2096" s="3">
        <f t="shared" si="60"/>
        <v>2027</v>
      </c>
      <c r="B2096" s="106">
        <f t="shared" si="61"/>
        <v>229</v>
      </c>
      <c r="C2096" s="107">
        <f ca="1">OFFSET(tab_tipo_Combustivel!$A$1,MATCH(B2096,tab_tipo_Combustivel!$A$2:$A$150,0),MATCH(A2096,tab_tipo_Combustivel!$B$1:$AQ$1,0),1,1)</f>
        <v>942.05</v>
      </c>
    </row>
    <row r="2097" spans="1:3">
      <c r="A2097" s="3">
        <f t="shared" si="60"/>
        <v>2027</v>
      </c>
      <c r="B2097" s="106">
        <f t="shared" si="61"/>
        <v>230</v>
      </c>
      <c r="C2097" s="107">
        <f ca="1">OFFSET(tab_tipo_Combustivel!$A$1,MATCH(B2097,tab_tipo_Combustivel!$A$2:$A$150,0),MATCH(A2097,tab_tipo_Combustivel!$B$1:$AQ$1,0),1,1)</f>
        <v>495.06</v>
      </c>
    </row>
    <row r="2098" spans="1:3">
      <c r="A2098" s="3">
        <f t="shared" si="60"/>
        <v>2027</v>
      </c>
      <c r="B2098" s="106">
        <f t="shared" si="61"/>
        <v>231</v>
      </c>
      <c r="C2098" s="107">
        <f ca="1">OFFSET(tab_tipo_Combustivel!$A$1,MATCH(B2098,tab_tipo_Combustivel!$A$2:$A$150,0),MATCH(A2098,tab_tipo_Combustivel!$B$1:$AQ$1,0),1,1)</f>
        <v>489.29</v>
      </c>
    </row>
    <row r="2099" spans="1:3">
      <c r="A2099" s="3">
        <f t="shared" si="60"/>
        <v>2027</v>
      </c>
      <c r="B2099" s="106">
        <f t="shared" si="61"/>
        <v>232</v>
      </c>
      <c r="C2099" s="107">
        <f ca="1">OFFSET(tab_tipo_Combustivel!$A$1,MATCH(B2099,tab_tipo_Combustivel!$A$2:$A$150,0),MATCH(A2099,tab_tipo_Combustivel!$B$1:$AQ$1,0),1,1)</f>
        <v>842.33</v>
      </c>
    </row>
    <row r="2100" spans="1:3">
      <c r="A2100" s="3">
        <f t="shared" si="60"/>
        <v>2027</v>
      </c>
      <c r="B2100" s="106">
        <f t="shared" si="61"/>
        <v>233</v>
      </c>
      <c r="C2100" s="107">
        <f ca="1">OFFSET(tab_tipo_Combustivel!$A$1,MATCH(B2100,tab_tipo_Combustivel!$A$2:$A$150,0),MATCH(A2100,tab_tipo_Combustivel!$B$1:$AQ$1,0),1,1)</f>
        <v>984.29</v>
      </c>
    </row>
    <row r="2101" spans="1:3">
      <c r="A2101" s="3">
        <f t="shared" si="60"/>
        <v>2027</v>
      </c>
      <c r="B2101" s="106">
        <f t="shared" si="61"/>
        <v>234</v>
      </c>
      <c r="C2101" s="107">
        <f ca="1">OFFSET(tab_tipo_Combustivel!$A$1,MATCH(B2101,tab_tipo_Combustivel!$A$2:$A$150,0),MATCH(A2101,tab_tipo_Combustivel!$B$1:$AQ$1,0),1,1)</f>
        <v>290.26</v>
      </c>
    </row>
    <row r="2102" spans="1:3">
      <c r="A2102" s="3">
        <f t="shared" si="60"/>
        <v>2027</v>
      </c>
      <c r="B2102" s="106">
        <f t="shared" si="61"/>
        <v>235</v>
      </c>
      <c r="C2102" s="107">
        <f ca="1">OFFSET(tab_tipo_Combustivel!$A$1,MATCH(B2102,tab_tipo_Combustivel!$A$2:$A$150,0),MATCH(A2102,tab_tipo_Combustivel!$B$1:$AQ$1,0),1,1)</f>
        <v>1350.87</v>
      </c>
    </row>
    <row r="2103" spans="1:3">
      <c r="A2103" s="3">
        <f t="shared" si="60"/>
        <v>2027</v>
      </c>
      <c r="B2103" s="106">
        <f t="shared" si="61"/>
        <v>236</v>
      </c>
      <c r="C2103" s="107">
        <f ca="1">OFFSET(tab_tipo_Combustivel!$A$1,MATCH(B2103,tab_tipo_Combustivel!$A$2:$A$150,0),MATCH(A2103,tab_tipo_Combustivel!$B$1:$AQ$1,0),1,1)</f>
        <v>842.33</v>
      </c>
    </row>
    <row r="2104" spans="1:3">
      <c r="A2104" s="3">
        <f t="shared" si="60"/>
        <v>2027</v>
      </c>
      <c r="B2104" s="106">
        <f t="shared" si="61"/>
        <v>237</v>
      </c>
      <c r="C2104" s="107">
        <f ca="1">OFFSET(tab_tipo_Combustivel!$A$1,MATCH(B2104,tab_tipo_Combustivel!$A$2:$A$150,0),MATCH(A2104,tab_tipo_Combustivel!$B$1:$AQ$1,0),1,1)</f>
        <v>760.85</v>
      </c>
    </row>
    <row r="2105" spans="1:3">
      <c r="A2105" s="3">
        <f t="shared" si="60"/>
        <v>2027</v>
      </c>
      <c r="B2105" s="106">
        <f t="shared" si="61"/>
        <v>238</v>
      </c>
      <c r="C2105" s="107">
        <f ca="1">OFFSET(tab_tipo_Combustivel!$A$1,MATCH(B2105,tab_tipo_Combustivel!$A$2:$A$150,0),MATCH(A2105,tab_tipo_Combustivel!$B$1:$AQ$1,0),1,1)</f>
        <v>963.75</v>
      </c>
    </row>
    <row r="2106" spans="1:3">
      <c r="A2106" s="3">
        <f t="shared" si="60"/>
        <v>2027</v>
      </c>
      <c r="B2106" s="106">
        <f t="shared" si="61"/>
        <v>239</v>
      </c>
      <c r="C2106" s="107">
        <f ca="1">OFFSET(tab_tipo_Combustivel!$A$1,MATCH(B2106,tab_tipo_Combustivel!$A$2:$A$150,0),MATCH(A2106,tab_tipo_Combustivel!$B$1:$AQ$1,0),1,1)</f>
        <v>963.75</v>
      </c>
    </row>
    <row r="2107" spans="1:3">
      <c r="A2107" s="3">
        <f t="shared" si="60"/>
        <v>2027</v>
      </c>
      <c r="B2107" s="106">
        <f t="shared" si="61"/>
        <v>240</v>
      </c>
      <c r="C2107" s="107">
        <f ca="1">OFFSET(tab_tipo_Combustivel!$A$1,MATCH(B2107,tab_tipo_Combustivel!$A$2:$A$150,0),MATCH(A2107,tab_tipo_Combustivel!$B$1:$AQ$1,0),1,1)</f>
        <v>1115.96</v>
      </c>
    </row>
    <row r="2108" spans="1:3">
      <c r="A2108" s="3">
        <f t="shared" si="60"/>
        <v>2027</v>
      </c>
      <c r="B2108" s="106">
        <f t="shared" si="61"/>
        <v>241</v>
      </c>
      <c r="C2108" s="107">
        <f ca="1">OFFSET(tab_tipo_Combustivel!$A$1,MATCH(B2108,tab_tipo_Combustivel!$A$2:$A$150,0),MATCH(A2108,tab_tipo_Combustivel!$B$1:$AQ$1,0),1,1)</f>
        <v>495.75</v>
      </c>
    </row>
    <row r="2109" spans="1:3">
      <c r="A2109" s="3">
        <f t="shared" si="60"/>
        <v>2027</v>
      </c>
      <c r="B2109" s="106">
        <f t="shared" si="61"/>
        <v>242</v>
      </c>
      <c r="C2109" s="107">
        <f ca="1">OFFSET(tab_tipo_Combustivel!$A$1,MATCH(B2109,tab_tipo_Combustivel!$A$2:$A$150,0),MATCH(A2109,tab_tipo_Combustivel!$B$1:$AQ$1,0),1,1)</f>
        <v>1176.45</v>
      </c>
    </row>
    <row r="2110" spans="1:3">
      <c r="A2110" s="3">
        <f t="shared" si="60"/>
        <v>2027</v>
      </c>
      <c r="B2110" s="106">
        <f t="shared" si="61"/>
        <v>243</v>
      </c>
      <c r="C2110" s="107">
        <f ca="1">OFFSET(tab_tipo_Combustivel!$A$1,MATCH(B2110,tab_tipo_Combustivel!$A$2:$A$150,0),MATCH(A2110,tab_tipo_Combustivel!$B$1:$AQ$1,0),1,1)</f>
        <v>495.08</v>
      </c>
    </row>
    <row r="2111" spans="1:3">
      <c r="A2111" s="3">
        <f t="shared" si="60"/>
        <v>2027</v>
      </c>
      <c r="B2111" s="106">
        <f t="shared" si="61"/>
        <v>244</v>
      </c>
      <c r="C2111" s="107">
        <f ca="1">OFFSET(tab_tipo_Combustivel!$A$1,MATCH(B2111,tab_tipo_Combustivel!$A$2:$A$150,0),MATCH(A2111,tab_tipo_Combustivel!$B$1:$AQ$1,0),1,1)</f>
        <v>495.06</v>
      </c>
    </row>
    <row r="2112" spans="1:3">
      <c r="A2112" s="3">
        <f t="shared" si="60"/>
        <v>2027</v>
      </c>
      <c r="B2112" s="106">
        <f t="shared" si="61"/>
        <v>245</v>
      </c>
      <c r="C2112" s="107">
        <f ca="1">OFFSET(tab_tipo_Combustivel!$A$1,MATCH(B2112,tab_tipo_Combustivel!$A$2:$A$150,0),MATCH(A2112,tab_tipo_Combustivel!$B$1:$AQ$1,0),1,1)</f>
        <v>562.65</v>
      </c>
    </row>
    <row r="2113" spans="1:3">
      <c r="A2113" s="3">
        <f t="shared" si="60"/>
        <v>2027</v>
      </c>
      <c r="B2113" s="106">
        <f t="shared" si="61"/>
        <v>246</v>
      </c>
      <c r="C2113" s="107">
        <f ca="1">OFFSET(tab_tipo_Combustivel!$A$1,MATCH(B2113,tab_tipo_Combustivel!$A$2:$A$150,0),MATCH(A2113,tab_tipo_Combustivel!$B$1:$AQ$1,0),1,1)</f>
        <v>1124.53</v>
      </c>
    </row>
    <row r="2114" spans="1:3">
      <c r="A2114" s="3">
        <f t="shared" si="60"/>
        <v>2027</v>
      </c>
      <c r="B2114" s="106">
        <f t="shared" si="61"/>
        <v>247</v>
      </c>
      <c r="C2114" s="107">
        <f ca="1">OFFSET(tab_tipo_Combustivel!$A$1,MATCH(B2114,tab_tipo_Combustivel!$A$2:$A$150,0),MATCH(A2114,tab_tipo_Combustivel!$B$1:$AQ$1,0),1,1)</f>
        <v>609.51</v>
      </c>
    </row>
    <row r="2115" spans="1:3">
      <c r="A2115" s="3">
        <f t="shared" si="60"/>
        <v>2027</v>
      </c>
      <c r="B2115" s="106">
        <f t="shared" si="61"/>
        <v>248</v>
      </c>
      <c r="C2115" s="107">
        <f ca="1">OFFSET(tab_tipo_Combustivel!$A$1,MATCH(B2115,tab_tipo_Combustivel!$A$2:$A$150,0),MATCH(A2115,tab_tipo_Combustivel!$B$1:$AQ$1,0),1,1)</f>
        <v>495.06</v>
      </c>
    </row>
    <row r="2116" spans="1:3">
      <c r="A2116" s="3">
        <f t="shared" si="60"/>
        <v>2027</v>
      </c>
      <c r="B2116" s="106">
        <f t="shared" si="61"/>
        <v>249</v>
      </c>
      <c r="C2116" s="107">
        <f ca="1">OFFSET(tab_tipo_Combustivel!$A$1,MATCH(B2116,tab_tipo_Combustivel!$A$2:$A$150,0),MATCH(A2116,tab_tipo_Combustivel!$B$1:$AQ$1,0),1,1)</f>
        <v>842.33</v>
      </c>
    </row>
    <row r="2117" spans="1:3">
      <c r="A2117" s="3">
        <f t="shared" si="60"/>
        <v>2027</v>
      </c>
      <c r="B2117" s="106">
        <f t="shared" si="61"/>
        <v>250</v>
      </c>
      <c r="C2117" s="107">
        <f ca="1">OFFSET(tab_tipo_Combustivel!$A$1,MATCH(B2117,tab_tipo_Combustivel!$A$2:$A$150,0),MATCH(A2117,tab_tipo_Combustivel!$B$1:$AQ$1,0),1,1)</f>
        <v>1176.45</v>
      </c>
    </row>
    <row r="2118" spans="1:3">
      <c r="A2118" s="3">
        <f t="shared" si="60"/>
        <v>2027</v>
      </c>
      <c r="B2118" s="106">
        <f t="shared" si="61"/>
        <v>251</v>
      </c>
      <c r="C2118" s="107">
        <f ca="1">OFFSET(tab_tipo_Combustivel!$A$1,MATCH(B2118,tab_tipo_Combustivel!$A$2:$A$150,0),MATCH(A2118,tab_tipo_Combustivel!$B$1:$AQ$1,0),1,1)</f>
        <v>842.33</v>
      </c>
    </row>
    <row r="2119" spans="1:3">
      <c r="A2119" s="3">
        <f t="shared" si="60"/>
        <v>2027</v>
      </c>
      <c r="B2119" s="106">
        <f t="shared" si="61"/>
        <v>252</v>
      </c>
      <c r="C2119" s="107">
        <f ca="1">OFFSET(tab_tipo_Combustivel!$A$1,MATCH(B2119,tab_tipo_Combustivel!$A$2:$A$150,0),MATCH(A2119,tab_tipo_Combustivel!$B$1:$AQ$1,0),1,1)</f>
        <v>842.33</v>
      </c>
    </row>
    <row r="2120" spans="1:3">
      <c r="A2120" s="3">
        <f t="shared" si="60"/>
        <v>2027</v>
      </c>
      <c r="B2120" s="106">
        <f t="shared" si="61"/>
        <v>253</v>
      </c>
      <c r="C2120" s="107">
        <f ca="1">OFFSET(tab_tipo_Combustivel!$A$1,MATCH(B2120,tab_tipo_Combustivel!$A$2:$A$150,0),MATCH(A2120,tab_tipo_Combustivel!$B$1:$AQ$1,0),1,1)</f>
        <v>279.45</v>
      </c>
    </row>
    <row r="2121" spans="1:3">
      <c r="A2121" s="3">
        <f t="shared" si="60"/>
        <v>2027</v>
      </c>
      <c r="B2121" s="106">
        <f t="shared" si="61"/>
        <v>254</v>
      </c>
      <c r="C2121" s="107">
        <f ca="1">OFFSET(tab_tipo_Combustivel!$A$1,MATCH(B2121,tab_tipo_Combustivel!$A$2:$A$150,0),MATCH(A2121,tab_tipo_Combustivel!$B$1:$AQ$1,0),1,1)</f>
        <v>1153.98</v>
      </c>
    </row>
    <row r="2122" spans="1:3">
      <c r="A2122" s="3">
        <f t="shared" ref="A2122:A2185" si="62">A1987+1</f>
        <v>2027</v>
      </c>
      <c r="B2122" s="106">
        <f t="shared" ref="B2122:B2185" si="63">B1987</f>
        <v>255</v>
      </c>
      <c r="C2122" s="107">
        <f ca="1">OFFSET(tab_tipo_Combustivel!$A$1,MATCH(B2122,tab_tipo_Combustivel!$A$2:$A$150,0),MATCH(A2122,tab_tipo_Combustivel!$B$1:$AQ$1,0),1,1)</f>
        <v>828.98</v>
      </c>
    </row>
    <row r="2123" spans="1:3">
      <c r="A2123" s="3">
        <f t="shared" si="62"/>
        <v>2027</v>
      </c>
      <c r="B2123" s="106">
        <f t="shared" si="63"/>
        <v>256</v>
      </c>
      <c r="C2123" s="107">
        <f ca="1">OFFSET(tab_tipo_Combustivel!$A$1,MATCH(B2123,tab_tipo_Combustivel!$A$2:$A$150,0),MATCH(A2123,tab_tipo_Combustivel!$B$1:$AQ$1,0),1,1)</f>
        <v>562.65</v>
      </c>
    </row>
    <row r="2124" spans="1:3">
      <c r="A2124" s="3">
        <f t="shared" si="62"/>
        <v>2027</v>
      </c>
      <c r="B2124" s="106">
        <f t="shared" si="63"/>
        <v>257</v>
      </c>
      <c r="C2124" s="107">
        <f ca="1">OFFSET(tab_tipo_Combustivel!$A$1,MATCH(B2124,tab_tipo_Combustivel!$A$2:$A$150,0),MATCH(A2124,tab_tipo_Combustivel!$B$1:$AQ$1,0),1,1)</f>
        <v>907.52</v>
      </c>
    </row>
    <row r="2125" spans="1:3">
      <c r="A2125" s="3">
        <f t="shared" si="62"/>
        <v>2027</v>
      </c>
      <c r="B2125" s="106">
        <f t="shared" si="63"/>
        <v>258</v>
      </c>
      <c r="C2125" s="107">
        <f ca="1">OFFSET(tab_tipo_Combustivel!$A$1,MATCH(B2125,tab_tipo_Combustivel!$A$2:$A$150,0),MATCH(A2125,tab_tipo_Combustivel!$B$1:$AQ$1,0),1,1)</f>
        <v>1016.04</v>
      </c>
    </row>
    <row r="2126" spans="1:3">
      <c r="A2126" s="3">
        <f t="shared" si="62"/>
        <v>2027</v>
      </c>
      <c r="B2126" s="106">
        <f t="shared" si="63"/>
        <v>259</v>
      </c>
      <c r="C2126" s="107">
        <f ca="1">OFFSET(tab_tipo_Combustivel!$A$1,MATCH(B2126,tab_tipo_Combustivel!$A$2:$A$150,0),MATCH(A2126,tab_tipo_Combustivel!$B$1:$AQ$1,0),1,1)</f>
        <v>977.53</v>
      </c>
    </row>
    <row r="2127" spans="1:3">
      <c r="A2127" s="3">
        <f t="shared" si="62"/>
        <v>2027</v>
      </c>
      <c r="B2127" s="106">
        <f t="shared" si="63"/>
        <v>260</v>
      </c>
      <c r="C2127" s="107">
        <f ca="1">OFFSET(tab_tipo_Combustivel!$A$1,MATCH(B2127,tab_tipo_Combustivel!$A$2:$A$150,0),MATCH(A2127,tab_tipo_Combustivel!$B$1:$AQ$1,0),1,1)</f>
        <v>827.17</v>
      </c>
    </row>
    <row r="2128" spans="1:3">
      <c r="A2128" s="3">
        <f t="shared" si="62"/>
        <v>2027</v>
      </c>
      <c r="B2128" s="106">
        <f t="shared" si="63"/>
        <v>261</v>
      </c>
      <c r="C2128" s="107">
        <f ca="1">OFFSET(tab_tipo_Combustivel!$A$1,MATCH(B2128,tab_tipo_Combustivel!$A$2:$A$150,0),MATCH(A2128,tab_tipo_Combustivel!$B$1:$AQ$1,0),1,1)</f>
        <v>829.7</v>
      </c>
    </row>
    <row r="2129" spans="1:3">
      <c r="A2129" s="3">
        <f t="shared" si="62"/>
        <v>2027</v>
      </c>
      <c r="B2129" s="106">
        <f t="shared" si="63"/>
        <v>262</v>
      </c>
      <c r="C2129" s="107">
        <f ca="1">OFFSET(tab_tipo_Combustivel!$A$1,MATCH(B2129,tab_tipo_Combustivel!$A$2:$A$150,0),MATCH(A2129,tab_tipo_Combustivel!$B$1:$AQ$1,0),1,1)</f>
        <v>495.75</v>
      </c>
    </row>
    <row r="2130" spans="1:3">
      <c r="A2130" s="3">
        <f t="shared" si="62"/>
        <v>2027</v>
      </c>
      <c r="B2130" s="106">
        <f t="shared" si="63"/>
        <v>263</v>
      </c>
      <c r="C2130" s="107">
        <f ca="1">OFFSET(tab_tipo_Combustivel!$A$1,MATCH(B2130,tab_tipo_Combustivel!$A$2:$A$150,0),MATCH(A2130,tab_tipo_Combustivel!$B$1:$AQ$1,0),1,1)</f>
        <v>474.77</v>
      </c>
    </row>
    <row r="2131" spans="1:3">
      <c r="A2131" s="3">
        <f t="shared" si="62"/>
        <v>2027</v>
      </c>
      <c r="B2131" s="106">
        <f t="shared" si="63"/>
        <v>264</v>
      </c>
      <c r="C2131" s="107">
        <f ca="1">OFFSET(tab_tipo_Combustivel!$A$1,MATCH(B2131,tab_tipo_Combustivel!$A$2:$A$150,0),MATCH(A2131,tab_tipo_Combustivel!$B$1:$AQ$1,0),1,1)</f>
        <v>842.33</v>
      </c>
    </row>
    <row r="2132" spans="1:3">
      <c r="A2132" s="3">
        <f t="shared" si="62"/>
        <v>2027</v>
      </c>
      <c r="B2132" s="106">
        <f t="shared" si="63"/>
        <v>265</v>
      </c>
      <c r="C2132" s="107">
        <f ca="1">OFFSET(tab_tipo_Combustivel!$A$1,MATCH(B2132,tab_tipo_Combustivel!$A$2:$A$150,0),MATCH(A2132,tab_tipo_Combustivel!$B$1:$AQ$1,0),1,1)</f>
        <v>415.82</v>
      </c>
    </row>
    <row r="2133" spans="1:3">
      <c r="A2133" s="3">
        <f t="shared" si="62"/>
        <v>2027</v>
      </c>
      <c r="B2133" s="106">
        <f t="shared" si="63"/>
        <v>266</v>
      </c>
      <c r="C2133" s="107">
        <f ca="1">OFFSET(tab_tipo_Combustivel!$A$1,MATCH(B2133,tab_tipo_Combustivel!$A$2:$A$150,0),MATCH(A2133,tab_tipo_Combustivel!$B$1:$AQ$1,0),1,1)</f>
        <v>827.17</v>
      </c>
    </row>
    <row r="2134" spans="1:3">
      <c r="A2134" s="3">
        <f t="shared" si="62"/>
        <v>2027</v>
      </c>
      <c r="B2134" s="106">
        <f t="shared" si="63"/>
        <v>301</v>
      </c>
      <c r="C2134" s="107">
        <f ca="1">OFFSET(tab_tipo_Combustivel!$A$1,MATCH(B2134,tab_tipo_Combustivel!$A$2:$A$150,0),MATCH(A2134,tab_tipo_Combustivel!$B$1:$AQ$1,0),1,1)</f>
        <v>99.08</v>
      </c>
    </row>
    <row r="2135" spans="1:3">
      <c r="A2135" s="3">
        <f t="shared" si="62"/>
        <v>2027</v>
      </c>
      <c r="B2135" s="106">
        <f t="shared" si="63"/>
        <v>302</v>
      </c>
      <c r="C2135" s="107">
        <f ca="1">OFFSET(tab_tipo_Combustivel!$A$1,MATCH(B2135,tab_tipo_Combustivel!$A$2:$A$150,0),MATCH(A2135,tab_tipo_Combustivel!$B$1:$AQ$1,0),1,1)</f>
        <v>103.73</v>
      </c>
    </row>
    <row r="2136" spans="1:3">
      <c r="A2136" s="3">
        <f t="shared" si="62"/>
        <v>2027</v>
      </c>
      <c r="B2136" s="106">
        <f t="shared" si="63"/>
        <v>303</v>
      </c>
      <c r="C2136" s="107">
        <f ca="1">OFFSET(tab_tipo_Combustivel!$A$1,MATCH(B2136,tab_tipo_Combustivel!$A$2:$A$150,0),MATCH(A2136,tab_tipo_Combustivel!$B$1:$AQ$1,0),1,1)</f>
        <v>103.73</v>
      </c>
    </row>
    <row r="2137" spans="1:3">
      <c r="A2137" s="3">
        <f t="shared" si="62"/>
        <v>2027</v>
      </c>
      <c r="B2137" s="106">
        <f t="shared" si="63"/>
        <v>304</v>
      </c>
      <c r="C2137" s="107">
        <f ca="1">OFFSET(tab_tipo_Combustivel!$A$1,MATCH(B2137,tab_tipo_Combustivel!$A$2:$A$150,0),MATCH(A2137,tab_tipo_Combustivel!$B$1:$AQ$1,0),1,1)</f>
        <v>139.41999999999999</v>
      </c>
    </row>
    <row r="2138" spans="1:3">
      <c r="A2138" s="3">
        <f t="shared" si="62"/>
        <v>2027</v>
      </c>
      <c r="B2138" s="106">
        <f t="shared" si="63"/>
        <v>305</v>
      </c>
      <c r="C2138" s="107">
        <f ca="1">OFFSET(tab_tipo_Combustivel!$A$1,MATCH(B2138,tab_tipo_Combustivel!$A$2:$A$150,0),MATCH(A2138,tab_tipo_Combustivel!$B$1:$AQ$1,0),1,1)</f>
        <v>89.7</v>
      </c>
    </row>
    <row r="2139" spans="1:3">
      <c r="A2139" s="3">
        <f t="shared" si="62"/>
        <v>2027</v>
      </c>
      <c r="B2139" s="106">
        <f t="shared" si="63"/>
        <v>306</v>
      </c>
      <c r="C2139" s="107">
        <f ca="1">OFFSET(tab_tipo_Combustivel!$A$1,MATCH(B2139,tab_tipo_Combustivel!$A$2:$A$150,0),MATCH(A2139,tab_tipo_Combustivel!$B$1:$AQ$1,0),1,1)</f>
        <v>100.38</v>
      </c>
    </row>
    <row r="2140" spans="1:3">
      <c r="A2140" s="3">
        <f t="shared" si="62"/>
        <v>2027</v>
      </c>
      <c r="B2140" s="106">
        <f t="shared" si="63"/>
        <v>307</v>
      </c>
      <c r="C2140" s="107">
        <f ca="1">OFFSET(tab_tipo_Combustivel!$A$1,MATCH(B2140,tab_tipo_Combustivel!$A$2:$A$150,0),MATCH(A2140,tab_tipo_Combustivel!$B$1:$AQ$1,0),1,1)</f>
        <v>510.12</v>
      </c>
    </row>
    <row r="2141" spans="1:3">
      <c r="A2141" s="3">
        <f t="shared" si="62"/>
        <v>2027</v>
      </c>
      <c r="B2141" s="106">
        <f t="shared" si="63"/>
        <v>308</v>
      </c>
      <c r="C2141" s="107">
        <f ca="1">OFFSET(tab_tipo_Combustivel!$A$1,MATCH(B2141,tab_tipo_Combustivel!$A$2:$A$150,0),MATCH(A2141,tab_tipo_Combustivel!$B$1:$AQ$1,0),1,1)</f>
        <v>72.5</v>
      </c>
    </row>
    <row r="2142" spans="1:3">
      <c r="A2142" s="3">
        <f t="shared" si="62"/>
        <v>2027</v>
      </c>
      <c r="B2142" s="106">
        <f t="shared" si="63"/>
        <v>309</v>
      </c>
      <c r="C2142" s="107">
        <f ca="1">OFFSET(tab_tipo_Combustivel!$A$1,MATCH(B2142,tab_tipo_Combustivel!$A$2:$A$150,0),MATCH(A2142,tab_tipo_Combustivel!$B$1:$AQ$1,0),1,1)</f>
        <v>126.77</v>
      </c>
    </row>
    <row r="2143" spans="1:3">
      <c r="A2143" s="3">
        <f t="shared" si="62"/>
        <v>2027</v>
      </c>
      <c r="B2143" s="106">
        <f t="shared" si="63"/>
        <v>310</v>
      </c>
      <c r="C2143" s="107">
        <f ca="1">OFFSET(tab_tipo_Combustivel!$A$1,MATCH(B2143,tab_tipo_Combustivel!$A$2:$A$150,0),MATCH(A2143,tab_tipo_Combustivel!$B$1:$AQ$1,0),1,1)</f>
        <v>275.99</v>
      </c>
    </row>
    <row r="2144" spans="1:3">
      <c r="A2144" s="3">
        <f t="shared" si="62"/>
        <v>2027</v>
      </c>
      <c r="B2144" s="106">
        <f t="shared" si="63"/>
        <v>311</v>
      </c>
      <c r="C2144" s="107">
        <f ca="1">OFFSET(tab_tipo_Combustivel!$A$1,MATCH(B2144,tab_tipo_Combustivel!$A$2:$A$150,0),MATCH(A2144,tab_tipo_Combustivel!$B$1:$AQ$1,0),1,1)</f>
        <v>70.66</v>
      </c>
    </row>
    <row r="2145" spans="1:3">
      <c r="A2145" s="3">
        <f t="shared" si="62"/>
        <v>2027</v>
      </c>
      <c r="B2145" s="106">
        <f t="shared" si="63"/>
        <v>312</v>
      </c>
      <c r="C2145" s="107">
        <f ca="1">OFFSET(tab_tipo_Combustivel!$A$1,MATCH(B2145,tab_tipo_Combustivel!$A$2:$A$150,0),MATCH(A2145,tab_tipo_Combustivel!$B$1:$AQ$1,0),1,1)</f>
        <v>0</v>
      </c>
    </row>
    <row r="2146" spans="1:3">
      <c r="A2146" s="3">
        <f t="shared" si="62"/>
        <v>2027</v>
      </c>
      <c r="B2146" s="106">
        <f t="shared" si="63"/>
        <v>1301</v>
      </c>
      <c r="C2146" s="107">
        <f ca="1">OFFSET(tab_tipo_Combustivel!$A$1,MATCH(B2146,tab_tipo_Combustivel!$A$2:$A$150,0),MATCH(A2146,tab_tipo_Combustivel!$B$1:$AQ$1,0),1,1)</f>
        <v>242.05</v>
      </c>
    </row>
    <row r="2147" spans="1:3">
      <c r="A2147" s="3">
        <f t="shared" si="62"/>
        <v>2027</v>
      </c>
      <c r="B2147" s="106">
        <f t="shared" si="63"/>
        <v>1302</v>
      </c>
      <c r="C2147" s="107">
        <f ca="1">OFFSET(tab_tipo_Combustivel!$A$1,MATCH(B2147,tab_tipo_Combustivel!$A$2:$A$150,0),MATCH(A2147,tab_tipo_Combustivel!$B$1:$AQ$1,0),1,1)</f>
        <v>193.64</v>
      </c>
    </row>
    <row r="2148" spans="1:3">
      <c r="A2148" s="3">
        <f t="shared" si="62"/>
        <v>2027</v>
      </c>
      <c r="B2148" s="106">
        <f t="shared" si="63"/>
        <v>1303</v>
      </c>
      <c r="C2148" s="107">
        <f ca="1">OFFSET(tab_tipo_Combustivel!$A$1,MATCH(B2148,tab_tipo_Combustivel!$A$2:$A$150,0),MATCH(A2148,tab_tipo_Combustivel!$B$1:$AQ$1,0),1,1)</f>
        <v>25.58</v>
      </c>
    </row>
    <row r="2149" spans="1:3">
      <c r="A2149" s="3">
        <f t="shared" si="62"/>
        <v>2027</v>
      </c>
      <c r="B2149" s="106">
        <f t="shared" si="63"/>
        <v>1304</v>
      </c>
      <c r="C2149" s="107">
        <f ca="1">OFFSET(tab_tipo_Combustivel!$A$1,MATCH(B2149,tab_tipo_Combustivel!$A$2:$A$150,0),MATCH(A2149,tab_tipo_Combustivel!$B$1:$AQ$1,0),1,1)</f>
        <v>0</v>
      </c>
    </row>
    <row r="2150" spans="1:3">
      <c r="A2150" s="3">
        <f t="shared" si="62"/>
        <v>2027</v>
      </c>
      <c r="B2150" s="106">
        <f t="shared" si="63"/>
        <v>1315</v>
      </c>
      <c r="C2150" s="107">
        <f ca="1">OFFSET(tab_tipo_Combustivel!$A$1,MATCH(B2150,tab_tipo_Combustivel!$A$2:$A$150,0),MATCH(A2150,tab_tipo_Combustivel!$B$1:$AQ$1,0),1,1)</f>
        <v>0</v>
      </c>
    </row>
    <row r="2151" spans="1:3">
      <c r="A2151" s="3">
        <f t="shared" si="62"/>
        <v>2027</v>
      </c>
      <c r="B2151" s="106">
        <f t="shared" si="63"/>
        <v>1316</v>
      </c>
      <c r="C2151" s="107">
        <f ca="1">OFFSET(tab_tipo_Combustivel!$A$1,MATCH(B2151,tab_tipo_Combustivel!$A$2:$A$150,0),MATCH(A2151,tab_tipo_Combustivel!$B$1:$AQ$1,0),1,1)</f>
        <v>0</v>
      </c>
    </row>
    <row r="2152" spans="1:3">
      <c r="A2152" s="3">
        <f t="shared" si="62"/>
        <v>2027</v>
      </c>
      <c r="B2152" s="106">
        <f t="shared" si="63"/>
        <v>1318</v>
      </c>
      <c r="C2152" s="107">
        <f ca="1">OFFSET(tab_tipo_Combustivel!$A$1,MATCH(B2152,tab_tipo_Combustivel!$A$2:$A$150,0),MATCH(A2152,tab_tipo_Combustivel!$B$1:$AQ$1,0),1,1)</f>
        <v>200</v>
      </c>
    </row>
    <row r="2153" spans="1:3">
      <c r="A2153" s="3">
        <f t="shared" si="62"/>
        <v>2027</v>
      </c>
      <c r="B2153" s="106">
        <f t="shared" si="63"/>
        <v>1321</v>
      </c>
      <c r="C2153" s="107">
        <f ca="1">OFFSET(tab_tipo_Combustivel!$A$1,MATCH(B2153,tab_tipo_Combustivel!$A$2:$A$150,0),MATCH(A2153,tab_tipo_Combustivel!$B$1:$AQ$1,0),1,1)</f>
        <v>85</v>
      </c>
    </row>
    <row r="2154" spans="1:3">
      <c r="A2154" s="3">
        <f t="shared" si="62"/>
        <v>2027</v>
      </c>
      <c r="B2154" s="106">
        <f t="shared" si="63"/>
        <v>1322</v>
      </c>
      <c r="C2154" s="107">
        <f ca="1">OFFSET(tab_tipo_Combustivel!$A$1,MATCH(B2154,tab_tipo_Combustivel!$A$2:$A$150,0),MATCH(A2154,tab_tipo_Combustivel!$B$1:$AQ$1,0),1,1)</f>
        <v>140</v>
      </c>
    </row>
    <row r="2155" spans="1:3">
      <c r="A2155" s="3">
        <f t="shared" si="62"/>
        <v>2027</v>
      </c>
      <c r="B2155" s="106">
        <f t="shared" si="63"/>
        <v>1323</v>
      </c>
      <c r="C2155" s="107">
        <f ca="1">OFFSET(tab_tipo_Combustivel!$A$1,MATCH(B2155,tab_tipo_Combustivel!$A$2:$A$150,0),MATCH(A2155,tab_tipo_Combustivel!$B$1:$AQ$1,0),1,1)</f>
        <v>63.75</v>
      </c>
    </row>
    <row r="2156" spans="1:3">
      <c r="A2156" s="3">
        <f t="shared" si="62"/>
        <v>2027</v>
      </c>
      <c r="B2156" s="106">
        <f t="shared" si="63"/>
        <v>1325</v>
      </c>
      <c r="C2156" s="107">
        <f ca="1">OFFSET(tab_tipo_Combustivel!$A$1,MATCH(B2156,tab_tipo_Combustivel!$A$2:$A$150,0),MATCH(A2156,tab_tipo_Combustivel!$B$1:$AQ$1,0),1,1)</f>
        <v>0</v>
      </c>
    </row>
    <row r="2157" spans="1:3">
      <c r="A2157" s="3">
        <f t="shared" si="62"/>
        <v>2027</v>
      </c>
      <c r="B2157" s="106">
        <f t="shared" si="63"/>
        <v>1326</v>
      </c>
      <c r="C2157" s="107">
        <f ca="1">OFFSET(tab_tipo_Combustivel!$A$1,MATCH(B2157,tab_tipo_Combustivel!$A$2:$A$150,0),MATCH(A2157,tab_tipo_Combustivel!$B$1:$AQ$1,0),1,1)</f>
        <v>260</v>
      </c>
    </row>
    <row r="2158" spans="1:3">
      <c r="A2158" s="3">
        <f t="shared" si="62"/>
        <v>2027</v>
      </c>
      <c r="B2158" s="106">
        <f t="shared" si="63"/>
        <v>1501</v>
      </c>
      <c r="C2158" s="107">
        <f ca="1">OFFSET(tab_tipo_Combustivel!$A$1,MATCH(B2158,tab_tipo_Combustivel!$A$2:$A$150,0),MATCH(A2158,tab_tipo_Combustivel!$B$1:$AQ$1,0),1,1)</f>
        <v>260</v>
      </c>
    </row>
    <row r="2159" spans="1:3">
      <c r="A2159" s="3">
        <f t="shared" si="62"/>
        <v>2027</v>
      </c>
      <c r="B2159" s="106">
        <f t="shared" si="63"/>
        <v>1502</v>
      </c>
      <c r="C2159" s="107">
        <f ca="1">OFFSET(tab_tipo_Combustivel!$A$1,MATCH(B2159,tab_tipo_Combustivel!$A$2:$A$150,0),MATCH(A2159,tab_tipo_Combustivel!$B$1:$AQ$1,0),1,1)</f>
        <v>60</v>
      </c>
    </row>
    <row r="2160" spans="1:3">
      <c r="A2160" s="3">
        <f t="shared" si="62"/>
        <v>2027</v>
      </c>
      <c r="B2160" s="106">
        <f t="shared" si="63"/>
        <v>1503</v>
      </c>
      <c r="C2160" s="107">
        <f ca="1">OFFSET(tab_tipo_Combustivel!$A$1,MATCH(B2160,tab_tipo_Combustivel!$A$2:$A$150,0),MATCH(A2160,tab_tipo_Combustivel!$B$1:$AQ$1,0),1,1)</f>
        <v>96.82</v>
      </c>
    </row>
    <row r="2161" spans="1:3">
      <c r="A2161" s="3">
        <f t="shared" si="62"/>
        <v>2027</v>
      </c>
      <c r="B2161" s="106">
        <f t="shared" si="63"/>
        <v>1504</v>
      </c>
      <c r="C2161" s="107">
        <f ca="1">OFFSET(tab_tipo_Combustivel!$A$1,MATCH(B2161,tab_tipo_Combustivel!$A$2:$A$150,0),MATCH(A2161,tab_tipo_Combustivel!$B$1:$AQ$1,0),1,1)</f>
        <v>145.22999999999999</v>
      </c>
    </row>
    <row r="2162" spans="1:3">
      <c r="A2162" s="3">
        <f t="shared" si="62"/>
        <v>2028</v>
      </c>
      <c r="B2162" s="106">
        <f t="shared" si="63"/>
        <v>1</v>
      </c>
      <c r="C2162" s="107">
        <f ca="1">OFFSET(tab_tipo_Combustivel!$A$1,MATCH(B2162,tab_tipo_Combustivel!$A$2:$A$150,0),MATCH(A2162,tab_tipo_Combustivel!$B$1:$AQ$1,0),1,1)</f>
        <v>29.13</v>
      </c>
    </row>
    <row r="2163" spans="1:3">
      <c r="A2163" s="3">
        <f t="shared" si="62"/>
        <v>2028</v>
      </c>
      <c r="B2163" s="106">
        <f t="shared" si="63"/>
        <v>2</v>
      </c>
      <c r="C2163" s="107">
        <f ca="1">OFFSET(tab_tipo_Combustivel!$A$1,MATCH(B2163,tab_tipo_Combustivel!$A$2:$A$150,0),MATCH(A2163,tab_tipo_Combustivel!$B$1:$AQ$1,0),1,1)</f>
        <v>842.33</v>
      </c>
    </row>
    <row r="2164" spans="1:3">
      <c r="A2164" s="3">
        <f t="shared" si="62"/>
        <v>2028</v>
      </c>
      <c r="B2164" s="106">
        <f t="shared" si="63"/>
        <v>4</v>
      </c>
      <c r="C2164" s="107">
        <f ca="1">OFFSET(tab_tipo_Combustivel!$A$1,MATCH(B2164,tab_tipo_Combustivel!$A$2:$A$150,0),MATCH(A2164,tab_tipo_Combustivel!$B$1:$AQ$1,0),1,1)</f>
        <v>842.33</v>
      </c>
    </row>
    <row r="2165" spans="1:3">
      <c r="A2165" s="3">
        <f t="shared" si="62"/>
        <v>2028</v>
      </c>
      <c r="B2165" s="106">
        <f t="shared" si="63"/>
        <v>9</v>
      </c>
      <c r="C2165" s="107">
        <f ca="1">OFFSET(tab_tipo_Combustivel!$A$1,MATCH(B2165,tab_tipo_Combustivel!$A$2:$A$150,0),MATCH(A2165,tab_tipo_Combustivel!$B$1:$AQ$1,0),1,1)</f>
        <v>842.33</v>
      </c>
    </row>
    <row r="2166" spans="1:3">
      <c r="A2166" s="3">
        <f t="shared" si="62"/>
        <v>2028</v>
      </c>
      <c r="B2166" s="106">
        <f t="shared" si="63"/>
        <v>12</v>
      </c>
      <c r="C2166" s="107">
        <f ca="1">OFFSET(tab_tipo_Combustivel!$A$1,MATCH(B2166,tab_tipo_Combustivel!$A$2:$A$150,0),MATCH(A2166,tab_tipo_Combustivel!$B$1:$AQ$1,0),1,1)</f>
        <v>728.87</v>
      </c>
    </row>
    <row r="2167" spans="1:3">
      <c r="A2167" s="3">
        <f t="shared" si="62"/>
        <v>2028</v>
      </c>
      <c r="B2167" s="106">
        <f t="shared" si="63"/>
        <v>13</v>
      </c>
      <c r="C2167" s="107">
        <f ca="1">OFFSET(tab_tipo_Combustivel!$A$1,MATCH(B2167,tab_tipo_Combustivel!$A$2:$A$150,0),MATCH(A2167,tab_tipo_Combustivel!$B$1:$AQ$1,0),1,1)</f>
        <v>20.12</v>
      </c>
    </row>
    <row r="2168" spans="1:3">
      <c r="A2168" s="3">
        <f t="shared" si="62"/>
        <v>2028</v>
      </c>
      <c r="B2168" s="106">
        <f t="shared" si="63"/>
        <v>15</v>
      </c>
      <c r="C2168" s="107">
        <f ca="1">OFFSET(tab_tipo_Combustivel!$A$1,MATCH(B2168,tab_tipo_Combustivel!$A$2:$A$150,0),MATCH(A2168,tab_tipo_Combustivel!$B$1:$AQ$1,0),1,1)</f>
        <v>257.29000000000002</v>
      </c>
    </row>
    <row r="2169" spans="1:3">
      <c r="A2169" s="3">
        <f t="shared" si="62"/>
        <v>2028</v>
      </c>
      <c r="B2169" s="106">
        <f t="shared" si="63"/>
        <v>21</v>
      </c>
      <c r="C2169" s="107">
        <f ca="1">OFFSET(tab_tipo_Combustivel!$A$1,MATCH(B2169,tab_tipo_Combustivel!$A$2:$A$150,0),MATCH(A2169,tab_tipo_Combustivel!$B$1:$AQ$1,0),1,1)</f>
        <v>157.83000000000001</v>
      </c>
    </row>
    <row r="2170" spans="1:3">
      <c r="A2170" s="3">
        <f t="shared" si="62"/>
        <v>2028</v>
      </c>
      <c r="B2170" s="106">
        <f t="shared" si="63"/>
        <v>22</v>
      </c>
      <c r="C2170" s="107">
        <f ca="1">OFFSET(tab_tipo_Combustivel!$A$1,MATCH(B2170,tab_tipo_Combustivel!$A$2:$A$150,0),MATCH(A2170,tab_tipo_Combustivel!$B$1:$AQ$1,0),1,1)</f>
        <v>115.9</v>
      </c>
    </row>
    <row r="2171" spans="1:3">
      <c r="A2171" s="3">
        <f t="shared" si="62"/>
        <v>2028</v>
      </c>
      <c r="B2171" s="106">
        <f t="shared" si="63"/>
        <v>23</v>
      </c>
      <c r="C2171" s="107">
        <f ca="1">OFFSET(tab_tipo_Combustivel!$A$1,MATCH(B2171,tab_tipo_Combustivel!$A$2:$A$150,0),MATCH(A2171,tab_tipo_Combustivel!$B$1:$AQ$1,0),1,1)</f>
        <v>115.9</v>
      </c>
    </row>
    <row r="2172" spans="1:3">
      <c r="A2172" s="3">
        <f t="shared" si="62"/>
        <v>2028</v>
      </c>
      <c r="B2172" s="106">
        <f t="shared" si="63"/>
        <v>24</v>
      </c>
      <c r="C2172" s="107">
        <f ca="1">OFFSET(tab_tipo_Combustivel!$A$1,MATCH(B2172,tab_tipo_Combustivel!$A$2:$A$150,0),MATCH(A2172,tab_tipo_Combustivel!$B$1:$AQ$1,0),1,1)</f>
        <v>155.85</v>
      </c>
    </row>
    <row r="2173" spans="1:3">
      <c r="A2173" s="3">
        <f t="shared" si="62"/>
        <v>2028</v>
      </c>
      <c r="B2173" s="106">
        <f t="shared" si="63"/>
        <v>25</v>
      </c>
      <c r="C2173" s="107">
        <f ca="1">OFFSET(tab_tipo_Combustivel!$A$1,MATCH(B2173,tab_tipo_Combustivel!$A$2:$A$150,0),MATCH(A2173,tab_tipo_Combustivel!$B$1:$AQ$1,0),1,1)</f>
        <v>186.33</v>
      </c>
    </row>
    <row r="2174" spans="1:3">
      <c r="A2174" s="3">
        <f t="shared" si="62"/>
        <v>2028</v>
      </c>
      <c r="B2174" s="106">
        <f t="shared" si="63"/>
        <v>26</v>
      </c>
      <c r="C2174" s="107">
        <f ca="1">OFFSET(tab_tipo_Combustivel!$A$1,MATCH(B2174,tab_tipo_Combustivel!$A$2:$A$150,0),MATCH(A2174,tab_tipo_Combustivel!$B$1:$AQ$1,0),1,1)</f>
        <v>258.42</v>
      </c>
    </row>
    <row r="2175" spans="1:3">
      <c r="A2175" s="3">
        <f t="shared" si="62"/>
        <v>2028</v>
      </c>
      <c r="B2175" s="106">
        <f t="shared" si="63"/>
        <v>27</v>
      </c>
      <c r="C2175" s="107">
        <f ca="1">OFFSET(tab_tipo_Combustivel!$A$1,MATCH(B2175,tab_tipo_Combustivel!$A$2:$A$150,0),MATCH(A2175,tab_tipo_Combustivel!$B$1:$AQ$1,0),1,1)</f>
        <v>195.49</v>
      </c>
    </row>
    <row r="2176" spans="1:3">
      <c r="A2176" s="3">
        <f t="shared" si="62"/>
        <v>2028</v>
      </c>
      <c r="B2176" s="106">
        <f t="shared" si="63"/>
        <v>28</v>
      </c>
      <c r="C2176" s="107">
        <f ca="1">OFFSET(tab_tipo_Combustivel!$A$1,MATCH(B2176,tab_tipo_Combustivel!$A$2:$A$150,0),MATCH(A2176,tab_tipo_Combustivel!$B$1:$AQ$1,0),1,1)</f>
        <v>459.92</v>
      </c>
    </row>
    <row r="2177" spans="1:3">
      <c r="A2177" s="3">
        <f t="shared" si="62"/>
        <v>2028</v>
      </c>
      <c r="B2177" s="106">
        <f t="shared" si="63"/>
        <v>32</v>
      </c>
      <c r="C2177" s="107">
        <f ca="1">OFFSET(tab_tipo_Combustivel!$A$1,MATCH(B2177,tab_tipo_Combustivel!$A$2:$A$150,0),MATCH(A2177,tab_tipo_Combustivel!$B$1:$AQ$1,0),1,1)</f>
        <v>248.31</v>
      </c>
    </row>
    <row r="2178" spans="1:3">
      <c r="A2178" s="3">
        <f t="shared" si="62"/>
        <v>2028</v>
      </c>
      <c r="B2178" s="106">
        <f t="shared" si="63"/>
        <v>34</v>
      </c>
      <c r="C2178" s="107">
        <f ca="1">OFFSET(tab_tipo_Combustivel!$A$1,MATCH(B2178,tab_tipo_Combustivel!$A$2:$A$150,0),MATCH(A2178,tab_tipo_Combustivel!$B$1:$AQ$1,0),1,1)</f>
        <v>423.38</v>
      </c>
    </row>
    <row r="2179" spans="1:3">
      <c r="A2179" s="3">
        <f t="shared" si="62"/>
        <v>2028</v>
      </c>
      <c r="B2179" s="106">
        <f t="shared" si="63"/>
        <v>35</v>
      </c>
      <c r="C2179" s="107">
        <f ca="1">OFFSET(tab_tipo_Combustivel!$A$1,MATCH(B2179,tab_tipo_Combustivel!$A$2:$A$150,0),MATCH(A2179,tab_tipo_Combustivel!$B$1:$AQ$1,0),1,1)</f>
        <v>692.45</v>
      </c>
    </row>
    <row r="2180" spans="1:3">
      <c r="A2180" s="3">
        <f t="shared" si="62"/>
        <v>2028</v>
      </c>
      <c r="B2180" s="106">
        <f t="shared" si="63"/>
        <v>36</v>
      </c>
      <c r="C2180" s="107">
        <f ca="1">OFFSET(tab_tipo_Combustivel!$A$1,MATCH(B2180,tab_tipo_Combustivel!$A$2:$A$150,0),MATCH(A2180,tab_tipo_Combustivel!$B$1:$AQ$1,0),1,1)</f>
        <v>157.83000000000001</v>
      </c>
    </row>
    <row r="2181" spans="1:3">
      <c r="A2181" s="3">
        <f t="shared" si="62"/>
        <v>2028</v>
      </c>
      <c r="B2181" s="106">
        <f t="shared" si="63"/>
        <v>42</v>
      </c>
      <c r="C2181" s="107">
        <f ca="1">OFFSET(tab_tipo_Combustivel!$A$1,MATCH(B2181,tab_tipo_Combustivel!$A$2:$A$150,0),MATCH(A2181,tab_tipo_Combustivel!$B$1:$AQ$1,0),1,1)</f>
        <v>199.22</v>
      </c>
    </row>
    <row r="2182" spans="1:3">
      <c r="A2182" s="3">
        <f t="shared" si="62"/>
        <v>2028</v>
      </c>
      <c r="B2182" s="106">
        <f t="shared" si="63"/>
        <v>43</v>
      </c>
      <c r="C2182" s="107">
        <f ca="1">OFFSET(tab_tipo_Combustivel!$A$1,MATCH(B2182,tab_tipo_Combustivel!$A$2:$A$150,0),MATCH(A2182,tab_tipo_Combustivel!$B$1:$AQ$1,0),1,1)</f>
        <v>431.62</v>
      </c>
    </row>
    <row r="2183" spans="1:3">
      <c r="A2183" s="3">
        <f t="shared" si="62"/>
        <v>2028</v>
      </c>
      <c r="B2183" s="106">
        <f t="shared" si="63"/>
        <v>44</v>
      </c>
      <c r="C2183" s="107">
        <f ca="1">OFFSET(tab_tipo_Combustivel!$A$1,MATCH(B2183,tab_tipo_Combustivel!$A$2:$A$150,0),MATCH(A2183,tab_tipo_Combustivel!$B$1:$AQ$1,0),1,1)</f>
        <v>25.58</v>
      </c>
    </row>
    <row r="2184" spans="1:3">
      <c r="A2184" s="3">
        <f t="shared" si="62"/>
        <v>2028</v>
      </c>
      <c r="B2184" s="106">
        <f t="shared" si="63"/>
        <v>46</v>
      </c>
      <c r="C2184" s="107">
        <f ca="1">OFFSET(tab_tipo_Combustivel!$A$1,MATCH(B2184,tab_tipo_Combustivel!$A$2:$A$150,0),MATCH(A2184,tab_tipo_Combustivel!$B$1:$AQ$1,0),1,1)</f>
        <v>228.91</v>
      </c>
    </row>
    <row r="2185" spans="1:3">
      <c r="A2185" s="3">
        <f t="shared" si="62"/>
        <v>2028</v>
      </c>
      <c r="B2185" s="106">
        <f t="shared" si="63"/>
        <v>47</v>
      </c>
      <c r="C2185" s="107">
        <f ca="1">OFFSET(tab_tipo_Combustivel!$A$1,MATCH(B2185,tab_tipo_Combustivel!$A$2:$A$150,0),MATCH(A2185,tab_tipo_Combustivel!$B$1:$AQ$1,0),1,1)</f>
        <v>235.6</v>
      </c>
    </row>
    <row r="2186" spans="1:3">
      <c r="A2186" s="3">
        <f t="shared" ref="A2186:A2249" si="64">A2051+1</f>
        <v>2028</v>
      </c>
      <c r="B2186" s="106">
        <f t="shared" ref="B2186:B2249" si="65">B2051</f>
        <v>48</v>
      </c>
      <c r="C2186" s="107">
        <f ca="1">OFFSET(tab_tipo_Combustivel!$A$1,MATCH(B2186,tab_tipo_Combustivel!$A$2:$A$150,0),MATCH(A2186,tab_tipo_Combustivel!$B$1:$AQ$1,0),1,1)</f>
        <v>1012.12</v>
      </c>
    </row>
    <row r="2187" spans="1:3">
      <c r="A2187" s="3">
        <f t="shared" si="64"/>
        <v>2028</v>
      </c>
      <c r="B2187" s="106">
        <f t="shared" si="65"/>
        <v>50</v>
      </c>
      <c r="C2187" s="107">
        <f ca="1">OFFSET(tab_tipo_Combustivel!$A$1,MATCH(B2187,tab_tipo_Combustivel!$A$2:$A$150,0),MATCH(A2187,tab_tipo_Combustivel!$B$1:$AQ$1,0),1,1)</f>
        <v>669.87</v>
      </c>
    </row>
    <row r="2188" spans="1:3">
      <c r="A2188" s="3">
        <f t="shared" si="64"/>
        <v>2028</v>
      </c>
      <c r="B2188" s="106">
        <f t="shared" si="65"/>
        <v>54</v>
      </c>
      <c r="C2188" s="107">
        <f ca="1">OFFSET(tab_tipo_Combustivel!$A$1,MATCH(B2188,tab_tipo_Combustivel!$A$2:$A$150,0),MATCH(A2188,tab_tipo_Combustivel!$B$1:$AQ$1,0),1,1)</f>
        <v>304.55</v>
      </c>
    </row>
    <row r="2189" spans="1:3">
      <c r="A2189" s="3">
        <f t="shared" si="64"/>
        <v>2028</v>
      </c>
      <c r="B2189" s="106">
        <f t="shared" si="65"/>
        <v>58</v>
      </c>
      <c r="C2189" s="107">
        <f ca="1">OFFSET(tab_tipo_Combustivel!$A$1,MATCH(B2189,tab_tipo_Combustivel!$A$2:$A$150,0),MATCH(A2189,tab_tipo_Combustivel!$B$1:$AQ$1,0),1,1)</f>
        <v>300.05</v>
      </c>
    </row>
    <row r="2190" spans="1:3">
      <c r="A2190" s="3">
        <f t="shared" si="64"/>
        <v>2028</v>
      </c>
      <c r="B2190" s="106">
        <f t="shared" si="65"/>
        <v>62</v>
      </c>
      <c r="C2190" s="107">
        <f ca="1">OFFSET(tab_tipo_Combustivel!$A$1,MATCH(B2190,tab_tipo_Combustivel!$A$2:$A$150,0),MATCH(A2190,tab_tipo_Combustivel!$B$1:$AQ$1,0),1,1)</f>
        <v>309.24</v>
      </c>
    </row>
    <row r="2191" spans="1:3">
      <c r="A2191" s="3">
        <f t="shared" si="64"/>
        <v>2028</v>
      </c>
      <c r="B2191" s="106">
        <f t="shared" si="65"/>
        <v>63</v>
      </c>
      <c r="C2191" s="107">
        <f ca="1">OFFSET(tab_tipo_Combustivel!$A$1,MATCH(B2191,tab_tipo_Combustivel!$A$2:$A$150,0),MATCH(A2191,tab_tipo_Combustivel!$B$1:$AQ$1,0),1,1)</f>
        <v>365.77</v>
      </c>
    </row>
    <row r="2192" spans="1:3">
      <c r="A2192" s="3">
        <f t="shared" si="64"/>
        <v>2028</v>
      </c>
      <c r="B2192" s="106">
        <f t="shared" si="65"/>
        <v>64</v>
      </c>
      <c r="C2192" s="107">
        <f ca="1">OFFSET(tab_tipo_Combustivel!$A$1,MATCH(B2192,tab_tipo_Combustivel!$A$2:$A$150,0),MATCH(A2192,tab_tipo_Combustivel!$B$1:$AQ$1,0),1,1)</f>
        <v>853.54</v>
      </c>
    </row>
    <row r="2193" spans="1:3">
      <c r="A2193" s="3">
        <f t="shared" si="64"/>
        <v>2028</v>
      </c>
      <c r="B2193" s="106">
        <f t="shared" si="65"/>
        <v>68</v>
      </c>
      <c r="C2193" s="107">
        <f ca="1">OFFSET(tab_tipo_Combustivel!$A$1,MATCH(B2193,tab_tipo_Combustivel!$A$2:$A$150,0),MATCH(A2193,tab_tipo_Combustivel!$B$1:$AQ$1,0),1,1)</f>
        <v>195.63</v>
      </c>
    </row>
    <row r="2194" spans="1:3">
      <c r="A2194" s="3">
        <f t="shared" si="64"/>
        <v>2028</v>
      </c>
      <c r="B2194" s="106">
        <f t="shared" si="65"/>
        <v>74</v>
      </c>
      <c r="C2194" s="107">
        <f ca="1">OFFSET(tab_tipo_Combustivel!$A$1,MATCH(B2194,tab_tipo_Combustivel!$A$2:$A$150,0),MATCH(A2194,tab_tipo_Combustivel!$B$1:$AQ$1,0),1,1)</f>
        <v>364.46</v>
      </c>
    </row>
    <row r="2195" spans="1:3">
      <c r="A2195" s="3">
        <f t="shared" si="64"/>
        <v>2028</v>
      </c>
      <c r="B2195" s="106">
        <f t="shared" si="65"/>
        <v>83</v>
      </c>
      <c r="C2195" s="107">
        <f ca="1">OFFSET(tab_tipo_Combustivel!$A$1,MATCH(B2195,tab_tipo_Combustivel!$A$2:$A$150,0),MATCH(A2195,tab_tipo_Combustivel!$B$1:$AQ$1,0),1,1)</f>
        <v>448.1</v>
      </c>
    </row>
    <row r="2196" spans="1:3">
      <c r="A2196" s="3">
        <f t="shared" si="64"/>
        <v>2028</v>
      </c>
      <c r="B2196" s="106">
        <f t="shared" si="65"/>
        <v>86</v>
      </c>
      <c r="C2196" s="107">
        <f ca="1">OFFSET(tab_tipo_Combustivel!$A$1,MATCH(B2196,tab_tipo_Combustivel!$A$2:$A$150,0),MATCH(A2196,tab_tipo_Combustivel!$B$1:$AQ$1,0),1,1)</f>
        <v>170.34</v>
      </c>
    </row>
    <row r="2197" spans="1:3">
      <c r="A2197" s="3">
        <f t="shared" si="64"/>
        <v>2028</v>
      </c>
      <c r="B2197" s="106">
        <f t="shared" si="65"/>
        <v>90</v>
      </c>
      <c r="C2197" s="107">
        <f ca="1">OFFSET(tab_tipo_Combustivel!$A$1,MATCH(B2197,tab_tipo_Combustivel!$A$2:$A$150,0),MATCH(A2197,tab_tipo_Combustivel!$B$1:$AQ$1,0),1,1)</f>
        <v>533.1</v>
      </c>
    </row>
    <row r="2198" spans="1:3">
      <c r="A2198" s="3">
        <f t="shared" si="64"/>
        <v>2028</v>
      </c>
      <c r="B2198" s="106">
        <f t="shared" si="65"/>
        <v>93</v>
      </c>
      <c r="C2198" s="107">
        <f ca="1">OFFSET(tab_tipo_Combustivel!$A$1,MATCH(B2198,tab_tipo_Combustivel!$A$2:$A$150,0),MATCH(A2198,tab_tipo_Combustivel!$B$1:$AQ$1,0),1,1)</f>
        <v>842.33</v>
      </c>
    </row>
    <row r="2199" spans="1:3">
      <c r="A2199" s="3">
        <f t="shared" si="64"/>
        <v>2028</v>
      </c>
      <c r="B2199" s="106">
        <f t="shared" si="65"/>
        <v>94</v>
      </c>
      <c r="C2199" s="107">
        <f ca="1">OFFSET(tab_tipo_Combustivel!$A$1,MATCH(B2199,tab_tipo_Combustivel!$A$2:$A$150,0),MATCH(A2199,tab_tipo_Combustivel!$B$1:$AQ$1,0),1,1)</f>
        <v>842.33</v>
      </c>
    </row>
    <row r="2200" spans="1:3">
      <c r="A2200" s="3">
        <f t="shared" si="64"/>
        <v>2028</v>
      </c>
      <c r="B2200" s="106">
        <f t="shared" si="65"/>
        <v>96</v>
      </c>
      <c r="C2200" s="107">
        <f ca="1">OFFSET(tab_tipo_Combustivel!$A$1,MATCH(B2200,tab_tipo_Combustivel!$A$2:$A$150,0),MATCH(A2200,tab_tipo_Combustivel!$B$1:$AQ$1,0),1,1)</f>
        <v>99.92</v>
      </c>
    </row>
    <row r="2201" spans="1:3">
      <c r="A2201" s="3">
        <f t="shared" si="64"/>
        <v>2028</v>
      </c>
      <c r="B2201" s="106">
        <f t="shared" si="65"/>
        <v>98</v>
      </c>
      <c r="C2201" s="107">
        <f ca="1">OFFSET(tab_tipo_Combustivel!$A$1,MATCH(B2201,tab_tipo_Combustivel!$A$2:$A$150,0),MATCH(A2201,tab_tipo_Combustivel!$B$1:$AQ$1,0),1,1)</f>
        <v>489.8</v>
      </c>
    </row>
    <row r="2202" spans="1:3">
      <c r="A2202" s="3">
        <f t="shared" si="64"/>
        <v>2028</v>
      </c>
      <c r="B2202" s="106">
        <f t="shared" si="65"/>
        <v>107</v>
      </c>
      <c r="C2202" s="107">
        <f ca="1">OFFSET(tab_tipo_Combustivel!$A$1,MATCH(B2202,tab_tipo_Combustivel!$A$2:$A$150,0),MATCH(A2202,tab_tipo_Combustivel!$B$1:$AQ$1,0),1,1)</f>
        <v>57.63</v>
      </c>
    </row>
    <row r="2203" spans="1:3">
      <c r="A2203" s="3">
        <f t="shared" si="64"/>
        <v>2028</v>
      </c>
      <c r="B2203" s="106">
        <f t="shared" si="65"/>
        <v>110</v>
      </c>
      <c r="C2203" s="107">
        <f ca="1">OFFSET(tab_tipo_Combustivel!$A$1,MATCH(B2203,tab_tipo_Combustivel!$A$2:$A$150,0),MATCH(A2203,tab_tipo_Combustivel!$B$1:$AQ$1,0),1,1)</f>
        <v>568.29</v>
      </c>
    </row>
    <row r="2204" spans="1:3">
      <c r="A2204" s="3">
        <f t="shared" si="64"/>
        <v>2028</v>
      </c>
      <c r="B2204" s="106">
        <f t="shared" si="65"/>
        <v>116</v>
      </c>
      <c r="C2204" s="107">
        <f ca="1">OFFSET(tab_tipo_Combustivel!$A$1,MATCH(B2204,tab_tipo_Combustivel!$A$2:$A$150,0),MATCH(A2204,tab_tipo_Combustivel!$B$1:$AQ$1,0),1,1)</f>
        <v>117.46</v>
      </c>
    </row>
    <row r="2205" spans="1:3">
      <c r="A2205" s="3">
        <f t="shared" si="64"/>
        <v>2028</v>
      </c>
      <c r="B2205" s="106">
        <f t="shared" si="65"/>
        <v>140</v>
      </c>
      <c r="C2205" s="107">
        <f ca="1">OFFSET(tab_tipo_Combustivel!$A$1,MATCH(B2205,tab_tipo_Combustivel!$A$2:$A$150,0),MATCH(A2205,tab_tipo_Combustivel!$B$1:$AQ$1,0),1,1)</f>
        <v>88.11</v>
      </c>
    </row>
    <row r="2206" spans="1:3">
      <c r="A2206" s="3">
        <f t="shared" si="64"/>
        <v>2028</v>
      </c>
      <c r="B2206" s="106">
        <f t="shared" si="65"/>
        <v>141</v>
      </c>
      <c r="C2206" s="107">
        <f ca="1">OFFSET(tab_tipo_Combustivel!$A$1,MATCH(B2206,tab_tipo_Combustivel!$A$2:$A$150,0),MATCH(A2206,tab_tipo_Combustivel!$B$1:$AQ$1,0),1,1)</f>
        <v>1280.52</v>
      </c>
    </row>
    <row r="2207" spans="1:3">
      <c r="A2207" s="3">
        <f t="shared" si="64"/>
        <v>2028</v>
      </c>
      <c r="B2207" s="106">
        <f t="shared" si="65"/>
        <v>147</v>
      </c>
      <c r="C2207" s="107">
        <f ca="1">OFFSET(tab_tipo_Combustivel!$A$1,MATCH(B2207,tab_tipo_Combustivel!$A$2:$A$150,0),MATCH(A2207,tab_tipo_Combustivel!$B$1:$AQ$1,0),1,1)</f>
        <v>134.18</v>
      </c>
    </row>
    <row r="2208" spans="1:3">
      <c r="A2208" s="3">
        <f t="shared" si="64"/>
        <v>2028</v>
      </c>
      <c r="B2208" s="106">
        <f t="shared" si="65"/>
        <v>156</v>
      </c>
      <c r="C2208" s="107">
        <f ca="1">OFFSET(tab_tipo_Combustivel!$A$1,MATCH(B2208,tab_tipo_Combustivel!$A$2:$A$150,0),MATCH(A2208,tab_tipo_Combustivel!$B$1:$AQ$1,0),1,1)</f>
        <v>77.12</v>
      </c>
    </row>
    <row r="2209" spans="1:3">
      <c r="A2209" s="3">
        <f t="shared" si="64"/>
        <v>2028</v>
      </c>
      <c r="B2209" s="106">
        <f t="shared" si="65"/>
        <v>163</v>
      </c>
      <c r="C2209" s="107">
        <f ca="1">OFFSET(tab_tipo_Combustivel!$A$1,MATCH(B2209,tab_tipo_Combustivel!$A$2:$A$150,0),MATCH(A2209,tab_tipo_Combustivel!$B$1:$AQ$1,0),1,1)</f>
        <v>156.69999999999999</v>
      </c>
    </row>
    <row r="2210" spans="1:3">
      <c r="A2210" s="3">
        <f t="shared" si="64"/>
        <v>2028</v>
      </c>
      <c r="B2210" s="106">
        <f t="shared" si="65"/>
        <v>167</v>
      </c>
      <c r="C2210" s="107">
        <f ca="1">OFFSET(tab_tipo_Combustivel!$A$1,MATCH(B2210,tab_tipo_Combustivel!$A$2:$A$150,0),MATCH(A2210,tab_tipo_Combustivel!$B$1:$AQ$1,0),1,1)</f>
        <v>144.66999999999999</v>
      </c>
    </row>
    <row r="2211" spans="1:3">
      <c r="A2211" s="3">
        <f t="shared" si="64"/>
        <v>2028</v>
      </c>
      <c r="B2211" s="106">
        <f t="shared" si="65"/>
        <v>171</v>
      </c>
      <c r="C2211" s="107">
        <f ca="1">OFFSET(tab_tipo_Combustivel!$A$1,MATCH(B2211,tab_tipo_Combustivel!$A$2:$A$150,0),MATCH(A2211,tab_tipo_Combustivel!$B$1:$AQ$1,0),1,1)</f>
        <v>88</v>
      </c>
    </row>
    <row r="2212" spans="1:3">
      <c r="A2212" s="3">
        <f t="shared" si="64"/>
        <v>2028</v>
      </c>
      <c r="B2212" s="106">
        <f t="shared" si="65"/>
        <v>172</v>
      </c>
      <c r="C2212" s="107">
        <f ca="1">OFFSET(tab_tipo_Combustivel!$A$1,MATCH(B2212,tab_tipo_Combustivel!$A$2:$A$150,0),MATCH(A2212,tab_tipo_Combustivel!$B$1:$AQ$1,0),1,1)</f>
        <v>99.97</v>
      </c>
    </row>
    <row r="2213" spans="1:3">
      <c r="A2213" s="3">
        <f t="shared" si="64"/>
        <v>2028</v>
      </c>
      <c r="B2213" s="106">
        <f t="shared" si="65"/>
        <v>173</v>
      </c>
      <c r="C2213" s="107">
        <f ca="1">OFFSET(tab_tipo_Combustivel!$A$1,MATCH(B2213,tab_tipo_Combustivel!$A$2:$A$150,0),MATCH(A2213,tab_tipo_Combustivel!$B$1:$AQ$1,0),1,1)</f>
        <v>192.03</v>
      </c>
    </row>
    <row r="2214" spans="1:3">
      <c r="A2214" s="3">
        <f t="shared" si="64"/>
        <v>2028</v>
      </c>
      <c r="B2214" s="106">
        <f t="shared" si="65"/>
        <v>174</v>
      </c>
      <c r="C2214" s="107">
        <f ca="1">OFFSET(tab_tipo_Combustivel!$A$1,MATCH(B2214,tab_tipo_Combustivel!$A$2:$A$150,0),MATCH(A2214,tab_tipo_Combustivel!$B$1:$AQ$1,0),1,1)</f>
        <v>331.22</v>
      </c>
    </row>
    <row r="2215" spans="1:3">
      <c r="A2215" s="3">
        <f t="shared" si="64"/>
        <v>2028</v>
      </c>
      <c r="B2215" s="106">
        <f t="shared" si="65"/>
        <v>176</v>
      </c>
      <c r="C2215" s="107">
        <f ca="1">OFFSET(tab_tipo_Combustivel!$A$1,MATCH(B2215,tab_tipo_Combustivel!$A$2:$A$150,0),MATCH(A2215,tab_tipo_Combustivel!$B$1:$AQ$1,0),1,1)</f>
        <v>149.47999999999999</v>
      </c>
    </row>
    <row r="2216" spans="1:3">
      <c r="A2216" s="3">
        <f t="shared" si="64"/>
        <v>2028</v>
      </c>
      <c r="B2216" s="106">
        <f t="shared" si="65"/>
        <v>183</v>
      </c>
      <c r="C2216" s="107">
        <f ca="1">OFFSET(tab_tipo_Combustivel!$A$1,MATCH(B2216,tab_tipo_Combustivel!$A$2:$A$150,0),MATCH(A2216,tab_tipo_Combustivel!$B$1:$AQ$1,0),1,1)</f>
        <v>171.61</v>
      </c>
    </row>
    <row r="2217" spans="1:3">
      <c r="A2217" s="3">
        <f t="shared" si="64"/>
        <v>2028</v>
      </c>
      <c r="B2217" s="106">
        <f t="shared" si="65"/>
        <v>194</v>
      </c>
      <c r="C2217" s="107">
        <f ca="1">OFFSET(tab_tipo_Combustivel!$A$1,MATCH(B2217,tab_tipo_Combustivel!$A$2:$A$150,0),MATCH(A2217,tab_tipo_Combustivel!$B$1:$AQ$1,0),1,1)</f>
        <v>1098.58</v>
      </c>
    </row>
    <row r="2218" spans="1:3">
      <c r="A2218" s="3">
        <f t="shared" si="64"/>
        <v>2028</v>
      </c>
      <c r="B2218" s="106">
        <f t="shared" si="65"/>
        <v>203</v>
      </c>
      <c r="C2218" s="107">
        <f ca="1">OFFSET(tab_tipo_Combustivel!$A$1,MATCH(B2218,tab_tipo_Combustivel!$A$2:$A$150,0),MATCH(A2218,tab_tipo_Combustivel!$B$1:$AQ$1,0),1,1)</f>
        <v>0</v>
      </c>
    </row>
    <row r="2219" spans="1:3">
      <c r="A2219" s="3">
        <f t="shared" si="64"/>
        <v>2028</v>
      </c>
      <c r="B2219" s="106">
        <f t="shared" si="65"/>
        <v>204</v>
      </c>
      <c r="C2219" s="107">
        <f ca="1">OFFSET(tab_tipo_Combustivel!$A$1,MATCH(B2219,tab_tipo_Combustivel!$A$2:$A$150,0),MATCH(A2219,tab_tipo_Combustivel!$B$1:$AQ$1,0),1,1)</f>
        <v>0</v>
      </c>
    </row>
    <row r="2220" spans="1:3">
      <c r="A2220" s="3">
        <f t="shared" si="64"/>
        <v>2028</v>
      </c>
      <c r="B2220" s="106">
        <f t="shared" si="65"/>
        <v>205</v>
      </c>
      <c r="C2220" s="107">
        <f ca="1">OFFSET(tab_tipo_Combustivel!$A$1,MATCH(B2220,tab_tipo_Combustivel!$A$2:$A$150,0),MATCH(A2220,tab_tipo_Combustivel!$B$1:$AQ$1,0),1,1)</f>
        <v>0</v>
      </c>
    </row>
    <row r="2221" spans="1:3">
      <c r="A2221" s="3">
        <f t="shared" si="64"/>
        <v>2028</v>
      </c>
      <c r="B2221" s="106">
        <f t="shared" si="65"/>
        <v>207</v>
      </c>
      <c r="C2221" s="107">
        <f ca="1">OFFSET(tab_tipo_Combustivel!$A$1,MATCH(B2221,tab_tipo_Combustivel!$A$2:$A$150,0),MATCH(A2221,tab_tipo_Combustivel!$B$1:$AQ$1,0),1,1)</f>
        <v>0</v>
      </c>
    </row>
    <row r="2222" spans="1:3">
      <c r="A2222" s="3">
        <f t="shared" si="64"/>
        <v>2028</v>
      </c>
      <c r="B2222" s="106">
        <f t="shared" si="65"/>
        <v>208</v>
      </c>
      <c r="C2222" s="107">
        <f ca="1">OFFSET(tab_tipo_Combustivel!$A$1,MATCH(B2222,tab_tipo_Combustivel!$A$2:$A$150,0),MATCH(A2222,tab_tipo_Combustivel!$B$1:$AQ$1,0),1,1)</f>
        <v>783.64</v>
      </c>
    </row>
    <row r="2223" spans="1:3">
      <c r="A2223" s="3">
        <f t="shared" si="64"/>
        <v>2028</v>
      </c>
      <c r="B2223" s="106">
        <f t="shared" si="65"/>
        <v>209</v>
      </c>
      <c r="C2223" s="107">
        <f ca="1">OFFSET(tab_tipo_Combustivel!$A$1,MATCH(B2223,tab_tipo_Combustivel!$A$2:$A$150,0),MATCH(A2223,tab_tipo_Combustivel!$B$1:$AQ$1,0),1,1)</f>
        <v>0</v>
      </c>
    </row>
    <row r="2224" spans="1:3">
      <c r="A2224" s="3">
        <f t="shared" si="64"/>
        <v>2028</v>
      </c>
      <c r="B2224" s="106">
        <f t="shared" si="65"/>
        <v>211</v>
      </c>
      <c r="C2224" s="107">
        <f ca="1">OFFSET(tab_tipo_Combustivel!$A$1,MATCH(B2224,tab_tipo_Combustivel!$A$2:$A$150,0),MATCH(A2224,tab_tipo_Combustivel!$B$1:$AQ$1,0),1,1)</f>
        <v>150.79</v>
      </c>
    </row>
    <row r="2225" spans="1:3">
      <c r="A2225" s="3">
        <f t="shared" si="64"/>
        <v>2028</v>
      </c>
      <c r="B2225" s="106">
        <f t="shared" si="65"/>
        <v>212</v>
      </c>
      <c r="C2225" s="107">
        <f ca="1">OFFSET(tab_tipo_Combustivel!$A$1,MATCH(B2225,tab_tipo_Combustivel!$A$2:$A$150,0),MATCH(A2225,tab_tipo_Combustivel!$B$1:$AQ$1,0),1,1)</f>
        <v>84.58</v>
      </c>
    </row>
    <row r="2226" spans="1:3">
      <c r="A2226" s="3">
        <f t="shared" si="64"/>
        <v>2028</v>
      </c>
      <c r="B2226" s="106">
        <f t="shared" si="65"/>
        <v>224</v>
      </c>
      <c r="C2226" s="107">
        <f ca="1">OFFSET(tab_tipo_Combustivel!$A$1,MATCH(B2226,tab_tipo_Combustivel!$A$2:$A$150,0),MATCH(A2226,tab_tipo_Combustivel!$B$1:$AQ$1,0),1,1)</f>
        <v>31.08</v>
      </c>
    </row>
    <row r="2227" spans="1:3">
      <c r="A2227" s="3">
        <f t="shared" si="64"/>
        <v>2028</v>
      </c>
      <c r="B2227" s="106">
        <f t="shared" si="65"/>
        <v>225</v>
      </c>
      <c r="C2227" s="107">
        <f ca="1">OFFSET(tab_tipo_Combustivel!$A$1,MATCH(B2227,tab_tipo_Combustivel!$A$2:$A$150,0),MATCH(A2227,tab_tipo_Combustivel!$B$1:$AQ$1,0),1,1)</f>
        <v>1329.7</v>
      </c>
    </row>
    <row r="2228" spans="1:3">
      <c r="A2228" s="3">
        <f t="shared" si="64"/>
        <v>2028</v>
      </c>
      <c r="B2228" s="106">
        <f t="shared" si="65"/>
        <v>226</v>
      </c>
      <c r="C2228" s="107">
        <f ca="1">OFFSET(tab_tipo_Combustivel!$A$1,MATCH(B2228,tab_tipo_Combustivel!$A$2:$A$150,0),MATCH(A2228,tab_tipo_Combustivel!$B$1:$AQ$1,0),1,1)</f>
        <v>1061.1300000000001</v>
      </c>
    </row>
    <row r="2229" spans="1:3">
      <c r="A2229" s="3">
        <f t="shared" si="64"/>
        <v>2028</v>
      </c>
      <c r="B2229" s="106">
        <f t="shared" si="65"/>
        <v>227</v>
      </c>
      <c r="C2229" s="107">
        <f ca="1">OFFSET(tab_tipo_Combustivel!$A$1,MATCH(B2229,tab_tipo_Combustivel!$A$2:$A$150,0),MATCH(A2229,tab_tipo_Combustivel!$B$1:$AQ$1,0),1,1)</f>
        <v>447.52</v>
      </c>
    </row>
    <row r="2230" spans="1:3">
      <c r="A2230" s="3">
        <f t="shared" si="64"/>
        <v>2028</v>
      </c>
      <c r="B2230" s="106">
        <f t="shared" si="65"/>
        <v>228</v>
      </c>
      <c r="C2230" s="107">
        <f ca="1">OFFSET(tab_tipo_Combustivel!$A$1,MATCH(B2230,tab_tipo_Combustivel!$A$2:$A$150,0),MATCH(A2230,tab_tipo_Combustivel!$B$1:$AQ$1,0),1,1)</f>
        <v>1061.1400000000001</v>
      </c>
    </row>
    <row r="2231" spans="1:3">
      <c r="A2231" s="3">
        <f t="shared" si="64"/>
        <v>2028</v>
      </c>
      <c r="B2231" s="106">
        <f t="shared" si="65"/>
        <v>229</v>
      </c>
      <c r="C2231" s="107">
        <f ca="1">OFFSET(tab_tipo_Combustivel!$A$1,MATCH(B2231,tab_tipo_Combustivel!$A$2:$A$150,0),MATCH(A2231,tab_tipo_Combustivel!$B$1:$AQ$1,0),1,1)</f>
        <v>942.05</v>
      </c>
    </row>
    <row r="2232" spans="1:3">
      <c r="A2232" s="3">
        <f t="shared" si="64"/>
        <v>2028</v>
      </c>
      <c r="B2232" s="106">
        <f t="shared" si="65"/>
        <v>230</v>
      </c>
      <c r="C2232" s="107">
        <f ca="1">OFFSET(tab_tipo_Combustivel!$A$1,MATCH(B2232,tab_tipo_Combustivel!$A$2:$A$150,0),MATCH(A2232,tab_tipo_Combustivel!$B$1:$AQ$1,0),1,1)</f>
        <v>495.06</v>
      </c>
    </row>
    <row r="2233" spans="1:3">
      <c r="A2233" s="3">
        <f t="shared" si="64"/>
        <v>2028</v>
      </c>
      <c r="B2233" s="106">
        <f t="shared" si="65"/>
        <v>231</v>
      </c>
      <c r="C2233" s="107">
        <f ca="1">OFFSET(tab_tipo_Combustivel!$A$1,MATCH(B2233,tab_tipo_Combustivel!$A$2:$A$150,0),MATCH(A2233,tab_tipo_Combustivel!$B$1:$AQ$1,0),1,1)</f>
        <v>489.29</v>
      </c>
    </row>
    <row r="2234" spans="1:3">
      <c r="A2234" s="3">
        <f t="shared" si="64"/>
        <v>2028</v>
      </c>
      <c r="B2234" s="106">
        <f t="shared" si="65"/>
        <v>232</v>
      </c>
      <c r="C2234" s="107">
        <f ca="1">OFFSET(tab_tipo_Combustivel!$A$1,MATCH(B2234,tab_tipo_Combustivel!$A$2:$A$150,0),MATCH(A2234,tab_tipo_Combustivel!$B$1:$AQ$1,0),1,1)</f>
        <v>842.33</v>
      </c>
    </row>
    <row r="2235" spans="1:3">
      <c r="A2235" s="3">
        <f t="shared" si="64"/>
        <v>2028</v>
      </c>
      <c r="B2235" s="106">
        <f t="shared" si="65"/>
        <v>233</v>
      </c>
      <c r="C2235" s="107">
        <f ca="1">OFFSET(tab_tipo_Combustivel!$A$1,MATCH(B2235,tab_tipo_Combustivel!$A$2:$A$150,0),MATCH(A2235,tab_tipo_Combustivel!$B$1:$AQ$1,0),1,1)</f>
        <v>984.29</v>
      </c>
    </row>
    <row r="2236" spans="1:3">
      <c r="A2236" s="3">
        <f t="shared" si="64"/>
        <v>2028</v>
      </c>
      <c r="B2236" s="106">
        <f t="shared" si="65"/>
        <v>234</v>
      </c>
      <c r="C2236" s="107">
        <f ca="1">OFFSET(tab_tipo_Combustivel!$A$1,MATCH(B2236,tab_tipo_Combustivel!$A$2:$A$150,0),MATCH(A2236,tab_tipo_Combustivel!$B$1:$AQ$1,0),1,1)</f>
        <v>290.26</v>
      </c>
    </row>
    <row r="2237" spans="1:3">
      <c r="A2237" s="3">
        <f t="shared" si="64"/>
        <v>2028</v>
      </c>
      <c r="B2237" s="106">
        <f t="shared" si="65"/>
        <v>235</v>
      </c>
      <c r="C2237" s="107">
        <f ca="1">OFFSET(tab_tipo_Combustivel!$A$1,MATCH(B2237,tab_tipo_Combustivel!$A$2:$A$150,0),MATCH(A2237,tab_tipo_Combustivel!$B$1:$AQ$1,0),1,1)</f>
        <v>1350.87</v>
      </c>
    </row>
    <row r="2238" spans="1:3">
      <c r="A2238" s="3">
        <f t="shared" si="64"/>
        <v>2028</v>
      </c>
      <c r="B2238" s="106">
        <f t="shared" si="65"/>
        <v>236</v>
      </c>
      <c r="C2238" s="107">
        <f ca="1">OFFSET(tab_tipo_Combustivel!$A$1,MATCH(B2238,tab_tipo_Combustivel!$A$2:$A$150,0),MATCH(A2238,tab_tipo_Combustivel!$B$1:$AQ$1,0),1,1)</f>
        <v>842.33</v>
      </c>
    </row>
    <row r="2239" spans="1:3">
      <c r="A2239" s="3">
        <f t="shared" si="64"/>
        <v>2028</v>
      </c>
      <c r="B2239" s="106">
        <f t="shared" si="65"/>
        <v>237</v>
      </c>
      <c r="C2239" s="107">
        <f ca="1">OFFSET(tab_tipo_Combustivel!$A$1,MATCH(B2239,tab_tipo_Combustivel!$A$2:$A$150,0),MATCH(A2239,tab_tipo_Combustivel!$B$1:$AQ$1,0),1,1)</f>
        <v>760.85</v>
      </c>
    </row>
    <row r="2240" spans="1:3">
      <c r="A2240" s="3">
        <f t="shared" si="64"/>
        <v>2028</v>
      </c>
      <c r="B2240" s="106">
        <f t="shared" si="65"/>
        <v>238</v>
      </c>
      <c r="C2240" s="107">
        <f ca="1">OFFSET(tab_tipo_Combustivel!$A$1,MATCH(B2240,tab_tipo_Combustivel!$A$2:$A$150,0),MATCH(A2240,tab_tipo_Combustivel!$B$1:$AQ$1,0),1,1)</f>
        <v>963.75</v>
      </c>
    </row>
    <row r="2241" spans="1:3">
      <c r="A2241" s="3">
        <f t="shared" si="64"/>
        <v>2028</v>
      </c>
      <c r="B2241" s="106">
        <f t="shared" si="65"/>
        <v>239</v>
      </c>
      <c r="C2241" s="107">
        <f ca="1">OFFSET(tab_tipo_Combustivel!$A$1,MATCH(B2241,tab_tipo_Combustivel!$A$2:$A$150,0),MATCH(A2241,tab_tipo_Combustivel!$B$1:$AQ$1,0),1,1)</f>
        <v>963.75</v>
      </c>
    </row>
    <row r="2242" spans="1:3">
      <c r="A2242" s="3">
        <f t="shared" si="64"/>
        <v>2028</v>
      </c>
      <c r="B2242" s="106">
        <f t="shared" si="65"/>
        <v>240</v>
      </c>
      <c r="C2242" s="107">
        <f ca="1">OFFSET(tab_tipo_Combustivel!$A$1,MATCH(B2242,tab_tipo_Combustivel!$A$2:$A$150,0),MATCH(A2242,tab_tipo_Combustivel!$B$1:$AQ$1,0),1,1)</f>
        <v>1115.96</v>
      </c>
    </row>
    <row r="2243" spans="1:3">
      <c r="A2243" s="3">
        <f t="shared" si="64"/>
        <v>2028</v>
      </c>
      <c r="B2243" s="106">
        <f t="shared" si="65"/>
        <v>241</v>
      </c>
      <c r="C2243" s="107">
        <f ca="1">OFFSET(tab_tipo_Combustivel!$A$1,MATCH(B2243,tab_tipo_Combustivel!$A$2:$A$150,0),MATCH(A2243,tab_tipo_Combustivel!$B$1:$AQ$1,0),1,1)</f>
        <v>495.75</v>
      </c>
    </row>
    <row r="2244" spans="1:3">
      <c r="A2244" s="3">
        <f t="shared" si="64"/>
        <v>2028</v>
      </c>
      <c r="B2244" s="106">
        <f t="shared" si="65"/>
        <v>242</v>
      </c>
      <c r="C2244" s="107">
        <f ca="1">OFFSET(tab_tipo_Combustivel!$A$1,MATCH(B2244,tab_tipo_Combustivel!$A$2:$A$150,0),MATCH(A2244,tab_tipo_Combustivel!$B$1:$AQ$1,0),1,1)</f>
        <v>1176.45</v>
      </c>
    </row>
    <row r="2245" spans="1:3">
      <c r="A2245" s="3">
        <f t="shared" si="64"/>
        <v>2028</v>
      </c>
      <c r="B2245" s="106">
        <f t="shared" si="65"/>
        <v>243</v>
      </c>
      <c r="C2245" s="107">
        <f ca="1">OFFSET(tab_tipo_Combustivel!$A$1,MATCH(B2245,tab_tipo_Combustivel!$A$2:$A$150,0),MATCH(A2245,tab_tipo_Combustivel!$B$1:$AQ$1,0),1,1)</f>
        <v>495.08</v>
      </c>
    </row>
    <row r="2246" spans="1:3">
      <c r="A2246" s="3">
        <f t="shared" si="64"/>
        <v>2028</v>
      </c>
      <c r="B2246" s="106">
        <f t="shared" si="65"/>
        <v>244</v>
      </c>
      <c r="C2246" s="107">
        <f ca="1">OFFSET(tab_tipo_Combustivel!$A$1,MATCH(B2246,tab_tipo_Combustivel!$A$2:$A$150,0),MATCH(A2246,tab_tipo_Combustivel!$B$1:$AQ$1,0),1,1)</f>
        <v>495.06</v>
      </c>
    </row>
    <row r="2247" spans="1:3">
      <c r="A2247" s="3">
        <f t="shared" si="64"/>
        <v>2028</v>
      </c>
      <c r="B2247" s="106">
        <f t="shared" si="65"/>
        <v>245</v>
      </c>
      <c r="C2247" s="107">
        <f ca="1">OFFSET(tab_tipo_Combustivel!$A$1,MATCH(B2247,tab_tipo_Combustivel!$A$2:$A$150,0),MATCH(A2247,tab_tipo_Combustivel!$B$1:$AQ$1,0),1,1)</f>
        <v>562.65</v>
      </c>
    </row>
    <row r="2248" spans="1:3">
      <c r="A2248" s="3">
        <f t="shared" si="64"/>
        <v>2028</v>
      </c>
      <c r="B2248" s="106">
        <f t="shared" si="65"/>
        <v>246</v>
      </c>
      <c r="C2248" s="107">
        <f ca="1">OFFSET(tab_tipo_Combustivel!$A$1,MATCH(B2248,tab_tipo_Combustivel!$A$2:$A$150,0),MATCH(A2248,tab_tipo_Combustivel!$B$1:$AQ$1,0),1,1)</f>
        <v>1124.53</v>
      </c>
    </row>
    <row r="2249" spans="1:3">
      <c r="A2249" s="3">
        <f t="shared" si="64"/>
        <v>2028</v>
      </c>
      <c r="B2249" s="106">
        <f t="shared" si="65"/>
        <v>247</v>
      </c>
      <c r="C2249" s="107">
        <f ca="1">OFFSET(tab_tipo_Combustivel!$A$1,MATCH(B2249,tab_tipo_Combustivel!$A$2:$A$150,0),MATCH(A2249,tab_tipo_Combustivel!$B$1:$AQ$1,0),1,1)</f>
        <v>609.51</v>
      </c>
    </row>
    <row r="2250" spans="1:3">
      <c r="A2250" s="3">
        <f t="shared" ref="A2250:A2313" si="66">A2115+1</f>
        <v>2028</v>
      </c>
      <c r="B2250" s="106">
        <f t="shared" ref="B2250:B2313" si="67">B2115</f>
        <v>248</v>
      </c>
      <c r="C2250" s="107">
        <f ca="1">OFFSET(tab_tipo_Combustivel!$A$1,MATCH(B2250,tab_tipo_Combustivel!$A$2:$A$150,0),MATCH(A2250,tab_tipo_Combustivel!$B$1:$AQ$1,0),1,1)</f>
        <v>495.06</v>
      </c>
    </row>
    <row r="2251" spans="1:3">
      <c r="A2251" s="3">
        <f t="shared" si="66"/>
        <v>2028</v>
      </c>
      <c r="B2251" s="106">
        <f t="shared" si="67"/>
        <v>249</v>
      </c>
      <c r="C2251" s="107">
        <f ca="1">OFFSET(tab_tipo_Combustivel!$A$1,MATCH(B2251,tab_tipo_Combustivel!$A$2:$A$150,0),MATCH(A2251,tab_tipo_Combustivel!$B$1:$AQ$1,0),1,1)</f>
        <v>842.33</v>
      </c>
    </row>
    <row r="2252" spans="1:3">
      <c r="A2252" s="3">
        <f t="shared" si="66"/>
        <v>2028</v>
      </c>
      <c r="B2252" s="106">
        <f t="shared" si="67"/>
        <v>250</v>
      </c>
      <c r="C2252" s="107">
        <f ca="1">OFFSET(tab_tipo_Combustivel!$A$1,MATCH(B2252,tab_tipo_Combustivel!$A$2:$A$150,0),MATCH(A2252,tab_tipo_Combustivel!$B$1:$AQ$1,0),1,1)</f>
        <v>1176.45</v>
      </c>
    </row>
    <row r="2253" spans="1:3">
      <c r="A2253" s="3">
        <f t="shared" si="66"/>
        <v>2028</v>
      </c>
      <c r="B2253" s="106">
        <f t="shared" si="67"/>
        <v>251</v>
      </c>
      <c r="C2253" s="107">
        <f ca="1">OFFSET(tab_tipo_Combustivel!$A$1,MATCH(B2253,tab_tipo_Combustivel!$A$2:$A$150,0),MATCH(A2253,tab_tipo_Combustivel!$B$1:$AQ$1,0),1,1)</f>
        <v>842.33</v>
      </c>
    </row>
    <row r="2254" spans="1:3">
      <c r="A2254" s="3">
        <f t="shared" si="66"/>
        <v>2028</v>
      </c>
      <c r="B2254" s="106">
        <f t="shared" si="67"/>
        <v>252</v>
      </c>
      <c r="C2254" s="107">
        <f ca="1">OFFSET(tab_tipo_Combustivel!$A$1,MATCH(B2254,tab_tipo_Combustivel!$A$2:$A$150,0),MATCH(A2254,tab_tipo_Combustivel!$B$1:$AQ$1,0),1,1)</f>
        <v>842.33</v>
      </c>
    </row>
    <row r="2255" spans="1:3">
      <c r="A2255" s="3">
        <f t="shared" si="66"/>
        <v>2028</v>
      </c>
      <c r="B2255" s="106">
        <f t="shared" si="67"/>
        <v>253</v>
      </c>
      <c r="C2255" s="107">
        <f ca="1">OFFSET(tab_tipo_Combustivel!$A$1,MATCH(B2255,tab_tipo_Combustivel!$A$2:$A$150,0),MATCH(A2255,tab_tipo_Combustivel!$B$1:$AQ$1,0),1,1)</f>
        <v>279.45</v>
      </c>
    </row>
    <row r="2256" spans="1:3">
      <c r="A2256" s="3">
        <f t="shared" si="66"/>
        <v>2028</v>
      </c>
      <c r="B2256" s="106">
        <f t="shared" si="67"/>
        <v>254</v>
      </c>
      <c r="C2256" s="107">
        <f ca="1">OFFSET(tab_tipo_Combustivel!$A$1,MATCH(B2256,tab_tipo_Combustivel!$A$2:$A$150,0),MATCH(A2256,tab_tipo_Combustivel!$B$1:$AQ$1,0),1,1)</f>
        <v>1153.98</v>
      </c>
    </row>
    <row r="2257" spans="1:3">
      <c r="A2257" s="3">
        <f t="shared" si="66"/>
        <v>2028</v>
      </c>
      <c r="B2257" s="106">
        <f t="shared" si="67"/>
        <v>255</v>
      </c>
      <c r="C2257" s="107">
        <f ca="1">OFFSET(tab_tipo_Combustivel!$A$1,MATCH(B2257,tab_tipo_Combustivel!$A$2:$A$150,0),MATCH(A2257,tab_tipo_Combustivel!$B$1:$AQ$1,0),1,1)</f>
        <v>828.98</v>
      </c>
    </row>
    <row r="2258" spans="1:3">
      <c r="A2258" s="3">
        <f t="shared" si="66"/>
        <v>2028</v>
      </c>
      <c r="B2258" s="106">
        <f t="shared" si="67"/>
        <v>256</v>
      </c>
      <c r="C2258" s="107">
        <f ca="1">OFFSET(tab_tipo_Combustivel!$A$1,MATCH(B2258,tab_tipo_Combustivel!$A$2:$A$150,0),MATCH(A2258,tab_tipo_Combustivel!$B$1:$AQ$1,0),1,1)</f>
        <v>562.65</v>
      </c>
    </row>
    <row r="2259" spans="1:3">
      <c r="A2259" s="3">
        <f t="shared" si="66"/>
        <v>2028</v>
      </c>
      <c r="B2259" s="106">
        <f t="shared" si="67"/>
        <v>257</v>
      </c>
      <c r="C2259" s="107">
        <f ca="1">OFFSET(tab_tipo_Combustivel!$A$1,MATCH(B2259,tab_tipo_Combustivel!$A$2:$A$150,0),MATCH(A2259,tab_tipo_Combustivel!$B$1:$AQ$1,0),1,1)</f>
        <v>907.52</v>
      </c>
    </row>
    <row r="2260" spans="1:3">
      <c r="A2260" s="3">
        <f t="shared" si="66"/>
        <v>2028</v>
      </c>
      <c r="B2260" s="106">
        <f t="shared" si="67"/>
        <v>258</v>
      </c>
      <c r="C2260" s="107">
        <f ca="1">OFFSET(tab_tipo_Combustivel!$A$1,MATCH(B2260,tab_tipo_Combustivel!$A$2:$A$150,0),MATCH(A2260,tab_tipo_Combustivel!$B$1:$AQ$1,0),1,1)</f>
        <v>1016.04</v>
      </c>
    </row>
    <row r="2261" spans="1:3">
      <c r="A2261" s="3">
        <f t="shared" si="66"/>
        <v>2028</v>
      </c>
      <c r="B2261" s="106">
        <f t="shared" si="67"/>
        <v>259</v>
      </c>
      <c r="C2261" s="107">
        <f ca="1">OFFSET(tab_tipo_Combustivel!$A$1,MATCH(B2261,tab_tipo_Combustivel!$A$2:$A$150,0),MATCH(A2261,tab_tipo_Combustivel!$B$1:$AQ$1,0),1,1)</f>
        <v>977.53</v>
      </c>
    </row>
    <row r="2262" spans="1:3">
      <c r="A2262" s="3">
        <f t="shared" si="66"/>
        <v>2028</v>
      </c>
      <c r="B2262" s="106">
        <f t="shared" si="67"/>
        <v>260</v>
      </c>
      <c r="C2262" s="107">
        <f ca="1">OFFSET(tab_tipo_Combustivel!$A$1,MATCH(B2262,tab_tipo_Combustivel!$A$2:$A$150,0),MATCH(A2262,tab_tipo_Combustivel!$B$1:$AQ$1,0),1,1)</f>
        <v>827.17</v>
      </c>
    </row>
    <row r="2263" spans="1:3">
      <c r="A2263" s="3">
        <f t="shared" si="66"/>
        <v>2028</v>
      </c>
      <c r="B2263" s="106">
        <f t="shared" si="67"/>
        <v>261</v>
      </c>
      <c r="C2263" s="107">
        <f ca="1">OFFSET(tab_tipo_Combustivel!$A$1,MATCH(B2263,tab_tipo_Combustivel!$A$2:$A$150,0),MATCH(A2263,tab_tipo_Combustivel!$B$1:$AQ$1,0),1,1)</f>
        <v>829.7</v>
      </c>
    </row>
    <row r="2264" spans="1:3">
      <c r="A2264" s="3">
        <f t="shared" si="66"/>
        <v>2028</v>
      </c>
      <c r="B2264" s="106">
        <f t="shared" si="67"/>
        <v>262</v>
      </c>
      <c r="C2264" s="107">
        <f ca="1">OFFSET(tab_tipo_Combustivel!$A$1,MATCH(B2264,tab_tipo_Combustivel!$A$2:$A$150,0),MATCH(A2264,tab_tipo_Combustivel!$B$1:$AQ$1,0),1,1)</f>
        <v>495.75</v>
      </c>
    </row>
    <row r="2265" spans="1:3">
      <c r="A2265" s="3">
        <f t="shared" si="66"/>
        <v>2028</v>
      </c>
      <c r="B2265" s="106">
        <f t="shared" si="67"/>
        <v>263</v>
      </c>
      <c r="C2265" s="107">
        <f ca="1">OFFSET(tab_tipo_Combustivel!$A$1,MATCH(B2265,tab_tipo_Combustivel!$A$2:$A$150,0),MATCH(A2265,tab_tipo_Combustivel!$B$1:$AQ$1,0),1,1)</f>
        <v>474.77</v>
      </c>
    </row>
    <row r="2266" spans="1:3">
      <c r="A2266" s="3">
        <f t="shared" si="66"/>
        <v>2028</v>
      </c>
      <c r="B2266" s="106">
        <f t="shared" si="67"/>
        <v>264</v>
      </c>
      <c r="C2266" s="107">
        <f ca="1">OFFSET(tab_tipo_Combustivel!$A$1,MATCH(B2266,tab_tipo_Combustivel!$A$2:$A$150,0),MATCH(A2266,tab_tipo_Combustivel!$B$1:$AQ$1,0),1,1)</f>
        <v>842.33</v>
      </c>
    </row>
    <row r="2267" spans="1:3">
      <c r="A2267" s="3">
        <f t="shared" si="66"/>
        <v>2028</v>
      </c>
      <c r="B2267" s="106">
        <f t="shared" si="67"/>
        <v>265</v>
      </c>
      <c r="C2267" s="107">
        <f ca="1">OFFSET(tab_tipo_Combustivel!$A$1,MATCH(B2267,tab_tipo_Combustivel!$A$2:$A$150,0),MATCH(A2267,tab_tipo_Combustivel!$B$1:$AQ$1,0),1,1)</f>
        <v>415.82</v>
      </c>
    </row>
    <row r="2268" spans="1:3">
      <c r="A2268" s="3">
        <f t="shared" si="66"/>
        <v>2028</v>
      </c>
      <c r="B2268" s="106">
        <f t="shared" si="67"/>
        <v>266</v>
      </c>
      <c r="C2268" s="107">
        <f ca="1">OFFSET(tab_tipo_Combustivel!$A$1,MATCH(B2268,tab_tipo_Combustivel!$A$2:$A$150,0),MATCH(A2268,tab_tipo_Combustivel!$B$1:$AQ$1,0),1,1)</f>
        <v>827.17</v>
      </c>
    </row>
    <row r="2269" spans="1:3">
      <c r="A2269" s="3">
        <f t="shared" si="66"/>
        <v>2028</v>
      </c>
      <c r="B2269" s="106">
        <f t="shared" si="67"/>
        <v>301</v>
      </c>
      <c r="C2269" s="107">
        <f ca="1">OFFSET(tab_tipo_Combustivel!$A$1,MATCH(B2269,tab_tipo_Combustivel!$A$2:$A$150,0),MATCH(A2269,tab_tipo_Combustivel!$B$1:$AQ$1,0),1,1)</f>
        <v>99.08</v>
      </c>
    </row>
    <row r="2270" spans="1:3">
      <c r="A2270" s="3">
        <f t="shared" si="66"/>
        <v>2028</v>
      </c>
      <c r="B2270" s="106">
        <f t="shared" si="67"/>
        <v>302</v>
      </c>
      <c r="C2270" s="107">
        <f ca="1">OFFSET(tab_tipo_Combustivel!$A$1,MATCH(B2270,tab_tipo_Combustivel!$A$2:$A$150,0),MATCH(A2270,tab_tipo_Combustivel!$B$1:$AQ$1,0),1,1)</f>
        <v>103.73</v>
      </c>
    </row>
    <row r="2271" spans="1:3">
      <c r="A2271" s="3">
        <f t="shared" si="66"/>
        <v>2028</v>
      </c>
      <c r="B2271" s="106">
        <f t="shared" si="67"/>
        <v>303</v>
      </c>
      <c r="C2271" s="107">
        <f ca="1">OFFSET(tab_tipo_Combustivel!$A$1,MATCH(B2271,tab_tipo_Combustivel!$A$2:$A$150,0),MATCH(A2271,tab_tipo_Combustivel!$B$1:$AQ$1,0),1,1)</f>
        <v>103.73</v>
      </c>
    </row>
    <row r="2272" spans="1:3">
      <c r="A2272" s="3">
        <f t="shared" si="66"/>
        <v>2028</v>
      </c>
      <c r="B2272" s="106">
        <f t="shared" si="67"/>
        <v>304</v>
      </c>
      <c r="C2272" s="107">
        <f ca="1">OFFSET(tab_tipo_Combustivel!$A$1,MATCH(B2272,tab_tipo_Combustivel!$A$2:$A$150,0),MATCH(A2272,tab_tipo_Combustivel!$B$1:$AQ$1,0),1,1)</f>
        <v>139.41999999999999</v>
      </c>
    </row>
    <row r="2273" spans="1:3">
      <c r="A2273" s="3">
        <f t="shared" si="66"/>
        <v>2028</v>
      </c>
      <c r="B2273" s="106">
        <f t="shared" si="67"/>
        <v>305</v>
      </c>
      <c r="C2273" s="107">
        <f ca="1">OFFSET(tab_tipo_Combustivel!$A$1,MATCH(B2273,tab_tipo_Combustivel!$A$2:$A$150,0),MATCH(A2273,tab_tipo_Combustivel!$B$1:$AQ$1,0),1,1)</f>
        <v>89.7</v>
      </c>
    </row>
    <row r="2274" spans="1:3">
      <c r="A2274" s="3">
        <f t="shared" si="66"/>
        <v>2028</v>
      </c>
      <c r="B2274" s="106">
        <f t="shared" si="67"/>
        <v>306</v>
      </c>
      <c r="C2274" s="107">
        <f ca="1">OFFSET(tab_tipo_Combustivel!$A$1,MATCH(B2274,tab_tipo_Combustivel!$A$2:$A$150,0),MATCH(A2274,tab_tipo_Combustivel!$B$1:$AQ$1,0),1,1)</f>
        <v>100.38</v>
      </c>
    </row>
    <row r="2275" spans="1:3">
      <c r="A2275" s="3">
        <f t="shared" si="66"/>
        <v>2028</v>
      </c>
      <c r="B2275" s="106">
        <f t="shared" si="67"/>
        <v>307</v>
      </c>
      <c r="C2275" s="107">
        <f ca="1">OFFSET(tab_tipo_Combustivel!$A$1,MATCH(B2275,tab_tipo_Combustivel!$A$2:$A$150,0),MATCH(A2275,tab_tipo_Combustivel!$B$1:$AQ$1,0),1,1)</f>
        <v>510.12</v>
      </c>
    </row>
    <row r="2276" spans="1:3">
      <c r="A2276" s="3">
        <f t="shared" si="66"/>
        <v>2028</v>
      </c>
      <c r="B2276" s="106">
        <f t="shared" si="67"/>
        <v>308</v>
      </c>
      <c r="C2276" s="107">
        <f ca="1">OFFSET(tab_tipo_Combustivel!$A$1,MATCH(B2276,tab_tipo_Combustivel!$A$2:$A$150,0),MATCH(A2276,tab_tipo_Combustivel!$B$1:$AQ$1,0),1,1)</f>
        <v>72.5</v>
      </c>
    </row>
    <row r="2277" spans="1:3">
      <c r="A2277" s="3">
        <f t="shared" si="66"/>
        <v>2028</v>
      </c>
      <c r="B2277" s="106">
        <f t="shared" si="67"/>
        <v>309</v>
      </c>
      <c r="C2277" s="107">
        <f ca="1">OFFSET(tab_tipo_Combustivel!$A$1,MATCH(B2277,tab_tipo_Combustivel!$A$2:$A$150,0),MATCH(A2277,tab_tipo_Combustivel!$B$1:$AQ$1,0),1,1)</f>
        <v>126.77</v>
      </c>
    </row>
    <row r="2278" spans="1:3">
      <c r="A2278" s="3">
        <f t="shared" si="66"/>
        <v>2028</v>
      </c>
      <c r="B2278" s="106">
        <f t="shared" si="67"/>
        <v>310</v>
      </c>
      <c r="C2278" s="107">
        <f ca="1">OFFSET(tab_tipo_Combustivel!$A$1,MATCH(B2278,tab_tipo_Combustivel!$A$2:$A$150,0),MATCH(A2278,tab_tipo_Combustivel!$B$1:$AQ$1,0),1,1)</f>
        <v>275.99</v>
      </c>
    </row>
    <row r="2279" spans="1:3">
      <c r="A2279" s="3">
        <f t="shared" si="66"/>
        <v>2028</v>
      </c>
      <c r="B2279" s="106">
        <f t="shared" si="67"/>
        <v>311</v>
      </c>
      <c r="C2279" s="107">
        <f ca="1">OFFSET(tab_tipo_Combustivel!$A$1,MATCH(B2279,tab_tipo_Combustivel!$A$2:$A$150,0),MATCH(A2279,tab_tipo_Combustivel!$B$1:$AQ$1,0),1,1)</f>
        <v>70.66</v>
      </c>
    </row>
    <row r="2280" spans="1:3">
      <c r="A2280" s="3">
        <f t="shared" si="66"/>
        <v>2028</v>
      </c>
      <c r="B2280" s="106">
        <f t="shared" si="67"/>
        <v>312</v>
      </c>
      <c r="C2280" s="107">
        <f ca="1">OFFSET(tab_tipo_Combustivel!$A$1,MATCH(B2280,tab_tipo_Combustivel!$A$2:$A$150,0),MATCH(A2280,tab_tipo_Combustivel!$B$1:$AQ$1,0),1,1)</f>
        <v>0</v>
      </c>
    </row>
    <row r="2281" spans="1:3">
      <c r="A2281" s="3">
        <f t="shared" si="66"/>
        <v>2028</v>
      </c>
      <c r="B2281" s="106">
        <f t="shared" si="67"/>
        <v>1301</v>
      </c>
      <c r="C2281" s="107">
        <f ca="1">OFFSET(tab_tipo_Combustivel!$A$1,MATCH(B2281,tab_tipo_Combustivel!$A$2:$A$150,0),MATCH(A2281,tab_tipo_Combustivel!$B$1:$AQ$1,0),1,1)</f>
        <v>242.05</v>
      </c>
    </row>
    <row r="2282" spans="1:3">
      <c r="A2282" s="3">
        <f t="shared" si="66"/>
        <v>2028</v>
      </c>
      <c r="B2282" s="106">
        <f t="shared" si="67"/>
        <v>1302</v>
      </c>
      <c r="C2282" s="107">
        <f ca="1">OFFSET(tab_tipo_Combustivel!$A$1,MATCH(B2282,tab_tipo_Combustivel!$A$2:$A$150,0),MATCH(A2282,tab_tipo_Combustivel!$B$1:$AQ$1,0),1,1)</f>
        <v>193.64</v>
      </c>
    </row>
    <row r="2283" spans="1:3">
      <c r="A2283" s="3">
        <f t="shared" si="66"/>
        <v>2028</v>
      </c>
      <c r="B2283" s="106">
        <f t="shared" si="67"/>
        <v>1303</v>
      </c>
      <c r="C2283" s="107">
        <f ca="1">OFFSET(tab_tipo_Combustivel!$A$1,MATCH(B2283,tab_tipo_Combustivel!$A$2:$A$150,0),MATCH(A2283,tab_tipo_Combustivel!$B$1:$AQ$1,0),1,1)</f>
        <v>25.58</v>
      </c>
    </row>
    <row r="2284" spans="1:3">
      <c r="A2284" s="3">
        <f t="shared" si="66"/>
        <v>2028</v>
      </c>
      <c r="B2284" s="106">
        <f t="shared" si="67"/>
        <v>1304</v>
      </c>
      <c r="C2284" s="107">
        <f ca="1">OFFSET(tab_tipo_Combustivel!$A$1,MATCH(B2284,tab_tipo_Combustivel!$A$2:$A$150,0),MATCH(A2284,tab_tipo_Combustivel!$B$1:$AQ$1,0),1,1)</f>
        <v>0</v>
      </c>
    </row>
    <row r="2285" spans="1:3">
      <c r="A2285" s="3">
        <f t="shared" si="66"/>
        <v>2028</v>
      </c>
      <c r="B2285" s="106">
        <f t="shared" si="67"/>
        <v>1315</v>
      </c>
      <c r="C2285" s="107">
        <f ca="1">OFFSET(tab_tipo_Combustivel!$A$1,MATCH(B2285,tab_tipo_Combustivel!$A$2:$A$150,0),MATCH(A2285,tab_tipo_Combustivel!$B$1:$AQ$1,0),1,1)</f>
        <v>0</v>
      </c>
    </row>
    <row r="2286" spans="1:3">
      <c r="A2286" s="3">
        <f t="shared" si="66"/>
        <v>2028</v>
      </c>
      <c r="B2286" s="106">
        <f t="shared" si="67"/>
        <v>1316</v>
      </c>
      <c r="C2286" s="107">
        <f ca="1">OFFSET(tab_tipo_Combustivel!$A$1,MATCH(B2286,tab_tipo_Combustivel!$A$2:$A$150,0),MATCH(A2286,tab_tipo_Combustivel!$B$1:$AQ$1,0),1,1)</f>
        <v>0</v>
      </c>
    </row>
    <row r="2287" spans="1:3">
      <c r="A2287" s="3">
        <f t="shared" si="66"/>
        <v>2028</v>
      </c>
      <c r="B2287" s="106">
        <f t="shared" si="67"/>
        <v>1318</v>
      </c>
      <c r="C2287" s="107">
        <f ca="1">OFFSET(tab_tipo_Combustivel!$A$1,MATCH(B2287,tab_tipo_Combustivel!$A$2:$A$150,0),MATCH(A2287,tab_tipo_Combustivel!$B$1:$AQ$1,0),1,1)</f>
        <v>200</v>
      </c>
    </row>
    <row r="2288" spans="1:3">
      <c r="A2288" s="3">
        <f t="shared" si="66"/>
        <v>2028</v>
      </c>
      <c r="B2288" s="106">
        <f t="shared" si="67"/>
        <v>1321</v>
      </c>
      <c r="C2288" s="107">
        <f ca="1">OFFSET(tab_tipo_Combustivel!$A$1,MATCH(B2288,tab_tipo_Combustivel!$A$2:$A$150,0),MATCH(A2288,tab_tipo_Combustivel!$B$1:$AQ$1,0),1,1)</f>
        <v>85</v>
      </c>
    </row>
    <row r="2289" spans="1:3">
      <c r="A2289" s="3">
        <f t="shared" si="66"/>
        <v>2028</v>
      </c>
      <c r="B2289" s="106">
        <f t="shared" si="67"/>
        <v>1322</v>
      </c>
      <c r="C2289" s="107">
        <f ca="1">OFFSET(tab_tipo_Combustivel!$A$1,MATCH(B2289,tab_tipo_Combustivel!$A$2:$A$150,0),MATCH(A2289,tab_tipo_Combustivel!$B$1:$AQ$1,0),1,1)</f>
        <v>140</v>
      </c>
    </row>
    <row r="2290" spans="1:3">
      <c r="A2290" s="3">
        <f t="shared" si="66"/>
        <v>2028</v>
      </c>
      <c r="B2290" s="106">
        <f t="shared" si="67"/>
        <v>1323</v>
      </c>
      <c r="C2290" s="107">
        <f ca="1">OFFSET(tab_tipo_Combustivel!$A$1,MATCH(B2290,tab_tipo_Combustivel!$A$2:$A$150,0),MATCH(A2290,tab_tipo_Combustivel!$B$1:$AQ$1,0),1,1)</f>
        <v>63.75</v>
      </c>
    </row>
    <row r="2291" spans="1:3">
      <c r="A2291" s="3">
        <f t="shared" si="66"/>
        <v>2028</v>
      </c>
      <c r="B2291" s="106">
        <f t="shared" si="67"/>
        <v>1325</v>
      </c>
      <c r="C2291" s="107">
        <f ca="1">OFFSET(tab_tipo_Combustivel!$A$1,MATCH(B2291,tab_tipo_Combustivel!$A$2:$A$150,0),MATCH(A2291,tab_tipo_Combustivel!$B$1:$AQ$1,0),1,1)</f>
        <v>0</v>
      </c>
    </row>
    <row r="2292" spans="1:3">
      <c r="A2292" s="3">
        <f t="shared" si="66"/>
        <v>2028</v>
      </c>
      <c r="B2292" s="106">
        <f t="shared" si="67"/>
        <v>1326</v>
      </c>
      <c r="C2292" s="107">
        <f ca="1">OFFSET(tab_tipo_Combustivel!$A$1,MATCH(B2292,tab_tipo_Combustivel!$A$2:$A$150,0),MATCH(A2292,tab_tipo_Combustivel!$B$1:$AQ$1,0),1,1)</f>
        <v>260</v>
      </c>
    </row>
    <row r="2293" spans="1:3">
      <c r="A2293" s="3">
        <f t="shared" si="66"/>
        <v>2028</v>
      </c>
      <c r="B2293" s="106">
        <f t="shared" si="67"/>
        <v>1501</v>
      </c>
      <c r="C2293" s="107">
        <f ca="1">OFFSET(tab_tipo_Combustivel!$A$1,MATCH(B2293,tab_tipo_Combustivel!$A$2:$A$150,0),MATCH(A2293,tab_tipo_Combustivel!$B$1:$AQ$1,0),1,1)</f>
        <v>260</v>
      </c>
    </row>
    <row r="2294" spans="1:3">
      <c r="A2294" s="3">
        <f t="shared" si="66"/>
        <v>2028</v>
      </c>
      <c r="B2294" s="106">
        <f t="shared" si="67"/>
        <v>1502</v>
      </c>
      <c r="C2294" s="107">
        <f ca="1">OFFSET(tab_tipo_Combustivel!$A$1,MATCH(B2294,tab_tipo_Combustivel!$A$2:$A$150,0),MATCH(A2294,tab_tipo_Combustivel!$B$1:$AQ$1,0),1,1)</f>
        <v>60</v>
      </c>
    </row>
    <row r="2295" spans="1:3">
      <c r="A2295" s="3">
        <f t="shared" si="66"/>
        <v>2028</v>
      </c>
      <c r="B2295" s="106">
        <f t="shared" si="67"/>
        <v>1503</v>
      </c>
      <c r="C2295" s="107">
        <f ca="1">OFFSET(tab_tipo_Combustivel!$A$1,MATCH(B2295,tab_tipo_Combustivel!$A$2:$A$150,0),MATCH(A2295,tab_tipo_Combustivel!$B$1:$AQ$1,0),1,1)</f>
        <v>96.82</v>
      </c>
    </row>
    <row r="2296" spans="1:3">
      <c r="A2296" s="3">
        <f t="shared" si="66"/>
        <v>2028</v>
      </c>
      <c r="B2296" s="106">
        <f t="shared" si="67"/>
        <v>1504</v>
      </c>
      <c r="C2296" s="107">
        <f ca="1">OFFSET(tab_tipo_Combustivel!$A$1,MATCH(B2296,tab_tipo_Combustivel!$A$2:$A$150,0),MATCH(A2296,tab_tipo_Combustivel!$B$1:$AQ$1,0),1,1)</f>
        <v>145.22999999999999</v>
      </c>
    </row>
    <row r="2297" spans="1:3">
      <c r="A2297" s="3">
        <f t="shared" si="66"/>
        <v>2029</v>
      </c>
      <c r="B2297" s="106">
        <f t="shared" si="67"/>
        <v>1</v>
      </c>
      <c r="C2297" s="107">
        <f ca="1">OFFSET(tab_tipo_Combustivel!$A$1,MATCH(B2297,tab_tipo_Combustivel!$A$2:$A$150,0),MATCH(A2297,tab_tipo_Combustivel!$B$1:$AQ$1,0),1,1)</f>
        <v>29.13</v>
      </c>
    </row>
    <row r="2298" spans="1:3">
      <c r="A2298" s="3">
        <f t="shared" si="66"/>
        <v>2029</v>
      </c>
      <c r="B2298" s="106">
        <f t="shared" si="67"/>
        <v>2</v>
      </c>
      <c r="C2298" s="107">
        <f ca="1">OFFSET(tab_tipo_Combustivel!$A$1,MATCH(B2298,tab_tipo_Combustivel!$A$2:$A$150,0),MATCH(A2298,tab_tipo_Combustivel!$B$1:$AQ$1,0),1,1)</f>
        <v>842.33</v>
      </c>
    </row>
    <row r="2299" spans="1:3">
      <c r="A2299" s="3">
        <f t="shared" si="66"/>
        <v>2029</v>
      </c>
      <c r="B2299" s="106">
        <f t="shared" si="67"/>
        <v>4</v>
      </c>
      <c r="C2299" s="107">
        <f ca="1">OFFSET(tab_tipo_Combustivel!$A$1,MATCH(B2299,tab_tipo_Combustivel!$A$2:$A$150,0),MATCH(A2299,tab_tipo_Combustivel!$B$1:$AQ$1,0),1,1)</f>
        <v>842.33</v>
      </c>
    </row>
    <row r="2300" spans="1:3">
      <c r="A2300" s="3">
        <f t="shared" si="66"/>
        <v>2029</v>
      </c>
      <c r="B2300" s="106">
        <f t="shared" si="67"/>
        <v>9</v>
      </c>
      <c r="C2300" s="107">
        <f ca="1">OFFSET(tab_tipo_Combustivel!$A$1,MATCH(B2300,tab_tipo_Combustivel!$A$2:$A$150,0),MATCH(A2300,tab_tipo_Combustivel!$B$1:$AQ$1,0),1,1)</f>
        <v>842.33</v>
      </c>
    </row>
    <row r="2301" spans="1:3">
      <c r="A2301" s="3">
        <f t="shared" si="66"/>
        <v>2029</v>
      </c>
      <c r="B2301" s="106">
        <f t="shared" si="67"/>
        <v>12</v>
      </c>
      <c r="C2301" s="107">
        <f ca="1">OFFSET(tab_tipo_Combustivel!$A$1,MATCH(B2301,tab_tipo_Combustivel!$A$2:$A$150,0),MATCH(A2301,tab_tipo_Combustivel!$B$1:$AQ$1,0),1,1)</f>
        <v>728.87</v>
      </c>
    </row>
    <row r="2302" spans="1:3">
      <c r="A2302" s="3">
        <f t="shared" si="66"/>
        <v>2029</v>
      </c>
      <c r="B2302" s="106">
        <f t="shared" si="67"/>
        <v>13</v>
      </c>
      <c r="C2302" s="107">
        <f ca="1">OFFSET(tab_tipo_Combustivel!$A$1,MATCH(B2302,tab_tipo_Combustivel!$A$2:$A$150,0),MATCH(A2302,tab_tipo_Combustivel!$B$1:$AQ$1,0),1,1)</f>
        <v>20.12</v>
      </c>
    </row>
    <row r="2303" spans="1:3">
      <c r="A2303" s="3">
        <f t="shared" si="66"/>
        <v>2029</v>
      </c>
      <c r="B2303" s="106">
        <f t="shared" si="67"/>
        <v>15</v>
      </c>
      <c r="C2303" s="107">
        <f ca="1">OFFSET(tab_tipo_Combustivel!$A$1,MATCH(B2303,tab_tipo_Combustivel!$A$2:$A$150,0),MATCH(A2303,tab_tipo_Combustivel!$B$1:$AQ$1,0),1,1)</f>
        <v>257.29000000000002</v>
      </c>
    </row>
    <row r="2304" spans="1:3">
      <c r="A2304" s="3">
        <f t="shared" si="66"/>
        <v>2029</v>
      </c>
      <c r="B2304" s="106">
        <f t="shared" si="67"/>
        <v>21</v>
      </c>
      <c r="C2304" s="107">
        <f ca="1">OFFSET(tab_tipo_Combustivel!$A$1,MATCH(B2304,tab_tipo_Combustivel!$A$2:$A$150,0),MATCH(A2304,tab_tipo_Combustivel!$B$1:$AQ$1,0),1,1)</f>
        <v>157.83000000000001</v>
      </c>
    </row>
    <row r="2305" spans="1:3">
      <c r="A2305" s="3">
        <f t="shared" si="66"/>
        <v>2029</v>
      </c>
      <c r="B2305" s="106">
        <f t="shared" si="67"/>
        <v>22</v>
      </c>
      <c r="C2305" s="107">
        <f ca="1">OFFSET(tab_tipo_Combustivel!$A$1,MATCH(B2305,tab_tipo_Combustivel!$A$2:$A$150,0),MATCH(A2305,tab_tipo_Combustivel!$B$1:$AQ$1,0),1,1)</f>
        <v>115.9</v>
      </c>
    </row>
    <row r="2306" spans="1:3">
      <c r="A2306" s="3">
        <f t="shared" si="66"/>
        <v>2029</v>
      </c>
      <c r="B2306" s="106">
        <f t="shared" si="67"/>
        <v>23</v>
      </c>
      <c r="C2306" s="107">
        <f ca="1">OFFSET(tab_tipo_Combustivel!$A$1,MATCH(B2306,tab_tipo_Combustivel!$A$2:$A$150,0),MATCH(A2306,tab_tipo_Combustivel!$B$1:$AQ$1,0),1,1)</f>
        <v>115.9</v>
      </c>
    </row>
    <row r="2307" spans="1:3">
      <c r="A2307" s="3">
        <f t="shared" si="66"/>
        <v>2029</v>
      </c>
      <c r="B2307" s="106">
        <f t="shared" si="67"/>
        <v>24</v>
      </c>
      <c r="C2307" s="107">
        <f ca="1">OFFSET(tab_tipo_Combustivel!$A$1,MATCH(B2307,tab_tipo_Combustivel!$A$2:$A$150,0),MATCH(A2307,tab_tipo_Combustivel!$B$1:$AQ$1,0),1,1)</f>
        <v>155.85</v>
      </c>
    </row>
    <row r="2308" spans="1:3">
      <c r="A2308" s="3">
        <f t="shared" si="66"/>
        <v>2029</v>
      </c>
      <c r="B2308" s="106">
        <f t="shared" si="67"/>
        <v>25</v>
      </c>
      <c r="C2308" s="107">
        <f ca="1">OFFSET(tab_tipo_Combustivel!$A$1,MATCH(B2308,tab_tipo_Combustivel!$A$2:$A$150,0),MATCH(A2308,tab_tipo_Combustivel!$B$1:$AQ$1,0),1,1)</f>
        <v>186.33</v>
      </c>
    </row>
    <row r="2309" spans="1:3">
      <c r="A2309" s="3">
        <f t="shared" si="66"/>
        <v>2029</v>
      </c>
      <c r="B2309" s="106">
        <f t="shared" si="67"/>
        <v>26</v>
      </c>
      <c r="C2309" s="107">
        <f ca="1">OFFSET(tab_tipo_Combustivel!$A$1,MATCH(B2309,tab_tipo_Combustivel!$A$2:$A$150,0),MATCH(A2309,tab_tipo_Combustivel!$B$1:$AQ$1,0),1,1)</f>
        <v>258.42</v>
      </c>
    </row>
    <row r="2310" spans="1:3">
      <c r="A2310" s="3">
        <f t="shared" si="66"/>
        <v>2029</v>
      </c>
      <c r="B2310" s="106">
        <f t="shared" si="67"/>
        <v>27</v>
      </c>
      <c r="C2310" s="107">
        <f ca="1">OFFSET(tab_tipo_Combustivel!$A$1,MATCH(B2310,tab_tipo_Combustivel!$A$2:$A$150,0),MATCH(A2310,tab_tipo_Combustivel!$B$1:$AQ$1,0),1,1)</f>
        <v>195.49</v>
      </c>
    </row>
    <row r="2311" spans="1:3">
      <c r="A2311" s="3">
        <f t="shared" si="66"/>
        <v>2029</v>
      </c>
      <c r="B2311" s="106">
        <f t="shared" si="67"/>
        <v>28</v>
      </c>
      <c r="C2311" s="107">
        <f ca="1">OFFSET(tab_tipo_Combustivel!$A$1,MATCH(B2311,tab_tipo_Combustivel!$A$2:$A$150,0),MATCH(A2311,tab_tipo_Combustivel!$B$1:$AQ$1,0),1,1)</f>
        <v>459.92</v>
      </c>
    </row>
    <row r="2312" spans="1:3">
      <c r="A2312" s="3">
        <f t="shared" si="66"/>
        <v>2029</v>
      </c>
      <c r="B2312" s="106">
        <f t="shared" si="67"/>
        <v>32</v>
      </c>
      <c r="C2312" s="107">
        <f ca="1">OFFSET(tab_tipo_Combustivel!$A$1,MATCH(B2312,tab_tipo_Combustivel!$A$2:$A$150,0),MATCH(A2312,tab_tipo_Combustivel!$B$1:$AQ$1,0),1,1)</f>
        <v>248.31</v>
      </c>
    </row>
    <row r="2313" spans="1:3">
      <c r="A2313" s="3">
        <f t="shared" si="66"/>
        <v>2029</v>
      </c>
      <c r="B2313" s="106">
        <f t="shared" si="67"/>
        <v>34</v>
      </c>
      <c r="C2313" s="107">
        <f ca="1">OFFSET(tab_tipo_Combustivel!$A$1,MATCH(B2313,tab_tipo_Combustivel!$A$2:$A$150,0),MATCH(A2313,tab_tipo_Combustivel!$B$1:$AQ$1,0),1,1)</f>
        <v>423.38</v>
      </c>
    </row>
    <row r="2314" spans="1:3">
      <c r="A2314" s="3">
        <f t="shared" ref="A2314:A2377" si="68">A2179+1</f>
        <v>2029</v>
      </c>
      <c r="B2314" s="106">
        <f t="shared" ref="B2314:B2377" si="69">B2179</f>
        <v>35</v>
      </c>
      <c r="C2314" s="107">
        <f ca="1">OFFSET(tab_tipo_Combustivel!$A$1,MATCH(B2314,tab_tipo_Combustivel!$A$2:$A$150,0),MATCH(A2314,tab_tipo_Combustivel!$B$1:$AQ$1,0),1,1)</f>
        <v>692.45</v>
      </c>
    </row>
    <row r="2315" spans="1:3">
      <c r="A2315" s="3">
        <f t="shared" si="68"/>
        <v>2029</v>
      </c>
      <c r="B2315" s="106">
        <f t="shared" si="69"/>
        <v>36</v>
      </c>
      <c r="C2315" s="107">
        <f ca="1">OFFSET(tab_tipo_Combustivel!$A$1,MATCH(B2315,tab_tipo_Combustivel!$A$2:$A$150,0),MATCH(A2315,tab_tipo_Combustivel!$B$1:$AQ$1,0),1,1)</f>
        <v>157.83000000000001</v>
      </c>
    </row>
    <row r="2316" spans="1:3">
      <c r="A2316" s="3">
        <f t="shared" si="68"/>
        <v>2029</v>
      </c>
      <c r="B2316" s="106">
        <f t="shared" si="69"/>
        <v>42</v>
      </c>
      <c r="C2316" s="107">
        <f ca="1">OFFSET(tab_tipo_Combustivel!$A$1,MATCH(B2316,tab_tipo_Combustivel!$A$2:$A$150,0),MATCH(A2316,tab_tipo_Combustivel!$B$1:$AQ$1,0),1,1)</f>
        <v>199.22</v>
      </c>
    </row>
    <row r="2317" spans="1:3">
      <c r="A2317" s="3">
        <f t="shared" si="68"/>
        <v>2029</v>
      </c>
      <c r="B2317" s="106">
        <f t="shared" si="69"/>
        <v>43</v>
      </c>
      <c r="C2317" s="107">
        <f ca="1">OFFSET(tab_tipo_Combustivel!$A$1,MATCH(B2317,tab_tipo_Combustivel!$A$2:$A$150,0),MATCH(A2317,tab_tipo_Combustivel!$B$1:$AQ$1,0),1,1)</f>
        <v>431.62</v>
      </c>
    </row>
    <row r="2318" spans="1:3">
      <c r="A2318" s="3">
        <f t="shared" si="68"/>
        <v>2029</v>
      </c>
      <c r="B2318" s="106">
        <f t="shared" si="69"/>
        <v>44</v>
      </c>
      <c r="C2318" s="107">
        <f ca="1">OFFSET(tab_tipo_Combustivel!$A$1,MATCH(B2318,tab_tipo_Combustivel!$A$2:$A$150,0),MATCH(A2318,tab_tipo_Combustivel!$B$1:$AQ$1,0),1,1)</f>
        <v>25.58</v>
      </c>
    </row>
    <row r="2319" spans="1:3">
      <c r="A2319" s="3">
        <f t="shared" si="68"/>
        <v>2029</v>
      </c>
      <c r="B2319" s="106">
        <f t="shared" si="69"/>
        <v>46</v>
      </c>
      <c r="C2319" s="107">
        <f ca="1">OFFSET(tab_tipo_Combustivel!$A$1,MATCH(B2319,tab_tipo_Combustivel!$A$2:$A$150,0),MATCH(A2319,tab_tipo_Combustivel!$B$1:$AQ$1,0),1,1)</f>
        <v>228.91</v>
      </c>
    </row>
    <row r="2320" spans="1:3">
      <c r="A2320" s="3">
        <f t="shared" si="68"/>
        <v>2029</v>
      </c>
      <c r="B2320" s="106">
        <f t="shared" si="69"/>
        <v>47</v>
      </c>
      <c r="C2320" s="107">
        <f ca="1">OFFSET(tab_tipo_Combustivel!$A$1,MATCH(B2320,tab_tipo_Combustivel!$A$2:$A$150,0),MATCH(A2320,tab_tipo_Combustivel!$B$1:$AQ$1,0),1,1)</f>
        <v>235.6</v>
      </c>
    </row>
    <row r="2321" spans="1:3">
      <c r="A2321" s="3">
        <f t="shared" si="68"/>
        <v>2029</v>
      </c>
      <c r="B2321" s="106">
        <f t="shared" si="69"/>
        <v>48</v>
      </c>
      <c r="C2321" s="107">
        <f ca="1">OFFSET(tab_tipo_Combustivel!$A$1,MATCH(B2321,tab_tipo_Combustivel!$A$2:$A$150,0),MATCH(A2321,tab_tipo_Combustivel!$B$1:$AQ$1,0),1,1)</f>
        <v>1012.12</v>
      </c>
    </row>
    <row r="2322" spans="1:3">
      <c r="A2322" s="3">
        <f t="shared" si="68"/>
        <v>2029</v>
      </c>
      <c r="B2322" s="106">
        <f t="shared" si="69"/>
        <v>50</v>
      </c>
      <c r="C2322" s="107">
        <f ca="1">OFFSET(tab_tipo_Combustivel!$A$1,MATCH(B2322,tab_tipo_Combustivel!$A$2:$A$150,0),MATCH(A2322,tab_tipo_Combustivel!$B$1:$AQ$1,0),1,1)</f>
        <v>669.87</v>
      </c>
    </row>
    <row r="2323" spans="1:3">
      <c r="A2323" s="3">
        <f t="shared" si="68"/>
        <v>2029</v>
      </c>
      <c r="B2323" s="106">
        <f t="shared" si="69"/>
        <v>54</v>
      </c>
      <c r="C2323" s="107">
        <f ca="1">OFFSET(tab_tipo_Combustivel!$A$1,MATCH(B2323,tab_tipo_Combustivel!$A$2:$A$150,0),MATCH(A2323,tab_tipo_Combustivel!$B$1:$AQ$1,0),1,1)</f>
        <v>304.55</v>
      </c>
    </row>
    <row r="2324" spans="1:3">
      <c r="A2324" s="3">
        <f t="shared" si="68"/>
        <v>2029</v>
      </c>
      <c r="B2324" s="106">
        <f t="shared" si="69"/>
        <v>58</v>
      </c>
      <c r="C2324" s="107">
        <f ca="1">OFFSET(tab_tipo_Combustivel!$A$1,MATCH(B2324,tab_tipo_Combustivel!$A$2:$A$150,0),MATCH(A2324,tab_tipo_Combustivel!$B$1:$AQ$1,0),1,1)</f>
        <v>300.05</v>
      </c>
    </row>
    <row r="2325" spans="1:3">
      <c r="A2325" s="3">
        <f t="shared" si="68"/>
        <v>2029</v>
      </c>
      <c r="B2325" s="106">
        <f t="shared" si="69"/>
        <v>62</v>
      </c>
      <c r="C2325" s="107">
        <f ca="1">OFFSET(tab_tipo_Combustivel!$A$1,MATCH(B2325,tab_tipo_Combustivel!$A$2:$A$150,0),MATCH(A2325,tab_tipo_Combustivel!$B$1:$AQ$1,0),1,1)</f>
        <v>309.24</v>
      </c>
    </row>
    <row r="2326" spans="1:3">
      <c r="A2326" s="3">
        <f t="shared" si="68"/>
        <v>2029</v>
      </c>
      <c r="B2326" s="106">
        <f t="shared" si="69"/>
        <v>63</v>
      </c>
      <c r="C2326" s="107">
        <f ca="1">OFFSET(tab_tipo_Combustivel!$A$1,MATCH(B2326,tab_tipo_Combustivel!$A$2:$A$150,0),MATCH(A2326,tab_tipo_Combustivel!$B$1:$AQ$1,0),1,1)</f>
        <v>365.77</v>
      </c>
    </row>
    <row r="2327" spans="1:3">
      <c r="A2327" s="3">
        <f t="shared" si="68"/>
        <v>2029</v>
      </c>
      <c r="B2327" s="106">
        <f t="shared" si="69"/>
        <v>64</v>
      </c>
      <c r="C2327" s="107">
        <f ca="1">OFFSET(tab_tipo_Combustivel!$A$1,MATCH(B2327,tab_tipo_Combustivel!$A$2:$A$150,0),MATCH(A2327,tab_tipo_Combustivel!$B$1:$AQ$1,0),1,1)</f>
        <v>853.54</v>
      </c>
    </row>
    <row r="2328" spans="1:3">
      <c r="A2328" s="3">
        <f t="shared" si="68"/>
        <v>2029</v>
      </c>
      <c r="B2328" s="106">
        <f t="shared" si="69"/>
        <v>68</v>
      </c>
      <c r="C2328" s="107">
        <f ca="1">OFFSET(tab_tipo_Combustivel!$A$1,MATCH(B2328,tab_tipo_Combustivel!$A$2:$A$150,0),MATCH(A2328,tab_tipo_Combustivel!$B$1:$AQ$1,0),1,1)</f>
        <v>195.63</v>
      </c>
    </row>
    <row r="2329" spans="1:3">
      <c r="A2329" s="3">
        <f t="shared" si="68"/>
        <v>2029</v>
      </c>
      <c r="B2329" s="106">
        <f t="shared" si="69"/>
        <v>74</v>
      </c>
      <c r="C2329" s="107">
        <f ca="1">OFFSET(tab_tipo_Combustivel!$A$1,MATCH(B2329,tab_tipo_Combustivel!$A$2:$A$150,0),MATCH(A2329,tab_tipo_Combustivel!$B$1:$AQ$1,0),1,1)</f>
        <v>364.46</v>
      </c>
    </row>
    <row r="2330" spans="1:3">
      <c r="A2330" s="3">
        <f t="shared" si="68"/>
        <v>2029</v>
      </c>
      <c r="B2330" s="106">
        <f t="shared" si="69"/>
        <v>83</v>
      </c>
      <c r="C2330" s="107">
        <f ca="1">OFFSET(tab_tipo_Combustivel!$A$1,MATCH(B2330,tab_tipo_Combustivel!$A$2:$A$150,0),MATCH(A2330,tab_tipo_Combustivel!$B$1:$AQ$1,0),1,1)</f>
        <v>448.1</v>
      </c>
    </row>
    <row r="2331" spans="1:3">
      <c r="A2331" s="3">
        <f t="shared" si="68"/>
        <v>2029</v>
      </c>
      <c r="B2331" s="106">
        <f t="shared" si="69"/>
        <v>86</v>
      </c>
      <c r="C2331" s="107">
        <f ca="1">OFFSET(tab_tipo_Combustivel!$A$1,MATCH(B2331,tab_tipo_Combustivel!$A$2:$A$150,0),MATCH(A2331,tab_tipo_Combustivel!$B$1:$AQ$1,0),1,1)</f>
        <v>170.34</v>
      </c>
    </row>
    <row r="2332" spans="1:3">
      <c r="A2332" s="3">
        <f t="shared" si="68"/>
        <v>2029</v>
      </c>
      <c r="B2332" s="106">
        <f t="shared" si="69"/>
        <v>90</v>
      </c>
      <c r="C2332" s="107">
        <f ca="1">OFFSET(tab_tipo_Combustivel!$A$1,MATCH(B2332,tab_tipo_Combustivel!$A$2:$A$150,0),MATCH(A2332,tab_tipo_Combustivel!$B$1:$AQ$1,0),1,1)</f>
        <v>533.1</v>
      </c>
    </row>
    <row r="2333" spans="1:3">
      <c r="A2333" s="3">
        <f t="shared" si="68"/>
        <v>2029</v>
      </c>
      <c r="B2333" s="106">
        <f t="shared" si="69"/>
        <v>93</v>
      </c>
      <c r="C2333" s="107">
        <f ca="1">OFFSET(tab_tipo_Combustivel!$A$1,MATCH(B2333,tab_tipo_Combustivel!$A$2:$A$150,0),MATCH(A2333,tab_tipo_Combustivel!$B$1:$AQ$1,0),1,1)</f>
        <v>842.33</v>
      </c>
    </row>
    <row r="2334" spans="1:3">
      <c r="A2334" s="3">
        <f t="shared" si="68"/>
        <v>2029</v>
      </c>
      <c r="B2334" s="106">
        <f t="shared" si="69"/>
        <v>94</v>
      </c>
      <c r="C2334" s="107">
        <f ca="1">OFFSET(tab_tipo_Combustivel!$A$1,MATCH(B2334,tab_tipo_Combustivel!$A$2:$A$150,0),MATCH(A2334,tab_tipo_Combustivel!$B$1:$AQ$1,0),1,1)</f>
        <v>842.33</v>
      </c>
    </row>
    <row r="2335" spans="1:3">
      <c r="A2335" s="3">
        <f t="shared" si="68"/>
        <v>2029</v>
      </c>
      <c r="B2335" s="106">
        <f t="shared" si="69"/>
        <v>96</v>
      </c>
      <c r="C2335" s="107">
        <f ca="1">OFFSET(tab_tipo_Combustivel!$A$1,MATCH(B2335,tab_tipo_Combustivel!$A$2:$A$150,0),MATCH(A2335,tab_tipo_Combustivel!$B$1:$AQ$1,0),1,1)</f>
        <v>99.92</v>
      </c>
    </row>
    <row r="2336" spans="1:3">
      <c r="A2336" s="3">
        <f t="shared" si="68"/>
        <v>2029</v>
      </c>
      <c r="B2336" s="106">
        <f t="shared" si="69"/>
        <v>98</v>
      </c>
      <c r="C2336" s="107">
        <f ca="1">OFFSET(tab_tipo_Combustivel!$A$1,MATCH(B2336,tab_tipo_Combustivel!$A$2:$A$150,0),MATCH(A2336,tab_tipo_Combustivel!$B$1:$AQ$1,0),1,1)</f>
        <v>489.8</v>
      </c>
    </row>
    <row r="2337" spans="1:3">
      <c r="A2337" s="3">
        <f t="shared" si="68"/>
        <v>2029</v>
      </c>
      <c r="B2337" s="106">
        <f t="shared" si="69"/>
        <v>107</v>
      </c>
      <c r="C2337" s="107">
        <f ca="1">OFFSET(tab_tipo_Combustivel!$A$1,MATCH(B2337,tab_tipo_Combustivel!$A$2:$A$150,0),MATCH(A2337,tab_tipo_Combustivel!$B$1:$AQ$1,0),1,1)</f>
        <v>57.63</v>
      </c>
    </row>
    <row r="2338" spans="1:3">
      <c r="A2338" s="3">
        <f t="shared" si="68"/>
        <v>2029</v>
      </c>
      <c r="B2338" s="106">
        <f t="shared" si="69"/>
        <v>110</v>
      </c>
      <c r="C2338" s="107">
        <f ca="1">OFFSET(tab_tipo_Combustivel!$A$1,MATCH(B2338,tab_tipo_Combustivel!$A$2:$A$150,0),MATCH(A2338,tab_tipo_Combustivel!$B$1:$AQ$1,0),1,1)</f>
        <v>568.29</v>
      </c>
    </row>
    <row r="2339" spans="1:3">
      <c r="A2339" s="3">
        <f t="shared" si="68"/>
        <v>2029</v>
      </c>
      <c r="B2339" s="106">
        <f t="shared" si="69"/>
        <v>116</v>
      </c>
      <c r="C2339" s="107">
        <f ca="1">OFFSET(tab_tipo_Combustivel!$A$1,MATCH(B2339,tab_tipo_Combustivel!$A$2:$A$150,0),MATCH(A2339,tab_tipo_Combustivel!$B$1:$AQ$1,0),1,1)</f>
        <v>117.46</v>
      </c>
    </row>
    <row r="2340" spans="1:3">
      <c r="A2340" s="3">
        <f t="shared" si="68"/>
        <v>2029</v>
      </c>
      <c r="B2340" s="106">
        <f t="shared" si="69"/>
        <v>140</v>
      </c>
      <c r="C2340" s="107">
        <f ca="1">OFFSET(tab_tipo_Combustivel!$A$1,MATCH(B2340,tab_tipo_Combustivel!$A$2:$A$150,0),MATCH(A2340,tab_tipo_Combustivel!$B$1:$AQ$1,0),1,1)</f>
        <v>88.11</v>
      </c>
    </row>
    <row r="2341" spans="1:3">
      <c r="A2341" s="3">
        <f t="shared" si="68"/>
        <v>2029</v>
      </c>
      <c r="B2341" s="106">
        <f t="shared" si="69"/>
        <v>141</v>
      </c>
      <c r="C2341" s="107">
        <f ca="1">OFFSET(tab_tipo_Combustivel!$A$1,MATCH(B2341,tab_tipo_Combustivel!$A$2:$A$150,0),MATCH(A2341,tab_tipo_Combustivel!$B$1:$AQ$1,0),1,1)</f>
        <v>1280.52</v>
      </c>
    </row>
    <row r="2342" spans="1:3">
      <c r="A2342" s="3">
        <f t="shared" si="68"/>
        <v>2029</v>
      </c>
      <c r="B2342" s="106">
        <f t="shared" si="69"/>
        <v>147</v>
      </c>
      <c r="C2342" s="107">
        <f ca="1">OFFSET(tab_tipo_Combustivel!$A$1,MATCH(B2342,tab_tipo_Combustivel!$A$2:$A$150,0),MATCH(A2342,tab_tipo_Combustivel!$B$1:$AQ$1,0),1,1)</f>
        <v>134.18</v>
      </c>
    </row>
    <row r="2343" spans="1:3">
      <c r="A2343" s="3">
        <f t="shared" si="68"/>
        <v>2029</v>
      </c>
      <c r="B2343" s="106">
        <f t="shared" si="69"/>
        <v>156</v>
      </c>
      <c r="C2343" s="107">
        <f ca="1">OFFSET(tab_tipo_Combustivel!$A$1,MATCH(B2343,tab_tipo_Combustivel!$A$2:$A$150,0),MATCH(A2343,tab_tipo_Combustivel!$B$1:$AQ$1,0),1,1)</f>
        <v>77.12</v>
      </c>
    </row>
    <row r="2344" spans="1:3">
      <c r="A2344" s="3">
        <f t="shared" si="68"/>
        <v>2029</v>
      </c>
      <c r="B2344" s="106">
        <f t="shared" si="69"/>
        <v>163</v>
      </c>
      <c r="C2344" s="107">
        <f ca="1">OFFSET(tab_tipo_Combustivel!$A$1,MATCH(B2344,tab_tipo_Combustivel!$A$2:$A$150,0),MATCH(A2344,tab_tipo_Combustivel!$B$1:$AQ$1,0),1,1)</f>
        <v>156.69999999999999</v>
      </c>
    </row>
    <row r="2345" spans="1:3">
      <c r="A2345" s="3">
        <f t="shared" si="68"/>
        <v>2029</v>
      </c>
      <c r="B2345" s="106">
        <f t="shared" si="69"/>
        <v>167</v>
      </c>
      <c r="C2345" s="107">
        <f ca="1">OFFSET(tab_tipo_Combustivel!$A$1,MATCH(B2345,tab_tipo_Combustivel!$A$2:$A$150,0),MATCH(A2345,tab_tipo_Combustivel!$B$1:$AQ$1,0),1,1)</f>
        <v>144.66999999999999</v>
      </c>
    </row>
    <row r="2346" spans="1:3">
      <c r="A2346" s="3">
        <f t="shared" si="68"/>
        <v>2029</v>
      </c>
      <c r="B2346" s="106">
        <f t="shared" si="69"/>
        <v>171</v>
      </c>
      <c r="C2346" s="107">
        <f ca="1">OFFSET(tab_tipo_Combustivel!$A$1,MATCH(B2346,tab_tipo_Combustivel!$A$2:$A$150,0),MATCH(A2346,tab_tipo_Combustivel!$B$1:$AQ$1,0),1,1)</f>
        <v>88</v>
      </c>
    </row>
    <row r="2347" spans="1:3">
      <c r="A2347" s="3">
        <f t="shared" si="68"/>
        <v>2029</v>
      </c>
      <c r="B2347" s="106">
        <f t="shared" si="69"/>
        <v>172</v>
      </c>
      <c r="C2347" s="107">
        <f ca="1">OFFSET(tab_tipo_Combustivel!$A$1,MATCH(B2347,tab_tipo_Combustivel!$A$2:$A$150,0),MATCH(A2347,tab_tipo_Combustivel!$B$1:$AQ$1,0),1,1)</f>
        <v>99.97</v>
      </c>
    </row>
    <row r="2348" spans="1:3">
      <c r="A2348" s="3">
        <f t="shared" si="68"/>
        <v>2029</v>
      </c>
      <c r="B2348" s="106">
        <f t="shared" si="69"/>
        <v>173</v>
      </c>
      <c r="C2348" s="107">
        <f ca="1">OFFSET(tab_tipo_Combustivel!$A$1,MATCH(B2348,tab_tipo_Combustivel!$A$2:$A$150,0),MATCH(A2348,tab_tipo_Combustivel!$B$1:$AQ$1,0),1,1)</f>
        <v>192.03</v>
      </c>
    </row>
    <row r="2349" spans="1:3">
      <c r="A2349" s="3">
        <f t="shared" si="68"/>
        <v>2029</v>
      </c>
      <c r="B2349" s="106">
        <f t="shared" si="69"/>
        <v>174</v>
      </c>
      <c r="C2349" s="107">
        <f ca="1">OFFSET(tab_tipo_Combustivel!$A$1,MATCH(B2349,tab_tipo_Combustivel!$A$2:$A$150,0),MATCH(A2349,tab_tipo_Combustivel!$B$1:$AQ$1,0),1,1)</f>
        <v>331.22</v>
      </c>
    </row>
    <row r="2350" spans="1:3">
      <c r="A2350" s="3">
        <f t="shared" si="68"/>
        <v>2029</v>
      </c>
      <c r="B2350" s="106">
        <f t="shared" si="69"/>
        <v>176</v>
      </c>
      <c r="C2350" s="107">
        <f ca="1">OFFSET(tab_tipo_Combustivel!$A$1,MATCH(B2350,tab_tipo_Combustivel!$A$2:$A$150,0),MATCH(A2350,tab_tipo_Combustivel!$B$1:$AQ$1,0),1,1)</f>
        <v>149.47999999999999</v>
      </c>
    </row>
    <row r="2351" spans="1:3">
      <c r="A2351" s="3">
        <f t="shared" si="68"/>
        <v>2029</v>
      </c>
      <c r="B2351" s="106">
        <f t="shared" si="69"/>
        <v>183</v>
      </c>
      <c r="C2351" s="107">
        <f ca="1">OFFSET(tab_tipo_Combustivel!$A$1,MATCH(B2351,tab_tipo_Combustivel!$A$2:$A$150,0),MATCH(A2351,tab_tipo_Combustivel!$B$1:$AQ$1,0),1,1)</f>
        <v>171.61</v>
      </c>
    </row>
    <row r="2352" spans="1:3">
      <c r="A2352" s="3">
        <f t="shared" si="68"/>
        <v>2029</v>
      </c>
      <c r="B2352" s="106">
        <f t="shared" si="69"/>
        <v>194</v>
      </c>
      <c r="C2352" s="107">
        <f ca="1">OFFSET(tab_tipo_Combustivel!$A$1,MATCH(B2352,tab_tipo_Combustivel!$A$2:$A$150,0),MATCH(A2352,tab_tipo_Combustivel!$B$1:$AQ$1,0),1,1)</f>
        <v>1098.58</v>
      </c>
    </row>
    <row r="2353" spans="1:3">
      <c r="A2353" s="3">
        <f t="shared" si="68"/>
        <v>2029</v>
      </c>
      <c r="B2353" s="106">
        <f t="shared" si="69"/>
        <v>203</v>
      </c>
      <c r="C2353" s="107">
        <f ca="1">OFFSET(tab_tipo_Combustivel!$A$1,MATCH(B2353,tab_tipo_Combustivel!$A$2:$A$150,0),MATCH(A2353,tab_tipo_Combustivel!$B$1:$AQ$1,0),1,1)</f>
        <v>0</v>
      </c>
    </row>
    <row r="2354" spans="1:3">
      <c r="A2354" s="3">
        <f t="shared" si="68"/>
        <v>2029</v>
      </c>
      <c r="B2354" s="106">
        <f t="shared" si="69"/>
        <v>204</v>
      </c>
      <c r="C2354" s="107">
        <f ca="1">OFFSET(tab_tipo_Combustivel!$A$1,MATCH(B2354,tab_tipo_Combustivel!$A$2:$A$150,0),MATCH(A2354,tab_tipo_Combustivel!$B$1:$AQ$1,0),1,1)</f>
        <v>0</v>
      </c>
    </row>
    <row r="2355" spans="1:3">
      <c r="A2355" s="3">
        <f t="shared" si="68"/>
        <v>2029</v>
      </c>
      <c r="B2355" s="106">
        <f t="shared" si="69"/>
        <v>205</v>
      </c>
      <c r="C2355" s="107">
        <f ca="1">OFFSET(tab_tipo_Combustivel!$A$1,MATCH(B2355,tab_tipo_Combustivel!$A$2:$A$150,0),MATCH(A2355,tab_tipo_Combustivel!$B$1:$AQ$1,0),1,1)</f>
        <v>0</v>
      </c>
    </row>
    <row r="2356" spans="1:3">
      <c r="A2356" s="3">
        <f t="shared" si="68"/>
        <v>2029</v>
      </c>
      <c r="B2356" s="106">
        <f t="shared" si="69"/>
        <v>207</v>
      </c>
      <c r="C2356" s="107">
        <f ca="1">OFFSET(tab_tipo_Combustivel!$A$1,MATCH(B2356,tab_tipo_Combustivel!$A$2:$A$150,0),MATCH(A2356,tab_tipo_Combustivel!$B$1:$AQ$1,0),1,1)</f>
        <v>0</v>
      </c>
    </row>
    <row r="2357" spans="1:3">
      <c r="A2357" s="3">
        <f t="shared" si="68"/>
        <v>2029</v>
      </c>
      <c r="B2357" s="106">
        <f t="shared" si="69"/>
        <v>208</v>
      </c>
      <c r="C2357" s="107">
        <f ca="1">OFFSET(tab_tipo_Combustivel!$A$1,MATCH(B2357,tab_tipo_Combustivel!$A$2:$A$150,0),MATCH(A2357,tab_tipo_Combustivel!$B$1:$AQ$1,0),1,1)</f>
        <v>783.64</v>
      </c>
    </row>
    <row r="2358" spans="1:3">
      <c r="A2358" s="3">
        <f t="shared" si="68"/>
        <v>2029</v>
      </c>
      <c r="B2358" s="106">
        <f t="shared" si="69"/>
        <v>209</v>
      </c>
      <c r="C2358" s="107">
        <f ca="1">OFFSET(tab_tipo_Combustivel!$A$1,MATCH(B2358,tab_tipo_Combustivel!$A$2:$A$150,0),MATCH(A2358,tab_tipo_Combustivel!$B$1:$AQ$1,0),1,1)</f>
        <v>0</v>
      </c>
    </row>
    <row r="2359" spans="1:3">
      <c r="A2359" s="3">
        <f t="shared" si="68"/>
        <v>2029</v>
      </c>
      <c r="B2359" s="106">
        <f t="shared" si="69"/>
        <v>211</v>
      </c>
      <c r="C2359" s="107">
        <f ca="1">OFFSET(tab_tipo_Combustivel!$A$1,MATCH(B2359,tab_tipo_Combustivel!$A$2:$A$150,0),MATCH(A2359,tab_tipo_Combustivel!$B$1:$AQ$1,0),1,1)</f>
        <v>150.79</v>
      </c>
    </row>
    <row r="2360" spans="1:3">
      <c r="A2360" s="3">
        <f t="shared" si="68"/>
        <v>2029</v>
      </c>
      <c r="B2360" s="106">
        <f t="shared" si="69"/>
        <v>212</v>
      </c>
      <c r="C2360" s="107">
        <f ca="1">OFFSET(tab_tipo_Combustivel!$A$1,MATCH(B2360,tab_tipo_Combustivel!$A$2:$A$150,0),MATCH(A2360,tab_tipo_Combustivel!$B$1:$AQ$1,0),1,1)</f>
        <v>84.58</v>
      </c>
    </row>
    <row r="2361" spans="1:3">
      <c r="A2361" s="3">
        <f t="shared" si="68"/>
        <v>2029</v>
      </c>
      <c r="B2361" s="106">
        <f t="shared" si="69"/>
        <v>224</v>
      </c>
      <c r="C2361" s="107">
        <f ca="1">OFFSET(tab_tipo_Combustivel!$A$1,MATCH(B2361,tab_tipo_Combustivel!$A$2:$A$150,0),MATCH(A2361,tab_tipo_Combustivel!$B$1:$AQ$1,0),1,1)</f>
        <v>31.08</v>
      </c>
    </row>
    <row r="2362" spans="1:3">
      <c r="A2362" s="3">
        <f t="shared" si="68"/>
        <v>2029</v>
      </c>
      <c r="B2362" s="106">
        <f t="shared" si="69"/>
        <v>225</v>
      </c>
      <c r="C2362" s="107">
        <f ca="1">OFFSET(tab_tipo_Combustivel!$A$1,MATCH(B2362,tab_tipo_Combustivel!$A$2:$A$150,0),MATCH(A2362,tab_tipo_Combustivel!$B$1:$AQ$1,0),1,1)</f>
        <v>1329.7</v>
      </c>
    </row>
    <row r="2363" spans="1:3">
      <c r="A2363" s="3">
        <f t="shared" si="68"/>
        <v>2029</v>
      </c>
      <c r="B2363" s="106">
        <f t="shared" si="69"/>
        <v>226</v>
      </c>
      <c r="C2363" s="107">
        <f ca="1">OFFSET(tab_tipo_Combustivel!$A$1,MATCH(B2363,tab_tipo_Combustivel!$A$2:$A$150,0),MATCH(A2363,tab_tipo_Combustivel!$B$1:$AQ$1,0),1,1)</f>
        <v>1061.1300000000001</v>
      </c>
    </row>
    <row r="2364" spans="1:3">
      <c r="A2364" s="3">
        <f t="shared" si="68"/>
        <v>2029</v>
      </c>
      <c r="B2364" s="106">
        <f t="shared" si="69"/>
        <v>227</v>
      </c>
      <c r="C2364" s="107">
        <f ca="1">OFFSET(tab_tipo_Combustivel!$A$1,MATCH(B2364,tab_tipo_Combustivel!$A$2:$A$150,0),MATCH(A2364,tab_tipo_Combustivel!$B$1:$AQ$1,0),1,1)</f>
        <v>447.52</v>
      </c>
    </row>
    <row r="2365" spans="1:3">
      <c r="A2365" s="3">
        <f t="shared" si="68"/>
        <v>2029</v>
      </c>
      <c r="B2365" s="106">
        <f t="shared" si="69"/>
        <v>228</v>
      </c>
      <c r="C2365" s="107">
        <f ca="1">OFFSET(tab_tipo_Combustivel!$A$1,MATCH(B2365,tab_tipo_Combustivel!$A$2:$A$150,0),MATCH(A2365,tab_tipo_Combustivel!$B$1:$AQ$1,0),1,1)</f>
        <v>1061.1400000000001</v>
      </c>
    </row>
    <row r="2366" spans="1:3">
      <c r="A2366" s="3">
        <f t="shared" si="68"/>
        <v>2029</v>
      </c>
      <c r="B2366" s="106">
        <f t="shared" si="69"/>
        <v>229</v>
      </c>
      <c r="C2366" s="107">
        <f ca="1">OFFSET(tab_tipo_Combustivel!$A$1,MATCH(B2366,tab_tipo_Combustivel!$A$2:$A$150,0),MATCH(A2366,tab_tipo_Combustivel!$B$1:$AQ$1,0),1,1)</f>
        <v>942.05</v>
      </c>
    </row>
    <row r="2367" spans="1:3">
      <c r="A2367" s="3">
        <f t="shared" si="68"/>
        <v>2029</v>
      </c>
      <c r="B2367" s="106">
        <f t="shared" si="69"/>
        <v>230</v>
      </c>
      <c r="C2367" s="107">
        <f ca="1">OFFSET(tab_tipo_Combustivel!$A$1,MATCH(B2367,tab_tipo_Combustivel!$A$2:$A$150,0),MATCH(A2367,tab_tipo_Combustivel!$B$1:$AQ$1,0),1,1)</f>
        <v>495.06</v>
      </c>
    </row>
    <row r="2368" spans="1:3">
      <c r="A2368" s="3">
        <f t="shared" si="68"/>
        <v>2029</v>
      </c>
      <c r="B2368" s="106">
        <f t="shared" si="69"/>
        <v>231</v>
      </c>
      <c r="C2368" s="107">
        <f ca="1">OFFSET(tab_tipo_Combustivel!$A$1,MATCH(B2368,tab_tipo_Combustivel!$A$2:$A$150,0),MATCH(A2368,tab_tipo_Combustivel!$B$1:$AQ$1,0),1,1)</f>
        <v>489.29</v>
      </c>
    </row>
    <row r="2369" spans="1:3">
      <c r="A2369" s="3">
        <f t="shared" si="68"/>
        <v>2029</v>
      </c>
      <c r="B2369" s="106">
        <f t="shared" si="69"/>
        <v>232</v>
      </c>
      <c r="C2369" s="107">
        <f ca="1">OFFSET(tab_tipo_Combustivel!$A$1,MATCH(B2369,tab_tipo_Combustivel!$A$2:$A$150,0),MATCH(A2369,tab_tipo_Combustivel!$B$1:$AQ$1,0),1,1)</f>
        <v>842.33</v>
      </c>
    </row>
    <row r="2370" spans="1:3">
      <c r="A2370" s="3">
        <f t="shared" si="68"/>
        <v>2029</v>
      </c>
      <c r="B2370" s="106">
        <f t="shared" si="69"/>
        <v>233</v>
      </c>
      <c r="C2370" s="107">
        <f ca="1">OFFSET(tab_tipo_Combustivel!$A$1,MATCH(B2370,tab_tipo_Combustivel!$A$2:$A$150,0),MATCH(A2370,tab_tipo_Combustivel!$B$1:$AQ$1,0),1,1)</f>
        <v>984.29</v>
      </c>
    </row>
    <row r="2371" spans="1:3">
      <c r="A2371" s="3">
        <f t="shared" si="68"/>
        <v>2029</v>
      </c>
      <c r="B2371" s="106">
        <f t="shared" si="69"/>
        <v>234</v>
      </c>
      <c r="C2371" s="107">
        <f ca="1">OFFSET(tab_tipo_Combustivel!$A$1,MATCH(B2371,tab_tipo_Combustivel!$A$2:$A$150,0),MATCH(A2371,tab_tipo_Combustivel!$B$1:$AQ$1,0),1,1)</f>
        <v>290.26</v>
      </c>
    </row>
    <row r="2372" spans="1:3">
      <c r="A2372" s="3">
        <f t="shared" si="68"/>
        <v>2029</v>
      </c>
      <c r="B2372" s="106">
        <f t="shared" si="69"/>
        <v>235</v>
      </c>
      <c r="C2372" s="107">
        <f ca="1">OFFSET(tab_tipo_Combustivel!$A$1,MATCH(B2372,tab_tipo_Combustivel!$A$2:$A$150,0),MATCH(A2372,tab_tipo_Combustivel!$B$1:$AQ$1,0),1,1)</f>
        <v>1350.87</v>
      </c>
    </row>
    <row r="2373" spans="1:3">
      <c r="A2373" s="3">
        <f t="shared" si="68"/>
        <v>2029</v>
      </c>
      <c r="B2373" s="106">
        <f t="shared" si="69"/>
        <v>236</v>
      </c>
      <c r="C2373" s="107">
        <f ca="1">OFFSET(tab_tipo_Combustivel!$A$1,MATCH(B2373,tab_tipo_Combustivel!$A$2:$A$150,0),MATCH(A2373,tab_tipo_Combustivel!$B$1:$AQ$1,0),1,1)</f>
        <v>842.33</v>
      </c>
    </row>
    <row r="2374" spans="1:3">
      <c r="A2374" s="3">
        <f t="shared" si="68"/>
        <v>2029</v>
      </c>
      <c r="B2374" s="106">
        <f t="shared" si="69"/>
        <v>237</v>
      </c>
      <c r="C2374" s="107">
        <f ca="1">OFFSET(tab_tipo_Combustivel!$A$1,MATCH(B2374,tab_tipo_Combustivel!$A$2:$A$150,0),MATCH(A2374,tab_tipo_Combustivel!$B$1:$AQ$1,0),1,1)</f>
        <v>760.85</v>
      </c>
    </row>
    <row r="2375" spans="1:3">
      <c r="A2375" s="3">
        <f t="shared" si="68"/>
        <v>2029</v>
      </c>
      <c r="B2375" s="106">
        <f t="shared" si="69"/>
        <v>238</v>
      </c>
      <c r="C2375" s="107">
        <f ca="1">OFFSET(tab_tipo_Combustivel!$A$1,MATCH(B2375,tab_tipo_Combustivel!$A$2:$A$150,0),MATCH(A2375,tab_tipo_Combustivel!$B$1:$AQ$1,0),1,1)</f>
        <v>963.75</v>
      </c>
    </row>
    <row r="2376" spans="1:3">
      <c r="A2376" s="3">
        <f t="shared" si="68"/>
        <v>2029</v>
      </c>
      <c r="B2376" s="106">
        <f t="shared" si="69"/>
        <v>239</v>
      </c>
      <c r="C2376" s="107">
        <f ca="1">OFFSET(tab_tipo_Combustivel!$A$1,MATCH(B2376,tab_tipo_Combustivel!$A$2:$A$150,0),MATCH(A2376,tab_tipo_Combustivel!$B$1:$AQ$1,0),1,1)</f>
        <v>963.75</v>
      </c>
    </row>
    <row r="2377" spans="1:3">
      <c r="A2377" s="3">
        <f t="shared" si="68"/>
        <v>2029</v>
      </c>
      <c r="B2377" s="106">
        <f t="shared" si="69"/>
        <v>240</v>
      </c>
      <c r="C2377" s="107">
        <f ca="1">OFFSET(tab_tipo_Combustivel!$A$1,MATCH(B2377,tab_tipo_Combustivel!$A$2:$A$150,0),MATCH(A2377,tab_tipo_Combustivel!$B$1:$AQ$1,0),1,1)</f>
        <v>1115.96</v>
      </c>
    </row>
    <row r="2378" spans="1:3">
      <c r="A2378" s="3">
        <f t="shared" ref="A2378:A2441" si="70">A2243+1</f>
        <v>2029</v>
      </c>
      <c r="B2378" s="106">
        <f t="shared" ref="B2378:B2441" si="71">B2243</f>
        <v>241</v>
      </c>
      <c r="C2378" s="107">
        <f ca="1">OFFSET(tab_tipo_Combustivel!$A$1,MATCH(B2378,tab_tipo_Combustivel!$A$2:$A$150,0),MATCH(A2378,tab_tipo_Combustivel!$B$1:$AQ$1,0),1,1)</f>
        <v>495.75</v>
      </c>
    </row>
    <row r="2379" spans="1:3">
      <c r="A2379" s="3">
        <f t="shared" si="70"/>
        <v>2029</v>
      </c>
      <c r="B2379" s="106">
        <f t="shared" si="71"/>
        <v>242</v>
      </c>
      <c r="C2379" s="107">
        <f ca="1">OFFSET(tab_tipo_Combustivel!$A$1,MATCH(B2379,tab_tipo_Combustivel!$A$2:$A$150,0),MATCH(A2379,tab_tipo_Combustivel!$B$1:$AQ$1,0),1,1)</f>
        <v>1176.45</v>
      </c>
    </row>
    <row r="2380" spans="1:3">
      <c r="A2380" s="3">
        <f t="shared" si="70"/>
        <v>2029</v>
      </c>
      <c r="B2380" s="106">
        <f t="shared" si="71"/>
        <v>243</v>
      </c>
      <c r="C2380" s="107">
        <f ca="1">OFFSET(tab_tipo_Combustivel!$A$1,MATCH(B2380,tab_tipo_Combustivel!$A$2:$A$150,0),MATCH(A2380,tab_tipo_Combustivel!$B$1:$AQ$1,0),1,1)</f>
        <v>495.08</v>
      </c>
    </row>
    <row r="2381" spans="1:3">
      <c r="A2381" s="3">
        <f t="shared" si="70"/>
        <v>2029</v>
      </c>
      <c r="B2381" s="106">
        <f t="shared" si="71"/>
        <v>244</v>
      </c>
      <c r="C2381" s="107">
        <f ca="1">OFFSET(tab_tipo_Combustivel!$A$1,MATCH(B2381,tab_tipo_Combustivel!$A$2:$A$150,0),MATCH(A2381,tab_tipo_Combustivel!$B$1:$AQ$1,0),1,1)</f>
        <v>495.06</v>
      </c>
    </row>
    <row r="2382" spans="1:3">
      <c r="A2382" s="3">
        <f t="shared" si="70"/>
        <v>2029</v>
      </c>
      <c r="B2382" s="106">
        <f t="shared" si="71"/>
        <v>245</v>
      </c>
      <c r="C2382" s="107">
        <f ca="1">OFFSET(tab_tipo_Combustivel!$A$1,MATCH(B2382,tab_tipo_Combustivel!$A$2:$A$150,0),MATCH(A2382,tab_tipo_Combustivel!$B$1:$AQ$1,0),1,1)</f>
        <v>562.65</v>
      </c>
    </row>
    <row r="2383" spans="1:3">
      <c r="A2383" s="3">
        <f t="shared" si="70"/>
        <v>2029</v>
      </c>
      <c r="B2383" s="106">
        <f t="shared" si="71"/>
        <v>246</v>
      </c>
      <c r="C2383" s="107">
        <f ca="1">OFFSET(tab_tipo_Combustivel!$A$1,MATCH(B2383,tab_tipo_Combustivel!$A$2:$A$150,0),MATCH(A2383,tab_tipo_Combustivel!$B$1:$AQ$1,0),1,1)</f>
        <v>1124.53</v>
      </c>
    </row>
    <row r="2384" spans="1:3">
      <c r="A2384" s="3">
        <f t="shared" si="70"/>
        <v>2029</v>
      </c>
      <c r="B2384" s="106">
        <f t="shared" si="71"/>
        <v>247</v>
      </c>
      <c r="C2384" s="107">
        <f ca="1">OFFSET(tab_tipo_Combustivel!$A$1,MATCH(B2384,tab_tipo_Combustivel!$A$2:$A$150,0),MATCH(A2384,tab_tipo_Combustivel!$B$1:$AQ$1,0),1,1)</f>
        <v>609.51</v>
      </c>
    </row>
    <row r="2385" spans="1:3">
      <c r="A2385" s="3">
        <f t="shared" si="70"/>
        <v>2029</v>
      </c>
      <c r="B2385" s="106">
        <f t="shared" si="71"/>
        <v>248</v>
      </c>
      <c r="C2385" s="107">
        <f ca="1">OFFSET(tab_tipo_Combustivel!$A$1,MATCH(B2385,tab_tipo_Combustivel!$A$2:$A$150,0),MATCH(A2385,tab_tipo_Combustivel!$B$1:$AQ$1,0),1,1)</f>
        <v>495.06</v>
      </c>
    </row>
    <row r="2386" spans="1:3">
      <c r="A2386" s="3">
        <f t="shared" si="70"/>
        <v>2029</v>
      </c>
      <c r="B2386" s="106">
        <f t="shared" si="71"/>
        <v>249</v>
      </c>
      <c r="C2386" s="107">
        <f ca="1">OFFSET(tab_tipo_Combustivel!$A$1,MATCH(B2386,tab_tipo_Combustivel!$A$2:$A$150,0),MATCH(A2386,tab_tipo_Combustivel!$B$1:$AQ$1,0),1,1)</f>
        <v>842.33</v>
      </c>
    </row>
    <row r="2387" spans="1:3">
      <c r="A2387" s="3">
        <f t="shared" si="70"/>
        <v>2029</v>
      </c>
      <c r="B2387" s="106">
        <f t="shared" si="71"/>
        <v>250</v>
      </c>
      <c r="C2387" s="107">
        <f ca="1">OFFSET(tab_tipo_Combustivel!$A$1,MATCH(B2387,tab_tipo_Combustivel!$A$2:$A$150,0),MATCH(A2387,tab_tipo_Combustivel!$B$1:$AQ$1,0),1,1)</f>
        <v>1176.45</v>
      </c>
    </row>
    <row r="2388" spans="1:3">
      <c r="A2388" s="3">
        <f t="shared" si="70"/>
        <v>2029</v>
      </c>
      <c r="B2388" s="106">
        <f t="shared" si="71"/>
        <v>251</v>
      </c>
      <c r="C2388" s="107">
        <f ca="1">OFFSET(tab_tipo_Combustivel!$A$1,MATCH(B2388,tab_tipo_Combustivel!$A$2:$A$150,0),MATCH(A2388,tab_tipo_Combustivel!$B$1:$AQ$1,0),1,1)</f>
        <v>842.33</v>
      </c>
    </row>
    <row r="2389" spans="1:3">
      <c r="A2389" s="3">
        <f t="shared" si="70"/>
        <v>2029</v>
      </c>
      <c r="B2389" s="106">
        <f t="shared" si="71"/>
        <v>252</v>
      </c>
      <c r="C2389" s="107">
        <f ca="1">OFFSET(tab_tipo_Combustivel!$A$1,MATCH(B2389,tab_tipo_Combustivel!$A$2:$A$150,0),MATCH(A2389,tab_tipo_Combustivel!$B$1:$AQ$1,0),1,1)</f>
        <v>842.33</v>
      </c>
    </row>
    <row r="2390" spans="1:3">
      <c r="A2390" s="3">
        <f t="shared" si="70"/>
        <v>2029</v>
      </c>
      <c r="B2390" s="106">
        <f t="shared" si="71"/>
        <v>253</v>
      </c>
      <c r="C2390" s="107">
        <f ca="1">OFFSET(tab_tipo_Combustivel!$A$1,MATCH(B2390,tab_tipo_Combustivel!$A$2:$A$150,0),MATCH(A2390,tab_tipo_Combustivel!$B$1:$AQ$1,0),1,1)</f>
        <v>279.45</v>
      </c>
    </row>
    <row r="2391" spans="1:3">
      <c r="A2391" s="3">
        <f t="shared" si="70"/>
        <v>2029</v>
      </c>
      <c r="B2391" s="106">
        <f t="shared" si="71"/>
        <v>254</v>
      </c>
      <c r="C2391" s="107">
        <f ca="1">OFFSET(tab_tipo_Combustivel!$A$1,MATCH(B2391,tab_tipo_Combustivel!$A$2:$A$150,0),MATCH(A2391,tab_tipo_Combustivel!$B$1:$AQ$1,0),1,1)</f>
        <v>1153.98</v>
      </c>
    </row>
    <row r="2392" spans="1:3">
      <c r="A2392" s="3">
        <f t="shared" si="70"/>
        <v>2029</v>
      </c>
      <c r="B2392" s="106">
        <f t="shared" si="71"/>
        <v>255</v>
      </c>
      <c r="C2392" s="107">
        <f ca="1">OFFSET(tab_tipo_Combustivel!$A$1,MATCH(B2392,tab_tipo_Combustivel!$A$2:$A$150,0),MATCH(A2392,tab_tipo_Combustivel!$B$1:$AQ$1,0),1,1)</f>
        <v>828.98</v>
      </c>
    </row>
    <row r="2393" spans="1:3">
      <c r="A2393" s="3">
        <f t="shared" si="70"/>
        <v>2029</v>
      </c>
      <c r="B2393" s="106">
        <f t="shared" si="71"/>
        <v>256</v>
      </c>
      <c r="C2393" s="107">
        <f ca="1">OFFSET(tab_tipo_Combustivel!$A$1,MATCH(B2393,tab_tipo_Combustivel!$A$2:$A$150,0),MATCH(A2393,tab_tipo_Combustivel!$B$1:$AQ$1,0),1,1)</f>
        <v>562.65</v>
      </c>
    </row>
    <row r="2394" spans="1:3">
      <c r="A2394" s="3">
        <f t="shared" si="70"/>
        <v>2029</v>
      </c>
      <c r="B2394" s="106">
        <f t="shared" si="71"/>
        <v>257</v>
      </c>
      <c r="C2394" s="107">
        <f ca="1">OFFSET(tab_tipo_Combustivel!$A$1,MATCH(B2394,tab_tipo_Combustivel!$A$2:$A$150,0),MATCH(A2394,tab_tipo_Combustivel!$B$1:$AQ$1,0),1,1)</f>
        <v>907.52</v>
      </c>
    </row>
    <row r="2395" spans="1:3">
      <c r="A2395" s="3">
        <f t="shared" si="70"/>
        <v>2029</v>
      </c>
      <c r="B2395" s="106">
        <f t="shared" si="71"/>
        <v>258</v>
      </c>
      <c r="C2395" s="107">
        <f ca="1">OFFSET(tab_tipo_Combustivel!$A$1,MATCH(B2395,tab_tipo_Combustivel!$A$2:$A$150,0),MATCH(A2395,tab_tipo_Combustivel!$B$1:$AQ$1,0),1,1)</f>
        <v>1016.04</v>
      </c>
    </row>
    <row r="2396" spans="1:3">
      <c r="A2396" s="3">
        <f t="shared" si="70"/>
        <v>2029</v>
      </c>
      <c r="B2396" s="106">
        <f t="shared" si="71"/>
        <v>259</v>
      </c>
      <c r="C2396" s="107">
        <f ca="1">OFFSET(tab_tipo_Combustivel!$A$1,MATCH(B2396,tab_tipo_Combustivel!$A$2:$A$150,0),MATCH(A2396,tab_tipo_Combustivel!$B$1:$AQ$1,0),1,1)</f>
        <v>977.53</v>
      </c>
    </row>
    <row r="2397" spans="1:3">
      <c r="A2397" s="3">
        <f t="shared" si="70"/>
        <v>2029</v>
      </c>
      <c r="B2397" s="106">
        <f t="shared" si="71"/>
        <v>260</v>
      </c>
      <c r="C2397" s="107">
        <f ca="1">OFFSET(tab_tipo_Combustivel!$A$1,MATCH(B2397,tab_tipo_Combustivel!$A$2:$A$150,0),MATCH(A2397,tab_tipo_Combustivel!$B$1:$AQ$1,0),1,1)</f>
        <v>827.17</v>
      </c>
    </row>
    <row r="2398" spans="1:3">
      <c r="A2398" s="3">
        <f t="shared" si="70"/>
        <v>2029</v>
      </c>
      <c r="B2398" s="106">
        <f t="shared" si="71"/>
        <v>261</v>
      </c>
      <c r="C2398" s="107">
        <f ca="1">OFFSET(tab_tipo_Combustivel!$A$1,MATCH(B2398,tab_tipo_Combustivel!$A$2:$A$150,0),MATCH(A2398,tab_tipo_Combustivel!$B$1:$AQ$1,0),1,1)</f>
        <v>829.7</v>
      </c>
    </row>
    <row r="2399" spans="1:3">
      <c r="A2399" s="3">
        <f t="shared" si="70"/>
        <v>2029</v>
      </c>
      <c r="B2399" s="106">
        <f t="shared" si="71"/>
        <v>262</v>
      </c>
      <c r="C2399" s="107">
        <f ca="1">OFFSET(tab_tipo_Combustivel!$A$1,MATCH(B2399,tab_tipo_Combustivel!$A$2:$A$150,0),MATCH(A2399,tab_tipo_Combustivel!$B$1:$AQ$1,0),1,1)</f>
        <v>495.75</v>
      </c>
    </row>
    <row r="2400" spans="1:3">
      <c r="A2400" s="3">
        <f t="shared" si="70"/>
        <v>2029</v>
      </c>
      <c r="B2400" s="106">
        <f t="shared" si="71"/>
        <v>263</v>
      </c>
      <c r="C2400" s="107">
        <f ca="1">OFFSET(tab_tipo_Combustivel!$A$1,MATCH(B2400,tab_tipo_Combustivel!$A$2:$A$150,0),MATCH(A2400,tab_tipo_Combustivel!$B$1:$AQ$1,0),1,1)</f>
        <v>474.77</v>
      </c>
    </row>
    <row r="2401" spans="1:3">
      <c r="A2401" s="3">
        <f t="shared" si="70"/>
        <v>2029</v>
      </c>
      <c r="B2401" s="106">
        <f t="shared" si="71"/>
        <v>264</v>
      </c>
      <c r="C2401" s="107">
        <f ca="1">OFFSET(tab_tipo_Combustivel!$A$1,MATCH(B2401,tab_tipo_Combustivel!$A$2:$A$150,0),MATCH(A2401,tab_tipo_Combustivel!$B$1:$AQ$1,0),1,1)</f>
        <v>842.33</v>
      </c>
    </row>
    <row r="2402" spans="1:3">
      <c r="A2402" s="3">
        <f t="shared" si="70"/>
        <v>2029</v>
      </c>
      <c r="B2402" s="106">
        <f t="shared" si="71"/>
        <v>265</v>
      </c>
      <c r="C2402" s="107">
        <f ca="1">OFFSET(tab_tipo_Combustivel!$A$1,MATCH(B2402,tab_tipo_Combustivel!$A$2:$A$150,0),MATCH(A2402,tab_tipo_Combustivel!$B$1:$AQ$1,0),1,1)</f>
        <v>415.82</v>
      </c>
    </row>
    <row r="2403" spans="1:3">
      <c r="A2403" s="3">
        <f t="shared" si="70"/>
        <v>2029</v>
      </c>
      <c r="B2403" s="106">
        <f t="shared" si="71"/>
        <v>266</v>
      </c>
      <c r="C2403" s="107">
        <f ca="1">OFFSET(tab_tipo_Combustivel!$A$1,MATCH(B2403,tab_tipo_Combustivel!$A$2:$A$150,0),MATCH(A2403,tab_tipo_Combustivel!$B$1:$AQ$1,0),1,1)</f>
        <v>827.17</v>
      </c>
    </row>
    <row r="2404" spans="1:3">
      <c r="A2404" s="3">
        <f t="shared" si="70"/>
        <v>2029</v>
      </c>
      <c r="B2404" s="106">
        <f t="shared" si="71"/>
        <v>301</v>
      </c>
      <c r="C2404" s="107">
        <f ca="1">OFFSET(tab_tipo_Combustivel!$A$1,MATCH(B2404,tab_tipo_Combustivel!$A$2:$A$150,0),MATCH(A2404,tab_tipo_Combustivel!$B$1:$AQ$1,0),1,1)</f>
        <v>99.08</v>
      </c>
    </row>
    <row r="2405" spans="1:3">
      <c r="A2405" s="3">
        <f t="shared" si="70"/>
        <v>2029</v>
      </c>
      <c r="B2405" s="106">
        <f t="shared" si="71"/>
        <v>302</v>
      </c>
      <c r="C2405" s="107">
        <f ca="1">OFFSET(tab_tipo_Combustivel!$A$1,MATCH(B2405,tab_tipo_Combustivel!$A$2:$A$150,0),MATCH(A2405,tab_tipo_Combustivel!$B$1:$AQ$1,0),1,1)</f>
        <v>103.73</v>
      </c>
    </row>
    <row r="2406" spans="1:3">
      <c r="A2406" s="3">
        <f t="shared" si="70"/>
        <v>2029</v>
      </c>
      <c r="B2406" s="106">
        <f t="shared" si="71"/>
        <v>303</v>
      </c>
      <c r="C2406" s="107">
        <f ca="1">OFFSET(tab_tipo_Combustivel!$A$1,MATCH(B2406,tab_tipo_Combustivel!$A$2:$A$150,0),MATCH(A2406,tab_tipo_Combustivel!$B$1:$AQ$1,0),1,1)</f>
        <v>103.73</v>
      </c>
    </row>
    <row r="2407" spans="1:3">
      <c r="A2407" s="3">
        <f t="shared" si="70"/>
        <v>2029</v>
      </c>
      <c r="B2407" s="106">
        <f t="shared" si="71"/>
        <v>304</v>
      </c>
      <c r="C2407" s="107">
        <f ca="1">OFFSET(tab_tipo_Combustivel!$A$1,MATCH(B2407,tab_tipo_Combustivel!$A$2:$A$150,0),MATCH(A2407,tab_tipo_Combustivel!$B$1:$AQ$1,0),1,1)</f>
        <v>139.41999999999999</v>
      </c>
    </row>
    <row r="2408" spans="1:3">
      <c r="A2408" s="3">
        <f t="shared" si="70"/>
        <v>2029</v>
      </c>
      <c r="B2408" s="106">
        <f t="shared" si="71"/>
        <v>305</v>
      </c>
      <c r="C2408" s="107">
        <f ca="1">OFFSET(tab_tipo_Combustivel!$A$1,MATCH(B2408,tab_tipo_Combustivel!$A$2:$A$150,0),MATCH(A2408,tab_tipo_Combustivel!$B$1:$AQ$1,0),1,1)</f>
        <v>89.7</v>
      </c>
    </row>
    <row r="2409" spans="1:3">
      <c r="A2409" s="3">
        <f t="shared" si="70"/>
        <v>2029</v>
      </c>
      <c r="B2409" s="106">
        <f t="shared" si="71"/>
        <v>306</v>
      </c>
      <c r="C2409" s="107">
        <f ca="1">OFFSET(tab_tipo_Combustivel!$A$1,MATCH(B2409,tab_tipo_Combustivel!$A$2:$A$150,0),MATCH(A2409,tab_tipo_Combustivel!$B$1:$AQ$1,0),1,1)</f>
        <v>100.38</v>
      </c>
    </row>
    <row r="2410" spans="1:3">
      <c r="A2410" s="3">
        <f t="shared" si="70"/>
        <v>2029</v>
      </c>
      <c r="B2410" s="106">
        <f t="shared" si="71"/>
        <v>307</v>
      </c>
      <c r="C2410" s="107">
        <f ca="1">OFFSET(tab_tipo_Combustivel!$A$1,MATCH(B2410,tab_tipo_Combustivel!$A$2:$A$150,0),MATCH(A2410,tab_tipo_Combustivel!$B$1:$AQ$1,0),1,1)</f>
        <v>510.12</v>
      </c>
    </row>
    <row r="2411" spans="1:3">
      <c r="A2411" s="3">
        <f t="shared" si="70"/>
        <v>2029</v>
      </c>
      <c r="B2411" s="106">
        <f t="shared" si="71"/>
        <v>308</v>
      </c>
      <c r="C2411" s="107">
        <f ca="1">OFFSET(tab_tipo_Combustivel!$A$1,MATCH(B2411,tab_tipo_Combustivel!$A$2:$A$150,0),MATCH(A2411,tab_tipo_Combustivel!$B$1:$AQ$1,0),1,1)</f>
        <v>72.5</v>
      </c>
    </row>
    <row r="2412" spans="1:3">
      <c r="A2412" s="3">
        <f t="shared" si="70"/>
        <v>2029</v>
      </c>
      <c r="B2412" s="106">
        <f t="shared" si="71"/>
        <v>309</v>
      </c>
      <c r="C2412" s="107">
        <f ca="1">OFFSET(tab_tipo_Combustivel!$A$1,MATCH(B2412,tab_tipo_Combustivel!$A$2:$A$150,0),MATCH(A2412,tab_tipo_Combustivel!$B$1:$AQ$1,0),1,1)</f>
        <v>126.77</v>
      </c>
    </row>
    <row r="2413" spans="1:3">
      <c r="A2413" s="3">
        <f t="shared" si="70"/>
        <v>2029</v>
      </c>
      <c r="B2413" s="106">
        <f t="shared" si="71"/>
        <v>310</v>
      </c>
      <c r="C2413" s="107">
        <f ca="1">OFFSET(tab_tipo_Combustivel!$A$1,MATCH(B2413,tab_tipo_Combustivel!$A$2:$A$150,0),MATCH(A2413,tab_tipo_Combustivel!$B$1:$AQ$1,0),1,1)</f>
        <v>275.99</v>
      </c>
    </row>
    <row r="2414" spans="1:3">
      <c r="A2414" s="3">
        <f t="shared" si="70"/>
        <v>2029</v>
      </c>
      <c r="B2414" s="106">
        <f t="shared" si="71"/>
        <v>311</v>
      </c>
      <c r="C2414" s="107">
        <f ca="1">OFFSET(tab_tipo_Combustivel!$A$1,MATCH(B2414,tab_tipo_Combustivel!$A$2:$A$150,0),MATCH(A2414,tab_tipo_Combustivel!$B$1:$AQ$1,0),1,1)</f>
        <v>70.66</v>
      </c>
    </row>
    <row r="2415" spans="1:3">
      <c r="A2415" s="3">
        <f t="shared" si="70"/>
        <v>2029</v>
      </c>
      <c r="B2415" s="106">
        <f t="shared" si="71"/>
        <v>312</v>
      </c>
      <c r="C2415" s="107">
        <f ca="1">OFFSET(tab_tipo_Combustivel!$A$1,MATCH(B2415,tab_tipo_Combustivel!$A$2:$A$150,0),MATCH(A2415,tab_tipo_Combustivel!$B$1:$AQ$1,0),1,1)</f>
        <v>0</v>
      </c>
    </row>
    <row r="2416" spans="1:3">
      <c r="A2416" s="3">
        <f t="shared" si="70"/>
        <v>2029</v>
      </c>
      <c r="B2416" s="106">
        <f t="shared" si="71"/>
        <v>1301</v>
      </c>
      <c r="C2416" s="107">
        <f ca="1">OFFSET(tab_tipo_Combustivel!$A$1,MATCH(B2416,tab_tipo_Combustivel!$A$2:$A$150,0),MATCH(A2416,tab_tipo_Combustivel!$B$1:$AQ$1,0),1,1)</f>
        <v>242.05</v>
      </c>
    </row>
    <row r="2417" spans="1:3">
      <c r="A2417" s="3">
        <f t="shared" si="70"/>
        <v>2029</v>
      </c>
      <c r="B2417" s="106">
        <f t="shared" si="71"/>
        <v>1302</v>
      </c>
      <c r="C2417" s="107">
        <f ca="1">OFFSET(tab_tipo_Combustivel!$A$1,MATCH(B2417,tab_tipo_Combustivel!$A$2:$A$150,0),MATCH(A2417,tab_tipo_Combustivel!$B$1:$AQ$1,0),1,1)</f>
        <v>193.64</v>
      </c>
    </row>
    <row r="2418" spans="1:3">
      <c r="A2418" s="3">
        <f t="shared" si="70"/>
        <v>2029</v>
      </c>
      <c r="B2418" s="106">
        <f t="shared" si="71"/>
        <v>1303</v>
      </c>
      <c r="C2418" s="107">
        <f ca="1">OFFSET(tab_tipo_Combustivel!$A$1,MATCH(B2418,tab_tipo_Combustivel!$A$2:$A$150,0),MATCH(A2418,tab_tipo_Combustivel!$B$1:$AQ$1,0),1,1)</f>
        <v>25.58</v>
      </c>
    </row>
    <row r="2419" spans="1:3">
      <c r="A2419" s="3">
        <f t="shared" si="70"/>
        <v>2029</v>
      </c>
      <c r="B2419" s="106">
        <f t="shared" si="71"/>
        <v>1304</v>
      </c>
      <c r="C2419" s="107">
        <f ca="1">OFFSET(tab_tipo_Combustivel!$A$1,MATCH(B2419,tab_tipo_Combustivel!$A$2:$A$150,0),MATCH(A2419,tab_tipo_Combustivel!$B$1:$AQ$1,0),1,1)</f>
        <v>0</v>
      </c>
    </row>
    <row r="2420" spans="1:3">
      <c r="A2420" s="3">
        <f t="shared" si="70"/>
        <v>2029</v>
      </c>
      <c r="B2420" s="106">
        <f t="shared" si="71"/>
        <v>1315</v>
      </c>
      <c r="C2420" s="107">
        <f ca="1">OFFSET(tab_tipo_Combustivel!$A$1,MATCH(B2420,tab_tipo_Combustivel!$A$2:$A$150,0),MATCH(A2420,tab_tipo_Combustivel!$B$1:$AQ$1,0),1,1)</f>
        <v>0</v>
      </c>
    </row>
    <row r="2421" spans="1:3">
      <c r="A2421" s="3">
        <f t="shared" si="70"/>
        <v>2029</v>
      </c>
      <c r="B2421" s="106">
        <f t="shared" si="71"/>
        <v>1316</v>
      </c>
      <c r="C2421" s="107">
        <f ca="1">OFFSET(tab_tipo_Combustivel!$A$1,MATCH(B2421,tab_tipo_Combustivel!$A$2:$A$150,0),MATCH(A2421,tab_tipo_Combustivel!$B$1:$AQ$1,0),1,1)</f>
        <v>0</v>
      </c>
    </row>
    <row r="2422" spans="1:3">
      <c r="A2422" s="3">
        <f t="shared" si="70"/>
        <v>2029</v>
      </c>
      <c r="B2422" s="106">
        <f t="shared" si="71"/>
        <v>1318</v>
      </c>
      <c r="C2422" s="107">
        <f ca="1">OFFSET(tab_tipo_Combustivel!$A$1,MATCH(B2422,tab_tipo_Combustivel!$A$2:$A$150,0),MATCH(A2422,tab_tipo_Combustivel!$B$1:$AQ$1,0),1,1)</f>
        <v>200</v>
      </c>
    </row>
    <row r="2423" spans="1:3">
      <c r="A2423" s="3">
        <f t="shared" si="70"/>
        <v>2029</v>
      </c>
      <c r="B2423" s="106">
        <f t="shared" si="71"/>
        <v>1321</v>
      </c>
      <c r="C2423" s="107">
        <f ca="1">OFFSET(tab_tipo_Combustivel!$A$1,MATCH(B2423,tab_tipo_Combustivel!$A$2:$A$150,0),MATCH(A2423,tab_tipo_Combustivel!$B$1:$AQ$1,0),1,1)</f>
        <v>85</v>
      </c>
    </row>
    <row r="2424" spans="1:3">
      <c r="A2424" s="3">
        <f t="shared" si="70"/>
        <v>2029</v>
      </c>
      <c r="B2424" s="106">
        <f t="shared" si="71"/>
        <v>1322</v>
      </c>
      <c r="C2424" s="107">
        <f ca="1">OFFSET(tab_tipo_Combustivel!$A$1,MATCH(B2424,tab_tipo_Combustivel!$A$2:$A$150,0),MATCH(A2424,tab_tipo_Combustivel!$B$1:$AQ$1,0),1,1)</f>
        <v>140</v>
      </c>
    </row>
    <row r="2425" spans="1:3">
      <c r="A2425" s="3">
        <f t="shared" si="70"/>
        <v>2029</v>
      </c>
      <c r="B2425" s="106">
        <f t="shared" si="71"/>
        <v>1323</v>
      </c>
      <c r="C2425" s="107">
        <f ca="1">OFFSET(tab_tipo_Combustivel!$A$1,MATCH(B2425,tab_tipo_Combustivel!$A$2:$A$150,0),MATCH(A2425,tab_tipo_Combustivel!$B$1:$AQ$1,0),1,1)</f>
        <v>63.75</v>
      </c>
    </row>
    <row r="2426" spans="1:3">
      <c r="A2426" s="3">
        <f t="shared" si="70"/>
        <v>2029</v>
      </c>
      <c r="B2426" s="106">
        <f t="shared" si="71"/>
        <v>1325</v>
      </c>
      <c r="C2426" s="107">
        <f ca="1">OFFSET(tab_tipo_Combustivel!$A$1,MATCH(B2426,tab_tipo_Combustivel!$A$2:$A$150,0),MATCH(A2426,tab_tipo_Combustivel!$B$1:$AQ$1,0),1,1)</f>
        <v>0</v>
      </c>
    </row>
    <row r="2427" spans="1:3">
      <c r="A2427" s="3">
        <f t="shared" si="70"/>
        <v>2029</v>
      </c>
      <c r="B2427" s="106">
        <f t="shared" si="71"/>
        <v>1326</v>
      </c>
      <c r="C2427" s="107">
        <f ca="1">OFFSET(tab_tipo_Combustivel!$A$1,MATCH(B2427,tab_tipo_Combustivel!$A$2:$A$150,0),MATCH(A2427,tab_tipo_Combustivel!$B$1:$AQ$1,0),1,1)</f>
        <v>260</v>
      </c>
    </row>
    <row r="2428" spans="1:3">
      <c r="A2428" s="3">
        <f t="shared" si="70"/>
        <v>2029</v>
      </c>
      <c r="B2428" s="106">
        <f t="shared" si="71"/>
        <v>1501</v>
      </c>
      <c r="C2428" s="107">
        <f ca="1">OFFSET(tab_tipo_Combustivel!$A$1,MATCH(B2428,tab_tipo_Combustivel!$A$2:$A$150,0),MATCH(A2428,tab_tipo_Combustivel!$B$1:$AQ$1,0),1,1)</f>
        <v>260</v>
      </c>
    </row>
    <row r="2429" spans="1:3">
      <c r="A2429" s="3">
        <f t="shared" si="70"/>
        <v>2029</v>
      </c>
      <c r="B2429" s="106">
        <f t="shared" si="71"/>
        <v>1502</v>
      </c>
      <c r="C2429" s="107">
        <f ca="1">OFFSET(tab_tipo_Combustivel!$A$1,MATCH(B2429,tab_tipo_Combustivel!$A$2:$A$150,0),MATCH(A2429,tab_tipo_Combustivel!$B$1:$AQ$1,0),1,1)</f>
        <v>60</v>
      </c>
    </row>
    <row r="2430" spans="1:3">
      <c r="A2430" s="3">
        <f t="shared" si="70"/>
        <v>2029</v>
      </c>
      <c r="B2430" s="106">
        <f t="shared" si="71"/>
        <v>1503</v>
      </c>
      <c r="C2430" s="107">
        <f ca="1">OFFSET(tab_tipo_Combustivel!$A$1,MATCH(B2430,tab_tipo_Combustivel!$A$2:$A$150,0),MATCH(A2430,tab_tipo_Combustivel!$B$1:$AQ$1,0),1,1)</f>
        <v>96.82</v>
      </c>
    </row>
    <row r="2431" spans="1:3">
      <c r="A2431" s="3">
        <f t="shared" si="70"/>
        <v>2029</v>
      </c>
      <c r="B2431" s="106">
        <f t="shared" si="71"/>
        <v>1504</v>
      </c>
      <c r="C2431" s="107">
        <f ca="1">OFFSET(tab_tipo_Combustivel!$A$1,MATCH(B2431,tab_tipo_Combustivel!$A$2:$A$150,0),MATCH(A2431,tab_tipo_Combustivel!$B$1:$AQ$1,0),1,1)</f>
        <v>145.22999999999999</v>
      </c>
    </row>
    <row r="2432" spans="1:3">
      <c r="A2432" s="3">
        <f t="shared" si="70"/>
        <v>2030</v>
      </c>
      <c r="B2432" s="106">
        <f t="shared" si="71"/>
        <v>1</v>
      </c>
      <c r="C2432" s="107">
        <f ca="1">OFFSET(tab_tipo_Combustivel!$A$1,MATCH(B2432,tab_tipo_Combustivel!$A$2:$A$150,0),MATCH(A2432,tab_tipo_Combustivel!$B$1:$AQ$1,0),1,1)</f>
        <v>29.13</v>
      </c>
    </row>
    <row r="2433" spans="1:3">
      <c r="A2433" s="3">
        <f t="shared" si="70"/>
        <v>2030</v>
      </c>
      <c r="B2433" s="106">
        <f t="shared" si="71"/>
        <v>2</v>
      </c>
      <c r="C2433" s="107">
        <f ca="1">OFFSET(tab_tipo_Combustivel!$A$1,MATCH(B2433,tab_tipo_Combustivel!$A$2:$A$150,0),MATCH(A2433,tab_tipo_Combustivel!$B$1:$AQ$1,0),1,1)</f>
        <v>842.33</v>
      </c>
    </row>
    <row r="2434" spans="1:3">
      <c r="A2434" s="3">
        <f t="shared" si="70"/>
        <v>2030</v>
      </c>
      <c r="B2434" s="106">
        <f t="shared" si="71"/>
        <v>4</v>
      </c>
      <c r="C2434" s="107">
        <f ca="1">OFFSET(tab_tipo_Combustivel!$A$1,MATCH(B2434,tab_tipo_Combustivel!$A$2:$A$150,0),MATCH(A2434,tab_tipo_Combustivel!$B$1:$AQ$1,0),1,1)</f>
        <v>842.33</v>
      </c>
    </row>
    <row r="2435" spans="1:3">
      <c r="A2435" s="3">
        <f t="shared" si="70"/>
        <v>2030</v>
      </c>
      <c r="B2435" s="106">
        <f t="shared" si="71"/>
        <v>9</v>
      </c>
      <c r="C2435" s="107">
        <f ca="1">OFFSET(tab_tipo_Combustivel!$A$1,MATCH(B2435,tab_tipo_Combustivel!$A$2:$A$150,0),MATCH(A2435,tab_tipo_Combustivel!$B$1:$AQ$1,0),1,1)</f>
        <v>842.33</v>
      </c>
    </row>
    <row r="2436" spans="1:3">
      <c r="A2436" s="3">
        <f t="shared" si="70"/>
        <v>2030</v>
      </c>
      <c r="B2436" s="106">
        <f t="shared" si="71"/>
        <v>12</v>
      </c>
      <c r="C2436" s="107">
        <f ca="1">OFFSET(tab_tipo_Combustivel!$A$1,MATCH(B2436,tab_tipo_Combustivel!$A$2:$A$150,0),MATCH(A2436,tab_tipo_Combustivel!$B$1:$AQ$1,0),1,1)</f>
        <v>728.87</v>
      </c>
    </row>
    <row r="2437" spans="1:3">
      <c r="A2437" s="3">
        <f t="shared" si="70"/>
        <v>2030</v>
      </c>
      <c r="B2437" s="106">
        <f t="shared" si="71"/>
        <v>13</v>
      </c>
      <c r="C2437" s="107">
        <f ca="1">OFFSET(tab_tipo_Combustivel!$A$1,MATCH(B2437,tab_tipo_Combustivel!$A$2:$A$150,0),MATCH(A2437,tab_tipo_Combustivel!$B$1:$AQ$1,0),1,1)</f>
        <v>20.12</v>
      </c>
    </row>
    <row r="2438" spans="1:3">
      <c r="A2438" s="3">
        <f t="shared" si="70"/>
        <v>2030</v>
      </c>
      <c r="B2438" s="106">
        <f t="shared" si="71"/>
        <v>15</v>
      </c>
      <c r="C2438" s="107">
        <f ca="1">OFFSET(tab_tipo_Combustivel!$A$1,MATCH(B2438,tab_tipo_Combustivel!$A$2:$A$150,0),MATCH(A2438,tab_tipo_Combustivel!$B$1:$AQ$1,0),1,1)</f>
        <v>257.29000000000002</v>
      </c>
    </row>
    <row r="2439" spans="1:3">
      <c r="A2439" s="3">
        <f t="shared" si="70"/>
        <v>2030</v>
      </c>
      <c r="B2439" s="106">
        <f t="shared" si="71"/>
        <v>21</v>
      </c>
      <c r="C2439" s="107">
        <f ca="1">OFFSET(tab_tipo_Combustivel!$A$1,MATCH(B2439,tab_tipo_Combustivel!$A$2:$A$150,0),MATCH(A2439,tab_tipo_Combustivel!$B$1:$AQ$1,0),1,1)</f>
        <v>157.83000000000001</v>
      </c>
    </row>
    <row r="2440" spans="1:3">
      <c r="A2440" s="3">
        <f t="shared" si="70"/>
        <v>2030</v>
      </c>
      <c r="B2440" s="106">
        <f t="shared" si="71"/>
        <v>22</v>
      </c>
      <c r="C2440" s="107">
        <f ca="1">OFFSET(tab_tipo_Combustivel!$A$1,MATCH(B2440,tab_tipo_Combustivel!$A$2:$A$150,0),MATCH(A2440,tab_tipo_Combustivel!$B$1:$AQ$1,0),1,1)</f>
        <v>115.9</v>
      </c>
    </row>
    <row r="2441" spans="1:3">
      <c r="A2441" s="3">
        <f t="shared" si="70"/>
        <v>2030</v>
      </c>
      <c r="B2441" s="106">
        <f t="shared" si="71"/>
        <v>23</v>
      </c>
      <c r="C2441" s="107">
        <f ca="1">OFFSET(tab_tipo_Combustivel!$A$1,MATCH(B2441,tab_tipo_Combustivel!$A$2:$A$150,0),MATCH(A2441,tab_tipo_Combustivel!$B$1:$AQ$1,0),1,1)</f>
        <v>115.9</v>
      </c>
    </row>
    <row r="2442" spans="1:3">
      <c r="A2442" s="3">
        <f t="shared" ref="A2442:A2505" si="72">A2307+1</f>
        <v>2030</v>
      </c>
      <c r="B2442" s="106">
        <f t="shared" ref="B2442:B2505" si="73">B2307</f>
        <v>24</v>
      </c>
      <c r="C2442" s="107">
        <f ca="1">OFFSET(tab_tipo_Combustivel!$A$1,MATCH(B2442,tab_tipo_Combustivel!$A$2:$A$150,0),MATCH(A2442,tab_tipo_Combustivel!$B$1:$AQ$1,0),1,1)</f>
        <v>155.85</v>
      </c>
    </row>
    <row r="2443" spans="1:3">
      <c r="A2443" s="3">
        <f t="shared" si="72"/>
        <v>2030</v>
      </c>
      <c r="B2443" s="106">
        <f t="shared" si="73"/>
        <v>25</v>
      </c>
      <c r="C2443" s="107">
        <f ca="1">OFFSET(tab_tipo_Combustivel!$A$1,MATCH(B2443,tab_tipo_Combustivel!$A$2:$A$150,0),MATCH(A2443,tab_tipo_Combustivel!$B$1:$AQ$1,0),1,1)</f>
        <v>186.33</v>
      </c>
    </row>
    <row r="2444" spans="1:3">
      <c r="A2444" s="3">
        <f t="shared" si="72"/>
        <v>2030</v>
      </c>
      <c r="B2444" s="106">
        <f t="shared" si="73"/>
        <v>26</v>
      </c>
      <c r="C2444" s="107">
        <f ca="1">OFFSET(tab_tipo_Combustivel!$A$1,MATCH(B2444,tab_tipo_Combustivel!$A$2:$A$150,0),MATCH(A2444,tab_tipo_Combustivel!$B$1:$AQ$1,0),1,1)</f>
        <v>258.42</v>
      </c>
    </row>
    <row r="2445" spans="1:3">
      <c r="A2445" s="3">
        <f t="shared" si="72"/>
        <v>2030</v>
      </c>
      <c r="B2445" s="106">
        <f t="shared" si="73"/>
        <v>27</v>
      </c>
      <c r="C2445" s="107">
        <f ca="1">OFFSET(tab_tipo_Combustivel!$A$1,MATCH(B2445,tab_tipo_Combustivel!$A$2:$A$150,0),MATCH(A2445,tab_tipo_Combustivel!$B$1:$AQ$1,0),1,1)</f>
        <v>195.49</v>
      </c>
    </row>
    <row r="2446" spans="1:3">
      <c r="A2446" s="3">
        <f t="shared" si="72"/>
        <v>2030</v>
      </c>
      <c r="B2446" s="106">
        <f t="shared" si="73"/>
        <v>28</v>
      </c>
      <c r="C2446" s="107">
        <f ca="1">OFFSET(tab_tipo_Combustivel!$A$1,MATCH(B2446,tab_tipo_Combustivel!$A$2:$A$150,0),MATCH(A2446,tab_tipo_Combustivel!$B$1:$AQ$1,0),1,1)</f>
        <v>459.92</v>
      </c>
    </row>
    <row r="2447" spans="1:3">
      <c r="A2447" s="3">
        <f t="shared" si="72"/>
        <v>2030</v>
      </c>
      <c r="B2447" s="106">
        <f t="shared" si="73"/>
        <v>32</v>
      </c>
      <c r="C2447" s="107">
        <f ca="1">OFFSET(tab_tipo_Combustivel!$A$1,MATCH(B2447,tab_tipo_Combustivel!$A$2:$A$150,0),MATCH(A2447,tab_tipo_Combustivel!$B$1:$AQ$1,0),1,1)</f>
        <v>248.31</v>
      </c>
    </row>
    <row r="2448" spans="1:3">
      <c r="A2448" s="3">
        <f t="shared" si="72"/>
        <v>2030</v>
      </c>
      <c r="B2448" s="106">
        <f t="shared" si="73"/>
        <v>34</v>
      </c>
      <c r="C2448" s="107">
        <f ca="1">OFFSET(tab_tipo_Combustivel!$A$1,MATCH(B2448,tab_tipo_Combustivel!$A$2:$A$150,0),MATCH(A2448,tab_tipo_Combustivel!$B$1:$AQ$1,0),1,1)</f>
        <v>423.38</v>
      </c>
    </row>
    <row r="2449" spans="1:3">
      <c r="A2449" s="3">
        <f t="shared" si="72"/>
        <v>2030</v>
      </c>
      <c r="B2449" s="106">
        <f t="shared" si="73"/>
        <v>35</v>
      </c>
      <c r="C2449" s="107">
        <f ca="1">OFFSET(tab_tipo_Combustivel!$A$1,MATCH(B2449,tab_tipo_Combustivel!$A$2:$A$150,0),MATCH(A2449,tab_tipo_Combustivel!$B$1:$AQ$1,0),1,1)</f>
        <v>692.45</v>
      </c>
    </row>
    <row r="2450" spans="1:3">
      <c r="A2450" s="3">
        <f t="shared" si="72"/>
        <v>2030</v>
      </c>
      <c r="B2450" s="106">
        <f t="shared" si="73"/>
        <v>36</v>
      </c>
      <c r="C2450" s="107">
        <f ca="1">OFFSET(tab_tipo_Combustivel!$A$1,MATCH(B2450,tab_tipo_Combustivel!$A$2:$A$150,0),MATCH(A2450,tab_tipo_Combustivel!$B$1:$AQ$1,0),1,1)</f>
        <v>157.83000000000001</v>
      </c>
    </row>
    <row r="2451" spans="1:3">
      <c r="A2451" s="3">
        <f t="shared" si="72"/>
        <v>2030</v>
      </c>
      <c r="B2451" s="106">
        <f t="shared" si="73"/>
        <v>42</v>
      </c>
      <c r="C2451" s="107">
        <f ca="1">OFFSET(tab_tipo_Combustivel!$A$1,MATCH(B2451,tab_tipo_Combustivel!$A$2:$A$150,0),MATCH(A2451,tab_tipo_Combustivel!$B$1:$AQ$1,0),1,1)</f>
        <v>199.22</v>
      </c>
    </row>
    <row r="2452" spans="1:3">
      <c r="A2452" s="3">
        <f t="shared" si="72"/>
        <v>2030</v>
      </c>
      <c r="B2452" s="106">
        <f t="shared" si="73"/>
        <v>43</v>
      </c>
      <c r="C2452" s="107">
        <f ca="1">OFFSET(tab_tipo_Combustivel!$A$1,MATCH(B2452,tab_tipo_Combustivel!$A$2:$A$150,0),MATCH(A2452,tab_tipo_Combustivel!$B$1:$AQ$1,0),1,1)</f>
        <v>431.62</v>
      </c>
    </row>
    <row r="2453" spans="1:3">
      <c r="A2453" s="3">
        <f t="shared" si="72"/>
        <v>2030</v>
      </c>
      <c r="B2453" s="106">
        <f t="shared" si="73"/>
        <v>44</v>
      </c>
      <c r="C2453" s="107">
        <f ca="1">OFFSET(tab_tipo_Combustivel!$A$1,MATCH(B2453,tab_tipo_Combustivel!$A$2:$A$150,0),MATCH(A2453,tab_tipo_Combustivel!$B$1:$AQ$1,0),1,1)</f>
        <v>25.58</v>
      </c>
    </row>
    <row r="2454" spans="1:3">
      <c r="A2454" s="3">
        <f t="shared" si="72"/>
        <v>2030</v>
      </c>
      <c r="B2454" s="106">
        <f t="shared" si="73"/>
        <v>46</v>
      </c>
      <c r="C2454" s="107">
        <f ca="1">OFFSET(tab_tipo_Combustivel!$A$1,MATCH(B2454,tab_tipo_Combustivel!$A$2:$A$150,0),MATCH(A2454,tab_tipo_Combustivel!$B$1:$AQ$1,0),1,1)</f>
        <v>228.91</v>
      </c>
    </row>
    <row r="2455" spans="1:3">
      <c r="A2455" s="3">
        <f t="shared" si="72"/>
        <v>2030</v>
      </c>
      <c r="B2455" s="106">
        <f t="shared" si="73"/>
        <v>47</v>
      </c>
      <c r="C2455" s="107">
        <f ca="1">OFFSET(tab_tipo_Combustivel!$A$1,MATCH(B2455,tab_tipo_Combustivel!$A$2:$A$150,0),MATCH(A2455,tab_tipo_Combustivel!$B$1:$AQ$1,0),1,1)</f>
        <v>235.6</v>
      </c>
    </row>
    <row r="2456" spans="1:3">
      <c r="A2456" s="3">
        <f t="shared" si="72"/>
        <v>2030</v>
      </c>
      <c r="B2456" s="106">
        <f t="shared" si="73"/>
        <v>48</v>
      </c>
      <c r="C2456" s="107">
        <f ca="1">OFFSET(tab_tipo_Combustivel!$A$1,MATCH(B2456,tab_tipo_Combustivel!$A$2:$A$150,0),MATCH(A2456,tab_tipo_Combustivel!$B$1:$AQ$1,0),1,1)</f>
        <v>1012.12</v>
      </c>
    </row>
    <row r="2457" spans="1:3">
      <c r="A2457" s="3">
        <f t="shared" si="72"/>
        <v>2030</v>
      </c>
      <c r="B2457" s="106">
        <f t="shared" si="73"/>
        <v>50</v>
      </c>
      <c r="C2457" s="107">
        <f ca="1">OFFSET(tab_tipo_Combustivel!$A$1,MATCH(B2457,tab_tipo_Combustivel!$A$2:$A$150,0),MATCH(A2457,tab_tipo_Combustivel!$B$1:$AQ$1,0),1,1)</f>
        <v>669.87</v>
      </c>
    </row>
    <row r="2458" spans="1:3">
      <c r="A2458" s="3">
        <f t="shared" si="72"/>
        <v>2030</v>
      </c>
      <c r="B2458" s="106">
        <f t="shared" si="73"/>
        <v>54</v>
      </c>
      <c r="C2458" s="107">
        <f ca="1">OFFSET(tab_tipo_Combustivel!$A$1,MATCH(B2458,tab_tipo_Combustivel!$A$2:$A$150,0),MATCH(A2458,tab_tipo_Combustivel!$B$1:$AQ$1,0),1,1)</f>
        <v>304.55</v>
      </c>
    </row>
    <row r="2459" spans="1:3">
      <c r="A2459" s="3">
        <f t="shared" si="72"/>
        <v>2030</v>
      </c>
      <c r="B2459" s="106">
        <f t="shared" si="73"/>
        <v>58</v>
      </c>
      <c r="C2459" s="107">
        <f ca="1">OFFSET(tab_tipo_Combustivel!$A$1,MATCH(B2459,tab_tipo_Combustivel!$A$2:$A$150,0),MATCH(A2459,tab_tipo_Combustivel!$B$1:$AQ$1,0),1,1)</f>
        <v>300.05</v>
      </c>
    </row>
    <row r="2460" spans="1:3">
      <c r="A2460" s="3">
        <f t="shared" si="72"/>
        <v>2030</v>
      </c>
      <c r="B2460" s="106">
        <f t="shared" si="73"/>
        <v>62</v>
      </c>
      <c r="C2460" s="107">
        <f ca="1">OFFSET(tab_tipo_Combustivel!$A$1,MATCH(B2460,tab_tipo_Combustivel!$A$2:$A$150,0),MATCH(A2460,tab_tipo_Combustivel!$B$1:$AQ$1,0),1,1)</f>
        <v>309.24</v>
      </c>
    </row>
    <row r="2461" spans="1:3">
      <c r="A2461" s="3">
        <f t="shared" si="72"/>
        <v>2030</v>
      </c>
      <c r="B2461" s="106">
        <f t="shared" si="73"/>
        <v>63</v>
      </c>
      <c r="C2461" s="107">
        <f ca="1">OFFSET(tab_tipo_Combustivel!$A$1,MATCH(B2461,tab_tipo_Combustivel!$A$2:$A$150,0),MATCH(A2461,tab_tipo_Combustivel!$B$1:$AQ$1,0),1,1)</f>
        <v>365.77</v>
      </c>
    </row>
    <row r="2462" spans="1:3">
      <c r="A2462" s="3">
        <f t="shared" si="72"/>
        <v>2030</v>
      </c>
      <c r="B2462" s="106">
        <f t="shared" si="73"/>
        <v>64</v>
      </c>
      <c r="C2462" s="107">
        <f ca="1">OFFSET(tab_tipo_Combustivel!$A$1,MATCH(B2462,tab_tipo_Combustivel!$A$2:$A$150,0),MATCH(A2462,tab_tipo_Combustivel!$B$1:$AQ$1,0),1,1)</f>
        <v>853.54</v>
      </c>
    </row>
    <row r="2463" spans="1:3">
      <c r="A2463" s="3">
        <f t="shared" si="72"/>
        <v>2030</v>
      </c>
      <c r="B2463" s="106">
        <f t="shared" si="73"/>
        <v>68</v>
      </c>
      <c r="C2463" s="107">
        <f ca="1">OFFSET(tab_tipo_Combustivel!$A$1,MATCH(B2463,tab_tipo_Combustivel!$A$2:$A$150,0),MATCH(A2463,tab_tipo_Combustivel!$B$1:$AQ$1,0),1,1)</f>
        <v>195.63</v>
      </c>
    </row>
    <row r="2464" spans="1:3">
      <c r="A2464" s="3">
        <f t="shared" si="72"/>
        <v>2030</v>
      </c>
      <c r="B2464" s="106">
        <f t="shared" si="73"/>
        <v>74</v>
      </c>
      <c r="C2464" s="107">
        <f ca="1">OFFSET(tab_tipo_Combustivel!$A$1,MATCH(B2464,tab_tipo_Combustivel!$A$2:$A$150,0),MATCH(A2464,tab_tipo_Combustivel!$B$1:$AQ$1,0),1,1)</f>
        <v>364.46</v>
      </c>
    </row>
    <row r="2465" spans="1:3">
      <c r="A2465" s="3">
        <f t="shared" si="72"/>
        <v>2030</v>
      </c>
      <c r="B2465" s="106">
        <f t="shared" si="73"/>
        <v>83</v>
      </c>
      <c r="C2465" s="107">
        <f ca="1">OFFSET(tab_tipo_Combustivel!$A$1,MATCH(B2465,tab_tipo_Combustivel!$A$2:$A$150,0),MATCH(A2465,tab_tipo_Combustivel!$B$1:$AQ$1,0),1,1)</f>
        <v>448.1</v>
      </c>
    </row>
    <row r="2466" spans="1:3">
      <c r="A2466" s="3">
        <f t="shared" si="72"/>
        <v>2030</v>
      </c>
      <c r="B2466" s="106">
        <f t="shared" si="73"/>
        <v>86</v>
      </c>
      <c r="C2466" s="107">
        <f ca="1">OFFSET(tab_tipo_Combustivel!$A$1,MATCH(B2466,tab_tipo_Combustivel!$A$2:$A$150,0),MATCH(A2466,tab_tipo_Combustivel!$B$1:$AQ$1,0),1,1)</f>
        <v>170.34</v>
      </c>
    </row>
    <row r="2467" spans="1:3">
      <c r="A2467" s="3">
        <f t="shared" si="72"/>
        <v>2030</v>
      </c>
      <c r="B2467" s="106">
        <f t="shared" si="73"/>
        <v>90</v>
      </c>
      <c r="C2467" s="107">
        <f ca="1">OFFSET(tab_tipo_Combustivel!$A$1,MATCH(B2467,tab_tipo_Combustivel!$A$2:$A$150,0),MATCH(A2467,tab_tipo_Combustivel!$B$1:$AQ$1,0),1,1)</f>
        <v>533.1</v>
      </c>
    </row>
    <row r="2468" spans="1:3">
      <c r="A2468" s="3">
        <f t="shared" si="72"/>
        <v>2030</v>
      </c>
      <c r="B2468" s="106">
        <f t="shared" si="73"/>
        <v>93</v>
      </c>
      <c r="C2468" s="107">
        <f ca="1">OFFSET(tab_tipo_Combustivel!$A$1,MATCH(B2468,tab_tipo_Combustivel!$A$2:$A$150,0),MATCH(A2468,tab_tipo_Combustivel!$B$1:$AQ$1,0),1,1)</f>
        <v>842.33</v>
      </c>
    </row>
    <row r="2469" spans="1:3">
      <c r="A2469" s="3">
        <f t="shared" si="72"/>
        <v>2030</v>
      </c>
      <c r="B2469" s="106">
        <f t="shared" si="73"/>
        <v>94</v>
      </c>
      <c r="C2469" s="107">
        <f ca="1">OFFSET(tab_tipo_Combustivel!$A$1,MATCH(B2469,tab_tipo_Combustivel!$A$2:$A$150,0),MATCH(A2469,tab_tipo_Combustivel!$B$1:$AQ$1,0),1,1)</f>
        <v>842.33</v>
      </c>
    </row>
    <row r="2470" spans="1:3">
      <c r="A2470" s="3">
        <f t="shared" si="72"/>
        <v>2030</v>
      </c>
      <c r="B2470" s="106">
        <f t="shared" si="73"/>
        <v>96</v>
      </c>
      <c r="C2470" s="107">
        <f ca="1">OFFSET(tab_tipo_Combustivel!$A$1,MATCH(B2470,tab_tipo_Combustivel!$A$2:$A$150,0),MATCH(A2470,tab_tipo_Combustivel!$B$1:$AQ$1,0),1,1)</f>
        <v>99.92</v>
      </c>
    </row>
    <row r="2471" spans="1:3">
      <c r="A2471" s="3">
        <f t="shared" si="72"/>
        <v>2030</v>
      </c>
      <c r="B2471" s="106">
        <f t="shared" si="73"/>
        <v>98</v>
      </c>
      <c r="C2471" s="107">
        <f ca="1">OFFSET(tab_tipo_Combustivel!$A$1,MATCH(B2471,tab_tipo_Combustivel!$A$2:$A$150,0),MATCH(A2471,tab_tipo_Combustivel!$B$1:$AQ$1,0),1,1)</f>
        <v>489.8</v>
      </c>
    </row>
    <row r="2472" spans="1:3">
      <c r="A2472" s="3">
        <f t="shared" si="72"/>
        <v>2030</v>
      </c>
      <c r="B2472" s="106">
        <f t="shared" si="73"/>
        <v>107</v>
      </c>
      <c r="C2472" s="107">
        <f ca="1">OFFSET(tab_tipo_Combustivel!$A$1,MATCH(B2472,tab_tipo_Combustivel!$A$2:$A$150,0),MATCH(A2472,tab_tipo_Combustivel!$B$1:$AQ$1,0),1,1)</f>
        <v>57.63</v>
      </c>
    </row>
    <row r="2473" spans="1:3">
      <c r="A2473" s="3">
        <f t="shared" si="72"/>
        <v>2030</v>
      </c>
      <c r="B2473" s="106">
        <f t="shared" si="73"/>
        <v>110</v>
      </c>
      <c r="C2473" s="107">
        <f ca="1">OFFSET(tab_tipo_Combustivel!$A$1,MATCH(B2473,tab_tipo_Combustivel!$A$2:$A$150,0),MATCH(A2473,tab_tipo_Combustivel!$B$1:$AQ$1,0),1,1)</f>
        <v>568.29</v>
      </c>
    </row>
    <row r="2474" spans="1:3">
      <c r="A2474" s="3">
        <f t="shared" si="72"/>
        <v>2030</v>
      </c>
      <c r="B2474" s="106">
        <f t="shared" si="73"/>
        <v>116</v>
      </c>
      <c r="C2474" s="107">
        <f ca="1">OFFSET(tab_tipo_Combustivel!$A$1,MATCH(B2474,tab_tipo_Combustivel!$A$2:$A$150,0),MATCH(A2474,tab_tipo_Combustivel!$B$1:$AQ$1,0),1,1)</f>
        <v>117.46</v>
      </c>
    </row>
    <row r="2475" spans="1:3">
      <c r="A2475" s="3">
        <f t="shared" si="72"/>
        <v>2030</v>
      </c>
      <c r="B2475" s="106">
        <f t="shared" si="73"/>
        <v>140</v>
      </c>
      <c r="C2475" s="107">
        <f ca="1">OFFSET(tab_tipo_Combustivel!$A$1,MATCH(B2475,tab_tipo_Combustivel!$A$2:$A$150,0),MATCH(A2475,tab_tipo_Combustivel!$B$1:$AQ$1,0),1,1)</f>
        <v>88.11</v>
      </c>
    </row>
    <row r="2476" spans="1:3">
      <c r="A2476" s="3">
        <f t="shared" si="72"/>
        <v>2030</v>
      </c>
      <c r="B2476" s="106">
        <f t="shared" si="73"/>
        <v>141</v>
      </c>
      <c r="C2476" s="107">
        <f ca="1">OFFSET(tab_tipo_Combustivel!$A$1,MATCH(B2476,tab_tipo_Combustivel!$A$2:$A$150,0),MATCH(A2476,tab_tipo_Combustivel!$B$1:$AQ$1,0),1,1)</f>
        <v>1280.52</v>
      </c>
    </row>
    <row r="2477" spans="1:3">
      <c r="A2477" s="3">
        <f t="shared" si="72"/>
        <v>2030</v>
      </c>
      <c r="B2477" s="106">
        <f t="shared" si="73"/>
        <v>147</v>
      </c>
      <c r="C2477" s="107">
        <f ca="1">OFFSET(tab_tipo_Combustivel!$A$1,MATCH(B2477,tab_tipo_Combustivel!$A$2:$A$150,0),MATCH(A2477,tab_tipo_Combustivel!$B$1:$AQ$1,0),1,1)</f>
        <v>134.18</v>
      </c>
    </row>
    <row r="2478" spans="1:3">
      <c r="A2478" s="3">
        <f t="shared" si="72"/>
        <v>2030</v>
      </c>
      <c r="B2478" s="106">
        <f t="shared" si="73"/>
        <v>156</v>
      </c>
      <c r="C2478" s="107">
        <f ca="1">OFFSET(tab_tipo_Combustivel!$A$1,MATCH(B2478,tab_tipo_Combustivel!$A$2:$A$150,0),MATCH(A2478,tab_tipo_Combustivel!$B$1:$AQ$1,0),1,1)</f>
        <v>77.12</v>
      </c>
    </row>
    <row r="2479" spans="1:3">
      <c r="A2479" s="3">
        <f t="shared" si="72"/>
        <v>2030</v>
      </c>
      <c r="B2479" s="106">
        <f t="shared" si="73"/>
        <v>163</v>
      </c>
      <c r="C2479" s="107">
        <f ca="1">OFFSET(tab_tipo_Combustivel!$A$1,MATCH(B2479,tab_tipo_Combustivel!$A$2:$A$150,0),MATCH(A2479,tab_tipo_Combustivel!$B$1:$AQ$1,0),1,1)</f>
        <v>156.69999999999999</v>
      </c>
    </row>
    <row r="2480" spans="1:3">
      <c r="A2480" s="3">
        <f t="shared" si="72"/>
        <v>2030</v>
      </c>
      <c r="B2480" s="106">
        <f t="shared" si="73"/>
        <v>167</v>
      </c>
      <c r="C2480" s="107">
        <f ca="1">OFFSET(tab_tipo_Combustivel!$A$1,MATCH(B2480,tab_tipo_Combustivel!$A$2:$A$150,0),MATCH(A2480,tab_tipo_Combustivel!$B$1:$AQ$1,0),1,1)</f>
        <v>144.66999999999999</v>
      </c>
    </row>
    <row r="2481" spans="1:3">
      <c r="A2481" s="3">
        <f t="shared" si="72"/>
        <v>2030</v>
      </c>
      <c r="B2481" s="106">
        <f t="shared" si="73"/>
        <v>171</v>
      </c>
      <c r="C2481" s="107">
        <f ca="1">OFFSET(tab_tipo_Combustivel!$A$1,MATCH(B2481,tab_tipo_Combustivel!$A$2:$A$150,0),MATCH(A2481,tab_tipo_Combustivel!$B$1:$AQ$1,0),1,1)</f>
        <v>88</v>
      </c>
    </row>
    <row r="2482" spans="1:3">
      <c r="A2482" s="3">
        <f t="shared" si="72"/>
        <v>2030</v>
      </c>
      <c r="B2482" s="106">
        <f t="shared" si="73"/>
        <v>172</v>
      </c>
      <c r="C2482" s="107">
        <f ca="1">OFFSET(tab_tipo_Combustivel!$A$1,MATCH(B2482,tab_tipo_Combustivel!$A$2:$A$150,0),MATCH(A2482,tab_tipo_Combustivel!$B$1:$AQ$1,0),1,1)</f>
        <v>99.97</v>
      </c>
    </row>
    <row r="2483" spans="1:3">
      <c r="A2483" s="3">
        <f t="shared" si="72"/>
        <v>2030</v>
      </c>
      <c r="B2483" s="106">
        <f t="shared" si="73"/>
        <v>173</v>
      </c>
      <c r="C2483" s="107">
        <f ca="1">OFFSET(tab_tipo_Combustivel!$A$1,MATCH(B2483,tab_tipo_Combustivel!$A$2:$A$150,0),MATCH(A2483,tab_tipo_Combustivel!$B$1:$AQ$1,0),1,1)</f>
        <v>192.03</v>
      </c>
    </row>
    <row r="2484" spans="1:3">
      <c r="A2484" s="3">
        <f t="shared" si="72"/>
        <v>2030</v>
      </c>
      <c r="B2484" s="106">
        <f t="shared" si="73"/>
        <v>174</v>
      </c>
      <c r="C2484" s="107">
        <f ca="1">OFFSET(tab_tipo_Combustivel!$A$1,MATCH(B2484,tab_tipo_Combustivel!$A$2:$A$150,0),MATCH(A2484,tab_tipo_Combustivel!$B$1:$AQ$1,0),1,1)</f>
        <v>331.22</v>
      </c>
    </row>
    <row r="2485" spans="1:3">
      <c r="A2485" s="3">
        <f t="shared" si="72"/>
        <v>2030</v>
      </c>
      <c r="B2485" s="106">
        <f t="shared" si="73"/>
        <v>176</v>
      </c>
      <c r="C2485" s="107">
        <f ca="1">OFFSET(tab_tipo_Combustivel!$A$1,MATCH(B2485,tab_tipo_Combustivel!$A$2:$A$150,0),MATCH(A2485,tab_tipo_Combustivel!$B$1:$AQ$1,0),1,1)</f>
        <v>149.47999999999999</v>
      </c>
    </row>
    <row r="2486" spans="1:3">
      <c r="A2486" s="3">
        <f t="shared" si="72"/>
        <v>2030</v>
      </c>
      <c r="B2486" s="106">
        <f t="shared" si="73"/>
        <v>183</v>
      </c>
      <c r="C2486" s="107">
        <f ca="1">OFFSET(tab_tipo_Combustivel!$A$1,MATCH(B2486,tab_tipo_Combustivel!$A$2:$A$150,0),MATCH(A2486,tab_tipo_Combustivel!$B$1:$AQ$1,0),1,1)</f>
        <v>171.61</v>
      </c>
    </row>
    <row r="2487" spans="1:3">
      <c r="A2487" s="3">
        <f t="shared" si="72"/>
        <v>2030</v>
      </c>
      <c r="B2487" s="106">
        <f t="shared" si="73"/>
        <v>194</v>
      </c>
      <c r="C2487" s="107">
        <f ca="1">OFFSET(tab_tipo_Combustivel!$A$1,MATCH(B2487,tab_tipo_Combustivel!$A$2:$A$150,0),MATCH(A2487,tab_tipo_Combustivel!$B$1:$AQ$1,0),1,1)</f>
        <v>1098.58</v>
      </c>
    </row>
    <row r="2488" spans="1:3">
      <c r="A2488" s="3">
        <f t="shared" si="72"/>
        <v>2030</v>
      </c>
      <c r="B2488" s="106">
        <f t="shared" si="73"/>
        <v>203</v>
      </c>
      <c r="C2488" s="107">
        <f ca="1">OFFSET(tab_tipo_Combustivel!$A$1,MATCH(B2488,tab_tipo_Combustivel!$A$2:$A$150,0),MATCH(A2488,tab_tipo_Combustivel!$B$1:$AQ$1,0),1,1)</f>
        <v>0</v>
      </c>
    </row>
    <row r="2489" spans="1:3">
      <c r="A2489" s="3">
        <f t="shared" si="72"/>
        <v>2030</v>
      </c>
      <c r="B2489" s="106">
        <f t="shared" si="73"/>
        <v>204</v>
      </c>
      <c r="C2489" s="107">
        <f ca="1">OFFSET(tab_tipo_Combustivel!$A$1,MATCH(B2489,tab_tipo_Combustivel!$A$2:$A$150,0),MATCH(A2489,tab_tipo_Combustivel!$B$1:$AQ$1,0),1,1)</f>
        <v>0</v>
      </c>
    </row>
    <row r="2490" spans="1:3">
      <c r="A2490" s="3">
        <f t="shared" si="72"/>
        <v>2030</v>
      </c>
      <c r="B2490" s="106">
        <f t="shared" si="73"/>
        <v>205</v>
      </c>
      <c r="C2490" s="107">
        <f ca="1">OFFSET(tab_tipo_Combustivel!$A$1,MATCH(B2490,tab_tipo_Combustivel!$A$2:$A$150,0),MATCH(A2490,tab_tipo_Combustivel!$B$1:$AQ$1,0),1,1)</f>
        <v>0</v>
      </c>
    </row>
    <row r="2491" spans="1:3">
      <c r="A2491" s="3">
        <f t="shared" si="72"/>
        <v>2030</v>
      </c>
      <c r="B2491" s="106">
        <f t="shared" si="73"/>
        <v>207</v>
      </c>
      <c r="C2491" s="107">
        <f ca="1">OFFSET(tab_tipo_Combustivel!$A$1,MATCH(B2491,tab_tipo_Combustivel!$A$2:$A$150,0),MATCH(A2491,tab_tipo_Combustivel!$B$1:$AQ$1,0),1,1)</f>
        <v>0</v>
      </c>
    </row>
    <row r="2492" spans="1:3">
      <c r="A2492" s="3">
        <f t="shared" si="72"/>
        <v>2030</v>
      </c>
      <c r="B2492" s="106">
        <f t="shared" si="73"/>
        <v>208</v>
      </c>
      <c r="C2492" s="107">
        <f ca="1">OFFSET(tab_tipo_Combustivel!$A$1,MATCH(B2492,tab_tipo_Combustivel!$A$2:$A$150,0),MATCH(A2492,tab_tipo_Combustivel!$B$1:$AQ$1,0),1,1)</f>
        <v>783.64</v>
      </c>
    </row>
    <row r="2493" spans="1:3">
      <c r="A2493" s="3">
        <f t="shared" si="72"/>
        <v>2030</v>
      </c>
      <c r="B2493" s="106">
        <f t="shared" si="73"/>
        <v>209</v>
      </c>
      <c r="C2493" s="107">
        <f ca="1">OFFSET(tab_tipo_Combustivel!$A$1,MATCH(B2493,tab_tipo_Combustivel!$A$2:$A$150,0),MATCH(A2493,tab_tipo_Combustivel!$B$1:$AQ$1,0),1,1)</f>
        <v>0</v>
      </c>
    </row>
    <row r="2494" spans="1:3">
      <c r="A2494" s="3">
        <f t="shared" si="72"/>
        <v>2030</v>
      </c>
      <c r="B2494" s="106">
        <f t="shared" si="73"/>
        <v>211</v>
      </c>
      <c r="C2494" s="107">
        <f ca="1">OFFSET(tab_tipo_Combustivel!$A$1,MATCH(B2494,tab_tipo_Combustivel!$A$2:$A$150,0),MATCH(A2494,tab_tipo_Combustivel!$B$1:$AQ$1,0),1,1)</f>
        <v>150.79</v>
      </c>
    </row>
    <row r="2495" spans="1:3">
      <c r="A2495" s="3">
        <f t="shared" si="72"/>
        <v>2030</v>
      </c>
      <c r="B2495" s="106">
        <f t="shared" si="73"/>
        <v>212</v>
      </c>
      <c r="C2495" s="107">
        <f ca="1">OFFSET(tab_tipo_Combustivel!$A$1,MATCH(B2495,tab_tipo_Combustivel!$A$2:$A$150,0),MATCH(A2495,tab_tipo_Combustivel!$B$1:$AQ$1,0),1,1)</f>
        <v>84.58</v>
      </c>
    </row>
    <row r="2496" spans="1:3">
      <c r="A2496" s="3">
        <f t="shared" si="72"/>
        <v>2030</v>
      </c>
      <c r="B2496" s="106">
        <f t="shared" si="73"/>
        <v>224</v>
      </c>
      <c r="C2496" s="107">
        <f ca="1">OFFSET(tab_tipo_Combustivel!$A$1,MATCH(B2496,tab_tipo_Combustivel!$A$2:$A$150,0),MATCH(A2496,tab_tipo_Combustivel!$B$1:$AQ$1,0),1,1)</f>
        <v>31.08</v>
      </c>
    </row>
    <row r="2497" spans="1:3">
      <c r="A2497" s="3">
        <f t="shared" si="72"/>
        <v>2030</v>
      </c>
      <c r="B2497" s="106">
        <f t="shared" si="73"/>
        <v>225</v>
      </c>
      <c r="C2497" s="107">
        <f ca="1">OFFSET(tab_tipo_Combustivel!$A$1,MATCH(B2497,tab_tipo_Combustivel!$A$2:$A$150,0),MATCH(A2497,tab_tipo_Combustivel!$B$1:$AQ$1,0),1,1)</f>
        <v>1329.7</v>
      </c>
    </row>
    <row r="2498" spans="1:3">
      <c r="A2498" s="3">
        <f t="shared" si="72"/>
        <v>2030</v>
      </c>
      <c r="B2498" s="106">
        <f t="shared" si="73"/>
        <v>226</v>
      </c>
      <c r="C2498" s="107">
        <f ca="1">OFFSET(tab_tipo_Combustivel!$A$1,MATCH(B2498,tab_tipo_Combustivel!$A$2:$A$150,0),MATCH(A2498,tab_tipo_Combustivel!$B$1:$AQ$1,0),1,1)</f>
        <v>1061.1300000000001</v>
      </c>
    </row>
    <row r="2499" spans="1:3">
      <c r="A2499" s="3">
        <f t="shared" si="72"/>
        <v>2030</v>
      </c>
      <c r="B2499" s="106">
        <f t="shared" si="73"/>
        <v>227</v>
      </c>
      <c r="C2499" s="107">
        <f ca="1">OFFSET(tab_tipo_Combustivel!$A$1,MATCH(B2499,tab_tipo_Combustivel!$A$2:$A$150,0),MATCH(A2499,tab_tipo_Combustivel!$B$1:$AQ$1,0),1,1)</f>
        <v>447.52</v>
      </c>
    </row>
    <row r="2500" spans="1:3">
      <c r="A2500" s="3">
        <f t="shared" si="72"/>
        <v>2030</v>
      </c>
      <c r="B2500" s="106">
        <f t="shared" si="73"/>
        <v>228</v>
      </c>
      <c r="C2500" s="107">
        <f ca="1">OFFSET(tab_tipo_Combustivel!$A$1,MATCH(B2500,tab_tipo_Combustivel!$A$2:$A$150,0),MATCH(A2500,tab_tipo_Combustivel!$B$1:$AQ$1,0),1,1)</f>
        <v>1061.1400000000001</v>
      </c>
    </row>
    <row r="2501" spans="1:3">
      <c r="A2501" s="3">
        <f t="shared" si="72"/>
        <v>2030</v>
      </c>
      <c r="B2501" s="106">
        <f t="shared" si="73"/>
        <v>229</v>
      </c>
      <c r="C2501" s="107">
        <f ca="1">OFFSET(tab_tipo_Combustivel!$A$1,MATCH(B2501,tab_tipo_Combustivel!$A$2:$A$150,0),MATCH(A2501,tab_tipo_Combustivel!$B$1:$AQ$1,0),1,1)</f>
        <v>942.05</v>
      </c>
    </row>
    <row r="2502" spans="1:3">
      <c r="A2502" s="3">
        <f t="shared" si="72"/>
        <v>2030</v>
      </c>
      <c r="B2502" s="106">
        <f t="shared" si="73"/>
        <v>230</v>
      </c>
      <c r="C2502" s="107">
        <f ca="1">OFFSET(tab_tipo_Combustivel!$A$1,MATCH(B2502,tab_tipo_Combustivel!$A$2:$A$150,0),MATCH(A2502,tab_tipo_Combustivel!$B$1:$AQ$1,0),1,1)</f>
        <v>495.06</v>
      </c>
    </row>
    <row r="2503" spans="1:3">
      <c r="A2503" s="3">
        <f t="shared" si="72"/>
        <v>2030</v>
      </c>
      <c r="B2503" s="106">
        <f t="shared" si="73"/>
        <v>231</v>
      </c>
      <c r="C2503" s="107">
        <f ca="1">OFFSET(tab_tipo_Combustivel!$A$1,MATCH(B2503,tab_tipo_Combustivel!$A$2:$A$150,0),MATCH(A2503,tab_tipo_Combustivel!$B$1:$AQ$1,0),1,1)</f>
        <v>489.29</v>
      </c>
    </row>
    <row r="2504" spans="1:3">
      <c r="A2504" s="3">
        <f t="shared" si="72"/>
        <v>2030</v>
      </c>
      <c r="B2504" s="106">
        <f t="shared" si="73"/>
        <v>232</v>
      </c>
      <c r="C2504" s="107">
        <f ca="1">OFFSET(tab_tipo_Combustivel!$A$1,MATCH(B2504,tab_tipo_Combustivel!$A$2:$A$150,0),MATCH(A2504,tab_tipo_Combustivel!$B$1:$AQ$1,0),1,1)</f>
        <v>842.33</v>
      </c>
    </row>
    <row r="2505" spans="1:3">
      <c r="A2505" s="3">
        <f t="shared" si="72"/>
        <v>2030</v>
      </c>
      <c r="B2505" s="106">
        <f t="shared" si="73"/>
        <v>233</v>
      </c>
      <c r="C2505" s="107">
        <f ca="1">OFFSET(tab_tipo_Combustivel!$A$1,MATCH(B2505,tab_tipo_Combustivel!$A$2:$A$150,0),MATCH(A2505,tab_tipo_Combustivel!$B$1:$AQ$1,0),1,1)</f>
        <v>984.29</v>
      </c>
    </row>
    <row r="2506" spans="1:3">
      <c r="A2506" s="3">
        <f t="shared" ref="A2506:A2569" si="74">A2371+1</f>
        <v>2030</v>
      </c>
      <c r="B2506" s="106">
        <f t="shared" ref="B2506:B2569" si="75">B2371</f>
        <v>234</v>
      </c>
      <c r="C2506" s="107">
        <f ca="1">OFFSET(tab_tipo_Combustivel!$A$1,MATCH(B2506,tab_tipo_Combustivel!$A$2:$A$150,0),MATCH(A2506,tab_tipo_Combustivel!$B$1:$AQ$1,0),1,1)</f>
        <v>290.26</v>
      </c>
    </row>
    <row r="2507" spans="1:3">
      <c r="A2507" s="3">
        <f t="shared" si="74"/>
        <v>2030</v>
      </c>
      <c r="B2507" s="106">
        <f t="shared" si="75"/>
        <v>235</v>
      </c>
      <c r="C2507" s="107">
        <f ca="1">OFFSET(tab_tipo_Combustivel!$A$1,MATCH(B2507,tab_tipo_Combustivel!$A$2:$A$150,0),MATCH(A2507,tab_tipo_Combustivel!$B$1:$AQ$1,0),1,1)</f>
        <v>1350.87</v>
      </c>
    </row>
    <row r="2508" spans="1:3">
      <c r="A2508" s="3">
        <f t="shared" si="74"/>
        <v>2030</v>
      </c>
      <c r="B2508" s="106">
        <f t="shared" si="75"/>
        <v>236</v>
      </c>
      <c r="C2508" s="107">
        <f ca="1">OFFSET(tab_tipo_Combustivel!$A$1,MATCH(B2508,tab_tipo_Combustivel!$A$2:$A$150,0),MATCH(A2508,tab_tipo_Combustivel!$B$1:$AQ$1,0),1,1)</f>
        <v>842.33</v>
      </c>
    </row>
    <row r="2509" spans="1:3">
      <c r="A2509" s="3">
        <f t="shared" si="74"/>
        <v>2030</v>
      </c>
      <c r="B2509" s="106">
        <f t="shared" si="75"/>
        <v>237</v>
      </c>
      <c r="C2509" s="107">
        <f ca="1">OFFSET(tab_tipo_Combustivel!$A$1,MATCH(B2509,tab_tipo_Combustivel!$A$2:$A$150,0),MATCH(A2509,tab_tipo_Combustivel!$B$1:$AQ$1,0),1,1)</f>
        <v>760.85</v>
      </c>
    </row>
    <row r="2510" spans="1:3">
      <c r="A2510" s="3">
        <f t="shared" si="74"/>
        <v>2030</v>
      </c>
      <c r="B2510" s="106">
        <f t="shared" si="75"/>
        <v>238</v>
      </c>
      <c r="C2510" s="107">
        <f ca="1">OFFSET(tab_tipo_Combustivel!$A$1,MATCH(B2510,tab_tipo_Combustivel!$A$2:$A$150,0),MATCH(A2510,tab_tipo_Combustivel!$B$1:$AQ$1,0),1,1)</f>
        <v>963.75</v>
      </c>
    </row>
    <row r="2511" spans="1:3">
      <c r="A2511" s="3">
        <f t="shared" si="74"/>
        <v>2030</v>
      </c>
      <c r="B2511" s="106">
        <f t="shared" si="75"/>
        <v>239</v>
      </c>
      <c r="C2511" s="107">
        <f ca="1">OFFSET(tab_tipo_Combustivel!$A$1,MATCH(B2511,tab_tipo_Combustivel!$A$2:$A$150,0),MATCH(A2511,tab_tipo_Combustivel!$B$1:$AQ$1,0),1,1)</f>
        <v>963.75</v>
      </c>
    </row>
    <row r="2512" spans="1:3">
      <c r="A2512" s="3">
        <f t="shared" si="74"/>
        <v>2030</v>
      </c>
      <c r="B2512" s="106">
        <f t="shared" si="75"/>
        <v>240</v>
      </c>
      <c r="C2512" s="107">
        <f ca="1">OFFSET(tab_tipo_Combustivel!$A$1,MATCH(B2512,tab_tipo_Combustivel!$A$2:$A$150,0),MATCH(A2512,tab_tipo_Combustivel!$B$1:$AQ$1,0),1,1)</f>
        <v>1115.96</v>
      </c>
    </row>
    <row r="2513" spans="1:3">
      <c r="A2513" s="3">
        <f t="shared" si="74"/>
        <v>2030</v>
      </c>
      <c r="B2513" s="106">
        <f t="shared" si="75"/>
        <v>241</v>
      </c>
      <c r="C2513" s="107">
        <f ca="1">OFFSET(tab_tipo_Combustivel!$A$1,MATCH(B2513,tab_tipo_Combustivel!$A$2:$A$150,0),MATCH(A2513,tab_tipo_Combustivel!$B$1:$AQ$1,0),1,1)</f>
        <v>495.75</v>
      </c>
    </row>
    <row r="2514" spans="1:3">
      <c r="A2514" s="3">
        <f t="shared" si="74"/>
        <v>2030</v>
      </c>
      <c r="B2514" s="106">
        <f t="shared" si="75"/>
        <v>242</v>
      </c>
      <c r="C2514" s="107">
        <f ca="1">OFFSET(tab_tipo_Combustivel!$A$1,MATCH(B2514,tab_tipo_Combustivel!$A$2:$A$150,0),MATCH(A2514,tab_tipo_Combustivel!$B$1:$AQ$1,0),1,1)</f>
        <v>1176.45</v>
      </c>
    </row>
    <row r="2515" spans="1:3">
      <c r="A2515" s="3">
        <f t="shared" si="74"/>
        <v>2030</v>
      </c>
      <c r="B2515" s="106">
        <f t="shared" si="75"/>
        <v>243</v>
      </c>
      <c r="C2515" s="107">
        <f ca="1">OFFSET(tab_tipo_Combustivel!$A$1,MATCH(B2515,tab_tipo_Combustivel!$A$2:$A$150,0),MATCH(A2515,tab_tipo_Combustivel!$B$1:$AQ$1,0),1,1)</f>
        <v>495.08</v>
      </c>
    </row>
    <row r="2516" spans="1:3">
      <c r="A2516" s="3">
        <f t="shared" si="74"/>
        <v>2030</v>
      </c>
      <c r="B2516" s="106">
        <f t="shared" si="75"/>
        <v>244</v>
      </c>
      <c r="C2516" s="107">
        <f ca="1">OFFSET(tab_tipo_Combustivel!$A$1,MATCH(B2516,tab_tipo_Combustivel!$A$2:$A$150,0),MATCH(A2516,tab_tipo_Combustivel!$B$1:$AQ$1,0),1,1)</f>
        <v>495.06</v>
      </c>
    </row>
    <row r="2517" spans="1:3">
      <c r="A2517" s="3">
        <f t="shared" si="74"/>
        <v>2030</v>
      </c>
      <c r="B2517" s="106">
        <f t="shared" si="75"/>
        <v>245</v>
      </c>
      <c r="C2517" s="107">
        <f ca="1">OFFSET(tab_tipo_Combustivel!$A$1,MATCH(B2517,tab_tipo_Combustivel!$A$2:$A$150,0),MATCH(A2517,tab_tipo_Combustivel!$B$1:$AQ$1,0),1,1)</f>
        <v>562.65</v>
      </c>
    </row>
    <row r="2518" spans="1:3">
      <c r="A2518" s="3">
        <f t="shared" si="74"/>
        <v>2030</v>
      </c>
      <c r="B2518" s="106">
        <f t="shared" si="75"/>
        <v>246</v>
      </c>
      <c r="C2518" s="107">
        <f ca="1">OFFSET(tab_tipo_Combustivel!$A$1,MATCH(B2518,tab_tipo_Combustivel!$A$2:$A$150,0),MATCH(A2518,tab_tipo_Combustivel!$B$1:$AQ$1,0),1,1)</f>
        <v>1124.53</v>
      </c>
    </row>
    <row r="2519" spans="1:3">
      <c r="A2519" s="3">
        <f t="shared" si="74"/>
        <v>2030</v>
      </c>
      <c r="B2519" s="106">
        <f t="shared" si="75"/>
        <v>247</v>
      </c>
      <c r="C2519" s="107">
        <f ca="1">OFFSET(tab_tipo_Combustivel!$A$1,MATCH(B2519,tab_tipo_Combustivel!$A$2:$A$150,0),MATCH(A2519,tab_tipo_Combustivel!$B$1:$AQ$1,0),1,1)</f>
        <v>609.51</v>
      </c>
    </row>
    <row r="2520" spans="1:3">
      <c r="A2520" s="3">
        <f t="shared" si="74"/>
        <v>2030</v>
      </c>
      <c r="B2520" s="106">
        <f t="shared" si="75"/>
        <v>248</v>
      </c>
      <c r="C2520" s="107">
        <f ca="1">OFFSET(tab_tipo_Combustivel!$A$1,MATCH(B2520,tab_tipo_Combustivel!$A$2:$A$150,0),MATCH(A2520,tab_tipo_Combustivel!$B$1:$AQ$1,0),1,1)</f>
        <v>495.06</v>
      </c>
    </row>
    <row r="2521" spans="1:3">
      <c r="A2521" s="3">
        <f t="shared" si="74"/>
        <v>2030</v>
      </c>
      <c r="B2521" s="106">
        <f t="shared" si="75"/>
        <v>249</v>
      </c>
      <c r="C2521" s="107">
        <f ca="1">OFFSET(tab_tipo_Combustivel!$A$1,MATCH(B2521,tab_tipo_Combustivel!$A$2:$A$150,0),MATCH(A2521,tab_tipo_Combustivel!$B$1:$AQ$1,0),1,1)</f>
        <v>842.33</v>
      </c>
    </row>
    <row r="2522" spans="1:3">
      <c r="A2522" s="3">
        <f t="shared" si="74"/>
        <v>2030</v>
      </c>
      <c r="B2522" s="106">
        <f t="shared" si="75"/>
        <v>250</v>
      </c>
      <c r="C2522" s="107">
        <f ca="1">OFFSET(tab_tipo_Combustivel!$A$1,MATCH(B2522,tab_tipo_Combustivel!$A$2:$A$150,0),MATCH(A2522,tab_tipo_Combustivel!$B$1:$AQ$1,0),1,1)</f>
        <v>1176.45</v>
      </c>
    </row>
    <row r="2523" spans="1:3">
      <c r="A2523" s="3">
        <f t="shared" si="74"/>
        <v>2030</v>
      </c>
      <c r="B2523" s="106">
        <f t="shared" si="75"/>
        <v>251</v>
      </c>
      <c r="C2523" s="107">
        <f ca="1">OFFSET(tab_tipo_Combustivel!$A$1,MATCH(B2523,tab_tipo_Combustivel!$A$2:$A$150,0),MATCH(A2523,tab_tipo_Combustivel!$B$1:$AQ$1,0),1,1)</f>
        <v>842.33</v>
      </c>
    </row>
    <row r="2524" spans="1:3">
      <c r="A2524" s="3">
        <f t="shared" si="74"/>
        <v>2030</v>
      </c>
      <c r="B2524" s="106">
        <f t="shared" si="75"/>
        <v>252</v>
      </c>
      <c r="C2524" s="107">
        <f ca="1">OFFSET(tab_tipo_Combustivel!$A$1,MATCH(B2524,tab_tipo_Combustivel!$A$2:$A$150,0),MATCH(A2524,tab_tipo_Combustivel!$B$1:$AQ$1,0),1,1)</f>
        <v>842.33</v>
      </c>
    </row>
    <row r="2525" spans="1:3">
      <c r="A2525" s="3">
        <f t="shared" si="74"/>
        <v>2030</v>
      </c>
      <c r="B2525" s="106">
        <f t="shared" si="75"/>
        <v>253</v>
      </c>
      <c r="C2525" s="107">
        <f ca="1">OFFSET(tab_tipo_Combustivel!$A$1,MATCH(B2525,tab_tipo_Combustivel!$A$2:$A$150,0),MATCH(A2525,tab_tipo_Combustivel!$B$1:$AQ$1,0),1,1)</f>
        <v>279.45</v>
      </c>
    </row>
    <row r="2526" spans="1:3">
      <c r="A2526" s="3">
        <f t="shared" si="74"/>
        <v>2030</v>
      </c>
      <c r="B2526" s="106">
        <f t="shared" si="75"/>
        <v>254</v>
      </c>
      <c r="C2526" s="107">
        <f ca="1">OFFSET(tab_tipo_Combustivel!$A$1,MATCH(B2526,tab_tipo_Combustivel!$A$2:$A$150,0),MATCH(A2526,tab_tipo_Combustivel!$B$1:$AQ$1,0),1,1)</f>
        <v>1153.98</v>
      </c>
    </row>
    <row r="2527" spans="1:3">
      <c r="A2527" s="3">
        <f t="shared" si="74"/>
        <v>2030</v>
      </c>
      <c r="B2527" s="106">
        <f t="shared" si="75"/>
        <v>255</v>
      </c>
      <c r="C2527" s="107">
        <f ca="1">OFFSET(tab_tipo_Combustivel!$A$1,MATCH(B2527,tab_tipo_Combustivel!$A$2:$A$150,0),MATCH(A2527,tab_tipo_Combustivel!$B$1:$AQ$1,0),1,1)</f>
        <v>828.98</v>
      </c>
    </row>
    <row r="2528" spans="1:3">
      <c r="A2528" s="3">
        <f t="shared" si="74"/>
        <v>2030</v>
      </c>
      <c r="B2528" s="106">
        <f t="shared" si="75"/>
        <v>256</v>
      </c>
      <c r="C2528" s="107">
        <f ca="1">OFFSET(tab_tipo_Combustivel!$A$1,MATCH(B2528,tab_tipo_Combustivel!$A$2:$A$150,0),MATCH(A2528,tab_tipo_Combustivel!$B$1:$AQ$1,0),1,1)</f>
        <v>562.65</v>
      </c>
    </row>
    <row r="2529" spans="1:3">
      <c r="A2529" s="3">
        <f t="shared" si="74"/>
        <v>2030</v>
      </c>
      <c r="B2529" s="106">
        <f t="shared" si="75"/>
        <v>257</v>
      </c>
      <c r="C2529" s="107">
        <f ca="1">OFFSET(tab_tipo_Combustivel!$A$1,MATCH(B2529,tab_tipo_Combustivel!$A$2:$A$150,0),MATCH(A2529,tab_tipo_Combustivel!$B$1:$AQ$1,0),1,1)</f>
        <v>907.52</v>
      </c>
    </row>
    <row r="2530" spans="1:3">
      <c r="A2530" s="3">
        <f t="shared" si="74"/>
        <v>2030</v>
      </c>
      <c r="B2530" s="106">
        <f t="shared" si="75"/>
        <v>258</v>
      </c>
      <c r="C2530" s="107">
        <f ca="1">OFFSET(tab_tipo_Combustivel!$A$1,MATCH(B2530,tab_tipo_Combustivel!$A$2:$A$150,0),MATCH(A2530,tab_tipo_Combustivel!$B$1:$AQ$1,0),1,1)</f>
        <v>1016.04</v>
      </c>
    </row>
    <row r="2531" spans="1:3">
      <c r="A2531" s="3">
        <f t="shared" si="74"/>
        <v>2030</v>
      </c>
      <c r="B2531" s="106">
        <f t="shared" si="75"/>
        <v>259</v>
      </c>
      <c r="C2531" s="107">
        <f ca="1">OFFSET(tab_tipo_Combustivel!$A$1,MATCH(B2531,tab_tipo_Combustivel!$A$2:$A$150,0),MATCH(A2531,tab_tipo_Combustivel!$B$1:$AQ$1,0),1,1)</f>
        <v>977.53</v>
      </c>
    </row>
    <row r="2532" spans="1:3">
      <c r="A2532" s="3">
        <f t="shared" si="74"/>
        <v>2030</v>
      </c>
      <c r="B2532" s="106">
        <f t="shared" si="75"/>
        <v>260</v>
      </c>
      <c r="C2532" s="107">
        <f ca="1">OFFSET(tab_tipo_Combustivel!$A$1,MATCH(B2532,tab_tipo_Combustivel!$A$2:$A$150,0),MATCH(A2532,tab_tipo_Combustivel!$B$1:$AQ$1,0),1,1)</f>
        <v>827.17</v>
      </c>
    </row>
    <row r="2533" spans="1:3">
      <c r="A2533" s="3">
        <f t="shared" si="74"/>
        <v>2030</v>
      </c>
      <c r="B2533" s="106">
        <f t="shared" si="75"/>
        <v>261</v>
      </c>
      <c r="C2533" s="107">
        <f ca="1">OFFSET(tab_tipo_Combustivel!$A$1,MATCH(B2533,tab_tipo_Combustivel!$A$2:$A$150,0),MATCH(A2533,tab_tipo_Combustivel!$B$1:$AQ$1,0),1,1)</f>
        <v>829.7</v>
      </c>
    </row>
    <row r="2534" spans="1:3">
      <c r="A2534" s="3">
        <f t="shared" si="74"/>
        <v>2030</v>
      </c>
      <c r="B2534" s="106">
        <f t="shared" si="75"/>
        <v>262</v>
      </c>
      <c r="C2534" s="107">
        <f ca="1">OFFSET(tab_tipo_Combustivel!$A$1,MATCH(B2534,tab_tipo_Combustivel!$A$2:$A$150,0),MATCH(A2534,tab_tipo_Combustivel!$B$1:$AQ$1,0),1,1)</f>
        <v>495.75</v>
      </c>
    </row>
    <row r="2535" spans="1:3">
      <c r="A2535" s="3">
        <f t="shared" si="74"/>
        <v>2030</v>
      </c>
      <c r="B2535" s="106">
        <f t="shared" si="75"/>
        <v>263</v>
      </c>
      <c r="C2535" s="107">
        <f ca="1">OFFSET(tab_tipo_Combustivel!$A$1,MATCH(B2535,tab_tipo_Combustivel!$A$2:$A$150,0),MATCH(A2535,tab_tipo_Combustivel!$B$1:$AQ$1,0),1,1)</f>
        <v>474.77</v>
      </c>
    </row>
    <row r="2536" spans="1:3">
      <c r="A2536" s="3">
        <f t="shared" si="74"/>
        <v>2030</v>
      </c>
      <c r="B2536" s="106">
        <f t="shared" si="75"/>
        <v>264</v>
      </c>
      <c r="C2536" s="107">
        <f ca="1">OFFSET(tab_tipo_Combustivel!$A$1,MATCH(B2536,tab_tipo_Combustivel!$A$2:$A$150,0),MATCH(A2536,tab_tipo_Combustivel!$B$1:$AQ$1,0),1,1)</f>
        <v>842.33</v>
      </c>
    </row>
    <row r="2537" spans="1:3">
      <c r="A2537" s="3">
        <f t="shared" si="74"/>
        <v>2030</v>
      </c>
      <c r="B2537" s="106">
        <f t="shared" si="75"/>
        <v>265</v>
      </c>
      <c r="C2537" s="107">
        <f ca="1">OFFSET(tab_tipo_Combustivel!$A$1,MATCH(B2537,tab_tipo_Combustivel!$A$2:$A$150,0),MATCH(A2537,tab_tipo_Combustivel!$B$1:$AQ$1,0),1,1)</f>
        <v>415.82</v>
      </c>
    </row>
    <row r="2538" spans="1:3">
      <c r="A2538" s="3">
        <f t="shared" si="74"/>
        <v>2030</v>
      </c>
      <c r="B2538" s="106">
        <f t="shared" si="75"/>
        <v>266</v>
      </c>
      <c r="C2538" s="107">
        <f ca="1">OFFSET(tab_tipo_Combustivel!$A$1,MATCH(B2538,tab_tipo_Combustivel!$A$2:$A$150,0),MATCH(A2538,tab_tipo_Combustivel!$B$1:$AQ$1,0),1,1)</f>
        <v>827.17</v>
      </c>
    </row>
    <row r="2539" spans="1:3">
      <c r="A2539" s="3">
        <f t="shared" si="74"/>
        <v>2030</v>
      </c>
      <c r="B2539" s="106">
        <f t="shared" si="75"/>
        <v>301</v>
      </c>
      <c r="C2539" s="107">
        <f ca="1">OFFSET(tab_tipo_Combustivel!$A$1,MATCH(B2539,tab_tipo_Combustivel!$A$2:$A$150,0),MATCH(A2539,tab_tipo_Combustivel!$B$1:$AQ$1,0),1,1)</f>
        <v>99.08</v>
      </c>
    </row>
    <row r="2540" spans="1:3">
      <c r="A2540" s="3">
        <f t="shared" si="74"/>
        <v>2030</v>
      </c>
      <c r="B2540" s="106">
        <f t="shared" si="75"/>
        <v>302</v>
      </c>
      <c r="C2540" s="107">
        <f ca="1">OFFSET(tab_tipo_Combustivel!$A$1,MATCH(B2540,tab_tipo_Combustivel!$A$2:$A$150,0),MATCH(A2540,tab_tipo_Combustivel!$B$1:$AQ$1,0),1,1)</f>
        <v>103.73</v>
      </c>
    </row>
    <row r="2541" spans="1:3">
      <c r="A2541" s="3">
        <f t="shared" si="74"/>
        <v>2030</v>
      </c>
      <c r="B2541" s="106">
        <f t="shared" si="75"/>
        <v>303</v>
      </c>
      <c r="C2541" s="107">
        <f ca="1">OFFSET(tab_tipo_Combustivel!$A$1,MATCH(B2541,tab_tipo_Combustivel!$A$2:$A$150,0),MATCH(A2541,tab_tipo_Combustivel!$B$1:$AQ$1,0),1,1)</f>
        <v>103.73</v>
      </c>
    </row>
    <row r="2542" spans="1:3">
      <c r="A2542" s="3">
        <f t="shared" si="74"/>
        <v>2030</v>
      </c>
      <c r="B2542" s="106">
        <f t="shared" si="75"/>
        <v>304</v>
      </c>
      <c r="C2542" s="107">
        <f ca="1">OFFSET(tab_tipo_Combustivel!$A$1,MATCH(B2542,tab_tipo_Combustivel!$A$2:$A$150,0),MATCH(A2542,tab_tipo_Combustivel!$B$1:$AQ$1,0),1,1)</f>
        <v>139.41999999999999</v>
      </c>
    </row>
    <row r="2543" spans="1:3">
      <c r="A2543" s="3">
        <f t="shared" si="74"/>
        <v>2030</v>
      </c>
      <c r="B2543" s="106">
        <f t="shared" si="75"/>
        <v>305</v>
      </c>
      <c r="C2543" s="107">
        <f ca="1">OFFSET(tab_tipo_Combustivel!$A$1,MATCH(B2543,tab_tipo_Combustivel!$A$2:$A$150,0),MATCH(A2543,tab_tipo_Combustivel!$B$1:$AQ$1,0),1,1)</f>
        <v>89.7</v>
      </c>
    </row>
    <row r="2544" spans="1:3">
      <c r="A2544" s="3">
        <f t="shared" si="74"/>
        <v>2030</v>
      </c>
      <c r="B2544" s="106">
        <f t="shared" si="75"/>
        <v>306</v>
      </c>
      <c r="C2544" s="107">
        <f ca="1">OFFSET(tab_tipo_Combustivel!$A$1,MATCH(B2544,tab_tipo_Combustivel!$A$2:$A$150,0),MATCH(A2544,tab_tipo_Combustivel!$B$1:$AQ$1,0),1,1)</f>
        <v>100.38</v>
      </c>
    </row>
    <row r="2545" spans="1:3">
      <c r="A2545" s="3">
        <f t="shared" si="74"/>
        <v>2030</v>
      </c>
      <c r="B2545" s="106">
        <f t="shared" si="75"/>
        <v>307</v>
      </c>
      <c r="C2545" s="107">
        <f ca="1">OFFSET(tab_tipo_Combustivel!$A$1,MATCH(B2545,tab_tipo_Combustivel!$A$2:$A$150,0),MATCH(A2545,tab_tipo_Combustivel!$B$1:$AQ$1,0),1,1)</f>
        <v>510.12</v>
      </c>
    </row>
    <row r="2546" spans="1:3">
      <c r="A2546" s="3">
        <f t="shared" si="74"/>
        <v>2030</v>
      </c>
      <c r="B2546" s="106">
        <f t="shared" si="75"/>
        <v>308</v>
      </c>
      <c r="C2546" s="107">
        <f ca="1">OFFSET(tab_tipo_Combustivel!$A$1,MATCH(B2546,tab_tipo_Combustivel!$A$2:$A$150,0),MATCH(A2546,tab_tipo_Combustivel!$B$1:$AQ$1,0),1,1)</f>
        <v>72.5</v>
      </c>
    </row>
    <row r="2547" spans="1:3">
      <c r="A2547" s="3">
        <f t="shared" si="74"/>
        <v>2030</v>
      </c>
      <c r="B2547" s="106">
        <f t="shared" si="75"/>
        <v>309</v>
      </c>
      <c r="C2547" s="107">
        <f ca="1">OFFSET(tab_tipo_Combustivel!$A$1,MATCH(B2547,tab_tipo_Combustivel!$A$2:$A$150,0),MATCH(A2547,tab_tipo_Combustivel!$B$1:$AQ$1,0),1,1)</f>
        <v>126.77</v>
      </c>
    </row>
    <row r="2548" spans="1:3">
      <c r="A2548" s="3">
        <f t="shared" si="74"/>
        <v>2030</v>
      </c>
      <c r="B2548" s="106">
        <f t="shared" si="75"/>
        <v>310</v>
      </c>
      <c r="C2548" s="107">
        <f ca="1">OFFSET(tab_tipo_Combustivel!$A$1,MATCH(B2548,tab_tipo_Combustivel!$A$2:$A$150,0),MATCH(A2548,tab_tipo_Combustivel!$B$1:$AQ$1,0),1,1)</f>
        <v>275.99</v>
      </c>
    </row>
    <row r="2549" spans="1:3">
      <c r="A2549" s="3">
        <f t="shared" si="74"/>
        <v>2030</v>
      </c>
      <c r="B2549" s="106">
        <f t="shared" si="75"/>
        <v>311</v>
      </c>
      <c r="C2549" s="107">
        <f ca="1">OFFSET(tab_tipo_Combustivel!$A$1,MATCH(B2549,tab_tipo_Combustivel!$A$2:$A$150,0),MATCH(A2549,tab_tipo_Combustivel!$B$1:$AQ$1,0),1,1)</f>
        <v>70.66</v>
      </c>
    </row>
    <row r="2550" spans="1:3">
      <c r="A2550" s="3">
        <f t="shared" si="74"/>
        <v>2030</v>
      </c>
      <c r="B2550" s="106">
        <f t="shared" si="75"/>
        <v>312</v>
      </c>
      <c r="C2550" s="107">
        <f ca="1">OFFSET(tab_tipo_Combustivel!$A$1,MATCH(B2550,tab_tipo_Combustivel!$A$2:$A$150,0),MATCH(A2550,tab_tipo_Combustivel!$B$1:$AQ$1,0),1,1)</f>
        <v>0</v>
      </c>
    </row>
    <row r="2551" spans="1:3">
      <c r="A2551" s="3">
        <f t="shared" si="74"/>
        <v>2030</v>
      </c>
      <c r="B2551" s="106">
        <f t="shared" si="75"/>
        <v>1301</v>
      </c>
      <c r="C2551" s="107">
        <f ca="1">OFFSET(tab_tipo_Combustivel!$A$1,MATCH(B2551,tab_tipo_Combustivel!$A$2:$A$150,0),MATCH(A2551,tab_tipo_Combustivel!$B$1:$AQ$1,0),1,1)</f>
        <v>242.05</v>
      </c>
    </row>
    <row r="2552" spans="1:3">
      <c r="A2552" s="3">
        <f t="shared" si="74"/>
        <v>2030</v>
      </c>
      <c r="B2552" s="106">
        <f t="shared" si="75"/>
        <v>1302</v>
      </c>
      <c r="C2552" s="107">
        <f ca="1">OFFSET(tab_tipo_Combustivel!$A$1,MATCH(B2552,tab_tipo_Combustivel!$A$2:$A$150,0),MATCH(A2552,tab_tipo_Combustivel!$B$1:$AQ$1,0),1,1)</f>
        <v>193.64</v>
      </c>
    </row>
    <row r="2553" spans="1:3">
      <c r="A2553" s="3">
        <f t="shared" si="74"/>
        <v>2030</v>
      </c>
      <c r="B2553" s="106">
        <f t="shared" si="75"/>
        <v>1303</v>
      </c>
      <c r="C2553" s="107">
        <f ca="1">OFFSET(tab_tipo_Combustivel!$A$1,MATCH(B2553,tab_tipo_Combustivel!$A$2:$A$150,0),MATCH(A2553,tab_tipo_Combustivel!$B$1:$AQ$1,0),1,1)</f>
        <v>25.58</v>
      </c>
    </row>
    <row r="2554" spans="1:3">
      <c r="A2554" s="3">
        <f t="shared" si="74"/>
        <v>2030</v>
      </c>
      <c r="B2554" s="106">
        <f t="shared" si="75"/>
        <v>1304</v>
      </c>
      <c r="C2554" s="107">
        <f ca="1">OFFSET(tab_tipo_Combustivel!$A$1,MATCH(B2554,tab_tipo_Combustivel!$A$2:$A$150,0),MATCH(A2554,tab_tipo_Combustivel!$B$1:$AQ$1,0),1,1)</f>
        <v>0</v>
      </c>
    </row>
    <row r="2555" spans="1:3">
      <c r="A2555" s="3">
        <f t="shared" si="74"/>
        <v>2030</v>
      </c>
      <c r="B2555" s="106">
        <f t="shared" si="75"/>
        <v>1315</v>
      </c>
      <c r="C2555" s="107">
        <f ca="1">OFFSET(tab_tipo_Combustivel!$A$1,MATCH(B2555,tab_tipo_Combustivel!$A$2:$A$150,0),MATCH(A2555,tab_tipo_Combustivel!$B$1:$AQ$1,0),1,1)</f>
        <v>0</v>
      </c>
    </row>
    <row r="2556" spans="1:3">
      <c r="A2556" s="3">
        <f t="shared" si="74"/>
        <v>2030</v>
      </c>
      <c r="B2556" s="106">
        <f t="shared" si="75"/>
        <v>1316</v>
      </c>
      <c r="C2556" s="107">
        <f ca="1">OFFSET(tab_tipo_Combustivel!$A$1,MATCH(B2556,tab_tipo_Combustivel!$A$2:$A$150,0),MATCH(A2556,tab_tipo_Combustivel!$B$1:$AQ$1,0),1,1)</f>
        <v>0</v>
      </c>
    </row>
    <row r="2557" spans="1:3">
      <c r="A2557" s="3">
        <f t="shared" si="74"/>
        <v>2030</v>
      </c>
      <c r="B2557" s="106">
        <f t="shared" si="75"/>
        <v>1318</v>
      </c>
      <c r="C2557" s="107">
        <f ca="1">OFFSET(tab_tipo_Combustivel!$A$1,MATCH(B2557,tab_tipo_Combustivel!$A$2:$A$150,0),MATCH(A2557,tab_tipo_Combustivel!$B$1:$AQ$1,0),1,1)</f>
        <v>200</v>
      </c>
    </row>
    <row r="2558" spans="1:3">
      <c r="A2558" s="3">
        <f t="shared" si="74"/>
        <v>2030</v>
      </c>
      <c r="B2558" s="106">
        <f t="shared" si="75"/>
        <v>1321</v>
      </c>
      <c r="C2558" s="107">
        <f ca="1">OFFSET(tab_tipo_Combustivel!$A$1,MATCH(B2558,tab_tipo_Combustivel!$A$2:$A$150,0),MATCH(A2558,tab_tipo_Combustivel!$B$1:$AQ$1,0),1,1)</f>
        <v>85</v>
      </c>
    </row>
    <row r="2559" spans="1:3">
      <c r="A2559" s="3">
        <f t="shared" si="74"/>
        <v>2030</v>
      </c>
      <c r="B2559" s="106">
        <f t="shared" si="75"/>
        <v>1322</v>
      </c>
      <c r="C2559" s="107">
        <f ca="1">OFFSET(tab_tipo_Combustivel!$A$1,MATCH(B2559,tab_tipo_Combustivel!$A$2:$A$150,0),MATCH(A2559,tab_tipo_Combustivel!$B$1:$AQ$1,0),1,1)</f>
        <v>140</v>
      </c>
    </row>
    <row r="2560" spans="1:3">
      <c r="A2560" s="3">
        <f t="shared" si="74"/>
        <v>2030</v>
      </c>
      <c r="B2560" s="106">
        <f t="shared" si="75"/>
        <v>1323</v>
      </c>
      <c r="C2560" s="107">
        <f ca="1">OFFSET(tab_tipo_Combustivel!$A$1,MATCH(B2560,tab_tipo_Combustivel!$A$2:$A$150,0),MATCH(A2560,tab_tipo_Combustivel!$B$1:$AQ$1,0),1,1)</f>
        <v>63.75</v>
      </c>
    </row>
    <row r="2561" spans="1:3">
      <c r="A2561" s="3">
        <f t="shared" si="74"/>
        <v>2030</v>
      </c>
      <c r="B2561" s="106">
        <f t="shared" si="75"/>
        <v>1325</v>
      </c>
      <c r="C2561" s="107">
        <f ca="1">OFFSET(tab_tipo_Combustivel!$A$1,MATCH(B2561,tab_tipo_Combustivel!$A$2:$A$150,0),MATCH(A2561,tab_tipo_Combustivel!$B$1:$AQ$1,0),1,1)</f>
        <v>0</v>
      </c>
    </row>
    <row r="2562" spans="1:3">
      <c r="A2562" s="3">
        <f t="shared" si="74"/>
        <v>2030</v>
      </c>
      <c r="B2562" s="106">
        <f t="shared" si="75"/>
        <v>1326</v>
      </c>
      <c r="C2562" s="107">
        <f ca="1">OFFSET(tab_tipo_Combustivel!$A$1,MATCH(B2562,tab_tipo_Combustivel!$A$2:$A$150,0),MATCH(A2562,tab_tipo_Combustivel!$B$1:$AQ$1,0),1,1)</f>
        <v>260</v>
      </c>
    </row>
    <row r="2563" spans="1:3">
      <c r="A2563" s="3">
        <f t="shared" si="74"/>
        <v>2030</v>
      </c>
      <c r="B2563" s="106">
        <f t="shared" si="75"/>
        <v>1501</v>
      </c>
      <c r="C2563" s="107">
        <f ca="1">OFFSET(tab_tipo_Combustivel!$A$1,MATCH(B2563,tab_tipo_Combustivel!$A$2:$A$150,0),MATCH(A2563,tab_tipo_Combustivel!$B$1:$AQ$1,0),1,1)</f>
        <v>260</v>
      </c>
    </row>
    <row r="2564" spans="1:3">
      <c r="A2564" s="3">
        <f t="shared" si="74"/>
        <v>2030</v>
      </c>
      <c r="B2564" s="106">
        <f t="shared" si="75"/>
        <v>1502</v>
      </c>
      <c r="C2564" s="107">
        <f ca="1">OFFSET(tab_tipo_Combustivel!$A$1,MATCH(B2564,tab_tipo_Combustivel!$A$2:$A$150,0),MATCH(A2564,tab_tipo_Combustivel!$B$1:$AQ$1,0),1,1)</f>
        <v>60</v>
      </c>
    </row>
    <row r="2565" spans="1:3">
      <c r="A2565" s="3">
        <f t="shared" si="74"/>
        <v>2030</v>
      </c>
      <c r="B2565" s="106">
        <f t="shared" si="75"/>
        <v>1503</v>
      </c>
      <c r="C2565" s="107">
        <f ca="1">OFFSET(tab_tipo_Combustivel!$A$1,MATCH(B2565,tab_tipo_Combustivel!$A$2:$A$150,0),MATCH(A2565,tab_tipo_Combustivel!$B$1:$AQ$1,0),1,1)</f>
        <v>96.82</v>
      </c>
    </row>
    <row r="2566" spans="1:3">
      <c r="A2566" s="3">
        <f t="shared" si="74"/>
        <v>2030</v>
      </c>
      <c r="B2566" s="106">
        <f t="shared" si="75"/>
        <v>1504</v>
      </c>
      <c r="C2566" s="107">
        <f ca="1">OFFSET(tab_tipo_Combustivel!$A$1,MATCH(B2566,tab_tipo_Combustivel!$A$2:$A$150,0),MATCH(A2566,tab_tipo_Combustivel!$B$1:$AQ$1,0),1,1)</f>
        <v>145.22999999999999</v>
      </c>
    </row>
    <row r="2567" spans="1:3">
      <c r="A2567" s="3">
        <f t="shared" si="74"/>
        <v>2031</v>
      </c>
      <c r="B2567" s="106">
        <f t="shared" si="75"/>
        <v>1</v>
      </c>
      <c r="C2567" s="107">
        <f ca="1">OFFSET(tab_tipo_Combustivel!$A$1,MATCH(B2567,tab_tipo_Combustivel!$A$2:$A$150,0),MATCH(A2567,tab_tipo_Combustivel!$B$1:$AQ$1,0),1,1)</f>
        <v>29.13</v>
      </c>
    </row>
    <row r="2568" spans="1:3">
      <c r="A2568" s="3">
        <f t="shared" si="74"/>
        <v>2031</v>
      </c>
      <c r="B2568" s="106">
        <f t="shared" si="75"/>
        <v>2</v>
      </c>
      <c r="C2568" s="107">
        <f ca="1">OFFSET(tab_tipo_Combustivel!$A$1,MATCH(B2568,tab_tipo_Combustivel!$A$2:$A$150,0),MATCH(A2568,tab_tipo_Combustivel!$B$1:$AQ$1,0),1,1)</f>
        <v>842.33</v>
      </c>
    </row>
    <row r="2569" spans="1:3">
      <c r="A2569" s="3">
        <f t="shared" si="74"/>
        <v>2031</v>
      </c>
      <c r="B2569" s="106">
        <f t="shared" si="75"/>
        <v>4</v>
      </c>
      <c r="C2569" s="107">
        <f ca="1">OFFSET(tab_tipo_Combustivel!$A$1,MATCH(B2569,tab_tipo_Combustivel!$A$2:$A$150,0),MATCH(A2569,tab_tipo_Combustivel!$B$1:$AQ$1,0),1,1)</f>
        <v>842.33</v>
      </c>
    </row>
    <row r="2570" spans="1:3">
      <c r="A2570" s="3">
        <f t="shared" ref="A2570:A2633" si="76">A2435+1</f>
        <v>2031</v>
      </c>
      <c r="B2570" s="106">
        <f t="shared" ref="B2570:B2633" si="77">B2435</f>
        <v>9</v>
      </c>
      <c r="C2570" s="107">
        <f ca="1">OFFSET(tab_tipo_Combustivel!$A$1,MATCH(B2570,tab_tipo_Combustivel!$A$2:$A$150,0),MATCH(A2570,tab_tipo_Combustivel!$B$1:$AQ$1,0),1,1)</f>
        <v>842.33</v>
      </c>
    </row>
    <row r="2571" spans="1:3">
      <c r="A2571" s="3">
        <f t="shared" si="76"/>
        <v>2031</v>
      </c>
      <c r="B2571" s="106">
        <f t="shared" si="77"/>
        <v>12</v>
      </c>
      <c r="C2571" s="107">
        <f ca="1">OFFSET(tab_tipo_Combustivel!$A$1,MATCH(B2571,tab_tipo_Combustivel!$A$2:$A$150,0),MATCH(A2571,tab_tipo_Combustivel!$B$1:$AQ$1,0),1,1)</f>
        <v>728.87</v>
      </c>
    </row>
    <row r="2572" spans="1:3">
      <c r="A2572" s="3">
        <f t="shared" si="76"/>
        <v>2031</v>
      </c>
      <c r="B2572" s="106">
        <f t="shared" si="77"/>
        <v>13</v>
      </c>
      <c r="C2572" s="107">
        <f ca="1">OFFSET(tab_tipo_Combustivel!$A$1,MATCH(B2572,tab_tipo_Combustivel!$A$2:$A$150,0),MATCH(A2572,tab_tipo_Combustivel!$B$1:$AQ$1,0),1,1)</f>
        <v>20.12</v>
      </c>
    </row>
    <row r="2573" spans="1:3">
      <c r="A2573" s="3">
        <f t="shared" si="76"/>
        <v>2031</v>
      </c>
      <c r="B2573" s="106">
        <f t="shared" si="77"/>
        <v>15</v>
      </c>
      <c r="C2573" s="107">
        <f ca="1">OFFSET(tab_tipo_Combustivel!$A$1,MATCH(B2573,tab_tipo_Combustivel!$A$2:$A$150,0),MATCH(A2573,tab_tipo_Combustivel!$B$1:$AQ$1,0),1,1)</f>
        <v>257.29000000000002</v>
      </c>
    </row>
    <row r="2574" spans="1:3">
      <c r="A2574" s="3">
        <f t="shared" si="76"/>
        <v>2031</v>
      </c>
      <c r="B2574" s="106">
        <f t="shared" si="77"/>
        <v>21</v>
      </c>
      <c r="C2574" s="107">
        <f ca="1">OFFSET(tab_tipo_Combustivel!$A$1,MATCH(B2574,tab_tipo_Combustivel!$A$2:$A$150,0),MATCH(A2574,tab_tipo_Combustivel!$B$1:$AQ$1,0),1,1)</f>
        <v>157.83000000000001</v>
      </c>
    </row>
    <row r="2575" spans="1:3">
      <c r="A2575" s="3">
        <f t="shared" si="76"/>
        <v>2031</v>
      </c>
      <c r="B2575" s="106">
        <f t="shared" si="77"/>
        <v>22</v>
      </c>
      <c r="C2575" s="107">
        <f ca="1">OFFSET(tab_tipo_Combustivel!$A$1,MATCH(B2575,tab_tipo_Combustivel!$A$2:$A$150,0),MATCH(A2575,tab_tipo_Combustivel!$B$1:$AQ$1,0),1,1)</f>
        <v>115.9</v>
      </c>
    </row>
    <row r="2576" spans="1:3">
      <c r="A2576" s="3">
        <f t="shared" si="76"/>
        <v>2031</v>
      </c>
      <c r="B2576" s="106">
        <f t="shared" si="77"/>
        <v>23</v>
      </c>
      <c r="C2576" s="107">
        <f ca="1">OFFSET(tab_tipo_Combustivel!$A$1,MATCH(B2576,tab_tipo_Combustivel!$A$2:$A$150,0),MATCH(A2576,tab_tipo_Combustivel!$B$1:$AQ$1,0),1,1)</f>
        <v>115.9</v>
      </c>
    </row>
    <row r="2577" spans="1:3">
      <c r="A2577" s="3">
        <f t="shared" si="76"/>
        <v>2031</v>
      </c>
      <c r="B2577" s="106">
        <f t="shared" si="77"/>
        <v>24</v>
      </c>
      <c r="C2577" s="107">
        <f ca="1">OFFSET(tab_tipo_Combustivel!$A$1,MATCH(B2577,tab_tipo_Combustivel!$A$2:$A$150,0),MATCH(A2577,tab_tipo_Combustivel!$B$1:$AQ$1,0),1,1)</f>
        <v>155.85</v>
      </c>
    </row>
    <row r="2578" spans="1:3">
      <c r="A2578" s="3">
        <f t="shared" si="76"/>
        <v>2031</v>
      </c>
      <c r="B2578" s="106">
        <f t="shared" si="77"/>
        <v>25</v>
      </c>
      <c r="C2578" s="107">
        <f ca="1">OFFSET(tab_tipo_Combustivel!$A$1,MATCH(B2578,tab_tipo_Combustivel!$A$2:$A$150,0),MATCH(A2578,tab_tipo_Combustivel!$B$1:$AQ$1,0),1,1)</f>
        <v>186.33</v>
      </c>
    </row>
    <row r="2579" spans="1:3">
      <c r="A2579" s="3">
        <f t="shared" si="76"/>
        <v>2031</v>
      </c>
      <c r="B2579" s="106">
        <f t="shared" si="77"/>
        <v>26</v>
      </c>
      <c r="C2579" s="107">
        <f ca="1">OFFSET(tab_tipo_Combustivel!$A$1,MATCH(B2579,tab_tipo_Combustivel!$A$2:$A$150,0),MATCH(A2579,tab_tipo_Combustivel!$B$1:$AQ$1,0),1,1)</f>
        <v>258.42</v>
      </c>
    </row>
    <row r="2580" spans="1:3">
      <c r="A2580" s="3">
        <f t="shared" si="76"/>
        <v>2031</v>
      </c>
      <c r="B2580" s="106">
        <f t="shared" si="77"/>
        <v>27</v>
      </c>
      <c r="C2580" s="107">
        <f ca="1">OFFSET(tab_tipo_Combustivel!$A$1,MATCH(B2580,tab_tipo_Combustivel!$A$2:$A$150,0),MATCH(A2580,tab_tipo_Combustivel!$B$1:$AQ$1,0),1,1)</f>
        <v>195.49</v>
      </c>
    </row>
    <row r="2581" spans="1:3">
      <c r="A2581" s="3">
        <f t="shared" si="76"/>
        <v>2031</v>
      </c>
      <c r="B2581" s="106">
        <f t="shared" si="77"/>
        <v>28</v>
      </c>
      <c r="C2581" s="107">
        <f ca="1">OFFSET(tab_tipo_Combustivel!$A$1,MATCH(B2581,tab_tipo_Combustivel!$A$2:$A$150,0),MATCH(A2581,tab_tipo_Combustivel!$B$1:$AQ$1,0),1,1)</f>
        <v>459.92</v>
      </c>
    </row>
    <row r="2582" spans="1:3">
      <c r="A2582" s="3">
        <f t="shared" si="76"/>
        <v>2031</v>
      </c>
      <c r="B2582" s="106">
        <f t="shared" si="77"/>
        <v>32</v>
      </c>
      <c r="C2582" s="107">
        <f ca="1">OFFSET(tab_tipo_Combustivel!$A$1,MATCH(B2582,tab_tipo_Combustivel!$A$2:$A$150,0),MATCH(A2582,tab_tipo_Combustivel!$B$1:$AQ$1,0),1,1)</f>
        <v>248.31</v>
      </c>
    </row>
    <row r="2583" spans="1:3">
      <c r="A2583" s="3">
        <f t="shared" si="76"/>
        <v>2031</v>
      </c>
      <c r="B2583" s="106">
        <f t="shared" si="77"/>
        <v>34</v>
      </c>
      <c r="C2583" s="107">
        <f ca="1">OFFSET(tab_tipo_Combustivel!$A$1,MATCH(B2583,tab_tipo_Combustivel!$A$2:$A$150,0),MATCH(A2583,tab_tipo_Combustivel!$B$1:$AQ$1,0),1,1)</f>
        <v>423.38</v>
      </c>
    </row>
    <row r="2584" spans="1:3">
      <c r="A2584" s="3">
        <f t="shared" si="76"/>
        <v>2031</v>
      </c>
      <c r="B2584" s="106">
        <f t="shared" si="77"/>
        <v>35</v>
      </c>
      <c r="C2584" s="107">
        <f ca="1">OFFSET(tab_tipo_Combustivel!$A$1,MATCH(B2584,tab_tipo_Combustivel!$A$2:$A$150,0),MATCH(A2584,tab_tipo_Combustivel!$B$1:$AQ$1,0),1,1)</f>
        <v>692.45</v>
      </c>
    </row>
    <row r="2585" spans="1:3">
      <c r="A2585" s="3">
        <f t="shared" si="76"/>
        <v>2031</v>
      </c>
      <c r="B2585" s="106">
        <f t="shared" si="77"/>
        <v>36</v>
      </c>
      <c r="C2585" s="107">
        <f ca="1">OFFSET(tab_tipo_Combustivel!$A$1,MATCH(B2585,tab_tipo_Combustivel!$A$2:$A$150,0),MATCH(A2585,tab_tipo_Combustivel!$B$1:$AQ$1,0),1,1)</f>
        <v>157.83000000000001</v>
      </c>
    </row>
    <row r="2586" spans="1:3">
      <c r="A2586" s="3">
        <f t="shared" si="76"/>
        <v>2031</v>
      </c>
      <c r="B2586" s="106">
        <f t="shared" si="77"/>
        <v>42</v>
      </c>
      <c r="C2586" s="107">
        <f ca="1">OFFSET(tab_tipo_Combustivel!$A$1,MATCH(B2586,tab_tipo_Combustivel!$A$2:$A$150,0),MATCH(A2586,tab_tipo_Combustivel!$B$1:$AQ$1,0),1,1)</f>
        <v>199.22</v>
      </c>
    </row>
    <row r="2587" spans="1:3">
      <c r="A2587" s="3">
        <f t="shared" si="76"/>
        <v>2031</v>
      </c>
      <c r="B2587" s="106">
        <f t="shared" si="77"/>
        <v>43</v>
      </c>
      <c r="C2587" s="107">
        <f ca="1">OFFSET(tab_tipo_Combustivel!$A$1,MATCH(B2587,tab_tipo_Combustivel!$A$2:$A$150,0),MATCH(A2587,tab_tipo_Combustivel!$B$1:$AQ$1,0),1,1)</f>
        <v>431.62</v>
      </c>
    </row>
    <row r="2588" spans="1:3">
      <c r="A2588" s="3">
        <f t="shared" si="76"/>
        <v>2031</v>
      </c>
      <c r="B2588" s="106">
        <f t="shared" si="77"/>
        <v>44</v>
      </c>
      <c r="C2588" s="107">
        <f ca="1">OFFSET(tab_tipo_Combustivel!$A$1,MATCH(B2588,tab_tipo_Combustivel!$A$2:$A$150,0),MATCH(A2588,tab_tipo_Combustivel!$B$1:$AQ$1,0),1,1)</f>
        <v>25.58</v>
      </c>
    </row>
    <row r="2589" spans="1:3">
      <c r="A2589" s="3">
        <f t="shared" si="76"/>
        <v>2031</v>
      </c>
      <c r="B2589" s="106">
        <f t="shared" si="77"/>
        <v>46</v>
      </c>
      <c r="C2589" s="107">
        <f ca="1">OFFSET(tab_tipo_Combustivel!$A$1,MATCH(B2589,tab_tipo_Combustivel!$A$2:$A$150,0),MATCH(A2589,tab_tipo_Combustivel!$B$1:$AQ$1,0),1,1)</f>
        <v>228.91</v>
      </c>
    </row>
    <row r="2590" spans="1:3">
      <c r="A2590" s="3">
        <f t="shared" si="76"/>
        <v>2031</v>
      </c>
      <c r="B2590" s="106">
        <f t="shared" si="77"/>
        <v>47</v>
      </c>
      <c r="C2590" s="107">
        <f ca="1">OFFSET(tab_tipo_Combustivel!$A$1,MATCH(B2590,tab_tipo_Combustivel!$A$2:$A$150,0),MATCH(A2590,tab_tipo_Combustivel!$B$1:$AQ$1,0),1,1)</f>
        <v>235.6</v>
      </c>
    </row>
    <row r="2591" spans="1:3">
      <c r="A2591" s="3">
        <f t="shared" si="76"/>
        <v>2031</v>
      </c>
      <c r="B2591" s="106">
        <f t="shared" si="77"/>
        <v>48</v>
      </c>
      <c r="C2591" s="107">
        <f ca="1">OFFSET(tab_tipo_Combustivel!$A$1,MATCH(B2591,tab_tipo_Combustivel!$A$2:$A$150,0),MATCH(A2591,tab_tipo_Combustivel!$B$1:$AQ$1,0),1,1)</f>
        <v>1012.12</v>
      </c>
    </row>
    <row r="2592" spans="1:3">
      <c r="A2592" s="3">
        <f t="shared" si="76"/>
        <v>2031</v>
      </c>
      <c r="B2592" s="106">
        <f t="shared" si="77"/>
        <v>50</v>
      </c>
      <c r="C2592" s="107">
        <f ca="1">OFFSET(tab_tipo_Combustivel!$A$1,MATCH(B2592,tab_tipo_Combustivel!$A$2:$A$150,0),MATCH(A2592,tab_tipo_Combustivel!$B$1:$AQ$1,0),1,1)</f>
        <v>669.87</v>
      </c>
    </row>
    <row r="2593" spans="1:3">
      <c r="A2593" s="3">
        <f t="shared" si="76"/>
        <v>2031</v>
      </c>
      <c r="B2593" s="106">
        <f t="shared" si="77"/>
        <v>54</v>
      </c>
      <c r="C2593" s="107">
        <f ca="1">OFFSET(tab_tipo_Combustivel!$A$1,MATCH(B2593,tab_tipo_Combustivel!$A$2:$A$150,0),MATCH(A2593,tab_tipo_Combustivel!$B$1:$AQ$1,0),1,1)</f>
        <v>304.55</v>
      </c>
    </row>
    <row r="2594" spans="1:3">
      <c r="A2594" s="3">
        <f t="shared" si="76"/>
        <v>2031</v>
      </c>
      <c r="B2594" s="106">
        <f t="shared" si="77"/>
        <v>58</v>
      </c>
      <c r="C2594" s="107">
        <f ca="1">OFFSET(tab_tipo_Combustivel!$A$1,MATCH(B2594,tab_tipo_Combustivel!$A$2:$A$150,0),MATCH(A2594,tab_tipo_Combustivel!$B$1:$AQ$1,0),1,1)</f>
        <v>300.05</v>
      </c>
    </row>
    <row r="2595" spans="1:3">
      <c r="A2595" s="3">
        <f t="shared" si="76"/>
        <v>2031</v>
      </c>
      <c r="B2595" s="106">
        <f t="shared" si="77"/>
        <v>62</v>
      </c>
      <c r="C2595" s="107">
        <f ca="1">OFFSET(tab_tipo_Combustivel!$A$1,MATCH(B2595,tab_tipo_Combustivel!$A$2:$A$150,0),MATCH(A2595,tab_tipo_Combustivel!$B$1:$AQ$1,0),1,1)</f>
        <v>309.24</v>
      </c>
    </row>
    <row r="2596" spans="1:3">
      <c r="A2596" s="3">
        <f t="shared" si="76"/>
        <v>2031</v>
      </c>
      <c r="B2596" s="106">
        <f t="shared" si="77"/>
        <v>63</v>
      </c>
      <c r="C2596" s="107">
        <f ca="1">OFFSET(tab_tipo_Combustivel!$A$1,MATCH(B2596,tab_tipo_Combustivel!$A$2:$A$150,0),MATCH(A2596,tab_tipo_Combustivel!$B$1:$AQ$1,0),1,1)</f>
        <v>365.77</v>
      </c>
    </row>
    <row r="2597" spans="1:3">
      <c r="A2597" s="3">
        <f t="shared" si="76"/>
        <v>2031</v>
      </c>
      <c r="B2597" s="106">
        <f t="shared" si="77"/>
        <v>64</v>
      </c>
      <c r="C2597" s="107">
        <f ca="1">OFFSET(tab_tipo_Combustivel!$A$1,MATCH(B2597,tab_tipo_Combustivel!$A$2:$A$150,0),MATCH(A2597,tab_tipo_Combustivel!$B$1:$AQ$1,0),1,1)</f>
        <v>853.54</v>
      </c>
    </row>
    <row r="2598" spans="1:3">
      <c r="A2598" s="3">
        <f t="shared" si="76"/>
        <v>2031</v>
      </c>
      <c r="B2598" s="106">
        <f t="shared" si="77"/>
        <v>68</v>
      </c>
      <c r="C2598" s="107">
        <f ca="1">OFFSET(tab_tipo_Combustivel!$A$1,MATCH(B2598,tab_tipo_Combustivel!$A$2:$A$150,0),MATCH(A2598,tab_tipo_Combustivel!$B$1:$AQ$1,0),1,1)</f>
        <v>195.63</v>
      </c>
    </row>
    <row r="2599" spans="1:3">
      <c r="A2599" s="3">
        <f t="shared" si="76"/>
        <v>2031</v>
      </c>
      <c r="B2599" s="106">
        <f t="shared" si="77"/>
        <v>74</v>
      </c>
      <c r="C2599" s="107">
        <f ca="1">OFFSET(tab_tipo_Combustivel!$A$1,MATCH(B2599,tab_tipo_Combustivel!$A$2:$A$150,0),MATCH(A2599,tab_tipo_Combustivel!$B$1:$AQ$1,0),1,1)</f>
        <v>364.46</v>
      </c>
    </row>
    <row r="2600" spans="1:3">
      <c r="A2600" s="3">
        <f t="shared" si="76"/>
        <v>2031</v>
      </c>
      <c r="B2600" s="106">
        <f t="shared" si="77"/>
        <v>83</v>
      </c>
      <c r="C2600" s="107">
        <f ca="1">OFFSET(tab_tipo_Combustivel!$A$1,MATCH(B2600,tab_tipo_Combustivel!$A$2:$A$150,0),MATCH(A2600,tab_tipo_Combustivel!$B$1:$AQ$1,0),1,1)</f>
        <v>448.1</v>
      </c>
    </row>
    <row r="2601" spans="1:3">
      <c r="A2601" s="3">
        <f t="shared" si="76"/>
        <v>2031</v>
      </c>
      <c r="B2601" s="106">
        <f t="shared" si="77"/>
        <v>86</v>
      </c>
      <c r="C2601" s="107">
        <f ca="1">OFFSET(tab_tipo_Combustivel!$A$1,MATCH(B2601,tab_tipo_Combustivel!$A$2:$A$150,0),MATCH(A2601,tab_tipo_Combustivel!$B$1:$AQ$1,0),1,1)</f>
        <v>170.34</v>
      </c>
    </row>
    <row r="2602" spans="1:3">
      <c r="A2602" s="3">
        <f t="shared" si="76"/>
        <v>2031</v>
      </c>
      <c r="B2602" s="106">
        <f t="shared" si="77"/>
        <v>90</v>
      </c>
      <c r="C2602" s="107">
        <f ca="1">OFFSET(tab_tipo_Combustivel!$A$1,MATCH(B2602,tab_tipo_Combustivel!$A$2:$A$150,0),MATCH(A2602,tab_tipo_Combustivel!$B$1:$AQ$1,0),1,1)</f>
        <v>533.1</v>
      </c>
    </row>
    <row r="2603" spans="1:3">
      <c r="A2603" s="3">
        <f t="shared" si="76"/>
        <v>2031</v>
      </c>
      <c r="B2603" s="106">
        <f t="shared" si="77"/>
        <v>93</v>
      </c>
      <c r="C2603" s="107">
        <f ca="1">OFFSET(tab_tipo_Combustivel!$A$1,MATCH(B2603,tab_tipo_Combustivel!$A$2:$A$150,0),MATCH(A2603,tab_tipo_Combustivel!$B$1:$AQ$1,0),1,1)</f>
        <v>842.33</v>
      </c>
    </row>
    <row r="2604" spans="1:3">
      <c r="A2604" s="3">
        <f t="shared" si="76"/>
        <v>2031</v>
      </c>
      <c r="B2604" s="106">
        <f t="shared" si="77"/>
        <v>94</v>
      </c>
      <c r="C2604" s="107">
        <f ca="1">OFFSET(tab_tipo_Combustivel!$A$1,MATCH(B2604,tab_tipo_Combustivel!$A$2:$A$150,0),MATCH(A2604,tab_tipo_Combustivel!$B$1:$AQ$1,0),1,1)</f>
        <v>842.33</v>
      </c>
    </row>
    <row r="2605" spans="1:3">
      <c r="A2605" s="3">
        <f t="shared" si="76"/>
        <v>2031</v>
      </c>
      <c r="B2605" s="106">
        <f t="shared" si="77"/>
        <v>96</v>
      </c>
      <c r="C2605" s="107">
        <f ca="1">OFFSET(tab_tipo_Combustivel!$A$1,MATCH(B2605,tab_tipo_Combustivel!$A$2:$A$150,0),MATCH(A2605,tab_tipo_Combustivel!$B$1:$AQ$1,0),1,1)</f>
        <v>99.92</v>
      </c>
    </row>
    <row r="2606" spans="1:3">
      <c r="A2606" s="3">
        <f t="shared" si="76"/>
        <v>2031</v>
      </c>
      <c r="B2606" s="106">
        <f t="shared" si="77"/>
        <v>98</v>
      </c>
      <c r="C2606" s="107">
        <f ca="1">OFFSET(tab_tipo_Combustivel!$A$1,MATCH(B2606,tab_tipo_Combustivel!$A$2:$A$150,0),MATCH(A2606,tab_tipo_Combustivel!$B$1:$AQ$1,0),1,1)</f>
        <v>489.8</v>
      </c>
    </row>
    <row r="2607" spans="1:3">
      <c r="A2607" s="3">
        <f t="shared" si="76"/>
        <v>2031</v>
      </c>
      <c r="B2607" s="106">
        <f t="shared" si="77"/>
        <v>107</v>
      </c>
      <c r="C2607" s="107">
        <f ca="1">OFFSET(tab_tipo_Combustivel!$A$1,MATCH(B2607,tab_tipo_Combustivel!$A$2:$A$150,0),MATCH(A2607,tab_tipo_Combustivel!$B$1:$AQ$1,0),1,1)</f>
        <v>57.63</v>
      </c>
    </row>
    <row r="2608" spans="1:3">
      <c r="A2608" s="3">
        <f t="shared" si="76"/>
        <v>2031</v>
      </c>
      <c r="B2608" s="106">
        <f t="shared" si="77"/>
        <v>110</v>
      </c>
      <c r="C2608" s="107">
        <f ca="1">OFFSET(tab_tipo_Combustivel!$A$1,MATCH(B2608,tab_tipo_Combustivel!$A$2:$A$150,0),MATCH(A2608,tab_tipo_Combustivel!$B$1:$AQ$1,0),1,1)</f>
        <v>568.29</v>
      </c>
    </row>
    <row r="2609" spans="1:3">
      <c r="A2609" s="3">
        <f t="shared" si="76"/>
        <v>2031</v>
      </c>
      <c r="B2609" s="106">
        <f t="shared" si="77"/>
        <v>116</v>
      </c>
      <c r="C2609" s="107">
        <f ca="1">OFFSET(tab_tipo_Combustivel!$A$1,MATCH(B2609,tab_tipo_Combustivel!$A$2:$A$150,0),MATCH(A2609,tab_tipo_Combustivel!$B$1:$AQ$1,0),1,1)</f>
        <v>117.46</v>
      </c>
    </row>
    <row r="2610" spans="1:3">
      <c r="A2610" s="3">
        <f t="shared" si="76"/>
        <v>2031</v>
      </c>
      <c r="B2610" s="106">
        <f t="shared" si="77"/>
        <v>140</v>
      </c>
      <c r="C2610" s="107">
        <f ca="1">OFFSET(tab_tipo_Combustivel!$A$1,MATCH(B2610,tab_tipo_Combustivel!$A$2:$A$150,0),MATCH(A2610,tab_tipo_Combustivel!$B$1:$AQ$1,0),1,1)</f>
        <v>88.11</v>
      </c>
    </row>
    <row r="2611" spans="1:3">
      <c r="A2611" s="3">
        <f t="shared" si="76"/>
        <v>2031</v>
      </c>
      <c r="B2611" s="106">
        <f t="shared" si="77"/>
        <v>141</v>
      </c>
      <c r="C2611" s="107">
        <f ca="1">OFFSET(tab_tipo_Combustivel!$A$1,MATCH(B2611,tab_tipo_Combustivel!$A$2:$A$150,0),MATCH(A2611,tab_tipo_Combustivel!$B$1:$AQ$1,0),1,1)</f>
        <v>1280.52</v>
      </c>
    </row>
    <row r="2612" spans="1:3">
      <c r="A2612" s="3">
        <f t="shared" si="76"/>
        <v>2031</v>
      </c>
      <c r="B2612" s="106">
        <f t="shared" si="77"/>
        <v>147</v>
      </c>
      <c r="C2612" s="107">
        <f ca="1">OFFSET(tab_tipo_Combustivel!$A$1,MATCH(B2612,tab_tipo_Combustivel!$A$2:$A$150,0),MATCH(A2612,tab_tipo_Combustivel!$B$1:$AQ$1,0),1,1)</f>
        <v>134.18</v>
      </c>
    </row>
    <row r="2613" spans="1:3">
      <c r="A2613" s="3">
        <f t="shared" si="76"/>
        <v>2031</v>
      </c>
      <c r="B2613" s="106">
        <f t="shared" si="77"/>
        <v>156</v>
      </c>
      <c r="C2613" s="107">
        <f ca="1">OFFSET(tab_tipo_Combustivel!$A$1,MATCH(B2613,tab_tipo_Combustivel!$A$2:$A$150,0),MATCH(A2613,tab_tipo_Combustivel!$B$1:$AQ$1,0),1,1)</f>
        <v>77.12</v>
      </c>
    </row>
    <row r="2614" spans="1:3">
      <c r="A2614" s="3">
        <f t="shared" si="76"/>
        <v>2031</v>
      </c>
      <c r="B2614" s="106">
        <f t="shared" si="77"/>
        <v>163</v>
      </c>
      <c r="C2614" s="107">
        <f ca="1">OFFSET(tab_tipo_Combustivel!$A$1,MATCH(B2614,tab_tipo_Combustivel!$A$2:$A$150,0),MATCH(A2614,tab_tipo_Combustivel!$B$1:$AQ$1,0),1,1)</f>
        <v>156.69999999999999</v>
      </c>
    </row>
    <row r="2615" spans="1:3">
      <c r="A2615" s="3">
        <f t="shared" si="76"/>
        <v>2031</v>
      </c>
      <c r="B2615" s="106">
        <f t="shared" si="77"/>
        <v>167</v>
      </c>
      <c r="C2615" s="107">
        <f ca="1">OFFSET(tab_tipo_Combustivel!$A$1,MATCH(B2615,tab_tipo_Combustivel!$A$2:$A$150,0),MATCH(A2615,tab_tipo_Combustivel!$B$1:$AQ$1,0),1,1)</f>
        <v>144.66999999999999</v>
      </c>
    </row>
    <row r="2616" spans="1:3">
      <c r="A2616" s="3">
        <f t="shared" si="76"/>
        <v>2031</v>
      </c>
      <c r="B2616" s="106">
        <f t="shared" si="77"/>
        <v>171</v>
      </c>
      <c r="C2616" s="107">
        <f ca="1">OFFSET(tab_tipo_Combustivel!$A$1,MATCH(B2616,tab_tipo_Combustivel!$A$2:$A$150,0),MATCH(A2616,tab_tipo_Combustivel!$B$1:$AQ$1,0),1,1)</f>
        <v>88</v>
      </c>
    </row>
    <row r="2617" spans="1:3">
      <c r="A2617" s="3">
        <f t="shared" si="76"/>
        <v>2031</v>
      </c>
      <c r="B2617" s="106">
        <f t="shared" si="77"/>
        <v>172</v>
      </c>
      <c r="C2617" s="107">
        <f ca="1">OFFSET(tab_tipo_Combustivel!$A$1,MATCH(B2617,tab_tipo_Combustivel!$A$2:$A$150,0),MATCH(A2617,tab_tipo_Combustivel!$B$1:$AQ$1,0),1,1)</f>
        <v>99.97</v>
      </c>
    </row>
    <row r="2618" spans="1:3">
      <c r="A2618" s="3">
        <f t="shared" si="76"/>
        <v>2031</v>
      </c>
      <c r="B2618" s="106">
        <f t="shared" si="77"/>
        <v>173</v>
      </c>
      <c r="C2618" s="107">
        <f ca="1">OFFSET(tab_tipo_Combustivel!$A$1,MATCH(B2618,tab_tipo_Combustivel!$A$2:$A$150,0),MATCH(A2618,tab_tipo_Combustivel!$B$1:$AQ$1,0),1,1)</f>
        <v>192.03</v>
      </c>
    </row>
    <row r="2619" spans="1:3">
      <c r="A2619" s="3">
        <f t="shared" si="76"/>
        <v>2031</v>
      </c>
      <c r="B2619" s="106">
        <f t="shared" si="77"/>
        <v>174</v>
      </c>
      <c r="C2619" s="107">
        <f ca="1">OFFSET(tab_tipo_Combustivel!$A$1,MATCH(B2619,tab_tipo_Combustivel!$A$2:$A$150,0),MATCH(A2619,tab_tipo_Combustivel!$B$1:$AQ$1,0),1,1)</f>
        <v>331.22</v>
      </c>
    </row>
    <row r="2620" spans="1:3">
      <c r="A2620" s="3">
        <f t="shared" si="76"/>
        <v>2031</v>
      </c>
      <c r="B2620" s="106">
        <f t="shared" si="77"/>
        <v>176</v>
      </c>
      <c r="C2620" s="107">
        <f ca="1">OFFSET(tab_tipo_Combustivel!$A$1,MATCH(B2620,tab_tipo_Combustivel!$A$2:$A$150,0),MATCH(A2620,tab_tipo_Combustivel!$B$1:$AQ$1,0),1,1)</f>
        <v>149.47999999999999</v>
      </c>
    </row>
    <row r="2621" spans="1:3">
      <c r="A2621" s="3">
        <f t="shared" si="76"/>
        <v>2031</v>
      </c>
      <c r="B2621" s="106">
        <f t="shared" si="77"/>
        <v>183</v>
      </c>
      <c r="C2621" s="107">
        <f ca="1">OFFSET(tab_tipo_Combustivel!$A$1,MATCH(B2621,tab_tipo_Combustivel!$A$2:$A$150,0),MATCH(A2621,tab_tipo_Combustivel!$B$1:$AQ$1,0),1,1)</f>
        <v>171.61</v>
      </c>
    </row>
    <row r="2622" spans="1:3">
      <c r="A2622" s="3">
        <f t="shared" si="76"/>
        <v>2031</v>
      </c>
      <c r="B2622" s="106">
        <f t="shared" si="77"/>
        <v>194</v>
      </c>
      <c r="C2622" s="107">
        <f ca="1">OFFSET(tab_tipo_Combustivel!$A$1,MATCH(B2622,tab_tipo_Combustivel!$A$2:$A$150,0),MATCH(A2622,tab_tipo_Combustivel!$B$1:$AQ$1,0),1,1)</f>
        <v>1098.58</v>
      </c>
    </row>
    <row r="2623" spans="1:3">
      <c r="A2623" s="3">
        <f t="shared" si="76"/>
        <v>2031</v>
      </c>
      <c r="B2623" s="106">
        <f t="shared" si="77"/>
        <v>203</v>
      </c>
      <c r="C2623" s="107">
        <f ca="1">OFFSET(tab_tipo_Combustivel!$A$1,MATCH(B2623,tab_tipo_Combustivel!$A$2:$A$150,0),MATCH(A2623,tab_tipo_Combustivel!$B$1:$AQ$1,0),1,1)</f>
        <v>0</v>
      </c>
    </row>
    <row r="2624" spans="1:3">
      <c r="A2624" s="3">
        <f t="shared" si="76"/>
        <v>2031</v>
      </c>
      <c r="B2624" s="106">
        <f t="shared" si="77"/>
        <v>204</v>
      </c>
      <c r="C2624" s="107">
        <f ca="1">OFFSET(tab_tipo_Combustivel!$A$1,MATCH(B2624,tab_tipo_Combustivel!$A$2:$A$150,0),MATCH(A2624,tab_tipo_Combustivel!$B$1:$AQ$1,0),1,1)</f>
        <v>0</v>
      </c>
    </row>
    <row r="2625" spans="1:3">
      <c r="A2625" s="3">
        <f t="shared" si="76"/>
        <v>2031</v>
      </c>
      <c r="B2625" s="106">
        <f t="shared" si="77"/>
        <v>205</v>
      </c>
      <c r="C2625" s="107">
        <f ca="1">OFFSET(tab_tipo_Combustivel!$A$1,MATCH(B2625,tab_tipo_Combustivel!$A$2:$A$150,0),MATCH(A2625,tab_tipo_Combustivel!$B$1:$AQ$1,0),1,1)</f>
        <v>0</v>
      </c>
    </row>
    <row r="2626" spans="1:3">
      <c r="A2626" s="3">
        <f t="shared" si="76"/>
        <v>2031</v>
      </c>
      <c r="B2626" s="106">
        <f t="shared" si="77"/>
        <v>207</v>
      </c>
      <c r="C2626" s="107">
        <f ca="1">OFFSET(tab_tipo_Combustivel!$A$1,MATCH(B2626,tab_tipo_Combustivel!$A$2:$A$150,0),MATCH(A2626,tab_tipo_Combustivel!$B$1:$AQ$1,0),1,1)</f>
        <v>0</v>
      </c>
    </row>
    <row r="2627" spans="1:3">
      <c r="A2627" s="3">
        <f t="shared" si="76"/>
        <v>2031</v>
      </c>
      <c r="B2627" s="106">
        <f t="shared" si="77"/>
        <v>208</v>
      </c>
      <c r="C2627" s="107">
        <f ca="1">OFFSET(tab_tipo_Combustivel!$A$1,MATCH(B2627,tab_tipo_Combustivel!$A$2:$A$150,0),MATCH(A2627,tab_tipo_Combustivel!$B$1:$AQ$1,0),1,1)</f>
        <v>783.64</v>
      </c>
    </row>
    <row r="2628" spans="1:3">
      <c r="A2628" s="3">
        <f t="shared" si="76"/>
        <v>2031</v>
      </c>
      <c r="B2628" s="106">
        <f t="shared" si="77"/>
        <v>209</v>
      </c>
      <c r="C2628" s="107">
        <f ca="1">OFFSET(tab_tipo_Combustivel!$A$1,MATCH(B2628,tab_tipo_Combustivel!$A$2:$A$150,0),MATCH(A2628,tab_tipo_Combustivel!$B$1:$AQ$1,0),1,1)</f>
        <v>0</v>
      </c>
    </row>
    <row r="2629" spans="1:3">
      <c r="A2629" s="3">
        <f t="shared" si="76"/>
        <v>2031</v>
      </c>
      <c r="B2629" s="106">
        <f t="shared" si="77"/>
        <v>211</v>
      </c>
      <c r="C2629" s="107">
        <f ca="1">OFFSET(tab_tipo_Combustivel!$A$1,MATCH(B2629,tab_tipo_Combustivel!$A$2:$A$150,0),MATCH(A2629,tab_tipo_Combustivel!$B$1:$AQ$1,0),1,1)</f>
        <v>150.79</v>
      </c>
    </row>
    <row r="2630" spans="1:3">
      <c r="A2630" s="3">
        <f t="shared" si="76"/>
        <v>2031</v>
      </c>
      <c r="B2630" s="106">
        <f t="shared" si="77"/>
        <v>212</v>
      </c>
      <c r="C2630" s="107">
        <f ca="1">OFFSET(tab_tipo_Combustivel!$A$1,MATCH(B2630,tab_tipo_Combustivel!$A$2:$A$150,0),MATCH(A2630,tab_tipo_Combustivel!$B$1:$AQ$1,0),1,1)</f>
        <v>84.58</v>
      </c>
    </row>
    <row r="2631" spans="1:3">
      <c r="A2631" s="3">
        <f t="shared" si="76"/>
        <v>2031</v>
      </c>
      <c r="B2631" s="106">
        <f t="shared" si="77"/>
        <v>224</v>
      </c>
      <c r="C2631" s="107">
        <f ca="1">OFFSET(tab_tipo_Combustivel!$A$1,MATCH(B2631,tab_tipo_Combustivel!$A$2:$A$150,0),MATCH(A2631,tab_tipo_Combustivel!$B$1:$AQ$1,0),1,1)</f>
        <v>31.08</v>
      </c>
    </row>
    <row r="2632" spans="1:3">
      <c r="A2632" s="3">
        <f t="shared" si="76"/>
        <v>2031</v>
      </c>
      <c r="B2632" s="106">
        <f t="shared" si="77"/>
        <v>225</v>
      </c>
      <c r="C2632" s="107">
        <f ca="1">OFFSET(tab_tipo_Combustivel!$A$1,MATCH(B2632,tab_tipo_Combustivel!$A$2:$A$150,0),MATCH(A2632,tab_tipo_Combustivel!$B$1:$AQ$1,0),1,1)</f>
        <v>1329.7</v>
      </c>
    </row>
    <row r="2633" spans="1:3">
      <c r="A2633" s="3">
        <f t="shared" si="76"/>
        <v>2031</v>
      </c>
      <c r="B2633" s="106">
        <f t="shared" si="77"/>
        <v>226</v>
      </c>
      <c r="C2633" s="107">
        <f ca="1">OFFSET(tab_tipo_Combustivel!$A$1,MATCH(B2633,tab_tipo_Combustivel!$A$2:$A$150,0),MATCH(A2633,tab_tipo_Combustivel!$B$1:$AQ$1,0),1,1)</f>
        <v>1061.1300000000001</v>
      </c>
    </row>
    <row r="2634" spans="1:3">
      <c r="A2634" s="3">
        <f t="shared" ref="A2634:A2697" si="78">A2499+1</f>
        <v>2031</v>
      </c>
      <c r="B2634" s="106">
        <f t="shared" ref="B2634:B2697" si="79">B2499</f>
        <v>227</v>
      </c>
      <c r="C2634" s="107">
        <f ca="1">OFFSET(tab_tipo_Combustivel!$A$1,MATCH(B2634,tab_tipo_Combustivel!$A$2:$A$150,0),MATCH(A2634,tab_tipo_Combustivel!$B$1:$AQ$1,0),1,1)</f>
        <v>447.52</v>
      </c>
    </row>
    <row r="2635" spans="1:3">
      <c r="A2635" s="3">
        <f t="shared" si="78"/>
        <v>2031</v>
      </c>
      <c r="B2635" s="106">
        <f t="shared" si="79"/>
        <v>228</v>
      </c>
      <c r="C2635" s="107">
        <f ca="1">OFFSET(tab_tipo_Combustivel!$A$1,MATCH(B2635,tab_tipo_Combustivel!$A$2:$A$150,0),MATCH(A2635,tab_tipo_Combustivel!$B$1:$AQ$1,0),1,1)</f>
        <v>1061.1400000000001</v>
      </c>
    </row>
    <row r="2636" spans="1:3">
      <c r="A2636" s="3">
        <f t="shared" si="78"/>
        <v>2031</v>
      </c>
      <c r="B2636" s="106">
        <f t="shared" si="79"/>
        <v>229</v>
      </c>
      <c r="C2636" s="107">
        <f ca="1">OFFSET(tab_tipo_Combustivel!$A$1,MATCH(B2636,tab_tipo_Combustivel!$A$2:$A$150,0),MATCH(A2636,tab_tipo_Combustivel!$B$1:$AQ$1,0),1,1)</f>
        <v>942.05</v>
      </c>
    </row>
    <row r="2637" spans="1:3">
      <c r="A2637" s="3">
        <f t="shared" si="78"/>
        <v>2031</v>
      </c>
      <c r="B2637" s="106">
        <f t="shared" si="79"/>
        <v>230</v>
      </c>
      <c r="C2637" s="107">
        <f ca="1">OFFSET(tab_tipo_Combustivel!$A$1,MATCH(B2637,tab_tipo_Combustivel!$A$2:$A$150,0),MATCH(A2637,tab_tipo_Combustivel!$B$1:$AQ$1,0),1,1)</f>
        <v>495.06</v>
      </c>
    </row>
    <row r="2638" spans="1:3">
      <c r="A2638" s="3">
        <f t="shared" si="78"/>
        <v>2031</v>
      </c>
      <c r="B2638" s="106">
        <f t="shared" si="79"/>
        <v>231</v>
      </c>
      <c r="C2638" s="107">
        <f ca="1">OFFSET(tab_tipo_Combustivel!$A$1,MATCH(B2638,tab_tipo_Combustivel!$A$2:$A$150,0),MATCH(A2638,tab_tipo_Combustivel!$B$1:$AQ$1,0),1,1)</f>
        <v>489.29</v>
      </c>
    </row>
    <row r="2639" spans="1:3">
      <c r="A2639" s="3">
        <f t="shared" si="78"/>
        <v>2031</v>
      </c>
      <c r="B2639" s="106">
        <f t="shared" si="79"/>
        <v>232</v>
      </c>
      <c r="C2639" s="107">
        <f ca="1">OFFSET(tab_tipo_Combustivel!$A$1,MATCH(B2639,tab_tipo_Combustivel!$A$2:$A$150,0),MATCH(A2639,tab_tipo_Combustivel!$B$1:$AQ$1,0),1,1)</f>
        <v>842.33</v>
      </c>
    </row>
    <row r="2640" spans="1:3">
      <c r="A2640" s="3">
        <f t="shared" si="78"/>
        <v>2031</v>
      </c>
      <c r="B2640" s="106">
        <f t="shared" si="79"/>
        <v>233</v>
      </c>
      <c r="C2640" s="107">
        <f ca="1">OFFSET(tab_tipo_Combustivel!$A$1,MATCH(B2640,tab_tipo_Combustivel!$A$2:$A$150,0),MATCH(A2640,tab_tipo_Combustivel!$B$1:$AQ$1,0),1,1)</f>
        <v>984.29</v>
      </c>
    </row>
    <row r="2641" spans="1:3">
      <c r="A2641" s="3">
        <f t="shared" si="78"/>
        <v>2031</v>
      </c>
      <c r="B2641" s="106">
        <f t="shared" si="79"/>
        <v>234</v>
      </c>
      <c r="C2641" s="107">
        <f ca="1">OFFSET(tab_tipo_Combustivel!$A$1,MATCH(B2641,tab_tipo_Combustivel!$A$2:$A$150,0),MATCH(A2641,tab_tipo_Combustivel!$B$1:$AQ$1,0),1,1)</f>
        <v>290.26</v>
      </c>
    </row>
    <row r="2642" spans="1:3">
      <c r="A2642" s="3">
        <f t="shared" si="78"/>
        <v>2031</v>
      </c>
      <c r="B2642" s="106">
        <f t="shared" si="79"/>
        <v>235</v>
      </c>
      <c r="C2642" s="107">
        <f ca="1">OFFSET(tab_tipo_Combustivel!$A$1,MATCH(B2642,tab_tipo_Combustivel!$A$2:$A$150,0),MATCH(A2642,tab_tipo_Combustivel!$B$1:$AQ$1,0),1,1)</f>
        <v>1350.87</v>
      </c>
    </row>
    <row r="2643" spans="1:3">
      <c r="A2643" s="3">
        <f t="shared" si="78"/>
        <v>2031</v>
      </c>
      <c r="B2643" s="106">
        <f t="shared" si="79"/>
        <v>236</v>
      </c>
      <c r="C2643" s="107">
        <f ca="1">OFFSET(tab_tipo_Combustivel!$A$1,MATCH(B2643,tab_tipo_Combustivel!$A$2:$A$150,0),MATCH(A2643,tab_tipo_Combustivel!$B$1:$AQ$1,0),1,1)</f>
        <v>842.33</v>
      </c>
    </row>
    <row r="2644" spans="1:3">
      <c r="A2644" s="3">
        <f t="shared" si="78"/>
        <v>2031</v>
      </c>
      <c r="B2644" s="106">
        <f t="shared" si="79"/>
        <v>237</v>
      </c>
      <c r="C2644" s="107">
        <f ca="1">OFFSET(tab_tipo_Combustivel!$A$1,MATCH(B2644,tab_tipo_Combustivel!$A$2:$A$150,0),MATCH(A2644,tab_tipo_Combustivel!$B$1:$AQ$1,0),1,1)</f>
        <v>760.85</v>
      </c>
    </row>
    <row r="2645" spans="1:3">
      <c r="A2645" s="3">
        <f t="shared" si="78"/>
        <v>2031</v>
      </c>
      <c r="B2645" s="106">
        <f t="shared" si="79"/>
        <v>238</v>
      </c>
      <c r="C2645" s="107">
        <f ca="1">OFFSET(tab_tipo_Combustivel!$A$1,MATCH(B2645,tab_tipo_Combustivel!$A$2:$A$150,0),MATCH(A2645,tab_tipo_Combustivel!$B$1:$AQ$1,0),1,1)</f>
        <v>963.75</v>
      </c>
    </row>
    <row r="2646" spans="1:3">
      <c r="A2646" s="3">
        <f t="shared" si="78"/>
        <v>2031</v>
      </c>
      <c r="B2646" s="106">
        <f t="shared" si="79"/>
        <v>239</v>
      </c>
      <c r="C2646" s="107">
        <f ca="1">OFFSET(tab_tipo_Combustivel!$A$1,MATCH(B2646,tab_tipo_Combustivel!$A$2:$A$150,0),MATCH(A2646,tab_tipo_Combustivel!$B$1:$AQ$1,0),1,1)</f>
        <v>963.75</v>
      </c>
    </row>
    <row r="2647" spans="1:3">
      <c r="A2647" s="3">
        <f t="shared" si="78"/>
        <v>2031</v>
      </c>
      <c r="B2647" s="106">
        <f t="shared" si="79"/>
        <v>240</v>
      </c>
      <c r="C2647" s="107">
        <f ca="1">OFFSET(tab_tipo_Combustivel!$A$1,MATCH(B2647,tab_tipo_Combustivel!$A$2:$A$150,0),MATCH(A2647,tab_tipo_Combustivel!$B$1:$AQ$1,0),1,1)</f>
        <v>1115.96</v>
      </c>
    </row>
    <row r="2648" spans="1:3">
      <c r="A2648" s="3">
        <f t="shared" si="78"/>
        <v>2031</v>
      </c>
      <c r="B2648" s="106">
        <f t="shared" si="79"/>
        <v>241</v>
      </c>
      <c r="C2648" s="107">
        <f ca="1">OFFSET(tab_tipo_Combustivel!$A$1,MATCH(B2648,tab_tipo_Combustivel!$A$2:$A$150,0),MATCH(A2648,tab_tipo_Combustivel!$B$1:$AQ$1,0),1,1)</f>
        <v>495.75</v>
      </c>
    </row>
    <row r="2649" spans="1:3">
      <c r="A2649" s="3">
        <f t="shared" si="78"/>
        <v>2031</v>
      </c>
      <c r="B2649" s="106">
        <f t="shared" si="79"/>
        <v>242</v>
      </c>
      <c r="C2649" s="107">
        <f ca="1">OFFSET(tab_tipo_Combustivel!$A$1,MATCH(B2649,tab_tipo_Combustivel!$A$2:$A$150,0),MATCH(A2649,tab_tipo_Combustivel!$B$1:$AQ$1,0),1,1)</f>
        <v>1176.45</v>
      </c>
    </row>
    <row r="2650" spans="1:3">
      <c r="A2650" s="3">
        <f t="shared" si="78"/>
        <v>2031</v>
      </c>
      <c r="B2650" s="106">
        <f t="shared" si="79"/>
        <v>243</v>
      </c>
      <c r="C2650" s="107">
        <f ca="1">OFFSET(tab_tipo_Combustivel!$A$1,MATCH(B2650,tab_tipo_Combustivel!$A$2:$A$150,0),MATCH(A2650,tab_tipo_Combustivel!$B$1:$AQ$1,0),1,1)</f>
        <v>495.08</v>
      </c>
    </row>
    <row r="2651" spans="1:3">
      <c r="A2651" s="3">
        <f t="shared" si="78"/>
        <v>2031</v>
      </c>
      <c r="B2651" s="106">
        <f t="shared" si="79"/>
        <v>244</v>
      </c>
      <c r="C2651" s="107">
        <f ca="1">OFFSET(tab_tipo_Combustivel!$A$1,MATCH(B2651,tab_tipo_Combustivel!$A$2:$A$150,0),MATCH(A2651,tab_tipo_Combustivel!$B$1:$AQ$1,0),1,1)</f>
        <v>495.06</v>
      </c>
    </row>
    <row r="2652" spans="1:3">
      <c r="A2652" s="3">
        <f t="shared" si="78"/>
        <v>2031</v>
      </c>
      <c r="B2652" s="106">
        <f t="shared" si="79"/>
        <v>245</v>
      </c>
      <c r="C2652" s="107">
        <f ca="1">OFFSET(tab_tipo_Combustivel!$A$1,MATCH(B2652,tab_tipo_Combustivel!$A$2:$A$150,0),MATCH(A2652,tab_tipo_Combustivel!$B$1:$AQ$1,0),1,1)</f>
        <v>562.65</v>
      </c>
    </row>
    <row r="2653" spans="1:3">
      <c r="A2653" s="3">
        <f t="shared" si="78"/>
        <v>2031</v>
      </c>
      <c r="B2653" s="106">
        <f t="shared" si="79"/>
        <v>246</v>
      </c>
      <c r="C2653" s="107">
        <f ca="1">OFFSET(tab_tipo_Combustivel!$A$1,MATCH(B2653,tab_tipo_Combustivel!$A$2:$A$150,0),MATCH(A2653,tab_tipo_Combustivel!$B$1:$AQ$1,0),1,1)</f>
        <v>1124.53</v>
      </c>
    </row>
    <row r="2654" spans="1:3">
      <c r="A2654" s="3">
        <f t="shared" si="78"/>
        <v>2031</v>
      </c>
      <c r="B2654" s="106">
        <f t="shared" si="79"/>
        <v>247</v>
      </c>
      <c r="C2654" s="107">
        <f ca="1">OFFSET(tab_tipo_Combustivel!$A$1,MATCH(B2654,tab_tipo_Combustivel!$A$2:$A$150,0),MATCH(A2654,tab_tipo_Combustivel!$B$1:$AQ$1,0),1,1)</f>
        <v>609.51</v>
      </c>
    </row>
    <row r="2655" spans="1:3">
      <c r="A2655" s="3">
        <f t="shared" si="78"/>
        <v>2031</v>
      </c>
      <c r="B2655" s="106">
        <f t="shared" si="79"/>
        <v>248</v>
      </c>
      <c r="C2655" s="107">
        <f ca="1">OFFSET(tab_tipo_Combustivel!$A$1,MATCH(B2655,tab_tipo_Combustivel!$A$2:$A$150,0),MATCH(A2655,tab_tipo_Combustivel!$B$1:$AQ$1,0),1,1)</f>
        <v>495.06</v>
      </c>
    </row>
    <row r="2656" spans="1:3">
      <c r="A2656" s="3">
        <f t="shared" si="78"/>
        <v>2031</v>
      </c>
      <c r="B2656" s="106">
        <f t="shared" si="79"/>
        <v>249</v>
      </c>
      <c r="C2656" s="107">
        <f ca="1">OFFSET(tab_tipo_Combustivel!$A$1,MATCH(B2656,tab_tipo_Combustivel!$A$2:$A$150,0),MATCH(A2656,tab_tipo_Combustivel!$B$1:$AQ$1,0),1,1)</f>
        <v>842.33</v>
      </c>
    </row>
    <row r="2657" spans="1:3">
      <c r="A2657" s="3">
        <f t="shared" si="78"/>
        <v>2031</v>
      </c>
      <c r="B2657" s="106">
        <f t="shared" si="79"/>
        <v>250</v>
      </c>
      <c r="C2657" s="107">
        <f ca="1">OFFSET(tab_tipo_Combustivel!$A$1,MATCH(B2657,tab_tipo_Combustivel!$A$2:$A$150,0),MATCH(A2657,tab_tipo_Combustivel!$B$1:$AQ$1,0),1,1)</f>
        <v>1176.45</v>
      </c>
    </row>
    <row r="2658" spans="1:3">
      <c r="A2658" s="3">
        <f t="shared" si="78"/>
        <v>2031</v>
      </c>
      <c r="B2658" s="106">
        <f t="shared" si="79"/>
        <v>251</v>
      </c>
      <c r="C2658" s="107">
        <f ca="1">OFFSET(tab_tipo_Combustivel!$A$1,MATCH(B2658,tab_tipo_Combustivel!$A$2:$A$150,0),MATCH(A2658,tab_tipo_Combustivel!$B$1:$AQ$1,0),1,1)</f>
        <v>842.33</v>
      </c>
    </row>
    <row r="2659" spans="1:3">
      <c r="A2659" s="3">
        <f t="shared" si="78"/>
        <v>2031</v>
      </c>
      <c r="B2659" s="106">
        <f t="shared" si="79"/>
        <v>252</v>
      </c>
      <c r="C2659" s="107">
        <f ca="1">OFFSET(tab_tipo_Combustivel!$A$1,MATCH(B2659,tab_tipo_Combustivel!$A$2:$A$150,0),MATCH(A2659,tab_tipo_Combustivel!$B$1:$AQ$1,0),1,1)</f>
        <v>842.33</v>
      </c>
    </row>
    <row r="2660" spans="1:3">
      <c r="A2660" s="3">
        <f t="shared" si="78"/>
        <v>2031</v>
      </c>
      <c r="B2660" s="106">
        <f t="shared" si="79"/>
        <v>253</v>
      </c>
      <c r="C2660" s="107">
        <f ca="1">OFFSET(tab_tipo_Combustivel!$A$1,MATCH(B2660,tab_tipo_Combustivel!$A$2:$A$150,0),MATCH(A2660,tab_tipo_Combustivel!$B$1:$AQ$1,0),1,1)</f>
        <v>279.45</v>
      </c>
    </row>
    <row r="2661" spans="1:3">
      <c r="A2661" s="3">
        <f t="shared" si="78"/>
        <v>2031</v>
      </c>
      <c r="B2661" s="106">
        <f t="shared" si="79"/>
        <v>254</v>
      </c>
      <c r="C2661" s="107">
        <f ca="1">OFFSET(tab_tipo_Combustivel!$A$1,MATCH(B2661,tab_tipo_Combustivel!$A$2:$A$150,0),MATCH(A2661,tab_tipo_Combustivel!$B$1:$AQ$1,0),1,1)</f>
        <v>1153.98</v>
      </c>
    </row>
    <row r="2662" spans="1:3">
      <c r="A2662" s="3">
        <f t="shared" si="78"/>
        <v>2031</v>
      </c>
      <c r="B2662" s="106">
        <f t="shared" si="79"/>
        <v>255</v>
      </c>
      <c r="C2662" s="107">
        <f ca="1">OFFSET(tab_tipo_Combustivel!$A$1,MATCH(B2662,tab_tipo_Combustivel!$A$2:$A$150,0),MATCH(A2662,tab_tipo_Combustivel!$B$1:$AQ$1,0),1,1)</f>
        <v>828.98</v>
      </c>
    </row>
    <row r="2663" spans="1:3">
      <c r="A2663" s="3">
        <f t="shared" si="78"/>
        <v>2031</v>
      </c>
      <c r="B2663" s="106">
        <f t="shared" si="79"/>
        <v>256</v>
      </c>
      <c r="C2663" s="107">
        <f ca="1">OFFSET(tab_tipo_Combustivel!$A$1,MATCH(B2663,tab_tipo_Combustivel!$A$2:$A$150,0),MATCH(A2663,tab_tipo_Combustivel!$B$1:$AQ$1,0),1,1)</f>
        <v>562.65</v>
      </c>
    </row>
    <row r="2664" spans="1:3">
      <c r="A2664" s="3">
        <f t="shared" si="78"/>
        <v>2031</v>
      </c>
      <c r="B2664" s="106">
        <f t="shared" si="79"/>
        <v>257</v>
      </c>
      <c r="C2664" s="107">
        <f ca="1">OFFSET(tab_tipo_Combustivel!$A$1,MATCH(B2664,tab_tipo_Combustivel!$A$2:$A$150,0),MATCH(A2664,tab_tipo_Combustivel!$B$1:$AQ$1,0),1,1)</f>
        <v>907.52</v>
      </c>
    </row>
    <row r="2665" spans="1:3">
      <c r="A2665" s="3">
        <f t="shared" si="78"/>
        <v>2031</v>
      </c>
      <c r="B2665" s="106">
        <f t="shared" si="79"/>
        <v>258</v>
      </c>
      <c r="C2665" s="107">
        <f ca="1">OFFSET(tab_tipo_Combustivel!$A$1,MATCH(B2665,tab_tipo_Combustivel!$A$2:$A$150,0),MATCH(A2665,tab_tipo_Combustivel!$B$1:$AQ$1,0),1,1)</f>
        <v>1016.04</v>
      </c>
    </row>
    <row r="2666" spans="1:3">
      <c r="A2666" s="3">
        <f t="shared" si="78"/>
        <v>2031</v>
      </c>
      <c r="B2666" s="106">
        <f t="shared" si="79"/>
        <v>259</v>
      </c>
      <c r="C2666" s="107">
        <f ca="1">OFFSET(tab_tipo_Combustivel!$A$1,MATCH(B2666,tab_tipo_Combustivel!$A$2:$A$150,0),MATCH(A2666,tab_tipo_Combustivel!$B$1:$AQ$1,0),1,1)</f>
        <v>977.53</v>
      </c>
    </row>
    <row r="2667" spans="1:3">
      <c r="A2667" s="3">
        <f t="shared" si="78"/>
        <v>2031</v>
      </c>
      <c r="B2667" s="106">
        <f t="shared" si="79"/>
        <v>260</v>
      </c>
      <c r="C2667" s="107">
        <f ca="1">OFFSET(tab_tipo_Combustivel!$A$1,MATCH(B2667,tab_tipo_Combustivel!$A$2:$A$150,0),MATCH(A2667,tab_tipo_Combustivel!$B$1:$AQ$1,0),1,1)</f>
        <v>827.17</v>
      </c>
    </row>
    <row r="2668" spans="1:3">
      <c r="A2668" s="3">
        <f t="shared" si="78"/>
        <v>2031</v>
      </c>
      <c r="B2668" s="106">
        <f t="shared" si="79"/>
        <v>261</v>
      </c>
      <c r="C2668" s="107">
        <f ca="1">OFFSET(tab_tipo_Combustivel!$A$1,MATCH(B2668,tab_tipo_Combustivel!$A$2:$A$150,0),MATCH(A2668,tab_tipo_Combustivel!$B$1:$AQ$1,0),1,1)</f>
        <v>829.7</v>
      </c>
    </row>
    <row r="2669" spans="1:3">
      <c r="A2669" s="3">
        <f t="shared" si="78"/>
        <v>2031</v>
      </c>
      <c r="B2669" s="106">
        <f t="shared" si="79"/>
        <v>262</v>
      </c>
      <c r="C2669" s="107">
        <f ca="1">OFFSET(tab_tipo_Combustivel!$A$1,MATCH(B2669,tab_tipo_Combustivel!$A$2:$A$150,0),MATCH(A2669,tab_tipo_Combustivel!$B$1:$AQ$1,0),1,1)</f>
        <v>495.75</v>
      </c>
    </row>
    <row r="2670" spans="1:3">
      <c r="A2670" s="3">
        <f t="shared" si="78"/>
        <v>2031</v>
      </c>
      <c r="B2670" s="106">
        <f t="shared" si="79"/>
        <v>263</v>
      </c>
      <c r="C2670" s="107">
        <f ca="1">OFFSET(tab_tipo_Combustivel!$A$1,MATCH(B2670,tab_tipo_Combustivel!$A$2:$A$150,0),MATCH(A2670,tab_tipo_Combustivel!$B$1:$AQ$1,0),1,1)</f>
        <v>474.77</v>
      </c>
    </row>
    <row r="2671" spans="1:3">
      <c r="A2671" s="3">
        <f t="shared" si="78"/>
        <v>2031</v>
      </c>
      <c r="B2671" s="106">
        <f t="shared" si="79"/>
        <v>264</v>
      </c>
      <c r="C2671" s="107">
        <f ca="1">OFFSET(tab_tipo_Combustivel!$A$1,MATCH(B2671,tab_tipo_Combustivel!$A$2:$A$150,0),MATCH(A2671,tab_tipo_Combustivel!$B$1:$AQ$1,0),1,1)</f>
        <v>842.33</v>
      </c>
    </row>
    <row r="2672" spans="1:3">
      <c r="A2672" s="3">
        <f t="shared" si="78"/>
        <v>2031</v>
      </c>
      <c r="B2672" s="106">
        <f t="shared" si="79"/>
        <v>265</v>
      </c>
      <c r="C2672" s="107">
        <f ca="1">OFFSET(tab_tipo_Combustivel!$A$1,MATCH(B2672,tab_tipo_Combustivel!$A$2:$A$150,0),MATCH(A2672,tab_tipo_Combustivel!$B$1:$AQ$1,0),1,1)</f>
        <v>415.82</v>
      </c>
    </row>
    <row r="2673" spans="1:3">
      <c r="A2673" s="3">
        <f t="shared" si="78"/>
        <v>2031</v>
      </c>
      <c r="B2673" s="106">
        <f t="shared" si="79"/>
        <v>266</v>
      </c>
      <c r="C2673" s="107">
        <f ca="1">OFFSET(tab_tipo_Combustivel!$A$1,MATCH(B2673,tab_tipo_Combustivel!$A$2:$A$150,0),MATCH(A2673,tab_tipo_Combustivel!$B$1:$AQ$1,0),1,1)</f>
        <v>827.17</v>
      </c>
    </row>
    <row r="2674" spans="1:3">
      <c r="A2674" s="3">
        <f t="shared" si="78"/>
        <v>2031</v>
      </c>
      <c r="B2674" s="106">
        <f t="shared" si="79"/>
        <v>301</v>
      </c>
      <c r="C2674" s="107">
        <f ca="1">OFFSET(tab_tipo_Combustivel!$A$1,MATCH(B2674,tab_tipo_Combustivel!$A$2:$A$150,0),MATCH(A2674,tab_tipo_Combustivel!$B$1:$AQ$1,0),1,1)</f>
        <v>99.08</v>
      </c>
    </row>
    <row r="2675" spans="1:3">
      <c r="A2675" s="3">
        <f t="shared" si="78"/>
        <v>2031</v>
      </c>
      <c r="B2675" s="106">
        <f t="shared" si="79"/>
        <v>302</v>
      </c>
      <c r="C2675" s="107">
        <f ca="1">OFFSET(tab_tipo_Combustivel!$A$1,MATCH(B2675,tab_tipo_Combustivel!$A$2:$A$150,0),MATCH(A2675,tab_tipo_Combustivel!$B$1:$AQ$1,0),1,1)</f>
        <v>103.73</v>
      </c>
    </row>
    <row r="2676" spans="1:3">
      <c r="A2676" s="3">
        <f t="shared" si="78"/>
        <v>2031</v>
      </c>
      <c r="B2676" s="106">
        <f t="shared" si="79"/>
        <v>303</v>
      </c>
      <c r="C2676" s="107">
        <f ca="1">OFFSET(tab_tipo_Combustivel!$A$1,MATCH(B2676,tab_tipo_Combustivel!$A$2:$A$150,0),MATCH(A2676,tab_tipo_Combustivel!$B$1:$AQ$1,0),1,1)</f>
        <v>103.73</v>
      </c>
    </row>
    <row r="2677" spans="1:3">
      <c r="A2677" s="3">
        <f t="shared" si="78"/>
        <v>2031</v>
      </c>
      <c r="B2677" s="106">
        <f t="shared" si="79"/>
        <v>304</v>
      </c>
      <c r="C2677" s="107">
        <f ca="1">OFFSET(tab_tipo_Combustivel!$A$1,MATCH(B2677,tab_tipo_Combustivel!$A$2:$A$150,0),MATCH(A2677,tab_tipo_Combustivel!$B$1:$AQ$1,0),1,1)</f>
        <v>139.41999999999999</v>
      </c>
    </row>
    <row r="2678" spans="1:3">
      <c r="A2678" s="3">
        <f t="shared" si="78"/>
        <v>2031</v>
      </c>
      <c r="B2678" s="106">
        <f t="shared" si="79"/>
        <v>305</v>
      </c>
      <c r="C2678" s="107">
        <f ca="1">OFFSET(tab_tipo_Combustivel!$A$1,MATCH(B2678,tab_tipo_Combustivel!$A$2:$A$150,0),MATCH(A2678,tab_tipo_Combustivel!$B$1:$AQ$1,0),1,1)</f>
        <v>89.7</v>
      </c>
    </row>
    <row r="2679" spans="1:3">
      <c r="A2679" s="3">
        <f t="shared" si="78"/>
        <v>2031</v>
      </c>
      <c r="B2679" s="106">
        <f t="shared" si="79"/>
        <v>306</v>
      </c>
      <c r="C2679" s="107">
        <f ca="1">OFFSET(tab_tipo_Combustivel!$A$1,MATCH(B2679,tab_tipo_Combustivel!$A$2:$A$150,0),MATCH(A2679,tab_tipo_Combustivel!$B$1:$AQ$1,0),1,1)</f>
        <v>100.38</v>
      </c>
    </row>
    <row r="2680" spans="1:3">
      <c r="A2680" s="3">
        <f t="shared" si="78"/>
        <v>2031</v>
      </c>
      <c r="B2680" s="106">
        <f t="shared" si="79"/>
        <v>307</v>
      </c>
      <c r="C2680" s="107">
        <f ca="1">OFFSET(tab_tipo_Combustivel!$A$1,MATCH(B2680,tab_tipo_Combustivel!$A$2:$A$150,0),MATCH(A2680,tab_tipo_Combustivel!$B$1:$AQ$1,0),1,1)</f>
        <v>510.12</v>
      </c>
    </row>
    <row r="2681" spans="1:3">
      <c r="A2681" s="3">
        <f t="shared" si="78"/>
        <v>2031</v>
      </c>
      <c r="B2681" s="106">
        <f t="shared" si="79"/>
        <v>308</v>
      </c>
      <c r="C2681" s="107">
        <f ca="1">OFFSET(tab_tipo_Combustivel!$A$1,MATCH(B2681,tab_tipo_Combustivel!$A$2:$A$150,0),MATCH(A2681,tab_tipo_Combustivel!$B$1:$AQ$1,0),1,1)</f>
        <v>72.5</v>
      </c>
    </row>
    <row r="2682" spans="1:3">
      <c r="A2682" s="3">
        <f t="shared" si="78"/>
        <v>2031</v>
      </c>
      <c r="B2682" s="106">
        <f t="shared" si="79"/>
        <v>309</v>
      </c>
      <c r="C2682" s="107">
        <f ca="1">OFFSET(tab_tipo_Combustivel!$A$1,MATCH(B2682,tab_tipo_Combustivel!$A$2:$A$150,0),MATCH(A2682,tab_tipo_Combustivel!$B$1:$AQ$1,0),1,1)</f>
        <v>126.77</v>
      </c>
    </row>
    <row r="2683" spans="1:3">
      <c r="A2683" s="3">
        <f t="shared" si="78"/>
        <v>2031</v>
      </c>
      <c r="B2683" s="106">
        <f t="shared" si="79"/>
        <v>310</v>
      </c>
      <c r="C2683" s="107">
        <f ca="1">OFFSET(tab_tipo_Combustivel!$A$1,MATCH(B2683,tab_tipo_Combustivel!$A$2:$A$150,0),MATCH(A2683,tab_tipo_Combustivel!$B$1:$AQ$1,0),1,1)</f>
        <v>275.99</v>
      </c>
    </row>
    <row r="2684" spans="1:3">
      <c r="A2684" s="3">
        <f t="shared" si="78"/>
        <v>2031</v>
      </c>
      <c r="B2684" s="106">
        <f t="shared" si="79"/>
        <v>311</v>
      </c>
      <c r="C2684" s="107">
        <f ca="1">OFFSET(tab_tipo_Combustivel!$A$1,MATCH(B2684,tab_tipo_Combustivel!$A$2:$A$150,0),MATCH(A2684,tab_tipo_Combustivel!$B$1:$AQ$1,0),1,1)</f>
        <v>70.66</v>
      </c>
    </row>
    <row r="2685" spans="1:3">
      <c r="A2685" s="3">
        <f t="shared" si="78"/>
        <v>2031</v>
      </c>
      <c r="B2685" s="106">
        <f t="shared" si="79"/>
        <v>312</v>
      </c>
      <c r="C2685" s="107">
        <f ca="1">OFFSET(tab_tipo_Combustivel!$A$1,MATCH(B2685,tab_tipo_Combustivel!$A$2:$A$150,0),MATCH(A2685,tab_tipo_Combustivel!$B$1:$AQ$1,0),1,1)</f>
        <v>0</v>
      </c>
    </row>
    <row r="2686" spans="1:3">
      <c r="A2686" s="3">
        <f t="shared" si="78"/>
        <v>2031</v>
      </c>
      <c r="B2686" s="106">
        <f t="shared" si="79"/>
        <v>1301</v>
      </c>
      <c r="C2686" s="107">
        <f ca="1">OFFSET(tab_tipo_Combustivel!$A$1,MATCH(B2686,tab_tipo_Combustivel!$A$2:$A$150,0),MATCH(A2686,tab_tipo_Combustivel!$B$1:$AQ$1,0),1,1)</f>
        <v>242.05</v>
      </c>
    </row>
    <row r="2687" spans="1:3">
      <c r="A2687" s="3">
        <f t="shared" si="78"/>
        <v>2031</v>
      </c>
      <c r="B2687" s="106">
        <f t="shared" si="79"/>
        <v>1302</v>
      </c>
      <c r="C2687" s="107">
        <f ca="1">OFFSET(tab_tipo_Combustivel!$A$1,MATCH(B2687,tab_tipo_Combustivel!$A$2:$A$150,0),MATCH(A2687,tab_tipo_Combustivel!$B$1:$AQ$1,0),1,1)</f>
        <v>193.64</v>
      </c>
    </row>
    <row r="2688" spans="1:3">
      <c r="A2688" s="3">
        <f t="shared" si="78"/>
        <v>2031</v>
      </c>
      <c r="B2688" s="106">
        <f t="shared" si="79"/>
        <v>1303</v>
      </c>
      <c r="C2688" s="107">
        <f ca="1">OFFSET(tab_tipo_Combustivel!$A$1,MATCH(B2688,tab_tipo_Combustivel!$A$2:$A$150,0),MATCH(A2688,tab_tipo_Combustivel!$B$1:$AQ$1,0),1,1)</f>
        <v>25.58</v>
      </c>
    </row>
    <row r="2689" spans="1:3">
      <c r="A2689" s="3">
        <f t="shared" si="78"/>
        <v>2031</v>
      </c>
      <c r="B2689" s="106">
        <f t="shared" si="79"/>
        <v>1304</v>
      </c>
      <c r="C2689" s="107">
        <f ca="1">OFFSET(tab_tipo_Combustivel!$A$1,MATCH(B2689,tab_tipo_Combustivel!$A$2:$A$150,0),MATCH(A2689,tab_tipo_Combustivel!$B$1:$AQ$1,0),1,1)</f>
        <v>0</v>
      </c>
    </row>
    <row r="2690" spans="1:3">
      <c r="A2690" s="3">
        <f t="shared" si="78"/>
        <v>2031</v>
      </c>
      <c r="B2690" s="106">
        <f t="shared" si="79"/>
        <v>1315</v>
      </c>
      <c r="C2690" s="107">
        <f ca="1">OFFSET(tab_tipo_Combustivel!$A$1,MATCH(B2690,tab_tipo_Combustivel!$A$2:$A$150,0),MATCH(A2690,tab_tipo_Combustivel!$B$1:$AQ$1,0),1,1)</f>
        <v>0</v>
      </c>
    </row>
    <row r="2691" spans="1:3">
      <c r="A2691" s="3">
        <f t="shared" si="78"/>
        <v>2031</v>
      </c>
      <c r="B2691" s="106">
        <f t="shared" si="79"/>
        <v>1316</v>
      </c>
      <c r="C2691" s="107">
        <f ca="1">OFFSET(tab_tipo_Combustivel!$A$1,MATCH(B2691,tab_tipo_Combustivel!$A$2:$A$150,0),MATCH(A2691,tab_tipo_Combustivel!$B$1:$AQ$1,0),1,1)</f>
        <v>0</v>
      </c>
    </row>
    <row r="2692" spans="1:3">
      <c r="A2692" s="3">
        <f t="shared" si="78"/>
        <v>2031</v>
      </c>
      <c r="B2692" s="106">
        <f t="shared" si="79"/>
        <v>1318</v>
      </c>
      <c r="C2692" s="107">
        <f ca="1">OFFSET(tab_tipo_Combustivel!$A$1,MATCH(B2692,tab_tipo_Combustivel!$A$2:$A$150,0),MATCH(A2692,tab_tipo_Combustivel!$B$1:$AQ$1,0),1,1)</f>
        <v>150</v>
      </c>
    </row>
    <row r="2693" spans="1:3">
      <c r="A2693" s="3">
        <f t="shared" si="78"/>
        <v>2031</v>
      </c>
      <c r="B2693" s="106">
        <f t="shared" si="79"/>
        <v>1321</v>
      </c>
      <c r="C2693" s="107">
        <f ca="1">OFFSET(tab_tipo_Combustivel!$A$1,MATCH(B2693,tab_tipo_Combustivel!$A$2:$A$150,0),MATCH(A2693,tab_tipo_Combustivel!$B$1:$AQ$1,0),1,1)</f>
        <v>85</v>
      </c>
    </row>
    <row r="2694" spans="1:3">
      <c r="A2694" s="3">
        <f t="shared" si="78"/>
        <v>2031</v>
      </c>
      <c r="B2694" s="106">
        <f t="shared" si="79"/>
        <v>1322</v>
      </c>
      <c r="C2694" s="107">
        <f ca="1">OFFSET(tab_tipo_Combustivel!$A$1,MATCH(B2694,tab_tipo_Combustivel!$A$2:$A$150,0),MATCH(A2694,tab_tipo_Combustivel!$B$1:$AQ$1,0),1,1)</f>
        <v>140</v>
      </c>
    </row>
    <row r="2695" spans="1:3">
      <c r="A2695" s="3">
        <f t="shared" si="78"/>
        <v>2031</v>
      </c>
      <c r="B2695" s="106">
        <f t="shared" si="79"/>
        <v>1323</v>
      </c>
      <c r="C2695" s="107">
        <f ca="1">OFFSET(tab_tipo_Combustivel!$A$1,MATCH(B2695,tab_tipo_Combustivel!$A$2:$A$150,0),MATCH(A2695,tab_tipo_Combustivel!$B$1:$AQ$1,0),1,1)</f>
        <v>63.75</v>
      </c>
    </row>
    <row r="2696" spans="1:3">
      <c r="A2696" s="3">
        <f t="shared" si="78"/>
        <v>2031</v>
      </c>
      <c r="B2696" s="106">
        <f t="shared" si="79"/>
        <v>1325</v>
      </c>
      <c r="C2696" s="107">
        <f ca="1">OFFSET(tab_tipo_Combustivel!$A$1,MATCH(B2696,tab_tipo_Combustivel!$A$2:$A$150,0),MATCH(A2696,tab_tipo_Combustivel!$B$1:$AQ$1,0),1,1)</f>
        <v>0</v>
      </c>
    </row>
    <row r="2697" spans="1:3">
      <c r="A2697" s="3">
        <f t="shared" si="78"/>
        <v>2031</v>
      </c>
      <c r="B2697" s="106">
        <f t="shared" si="79"/>
        <v>1326</v>
      </c>
      <c r="C2697" s="107">
        <f ca="1">OFFSET(tab_tipo_Combustivel!$A$1,MATCH(B2697,tab_tipo_Combustivel!$A$2:$A$150,0),MATCH(A2697,tab_tipo_Combustivel!$B$1:$AQ$1,0),1,1)</f>
        <v>260</v>
      </c>
    </row>
    <row r="2698" spans="1:3">
      <c r="A2698" s="3">
        <f t="shared" ref="A2698:A2761" si="80">A2563+1</f>
        <v>2031</v>
      </c>
      <c r="B2698" s="106">
        <f t="shared" ref="B2698:B2761" si="81">B2563</f>
        <v>1501</v>
      </c>
      <c r="C2698" s="107">
        <f ca="1">OFFSET(tab_tipo_Combustivel!$A$1,MATCH(B2698,tab_tipo_Combustivel!$A$2:$A$150,0),MATCH(A2698,tab_tipo_Combustivel!$B$1:$AQ$1,0),1,1)</f>
        <v>260</v>
      </c>
    </row>
    <row r="2699" spans="1:3">
      <c r="A2699" s="3">
        <f t="shared" si="80"/>
        <v>2031</v>
      </c>
      <c r="B2699" s="106">
        <f t="shared" si="81"/>
        <v>1502</v>
      </c>
      <c r="C2699" s="107">
        <f ca="1">OFFSET(tab_tipo_Combustivel!$A$1,MATCH(B2699,tab_tipo_Combustivel!$A$2:$A$150,0),MATCH(A2699,tab_tipo_Combustivel!$B$1:$AQ$1,0),1,1)</f>
        <v>60</v>
      </c>
    </row>
    <row r="2700" spans="1:3">
      <c r="A2700" s="3">
        <f t="shared" si="80"/>
        <v>2031</v>
      </c>
      <c r="B2700" s="106">
        <f t="shared" si="81"/>
        <v>1503</v>
      </c>
      <c r="C2700" s="107">
        <f ca="1">OFFSET(tab_tipo_Combustivel!$A$1,MATCH(B2700,tab_tipo_Combustivel!$A$2:$A$150,0),MATCH(A2700,tab_tipo_Combustivel!$B$1:$AQ$1,0),1,1)</f>
        <v>96.82</v>
      </c>
    </row>
    <row r="2701" spans="1:3">
      <c r="A2701" s="3">
        <f t="shared" si="80"/>
        <v>2031</v>
      </c>
      <c r="B2701" s="106">
        <f t="shared" si="81"/>
        <v>1504</v>
      </c>
      <c r="C2701" s="107">
        <f ca="1">OFFSET(tab_tipo_Combustivel!$A$1,MATCH(B2701,tab_tipo_Combustivel!$A$2:$A$150,0),MATCH(A2701,tab_tipo_Combustivel!$B$1:$AQ$1,0),1,1)</f>
        <v>145.22999999999999</v>
      </c>
    </row>
    <row r="2702" spans="1:3">
      <c r="A2702" s="3">
        <f t="shared" si="80"/>
        <v>2032</v>
      </c>
      <c r="B2702" s="106">
        <f t="shared" si="81"/>
        <v>1</v>
      </c>
      <c r="C2702" s="107">
        <f ca="1">OFFSET(tab_tipo_Combustivel!$A$1,MATCH(B2702,tab_tipo_Combustivel!$A$2:$A$150,0),MATCH(A2702,tab_tipo_Combustivel!$B$1:$AQ$1,0),1,1)</f>
        <v>29.13</v>
      </c>
    </row>
    <row r="2703" spans="1:3">
      <c r="A2703" s="3">
        <f t="shared" si="80"/>
        <v>2032</v>
      </c>
      <c r="B2703" s="106">
        <f t="shared" si="81"/>
        <v>2</v>
      </c>
      <c r="C2703" s="107">
        <f ca="1">OFFSET(tab_tipo_Combustivel!$A$1,MATCH(B2703,tab_tipo_Combustivel!$A$2:$A$150,0),MATCH(A2703,tab_tipo_Combustivel!$B$1:$AQ$1,0),1,1)</f>
        <v>842.33</v>
      </c>
    </row>
    <row r="2704" spans="1:3">
      <c r="A2704" s="3">
        <f t="shared" si="80"/>
        <v>2032</v>
      </c>
      <c r="B2704" s="106">
        <f t="shared" si="81"/>
        <v>4</v>
      </c>
      <c r="C2704" s="107">
        <f ca="1">OFFSET(tab_tipo_Combustivel!$A$1,MATCH(B2704,tab_tipo_Combustivel!$A$2:$A$150,0),MATCH(A2704,tab_tipo_Combustivel!$B$1:$AQ$1,0),1,1)</f>
        <v>842.33</v>
      </c>
    </row>
    <row r="2705" spans="1:3">
      <c r="A2705" s="3">
        <f t="shared" si="80"/>
        <v>2032</v>
      </c>
      <c r="B2705" s="106">
        <f t="shared" si="81"/>
        <v>9</v>
      </c>
      <c r="C2705" s="107">
        <f ca="1">OFFSET(tab_tipo_Combustivel!$A$1,MATCH(B2705,tab_tipo_Combustivel!$A$2:$A$150,0),MATCH(A2705,tab_tipo_Combustivel!$B$1:$AQ$1,0),1,1)</f>
        <v>842.33</v>
      </c>
    </row>
    <row r="2706" spans="1:3">
      <c r="A2706" s="3">
        <f t="shared" si="80"/>
        <v>2032</v>
      </c>
      <c r="B2706" s="106">
        <f t="shared" si="81"/>
        <v>12</v>
      </c>
      <c r="C2706" s="107">
        <f ca="1">OFFSET(tab_tipo_Combustivel!$A$1,MATCH(B2706,tab_tipo_Combustivel!$A$2:$A$150,0),MATCH(A2706,tab_tipo_Combustivel!$B$1:$AQ$1,0),1,1)</f>
        <v>728.87</v>
      </c>
    </row>
    <row r="2707" spans="1:3">
      <c r="A2707" s="3">
        <f t="shared" si="80"/>
        <v>2032</v>
      </c>
      <c r="B2707" s="106">
        <f t="shared" si="81"/>
        <v>13</v>
      </c>
      <c r="C2707" s="107">
        <f ca="1">OFFSET(tab_tipo_Combustivel!$A$1,MATCH(B2707,tab_tipo_Combustivel!$A$2:$A$150,0),MATCH(A2707,tab_tipo_Combustivel!$B$1:$AQ$1,0),1,1)</f>
        <v>20.12</v>
      </c>
    </row>
    <row r="2708" spans="1:3">
      <c r="A2708" s="3">
        <f t="shared" si="80"/>
        <v>2032</v>
      </c>
      <c r="B2708" s="106">
        <f t="shared" si="81"/>
        <v>15</v>
      </c>
      <c r="C2708" s="107">
        <f ca="1">OFFSET(tab_tipo_Combustivel!$A$1,MATCH(B2708,tab_tipo_Combustivel!$A$2:$A$150,0),MATCH(A2708,tab_tipo_Combustivel!$B$1:$AQ$1,0),1,1)</f>
        <v>257.29000000000002</v>
      </c>
    </row>
    <row r="2709" spans="1:3">
      <c r="A2709" s="3">
        <f t="shared" si="80"/>
        <v>2032</v>
      </c>
      <c r="B2709" s="106">
        <f t="shared" si="81"/>
        <v>21</v>
      </c>
      <c r="C2709" s="107">
        <f ca="1">OFFSET(tab_tipo_Combustivel!$A$1,MATCH(B2709,tab_tipo_Combustivel!$A$2:$A$150,0),MATCH(A2709,tab_tipo_Combustivel!$B$1:$AQ$1,0),1,1)</f>
        <v>157.83000000000001</v>
      </c>
    </row>
    <row r="2710" spans="1:3">
      <c r="A2710" s="3">
        <f t="shared" si="80"/>
        <v>2032</v>
      </c>
      <c r="B2710" s="106">
        <f t="shared" si="81"/>
        <v>22</v>
      </c>
      <c r="C2710" s="107">
        <f ca="1">OFFSET(tab_tipo_Combustivel!$A$1,MATCH(B2710,tab_tipo_Combustivel!$A$2:$A$150,0),MATCH(A2710,tab_tipo_Combustivel!$B$1:$AQ$1,0),1,1)</f>
        <v>115.9</v>
      </c>
    </row>
    <row r="2711" spans="1:3">
      <c r="A2711" s="3">
        <f t="shared" si="80"/>
        <v>2032</v>
      </c>
      <c r="B2711" s="106">
        <f t="shared" si="81"/>
        <v>23</v>
      </c>
      <c r="C2711" s="107">
        <f ca="1">OFFSET(tab_tipo_Combustivel!$A$1,MATCH(B2711,tab_tipo_Combustivel!$A$2:$A$150,0),MATCH(A2711,tab_tipo_Combustivel!$B$1:$AQ$1,0),1,1)</f>
        <v>115.9</v>
      </c>
    </row>
    <row r="2712" spans="1:3">
      <c r="A2712" s="3">
        <f t="shared" si="80"/>
        <v>2032</v>
      </c>
      <c r="B2712" s="106">
        <f t="shared" si="81"/>
        <v>24</v>
      </c>
      <c r="C2712" s="107">
        <f ca="1">OFFSET(tab_tipo_Combustivel!$A$1,MATCH(B2712,tab_tipo_Combustivel!$A$2:$A$150,0),MATCH(A2712,tab_tipo_Combustivel!$B$1:$AQ$1,0),1,1)</f>
        <v>155.85</v>
      </c>
    </row>
    <row r="2713" spans="1:3">
      <c r="A2713" s="3">
        <f t="shared" si="80"/>
        <v>2032</v>
      </c>
      <c r="B2713" s="106">
        <f t="shared" si="81"/>
        <v>25</v>
      </c>
      <c r="C2713" s="107">
        <f ca="1">OFFSET(tab_tipo_Combustivel!$A$1,MATCH(B2713,tab_tipo_Combustivel!$A$2:$A$150,0),MATCH(A2713,tab_tipo_Combustivel!$B$1:$AQ$1,0),1,1)</f>
        <v>186.33</v>
      </c>
    </row>
    <row r="2714" spans="1:3">
      <c r="A2714" s="3">
        <f t="shared" si="80"/>
        <v>2032</v>
      </c>
      <c r="B2714" s="106">
        <f t="shared" si="81"/>
        <v>26</v>
      </c>
      <c r="C2714" s="107">
        <f ca="1">OFFSET(tab_tipo_Combustivel!$A$1,MATCH(B2714,tab_tipo_Combustivel!$A$2:$A$150,0),MATCH(A2714,tab_tipo_Combustivel!$B$1:$AQ$1,0),1,1)</f>
        <v>258.42</v>
      </c>
    </row>
    <row r="2715" spans="1:3">
      <c r="A2715" s="3">
        <f t="shared" si="80"/>
        <v>2032</v>
      </c>
      <c r="B2715" s="106">
        <f t="shared" si="81"/>
        <v>27</v>
      </c>
      <c r="C2715" s="107">
        <f ca="1">OFFSET(tab_tipo_Combustivel!$A$1,MATCH(B2715,tab_tipo_Combustivel!$A$2:$A$150,0),MATCH(A2715,tab_tipo_Combustivel!$B$1:$AQ$1,0),1,1)</f>
        <v>195.49</v>
      </c>
    </row>
    <row r="2716" spans="1:3">
      <c r="A2716" s="3">
        <f t="shared" si="80"/>
        <v>2032</v>
      </c>
      <c r="B2716" s="106">
        <f t="shared" si="81"/>
        <v>28</v>
      </c>
      <c r="C2716" s="107">
        <f ca="1">OFFSET(tab_tipo_Combustivel!$A$1,MATCH(B2716,tab_tipo_Combustivel!$A$2:$A$150,0),MATCH(A2716,tab_tipo_Combustivel!$B$1:$AQ$1,0),1,1)</f>
        <v>459.92</v>
      </c>
    </row>
    <row r="2717" spans="1:3">
      <c r="A2717" s="3">
        <f t="shared" si="80"/>
        <v>2032</v>
      </c>
      <c r="B2717" s="106">
        <f t="shared" si="81"/>
        <v>32</v>
      </c>
      <c r="C2717" s="107">
        <f ca="1">OFFSET(tab_tipo_Combustivel!$A$1,MATCH(B2717,tab_tipo_Combustivel!$A$2:$A$150,0),MATCH(A2717,tab_tipo_Combustivel!$B$1:$AQ$1,0),1,1)</f>
        <v>248.31</v>
      </c>
    </row>
    <row r="2718" spans="1:3">
      <c r="A2718" s="3">
        <f t="shared" si="80"/>
        <v>2032</v>
      </c>
      <c r="B2718" s="106">
        <f t="shared" si="81"/>
        <v>34</v>
      </c>
      <c r="C2718" s="107">
        <f ca="1">OFFSET(tab_tipo_Combustivel!$A$1,MATCH(B2718,tab_tipo_Combustivel!$A$2:$A$150,0),MATCH(A2718,tab_tipo_Combustivel!$B$1:$AQ$1,0),1,1)</f>
        <v>423.38</v>
      </c>
    </row>
    <row r="2719" spans="1:3">
      <c r="A2719" s="3">
        <f t="shared" si="80"/>
        <v>2032</v>
      </c>
      <c r="B2719" s="106">
        <f t="shared" si="81"/>
        <v>35</v>
      </c>
      <c r="C2719" s="107">
        <f ca="1">OFFSET(tab_tipo_Combustivel!$A$1,MATCH(B2719,tab_tipo_Combustivel!$A$2:$A$150,0),MATCH(A2719,tab_tipo_Combustivel!$B$1:$AQ$1,0),1,1)</f>
        <v>692.45</v>
      </c>
    </row>
    <row r="2720" spans="1:3">
      <c r="A2720" s="3">
        <f t="shared" si="80"/>
        <v>2032</v>
      </c>
      <c r="B2720" s="106">
        <f t="shared" si="81"/>
        <v>36</v>
      </c>
      <c r="C2720" s="107">
        <f ca="1">OFFSET(tab_tipo_Combustivel!$A$1,MATCH(B2720,tab_tipo_Combustivel!$A$2:$A$150,0),MATCH(A2720,tab_tipo_Combustivel!$B$1:$AQ$1,0),1,1)</f>
        <v>157.83000000000001</v>
      </c>
    </row>
    <row r="2721" spans="1:3">
      <c r="A2721" s="3">
        <f t="shared" si="80"/>
        <v>2032</v>
      </c>
      <c r="B2721" s="106">
        <f t="shared" si="81"/>
        <v>42</v>
      </c>
      <c r="C2721" s="107">
        <f ca="1">OFFSET(tab_tipo_Combustivel!$A$1,MATCH(B2721,tab_tipo_Combustivel!$A$2:$A$150,0),MATCH(A2721,tab_tipo_Combustivel!$B$1:$AQ$1,0),1,1)</f>
        <v>199.22</v>
      </c>
    </row>
    <row r="2722" spans="1:3">
      <c r="A2722" s="3">
        <f t="shared" si="80"/>
        <v>2032</v>
      </c>
      <c r="B2722" s="106">
        <f t="shared" si="81"/>
        <v>43</v>
      </c>
      <c r="C2722" s="107">
        <f ca="1">OFFSET(tab_tipo_Combustivel!$A$1,MATCH(B2722,tab_tipo_Combustivel!$A$2:$A$150,0),MATCH(A2722,tab_tipo_Combustivel!$B$1:$AQ$1,0),1,1)</f>
        <v>431.62</v>
      </c>
    </row>
    <row r="2723" spans="1:3">
      <c r="A2723" s="3">
        <f t="shared" si="80"/>
        <v>2032</v>
      </c>
      <c r="B2723" s="106">
        <f t="shared" si="81"/>
        <v>44</v>
      </c>
      <c r="C2723" s="107">
        <f ca="1">OFFSET(tab_tipo_Combustivel!$A$1,MATCH(B2723,tab_tipo_Combustivel!$A$2:$A$150,0),MATCH(A2723,tab_tipo_Combustivel!$B$1:$AQ$1,0),1,1)</f>
        <v>25.58</v>
      </c>
    </row>
    <row r="2724" spans="1:3">
      <c r="A2724" s="3">
        <f t="shared" si="80"/>
        <v>2032</v>
      </c>
      <c r="B2724" s="106">
        <f t="shared" si="81"/>
        <v>46</v>
      </c>
      <c r="C2724" s="107">
        <f ca="1">OFFSET(tab_tipo_Combustivel!$A$1,MATCH(B2724,tab_tipo_Combustivel!$A$2:$A$150,0),MATCH(A2724,tab_tipo_Combustivel!$B$1:$AQ$1,0),1,1)</f>
        <v>228.91</v>
      </c>
    </row>
    <row r="2725" spans="1:3">
      <c r="A2725" s="3">
        <f t="shared" si="80"/>
        <v>2032</v>
      </c>
      <c r="B2725" s="106">
        <f t="shared" si="81"/>
        <v>47</v>
      </c>
      <c r="C2725" s="107">
        <f ca="1">OFFSET(tab_tipo_Combustivel!$A$1,MATCH(B2725,tab_tipo_Combustivel!$A$2:$A$150,0),MATCH(A2725,tab_tipo_Combustivel!$B$1:$AQ$1,0),1,1)</f>
        <v>235.6</v>
      </c>
    </row>
    <row r="2726" spans="1:3">
      <c r="A2726" s="3">
        <f t="shared" si="80"/>
        <v>2032</v>
      </c>
      <c r="B2726" s="106">
        <f t="shared" si="81"/>
        <v>48</v>
      </c>
      <c r="C2726" s="107">
        <f ca="1">OFFSET(tab_tipo_Combustivel!$A$1,MATCH(B2726,tab_tipo_Combustivel!$A$2:$A$150,0),MATCH(A2726,tab_tipo_Combustivel!$B$1:$AQ$1,0),1,1)</f>
        <v>1012.12</v>
      </c>
    </row>
    <row r="2727" spans="1:3">
      <c r="A2727" s="3">
        <f t="shared" si="80"/>
        <v>2032</v>
      </c>
      <c r="B2727" s="106">
        <f t="shared" si="81"/>
        <v>50</v>
      </c>
      <c r="C2727" s="107">
        <f ca="1">OFFSET(tab_tipo_Combustivel!$A$1,MATCH(B2727,tab_tipo_Combustivel!$A$2:$A$150,0),MATCH(A2727,tab_tipo_Combustivel!$B$1:$AQ$1,0),1,1)</f>
        <v>669.87</v>
      </c>
    </row>
    <row r="2728" spans="1:3">
      <c r="A2728" s="3">
        <f t="shared" si="80"/>
        <v>2032</v>
      </c>
      <c r="B2728" s="106">
        <f t="shared" si="81"/>
        <v>54</v>
      </c>
      <c r="C2728" s="107">
        <f ca="1">OFFSET(tab_tipo_Combustivel!$A$1,MATCH(B2728,tab_tipo_Combustivel!$A$2:$A$150,0),MATCH(A2728,tab_tipo_Combustivel!$B$1:$AQ$1,0),1,1)</f>
        <v>304.55</v>
      </c>
    </row>
    <row r="2729" spans="1:3">
      <c r="A2729" s="3">
        <f t="shared" si="80"/>
        <v>2032</v>
      </c>
      <c r="B2729" s="106">
        <f t="shared" si="81"/>
        <v>58</v>
      </c>
      <c r="C2729" s="107">
        <f ca="1">OFFSET(tab_tipo_Combustivel!$A$1,MATCH(B2729,tab_tipo_Combustivel!$A$2:$A$150,0),MATCH(A2729,tab_tipo_Combustivel!$B$1:$AQ$1,0),1,1)</f>
        <v>300.05</v>
      </c>
    </row>
    <row r="2730" spans="1:3">
      <c r="A2730" s="3">
        <f t="shared" si="80"/>
        <v>2032</v>
      </c>
      <c r="B2730" s="106">
        <f t="shared" si="81"/>
        <v>62</v>
      </c>
      <c r="C2730" s="107">
        <f ca="1">OFFSET(tab_tipo_Combustivel!$A$1,MATCH(B2730,tab_tipo_Combustivel!$A$2:$A$150,0),MATCH(A2730,tab_tipo_Combustivel!$B$1:$AQ$1,0),1,1)</f>
        <v>309.24</v>
      </c>
    </row>
    <row r="2731" spans="1:3">
      <c r="A2731" s="3">
        <f t="shared" si="80"/>
        <v>2032</v>
      </c>
      <c r="B2731" s="106">
        <f t="shared" si="81"/>
        <v>63</v>
      </c>
      <c r="C2731" s="107">
        <f ca="1">OFFSET(tab_tipo_Combustivel!$A$1,MATCH(B2731,tab_tipo_Combustivel!$A$2:$A$150,0),MATCH(A2731,tab_tipo_Combustivel!$B$1:$AQ$1,0),1,1)</f>
        <v>365.77</v>
      </c>
    </row>
    <row r="2732" spans="1:3">
      <c r="A2732" s="3">
        <f t="shared" si="80"/>
        <v>2032</v>
      </c>
      <c r="B2732" s="106">
        <f t="shared" si="81"/>
        <v>64</v>
      </c>
      <c r="C2732" s="107">
        <f ca="1">OFFSET(tab_tipo_Combustivel!$A$1,MATCH(B2732,tab_tipo_Combustivel!$A$2:$A$150,0),MATCH(A2732,tab_tipo_Combustivel!$B$1:$AQ$1,0),1,1)</f>
        <v>853.54</v>
      </c>
    </row>
    <row r="2733" spans="1:3">
      <c r="A2733" s="3">
        <f t="shared" si="80"/>
        <v>2032</v>
      </c>
      <c r="B2733" s="106">
        <f t="shared" si="81"/>
        <v>68</v>
      </c>
      <c r="C2733" s="107">
        <f ca="1">OFFSET(tab_tipo_Combustivel!$A$1,MATCH(B2733,tab_tipo_Combustivel!$A$2:$A$150,0),MATCH(A2733,tab_tipo_Combustivel!$B$1:$AQ$1,0),1,1)</f>
        <v>195.63</v>
      </c>
    </row>
    <row r="2734" spans="1:3">
      <c r="A2734" s="3">
        <f t="shared" si="80"/>
        <v>2032</v>
      </c>
      <c r="B2734" s="106">
        <f t="shared" si="81"/>
        <v>74</v>
      </c>
      <c r="C2734" s="107">
        <f ca="1">OFFSET(tab_tipo_Combustivel!$A$1,MATCH(B2734,tab_tipo_Combustivel!$A$2:$A$150,0),MATCH(A2734,tab_tipo_Combustivel!$B$1:$AQ$1,0),1,1)</f>
        <v>364.46</v>
      </c>
    </row>
    <row r="2735" spans="1:3">
      <c r="A2735" s="3">
        <f t="shared" si="80"/>
        <v>2032</v>
      </c>
      <c r="B2735" s="106">
        <f t="shared" si="81"/>
        <v>83</v>
      </c>
      <c r="C2735" s="107">
        <f ca="1">OFFSET(tab_tipo_Combustivel!$A$1,MATCH(B2735,tab_tipo_Combustivel!$A$2:$A$150,0),MATCH(A2735,tab_tipo_Combustivel!$B$1:$AQ$1,0),1,1)</f>
        <v>448.1</v>
      </c>
    </row>
    <row r="2736" spans="1:3">
      <c r="A2736" s="3">
        <f t="shared" si="80"/>
        <v>2032</v>
      </c>
      <c r="B2736" s="106">
        <f t="shared" si="81"/>
        <v>86</v>
      </c>
      <c r="C2736" s="107">
        <f ca="1">OFFSET(tab_tipo_Combustivel!$A$1,MATCH(B2736,tab_tipo_Combustivel!$A$2:$A$150,0),MATCH(A2736,tab_tipo_Combustivel!$B$1:$AQ$1,0),1,1)</f>
        <v>170.34</v>
      </c>
    </row>
    <row r="2737" spans="1:3">
      <c r="A2737" s="3">
        <f t="shared" si="80"/>
        <v>2032</v>
      </c>
      <c r="B2737" s="106">
        <f t="shared" si="81"/>
        <v>90</v>
      </c>
      <c r="C2737" s="107">
        <f ca="1">OFFSET(tab_tipo_Combustivel!$A$1,MATCH(B2737,tab_tipo_Combustivel!$A$2:$A$150,0),MATCH(A2737,tab_tipo_Combustivel!$B$1:$AQ$1,0),1,1)</f>
        <v>533.1</v>
      </c>
    </row>
    <row r="2738" spans="1:3">
      <c r="A2738" s="3">
        <f t="shared" si="80"/>
        <v>2032</v>
      </c>
      <c r="B2738" s="106">
        <f t="shared" si="81"/>
        <v>93</v>
      </c>
      <c r="C2738" s="107">
        <f ca="1">OFFSET(tab_tipo_Combustivel!$A$1,MATCH(B2738,tab_tipo_Combustivel!$A$2:$A$150,0),MATCH(A2738,tab_tipo_Combustivel!$B$1:$AQ$1,0),1,1)</f>
        <v>842.33</v>
      </c>
    </row>
    <row r="2739" spans="1:3">
      <c r="A2739" s="3">
        <f t="shared" si="80"/>
        <v>2032</v>
      </c>
      <c r="B2739" s="106">
        <f t="shared" si="81"/>
        <v>94</v>
      </c>
      <c r="C2739" s="107">
        <f ca="1">OFFSET(tab_tipo_Combustivel!$A$1,MATCH(B2739,tab_tipo_Combustivel!$A$2:$A$150,0),MATCH(A2739,tab_tipo_Combustivel!$B$1:$AQ$1,0),1,1)</f>
        <v>842.33</v>
      </c>
    </row>
    <row r="2740" spans="1:3">
      <c r="A2740" s="3">
        <f t="shared" si="80"/>
        <v>2032</v>
      </c>
      <c r="B2740" s="106">
        <f t="shared" si="81"/>
        <v>96</v>
      </c>
      <c r="C2740" s="107">
        <f ca="1">OFFSET(tab_tipo_Combustivel!$A$1,MATCH(B2740,tab_tipo_Combustivel!$A$2:$A$150,0),MATCH(A2740,tab_tipo_Combustivel!$B$1:$AQ$1,0),1,1)</f>
        <v>99.92</v>
      </c>
    </row>
    <row r="2741" spans="1:3">
      <c r="A2741" s="3">
        <f t="shared" si="80"/>
        <v>2032</v>
      </c>
      <c r="B2741" s="106">
        <f t="shared" si="81"/>
        <v>98</v>
      </c>
      <c r="C2741" s="107">
        <f ca="1">OFFSET(tab_tipo_Combustivel!$A$1,MATCH(B2741,tab_tipo_Combustivel!$A$2:$A$150,0),MATCH(A2741,tab_tipo_Combustivel!$B$1:$AQ$1,0),1,1)</f>
        <v>489.8</v>
      </c>
    </row>
    <row r="2742" spans="1:3">
      <c r="A2742" s="3">
        <f t="shared" si="80"/>
        <v>2032</v>
      </c>
      <c r="B2742" s="106">
        <f t="shared" si="81"/>
        <v>107</v>
      </c>
      <c r="C2742" s="107">
        <f ca="1">OFFSET(tab_tipo_Combustivel!$A$1,MATCH(B2742,tab_tipo_Combustivel!$A$2:$A$150,0),MATCH(A2742,tab_tipo_Combustivel!$B$1:$AQ$1,0),1,1)</f>
        <v>57.63</v>
      </c>
    </row>
    <row r="2743" spans="1:3">
      <c r="A2743" s="3">
        <f t="shared" si="80"/>
        <v>2032</v>
      </c>
      <c r="B2743" s="106">
        <f t="shared" si="81"/>
        <v>110</v>
      </c>
      <c r="C2743" s="107">
        <f ca="1">OFFSET(tab_tipo_Combustivel!$A$1,MATCH(B2743,tab_tipo_Combustivel!$A$2:$A$150,0),MATCH(A2743,tab_tipo_Combustivel!$B$1:$AQ$1,0),1,1)</f>
        <v>568.29</v>
      </c>
    </row>
    <row r="2744" spans="1:3">
      <c r="A2744" s="3">
        <f t="shared" si="80"/>
        <v>2032</v>
      </c>
      <c r="B2744" s="106">
        <f t="shared" si="81"/>
        <v>116</v>
      </c>
      <c r="C2744" s="107">
        <f ca="1">OFFSET(tab_tipo_Combustivel!$A$1,MATCH(B2744,tab_tipo_Combustivel!$A$2:$A$150,0),MATCH(A2744,tab_tipo_Combustivel!$B$1:$AQ$1,0),1,1)</f>
        <v>117.46</v>
      </c>
    </row>
    <row r="2745" spans="1:3">
      <c r="A2745" s="3">
        <f t="shared" si="80"/>
        <v>2032</v>
      </c>
      <c r="B2745" s="106">
        <f t="shared" si="81"/>
        <v>140</v>
      </c>
      <c r="C2745" s="107">
        <f ca="1">OFFSET(tab_tipo_Combustivel!$A$1,MATCH(B2745,tab_tipo_Combustivel!$A$2:$A$150,0),MATCH(A2745,tab_tipo_Combustivel!$B$1:$AQ$1,0),1,1)</f>
        <v>88.11</v>
      </c>
    </row>
    <row r="2746" spans="1:3">
      <c r="A2746" s="3">
        <f t="shared" si="80"/>
        <v>2032</v>
      </c>
      <c r="B2746" s="106">
        <f t="shared" si="81"/>
        <v>141</v>
      </c>
      <c r="C2746" s="107">
        <f ca="1">OFFSET(tab_tipo_Combustivel!$A$1,MATCH(B2746,tab_tipo_Combustivel!$A$2:$A$150,0),MATCH(A2746,tab_tipo_Combustivel!$B$1:$AQ$1,0),1,1)</f>
        <v>1280.52</v>
      </c>
    </row>
    <row r="2747" spans="1:3">
      <c r="A2747" s="3">
        <f t="shared" si="80"/>
        <v>2032</v>
      </c>
      <c r="B2747" s="106">
        <f t="shared" si="81"/>
        <v>147</v>
      </c>
      <c r="C2747" s="107">
        <f ca="1">OFFSET(tab_tipo_Combustivel!$A$1,MATCH(B2747,tab_tipo_Combustivel!$A$2:$A$150,0),MATCH(A2747,tab_tipo_Combustivel!$B$1:$AQ$1,0),1,1)</f>
        <v>134.18</v>
      </c>
    </row>
    <row r="2748" spans="1:3">
      <c r="A2748" s="3">
        <f t="shared" si="80"/>
        <v>2032</v>
      </c>
      <c r="B2748" s="106">
        <f t="shared" si="81"/>
        <v>156</v>
      </c>
      <c r="C2748" s="107">
        <f ca="1">OFFSET(tab_tipo_Combustivel!$A$1,MATCH(B2748,tab_tipo_Combustivel!$A$2:$A$150,0),MATCH(A2748,tab_tipo_Combustivel!$B$1:$AQ$1,0),1,1)</f>
        <v>77.12</v>
      </c>
    </row>
    <row r="2749" spans="1:3">
      <c r="A2749" s="3">
        <f t="shared" si="80"/>
        <v>2032</v>
      </c>
      <c r="B2749" s="106">
        <f t="shared" si="81"/>
        <v>163</v>
      </c>
      <c r="C2749" s="107">
        <f ca="1">OFFSET(tab_tipo_Combustivel!$A$1,MATCH(B2749,tab_tipo_Combustivel!$A$2:$A$150,0),MATCH(A2749,tab_tipo_Combustivel!$B$1:$AQ$1,0),1,1)</f>
        <v>156.69999999999999</v>
      </c>
    </row>
    <row r="2750" spans="1:3">
      <c r="A2750" s="3">
        <f t="shared" si="80"/>
        <v>2032</v>
      </c>
      <c r="B2750" s="106">
        <f t="shared" si="81"/>
        <v>167</v>
      </c>
      <c r="C2750" s="107">
        <f ca="1">OFFSET(tab_tipo_Combustivel!$A$1,MATCH(B2750,tab_tipo_Combustivel!$A$2:$A$150,0),MATCH(A2750,tab_tipo_Combustivel!$B$1:$AQ$1,0),1,1)</f>
        <v>144.66999999999999</v>
      </c>
    </row>
    <row r="2751" spans="1:3">
      <c r="A2751" s="3">
        <f t="shared" si="80"/>
        <v>2032</v>
      </c>
      <c r="B2751" s="106">
        <f t="shared" si="81"/>
        <v>171</v>
      </c>
      <c r="C2751" s="107">
        <f ca="1">OFFSET(tab_tipo_Combustivel!$A$1,MATCH(B2751,tab_tipo_Combustivel!$A$2:$A$150,0),MATCH(A2751,tab_tipo_Combustivel!$B$1:$AQ$1,0),1,1)</f>
        <v>88</v>
      </c>
    </row>
    <row r="2752" spans="1:3">
      <c r="A2752" s="3">
        <f t="shared" si="80"/>
        <v>2032</v>
      </c>
      <c r="B2752" s="106">
        <f t="shared" si="81"/>
        <v>172</v>
      </c>
      <c r="C2752" s="107">
        <f ca="1">OFFSET(tab_tipo_Combustivel!$A$1,MATCH(B2752,tab_tipo_Combustivel!$A$2:$A$150,0),MATCH(A2752,tab_tipo_Combustivel!$B$1:$AQ$1,0),1,1)</f>
        <v>99.97</v>
      </c>
    </row>
    <row r="2753" spans="1:3">
      <c r="A2753" s="3">
        <f t="shared" si="80"/>
        <v>2032</v>
      </c>
      <c r="B2753" s="106">
        <f t="shared" si="81"/>
        <v>173</v>
      </c>
      <c r="C2753" s="107">
        <f ca="1">OFFSET(tab_tipo_Combustivel!$A$1,MATCH(B2753,tab_tipo_Combustivel!$A$2:$A$150,0),MATCH(A2753,tab_tipo_Combustivel!$B$1:$AQ$1,0),1,1)</f>
        <v>192.03</v>
      </c>
    </row>
    <row r="2754" spans="1:3">
      <c r="A2754" s="3">
        <f t="shared" si="80"/>
        <v>2032</v>
      </c>
      <c r="B2754" s="106">
        <f t="shared" si="81"/>
        <v>174</v>
      </c>
      <c r="C2754" s="107">
        <f ca="1">OFFSET(tab_tipo_Combustivel!$A$1,MATCH(B2754,tab_tipo_Combustivel!$A$2:$A$150,0),MATCH(A2754,tab_tipo_Combustivel!$B$1:$AQ$1,0),1,1)</f>
        <v>331.22</v>
      </c>
    </row>
    <row r="2755" spans="1:3">
      <c r="A2755" s="3">
        <f t="shared" si="80"/>
        <v>2032</v>
      </c>
      <c r="B2755" s="106">
        <f t="shared" si="81"/>
        <v>176</v>
      </c>
      <c r="C2755" s="107">
        <f ca="1">OFFSET(tab_tipo_Combustivel!$A$1,MATCH(B2755,tab_tipo_Combustivel!$A$2:$A$150,0),MATCH(A2755,tab_tipo_Combustivel!$B$1:$AQ$1,0),1,1)</f>
        <v>149.47999999999999</v>
      </c>
    </row>
    <row r="2756" spans="1:3">
      <c r="A2756" s="3">
        <f t="shared" si="80"/>
        <v>2032</v>
      </c>
      <c r="B2756" s="106">
        <f t="shared" si="81"/>
        <v>183</v>
      </c>
      <c r="C2756" s="107">
        <f ca="1">OFFSET(tab_tipo_Combustivel!$A$1,MATCH(B2756,tab_tipo_Combustivel!$A$2:$A$150,0),MATCH(A2756,tab_tipo_Combustivel!$B$1:$AQ$1,0),1,1)</f>
        <v>171.61</v>
      </c>
    </row>
    <row r="2757" spans="1:3">
      <c r="A2757" s="3">
        <f t="shared" si="80"/>
        <v>2032</v>
      </c>
      <c r="B2757" s="106">
        <f t="shared" si="81"/>
        <v>194</v>
      </c>
      <c r="C2757" s="107">
        <f ca="1">OFFSET(tab_tipo_Combustivel!$A$1,MATCH(B2757,tab_tipo_Combustivel!$A$2:$A$150,0),MATCH(A2757,tab_tipo_Combustivel!$B$1:$AQ$1,0),1,1)</f>
        <v>1098.58</v>
      </c>
    </row>
    <row r="2758" spans="1:3">
      <c r="A2758" s="3">
        <f t="shared" si="80"/>
        <v>2032</v>
      </c>
      <c r="B2758" s="106">
        <f t="shared" si="81"/>
        <v>203</v>
      </c>
      <c r="C2758" s="107">
        <f ca="1">OFFSET(tab_tipo_Combustivel!$A$1,MATCH(B2758,tab_tipo_Combustivel!$A$2:$A$150,0),MATCH(A2758,tab_tipo_Combustivel!$B$1:$AQ$1,0),1,1)</f>
        <v>0</v>
      </c>
    </row>
    <row r="2759" spans="1:3">
      <c r="A2759" s="3">
        <f t="shared" si="80"/>
        <v>2032</v>
      </c>
      <c r="B2759" s="106">
        <f t="shared" si="81"/>
        <v>204</v>
      </c>
      <c r="C2759" s="107">
        <f ca="1">OFFSET(tab_tipo_Combustivel!$A$1,MATCH(B2759,tab_tipo_Combustivel!$A$2:$A$150,0),MATCH(A2759,tab_tipo_Combustivel!$B$1:$AQ$1,0),1,1)</f>
        <v>0</v>
      </c>
    </row>
    <row r="2760" spans="1:3">
      <c r="A2760" s="3">
        <f t="shared" si="80"/>
        <v>2032</v>
      </c>
      <c r="B2760" s="106">
        <f t="shared" si="81"/>
        <v>205</v>
      </c>
      <c r="C2760" s="107">
        <f ca="1">OFFSET(tab_tipo_Combustivel!$A$1,MATCH(B2760,tab_tipo_Combustivel!$A$2:$A$150,0),MATCH(A2760,tab_tipo_Combustivel!$B$1:$AQ$1,0),1,1)</f>
        <v>0</v>
      </c>
    </row>
    <row r="2761" spans="1:3">
      <c r="A2761" s="3">
        <f t="shared" si="80"/>
        <v>2032</v>
      </c>
      <c r="B2761" s="106">
        <f t="shared" si="81"/>
        <v>207</v>
      </c>
      <c r="C2761" s="107">
        <f ca="1">OFFSET(tab_tipo_Combustivel!$A$1,MATCH(B2761,tab_tipo_Combustivel!$A$2:$A$150,0),MATCH(A2761,tab_tipo_Combustivel!$B$1:$AQ$1,0),1,1)</f>
        <v>0</v>
      </c>
    </row>
    <row r="2762" spans="1:3">
      <c r="A2762" s="3">
        <f t="shared" ref="A2762:A2825" si="82">A2627+1</f>
        <v>2032</v>
      </c>
      <c r="B2762" s="106">
        <f t="shared" ref="B2762:B2825" si="83">B2627</f>
        <v>208</v>
      </c>
      <c r="C2762" s="107">
        <f ca="1">OFFSET(tab_tipo_Combustivel!$A$1,MATCH(B2762,tab_tipo_Combustivel!$A$2:$A$150,0),MATCH(A2762,tab_tipo_Combustivel!$B$1:$AQ$1,0),1,1)</f>
        <v>783.64</v>
      </c>
    </row>
    <row r="2763" spans="1:3">
      <c r="A2763" s="3">
        <f t="shared" si="82"/>
        <v>2032</v>
      </c>
      <c r="B2763" s="106">
        <f t="shared" si="83"/>
        <v>209</v>
      </c>
      <c r="C2763" s="107">
        <f ca="1">OFFSET(tab_tipo_Combustivel!$A$1,MATCH(B2763,tab_tipo_Combustivel!$A$2:$A$150,0),MATCH(A2763,tab_tipo_Combustivel!$B$1:$AQ$1,0),1,1)</f>
        <v>0</v>
      </c>
    </row>
    <row r="2764" spans="1:3">
      <c r="A2764" s="3">
        <f t="shared" si="82"/>
        <v>2032</v>
      </c>
      <c r="B2764" s="106">
        <f t="shared" si="83"/>
        <v>211</v>
      </c>
      <c r="C2764" s="107">
        <f ca="1">OFFSET(tab_tipo_Combustivel!$A$1,MATCH(B2764,tab_tipo_Combustivel!$A$2:$A$150,0),MATCH(A2764,tab_tipo_Combustivel!$B$1:$AQ$1,0),1,1)</f>
        <v>150.79</v>
      </c>
    </row>
    <row r="2765" spans="1:3">
      <c r="A2765" s="3">
        <f t="shared" si="82"/>
        <v>2032</v>
      </c>
      <c r="B2765" s="106">
        <f t="shared" si="83"/>
        <v>212</v>
      </c>
      <c r="C2765" s="107">
        <f ca="1">OFFSET(tab_tipo_Combustivel!$A$1,MATCH(B2765,tab_tipo_Combustivel!$A$2:$A$150,0),MATCH(A2765,tab_tipo_Combustivel!$B$1:$AQ$1,0),1,1)</f>
        <v>84.58</v>
      </c>
    </row>
    <row r="2766" spans="1:3">
      <c r="A2766" s="3">
        <f t="shared" si="82"/>
        <v>2032</v>
      </c>
      <c r="B2766" s="106">
        <f t="shared" si="83"/>
        <v>224</v>
      </c>
      <c r="C2766" s="107">
        <f ca="1">OFFSET(tab_tipo_Combustivel!$A$1,MATCH(B2766,tab_tipo_Combustivel!$A$2:$A$150,0),MATCH(A2766,tab_tipo_Combustivel!$B$1:$AQ$1,0),1,1)</f>
        <v>31.08</v>
      </c>
    </row>
    <row r="2767" spans="1:3">
      <c r="A2767" s="3">
        <f t="shared" si="82"/>
        <v>2032</v>
      </c>
      <c r="B2767" s="106">
        <f t="shared" si="83"/>
        <v>225</v>
      </c>
      <c r="C2767" s="107">
        <f ca="1">OFFSET(tab_tipo_Combustivel!$A$1,MATCH(B2767,tab_tipo_Combustivel!$A$2:$A$150,0),MATCH(A2767,tab_tipo_Combustivel!$B$1:$AQ$1,0),1,1)</f>
        <v>1329.7</v>
      </c>
    </row>
    <row r="2768" spans="1:3">
      <c r="A2768" s="3">
        <f t="shared" si="82"/>
        <v>2032</v>
      </c>
      <c r="B2768" s="106">
        <f t="shared" si="83"/>
        <v>226</v>
      </c>
      <c r="C2768" s="107">
        <f ca="1">OFFSET(tab_tipo_Combustivel!$A$1,MATCH(B2768,tab_tipo_Combustivel!$A$2:$A$150,0),MATCH(A2768,tab_tipo_Combustivel!$B$1:$AQ$1,0),1,1)</f>
        <v>1061.1300000000001</v>
      </c>
    </row>
    <row r="2769" spans="1:3">
      <c r="A2769" s="3">
        <f t="shared" si="82"/>
        <v>2032</v>
      </c>
      <c r="B2769" s="106">
        <f t="shared" si="83"/>
        <v>227</v>
      </c>
      <c r="C2769" s="107">
        <f ca="1">OFFSET(tab_tipo_Combustivel!$A$1,MATCH(B2769,tab_tipo_Combustivel!$A$2:$A$150,0),MATCH(A2769,tab_tipo_Combustivel!$B$1:$AQ$1,0),1,1)</f>
        <v>447.52</v>
      </c>
    </row>
    <row r="2770" spans="1:3">
      <c r="A2770" s="3">
        <f t="shared" si="82"/>
        <v>2032</v>
      </c>
      <c r="B2770" s="106">
        <f t="shared" si="83"/>
        <v>228</v>
      </c>
      <c r="C2770" s="107">
        <f ca="1">OFFSET(tab_tipo_Combustivel!$A$1,MATCH(B2770,tab_tipo_Combustivel!$A$2:$A$150,0),MATCH(A2770,tab_tipo_Combustivel!$B$1:$AQ$1,0),1,1)</f>
        <v>1061.1400000000001</v>
      </c>
    </row>
    <row r="2771" spans="1:3">
      <c r="A2771" s="3">
        <f t="shared" si="82"/>
        <v>2032</v>
      </c>
      <c r="B2771" s="106">
        <f t="shared" si="83"/>
        <v>229</v>
      </c>
      <c r="C2771" s="107">
        <f ca="1">OFFSET(tab_tipo_Combustivel!$A$1,MATCH(B2771,tab_tipo_Combustivel!$A$2:$A$150,0),MATCH(A2771,tab_tipo_Combustivel!$B$1:$AQ$1,0),1,1)</f>
        <v>942.05</v>
      </c>
    </row>
    <row r="2772" spans="1:3">
      <c r="A2772" s="3">
        <f t="shared" si="82"/>
        <v>2032</v>
      </c>
      <c r="B2772" s="106">
        <f t="shared" si="83"/>
        <v>230</v>
      </c>
      <c r="C2772" s="107">
        <f ca="1">OFFSET(tab_tipo_Combustivel!$A$1,MATCH(B2772,tab_tipo_Combustivel!$A$2:$A$150,0),MATCH(A2772,tab_tipo_Combustivel!$B$1:$AQ$1,0),1,1)</f>
        <v>495.06</v>
      </c>
    </row>
    <row r="2773" spans="1:3">
      <c r="A2773" s="3">
        <f t="shared" si="82"/>
        <v>2032</v>
      </c>
      <c r="B2773" s="106">
        <f t="shared" si="83"/>
        <v>231</v>
      </c>
      <c r="C2773" s="107">
        <f ca="1">OFFSET(tab_tipo_Combustivel!$A$1,MATCH(B2773,tab_tipo_Combustivel!$A$2:$A$150,0),MATCH(A2773,tab_tipo_Combustivel!$B$1:$AQ$1,0),1,1)</f>
        <v>489.29</v>
      </c>
    </row>
    <row r="2774" spans="1:3">
      <c r="A2774" s="3">
        <f t="shared" si="82"/>
        <v>2032</v>
      </c>
      <c r="B2774" s="106">
        <f t="shared" si="83"/>
        <v>232</v>
      </c>
      <c r="C2774" s="107">
        <f ca="1">OFFSET(tab_tipo_Combustivel!$A$1,MATCH(B2774,tab_tipo_Combustivel!$A$2:$A$150,0),MATCH(A2774,tab_tipo_Combustivel!$B$1:$AQ$1,0),1,1)</f>
        <v>842.33</v>
      </c>
    </row>
    <row r="2775" spans="1:3">
      <c r="A2775" s="3">
        <f t="shared" si="82"/>
        <v>2032</v>
      </c>
      <c r="B2775" s="106">
        <f t="shared" si="83"/>
        <v>233</v>
      </c>
      <c r="C2775" s="107">
        <f ca="1">OFFSET(tab_tipo_Combustivel!$A$1,MATCH(B2775,tab_tipo_Combustivel!$A$2:$A$150,0),MATCH(A2775,tab_tipo_Combustivel!$B$1:$AQ$1,0),1,1)</f>
        <v>984.29</v>
      </c>
    </row>
    <row r="2776" spans="1:3">
      <c r="A2776" s="3">
        <f t="shared" si="82"/>
        <v>2032</v>
      </c>
      <c r="B2776" s="106">
        <f t="shared" si="83"/>
        <v>234</v>
      </c>
      <c r="C2776" s="107">
        <f ca="1">OFFSET(tab_tipo_Combustivel!$A$1,MATCH(B2776,tab_tipo_Combustivel!$A$2:$A$150,0),MATCH(A2776,tab_tipo_Combustivel!$B$1:$AQ$1,0),1,1)</f>
        <v>290.26</v>
      </c>
    </row>
    <row r="2777" spans="1:3">
      <c r="A2777" s="3">
        <f t="shared" si="82"/>
        <v>2032</v>
      </c>
      <c r="B2777" s="106">
        <f t="shared" si="83"/>
        <v>235</v>
      </c>
      <c r="C2777" s="107">
        <f ca="1">OFFSET(tab_tipo_Combustivel!$A$1,MATCH(B2777,tab_tipo_Combustivel!$A$2:$A$150,0),MATCH(A2777,tab_tipo_Combustivel!$B$1:$AQ$1,0),1,1)</f>
        <v>1350.87</v>
      </c>
    </row>
    <row r="2778" spans="1:3">
      <c r="A2778" s="3">
        <f t="shared" si="82"/>
        <v>2032</v>
      </c>
      <c r="B2778" s="106">
        <f t="shared" si="83"/>
        <v>236</v>
      </c>
      <c r="C2778" s="107">
        <f ca="1">OFFSET(tab_tipo_Combustivel!$A$1,MATCH(B2778,tab_tipo_Combustivel!$A$2:$A$150,0),MATCH(A2778,tab_tipo_Combustivel!$B$1:$AQ$1,0),1,1)</f>
        <v>842.33</v>
      </c>
    </row>
    <row r="2779" spans="1:3">
      <c r="A2779" s="3">
        <f t="shared" si="82"/>
        <v>2032</v>
      </c>
      <c r="B2779" s="106">
        <f t="shared" si="83"/>
        <v>237</v>
      </c>
      <c r="C2779" s="107">
        <f ca="1">OFFSET(tab_tipo_Combustivel!$A$1,MATCH(B2779,tab_tipo_Combustivel!$A$2:$A$150,0),MATCH(A2779,tab_tipo_Combustivel!$B$1:$AQ$1,0),1,1)</f>
        <v>760.85</v>
      </c>
    </row>
    <row r="2780" spans="1:3">
      <c r="A2780" s="3">
        <f t="shared" si="82"/>
        <v>2032</v>
      </c>
      <c r="B2780" s="106">
        <f t="shared" si="83"/>
        <v>238</v>
      </c>
      <c r="C2780" s="107">
        <f ca="1">OFFSET(tab_tipo_Combustivel!$A$1,MATCH(B2780,tab_tipo_Combustivel!$A$2:$A$150,0),MATCH(A2780,tab_tipo_Combustivel!$B$1:$AQ$1,0),1,1)</f>
        <v>963.75</v>
      </c>
    </row>
    <row r="2781" spans="1:3">
      <c r="A2781" s="3">
        <f t="shared" si="82"/>
        <v>2032</v>
      </c>
      <c r="B2781" s="106">
        <f t="shared" si="83"/>
        <v>239</v>
      </c>
      <c r="C2781" s="107">
        <f ca="1">OFFSET(tab_tipo_Combustivel!$A$1,MATCH(B2781,tab_tipo_Combustivel!$A$2:$A$150,0),MATCH(A2781,tab_tipo_Combustivel!$B$1:$AQ$1,0),1,1)</f>
        <v>963.75</v>
      </c>
    </row>
    <row r="2782" spans="1:3">
      <c r="A2782" s="3">
        <f t="shared" si="82"/>
        <v>2032</v>
      </c>
      <c r="B2782" s="106">
        <f t="shared" si="83"/>
        <v>240</v>
      </c>
      <c r="C2782" s="107">
        <f ca="1">OFFSET(tab_tipo_Combustivel!$A$1,MATCH(B2782,tab_tipo_Combustivel!$A$2:$A$150,0),MATCH(A2782,tab_tipo_Combustivel!$B$1:$AQ$1,0),1,1)</f>
        <v>1115.96</v>
      </c>
    </row>
    <row r="2783" spans="1:3">
      <c r="A2783" s="3">
        <f t="shared" si="82"/>
        <v>2032</v>
      </c>
      <c r="B2783" s="106">
        <f t="shared" si="83"/>
        <v>241</v>
      </c>
      <c r="C2783" s="107">
        <f ca="1">OFFSET(tab_tipo_Combustivel!$A$1,MATCH(B2783,tab_tipo_Combustivel!$A$2:$A$150,0),MATCH(A2783,tab_tipo_Combustivel!$B$1:$AQ$1,0),1,1)</f>
        <v>495.75</v>
      </c>
    </row>
    <row r="2784" spans="1:3">
      <c r="A2784" s="3">
        <f t="shared" si="82"/>
        <v>2032</v>
      </c>
      <c r="B2784" s="106">
        <f t="shared" si="83"/>
        <v>242</v>
      </c>
      <c r="C2784" s="107">
        <f ca="1">OFFSET(tab_tipo_Combustivel!$A$1,MATCH(B2784,tab_tipo_Combustivel!$A$2:$A$150,0),MATCH(A2784,tab_tipo_Combustivel!$B$1:$AQ$1,0),1,1)</f>
        <v>1176.45</v>
      </c>
    </row>
    <row r="2785" spans="1:3">
      <c r="A2785" s="3">
        <f t="shared" si="82"/>
        <v>2032</v>
      </c>
      <c r="B2785" s="106">
        <f t="shared" si="83"/>
        <v>243</v>
      </c>
      <c r="C2785" s="107">
        <f ca="1">OFFSET(tab_tipo_Combustivel!$A$1,MATCH(B2785,tab_tipo_Combustivel!$A$2:$A$150,0),MATCH(A2785,tab_tipo_Combustivel!$B$1:$AQ$1,0),1,1)</f>
        <v>495.08</v>
      </c>
    </row>
    <row r="2786" spans="1:3">
      <c r="A2786" s="3">
        <f t="shared" si="82"/>
        <v>2032</v>
      </c>
      <c r="B2786" s="106">
        <f t="shared" si="83"/>
        <v>244</v>
      </c>
      <c r="C2786" s="107">
        <f ca="1">OFFSET(tab_tipo_Combustivel!$A$1,MATCH(B2786,tab_tipo_Combustivel!$A$2:$A$150,0),MATCH(A2786,tab_tipo_Combustivel!$B$1:$AQ$1,0),1,1)</f>
        <v>495.06</v>
      </c>
    </row>
    <row r="2787" spans="1:3">
      <c r="A2787" s="3">
        <f t="shared" si="82"/>
        <v>2032</v>
      </c>
      <c r="B2787" s="106">
        <f t="shared" si="83"/>
        <v>245</v>
      </c>
      <c r="C2787" s="107">
        <f ca="1">OFFSET(tab_tipo_Combustivel!$A$1,MATCH(B2787,tab_tipo_Combustivel!$A$2:$A$150,0),MATCH(A2787,tab_tipo_Combustivel!$B$1:$AQ$1,0),1,1)</f>
        <v>562.65</v>
      </c>
    </row>
    <row r="2788" spans="1:3">
      <c r="A2788" s="3">
        <f t="shared" si="82"/>
        <v>2032</v>
      </c>
      <c r="B2788" s="106">
        <f t="shared" si="83"/>
        <v>246</v>
      </c>
      <c r="C2788" s="107">
        <f ca="1">OFFSET(tab_tipo_Combustivel!$A$1,MATCH(B2788,tab_tipo_Combustivel!$A$2:$A$150,0),MATCH(A2788,tab_tipo_Combustivel!$B$1:$AQ$1,0),1,1)</f>
        <v>1124.53</v>
      </c>
    </row>
    <row r="2789" spans="1:3">
      <c r="A2789" s="3">
        <f t="shared" si="82"/>
        <v>2032</v>
      </c>
      <c r="B2789" s="106">
        <f t="shared" si="83"/>
        <v>247</v>
      </c>
      <c r="C2789" s="107">
        <f ca="1">OFFSET(tab_tipo_Combustivel!$A$1,MATCH(B2789,tab_tipo_Combustivel!$A$2:$A$150,0),MATCH(A2789,tab_tipo_Combustivel!$B$1:$AQ$1,0),1,1)</f>
        <v>609.51</v>
      </c>
    </row>
    <row r="2790" spans="1:3">
      <c r="A2790" s="3">
        <f t="shared" si="82"/>
        <v>2032</v>
      </c>
      <c r="B2790" s="106">
        <f t="shared" si="83"/>
        <v>248</v>
      </c>
      <c r="C2790" s="107">
        <f ca="1">OFFSET(tab_tipo_Combustivel!$A$1,MATCH(B2790,tab_tipo_Combustivel!$A$2:$A$150,0),MATCH(A2790,tab_tipo_Combustivel!$B$1:$AQ$1,0),1,1)</f>
        <v>495.06</v>
      </c>
    </row>
    <row r="2791" spans="1:3">
      <c r="A2791" s="3">
        <f t="shared" si="82"/>
        <v>2032</v>
      </c>
      <c r="B2791" s="106">
        <f t="shared" si="83"/>
        <v>249</v>
      </c>
      <c r="C2791" s="107">
        <f ca="1">OFFSET(tab_tipo_Combustivel!$A$1,MATCH(B2791,tab_tipo_Combustivel!$A$2:$A$150,0),MATCH(A2791,tab_tipo_Combustivel!$B$1:$AQ$1,0),1,1)</f>
        <v>842.33</v>
      </c>
    </row>
    <row r="2792" spans="1:3">
      <c r="A2792" s="3">
        <f t="shared" si="82"/>
        <v>2032</v>
      </c>
      <c r="B2792" s="106">
        <f t="shared" si="83"/>
        <v>250</v>
      </c>
      <c r="C2792" s="107">
        <f ca="1">OFFSET(tab_tipo_Combustivel!$A$1,MATCH(B2792,tab_tipo_Combustivel!$A$2:$A$150,0),MATCH(A2792,tab_tipo_Combustivel!$B$1:$AQ$1,0),1,1)</f>
        <v>1176.45</v>
      </c>
    </row>
    <row r="2793" spans="1:3">
      <c r="A2793" s="3">
        <f t="shared" si="82"/>
        <v>2032</v>
      </c>
      <c r="B2793" s="106">
        <f t="shared" si="83"/>
        <v>251</v>
      </c>
      <c r="C2793" s="107">
        <f ca="1">OFFSET(tab_tipo_Combustivel!$A$1,MATCH(B2793,tab_tipo_Combustivel!$A$2:$A$150,0),MATCH(A2793,tab_tipo_Combustivel!$B$1:$AQ$1,0),1,1)</f>
        <v>842.33</v>
      </c>
    </row>
    <row r="2794" spans="1:3">
      <c r="A2794" s="3">
        <f t="shared" si="82"/>
        <v>2032</v>
      </c>
      <c r="B2794" s="106">
        <f t="shared" si="83"/>
        <v>252</v>
      </c>
      <c r="C2794" s="107">
        <f ca="1">OFFSET(tab_tipo_Combustivel!$A$1,MATCH(B2794,tab_tipo_Combustivel!$A$2:$A$150,0),MATCH(A2794,tab_tipo_Combustivel!$B$1:$AQ$1,0),1,1)</f>
        <v>842.33</v>
      </c>
    </row>
    <row r="2795" spans="1:3">
      <c r="A2795" s="3">
        <f t="shared" si="82"/>
        <v>2032</v>
      </c>
      <c r="B2795" s="106">
        <f t="shared" si="83"/>
        <v>253</v>
      </c>
      <c r="C2795" s="107">
        <f ca="1">OFFSET(tab_tipo_Combustivel!$A$1,MATCH(B2795,tab_tipo_Combustivel!$A$2:$A$150,0),MATCH(A2795,tab_tipo_Combustivel!$B$1:$AQ$1,0),1,1)</f>
        <v>279.45</v>
      </c>
    </row>
    <row r="2796" spans="1:3">
      <c r="A2796" s="3">
        <f t="shared" si="82"/>
        <v>2032</v>
      </c>
      <c r="B2796" s="106">
        <f t="shared" si="83"/>
        <v>254</v>
      </c>
      <c r="C2796" s="107">
        <f ca="1">OFFSET(tab_tipo_Combustivel!$A$1,MATCH(B2796,tab_tipo_Combustivel!$A$2:$A$150,0),MATCH(A2796,tab_tipo_Combustivel!$B$1:$AQ$1,0),1,1)</f>
        <v>1153.98</v>
      </c>
    </row>
    <row r="2797" spans="1:3">
      <c r="A2797" s="3">
        <f t="shared" si="82"/>
        <v>2032</v>
      </c>
      <c r="B2797" s="106">
        <f t="shared" si="83"/>
        <v>255</v>
      </c>
      <c r="C2797" s="107">
        <f ca="1">OFFSET(tab_tipo_Combustivel!$A$1,MATCH(B2797,tab_tipo_Combustivel!$A$2:$A$150,0),MATCH(A2797,tab_tipo_Combustivel!$B$1:$AQ$1,0),1,1)</f>
        <v>828.98</v>
      </c>
    </row>
    <row r="2798" spans="1:3">
      <c r="A2798" s="3">
        <f t="shared" si="82"/>
        <v>2032</v>
      </c>
      <c r="B2798" s="106">
        <f t="shared" si="83"/>
        <v>256</v>
      </c>
      <c r="C2798" s="107">
        <f ca="1">OFFSET(tab_tipo_Combustivel!$A$1,MATCH(B2798,tab_tipo_Combustivel!$A$2:$A$150,0),MATCH(A2798,tab_tipo_Combustivel!$B$1:$AQ$1,0),1,1)</f>
        <v>562.65</v>
      </c>
    </row>
    <row r="2799" spans="1:3">
      <c r="A2799" s="3">
        <f t="shared" si="82"/>
        <v>2032</v>
      </c>
      <c r="B2799" s="106">
        <f t="shared" si="83"/>
        <v>257</v>
      </c>
      <c r="C2799" s="107">
        <f ca="1">OFFSET(tab_tipo_Combustivel!$A$1,MATCH(B2799,tab_tipo_Combustivel!$A$2:$A$150,0),MATCH(A2799,tab_tipo_Combustivel!$B$1:$AQ$1,0),1,1)</f>
        <v>907.52</v>
      </c>
    </row>
    <row r="2800" spans="1:3">
      <c r="A2800" s="3">
        <f t="shared" si="82"/>
        <v>2032</v>
      </c>
      <c r="B2800" s="106">
        <f t="shared" si="83"/>
        <v>258</v>
      </c>
      <c r="C2800" s="107">
        <f ca="1">OFFSET(tab_tipo_Combustivel!$A$1,MATCH(B2800,tab_tipo_Combustivel!$A$2:$A$150,0),MATCH(A2800,tab_tipo_Combustivel!$B$1:$AQ$1,0),1,1)</f>
        <v>1016.04</v>
      </c>
    </row>
    <row r="2801" spans="1:3">
      <c r="A2801" s="3">
        <f t="shared" si="82"/>
        <v>2032</v>
      </c>
      <c r="B2801" s="106">
        <f t="shared" si="83"/>
        <v>259</v>
      </c>
      <c r="C2801" s="107">
        <f ca="1">OFFSET(tab_tipo_Combustivel!$A$1,MATCH(B2801,tab_tipo_Combustivel!$A$2:$A$150,0),MATCH(A2801,tab_tipo_Combustivel!$B$1:$AQ$1,0),1,1)</f>
        <v>977.53</v>
      </c>
    </row>
    <row r="2802" spans="1:3">
      <c r="A2802" s="3">
        <f t="shared" si="82"/>
        <v>2032</v>
      </c>
      <c r="B2802" s="106">
        <f t="shared" si="83"/>
        <v>260</v>
      </c>
      <c r="C2802" s="107">
        <f ca="1">OFFSET(tab_tipo_Combustivel!$A$1,MATCH(B2802,tab_tipo_Combustivel!$A$2:$A$150,0),MATCH(A2802,tab_tipo_Combustivel!$B$1:$AQ$1,0),1,1)</f>
        <v>827.17</v>
      </c>
    </row>
    <row r="2803" spans="1:3">
      <c r="A2803" s="3">
        <f t="shared" si="82"/>
        <v>2032</v>
      </c>
      <c r="B2803" s="106">
        <f t="shared" si="83"/>
        <v>261</v>
      </c>
      <c r="C2803" s="107">
        <f ca="1">OFFSET(tab_tipo_Combustivel!$A$1,MATCH(B2803,tab_tipo_Combustivel!$A$2:$A$150,0),MATCH(A2803,tab_tipo_Combustivel!$B$1:$AQ$1,0),1,1)</f>
        <v>829.7</v>
      </c>
    </row>
    <row r="2804" spans="1:3">
      <c r="A2804" s="3">
        <f t="shared" si="82"/>
        <v>2032</v>
      </c>
      <c r="B2804" s="106">
        <f t="shared" si="83"/>
        <v>262</v>
      </c>
      <c r="C2804" s="107">
        <f ca="1">OFFSET(tab_tipo_Combustivel!$A$1,MATCH(B2804,tab_tipo_Combustivel!$A$2:$A$150,0),MATCH(A2804,tab_tipo_Combustivel!$B$1:$AQ$1,0),1,1)</f>
        <v>495.75</v>
      </c>
    </row>
    <row r="2805" spans="1:3">
      <c r="A2805" s="3">
        <f t="shared" si="82"/>
        <v>2032</v>
      </c>
      <c r="B2805" s="106">
        <f t="shared" si="83"/>
        <v>263</v>
      </c>
      <c r="C2805" s="107">
        <f ca="1">OFFSET(tab_tipo_Combustivel!$A$1,MATCH(B2805,tab_tipo_Combustivel!$A$2:$A$150,0),MATCH(A2805,tab_tipo_Combustivel!$B$1:$AQ$1,0),1,1)</f>
        <v>474.77</v>
      </c>
    </row>
    <row r="2806" spans="1:3">
      <c r="A2806" s="3">
        <f t="shared" si="82"/>
        <v>2032</v>
      </c>
      <c r="B2806" s="106">
        <f t="shared" si="83"/>
        <v>264</v>
      </c>
      <c r="C2806" s="107">
        <f ca="1">OFFSET(tab_tipo_Combustivel!$A$1,MATCH(B2806,tab_tipo_Combustivel!$A$2:$A$150,0),MATCH(A2806,tab_tipo_Combustivel!$B$1:$AQ$1,0),1,1)</f>
        <v>842.33</v>
      </c>
    </row>
    <row r="2807" spans="1:3">
      <c r="A2807" s="3">
        <f t="shared" si="82"/>
        <v>2032</v>
      </c>
      <c r="B2807" s="106">
        <f t="shared" si="83"/>
        <v>265</v>
      </c>
      <c r="C2807" s="107">
        <f ca="1">OFFSET(tab_tipo_Combustivel!$A$1,MATCH(B2807,tab_tipo_Combustivel!$A$2:$A$150,0),MATCH(A2807,tab_tipo_Combustivel!$B$1:$AQ$1,0),1,1)</f>
        <v>415.82</v>
      </c>
    </row>
    <row r="2808" spans="1:3">
      <c r="A2808" s="3">
        <f t="shared" si="82"/>
        <v>2032</v>
      </c>
      <c r="B2808" s="106">
        <f t="shared" si="83"/>
        <v>266</v>
      </c>
      <c r="C2808" s="107">
        <f ca="1">OFFSET(tab_tipo_Combustivel!$A$1,MATCH(B2808,tab_tipo_Combustivel!$A$2:$A$150,0),MATCH(A2808,tab_tipo_Combustivel!$B$1:$AQ$1,0),1,1)</f>
        <v>827.17</v>
      </c>
    </row>
    <row r="2809" spans="1:3">
      <c r="A2809" s="3">
        <f t="shared" si="82"/>
        <v>2032</v>
      </c>
      <c r="B2809" s="106">
        <f t="shared" si="83"/>
        <v>301</v>
      </c>
      <c r="C2809" s="107">
        <f ca="1">OFFSET(tab_tipo_Combustivel!$A$1,MATCH(B2809,tab_tipo_Combustivel!$A$2:$A$150,0),MATCH(A2809,tab_tipo_Combustivel!$B$1:$AQ$1,0),1,1)</f>
        <v>99.08</v>
      </c>
    </row>
    <row r="2810" spans="1:3">
      <c r="A2810" s="3">
        <f t="shared" si="82"/>
        <v>2032</v>
      </c>
      <c r="B2810" s="106">
        <f t="shared" si="83"/>
        <v>302</v>
      </c>
      <c r="C2810" s="107">
        <f ca="1">OFFSET(tab_tipo_Combustivel!$A$1,MATCH(B2810,tab_tipo_Combustivel!$A$2:$A$150,0),MATCH(A2810,tab_tipo_Combustivel!$B$1:$AQ$1,0),1,1)</f>
        <v>103.73</v>
      </c>
    </row>
    <row r="2811" spans="1:3">
      <c r="A2811" s="3">
        <f t="shared" si="82"/>
        <v>2032</v>
      </c>
      <c r="B2811" s="106">
        <f t="shared" si="83"/>
        <v>303</v>
      </c>
      <c r="C2811" s="107">
        <f ca="1">OFFSET(tab_tipo_Combustivel!$A$1,MATCH(B2811,tab_tipo_Combustivel!$A$2:$A$150,0),MATCH(A2811,tab_tipo_Combustivel!$B$1:$AQ$1,0),1,1)</f>
        <v>103.73</v>
      </c>
    </row>
    <row r="2812" spans="1:3">
      <c r="A2812" s="3">
        <f t="shared" si="82"/>
        <v>2032</v>
      </c>
      <c r="B2812" s="106">
        <f t="shared" si="83"/>
        <v>304</v>
      </c>
      <c r="C2812" s="107">
        <f ca="1">OFFSET(tab_tipo_Combustivel!$A$1,MATCH(B2812,tab_tipo_Combustivel!$A$2:$A$150,0),MATCH(A2812,tab_tipo_Combustivel!$B$1:$AQ$1,0),1,1)</f>
        <v>139.41999999999999</v>
      </c>
    </row>
    <row r="2813" spans="1:3">
      <c r="A2813" s="3">
        <f t="shared" si="82"/>
        <v>2032</v>
      </c>
      <c r="B2813" s="106">
        <f t="shared" si="83"/>
        <v>305</v>
      </c>
      <c r="C2813" s="107">
        <f ca="1">OFFSET(tab_tipo_Combustivel!$A$1,MATCH(B2813,tab_tipo_Combustivel!$A$2:$A$150,0),MATCH(A2813,tab_tipo_Combustivel!$B$1:$AQ$1,0),1,1)</f>
        <v>89.7</v>
      </c>
    </row>
    <row r="2814" spans="1:3">
      <c r="A2814" s="3">
        <f t="shared" si="82"/>
        <v>2032</v>
      </c>
      <c r="B2814" s="106">
        <f t="shared" si="83"/>
        <v>306</v>
      </c>
      <c r="C2814" s="107">
        <f ca="1">OFFSET(tab_tipo_Combustivel!$A$1,MATCH(B2814,tab_tipo_Combustivel!$A$2:$A$150,0),MATCH(A2814,tab_tipo_Combustivel!$B$1:$AQ$1,0),1,1)</f>
        <v>100.38</v>
      </c>
    </row>
    <row r="2815" spans="1:3">
      <c r="A2815" s="3">
        <f t="shared" si="82"/>
        <v>2032</v>
      </c>
      <c r="B2815" s="106">
        <f t="shared" si="83"/>
        <v>307</v>
      </c>
      <c r="C2815" s="107">
        <f ca="1">OFFSET(tab_tipo_Combustivel!$A$1,MATCH(B2815,tab_tipo_Combustivel!$A$2:$A$150,0),MATCH(A2815,tab_tipo_Combustivel!$B$1:$AQ$1,0),1,1)</f>
        <v>510.12</v>
      </c>
    </row>
    <row r="2816" spans="1:3">
      <c r="A2816" s="3">
        <f t="shared" si="82"/>
        <v>2032</v>
      </c>
      <c r="B2816" s="106">
        <f t="shared" si="83"/>
        <v>308</v>
      </c>
      <c r="C2816" s="107">
        <f ca="1">OFFSET(tab_tipo_Combustivel!$A$1,MATCH(B2816,tab_tipo_Combustivel!$A$2:$A$150,0),MATCH(A2816,tab_tipo_Combustivel!$B$1:$AQ$1,0),1,1)</f>
        <v>72.5</v>
      </c>
    </row>
    <row r="2817" spans="1:3">
      <c r="A2817" s="3">
        <f t="shared" si="82"/>
        <v>2032</v>
      </c>
      <c r="B2817" s="106">
        <f t="shared" si="83"/>
        <v>309</v>
      </c>
      <c r="C2817" s="107">
        <f ca="1">OFFSET(tab_tipo_Combustivel!$A$1,MATCH(B2817,tab_tipo_Combustivel!$A$2:$A$150,0),MATCH(A2817,tab_tipo_Combustivel!$B$1:$AQ$1,0),1,1)</f>
        <v>126.77</v>
      </c>
    </row>
    <row r="2818" spans="1:3">
      <c r="A2818" s="3">
        <f t="shared" si="82"/>
        <v>2032</v>
      </c>
      <c r="B2818" s="106">
        <f t="shared" si="83"/>
        <v>310</v>
      </c>
      <c r="C2818" s="107">
        <f ca="1">OFFSET(tab_tipo_Combustivel!$A$1,MATCH(B2818,tab_tipo_Combustivel!$A$2:$A$150,0),MATCH(A2818,tab_tipo_Combustivel!$B$1:$AQ$1,0),1,1)</f>
        <v>275.99</v>
      </c>
    </row>
    <row r="2819" spans="1:3">
      <c r="A2819" s="3">
        <f t="shared" si="82"/>
        <v>2032</v>
      </c>
      <c r="B2819" s="106">
        <f t="shared" si="83"/>
        <v>311</v>
      </c>
      <c r="C2819" s="107">
        <f ca="1">OFFSET(tab_tipo_Combustivel!$A$1,MATCH(B2819,tab_tipo_Combustivel!$A$2:$A$150,0),MATCH(A2819,tab_tipo_Combustivel!$B$1:$AQ$1,0),1,1)</f>
        <v>70.66</v>
      </c>
    </row>
    <row r="2820" spans="1:3">
      <c r="A2820" s="3">
        <f t="shared" si="82"/>
        <v>2032</v>
      </c>
      <c r="B2820" s="106">
        <f t="shared" si="83"/>
        <v>312</v>
      </c>
      <c r="C2820" s="107">
        <f ca="1">OFFSET(tab_tipo_Combustivel!$A$1,MATCH(B2820,tab_tipo_Combustivel!$A$2:$A$150,0),MATCH(A2820,tab_tipo_Combustivel!$B$1:$AQ$1,0),1,1)</f>
        <v>0</v>
      </c>
    </row>
    <row r="2821" spans="1:3">
      <c r="A2821" s="3">
        <f t="shared" si="82"/>
        <v>2032</v>
      </c>
      <c r="B2821" s="106">
        <f t="shared" si="83"/>
        <v>1301</v>
      </c>
      <c r="C2821" s="107">
        <f ca="1">OFFSET(tab_tipo_Combustivel!$A$1,MATCH(B2821,tab_tipo_Combustivel!$A$2:$A$150,0),MATCH(A2821,tab_tipo_Combustivel!$B$1:$AQ$1,0),1,1)</f>
        <v>242.05</v>
      </c>
    </row>
    <row r="2822" spans="1:3">
      <c r="A2822" s="3">
        <f t="shared" si="82"/>
        <v>2032</v>
      </c>
      <c r="B2822" s="106">
        <f t="shared" si="83"/>
        <v>1302</v>
      </c>
      <c r="C2822" s="107">
        <f ca="1">OFFSET(tab_tipo_Combustivel!$A$1,MATCH(B2822,tab_tipo_Combustivel!$A$2:$A$150,0),MATCH(A2822,tab_tipo_Combustivel!$B$1:$AQ$1,0),1,1)</f>
        <v>193.64</v>
      </c>
    </row>
    <row r="2823" spans="1:3">
      <c r="A2823" s="3">
        <f t="shared" si="82"/>
        <v>2032</v>
      </c>
      <c r="B2823" s="106">
        <f t="shared" si="83"/>
        <v>1303</v>
      </c>
      <c r="C2823" s="107">
        <f ca="1">OFFSET(tab_tipo_Combustivel!$A$1,MATCH(B2823,tab_tipo_Combustivel!$A$2:$A$150,0),MATCH(A2823,tab_tipo_Combustivel!$B$1:$AQ$1,0),1,1)</f>
        <v>25.58</v>
      </c>
    </row>
    <row r="2824" spans="1:3">
      <c r="A2824" s="3">
        <f t="shared" si="82"/>
        <v>2032</v>
      </c>
      <c r="B2824" s="106">
        <f t="shared" si="83"/>
        <v>1304</v>
      </c>
      <c r="C2824" s="107">
        <f ca="1">OFFSET(tab_tipo_Combustivel!$A$1,MATCH(B2824,tab_tipo_Combustivel!$A$2:$A$150,0),MATCH(A2824,tab_tipo_Combustivel!$B$1:$AQ$1,0),1,1)</f>
        <v>0</v>
      </c>
    </row>
    <row r="2825" spans="1:3">
      <c r="A2825" s="3">
        <f t="shared" si="82"/>
        <v>2032</v>
      </c>
      <c r="B2825" s="106">
        <f t="shared" si="83"/>
        <v>1315</v>
      </c>
      <c r="C2825" s="107">
        <f ca="1">OFFSET(tab_tipo_Combustivel!$A$1,MATCH(B2825,tab_tipo_Combustivel!$A$2:$A$150,0),MATCH(A2825,tab_tipo_Combustivel!$B$1:$AQ$1,0),1,1)</f>
        <v>0</v>
      </c>
    </row>
    <row r="2826" spans="1:3">
      <c r="A2826" s="3">
        <f t="shared" ref="A2826:A2889" si="84">A2691+1</f>
        <v>2032</v>
      </c>
      <c r="B2826" s="106">
        <f t="shared" ref="B2826:B2889" si="85">B2691</f>
        <v>1316</v>
      </c>
      <c r="C2826" s="107">
        <f ca="1">OFFSET(tab_tipo_Combustivel!$A$1,MATCH(B2826,tab_tipo_Combustivel!$A$2:$A$150,0),MATCH(A2826,tab_tipo_Combustivel!$B$1:$AQ$1,0),1,1)</f>
        <v>0</v>
      </c>
    </row>
    <row r="2827" spans="1:3">
      <c r="A2827" s="3">
        <f t="shared" si="84"/>
        <v>2032</v>
      </c>
      <c r="B2827" s="106">
        <f t="shared" si="85"/>
        <v>1318</v>
      </c>
      <c r="C2827" s="107">
        <f ca="1">OFFSET(tab_tipo_Combustivel!$A$1,MATCH(B2827,tab_tipo_Combustivel!$A$2:$A$150,0),MATCH(A2827,tab_tipo_Combustivel!$B$1:$AQ$1,0),1,1)</f>
        <v>150</v>
      </c>
    </row>
    <row r="2828" spans="1:3">
      <c r="A2828" s="3">
        <f t="shared" si="84"/>
        <v>2032</v>
      </c>
      <c r="B2828" s="106">
        <f t="shared" si="85"/>
        <v>1321</v>
      </c>
      <c r="C2828" s="107">
        <f ca="1">OFFSET(tab_tipo_Combustivel!$A$1,MATCH(B2828,tab_tipo_Combustivel!$A$2:$A$150,0),MATCH(A2828,tab_tipo_Combustivel!$B$1:$AQ$1,0),1,1)</f>
        <v>85</v>
      </c>
    </row>
    <row r="2829" spans="1:3">
      <c r="A2829" s="3">
        <f t="shared" si="84"/>
        <v>2032</v>
      </c>
      <c r="B2829" s="106">
        <f t="shared" si="85"/>
        <v>1322</v>
      </c>
      <c r="C2829" s="107">
        <f ca="1">OFFSET(tab_tipo_Combustivel!$A$1,MATCH(B2829,tab_tipo_Combustivel!$A$2:$A$150,0),MATCH(A2829,tab_tipo_Combustivel!$B$1:$AQ$1,0),1,1)</f>
        <v>140</v>
      </c>
    </row>
    <row r="2830" spans="1:3">
      <c r="A2830" s="3">
        <f t="shared" si="84"/>
        <v>2032</v>
      </c>
      <c r="B2830" s="106">
        <f t="shared" si="85"/>
        <v>1323</v>
      </c>
      <c r="C2830" s="107">
        <f ca="1">OFFSET(tab_tipo_Combustivel!$A$1,MATCH(B2830,tab_tipo_Combustivel!$A$2:$A$150,0),MATCH(A2830,tab_tipo_Combustivel!$B$1:$AQ$1,0),1,1)</f>
        <v>63.75</v>
      </c>
    </row>
    <row r="2831" spans="1:3">
      <c r="A2831" s="3">
        <f t="shared" si="84"/>
        <v>2032</v>
      </c>
      <c r="B2831" s="106">
        <f t="shared" si="85"/>
        <v>1325</v>
      </c>
      <c r="C2831" s="107">
        <f ca="1">OFFSET(tab_tipo_Combustivel!$A$1,MATCH(B2831,tab_tipo_Combustivel!$A$2:$A$150,0),MATCH(A2831,tab_tipo_Combustivel!$B$1:$AQ$1,0),1,1)</f>
        <v>0</v>
      </c>
    </row>
    <row r="2832" spans="1:3">
      <c r="A2832" s="3">
        <f t="shared" si="84"/>
        <v>2032</v>
      </c>
      <c r="B2832" s="106">
        <f t="shared" si="85"/>
        <v>1326</v>
      </c>
      <c r="C2832" s="107">
        <f ca="1">OFFSET(tab_tipo_Combustivel!$A$1,MATCH(B2832,tab_tipo_Combustivel!$A$2:$A$150,0),MATCH(A2832,tab_tipo_Combustivel!$B$1:$AQ$1,0),1,1)</f>
        <v>260</v>
      </c>
    </row>
    <row r="2833" spans="1:3">
      <c r="A2833" s="3">
        <f t="shared" si="84"/>
        <v>2032</v>
      </c>
      <c r="B2833" s="106">
        <f t="shared" si="85"/>
        <v>1501</v>
      </c>
      <c r="C2833" s="107">
        <f ca="1">OFFSET(tab_tipo_Combustivel!$A$1,MATCH(B2833,tab_tipo_Combustivel!$A$2:$A$150,0),MATCH(A2833,tab_tipo_Combustivel!$B$1:$AQ$1,0),1,1)</f>
        <v>260</v>
      </c>
    </row>
    <row r="2834" spans="1:3">
      <c r="A2834" s="3">
        <f t="shared" si="84"/>
        <v>2032</v>
      </c>
      <c r="B2834" s="106">
        <f t="shared" si="85"/>
        <v>1502</v>
      </c>
      <c r="C2834" s="107">
        <f ca="1">OFFSET(tab_tipo_Combustivel!$A$1,MATCH(B2834,tab_tipo_Combustivel!$A$2:$A$150,0),MATCH(A2834,tab_tipo_Combustivel!$B$1:$AQ$1,0),1,1)</f>
        <v>60</v>
      </c>
    </row>
    <row r="2835" spans="1:3">
      <c r="A2835" s="3">
        <f t="shared" si="84"/>
        <v>2032</v>
      </c>
      <c r="B2835" s="106">
        <f t="shared" si="85"/>
        <v>1503</v>
      </c>
      <c r="C2835" s="107">
        <f ca="1">OFFSET(tab_tipo_Combustivel!$A$1,MATCH(B2835,tab_tipo_Combustivel!$A$2:$A$150,0),MATCH(A2835,tab_tipo_Combustivel!$B$1:$AQ$1,0),1,1)</f>
        <v>96.82</v>
      </c>
    </row>
    <row r="2836" spans="1:3">
      <c r="A2836" s="3">
        <f t="shared" si="84"/>
        <v>2032</v>
      </c>
      <c r="B2836" s="106">
        <f t="shared" si="85"/>
        <v>1504</v>
      </c>
      <c r="C2836" s="107">
        <f ca="1">OFFSET(tab_tipo_Combustivel!$A$1,MATCH(B2836,tab_tipo_Combustivel!$A$2:$A$150,0),MATCH(A2836,tab_tipo_Combustivel!$B$1:$AQ$1,0),1,1)</f>
        <v>145.22999999999999</v>
      </c>
    </row>
    <row r="2837" spans="1:3">
      <c r="A2837" s="3">
        <f t="shared" si="84"/>
        <v>2033</v>
      </c>
      <c r="B2837" s="106">
        <f t="shared" si="85"/>
        <v>1</v>
      </c>
      <c r="C2837" s="107">
        <f ca="1">OFFSET(tab_tipo_Combustivel!$A$1,MATCH(B2837,tab_tipo_Combustivel!$A$2:$A$150,0),MATCH(A2837,tab_tipo_Combustivel!$B$1:$AQ$1,0),1,1)</f>
        <v>29.13</v>
      </c>
    </row>
    <row r="2838" spans="1:3">
      <c r="A2838" s="3">
        <f t="shared" si="84"/>
        <v>2033</v>
      </c>
      <c r="B2838" s="106">
        <f t="shared" si="85"/>
        <v>2</v>
      </c>
      <c r="C2838" s="107">
        <f ca="1">OFFSET(tab_tipo_Combustivel!$A$1,MATCH(B2838,tab_tipo_Combustivel!$A$2:$A$150,0),MATCH(A2838,tab_tipo_Combustivel!$B$1:$AQ$1,0),1,1)</f>
        <v>842.33</v>
      </c>
    </row>
    <row r="2839" spans="1:3">
      <c r="A2839" s="3">
        <f t="shared" si="84"/>
        <v>2033</v>
      </c>
      <c r="B2839" s="106">
        <f t="shared" si="85"/>
        <v>4</v>
      </c>
      <c r="C2839" s="107">
        <f ca="1">OFFSET(tab_tipo_Combustivel!$A$1,MATCH(B2839,tab_tipo_Combustivel!$A$2:$A$150,0),MATCH(A2839,tab_tipo_Combustivel!$B$1:$AQ$1,0),1,1)</f>
        <v>842.33</v>
      </c>
    </row>
    <row r="2840" spans="1:3">
      <c r="A2840" s="3">
        <f t="shared" si="84"/>
        <v>2033</v>
      </c>
      <c r="B2840" s="106">
        <f t="shared" si="85"/>
        <v>9</v>
      </c>
      <c r="C2840" s="107">
        <f ca="1">OFFSET(tab_tipo_Combustivel!$A$1,MATCH(B2840,tab_tipo_Combustivel!$A$2:$A$150,0),MATCH(A2840,tab_tipo_Combustivel!$B$1:$AQ$1,0),1,1)</f>
        <v>842.33</v>
      </c>
    </row>
    <row r="2841" spans="1:3">
      <c r="A2841" s="3">
        <f t="shared" si="84"/>
        <v>2033</v>
      </c>
      <c r="B2841" s="106">
        <f t="shared" si="85"/>
        <v>12</v>
      </c>
      <c r="C2841" s="107">
        <f ca="1">OFFSET(tab_tipo_Combustivel!$A$1,MATCH(B2841,tab_tipo_Combustivel!$A$2:$A$150,0),MATCH(A2841,tab_tipo_Combustivel!$B$1:$AQ$1,0),1,1)</f>
        <v>728.87</v>
      </c>
    </row>
    <row r="2842" spans="1:3">
      <c r="A2842" s="3">
        <f t="shared" si="84"/>
        <v>2033</v>
      </c>
      <c r="B2842" s="106">
        <f t="shared" si="85"/>
        <v>13</v>
      </c>
      <c r="C2842" s="107">
        <f ca="1">OFFSET(tab_tipo_Combustivel!$A$1,MATCH(B2842,tab_tipo_Combustivel!$A$2:$A$150,0),MATCH(A2842,tab_tipo_Combustivel!$B$1:$AQ$1,0),1,1)</f>
        <v>20.12</v>
      </c>
    </row>
    <row r="2843" spans="1:3">
      <c r="A2843" s="3">
        <f t="shared" si="84"/>
        <v>2033</v>
      </c>
      <c r="B2843" s="106">
        <f t="shared" si="85"/>
        <v>15</v>
      </c>
      <c r="C2843" s="107">
        <f ca="1">OFFSET(tab_tipo_Combustivel!$A$1,MATCH(B2843,tab_tipo_Combustivel!$A$2:$A$150,0),MATCH(A2843,tab_tipo_Combustivel!$B$1:$AQ$1,0),1,1)</f>
        <v>257.29000000000002</v>
      </c>
    </row>
    <row r="2844" spans="1:3">
      <c r="A2844" s="3">
        <f t="shared" si="84"/>
        <v>2033</v>
      </c>
      <c r="B2844" s="106">
        <f t="shared" si="85"/>
        <v>21</v>
      </c>
      <c r="C2844" s="107">
        <f ca="1">OFFSET(tab_tipo_Combustivel!$A$1,MATCH(B2844,tab_tipo_Combustivel!$A$2:$A$150,0),MATCH(A2844,tab_tipo_Combustivel!$B$1:$AQ$1,0),1,1)</f>
        <v>157.83000000000001</v>
      </c>
    </row>
    <row r="2845" spans="1:3">
      <c r="A2845" s="3">
        <f t="shared" si="84"/>
        <v>2033</v>
      </c>
      <c r="B2845" s="106">
        <f t="shared" si="85"/>
        <v>22</v>
      </c>
      <c r="C2845" s="107">
        <f ca="1">OFFSET(tab_tipo_Combustivel!$A$1,MATCH(B2845,tab_tipo_Combustivel!$A$2:$A$150,0),MATCH(A2845,tab_tipo_Combustivel!$B$1:$AQ$1,0),1,1)</f>
        <v>115.9</v>
      </c>
    </row>
    <row r="2846" spans="1:3">
      <c r="A2846" s="3">
        <f t="shared" si="84"/>
        <v>2033</v>
      </c>
      <c r="B2846" s="106">
        <f t="shared" si="85"/>
        <v>23</v>
      </c>
      <c r="C2846" s="107">
        <f ca="1">OFFSET(tab_tipo_Combustivel!$A$1,MATCH(B2846,tab_tipo_Combustivel!$A$2:$A$150,0),MATCH(A2846,tab_tipo_Combustivel!$B$1:$AQ$1,0),1,1)</f>
        <v>115.9</v>
      </c>
    </row>
    <row r="2847" spans="1:3">
      <c r="A2847" s="3">
        <f t="shared" si="84"/>
        <v>2033</v>
      </c>
      <c r="B2847" s="106">
        <f t="shared" si="85"/>
        <v>24</v>
      </c>
      <c r="C2847" s="107">
        <f ca="1">OFFSET(tab_tipo_Combustivel!$A$1,MATCH(B2847,tab_tipo_Combustivel!$A$2:$A$150,0),MATCH(A2847,tab_tipo_Combustivel!$B$1:$AQ$1,0),1,1)</f>
        <v>155.85</v>
      </c>
    </row>
    <row r="2848" spans="1:3">
      <c r="A2848" s="3">
        <f t="shared" si="84"/>
        <v>2033</v>
      </c>
      <c r="B2848" s="106">
        <f t="shared" si="85"/>
        <v>25</v>
      </c>
      <c r="C2848" s="107">
        <f ca="1">OFFSET(tab_tipo_Combustivel!$A$1,MATCH(B2848,tab_tipo_Combustivel!$A$2:$A$150,0),MATCH(A2848,tab_tipo_Combustivel!$B$1:$AQ$1,0),1,1)</f>
        <v>186.33</v>
      </c>
    </row>
    <row r="2849" spans="1:3">
      <c r="A2849" s="3">
        <f t="shared" si="84"/>
        <v>2033</v>
      </c>
      <c r="B2849" s="106">
        <f t="shared" si="85"/>
        <v>26</v>
      </c>
      <c r="C2849" s="107">
        <f ca="1">OFFSET(tab_tipo_Combustivel!$A$1,MATCH(B2849,tab_tipo_Combustivel!$A$2:$A$150,0),MATCH(A2849,tab_tipo_Combustivel!$B$1:$AQ$1,0),1,1)</f>
        <v>258.42</v>
      </c>
    </row>
    <row r="2850" spans="1:3">
      <c r="A2850" s="3">
        <f t="shared" si="84"/>
        <v>2033</v>
      </c>
      <c r="B2850" s="106">
        <f t="shared" si="85"/>
        <v>27</v>
      </c>
      <c r="C2850" s="107">
        <f ca="1">OFFSET(tab_tipo_Combustivel!$A$1,MATCH(B2850,tab_tipo_Combustivel!$A$2:$A$150,0),MATCH(A2850,tab_tipo_Combustivel!$B$1:$AQ$1,0),1,1)</f>
        <v>195.49</v>
      </c>
    </row>
    <row r="2851" spans="1:3">
      <c r="A2851" s="3">
        <f t="shared" si="84"/>
        <v>2033</v>
      </c>
      <c r="B2851" s="106">
        <f t="shared" si="85"/>
        <v>28</v>
      </c>
      <c r="C2851" s="107">
        <f ca="1">OFFSET(tab_tipo_Combustivel!$A$1,MATCH(B2851,tab_tipo_Combustivel!$A$2:$A$150,0),MATCH(A2851,tab_tipo_Combustivel!$B$1:$AQ$1,0),1,1)</f>
        <v>459.92</v>
      </c>
    </row>
    <row r="2852" spans="1:3">
      <c r="A2852" s="3">
        <f t="shared" si="84"/>
        <v>2033</v>
      </c>
      <c r="B2852" s="106">
        <f t="shared" si="85"/>
        <v>32</v>
      </c>
      <c r="C2852" s="107">
        <f ca="1">OFFSET(tab_tipo_Combustivel!$A$1,MATCH(B2852,tab_tipo_Combustivel!$A$2:$A$150,0),MATCH(A2852,tab_tipo_Combustivel!$B$1:$AQ$1,0),1,1)</f>
        <v>248.31</v>
      </c>
    </row>
    <row r="2853" spans="1:3">
      <c r="A2853" s="3">
        <f t="shared" si="84"/>
        <v>2033</v>
      </c>
      <c r="B2853" s="106">
        <f t="shared" si="85"/>
        <v>34</v>
      </c>
      <c r="C2853" s="107">
        <f ca="1">OFFSET(tab_tipo_Combustivel!$A$1,MATCH(B2853,tab_tipo_Combustivel!$A$2:$A$150,0),MATCH(A2853,tab_tipo_Combustivel!$B$1:$AQ$1,0),1,1)</f>
        <v>423.38</v>
      </c>
    </row>
    <row r="2854" spans="1:3">
      <c r="A2854" s="3">
        <f t="shared" si="84"/>
        <v>2033</v>
      </c>
      <c r="B2854" s="106">
        <f t="shared" si="85"/>
        <v>35</v>
      </c>
      <c r="C2854" s="107">
        <f ca="1">OFFSET(tab_tipo_Combustivel!$A$1,MATCH(B2854,tab_tipo_Combustivel!$A$2:$A$150,0),MATCH(A2854,tab_tipo_Combustivel!$B$1:$AQ$1,0),1,1)</f>
        <v>692.45</v>
      </c>
    </row>
    <row r="2855" spans="1:3">
      <c r="A2855" s="3">
        <f t="shared" si="84"/>
        <v>2033</v>
      </c>
      <c r="B2855" s="106">
        <f t="shared" si="85"/>
        <v>36</v>
      </c>
      <c r="C2855" s="107">
        <f ca="1">OFFSET(tab_tipo_Combustivel!$A$1,MATCH(B2855,tab_tipo_Combustivel!$A$2:$A$150,0),MATCH(A2855,tab_tipo_Combustivel!$B$1:$AQ$1,0),1,1)</f>
        <v>157.83000000000001</v>
      </c>
    </row>
    <row r="2856" spans="1:3">
      <c r="A2856" s="3">
        <f t="shared" si="84"/>
        <v>2033</v>
      </c>
      <c r="B2856" s="106">
        <f t="shared" si="85"/>
        <v>42</v>
      </c>
      <c r="C2856" s="107">
        <f ca="1">OFFSET(tab_tipo_Combustivel!$A$1,MATCH(B2856,tab_tipo_Combustivel!$A$2:$A$150,0),MATCH(A2856,tab_tipo_Combustivel!$B$1:$AQ$1,0),1,1)</f>
        <v>199.22</v>
      </c>
    </row>
    <row r="2857" spans="1:3">
      <c r="A2857" s="3">
        <f t="shared" si="84"/>
        <v>2033</v>
      </c>
      <c r="B2857" s="106">
        <f t="shared" si="85"/>
        <v>43</v>
      </c>
      <c r="C2857" s="107">
        <f ca="1">OFFSET(tab_tipo_Combustivel!$A$1,MATCH(B2857,tab_tipo_Combustivel!$A$2:$A$150,0),MATCH(A2857,tab_tipo_Combustivel!$B$1:$AQ$1,0),1,1)</f>
        <v>431.62</v>
      </c>
    </row>
    <row r="2858" spans="1:3">
      <c r="A2858" s="3">
        <f t="shared" si="84"/>
        <v>2033</v>
      </c>
      <c r="B2858" s="106">
        <f t="shared" si="85"/>
        <v>44</v>
      </c>
      <c r="C2858" s="107">
        <f ca="1">OFFSET(tab_tipo_Combustivel!$A$1,MATCH(B2858,tab_tipo_Combustivel!$A$2:$A$150,0),MATCH(A2858,tab_tipo_Combustivel!$B$1:$AQ$1,0),1,1)</f>
        <v>25.58</v>
      </c>
    </row>
    <row r="2859" spans="1:3">
      <c r="A2859" s="3">
        <f t="shared" si="84"/>
        <v>2033</v>
      </c>
      <c r="B2859" s="106">
        <f t="shared" si="85"/>
        <v>46</v>
      </c>
      <c r="C2859" s="107">
        <f ca="1">OFFSET(tab_tipo_Combustivel!$A$1,MATCH(B2859,tab_tipo_Combustivel!$A$2:$A$150,0),MATCH(A2859,tab_tipo_Combustivel!$B$1:$AQ$1,0),1,1)</f>
        <v>228.91</v>
      </c>
    </row>
    <row r="2860" spans="1:3">
      <c r="A2860" s="3">
        <f t="shared" si="84"/>
        <v>2033</v>
      </c>
      <c r="B2860" s="106">
        <f t="shared" si="85"/>
        <v>47</v>
      </c>
      <c r="C2860" s="107">
        <f ca="1">OFFSET(tab_tipo_Combustivel!$A$1,MATCH(B2860,tab_tipo_Combustivel!$A$2:$A$150,0),MATCH(A2860,tab_tipo_Combustivel!$B$1:$AQ$1,0),1,1)</f>
        <v>235.6</v>
      </c>
    </row>
    <row r="2861" spans="1:3">
      <c r="A2861" s="3">
        <f t="shared" si="84"/>
        <v>2033</v>
      </c>
      <c r="B2861" s="106">
        <f t="shared" si="85"/>
        <v>48</v>
      </c>
      <c r="C2861" s="107">
        <f ca="1">OFFSET(tab_tipo_Combustivel!$A$1,MATCH(B2861,tab_tipo_Combustivel!$A$2:$A$150,0),MATCH(A2861,tab_tipo_Combustivel!$B$1:$AQ$1,0),1,1)</f>
        <v>1012.12</v>
      </c>
    </row>
    <row r="2862" spans="1:3">
      <c r="A2862" s="3">
        <f t="shared" si="84"/>
        <v>2033</v>
      </c>
      <c r="B2862" s="106">
        <f t="shared" si="85"/>
        <v>50</v>
      </c>
      <c r="C2862" s="107">
        <f ca="1">OFFSET(tab_tipo_Combustivel!$A$1,MATCH(B2862,tab_tipo_Combustivel!$A$2:$A$150,0),MATCH(A2862,tab_tipo_Combustivel!$B$1:$AQ$1,0),1,1)</f>
        <v>669.87</v>
      </c>
    </row>
    <row r="2863" spans="1:3">
      <c r="A2863" s="3">
        <f t="shared" si="84"/>
        <v>2033</v>
      </c>
      <c r="B2863" s="106">
        <f t="shared" si="85"/>
        <v>54</v>
      </c>
      <c r="C2863" s="107">
        <f ca="1">OFFSET(tab_tipo_Combustivel!$A$1,MATCH(B2863,tab_tipo_Combustivel!$A$2:$A$150,0),MATCH(A2863,tab_tipo_Combustivel!$B$1:$AQ$1,0),1,1)</f>
        <v>304.55</v>
      </c>
    </row>
    <row r="2864" spans="1:3">
      <c r="A2864" s="3">
        <f t="shared" si="84"/>
        <v>2033</v>
      </c>
      <c r="B2864" s="106">
        <f t="shared" si="85"/>
        <v>58</v>
      </c>
      <c r="C2864" s="107">
        <f ca="1">OFFSET(tab_tipo_Combustivel!$A$1,MATCH(B2864,tab_tipo_Combustivel!$A$2:$A$150,0),MATCH(A2864,tab_tipo_Combustivel!$B$1:$AQ$1,0),1,1)</f>
        <v>300.05</v>
      </c>
    </row>
    <row r="2865" spans="1:3">
      <c r="A2865" s="3">
        <f t="shared" si="84"/>
        <v>2033</v>
      </c>
      <c r="B2865" s="106">
        <f t="shared" si="85"/>
        <v>62</v>
      </c>
      <c r="C2865" s="107">
        <f ca="1">OFFSET(tab_tipo_Combustivel!$A$1,MATCH(B2865,tab_tipo_Combustivel!$A$2:$A$150,0),MATCH(A2865,tab_tipo_Combustivel!$B$1:$AQ$1,0),1,1)</f>
        <v>309.24</v>
      </c>
    </row>
    <row r="2866" spans="1:3">
      <c r="A2866" s="3">
        <f t="shared" si="84"/>
        <v>2033</v>
      </c>
      <c r="B2866" s="106">
        <f t="shared" si="85"/>
        <v>63</v>
      </c>
      <c r="C2866" s="107">
        <f ca="1">OFFSET(tab_tipo_Combustivel!$A$1,MATCH(B2866,tab_tipo_Combustivel!$A$2:$A$150,0),MATCH(A2866,tab_tipo_Combustivel!$B$1:$AQ$1,0),1,1)</f>
        <v>365.77</v>
      </c>
    </row>
    <row r="2867" spans="1:3">
      <c r="A2867" s="3">
        <f t="shared" si="84"/>
        <v>2033</v>
      </c>
      <c r="B2867" s="106">
        <f t="shared" si="85"/>
        <v>64</v>
      </c>
      <c r="C2867" s="107">
        <f ca="1">OFFSET(tab_tipo_Combustivel!$A$1,MATCH(B2867,tab_tipo_Combustivel!$A$2:$A$150,0),MATCH(A2867,tab_tipo_Combustivel!$B$1:$AQ$1,0),1,1)</f>
        <v>853.54</v>
      </c>
    </row>
    <row r="2868" spans="1:3">
      <c r="A2868" s="3">
        <f t="shared" si="84"/>
        <v>2033</v>
      </c>
      <c r="B2868" s="106">
        <f t="shared" si="85"/>
        <v>68</v>
      </c>
      <c r="C2868" s="107">
        <f ca="1">OFFSET(tab_tipo_Combustivel!$A$1,MATCH(B2868,tab_tipo_Combustivel!$A$2:$A$150,0),MATCH(A2868,tab_tipo_Combustivel!$B$1:$AQ$1,0),1,1)</f>
        <v>195.63</v>
      </c>
    </row>
    <row r="2869" spans="1:3">
      <c r="A2869" s="3">
        <f t="shared" si="84"/>
        <v>2033</v>
      </c>
      <c r="B2869" s="106">
        <f t="shared" si="85"/>
        <v>74</v>
      </c>
      <c r="C2869" s="107">
        <f ca="1">OFFSET(tab_tipo_Combustivel!$A$1,MATCH(B2869,tab_tipo_Combustivel!$A$2:$A$150,0),MATCH(A2869,tab_tipo_Combustivel!$B$1:$AQ$1,0),1,1)</f>
        <v>364.46</v>
      </c>
    </row>
    <row r="2870" spans="1:3">
      <c r="A2870" s="3">
        <f t="shared" si="84"/>
        <v>2033</v>
      </c>
      <c r="B2870" s="106">
        <f t="shared" si="85"/>
        <v>83</v>
      </c>
      <c r="C2870" s="107">
        <f ca="1">OFFSET(tab_tipo_Combustivel!$A$1,MATCH(B2870,tab_tipo_Combustivel!$A$2:$A$150,0),MATCH(A2870,tab_tipo_Combustivel!$B$1:$AQ$1,0),1,1)</f>
        <v>448.1</v>
      </c>
    </row>
    <row r="2871" spans="1:3">
      <c r="A2871" s="3">
        <f t="shared" si="84"/>
        <v>2033</v>
      </c>
      <c r="B2871" s="106">
        <f t="shared" si="85"/>
        <v>86</v>
      </c>
      <c r="C2871" s="107">
        <f ca="1">OFFSET(tab_tipo_Combustivel!$A$1,MATCH(B2871,tab_tipo_Combustivel!$A$2:$A$150,0),MATCH(A2871,tab_tipo_Combustivel!$B$1:$AQ$1,0),1,1)</f>
        <v>170.34</v>
      </c>
    </row>
    <row r="2872" spans="1:3">
      <c r="A2872" s="3">
        <f t="shared" si="84"/>
        <v>2033</v>
      </c>
      <c r="B2872" s="106">
        <f t="shared" si="85"/>
        <v>90</v>
      </c>
      <c r="C2872" s="107">
        <f ca="1">OFFSET(tab_tipo_Combustivel!$A$1,MATCH(B2872,tab_tipo_Combustivel!$A$2:$A$150,0),MATCH(A2872,tab_tipo_Combustivel!$B$1:$AQ$1,0),1,1)</f>
        <v>533.1</v>
      </c>
    </row>
    <row r="2873" spans="1:3">
      <c r="A2873" s="3">
        <f t="shared" si="84"/>
        <v>2033</v>
      </c>
      <c r="B2873" s="106">
        <f t="shared" si="85"/>
        <v>93</v>
      </c>
      <c r="C2873" s="107">
        <f ca="1">OFFSET(tab_tipo_Combustivel!$A$1,MATCH(B2873,tab_tipo_Combustivel!$A$2:$A$150,0),MATCH(A2873,tab_tipo_Combustivel!$B$1:$AQ$1,0),1,1)</f>
        <v>842.33</v>
      </c>
    </row>
    <row r="2874" spans="1:3">
      <c r="A2874" s="3">
        <f t="shared" si="84"/>
        <v>2033</v>
      </c>
      <c r="B2874" s="106">
        <f t="shared" si="85"/>
        <v>94</v>
      </c>
      <c r="C2874" s="107">
        <f ca="1">OFFSET(tab_tipo_Combustivel!$A$1,MATCH(B2874,tab_tipo_Combustivel!$A$2:$A$150,0),MATCH(A2874,tab_tipo_Combustivel!$B$1:$AQ$1,0),1,1)</f>
        <v>842.33</v>
      </c>
    </row>
    <row r="2875" spans="1:3">
      <c r="A2875" s="3">
        <f t="shared" si="84"/>
        <v>2033</v>
      </c>
      <c r="B2875" s="106">
        <f t="shared" si="85"/>
        <v>96</v>
      </c>
      <c r="C2875" s="107">
        <f ca="1">OFFSET(tab_tipo_Combustivel!$A$1,MATCH(B2875,tab_tipo_Combustivel!$A$2:$A$150,0),MATCH(A2875,tab_tipo_Combustivel!$B$1:$AQ$1,0),1,1)</f>
        <v>99.92</v>
      </c>
    </row>
    <row r="2876" spans="1:3">
      <c r="A2876" s="3">
        <f t="shared" si="84"/>
        <v>2033</v>
      </c>
      <c r="B2876" s="106">
        <f t="shared" si="85"/>
        <v>98</v>
      </c>
      <c r="C2876" s="107">
        <f ca="1">OFFSET(tab_tipo_Combustivel!$A$1,MATCH(B2876,tab_tipo_Combustivel!$A$2:$A$150,0),MATCH(A2876,tab_tipo_Combustivel!$B$1:$AQ$1,0),1,1)</f>
        <v>489.8</v>
      </c>
    </row>
    <row r="2877" spans="1:3">
      <c r="A2877" s="3">
        <f t="shared" si="84"/>
        <v>2033</v>
      </c>
      <c r="B2877" s="106">
        <f t="shared" si="85"/>
        <v>107</v>
      </c>
      <c r="C2877" s="107">
        <f ca="1">OFFSET(tab_tipo_Combustivel!$A$1,MATCH(B2877,tab_tipo_Combustivel!$A$2:$A$150,0),MATCH(A2877,tab_tipo_Combustivel!$B$1:$AQ$1,0),1,1)</f>
        <v>57.63</v>
      </c>
    </row>
    <row r="2878" spans="1:3">
      <c r="A2878" s="3">
        <f t="shared" si="84"/>
        <v>2033</v>
      </c>
      <c r="B2878" s="106">
        <f t="shared" si="85"/>
        <v>110</v>
      </c>
      <c r="C2878" s="107">
        <f ca="1">OFFSET(tab_tipo_Combustivel!$A$1,MATCH(B2878,tab_tipo_Combustivel!$A$2:$A$150,0),MATCH(A2878,tab_tipo_Combustivel!$B$1:$AQ$1,0),1,1)</f>
        <v>568.29</v>
      </c>
    </row>
    <row r="2879" spans="1:3">
      <c r="A2879" s="3">
        <f t="shared" si="84"/>
        <v>2033</v>
      </c>
      <c r="B2879" s="106">
        <f t="shared" si="85"/>
        <v>116</v>
      </c>
      <c r="C2879" s="107">
        <f ca="1">OFFSET(tab_tipo_Combustivel!$A$1,MATCH(B2879,tab_tipo_Combustivel!$A$2:$A$150,0),MATCH(A2879,tab_tipo_Combustivel!$B$1:$AQ$1,0),1,1)</f>
        <v>117.46</v>
      </c>
    </row>
    <row r="2880" spans="1:3">
      <c r="A2880" s="3">
        <f t="shared" si="84"/>
        <v>2033</v>
      </c>
      <c r="B2880" s="106">
        <f t="shared" si="85"/>
        <v>140</v>
      </c>
      <c r="C2880" s="107">
        <f ca="1">OFFSET(tab_tipo_Combustivel!$A$1,MATCH(B2880,tab_tipo_Combustivel!$A$2:$A$150,0),MATCH(A2880,tab_tipo_Combustivel!$B$1:$AQ$1,0),1,1)</f>
        <v>88.11</v>
      </c>
    </row>
    <row r="2881" spans="1:3">
      <c r="A2881" s="3">
        <f t="shared" si="84"/>
        <v>2033</v>
      </c>
      <c r="B2881" s="106">
        <f t="shared" si="85"/>
        <v>141</v>
      </c>
      <c r="C2881" s="107">
        <f ca="1">OFFSET(tab_tipo_Combustivel!$A$1,MATCH(B2881,tab_tipo_Combustivel!$A$2:$A$150,0),MATCH(A2881,tab_tipo_Combustivel!$B$1:$AQ$1,0),1,1)</f>
        <v>1280.52</v>
      </c>
    </row>
    <row r="2882" spans="1:3">
      <c r="A2882" s="3">
        <f t="shared" si="84"/>
        <v>2033</v>
      </c>
      <c r="B2882" s="106">
        <f t="shared" si="85"/>
        <v>147</v>
      </c>
      <c r="C2882" s="107">
        <f ca="1">OFFSET(tab_tipo_Combustivel!$A$1,MATCH(B2882,tab_tipo_Combustivel!$A$2:$A$150,0),MATCH(A2882,tab_tipo_Combustivel!$B$1:$AQ$1,0),1,1)</f>
        <v>134.18</v>
      </c>
    </row>
    <row r="2883" spans="1:3">
      <c r="A2883" s="3">
        <f t="shared" si="84"/>
        <v>2033</v>
      </c>
      <c r="B2883" s="106">
        <f t="shared" si="85"/>
        <v>156</v>
      </c>
      <c r="C2883" s="107">
        <f ca="1">OFFSET(tab_tipo_Combustivel!$A$1,MATCH(B2883,tab_tipo_Combustivel!$A$2:$A$150,0),MATCH(A2883,tab_tipo_Combustivel!$B$1:$AQ$1,0),1,1)</f>
        <v>77.12</v>
      </c>
    </row>
    <row r="2884" spans="1:3">
      <c r="A2884" s="3">
        <f t="shared" si="84"/>
        <v>2033</v>
      </c>
      <c r="B2884" s="106">
        <f t="shared" si="85"/>
        <v>163</v>
      </c>
      <c r="C2884" s="107">
        <f ca="1">OFFSET(tab_tipo_Combustivel!$A$1,MATCH(B2884,tab_tipo_Combustivel!$A$2:$A$150,0),MATCH(A2884,tab_tipo_Combustivel!$B$1:$AQ$1,0),1,1)</f>
        <v>156.69999999999999</v>
      </c>
    </row>
    <row r="2885" spans="1:3">
      <c r="A2885" s="3">
        <f t="shared" si="84"/>
        <v>2033</v>
      </c>
      <c r="B2885" s="106">
        <f t="shared" si="85"/>
        <v>167</v>
      </c>
      <c r="C2885" s="107">
        <f ca="1">OFFSET(tab_tipo_Combustivel!$A$1,MATCH(B2885,tab_tipo_Combustivel!$A$2:$A$150,0),MATCH(A2885,tab_tipo_Combustivel!$B$1:$AQ$1,0),1,1)</f>
        <v>144.66999999999999</v>
      </c>
    </row>
    <row r="2886" spans="1:3">
      <c r="A2886" s="3">
        <f t="shared" si="84"/>
        <v>2033</v>
      </c>
      <c r="B2886" s="106">
        <f t="shared" si="85"/>
        <v>171</v>
      </c>
      <c r="C2886" s="107">
        <f ca="1">OFFSET(tab_tipo_Combustivel!$A$1,MATCH(B2886,tab_tipo_Combustivel!$A$2:$A$150,0),MATCH(A2886,tab_tipo_Combustivel!$B$1:$AQ$1,0),1,1)</f>
        <v>88</v>
      </c>
    </row>
    <row r="2887" spans="1:3">
      <c r="A2887" s="3">
        <f t="shared" si="84"/>
        <v>2033</v>
      </c>
      <c r="B2887" s="106">
        <f t="shared" si="85"/>
        <v>172</v>
      </c>
      <c r="C2887" s="107">
        <f ca="1">OFFSET(tab_tipo_Combustivel!$A$1,MATCH(B2887,tab_tipo_Combustivel!$A$2:$A$150,0),MATCH(A2887,tab_tipo_Combustivel!$B$1:$AQ$1,0),1,1)</f>
        <v>99.97</v>
      </c>
    </row>
    <row r="2888" spans="1:3">
      <c r="A2888" s="3">
        <f t="shared" si="84"/>
        <v>2033</v>
      </c>
      <c r="B2888" s="106">
        <f t="shared" si="85"/>
        <v>173</v>
      </c>
      <c r="C2888" s="107">
        <f ca="1">OFFSET(tab_tipo_Combustivel!$A$1,MATCH(B2888,tab_tipo_Combustivel!$A$2:$A$150,0),MATCH(A2888,tab_tipo_Combustivel!$B$1:$AQ$1,0),1,1)</f>
        <v>192.03</v>
      </c>
    </row>
    <row r="2889" spans="1:3">
      <c r="A2889" s="3">
        <f t="shared" si="84"/>
        <v>2033</v>
      </c>
      <c r="B2889" s="106">
        <f t="shared" si="85"/>
        <v>174</v>
      </c>
      <c r="C2889" s="107">
        <f ca="1">OFFSET(tab_tipo_Combustivel!$A$1,MATCH(B2889,tab_tipo_Combustivel!$A$2:$A$150,0),MATCH(A2889,tab_tipo_Combustivel!$B$1:$AQ$1,0),1,1)</f>
        <v>331.22</v>
      </c>
    </row>
    <row r="2890" spans="1:3">
      <c r="A2890" s="3">
        <f t="shared" ref="A2890:A2953" si="86">A2755+1</f>
        <v>2033</v>
      </c>
      <c r="B2890" s="106">
        <f t="shared" ref="B2890:B2953" si="87">B2755</f>
        <v>176</v>
      </c>
      <c r="C2890" s="107">
        <f ca="1">OFFSET(tab_tipo_Combustivel!$A$1,MATCH(B2890,tab_tipo_Combustivel!$A$2:$A$150,0),MATCH(A2890,tab_tipo_Combustivel!$B$1:$AQ$1,0),1,1)</f>
        <v>149.47999999999999</v>
      </c>
    </row>
    <row r="2891" spans="1:3">
      <c r="A2891" s="3">
        <f t="shared" si="86"/>
        <v>2033</v>
      </c>
      <c r="B2891" s="106">
        <f t="shared" si="87"/>
        <v>183</v>
      </c>
      <c r="C2891" s="107">
        <f ca="1">OFFSET(tab_tipo_Combustivel!$A$1,MATCH(B2891,tab_tipo_Combustivel!$A$2:$A$150,0),MATCH(A2891,tab_tipo_Combustivel!$B$1:$AQ$1,0),1,1)</f>
        <v>171.61</v>
      </c>
    </row>
    <row r="2892" spans="1:3">
      <c r="A2892" s="3">
        <f t="shared" si="86"/>
        <v>2033</v>
      </c>
      <c r="B2892" s="106">
        <f t="shared" si="87"/>
        <v>194</v>
      </c>
      <c r="C2892" s="107">
        <f ca="1">OFFSET(tab_tipo_Combustivel!$A$1,MATCH(B2892,tab_tipo_Combustivel!$A$2:$A$150,0),MATCH(A2892,tab_tipo_Combustivel!$B$1:$AQ$1,0),1,1)</f>
        <v>1098.58</v>
      </c>
    </row>
    <row r="2893" spans="1:3">
      <c r="A2893" s="3">
        <f t="shared" si="86"/>
        <v>2033</v>
      </c>
      <c r="B2893" s="106">
        <f t="shared" si="87"/>
        <v>203</v>
      </c>
      <c r="C2893" s="107">
        <f ca="1">OFFSET(tab_tipo_Combustivel!$A$1,MATCH(B2893,tab_tipo_Combustivel!$A$2:$A$150,0),MATCH(A2893,tab_tipo_Combustivel!$B$1:$AQ$1,0),1,1)</f>
        <v>0</v>
      </c>
    </row>
    <row r="2894" spans="1:3">
      <c r="A2894" s="3">
        <f t="shared" si="86"/>
        <v>2033</v>
      </c>
      <c r="B2894" s="106">
        <f t="shared" si="87"/>
        <v>204</v>
      </c>
      <c r="C2894" s="107">
        <f ca="1">OFFSET(tab_tipo_Combustivel!$A$1,MATCH(B2894,tab_tipo_Combustivel!$A$2:$A$150,0),MATCH(A2894,tab_tipo_Combustivel!$B$1:$AQ$1,0),1,1)</f>
        <v>0</v>
      </c>
    </row>
    <row r="2895" spans="1:3">
      <c r="A2895" s="3">
        <f t="shared" si="86"/>
        <v>2033</v>
      </c>
      <c r="B2895" s="106">
        <f t="shared" si="87"/>
        <v>205</v>
      </c>
      <c r="C2895" s="107">
        <f ca="1">OFFSET(tab_tipo_Combustivel!$A$1,MATCH(B2895,tab_tipo_Combustivel!$A$2:$A$150,0),MATCH(A2895,tab_tipo_Combustivel!$B$1:$AQ$1,0),1,1)</f>
        <v>0</v>
      </c>
    </row>
    <row r="2896" spans="1:3">
      <c r="A2896" s="3">
        <f t="shared" si="86"/>
        <v>2033</v>
      </c>
      <c r="B2896" s="106">
        <f t="shared" si="87"/>
        <v>207</v>
      </c>
      <c r="C2896" s="107">
        <f ca="1">OFFSET(tab_tipo_Combustivel!$A$1,MATCH(B2896,tab_tipo_Combustivel!$A$2:$A$150,0),MATCH(A2896,tab_tipo_Combustivel!$B$1:$AQ$1,0),1,1)</f>
        <v>0</v>
      </c>
    </row>
    <row r="2897" spans="1:3">
      <c r="A2897" s="3">
        <f t="shared" si="86"/>
        <v>2033</v>
      </c>
      <c r="B2897" s="106">
        <f t="shared" si="87"/>
        <v>208</v>
      </c>
      <c r="C2897" s="107">
        <f ca="1">OFFSET(tab_tipo_Combustivel!$A$1,MATCH(B2897,tab_tipo_Combustivel!$A$2:$A$150,0),MATCH(A2897,tab_tipo_Combustivel!$B$1:$AQ$1,0),1,1)</f>
        <v>783.64</v>
      </c>
    </row>
    <row r="2898" spans="1:3">
      <c r="A2898" s="3">
        <f t="shared" si="86"/>
        <v>2033</v>
      </c>
      <c r="B2898" s="106">
        <f t="shared" si="87"/>
        <v>209</v>
      </c>
      <c r="C2898" s="107">
        <f ca="1">OFFSET(tab_tipo_Combustivel!$A$1,MATCH(B2898,tab_tipo_Combustivel!$A$2:$A$150,0),MATCH(A2898,tab_tipo_Combustivel!$B$1:$AQ$1,0),1,1)</f>
        <v>0</v>
      </c>
    </row>
    <row r="2899" spans="1:3">
      <c r="A2899" s="3">
        <f t="shared" si="86"/>
        <v>2033</v>
      </c>
      <c r="B2899" s="106">
        <f t="shared" si="87"/>
        <v>211</v>
      </c>
      <c r="C2899" s="107">
        <f ca="1">OFFSET(tab_tipo_Combustivel!$A$1,MATCH(B2899,tab_tipo_Combustivel!$A$2:$A$150,0),MATCH(A2899,tab_tipo_Combustivel!$B$1:$AQ$1,0),1,1)</f>
        <v>150.79</v>
      </c>
    </row>
    <row r="2900" spans="1:3">
      <c r="A2900" s="3">
        <f t="shared" si="86"/>
        <v>2033</v>
      </c>
      <c r="B2900" s="106">
        <f t="shared" si="87"/>
        <v>212</v>
      </c>
      <c r="C2900" s="107">
        <f ca="1">OFFSET(tab_tipo_Combustivel!$A$1,MATCH(B2900,tab_tipo_Combustivel!$A$2:$A$150,0),MATCH(A2900,tab_tipo_Combustivel!$B$1:$AQ$1,0),1,1)</f>
        <v>84.58</v>
      </c>
    </row>
    <row r="2901" spans="1:3">
      <c r="A2901" s="3">
        <f t="shared" si="86"/>
        <v>2033</v>
      </c>
      <c r="B2901" s="106">
        <f t="shared" si="87"/>
        <v>224</v>
      </c>
      <c r="C2901" s="107">
        <f ca="1">OFFSET(tab_tipo_Combustivel!$A$1,MATCH(B2901,tab_tipo_Combustivel!$A$2:$A$150,0),MATCH(A2901,tab_tipo_Combustivel!$B$1:$AQ$1,0),1,1)</f>
        <v>31.08</v>
      </c>
    </row>
    <row r="2902" spans="1:3">
      <c r="A2902" s="3">
        <f t="shared" si="86"/>
        <v>2033</v>
      </c>
      <c r="B2902" s="106">
        <f t="shared" si="87"/>
        <v>225</v>
      </c>
      <c r="C2902" s="107">
        <f ca="1">OFFSET(tab_tipo_Combustivel!$A$1,MATCH(B2902,tab_tipo_Combustivel!$A$2:$A$150,0),MATCH(A2902,tab_tipo_Combustivel!$B$1:$AQ$1,0),1,1)</f>
        <v>1329.7</v>
      </c>
    </row>
    <row r="2903" spans="1:3">
      <c r="A2903" s="3">
        <f t="shared" si="86"/>
        <v>2033</v>
      </c>
      <c r="B2903" s="106">
        <f t="shared" si="87"/>
        <v>226</v>
      </c>
      <c r="C2903" s="107">
        <f ca="1">OFFSET(tab_tipo_Combustivel!$A$1,MATCH(B2903,tab_tipo_Combustivel!$A$2:$A$150,0),MATCH(A2903,tab_tipo_Combustivel!$B$1:$AQ$1,0),1,1)</f>
        <v>1061.1300000000001</v>
      </c>
    </row>
    <row r="2904" spans="1:3">
      <c r="A2904" s="3">
        <f t="shared" si="86"/>
        <v>2033</v>
      </c>
      <c r="B2904" s="106">
        <f t="shared" si="87"/>
        <v>227</v>
      </c>
      <c r="C2904" s="107">
        <f ca="1">OFFSET(tab_tipo_Combustivel!$A$1,MATCH(B2904,tab_tipo_Combustivel!$A$2:$A$150,0),MATCH(A2904,tab_tipo_Combustivel!$B$1:$AQ$1,0),1,1)</f>
        <v>447.52</v>
      </c>
    </row>
    <row r="2905" spans="1:3">
      <c r="A2905" s="3">
        <f t="shared" si="86"/>
        <v>2033</v>
      </c>
      <c r="B2905" s="106">
        <f t="shared" si="87"/>
        <v>228</v>
      </c>
      <c r="C2905" s="107">
        <f ca="1">OFFSET(tab_tipo_Combustivel!$A$1,MATCH(B2905,tab_tipo_Combustivel!$A$2:$A$150,0),MATCH(A2905,tab_tipo_Combustivel!$B$1:$AQ$1,0),1,1)</f>
        <v>1061.1400000000001</v>
      </c>
    </row>
    <row r="2906" spans="1:3">
      <c r="A2906" s="3">
        <f t="shared" si="86"/>
        <v>2033</v>
      </c>
      <c r="B2906" s="106">
        <f t="shared" si="87"/>
        <v>229</v>
      </c>
      <c r="C2906" s="107">
        <f ca="1">OFFSET(tab_tipo_Combustivel!$A$1,MATCH(B2906,tab_tipo_Combustivel!$A$2:$A$150,0),MATCH(A2906,tab_tipo_Combustivel!$B$1:$AQ$1,0),1,1)</f>
        <v>942.05</v>
      </c>
    </row>
    <row r="2907" spans="1:3">
      <c r="A2907" s="3">
        <f t="shared" si="86"/>
        <v>2033</v>
      </c>
      <c r="B2907" s="106">
        <f t="shared" si="87"/>
        <v>230</v>
      </c>
      <c r="C2907" s="107">
        <f ca="1">OFFSET(tab_tipo_Combustivel!$A$1,MATCH(B2907,tab_tipo_Combustivel!$A$2:$A$150,0),MATCH(A2907,tab_tipo_Combustivel!$B$1:$AQ$1,0),1,1)</f>
        <v>495.06</v>
      </c>
    </row>
    <row r="2908" spans="1:3">
      <c r="A2908" s="3">
        <f t="shared" si="86"/>
        <v>2033</v>
      </c>
      <c r="B2908" s="106">
        <f t="shared" si="87"/>
        <v>231</v>
      </c>
      <c r="C2908" s="107">
        <f ca="1">OFFSET(tab_tipo_Combustivel!$A$1,MATCH(B2908,tab_tipo_Combustivel!$A$2:$A$150,0),MATCH(A2908,tab_tipo_Combustivel!$B$1:$AQ$1,0),1,1)</f>
        <v>489.29</v>
      </c>
    </row>
    <row r="2909" spans="1:3">
      <c r="A2909" s="3">
        <f t="shared" si="86"/>
        <v>2033</v>
      </c>
      <c r="B2909" s="106">
        <f t="shared" si="87"/>
        <v>232</v>
      </c>
      <c r="C2909" s="107">
        <f ca="1">OFFSET(tab_tipo_Combustivel!$A$1,MATCH(B2909,tab_tipo_Combustivel!$A$2:$A$150,0),MATCH(A2909,tab_tipo_Combustivel!$B$1:$AQ$1,0),1,1)</f>
        <v>842.33</v>
      </c>
    </row>
    <row r="2910" spans="1:3">
      <c r="A2910" s="3">
        <f t="shared" si="86"/>
        <v>2033</v>
      </c>
      <c r="B2910" s="106">
        <f t="shared" si="87"/>
        <v>233</v>
      </c>
      <c r="C2910" s="107">
        <f ca="1">OFFSET(tab_tipo_Combustivel!$A$1,MATCH(B2910,tab_tipo_Combustivel!$A$2:$A$150,0),MATCH(A2910,tab_tipo_Combustivel!$B$1:$AQ$1,0),1,1)</f>
        <v>984.29</v>
      </c>
    </row>
    <row r="2911" spans="1:3">
      <c r="A2911" s="3">
        <f t="shared" si="86"/>
        <v>2033</v>
      </c>
      <c r="B2911" s="106">
        <f t="shared" si="87"/>
        <v>234</v>
      </c>
      <c r="C2911" s="107">
        <f ca="1">OFFSET(tab_tipo_Combustivel!$A$1,MATCH(B2911,tab_tipo_Combustivel!$A$2:$A$150,0),MATCH(A2911,tab_tipo_Combustivel!$B$1:$AQ$1,0),1,1)</f>
        <v>290.26</v>
      </c>
    </row>
    <row r="2912" spans="1:3">
      <c r="A2912" s="3">
        <f t="shared" si="86"/>
        <v>2033</v>
      </c>
      <c r="B2912" s="106">
        <f t="shared" si="87"/>
        <v>235</v>
      </c>
      <c r="C2912" s="107">
        <f ca="1">OFFSET(tab_tipo_Combustivel!$A$1,MATCH(B2912,tab_tipo_Combustivel!$A$2:$A$150,0),MATCH(A2912,tab_tipo_Combustivel!$B$1:$AQ$1,0),1,1)</f>
        <v>1350.87</v>
      </c>
    </row>
    <row r="2913" spans="1:3">
      <c r="A2913" s="3">
        <f t="shared" si="86"/>
        <v>2033</v>
      </c>
      <c r="B2913" s="106">
        <f t="shared" si="87"/>
        <v>236</v>
      </c>
      <c r="C2913" s="107">
        <f ca="1">OFFSET(tab_tipo_Combustivel!$A$1,MATCH(B2913,tab_tipo_Combustivel!$A$2:$A$150,0),MATCH(A2913,tab_tipo_Combustivel!$B$1:$AQ$1,0),1,1)</f>
        <v>842.33</v>
      </c>
    </row>
    <row r="2914" spans="1:3">
      <c r="A2914" s="3">
        <f t="shared" si="86"/>
        <v>2033</v>
      </c>
      <c r="B2914" s="106">
        <f t="shared" si="87"/>
        <v>237</v>
      </c>
      <c r="C2914" s="107">
        <f ca="1">OFFSET(tab_tipo_Combustivel!$A$1,MATCH(B2914,tab_tipo_Combustivel!$A$2:$A$150,0),MATCH(A2914,tab_tipo_Combustivel!$B$1:$AQ$1,0),1,1)</f>
        <v>760.85</v>
      </c>
    </row>
    <row r="2915" spans="1:3">
      <c r="A2915" s="3">
        <f t="shared" si="86"/>
        <v>2033</v>
      </c>
      <c r="B2915" s="106">
        <f t="shared" si="87"/>
        <v>238</v>
      </c>
      <c r="C2915" s="107">
        <f ca="1">OFFSET(tab_tipo_Combustivel!$A$1,MATCH(B2915,tab_tipo_Combustivel!$A$2:$A$150,0),MATCH(A2915,tab_tipo_Combustivel!$B$1:$AQ$1,0),1,1)</f>
        <v>963.75</v>
      </c>
    </row>
    <row r="2916" spans="1:3">
      <c r="A2916" s="3">
        <f t="shared" si="86"/>
        <v>2033</v>
      </c>
      <c r="B2916" s="106">
        <f t="shared" si="87"/>
        <v>239</v>
      </c>
      <c r="C2916" s="107">
        <f ca="1">OFFSET(tab_tipo_Combustivel!$A$1,MATCH(B2916,tab_tipo_Combustivel!$A$2:$A$150,0),MATCH(A2916,tab_tipo_Combustivel!$B$1:$AQ$1,0),1,1)</f>
        <v>963.75</v>
      </c>
    </row>
    <row r="2917" spans="1:3">
      <c r="A2917" s="3">
        <f t="shared" si="86"/>
        <v>2033</v>
      </c>
      <c r="B2917" s="106">
        <f t="shared" si="87"/>
        <v>240</v>
      </c>
      <c r="C2917" s="107">
        <f ca="1">OFFSET(tab_tipo_Combustivel!$A$1,MATCH(B2917,tab_tipo_Combustivel!$A$2:$A$150,0),MATCH(A2917,tab_tipo_Combustivel!$B$1:$AQ$1,0),1,1)</f>
        <v>1115.96</v>
      </c>
    </row>
    <row r="2918" spans="1:3">
      <c r="A2918" s="3">
        <f t="shared" si="86"/>
        <v>2033</v>
      </c>
      <c r="B2918" s="106">
        <f t="shared" si="87"/>
        <v>241</v>
      </c>
      <c r="C2918" s="107">
        <f ca="1">OFFSET(tab_tipo_Combustivel!$A$1,MATCH(B2918,tab_tipo_Combustivel!$A$2:$A$150,0),MATCH(A2918,tab_tipo_Combustivel!$B$1:$AQ$1,0),1,1)</f>
        <v>495.75</v>
      </c>
    </row>
    <row r="2919" spans="1:3">
      <c r="A2919" s="3">
        <f t="shared" si="86"/>
        <v>2033</v>
      </c>
      <c r="B2919" s="106">
        <f t="shared" si="87"/>
        <v>242</v>
      </c>
      <c r="C2919" s="107">
        <f ca="1">OFFSET(tab_tipo_Combustivel!$A$1,MATCH(B2919,tab_tipo_Combustivel!$A$2:$A$150,0),MATCH(A2919,tab_tipo_Combustivel!$B$1:$AQ$1,0),1,1)</f>
        <v>1176.45</v>
      </c>
    </row>
    <row r="2920" spans="1:3">
      <c r="A2920" s="3">
        <f t="shared" si="86"/>
        <v>2033</v>
      </c>
      <c r="B2920" s="106">
        <f t="shared" si="87"/>
        <v>243</v>
      </c>
      <c r="C2920" s="107">
        <f ca="1">OFFSET(tab_tipo_Combustivel!$A$1,MATCH(B2920,tab_tipo_Combustivel!$A$2:$A$150,0),MATCH(A2920,tab_tipo_Combustivel!$B$1:$AQ$1,0),1,1)</f>
        <v>495.08</v>
      </c>
    </row>
    <row r="2921" spans="1:3">
      <c r="A2921" s="3">
        <f t="shared" si="86"/>
        <v>2033</v>
      </c>
      <c r="B2921" s="106">
        <f t="shared" si="87"/>
        <v>244</v>
      </c>
      <c r="C2921" s="107">
        <f ca="1">OFFSET(tab_tipo_Combustivel!$A$1,MATCH(B2921,tab_tipo_Combustivel!$A$2:$A$150,0),MATCH(A2921,tab_tipo_Combustivel!$B$1:$AQ$1,0),1,1)</f>
        <v>495.06</v>
      </c>
    </row>
    <row r="2922" spans="1:3">
      <c r="A2922" s="3">
        <f t="shared" si="86"/>
        <v>2033</v>
      </c>
      <c r="B2922" s="106">
        <f t="shared" si="87"/>
        <v>245</v>
      </c>
      <c r="C2922" s="107">
        <f ca="1">OFFSET(tab_tipo_Combustivel!$A$1,MATCH(B2922,tab_tipo_Combustivel!$A$2:$A$150,0),MATCH(A2922,tab_tipo_Combustivel!$B$1:$AQ$1,0),1,1)</f>
        <v>562.65</v>
      </c>
    </row>
    <row r="2923" spans="1:3">
      <c r="A2923" s="3">
        <f t="shared" si="86"/>
        <v>2033</v>
      </c>
      <c r="B2923" s="106">
        <f t="shared" si="87"/>
        <v>246</v>
      </c>
      <c r="C2923" s="107">
        <f ca="1">OFFSET(tab_tipo_Combustivel!$A$1,MATCH(B2923,tab_tipo_Combustivel!$A$2:$A$150,0),MATCH(A2923,tab_tipo_Combustivel!$B$1:$AQ$1,0),1,1)</f>
        <v>1124.53</v>
      </c>
    </row>
    <row r="2924" spans="1:3">
      <c r="A2924" s="3">
        <f t="shared" si="86"/>
        <v>2033</v>
      </c>
      <c r="B2924" s="106">
        <f t="shared" si="87"/>
        <v>247</v>
      </c>
      <c r="C2924" s="107">
        <f ca="1">OFFSET(tab_tipo_Combustivel!$A$1,MATCH(B2924,tab_tipo_Combustivel!$A$2:$A$150,0),MATCH(A2924,tab_tipo_Combustivel!$B$1:$AQ$1,0),1,1)</f>
        <v>609.51</v>
      </c>
    </row>
    <row r="2925" spans="1:3">
      <c r="A2925" s="3">
        <f t="shared" si="86"/>
        <v>2033</v>
      </c>
      <c r="B2925" s="106">
        <f t="shared" si="87"/>
        <v>248</v>
      </c>
      <c r="C2925" s="107">
        <f ca="1">OFFSET(tab_tipo_Combustivel!$A$1,MATCH(B2925,tab_tipo_Combustivel!$A$2:$A$150,0),MATCH(A2925,tab_tipo_Combustivel!$B$1:$AQ$1,0),1,1)</f>
        <v>495.06</v>
      </c>
    </row>
    <row r="2926" spans="1:3">
      <c r="A2926" s="3">
        <f t="shared" si="86"/>
        <v>2033</v>
      </c>
      <c r="B2926" s="106">
        <f t="shared" si="87"/>
        <v>249</v>
      </c>
      <c r="C2926" s="107">
        <f ca="1">OFFSET(tab_tipo_Combustivel!$A$1,MATCH(B2926,tab_tipo_Combustivel!$A$2:$A$150,0),MATCH(A2926,tab_tipo_Combustivel!$B$1:$AQ$1,0),1,1)</f>
        <v>842.33</v>
      </c>
    </row>
    <row r="2927" spans="1:3">
      <c r="A2927" s="3">
        <f t="shared" si="86"/>
        <v>2033</v>
      </c>
      <c r="B2927" s="106">
        <f t="shared" si="87"/>
        <v>250</v>
      </c>
      <c r="C2927" s="107">
        <f ca="1">OFFSET(tab_tipo_Combustivel!$A$1,MATCH(B2927,tab_tipo_Combustivel!$A$2:$A$150,0),MATCH(A2927,tab_tipo_Combustivel!$B$1:$AQ$1,0),1,1)</f>
        <v>1176.45</v>
      </c>
    </row>
    <row r="2928" spans="1:3">
      <c r="A2928" s="3">
        <f t="shared" si="86"/>
        <v>2033</v>
      </c>
      <c r="B2928" s="106">
        <f t="shared" si="87"/>
        <v>251</v>
      </c>
      <c r="C2928" s="107">
        <f ca="1">OFFSET(tab_tipo_Combustivel!$A$1,MATCH(B2928,tab_tipo_Combustivel!$A$2:$A$150,0),MATCH(A2928,tab_tipo_Combustivel!$B$1:$AQ$1,0),1,1)</f>
        <v>842.33</v>
      </c>
    </row>
    <row r="2929" spans="1:3">
      <c r="A2929" s="3">
        <f t="shared" si="86"/>
        <v>2033</v>
      </c>
      <c r="B2929" s="106">
        <f t="shared" si="87"/>
        <v>252</v>
      </c>
      <c r="C2929" s="107">
        <f ca="1">OFFSET(tab_tipo_Combustivel!$A$1,MATCH(B2929,tab_tipo_Combustivel!$A$2:$A$150,0),MATCH(A2929,tab_tipo_Combustivel!$B$1:$AQ$1,0),1,1)</f>
        <v>842.33</v>
      </c>
    </row>
    <row r="2930" spans="1:3">
      <c r="A2930" s="3">
        <f t="shared" si="86"/>
        <v>2033</v>
      </c>
      <c r="B2930" s="106">
        <f t="shared" si="87"/>
        <v>253</v>
      </c>
      <c r="C2930" s="107">
        <f ca="1">OFFSET(tab_tipo_Combustivel!$A$1,MATCH(B2930,tab_tipo_Combustivel!$A$2:$A$150,0),MATCH(A2930,tab_tipo_Combustivel!$B$1:$AQ$1,0),1,1)</f>
        <v>279.45</v>
      </c>
    </row>
    <row r="2931" spans="1:3">
      <c r="A2931" s="3">
        <f t="shared" si="86"/>
        <v>2033</v>
      </c>
      <c r="B2931" s="106">
        <f t="shared" si="87"/>
        <v>254</v>
      </c>
      <c r="C2931" s="107">
        <f ca="1">OFFSET(tab_tipo_Combustivel!$A$1,MATCH(B2931,tab_tipo_Combustivel!$A$2:$A$150,0),MATCH(A2931,tab_tipo_Combustivel!$B$1:$AQ$1,0),1,1)</f>
        <v>1153.98</v>
      </c>
    </row>
    <row r="2932" spans="1:3">
      <c r="A2932" s="3">
        <f t="shared" si="86"/>
        <v>2033</v>
      </c>
      <c r="B2932" s="106">
        <f t="shared" si="87"/>
        <v>255</v>
      </c>
      <c r="C2932" s="107">
        <f ca="1">OFFSET(tab_tipo_Combustivel!$A$1,MATCH(B2932,tab_tipo_Combustivel!$A$2:$A$150,0),MATCH(A2932,tab_tipo_Combustivel!$B$1:$AQ$1,0),1,1)</f>
        <v>828.98</v>
      </c>
    </row>
    <row r="2933" spans="1:3">
      <c r="A2933" s="3">
        <f t="shared" si="86"/>
        <v>2033</v>
      </c>
      <c r="B2933" s="106">
        <f t="shared" si="87"/>
        <v>256</v>
      </c>
      <c r="C2933" s="107">
        <f ca="1">OFFSET(tab_tipo_Combustivel!$A$1,MATCH(B2933,tab_tipo_Combustivel!$A$2:$A$150,0),MATCH(A2933,tab_tipo_Combustivel!$B$1:$AQ$1,0),1,1)</f>
        <v>562.65</v>
      </c>
    </row>
    <row r="2934" spans="1:3">
      <c r="A2934" s="3">
        <f t="shared" si="86"/>
        <v>2033</v>
      </c>
      <c r="B2934" s="106">
        <f t="shared" si="87"/>
        <v>257</v>
      </c>
      <c r="C2934" s="107">
        <f ca="1">OFFSET(tab_tipo_Combustivel!$A$1,MATCH(B2934,tab_tipo_Combustivel!$A$2:$A$150,0),MATCH(A2934,tab_tipo_Combustivel!$B$1:$AQ$1,0),1,1)</f>
        <v>907.52</v>
      </c>
    </row>
    <row r="2935" spans="1:3">
      <c r="A2935" s="3">
        <f t="shared" si="86"/>
        <v>2033</v>
      </c>
      <c r="B2935" s="106">
        <f t="shared" si="87"/>
        <v>258</v>
      </c>
      <c r="C2935" s="107">
        <f ca="1">OFFSET(tab_tipo_Combustivel!$A$1,MATCH(B2935,tab_tipo_Combustivel!$A$2:$A$150,0),MATCH(A2935,tab_tipo_Combustivel!$B$1:$AQ$1,0),1,1)</f>
        <v>1016.04</v>
      </c>
    </row>
    <row r="2936" spans="1:3">
      <c r="A2936" s="3">
        <f t="shared" si="86"/>
        <v>2033</v>
      </c>
      <c r="B2936" s="106">
        <f t="shared" si="87"/>
        <v>259</v>
      </c>
      <c r="C2936" s="107">
        <f ca="1">OFFSET(tab_tipo_Combustivel!$A$1,MATCH(B2936,tab_tipo_Combustivel!$A$2:$A$150,0),MATCH(A2936,tab_tipo_Combustivel!$B$1:$AQ$1,0),1,1)</f>
        <v>977.53</v>
      </c>
    </row>
    <row r="2937" spans="1:3">
      <c r="A2937" s="3">
        <f t="shared" si="86"/>
        <v>2033</v>
      </c>
      <c r="B2937" s="106">
        <f t="shared" si="87"/>
        <v>260</v>
      </c>
      <c r="C2937" s="107">
        <f ca="1">OFFSET(tab_tipo_Combustivel!$A$1,MATCH(B2937,tab_tipo_Combustivel!$A$2:$A$150,0),MATCH(A2937,tab_tipo_Combustivel!$B$1:$AQ$1,0),1,1)</f>
        <v>827.17</v>
      </c>
    </row>
    <row r="2938" spans="1:3">
      <c r="A2938" s="3">
        <f t="shared" si="86"/>
        <v>2033</v>
      </c>
      <c r="B2938" s="106">
        <f t="shared" si="87"/>
        <v>261</v>
      </c>
      <c r="C2938" s="107">
        <f ca="1">OFFSET(tab_tipo_Combustivel!$A$1,MATCH(B2938,tab_tipo_Combustivel!$A$2:$A$150,0),MATCH(A2938,tab_tipo_Combustivel!$B$1:$AQ$1,0),1,1)</f>
        <v>829.7</v>
      </c>
    </row>
    <row r="2939" spans="1:3">
      <c r="A2939" s="3">
        <f t="shared" si="86"/>
        <v>2033</v>
      </c>
      <c r="B2939" s="106">
        <f t="shared" si="87"/>
        <v>262</v>
      </c>
      <c r="C2939" s="107">
        <f ca="1">OFFSET(tab_tipo_Combustivel!$A$1,MATCH(B2939,tab_tipo_Combustivel!$A$2:$A$150,0),MATCH(A2939,tab_tipo_Combustivel!$B$1:$AQ$1,0),1,1)</f>
        <v>495.75</v>
      </c>
    </row>
    <row r="2940" spans="1:3">
      <c r="A2940" s="3">
        <f t="shared" si="86"/>
        <v>2033</v>
      </c>
      <c r="B2940" s="106">
        <f t="shared" si="87"/>
        <v>263</v>
      </c>
      <c r="C2940" s="107">
        <f ca="1">OFFSET(tab_tipo_Combustivel!$A$1,MATCH(B2940,tab_tipo_Combustivel!$A$2:$A$150,0),MATCH(A2940,tab_tipo_Combustivel!$B$1:$AQ$1,0),1,1)</f>
        <v>474.77</v>
      </c>
    </row>
    <row r="2941" spans="1:3">
      <c r="A2941" s="3">
        <f t="shared" si="86"/>
        <v>2033</v>
      </c>
      <c r="B2941" s="106">
        <f t="shared" si="87"/>
        <v>264</v>
      </c>
      <c r="C2941" s="107">
        <f ca="1">OFFSET(tab_tipo_Combustivel!$A$1,MATCH(B2941,tab_tipo_Combustivel!$A$2:$A$150,0),MATCH(A2941,tab_tipo_Combustivel!$B$1:$AQ$1,0),1,1)</f>
        <v>842.33</v>
      </c>
    </row>
    <row r="2942" spans="1:3">
      <c r="A2942" s="3">
        <f t="shared" si="86"/>
        <v>2033</v>
      </c>
      <c r="B2942" s="106">
        <f t="shared" si="87"/>
        <v>265</v>
      </c>
      <c r="C2942" s="107">
        <f ca="1">OFFSET(tab_tipo_Combustivel!$A$1,MATCH(B2942,tab_tipo_Combustivel!$A$2:$A$150,0),MATCH(A2942,tab_tipo_Combustivel!$B$1:$AQ$1,0),1,1)</f>
        <v>415.82</v>
      </c>
    </row>
    <row r="2943" spans="1:3">
      <c r="A2943" s="3">
        <f t="shared" si="86"/>
        <v>2033</v>
      </c>
      <c r="B2943" s="106">
        <f t="shared" si="87"/>
        <v>266</v>
      </c>
      <c r="C2943" s="107">
        <f ca="1">OFFSET(tab_tipo_Combustivel!$A$1,MATCH(B2943,tab_tipo_Combustivel!$A$2:$A$150,0),MATCH(A2943,tab_tipo_Combustivel!$B$1:$AQ$1,0),1,1)</f>
        <v>827.17</v>
      </c>
    </row>
    <row r="2944" spans="1:3">
      <c r="A2944" s="3">
        <f t="shared" si="86"/>
        <v>2033</v>
      </c>
      <c r="B2944" s="106">
        <f t="shared" si="87"/>
        <v>301</v>
      </c>
      <c r="C2944" s="107">
        <f ca="1">OFFSET(tab_tipo_Combustivel!$A$1,MATCH(B2944,tab_tipo_Combustivel!$A$2:$A$150,0),MATCH(A2944,tab_tipo_Combustivel!$B$1:$AQ$1,0),1,1)</f>
        <v>99.08</v>
      </c>
    </row>
    <row r="2945" spans="1:3">
      <c r="A2945" s="3">
        <f t="shared" si="86"/>
        <v>2033</v>
      </c>
      <c r="B2945" s="106">
        <f t="shared" si="87"/>
        <v>302</v>
      </c>
      <c r="C2945" s="107">
        <f ca="1">OFFSET(tab_tipo_Combustivel!$A$1,MATCH(B2945,tab_tipo_Combustivel!$A$2:$A$150,0),MATCH(A2945,tab_tipo_Combustivel!$B$1:$AQ$1,0),1,1)</f>
        <v>103.73</v>
      </c>
    </row>
    <row r="2946" spans="1:3">
      <c r="A2946" s="3">
        <f t="shared" si="86"/>
        <v>2033</v>
      </c>
      <c r="B2946" s="106">
        <f t="shared" si="87"/>
        <v>303</v>
      </c>
      <c r="C2946" s="107">
        <f ca="1">OFFSET(tab_tipo_Combustivel!$A$1,MATCH(B2946,tab_tipo_Combustivel!$A$2:$A$150,0),MATCH(A2946,tab_tipo_Combustivel!$B$1:$AQ$1,0),1,1)</f>
        <v>103.73</v>
      </c>
    </row>
    <row r="2947" spans="1:3">
      <c r="A2947" s="3">
        <f t="shared" si="86"/>
        <v>2033</v>
      </c>
      <c r="B2947" s="106">
        <f t="shared" si="87"/>
        <v>304</v>
      </c>
      <c r="C2947" s="107">
        <f ca="1">OFFSET(tab_tipo_Combustivel!$A$1,MATCH(B2947,tab_tipo_Combustivel!$A$2:$A$150,0),MATCH(A2947,tab_tipo_Combustivel!$B$1:$AQ$1,0),1,1)</f>
        <v>139.41999999999999</v>
      </c>
    </row>
    <row r="2948" spans="1:3">
      <c r="A2948" s="3">
        <f t="shared" si="86"/>
        <v>2033</v>
      </c>
      <c r="B2948" s="106">
        <f t="shared" si="87"/>
        <v>305</v>
      </c>
      <c r="C2948" s="107">
        <f ca="1">OFFSET(tab_tipo_Combustivel!$A$1,MATCH(B2948,tab_tipo_Combustivel!$A$2:$A$150,0),MATCH(A2948,tab_tipo_Combustivel!$B$1:$AQ$1,0),1,1)</f>
        <v>89.7</v>
      </c>
    </row>
    <row r="2949" spans="1:3">
      <c r="A2949" s="3">
        <f t="shared" si="86"/>
        <v>2033</v>
      </c>
      <c r="B2949" s="106">
        <f t="shared" si="87"/>
        <v>306</v>
      </c>
      <c r="C2949" s="107">
        <f ca="1">OFFSET(tab_tipo_Combustivel!$A$1,MATCH(B2949,tab_tipo_Combustivel!$A$2:$A$150,0),MATCH(A2949,tab_tipo_Combustivel!$B$1:$AQ$1,0),1,1)</f>
        <v>100.38</v>
      </c>
    </row>
    <row r="2950" spans="1:3">
      <c r="A2950" s="3">
        <f t="shared" si="86"/>
        <v>2033</v>
      </c>
      <c r="B2950" s="106">
        <f t="shared" si="87"/>
        <v>307</v>
      </c>
      <c r="C2950" s="107">
        <f ca="1">OFFSET(tab_tipo_Combustivel!$A$1,MATCH(B2950,tab_tipo_Combustivel!$A$2:$A$150,0),MATCH(A2950,tab_tipo_Combustivel!$B$1:$AQ$1,0),1,1)</f>
        <v>510.12</v>
      </c>
    </row>
    <row r="2951" spans="1:3">
      <c r="A2951" s="3">
        <f t="shared" si="86"/>
        <v>2033</v>
      </c>
      <c r="B2951" s="106">
        <f t="shared" si="87"/>
        <v>308</v>
      </c>
      <c r="C2951" s="107">
        <f ca="1">OFFSET(tab_tipo_Combustivel!$A$1,MATCH(B2951,tab_tipo_Combustivel!$A$2:$A$150,0),MATCH(A2951,tab_tipo_Combustivel!$B$1:$AQ$1,0),1,1)</f>
        <v>72.5</v>
      </c>
    </row>
    <row r="2952" spans="1:3">
      <c r="A2952" s="3">
        <f t="shared" si="86"/>
        <v>2033</v>
      </c>
      <c r="B2952" s="106">
        <f t="shared" si="87"/>
        <v>309</v>
      </c>
      <c r="C2952" s="107">
        <f ca="1">OFFSET(tab_tipo_Combustivel!$A$1,MATCH(B2952,tab_tipo_Combustivel!$A$2:$A$150,0),MATCH(A2952,tab_tipo_Combustivel!$B$1:$AQ$1,0),1,1)</f>
        <v>126.77</v>
      </c>
    </row>
    <row r="2953" spans="1:3">
      <c r="A2953" s="3">
        <f t="shared" si="86"/>
        <v>2033</v>
      </c>
      <c r="B2953" s="106">
        <f t="shared" si="87"/>
        <v>310</v>
      </c>
      <c r="C2953" s="107">
        <f ca="1">OFFSET(tab_tipo_Combustivel!$A$1,MATCH(B2953,tab_tipo_Combustivel!$A$2:$A$150,0),MATCH(A2953,tab_tipo_Combustivel!$B$1:$AQ$1,0),1,1)</f>
        <v>275.99</v>
      </c>
    </row>
    <row r="2954" spans="1:3">
      <c r="A2954" s="3">
        <f t="shared" ref="A2954:A3017" si="88">A2819+1</f>
        <v>2033</v>
      </c>
      <c r="B2954" s="106">
        <f t="shared" ref="B2954:B3017" si="89">B2819</f>
        <v>311</v>
      </c>
      <c r="C2954" s="107">
        <f ca="1">OFFSET(tab_tipo_Combustivel!$A$1,MATCH(B2954,tab_tipo_Combustivel!$A$2:$A$150,0),MATCH(A2954,tab_tipo_Combustivel!$B$1:$AQ$1,0),1,1)</f>
        <v>70.66</v>
      </c>
    </row>
    <row r="2955" spans="1:3">
      <c r="A2955" s="3">
        <f t="shared" si="88"/>
        <v>2033</v>
      </c>
      <c r="B2955" s="106">
        <f t="shared" si="89"/>
        <v>312</v>
      </c>
      <c r="C2955" s="107">
        <f ca="1">OFFSET(tab_tipo_Combustivel!$A$1,MATCH(B2955,tab_tipo_Combustivel!$A$2:$A$150,0),MATCH(A2955,tab_tipo_Combustivel!$B$1:$AQ$1,0),1,1)</f>
        <v>0</v>
      </c>
    </row>
    <row r="2956" spans="1:3">
      <c r="A2956" s="3">
        <f t="shared" si="88"/>
        <v>2033</v>
      </c>
      <c r="B2956" s="106">
        <f t="shared" si="89"/>
        <v>1301</v>
      </c>
      <c r="C2956" s="107">
        <f ca="1">OFFSET(tab_tipo_Combustivel!$A$1,MATCH(B2956,tab_tipo_Combustivel!$A$2:$A$150,0),MATCH(A2956,tab_tipo_Combustivel!$B$1:$AQ$1,0),1,1)</f>
        <v>242.05</v>
      </c>
    </row>
    <row r="2957" spans="1:3">
      <c r="A2957" s="3">
        <f t="shared" si="88"/>
        <v>2033</v>
      </c>
      <c r="B2957" s="106">
        <f t="shared" si="89"/>
        <v>1302</v>
      </c>
      <c r="C2957" s="107">
        <f ca="1">OFFSET(tab_tipo_Combustivel!$A$1,MATCH(B2957,tab_tipo_Combustivel!$A$2:$A$150,0),MATCH(A2957,tab_tipo_Combustivel!$B$1:$AQ$1,0),1,1)</f>
        <v>193.64</v>
      </c>
    </row>
    <row r="2958" spans="1:3">
      <c r="A2958" s="3">
        <f t="shared" si="88"/>
        <v>2033</v>
      </c>
      <c r="B2958" s="106">
        <f t="shared" si="89"/>
        <v>1303</v>
      </c>
      <c r="C2958" s="107">
        <f ca="1">OFFSET(tab_tipo_Combustivel!$A$1,MATCH(B2958,tab_tipo_Combustivel!$A$2:$A$150,0),MATCH(A2958,tab_tipo_Combustivel!$B$1:$AQ$1,0),1,1)</f>
        <v>25.58</v>
      </c>
    </row>
    <row r="2959" spans="1:3">
      <c r="A2959" s="3">
        <f t="shared" si="88"/>
        <v>2033</v>
      </c>
      <c r="B2959" s="106">
        <f t="shared" si="89"/>
        <v>1304</v>
      </c>
      <c r="C2959" s="107">
        <f ca="1">OFFSET(tab_tipo_Combustivel!$A$1,MATCH(B2959,tab_tipo_Combustivel!$A$2:$A$150,0),MATCH(A2959,tab_tipo_Combustivel!$B$1:$AQ$1,0),1,1)</f>
        <v>0</v>
      </c>
    </row>
    <row r="2960" spans="1:3">
      <c r="A2960" s="3">
        <f t="shared" si="88"/>
        <v>2033</v>
      </c>
      <c r="B2960" s="106">
        <f t="shared" si="89"/>
        <v>1315</v>
      </c>
      <c r="C2960" s="107">
        <f ca="1">OFFSET(tab_tipo_Combustivel!$A$1,MATCH(B2960,tab_tipo_Combustivel!$A$2:$A$150,0),MATCH(A2960,tab_tipo_Combustivel!$B$1:$AQ$1,0),1,1)</f>
        <v>0</v>
      </c>
    </row>
    <row r="2961" spans="1:3">
      <c r="A2961" s="3">
        <f t="shared" si="88"/>
        <v>2033</v>
      </c>
      <c r="B2961" s="106">
        <f t="shared" si="89"/>
        <v>1316</v>
      </c>
      <c r="C2961" s="107">
        <f ca="1">OFFSET(tab_tipo_Combustivel!$A$1,MATCH(B2961,tab_tipo_Combustivel!$A$2:$A$150,0),MATCH(A2961,tab_tipo_Combustivel!$B$1:$AQ$1,0),1,1)</f>
        <v>0</v>
      </c>
    </row>
    <row r="2962" spans="1:3">
      <c r="A2962" s="3">
        <f t="shared" si="88"/>
        <v>2033</v>
      </c>
      <c r="B2962" s="106">
        <f t="shared" si="89"/>
        <v>1318</v>
      </c>
      <c r="C2962" s="107">
        <f ca="1">OFFSET(tab_tipo_Combustivel!$A$1,MATCH(B2962,tab_tipo_Combustivel!$A$2:$A$150,0),MATCH(A2962,tab_tipo_Combustivel!$B$1:$AQ$1,0),1,1)</f>
        <v>150</v>
      </c>
    </row>
    <row r="2963" spans="1:3">
      <c r="A2963" s="3">
        <f t="shared" si="88"/>
        <v>2033</v>
      </c>
      <c r="B2963" s="106">
        <f t="shared" si="89"/>
        <v>1321</v>
      </c>
      <c r="C2963" s="107">
        <f ca="1">OFFSET(tab_tipo_Combustivel!$A$1,MATCH(B2963,tab_tipo_Combustivel!$A$2:$A$150,0),MATCH(A2963,tab_tipo_Combustivel!$B$1:$AQ$1,0),1,1)</f>
        <v>85</v>
      </c>
    </row>
    <row r="2964" spans="1:3">
      <c r="A2964" s="3">
        <f t="shared" si="88"/>
        <v>2033</v>
      </c>
      <c r="B2964" s="106">
        <f t="shared" si="89"/>
        <v>1322</v>
      </c>
      <c r="C2964" s="107">
        <f ca="1">OFFSET(tab_tipo_Combustivel!$A$1,MATCH(B2964,tab_tipo_Combustivel!$A$2:$A$150,0),MATCH(A2964,tab_tipo_Combustivel!$B$1:$AQ$1,0),1,1)</f>
        <v>140</v>
      </c>
    </row>
    <row r="2965" spans="1:3">
      <c r="A2965" s="3">
        <f t="shared" si="88"/>
        <v>2033</v>
      </c>
      <c r="B2965" s="106">
        <f t="shared" si="89"/>
        <v>1323</v>
      </c>
      <c r="C2965" s="107">
        <f ca="1">OFFSET(tab_tipo_Combustivel!$A$1,MATCH(B2965,tab_tipo_Combustivel!$A$2:$A$150,0),MATCH(A2965,tab_tipo_Combustivel!$B$1:$AQ$1,0),1,1)</f>
        <v>63.75</v>
      </c>
    </row>
    <row r="2966" spans="1:3">
      <c r="A2966" s="3">
        <f t="shared" si="88"/>
        <v>2033</v>
      </c>
      <c r="B2966" s="106">
        <f t="shared" si="89"/>
        <v>1325</v>
      </c>
      <c r="C2966" s="107">
        <f ca="1">OFFSET(tab_tipo_Combustivel!$A$1,MATCH(B2966,tab_tipo_Combustivel!$A$2:$A$150,0),MATCH(A2966,tab_tipo_Combustivel!$B$1:$AQ$1,0),1,1)</f>
        <v>0</v>
      </c>
    </row>
    <row r="2967" spans="1:3">
      <c r="A2967" s="3">
        <f t="shared" si="88"/>
        <v>2033</v>
      </c>
      <c r="B2967" s="106">
        <f t="shared" si="89"/>
        <v>1326</v>
      </c>
      <c r="C2967" s="107">
        <f ca="1">OFFSET(tab_tipo_Combustivel!$A$1,MATCH(B2967,tab_tipo_Combustivel!$A$2:$A$150,0),MATCH(A2967,tab_tipo_Combustivel!$B$1:$AQ$1,0),1,1)</f>
        <v>260</v>
      </c>
    </row>
    <row r="2968" spans="1:3">
      <c r="A2968" s="3">
        <f t="shared" si="88"/>
        <v>2033</v>
      </c>
      <c r="B2968" s="106">
        <f t="shared" si="89"/>
        <v>1501</v>
      </c>
      <c r="C2968" s="107">
        <f ca="1">OFFSET(tab_tipo_Combustivel!$A$1,MATCH(B2968,tab_tipo_Combustivel!$A$2:$A$150,0),MATCH(A2968,tab_tipo_Combustivel!$B$1:$AQ$1,0),1,1)</f>
        <v>260</v>
      </c>
    </row>
    <row r="2969" spans="1:3">
      <c r="A2969" s="3">
        <f t="shared" si="88"/>
        <v>2033</v>
      </c>
      <c r="B2969" s="106">
        <f t="shared" si="89"/>
        <v>1502</v>
      </c>
      <c r="C2969" s="107">
        <f ca="1">OFFSET(tab_tipo_Combustivel!$A$1,MATCH(B2969,tab_tipo_Combustivel!$A$2:$A$150,0),MATCH(A2969,tab_tipo_Combustivel!$B$1:$AQ$1,0),1,1)</f>
        <v>60</v>
      </c>
    </row>
    <row r="2970" spans="1:3">
      <c r="A2970" s="3">
        <f t="shared" si="88"/>
        <v>2033</v>
      </c>
      <c r="B2970" s="106">
        <f t="shared" si="89"/>
        <v>1503</v>
      </c>
      <c r="C2970" s="107">
        <f ca="1">OFFSET(tab_tipo_Combustivel!$A$1,MATCH(B2970,tab_tipo_Combustivel!$A$2:$A$150,0),MATCH(A2970,tab_tipo_Combustivel!$B$1:$AQ$1,0),1,1)</f>
        <v>96.82</v>
      </c>
    </row>
    <row r="2971" spans="1:3">
      <c r="A2971" s="3">
        <f t="shared" si="88"/>
        <v>2033</v>
      </c>
      <c r="B2971" s="106">
        <f t="shared" si="89"/>
        <v>1504</v>
      </c>
      <c r="C2971" s="107">
        <f ca="1">OFFSET(tab_tipo_Combustivel!$A$1,MATCH(B2971,tab_tipo_Combustivel!$A$2:$A$150,0),MATCH(A2971,tab_tipo_Combustivel!$B$1:$AQ$1,0),1,1)</f>
        <v>145.22999999999999</v>
      </c>
    </row>
    <row r="2972" spans="1:3">
      <c r="A2972" s="3">
        <f t="shared" si="88"/>
        <v>2034</v>
      </c>
      <c r="B2972" s="106">
        <f t="shared" si="89"/>
        <v>1</v>
      </c>
      <c r="C2972" s="107">
        <f ca="1">OFFSET(tab_tipo_Combustivel!$A$1,MATCH(B2972,tab_tipo_Combustivel!$A$2:$A$150,0),MATCH(A2972,tab_tipo_Combustivel!$B$1:$AQ$1,0),1,1)</f>
        <v>29.13</v>
      </c>
    </row>
    <row r="2973" spans="1:3">
      <c r="A2973" s="3">
        <f t="shared" si="88"/>
        <v>2034</v>
      </c>
      <c r="B2973" s="106">
        <f t="shared" si="89"/>
        <v>2</v>
      </c>
      <c r="C2973" s="107">
        <f ca="1">OFFSET(tab_tipo_Combustivel!$A$1,MATCH(B2973,tab_tipo_Combustivel!$A$2:$A$150,0),MATCH(A2973,tab_tipo_Combustivel!$B$1:$AQ$1,0),1,1)</f>
        <v>842.33</v>
      </c>
    </row>
    <row r="2974" spans="1:3">
      <c r="A2974" s="3">
        <f t="shared" si="88"/>
        <v>2034</v>
      </c>
      <c r="B2974" s="106">
        <f t="shared" si="89"/>
        <v>4</v>
      </c>
      <c r="C2974" s="107">
        <f ca="1">OFFSET(tab_tipo_Combustivel!$A$1,MATCH(B2974,tab_tipo_Combustivel!$A$2:$A$150,0),MATCH(A2974,tab_tipo_Combustivel!$B$1:$AQ$1,0),1,1)</f>
        <v>842.33</v>
      </c>
    </row>
    <row r="2975" spans="1:3">
      <c r="A2975" s="3">
        <f t="shared" si="88"/>
        <v>2034</v>
      </c>
      <c r="B2975" s="106">
        <f t="shared" si="89"/>
        <v>9</v>
      </c>
      <c r="C2975" s="107">
        <f ca="1">OFFSET(tab_tipo_Combustivel!$A$1,MATCH(B2975,tab_tipo_Combustivel!$A$2:$A$150,0),MATCH(A2975,tab_tipo_Combustivel!$B$1:$AQ$1,0),1,1)</f>
        <v>842.33</v>
      </c>
    </row>
    <row r="2976" spans="1:3">
      <c r="A2976" s="3">
        <f t="shared" si="88"/>
        <v>2034</v>
      </c>
      <c r="B2976" s="106">
        <f t="shared" si="89"/>
        <v>12</v>
      </c>
      <c r="C2976" s="107">
        <f ca="1">OFFSET(tab_tipo_Combustivel!$A$1,MATCH(B2976,tab_tipo_Combustivel!$A$2:$A$150,0),MATCH(A2976,tab_tipo_Combustivel!$B$1:$AQ$1,0),1,1)</f>
        <v>728.87</v>
      </c>
    </row>
    <row r="2977" spans="1:3">
      <c r="A2977" s="3">
        <f t="shared" si="88"/>
        <v>2034</v>
      </c>
      <c r="B2977" s="106">
        <f t="shared" si="89"/>
        <v>13</v>
      </c>
      <c r="C2977" s="107">
        <f ca="1">OFFSET(tab_tipo_Combustivel!$A$1,MATCH(B2977,tab_tipo_Combustivel!$A$2:$A$150,0),MATCH(A2977,tab_tipo_Combustivel!$B$1:$AQ$1,0),1,1)</f>
        <v>20.12</v>
      </c>
    </row>
    <row r="2978" spans="1:3">
      <c r="A2978" s="3">
        <f t="shared" si="88"/>
        <v>2034</v>
      </c>
      <c r="B2978" s="106">
        <f t="shared" si="89"/>
        <v>15</v>
      </c>
      <c r="C2978" s="107">
        <f ca="1">OFFSET(tab_tipo_Combustivel!$A$1,MATCH(B2978,tab_tipo_Combustivel!$A$2:$A$150,0),MATCH(A2978,tab_tipo_Combustivel!$B$1:$AQ$1,0),1,1)</f>
        <v>257.29000000000002</v>
      </c>
    </row>
    <row r="2979" spans="1:3">
      <c r="A2979" s="3">
        <f t="shared" si="88"/>
        <v>2034</v>
      </c>
      <c r="B2979" s="106">
        <f t="shared" si="89"/>
        <v>21</v>
      </c>
      <c r="C2979" s="107">
        <f ca="1">OFFSET(tab_tipo_Combustivel!$A$1,MATCH(B2979,tab_tipo_Combustivel!$A$2:$A$150,0),MATCH(A2979,tab_tipo_Combustivel!$B$1:$AQ$1,0),1,1)</f>
        <v>157.83000000000001</v>
      </c>
    </row>
    <row r="2980" spans="1:3">
      <c r="A2980" s="3">
        <f t="shared" si="88"/>
        <v>2034</v>
      </c>
      <c r="B2980" s="106">
        <f t="shared" si="89"/>
        <v>22</v>
      </c>
      <c r="C2980" s="107">
        <f ca="1">OFFSET(tab_tipo_Combustivel!$A$1,MATCH(B2980,tab_tipo_Combustivel!$A$2:$A$150,0),MATCH(A2980,tab_tipo_Combustivel!$B$1:$AQ$1,0),1,1)</f>
        <v>115.9</v>
      </c>
    </row>
    <row r="2981" spans="1:3">
      <c r="A2981" s="3">
        <f t="shared" si="88"/>
        <v>2034</v>
      </c>
      <c r="B2981" s="106">
        <f t="shared" si="89"/>
        <v>23</v>
      </c>
      <c r="C2981" s="107">
        <f ca="1">OFFSET(tab_tipo_Combustivel!$A$1,MATCH(B2981,tab_tipo_Combustivel!$A$2:$A$150,0),MATCH(A2981,tab_tipo_Combustivel!$B$1:$AQ$1,0),1,1)</f>
        <v>115.9</v>
      </c>
    </row>
    <row r="2982" spans="1:3">
      <c r="A2982" s="3">
        <f t="shared" si="88"/>
        <v>2034</v>
      </c>
      <c r="B2982" s="106">
        <f t="shared" si="89"/>
        <v>24</v>
      </c>
      <c r="C2982" s="107">
        <f ca="1">OFFSET(tab_tipo_Combustivel!$A$1,MATCH(B2982,tab_tipo_Combustivel!$A$2:$A$150,0),MATCH(A2982,tab_tipo_Combustivel!$B$1:$AQ$1,0),1,1)</f>
        <v>155.85</v>
      </c>
    </row>
    <row r="2983" spans="1:3">
      <c r="A2983" s="3">
        <f t="shared" si="88"/>
        <v>2034</v>
      </c>
      <c r="B2983" s="106">
        <f t="shared" si="89"/>
        <v>25</v>
      </c>
      <c r="C2983" s="107">
        <f ca="1">OFFSET(tab_tipo_Combustivel!$A$1,MATCH(B2983,tab_tipo_Combustivel!$A$2:$A$150,0),MATCH(A2983,tab_tipo_Combustivel!$B$1:$AQ$1,0),1,1)</f>
        <v>186.33</v>
      </c>
    </row>
    <row r="2984" spans="1:3">
      <c r="A2984" s="3">
        <f t="shared" si="88"/>
        <v>2034</v>
      </c>
      <c r="B2984" s="106">
        <f t="shared" si="89"/>
        <v>26</v>
      </c>
      <c r="C2984" s="107">
        <f ca="1">OFFSET(tab_tipo_Combustivel!$A$1,MATCH(B2984,tab_tipo_Combustivel!$A$2:$A$150,0),MATCH(A2984,tab_tipo_Combustivel!$B$1:$AQ$1,0),1,1)</f>
        <v>258.42</v>
      </c>
    </row>
    <row r="2985" spans="1:3">
      <c r="A2985" s="3">
        <f t="shared" si="88"/>
        <v>2034</v>
      </c>
      <c r="B2985" s="106">
        <f t="shared" si="89"/>
        <v>27</v>
      </c>
      <c r="C2985" s="107">
        <f ca="1">OFFSET(tab_tipo_Combustivel!$A$1,MATCH(B2985,tab_tipo_Combustivel!$A$2:$A$150,0),MATCH(A2985,tab_tipo_Combustivel!$B$1:$AQ$1,0),1,1)</f>
        <v>195.49</v>
      </c>
    </row>
    <row r="2986" spans="1:3">
      <c r="A2986" s="3">
        <f t="shared" si="88"/>
        <v>2034</v>
      </c>
      <c r="B2986" s="106">
        <f t="shared" si="89"/>
        <v>28</v>
      </c>
      <c r="C2986" s="107">
        <f ca="1">OFFSET(tab_tipo_Combustivel!$A$1,MATCH(B2986,tab_tipo_Combustivel!$A$2:$A$150,0),MATCH(A2986,tab_tipo_Combustivel!$B$1:$AQ$1,0),1,1)</f>
        <v>459.92</v>
      </c>
    </row>
    <row r="2987" spans="1:3">
      <c r="A2987" s="3">
        <f t="shared" si="88"/>
        <v>2034</v>
      </c>
      <c r="B2987" s="106">
        <f t="shared" si="89"/>
        <v>32</v>
      </c>
      <c r="C2987" s="107">
        <f ca="1">OFFSET(tab_tipo_Combustivel!$A$1,MATCH(B2987,tab_tipo_Combustivel!$A$2:$A$150,0),MATCH(A2987,tab_tipo_Combustivel!$B$1:$AQ$1,0),1,1)</f>
        <v>248.31</v>
      </c>
    </row>
    <row r="2988" spans="1:3">
      <c r="A2988" s="3">
        <f t="shared" si="88"/>
        <v>2034</v>
      </c>
      <c r="B2988" s="106">
        <f t="shared" si="89"/>
        <v>34</v>
      </c>
      <c r="C2988" s="107">
        <f ca="1">OFFSET(tab_tipo_Combustivel!$A$1,MATCH(B2988,tab_tipo_Combustivel!$A$2:$A$150,0),MATCH(A2988,tab_tipo_Combustivel!$B$1:$AQ$1,0),1,1)</f>
        <v>423.38</v>
      </c>
    </row>
    <row r="2989" spans="1:3">
      <c r="A2989" s="3">
        <f t="shared" si="88"/>
        <v>2034</v>
      </c>
      <c r="B2989" s="106">
        <f t="shared" si="89"/>
        <v>35</v>
      </c>
      <c r="C2989" s="107">
        <f ca="1">OFFSET(tab_tipo_Combustivel!$A$1,MATCH(B2989,tab_tipo_Combustivel!$A$2:$A$150,0),MATCH(A2989,tab_tipo_Combustivel!$B$1:$AQ$1,0),1,1)</f>
        <v>692.45</v>
      </c>
    </row>
    <row r="2990" spans="1:3">
      <c r="A2990" s="3">
        <f t="shared" si="88"/>
        <v>2034</v>
      </c>
      <c r="B2990" s="106">
        <f t="shared" si="89"/>
        <v>36</v>
      </c>
      <c r="C2990" s="107">
        <f ca="1">OFFSET(tab_tipo_Combustivel!$A$1,MATCH(B2990,tab_tipo_Combustivel!$A$2:$A$150,0),MATCH(A2990,tab_tipo_Combustivel!$B$1:$AQ$1,0),1,1)</f>
        <v>157.83000000000001</v>
      </c>
    </row>
    <row r="2991" spans="1:3">
      <c r="A2991" s="3">
        <f t="shared" si="88"/>
        <v>2034</v>
      </c>
      <c r="B2991" s="106">
        <f t="shared" si="89"/>
        <v>42</v>
      </c>
      <c r="C2991" s="107">
        <f ca="1">OFFSET(tab_tipo_Combustivel!$A$1,MATCH(B2991,tab_tipo_Combustivel!$A$2:$A$150,0),MATCH(A2991,tab_tipo_Combustivel!$B$1:$AQ$1,0),1,1)</f>
        <v>199.22</v>
      </c>
    </row>
    <row r="2992" spans="1:3">
      <c r="A2992" s="3">
        <f t="shared" si="88"/>
        <v>2034</v>
      </c>
      <c r="B2992" s="106">
        <f t="shared" si="89"/>
        <v>43</v>
      </c>
      <c r="C2992" s="107">
        <f ca="1">OFFSET(tab_tipo_Combustivel!$A$1,MATCH(B2992,tab_tipo_Combustivel!$A$2:$A$150,0),MATCH(A2992,tab_tipo_Combustivel!$B$1:$AQ$1,0),1,1)</f>
        <v>431.62</v>
      </c>
    </row>
    <row r="2993" spans="1:3">
      <c r="A2993" s="3">
        <f t="shared" si="88"/>
        <v>2034</v>
      </c>
      <c r="B2993" s="106">
        <f t="shared" si="89"/>
        <v>44</v>
      </c>
      <c r="C2993" s="107">
        <f ca="1">OFFSET(tab_tipo_Combustivel!$A$1,MATCH(B2993,tab_tipo_Combustivel!$A$2:$A$150,0),MATCH(A2993,tab_tipo_Combustivel!$B$1:$AQ$1,0),1,1)</f>
        <v>25.58</v>
      </c>
    </row>
    <row r="2994" spans="1:3">
      <c r="A2994" s="3">
        <f t="shared" si="88"/>
        <v>2034</v>
      </c>
      <c r="B2994" s="106">
        <f t="shared" si="89"/>
        <v>46</v>
      </c>
      <c r="C2994" s="107">
        <f ca="1">OFFSET(tab_tipo_Combustivel!$A$1,MATCH(B2994,tab_tipo_Combustivel!$A$2:$A$150,0),MATCH(A2994,tab_tipo_Combustivel!$B$1:$AQ$1,0),1,1)</f>
        <v>228.91</v>
      </c>
    </row>
    <row r="2995" spans="1:3">
      <c r="A2995" s="3">
        <f t="shared" si="88"/>
        <v>2034</v>
      </c>
      <c r="B2995" s="106">
        <f t="shared" si="89"/>
        <v>47</v>
      </c>
      <c r="C2995" s="107">
        <f ca="1">OFFSET(tab_tipo_Combustivel!$A$1,MATCH(B2995,tab_tipo_Combustivel!$A$2:$A$150,0),MATCH(A2995,tab_tipo_Combustivel!$B$1:$AQ$1,0),1,1)</f>
        <v>235.6</v>
      </c>
    </row>
    <row r="2996" spans="1:3">
      <c r="A2996" s="3">
        <f t="shared" si="88"/>
        <v>2034</v>
      </c>
      <c r="B2996" s="106">
        <f t="shared" si="89"/>
        <v>48</v>
      </c>
      <c r="C2996" s="107">
        <f ca="1">OFFSET(tab_tipo_Combustivel!$A$1,MATCH(B2996,tab_tipo_Combustivel!$A$2:$A$150,0),MATCH(A2996,tab_tipo_Combustivel!$B$1:$AQ$1,0),1,1)</f>
        <v>1012.12</v>
      </c>
    </row>
    <row r="2997" spans="1:3">
      <c r="A2997" s="3">
        <f t="shared" si="88"/>
        <v>2034</v>
      </c>
      <c r="B2997" s="106">
        <f t="shared" si="89"/>
        <v>50</v>
      </c>
      <c r="C2997" s="107">
        <f ca="1">OFFSET(tab_tipo_Combustivel!$A$1,MATCH(B2997,tab_tipo_Combustivel!$A$2:$A$150,0),MATCH(A2997,tab_tipo_Combustivel!$B$1:$AQ$1,0),1,1)</f>
        <v>669.87</v>
      </c>
    </row>
    <row r="2998" spans="1:3">
      <c r="A2998" s="3">
        <f t="shared" si="88"/>
        <v>2034</v>
      </c>
      <c r="B2998" s="106">
        <f t="shared" si="89"/>
        <v>54</v>
      </c>
      <c r="C2998" s="107">
        <f ca="1">OFFSET(tab_tipo_Combustivel!$A$1,MATCH(B2998,tab_tipo_Combustivel!$A$2:$A$150,0),MATCH(A2998,tab_tipo_Combustivel!$B$1:$AQ$1,0),1,1)</f>
        <v>304.55</v>
      </c>
    </row>
    <row r="2999" spans="1:3">
      <c r="A2999" s="3">
        <f t="shared" si="88"/>
        <v>2034</v>
      </c>
      <c r="B2999" s="106">
        <f t="shared" si="89"/>
        <v>58</v>
      </c>
      <c r="C2999" s="107">
        <f ca="1">OFFSET(tab_tipo_Combustivel!$A$1,MATCH(B2999,tab_tipo_Combustivel!$A$2:$A$150,0),MATCH(A2999,tab_tipo_Combustivel!$B$1:$AQ$1,0),1,1)</f>
        <v>300.05</v>
      </c>
    </row>
    <row r="3000" spans="1:3">
      <c r="A3000" s="3">
        <f t="shared" si="88"/>
        <v>2034</v>
      </c>
      <c r="B3000" s="106">
        <f t="shared" si="89"/>
        <v>62</v>
      </c>
      <c r="C3000" s="107">
        <f ca="1">OFFSET(tab_tipo_Combustivel!$A$1,MATCH(B3000,tab_tipo_Combustivel!$A$2:$A$150,0),MATCH(A3000,tab_tipo_Combustivel!$B$1:$AQ$1,0),1,1)</f>
        <v>309.24</v>
      </c>
    </row>
    <row r="3001" spans="1:3">
      <c r="A3001" s="3">
        <f t="shared" si="88"/>
        <v>2034</v>
      </c>
      <c r="B3001" s="106">
        <f t="shared" si="89"/>
        <v>63</v>
      </c>
      <c r="C3001" s="107">
        <f ca="1">OFFSET(tab_tipo_Combustivel!$A$1,MATCH(B3001,tab_tipo_Combustivel!$A$2:$A$150,0),MATCH(A3001,tab_tipo_Combustivel!$B$1:$AQ$1,0),1,1)</f>
        <v>365.77</v>
      </c>
    </row>
    <row r="3002" spans="1:3">
      <c r="A3002" s="3">
        <f t="shared" si="88"/>
        <v>2034</v>
      </c>
      <c r="B3002" s="106">
        <f t="shared" si="89"/>
        <v>64</v>
      </c>
      <c r="C3002" s="107">
        <f ca="1">OFFSET(tab_tipo_Combustivel!$A$1,MATCH(B3002,tab_tipo_Combustivel!$A$2:$A$150,0),MATCH(A3002,tab_tipo_Combustivel!$B$1:$AQ$1,0),1,1)</f>
        <v>853.54</v>
      </c>
    </row>
    <row r="3003" spans="1:3">
      <c r="A3003" s="3">
        <f t="shared" si="88"/>
        <v>2034</v>
      </c>
      <c r="B3003" s="106">
        <f t="shared" si="89"/>
        <v>68</v>
      </c>
      <c r="C3003" s="107">
        <f ca="1">OFFSET(tab_tipo_Combustivel!$A$1,MATCH(B3003,tab_tipo_Combustivel!$A$2:$A$150,0),MATCH(A3003,tab_tipo_Combustivel!$B$1:$AQ$1,0),1,1)</f>
        <v>195.63</v>
      </c>
    </row>
    <row r="3004" spans="1:3">
      <c r="A3004" s="3">
        <f t="shared" si="88"/>
        <v>2034</v>
      </c>
      <c r="B3004" s="106">
        <f t="shared" si="89"/>
        <v>74</v>
      </c>
      <c r="C3004" s="107">
        <f ca="1">OFFSET(tab_tipo_Combustivel!$A$1,MATCH(B3004,tab_tipo_Combustivel!$A$2:$A$150,0),MATCH(A3004,tab_tipo_Combustivel!$B$1:$AQ$1,0),1,1)</f>
        <v>364.46</v>
      </c>
    </row>
    <row r="3005" spans="1:3">
      <c r="A3005" s="3">
        <f t="shared" si="88"/>
        <v>2034</v>
      </c>
      <c r="B3005" s="106">
        <f t="shared" si="89"/>
        <v>83</v>
      </c>
      <c r="C3005" s="107">
        <f ca="1">OFFSET(tab_tipo_Combustivel!$A$1,MATCH(B3005,tab_tipo_Combustivel!$A$2:$A$150,0),MATCH(A3005,tab_tipo_Combustivel!$B$1:$AQ$1,0),1,1)</f>
        <v>448.1</v>
      </c>
    </row>
    <row r="3006" spans="1:3">
      <c r="A3006" s="3">
        <f t="shared" si="88"/>
        <v>2034</v>
      </c>
      <c r="B3006" s="106">
        <f t="shared" si="89"/>
        <v>86</v>
      </c>
      <c r="C3006" s="107">
        <f ca="1">OFFSET(tab_tipo_Combustivel!$A$1,MATCH(B3006,tab_tipo_Combustivel!$A$2:$A$150,0),MATCH(A3006,tab_tipo_Combustivel!$B$1:$AQ$1,0),1,1)</f>
        <v>170.34</v>
      </c>
    </row>
    <row r="3007" spans="1:3">
      <c r="A3007" s="3">
        <f t="shared" si="88"/>
        <v>2034</v>
      </c>
      <c r="B3007" s="106">
        <f t="shared" si="89"/>
        <v>90</v>
      </c>
      <c r="C3007" s="107">
        <f ca="1">OFFSET(tab_tipo_Combustivel!$A$1,MATCH(B3007,tab_tipo_Combustivel!$A$2:$A$150,0),MATCH(A3007,tab_tipo_Combustivel!$B$1:$AQ$1,0),1,1)</f>
        <v>533.1</v>
      </c>
    </row>
    <row r="3008" spans="1:3">
      <c r="A3008" s="3">
        <f t="shared" si="88"/>
        <v>2034</v>
      </c>
      <c r="B3008" s="106">
        <f t="shared" si="89"/>
        <v>93</v>
      </c>
      <c r="C3008" s="107">
        <f ca="1">OFFSET(tab_tipo_Combustivel!$A$1,MATCH(B3008,tab_tipo_Combustivel!$A$2:$A$150,0),MATCH(A3008,tab_tipo_Combustivel!$B$1:$AQ$1,0),1,1)</f>
        <v>842.33</v>
      </c>
    </row>
    <row r="3009" spans="1:3">
      <c r="A3009" s="3">
        <f t="shared" si="88"/>
        <v>2034</v>
      </c>
      <c r="B3009" s="106">
        <f t="shared" si="89"/>
        <v>94</v>
      </c>
      <c r="C3009" s="107">
        <f ca="1">OFFSET(tab_tipo_Combustivel!$A$1,MATCH(B3009,tab_tipo_Combustivel!$A$2:$A$150,0),MATCH(A3009,tab_tipo_Combustivel!$B$1:$AQ$1,0),1,1)</f>
        <v>842.33</v>
      </c>
    </row>
    <row r="3010" spans="1:3">
      <c r="A3010" s="3">
        <f t="shared" si="88"/>
        <v>2034</v>
      </c>
      <c r="B3010" s="106">
        <f t="shared" si="89"/>
        <v>96</v>
      </c>
      <c r="C3010" s="107">
        <f ca="1">OFFSET(tab_tipo_Combustivel!$A$1,MATCH(B3010,tab_tipo_Combustivel!$A$2:$A$150,0),MATCH(A3010,tab_tipo_Combustivel!$B$1:$AQ$1,0),1,1)</f>
        <v>99.92</v>
      </c>
    </row>
    <row r="3011" spans="1:3">
      <c r="A3011" s="3">
        <f t="shared" si="88"/>
        <v>2034</v>
      </c>
      <c r="B3011" s="106">
        <f t="shared" si="89"/>
        <v>98</v>
      </c>
      <c r="C3011" s="107">
        <f ca="1">OFFSET(tab_tipo_Combustivel!$A$1,MATCH(B3011,tab_tipo_Combustivel!$A$2:$A$150,0),MATCH(A3011,tab_tipo_Combustivel!$B$1:$AQ$1,0),1,1)</f>
        <v>489.8</v>
      </c>
    </row>
    <row r="3012" spans="1:3">
      <c r="A3012" s="3">
        <f t="shared" si="88"/>
        <v>2034</v>
      </c>
      <c r="B3012" s="106">
        <f t="shared" si="89"/>
        <v>107</v>
      </c>
      <c r="C3012" s="107">
        <f ca="1">OFFSET(tab_tipo_Combustivel!$A$1,MATCH(B3012,tab_tipo_Combustivel!$A$2:$A$150,0),MATCH(A3012,tab_tipo_Combustivel!$B$1:$AQ$1,0),1,1)</f>
        <v>57.63</v>
      </c>
    </row>
    <row r="3013" spans="1:3">
      <c r="A3013" s="3">
        <f t="shared" si="88"/>
        <v>2034</v>
      </c>
      <c r="B3013" s="106">
        <f t="shared" si="89"/>
        <v>110</v>
      </c>
      <c r="C3013" s="107">
        <f ca="1">OFFSET(tab_tipo_Combustivel!$A$1,MATCH(B3013,tab_tipo_Combustivel!$A$2:$A$150,0),MATCH(A3013,tab_tipo_Combustivel!$B$1:$AQ$1,0),1,1)</f>
        <v>568.29</v>
      </c>
    </row>
    <row r="3014" spans="1:3">
      <c r="A3014" s="3">
        <f t="shared" si="88"/>
        <v>2034</v>
      </c>
      <c r="B3014" s="106">
        <f t="shared" si="89"/>
        <v>116</v>
      </c>
      <c r="C3014" s="107">
        <f ca="1">OFFSET(tab_tipo_Combustivel!$A$1,MATCH(B3014,tab_tipo_Combustivel!$A$2:$A$150,0),MATCH(A3014,tab_tipo_Combustivel!$B$1:$AQ$1,0),1,1)</f>
        <v>117.46</v>
      </c>
    </row>
    <row r="3015" spans="1:3">
      <c r="A3015" s="3">
        <f t="shared" si="88"/>
        <v>2034</v>
      </c>
      <c r="B3015" s="106">
        <f t="shared" si="89"/>
        <v>140</v>
      </c>
      <c r="C3015" s="107">
        <f ca="1">OFFSET(tab_tipo_Combustivel!$A$1,MATCH(B3015,tab_tipo_Combustivel!$A$2:$A$150,0),MATCH(A3015,tab_tipo_Combustivel!$B$1:$AQ$1,0),1,1)</f>
        <v>88.11</v>
      </c>
    </row>
    <row r="3016" spans="1:3">
      <c r="A3016" s="3">
        <f t="shared" si="88"/>
        <v>2034</v>
      </c>
      <c r="B3016" s="106">
        <f t="shared" si="89"/>
        <v>141</v>
      </c>
      <c r="C3016" s="107">
        <f ca="1">OFFSET(tab_tipo_Combustivel!$A$1,MATCH(B3016,tab_tipo_Combustivel!$A$2:$A$150,0),MATCH(A3016,tab_tipo_Combustivel!$B$1:$AQ$1,0),1,1)</f>
        <v>1280.52</v>
      </c>
    </row>
    <row r="3017" spans="1:3">
      <c r="A3017" s="3">
        <f t="shared" si="88"/>
        <v>2034</v>
      </c>
      <c r="B3017" s="106">
        <f t="shared" si="89"/>
        <v>147</v>
      </c>
      <c r="C3017" s="107">
        <f ca="1">OFFSET(tab_tipo_Combustivel!$A$1,MATCH(B3017,tab_tipo_Combustivel!$A$2:$A$150,0),MATCH(A3017,tab_tipo_Combustivel!$B$1:$AQ$1,0),1,1)</f>
        <v>134.18</v>
      </c>
    </row>
    <row r="3018" spans="1:3">
      <c r="A3018" s="3">
        <f t="shared" ref="A3018:A3081" si="90">A2883+1</f>
        <v>2034</v>
      </c>
      <c r="B3018" s="106">
        <f t="shared" ref="B3018:B3081" si="91">B2883</f>
        <v>156</v>
      </c>
      <c r="C3018" s="107">
        <f ca="1">OFFSET(tab_tipo_Combustivel!$A$1,MATCH(B3018,tab_tipo_Combustivel!$A$2:$A$150,0),MATCH(A3018,tab_tipo_Combustivel!$B$1:$AQ$1,0),1,1)</f>
        <v>77.12</v>
      </c>
    </row>
    <row r="3019" spans="1:3">
      <c r="A3019" s="3">
        <f t="shared" si="90"/>
        <v>2034</v>
      </c>
      <c r="B3019" s="106">
        <f t="shared" si="91"/>
        <v>163</v>
      </c>
      <c r="C3019" s="107">
        <f ca="1">OFFSET(tab_tipo_Combustivel!$A$1,MATCH(B3019,tab_tipo_Combustivel!$A$2:$A$150,0),MATCH(A3019,tab_tipo_Combustivel!$B$1:$AQ$1,0),1,1)</f>
        <v>156.69999999999999</v>
      </c>
    </row>
    <row r="3020" spans="1:3">
      <c r="A3020" s="3">
        <f t="shared" si="90"/>
        <v>2034</v>
      </c>
      <c r="B3020" s="106">
        <f t="shared" si="91"/>
        <v>167</v>
      </c>
      <c r="C3020" s="107">
        <f ca="1">OFFSET(tab_tipo_Combustivel!$A$1,MATCH(B3020,tab_tipo_Combustivel!$A$2:$A$150,0),MATCH(A3020,tab_tipo_Combustivel!$B$1:$AQ$1,0),1,1)</f>
        <v>144.66999999999999</v>
      </c>
    </row>
    <row r="3021" spans="1:3">
      <c r="A3021" s="3">
        <f t="shared" si="90"/>
        <v>2034</v>
      </c>
      <c r="B3021" s="106">
        <f t="shared" si="91"/>
        <v>171</v>
      </c>
      <c r="C3021" s="107">
        <f ca="1">OFFSET(tab_tipo_Combustivel!$A$1,MATCH(B3021,tab_tipo_Combustivel!$A$2:$A$150,0),MATCH(A3021,tab_tipo_Combustivel!$B$1:$AQ$1,0),1,1)</f>
        <v>88</v>
      </c>
    </row>
    <row r="3022" spans="1:3">
      <c r="A3022" s="3">
        <f t="shared" si="90"/>
        <v>2034</v>
      </c>
      <c r="B3022" s="106">
        <f t="shared" si="91"/>
        <v>172</v>
      </c>
      <c r="C3022" s="107">
        <f ca="1">OFFSET(tab_tipo_Combustivel!$A$1,MATCH(B3022,tab_tipo_Combustivel!$A$2:$A$150,0),MATCH(A3022,tab_tipo_Combustivel!$B$1:$AQ$1,0),1,1)</f>
        <v>99.97</v>
      </c>
    </row>
    <row r="3023" spans="1:3">
      <c r="A3023" s="3">
        <f t="shared" si="90"/>
        <v>2034</v>
      </c>
      <c r="B3023" s="106">
        <f t="shared" si="91"/>
        <v>173</v>
      </c>
      <c r="C3023" s="107">
        <f ca="1">OFFSET(tab_tipo_Combustivel!$A$1,MATCH(B3023,tab_tipo_Combustivel!$A$2:$A$150,0),MATCH(A3023,tab_tipo_Combustivel!$B$1:$AQ$1,0),1,1)</f>
        <v>192.03</v>
      </c>
    </row>
    <row r="3024" spans="1:3">
      <c r="A3024" s="3">
        <f t="shared" si="90"/>
        <v>2034</v>
      </c>
      <c r="B3024" s="106">
        <f t="shared" si="91"/>
        <v>174</v>
      </c>
      <c r="C3024" s="107">
        <f ca="1">OFFSET(tab_tipo_Combustivel!$A$1,MATCH(B3024,tab_tipo_Combustivel!$A$2:$A$150,0),MATCH(A3024,tab_tipo_Combustivel!$B$1:$AQ$1,0),1,1)</f>
        <v>331.22</v>
      </c>
    </row>
    <row r="3025" spans="1:3">
      <c r="A3025" s="3">
        <f t="shared" si="90"/>
        <v>2034</v>
      </c>
      <c r="B3025" s="106">
        <f t="shared" si="91"/>
        <v>176</v>
      </c>
      <c r="C3025" s="107">
        <f ca="1">OFFSET(tab_tipo_Combustivel!$A$1,MATCH(B3025,tab_tipo_Combustivel!$A$2:$A$150,0),MATCH(A3025,tab_tipo_Combustivel!$B$1:$AQ$1,0),1,1)</f>
        <v>149.47999999999999</v>
      </c>
    </row>
    <row r="3026" spans="1:3">
      <c r="A3026" s="3">
        <f t="shared" si="90"/>
        <v>2034</v>
      </c>
      <c r="B3026" s="106">
        <f t="shared" si="91"/>
        <v>183</v>
      </c>
      <c r="C3026" s="107">
        <f ca="1">OFFSET(tab_tipo_Combustivel!$A$1,MATCH(B3026,tab_tipo_Combustivel!$A$2:$A$150,0),MATCH(A3026,tab_tipo_Combustivel!$B$1:$AQ$1,0),1,1)</f>
        <v>171.61</v>
      </c>
    </row>
    <row r="3027" spans="1:3">
      <c r="A3027" s="3">
        <f t="shared" si="90"/>
        <v>2034</v>
      </c>
      <c r="B3027" s="106">
        <f t="shared" si="91"/>
        <v>194</v>
      </c>
      <c r="C3027" s="107">
        <f ca="1">OFFSET(tab_tipo_Combustivel!$A$1,MATCH(B3027,tab_tipo_Combustivel!$A$2:$A$150,0),MATCH(A3027,tab_tipo_Combustivel!$B$1:$AQ$1,0),1,1)</f>
        <v>1098.58</v>
      </c>
    </row>
    <row r="3028" spans="1:3">
      <c r="A3028" s="3">
        <f t="shared" si="90"/>
        <v>2034</v>
      </c>
      <c r="B3028" s="106">
        <f t="shared" si="91"/>
        <v>203</v>
      </c>
      <c r="C3028" s="107">
        <f ca="1">OFFSET(tab_tipo_Combustivel!$A$1,MATCH(B3028,tab_tipo_Combustivel!$A$2:$A$150,0),MATCH(A3028,tab_tipo_Combustivel!$B$1:$AQ$1,0),1,1)</f>
        <v>0</v>
      </c>
    </row>
    <row r="3029" spans="1:3">
      <c r="A3029" s="3">
        <f t="shared" si="90"/>
        <v>2034</v>
      </c>
      <c r="B3029" s="106">
        <f t="shared" si="91"/>
        <v>204</v>
      </c>
      <c r="C3029" s="107">
        <f ca="1">OFFSET(tab_tipo_Combustivel!$A$1,MATCH(B3029,tab_tipo_Combustivel!$A$2:$A$150,0),MATCH(A3029,tab_tipo_Combustivel!$B$1:$AQ$1,0),1,1)</f>
        <v>0</v>
      </c>
    </row>
    <row r="3030" spans="1:3">
      <c r="A3030" s="3">
        <f t="shared" si="90"/>
        <v>2034</v>
      </c>
      <c r="B3030" s="106">
        <f t="shared" si="91"/>
        <v>205</v>
      </c>
      <c r="C3030" s="107">
        <f ca="1">OFFSET(tab_tipo_Combustivel!$A$1,MATCH(B3030,tab_tipo_Combustivel!$A$2:$A$150,0),MATCH(A3030,tab_tipo_Combustivel!$B$1:$AQ$1,0),1,1)</f>
        <v>0</v>
      </c>
    </row>
    <row r="3031" spans="1:3">
      <c r="A3031" s="3">
        <f t="shared" si="90"/>
        <v>2034</v>
      </c>
      <c r="B3031" s="106">
        <f t="shared" si="91"/>
        <v>207</v>
      </c>
      <c r="C3031" s="107">
        <f ca="1">OFFSET(tab_tipo_Combustivel!$A$1,MATCH(B3031,tab_tipo_Combustivel!$A$2:$A$150,0),MATCH(A3031,tab_tipo_Combustivel!$B$1:$AQ$1,0),1,1)</f>
        <v>0</v>
      </c>
    </row>
    <row r="3032" spans="1:3">
      <c r="A3032" s="3">
        <f t="shared" si="90"/>
        <v>2034</v>
      </c>
      <c r="B3032" s="106">
        <f t="shared" si="91"/>
        <v>208</v>
      </c>
      <c r="C3032" s="107">
        <f ca="1">OFFSET(tab_tipo_Combustivel!$A$1,MATCH(B3032,tab_tipo_Combustivel!$A$2:$A$150,0),MATCH(A3032,tab_tipo_Combustivel!$B$1:$AQ$1,0),1,1)</f>
        <v>783.64</v>
      </c>
    </row>
    <row r="3033" spans="1:3">
      <c r="A3033" s="3">
        <f t="shared" si="90"/>
        <v>2034</v>
      </c>
      <c r="B3033" s="106">
        <f t="shared" si="91"/>
        <v>209</v>
      </c>
      <c r="C3033" s="107">
        <f ca="1">OFFSET(tab_tipo_Combustivel!$A$1,MATCH(B3033,tab_tipo_Combustivel!$A$2:$A$150,0),MATCH(A3033,tab_tipo_Combustivel!$B$1:$AQ$1,0),1,1)</f>
        <v>0</v>
      </c>
    </row>
    <row r="3034" spans="1:3">
      <c r="A3034" s="3">
        <f t="shared" si="90"/>
        <v>2034</v>
      </c>
      <c r="B3034" s="106">
        <f t="shared" si="91"/>
        <v>211</v>
      </c>
      <c r="C3034" s="107">
        <f ca="1">OFFSET(tab_tipo_Combustivel!$A$1,MATCH(B3034,tab_tipo_Combustivel!$A$2:$A$150,0),MATCH(A3034,tab_tipo_Combustivel!$B$1:$AQ$1,0),1,1)</f>
        <v>150.79</v>
      </c>
    </row>
    <row r="3035" spans="1:3">
      <c r="A3035" s="3">
        <f t="shared" si="90"/>
        <v>2034</v>
      </c>
      <c r="B3035" s="106">
        <f t="shared" si="91"/>
        <v>212</v>
      </c>
      <c r="C3035" s="107">
        <f ca="1">OFFSET(tab_tipo_Combustivel!$A$1,MATCH(B3035,tab_tipo_Combustivel!$A$2:$A$150,0),MATCH(A3035,tab_tipo_Combustivel!$B$1:$AQ$1,0),1,1)</f>
        <v>84.58</v>
      </c>
    </row>
    <row r="3036" spans="1:3">
      <c r="A3036" s="3">
        <f t="shared" si="90"/>
        <v>2034</v>
      </c>
      <c r="B3036" s="106">
        <f t="shared" si="91"/>
        <v>224</v>
      </c>
      <c r="C3036" s="107">
        <f ca="1">OFFSET(tab_tipo_Combustivel!$A$1,MATCH(B3036,tab_tipo_Combustivel!$A$2:$A$150,0),MATCH(A3036,tab_tipo_Combustivel!$B$1:$AQ$1,0),1,1)</f>
        <v>31.08</v>
      </c>
    </row>
    <row r="3037" spans="1:3">
      <c r="A3037" s="3">
        <f t="shared" si="90"/>
        <v>2034</v>
      </c>
      <c r="B3037" s="106">
        <f t="shared" si="91"/>
        <v>225</v>
      </c>
      <c r="C3037" s="107">
        <f ca="1">OFFSET(tab_tipo_Combustivel!$A$1,MATCH(B3037,tab_tipo_Combustivel!$A$2:$A$150,0),MATCH(A3037,tab_tipo_Combustivel!$B$1:$AQ$1,0),1,1)</f>
        <v>1329.7</v>
      </c>
    </row>
    <row r="3038" spans="1:3">
      <c r="A3038" s="3">
        <f t="shared" si="90"/>
        <v>2034</v>
      </c>
      <c r="B3038" s="106">
        <f t="shared" si="91"/>
        <v>226</v>
      </c>
      <c r="C3038" s="107">
        <f ca="1">OFFSET(tab_tipo_Combustivel!$A$1,MATCH(B3038,tab_tipo_Combustivel!$A$2:$A$150,0),MATCH(A3038,tab_tipo_Combustivel!$B$1:$AQ$1,0),1,1)</f>
        <v>1061.1300000000001</v>
      </c>
    </row>
    <row r="3039" spans="1:3">
      <c r="A3039" s="3">
        <f t="shared" si="90"/>
        <v>2034</v>
      </c>
      <c r="B3039" s="106">
        <f t="shared" si="91"/>
        <v>227</v>
      </c>
      <c r="C3039" s="107">
        <f ca="1">OFFSET(tab_tipo_Combustivel!$A$1,MATCH(B3039,tab_tipo_Combustivel!$A$2:$A$150,0),MATCH(A3039,tab_tipo_Combustivel!$B$1:$AQ$1,0),1,1)</f>
        <v>447.52</v>
      </c>
    </row>
    <row r="3040" spans="1:3">
      <c r="A3040" s="3">
        <f t="shared" si="90"/>
        <v>2034</v>
      </c>
      <c r="B3040" s="106">
        <f t="shared" si="91"/>
        <v>228</v>
      </c>
      <c r="C3040" s="107">
        <f ca="1">OFFSET(tab_tipo_Combustivel!$A$1,MATCH(B3040,tab_tipo_Combustivel!$A$2:$A$150,0),MATCH(A3040,tab_tipo_Combustivel!$B$1:$AQ$1,0),1,1)</f>
        <v>1061.1400000000001</v>
      </c>
    </row>
    <row r="3041" spans="1:3">
      <c r="A3041" s="3">
        <f t="shared" si="90"/>
        <v>2034</v>
      </c>
      <c r="B3041" s="106">
        <f t="shared" si="91"/>
        <v>229</v>
      </c>
      <c r="C3041" s="107">
        <f ca="1">OFFSET(tab_tipo_Combustivel!$A$1,MATCH(B3041,tab_tipo_Combustivel!$A$2:$A$150,0),MATCH(A3041,tab_tipo_Combustivel!$B$1:$AQ$1,0),1,1)</f>
        <v>942.05</v>
      </c>
    </row>
    <row r="3042" spans="1:3">
      <c r="A3042" s="3">
        <f t="shared" si="90"/>
        <v>2034</v>
      </c>
      <c r="B3042" s="106">
        <f t="shared" si="91"/>
        <v>230</v>
      </c>
      <c r="C3042" s="107">
        <f ca="1">OFFSET(tab_tipo_Combustivel!$A$1,MATCH(B3042,tab_tipo_Combustivel!$A$2:$A$150,0),MATCH(A3042,tab_tipo_Combustivel!$B$1:$AQ$1,0),1,1)</f>
        <v>495.06</v>
      </c>
    </row>
    <row r="3043" spans="1:3">
      <c r="A3043" s="3">
        <f t="shared" si="90"/>
        <v>2034</v>
      </c>
      <c r="B3043" s="106">
        <f t="shared" si="91"/>
        <v>231</v>
      </c>
      <c r="C3043" s="107">
        <f ca="1">OFFSET(tab_tipo_Combustivel!$A$1,MATCH(B3043,tab_tipo_Combustivel!$A$2:$A$150,0),MATCH(A3043,tab_tipo_Combustivel!$B$1:$AQ$1,0),1,1)</f>
        <v>489.29</v>
      </c>
    </row>
    <row r="3044" spans="1:3">
      <c r="A3044" s="3">
        <f t="shared" si="90"/>
        <v>2034</v>
      </c>
      <c r="B3044" s="106">
        <f t="shared" si="91"/>
        <v>232</v>
      </c>
      <c r="C3044" s="107">
        <f ca="1">OFFSET(tab_tipo_Combustivel!$A$1,MATCH(B3044,tab_tipo_Combustivel!$A$2:$A$150,0),MATCH(A3044,tab_tipo_Combustivel!$B$1:$AQ$1,0),1,1)</f>
        <v>842.33</v>
      </c>
    </row>
    <row r="3045" spans="1:3">
      <c r="A3045" s="3">
        <f t="shared" si="90"/>
        <v>2034</v>
      </c>
      <c r="B3045" s="106">
        <f t="shared" si="91"/>
        <v>233</v>
      </c>
      <c r="C3045" s="107">
        <f ca="1">OFFSET(tab_tipo_Combustivel!$A$1,MATCH(B3045,tab_tipo_Combustivel!$A$2:$A$150,0),MATCH(A3045,tab_tipo_Combustivel!$B$1:$AQ$1,0),1,1)</f>
        <v>984.29</v>
      </c>
    </row>
    <row r="3046" spans="1:3">
      <c r="A3046" s="3">
        <f t="shared" si="90"/>
        <v>2034</v>
      </c>
      <c r="B3046" s="106">
        <f t="shared" si="91"/>
        <v>234</v>
      </c>
      <c r="C3046" s="107">
        <f ca="1">OFFSET(tab_tipo_Combustivel!$A$1,MATCH(B3046,tab_tipo_Combustivel!$A$2:$A$150,0),MATCH(A3046,tab_tipo_Combustivel!$B$1:$AQ$1,0),1,1)</f>
        <v>290.26</v>
      </c>
    </row>
    <row r="3047" spans="1:3">
      <c r="A3047" s="3">
        <f t="shared" si="90"/>
        <v>2034</v>
      </c>
      <c r="B3047" s="106">
        <f t="shared" si="91"/>
        <v>235</v>
      </c>
      <c r="C3047" s="107">
        <f ca="1">OFFSET(tab_tipo_Combustivel!$A$1,MATCH(B3047,tab_tipo_Combustivel!$A$2:$A$150,0),MATCH(A3047,tab_tipo_Combustivel!$B$1:$AQ$1,0),1,1)</f>
        <v>1350.87</v>
      </c>
    </row>
    <row r="3048" spans="1:3">
      <c r="A3048" s="3">
        <f t="shared" si="90"/>
        <v>2034</v>
      </c>
      <c r="B3048" s="106">
        <f t="shared" si="91"/>
        <v>236</v>
      </c>
      <c r="C3048" s="107">
        <f ca="1">OFFSET(tab_tipo_Combustivel!$A$1,MATCH(B3048,tab_tipo_Combustivel!$A$2:$A$150,0),MATCH(A3048,tab_tipo_Combustivel!$B$1:$AQ$1,0),1,1)</f>
        <v>842.33</v>
      </c>
    </row>
    <row r="3049" spans="1:3">
      <c r="A3049" s="3">
        <f t="shared" si="90"/>
        <v>2034</v>
      </c>
      <c r="B3049" s="106">
        <f t="shared" si="91"/>
        <v>237</v>
      </c>
      <c r="C3049" s="107">
        <f ca="1">OFFSET(tab_tipo_Combustivel!$A$1,MATCH(B3049,tab_tipo_Combustivel!$A$2:$A$150,0),MATCH(A3049,tab_tipo_Combustivel!$B$1:$AQ$1,0),1,1)</f>
        <v>760.85</v>
      </c>
    </row>
    <row r="3050" spans="1:3">
      <c r="A3050" s="3">
        <f t="shared" si="90"/>
        <v>2034</v>
      </c>
      <c r="B3050" s="106">
        <f t="shared" si="91"/>
        <v>238</v>
      </c>
      <c r="C3050" s="107">
        <f ca="1">OFFSET(tab_tipo_Combustivel!$A$1,MATCH(B3050,tab_tipo_Combustivel!$A$2:$A$150,0),MATCH(A3050,tab_tipo_Combustivel!$B$1:$AQ$1,0),1,1)</f>
        <v>963.75</v>
      </c>
    </row>
    <row r="3051" spans="1:3">
      <c r="A3051" s="3">
        <f t="shared" si="90"/>
        <v>2034</v>
      </c>
      <c r="B3051" s="106">
        <f t="shared" si="91"/>
        <v>239</v>
      </c>
      <c r="C3051" s="107">
        <f ca="1">OFFSET(tab_tipo_Combustivel!$A$1,MATCH(B3051,tab_tipo_Combustivel!$A$2:$A$150,0),MATCH(A3051,tab_tipo_Combustivel!$B$1:$AQ$1,0),1,1)</f>
        <v>963.75</v>
      </c>
    </row>
    <row r="3052" spans="1:3">
      <c r="A3052" s="3">
        <f t="shared" si="90"/>
        <v>2034</v>
      </c>
      <c r="B3052" s="106">
        <f t="shared" si="91"/>
        <v>240</v>
      </c>
      <c r="C3052" s="107">
        <f ca="1">OFFSET(tab_tipo_Combustivel!$A$1,MATCH(B3052,tab_tipo_Combustivel!$A$2:$A$150,0),MATCH(A3052,tab_tipo_Combustivel!$B$1:$AQ$1,0),1,1)</f>
        <v>1115.96</v>
      </c>
    </row>
    <row r="3053" spans="1:3">
      <c r="A3053" s="3">
        <f t="shared" si="90"/>
        <v>2034</v>
      </c>
      <c r="B3053" s="106">
        <f t="shared" si="91"/>
        <v>241</v>
      </c>
      <c r="C3053" s="107">
        <f ca="1">OFFSET(tab_tipo_Combustivel!$A$1,MATCH(B3053,tab_tipo_Combustivel!$A$2:$A$150,0),MATCH(A3053,tab_tipo_Combustivel!$B$1:$AQ$1,0),1,1)</f>
        <v>495.75</v>
      </c>
    </row>
    <row r="3054" spans="1:3">
      <c r="A3054" s="3">
        <f t="shared" si="90"/>
        <v>2034</v>
      </c>
      <c r="B3054" s="106">
        <f t="shared" si="91"/>
        <v>242</v>
      </c>
      <c r="C3054" s="107">
        <f ca="1">OFFSET(tab_tipo_Combustivel!$A$1,MATCH(B3054,tab_tipo_Combustivel!$A$2:$A$150,0),MATCH(A3054,tab_tipo_Combustivel!$B$1:$AQ$1,0),1,1)</f>
        <v>1176.45</v>
      </c>
    </row>
    <row r="3055" spans="1:3">
      <c r="A3055" s="3">
        <f t="shared" si="90"/>
        <v>2034</v>
      </c>
      <c r="B3055" s="106">
        <f t="shared" si="91"/>
        <v>243</v>
      </c>
      <c r="C3055" s="107">
        <f ca="1">OFFSET(tab_tipo_Combustivel!$A$1,MATCH(B3055,tab_tipo_Combustivel!$A$2:$A$150,0),MATCH(A3055,tab_tipo_Combustivel!$B$1:$AQ$1,0),1,1)</f>
        <v>495.08</v>
      </c>
    </row>
    <row r="3056" spans="1:3">
      <c r="A3056" s="3">
        <f t="shared" si="90"/>
        <v>2034</v>
      </c>
      <c r="B3056" s="106">
        <f t="shared" si="91"/>
        <v>244</v>
      </c>
      <c r="C3056" s="107">
        <f ca="1">OFFSET(tab_tipo_Combustivel!$A$1,MATCH(B3056,tab_tipo_Combustivel!$A$2:$A$150,0),MATCH(A3056,tab_tipo_Combustivel!$B$1:$AQ$1,0),1,1)</f>
        <v>495.06</v>
      </c>
    </row>
    <row r="3057" spans="1:3">
      <c r="A3057" s="3">
        <f t="shared" si="90"/>
        <v>2034</v>
      </c>
      <c r="B3057" s="106">
        <f t="shared" si="91"/>
        <v>245</v>
      </c>
      <c r="C3057" s="107">
        <f ca="1">OFFSET(tab_tipo_Combustivel!$A$1,MATCH(B3057,tab_tipo_Combustivel!$A$2:$A$150,0),MATCH(A3057,tab_tipo_Combustivel!$B$1:$AQ$1,0),1,1)</f>
        <v>562.65</v>
      </c>
    </row>
    <row r="3058" spans="1:3">
      <c r="A3058" s="3">
        <f t="shared" si="90"/>
        <v>2034</v>
      </c>
      <c r="B3058" s="106">
        <f t="shared" si="91"/>
        <v>246</v>
      </c>
      <c r="C3058" s="107">
        <f ca="1">OFFSET(tab_tipo_Combustivel!$A$1,MATCH(B3058,tab_tipo_Combustivel!$A$2:$A$150,0),MATCH(A3058,tab_tipo_Combustivel!$B$1:$AQ$1,0),1,1)</f>
        <v>1124.53</v>
      </c>
    </row>
    <row r="3059" spans="1:3">
      <c r="A3059" s="3">
        <f t="shared" si="90"/>
        <v>2034</v>
      </c>
      <c r="B3059" s="106">
        <f t="shared" si="91"/>
        <v>247</v>
      </c>
      <c r="C3059" s="107">
        <f ca="1">OFFSET(tab_tipo_Combustivel!$A$1,MATCH(B3059,tab_tipo_Combustivel!$A$2:$A$150,0),MATCH(A3059,tab_tipo_Combustivel!$B$1:$AQ$1,0),1,1)</f>
        <v>609.51</v>
      </c>
    </row>
    <row r="3060" spans="1:3">
      <c r="A3060" s="3">
        <f t="shared" si="90"/>
        <v>2034</v>
      </c>
      <c r="B3060" s="106">
        <f t="shared" si="91"/>
        <v>248</v>
      </c>
      <c r="C3060" s="107">
        <f ca="1">OFFSET(tab_tipo_Combustivel!$A$1,MATCH(B3060,tab_tipo_Combustivel!$A$2:$A$150,0),MATCH(A3060,tab_tipo_Combustivel!$B$1:$AQ$1,0),1,1)</f>
        <v>495.06</v>
      </c>
    </row>
    <row r="3061" spans="1:3">
      <c r="A3061" s="3">
        <f t="shared" si="90"/>
        <v>2034</v>
      </c>
      <c r="B3061" s="106">
        <f t="shared" si="91"/>
        <v>249</v>
      </c>
      <c r="C3061" s="107">
        <f ca="1">OFFSET(tab_tipo_Combustivel!$A$1,MATCH(B3061,tab_tipo_Combustivel!$A$2:$A$150,0),MATCH(A3061,tab_tipo_Combustivel!$B$1:$AQ$1,0),1,1)</f>
        <v>842.33</v>
      </c>
    </row>
    <row r="3062" spans="1:3">
      <c r="A3062" s="3">
        <f t="shared" si="90"/>
        <v>2034</v>
      </c>
      <c r="B3062" s="106">
        <f t="shared" si="91"/>
        <v>250</v>
      </c>
      <c r="C3062" s="107">
        <f ca="1">OFFSET(tab_tipo_Combustivel!$A$1,MATCH(B3062,tab_tipo_Combustivel!$A$2:$A$150,0),MATCH(A3062,tab_tipo_Combustivel!$B$1:$AQ$1,0),1,1)</f>
        <v>1176.45</v>
      </c>
    </row>
    <row r="3063" spans="1:3">
      <c r="A3063" s="3">
        <f t="shared" si="90"/>
        <v>2034</v>
      </c>
      <c r="B3063" s="106">
        <f t="shared" si="91"/>
        <v>251</v>
      </c>
      <c r="C3063" s="107">
        <f ca="1">OFFSET(tab_tipo_Combustivel!$A$1,MATCH(B3063,tab_tipo_Combustivel!$A$2:$A$150,0),MATCH(A3063,tab_tipo_Combustivel!$B$1:$AQ$1,0),1,1)</f>
        <v>842.33</v>
      </c>
    </row>
    <row r="3064" spans="1:3">
      <c r="A3064" s="3">
        <f t="shared" si="90"/>
        <v>2034</v>
      </c>
      <c r="B3064" s="106">
        <f t="shared" si="91"/>
        <v>252</v>
      </c>
      <c r="C3064" s="107">
        <f ca="1">OFFSET(tab_tipo_Combustivel!$A$1,MATCH(B3064,tab_tipo_Combustivel!$A$2:$A$150,0),MATCH(A3064,tab_tipo_Combustivel!$B$1:$AQ$1,0),1,1)</f>
        <v>842.33</v>
      </c>
    </row>
    <row r="3065" spans="1:3">
      <c r="A3065" s="3">
        <f t="shared" si="90"/>
        <v>2034</v>
      </c>
      <c r="B3065" s="106">
        <f t="shared" si="91"/>
        <v>253</v>
      </c>
      <c r="C3065" s="107">
        <f ca="1">OFFSET(tab_tipo_Combustivel!$A$1,MATCH(B3065,tab_tipo_Combustivel!$A$2:$A$150,0),MATCH(A3065,tab_tipo_Combustivel!$B$1:$AQ$1,0),1,1)</f>
        <v>279.45</v>
      </c>
    </row>
    <row r="3066" spans="1:3">
      <c r="A3066" s="3">
        <f t="shared" si="90"/>
        <v>2034</v>
      </c>
      <c r="B3066" s="106">
        <f t="shared" si="91"/>
        <v>254</v>
      </c>
      <c r="C3066" s="107">
        <f ca="1">OFFSET(tab_tipo_Combustivel!$A$1,MATCH(B3066,tab_tipo_Combustivel!$A$2:$A$150,0),MATCH(A3066,tab_tipo_Combustivel!$B$1:$AQ$1,0),1,1)</f>
        <v>1153.98</v>
      </c>
    </row>
    <row r="3067" spans="1:3">
      <c r="A3067" s="3">
        <f t="shared" si="90"/>
        <v>2034</v>
      </c>
      <c r="B3067" s="106">
        <f t="shared" si="91"/>
        <v>255</v>
      </c>
      <c r="C3067" s="107">
        <f ca="1">OFFSET(tab_tipo_Combustivel!$A$1,MATCH(B3067,tab_tipo_Combustivel!$A$2:$A$150,0),MATCH(A3067,tab_tipo_Combustivel!$B$1:$AQ$1,0),1,1)</f>
        <v>828.98</v>
      </c>
    </row>
    <row r="3068" spans="1:3">
      <c r="A3068" s="3">
        <f t="shared" si="90"/>
        <v>2034</v>
      </c>
      <c r="B3068" s="106">
        <f t="shared" si="91"/>
        <v>256</v>
      </c>
      <c r="C3068" s="107">
        <f ca="1">OFFSET(tab_tipo_Combustivel!$A$1,MATCH(B3068,tab_tipo_Combustivel!$A$2:$A$150,0),MATCH(A3068,tab_tipo_Combustivel!$B$1:$AQ$1,0),1,1)</f>
        <v>562.65</v>
      </c>
    </row>
    <row r="3069" spans="1:3">
      <c r="A3069" s="3">
        <f t="shared" si="90"/>
        <v>2034</v>
      </c>
      <c r="B3069" s="106">
        <f t="shared" si="91"/>
        <v>257</v>
      </c>
      <c r="C3069" s="107">
        <f ca="1">OFFSET(tab_tipo_Combustivel!$A$1,MATCH(B3069,tab_tipo_Combustivel!$A$2:$A$150,0),MATCH(A3069,tab_tipo_Combustivel!$B$1:$AQ$1,0),1,1)</f>
        <v>907.52</v>
      </c>
    </row>
    <row r="3070" spans="1:3">
      <c r="A3070" s="3">
        <f t="shared" si="90"/>
        <v>2034</v>
      </c>
      <c r="B3070" s="106">
        <f t="shared" si="91"/>
        <v>258</v>
      </c>
      <c r="C3070" s="107">
        <f ca="1">OFFSET(tab_tipo_Combustivel!$A$1,MATCH(B3070,tab_tipo_Combustivel!$A$2:$A$150,0),MATCH(A3070,tab_tipo_Combustivel!$B$1:$AQ$1,0),1,1)</f>
        <v>1016.04</v>
      </c>
    </row>
    <row r="3071" spans="1:3">
      <c r="A3071" s="3">
        <f t="shared" si="90"/>
        <v>2034</v>
      </c>
      <c r="B3071" s="106">
        <f t="shared" si="91"/>
        <v>259</v>
      </c>
      <c r="C3071" s="107">
        <f ca="1">OFFSET(tab_tipo_Combustivel!$A$1,MATCH(B3071,tab_tipo_Combustivel!$A$2:$A$150,0),MATCH(A3071,tab_tipo_Combustivel!$B$1:$AQ$1,0),1,1)</f>
        <v>977.53</v>
      </c>
    </row>
    <row r="3072" spans="1:3">
      <c r="A3072" s="3">
        <f t="shared" si="90"/>
        <v>2034</v>
      </c>
      <c r="B3072" s="106">
        <f t="shared" si="91"/>
        <v>260</v>
      </c>
      <c r="C3072" s="107">
        <f ca="1">OFFSET(tab_tipo_Combustivel!$A$1,MATCH(B3072,tab_tipo_Combustivel!$A$2:$A$150,0),MATCH(A3072,tab_tipo_Combustivel!$B$1:$AQ$1,0),1,1)</f>
        <v>827.17</v>
      </c>
    </row>
    <row r="3073" spans="1:3">
      <c r="A3073" s="3">
        <f t="shared" si="90"/>
        <v>2034</v>
      </c>
      <c r="B3073" s="106">
        <f t="shared" si="91"/>
        <v>261</v>
      </c>
      <c r="C3073" s="107">
        <f ca="1">OFFSET(tab_tipo_Combustivel!$A$1,MATCH(B3073,tab_tipo_Combustivel!$A$2:$A$150,0),MATCH(A3073,tab_tipo_Combustivel!$B$1:$AQ$1,0),1,1)</f>
        <v>829.7</v>
      </c>
    </row>
    <row r="3074" spans="1:3">
      <c r="A3074" s="3">
        <f t="shared" si="90"/>
        <v>2034</v>
      </c>
      <c r="B3074" s="106">
        <f t="shared" si="91"/>
        <v>262</v>
      </c>
      <c r="C3074" s="107">
        <f ca="1">OFFSET(tab_tipo_Combustivel!$A$1,MATCH(B3074,tab_tipo_Combustivel!$A$2:$A$150,0),MATCH(A3074,tab_tipo_Combustivel!$B$1:$AQ$1,0),1,1)</f>
        <v>495.75</v>
      </c>
    </row>
    <row r="3075" spans="1:3">
      <c r="A3075" s="3">
        <f t="shared" si="90"/>
        <v>2034</v>
      </c>
      <c r="B3075" s="106">
        <f t="shared" si="91"/>
        <v>263</v>
      </c>
      <c r="C3075" s="107">
        <f ca="1">OFFSET(tab_tipo_Combustivel!$A$1,MATCH(B3075,tab_tipo_Combustivel!$A$2:$A$150,0),MATCH(A3075,tab_tipo_Combustivel!$B$1:$AQ$1,0),1,1)</f>
        <v>474.77</v>
      </c>
    </row>
    <row r="3076" spans="1:3">
      <c r="A3076" s="3">
        <f t="shared" si="90"/>
        <v>2034</v>
      </c>
      <c r="B3076" s="106">
        <f t="shared" si="91"/>
        <v>264</v>
      </c>
      <c r="C3076" s="107">
        <f ca="1">OFFSET(tab_tipo_Combustivel!$A$1,MATCH(B3076,tab_tipo_Combustivel!$A$2:$A$150,0),MATCH(A3076,tab_tipo_Combustivel!$B$1:$AQ$1,0),1,1)</f>
        <v>842.33</v>
      </c>
    </row>
    <row r="3077" spans="1:3">
      <c r="A3077" s="3">
        <f t="shared" si="90"/>
        <v>2034</v>
      </c>
      <c r="B3077" s="106">
        <f t="shared" si="91"/>
        <v>265</v>
      </c>
      <c r="C3077" s="107">
        <f ca="1">OFFSET(tab_tipo_Combustivel!$A$1,MATCH(B3077,tab_tipo_Combustivel!$A$2:$A$150,0),MATCH(A3077,tab_tipo_Combustivel!$B$1:$AQ$1,0),1,1)</f>
        <v>415.82</v>
      </c>
    </row>
    <row r="3078" spans="1:3">
      <c r="A3078" s="3">
        <f t="shared" si="90"/>
        <v>2034</v>
      </c>
      <c r="B3078" s="106">
        <f t="shared" si="91"/>
        <v>266</v>
      </c>
      <c r="C3078" s="107">
        <f ca="1">OFFSET(tab_tipo_Combustivel!$A$1,MATCH(B3078,tab_tipo_Combustivel!$A$2:$A$150,0),MATCH(A3078,tab_tipo_Combustivel!$B$1:$AQ$1,0),1,1)</f>
        <v>827.17</v>
      </c>
    </row>
    <row r="3079" spans="1:3">
      <c r="A3079" s="3">
        <f t="shared" si="90"/>
        <v>2034</v>
      </c>
      <c r="B3079" s="106">
        <f t="shared" si="91"/>
        <v>301</v>
      </c>
      <c r="C3079" s="107">
        <f ca="1">OFFSET(tab_tipo_Combustivel!$A$1,MATCH(B3079,tab_tipo_Combustivel!$A$2:$A$150,0),MATCH(A3079,tab_tipo_Combustivel!$B$1:$AQ$1,0),1,1)</f>
        <v>99.08</v>
      </c>
    </row>
    <row r="3080" spans="1:3">
      <c r="A3080" s="3">
        <f t="shared" si="90"/>
        <v>2034</v>
      </c>
      <c r="B3080" s="106">
        <f t="shared" si="91"/>
        <v>302</v>
      </c>
      <c r="C3080" s="107">
        <f ca="1">OFFSET(tab_tipo_Combustivel!$A$1,MATCH(B3080,tab_tipo_Combustivel!$A$2:$A$150,0),MATCH(A3080,tab_tipo_Combustivel!$B$1:$AQ$1,0),1,1)</f>
        <v>103.73</v>
      </c>
    </row>
    <row r="3081" spans="1:3">
      <c r="A3081" s="3">
        <f t="shared" si="90"/>
        <v>2034</v>
      </c>
      <c r="B3081" s="106">
        <f t="shared" si="91"/>
        <v>303</v>
      </c>
      <c r="C3081" s="107">
        <f ca="1">OFFSET(tab_tipo_Combustivel!$A$1,MATCH(B3081,tab_tipo_Combustivel!$A$2:$A$150,0),MATCH(A3081,tab_tipo_Combustivel!$B$1:$AQ$1,0),1,1)</f>
        <v>103.73</v>
      </c>
    </row>
    <row r="3082" spans="1:3">
      <c r="A3082" s="3">
        <f t="shared" ref="A3082:A3145" si="92">A2947+1</f>
        <v>2034</v>
      </c>
      <c r="B3082" s="106">
        <f t="shared" ref="B3082:B3145" si="93">B2947</f>
        <v>304</v>
      </c>
      <c r="C3082" s="107">
        <f ca="1">OFFSET(tab_tipo_Combustivel!$A$1,MATCH(B3082,tab_tipo_Combustivel!$A$2:$A$150,0),MATCH(A3082,tab_tipo_Combustivel!$B$1:$AQ$1,0),1,1)</f>
        <v>139.41999999999999</v>
      </c>
    </row>
    <row r="3083" spans="1:3">
      <c r="A3083" s="3">
        <f t="shared" si="92"/>
        <v>2034</v>
      </c>
      <c r="B3083" s="106">
        <f t="shared" si="93"/>
        <v>305</v>
      </c>
      <c r="C3083" s="107">
        <f ca="1">OFFSET(tab_tipo_Combustivel!$A$1,MATCH(B3083,tab_tipo_Combustivel!$A$2:$A$150,0),MATCH(A3083,tab_tipo_Combustivel!$B$1:$AQ$1,0),1,1)</f>
        <v>89.7</v>
      </c>
    </row>
    <row r="3084" spans="1:3">
      <c r="A3084" s="3">
        <f t="shared" si="92"/>
        <v>2034</v>
      </c>
      <c r="B3084" s="106">
        <f t="shared" si="93"/>
        <v>306</v>
      </c>
      <c r="C3084" s="107">
        <f ca="1">OFFSET(tab_tipo_Combustivel!$A$1,MATCH(B3084,tab_tipo_Combustivel!$A$2:$A$150,0),MATCH(A3084,tab_tipo_Combustivel!$B$1:$AQ$1,0),1,1)</f>
        <v>100.38</v>
      </c>
    </row>
    <row r="3085" spans="1:3">
      <c r="A3085" s="3">
        <f t="shared" si="92"/>
        <v>2034</v>
      </c>
      <c r="B3085" s="106">
        <f t="shared" si="93"/>
        <v>307</v>
      </c>
      <c r="C3085" s="107">
        <f ca="1">OFFSET(tab_tipo_Combustivel!$A$1,MATCH(B3085,tab_tipo_Combustivel!$A$2:$A$150,0),MATCH(A3085,tab_tipo_Combustivel!$B$1:$AQ$1,0),1,1)</f>
        <v>510.12</v>
      </c>
    </row>
    <row r="3086" spans="1:3">
      <c r="A3086" s="3">
        <f t="shared" si="92"/>
        <v>2034</v>
      </c>
      <c r="B3086" s="106">
        <f t="shared" si="93"/>
        <v>308</v>
      </c>
      <c r="C3086" s="107">
        <f ca="1">OFFSET(tab_tipo_Combustivel!$A$1,MATCH(B3086,tab_tipo_Combustivel!$A$2:$A$150,0),MATCH(A3086,tab_tipo_Combustivel!$B$1:$AQ$1,0),1,1)</f>
        <v>72.5</v>
      </c>
    </row>
    <row r="3087" spans="1:3">
      <c r="A3087" s="3">
        <f t="shared" si="92"/>
        <v>2034</v>
      </c>
      <c r="B3087" s="106">
        <f t="shared" si="93"/>
        <v>309</v>
      </c>
      <c r="C3087" s="107">
        <f ca="1">OFFSET(tab_tipo_Combustivel!$A$1,MATCH(B3087,tab_tipo_Combustivel!$A$2:$A$150,0),MATCH(A3087,tab_tipo_Combustivel!$B$1:$AQ$1,0),1,1)</f>
        <v>126.77</v>
      </c>
    </row>
    <row r="3088" spans="1:3">
      <c r="A3088" s="3">
        <f t="shared" si="92"/>
        <v>2034</v>
      </c>
      <c r="B3088" s="106">
        <f t="shared" si="93"/>
        <v>310</v>
      </c>
      <c r="C3088" s="107">
        <f ca="1">OFFSET(tab_tipo_Combustivel!$A$1,MATCH(B3088,tab_tipo_Combustivel!$A$2:$A$150,0),MATCH(A3088,tab_tipo_Combustivel!$B$1:$AQ$1,0),1,1)</f>
        <v>275.99</v>
      </c>
    </row>
    <row r="3089" spans="1:3">
      <c r="A3089" s="3">
        <f t="shared" si="92"/>
        <v>2034</v>
      </c>
      <c r="B3089" s="106">
        <f t="shared" si="93"/>
        <v>311</v>
      </c>
      <c r="C3089" s="107">
        <f ca="1">OFFSET(tab_tipo_Combustivel!$A$1,MATCH(B3089,tab_tipo_Combustivel!$A$2:$A$150,0),MATCH(A3089,tab_tipo_Combustivel!$B$1:$AQ$1,0),1,1)</f>
        <v>70.66</v>
      </c>
    </row>
    <row r="3090" spans="1:3">
      <c r="A3090" s="3">
        <f t="shared" si="92"/>
        <v>2034</v>
      </c>
      <c r="B3090" s="106">
        <f t="shared" si="93"/>
        <v>312</v>
      </c>
      <c r="C3090" s="107">
        <f ca="1">OFFSET(tab_tipo_Combustivel!$A$1,MATCH(B3090,tab_tipo_Combustivel!$A$2:$A$150,0),MATCH(A3090,tab_tipo_Combustivel!$B$1:$AQ$1,0),1,1)</f>
        <v>0</v>
      </c>
    </row>
    <row r="3091" spans="1:3">
      <c r="A3091" s="3">
        <f t="shared" si="92"/>
        <v>2034</v>
      </c>
      <c r="B3091" s="106">
        <f t="shared" si="93"/>
        <v>1301</v>
      </c>
      <c r="C3091" s="107">
        <f ca="1">OFFSET(tab_tipo_Combustivel!$A$1,MATCH(B3091,tab_tipo_Combustivel!$A$2:$A$150,0),MATCH(A3091,tab_tipo_Combustivel!$B$1:$AQ$1,0),1,1)</f>
        <v>242.05</v>
      </c>
    </row>
    <row r="3092" spans="1:3">
      <c r="A3092" s="3">
        <f t="shared" si="92"/>
        <v>2034</v>
      </c>
      <c r="B3092" s="106">
        <f t="shared" si="93"/>
        <v>1302</v>
      </c>
      <c r="C3092" s="107">
        <f ca="1">OFFSET(tab_tipo_Combustivel!$A$1,MATCH(B3092,tab_tipo_Combustivel!$A$2:$A$150,0),MATCH(A3092,tab_tipo_Combustivel!$B$1:$AQ$1,0),1,1)</f>
        <v>193.64</v>
      </c>
    </row>
    <row r="3093" spans="1:3">
      <c r="A3093" s="3">
        <f t="shared" si="92"/>
        <v>2034</v>
      </c>
      <c r="B3093" s="106">
        <f t="shared" si="93"/>
        <v>1303</v>
      </c>
      <c r="C3093" s="107">
        <f ca="1">OFFSET(tab_tipo_Combustivel!$A$1,MATCH(B3093,tab_tipo_Combustivel!$A$2:$A$150,0),MATCH(A3093,tab_tipo_Combustivel!$B$1:$AQ$1,0),1,1)</f>
        <v>25.58</v>
      </c>
    </row>
    <row r="3094" spans="1:3">
      <c r="A3094" s="3">
        <f t="shared" si="92"/>
        <v>2034</v>
      </c>
      <c r="B3094" s="106">
        <f t="shared" si="93"/>
        <v>1304</v>
      </c>
      <c r="C3094" s="107">
        <f ca="1">OFFSET(tab_tipo_Combustivel!$A$1,MATCH(B3094,tab_tipo_Combustivel!$A$2:$A$150,0),MATCH(A3094,tab_tipo_Combustivel!$B$1:$AQ$1,0),1,1)</f>
        <v>0</v>
      </c>
    </row>
    <row r="3095" spans="1:3">
      <c r="A3095" s="3">
        <f t="shared" si="92"/>
        <v>2034</v>
      </c>
      <c r="B3095" s="106">
        <f t="shared" si="93"/>
        <v>1315</v>
      </c>
      <c r="C3095" s="107">
        <f ca="1">OFFSET(tab_tipo_Combustivel!$A$1,MATCH(B3095,tab_tipo_Combustivel!$A$2:$A$150,0),MATCH(A3095,tab_tipo_Combustivel!$B$1:$AQ$1,0),1,1)</f>
        <v>0</v>
      </c>
    </row>
    <row r="3096" spans="1:3">
      <c r="A3096" s="3">
        <f t="shared" si="92"/>
        <v>2034</v>
      </c>
      <c r="B3096" s="106">
        <f t="shared" si="93"/>
        <v>1316</v>
      </c>
      <c r="C3096" s="107">
        <f ca="1">OFFSET(tab_tipo_Combustivel!$A$1,MATCH(B3096,tab_tipo_Combustivel!$A$2:$A$150,0),MATCH(A3096,tab_tipo_Combustivel!$B$1:$AQ$1,0),1,1)</f>
        <v>0</v>
      </c>
    </row>
    <row r="3097" spans="1:3">
      <c r="A3097" s="3">
        <f t="shared" si="92"/>
        <v>2034</v>
      </c>
      <c r="B3097" s="106">
        <f t="shared" si="93"/>
        <v>1318</v>
      </c>
      <c r="C3097" s="107">
        <f ca="1">OFFSET(tab_tipo_Combustivel!$A$1,MATCH(B3097,tab_tipo_Combustivel!$A$2:$A$150,0),MATCH(A3097,tab_tipo_Combustivel!$B$1:$AQ$1,0),1,1)</f>
        <v>150</v>
      </c>
    </row>
    <row r="3098" spans="1:3">
      <c r="A3098" s="3">
        <f t="shared" si="92"/>
        <v>2034</v>
      </c>
      <c r="B3098" s="106">
        <f t="shared" si="93"/>
        <v>1321</v>
      </c>
      <c r="C3098" s="107">
        <f ca="1">OFFSET(tab_tipo_Combustivel!$A$1,MATCH(B3098,tab_tipo_Combustivel!$A$2:$A$150,0),MATCH(A3098,tab_tipo_Combustivel!$B$1:$AQ$1,0),1,1)</f>
        <v>85</v>
      </c>
    </row>
    <row r="3099" spans="1:3">
      <c r="A3099" s="3">
        <f t="shared" si="92"/>
        <v>2034</v>
      </c>
      <c r="B3099" s="106">
        <f t="shared" si="93"/>
        <v>1322</v>
      </c>
      <c r="C3099" s="107">
        <f ca="1">OFFSET(tab_tipo_Combustivel!$A$1,MATCH(B3099,tab_tipo_Combustivel!$A$2:$A$150,0),MATCH(A3099,tab_tipo_Combustivel!$B$1:$AQ$1,0),1,1)</f>
        <v>140</v>
      </c>
    </row>
    <row r="3100" spans="1:3">
      <c r="A3100" s="3">
        <f t="shared" si="92"/>
        <v>2034</v>
      </c>
      <c r="B3100" s="106">
        <f t="shared" si="93"/>
        <v>1323</v>
      </c>
      <c r="C3100" s="107">
        <f ca="1">OFFSET(tab_tipo_Combustivel!$A$1,MATCH(B3100,tab_tipo_Combustivel!$A$2:$A$150,0),MATCH(A3100,tab_tipo_Combustivel!$B$1:$AQ$1,0),1,1)</f>
        <v>63.75</v>
      </c>
    </row>
    <row r="3101" spans="1:3">
      <c r="A3101" s="3">
        <f t="shared" si="92"/>
        <v>2034</v>
      </c>
      <c r="B3101" s="106">
        <f t="shared" si="93"/>
        <v>1325</v>
      </c>
      <c r="C3101" s="107">
        <f ca="1">OFFSET(tab_tipo_Combustivel!$A$1,MATCH(B3101,tab_tipo_Combustivel!$A$2:$A$150,0),MATCH(A3101,tab_tipo_Combustivel!$B$1:$AQ$1,0),1,1)</f>
        <v>0</v>
      </c>
    </row>
    <row r="3102" spans="1:3">
      <c r="A3102" s="3">
        <f t="shared" si="92"/>
        <v>2034</v>
      </c>
      <c r="B3102" s="106">
        <f t="shared" si="93"/>
        <v>1326</v>
      </c>
      <c r="C3102" s="107">
        <f ca="1">OFFSET(tab_tipo_Combustivel!$A$1,MATCH(B3102,tab_tipo_Combustivel!$A$2:$A$150,0),MATCH(A3102,tab_tipo_Combustivel!$B$1:$AQ$1,0),1,1)</f>
        <v>260</v>
      </c>
    </row>
    <row r="3103" spans="1:3">
      <c r="A3103" s="3">
        <f t="shared" si="92"/>
        <v>2034</v>
      </c>
      <c r="B3103" s="106">
        <f t="shared" si="93"/>
        <v>1501</v>
      </c>
      <c r="C3103" s="107">
        <f ca="1">OFFSET(tab_tipo_Combustivel!$A$1,MATCH(B3103,tab_tipo_Combustivel!$A$2:$A$150,0),MATCH(A3103,tab_tipo_Combustivel!$B$1:$AQ$1,0),1,1)</f>
        <v>260</v>
      </c>
    </row>
    <row r="3104" spans="1:3">
      <c r="A3104" s="3">
        <f t="shared" si="92"/>
        <v>2034</v>
      </c>
      <c r="B3104" s="106">
        <f t="shared" si="93"/>
        <v>1502</v>
      </c>
      <c r="C3104" s="107">
        <f ca="1">OFFSET(tab_tipo_Combustivel!$A$1,MATCH(B3104,tab_tipo_Combustivel!$A$2:$A$150,0),MATCH(A3104,tab_tipo_Combustivel!$B$1:$AQ$1,0),1,1)</f>
        <v>60</v>
      </c>
    </row>
    <row r="3105" spans="1:3">
      <c r="A3105" s="3">
        <f t="shared" si="92"/>
        <v>2034</v>
      </c>
      <c r="B3105" s="106">
        <f t="shared" si="93"/>
        <v>1503</v>
      </c>
      <c r="C3105" s="107">
        <f ca="1">OFFSET(tab_tipo_Combustivel!$A$1,MATCH(B3105,tab_tipo_Combustivel!$A$2:$A$150,0),MATCH(A3105,tab_tipo_Combustivel!$B$1:$AQ$1,0),1,1)</f>
        <v>96.82</v>
      </c>
    </row>
    <row r="3106" spans="1:3">
      <c r="A3106" s="3">
        <f t="shared" si="92"/>
        <v>2034</v>
      </c>
      <c r="B3106" s="106">
        <f t="shared" si="93"/>
        <v>1504</v>
      </c>
      <c r="C3106" s="107">
        <f ca="1">OFFSET(tab_tipo_Combustivel!$A$1,MATCH(B3106,tab_tipo_Combustivel!$A$2:$A$150,0),MATCH(A3106,tab_tipo_Combustivel!$B$1:$AQ$1,0),1,1)</f>
        <v>145.22999999999999</v>
      </c>
    </row>
    <row r="3107" spans="1:3">
      <c r="A3107" s="3">
        <f t="shared" si="92"/>
        <v>2035</v>
      </c>
      <c r="B3107" s="106">
        <f t="shared" si="93"/>
        <v>1</v>
      </c>
      <c r="C3107" s="107">
        <f ca="1">OFFSET(tab_tipo_Combustivel!$A$1,MATCH(B3107,tab_tipo_Combustivel!$A$2:$A$150,0),MATCH(A3107,tab_tipo_Combustivel!$B$1:$AQ$1,0),1,1)</f>
        <v>29.13</v>
      </c>
    </row>
    <row r="3108" spans="1:3">
      <c r="A3108" s="3">
        <f t="shared" si="92"/>
        <v>2035</v>
      </c>
      <c r="B3108" s="106">
        <f t="shared" si="93"/>
        <v>2</v>
      </c>
      <c r="C3108" s="107">
        <f ca="1">OFFSET(tab_tipo_Combustivel!$A$1,MATCH(B3108,tab_tipo_Combustivel!$A$2:$A$150,0),MATCH(A3108,tab_tipo_Combustivel!$B$1:$AQ$1,0),1,1)</f>
        <v>842.33</v>
      </c>
    </row>
    <row r="3109" spans="1:3">
      <c r="A3109" s="3">
        <f t="shared" si="92"/>
        <v>2035</v>
      </c>
      <c r="B3109" s="106">
        <f t="shared" si="93"/>
        <v>4</v>
      </c>
      <c r="C3109" s="107">
        <f ca="1">OFFSET(tab_tipo_Combustivel!$A$1,MATCH(B3109,tab_tipo_Combustivel!$A$2:$A$150,0),MATCH(A3109,tab_tipo_Combustivel!$B$1:$AQ$1,0),1,1)</f>
        <v>842.33</v>
      </c>
    </row>
    <row r="3110" spans="1:3">
      <c r="A3110" s="3">
        <f t="shared" si="92"/>
        <v>2035</v>
      </c>
      <c r="B3110" s="106">
        <f t="shared" si="93"/>
        <v>9</v>
      </c>
      <c r="C3110" s="107">
        <f ca="1">OFFSET(tab_tipo_Combustivel!$A$1,MATCH(B3110,tab_tipo_Combustivel!$A$2:$A$150,0),MATCH(A3110,tab_tipo_Combustivel!$B$1:$AQ$1,0),1,1)</f>
        <v>842.33</v>
      </c>
    </row>
    <row r="3111" spans="1:3">
      <c r="A3111" s="3">
        <f t="shared" si="92"/>
        <v>2035</v>
      </c>
      <c r="B3111" s="106">
        <f t="shared" si="93"/>
        <v>12</v>
      </c>
      <c r="C3111" s="107">
        <f ca="1">OFFSET(tab_tipo_Combustivel!$A$1,MATCH(B3111,tab_tipo_Combustivel!$A$2:$A$150,0),MATCH(A3111,tab_tipo_Combustivel!$B$1:$AQ$1,0),1,1)</f>
        <v>728.87</v>
      </c>
    </row>
    <row r="3112" spans="1:3">
      <c r="A3112" s="3">
        <f t="shared" si="92"/>
        <v>2035</v>
      </c>
      <c r="B3112" s="106">
        <f t="shared" si="93"/>
        <v>13</v>
      </c>
      <c r="C3112" s="107">
        <f ca="1">OFFSET(tab_tipo_Combustivel!$A$1,MATCH(B3112,tab_tipo_Combustivel!$A$2:$A$150,0),MATCH(A3112,tab_tipo_Combustivel!$B$1:$AQ$1,0),1,1)</f>
        <v>20.12</v>
      </c>
    </row>
    <row r="3113" spans="1:3">
      <c r="A3113" s="3">
        <f t="shared" si="92"/>
        <v>2035</v>
      </c>
      <c r="B3113" s="106">
        <f t="shared" si="93"/>
        <v>15</v>
      </c>
      <c r="C3113" s="107">
        <f ca="1">OFFSET(tab_tipo_Combustivel!$A$1,MATCH(B3113,tab_tipo_Combustivel!$A$2:$A$150,0),MATCH(A3113,tab_tipo_Combustivel!$B$1:$AQ$1,0),1,1)</f>
        <v>257.29000000000002</v>
      </c>
    </row>
    <row r="3114" spans="1:3">
      <c r="A3114" s="3">
        <f t="shared" si="92"/>
        <v>2035</v>
      </c>
      <c r="B3114" s="106">
        <f t="shared" si="93"/>
        <v>21</v>
      </c>
      <c r="C3114" s="107">
        <f ca="1">OFFSET(tab_tipo_Combustivel!$A$1,MATCH(B3114,tab_tipo_Combustivel!$A$2:$A$150,0),MATCH(A3114,tab_tipo_Combustivel!$B$1:$AQ$1,0),1,1)</f>
        <v>157.83000000000001</v>
      </c>
    </row>
    <row r="3115" spans="1:3">
      <c r="A3115" s="3">
        <f t="shared" si="92"/>
        <v>2035</v>
      </c>
      <c r="B3115" s="106">
        <f t="shared" si="93"/>
        <v>22</v>
      </c>
      <c r="C3115" s="107">
        <f ca="1">OFFSET(tab_tipo_Combustivel!$A$1,MATCH(B3115,tab_tipo_Combustivel!$A$2:$A$150,0),MATCH(A3115,tab_tipo_Combustivel!$B$1:$AQ$1,0),1,1)</f>
        <v>115.9</v>
      </c>
    </row>
    <row r="3116" spans="1:3">
      <c r="A3116" s="3">
        <f t="shared" si="92"/>
        <v>2035</v>
      </c>
      <c r="B3116" s="106">
        <f t="shared" si="93"/>
        <v>23</v>
      </c>
      <c r="C3116" s="107">
        <f ca="1">OFFSET(tab_tipo_Combustivel!$A$1,MATCH(B3116,tab_tipo_Combustivel!$A$2:$A$150,0),MATCH(A3116,tab_tipo_Combustivel!$B$1:$AQ$1,0),1,1)</f>
        <v>115.9</v>
      </c>
    </row>
    <row r="3117" spans="1:3">
      <c r="A3117" s="3">
        <f t="shared" si="92"/>
        <v>2035</v>
      </c>
      <c r="B3117" s="106">
        <f t="shared" si="93"/>
        <v>24</v>
      </c>
      <c r="C3117" s="107">
        <f ca="1">OFFSET(tab_tipo_Combustivel!$A$1,MATCH(B3117,tab_tipo_Combustivel!$A$2:$A$150,0),MATCH(A3117,tab_tipo_Combustivel!$B$1:$AQ$1,0),1,1)</f>
        <v>155.85</v>
      </c>
    </row>
    <row r="3118" spans="1:3">
      <c r="A3118" s="3">
        <f t="shared" si="92"/>
        <v>2035</v>
      </c>
      <c r="B3118" s="106">
        <f t="shared" si="93"/>
        <v>25</v>
      </c>
      <c r="C3118" s="107">
        <f ca="1">OFFSET(tab_tipo_Combustivel!$A$1,MATCH(B3118,tab_tipo_Combustivel!$A$2:$A$150,0),MATCH(A3118,tab_tipo_Combustivel!$B$1:$AQ$1,0),1,1)</f>
        <v>186.33</v>
      </c>
    </row>
    <row r="3119" spans="1:3">
      <c r="A3119" s="3">
        <f t="shared" si="92"/>
        <v>2035</v>
      </c>
      <c r="B3119" s="106">
        <f t="shared" si="93"/>
        <v>26</v>
      </c>
      <c r="C3119" s="107">
        <f ca="1">OFFSET(tab_tipo_Combustivel!$A$1,MATCH(B3119,tab_tipo_Combustivel!$A$2:$A$150,0),MATCH(A3119,tab_tipo_Combustivel!$B$1:$AQ$1,0),1,1)</f>
        <v>258.42</v>
      </c>
    </row>
    <row r="3120" spans="1:3">
      <c r="A3120" s="3">
        <f t="shared" si="92"/>
        <v>2035</v>
      </c>
      <c r="B3120" s="106">
        <f t="shared" si="93"/>
        <v>27</v>
      </c>
      <c r="C3120" s="107">
        <f ca="1">OFFSET(tab_tipo_Combustivel!$A$1,MATCH(B3120,tab_tipo_Combustivel!$A$2:$A$150,0),MATCH(A3120,tab_tipo_Combustivel!$B$1:$AQ$1,0),1,1)</f>
        <v>195.49</v>
      </c>
    </row>
    <row r="3121" spans="1:3">
      <c r="A3121" s="3">
        <f t="shared" si="92"/>
        <v>2035</v>
      </c>
      <c r="B3121" s="106">
        <f t="shared" si="93"/>
        <v>28</v>
      </c>
      <c r="C3121" s="107">
        <f ca="1">OFFSET(tab_tipo_Combustivel!$A$1,MATCH(B3121,tab_tipo_Combustivel!$A$2:$A$150,0),MATCH(A3121,tab_tipo_Combustivel!$B$1:$AQ$1,0),1,1)</f>
        <v>459.92</v>
      </c>
    </row>
    <row r="3122" spans="1:3">
      <c r="A3122" s="3">
        <f t="shared" si="92"/>
        <v>2035</v>
      </c>
      <c r="B3122" s="106">
        <f t="shared" si="93"/>
        <v>32</v>
      </c>
      <c r="C3122" s="107">
        <f ca="1">OFFSET(tab_tipo_Combustivel!$A$1,MATCH(B3122,tab_tipo_Combustivel!$A$2:$A$150,0),MATCH(A3122,tab_tipo_Combustivel!$B$1:$AQ$1,0),1,1)</f>
        <v>248.31</v>
      </c>
    </row>
    <row r="3123" spans="1:3">
      <c r="A3123" s="3">
        <f t="shared" si="92"/>
        <v>2035</v>
      </c>
      <c r="B3123" s="106">
        <f t="shared" si="93"/>
        <v>34</v>
      </c>
      <c r="C3123" s="107">
        <f ca="1">OFFSET(tab_tipo_Combustivel!$A$1,MATCH(B3123,tab_tipo_Combustivel!$A$2:$A$150,0),MATCH(A3123,tab_tipo_Combustivel!$B$1:$AQ$1,0),1,1)</f>
        <v>423.38</v>
      </c>
    </row>
    <row r="3124" spans="1:3">
      <c r="A3124" s="3">
        <f t="shared" si="92"/>
        <v>2035</v>
      </c>
      <c r="B3124" s="106">
        <f t="shared" si="93"/>
        <v>35</v>
      </c>
      <c r="C3124" s="107">
        <f ca="1">OFFSET(tab_tipo_Combustivel!$A$1,MATCH(B3124,tab_tipo_Combustivel!$A$2:$A$150,0),MATCH(A3124,tab_tipo_Combustivel!$B$1:$AQ$1,0),1,1)</f>
        <v>692.45</v>
      </c>
    </row>
    <row r="3125" spans="1:3">
      <c r="A3125" s="3">
        <f t="shared" si="92"/>
        <v>2035</v>
      </c>
      <c r="B3125" s="106">
        <f t="shared" si="93"/>
        <v>36</v>
      </c>
      <c r="C3125" s="107">
        <f ca="1">OFFSET(tab_tipo_Combustivel!$A$1,MATCH(B3125,tab_tipo_Combustivel!$A$2:$A$150,0),MATCH(A3125,tab_tipo_Combustivel!$B$1:$AQ$1,0),1,1)</f>
        <v>157.83000000000001</v>
      </c>
    </row>
    <row r="3126" spans="1:3">
      <c r="A3126" s="3">
        <f t="shared" si="92"/>
        <v>2035</v>
      </c>
      <c r="B3126" s="106">
        <f t="shared" si="93"/>
        <v>42</v>
      </c>
      <c r="C3126" s="107">
        <f ca="1">OFFSET(tab_tipo_Combustivel!$A$1,MATCH(B3126,tab_tipo_Combustivel!$A$2:$A$150,0),MATCH(A3126,tab_tipo_Combustivel!$B$1:$AQ$1,0),1,1)</f>
        <v>199.22</v>
      </c>
    </row>
    <row r="3127" spans="1:3">
      <c r="A3127" s="3">
        <f t="shared" si="92"/>
        <v>2035</v>
      </c>
      <c r="B3127" s="106">
        <f t="shared" si="93"/>
        <v>43</v>
      </c>
      <c r="C3127" s="107">
        <f ca="1">OFFSET(tab_tipo_Combustivel!$A$1,MATCH(B3127,tab_tipo_Combustivel!$A$2:$A$150,0),MATCH(A3127,tab_tipo_Combustivel!$B$1:$AQ$1,0),1,1)</f>
        <v>431.62</v>
      </c>
    </row>
    <row r="3128" spans="1:3">
      <c r="A3128" s="3">
        <f t="shared" si="92"/>
        <v>2035</v>
      </c>
      <c r="B3128" s="106">
        <f t="shared" si="93"/>
        <v>44</v>
      </c>
      <c r="C3128" s="107">
        <f ca="1">OFFSET(tab_tipo_Combustivel!$A$1,MATCH(B3128,tab_tipo_Combustivel!$A$2:$A$150,0),MATCH(A3128,tab_tipo_Combustivel!$B$1:$AQ$1,0),1,1)</f>
        <v>25.58</v>
      </c>
    </row>
    <row r="3129" spans="1:3">
      <c r="A3129" s="3">
        <f t="shared" si="92"/>
        <v>2035</v>
      </c>
      <c r="B3129" s="106">
        <f t="shared" si="93"/>
        <v>46</v>
      </c>
      <c r="C3129" s="107">
        <f ca="1">OFFSET(tab_tipo_Combustivel!$A$1,MATCH(B3129,tab_tipo_Combustivel!$A$2:$A$150,0),MATCH(A3129,tab_tipo_Combustivel!$B$1:$AQ$1,0),1,1)</f>
        <v>228.91</v>
      </c>
    </row>
    <row r="3130" spans="1:3">
      <c r="A3130" s="3">
        <f t="shared" si="92"/>
        <v>2035</v>
      </c>
      <c r="B3130" s="106">
        <f t="shared" si="93"/>
        <v>47</v>
      </c>
      <c r="C3130" s="107">
        <f ca="1">OFFSET(tab_tipo_Combustivel!$A$1,MATCH(B3130,tab_tipo_Combustivel!$A$2:$A$150,0),MATCH(A3130,tab_tipo_Combustivel!$B$1:$AQ$1,0),1,1)</f>
        <v>235.6</v>
      </c>
    </row>
    <row r="3131" spans="1:3">
      <c r="A3131" s="3">
        <f t="shared" si="92"/>
        <v>2035</v>
      </c>
      <c r="B3131" s="106">
        <f t="shared" si="93"/>
        <v>48</v>
      </c>
      <c r="C3131" s="107">
        <f ca="1">OFFSET(tab_tipo_Combustivel!$A$1,MATCH(B3131,tab_tipo_Combustivel!$A$2:$A$150,0),MATCH(A3131,tab_tipo_Combustivel!$B$1:$AQ$1,0),1,1)</f>
        <v>1012.12</v>
      </c>
    </row>
    <row r="3132" spans="1:3">
      <c r="A3132" s="3">
        <f t="shared" si="92"/>
        <v>2035</v>
      </c>
      <c r="B3132" s="106">
        <f t="shared" si="93"/>
        <v>50</v>
      </c>
      <c r="C3132" s="107">
        <f ca="1">OFFSET(tab_tipo_Combustivel!$A$1,MATCH(B3132,tab_tipo_Combustivel!$A$2:$A$150,0),MATCH(A3132,tab_tipo_Combustivel!$B$1:$AQ$1,0),1,1)</f>
        <v>669.87</v>
      </c>
    </row>
    <row r="3133" spans="1:3">
      <c r="A3133" s="3">
        <f t="shared" si="92"/>
        <v>2035</v>
      </c>
      <c r="B3133" s="106">
        <f t="shared" si="93"/>
        <v>54</v>
      </c>
      <c r="C3133" s="107">
        <f ca="1">OFFSET(tab_tipo_Combustivel!$A$1,MATCH(B3133,tab_tipo_Combustivel!$A$2:$A$150,0),MATCH(A3133,tab_tipo_Combustivel!$B$1:$AQ$1,0),1,1)</f>
        <v>304.55</v>
      </c>
    </row>
    <row r="3134" spans="1:3">
      <c r="A3134" s="3">
        <f t="shared" si="92"/>
        <v>2035</v>
      </c>
      <c r="B3134" s="106">
        <f t="shared" si="93"/>
        <v>58</v>
      </c>
      <c r="C3134" s="107">
        <f ca="1">OFFSET(tab_tipo_Combustivel!$A$1,MATCH(B3134,tab_tipo_Combustivel!$A$2:$A$150,0),MATCH(A3134,tab_tipo_Combustivel!$B$1:$AQ$1,0),1,1)</f>
        <v>300.05</v>
      </c>
    </row>
    <row r="3135" spans="1:3">
      <c r="A3135" s="3">
        <f t="shared" si="92"/>
        <v>2035</v>
      </c>
      <c r="B3135" s="106">
        <f t="shared" si="93"/>
        <v>62</v>
      </c>
      <c r="C3135" s="107">
        <f ca="1">OFFSET(tab_tipo_Combustivel!$A$1,MATCH(B3135,tab_tipo_Combustivel!$A$2:$A$150,0),MATCH(A3135,tab_tipo_Combustivel!$B$1:$AQ$1,0),1,1)</f>
        <v>309.24</v>
      </c>
    </row>
    <row r="3136" spans="1:3">
      <c r="A3136" s="3">
        <f t="shared" si="92"/>
        <v>2035</v>
      </c>
      <c r="B3136" s="106">
        <f t="shared" si="93"/>
        <v>63</v>
      </c>
      <c r="C3136" s="107">
        <f ca="1">OFFSET(tab_tipo_Combustivel!$A$1,MATCH(B3136,tab_tipo_Combustivel!$A$2:$A$150,0),MATCH(A3136,tab_tipo_Combustivel!$B$1:$AQ$1,0),1,1)</f>
        <v>365.77</v>
      </c>
    </row>
    <row r="3137" spans="1:3">
      <c r="A3137" s="3">
        <f t="shared" si="92"/>
        <v>2035</v>
      </c>
      <c r="B3137" s="106">
        <f t="shared" si="93"/>
        <v>64</v>
      </c>
      <c r="C3137" s="107">
        <f ca="1">OFFSET(tab_tipo_Combustivel!$A$1,MATCH(B3137,tab_tipo_Combustivel!$A$2:$A$150,0),MATCH(A3137,tab_tipo_Combustivel!$B$1:$AQ$1,0),1,1)</f>
        <v>853.54</v>
      </c>
    </row>
    <row r="3138" spans="1:3">
      <c r="A3138" s="3">
        <f t="shared" si="92"/>
        <v>2035</v>
      </c>
      <c r="B3138" s="106">
        <f t="shared" si="93"/>
        <v>68</v>
      </c>
      <c r="C3138" s="107">
        <f ca="1">OFFSET(tab_tipo_Combustivel!$A$1,MATCH(B3138,tab_tipo_Combustivel!$A$2:$A$150,0),MATCH(A3138,tab_tipo_Combustivel!$B$1:$AQ$1,0),1,1)</f>
        <v>195.63</v>
      </c>
    </row>
    <row r="3139" spans="1:3">
      <c r="A3139" s="3">
        <f t="shared" si="92"/>
        <v>2035</v>
      </c>
      <c r="B3139" s="106">
        <f t="shared" si="93"/>
        <v>74</v>
      </c>
      <c r="C3139" s="107">
        <f ca="1">OFFSET(tab_tipo_Combustivel!$A$1,MATCH(B3139,tab_tipo_Combustivel!$A$2:$A$150,0),MATCH(A3139,tab_tipo_Combustivel!$B$1:$AQ$1,0),1,1)</f>
        <v>364.46</v>
      </c>
    </row>
    <row r="3140" spans="1:3">
      <c r="A3140" s="3">
        <f t="shared" si="92"/>
        <v>2035</v>
      </c>
      <c r="B3140" s="106">
        <f t="shared" si="93"/>
        <v>83</v>
      </c>
      <c r="C3140" s="107">
        <f ca="1">OFFSET(tab_tipo_Combustivel!$A$1,MATCH(B3140,tab_tipo_Combustivel!$A$2:$A$150,0),MATCH(A3140,tab_tipo_Combustivel!$B$1:$AQ$1,0),1,1)</f>
        <v>448.1</v>
      </c>
    </row>
    <row r="3141" spans="1:3">
      <c r="A3141" s="3">
        <f t="shared" si="92"/>
        <v>2035</v>
      </c>
      <c r="B3141" s="106">
        <f t="shared" si="93"/>
        <v>86</v>
      </c>
      <c r="C3141" s="107">
        <f ca="1">OFFSET(tab_tipo_Combustivel!$A$1,MATCH(B3141,tab_tipo_Combustivel!$A$2:$A$150,0),MATCH(A3141,tab_tipo_Combustivel!$B$1:$AQ$1,0),1,1)</f>
        <v>170.34</v>
      </c>
    </row>
    <row r="3142" spans="1:3">
      <c r="A3142" s="3">
        <f t="shared" si="92"/>
        <v>2035</v>
      </c>
      <c r="B3142" s="106">
        <f t="shared" si="93"/>
        <v>90</v>
      </c>
      <c r="C3142" s="107">
        <f ca="1">OFFSET(tab_tipo_Combustivel!$A$1,MATCH(B3142,tab_tipo_Combustivel!$A$2:$A$150,0),MATCH(A3142,tab_tipo_Combustivel!$B$1:$AQ$1,0),1,1)</f>
        <v>533.1</v>
      </c>
    </row>
    <row r="3143" spans="1:3">
      <c r="A3143" s="3">
        <f t="shared" si="92"/>
        <v>2035</v>
      </c>
      <c r="B3143" s="106">
        <f t="shared" si="93"/>
        <v>93</v>
      </c>
      <c r="C3143" s="107">
        <f ca="1">OFFSET(tab_tipo_Combustivel!$A$1,MATCH(B3143,tab_tipo_Combustivel!$A$2:$A$150,0),MATCH(A3143,tab_tipo_Combustivel!$B$1:$AQ$1,0),1,1)</f>
        <v>842.33</v>
      </c>
    </row>
    <row r="3144" spans="1:3">
      <c r="A3144" s="3">
        <f t="shared" si="92"/>
        <v>2035</v>
      </c>
      <c r="B3144" s="106">
        <f t="shared" si="93"/>
        <v>94</v>
      </c>
      <c r="C3144" s="107">
        <f ca="1">OFFSET(tab_tipo_Combustivel!$A$1,MATCH(B3144,tab_tipo_Combustivel!$A$2:$A$150,0),MATCH(A3144,tab_tipo_Combustivel!$B$1:$AQ$1,0),1,1)</f>
        <v>842.33</v>
      </c>
    </row>
    <row r="3145" spans="1:3">
      <c r="A3145" s="3">
        <f t="shared" si="92"/>
        <v>2035</v>
      </c>
      <c r="B3145" s="106">
        <f t="shared" si="93"/>
        <v>96</v>
      </c>
      <c r="C3145" s="107">
        <f ca="1">OFFSET(tab_tipo_Combustivel!$A$1,MATCH(B3145,tab_tipo_Combustivel!$A$2:$A$150,0),MATCH(A3145,tab_tipo_Combustivel!$B$1:$AQ$1,0),1,1)</f>
        <v>99.92</v>
      </c>
    </row>
    <row r="3146" spans="1:3">
      <c r="A3146" s="3">
        <f t="shared" ref="A3146:A3209" si="94">A3011+1</f>
        <v>2035</v>
      </c>
      <c r="B3146" s="106">
        <f t="shared" ref="B3146:B3209" si="95">B3011</f>
        <v>98</v>
      </c>
      <c r="C3146" s="107">
        <f ca="1">OFFSET(tab_tipo_Combustivel!$A$1,MATCH(B3146,tab_tipo_Combustivel!$A$2:$A$150,0),MATCH(A3146,tab_tipo_Combustivel!$B$1:$AQ$1,0),1,1)</f>
        <v>489.8</v>
      </c>
    </row>
    <row r="3147" spans="1:3">
      <c r="A3147" s="3">
        <f t="shared" si="94"/>
        <v>2035</v>
      </c>
      <c r="B3147" s="106">
        <f t="shared" si="95"/>
        <v>107</v>
      </c>
      <c r="C3147" s="107">
        <f ca="1">OFFSET(tab_tipo_Combustivel!$A$1,MATCH(B3147,tab_tipo_Combustivel!$A$2:$A$150,0),MATCH(A3147,tab_tipo_Combustivel!$B$1:$AQ$1,0),1,1)</f>
        <v>57.63</v>
      </c>
    </row>
    <row r="3148" spans="1:3">
      <c r="A3148" s="3">
        <f t="shared" si="94"/>
        <v>2035</v>
      </c>
      <c r="B3148" s="106">
        <f t="shared" si="95"/>
        <v>110</v>
      </c>
      <c r="C3148" s="107">
        <f ca="1">OFFSET(tab_tipo_Combustivel!$A$1,MATCH(B3148,tab_tipo_Combustivel!$A$2:$A$150,0),MATCH(A3148,tab_tipo_Combustivel!$B$1:$AQ$1,0),1,1)</f>
        <v>568.29</v>
      </c>
    </row>
    <row r="3149" spans="1:3">
      <c r="A3149" s="3">
        <f t="shared" si="94"/>
        <v>2035</v>
      </c>
      <c r="B3149" s="106">
        <f t="shared" si="95"/>
        <v>116</v>
      </c>
      <c r="C3149" s="107">
        <f ca="1">OFFSET(tab_tipo_Combustivel!$A$1,MATCH(B3149,tab_tipo_Combustivel!$A$2:$A$150,0),MATCH(A3149,tab_tipo_Combustivel!$B$1:$AQ$1,0),1,1)</f>
        <v>117.46</v>
      </c>
    </row>
    <row r="3150" spans="1:3">
      <c r="A3150" s="3">
        <f t="shared" si="94"/>
        <v>2035</v>
      </c>
      <c r="B3150" s="106">
        <f t="shared" si="95"/>
        <v>140</v>
      </c>
      <c r="C3150" s="107">
        <f ca="1">OFFSET(tab_tipo_Combustivel!$A$1,MATCH(B3150,tab_tipo_Combustivel!$A$2:$A$150,0),MATCH(A3150,tab_tipo_Combustivel!$B$1:$AQ$1,0),1,1)</f>
        <v>88.11</v>
      </c>
    </row>
    <row r="3151" spans="1:3">
      <c r="A3151" s="3">
        <f t="shared" si="94"/>
        <v>2035</v>
      </c>
      <c r="B3151" s="106">
        <f t="shared" si="95"/>
        <v>141</v>
      </c>
      <c r="C3151" s="107">
        <f ca="1">OFFSET(tab_tipo_Combustivel!$A$1,MATCH(B3151,tab_tipo_Combustivel!$A$2:$A$150,0),MATCH(A3151,tab_tipo_Combustivel!$B$1:$AQ$1,0),1,1)</f>
        <v>1280.52</v>
      </c>
    </row>
    <row r="3152" spans="1:3">
      <c r="A3152" s="3">
        <f t="shared" si="94"/>
        <v>2035</v>
      </c>
      <c r="B3152" s="106">
        <f t="shared" si="95"/>
        <v>147</v>
      </c>
      <c r="C3152" s="107">
        <f ca="1">OFFSET(tab_tipo_Combustivel!$A$1,MATCH(B3152,tab_tipo_Combustivel!$A$2:$A$150,0),MATCH(A3152,tab_tipo_Combustivel!$B$1:$AQ$1,0),1,1)</f>
        <v>134.18</v>
      </c>
    </row>
    <row r="3153" spans="1:3">
      <c r="A3153" s="3">
        <f t="shared" si="94"/>
        <v>2035</v>
      </c>
      <c r="B3153" s="106">
        <f t="shared" si="95"/>
        <v>156</v>
      </c>
      <c r="C3153" s="107">
        <f ca="1">OFFSET(tab_tipo_Combustivel!$A$1,MATCH(B3153,tab_tipo_Combustivel!$A$2:$A$150,0),MATCH(A3153,tab_tipo_Combustivel!$B$1:$AQ$1,0),1,1)</f>
        <v>77.12</v>
      </c>
    </row>
    <row r="3154" spans="1:3">
      <c r="A3154" s="3">
        <f t="shared" si="94"/>
        <v>2035</v>
      </c>
      <c r="B3154" s="106">
        <f t="shared" si="95"/>
        <v>163</v>
      </c>
      <c r="C3154" s="107">
        <f ca="1">OFFSET(tab_tipo_Combustivel!$A$1,MATCH(B3154,tab_tipo_Combustivel!$A$2:$A$150,0),MATCH(A3154,tab_tipo_Combustivel!$B$1:$AQ$1,0),1,1)</f>
        <v>156.69999999999999</v>
      </c>
    </row>
    <row r="3155" spans="1:3">
      <c r="A3155" s="3">
        <f t="shared" si="94"/>
        <v>2035</v>
      </c>
      <c r="B3155" s="106">
        <f t="shared" si="95"/>
        <v>167</v>
      </c>
      <c r="C3155" s="107">
        <f ca="1">OFFSET(tab_tipo_Combustivel!$A$1,MATCH(B3155,tab_tipo_Combustivel!$A$2:$A$150,0),MATCH(A3155,tab_tipo_Combustivel!$B$1:$AQ$1,0),1,1)</f>
        <v>144.66999999999999</v>
      </c>
    </row>
    <row r="3156" spans="1:3">
      <c r="A3156" s="3">
        <f t="shared" si="94"/>
        <v>2035</v>
      </c>
      <c r="B3156" s="106">
        <f t="shared" si="95"/>
        <v>171</v>
      </c>
      <c r="C3156" s="107">
        <f ca="1">OFFSET(tab_tipo_Combustivel!$A$1,MATCH(B3156,tab_tipo_Combustivel!$A$2:$A$150,0),MATCH(A3156,tab_tipo_Combustivel!$B$1:$AQ$1,0),1,1)</f>
        <v>88</v>
      </c>
    </row>
    <row r="3157" spans="1:3">
      <c r="A3157" s="3">
        <f t="shared" si="94"/>
        <v>2035</v>
      </c>
      <c r="B3157" s="106">
        <f t="shared" si="95"/>
        <v>172</v>
      </c>
      <c r="C3157" s="107">
        <f ca="1">OFFSET(tab_tipo_Combustivel!$A$1,MATCH(B3157,tab_tipo_Combustivel!$A$2:$A$150,0),MATCH(A3157,tab_tipo_Combustivel!$B$1:$AQ$1,0),1,1)</f>
        <v>99.97</v>
      </c>
    </row>
    <row r="3158" spans="1:3">
      <c r="A3158" s="3">
        <f t="shared" si="94"/>
        <v>2035</v>
      </c>
      <c r="B3158" s="106">
        <f t="shared" si="95"/>
        <v>173</v>
      </c>
      <c r="C3158" s="107">
        <f ca="1">OFFSET(tab_tipo_Combustivel!$A$1,MATCH(B3158,tab_tipo_Combustivel!$A$2:$A$150,0),MATCH(A3158,tab_tipo_Combustivel!$B$1:$AQ$1,0),1,1)</f>
        <v>192.03</v>
      </c>
    </row>
    <row r="3159" spans="1:3">
      <c r="A3159" s="3">
        <f t="shared" si="94"/>
        <v>2035</v>
      </c>
      <c r="B3159" s="106">
        <f t="shared" si="95"/>
        <v>174</v>
      </c>
      <c r="C3159" s="107">
        <f ca="1">OFFSET(tab_tipo_Combustivel!$A$1,MATCH(B3159,tab_tipo_Combustivel!$A$2:$A$150,0),MATCH(A3159,tab_tipo_Combustivel!$B$1:$AQ$1,0),1,1)</f>
        <v>331.22</v>
      </c>
    </row>
    <row r="3160" spans="1:3">
      <c r="A3160" s="3">
        <f t="shared" si="94"/>
        <v>2035</v>
      </c>
      <c r="B3160" s="106">
        <f t="shared" si="95"/>
        <v>176</v>
      </c>
      <c r="C3160" s="107">
        <f ca="1">OFFSET(tab_tipo_Combustivel!$A$1,MATCH(B3160,tab_tipo_Combustivel!$A$2:$A$150,0),MATCH(A3160,tab_tipo_Combustivel!$B$1:$AQ$1,0),1,1)</f>
        <v>149.47999999999999</v>
      </c>
    </row>
    <row r="3161" spans="1:3">
      <c r="A3161" s="3">
        <f t="shared" si="94"/>
        <v>2035</v>
      </c>
      <c r="B3161" s="106">
        <f t="shared" si="95"/>
        <v>183</v>
      </c>
      <c r="C3161" s="107">
        <f ca="1">OFFSET(tab_tipo_Combustivel!$A$1,MATCH(B3161,tab_tipo_Combustivel!$A$2:$A$150,0),MATCH(A3161,tab_tipo_Combustivel!$B$1:$AQ$1,0),1,1)</f>
        <v>171.61</v>
      </c>
    </row>
    <row r="3162" spans="1:3">
      <c r="A3162" s="3">
        <f t="shared" si="94"/>
        <v>2035</v>
      </c>
      <c r="B3162" s="106">
        <f t="shared" si="95"/>
        <v>194</v>
      </c>
      <c r="C3162" s="107">
        <f ca="1">OFFSET(tab_tipo_Combustivel!$A$1,MATCH(B3162,tab_tipo_Combustivel!$A$2:$A$150,0),MATCH(A3162,tab_tipo_Combustivel!$B$1:$AQ$1,0),1,1)</f>
        <v>1098.58</v>
      </c>
    </row>
    <row r="3163" spans="1:3">
      <c r="A3163" s="3">
        <f t="shared" si="94"/>
        <v>2035</v>
      </c>
      <c r="B3163" s="106">
        <f t="shared" si="95"/>
        <v>203</v>
      </c>
      <c r="C3163" s="107">
        <f ca="1">OFFSET(tab_tipo_Combustivel!$A$1,MATCH(B3163,tab_tipo_Combustivel!$A$2:$A$150,0),MATCH(A3163,tab_tipo_Combustivel!$B$1:$AQ$1,0),1,1)</f>
        <v>0</v>
      </c>
    </row>
    <row r="3164" spans="1:3">
      <c r="A3164" s="3">
        <f t="shared" si="94"/>
        <v>2035</v>
      </c>
      <c r="B3164" s="106">
        <f t="shared" si="95"/>
        <v>204</v>
      </c>
      <c r="C3164" s="107">
        <f ca="1">OFFSET(tab_tipo_Combustivel!$A$1,MATCH(B3164,tab_tipo_Combustivel!$A$2:$A$150,0),MATCH(A3164,tab_tipo_Combustivel!$B$1:$AQ$1,0),1,1)</f>
        <v>0</v>
      </c>
    </row>
    <row r="3165" spans="1:3">
      <c r="A3165" s="3">
        <f t="shared" si="94"/>
        <v>2035</v>
      </c>
      <c r="B3165" s="106">
        <f t="shared" si="95"/>
        <v>205</v>
      </c>
      <c r="C3165" s="107">
        <f ca="1">OFFSET(tab_tipo_Combustivel!$A$1,MATCH(B3165,tab_tipo_Combustivel!$A$2:$A$150,0),MATCH(A3165,tab_tipo_Combustivel!$B$1:$AQ$1,0),1,1)</f>
        <v>0</v>
      </c>
    </row>
    <row r="3166" spans="1:3">
      <c r="A3166" s="3">
        <f t="shared" si="94"/>
        <v>2035</v>
      </c>
      <c r="B3166" s="106">
        <f t="shared" si="95"/>
        <v>207</v>
      </c>
      <c r="C3166" s="107">
        <f ca="1">OFFSET(tab_tipo_Combustivel!$A$1,MATCH(B3166,tab_tipo_Combustivel!$A$2:$A$150,0),MATCH(A3166,tab_tipo_Combustivel!$B$1:$AQ$1,0),1,1)</f>
        <v>0</v>
      </c>
    </row>
    <row r="3167" spans="1:3">
      <c r="A3167" s="3">
        <f t="shared" si="94"/>
        <v>2035</v>
      </c>
      <c r="B3167" s="106">
        <f t="shared" si="95"/>
        <v>208</v>
      </c>
      <c r="C3167" s="107">
        <f ca="1">OFFSET(tab_tipo_Combustivel!$A$1,MATCH(B3167,tab_tipo_Combustivel!$A$2:$A$150,0),MATCH(A3167,tab_tipo_Combustivel!$B$1:$AQ$1,0),1,1)</f>
        <v>783.64</v>
      </c>
    </row>
    <row r="3168" spans="1:3">
      <c r="A3168" s="3">
        <f t="shared" si="94"/>
        <v>2035</v>
      </c>
      <c r="B3168" s="106">
        <f t="shared" si="95"/>
        <v>209</v>
      </c>
      <c r="C3168" s="107">
        <f ca="1">OFFSET(tab_tipo_Combustivel!$A$1,MATCH(B3168,tab_tipo_Combustivel!$A$2:$A$150,0),MATCH(A3168,tab_tipo_Combustivel!$B$1:$AQ$1,0),1,1)</f>
        <v>0</v>
      </c>
    </row>
    <row r="3169" spans="1:3">
      <c r="A3169" s="3">
        <f t="shared" si="94"/>
        <v>2035</v>
      </c>
      <c r="B3169" s="106">
        <f t="shared" si="95"/>
        <v>211</v>
      </c>
      <c r="C3169" s="107">
        <f ca="1">OFFSET(tab_tipo_Combustivel!$A$1,MATCH(B3169,tab_tipo_Combustivel!$A$2:$A$150,0),MATCH(A3169,tab_tipo_Combustivel!$B$1:$AQ$1,0),1,1)</f>
        <v>150.79</v>
      </c>
    </row>
    <row r="3170" spans="1:3">
      <c r="A3170" s="3">
        <f t="shared" si="94"/>
        <v>2035</v>
      </c>
      <c r="B3170" s="106">
        <f t="shared" si="95"/>
        <v>212</v>
      </c>
      <c r="C3170" s="107">
        <f ca="1">OFFSET(tab_tipo_Combustivel!$A$1,MATCH(B3170,tab_tipo_Combustivel!$A$2:$A$150,0),MATCH(A3170,tab_tipo_Combustivel!$B$1:$AQ$1,0),1,1)</f>
        <v>84.58</v>
      </c>
    </row>
    <row r="3171" spans="1:3">
      <c r="A3171" s="3">
        <f t="shared" si="94"/>
        <v>2035</v>
      </c>
      <c r="B3171" s="106">
        <f t="shared" si="95"/>
        <v>224</v>
      </c>
      <c r="C3171" s="107">
        <f ca="1">OFFSET(tab_tipo_Combustivel!$A$1,MATCH(B3171,tab_tipo_Combustivel!$A$2:$A$150,0),MATCH(A3171,tab_tipo_Combustivel!$B$1:$AQ$1,0),1,1)</f>
        <v>31.08</v>
      </c>
    </row>
    <row r="3172" spans="1:3">
      <c r="A3172" s="3">
        <f t="shared" si="94"/>
        <v>2035</v>
      </c>
      <c r="B3172" s="106">
        <f t="shared" si="95"/>
        <v>225</v>
      </c>
      <c r="C3172" s="107">
        <f ca="1">OFFSET(tab_tipo_Combustivel!$A$1,MATCH(B3172,tab_tipo_Combustivel!$A$2:$A$150,0),MATCH(A3172,tab_tipo_Combustivel!$B$1:$AQ$1,0),1,1)</f>
        <v>1329.7</v>
      </c>
    </row>
    <row r="3173" spans="1:3">
      <c r="A3173" s="3">
        <f t="shared" si="94"/>
        <v>2035</v>
      </c>
      <c r="B3173" s="106">
        <f t="shared" si="95"/>
        <v>226</v>
      </c>
      <c r="C3173" s="107">
        <f ca="1">OFFSET(tab_tipo_Combustivel!$A$1,MATCH(B3173,tab_tipo_Combustivel!$A$2:$A$150,0),MATCH(A3173,tab_tipo_Combustivel!$B$1:$AQ$1,0),1,1)</f>
        <v>1061.1300000000001</v>
      </c>
    </row>
    <row r="3174" spans="1:3">
      <c r="A3174" s="3">
        <f t="shared" si="94"/>
        <v>2035</v>
      </c>
      <c r="B3174" s="106">
        <f t="shared" si="95"/>
        <v>227</v>
      </c>
      <c r="C3174" s="107">
        <f ca="1">OFFSET(tab_tipo_Combustivel!$A$1,MATCH(B3174,tab_tipo_Combustivel!$A$2:$A$150,0),MATCH(A3174,tab_tipo_Combustivel!$B$1:$AQ$1,0),1,1)</f>
        <v>447.52</v>
      </c>
    </row>
    <row r="3175" spans="1:3">
      <c r="A3175" s="3">
        <f t="shared" si="94"/>
        <v>2035</v>
      </c>
      <c r="B3175" s="106">
        <f t="shared" si="95"/>
        <v>228</v>
      </c>
      <c r="C3175" s="107">
        <f ca="1">OFFSET(tab_tipo_Combustivel!$A$1,MATCH(B3175,tab_tipo_Combustivel!$A$2:$A$150,0),MATCH(A3175,tab_tipo_Combustivel!$B$1:$AQ$1,0),1,1)</f>
        <v>1061.1400000000001</v>
      </c>
    </row>
    <row r="3176" spans="1:3">
      <c r="A3176" s="3">
        <f t="shared" si="94"/>
        <v>2035</v>
      </c>
      <c r="B3176" s="106">
        <f t="shared" si="95"/>
        <v>229</v>
      </c>
      <c r="C3176" s="107">
        <f ca="1">OFFSET(tab_tipo_Combustivel!$A$1,MATCH(B3176,tab_tipo_Combustivel!$A$2:$A$150,0),MATCH(A3176,tab_tipo_Combustivel!$B$1:$AQ$1,0),1,1)</f>
        <v>942.05</v>
      </c>
    </row>
    <row r="3177" spans="1:3">
      <c r="A3177" s="3">
        <f t="shared" si="94"/>
        <v>2035</v>
      </c>
      <c r="B3177" s="106">
        <f t="shared" si="95"/>
        <v>230</v>
      </c>
      <c r="C3177" s="107">
        <f ca="1">OFFSET(tab_tipo_Combustivel!$A$1,MATCH(B3177,tab_tipo_Combustivel!$A$2:$A$150,0),MATCH(A3177,tab_tipo_Combustivel!$B$1:$AQ$1,0),1,1)</f>
        <v>495.06</v>
      </c>
    </row>
    <row r="3178" spans="1:3">
      <c r="A3178" s="3">
        <f t="shared" si="94"/>
        <v>2035</v>
      </c>
      <c r="B3178" s="106">
        <f t="shared" si="95"/>
        <v>231</v>
      </c>
      <c r="C3178" s="107">
        <f ca="1">OFFSET(tab_tipo_Combustivel!$A$1,MATCH(B3178,tab_tipo_Combustivel!$A$2:$A$150,0),MATCH(A3178,tab_tipo_Combustivel!$B$1:$AQ$1,0),1,1)</f>
        <v>489.29</v>
      </c>
    </row>
    <row r="3179" spans="1:3">
      <c r="A3179" s="3">
        <f t="shared" si="94"/>
        <v>2035</v>
      </c>
      <c r="B3179" s="106">
        <f t="shared" si="95"/>
        <v>232</v>
      </c>
      <c r="C3179" s="107">
        <f ca="1">OFFSET(tab_tipo_Combustivel!$A$1,MATCH(B3179,tab_tipo_Combustivel!$A$2:$A$150,0),MATCH(A3179,tab_tipo_Combustivel!$B$1:$AQ$1,0),1,1)</f>
        <v>842.33</v>
      </c>
    </row>
    <row r="3180" spans="1:3">
      <c r="A3180" s="3">
        <f t="shared" si="94"/>
        <v>2035</v>
      </c>
      <c r="B3180" s="106">
        <f t="shared" si="95"/>
        <v>233</v>
      </c>
      <c r="C3180" s="107">
        <f ca="1">OFFSET(tab_tipo_Combustivel!$A$1,MATCH(B3180,tab_tipo_Combustivel!$A$2:$A$150,0),MATCH(A3180,tab_tipo_Combustivel!$B$1:$AQ$1,0),1,1)</f>
        <v>984.29</v>
      </c>
    </row>
    <row r="3181" spans="1:3">
      <c r="A3181" s="3">
        <f t="shared" si="94"/>
        <v>2035</v>
      </c>
      <c r="B3181" s="106">
        <f t="shared" si="95"/>
        <v>234</v>
      </c>
      <c r="C3181" s="107">
        <f ca="1">OFFSET(tab_tipo_Combustivel!$A$1,MATCH(B3181,tab_tipo_Combustivel!$A$2:$A$150,0),MATCH(A3181,tab_tipo_Combustivel!$B$1:$AQ$1,0),1,1)</f>
        <v>290.26</v>
      </c>
    </row>
    <row r="3182" spans="1:3">
      <c r="A3182" s="3">
        <f t="shared" si="94"/>
        <v>2035</v>
      </c>
      <c r="B3182" s="106">
        <f t="shared" si="95"/>
        <v>235</v>
      </c>
      <c r="C3182" s="107">
        <f ca="1">OFFSET(tab_tipo_Combustivel!$A$1,MATCH(B3182,tab_tipo_Combustivel!$A$2:$A$150,0),MATCH(A3182,tab_tipo_Combustivel!$B$1:$AQ$1,0),1,1)</f>
        <v>1350.87</v>
      </c>
    </row>
    <row r="3183" spans="1:3">
      <c r="A3183" s="3">
        <f t="shared" si="94"/>
        <v>2035</v>
      </c>
      <c r="B3183" s="106">
        <f t="shared" si="95"/>
        <v>236</v>
      </c>
      <c r="C3183" s="107">
        <f ca="1">OFFSET(tab_tipo_Combustivel!$A$1,MATCH(B3183,tab_tipo_Combustivel!$A$2:$A$150,0),MATCH(A3183,tab_tipo_Combustivel!$B$1:$AQ$1,0),1,1)</f>
        <v>842.33</v>
      </c>
    </row>
    <row r="3184" spans="1:3">
      <c r="A3184" s="3">
        <f t="shared" si="94"/>
        <v>2035</v>
      </c>
      <c r="B3184" s="106">
        <f t="shared" si="95"/>
        <v>237</v>
      </c>
      <c r="C3184" s="107">
        <f ca="1">OFFSET(tab_tipo_Combustivel!$A$1,MATCH(B3184,tab_tipo_Combustivel!$A$2:$A$150,0),MATCH(A3184,tab_tipo_Combustivel!$B$1:$AQ$1,0),1,1)</f>
        <v>760.85</v>
      </c>
    </row>
    <row r="3185" spans="1:3">
      <c r="A3185" s="3">
        <f t="shared" si="94"/>
        <v>2035</v>
      </c>
      <c r="B3185" s="106">
        <f t="shared" si="95"/>
        <v>238</v>
      </c>
      <c r="C3185" s="107">
        <f ca="1">OFFSET(tab_tipo_Combustivel!$A$1,MATCH(B3185,tab_tipo_Combustivel!$A$2:$A$150,0),MATCH(A3185,tab_tipo_Combustivel!$B$1:$AQ$1,0),1,1)</f>
        <v>963.75</v>
      </c>
    </row>
    <row r="3186" spans="1:3">
      <c r="A3186" s="3">
        <f t="shared" si="94"/>
        <v>2035</v>
      </c>
      <c r="B3186" s="106">
        <f t="shared" si="95"/>
        <v>239</v>
      </c>
      <c r="C3186" s="107">
        <f ca="1">OFFSET(tab_tipo_Combustivel!$A$1,MATCH(B3186,tab_tipo_Combustivel!$A$2:$A$150,0),MATCH(A3186,tab_tipo_Combustivel!$B$1:$AQ$1,0),1,1)</f>
        <v>963.75</v>
      </c>
    </row>
    <row r="3187" spans="1:3">
      <c r="A3187" s="3">
        <f t="shared" si="94"/>
        <v>2035</v>
      </c>
      <c r="B3187" s="106">
        <f t="shared" si="95"/>
        <v>240</v>
      </c>
      <c r="C3187" s="107">
        <f ca="1">OFFSET(tab_tipo_Combustivel!$A$1,MATCH(B3187,tab_tipo_Combustivel!$A$2:$A$150,0),MATCH(A3187,tab_tipo_Combustivel!$B$1:$AQ$1,0),1,1)</f>
        <v>1115.96</v>
      </c>
    </row>
    <row r="3188" spans="1:3">
      <c r="A3188" s="3">
        <f t="shared" si="94"/>
        <v>2035</v>
      </c>
      <c r="B3188" s="106">
        <f t="shared" si="95"/>
        <v>241</v>
      </c>
      <c r="C3188" s="107">
        <f ca="1">OFFSET(tab_tipo_Combustivel!$A$1,MATCH(B3188,tab_tipo_Combustivel!$A$2:$A$150,0),MATCH(A3188,tab_tipo_Combustivel!$B$1:$AQ$1,0),1,1)</f>
        <v>495.75</v>
      </c>
    </row>
    <row r="3189" spans="1:3">
      <c r="A3189" s="3">
        <f t="shared" si="94"/>
        <v>2035</v>
      </c>
      <c r="B3189" s="106">
        <f t="shared" si="95"/>
        <v>242</v>
      </c>
      <c r="C3189" s="107">
        <f ca="1">OFFSET(tab_tipo_Combustivel!$A$1,MATCH(B3189,tab_tipo_Combustivel!$A$2:$A$150,0),MATCH(A3189,tab_tipo_Combustivel!$B$1:$AQ$1,0),1,1)</f>
        <v>1176.45</v>
      </c>
    </row>
    <row r="3190" spans="1:3">
      <c r="A3190" s="3">
        <f t="shared" si="94"/>
        <v>2035</v>
      </c>
      <c r="B3190" s="106">
        <f t="shared" si="95"/>
        <v>243</v>
      </c>
      <c r="C3190" s="107">
        <f ca="1">OFFSET(tab_tipo_Combustivel!$A$1,MATCH(B3190,tab_tipo_Combustivel!$A$2:$A$150,0),MATCH(A3190,tab_tipo_Combustivel!$B$1:$AQ$1,0),1,1)</f>
        <v>495.08</v>
      </c>
    </row>
    <row r="3191" spans="1:3">
      <c r="A3191" s="3">
        <f t="shared" si="94"/>
        <v>2035</v>
      </c>
      <c r="B3191" s="106">
        <f t="shared" si="95"/>
        <v>244</v>
      </c>
      <c r="C3191" s="107">
        <f ca="1">OFFSET(tab_tipo_Combustivel!$A$1,MATCH(B3191,tab_tipo_Combustivel!$A$2:$A$150,0),MATCH(A3191,tab_tipo_Combustivel!$B$1:$AQ$1,0),1,1)</f>
        <v>495.06</v>
      </c>
    </row>
    <row r="3192" spans="1:3">
      <c r="A3192" s="3">
        <f t="shared" si="94"/>
        <v>2035</v>
      </c>
      <c r="B3192" s="106">
        <f t="shared" si="95"/>
        <v>245</v>
      </c>
      <c r="C3192" s="107">
        <f ca="1">OFFSET(tab_tipo_Combustivel!$A$1,MATCH(B3192,tab_tipo_Combustivel!$A$2:$A$150,0),MATCH(A3192,tab_tipo_Combustivel!$B$1:$AQ$1,0),1,1)</f>
        <v>562.65</v>
      </c>
    </row>
    <row r="3193" spans="1:3">
      <c r="A3193" s="3">
        <f t="shared" si="94"/>
        <v>2035</v>
      </c>
      <c r="B3193" s="106">
        <f t="shared" si="95"/>
        <v>246</v>
      </c>
      <c r="C3193" s="107">
        <f ca="1">OFFSET(tab_tipo_Combustivel!$A$1,MATCH(B3193,tab_tipo_Combustivel!$A$2:$A$150,0),MATCH(A3193,tab_tipo_Combustivel!$B$1:$AQ$1,0),1,1)</f>
        <v>1124.53</v>
      </c>
    </row>
    <row r="3194" spans="1:3">
      <c r="A3194" s="3">
        <f t="shared" si="94"/>
        <v>2035</v>
      </c>
      <c r="B3194" s="106">
        <f t="shared" si="95"/>
        <v>247</v>
      </c>
      <c r="C3194" s="107">
        <f ca="1">OFFSET(tab_tipo_Combustivel!$A$1,MATCH(B3194,tab_tipo_Combustivel!$A$2:$A$150,0),MATCH(A3194,tab_tipo_Combustivel!$B$1:$AQ$1,0),1,1)</f>
        <v>609.51</v>
      </c>
    </row>
    <row r="3195" spans="1:3">
      <c r="A3195" s="3">
        <f t="shared" si="94"/>
        <v>2035</v>
      </c>
      <c r="B3195" s="106">
        <f t="shared" si="95"/>
        <v>248</v>
      </c>
      <c r="C3195" s="107">
        <f ca="1">OFFSET(tab_tipo_Combustivel!$A$1,MATCH(B3195,tab_tipo_Combustivel!$A$2:$A$150,0),MATCH(A3195,tab_tipo_Combustivel!$B$1:$AQ$1,0),1,1)</f>
        <v>495.06</v>
      </c>
    </row>
    <row r="3196" spans="1:3">
      <c r="A3196" s="3">
        <f t="shared" si="94"/>
        <v>2035</v>
      </c>
      <c r="B3196" s="106">
        <f t="shared" si="95"/>
        <v>249</v>
      </c>
      <c r="C3196" s="107">
        <f ca="1">OFFSET(tab_tipo_Combustivel!$A$1,MATCH(B3196,tab_tipo_Combustivel!$A$2:$A$150,0),MATCH(A3196,tab_tipo_Combustivel!$B$1:$AQ$1,0),1,1)</f>
        <v>842.33</v>
      </c>
    </row>
    <row r="3197" spans="1:3">
      <c r="A3197" s="3">
        <f t="shared" si="94"/>
        <v>2035</v>
      </c>
      <c r="B3197" s="106">
        <f t="shared" si="95"/>
        <v>250</v>
      </c>
      <c r="C3197" s="107">
        <f ca="1">OFFSET(tab_tipo_Combustivel!$A$1,MATCH(B3197,tab_tipo_Combustivel!$A$2:$A$150,0),MATCH(A3197,tab_tipo_Combustivel!$B$1:$AQ$1,0),1,1)</f>
        <v>1176.45</v>
      </c>
    </row>
    <row r="3198" spans="1:3">
      <c r="A3198" s="3">
        <f t="shared" si="94"/>
        <v>2035</v>
      </c>
      <c r="B3198" s="106">
        <f t="shared" si="95"/>
        <v>251</v>
      </c>
      <c r="C3198" s="107">
        <f ca="1">OFFSET(tab_tipo_Combustivel!$A$1,MATCH(B3198,tab_tipo_Combustivel!$A$2:$A$150,0),MATCH(A3198,tab_tipo_Combustivel!$B$1:$AQ$1,0),1,1)</f>
        <v>842.33</v>
      </c>
    </row>
    <row r="3199" spans="1:3">
      <c r="A3199" s="3">
        <f t="shared" si="94"/>
        <v>2035</v>
      </c>
      <c r="B3199" s="106">
        <f t="shared" si="95"/>
        <v>252</v>
      </c>
      <c r="C3199" s="107">
        <f ca="1">OFFSET(tab_tipo_Combustivel!$A$1,MATCH(B3199,tab_tipo_Combustivel!$A$2:$A$150,0),MATCH(A3199,tab_tipo_Combustivel!$B$1:$AQ$1,0),1,1)</f>
        <v>842.33</v>
      </c>
    </row>
    <row r="3200" spans="1:3">
      <c r="A3200" s="3">
        <f t="shared" si="94"/>
        <v>2035</v>
      </c>
      <c r="B3200" s="106">
        <f t="shared" si="95"/>
        <v>253</v>
      </c>
      <c r="C3200" s="107">
        <f ca="1">OFFSET(tab_tipo_Combustivel!$A$1,MATCH(B3200,tab_tipo_Combustivel!$A$2:$A$150,0),MATCH(A3200,tab_tipo_Combustivel!$B$1:$AQ$1,0),1,1)</f>
        <v>279.45</v>
      </c>
    </row>
    <row r="3201" spans="1:3">
      <c r="A3201" s="3">
        <f t="shared" si="94"/>
        <v>2035</v>
      </c>
      <c r="B3201" s="106">
        <f t="shared" si="95"/>
        <v>254</v>
      </c>
      <c r="C3201" s="107">
        <f ca="1">OFFSET(tab_tipo_Combustivel!$A$1,MATCH(B3201,tab_tipo_Combustivel!$A$2:$A$150,0),MATCH(A3201,tab_tipo_Combustivel!$B$1:$AQ$1,0),1,1)</f>
        <v>1153.98</v>
      </c>
    </row>
    <row r="3202" spans="1:3">
      <c r="A3202" s="3">
        <f t="shared" si="94"/>
        <v>2035</v>
      </c>
      <c r="B3202" s="106">
        <f t="shared" si="95"/>
        <v>255</v>
      </c>
      <c r="C3202" s="107">
        <f ca="1">OFFSET(tab_tipo_Combustivel!$A$1,MATCH(B3202,tab_tipo_Combustivel!$A$2:$A$150,0),MATCH(A3202,tab_tipo_Combustivel!$B$1:$AQ$1,0),1,1)</f>
        <v>828.98</v>
      </c>
    </row>
    <row r="3203" spans="1:3">
      <c r="A3203" s="3">
        <f t="shared" si="94"/>
        <v>2035</v>
      </c>
      <c r="B3203" s="106">
        <f t="shared" si="95"/>
        <v>256</v>
      </c>
      <c r="C3203" s="107">
        <f ca="1">OFFSET(tab_tipo_Combustivel!$A$1,MATCH(B3203,tab_tipo_Combustivel!$A$2:$A$150,0),MATCH(A3203,tab_tipo_Combustivel!$B$1:$AQ$1,0),1,1)</f>
        <v>562.65</v>
      </c>
    </row>
    <row r="3204" spans="1:3">
      <c r="A3204" s="3">
        <f t="shared" si="94"/>
        <v>2035</v>
      </c>
      <c r="B3204" s="106">
        <f t="shared" si="95"/>
        <v>257</v>
      </c>
      <c r="C3204" s="107">
        <f ca="1">OFFSET(tab_tipo_Combustivel!$A$1,MATCH(B3204,tab_tipo_Combustivel!$A$2:$A$150,0),MATCH(A3204,tab_tipo_Combustivel!$B$1:$AQ$1,0),1,1)</f>
        <v>907.52</v>
      </c>
    </row>
    <row r="3205" spans="1:3">
      <c r="A3205" s="3">
        <f t="shared" si="94"/>
        <v>2035</v>
      </c>
      <c r="B3205" s="106">
        <f t="shared" si="95"/>
        <v>258</v>
      </c>
      <c r="C3205" s="107">
        <f ca="1">OFFSET(tab_tipo_Combustivel!$A$1,MATCH(B3205,tab_tipo_Combustivel!$A$2:$A$150,0),MATCH(A3205,tab_tipo_Combustivel!$B$1:$AQ$1,0),1,1)</f>
        <v>1016.04</v>
      </c>
    </row>
    <row r="3206" spans="1:3">
      <c r="A3206" s="3">
        <f t="shared" si="94"/>
        <v>2035</v>
      </c>
      <c r="B3206" s="106">
        <f t="shared" si="95"/>
        <v>259</v>
      </c>
      <c r="C3206" s="107">
        <f ca="1">OFFSET(tab_tipo_Combustivel!$A$1,MATCH(B3206,tab_tipo_Combustivel!$A$2:$A$150,0),MATCH(A3206,tab_tipo_Combustivel!$B$1:$AQ$1,0),1,1)</f>
        <v>977.53</v>
      </c>
    </row>
    <row r="3207" spans="1:3">
      <c r="A3207" s="3">
        <f t="shared" si="94"/>
        <v>2035</v>
      </c>
      <c r="B3207" s="106">
        <f t="shared" si="95"/>
        <v>260</v>
      </c>
      <c r="C3207" s="107">
        <f ca="1">OFFSET(tab_tipo_Combustivel!$A$1,MATCH(B3207,tab_tipo_Combustivel!$A$2:$A$150,0),MATCH(A3207,tab_tipo_Combustivel!$B$1:$AQ$1,0),1,1)</f>
        <v>827.17</v>
      </c>
    </row>
    <row r="3208" spans="1:3">
      <c r="A3208" s="3">
        <f t="shared" si="94"/>
        <v>2035</v>
      </c>
      <c r="B3208" s="106">
        <f t="shared" si="95"/>
        <v>261</v>
      </c>
      <c r="C3208" s="107">
        <f ca="1">OFFSET(tab_tipo_Combustivel!$A$1,MATCH(B3208,tab_tipo_Combustivel!$A$2:$A$150,0),MATCH(A3208,tab_tipo_Combustivel!$B$1:$AQ$1,0),1,1)</f>
        <v>829.7</v>
      </c>
    </row>
    <row r="3209" spans="1:3">
      <c r="A3209" s="3">
        <f t="shared" si="94"/>
        <v>2035</v>
      </c>
      <c r="B3209" s="106">
        <f t="shared" si="95"/>
        <v>262</v>
      </c>
      <c r="C3209" s="107">
        <f ca="1">OFFSET(tab_tipo_Combustivel!$A$1,MATCH(B3209,tab_tipo_Combustivel!$A$2:$A$150,0),MATCH(A3209,tab_tipo_Combustivel!$B$1:$AQ$1,0),1,1)</f>
        <v>495.75</v>
      </c>
    </row>
    <row r="3210" spans="1:3">
      <c r="A3210" s="3">
        <f t="shared" ref="A3210:A3273" si="96">A3075+1</f>
        <v>2035</v>
      </c>
      <c r="B3210" s="106">
        <f t="shared" ref="B3210:B3273" si="97">B3075</f>
        <v>263</v>
      </c>
      <c r="C3210" s="107">
        <f ca="1">OFFSET(tab_tipo_Combustivel!$A$1,MATCH(B3210,tab_tipo_Combustivel!$A$2:$A$150,0),MATCH(A3210,tab_tipo_Combustivel!$B$1:$AQ$1,0),1,1)</f>
        <v>474.77</v>
      </c>
    </row>
    <row r="3211" spans="1:3">
      <c r="A3211" s="3">
        <f t="shared" si="96"/>
        <v>2035</v>
      </c>
      <c r="B3211" s="106">
        <f t="shared" si="97"/>
        <v>264</v>
      </c>
      <c r="C3211" s="107">
        <f ca="1">OFFSET(tab_tipo_Combustivel!$A$1,MATCH(B3211,tab_tipo_Combustivel!$A$2:$A$150,0),MATCH(A3211,tab_tipo_Combustivel!$B$1:$AQ$1,0),1,1)</f>
        <v>842.33</v>
      </c>
    </row>
    <row r="3212" spans="1:3">
      <c r="A3212" s="3">
        <f t="shared" si="96"/>
        <v>2035</v>
      </c>
      <c r="B3212" s="106">
        <f t="shared" si="97"/>
        <v>265</v>
      </c>
      <c r="C3212" s="107">
        <f ca="1">OFFSET(tab_tipo_Combustivel!$A$1,MATCH(B3212,tab_tipo_Combustivel!$A$2:$A$150,0),MATCH(A3212,tab_tipo_Combustivel!$B$1:$AQ$1,0),1,1)</f>
        <v>415.82</v>
      </c>
    </row>
    <row r="3213" spans="1:3">
      <c r="A3213" s="3">
        <f t="shared" si="96"/>
        <v>2035</v>
      </c>
      <c r="B3213" s="106">
        <f t="shared" si="97"/>
        <v>266</v>
      </c>
      <c r="C3213" s="107">
        <f ca="1">OFFSET(tab_tipo_Combustivel!$A$1,MATCH(B3213,tab_tipo_Combustivel!$A$2:$A$150,0),MATCH(A3213,tab_tipo_Combustivel!$B$1:$AQ$1,0),1,1)</f>
        <v>827.17</v>
      </c>
    </row>
    <row r="3214" spans="1:3">
      <c r="A3214" s="3">
        <f t="shared" si="96"/>
        <v>2035</v>
      </c>
      <c r="B3214" s="106">
        <f t="shared" si="97"/>
        <v>301</v>
      </c>
      <c r="C3214" s="107">
        <f ca="1">OFFSET(tab_tipo_Combustivel!$A$1,MATCH(B3214,tab_tipo_Combustivel!$A$2:$A$150,0),MATCH(A3214,tab_tipo_Combustivel!$B$1:$AQ$1,0),1,1)</f>
        <v>99.08</v>
      </c>
    </row>
    <row r="3215" spans="1:3">
      <c r="A3215" s="3">
        <f t="shared" si="96"/>
        <v>2035</v>
      </c>
      <c r="B3215" s="106">
        <f t="shared" si="97"/>
        <v>302</v>
      </c>
      <c r="C3215" s="107">
        <f ca="1">OFFSET(tab_tipo_Combustivel!$A$1,MATCH(B3215,tab_tipo_Combustivel!$A$2:$A$150,0),MATCH(A3215,tab_tipo_Combustivel!$B$1:$AQ$1,0),1,1)</f>
        <v>103.73</v>
      </c>
    </row>
    <row r="3216" spans="1:3">
      <c r="A3216" s="3">
        <f t="shared" si="96"/>
        <v>2035</v>
      </c>
      <c r="B3216" s="106">
        <f t="shared" si="97"/>
        <v>303</v>
      </c>
      <c r="C3216" s="107">
        <f ca="1">OFFSET(tab_tipo_Combustivel!$A$1,MATCH(B3216,tab_tipo_Combustivel!$A$2:$A$150,0),MATCH(A3216,tab_tipo_Combustivel!$B$1:$AQ$1,0),1,1)</f>
        <v>103.73</v>
      </c>
    </row>
    <row r="3217" spans="1:3">
      <c r="A3217" s="3">
        <f t="shared" si="96"/>
        <v>2035</v>
      </c>
      <c r="B3217" s="106">
        <f t="shared" si="97"/>
        <v>304</v>
      </c>
      <c r="C3217" s="107">
        <f ca="1">OFFSET(tab_tipo_Combustivel!$A$1,MATCH(B3217,tab_tipo_Combustivel!$A$2:$A$150,0),MATCH(A3217,tab_tipo_Combustivel!$B$1:$AQ$1,0),1,1)</f>
        <v>139.41999999999999</v>
      </c>
    </row>
    <row r="3218" spans="1:3">
      <c r="A3218" s="3">
        <f t="shared" si="96"/>
        <v>2035</v>
      </c>
      <c r="B3218" s="106">
        <f t="shared" si="97"/>
        <v>305</v>
      </c>
      <c r="C3218" s="107">
        <f ca="1">OFFSET(tab_tipo_Combustivel!$A$1,MATCH(B3218,tab_tipo_Combustivel!$A$2:$A$150,0),MATCH(A3218,tab_tipo_Combustivel!$B$1:$AQ$1,0),1,1)</f>
        <v>89.7</v>
      </c>
    </row>
    <row r="3219" spans="1:3">
      <c r="A3219" s="3">
        <f t="shared" si="96"/>
        <v>2035</v>
      </c>
      <c r="B3219" s="106">
        <f t="shared" si="97"/>
        <v>306</v>
      </c>
      <c r="C3219" s="107">
        <f ca="1">OFFSET(tab_tipo_Combustivel!$A$1,MATCH(B3219,tab_tipo_Combustivel!$A$2:$A$150,0),MATCH(A3219,tab_tipo_Combustivel!$B$1:$AQ$1,0),1,1)</f>
        <v>100.38</v>
      </c>
    </row>
    <row r="3220" spans="1:3">
      <c r="A3220" s="3">
        <f t="shared" si="96"/>
        <v>2035</v>
      </c>
      <c r="B3220" s="106">
        <f t="shared" si="97"/>
        <v>307</v>
      </c>
      <c r="C3220" s="107">
        <f ca="1">OFFSET(tab_tipo_Combustivel!$A$1,MATCH(B3220,tab_tipo_Combustivel!$A$2:$A$150,0),MATCH(A3220,tab_tipo_Combustivel!$B$1:$AQ$1,0),1,1)</f>
        <v>510.12</v>
      </c>
    </row>
    <row r="3221" spans="1:3">
      <c r="A3221" s="3">
        <f t="shared" si="96"/>
        <v>2035</v>
      </c>
      <c r="B3221" s="106">
        <f t="shared" si="97"/>
        <v>308</v>
      </c>
      <c r="C3221" s="107">
        <f ca="1">OFFSET(tab_tipo_Combustivel!$A$1,MATCH(B3221,tab_tipo_Combustivel!$A$2:$A$150,0),MATCH(A3221,tab_tipo_Combustivel!$B$1:$AQ$1,0),1,1)</f>
        <v>72.5</v>
      </c>
    </row>
    <row r="3222" spans="1:3">
      <c r="A3222" s="3">
        <f t="shared" si="96"/>
        <v>2035</v>
      </c>
      <c r="B3222" s="106">
        <f t="shared" si="97"/>
        <v>309</v>
      </c>
      <c r="C3222" s="107">
        <f ca="1">OFFSET(tab_tipo_Combustivel!$A$1,MATCH(B3222,tab_tipo_Combustivel!$A$2:$A$150,0),MATCH(A3222,tab_tipo_Combustivel!$B$1:$AQ$1,0),1,1)</f>
        <v>126.77</v>
      </c>
    </row>
    <row r="3223" spans="1:3">
      <c r="A3223" s="3">
        <f t="shared" si="96"/>
        <v>2035</v>
      </c>
      <c r="B3223" s="106">
        <f t="shared" si="97"/>
        <v>310</v>
      </c>
      <c r="C3223" s="107">
        <f ca="1">OFFSET(tab_tipo_Combustivel!$A$1,MATCH(B3223,tab_tipo_Combustivel!$A$2:$A$150,0),MATCH(A3223,tab_tipo_Combustivel!$B$1:$AQ$1,0),1,1)</f>
        <v>275.99</v>
      </c>
    </row>
    <row r="3224" spans="1:3">
      <c r="A3224" s="3">
        <f t="shared" si="96"/>
        <v>2035</v>
      </c>
      <c r="B3224" s="106">
        <f t="shared" si="97"/>
        <v>311</v>
      </c>
      <c r="C3224" s="107">
        <f ca="1">OFFSET(tab_tipo_Combustivel!$A$1,MATCH(B3224,tab_tipo_Combustivel!$A$2:$A$150,0),MATCH(A3224,tab_tipo_Combustivel!$B$1:$AQ$1,0),1,1)</f>
        <v>70.66</v>
      </c>
    </row>
    <row r="3225" spans="1:3">
      <c r="A3225" s="3">
        <f t="shared" si="96"/>
        <v>2035</v>
      </c>
      <c r="B3225" s="106">
        <f t="shared" si="97"/>
        <v>312</v>
      </c>
      <c r="C3225" s="107">
        <f ca="1">OFFSET(tab_tipo_Combustivel!$A$1,MATCH(B3225,tab_tipo_Combustivel!$A$2:$A$150,0),MATCH(A3225,tab_tipo_Combustivel!$B$1:$AQ$1,0),1,1)</f>
        <v>0</v>
      </c>
    </row>
    <row r="3226" spans="1:3">
      <c r="A3226" s="3">
        <f t="shared" si="96"/>
        <v>2035</v>
      </c>
      <c r="B3226" s="106">
        <f t="shared" si="97"/>
        <v>1301</v>
      </c>
      <c r="C3226" s="107">
        <f ca="1">OFFSET(tab_tipo_Combustivel!$A$1,MATCH(B3226,tab_tipo_Combustivel!$A$2:$A$150,0),MATCH(A3226,tab_tipo_Combustivel!$B$1:$AQ$1,0),1,1)</f>
        <v>242.05</v>
      </c>
    </row>
    <row r="3227" spans="1:3">
      <c r="A3227" s="3">
        <f t="shared" si="96"/>
        <v>2035</v>
      </c>
      <c r="B3227" s="106">
        <f t="shared" si="97"/>
        <v>1302</v>
      </c>
      <c r="C3227" s="107">
        <f ca="1">OFFSET(tab_tipo_Combustivel!$A$1,MATCH(B3227,tab_tipo_Combustivel!$A$2:$A$150,0),MATCH(A3227,tab_tipo_Combustivel!$B$1:$AQ$1,0),1,1)</f>
        <v>193.64</v>
      </c>
    </row>
    <row r="3228" spans="1:3">
      <c r="A3228" s="3">
        <f t="shared" si="96"/>
        <v>2035</v>
      </c>
      <c r="B3228" s="106">
        <f t="shared" si="97"/>
        <v>1303</v>
      </c>
      <c r="C3228" s="107">
        <f ca="1">OFFSET(tab_tipo_Combustivel!$A$1,MATCH(B3228,tab_tipo_Combustivel!$A$2:$A$150,0),MATCH(A3228,tab_tipo_Combustivel!$B$1:$AQ$1,0),1,1)</f>
        <v>25.58</v>
      </c>
    </row>
    <row r="3229" spans="1:3">
      <c r="A3229" s="3">
        <f t="shared" si="96"/>
        <v>2035</v>
      </c>
      <c r="B3229" s="106">
        <f t="shared" si="97"/>
        <v>1304</v>
      </c>
      <c r="C3229" s="107">
        <f ca="1">OFFSET(tab_tipo_Combustivel!$A$1,MATCH(B3229,tab_tipo_Combustivel!$A$2:$A$150,0),MATCH(A3229,tab_tipo_Combustivel!$B$1:$AQ$1,0),1,1)</f>
        <v>0</v>
      </c>
    </row>
    <row r="3230" spans="1:3">
      <c r="A3230" s="3">
        <f t="shared" si="96"/>
        <v>2035</v>
      </c>
      <c r="B3230" s="106">
        <f t="shared" si="97"/>
        <v>1315</v>
      </c>
      <c r="C3230" s="107">
        <f ca="1">OFFSET(tab_tipo_Combustivel!$A$1,MATCH(B3230,tab_tipo_Combustivel!$A$2:$A$150,0),MATCH(A3230,tab_tipo_Combustivel!$B$1:$AQ$1,0),1,1)</f>
        <v>0</v>
      </c>
    </row>
    <row r="3231" spans="1:3">
      <c r="A3231" s="3">
        <f t="shared" si="96"/>
        <v>2035</v>
      </c>
      <c r="B3231" s="106">
        <f t="shared" si="97"/>
        <v>1316</v>
      </c>
      <c r="C3231" s="107">
        <f ca="1">OFFSET(tab_tipo_Combustivel!$A$1,MATCH(B3231,tab_tipo_Combustivel!$A$2:$A$150,0),MATCH(A3231,tab_tipo_Combustivel!$B$1:$AQ$1,0),1,1)</f>
        <v>0</v>
      </c>
    </row>
    <row r="3232" spans="1:3">
      <c r="A3232" s="3">
        <f t="shared" si="96"/>
        <v>2035</v>
      </c>
      <c r="B3232" s="106">
        <f t="shared" si="97"/>
        <v>1318</v>
      </c>
      <c r="C3232" s="107">
        <f ca="1">OFFSET(tab_tipo_Combustivel!$A$1,MATCH(B3232,tab_tipo_Combustivel!$A$2:$A$150,0),MATCH(A3232,tab_tipo_Combustivel!$B$1:$AQ$1,0),1,1)</f>
        <v>150</v>
      </c>
    </row>
    <row r="3233" spans="1:3">
      <c r="A3233" s="3">
        <f t="shared" si="96"/>
        <v>2035</v>
      </c>
      <c r="B3233" s="106">
        <f t="shared" si="97"/>
        <v>1321</v>
      </c>
      <c r="C3233" s="107">
        <f ca="1">OFFSET(tab_tipo_Combustivel!$A$1,MATCH(B3233,tab_tipo_Combustivel!$A$2:$A$150,0),MATCH(A3233,tab_tipo_Combustivel!$B$1:$AQ$1,0),1,1)</f>
        <v>85</v>
      </c>
    </row>
    <row r="3234" spans="1:3">
      <c r="A3234" s="3">
        <f t="shared" si="96"/>
        <v>2035</v>
      </c>
      <c r="B3234" s="106">
        <f t="shared" si="97"/>
        <v>1322</v>
      </c>
      <c r="C3234" s="107">
        <f ca="1">OFFSET(tab_tipo_Combustivel!$A$1,MATCH(B3234,tab_tipo_Combustivel!$A$2:$A$150,0),MATCH(A3234,tab_tipo_Combustivel!$B$1:$AQ$1,0),1,1)</f>
        <v>140</v>
      </c>
    </row>
    <row r="3235" spans="1:3">
      <c r="A3235" s="3">
        <f t="shared" si="96"/>
        <v>2035</v>
      </c>
      <c r="B3235" s="106">
        <f t="shared" si="97"/>
        <v>1323</v>
      </c>
      <c r="C3235" s="107">
        <f ca="1">OFFSET(tab_tipo_Combustivel!$A$1,MATCH(B3235,tab_tipo_Combustivel!$A$2:$A$150,0),MATCH(A3235,tab_tipo_Combustivel!$B$1:$AQ$1,0),1,1)</f>
        <v>63.75</v>
      </c>
    </row>
    <row r="3236" spans="1:3">
      <c r="A3236" s="3">
        <f t="shared" si="96"/>
        <v>2035</v>
      </c>
      <c r="B3236" s="106">
        <f t="shared" si="97"/>
        <v>1325</v>
      </c>
      <c r="C3236" s="107">
        <f ca="1">OFFSET(tab_tipo_Combustivel!$A$1,MATCH(B3236,tab_tipo_Combustivel!$A$2:$A$150,0),MATCH(A3236,tab_tipo_Combustivel!$B$1:$AQ$1,0),1,1)</f>
        <v>0</v>
      </c>
    </row>
    <row r="3237" spans="1:3">
      <c r="A3237" s="3">
        <f t="shared" si="96"/>
        <v>2035</v>
      </c>
      <c r="B3237" s="106">
        <f t="shared" si="97"/>
        <v>1326</v>
      </c>
      <c r="C3237" s="107">
        <f ca="1">OFFSET(tab_tipo_Combustivel!$A$1,MATCH(B3237,tab_tipo_Combustivel!$A$2:$A$150,0),MATCH(A3237,tab_tipo_Combustivel!$B$1:$AQ$1,0),1,1)</f>
        <v>260</v>
      </c>
    </row>
    <row r="3238" spans="1:3">
      <c r="A3238" s="3">
        <f t="shared" si="96"/>
        <v>2035</v>
      </c>
      <c r="B3238" s="106">
        <f t="shared" si="97"/>
        <v>1501</v>
      </c>
      <c r="C3238" s="107">
        <f ca="1">OFFSET(tab_tipo_Combustivel!$A$1,MATCH(B3238,tab_tipo_Combustivel!$A$2:$A$150,0),MATCH(A3238,tab_tipo_Combustivel!$B$1:$AQ$1,0),1,1)</f>
        <v>260</v>
      </c>
    </row>
    <row r="3239" spans="1:3">
      <c r="A3239" s="3">
        <f t="shared" si="96"/>
        <v>2035</v>
      </c>
      <c r="B3239" s="106">
        <f t="shared" si="97"/>
        <v>1502</v>
      </c>
      <c r="C3239" s="107">
        <f ca="1">OFFSET(tab_tipo_Combustivel!$A$1,MATCH(B3239,tab_tipo_Combustivel!$A$2:$A$150,0),MATCH(A3239,tab_tipo_Combustivel!$B$1:$AQ$1,0),1,1)</f>
        <v>60</v>
      </c>
    </row>
    <row r="3240" spans="1:3">
      <c r="A3240" s="3">
        <f t="shared" si="96"/>
        <v>2035</v>
      </c>
      <c r="B3240" s="106">
        <f t="shared" si="97"/>
        <v>1503</v>
      </c>
      <c r="C3240" s="107">
        <f ca="1">OFFSET(tab_tipo_Combustivel!$A$1,MATCH(B3240,tab_tipo_Combustivel!$A$2:$A$150,0),MATCH(A3240,tab_tipo_Combustivel!$B$1:$AQ$1,0),1,1)</f>
        <v>96.82</v>
      </c>
    </row>
    <row r="3241" spans="1:3">
      <c r="A3241" s="3">
        <f t="shared" si="96"/>
        <v>2035</v>
      </c>
      <c r="B3241" s="106">
        <f t="shared" si="97"/>
        <v>1504</v>
      </c>
      <c r="C3241" s="107">
        <f ca="1">OFFSET(tab_tipo_Combustivel!$A$1,MATCH(B3241,tab_tipo_Combustivel!$A$2:$A$150,0),MATCH(A3241,tab_tipo_Combustivel!$B$1:$AQ$1,0),1,1)</f>
        <v>145.22999999999999</v>
      </c>
    </row>
    <row r="3242" spans="1:3">
      <c r="A3242" s="3">
        <f t="shared" si="96"/>
        <v>2036</v>
      </c>
      <c r="B3242" s="106">
        <f t="shared" si="97"/>
        <v>1</v>
      </c>
      <c r="C3242" s="107">
        <f ca="1">OFFSET(tab_tipo_Combustivel!$A$1,MATCH(B3242,tab_tipo_Combustivel!$A$2:$A$150,0),MATCH(A3242,tab_tipo_Combustivel!$B$1:$AQ$1,0),1,1)</f>
        <v>29.13</v>
      </c>
    </row>
    <row r="3243" spans="1:3">
      <c r="A3243" s="3">
        <f t="shared" si="96"/>
        <v>2036</v>
      </c>
      <c r="B3243" s="106">
        <f t="shared" si="97"/>
        <v>2</v>
      </c>
      <c r="C3243" s="107">
        <f ca="1">OFFSET(tab_tipo_Combustivel!$A$1,MATCH(B3243,tab_tipo_Combustivel!$A$2:$A$150,0),MATCH(A3243,tab_tipo_Combustivel!$B$1:$AQ$1,0),1,1)</f>
        <v>842.33</v>
      </c>
    </row>
    <row r="3244" spans="1:3">
      <c r="A3244" s="3">
        <f t="shared" si="96"/>
        <v>2036</v>
      </c>
      <c r="B3244" s="106">
        <f t="shared" si="97"/>
        <v>4</v>
      </c>
      <c r="C3244" s="107">
        <f ca="1">OFFSET(tab_tipo_Combustivel!$A$1,MATCH(B3244,tab_tipo_Combustivel!$A$2:$A$150,0),MATCH(A3244,tab_tipo_Combustivel!$B$1:$AQ$1,0),1,1)</f>
        <v>842.33</v>
      </c>
    </row>
    <row r="3245" spans="1:3">
      <c r="A3245" s="3">
        <f t="shared" si="96"/>
        <v>2036</v>
      </c>
      <c r="B3245" s="106">
        <f t="shared" si="97"/>
        <v>9</v>
      </c>
      <c r="C3245" s="107">
        <f ca="1">OFFSET(tab_tipo_Combustivel!$A$1,MATCH(B3245,tab_tipo_Combustivel!$A$2:$A$150,0),MATCH(A3245,tab_tipo_Combustivel!$B$1:$AQ$1,0),1,1)</f>
        <v>842.33</v>
      </c>
    </row>
    <row r="3246" spans="1:3">
      <c r="A3246" s="3">
        <f t="shared" si="96"/>
        <v>2036</v>
      </c>
      <c r="B3246" s="106">
        <f t="shared" si="97"/>
        <v>12</v>
      </c>
      <c r="C3246" s="107">
        <f ca="1">OFFSET(tab_tipo_Combustivel!$A$1,MATCH(B3246,tab_tipo_Combustivel!$A$2:$A$150,0),MATCH(A3246,tab_tipo_Combustivel!$B$1:$AQ$1,0),1,1)</f>
        <v>728.87</v>
      </c>
    </row>
    <row r="3247" spans="1:3">
      <c r="A3247" s="3">
        <f t="shared" si="96"/>
        <v>2036</v>
      </c>
      <c r="B3247" s="106">
        <f t="shared" si="97"/>
        <v>13</v>
      </c>
      <c r="C3247" s="107">
        <f ca="1">OFFSET(tab_tipo_Combustivel!$A$1,MATCH(B3247,tab_tipo_Combustivel!$A$2:$A$150,0),MATCH(A3247,tab_tipo_Combustivel!$B$1:$AQ$1,0),1,1)</f>
        <v>20.12</v>
      </c>
    </row>
    <row r="3248" spans="1:3">
      <c r="A3248" s="3">
        <f t="shared" si="96"/>
        <v>2036</v>
      </c>
      <c r="B3248" s="106">
        <f t="shared" si="97"/>
        <v>15</v>
      </c>
      <c r="C3248" s="107">
        <f ca="1">OFFSET(tab_tipo_Combustivel!$A$1,MATCH(B3248,tab_tipo_Combustivel!$A$2:$A$150,0),MATCH(A3248,tab_tipo_Combustivel!$B$1:$AQ$1,0),1,1)</f>
        <v>257.29000000000002</v>
      </c>
    </row>
    <row r="3249" spans="1:3">
      <c r="A3249" s="3">
        <f t="shared" si="96"/>
        <v>2036</v>
      </c>
      <c r="B3249" s="106">
        <f t="shared" si="97"/>
        <v>21</v>
      </c>
      <c r="C3249" s="107">
        <f ca="1">OFFSET(tab_tipo_Combustivel!$A$1,MATCH(B3249,tab_tipo_Combustivel!$A$2:$A$150,0),MATCH(A3249,tab_tipo_Combustivel!$B$1:$AQ$1,0),1,1)</f>
        <v>157.83000000000001</v>
      </c>
    </row>
    <row r="3250" spans="1:3">
      <c r="A3250" s="3">
        <f t="shared" si="96"/>
        <v>2036</v>
      </c>
      <c r="B3250" s="106">
        <f t="shared" si="97"/>
        <v>22</v>
      </c>
      <c r="C3250" s="107">
        <f ca="1">OFFSET(tab_tipo_Combustivel!$A$1,MATCH(B3250,tab_tipo_Combustivel!$A$2:$A$150,0),MATCH(A3250,tab_tipo_Combustivel!$B$1:$AQ$1,0),1,1)</f>
        <v>115.9</v>
      </c>
    </row>
    <row r="3251" spans="1:3">
      <c r="A3251" s="3">
        <f t="shared" si="96"/>
        <v>2036</v>
      </c>
      <c r="B3251" s="106">
        <f t="shared" si="97"/>
        <v>23</v>
      </c>
      <c r="C3251" s="107">
        <f ca="1">OFFSET(tab_tipo_Combustivel!$A$1,MATCH(B3251,tab_tipo_Combustivel!$A$2:$A$150,0),MATCH(A3251,tab_tipo_Combustivel!$B$1:$AQ$1,0),1,1)</f>
        <v>115.9</v>
      </c>
    </row>
    <row r="3252" spans="1:3">
      <c r="A3252" s="3">
        <f t="shared" si="96"/>
        <v>2036</v>
      </c>
      <c r="B3252" s="106">
        <f t="shared" si="97"/>
        <v>24</v>
      </c>
      <c r="C3252" s="107">
        <f ca="1">OFFSET(tab_tipo_Combustivel!$A$1,MATCH(B3252,tab_tipo_Combustivel!$A$2:$A$150,0),MATCH(A3252,tab_tipo_Combustivel!$B$1:$AQ$1,0),1,1)</f>
        <v>155.85</v>
      </c>
    </row>
    <row r="3253" spans="1:3">
      <c r="A3253" s="3">
        <f t="shared" si="96"/>
        <v>2036</v>
      </c>
      <c r="B3253" s="106">
        <f t="shared" si="97"/>
        <v>25</v>
      </c>
      <c r="C3253" s="107">
        <f ca="1">OFFSET(tab_tipo_Combustivel!$A$1,MATCH(B3253,tab_tipo_Combustivel!$A$2:$A$150,0),MATCH(A3253,tab_tipo_Combustivel!$B$1:$AQ$1,0),1,1)</f>
        <v>186.33</v>
      </c>
    </row>
    <row r="3254" spans="1:3">
      <c r="A3254" s="3">
        <f t="shared" si="96"/>
        <v>2036</v>
      </c>
      <c r="B3254" s="106">
        <f t="shared" si="97"/>
        <v>26</v>
      </c>
      <c r="C3254" s="107">
        <f ca="1">OFFSET(tab_tipo_Combustivel!$A$1,MATCH(B3254,tab_tipo_Combustivel!$A$2:$A$150,0),MATCH(A3254,tab_tipo_Combustivel!$B$1:$AQ$1,0),1,1)</f>
        <v>258.42</v>
      </c>
    </row>
    <row r="3255" spans="1:3">
      <c r="A3255" s="3">
        <f t="shared" si="96"/>
        <v>2036</v>
      </c>
      <c r="B3255" s="106">
        <f t="shared" si="97"/>
        <v>27</v>
      </c>
      <c r="C3255" s="107">
        <f ca="1">OFFSET(tab_tipo_Combustivel!$A$1,MATCH(B3255,tab_tipo_Combustivel!$A$2:$A$150,0),MATCH(A3255,tab_tipo_Combustivel!$B$1:$AQ$1,0),1,1)</f>
        <v>195.49</v>
      </c>
    </row>
    <row r="3256" spans="1:3">
      <c r="A3256" s="3">
        <f t="shared" si="96"/>
        <v>2036</v>
      </c>
      <c r="B3256" s="106">
        <f t="shared" si="97"/>
        <v>28</v>
      </c>
      <c r="C3256" s="107">
        <f ca="1">OFFSET(tab_tipo_Combustivel!$A$1,MATCH(B3256,tab_tipo_Combustivel!$A$2:$A$150,0),MATCH(A3256,tab_tipo_Combustivel!$B$1:$AQ$1,0),1,1)</f>
        <v>459.92</v>
      </c>
    </row>
    <row r="3257" spans="1:3">
      <c r="A3257" s="3">
        <f t="shared" si="96"/>
        <v>2036</v>
      </c>
      <c r="B3257" s="106">
        <f t="shared" si="97"/>
        <v>32</v>
      </c>
      <c r="C3257" s="107">
        <f ca="1">OFFSET(tab_tipo_Combustivel!$A$1,MATCH(B3257,tab_tipo_Combustivel!$A$2:$A$150,0),MATCH(A3257,tab_tipo_Combustivel!$B$1:$AQ$1,0),1,1)</f>
        <v>248.31</v>
      </c>
    </row>
    <row r="3258" spans="1:3">
      <c r="A3258" s="3">
        <f t="shared" si="96"/>
        <v>2036</v>
      </c>
      <c r="B3258" s="106">
        <f t="shared" si="97"/>
        <v>34</v>
      </c>
      <c r="C3258" s="107">
        <f ca="1">OFFSET(tab_tipo_Combustivel!$A$1,MATCH(B3258,tab_tipo_Combustivel!$A$2:$A$150,0),MATCH(A3258,tab_tipo_Combustivel!$B$1:$AQ$1,0),1,1)</f>
        <v>423.38</v>
      </c>
    </row>
    <row r="3259" spans="1:3">
      <c r="A3259" s="3">
        <f t="shared" si="96"/>
        <v>2036</v>
      </c>
      <c r="B3259" s="106">
        <f t="shared" si="97"/>
        <v>35</v>
      </c>
      <c r="C3259" s="107">
        <f ca="1">OFFSET(tab_tipo_Combustivel!$A$1,MATCH(B3259,tab_tipo_Combustivel!$A$2:$A$150,0),MATCH(A3259,tab_tipo_Combustivel!$B$1:$AQ$1,0),1,1)</f>
        <v>692.45</v>
      </c>
    </row>
    <row r="3260" spans="1:3">
      <c r="A3260" s="3">
        <f t="shared" si="96"/>
        <v>2036</v>
      </c>
      <c r="B3260" s="106">
        <f t="shared" si="97"/>
        <v>36</v>
      </c>
      <c r="C3260" s="107">
        <f ca="1">OFFSET(tab_tipo_Combustivel!$A$1,MATCH(B3260,tab_tipo_Combustivel!$A$2:$A$150,0),MATCH(A3260,tab_tipo_Combustivel!$B$1:$AQ$1,0),1,1)</f>
        <v>157.83000000000001</v>
      </c>
    </row>
    <row r="3261" spans="1:3">
      <c r="A3261" s="3">
        <f t="shared" si="96"/>
        <v>2036</v>
      </c>
      <c r="B3261" s="106">
        <f t="shared" si="97"/>
        <v>42</v>
      </c>
      <c r="C3261" s="107">
        <f ca="1">OFFSET(tab_tipo_Combustivel!$A$1,MATCH(B3261,tab_tipo_Combustivel!$A$2:$A$150,0),MATCH(A3261,tab_tipo_Combustivel!$B$1:$AQ$1,0),1,1)</f>
        <v>199.22</v>
      </c>
    </row>
    <row r="3262" spans="1:3">
      <c r="A3262" s="3">
        <f t="shared" si="96"/>
        <v>2036</v>
      </c>
      <c r="B3262" s="106">
        <f t="shared" si="97"/>
        <v>43</v>
      </c>
      <c r="C3262" s="107">
        <f ca="1">OFFSET(tab_tipo_Combustivel!$A$1,MATCH(B3262,tab_tipo_Combustivel!$A$2:$A$150,0),MATCH(A3262,tab_tipo_Combustivel!$B$1:$AQ$1,0),1,1)</f>
        <v>431.62</v>
      </c>
    </row>
    <row r="3263" spans="1:3">
      <c r="A3263" s="3">
        <f t="shared" si="96"/>
        <v>2036</v>
      </c>
      <c r="B3263" s="106">
        <f t="shared" si="97"/>
        <v>44</v>
      </c>
      <c r="C3263" s="107">
        <f ca="1">OFFSET(tab_tipo_Combustivel!$A$1,MATCH(B3263,tab_tipo_Combustivel!$A$2:$A$150,0),MATCH(A3263,tab_tipo_Combustivel!$B$1:$AQ$1,0),1,1)</f>
        <v>25.58</v>
      </c>
    </row>
    <row r="3264" spans="1:3">
      <c r="A3264" s="3">
        <f t="shared" si="96"/>
        <v>2036</v>
      </c>
      <c r="B3264" s="106">
        <f t="shared" si="97"/>
        <v>46</v>
      </c>
      <c r="C3264" s="107">
        <f ca="1">OFFSET(tab_tipo_Combustivel!$A$1,MATCH(B3264,tab_tipo_Combustivel!$A$2:$A$150,0),MATCH(A3264,tab_tipo_Combustivel!$B$1:$AQ$1,0),1,1)</f>
        <v>228.91</v>
      </c>
    </row>
    <row r="3265" spans="1:3">
      <c r="A3265" s="3">
        <f t="shared" si="96"/>
        <v>2036</v>
      </c>
      <c r="B3265" s="106">
        <f t="shared" si="97"/>
        <v>47</v>
      </c>
      <c r="C3265" s="107">
        <f ca="1">OFFSET(tab_tipo_Combustivel!$A$1,MATCH(B3265,tab_tipo_Combustivel!$A$2:$A$150,0),MATCH(A3265,tab_tipo_Combustivel!$B$1:$AQ$1,0),1,1)</f>
        <v>235.6</v>
      </c>
    </row>
    <row r="3266" spans="1:3">
      <c r="A3266" s="3">
        <f t="shared" si="96"/>
        <v>2036</v>
      </c>
      <c r="B3266" s="106">
        <f t="shared" si="97"/>
        <v>48</v>
      </c>
      <c r="C3266" s="107">
        <f ca="1">OFFSET(tab_tipo_Combustivel!$A$1,MATCH(B3266,tab_tipo_Combustivel!$A$2:$A$150,0),MATCH(A3266,tab_tipo_Combustivel!$B$1:$AQ$1,0),1,1)</f>
        <v>1012.12</v>
      </c>
    </row>
    <row r="3267" spans="1:3">
      <c r="A3267" s="3">
        <f t="shared" si="96"/>
        <v>2036</v>
      </c>
      <c r="B3267" s="106">
        <f t="shared" si="97"/>
        <v>50</v>
      </c>
      <c r="C3267" s="107">
        <f ca="1">OFFSET(tab_tipo_Combustivel!$A$1,MATCH(B3267,tab_tipo_Combustivel!$A$2:$A$150,0),MATCH(A3267,tab_tipo_Combustivel!$B$1:$AQ$1,0),1,1)</f>
        <v>669.87</v>
      </c>
    </row>
    <row r="3268" spans="1:3">
      <c r="A3268" s="3">
        <f t="shared" si="96"/>
        <v>2036</v>
      </c>
      <c r="B3268" s="106">
        <f t="shared" si="97"/>
        <v>54</v>
      </c>
      <c r="C3268" s="107">
        <f ca="1">OFFSET(tab_tipo_Combustivel!$A$1,MATCH(B3268,tab_tipo_Combustivel!$A$2:$A$150,0),MATCH(A3268,tab_tipo_Combustivel!$B$1:$AQ$1,0),1,1)</f>
        <v>304.55</v>
      </c>
    </row>
    <row r="3269" spans="1:3">
      <c r="A3269" s="3">
        <f t="shared" si="96"/>
        <v>2036</v>
      </c>
      <c r="B3269" s="106">
        <f t="shared" si="97"/>
        <v>58</v>
      </c>
      <c r="C3269" s="107">
        <f ca="1">OFFSET(tab_tipo_Combustivel!$A$1,MATCH(B3269,tab_tipo_Combustivel!$A$2:$A$150,0),MATCH(A3269,tab_tipo_Combustivel!$B$1:$AQ$1,0),1,1)</f>
        <v>300.05</v>
      </c>
    </row>
    <row r="3270" spans="1:3">
      <c r="A3270" s="3">
        <f t="shared" si="96"/>
        <v>2036</v>
      </c>
      <c r="B3270" s="106">
        <f t="shared" si="97"/>
        <v>62</v>
      </c>
      <c r="C3270" s="107">
        <f ca="1">OFFSET(tab_tipo_Combustivel!$A$1,MATCH(B3270,tab_tipo_Combustivel!$A$2:$A$150,0),MATCH(A3270,tab_tipo_Combustivel!$B$1:$AQ$1,0),1,1)</f>
        <v>309.24</v>
      </c>
    </row>
    <row r="3271" spans="1:3">
      <c r="A3271" s="3">
        <f t="shared" si="96"/>
        <v>2036</v>
      </c>
      <c r="B3271" s="106">
        <f t="shared" si="97"/>
        <v>63</v>
      </c>
      <c r="C3271" s="107">
        <f ca="1">OFFSET(tab_tipo_Combustivel!$A$1,MATCH(B3271,tab_tipo_Combustivel!$A$2:$A$150,0),MATCH(A3271,tab_tipo_Combustivel!$B$1:$AQ$1,0),1,1)</f>
        <v>365.77</v>
      </c>
    </row>
    <row r="3272" spans="1:3">
      <c r="A3272" s="3">
        <f t="shared" si="96"/>
        <v>2036</v>
      </c>
      <c r="B3272" s="106">
        <f t="shared" si="97"/>
        <v>64</v>
      </c>
      <c r="C3272" s="107">
        <f ca="1">OFFSET(tab_tipo_Combustivel!$A$1,MATCH(B3272,tab_tipo_Combustivel!$A$2:$A$150,0),MATCH(A3272,tab_tipo_Combustivel!$B$1:$AQ$1,0),1,1)</f>
        <v>853.54</v>
      </c>
    </row>
    <row r="3273" spans="1:3">
      <c r="A3273" s="3">
        <f t="shared" si="96"/>
        <v>2036</v>
      </c>
      <c r="B3273" s="106">
        <f t="shared" si="97"/>
        <v>68</v>
      </c>
      <c r="C3273" s="107">
        <f ca="1">OFFSET(tab_tipo_Combustivel!$A$1,MATCH(B3273,tab_tipo_Combustivel!$A$2:$A$150,0),MATCH(A3273,tab_tipo_Combustivel!$B$1:$AQ$1,0),1,1)</f>
        <v>195.63</v>
      </c>
    </row>
    <row r="3274" spans="1:3">
      <c r="A3274" s="3">
        <f t="shared" ref="A3274:A3337" si="98">A3139+1</f>
        <v>2036</v>
      </c>
      <c r="B3274" s="106">
        <f t="shared" ref="B3274:B3337" si="99">B3139</f>
        <v>74</v>
      </c>
      <c r="C3274" s="107">
        <f ca="1">OFFSET(tab_tipo_Combustivel!$A$1,MATCH(B3274,tab_tipo_Combustivel!$A$2:$A$150,0),MATCH(A3274,tab_tipo_Combustivel!$B$1:$AQ$1,0),1,1)</f>
        <v>364.46</v>
      </c>
    </row>
    <row r="3275" spans="1:3">
      <c r="A3275" s="3">
        <f t="shared" si="98"/>
        <v>2036</v>
      </c>
      <c r="B3275" s="106">
        <f t="shared" si="99"/>
        <v>83</v>
      </c>
      <c r="C3275" s="107">
        <f ca="1">OFFSET(tab_tipo_Combustivel!$A$1,MATCH(B3275,tab_tipo_Combustivel!$A$2:$A$150,0),MATCH(A3275,tab_tipo_Combustivel!$B$1:$AQ$1,0),1,1)</f>
        <v>448.1</v>
      </c>
    </row>
    <row r="3276" spans="1:3">
      <c r="A3276" s="3">
        <f t="shared" si="98"/>
        <v>2036</v>
      </c>
      <c r="B3276" s="106">
        <f t="shared" si="99"/>
        <v>86</v>
      </c>
      <c r="C3276" s="107">
        <f ca="1">OFFSET(tab_tipo_Combustivel!$A$1,MATCH(B3276,tab_tipo_Combustivel!$A$2:$A$150,0),MATCH(A3276,tab_tipo_Combustivel!$B$1:$AQ$1,0),1,1)</f>
        <v>170.34</v>
      </c>
    </row>
    <row r="3277" spans="1:3">
      <c r="A3277" s="3">
        <f t="shared" si="98"/>
        <v>2036</v>
      </c>
      <c r="B3277" s="106">
        <f t="shared" si="99"/>
        <v>90</v>
      </c>
      <c r="C3277" s="107">
        <f ca="1">OFFSET(tab_tipo_Combustivel!$A$1,MATCH(B3277,tab_tipo_Combustivel!$A$2:$A$150,0),MATCH(A3277,tab_tipo_Combustivel!$B$1:$AQ$1,0),1,1)</f>
        <v>533.1</v>
      </c>
    </row>
    <row r="3278" spans="1:3">
      <c r="A3278" s="3">
        <f t="shared" si="98"/>
        <v>2036</v>
      </c>
      <c r="B3278" s="106">
        <f t="shared" si="99"/>
        <v>93</v>
      </c>
      <c r="C3278" s="107">
        <f ca="1">OFFSET(tab_tipo_Combustivel!$A$1,MATCH(B3278,tab_tipo_Combustivel!$A$2:$A$150,0),MATCH(A3278,tab_tipo_Combustivel!$B$1:$AQ$1,0),1,1)</f>
        <v>842.33</v>
      </c>
    </row>
    <row r="3279" spans="1:3">
      <c r="A3279" s="3">
        <f t="shared" si="98"/>
        <v>2036</v>
      </c>
      <c r="B3279" s="106">
        <f t="shared" si="99"/>
        <v>94</v>
      </c>
      <c r="C3279" s="107">
        <f ca="1">OFFSET(tab_tipo_Combustivel!$A$1,MATCH(B3279,tab_tipo_Combustivel!$A$2:$A$150,0),MATCH(A3279,tab_tipo_Combustivel!$B$1:$AQ$1,0),1,1)</f>
        <v>842.33</v>
      </c>
    </row>
    <row r="3280" spans="1:3">
      <c r="A3280" s="3">
        <f t="shared" si="98"/>
        <v>2036</v>
      </c>
      <c r="B3280" s="106">
        <f t="shared" si="99"/>
        <v>96</v>
      </c>
      <c r="C3280" s="107">
        <f ca="1">OFFSET(tab_tipo_Combustivel!$A$1,MATCH(B3280,tab_tipo_Combustivel!$A$2:$A$150,0),MATCH(A3280,tab_tipo_Combustivel!$B$1:$AQ$1,0),1,1)</f>
        <v>99.92</v>
      </c>
    </row>
    <row r="3281" spans="1:3">
      <c r="A3281" s="3">
        <f t="shared" si="98"/>
        <v>2036</v>
      </c>
      <c r="B3281" s="106">
        <f t="shared" si="99"/>
        <v>98</v>
      </c>
      <c r="C3281" s="107">
        <f ca="1">OFFSET(tab_tipo_Combustivel!$A$1,MATCH(B3281,tab_tipo_Combustivel!$A$2:$A$150,0),MATCH(A3281,tab_tipo_Combustivel!$B$1:$AQ$1,0),1,1)</f>
        <v>489.8</v>
      </c>
    </row>
    <row r="3282" spans="1:3">
      <c r="A3282" s="3">
        <f t="shared" si="98"/>
        <v>2036</v>
      </c>
      <c r="B3282" s="106">
        <f t="shared" si="99"/>
        <v>107</v>
      </c>
      <c r="C3282" s="107">
        <f ca="1">OFFSET(tab_tipo_Combustivel!$A$1,MATCH(B3282,tab_tipo_Combustivel!$A$2:$A$150,0),MATCH(A3282,tab_tipo_Combustivel!$B$1:$AQ$1,0),1,1)</f>
        <v>57.63</v>
      </c>
    </row>
    <row r="3283" spans="1:3">
      <c r="A3283" s="3">
        <f t="shared" si="98"/>
        <v>2036</v>
      </c>
      <c r="B3283" s="106">
        <f t="shared" si="99"/>
        <v>110</v>
      </c>
      <c r="C3283" s="107">
        <f ca="1">OFFSET(tab_tipo_Combustivel!$A$1,MATCH(B3283,tab_tipo_Combustivel!$A$2:$A$150,0),MATCH(A3283,tab_tipo_Combustivel!$B$1:$AQ$1,0),1,1)</f>
        <v>568.29</v>
      </c>
    </row>
    <row r="3284" spans="1:3">
      <c r="A3284" s="3">
        <f t="shared" si="98"/>
        <v>2036</v>
      </c>
      <c r="B3284" s="106">
        <f t="shared" si="99"/>
        <v>116</v>
      </c>
      <c r="C3284" s="107">
        <f ca="1">OFFSET(tab_tipo_Combustivel!$A$1,MATCH(B3284,tab_tipo_Combustivel!$A$2:$A$150,0),MATCH(A3284,tab_tipo_Combustivel!$B$1:$AQ$1,0),1,1)</f>
        <v>117.46</v>
      </c>
    </row>
    <row r="3285" spans="1:3">
      <c r="A3285" s="3">
        <f t="shared" si="98"/>
        <v>2036</v>
      </c>
      <c r="B3285" s="106">
        <f t="shared" si="99"/>
        <v>140</v>
      </c>
      <c r="C3285" s="107">
        <f ca="1">OFFSET(tab_tipo_Combustivel!$A$1,MATCH(B3285,tab_tipo_Combustivel!$A$2:$A$150,0),MATCH(A3285,tab_tipo_Combustivel!$B$1:$AQ$1,0),1,1)</f>
        <v>88.11</v>
      </c>
    </row>
    <row r="3286" spans="1:3">
      <c r="A3286" s="3">
        <f t="shared" si="98"/>
        <v>2036</v>
      </c>
      <c r="B3286" s="106">
        <f t="shared" si="99"/>
        <v>141</v>
      </c>
      <c r="C3286" s="107">
        <f ca="1">OFFSET(tab_tipo_Combustivel!$A$1,MATCH(B3286,tab_tipo_Combustivel!$A$2:$A$150,0),MATCH(A3286,tab_tipo_Combustivel!$B$1:$AQ$1,0),1,1)</f>
        <v>1280.52</v>
      </c>
    </row>
    <row r="3287" spans="1:3">
      <c r="A3287" s="3">
        <f t="shared" si="98"/>
        <v>2036</v>
      </c>
      <c r="B3287" s="106">
        <f t="shared" si="99"/>
        <v>147</v>
      </c>
      <c r="C3287" s="107">
        <f ca="1">OFFSET(tab_tipo_Combustivel!$A$1,MATCH(B3287,tab_tipo_Combustivel!$A$2:$A$150,0),MATCH(A3287,tab_tipo_Combustivel!$B$1:$AQ$1,0),1,1)</f>
        <v>134.18</v>
      </c>
    </row>
    <row r="3288" spans="1:3">
      <c r="A3288" s="3">
        <f t="shared" si="98"/>
        <v>2036</v>
      </c>
      <c r="B3288" s="106">
        <f t="shared" si="99"/>
        <v>156</v>
      </c>
      <c r="C3288" s="107">
        <f ca="1">OFFSET(tab_tipo_Combustivel!$A$1,MATCH(B3288,tab_tipo_Combustivel!$A$2:$A$150,0),MATCH(A3288,tab_tipo_Combustivel!$B$1:$AQ$1,0),1,1)</f>
        <v>77.12</v>
      </c>
    </row>
    <row r="3289" spans="1:3">
      <c r="A3289" s="3">
        <f t="shared" si="98"/>
        <v>2036</v>
      </c>
      <c r="B3289" s="106">
        <f t="shared" si="99"/>
        <v>163</v>
      </c>
      <c r="C3289" s="107">
        <f ca="1">OFFSET(tab_tipo_Combustivel!$A$1,MATCH(B3289,tab_tipo_Combustivel!$A$2:$A$150,0),MATCH(A3289,tab_tipo_Combustivel!$B$1:$AQ$1,0),1,1)</f>
        <v>156.69999999999999</v>
      </c>
    </row>
    <row r="3290" spans="1:3">
      <c r="A3290" s="3">
        <f t="shared" si="98"/>
        <v>2036</v>
      </c>
      <c r="B3290" s="106">
        <f t="shared" si="99"/>
        <v>167</v>
      </c>
      <c r="C3290" s="107">
        <f ca="1">OFFSET(tab_tipo_Combustivel!$A$1,MATCH(B3290,tab_tipo_Combustivel!$A$2:$A$150,0),MATCH(A3290,tab_tipo_Combustivel!$B$1:$AQ$1,0),1,1)</f>
        <v>144.66999999999999</v>
      </c>
    </row>
    <row r="3291" spans="1:3">
      <c r="A3291" s="3">
        <f t="shared" si="98"/>
        <v>2036</v>
      </c>
      <c r="B3291" s="106">
        <f t="shared" si="99"/>
        <v>171</v>
      </c>
      <c r="C3291" s="107">
        <f ca="1">OFFSET(tab_tipo_Combustivel!$A$1,MATCH(B3291,tab_tipo_Combustivel!$A$2:$A$150,0),MATCH(A3291,tab_tipo_Combustivel!$B$1:$AQ$1,0),1,1)</f>
        <v>88</v>
      </c>
    </row>
    <row r="3292" spans="1:3">
      <c r="A3292" s="3">
        <f t="shared" si="98"/>
        <v>2036</v>
      </c>
      <c r="B3292" s="106">
        <f t="shared" si="99"/>
        <v>172</v>
      </c>
      <c r="C3292" s="107">
        <f ca="1">OFFSET(tab_tipo_Combustivel!$A$1,MATCH(B3292,tab_tipo_Combustivel!$A$2:$A$150,0),MATCH(A3292,tab_tipo_Combustivel!$B$1:$AQ$1,0),1,1)</f>
        <v>99.97</v>
      </c>
    </row>
    <row r="3293" spans="1:3">
      <c r="A3293" s="3">
        <f t="shared" si="98"/>
        <v>2036</v>
      </c>
      <c r="B3293" s="106">
        <f t="shared" si="99"/>
        <v>173</v>
      </c>
      <c r="C3293" s="107">
        <f ca="1">OFFSET(tab_tipo_Combustivel!$A$1,MATCH(B3293,tab_tipo_Combustivel!$A$2:$A$150,0),MATCH(A3293,tab_tipo_Combustivel!$B$1:$AQ$1,0),1,1)</f>
        <v>192.03</v>
      </c>
    </row>
    <row r="3294" spans="1:3">
      <c r="A3294" s="3">
        <f t="shared" si="98"/>
        <v>2036</v>
      </c>
      <c r="B3294" s="106">
        <f t="shared" si="99"/>
        <v>174</v>
      </c>
      <c r="C3294" s="107">
        <f ca="1">OFFSET(tab_tipo_Combustivel!$A$1,MATCH(B3294,tab_tipo_Combustivel!$A$2:$A$150,0),MATCH(A3294,tab_tipo_Combustivel!$B$1:$AQ$1,0),1,1)</f>
        <v>331.22</v>
      </c>
    </row>
    <row r="3295" spans="1:3">
      <c r="A3295" s="3">
        <f t="shared" si="98"/>
        <v>2036</v>
      </c>
      <c r="B3295" s="106">
        <f t="shared" si="99"/>
        <v>176</v>
      </c>
      <c r="C3295" s="107">
        <f ca="1">OFFSET(tab_tipo_Combustivel!$A$1,MATCH(B3295,tab_tipo_Combustivel!$A$2:$A$150,0),MATCH(A3295,tab_tipo_Combustivel!$B$1:$AQ$1,0),1,1)</f>
        <v>149.47999999999999</v>
      </c>
    </row>
    <row r="3296" spans="1:3">
      <c r="A3296" s="3">
        <f t="shared" si="98"/>
        <v>2036</v>
      </c>
      <c r="B3296" s="106">
        <f t="shared" si="99"/>
        <v>183</v>
      </c>
      <c r="C3296" s="107">
        <f ca="1">OFFSET(tab_tipo_Combustivel!$A$1,MATCH(B3296,tab_tipo_Combustivel!$A$2:$A$150,0),MATCH(A3296,tab_tipo_Combustivel!$B$1:$AQ$1,0),1,1)</f>
        <v>171.61</v>
      </c>
    </row>
    <row r="3297" spans="1:3">
      <c r="A3297" s="3">
        <f t="shared" si="98"/>
        <v>2036</v>
      </c>
      <c r="B3297" s="106">
        <f t="shared" si="99"/>
        <v>194</v>
      </c>
      <c r="C3297" s="107">
        <f ca="1">OFFSET(tab_tipo_Combustivel!$A$1,MATCH(B3297,tab_tipo_Combustivel!$A$2:$A$150,0),MATCH(A3297,tab_tipo_Combustivel!$B$1:$AQ$1,0),1,1)</f>
        <v>1098.58</v>
      </c>
    </row>
    <row r="3298" spans="1:3">
      <c r="A3298" s="3">
        <f t="shared" si="98"/>
        <v>2036</v>
      </c>
      <c r="B3298" s="106">
        <f t="shared" si="99"/>
        <v>203</v>
      </c>
      <c r="C3298" s="107">
        <f ca="1">OFFSET(tab_tipo_Combustivel!$A$1,MATCH(B3298,tab_tipo_Combustivel!$A$2:$A$150,0),MATCH(A3298,tab_tipo_Combustivel!$B$1:$AQ$1,0),1,1)</f>
        <v>0</v>
      </c>
    </row>
    <row r="3299" spans="1:3">
      <c r="A3299" s="3">
        <f t="shared" si="98"/>
        <v>2036</v>
      </c>
      <c r="B3299" s="106">
        <f t="shared" si="99"/>
        <v>204</v>
      </c>
      <c r="C3299" s="107">
        <f ca="1">OFFSET(tab_tipo_Combustivel!$A$1,MATCH(B3299,tab_tipo_Combustivel!$A$2:$A$150,0),MATCH(A3299,tab_tipo_Combustivel!$B$1:$AQ$1,0),1,1)</f>
        <v>0</v>
      </c>
    </row>
    <row r="3300" spans="1:3">
      <c r="A3300" s="3">
        <f t="shared" si="98"/>
        <v>2036</v>
      </c>
      <c r="B3300" s="106">
        <f t="shared" si="99"/>
        <v>205</v>
      </c>
      <c r="C3300" s="107">
        <f ca="1">OFFSET(tab_tipo_Combustivel!$A$1,MATCH(B3300,tab_tipo_Combustivel!$A$2:$A$150,0),MATCH(A3300,tab_tipo_Combustivel!$B$1:$AQ$1,0),1,1)</f>
        <v>0</v>
      </c>
    </row>
    <row r="3301" spans="1:3">
      <c r="A3301" s="3">
        <f t="shared" si="98"/>
        <v>2036</v>
      </c>
      <c r="B3301" s="106">
        <f t="shared" si="99"/>
        <v>207</v>
      </c>
      <c r="C3301" s="107">
        <f ca="1">OFFSET(tab_tipo_Combustivel!$A$1,MATCH(B3301,tab_tipo_Combustivel!$A$2:$A$150,0),MATCH(A3301,tab_tipo_Combustivel!$B$1:$AQ$1,0),1,1)</f>
        <v>0</v>
      </c>
    </row>
    <row r="3302" spans="1:3">
      <c r="A3302" s="3">
        <f t="shared" si="98"/>
        <v>2036</v>
      </c>
      <c r="B3302" s="106">
        <f t="shared" si="99"/>
        <v>208</v>
      </c>
      <c r="C3302" s="107">
        <f ca="1">OFFSET(tab_tipo_Combustivel!$A$1,MATCH(B3302,tab_tipo_Combustivel!$A$2:$A$150,0),MATCH(A3302,tab_tipo_Combustivel!$B$1:$AQ$1,0),1,1)</f>
        <v>783.64</v>
      </c>
    </row>
    <row r="3303" spans="1:3">
      <c r="A3303" s="3">
        <f t="shared" si="98"/>
        <v>2036</v>
      </c>
      <c r="B3303" s="106">
        <f t="shared" si="99"/>
        <v>209</v>
      </c>
      <c r="C3303" s="107">
        <f ca="1">OFFSET(tab_tipo_Combustivel!$A$1,MATCH(B3303,tab_tipo_Combustivel!$A$2:$A$150,0),MATCH(A3303,tab_tipo_Combustivel!$B$1:$AQ$1,0),1,1)</f>
        <v>0</v>
      </c>
    </row>
    <row r="3304" spans="1:3">
      <c r="A3304" s="3">
        <f t="shared" si="98"/>
        <v>2036</v>
      </c>
      <c r="B3304" s="106">
        <f t="shared" si="99"/>
        <v>211</v>
      </c>
      <c r="C3304" s="107">
        <f ca="1">OFFSET(tab_tipo_Combustivel!$A$1,MATCH(B3304,tab_tipo_Combustivel!$A$2:$A$150,0),MATCH(A3304,tab_tipo_Combustivel!$B$1:$AQ$1,0),1,1)</f>
        <v>150.79</v>
      </c>
    </row>
    <row r="3305" spans="1:3">
      <c r="A3305" s="3">
        <f t="shared" si="98"/>
        <v>2036</v>
      </c>
      <c r="B3305" s="106">
        <f t="shared" si="99"/>
        <v>212</v>
      </c>
      <c r="C3305" s="107">
        <f ca="1">OFFSET(tab_tipo_Combustivel!$A$1,MATCH(B3305,tab_tipo_Combustivel!$A$2:$A$150,0),MATCH(A3305,tab_tipo_Combustivel!$B$1:$AQ$1,0),1,1)</f>
        <v>84.58</v>
      </c>
    </row>
    <row r="3306" spans="1:3">
      <c r="A3306" s="3">
        <f t="shared" si="98"/>
        <v>2036</v>
      </c>
      <c r="B3306" s="106">
        <f t="shared" si="99"/>
        <v>224</v>
      </c>
      <c r="C3306" s="107">
        <f ca="1">OFFSET(tab_tipo_Combustivel!$A$1,MATCH(B3306,tab_tipo_Combustivel!$A$2:$A$150,0),MATCH(A3306,tab_tipo_Combustivel!$B$1:$AQ$1,0),1,1)</f>
        <v>31.08</v>
      </c>
    </row>
    <row r="3307" spans="1:3">
      <c r="A3307" s="3">
        <f t="shared" si="98"/>
        <v>2036</v>
      </c>
      <c r="B3307" s="106">
        <f t="shared" si="99"/>
        <v>225</v>
      </c>
      <c r="C3307" s="107">
        <f ca="1">OFFSET(tab_tipo_Combustivel!$A$1,MATCH(B3307,tab_tipo_Combustivel!$A$2:$A$150,0),MATCH(A3307,tab_tipo_Combustivel!$B$1:$AQ$1,0),1,1)</f>
        <v>1329.7</v>
      </c>
    </row>
    <row r="3308" spans="1:3">
      <c r="A3308" s="3">
        <f t="shared" si="98"/>
        <v>2036</v>
      </c>
      <c r="B3308" s="106">
        <f t="shared" si="99"/>
        <v>226</v>
      </c>
      <c r="C3308" s="107">
        <f ca="1">OFFSET(tab_tipo_Combustivel!$A$1,MATCH(B3308,tab_tipo_Combustivel!$A$2:$A$150,0),MATCH(A3308,tab_tipo_Combustivel!$B$1:$AQ$1,0),1,1)</f>
        <v>1061.1300000000001</v>
      </c>
    </row>
    <row r="3309" spans="1:3">
      <c r="A3309" s="3">
        <f t="shared" si="98"/>
        <v>2036</v>
      </c>
      <c r="B3309" s="106">
        <f t="shared" si="99"/>
        <v>227</v>
      </c>
      <c r="C3309" s="107">
        <f ca="1">OFFSET(tab_tipo_Combustivel!$A$1,MATCH(B3309,tab_tipo_Combustivel!$A$2:$A$150,0),MATCH(A3309,tab_tipo_Combustivel!$B$1:$AQ$1,0),1,1)</f>
        <v>447.52</v>
      </c>
    </row>
    <row r="3310" spans="1:3">
      <c r="A3310" s="3">
        <f t="shared" si="98"/>
        <v>2036</v>
      </c>
      <c r="B3310" s="106">
        <f t="shared" si="99"/>
        <v>228</v>
      </c>
      <c r="C3310" s="107">
        <f ca="1">OFFSET(tab_tipo_Combustivel!$A$1,MATCH(B3310,tab_tipo_Combustivel!$A$2:$A$150,0),MATCH(A3310,tab_tipo_Combustivel!$B$1:$AQ$1,0),1,1)</f>
        <v>1061.1400000000001</v>
      </c>
    </row>
    <row r="3311" spans="1:3">
      <c r="A3311" s="3">
        <f t="shared" si="98"/>
        <v>2036</v>
      </c>
      <c r="B3311" s="106">
        <f t="shared" si="99"/>
        <v>229</v>
      </c>
      <c r="C3311" s="107">
        <f ca="1">OFFSET(tab_tipo_Combustivel!$A$1,MATCH(B3311,tab_tipo_Combustivel!$A$2:$A$150,0),MATCH(A3311,tab_tipo_Combustivel!$B$1:$AQ$1,0),1,1)</f>
        <v>942.05</v>
      </c>
    </row>
    <row r="3312" spans="1:3">
      <c r="A3312" s="3">
        <f t="shared" si="98"/>
        <v>2036</v>
      </c>
      <c r="B3312" s="106">
        <f t="shared" si="99"/>
        <v>230</v>
      </c>
      <c r="C3312" s="107">
        <f ca="1">OFFSET(tab_tipo_Combustivel!$A$1,MATCH(B3312,tab_tipo_Combustivel!$A$2:$A$150,0),MATCH(A3312,tab_tipo_Combustivel!$B$1:$AQ$1,0),1,1)</f>
        <v>495.06</v>
      </c>
    </row>
    <row r="3313" spans="1:3">
      <c r="A3313" s="3">
        <f t="shared" si="98"/>
        <v>2036</v>
      </c>
      <c r="B3313" s="106">
        <f t="shared" si="99"/>
        <v>231</v>
      </c>
      <c r="C3313" s="107">
        <f ca="1">OFFSET(tab_tipo_Combustivel!$A$1,MATCH(B3313,tab_tipo_Combustivel!$A$2:$A$150,0),MATCH(A3313,tab_tipo_Combustivel!$B$1:$AQ$1,0),1,1)</f>
        <v>489.29</v>
      </c>
    </row>
    <row r="3314" spans="1:3">
      <c r="A3314" s="3">
        <f t="shared" si="98"/>
        <v>2036</v>
      </c>
      <c r="B3314" s="106">
        <f t="shared" si="99"/>
        <v>232</v>
      </c>
      <c r="C3314" s="107">
        <f ca="1">OFFSET(tab_tipo_Combustivel!$A$1,MATCH(B3314,tab_tipo_Combustivel!$A$2:$A$150,0),MATCH(A3314,tab_tipo_Combustivel!$B$1:$AQ$1,0),1,1)</f>
        <v>842.33</v>
      </c>
    </row>
    <row r="3315" spans="1:3">
      <c r="A3315" s="3">
        <f t="shared" si="98"/>
        <v>2036</v>
      </c>
      <c r="B3315" s="106">
        <f t="shared" si="99"/>
        <v>233</v>
      </c>
      <c r="C3315" s="107">
        <f ca="1">OFFSET(tab_tipo_Combustivel!$A$1,MATCH(B3315,tab_tipo_Combustivel!$A$2:$A$150,0),MATCH(A3315,tab_tipo_Combustivel!$B$1:$AQ$1,0),1,1)</f>
        <v>984.29</v>
      </c>
    </row>
    <row r="3316" spans="1:3">
      <c r="A3316" s="3">
        <f t="shared" si="98"/>
        <v>2036</v>
      </c>
      <c r="B3316" s="106">
        <f t="shared" si="99"/>
        <v>234</v>
      </c>
      <c r="C3316" s="107">
        <f ca="1">OFFSET(tab_tipo_Combustivel!$A$1,MATCH(B3316,tab_tipo_Combustivel!$A$2:$A$150,0),MATCH(A3316,tab_tipo_Combustivel!$B$1:$AQ$1,0),1,1)</f>
        <v>290.26</v>
      </c>
    </row>
    <row r="3317" spans="1:3">
      <c r="A3317" s="3">
        <f t="shared" si="98"/>
        <v>2036</v>
      </c>
      <c r="B3317" s="106">
        <f t="shared" si="99"/>
        <v>235</v>
      </c>
      <c r="C3317" s="107">
        <f ca="1">OFFSET(tab_tipo_Combustivel!$A$1,MATCH(B3317,tab_tipo_Combustivel!$A$2:$A$150,0),MATCH(A3317,tab_tipo_Combustivel!$B$1:$AQ$1,0),1,1)</f>
        <v>1350.87</v>
      </c>
    </row>
    <row r="3318" spans="1:3">
      <c r="A3318" s="3">
        <f t="shared" si="98"/>
        <v>2036</v>
      </c>
      <c r="B3318" s="106">
        <f t="shared" si="99"/>
        <v>236</v>
      </c>
      <c r="C3318" s="107">
        <f ca="1">OFFSET(tab_tipo_Combustivel!$A$1,MATCH(B3318,tab_tipo_Combustivel!$A$2:$A$150,0),MATCH(A3318,tab_tipo_Combustivel!$B$1:$AQ$1,0),1,1)</f>
        <v>842.33</v>
      </c>
    </row>
    <row r="3319" spans="1:3">
      <c r="A3319" s="3">
        <f t="shared" si="98"/>
        <v>2036</v>
      </c>
      <c r="B3319" s="106">
        <f t="shared" si="99"/>
        <v>237</v>
      </c>
      <c r="C3319" s="107">
        <f ca="1">OFFSET(tab_tipo_Combustivel!$A$1,MATCH(B3319,tab_tipo_Combustivel!$A$2:$A$150,0),MATCH(A3319,tab_tipo_Combustivel!$B$1:$AQ$1,0),1,1)</f>
        <v>760.85</v>
      </c>
    </row>
    <row r="3320" spans="1:3">
      <c r="A3320" s="3">
        <f t="shared" si="98"/>
        <v>2036</v>
      </c>
      <c r="B3320" s="106">
        <f t="shared" si="99"/>
        <v>238</v>
      </c>
      <c r="C3320" s="107">
        <f ca="1">OFFSET(tab_tipo_Combustivel!$A$1,MATCH(B3320,tab_tipo_Combustivel!$A$2:$A$150,0),MATCH(A3320,tab_tipo_Combustivel!$B$1:$AQ$1,0),1,1)</f>
        <v>963.75</v>
      </c>
    </row>
    <row r="3321" spans="1:3">
      <c r="A3321" s="3">
        <f t="shared" si="98"/>
        <v>2036</v>
      </c>
      <c r="B3321" s="106">
        <f t="shared" si="99"/>
        <v>239</v>
      </c>
      <c r="C3321" s="107">
        <f ca="1">OFFSET(tab_tipo_Combustivel!$A$1,MATCH(B3321,tab_tipo_Combustivel!$A$2:$A$150,0),MATCH(A3321,tab_tipo_Combustivel!$B$1:$AQ$1,0),1,1)</f>
        <v>963.75</v>
      </c>
    </row>
    <row r="3322" spans="1:3">
      <c r="A3322" s="3">
        <f t="shared" si="98"/>
        <v>2036</v>
      </c>
      <c r="B3322" s="106">
        <f t="shared" si="99"/>
        <v>240</v>
      </c>
      <c r="C3322" s="107">
        <f ca="1">OFFSET(tab_tipo_Combustivel!$A$1,MATCH(B3322,tab_tipo_Combustivel!$A$2:$A$150,0),MATCH(A3322,tab_tipo_Combustivel!$B$1:$AQ$1,0),1,1)</f>
        <v>1115.96</v>
      </c>
    </row>
    <row r="3323" spans="1:3">
      <c r="A3323" s="3">
        <f t="shared" si="98"/>
        <v>2036</v>
      </c>
      <c r="B3323" s="106">
        <f t="shared" si="99"/>
        <v>241</v>
      </c>
      <c r="C3323" s="107">
        <f ca="1">OFFSET(tab_tipo_Combustivel!$A$1,MATCH(B3323,tab_tipo_Combustivel!$A$2:$A$150,0),MATCH(A3323,tab_tipo_Combustivel!$B$1:$AQ$1,0),1,1)</f>
        <v>495.75</v>
      </c>
    </row>
    <row r="3324" spans="1:3">
      <c r="A3324" s="3">
        <f t="shared" si="98"/>
        <v>2036</v>
      </c>
      <c r="B3324" s="106">
        <f t="shared" si="99"/>
        <v>242</v>
      </c>
      <c r="C3324" s="107">
        <f ca="1">OFFSET(tab_tipo_Combustivel!$A$1,MATCH(B3324,tab_tipo_Combustivel!$A$2:$A$150,0),MATCH(A3324,tab_tipo_Combustivel!$B$1:$AQ$1,0),1,1)</f>
        <v>1176.45</v>
      </c>
    </row>
    <row r="3325" spans="1:3">
      <c r="A3325" s="3">
        <f t="shared" si="98"/>
        <v>2036</v>
      </c>
      <c r="B3325" s="106">
        <f t="shared" si="99"/>
        <v>243</v>
      </c>
      <c r="C3325" s="107">
        <f ca="1">OFFSET(tab_tipo_Combustivel!$A$1,MATCH(B3325,tab_tipo_Combustivel!$A$2:$A$150,0),MATCH(A3325,tab_tipo_Combustivel!$B$1:$AQ$1,0),1,1)</f>
        <v>495.08</v>
      </c>
    </row>
    <row r="3326" spans="1:3">
      <c r="A3326" s="3">
        <f t="shared" si="98"/>
        <v>2036</v>
      </c>
      <c r="B3326" s="106">
        <f t="shared" si="99"/>
        <v>244</v>
      </c>
      <c r="C3326" s="107">
        <f ca="1">OFFSET(tab_tipo_Combustivel!$A$1,MATCH(B3326,tab_tipo_Combustivel!$A$2:$A$150,0),MATCH(A3326,tab_tipo_Combustivel!$B$1:$AQ$1,0),1,1)</f>
        <v>495.06</v>
      </c>
    </row>
    <row r="3327" spans="1:3">
      <c r="A3327" s="3">
        <f t="shared" si="98"/>
        <v>2036</v>
      </c>
      <c r="B3327" s="106">
        <f t="shared" si="99"/>
        <v>245</v>
      </c>
      <c r="C3327" s="107">
        <f ca="1">OFFSET(tab_tipo_Combustivel!$A$1,MATCH(B3327,tab_tipo_Combustivel!$A$2:$A$150,0),MATCH(A3327,tab_tipo_Combustivel!$B$1:$AQ$1,0),1,1)</f>
        <v>562.65</v>
      </c>
    </row>
    <row r="3328" spans="1:3">
      <c r="A3328" s="3">
        <f t="shared" si="98"/>
        <v>2036</v>
      </c>
      <c r="B3328" s="106">
        <f t="shared" si="99"/>
        <v>246</v>
      </c>
      <c r="C3328" s="107">
        <f ca="1">OFFSET(tab_tipo_Combustivel!$A$1,MATCH(B3328,tab_tipo_Combustivel!$A$2:$A$150,0),MATCH(A3328,tab_tipo_Combustivel!$B$1:$AQ$1,0),1,1)</f>
        <v>1124.53</v>
      </c>
    </row>
    <row r="3329" spans="1:3">
      <c r="A3329" s="3">
        <f t="shared" si="98"/>
        <v>2036</v>
      </c>
      <c r="B3329" s="106">
        <f t="shared" si="99"/>
        <v>247</v>
      </c>
      <c r="C3329" s="107">
        <f ca="1">OFFSET(tab_tipo_Combustivel!$A$1,MATCH(B3329,tab_tipo_Combustivel!$A$2:$A$150,0),MATCH(A3329,tab_tipo_Combustivel!$B$1:$AQ$1,0),1,1)</f>
        <v>609.51</v>
      </c>
    </row>
    <row r="3330" spans="1:3">
      <c r="A3330" s="3">
        <f t="shared" si="98"/>
        <v>2036</v>
      </c>
      <c r="B3330" s="106">
        <f t="shared" si="99"/>
        <v>248</v>
      </c>
      <c r="C3330" s="107">
        <f ca="1">OFFSET(tab_tipo_Combustivel!$A$1,MATCH(B3330,tab_tipo_Combustivel!$A$2:$A$150,0),MATCH(A3330,tab_tipo_Combustivel!$B$1:$AQ$1,0),1,1)</f>
        <v>495.06</v>
      </c>
    </row>
    <row r="3331" spans="1:3">
      <c r="A3331" s="3">
        <f t="shared" si="98"/>
        <v>2036</v>
      </c>
      <c r="B3331" s="106">
        <f t="shared" si="99"/>
        <v>249</v>
      </c>
      <c r="C3331" s="107">
        <f ca="1">OFFSET(tab_tipo_Combustivel!$A$1,MATCH(B3331,tab_tipo_Combustivel!$A$2:$A$150,0),MATCH(A3331,tab_tipo_Combustivel!$B$1:$AQ$1,0),1,1)</f>
        <v>842.33</v>
      </c>
    </row>
    <row r="3332" spans="1:3">
      <c r="A3332" s="3">
        <f t="shared" si="98"/>
        <v>2036</v>
      </c>
      <c r="B3332" s="106">
        <f t="shared" si="99"/>
        <v>250</v>
      </c>
      <c r="C3332" s="107">
        <f ca="1">OFFSET(tab_tipo_Combustivel!$A$1,MATCH(B3332,tab_tipo_Combustivel!$A$2:$A$150,0),MATCH(A3332,tab_tipo_Combustivel!$B$1:$AQ$1,0),1,1)</f>
        <v>1176.45</v>
      </c>
    </row>
    <row r="3333" spans="1:3">
      <c r="A3333" s="3">
        <f t="shared" si="98"/>
        <v>2036</v>
      </c>
      <c r="B3333" s="106">
        <f t="shared" si="99"/>
        <v>251</v>
      </c>
      <c r="C3333" s="107">
        <f ca="1">OFFSET(tab_tipo_Combustivel!$A$1,MATCH(B3333,tab_tipo_Combustivel!$A$2:$A$150,0),MATCH(A3333,tab_tipo_Combustivel!$B$1:$AQ$1,0),1,1)</f>
        <v>842.33</v>
      </c>
    </row>
    <row r="3334" spans="1:3">
      <c r="A3334" s="3">
        <f t="shared" si="98"/>
        <v>2036</v>
      </c>
      <c r="B3334" s="106">
        <f t="shared" si="99"/>
        <v>252</v>
      </c>
      <c r="C3334" s="107">
        <f ca="1">OFFSET(tab_tipo_Combustivel!$A$1,MATCH(B3334,tab_tipo_Combustivel!$A$2:$A$150,0),MATCH(A3334,tab_tipo_Combustivel!$B$1:$AQ$1,0),1,1)</f>
        <v>842.33</v>
      </c>
    </row>
    <row r="3335" spans="1:3">
      <c r="A3335" s="3">
        <f t="shared" si="98"/>
        <v>2036</v>
      </c>
      <c r="B3335" s="106">
        <f t="shared" si="99"/>
        <v>253</v>
      </c>
      <c r="C3335" s="107">
        <f ca="1">OFFSET(tab_tipo_Combustivel!$A$1,MATCH(B3335,tab_tipo_Combustivel!$A$2:$A$150,0),MATCH(A3335,tab_tipo_Combustivel!$B$1:$AQ$1,0),1,1)</f>
        <v>279.45</v>
      </c>
    </row>
    <row r="3336" spans="1:3">
      <c r="A3336" s="3">
        <f t="shared" si="98"/>
        <v>2036</v>
      </c>
      <c r="B3336" s="106">
        <f t="shared" si="99"/>
        <v>254</v>
      </c>
      <c r="C3336" s="107">
        <f ca="1">OFFSET(tab_tipo_Combustivel!$A$1,MATCH(B3336,tab_tipo_Combustivel!$A$2:$A$150,0),MATCH(A3336,tab_tipo_Combustivel!$B$1:$AQ$1,0),1,1)</f>
        <v>1153.98</v>
      </c>
    </row>
    <row r="3337" spans="1:3">
      <c r="A3337" s="3">
        <f t="shared" si="98"/>
        <v>2036</v>
      </c>
      <c r="B3337" s="106">
        <f t="shared" si="99"/>
        <v>255</v>
      </c>
      <c r="C3337" s="107">
        <f ca="1">OFFSET(tab_tipo_Combustivel!$A$1,MATCH(B3337,tab_tipo_Combustivel!$A$2:$A$150,0),MATCH(A3337,tab_tipo_Combustivel!$B$1:$AQ$1,0),1,1)</f>
        <v>828.98</v>
      </c>
    </row>
    <row r="3338" spans="1:3">
      <c r="A3338" s="3">
        <f t="shared" ref="A3338:A3401" si="100">A3203+1</f>
        <v>2036</v>
      </c>
      <c r="B3338" s="106">
        <f t="shared" ref="B3338:B3401" si="101">B3203</f>
        <v>256</v>
      </c>
      <c r="C3338" s="107">
        <f ca="1">OFFSET(tab_tipo_Combustivel!$A$1,MATCH(B3338,tab_tipo_Combustivel!$A$2:$A$150,0),MATCH(A3338,tab_tipo_Combustivel!$B$1:$AQ$1,0),1,1)</f>
        <v>562.65</v>
      </c>
    </row>
    <row r="3339" spans="1:3">
      <c r="A3339" s="3">
        <f t="shared" si="100"/>
        <v>2036</v>
      </c>
      <c r="B3339" s="106">
        <f t="shared" si="101"/>
        <v>257</v>
      </c>
      <c r="C3339" s="107">
        <f ca="1">OFFSET(tab_tipo_Combustivel!$A$1,MATCH(B3339,tab_tipo_Combustivel!$A$2:$A$150,0),MATCH(A3339,tab_tipo_Combustivel!$B$1:$AQ$1,0),1,1)</f>
        <v>907.52</v>
      </c>
    </row>
    <row r="3340" spans="1:3">
      <c r="A3340" s="3">
        <f t="shared" si="100"/>
        <v>2036</v>
      </c>
      <c r="B3340" s="106">
        <f t="shared" si="101"/>
        <v>258</v>
      </c>
      <c r="C3340" s="107">
        <f ca="1">OFFSET(tab_tipo_Combustivel!$A$1,MATCH(B3340,tab_tipo_Combustivel!$A$2:$A$150,0),MATCH(A3340,tab_tipo_Combustivel!$B$1:$AQ$1,0),1,1)</f>
        <v>1016.04</v>
      </c>
    </row>
    <row r="3341" spans="1:3">
      <c r="A3341" s="3">
        <f t="shared" si="100"/>
        <v>2036</v>
      </c>
      <c r="B3341" s="106">
        <f t="shared" si="101"/>
        <v>259</v>
      </c>
      <c r="C3341" s="107">
        <f ca="1">OFFSET(tab_tipo_Combustivel!$A$1,MATCH(B3341,tab_tipo_Combustivel!$A$2:$A$150,0),MATCH(A3341,tab_tipo_Combustivel!$B$1:$AQ$1,0),1,1)</f>
        <v>977.53</v>
      </c>
    </row>
    <row r="3342" spans="1:3">
      <c r="A3342" s="3">
        <f t="shared" si="100"/>
        <v>2036</v>
      </c>
      <c r="B3342" s="106">
        <f t="shared" si="101"/>
        <v>260</v>
      </c>
      <c r="C3342" s="107">
        <f ca="1">OFFSET(tab_tipo_Combustivel!$A$1,MATCH(B3342,tab_tipo_Combustivel!$A$2:$A$150,0),MATCH(A3342,tab_tipo_Combustivel!$B$1:$AQ$1,0),1,1)</f>
        <v>827.17</v>
      </c>
    </row>
    <row r="3343" spans="1:3">
      <c r="A3343" s="3">
        <f t="shared" si="100"/>
        <v>2036</v>
      </c>
      <c r="B3343" s="106">
        <f t="shared" si="101"/>
        <v>261</v>
      </c>
      <c r="C3343" s="107">
        <f ca="1">OFFSET(tab_tipo_Combustivel!$A$1,MATCH(B3343,tab_tipo_Combustivel!$A$2:$A$150,0),MATCH(A3343,tab_tipo_Combustivel!$B$1:$AQ$1,0),1,1)</f>
        <v>829.7</v>
      </c>
    </row>
    <row r="3344" spans="1:3">
      <c r="A3344" s="3">
        <f t="shared" si="100"/>
        <v>2036</v>
      </c>
      <c r="B3344" s="106">
        <f t="shared" si="101"/>
        <v>262</v>
      </c>
      <c r="C3344" s="107">
        <f ca="1">OFFSET(tab_tipo_Combustivel!$A$1,MATCH(B3344,tab_tipo_Combustivel!$A$2:$A$150,0),MATCH(A3344,tab_tipo_Combustivel!$B$1:$AQ$1,0),1,1)</f>
        <v>495.75</v>
      </c>
    </row>
    <row r="3345" spans="1:3">
      <c r="A3345" s="3">
        <f t="shared" si="100"/>
        <v>2036</v>
      </c>
      <c r="B3345" s="106">
        <f t="shared" si="101"/>
        <v>263</v>
      </c>
      <c r="C3345" s="107">
        <f ca="1">OFFSET(tab_tipo_Combustivel!$A$1,MATCH(B3345,tab_tipo_Combustivel!$A$2:$A$150,0),MATCH(A3345,tab_tipo_Combustivel!$B$1:$AQ$1,0),1,1)</f>
        <v>474.77</v>
      </c>
    </row>
    <row r="3346" spans="1:3">
      <c r="A3346" s="3">
        <f t="shared" si="100"/>
        <v>2036</v>
      </c>
      <c r="B3346" s="106">
        <f t="shared" si="101"/>
        <v>264</v>
      </c>
      <c r="C3346" s="107">
        <f ca="1">OFFSET(tab_tipo_Combustivel!$A$1,MATCH(B3346,tab_tipo_Combustivel!$A$2:$A$150,0),MATCH(A3346,tab_tipo_Combustivel!$B$1:$AQ$1,0),1,1)</f>
        <v>842.33</v>
      </c>
    </row>
    <row r="3347" spans="1:3">
      <c r="A3347" s="3">
        <f t="shared" si="100"/>
        <v>2036</v>
      </c>
      <c r="B3347" s="106">
        <f t="shared" si="101"/>
        <v>265</v>
      </c>
      <c r="C3347" s="107">
        <f ca="1">OFFSET(tab_tipo_Combustivel!$A$1,MATCH(B3347,tab_tipo_Combustivel!$A$2:$A$150,0),MATCH(A3347,tab_tipo_Combustivel!$B$1:$AQ$1,0),1,1)</f>
        <v>415.82</v>
      </c>
    </row>
    <row r="3348" spans="1:3">
      <c r="A3348" s="3">
        <f t="shared" si="100"/>
        <v>2036</v>
      </c>
      <c r="B3348" s="106">
        <f t="shared" si="101"/>
        <v>266</v>
      </c>
      <c r="C3348" s="107">
        <f ca="1">OFFSET(tab_tipo_Combustivel!$A$1,MATCH(B3348,tab_tipo_Combustivel!$A$2:$A$150,0),MATCH(A3348,tab_tipo_Combustivel!$B$1:$AQ$1,0),1,1)</f>
        <v>827.17</v>
      </c>
    </row>
    <row r="3349" spans="1:3">
      <c r="A3349" s="3">
        <f t="shared" si="100"/>
        <v>2036</v>
      </c>
      <c r="B3349" s="106">
        <f t="shared" si="101"/>
        <v>301</v>
      </c>
      <c r="C3349" s="107">
        <f ca="1">OFFSET(tab_tipo_Combustivel!$A$1,MATCH(B3349,tab_tipo_Combustivel!$A$2:$A$150,0),MATCH(A3349,tab_tipo_Combustivel!$B$1:$AQ$1,0),1,1)</f>
        <v>99.08</v>
      </c>
    </row>
    <row r="3350" spans="1:3">
      <c r="A3350" s="3">
        <f t="shared" si="100"/>
        <v>2036</v>
      </c>
      <c r="B3350" s="106">
        <f t="shared" si="101"/>
        <v>302</v>
      </c>
      <c r="C3350" s="107">
        <f ca="1">OFFSET(tab_tipo_Combustivel!$A$1,MATCH(B3350,tab_tipo_Combustivel!$A$2:$A$150,0),MATCH(A3350,tab_tipo_Combustivel!$B$1:$AQ$1,0),1,1)</f>
        <v>103.73</v>
      </c>
    </row>
    <row r="3351" spans="1:3">
      <c r="A3351" s="3">
        <f t="shared" si="100"/>
        <v>2036</v>
      </c>
      <c r="B3351" s="106">
        <f t="shared" si="101"/>
        <v>303</v>
      </c>
      <c r="C3351" s="107">
        <f ca="1">OFFSET(tab_tipo_Combustivel!$A$1,MATCH(B3351,tab_tipo_Combustivel!$A$2:$A$150,0),MATCH(A3351,tab_tipo_Combustivel!$B$1:$AQ$1,0),1,1)</f>
        <v>103.73</v>
      </c>
    </row>
    <row r="3352" spans="1:3">
      <c r="A3352" s="3">
        <f t="shared" si="100"/>
        <v>2036</v>
      </c>
      <c r="B3352" s="106">
        <f t="shared" si="101"/>
        <v>304</v>
      </c>
      <c r="C3352" s="107">
        <f ca="1">OFFSET(tab_tipo_Combustivel!$A$1,MATCH(B3352,tab_tipo_Combustivel!$A$2:$A$150,0),MATCH(A3352,tab_tipo_Combustivel!$B$1:$AQ$1,0),1,1)</f>
        <v>139.41999999999999</v>
      </c>
    </row>
    <row r="3353" spans="1:3">
      <c r="A3353" s="3">
        <f t="shared" si="100"/>
        <v>2036</v>
      </c>
      <c r="B3353" s="106">
        <f t="shared" si="101"/>
        <v>305</v>
      </c>
      <c r="C3353" s="107">
        <f ca="1">OFFSET(tab_tipo_Combustivel!$A$1,MATCH(B3353,tab_tipo_Combustivel!$A$2:$A$150,0),MATCH(A3353,tab_tipo_Combustivel!$B$1:$AQ$1,0),1,1)</f>
        <v>89.7</v>
      </c>
    </row>
    <row r="3354" spans="1:3">
      <c r="A3354" s="3">
        <f t="shared" si="100"/>
        <v>2036</v>
      </c>
      <c r="B3354" s="106">
        <f t="shared" si="101"/>
        <v>306</v>
      </c>
      <c r="C3354" s="107">
        <f ca="1">OFFSET(tab_tipo_Combustivel!$A$1,MATCH(B3354,tab_tipo_Combustivel!$A$2:$A$150,0),MATCH(A3354,tab_tipo_Combustivel!$B$1:$AQ$1,0),1,1)</f>
        <v>100.38</v>
      </c>
    </row>
    <row r="3355" spans="1:3">
      <c r="A3355" s="3">
        <f t="shared" si="100"/>
        <v>2036</v>
      </c>
      <c r="B3355" s="106">
        <f t="shared" si="101"/>
        <v>307</v>
      </c>
      <c r="C3355" s="107">
        <f ca="1">OFFSET(tab_tipo_Combustivel!$A$1,MATCH(B3355,tab_tipo_Combustivel!$A$2:$A$150,0),MATCH(A3355,tab_tipo_Combustivel!$B$1:$AQ$1,0),1,1)</f>
        <v>510.12</v>
      </c>
    </row>
    <row r="3356" spans="1:3">
      <c r="A3356" s="3">
        <f t="shared" si="100"/>
        <v>2036</v>
      </c>
      <c r="B3356" s="106">
        <f t="shared" si="101"/>
        <v>308</v>
      </c>
      <c r="C3356" s="107">
        <f ca="1">OFFSET(tab_tipo_Combustivel!$A$1,MATCH(B3356,tab_tipo_Combustivel!$A$2:$A$150,0),MATCH(A3356,tab_tipo_Combustivel!$B$1:$AQ$1,0),1,1)</f>
        <v>72.5</v>
      </c>
    </row>
    <row r="3357" spans="1:3">
      <c r="A3357" s="3">
        <f t="shared" si="100"/>
        <v>2036</v>
      </c>
      <c r="B3357" s="106">
        <f t="shared" si="101"/>
        <v>309</v>
      </c>
      <c r="C3357" s="107">
        <f ca="1">OFFSET(tab_tipo_Combustivel!$A$1,MATCH(B3357,tab_tipo_Combustivel!$A$2:$A$150,0),MATCH(A3357,tab_tipo_Combustivel!$B$1:$AQ$1,0),1,1)</f>
        <v>126.77</v>
      </c>
    </row>
    <row r="3358" spans="1:3">
      <c r="A3358" s="3">
        <f t="shared" si="100"/>
        <v>2036</v>
      </c>
      <c r="B3358" s="106">
        <f t="shared" si="101"/>
        <v>310</v>
      </c>
      <c r="C3358" s="107">
        <f ca="1">OFFSET(tab_tipo_Combustivel!$A$1,MATCH(B3358,tab_tipo_Combustivel!$A$2:$A$150,0),MATCH(A3358,tab_tipo_Combustivel!$B$1:$AQ$1,0),1,1)</f>
        <v>275.99</v>
      </c>
    </row>
    <row r="3359" spans="1:3">
      <c r="A3359" s="3">
        <f t="shared" si="100"/>
        <v>2036</v>
      </c>
      <c r="B3359" s="106">
        <f t="shared" si="101"/>
        <v>311</v>
      </c>
      <c r="C3359" s="107">
        <f ca="1">OFFSET(tab_tipo_Combustivel!$A$1,MATCH(B3359,tab_tipo_Combustivel!$A$2:$A$150,0),MATCH(A3359,tab_tipo_Combustivel!$B$1:$AQ$1,0),1,1)</f>
        <v>70.66</v>
      </c>
    </row>
    <row r="3360" spans="1:3">
      <c r="A3360" s="3">
        <f t="shared" si="100"/>
        <v>2036</v>
      </c>
      <c r="B3360" s="106">
        <f t="shared" si="101"/>
        <v>312</v>
      </c>
      <c r="C3360" s="107">
        <f ca="1">OFFSET(tab_tipo_Combustivel!$A$1,MATCH(B3360,tab_tipo_Combustivel!$A$2:$A$150,0),MATCH(A3360,tab_tipo_Combustivel!$B$1:$AQ$1,0),1,1)</f>
        <v>0</v>
      </c>
    </row>
    <row r="3361" spans="1:3">
      <c r="A3361" s="3">
        <f t="shared" si="100"/>
        <v>2036</v>
      </c>
      <c r="B3361" s="106">
        <f t="shared" si="101"/>
        <v>1301</v>
      </c>
      <c r="C3361" s="107">
        <f ca="1">OFFSET(tab_tipo_Combustivel!$A$1,MATCH(B3361,tab_tipo_Combustivel!$A$2:$A$150,0),MATCH(A3361,tab_tipo_Combustivel!$B$1:$AQ$1,0),1,1)</f>
        <v>242.05</v>
      </c>
    </row>
    <row r="3362" spans="1:3">
      <c r="A3362" s="3">
        <f t="shared" si="100"/>
        <v>2036</v>
      </c>
      <c r="B3362" s="106">
        <f t="shared" si="101"/>
        <v>1302</v>
      </c>
      <c r="C3362" s="107">
        <f ca="1">OFFSET(tab_tipo_Combustivel!$A$1,MATCH(B3362,tab_tipo_Combustivel!$A$2:$A$150,0),MATCH(A3362,tab_tipo_Combustivel!$B$1:$AQ$1,0),1,1)</f>
        <v>193.64</v>
      </c>
    </row>
    <row r="3363" spans="1:3">
      <c r="A3363" s="3">
        <f t="shared" si="100"/>
        <v>2036</v>
      </c>
      <c r="B3363" s="106">
        <f t="shared" si="101"/>
        <v>1303</v>
      </c>
      <c r="C3363" s="107">
        <f ca="1">OFFSET(tab_tipo_Combustivel!$A$1,MATCH(B3363,tab_tipo_Combustivel!$A$2:$A$150,0),MATCH(A3363,tab_tipo_Combustivel!$B$1:$AQ$1,0),1,1)</f>
        <v>25.58</v>
      </c>
    </row>
    <row r="3364" spans="1:3">
      <c r="A3364" s="3">
        <f t="shared" si="100"/>
        <v>2036</v>
      </c>
      <c r="B3364" s="106">
        <f t="shared" si="101"/>
        <v>1304</v>
      </c>
      <c r="C3364" s="107">
        <f ca="1">OFFSET(tab_tipo_Combustivel!$A$1,MATCH(B3364,tab_tipo_Combustivel!$A$2:$A$150,0),MATCH(A3364,tab_tipo_Combustivel!$B$1:$AQ$1,0),1,1)</f>
        <v>0</v>
      </c>
    </row>
    <row r="3365" spans="1:3">
      <c r="A3365" s="3">
        <f t="shared" si="100"/>
        <v>2036</v>
      </c>
      <c r="B3365" s="106">
        <f t="shared" si="101"/>
        <v>1315</v>
      </c>
      <c r="C3365" s="107">
        <f ca="1">OFFSET(tab_tipo_Combustivel!$A$1,MATCH(B3365,tab_tipo_Combustivel!$A$2:$A$150,0),MATCH(A3365,tab_tipo_Combustivel!$B$1:$AQ$1,0),1,1)</f>
        <v>0</v>
      </c>
    </row>
    <row r="3366" spans="1:3">
      <c r="A3366" s="3">
        <f t="shared" si="100"/>
        <v>2036</v>
      </c>
      <c r="B3366" s="106">
        <f t="shared" si="101"/>
        <v>1316</v>
      </c>
      <c r="C3366" s="107">
        <f ca="1">OFFSET(tab_tipo_Combustivel!$A$1,MATCH(B3366,tab_tipo_Combustivel!$A$2:$A$150,0),MATCH(A3366,tab_tipo_Combustivel!$B$1:$AQ$1,0),1,1)</f>
        <v>0</v>
      </c>
    </row>
    <row r="3367" spans="1:3">
      <c r="A3367" s="3">
        <f t="shared" si="100"/>
        <v>2036</v>
      </c>
      <c r="B3367" s="106">
        <f t="shared" si="101"/>
        <v>1318</v>
      </c>
      <c r="C3367" s="107">
        <f ca="1">OFFSET(tab_tipo_Combustivel!$A$1,MATCH(B3367,tab_tipo_Combustivel!$A$2:$A$150,0),MATCH(A3367,tab_tipo_Combustivel!$B$1:$AQ$1,0),1,1)</f>
        <v>150</v>
      </c>
    </row>
    <row r="3368" spans="1:3">
      <c r="A3368" s="3">
        <f t="shared" si="100"/>
        <v>2036</v>
      </c>
      <c r="B3368" s="106">
        <f t="shared" si="101"/>
        <v>1321</v>
      </c>
      <c r="C3368" s="107">
        <f ca="1">OFFSET(tab_tipo_Combustivel!$A$1,MATCH(B3368,tab_tipo_Combustivel!$A$2:$A$150,0),MATCH(A3368,tab_tipo_Combustivel!$B$1:$AQ$1,0),1,1)</f>
        <v>85</v>
      </c>
    </row>
    <row r="3369" spans="1:3">
      <c r="A3369" s="3">
        <f t="shared" si="100"/>
        <v>2036</v>
      </c>
      <c r="B3369" s="106">
        <f t="shared" si="101"/>
        <v>1322</v>
      </c>
      <c r="C3369" s="107">
        <f ca="1">OFFSET(tab_tipo_Combustivel!$A$1,MATCH(B3369,tab_tipo_Combustivel!$A$2:$A$150,0),MATCH(A3369,tab_tipo_Combustivel!$B$1:$AQ$1,0),1,1)</f>
        <v>140</v>
      </c>
    </row>
    <row r="3370" spans="1:3">
      <c r="A3370" s="3">
        <f t="shared" si="100"/>
        <v>2036</v>
      </c>
      <c r="B3370" s="106">
        <f t="shared" si="101"/>
        <v>1323</v>
      </c>
      <c r="C3370" s="107">
        <f ca="1">OFFSET(tab_tipo_Combustivel!$A$1,MATCH(B3370,tab_tipo_Combustivel!$A$2:$A$150,0),MATCH(A3370,tab_tipo_Combustivel!$B$1:$AQ$1,0),1,1)</f>
        <v>63.75</v>
      </c>
    </row>
    <row r="3371" spans="1:3">
      <c r="A3371" s="3">
        <f t="shared" si="100"/>
        <v>2036</v>
      </c>
      <c r="B3371" s="106">
        <f t="shared" si="101"/>
        <v>1325</v>
      </c>
      <c r="C3371" s="107">
        <f ca="1">OFFSET(tab_tipo_Combustivel!$A$1,MATCH(B3371,tab_tipo_Combustivel!$A$2:$A$150,0),MATCH(A3371,tab_tipo_Combustivel!$B$1:$AQ$1,0),1,1)</f>
        <v>0</v>
      </c>
    </row>
    <row r="3372" spans="1:3">
      <c r="A3372" s="3">
        <f t="shared" si="100"/>
        <v>2036</v>
      </c>
      <c r="B3372" s="106">
        <f t="shared" si="101"/>
        <v>1326</v>
      </c>
      <c r="C3372" s="107">
        <f ca="1">OFFSET(tab_tipo_Combustivel!$A$1,MATCH(B3372,tab_tipo_Combustivel!$A$2:$A$150,0),MATCH(A3372,tab_tipo_Combustivel!$B$1:$AQ$1,0),1,1)</f>
        <v>260</v>
      </c>
    </row>
    <row r="3373" spans="1:3">
      <c r="A3373" s="3">
        <f t="shared" si="100"/>
        <v>2036</v>
      </c>
      <c r="B3373" s="106">
        <f t="shared" si="101"/>
        <v>1501</v>
      </c>
      <c r="C3373" s="107">
        <f ca="1">OFFSET(tab_tipo_Combustivel!$A$1,MATCH(B3373,tab_tipo_Combustivel!$A$2:$A$150,0),MATCH(A3373,tab_tipo_Combustivel!$B$1:$AQ$1,0),1,1)</f>
        <v>260</v>
      </c>
    </row>
    <row r="3374" spans="1:3">
      <c r="A3374" s="3">
        <f t="shared" si="100"/>
        <v>2036</v>
      </c>
      <c r="B3374" s="106">
        <f t="shared" si="101"/>
        <v>1502</v>
      </c>
      <c r="C3374" s="107">
        <f ca="1">OFFSET(tab_tipo_Combustivel!$A$1,MATCH(B3374,tab_tipo_Combustivel!$A$2:$A$150,0),MATCH(A3374,tab_tipo_Combustivel!$B$1:$AQ$1,0),1,1)</f>
        <v>60</v>
      </c>
    </row>
    <row r="3375" spans="1:3">
      <c r="A3375" s="3">
        <f t="shared" si="100"/>
        <v>2036</v>
      </c>
      <c r="B3375" s="106">
        <f t="shared" si="101"/>
        <v>1503</v>
      </c>
      <c r="C3375" s="107">
        <f ca="1">OFFSET(tab_tipo_Combustivel!$A$1,MATCH(B3375,tab_tipo_Combustivel!$A$2:$A$150,0),MATCH(A3375,tab_tipo_Combustivel!$B$1:$AQ$1,0),1,1)</f>
        <v>96.82</v>
      </c>
    </row>
    <row r="3376" spans="1:3">
      <c r="A3376" s="3">
        <f t="shared" si="100"/>
        <v>2036</v>
      </c>
      <c r="B3376" s="106">
        <f t="shared" si="101"/>
        <v>1504</v>
      </c>
      <c r="C3376" s="107">
        <f ca="1">OFFSET(tab_tipo_Combustivel!$A$1,MATCH(B3376,tab_tipo_Combustivel!$A$2:$A$150,0),MATCH(A3376,tab_tipo_Combustivel!$B$1:$AQ$1,0),1,1)</f>
        <v>145.22999999999999</v>
      </c>
    </row>
    <row r="3377" spans="1:3">
      <c r="A3377" s="3">
        <f t="shared" si="100"/>
        <v>2037</v>
      </c>
      <c r="B3377" s="106">
        <f t="shared" si="101"/>
        <v>1</v>
      </c>
      <c r="C3377" s="107">
        <f ca="1">OFFSET(tab_tipo_Combustivel!$A$1,MATCH(B3377,tab_tipo_Combustivel!$A$2:$A$150,0),MATCH(A3377,tab_tipo_Combustivel!$B$1:$AQ$1,0),1,1)</f>
        <v>29.13</v>
      </c>
    </row>
    <row r="3378" spans="1:3">
      <c r="A3378" s="3">
        <f t="shared" si="100"/>
        <v>2037</v>
      </c>
      <c r="B3378" s="106">
        <f t="shared" si="101"/>
        <v>2</v>
      </c>
      <c r="C3378" s="107">
        <f ca="1">OFFSET(tab_tipo_Combustivel!$A$1,MATCH(B3378,tab_tipo_Combustivel!$A$2:$A$150,0),MATCH(A3378,tab_tipo_Combustivel!$B$1:$AQ$1,0),1,1)</f>
        <v>842.33</v>
      </c>
    </row>
    <row r="3379" spans="1:3">
      <c r="A3379" s="3">
        <f t="shared" si="100"/>
        <v>2037</v>
      </c>
      <c r="B3379" s="106">
        <f t="shared" si="101"/>
        <v>4</v>
      </c>
      <c r="C3379" s="107">
        <f ca="1">OFFSET(tab_tipo_Combustivel!$A$1,MATCH(B3379,tab_tipo_Combustivel!$A$2:$A$150,0),MATCH(A3379,tab_tipo_Combustivel!$B$1:$AQ$1,0),1,1)</f>
        <v>842.33</v>
      </c>
    </row>
    <row r="3380" spans="1:3">
      <c r="A3380" s="3">
        <f t="shared" si="100"/>
        <v>2037</v>
      </c>
      <c r="B3380" s="106">
        <f t="shared" si="101"/>
        <v>9</v>
      </c>
      <c r="C3380" s="107">
        <f ca="1">OFFSET(tab_tipo_Combustivel!$A$1,MATCH(B3380,tab_tipo_Combustivel!$A$2:$A$150,0),MATCH(A3380,tab_tipo_Combustivel!$B$1:$AQ$1,0),1,1)</f>
        <v>842.33</v>
      </c>
    </row>
    <row r="3381" spans="1:3">
      <c r="A3381" s="3">
        <f t="shared" si="100"/>
        <v>2037</v>
      </c>
      <c r="B3381" s="106">
        <f t="shared" si="101"/>
        <v>12</v>
      </c>
      <c r="C3381" s="107">
        <f ca="1">OFFSET(tab_tipo_Combustivel!$A$1,MATCH(B3381,tab_tipo_Combustivel!$A$2:$A$150,0),MATCH(A3381,tab_tipo_Combustivel!$B$1:$AQ$1,0),1,1)</f>
        <v>728.87</v>
      </c>
    </row>
    <row r="3382" spans="1:3">
      <c r="A3382" s="3">
        <f t="shared" si="100"/>
        <v>2037</v>
      </c>
      <c r="B3382" s="106">
        <f t="shared" si="101"/>
        <v>13</v>
      </c>
      <c r="C3382" s="107">
        <f ca="1">OFFSET(tab_tipo_Combustivel!$A$1,MATCH(B3382,tab_tipo_Combustivel!$A$2:$A$150,0),MATCH(A3382,tab_tipo_Combustivel!$B$1:$AQ$1,0),1,1)</f>
        <v>20.12</v>
      </c>
    </row>
    <row r="3383" spans="1:3">
      <c r="A3383" s="3">
        <f t="shared" si="100"/>
        <v>2037</v>
      </c>
      <c r="B3383" s="106">
        <f t="shared" si="101"/>
        <v>15</v>
      </c>
      <c r="C3383" s="107">
        <f ca="1">OFFSET(tab_tipo_Combustivel!$A$1,MATCH(B3383,tab_tipo_Combustivel!$A$2:$A$150,0),MATCH(A3383,tab_tipo_Combustivel!$B$1:$AQ$1,0),1,1)</f>
        <v>257.29000000000002</v>
      </c>
    </row>
    <row r="3384" spans="1:3">
      <c r="A3384" s="3">
        <f t="shared" si="100"/>
        <v>2037</v>
      </c>
      <c r="B3384" s="106">
        <f t="shared" si="101"/>
        <v>21</v>
      </c>
      <c r="C3384" s="107">
        <f ca="1">OFFSET(tab_tipo_Combustivel!$A$1,MATCH(B3384,tab_tipo_Combustivel!$A$2:$A$150,0),MATCH(A3384,tab_tipo_Combustivel!$B$1:$AQ$1,0),1,1)</f>
        <v>157.83000000000001</v>
      </c>
    </row>
    <row r="3385" spans="1:3">
      <c r="A3385" s="3">
        <f t="shared" si="100"/>
        <v>2037</v>
      </c>
      <c r="B3385" s="106">
        <f t="shared" si="101"/>
        <v>22</v>
      </c>
      <c r="C3385" s="107">
        <f ca="1">OFFSET(tab_tipo_Combustivel!$A$1,MATCH(B3385,tab_tipo_Combustivel!$A$2:$A$150,0),MATCH(A3385,tab_tipo_Combustivel!$B$1:$AQ$1,0),1,1)</f>
        <v>115.9</v>
      </c>
    </row>
    <row r="3386" spans="1:3">
      <c r="A3386" s="3">
        <f t="shared" si="100"/>
        <v>2037</v>
      </c>
      <c r="B3386" s="106">
        <f t="shared" si="101"/>
        <v>23</v>
      </c>
      <c r="C3386" s="107">
        <f ca="1">OFFSET(tab_tipo_Combustivel!$A$1,MATCH(B3386,tab_tipo_Combustivel!$A$2:$A$150,0),MATCH(A3386,tab_tipo_Combustivel!$B$1:$AQ$1,0),1,1)</f>
        <v>115.9</v>
      </c>
    </row>
    <row r="3387" spans="1:3">
      <c r="A3387" s="3">
        <f t="shared" si="100"/>
        <v>2037</v>
      </c>
      <c r="B3387" s="106">
        <f t="shared" si="101"/>
        <v>24</v>
      </c>
      <c r="C3387" s="107">
        <f ca="1">OFFSET(tab_tipo_Combustivel!$A$1,MATCH(B3387,tab_tipo_Combustivel!$A$2:$A$150,0),MATCH(A3387,tab_tipo_Combustivel!$B$1:$AQ$1,0),1,1)</f>
        <v>155.85</v>
      </c>
    </row>
    <row r="3388" spans="1:3">
      <c r="A3388" s="3">
        <f t="shared" si="100"/>
        <v>2037</v>
      </c>
      <c r="B3388" s="106">
        <f t="shared" si="101"/>
        <v>25</v>
      </c>
      <c r="C3388" s="107">
        <f ca="1">OFFSET(tab_tipo_Combustivel!$A$1,MATCH(B3388,tab_tipo_Combustivel!$A$2:$A$150,0),MATCH(A3388,tab_tipo_Combustivel!$B$1:$AQ$1,0),1,1)</f>
        <v>186.33</v>
      </c>
    </row>
    <row r="3389" spans="1:3">
      <c r="A3389" s="3">
        <f t="shared" si="100"/>
        <v>2037</v>
      </c>
      <c r="B3389" s="106">
        <f t="shared" si="101"/>
        <v>26</v>
      </c>
      <c r="C3389" s="107">
        <f ca="1">OFFSET(tab_tipo_Combustivel!$A$1,MATCH(B3389,tab_tipo_Combustivel!$A$2:$A$150,0),MATCH(A3389,tab_tipo_Combustivel!$B$1:$AQ$1,0),1,1)</f>
        <v>258.42</v>
      </c>
    </row>
    <row r="3390" spans="1:3">
      <c r="A3390" s="3">
        <f t="shared" si="100"/>
        <v>2037</v>
      </c>
      <c r="B3390" s="106">
        <f t="shared" si="101"/>
        <v>27</v>
      </c>
      <c r="C3390" s="107">
        <f ca="1">OFFSET(tab_tipo_Combustivel!$A$1,MATCH(B3390,tab_tipo_Combustivel!$A$2:$A$150,0),MATCH(A3390,tab_tipo_Combustivel!$B$1:$AQ$1,0),1,1)</f>
        <v>195.49</v>
      </c>
    </row>
    <row r="3391" spans="1:3">
      <c r="A3391" s="3">
        <f t="shared" si="100"/>
        <v>2037</v>
      </c>
      <c r="B3391" s="106">
        <f t="shared" si="101"/>
        <v>28</v>
      </c>
      <c r="C3391" s="107">
        <f ca="1">OFFSET(tab_tipo_Combustivel!$A$1,MATCH(B3391,tab_tipo_Combustivel!$A$2:$A$150,0),MATCH(A3391,tab_tipo_Combustivel!$B$1:$AQ$1,0),1,1)</f>
        <v>459.92</v>
      </c>
    </row>
    <row r="3392" spans="1:3">
      <c r="A3392" s="3">
        <f t="shared" si="100"/>
        <v>2037</v>
      </c>
      <c r="B3392" s="106">
        <f t="shared" si="101"/>
        <v>32</v>
      </c>
      <c r="C3392" s="107">
        <f ca="1">OFFSET(tab_tipo_Combustivel!$A$1,MATCH(B3392,tab_tipo_Combustivel!$A$2:$A$150,0),MATCH(A3392,tab_tipo_Combustivel!$B$1:$AQ$1,0),1,1)</f>
        <v>248.31</v>
      </c>
    </row>
    <row r="3393" spans="1:3">
      <c r="A3393" s="3">
        <f t="shared" si="100"/>
        <v>2037</v>
      </c>
      <c r="B3393" s="106">
        <f t="shared" si="101"/>
        <v>34</v>
      </c>
      <c r="C3393" s="107">
        <f ca="1">OFFSET(tab_tipo_Combustivel!$A$1,MATCH(B3393,tab_tipo_Combustivel!$A$2:$A$150,0),MATCH(A3393,tab_tipo_Combustivel!$B$1:$AQ$1,0),1,1)</f>
        <v>423.38</v>
      </c>
    </row>
    <row r="3394" spans="1:3">
      <c r="A3394" s="3">
        <f t="shared" si="100"/>
        <v>2037</v>
      </c>
      <c r="B3394" s="106">
        <f t="shared" si="101"/>
        <v>35</v>
      </c>
      <c r="C3394" s="107">
        <f ca="1">OFFSET(tab_tipo_Combustivel!$A$1,MATCH(B3394,tab_tipo_Combustivel!$A$2:$A$150,0),MATCH(A3394,tab_tipo_Combustivel!$B$1:$AQ$1,0),1,1)</f>
        <v>692.45</v>
      </c>
    </row>
    <row r="3395" spans="1:3">
      <c r="A3395" s="3">
        <f t="shared" si="100"/>
        <v>2037</v>
      </c>
      <c r="B3395" s="106">
        <f t="shared" si="101"/>
        <v>36</v>
      </c>
      <c r="C3395" s="107">
        <f ca="1">OFFSET(tab_tipo_Combustivel!$A$1,MATCH(B3395,tab_tipo_Combustivel!$A$2:$A$150,0),MATCH(A3395,tab_tipo_Combustivel!$B$1:$AQ$1,0),1,1)</f>
        <v>157.83000000000001</v>
      </c>
    </row>
    <row r="3396" spans="1:3">
      <c r="A3396" s="3">
        <f t="shared" si="100"/>
        <v>2037</v>
      </c>
      <c r="B3396" s="106">
        <f t="shared" si="101"/>
        <v>42</v>
      </c>
      <c r="C3396" s="107">
        <f ca="1">OFFSET(tab_tipo_Combustivel!$A$1,MATCH(B3396,tab_tipo_Combustivel!$A$2:$A$150,0),MATCH(A3396,tab_tipo_Combustivel!$B$1:$AQ$1,0),1,1)</f>
        <v>199.22</v>
      </c>
    </row>
    <row r="3397" spans="1:3">
      <c r="A3397" s="3">
        <f t="shared" si="100"/>
        <v>2037</v>
      </c>
      <c r="B3397" s="106">
        <f t="shared" si="101"/>
        <v>43</v>
      </c>
      <c r="C3397" s="107">
        <f ca="1">OFFSET(tab_tipo_Combustivel!$A$1,MATCH(B3397,tab_tipo_Combustivel!$A$2:$A$150,0),MATCH(A3397,tab_tipo_Combustivel!$B$1:$AQ$1,0),1,1)</f>
        <v>431.62</v>
      </c>
    </row>
    <row r="3398" spans="1:3">
      <c r="A3398" s="3">
        <f t="shared" si="100"/>
        <v>2037</v>
      </c>
      <c r="B3398" s="106">
        <f t="shared" si="101"/>
        <v>44</v>
      </c>
      <c r="C3398" s="107">
        <f ca="1">OFFSET(tab_tipo_Combustivel!$A$1,MATCH(B3398,tab_tipo_Combustivel!$A$2:$A$150,0),MATCH(A3398,tab_tipo_Combustivel!$B$1:$AQ$1,0),1,1)</f>
        <v>25.58</v>
      </c>
    </row>
    <row r="3399" spans="1:3">
      <c r="A3399" s="3">
        <f t="shared" si="100"/>
        <v>2037</v>
      </c>
      <c r="B3399" s="106">
        <f t="shared" si="101"/>
        <v>46</v>
      </c>
      <c r="C3399" s="107">
        <f ca="1">OFFSET(tab_tipo_Combustivel!$A$1,MATCH(B3399,tab_tipo_Combustivel!$A$2:$A$150,0),MATCH(A3399,tab_tipo_Combustivel!$B$1:$AQ$1,0),1,1)</f>
        <v>228.91</v>
      </c>
    </row>
    <row r="3400" spans="1:3">
      <c r="A3400" s="3">
        <f t="shared" si="100"/>
        <v>2037</v>
      </c>
      <c r="B3400" s="106">
        <f t="shared" si="101"/>
        <v>47</v>
      </c>
      <c r="C3400" s="107">
        <f ca="1">OFFSET(tab_tipo_Combustivel!$A$1,MATCH(B3400,tab_tipo_Combustivel!$A$2:$A$150,0),MATCH(A3400,tab_tipo_Combustivel!$B$1:$AQ$1,0),1,1)</f>
        <v>235.6</v>
      </c>
    </row>
    <row r="3401" spans="1:3">
      <c r="A3401" s="3">
        <f t="shared" si="100"/>
        <v>2037</v>
      </c>
      <c r="B3401" s="106">
        <f t="shared" si="101"/>
        <v>48</v>
      </c>
      <c r="C3401" s="107">
        <f ca="1">OFFSET(tab_tipo_Combustivel!$A$1,MATCH(B3401,tab_tipo_Combustivel!$A$2:$A$150,0),MATCH(A3401,tab_tipo_Combustivel!$B$1:$AQ$1,0),1,1)</f>
        <v>1012.12</v>
      </c>
    </row>
    <row r="3402" spans="1:3">
      <c r="A3402" s="3">
        <f t="shared" ref="A3402:A3465" si="102">A3267+1</f>
        <v>2037</v>
      </c>
      <c r="B3402" s="106">
        <f t="shared" ref="B3402:B3465" si="103">B3267</f>
        <v>50</v>
      </c>
      <c r="C3402" s="107">
        <f ca="1">OFFSET(tab_tipo_Combustivel!$A$1,MATCH(B3402,tab_tipo_Combustivel!$A$2:$A$150,0),MATCH(A3402,tab_tipo_Combustivel!$B$1:$AQ$1,0),1,1)</f>
        <v>669.87</v>
      </c>
    </row>
    <row r="3403" spans="1:3">
      <c r="A3403" s="3">
        <f t="shared" si="102"/>
        <v>2037</v>
      </c>
      <c r="B3403" s="106">
        <f t="shared" si="103"/>
        <v>54</v>
      </c>
      <c r="C3403" s="107">
        <f ca="1">OFFSET(tab_tipo_Combustivel!$A$1,MATCH(B3403,tab_tipo_Combustivel!$A$2:$A$150,0),MATCH(A3403,tab_tipo_Combustivel!$B$1:$AQ$1,0),1,1)</f>
        <v>304.55</v>
      </c>
    </row>
    <row r="3404" spans="1:3">
      <c r="A3404" s="3">
        <f t="shared" si="102"/>
        <v>2037</v>
      </c>
      <c r="B3404" s="106">
        <f t="shared" si="103"/>
        <v>58</v>
      </c>
      <c r="C3404" s="107">
        <f ca="1">OFFSET(tab_tipo_Combustivel!$A$1,MATCH(B3404,tab_tipo_Combustivel!$A$2:$A$150,0),MATCH(A3404,tab_tipo_Combustivel!$B$1:$AQ$1,0),1,1)</f>
        <v>300.05</v>
      </c>
    </row>
    <row r="3405" spans="1:3">
      <c r="A3405" s="3">
        <f t="shared" si="102"/>
        <v>2037</v>
      </c>
      <c r="B3405" s="106">
        <f t="shared" si="103"/>
        <v>62</v>
      </c>
      <c r="C3405" s="107">
        <f ca="1">OFFSET(tab_tipo_Combustivel!$A$1,MATCH(B3405,tab_tipo_Combustivel!$A$2:$A$150,0),MATCH(A3405,tab_tipo_Combustivel!$B$1:$AQ$1,0),1,1)</f>
        <v>309.24</v>
      </c>
    </row>
    <row r="3406" spans="1:3">
      <c r="A3406" s="3">
        <f t="shared" si="102"/>
        <v>2037</v>
      </c>
      <c r="B3406" s="106">
        <f t="shared" si="103"/>
        <v>63</v>
      </c>
      <c r="C3406" s="107">
        <f ca="1">OFFSET(tab_tipo_Combustivel!$A$1,MATCH(B3406,tab_tipo_Combustivel!$A$2:$A$150,0),MATCH(A3406,tab_tipo_Combustivel!$B$1:$AQ$1,0),1,1)</f>
        <v>365.77</v>
      </c>
    </row>
    <row r="3407" spans="1:3">
      <c r="A3407" s="3">
        <f t="shared" si="102"/>
        <v>2037</v>
      </c>
      <c r="B3407" s="106">
        <f t="shared" si="103"/>
        <v>64</v>
      </c>
      <c r="C3407" s="107">
        <f ca="1">OFFSET(tab_tipo_Combustivel!$A$1,MATCH(B3407,tab_tipo_Combustivel!$A$2:$A$150,0),MATCH(A3407,tab_tipo_Combustivel!$B$1:$AQ$1,0),1,1)</f>
        <v>853.54</v>
      </c>
    </row>
    <row r="3408" spans="1:3">
      <c r="A3408" s="3">
        <f t="shared" si="102"/>
        <v>2037</v>
      </c>
      <c r="B3408" s="106">
        <f t="shared" si="103"/>
        <v>68</v>
      </c>
      <c r="C3408" s="107">
        <f ca="1">OFFSET(tab_tipo_Combustivel!$A$1,MATCH(B3408,tab_tipo_Combustivel!$A$2:$A$150,0),MATCH(A3408,tab_tipo_Combustivel!$B$1:$AQ$1,0),1,1)</f>
        <v>195.63</v>
      </c>
    </row>
    <row r="3409" spans="1:3">
      <c r="A3409" s="3">
        <f t="shared" si="102"/>
        <v>2037</v>
      </c>
      <c r="B3409" s="106">
        <f t="shared" si="103"/>
        <v>74</v>
      </c>
      <c r="C3409" s="107">
        <f ca="1">OFFSET(tab_tipo_Combustivel!$A$1,MATCH(B3409,tab_tipo_Combustivel!$A$2:$A$150,0),MATCH(A3409,tab_tipo_Combustivel!$B$1:$AQ$1,0),1,1)</f>
        <v>364.46</v>
      </c>
    </row>
    <row r="3410" spans="1:3">
      <c r="A3410" s="3">
        <f t="shared" si="102"/>
        <v>2037</v>
      </c>
      <c r="B3410" s="106">
        <f t="shared" si="103"/>
        <v>83</v>
      </c>
      <c r="C3410" s="107">
        <f ca="1">OFFSET(tab_tipo_Combustivel!$A$1,MATCH(B3410,tab_tipo_Combustivel!$A$2:$A$150,0),MATCH(A3410,tab_tipo_Combustivel!$B$1:$AQ$1,0),1,1)</f>
        <v>448.1</v>
      </c>
    </row>
    <row r="3411" spans="1:3">
      <c r="A3411" s="3">
        <f t="shared" si="102"/>
        <v>2037</v>
      </c>
      <c r="B3411" s="106">
        <f t="shared" si="103"/>
        <v>86</v>
      </c>
      <c r="C3411" s="107">
        <f ca="1">OFFSET(tab_tipo_Combustivel!$A$1,MATCH(B3411,tab_tipo_Combustivel!$A$2:$A$150,0),MATCH(A3411,tab_tipo_Combustivel!$B$1:$AQ$1,0),1,1)</f>
        <v>170.34</v>
      </c>
    </row>
    <row r="3412" spans="1:3">
      <c r="A3412" s="3">
        <f t="shared" si="102"/>
        <v>2037</v>
      </c>
      <c r="B3412" s="106">
        <f t="shared" si="103"/>
        <v>90</v>
      </c>
      <c r="C3412" s="107">
        <f ca="1">OFFSET(tab_tipo_Combustivel!$A$1,MATCH(B3412,tab_tipo_Combustivel!$A$2:$A$150,0),MATCH(A3412,tab_tipo_Combustivel!$B$1:$AQ$1,0),1,1)</f>
        <v>533.1</v>
      </c>
    </row>
    <row r="3413" spans="1:3">
      <c r="A3413" s="3">
        <f t="shared" si="102"/>
        <v>2037</v>
      </c>
      <c r="B3413" s="106">
        <f t="shared" si="103"/>
        <v>93</v>
      </c>
      <c r="C3413" s="107">
        <f ca="1">OFFSET(tab_tipo_Combustivel!$A$1,MATCH(B3413,tab_tipo_Combustivel!$A$2:$A$150,0),MATCH(A3413,tab_tipo_Combustivel!$B$1:$AQ$1,0),1,1)</f>
        <v>842.33</v>
      </c>
    </row>
    <row r="3414" spans="1:3">
      <c r="A3414" s="3">
        <f t="shared" si="102"/>
        <v>2037</v>
      </c>
      <c r="B3414" s="106">
        <f t="shared" si="103"/>
        <v>94</v>
      </c>
      <c r="C3414" s="107">
        <f ca="1">OFFSET(tab_tipo_Combustivel!$A$1,MATCH(B3414,tab_tipo_Combustivel!$A$2:$A$150,0),MATCH(A3414,tab_tipo_Combustivel!$B$1:$AQ$1,0),1,1)</f>
        <v>842.33</v>
      </c>
    </row>
    <row r="3415" spans="1:3">
      <c r="A3415" s="3">
        <f t="shared" si="102"/>
        <v>2037</v>
      </c>
      <c r="B3415" s="106">
        <f t="shared" si="103"/>
        <v>96</v>
      </c>
      <c r="C3415" s="107">
        <f ca="1">OFFSET(tab_tipo_Combustivel!$A$1,MATCH(B3415,tab_tipo_Combustivel!$A$2:$A$150,0),MATCH(A3415,tab_tipo_Combustivel!$B$1:$AQ$1,0),1,1)</f>
        <v>99.92</v>
      </c>
    </row>
    <row r="3416" spans="1:3">
      <c r="A3416" s="3">
        <f t="shared" si="102"/>
        <v>2037</v>
      </c>
      <c r="B3416" s="106">
        <f t="shared" si="103"/>
        <v>98</v>
      </c>
      <c r="C3416" s="107">
        <f ca="1">OFFSET(tab_tipo_Combustivel!$A$1,MATCH(B3416,tab_tipo_Combustivel!$A$2:$A$150,0),MATCH(A3416,tab_tipo_Combustivel!$B$1:$AQ$1,0),1,1)</f>
        <v>489.8</v>
      </c>
    </row>
    <row r="3417" spans="1:3">
      <c r="A3417" s="3">
        <f t="shared" si="102"/>
        <v>2037</v>
      </c>
      <c r="B3417" s="106">
        <f t="shared" si="103"/>
        <v>107</v>
      </c>
      <c r="C3417" s="107">
        <f ca="1">OFFSET(tab_tipo_Combustivel!$A$1,MATCH(B3417,tab_tipo_Combustivel!$A$2:$A$150,0),MATCH(A3417,tab_tipo_Combustivel!$B$1:$AQ$1,0),1,1)</f>
        <v>57.63</v>
      </c>
    </row>
    <row r="3418" spans="1:3">
      <c r="A3418" s="3">
        <f t="shared" si="102"/>
        <v>2037</v>
      </c>
      <c r="B3418" s="106">
        <f t="shared" si="103"/>
        <v>110</v>
      </c>
      <c r="C3418" s="107">
        <f ca="1">OFFSET(tab_tipo_Combustivel!$A$1,MATCH(B3418,tab_tipo_Combustivel!$A$2:$A$150,0),MATCH(A3418,tab_tipo_Combustivel!$B$1:$AQ$1,0),1,1)</f>
        <v>568.29</v>
      </c>
    </row>
    <row r="3419" spans="1:3">
      <c r="A3419" s="3">
        <f t="shared" si="102"/>
        <v>2037</v>
      </c>
      <c r="B3419" s="106">
        <f t="shared" si="103"/>
        <v>116</v>
      </c>
      <c r="C3419" s="107">
        <f ca="1">OFFSET(tab_tipo_Combustivel!$A$1,MATCH(B3419,tab_tipo_Combustivel!$A$2:$A$150,0),MATCH(A3419,tab_tipo_Combustivel!$B$1:$AQ$1,0),1,1)</f>
        <v>117.46</v>
      </c>
    </row>
    <row r="3420" spans="1:3">
      <c r="A3420" s="3">
        <f t="shared" si="102"/>
        <v>2037</v>
      </c>
      <c r="B3420" s="106">
        <f t="shared" si="103"/>
        <v>140</v>
      </c>
      <c r="C3420" s="107">
        <f ca="1">OFFSET(tab_tipo_Combustivel!$A$1,MATCH(B3420,tab_tipo_Combustivel!$A$2:$A$150,0),MATCH(A3420,tab_tipo_Combustivel!$B$1:$AQ$1,0),1,1)</f>
        <v>88.11</v>
      </c>
    </row>
    <row r="3421" spans="1:3">
      <c r="A3421" s="3">
        <f t="shared" si="102"/>
        <v>2037</v>
      </c>
      <c r="B3421" s="106">
        <f t="shared" si="103"/>
        <v>141</v>
      </c>
      <c r="C3421" s="107">
        <f ca="1">OFFSET(tab_tipo_Combustivel!$A$1,MATCH(B3421,tab_tipo_Combustivel!$A$2:$A$150,0),MATCH(A3421,tab_tipo_Combustivel!$B$1:$AQ$1,0),1,1)</f>
        <v>1280.52</v>
      </c>
    </row>
    <row r="3422" spans="1:3">
      <c r="A3422" s="3">
        <f t="shared" si="102"/>
        <v>2037</v>
      </c>
      <c r="B3422" s="106">
        <f t="shared" si="103"/>
        <v>147</v>
      </c>
      <c r="C3422" s="107">
        <f ca="1">OFFSET(tab_tipo_Combustivel!$A$1,MATCH(B3422,tab_tipo_Combustivel!$A$2:$A$150,0),MATCH(A3422,tab_tipo_Combustivel!$B$1:$AQ$1,0),1,1)</f>
        <v>134.18</v>
      </c>
    </row>
    <row r="3423" spans="1:3">
      <c r="A3423" s="3">
        <f t="shared" si="102"/>
        <v>2037</v>
      </c>
      <c r="B3423" s="106">
        <f t="shared" si="103"/>
        <v>156</v>
      </c>
      <c r="C3423" s="107">
        <f ca="1">OFFSET(tab_tipo_Combustivel!$A$1,MATCH(B3423,tab_tipo_Combustivel!$A$2:$A$150,0),MATCH(A3423,tab_tipo_Combustivel!$B$1:$AQ$1,0),1,1)</f>
        <v>77.12</v>
      </c>
    </row>
    <row r="3424" spans="1:3">
      <c r="A3424" s="3">
        <f t="shared" si="102"/>
        <v>2037</v>
      </c>
      <c r="B3424" s="106">
        <f t="shared" si="103"/>
        <v>163</v>
      </c>
      <c r="C3424" s="107">
        <f ca="1">OFFSET(tab_tipo_Combustivel!$A$1,MATCH(B3424,tab_tipo_Combustivel!$A$2:$A$150,0),MATCH(A3424,tab_tipo_Combustivel!$B$1:$AQ$1,0),1,1)</f>
        <v>156.69999999999999</v>
      </c>
    </row>
    <row r="3425" spans="1:3">
      <c r="A3425" s="3">
        <f t="shared" si="102"/>
        <v>2037</v>
      </c>
      <c r="B3425" s="106">
        <f t="shared" si="103"/>
        <v>167</v>
      </c>
      <c r="C3425" s="107">
        <f ca="1">OFFSET(tab_tipo_Combustivel!$A$1,MATCH(B3425,tab_tipo_Combustivel!$A$2:$A$150,0),MATCH(A3425,tab_tipo_Combustivel!$B$1:$AQ$1,0),1,1)</f>
        <v>144.66999999999999</v>
      </c>
    </row>
    <row r="3426" spans="1:3">
      <c r="A3426" s="3">
        <f t="shared" si="102"/>
        <v>2037</v>
      </c>
      <c r="B3426" s="106">
        <f t="shared" si="103"/>
        <v>171</v>
      </c>
      <c r="C3426" s="107">
        <f ca="1">OFFSET(tab_tipo_Combustivel!$A$1,MATCH(B3426,tab_tipo_Combustivel!$A$2:$A$150,0),MATCH(A3426,tab_tipo_Combustivel!$B$1:$AQ$1,0),1,1)</f>
        <v>88</v>
      </c>
    </row>
    <row r="3427" spans="1:3">
      <c r="A3427" s="3">
        <f t="shared" si="102"/>
        <v>2037</v>
      </c>
      <c r="B3427" s="106">
        <f t="shared" si="103"/>
        <v>172</v>
      </c>
      <c r="C3427" s="107">
        <f ca="1">OFFSET(tab_tipo_Combustivel!$A$1,MATCH(B3427,tab_tipo_Combustivel!$A$2:$A$150,0),MATCH(A3427,tab_tipo_Combustivel!$B$1:$AQ$1,0),1,1)</f>
        <v>99.97</v>
      </c>
    </row>
    <row r="3428" spans="1:3">
      <c r="A3428" s="3">
        <f t="shared" si="102"/>
        <v>2037</v>
      </c>
      <c r="B3428" s="106">
        <f t="shared" si="103"/>
        <v>173</v>
      </c>
      <c r="C3428" s="107">
        <f ca="1">OFFSET(tab_tipo_Combustivel!$A$1,MATCH(B3428,tab_tipo_Combustivel!$A$2:$A$150,0),MATCH(A3428,tab_tipo_Combustivel!$B$1:$AQ$1,0),1,1)</f>
        <v>192.03</v>
      </c>
    </row>
    <row r="3429" spans="1:3">
      <c r="A3429" s="3">
        <f t="shared" si="102"/>
        <v>2037</v>
      </c>
      <c r="B3429" s="106">
        <f t="shared" si="103"/>
        <v>174</v>
      </c>
      <c r="C3429" s="107">
        <f ca="1">OFFSET(tab_tipo_Combustivel!$A$1,MATCH(B3429,tab_tipo_Combustivel!$A$2:$A$150,0),MATCH(A3429,tab_tipo_Combustivel!$B$1:$AQ$1,0),1,1)</f>
        <v>331.22</v>
      </c>
    </row>
    <row r="3430" spans="1:3">
      <c r="A3430" s="3">
        <f t="shared" si="102"/>
        <v>2037</v>
      </c>
      <c r="B3430" s="106">
        <f t="shared" si="103"/>
        <v>176</v>
      </c>
      <c r="C3430" s="107">
        <f ca="1">OFFSET(tab_tipo_Combustivel!$A$1,MATCH(B3430,tab_tipo_Combustivel!$A$2:$A$150,0),MATCH(A3430,tab_tipo_Combustivel!$B$1:$AQ$1,0),1,1)</f>
        <v>149.47999999999999</v>
      </c>
    </row>
    <row r="3431" spans="1:3">
      <c r="A3431" s="3">
        <f t="shared" si="102"/>
        <v>2037</v>
      </c>
      <c r="B3431" s="106">
        <f t="shared" si="103"/>
        <v>183</v>
      </c>
      <c r="C3431" s="107">
        <f ca="1">OFFSET(tab_tipo_Combustivel!$A$1,MATCH(B3431,tab_tipo_Combustivel!$A$2:$A$150,0),MATCH(A3431,tab_tipo_Combustivel!$B$1:$AQ$1,0),1,1)</f>
        <v>171.61</v>
      </c>
    </row>
    <row r="3432" spans="1:3">
      <c r="A3432" s="3">
        <f t="shared" si="102"/>
        <v>2037</v>
      </c>
      <c r="B3432" s="106">
        <f t="shared" si="103"/>
        <v>194</v>
      </c>
      <c r="C3432" s="107">
        <f ca="1">OFFSET(tab_tipo_Combustivel!$A$1,MATCH(B3432,tab_tipo_Combustivel!$A$2:$A$150,0),MATCH(A3432,tab_tipo_Combustivel!$B$1:$AQ$1,0),1,1)</f>
        <v>1098.58</v>
      </c>
    </row>
    <row r="3433" spans="1:3">
      <c r="A3433" s="3">
        <f t="shared" si="102"/>
        <v>2037</v>
      </c>
      <c r="B3433" s="106">
        <f t="shared" si="103"/>
        <v>203</v>
      </c>
      <c r="C3433" s="107">
        <f ca="1">OFFSET(tab_tipo_Combustivel!$A$1,MATCH(B3433,tab_tipo_Combustivel!$A$2:$A$150,0),MATCH(A3433,tab_tipo_Combustivel!$B$1:$AQ$1,0),1,1)</f>
        <v>0</v>
      </c>
    </row>
    <row r="3434" spans="1:3">
      <c r="A3434" s="3">
        <f t="shared" si="102"/>
        <v>2037</v>
      </c>
      <c r="B3434" s="106">
        <f t="shared" si="103"/>
        <v>204</v>
      </c>
      <c r="C3434" s="107">
        <f ca="1">OFFSET(tab_tipo_Combustivel!$A$1,MATCH(B3434,tab_tipo_Combustivel!$A$2:$A$150,0),MATCH(A3434,tab_tipo_Combustivel!$B$1:$AQ$1,0),1,1)</f>
        <v>0</v>
      </c>
    </row>
    <row r="3435" spans="1:3">
      <c r="A3435" s="3">
        <f t="shared" si="102"/>
        <v>2037</v>
      </c>
      <c r="B3435" s="106">
        <f t="shared" si="103"/>
        <v>205</v>
      </c>
      <c r="C3435" s="107">
        <f ca="1">OFFSET(tab_tipo_Combustivel!$A$1,MATCH(B3435,tab_tipo_Combustivel!$A$2:$A$150,0),MATCH(A3435,tab_tipo_Combustivel!$B$1:$AQ$1,0),1,1)</f>
        <v>0</v>
      </c>
    </row>
    <row r="3436" spans="1:3">
      <c r="A3436" s="3">
        <f t="shared" si="102"/>
        <v>2037</v>
      </c>
      <c r="B3436" s="106">
        <f t="shared" si="103"/>
        <v>207</v>
      </c>
      <c r="C3436" s="107">
        <f ca="1">OFFSET(tab_tipo_Combustivel!$A$1,MATCH(B3436,tab_tipo_Combustivel!$A$2:$A$150,0),MATCH(A3436,tab_tipo_Combustivel!$B$1:$AQ$1,0),1,1)</f>
        <v>0</v>
      </c>
    </row>
    <row r="3437" spans="1:3">
      <c r="A3437" s="3">
        <f t="shared" si="102"/>
        <v>2037</v>
      </c>
      <c r="B3437" s="106">
        <f t="shared" si="103"/>
        <v>208</v>
      </c>
      <c r="C3437" s="107">
        <f ca="1">OFFSET(tab_tipo_Combustivel!$A$1,MATCH(B3437,tab_tipo_Combustivel!$A$2:$A$150,0),MATCH(A3437,tab_tipo_Combustivel!$B$1:$AQ$1,0),1,1)</f>
        <v>783.64</v>
      </c>
    </row>
    <row r="3438" spans="1:3">
      <c r="A3438" s="3">
        <f t="shared" si="102"/>
        <v>2037</v>
      </c>
      <c r="B3438" s="106">
        <f t="shared" si="103"/>
        <v>209</v>
      </c>
      <c r="C3438" s="107">
        <f ca="1">OFFSET(tab_tipo_Combustivel!$A$1,MATCH(B3438,tab_tipo_Combustivel!$A$2:$A$150,0),MATCH(A3438,tab_tipo_Combustivel!$B$1:$AQ$1,0),1,1)</f>
        <v>0</v>
      </c>
    </row>
    <row r="3439" spans="1:3">
      <c r="A3439" s="3">
        <f t="shared" si="102"/>
        <v>2037</v>
      </c>
      <c r="B3439" s="106">
        <f t="shared" si="103"/>
        <v>211</v>
      </c>
      <c r="C3439" s="107">
        <f ca="1">OFFSET(tab_tipo_Combustivel!$A$1,MATCH(B3439,tab_tipo_Combustivel!$A$2:$A$150,0),MATCH(A3439,tab_tipo_Combustivel!$B$1:$AQ$1,0),1,1)</f>
        <v>150.79</v>
      </c>
    </row>
    <row r="3440" spans="1:3">
      <c r="A3440" s="3">
        <f t="shared" si="102"/>
        <v>2037</v>
      </c>
      <c r="B3440" s="106">
        <f t="shared" si="103"/>
        <v>212</v>
      </c>
      <c r="C3440" s="107">
        <f ca="1">OFFSET(tab_tipo_Combustivel!$A$1,MATCH(B3440,tab_tipo_Combustivel!$A$2:$A$150,0),MATCH(A3440,tab_tipo_Combustivel!$B$1:$AQ$1,0),1,1)</f>
        <v>84.58</v>
      </c>
    </row>
    <row r="3441" spans="1:3">
      <c r="A3441" s="3">
        <f t="shared" si="102"/>
        <v>2037</v>
      </c>
      <c r="B3441" s="106">
        <f t="shared" si="103"/>
        <v>224</v>
      </c>
      <c r="C3441" s="107">
        <f ca="1">OFFSET(tab_tipo_Combustivel!$A$1,MATCH(B3441,tab_tipo_Combustivel!$A$2:$A$150,0),MATCH(A3441,tab_tipo_Combustivel!$B$1:$AQ$1,0),1,1)</f>
        <v>31.08</v>
      </c>
    </row>
    <row r="3442" spans="1:3">
      <c r="A3442" s="3">
        <f t="shared" si="102"/>
        <v>2037</v>
      </c>
      <c r="B3442" s="106">
        <f t="shared" si="103"/>
        <v>225</v>
      </c>
      <c r="C3442" s="107">
        <f ca="1">OFFSET(tab_tipo_Combustivel!$A$1,MATCH(B3442,tab_tipo_Combustivel!$A$2:$A$150,0),MATCH(A3442,tab_tipo_Combustivel!$B$1:$AQ$1,0),1,1)</f>
        <v>1329.7</v>
      </c>
    </row>
    <row r="3443" spans="1:3">
      <c r="A3443" s="3">
        <f t="shared" si="102"/>
        <v>2037</v>
      </c>
      <c r="B3443" s="106">
        <f t="shared" si="103"/>
        <v>226</v>
      </c>
      <c r="C3443" s="107">
        <f ca="1">OFFSET(tab_tipo_Combustivel!$A$1,MATCH(B3443,tab_tipo_Combustivel!$A$2:$A$150,0),MATCH(A3443,tab_tipo_Combustivel!$B$1:$AQ$1,0),1,1)</f>
        <v>1061.1300000000001</v>
      </c>
    </row>
    <row r="3444" spans="1:3">
      <c r="A3444" s="3">
        <f t="shared" si="102"/>
        <v>2037</v>
      </c>
      <c r="B3444" s="106">
        <f t="shared" si="103"/>
        <v>227</v>
      </c>
      <c r="C3444" s="107">
        <f ca="1">OFFSET(tab_tipo_Combustivel!$A$1,MATCH(B3444,tab_tipo_Combustivel!$A$2:$A$150,0),MATCH(A3444,tab_tipo_Combustivel!$B$1:$AQ$1,0),1,1)</f>
        <v>447.52</v>
      </c>
    </row>
    <row r="3445" spans="1:3">
      <c r="A3445" s="3">
        <f t="shared" si="102"/>
        <v>2037</v>
      </c>
      <c r="B3445" s="106">
        <f t="shared" si="103"/>
        <v>228</v>
      </c>
      <c r="C3445" s="107">
        <f ca="1">OFFSET(tab_tipo_Combustivel!$A$1,MATCH(B3445,tab_tipo_Combustivel!$A$2:$A$150,0),MATCH(A3445,tab_tipo_Combustivel!$B$1:$AQ$1,0),1,1)</f>
        <v>1061.1400000000001</v>
      </c>
    </row>
    <row r="3446" spans="1:3">
      <c r="A3446" s="3">
        <f t="shared" si="102"/>
        <v>2037</v>
      </c>
      <c r="B3446" s="106">
        <f t="shared" si="103"/>
        <v>229</v>
      </c>
      <c r="C3446" s="107">
        <f ca="1">OFFSET(tab_tipo_Combustivel!$A$1,MATCH(B3446,tab_tipo_Combustivel!$A$2:$A$150,0),MATCH(A3446,tab_tipo_Combustivel!$B$1:$AQ$1,0),1,1)</f>
        <v>942.05</v>
      </c>
    </row>
    <row r="3447" spans="1:3">
      <c r="A3447" s="3">
        <f t="shared" si="102"/>
        <v>2037</v>
      </c>
      <c r="B3447" s="106">
        <f t="shared" si="103"/>
        <v>230</v>
      </c>
      <c r="C3447" s="107">
        <f ca="1">OFFSET(tab_tipo_Combustivel!$A$1,MATCH(B3447,tab_tipo_Combustivel!$A$2:$A$150,0),MATCH(A3447,tab_tipo_Combustivel!$B$1:$AQ$1,0),1,1)</f>
        <v>495.06</v>
      </c>
    </row>
    <row r="3448" spans="1:3">
      <c r="A3448" s="3">
        <f t="shared" si="102"/>
        <v>2037</v>
      </c>
      <c r="B3448" s="106">
        <f t="shared" si="103"/>
        <v>231</v>
      </c>
      <c r="C3448" s="107">
        <f ca="1">OFFSET(tab_tipo_Combustivel!$A$1,MATCH(B3448,tab_tipo_Combustivel!$A$2:$A$150,0),MATCH(A3448,tab_tipo_Combustivel!$B$1:$AQ$1,0),1,1)</f>
        <v>489.29</v>
      </c>
    </row>
    <row r="3449" spans="1:3">
      <c r="A3449" s="3">
        <f t="shared" si="102"/>
        <v>2037</v>
      </c>
      <c r="B3449" s="106">
        <f t="shared" si="103"/>
        <v>232</v>
      </c>
      <c r="C3449" s="107">
        <f ca="1">OFFSET(tab_tipo_Combustivel!$A$1,MATCH(B3449,tab_tipo_Combustivel!$A$2:$A$150,0),MATCH(A3449,tab_tipo_Combustivel!$B$1:$AQ$1,0),1,1)</f>
        <v>842.33</v>
      </c>
    </row>
    <row r="3450" spans="1:3">
      <c r="A3450" s="3">
        <f t="shared" si="102"/>
        <v>2037</v>
      </c>
      <c r="B3450" s="106">
        <f t="shared" si="103"/>
        <v>233</v>
      </c>
      <c r="C3450" s="107">
        <f ca="1">OFFSET(tab_tipo_Combustivel!$A$1,MATCH(B3450,tab_tipo_Combustivel!$A$2:$A$150,0),MATCH(A3450,tab_tipo_Combustivel!$B$1:$AQ$1,0),1,1)</f>
        <v>984.29</v>
      </c>
    </row>
    <row r="3451" spans="1:3">
      <c r="A3451" s="3">
        <f t="shared" si="102"/>
        <v>2037</v>
      </c>
      <c r="B3451" s="106">
        <f t="shared" si="103"/>
        <v>234</v>
      </c>
      <c r="C3451" s="107">
        <f ca="1">OFFSET(tab_tipo_Combustivel!$A$1,MATCH(B3451,tab_tipo_Combustivel!$A$2:$A$150,0),MATCH(A3451,tab_tipo_Combustivel!$B$1:$AQ$1,0),1,1)</f>
        <v>290.26</v>
      </c>
    </row>
    <row r="3452" spans="1:3">
      <c r="A3452" s="3">
        <f t="shared" si="102"/>
        <v>2037</v>
      </c>
      <c r="B3452" s="106">
        <f t="shared" si="103"/>
        <v>235</v>
      </c>
      <c r="C3452" s="107">
        <f ca="1">OFFSET(tab_tipo_Combustivel!$A$1,MATCH(B3452,tab_tipo_Combustivel!$A$2:$A$150,0),MATCH(A3452,tab_tipo_Combustivel!$B$1:$AQ$1,0),1,1)</f>
        <v>1350.87</v>
      </c>
    </row>
    <row r="3453" spans="1:3">
      <c r="A3453" s="3">
        <f t="shared" si="102"/>
        <v>2037</v>
      </c>
      <c r="B3453" s="106">
        <f t="shared" si="103"/>
        <v>236</v>
      </c>
      <c r="C3453" s="107">
        <f ca="1">OFFSET(tab_tipo_Combustivel!$A$1,MATCH(B3453,tab_tipo_Combustivel!$A$2:$A$150,0),MATCH(A3453,tab_tipo_Combustivel!$B$1:$AQ$1,0),1,1)</f>
        <v>842.33</v>
      </c>
    </row>
    <row r="3454" spans="1:3">
      <c r="A3454" s="3">
        <f t="shared" si="102"/>
        <v>2037</v>
      </c>
      <c r="B3454" s="106">
        <f t="shared" si="103"/>
        <v>237</v>
      </c>
      <c r="C3454" s="107">
        <f ca="1">OFFSET(tab_tipo_Combustivel!$A$1,MATCH(B3454,tab_tipo_Combustivel!$A$2:$A$150,0),MATCH(A3454,tab_tipo_Combustivel!$B$1:$AQ$1,0),1,1)</f>
        <v>760.85</v>
      </c>
    </row>
    <row r="3455" spans="1:3">
      <c r="A3455" s="3">
        <f t="shared" si="102"/>
        <v>2037</v>
      </c>
      <c r="B3455" s="106">
        <f t="shared" si="103"/>
        <v>238</v>
      </c>
      <c r="C3455" s="107">
        <f ca="1">OFFSET(tab_tipo_Combustivel!$A$1,MATCH(B3455,tab_tipo_Combustivel!$A$2:$A$150,0),MATCH(A3455,tab_tipo_Combustivel!$B$1:$AQ$1,0),1,1)</f>
        <v>963.75</v>
      </c>
    </row>
    <row r="3456" spans="1:3">
      <c r="A3456" s="3">
        <f t="shared" si="102"/>
        <v>2037</v>
      </c>
      <c r="B3456" s="106">
        <f t="shared" si="103"/>
        <v>239</v>
      </c>
      <c r="C3456" s="107">
        <f ca="1">OFFSET(tab_tipo_Combustivel!$A$1,MATCH(B3456,tab_tipo_Combustivel!$A$2:$A$150,0),MATCH(A3456,tab_tipo_Combustivel!$B$1:$AQ$1,0),1,1)</f>
        <v>963.75</v>
      </c>
    </row>
    <row r="3457" spans="1:3">
      <c r="A3457" s="3">
        <f t="shared" si="102"/>
        <v>2037</v>
      </c>
      <c r="B3457" s="106">
        <f t="shared" si="103"/>
        <v>240</v>
      </c>
      <c r="C3457" s="107">
        <f ca="1">OFFSET(tab_tipo_Combustivel!$A$1,MATCH(B3457,tab_tipo_Combustivel!$A$2:$A$150,0),MATCH(A3457,tab_tipo_Combustivel!$B$1:$AQ$1,0),1,1)</f>
        <v>1115.96</v>
      </c>
    </row>
    <row r="3458" spans="1:3">
      <c r="A3458" s="3">
        <f t="shared" si="102"/>
        <v>2037</v>
      </c>
      <c r="B3458" s="106">
        <f t="shared" si="103"/>
        <v>241</v>
      </c>
      <c r="C3458" s="107">
        <f ca="1">OFFSET(tab_tipo_Combustivel!$A$1,MATCH(B3458,tab_tipo_Combustivel!$A$2:$A$150,0),MATCH(A3458,tab_tipo_Combustivel!$B$1:$AQ$1,0),1,1)</f>
        <v>495.75</v>
      </c>
    </row>
    <row r="3459" spans="1:3">
      <c r="A3459" s="3">
        <f t="shared" si="102"/>
        <v>2037</v>
      </c>
      <c r="B3459" s="106">
        <f t="shared" si="103"/>
        <v>242</v>
      </c>
      <c r="C3459" s="107">
        <f ca="1">OFFSET(tab_tipo_Combustivel!$A$1,MATCH(B3459,tab_tipo_Combustivel!$A$2:$A$150,0),MATCH(A3459,tab_tipo_Combustivel!$B$1:$AQ$1,0),1,1)</f>
        <v>1176.45</v>
      </c>
    </row>
    <row r="3460" spans="1:3">
      <c r="A3460" s="3">
        <f t="shared" si="102"/>
        <v>2037</v>
      </c>
      <c r="B3460" s="106">
        <f t="shared" si="103"/>
        <v>243</v>
      </c>
      <c r="C3460" s="107">
        <f ca="1">OFFSET(tab_tipo_Combustivel!$A$1,MATCH(B3460,tab_tipo_Combustivel!$A$2:$A$150,0),MATCH(A3460,tab_tipo_Combustivel!$B$1:$AQ$1,0),1,1)</f>
        <v>495.08</v>
      </c>
    </row>
    <row r="3461" spans="1:3">
      <c r="A3461" s="3">
        <f t="shared" si="102"/>
        <v>2037</v>
      </c>
      <c r="B3461" s="106">
        <f t="shared" si="103"/>
        <v>244</v>
      </c>
      <c r="C3461" s="107">
        <f ca="1">OFFSET(tab_tipo_Combustivel!$A$1,MATCH(B3461,tab_tipo_Combustivel!$A$2:$A$150,0),MATCH(A3461,tab_tipo_Combustivel!$B$1:$AQ$1,0),1,1)</f>
        <v>495.06</v>
      </c>
    </row>
    <row r="3462" spans="1:3">
      <c r="A3462" s="3">
        <f t="shared" si="102"/>
        <v>2037</v>
      </c>
      <c r="B3462" s="106">
        <f t="shared" si="103"/>
        <v>245</v>
      </c>
      <c r="C3462" s="107">
        <f ca="1">OFFSET(tab_tipo_Combustivel!$A$1,MATCH(B3462,tab_tipo_Combustivel!$A$2:$A$150,0),MATCH(A3462,tab_tipo_Combustivel!$B$1:$AQ$1,0),1,1)</f>
        <v>562.65</v>
      </c>
    </row>
    <row r="3463" spans="1:3">
      <c r="A3463" s="3">
        <f t="shared" si="102"/>
        <v>2037</v>
      </c>
      <c r="B3463" s="106">
        <f t="shared" si="103"/>
        <v>246</v>
      </c>
      <c r="C3463" s="107">
        <f ca="1">OFFSET(tab_tipo_Combustivel!$A$1,MATCH(B3463,tab_tipo_Combustivel!$A$2:$A$150,0),MATCH(A3463,tab_tipo_Combustivel!$B$1:$AQ$1,0),1,1)</f>
        <v>1124.53</v>
      </c>
    </row>
    <row r="3464" spans="1:3">
      <c r="A3464" s="3">
        <f t="shared" si="102"/>
        <v>2037</v>
      </c>
      <c r="B3464" s="106">
        <f t="shared" si="103"/>
        <v>247</v>
      </c>
      <c r="C3464" s="107">
        <f ca="1">OFFSET(tab_tipo_Combustivel!$A$1,MATCH(B3464,tab_tipo_Combustivel!$A$2:$A$150,0),MATCH(A3464,tab_tipo_Combustivel!$B$1:$AQ$1,0),1,1)</f>
        <v>609.51</v>
      </c>
    </row>
    <row r="3465" spans="1:3">
      <c r="A3465" s="3">
        <f t="shared" si="102"/>
        <v>2037</v>
      </c>
      <c r="B3465" s="106">
        <f t="shared" si="103"/>
        <v>248</v>
      </c>
      <c r="C3465" s="107">
        <f ca="1">OFFSET(tab_tipo_Combustivel!$A$1,MATCH(B3465,tab_tipo_Combustivel!$A$2:$A$150,0),MATCH(A3465,tab_tipo_Combustivel!$B$1:$AQ$1,0),1,1)</f>
        <v>495.06</v>
      </c>
    </row>
    <row r="3466" spans="1:3">
      <c r="A3466" s="3">
        <f t="shared" ref="A3466:A3529" si="104">A3331+1</f>
        <v>2037</v>
      </c>
      <c r="B3466" s="106">
        <f t="shared" ref="B3466:B3529" si="105">B3331</f>
        <v>249</v>
      </c>
      <c r="C3466" s="107">
        <f ca="1">OFFSET(tab_tipo_Combustivel!$A$1,MATCH(B3466,tab_tipo_Combustivel!$A$2:$A$150,0),MATCH(A3466,tab_tipo_Combustivel!$B$1:$AQ$1,0),1,1)</f>
        <v>842.33</v>
      </c>
    </row>
    <row r="3467" spans="1:3">
      <c r="A3467" s="3">
        <f t="shared" si="104"/>
        <v>2037</v>
      </c>
      <c r="B3467" s="106">
        <f t="shared" si="105"/>
        <v>250</v>
      </c>
      <c r="C3467" s="107">
        <f ca="1">OFFSET(tab_tipo_Combustivel!$A$1,MATCH(B3467,tab_tipo_Combustivel!$A$2:$A$150,0),MATCH(A3467,tab_tipo_Combustivel!$B$1:$AQ$1,0),1,1)</f>
        <v>1176.45</v>
      </c>
    </row>
    <row r="3468" spans="1:3">
      <c r="A3468" s="3">
        <f t="shared" si="104"/>
        <v>2037</v>
      </c>
      <c r="B3468" s="106">
        <f t="shared" si="105"/>
        <v>251</v>
      </c>
      <c r="C3468" s="107">
        <f ca="1">OFFSET(tab_tipo_Combustivel!$A$1,MATCH(B3468,tab_tipo_Combustivel!$A$2:$A$150,0),MATCH(A3468,tab_tipo_Combustivel!$B$1:$AQ$1,0),1,1)</f>
        <v>842.33</v>
      </c>
    </row>
    <row r="3469" spans="1:3">
      <c r="A3469" s="3">
        <f t="shared" si="104"/>
        <v>2037</v>
      </c>
      <c r="B3469" s="106">
        <f t="shared" si="105"/>
        <v>252</v>
      </c>
      <c r="C3469" s="107">
        <f ca="1">OFFSET(tab_tipo_Combustivel!$A$1,MATCH(B3469,tab_tipo_Combustivel!$A$2:$A$150,0),MATCH(A3469,tab_tipo_Combustivel!$B$1:$AQ$1,0),1,1)</f>
        <v>842.33</v>
      </c>
    </row>
    <row r="3470" spans="1:3">
      <c r="A3470" s="3">
        <f t="shared" si="104"/>
        <v>2037</v>
      </c>
      <c r="B3470" s="106">
        <f t="shared" si="105"/>
        <v>253</v>
      </c>
      <c r="C3470" s="107">
        <f ca="1">OFFSET(tab_tipo_Combustivel!$A$1,MATCH(B3470,tab_tipo_Combustivel!$A$2:$A$150,0),MATCH(A3470,tab_tipo_Combustivel!$B$1:$AQ$1,0),1,1)</f>
        <v>279.45</v>
      </c>
    </row>
    <row r="3471" spans="1:3">
      <c r="A3471" s="3">
        <f t="shared" si="104"/>
        <v>2037</v>
      </c>
      <c r="B3471" s="106">
        <f t="shared" si="105"/>
        <v>254</v>
      </c>
      <c r="C3471" s="107">
        <f ca="1">OFFSET(tab_tipo_Combustivel!$A$1,MATCH(B3471,tab_tipo_Combustivel!$A$2:$A$150,0),MATCH(A3471,tab_tipo_Combustivel!$B$1:$AQ$1,0),1,1)</f>
        <v>1153.98</v>
      </c>
    </row>
    <row r="3472" spans="1:3">
      <c r="A3472" s="3">
        <f t="shared" si="104"/>
        <v>2037</v>
      </c>
      <c r="B3472" s="106">
        <f t="shared" si="105"/>
        <v>255</v>
      </c>
      <c r="C3472" s="107">
        <f ca="1">OFFSET(tab_tipo_Combustivel!$A$1,MATCH(B3472,tab_tipo_Combustivel!$A$2:$A$150,0),MATCH(A3472,tab_tipo_Combustivel!$B$1:$AQ$1,0),1,1)</f>
        <v>828.98</v>
      </c>
    </row>
    <row r="3473" spans="1:3">
      <c r="A3473" s="3">
        <f t="shared" si="104"/>
        <v>2037</v>
      </c>
      <c r="B3473" s="106">
        <f t="shared" si="105"/>
        <v>256</v>
      </c>
      <c r="C3473" s="107">
        <f ca="1">OFFSET(tab_tipo_Combustivel!$A$1,MATCH(B3473,tab_tipo_Combustivel!$A$2:$A$150,0),MATCH(A3473,tab_tipo_Combustivel!$B$1:$AQ$1,0),1,1)</f>
        <v>562.65</v>
      </c>
    </row>
    <row r="3474" spans="1:3">
      <c r="A3474" s="3">
        <f t="shared" si="104"/>
        <v>2037</v>
      </c>
      <c r="B3474" s="106">
        <f t="shared" si="105"/>
        <v>257</v>
      </c>
      <c r="C3474" s="107">
        <f ca="1">OFFSET(tab_tipo_Combustivel!$A$1,MATCH(B3474,tab_tipo_Combustivel!$A$2:$A$150,0),MATCH(A3474,tab_tipo_Combustivel!$B$1:$AQ$1,0),1,1)</f>
        <v>907.52</v>
      </c>
    </row>
    <row r="3475" spans="1:3">
      <c r="A3475" s="3">
        <f t="shared" si="104"/>
        <v>2037</v>
      </c>
      <c r="B3475" s="106">
        <f t="shared" si="105"/>
        <v>258</v>
      </c>
      <c r="C3475" s="107">
        <f ca="1">OFFSET(tab_tipo_Combustivel!$A$1,MATCH(B3475,tab_tipo_Combustivel!$A$2:$A$150,0),MATCH(A3475,tab_tipo_Combustivel!$B$1:$AQ$1,0),1,1)</f>
        <v>1016.04</v>
      </c>
    </row>
    <row r="3476" spans="1:3">
      <c r="A3476" s="3">
        <f t="shared" si="104"/>
        <v>2037</v>
      </c>
      <c r="B3476" s="106">
        <f t="shared" si="105"/>
        <v>259</v>
      </c>
      <c r="C3476" s="107">
        <f ca="1">OFFSET(tab_tipo_Combustivel!$A$1,MATCH(B3476,tab_tipo_Combustivel!$A$2:$A$150,0),MATCH(A3476,tab_tipo_Combustivel!$B$1:$AQ$1,0),1,1)</f>
        <v>977.53</v>
      </c>
    </row>
    <row r="3477" spans="1:3">
      <c r="A3477" s="3">
        <f t="shared" si="104"/>
        <v>2037</v>
      </c>
      <c r="B3477" s="106">
        <f t="shared" si="105"/>
        <v>260</v>
      </c>
      <c r="C3477" s="107">
        <f ca="1">OFFSET(tab_tipo_Combustivel!$A$1,MATCH(B3477,tab_tipo_Combustivel!$A$2:$A$150,0),MATCH(A3477,tab_tipo_Combustivel!$B$1:$AQ$1,0),1,1)</f>
        <v>827.17</v>
      </c>
    </row>
    <row r="3478" spans="1:3">
      <c r="A3478" s="3">
        <f t="shared" si="104"/>
        <v>2037</v>
      </c>
      <c r="B3478" s="106">
        <f t="shared" si="105"/>
        <v>261</v>
      </c>
      <c r="C3478" s="107">
        <f ca="1">OFFSET(tab_tipo_Combustivel!$A$1,MATCH(B3478,tab_tipo_Combustivel!$A$2:$A$150,0),MATCH(A3478,tab_tipo_Combustivel!$B$1:$AQ$1,0),1,1)</f>
        <v>829.7</v>
      </c>
    </row>
    <row r="3479" spans="1:3">
      <c r="A3479" s="3">
        <f t="shared" si="104"/>
        <v>2037</v>
      </c>
      <c r="B3479" s="106">
        <f t="shared" si="105"/>
        <v>262</v>
      </c>
      <c r="C3479" s="107">
        <f ca="1">OFFSET(tab_tipo_Combustivel!$A$1,MATCH(B3479,tab_tipo_Combustivel!$A$2:$A$150,0),MATCH(A3479,tab_tipo_Combustivel!$B$1:$AQ$1,0),1,1)</f>
        <v>495.75</v>
      </c>
    </row>
    <row r="3480" spans="1:3">
      <c r="A3480" s="3">
        <f t="shared" si="104"/>
        <v>2037</v>
      </c>
      <c r="B3480" s="106">
        <f t="shared" si="105"/>
        <v>263</v>
      </c>
      <c r="C3480" s="107">
        <f ca="1">OFFSET(tab_tipo_Combustivel!$A$1,MATCH(B3480,tab_tipo_Combustivel!$A$2:$A$150,0),MATCH(A3480,tab_tipo_Combustivel!$B$1:$AQ$1,0),1,1)</f>
        <v>474.77</v>
      </c>
    </row>
    <row r="3481" spans="1:3">
      <c r="A3481" s="3">
        <f t="shared" si="104"/>
        <v>2037</v>
      </c>
      <c r="B3481" s="106">
        <f t="shared" si="105"/>
        <v>264</v>
      </c>
      <c r="C3481" s="107">
        <f ca="1">OFFSET(tab_tipo_Combustivel!$A$1,MATCH(B3481,tab_tipo_Combustivel!$A$2:$A$150,0),MATCH(A3481,tab_tipo_Combustivel!$B$1:$AQ$1,0),1,1)</f>
        <v>842.33</v>
      </c>
    </row>
    <row r="3482" spans="1:3">
      <c r="A3482" s="3">
        <f t="shared" si="104"/>
        <v>2037</v>
      </c>
      <c r="B3482" s="106">
        <f t="shared" si="105"/>
        <v>265</v>
      </c>
      <c r="C3482" s="107">
        <f ca="1">OFFSET(tab_tipo_Combustivel!$A$1,MATCH(B3482,tab_tipo_Combustivel!$A$2:$A$150,0),MATCH(A3482,tab_tipo_Combustivel!$B$1:$AQ$1,0),1,1)</f>
        <v>415.82</v>
      </c>
    </row>
    <row r="3483" spans="1:3">
      <c r="A3483" s="3">
        <f t="shared" si="104"/>
        <v>2037</v>
      </c>
      <c r="B3483" s="106">
        <f t="shared" si="105"/>
        <v>266</v>
      </c>
      <c r="C3483" s="107">
        <f ca="1">OFFSET(tab_tipo_Combustivel!$A$1,MATCH(B3483,tab_tipo_Combustivel!$A$2:$A$150,0),MATCH(A3483,tab_tipo_Combustivel!$B$1:$AQ$1,0),1,1)</f>
        <v>827.17</v>
      </c>
    </row>
    <row r="3484" spans="1:3">
      <c r="A3484" s="3">
        <f t="shared" si="104"/>
        <v>2037</v>
      </c>
      <c r="B3484" s="106">
        <f t="shared" si="105"/>
        <v>301</v>
      </c>
      <c r="C3484" s="107">
        <f ca="1">OFFSET(tab_tipo_Combustivel!$A$1,MATCH(B3484,tab_tipo_Combustivel!$A$2:$A$150,0),MATCH(A3484,tab_tipo_Combustivel!$B$1:$AQ$1,0),1,1)</f>
        <v>99.08</v>
      </c>
    </row>
    <row r="3485" spans="1:3">
      <c r="A3485" s="3">
        <f t="shared" si="104"/>
        <v>2037</v>
      </c>
      <c r="B3485" s="106">
        <f t="shared" si="105"/>
        <v>302</v>
      </c>
      <c r="C3485" s="107">
        <f ca="1">OFFSET(tab_tipo_Combustivel!$A$1,MATCH(B3485,tab_tipo_Combustivel!$A$2:$A$150,0),MATCH(A3485,tab_tipo_Combustivel!$B$1:$AQ$1,0),1,1)</f>
        <v>103.73</v>
      </c>
    </row>
    <row r="3486" spans="1:3">
      <c r="A3486" s="3">
        <f t="shared" si="104"/>
        <v>2037</v>
      </c>
      <c r="B3486" s="106">
        <f t="shared" si="105"/>
        <v>303</v>
      </c>
      <c r="C3486" s="107">
        <f ca="1">OFFSET(tab_tipo_Combustivel!$A$1,MATCH(B3486,tab_tipo_Combustivel!$A$2:$A$150,0),MATCH(A3486,tab_tipo_Combustivel!$B$1:$AQ$1,0),1,1)</f>
        <v>103.73</v>
      </c>
    </row>
    <row r="3487" spans="1:3">
      <c r="A3487" s="3">
        <f t="shared" si="104"/>
        <v>2037</v>
      </c>
      <c r="B3487" s="106">
        <f t="shared" si="105"/>
        <v>304</v>
      </c>
      <c r="C3487" s="107">
        <f ca="1">OFFSET(tab_tipo_Combustivel!$A$1,MATCH(B3487,tab_tipo_Combustivel!$A$2:$A$150,0),MATCH(A3487,tab_tipo_Combustivel!$B$1:$AQ$1,0),1,1)</f>
        <v>139.41999999999999</v>
      </c>
    </row>
    <row r="3488" spans="1:3">
      <c r="A3488" s="3">
        <f t="shared" si="104"/>
        <v>2037</v>
      </c>
      <c r="B3488" s="106">
        <f t="shared" si="105"/>
        <v>305</v>
      </c>
      <c r="C3488" s="107">
        <f ca="1">OFFSET(tab_tipo_Combustivel!$A$1,MATCH(B3488,tab_tipo_Combustivel!$A$2:$A$150,0),MATCH(A3488,tab_tipo_Combustivel!$B$1:$AQ$1,0),1,1)</f>
        <v>89.7</v>
      </c>
    </row>
    <row r="3489" spans="1:3">
      <c r="A3489" s="3">
        <f t="shared" si="104"/>
        <v>2037</v>
      </c>
      <c r="B3489" s="106">
        <f t="shared" si="105"/>
        <v>306</v>
      </c>
      <c r="C3489" s="107">
        <f ca="1">OFFSET(tab_tipo_Combustivel!$A$1,MATCH(B3489,tab_tipo_Combustivel!$A$2:$A$150,0),MATCH(A3489,tab_tipo_Combustivel!$B$1:$AQ$1,0),1,1)</f>
        <v>100.38</v>
      </c>
    </row>
    <row r="3490" spans="1:3">
      <c r="A3490" s="3">
        <f t="shared" si="104"/>
        <v>2037</v>
      </c>
      <c r="B3490" s="106">
        <f t="shared" si="105"/>
        <v>307</v>
      </c>
      <c r="C3490" s="107">
        <f ca="1">OFFSET(tab_tipo_Combustivel!$A$1,MATCH(B3490,tab_tipo_Combustivel!$A$2:$A$150,0),MATCH(A3490,tab_tipo_Combustivel!$B$1:$AQ$1,0),1,1)</f>
        <v>510.12</v>
      </c>
    </row>
    <row r="3491" spans="1:3">
      <c r="A3491" s="3">
        <f t="shared" si="104"/>
        <v>2037</v>
      </c>
      <c r="B3491" s="106">
        <f t="shared" si="105"/>
        <v>308</v>
      </c>
      <c r="C3491" s="107">
        <f ca="1">OFFSET(tab_tipo_Combustivel!$A$1,MATCH(B3491,tab_tipo_Combustivel!$A$2:$A$150,0),MATCH(A3491,tab_tipo_Combustivel!$B$1:$AQ$1,0),1,1)</f>
        <v>72.5</v>
      </c>
    </row>
    <row r="3492" spans="1:3">
      <c r="A3492" s="3">
        <f t="shared" si="104"/>
        <v>2037</v>
      </c>
      <c r="B3492" s="106">
        <f t="shared" si="105"/>
        <v>309</v>
      </c>
      <c r="C3492" s="107">
        <f ca="1">OFFSET(tab_tipo_Combustivel!$A$1,MATCH(B3492,tab_tipo_Combustivel!$A$2:$A$150,0),MATCH(A3492,tab_tipo_Combustivel!$B$1:$AQ$1,0),1,1)</f>
        <v>126.77</v>
      </c>
    </row>
    <row r="3493" spans="1:3">
      <c r="A3493" s="3">
        <f t="shared" si="104"/>
        <v>2037</v>
      </c>
      <c r="B3493" s="106">
        <f t="shared" si="105"/>
        <v>310</v>
      </c>
      <c r="C3493" s="107">
        <f ca="1">OFFSET(tab_tipo_Combustivel!$A$1,MATCH(B3493,tab_tipo_Combustivel!$A$2:$A$150,0),MATCH(A3493,tab_tipo_Combustivel!$B$1:$AQ$1,0),1,1)</f>
        <v>275.99</v>
      </c>
    </row>
    <row r="3494" spans="1:3">
      <c r="A3494" s="3">
        <f t="shared" si="104"/>
        <v>2037</v>
      </c>
      <c r="B3494" s="106">
        <f t="shared" si="105"/>
        <v>311</v>
      </c>
      <c r="C3494" s="107">
        <f ca="1">OFFSET(tab_tipo_Combustivel!$A$1,MATCH(B3494,tab_tipo_Combustivel!$A$2:$A$150,0),MATCH(A3494,tab_tipo_Combustivel!$B$1:$AQ$1,0),1,1)</f>
        <v>70.66</v>
      </c>
    </row>
    <row r="3495" spans="1:3">
      <c r="A3495" s="3">
        <f t="shared" si="104"/>
        <v>2037</v>
      </c>
      <c r="B3495" s="106">
        <f t="shared" si="105"/>
        <v>312</v>
      </c>
      <c r="C3495" s="107">
        <f ca="1">OFFSET(tab_tipo_Combustivel!$A$1,MATCH(B3495,tab_tipo_Combustivel!$A$2:$A$150,0),MATCH(A3495,tab_tipo_Combustivel!$B$1:$AQ$1,0),1,1)</f>
        <v>0</v>
      </c>
    </row>
    <row r="3496" spans="1:3">
      <c r="A3496" s="3">
        <f t="shared" si="104"/>
        <v>2037</v>
      </c>
      <c r="B3496" s="106">
        <f t="shared" si="105"/>
        <v>1301</v>
      </c>
      <c r="C3496" s="107">
        <f ca="1">OFFSET(tab_tipo_Combustivel!$A$1,MATCH(B3496,tab_tipo_Combustivel!$A$2:$A$150,0),MATCH(A3496,tab_tipo_Combustivel!$B$1:$AQ$1,0),1,1)</f>
        <v>242.05</v>
      </c>
    </row>
    <row r="3497" spans="1:3">
      <c r="A3497" s="3">
        <f t="shared" si="104"/>
        <v>2037</v>
      </c>
      <c r="B3497" s="106">
        <f t="shared" si="105"/>
        <v>1302</v>
      </c>
      <c r="C3497" s="107">
        <f ca="1">OFFSET(tab_tipo_Combustivel!$A$1,MATCH(B3497,tab_tipo_Combustivel!$A$2:$A$150,0),MATCH(A3497,tab_tipo_Combustivel!$B$1:$AQ$1,0),1,1)</f>
        <v>193.64</v>
      </c>
    </row>
    <row r="3498" spans="1:3">
      <c r="A3498" s="3">
        <f t="shared" si="104"/>
        <v>2037</v>
      </c>
      <c r="B3498" s="106">
        <f t="shared" si="105"/>
        <v>1303</v>
      </c>
      <c r="C3498" s="107">
        <f ca="1">OFFSET(tab_tipo_Combustivel!$A$1,MATCH(B3498,tab_tipo_Combustivel!$A$2:$A$150,0),MATCH(A3498,tab_tipo_Combustivel!$B$1:$AQ$1,0),1,1)</f>
        <v>25.58</v>
      </c>
    </row>
    <row r="3499" spans="1:3">
      <c r="A3499" s="3">
        <f t="shared" si="104"/>
        <v>2037</v>
      </c>
      <c r="B3499" s="106">
        <f t="shared" si="105"/>
        <v>1304</v>
      </c>
      <c r="C3499" s="107">
        <f ca="1">OFFSET(tab_tipo_Combustivel!$A$1,MATCH(B3499,tab_tipo_Combustivel!$A$2:$A$150,0),MATCH(A3499,tab_tipo_Combustivel!$B$1:$AQ$1,0),1,1)</f>
        <v>0</v>
      </c>
    </row>
    <row r="3500" spans="1:3">
      <c r="A3500" s="3">
        <f t="shared" si="104"/>
        <v>2037</v>
      </c>
      <c r="B3500" s="106">
        <f t="shared" si="105"/>
        <v>1315</v>
      </c>
      <c r="C3500" s="107">
        <f ca="1">OFFSET(tab_tipo_Combustivel!$A$1,MATCH(B3500,tab_tipo_Combustivel!$A$2:$A$150,0),MATCH(A3500,tab_tipo_Combustivel!$B$1:$AQ$1,0),1,1)</f>
        <v>0</v>
      </c>
    </row>
    <row r="3501" spans="1:3">
      <c r="A3501" s="3">
        <f t="shared" si="104"/>
        <v>2037</v>
      </c>
      <c r="B3501" s="106">
        <f t="shared" si="105"/>
        <v>1316</v>
      </c>
      <c r="C3501" s="107">
        <f ca="1">OFFSET(tab_tipo_Combustivel!$A$1,MATCH(B3501,tab_tipo_Combustivel!$A$2:$A$150,0),MATCH(A3501,tab_tipo_Combustivel!$B$1:$AQ$1,0),1,1)</f>
        <v>0</v>
      </c>
    </row>
    <row r="3502" spans="1:3">
      <c r="A3502" s="3">
        <f t="shared" si="104"/>
        <v>2037</v>
      </c>
      <c r="B3502" s="106">
        <f t="shared" si="105"/>
        <v>1318</v>
      </c>
      <c r="C3502" s="107">
        <f ca="1">OFFSET(tab_tipo_Combustivel!$A$1,MATCH(B3502,tab_tipo_Combustivel!$A$2:$A$150,0),MATCH(A3502,tab_tipo_Combustivel!$B$1:$AQ$1,0),1,1)</f>
        <v>150</v>
      </c>
    </row>
    <row r="3503" spans="1:3">
      <c r="A3503" s="3">
        <f t="shared" si="104"/>
        <v>2037</v>
      </c>
      <c r="B3503" s="106">
        <f t="shared" si="105"/>
        <v>1321</v>
      </c>
      <c r="C3503" s="107">
        <f ca="1">OFFSET(tab_tipo_Combustivel!$A$1,MATCH(B3503,tab_tipo_Combustivel!$A$2:$A$150,0),MATCH(A3503,tab_tipo_Combustivel!$B$1:$AQ$1,0),1,1)</f>
        <v>85</v>
      </c>
    </row>
    <row r="3504" spans="1:3">
      <c r="A3504" s="3">
        <f t="shared" si="104"/>
        <v>2037</v>
      </c>
      <c r="B3504" s="106">
        <f t="shared" si="105"/>
        <v>1322</v>
      </c>
      <c r="C3504" s="107">
        <f ca="1">OFFSET(tab_tipo_Combustivel!$A$1,MATCH(B3504,tab_tipo_Combustivel!$A$2:$A$150,0),MATCH(A3504,tab_tipo_Combustivel!$B$1:$AQ$1,0),1,1)</f>
        <v>140</v>
      </c>
    </row>
    <row r="3505" spans="1:3">
      <c r="A3505" s="3">
        <f t="shared" si="104"/>
        <v>2037</v>
      </c>
      <c r="B3505" s="106">
        <f t="shared" si="105"/>
        <v>1323</v>
      </c>
      <c r="C3505" s="107">
        <f ca="1">OFFSET(tab_tipo_Combustivel!$A$1,MATCH(B3505,tab_tipo_Combustivel!$A$2:$A$150,0),MATCH(A3505,tab_tipo_Combustivel!$B$1:$AQ$1,0),1,1)</f>
        <v>63.75</v>
      </c>
    </row>
    <row r="3506" spans="1:3">
      <c r="A3506" s="3">
        <f t="shared" si="104"/>
        <v>2037</v>
      </c>
      <c r="B3506" s="106">
        <f t="shared" si="105"/>
        <v>1325</v>
      </c>
      <c r="C3506" s="107">
        <f ca="1">OFFSET(tab_tipo_Combustivel!$A$1,MATCH(B3506,tab_tipo_Combustivel!$A$2:$A$150,0),MATCH(A3506,tab_tipo_Combustivel!$B$1:$AQ$1,0),1,1)</f>
        <v>0</v>
      </c>
    </row>
    <row r="3507" spans="1:3">
      <c r="A3507" s="3">
        <f t="shared" si="104"/>
        <v>2037</v>
      </c>
      <c r="B3507" s="106">
        <f t="shared" si="105"/>
        <v>1326</v>
      </c>
      <c r="C3507" s="107">
        <f ca="1">OFFSET(tab_tipo_Combustivel!$A$1,MATCH(B3507,tab_tipo_Combustivel!$A$2:$A$150,0),MATCH(A3507,tab_tipo_Combustivel!$B$1:$AQ$1,0),1,1)</f>
        <v>260</v>
      </c>
    </row>
    <row r="3508" spans="1:3">
      <c r="A3508" s="3">
        <f t="shared" si="104"/>
        <v>2037</v>
      </c>
      <c r="B3508" s="106">
        <f t="shared" si="105"/>
        <v>1501</v>
      </c>
      <c r="C3508" s="107">
        <f ca="1">OFFSET(tab_tipo_Combustivel!$A$1,MATCH(B3508,tab_tipo_Combustivel!$A$2:$A$150,0),MATCH(A3508,tab_tipo_Combustivel!$B$1:$AQ$1,0),1,1)</f>
        <v>260</v>
      </c>
    </row>
    <row r="3509" spans="1:3">
      <c r="A3509" s="3">
        <f t="shared" si="104"/>
        <v>2037</v>
      </c>
      <c r="B3509" s="106">
        <f t="shared" si="105"/>
        <v>1502</v>
      </c>
      <c r="C3509" s="107">
        <f ca="1">OFFSET(tab_tipo_Combustivel!$A$1,MATCH(B3509,tab_tipo_Combustivel!$A$2:$A$150,0),MATCH(A3509,tab_tipo_Combustivel!$B$1:$AQ$1,0),1,1)</f>
        <v>60</v>
      </c>
    </row>
    <row r="3510" spans="1:3">
      <c r="A3510" s="3">
        <f t="shared" si="104"/>
        <v>2037</v>
      </c>
      <c r="B3510" s="106">
        <f t="shared" si="105"/>
        <v>1503</v>
      </c>
      <c r="C3510" s="107">
        <f ca="1">OFFSET(tab_tipo_Combustivel!$A$1,MATCH(B3510,tab_tipo_Combustivel!$A$2:$A$150,0),MATCH(A3510,tab_tipo_Combustivel!$B$1:$AQ$1,0),1,1)</f>
        <v>96.82</v>
      </c>
    </row>
    <row r="3511" spans="1:3">
      <c r="A3511" s="3">
        <f t="shared" si="104"/>
        <v>2037</v>
      </c>
      <c r="B3511" s="106">
        <f t="shared" si="105"/>
        <v>1504</v>
      </c>
      <c r="C3511" s="107">
        <f ca="1">OFFSET(tab_tipo_Combustivel!$A$1,MATCH(B3511,tab_tipo_Combustivel!$A$2:$A$150,0),MATCH(A3511,tab_tipo_Combustivel!$B$1:$AQ$1,0),1,1)</f>
        <v>145.22999999999999</v>
      </c>
    </row>
    <row r="3512" spans="1:3">
      <c r="A3512" s="3">
        <f t="shared" si="104"/>
        <v>2038</v>
      </c>
      <c r="B3512" s="106">
        <f t="shared" si="105"/>
        <v>1</v>
      </c>
      <c r="C3512" s="107">
        <f ca="1">OFFSET(tab_tipo_Combustivel!$A$1,MATCH(B3512,tab_tipo_Combustivel!$A$2:$A$150,0),MATCH(A3512,tab_tipo_Combustivel!$B$1:$AQ$1,0),1,1)</f>
        <v>29.13</v>
      </c>
    </row>
    <row r="3513" spans="1:3">
      <c r="A3513" s="3">
        <f t="shared" si="104"/>
        <v>2038</v>
      </c>
      <c r="B3513" s="106">
        <f t="shared" si="105"/>
        <v>2</v>
      </c>
      <c r="C3513" s="107">
        <f ca="1">OFFSET(tab_tipo_Combustivel!$A$1,MATCH(B3513,tab_tipo_Combustivel!$A$2:$A$150,0),MATCH(A3513,tab_tipo_Combustivel!$B$1:$AQ$1,0),1,1)</f>
        <v>842.33</v>
      </c>
    </row>
    <row r="3514" spans="1:3">
      <c r="A3514" s="3">
        <f t="shared" si="104"/>
        <v>2038</v>
      </c>
      <c r="B3514" s="106">
        <f t="shared" si="105"/>
        <v>4</v>
      </c>
      <c r="C3514" s="107">
        <f ca="1">OFFSET(tab_tipo_Combustivel!$A$1,MATCH(B3514,tab_tipo_Combustivel!$A$2:$A$150,0),MATCH(A3514,tab_tipo_Combustivel!$B$1:$AQ$1,0),1,1)</f>
        <v>842.33</v>
      </c>
    </row>
    <row r="3515" spans="1:3">
      <c r="A3515" s="3">
        <f t="shared" si="104"/>
        <v>2038</v>
      </c>
      <c r="B3515" s="106">
        <f t="shared" si="105"/>
        <v>9</v>
      </c>
      <c r="C3515" s="107">
        <f ca="1">OFFSET(tab_tipo_Combustivel!$A$1,MATCH(B3515,tab_tipo_Combustivel!$A$2:$A$150,0),MATCH(A3515,tab_tipo_Combustivel!$B$1:$AQ$1,0),1,1)</f>
        <v>842.33</v>
      </c>
    </row>
    <row r="3516" spans="1:3">
      <c r="A3516" s="3">
        <f t="shared" si="104"/>
        <v>2038</v>
      </c>
      <c r="B3516" s="106">
        <f t="shared" si="105"/>
        <v>12</v>
      </c>
      <c r="C3516" s="107">
        <f ca="1">OFFSET(tab_tipo_Combustivel!$A$1,MATCH(B3516,tab_tipo_Combustivel!$A$2:$A$150,0),MATCH(A3516,tab_tipo_Combustivel!$B$1:$AQ$1,0),1,1)</f>
        <v>728.87</v>
      </c>
    </row>
    <row r="3517" spans="1:3">
      <c r="A3517" s="3">
        <f t="shared" si="104"/>
        <v>2038</v>
      </c>
      <c r="B3517" s="106">
        <f t="shared" si="105"/>
        <v>13</v>
      </c>
      <c r="C3517" s="107">
        <f ca="1">OFFSET(tab_tipo_Combustivel!$A$1,MATCH(B3517,tab_tipo_Combustivel!$A$2:$A$150,0),MATCH(A3517,tab_tipo_Combustivel!$B$1:$AQ$1,0),1,1)</f>
        <v>20.12</v>
      </c>
    </row>
    <row r="3518" spans="1:3">
      <c r="A3518" s="3">
        <f t="shared" si="104"/>
        <v>2038</v>
      </c>
      <c r="B3518" s="106">
        <f t="shared" si="105"/>
        <v>15</v>
      </c>
      <c r="C3518" s="107">
        <f ca="1">OFFSET(tab_tipo_Combustivel!$A$1,MATCH(B3518,tab_tipo_Combustivel!$A$2:$A$150,0),MATCH(A3518,tab_tipo_Combustivel!$B$1:$AQ$1,0),1,1)</f>
        <v>257.29000000000002</v>
      </c>
    </row>
    <row r="3519" spans="1:3">
      <c r="A3519" s="3">
        <f t="shared" si="104"/>
        <v>2038</v>
      </c>
      <c r="B3519" s="106">
        <f t="shared" si="105"/>
        <v>21</v>
      </c>
      <c r="C3519" s="107">
        <f ca="1">OFFSET(tab_tipo_Combustivel!$A$1,MATCH(B3519,tab_tipo_Combustivel!$A$2:$A$150,0),MATCH(A3519,tab_tipo_Combustivel!$B$1:$AQ$1,0),1,1)</f>
        <v>157.83000000000001</v>
      </c>
    </row>
    <row r="3520" spans="1:3">
      <c r="A3520" s="3">
        <f t="shared" si="104"/>
        <v>2038</v>
      </c>
      <c r="B3520" s="106">
        <f t="shared" si="105"/>
        <v>22</v>
      </c>
      <c r="C3520" s="107">
        <f ca="1">OFFSET(tab_tipo_Combustivel!$A$1,MATCH(B3520,tab_tipo_Combustivel!$A$2:$A$150,0),MATCH(A3520,tab_tipo_Combustivel!$B$1:$AQ$1,0),1,1)</f>
        <v>115.9</v>
      </c>
    </row>
    <row r="3521" spans="1:3">
      <c r="A3521" s="3">
        <f t="shared" si="104"/>
        <v>2038</v>
      </c>
      <c r="B3521" s="106">
        <f t="shared" si="105"/>
        <v>23</v>
      </c>
      <c r="C3521" s="107">
        <f ca="1">OFFSET(tab_tipo_Combustivel!$A$1,MATCH(B3521,tab_tipo_Combustivel!$A$2:$A$150,0),MATCH(A3521,tab_tipo_Combustivel!$B$1:$AQ$1,0),1,1)</f>
        <v>115.9</v>
      </c>
    </row>
    <row r="3522" spans="1:3">
      <c r="A3522" s="3">
        <f t="shared" si="104"/>
        <v>2038</v>
      </c>
      <c r="B3522" s="106">
        <f t="shared" si="105"/>
        <v>24</v>
      </c>
      <c r="C3522" s="107">
        <f ca="1">OFFSET(tab_tipo_Combustivel!$A$1,MATCH(B3522,tab_tipo_Combustivel!$A$2:$A$150,0),MATCH(A3522,tab_tipo_Combustivel!$B$1:$AQ$1,0),1,1)</f>
        <v>155.85</v>
      </c>
    </row>
    <row r="3523" spans="1:3">
      <c r="A3523" s="3">
        <f t="shared" si="104"/>
        <v>2038</v>
      </c>
      <c r="B3523" s="106">
        <f t="shared" si="105"/>
        <v>25</v>
      </c>
      <c r="C3523" s="107">
        <f ca="1">OFFSET(tab_tipo_Combustivel!$A$1,MATCH(B3523,tab_tipo_Combustivel!$A$2:$A$150,0),MATCH(A3523,tab_tipo_Combustivel!$B$1:$AQ$1,0),1,1)</f>
        <v>186.33</v>
      </c>
    </row>
    <row r="3524" spans="1:3">
      <c r="A3524" s="3">
        <f t="shared" si="104"/>
        <v>2038</v>
      </c>
      <c r="B3524" s="106">
        <f t="shared" si="105"/>
        <v>26</v>
      </c>
      <c r="C3524" s="107">
        <f ca="1">OFFSET(tab_tipo_Combustivel!$A$1,MATCH(B3524,tab_tipo_Combustivel!$A$2:$A$150,0),MATCH(A3524,tab_tipo_Combustivel!$B$1:$AQ$1,0),1,1)</f>
        <v>258.42</v>
      </c>
    </row>
    <row r="3525" spans="1:3">
      <c r="A3525" s="3">
        <f t="shared" si="104"/>
        <v>2038</v>
      </c>
      <c r="B3525" s="106">
        <f t="shared" si="105"/>
        <v>27</v>
      </c>
      <c r="C3525" s="107">
        <f ca="1">OFFSET(tab_tipo_Combustivel!$A$1,MATCH(B3525,tab_tipo_Combustivel!$A$2:$A$150,0),MATCH(A3525,tab_tipo_Combustivel!$B$1:$AQ$1,0),1,1)</f>
        <v>195.49</v>
      </c>
    </row>
    <row r="3526" spans="1:3">
      <c r="A3526" s="3">
        <f t="shared" si="104"/>
        <v>2038</v>
      </c>
      <c r="B3526" s="106">
        <f t="shared" si="105"/>
        <v>28</v>
      </c>
      <c r="C3526" s="107">
        <f ca="1">OFFSET(tab_tipo_Combustivel!$A$1,MATCH(B3526,tab_tipo_Combustivel!$A$2:$A$150,0),MATCH(A3526,tab_tipo_Combustivel!$B$1:$AQ$1,0),1,1)</f>
        <v>459.92</v>
      </c>
    </row>
    <row r="3527" spans="1:3">
      <c r="A3527" s="3">
        <f t="shared" si="104"/>
        <v>2038</v>
      </c>
      <c r="B3527" s="106">
        <f t="shared" si="105"/>
        <v>32</v>
      </c>
      <c r="C3527" s="107">
        <f ca="1">OFFSET(tab_tipo_Combustivel!$A$1,MATCH(B3527,tab_tipo_Combustivel!$A$2:$A$150,0),MATCH(A3527,tab_tipo_Combustivel!$B$1:$AQ$1,0),1,1)</f>
        <v>248.31</v>
      </c>
    </row>
    <row r="3528" spans="1:3">
      <c r="A3528" s="3">
        <f t="shared" si="104"/>
        <v>2038</v>
      </c>
      <c r="B3528" s="106">
        <f t="shared" si="105"/>
        <v>34</v>
      </c>
      <c r="C3528" s="107">
        <f ca="1">OFFSET(tab_tipo_Combustivel!$A$1,MATCH(B3528,tab_tipo_Combustivel!$A$2:$A$150,0),MATCH(A3528,tab_tipo_Combustivel!$B$1:$AQ$1,0),1,1)</f>
        <v>423.38</v>
      </c>
    </row>
    <row r="3529" spans="1:3">
      <c r="A3529" s="3">
        <f t="shared" si="104"/>
        <v>2038</v>
      </c>
      <c r="B3529" s="106">
        <f t="shared" si="105"/>
        <v>35</v>
      </c>
      <c r="C3529" s="107">
        <f ca="1">OFFSET(tab_tipo_Combustivel!$A$1,MATCH(B3529,tab_tipo_Combustivel!$A$2:$A$150,0),MATCH(A3529,tab_tipo_Combustivel!$B$1:$AQ$1,0),1,1)</f>
        <v>692.45</v>
      </c>
    </row>
    <row r="3530" spans="1:3">
      <c r="A3530" s="3">
        <f t="shared" ref="A3530:A3593" si="106">A3395+1</f>
        <v>2038</v>
      </c>
      <c r="B3530" s="106">
        <f t="shared" ref="B3530:B3593" si="107">B3395</f>
        <v>36</v>
      </c>
      <c r="C3530" s="107">
        <f ca="1">OFFSET(tab_tipo_Combustivel!$A$1,MATCH(B3530,tab_tipo_Combustivel!$A$2:$A$150,0),MATCH(A3530,tab_tipo_Combustivel!$B$1:$AQ$1,0),1,1)</f>
        <v>157.83000000000001</v>
      </c>
    </row>
    <row r="3531" spans="1:3">
      <c r="A3531" s="3">
        <f t="shared" si="106"/>
        <v>2038</v>
      </c>
      <c r="B3531" s="106">
        <f t="shared" si="107"/>
        <v>42</v>
      </c>
      <c r="C3531" s="107">
        <f ca="1">OFFSET(tab_tipo_Combustivel!$A$1,MATCH(B3531,tab_tipo_Combustivel!$A$2:$A$150,0),MATCH(A3531,tab_tipo_Combustivel!$B$1:$AQ$1,0),1,1)</f>
        <v>199.22</v>
      </c>
    </row>
    <row r="3532" spans="1:3">
      <c r="A3532" s="3">
        <f t="shared" si="106"/>
        <v>2038</v>
      </c>
      <c r="B3532" s="106">
        <f t="shared" si="107"/>
        <v>43</v>
      </c>
      <c r="C3532" s="107">
        <f ca="1">OFFSET(tab_tipo_Combustivel!$A$1,MATCH(B3532,tab_tipo_Combustivel!$A$2:$A$150,0),MATCH(A3532,tab_tipo_Combustivel!$B$1:$AQ$1,0),1,1)</f>
        <v>431.62</v>
      </c>
    </row>
    <row r="3533" spans="1:3">
      <c r="A3533" s="3">
        <f t="shared" si="106"/>
        <v>2038</v>
      </c>
      <c r="B3533" s="106">
        <f t="shared" si="107"/>
        <v>44</v>
      </c>
      <c r="C3533" s="107">
        <f ca="1">OFFSET(tab_tipo_Combustivel!$A$1,MATCH(B3533,tab_tipo_Combustivel!$A$2:$A$150,0),MATCH(A3533,tab_tipo_Combustivel!$B$1:$AQ$1,0),1,1)</f>
        <v>25.58</v>
      </c>
    </row>
    <row r="3534" spans="1:3">
      <c r="A3534" s="3">
        <f t="shared" si="106"/>
        <v>2038</v>
      </c>
      <c r="B3534" s="106">
        <f t="shared" si="107"/>
        <v>46</v>
      </c>
      <c r="C3534" s="107">
        <f ca="1">OFFSET(tab_tipo_Combustivel!$A$1,MATCH(B3534,tab_tipo_Combustivel!$A$2:$A$150,0),MATCH(A3534,tab_tipo_Combustivel!$B$1:$AQ$1,0),1,1)</f>
        <v>228.91</v>
      </c>
    </row>
    <row r="3535" spans="1:3">
      <c r="A3535" s="3">
        <f t="shared" si="106"/>
        <v>2038</v>
      </c>
      <c r="B3535" s="106">
        <f t="shared" si="107"/>
        <v>47</v>
      </c>
      <c r="C3535" s="107">
        <f ca="1">OFFSET(tab_tipo_Combustivel!$A$1,MATCH(B3535,tab_tipo_Combustivel!$A$2:$A$150,0),MATCH(A3535,tab_tipo_Combustivel!$B$1:$AQ$1,0),1,1)</f>
        <v>235.6</v>
      </c>
    </row>
    <row r="3536" spans="1:3">
      <c r="A3536" s="3">
        <f t="shared" si="106"/>
        <v>2038</v>
      </c>
      <c r="B3536" s="106">
        <f t="shared" si="107"/>
        <v>48</v>
      </c>
      <c r="C3536" s="107">
        <f ca="1">OFFSET(tab_tipo_Combustivel!$A$1,MATCH(B3536,tab_tipo_Combustivel!$A$2:$A$150,0),MATCH(A3536,tab_tipo_Combustivel!$B$1:$AQ$1,0),1,1)</f>
        <v>1012.12</v>
      </c>
    </row>
    <row r="3537" spans="1:3">
      <c r="A3537" s="3">
        <f t="shared" si="106"/>
        <v>2038</v>
      </c>
      <c r="B3537" s="106">
        <f t="shared" si="107"/>
        <v>50</v>
      </c>
      <c r="C3537" s="107">
        <f ca="1">OFFSET(tab_tipo_Combustivel!$A$1,MATCH(B3537,tab_tipo_Combustivel!$A$2:$A$150,0),MATCH(A3537,tab_tipo_Combustivel!$B$1:$AQ$1,0),1,1)</f>
        <v>669.87</v>
      </c>
    </row>
    <row r="3538" spans="1:3">
      <c r="A3538" s="3">
        <f t="shared" si="106"/>
        <v>2038</v>
      </c>
      <c r="B3538" s="106">
        <f t="shared" si="107"/>
        <v>54</v>
      </c>
      <c r="C3538" s="107">
        <f ca="1">OFFSET(tab_tipo_Combustivel!$A$1,MATCH(B3538,tab_tipo_Combustivel!$A$2:$A$150,0),MATCH(A3538,tab_tipo_Combustivel!$B$1:$AQ$1,0),1,1)</f>
        <v>304.55</v>
      </c>
    </row>
    <row r="3539" spans="1:3">
      <c r="A3539" s="3">
        <f t="shared" si="106"/>
        <v>2038</v>
      </c>
      <c r="B3539" s="106">
        <f t="shared" si="107"/>
        <v>58</v>
      </c>
      <c r="C3539" s="107">
        <f ca="1">OFFSET(tab_tipo_Combustivel!$A$1,MATCH(B3539,tab_tipo_Combustivel!$A$2:$A$150,0),MATCH(A3539,tab_tipo_Combustivel!$B$1:$AQ$1,0),1,1)</f>
        <v>300.05</v>
      </c>
    </row>
    <row r="3540" spans="1:3">
      <c r="A3540" s="3">
        <f t="shared" si="106"/>
        <v>2038</v>
      </c>
      <c r="B3540" s="106">
        <f t="shared" si="107"/>
        <v>62</v>
      </c>
      <c r="C3540" s="107">
        <f ca="1">OFFSET(tab_tipo_Combustivel!$A$1,MATCH(B3540,tab_tipo_Combustivel!$A$2:$A$150,0),MATCH(A3540,tab_tipo_Combustivel!$B$1:$AQ$1,0),1,1)</f>
        <v>309.24</v>
      </c>
    </row>
    <row r="3541" spans="1:3">
      <c r="A3541" s="3">
        <f t="shared" si="106"/>
        <v>2038</v>
      </c>
      <c r="B3541" s="106">
        <f t="shared" si="107"/>
        <v>63</v>
      </c>
      <c r="C3541" s="107">
        <f ca="1">OFFSET(tab_tipo_Combustivel!$A$1,MATCH(B3541,tab_tipo_Combustivel!$A$2:$A$150,0),MATCH(A3541,tab_tipo_Combustivel!$B$1:$AQ$1,0),1,1)</f>
        <v>365.77</v>
      </c>
    </row>
    <row r="3542" spans="1:3">
      <c r="A3542" s="3">
        <f t="shared" si="106"/>
        <v>2038</v>
      </c>
      <c r="B3542" s="106">
        <f t="shared" si="107"/>
        <v>64</v>
      </c>
      <c r="C3542" s="107">
        <f ca="1">OFFSET(tab_tipo_Combustivel!$A$1,MATCH(B3542,tab_tipo_Combustivel!$A$2:$A$150,0),MATCH(A3542,tab_tipo_Combustivel!$B$1:$AQ$1,0),1,1)</f>
        <v>853.54</v>
      </c>
    </row>
    <row r="3543" spans="1:3">
      <c r="A3543" s="3">
        <f t="shared" si="106"/>
        <v>2038</v>
      </c>
      <c r="B3543" s="106">
        <f t="shared" si="107"/>
        <v>68</v>
      </c>
      <c r="C3543" s="107">
        <f ca="1">OFFSET(tab_tipo_Combustivel!$A$1,MATCH(B3543,tab_tipo_Combustivel!$A$2:$A$150,0),MATCH(A3543,tab_tipo_Combustivel!$B$1:$AQ$1,0),1,1)</f>
        <v>195.63</v>
      </c>
    </row>
    <row r="3544" spans="1:3">
      <c r="A3544" s="3">
        <f t="shared" si="106"/>
        <v>2038</v>
      </c>
      <c r="B3544" s="106">
        <f t="shared" si="107"/>
        <v>74</v>
      </c>
      <c r="C3544" s="107">
        <f ca="1">OFFSET(tab_tipo_Combustivel!$A$1,MATCH(B3544,tab_tipo_Combustivel!$A$2:$A$150,0),MATCH(A3544,tab_tipo_Combustivel!$B$1:$AQ$1,0),1,1)</f>
        <v>364.46</v>
      </c>
    </row>
    <row r="3545" spans="1:3">
      <c r="A3545" s="3">
        <f t="shared" si="106"/>
        <v>2038</v>
      </c>
      <c r="B3545" s="106">
        <f t="shared" si="107"/>
        <v>83</v>
      </c>
      <c r="C3545" s="107">
        <f ca="1">OFFSET(tab_tipo_Combustivel!$A$1,MATCH(B3545,tab_tipo_Combustivel!$A$2:$A$150,0),MATCH(A3545,tab_tipo_Combustivel!$B$1:$AQ$1,0),1,1)</f>
        <v>448.1</v>
      </c>
    </row>
    <row r="3546" spans="1:3">
      <c r="A3546" s="3">
        <f t="shared" si="106"/>
        <v>2038</v>
      </c>
      <c r="B3546" s="106">
        <f t="shared" si="107"/>
        <v>86</v>
      </c>
      <c r="C3546" s="107">
        <f ca="1">OFFSET(tab_tipo_Combustivel!$A$1,MATCH(B3546,tab_tipo_Combustivel!$A$2:$A$150,0),MATCH(A3546,tab_tipo_Combustivel!$B$1:$AQ$1,0),1,1)</f>
        <v>170.34</v>
      </c>
    </row>
    <row r="3547" spans="1:3">
      <c r="A3547" s="3">
        <f t="shared" si="106"/>
        <v>2038</v>
      </c>
      <c r="B3547" s="106">
        <f t="shared" si="107"/>
        <v>90</v>
      </c>
      <c r="C3547" s="107">
        <f ca="1">OFFSET(tab_tipo_Combustivel!$A$1,MATCH(B3547,tab_tipo_Combustivel!$A$2:$A$150,0),MATCH(A3547,tab_tipo_Combustivel!$B$1:$AQ$1,0),1,1)</f>
        <v>533.1</v>
      </c>
    </row>
    <row r="3548" spans="1:3">
      <c r="A3548" s="3">
        <f t="shared" si="106"/>
        <v>2038</v>
      </c>
      <c r="B3548" s="106">
        <f t="shared" si="107"/>
        <v>93</v>
      </c>
      <c r="C3548" s="107">
        <f ca="1">OFFSET(tab_tipo_Combustivel!$A$1,MATCH(B3548,tab_tipo_Combustivel!$A$2:$A$150,0),MATCH(A3548,tab_tipo_Combustivel!$B$1:$AQ$1,0),1,1)</f>
        <v>842.33</v>
      </c>
    </row>
    <row r="3549" spans="1:3">
      <c r="A3549" s="3">
        <f t="shared" si="106"/>
        <v>2038</v>
      </c>
      <c r="B3549" s="106">
        <f t="shared" si="107"/>
        <v>94</v>
      </c>
      <c r="C3549" s="107">
        <f ca="1">OFFSET(tab_tipo_Combustivel!$A$1,MATCH(B3549,tab_tipo_Combustivel!$A$2:$A$150,0),MATCH(A3549,tab_tipo_Combustivel!$B$1:$AQ$1,0),1,1)</f>
        <v>842.33</v>
      </c>
    </row>
    <row r="3550" spans="1:3">
      <c r="A3550" s="3">
        <f t="shared" si="106"/>
        <v>2038</v>
      </c>
      <c r="B3550" s="106">
        <f t="shared" si="107"/>
        <v>96</v>
      </c>
      <c r="C3550" s="107">
        <f ca="1">OFFSET(tab_tipo_Combustivel!$A$1,MATCH(B3550,tab_tipo_Combustivel!$A$2:$A$150,0),MATCH(A3550,tab_tipo_Combustivel!$B$1:$AQ$1,0),1,1)</f>
        <v>99.92</v>
      </c>
    </row>
    <row r="3551" spans="1:3">
      <c r="A3551" s="3">
        <f t="shared" si="106"/>
        <v>2038</v>
      </c>
      <c r="B3551" s="106">
        <f t="shared" si="107"/>
        <v>98</v>
      </c>
      <c r="C3551" s="107">
        <f ca="1">OFFSET(tab_tipo_Combustivel!$A$1,MATCH(B3551,tab_tipo_Combustivel!$A$2:$A$150,0),MATCH(A3551,tab_tipo_Combustivel!$B$1:$AQ$1,0),1,1)</f>
        <v>489.8</v>
      </c>
    </row>
    <row r="3552" spans="1:3">
      <c r="A3552" s="3">
        <f t="shared" si="106"/>
        <v>2038</v>
      </c>
      <c r="B3552" s="106">
        <f t="shared" si="107"/>
        <v>107</v>
      </c>
      <c r="C3552" s="107">
        <f ca="1">OFFSET(tab_tipo_Combustivel!$A$1,MATCH(B3552,tab_tipo_Combustivel!$A$2:$A$150,0),MATCH(A3552,tab_tipo_Combustivel!$B$1:$AQ$1,0),1,1)</f>
        <v>57.63</v>
      </c>
    </row>
    <row r="3553" spans="1:3">
      <c r="A3553" s="3">
        <f t="shared" si="106"/>
        <v>2038</v>
      </c>
      <c r="B3553" s="106">
        <f t="shared" si="107"/>
        <v>110</v>
      </c>
      <c r="C3553" s="107">
        <f ca="1">OFFSET(tab_tipo_Combustivel!$A$1,MATCH(B3553,tab_tipo_Combustivel!$A$2:$A$150,0),MATCH(A3553,tab_tipo_Combustivel!$B$1:$AQ$1,0),1,1)</f>
        <v>568.29</v>
      </c>
    </row>
    <row r="3554" spans="1:3">
      <c r="A3554" s="3">
        <f t="shared" si="106"/>
        <v>2038</v>
      </c>
      <c r="B3554" s="106">
        <f t="shared" si="107"/>
        <v>116</v>
      </c>
      <c r="C3554" s="107">
        <f ca="1">OFFSET(tab_tipo_Combustivel!$A$1,MATCH(B3554,tab_tipo_Combustivel!$A$2:$A$150,0),MATCH(A3554,tab_tipo_Combustivel!$B$1:$AQ$1,0),1,1)</f>
        <v>117.46</v>
      </c>
    </row>
    <row r="3555" spans="1:3">
      <c r="A3555" s="3">
        <f t="shared" si="106"/>
        <v>2038</v>
      </c>
      <c r="B3555" s="106">
        <f t="shared" si="107"/>
        <v>140</v>
      </c>
      <c r="C3555" s="107">
        <f ca="1">OFFSET(tab_tipo_Combustivel!$A$1,MATCH(B3555,tab_tipo_Combustivel!$A$2:$A$150,0),MATCH(A3555,tab_tipo_Combustivel!$B$1:$AQ$1,0),1,1)</f>
        <v>88.11</v>
      </c>
    </row>
    <row r="3556" spans="1:3">
      <c r="A3556" s="3">
        <f t="shared" si="106"/>
        <v>2038</v>
      </c>
      <c r="B3556" s="106">
        <f t="shared" si="107"/>
        <v>141</v>
      </c>
      <c r="C3556" s="107">
        <f ca="1">OFFSET(tab_tipo_Combustivel!$A$1,MATCH(B3556,tab_tipo_Combustivel!$A$2:$A$150,0),MATCH(A3556,tab_tipo_Combustivel!$B$1:$AQ$1,0),1,1)</f>
        <v>1280.52</v>
      </c>
    </row>
    <row r="3557" spans="1:3">
      <c r="A3557" s="3">
        <f t="shared" si="106"/>
        <v>2038</v>
      </c>
      <c r="B3557" s="106">
        <f t="shared" si="107"/>
        <v>147</v>
      </c>
      <c r="C3557" s="107">
        <f ca="1">OFFSET(tab_tipo_Combustivel!$A$1,MATCH(B3557,tab_tipo_Combustivel!$A$2:$A$150,0),MATCH(A3557,tab_tipo_Combustivel!$B$1:$AQ$1,0),1,1)</f>
        <v>134.18</v>
      </c>
    </row>
    <row r="3558" spans="1:3">
      <c r="A3558" s="3">
        <f t="shared" si="106"/>
        <v>2038</v>
      </c>
      <c r="B3558" s="106">
        <f t="shared" si="107"/>
        <v>156</v>
      </c>
      <c r="C3558" s="107">
        <f ca="1">OFFSET(tab_tipo_Combustivel!$A$1,MATCH(B3558,tab_tipo_Combustivel!$A$2:$A$150,0),MATCH(A3558,tab_tipo_Combustivel!$B$1:$AQ$1,0),1,1)</f>
        <v>77.12</v>
      </c>
    </row>
    <row r="3559" spans="1:3">
      <c r="A3559" s="3">
        <f t="shared" si="106"/>
        <v>2038</v>
      </c>
      <c r="B3559" s="106">
        <f t="shared" si="107"/>
        <v>163</v>
      </c>
      <c r="C3559" s="107">
        <f ca="1">OFFSET(tab_tipo_Combustivel!$A$1,MATCH(B3559,tab_tipo_Combustivel!$A$2:$A$150,0),MATCH(A3559,tab_tipo_Combustivel!$B$1:$AQ$1,0),1,1)</f>
        <v>156.69999999999999</v>
      </c>
    </row>
    <row r="3560" spans="1:3">
      <c r="A3560" s="3">
        <f t="shared" si="106"/>
        <v>2038</v>
      </c>
      <c r="B3560" s="106">
        <f t="shared" si="107"/>
        <v>167</v>
      </c>
      <c r="C3560" s="107">
        <f ca="1">OFFSET(tab_tipo_Combustivel!$A$1,MATCH(B3560,tab_tipo_Combustivel!$A$2:$A$150,0),MATCH(A3560,tab_tipo_Combustivel!$B$1:$AQ$1,0),1,1)</f>
        <v>144.66999999999999</v>
      </c>
    </row>
    <row r="3561" spans="1:3">
      <c r="A3561" s="3">
        <f t="shared" si="106"/>
        <v>2038</v>
      </c>
      <c r="B3561" s="106">
        <f t="shared" si="107"/>
        <v>171</v>
      </c>
      <c r="C3561" s="107">
        <f ca="1">OFFSET(tab_tipo_Combustivel!$A$1,MATCH(B3561,tab_tipo_Combustivel!$A$2:$A$150,0),MATCH(A3561,tab_tipo_Combustivel!$B$1:$AQ$1,0),1,1)</f>
        <v>88</v>
      </c>
    </row>
    <row r="3562" spans="1:3">
      <c r="A3562" s="3">
        <f t="shared" si="106"/>
        <v>2038</v>
      </c>
      <c r="B3562" s="106">
        <f t="shared" si="107"/>
        <v>172</v>
      </c>
      <c r="C3562" s="107">
        <f ca="1">OFFSET(tab_tipo_Combustivel!$A$1,MATCH(B3562,tab_tipo_Combustivel!$A$2:$A$150,0),MATCH(A3562,tab_tipo_Combustivel!$B$1:$AQ$1,0),1,1)</f>
        <v>99.97</v>
      </c>
    </row>
    <row r="3563" spans="1:3">
      <c r="A3563" s="3">
        <f t="shared" si="106"/>
        <v>2038</v>
      </c>
      <c r="B3563" s="106">
        <f t="shared" si="107"/>
        <v>173</v>
      </c>
      <c r="C3563" s="107">
        <f ca="1">OFFSET(tab_tipo_Combustivel!$A$1,MATCH(B3563,tab_tipo_Combustivel!$A$2:$A$150,0),MATCH(A3563,tab_tipo_Combustivel!$B$1:$AQ$1,0),1,1)</f>
        <v>192.03</v>
      </c>
    </row>
    <row r="3564" spans="1:3">
      <c r="A3564" s="3">
        <f t="shared" si="106"/>
        <v>2038</v>
      </c>
      <c r="B3564" s="106">
        <f t="shared" si="107"/>
        <v>174</v>
      </c>
      <c r="C3564" s="107">
        <f ca="1">OFFSET(tab_tipo_Combustivel!$A$1,MATCH(B3564,tab_tipo_Combustivel!$A$2:$A$150,0),MATCH(A3564,tab_tipo_Combustivel!$B$1:$AQ$1,0),1,1)</f>
        <v>331.22</v>
      </c>
    </row>
    <row r="3565" spans="1:3">
      <c r="A3565" s="3">
        <f t="shared" si="106"/>
        <v>2038</v>
      </c>
      <c r="B3565" s="106">
        <f t="shared" si="107"/>
        <v>176</v>
      </c>
      <c r="C3565" s="107">
        <f ca="1">OFFSET(tab_tipo_Combustivel!$A$1,MATCH(B3565,tab_tipo_Combustivel!$A$2:$A$150,0),MATCH(A3565,tab_tipo_Combustivel!$B$1:$AQ$1,0),1,1)</f>
        <v>149.47999999999999</v>
      </c>
    </row>
    <row r="3566" spans="1:3">
      <c r="A3566" s="3">
        <f t="shared" si="106"/>
        <v>2038</v>
      </c>
      <c r="B3566" s="106">
        <f t="shared" si="107"/>
        <v>183</v>
      </c>
      <c r="C3566" s="107">
        <f ca="1">OFFSET(tab_tipo_Combustivel!$A$1,MATCH(B3566,tab_tipo_Combustivel!$A$2:$A$150,0),MATCH(A3566,tab_tipo_Combustivel!$B$1:$AQ$1,0),1,1)</f>
        <v>171.61</v>
      </c>
    </row>
    <row r="3567" spans="1:3">
      <c r="A3567" s="3">
        <f t="shared" si="106"/>
        <v>2038</v>
      </c>
      <c r="B3567" s="106">
        <f t="shared" si="107"/>
        <v>194</v>
      </c>
      <c r="C3567" s="107">
        <f ca="1">OFFSET(tab_tipo_Combustivel!$A$1,MATCH(B3567,tab_tipo_Combustivel!$A$2:$A$150,0),MATCH(A3567,tab_tipo_Combustivel!$B$1:$AQ$1,0),1,1)</f>
        <v>1098.58</v>
      </c>
    </row>
    <row r="3568" spans="1:3">
      <c r="A3568" s="3">
        <f t="shared" si="106"/>
        <v>2038</v>
      </c>
      <c r="B3568" s="106">
        <f t="shared" si="107"/>
        <v>203</v>
      </c>
      <c r="C3568" s="107">
        <f ca="1">OFFSET(tab_tipo_Combustivel!$A$1,MATCH(B3568,tab_tipo_Combustivel!$A$2:$A$150,0),MATCH(A3568,tab_tipo_Combustivel!$B$1:$AQ$1,0),1,1)</f>
        <v>0</v>
      </c>
    </row>
    <row r="3569" spans="1:3">
      <c r="A3569" s="3">
        <f t="shared" si="106"/>
        <v>2038</v>
      </c>
      <c r="B3569" s="106">
        <f t="shared" si="107"/>
        <v>204</v>
      </c>
      <c r="C3569" s="107">
        <f ca="1">OFFSET(tab_tipo_Combustivel!$A$1,MATCH(B3569,tab_tipo_Combustivel!$A$2:$A$150,0),MATCH(A3569,tab_tipo_Combustivel!$B$1:$AQ$1,0),1,1)</f>
        <v>0</v>
      </c>
    </row>
    <row r="3570" spans="1:3">
      <c r="A3570" s="3">
        <f t="shared" si="106"/>
        <v>2038</v>
      </c>
      <c r="B3570" s="106">
        <f t="shared" si="107"/>
        <v>205</v>
      </c>
      <c r="C3570" s="107">
        <f ca="1">OFFSET(tab_tipo_Combustivel!$A$1,MATCH(B3570,tab_tipo_Combustivel!$A$2:$A$150,0),MATCH(A3570,tab_tipo_Combustivel!$B$1:$AQ$1,0),1,1)</f>
        <v>0</v>
      </c>
    </row>
    <row r="3571" spans="1:3">
      <c r="A3571" s="3">
        <f t="shared" si="106"/>
        <v>2038</v>
      </c>
      <c r="B3571" s="106">
        <f t="shared" si="107"/>
        <v>207</v>
      </c>
      <c r="C3571" s="107">
        <f ca="1">OFFSET(tab_tipo_Combustivel!$A$1,MATCH(B3571,tab_tipo_Combustivel!$A$2:$A$150,0),MATCH(A3571,tab_tipo_Combustivel!$B$1:$AQ$1,0),1,1)</f>
        <v>0</v>
      </c>
    </row>
    <row r="3572" spans="1:3">
      <c r="A3572" s="3">
        <f t="shared" si="106"/>
        <v>2038</v>
      </c>
      <c r="B3572" s="106">
        <f t="shared" si="107"/>
        <v>208</v>
      </c>
      <c r="C3572" s="107">
        <f ca="1">OFFSET(tab_tipo_Combustivel!$A$1,MATCH(B3572,tab_tipo_Combustivel!$A$2:$A$150,0),MATCH(A3572,tab_tipo_Combustivel!$B$1:$AQ$1,0),1,1)</f>
        <v>783.64</v>
      </c>
    </row>
    <row r="3573" spans="1:3">
      <c r="A3573" s="3">
        <f t="shared" si="106"/>
        <v>2038</v>
      </c>
      <c r="B3573" s="106">
        <f t="shared" si="107"/>
        <v>209</v>
      </c>
      <c r="C3573" s="107">
        <f ca="1">OFFSET(tab_tipo_Combustivel!$A$1,MATCH(B3573,tab_tipo_Combustivel!$A$2:$A$150,0),MATCH(A3573,tab_tipo_Combustivel!$B$1:$AQ$1,0),1,1)</f>
        <v>0</v>
      </c>
    </row>
    <row r="3574" spans="1:3">
      <c r="A3574" s="3">
        <f t="shared" si="106"/>
        <v>2038</v>
      </c>
      <c r="B3574" s="106">
        <f t="shared" si="107"/>
        <v>211</v>
      </c>
      <c r="C3574" s="107">
        <f ca="1">OFFSET(tab_tipo_Combustivel!$A$1,MATCH(B3574,tab_tipo_Combustivel!$A$2:$A$150,0),MATCH(A3574,tab_tipo_Combustivel!$B$1:$AQ$1,0),1,1)</f>
        <v>150.79</v>
      </c>
    </row>
    <row r="3575" spans="1:3">
      <c r="A3575" s="3">
        <f t="shared" si="106"/>
        <v>2038</v>
      </c>
      <c r="B3575" s="106">
        <f t="shared" si="107"/>
        <v>212</v>
      </c>
      <c r="C3575" s="107">
        <f ca="1">OFFSET(tab_tipo_Combustivel!$A$1,MATCH(B3575,tab_tipo_Combustivel!$A$2:$A$150,0),MATCH(A3575,tab_tipo_Combustivel!$B$1:$AQ$1,0),1,1)</f>
        <v>84.58</v>
      </c>
    </row>
    <row r="3576" spans="1:3">
      <c r="A3576" s="3">
        <f t="shared" si="106"/>
        <v>2038</v>
      </c>
      <c r="B3576" s="106">
        <f t="shared" si="107"/>
        <v>224</v>
      </c>
      <c r="C3576" s="107">
        <f ca="1">OFFSET(tab_tipo_Combustivel!$A$1,MATCH(B3576,tab_tipo_Combustivel!$A$2:$A$150,0),MATCH(A3576,tab_tipo_Combustivel!$B$1:$AQ$1,0),1,1)</f>
        <v>31.08</v>
      </c>
    </row>
    <row r="3577" spans="1:3">
      <c r="A3577" s="3">
        <f t="shared" si="106"/>
        <v>2038</v>
      </c>
      <c r="B3577" s="106">
        <f t="shared" si="107"/>
        <v>225</v>
      </c>
      <c r="C3577" s="107">
        <f ca="1">OFFSET(tab_tipo_Combustivel!$A$1,MATCH(B3577,tab_tipo_Combustivel!$A$2:$A$150,0),MATCH(A3577,tab_tipo_Combustivel!$B$1:$AQ$1,0),1,1)</f>
        <v>1329.7</v>
      </c>
    </row>
    <row r="3578" spans="1:3">
      <c r="A3578" s="3">
        <f t="shared" si="106"/>
        <v>2038</v>
      </c>
      <c r="B3578" s="106">
        <f t="shared" si="107"/>
        <v>226</v>
      </c>
      <c r="C3578" s="107">
        <f ca="1">OFFSET(tab_tipo_Combustivel!$A$1,MATCH(B3578,tab_tipo_Combustivel!$A$2:$A$150,0),MATCH(A3578,tab_tipo_Combustivel!$B$1:$AQ$1,0),1,1)</f>
        <v>1061.1300000000001</v>
      </c>
    </row>
    <row r="3579" spans="1:3">
      <c r="A3579" s="3">
        <f t="shared" si="106"/>
        <v>2038</v>
      </c>
      <c r="B3579" s="106">
        <f t="shared" si="107"/>
        <v>227</v>
      </c>
      <c r="C3579" s="107">
        <f ca="1">OFFSET(tab_tipo_Combustivel!$A$1,MATCH(B3579,tab_tipo_Combustivel!$A$2:$A$150,0),MATCH(A3579,tab_tipo_Combustivel!$B$1:$AQ$1,0),1,1)</f>
        <v>447.52</v>
      </c>
    </row>
    <row r="3580" spans="1:3">
      <c r="A3580" s="3">
        <f t="shared" si="106"/>
        <v>2038</v>
      </c>
      <c r="B3580" s="106">
        <f t="shared" si="107"/>
        <v>228</v>
      </c>
      <c r="C3580" s="107">
        <f ca="1">OFFSET(tab_tipo_Combustivel!$A$1,MATCH(B3580,tab_tipo_Combustivel!$A$2:$A$150,0),MATCH(A3580,tab_tipo_Combustivel!$B$1:$AQ$1,0),1,1)</f>
        <v>1061.1400000000001</v>
      </c>
    </row>
    <row r="3581" spans="1:3">
      <c r="A3581" s="3">
        <f t="shared" si="106"/>
        <v>2038</v>
      </c>
      <c r="B3581" s="106">
        <f t="shared" si="107"/>
        <v>229</v>
      </c>
      <c r="C3581" s="107">
        <f ca="1">OFFSET(tab_tipo_Combustivel!$A$1,MATCH(B3581,tab_tipo_Combustivel!$A$2:$A$150,0),MATCH(A3581,tab_tipo_Combustivel!$B$1:$AQ$1,0),1,1)</f>
        <v>942.05</v>
      </c>
    </row>
    <row r="3582" spans="1:3">
      <c r="A3582" s="3">
        <f t="shared" si="106"/>
        <v>2038</v>
      </c>
      <c r="B3582" s="106">
        <f t="shared" si="107"/>
        <v>230</v>
      </c>
      <c r="C3582" s="107">
        <f ca="1">OFFSET(tab_tipo_Combustivel!$A$1,MATCH(B3582,tab_tipo_Combustivel!$A$2:$A$150,0),MATCH(A3582,tab_tipo_Combustivel!$B$1:$AQ$1,0),1,1)</f>
        <v>495.06</v>
      </c>
    </row>
    <row r="3583" spans="1:3">
      <c r="A3583" s="3">
        <f t="shared" si="106"/>
        <v>2038</v>
      </c>
      <c r="B3583" s="106">
        <f t="shared" si="107"/>
        <v>231</v>
      </c>
      <c r="C3583" s="107">
        <f ca="1">OFFSET(tab_tipo_Combustivel!$A$1,MATCH(B3583,tab_tipo_Combustivel!$A$2:$A$150,0),MATCH(A3583,tab_tipo_Combustivel!$B$1:$AQ$1,0),1,1)</f>
        <v>489.29</v>
      </c>
    </row>
    <row r="3584" spans="1:3">
      <c r="A3584" s="3">
        <f t="shared" si="106"/>
        <v>2038</v>
      </c>
      <c r="B3584" s="106">
        <f t="shared" si="107"/>
        <v>232</v>
      </c>
      <c r="C3584" s="107">
        <f ca="1">OFFSET(tab_tipo_Combustivel!$A$1,MATCH(B3584,tab_tipo_Combustivel!$A$2:$A$150,0),MATCH(A3584,tab_tipo_Combustivel!$B$1:$AQ$1,0),1,1)</f>
        <v>842.33</v>
      </c>
    </row>
    <row r="3585" spans="1:3">
      <c r="A3585" s="3">
        <f t="shared" si="106"/>
        <v>2038</v>
      </c>
      <c r="B3585" s="106">
        <f t="shared" si="107"/>
        <v>233</v>
      </c>
      <c r="C3585" s="107">
        <f ca="1">OFFSET(tab_tipo_Combustivel!$A$1,MATCH(B3585,tab_tipo_Combustivel!$A$2:$A$150,0),MATCH(A3585,tab_tipo_Combustivel!$B$1:$AQ$1,0),1,1)</f>
        <v>984.29</v>
      </c>
    </row>
    <row r="3586" spans="1:3">
      <c r="A3586" s="3">
        <f t="shared" si="106"/>
        <v>2038</v>
      </c>
      <c r="B3586" s="106">
        <f t="shared" si="107"/>
        <v>234</v>
      </c>
      <c r="C3586" s="107">
        <f ca="1">OFFSET(tab_tipo_Combustivel!$A$1,MATCH(B3586,tab_tipo_Combustivel!$A$2:$A$150,0),MATCH(A3586,tab_tipo_Combustivel!$B$1:$AQ$1,0),1,1)</f>
        <v>290.26</v>
      </c>
    </row>
    <row r="3587" spans="1:3">
      <c r="A3587" s="3">
        <f t="shared" si="106"/>
        <v>2038</v>
      </c>
      <c r="B3587" s="106">
        <f t="shared" si="107"/>
        <v>235</v>
      </c>
      <c r="C3587" s="107">
        <f ca="1">OFFSET(tab_tipo_Combustivel!$A$1,MATCH(B3587,tab_tipo_Combustivel!$A$2:$A$150,0),MATCH(A3587,tab_tipo_Combustivel!$B$1:$AQ$1,0),1,1)</f>
        <v>1350.87</v>
      </c>
    </row>
    <row r="3588" spans="1:3">
      <c r="A3588" s="3">
        <f t="shared" si="106"/>
        <v>2038</v>
      </c>
      <c r="B3588" s="106">
        <f t="shared" si="107"/>
        <v>236</v>
      </c>
      <c r="C3588" s="107">
        <f ca="1">OFFSET(tab_tipo_Combustivel!$A$1,MATCH(B3588,tab_tipo_Combustivel!$A$2:$A$150,0),MATCH(A3588,tab_tipo_Combustivel!$B$1:$AQ$1,0),1,1)</f>
        <v>842.33</v>
      </c>
    </row>
    <row r="3589" spans="1:3">
      <c r="A3589" s="3">
        <f t="shared" si="106"/>
        <v>2038</v>
      </c>
      <c r="B3589" s="106">
        <f t="shared" si="107"/>
        <v>237</v>
      </c>
      <c r="C3589" s="107">
        <f ca="1">OFFSET(tab_tipo_Combustivel!$A$1,MATCH(B3589,tab_tipo_Combustivel!$A$2:$A$150,0),MATCH(A3589,tab_tipo_Combustivel!$B$1:$AQ$1,0),1,1)</f>
        <v>760.85</v>
      </c>
    </row>
    <row r="3590" spans="1:3">
      <c r="A3590" s="3">
        <f t="shared" si="106"/>
        <v>2038</v>
      </c>
      <c r="B3590" s="106">
        <f t="shared" si="107"/>
        <v>238</v>
      </c>
      <c r="C3590" s="107">
        <f ca="1">OFFSET(tab_tipo_Combustivel!$A$1,MATCH(B3590,tab_tipo_Combustivel!$A$2:$A$150,0),MATCH(A3590,tab_tipo_Combustivel!$B$1:$AQ$1,0),1,1)</f>
        <v>963.75</v>
      </c>
    </row>
    <row r="3591" spans="1:3">
      <c r="A3591" s="3">
        <f t="shared" si="106"/>
        <v>2038</v>
      </c>
      <c r="B3591" s="106">
        <f t="shared" si="107"/>
        <v>239</v>
      </c>
      <c r="C3591" s="107">
        <f ca="1">OFFSET(tab_tipo_Combustivel!$A$1,MATCH(B3591,tab_tipo_Combustivel!$A$2:$A$150,0),MATCH(A3591,tab_tipo_Combustivel!$B$1:$AQ$1,0),1,1)</f>
        <v>963.75</v>
      </c>
    </row>
    <row r="3592" spans="1:3">
      <c r="A3592" s="3">
        <f t="shared" si="106"/>
        <v>2038</v>
      </c>
      <c r="B3592" s="106">
        <f t="shared" si="107"/>
        <v>240</v>
      </c>
      <c r="C3592" s="107">
        <f ca="1">OFFSET(tab_tipo_Combustivel!$A$1,MATCH(B3592,tab_tipo_Combustivel!$A$2:$A$150,0),MATCH(A3592,tab_tipo_Combustivel!$B$1:$AQ$1,0),1,1)</f>
        <v>1115.96</v>
      </c>
    </row>
    <row r="3593" spans="1:3">
      <c r="A3593" s="3">
        <f t="shared" si="106"/>
        <v>2038</v>
      </c>
      <c r="B3593" s="106">
        <f t="shared" si="107"/>
        <v>241</v>
      </c>
      <c r="C3593" s="107">
        <f ca="1">OFFSET(tab_tipo_Combustivel!$A$1,MATCH(B3593,tab_tipo_Combustivel!$A$2:$A$150,0),MATCH(A3593,tab_tipo_Combustivel!$B$1:$AQ$1,0),1,1)</f>
        <v>495.75</v>
      </c>
    </row>
    <row r="3594" spans="1:3">
      <c r="A3594" s="3">
        <f t="shared" ref="A3594:A3657" si="108">A3459+1</f>
        <v>2038</v>
      </c>
      <c r="B3594" s="106">
        <f t="shared" ref="B3594:B3657" si="109">B3459</f>
        <v>242</v>
      </c>
      <c r="C3594" s="107">
        <f ca="1">OFFSET(tab_tipo_Combustivel!$A$1,MATCH(B3594,tab_tipo_Combustivel!$A$2:$A$150,0),MATCH(A3594,tab_tipo_Combustivel!$B$1:$AQ$1,0),1,1)</f>
        <v>1176.45</v>
      </c>
    </row>
    <row r="3595" spans="1:3">
      <c r="A3595" s="3">
        <f t="shared" si="108"/>
        <v>2038</v>
      </c>
      <c r="B3595" s="106">
        <f t="shared" si="109"/>
        <v>243</v>
      </c>
      <c r="C3595" s="107">
        <f ca="1">OFFSET(tab_tipo_Combustivel!$A$1,MATCH(B3595,tab_tipo_Combustivel!$A$2:$A$150,0),MATCH(A3595,tab_tipo_Combustivel!$B$1:$AQ$1,0),1,1)</f>
        <v>495.08</v>
      </c>
    </row>
    <row r="3596" spans="1:3">
      <c r="A3596" s="3">
        <f t="shared" si="108"/>
        <v>2038</v>
      </c>
      <c r="B3596" s="106">
        <f t="shared" si="109"/>
        <v>244</v>
      </c>
      <c r="C3596" s="107">
        <f ca="1">OFFSET(tab_tipo_Combustivel!$A$1,MATCH(B3596,tab_tipo_Combustivel!$A$2:$A$150,0),MATCH(A3596,tab_tipo_Combustivel!$B$1:$AQ$1,0),1,1)</f>
        <v>495.06</v>
      </c>
    </row>
    <row r="3597" spans="1:3">
      <c r="A3597" s="3">
        <f t="shared" si="108"/>
        <v>2038</v>
      </c>
      <c r="B3597" s="106">
        <f t="shared" si="109"/>
        <v>245</v>
      </c>
      <c r="C3597" s="107">
        <f ca="1">OFFSET(tab_tipo_Combustivel!$A$1,MATCH(B3597,tab_tipo_Combustivel!$A$2:$A$150,0),MATCH(A3597,tab_tipo_Combustivel!$B$1:$AQ$1,0),1,1)</f>
        <v>562.65</v>
      </c>
    </row>
    <row r="3598" spans="1:3">
      <c r="A3598" s="3">
        <f t="shared" si="108"/>
        <v>2038</v>
      </c>
      <c r="B3598" s="106">
        <f t="shared" si="109"/>
        <v>246</v>
      </c>
      <c r="C3598" s="107">
        <f ca="1">OFFSET(tab_tipo_Combustivel!$A$1,MATCH(B3598,tab_tipo_Combustivel!$A$2:$A$150,0),MATCH(A3598,tab_tipo_Combustivel!$B$1:$AQ$1,0),1,1)</f>
        <v>1124.53</v>
      </c>
    </row>
    <row r="3599" spans="1:3">
      <c r="A3599" s="3">
        <f t="shared" si="108"/>
        <v>2038</v>
      </c>
      <c r="B3599" s="106">
        <f t="shared" si="109"/>
        <v>247</v>
      </c>
      <c r="C3599" s="107">
        <f ca="1">OFFSET(tab_tipo_Combustivel!$A$1,MATCH(B3599,tab_tipo_Combustivel!$A$2:$A$150,0),MATCH(A3599,tab_tipo_Combustivel!$B$1:$AQ$1,0),1,1)</f>
        <v>609.51</v>
      </c>
    </row>
    <row r="3600" spans="1:3">
      <c r="A3600" s="3">
        <f t="shared" si="108"/>
        <v>2038</v>
      </c>
      <c r="B3600" s="106">
        <f t="shared" si="109"/>
        <v>248</v>
      </c>
      <c r="C3600" s="107">
        <f ca="1">OFFSET(tab_tipo_Combustivel!$A$1,MATCH(B3600,tab_tipo_Combustivel!$A$2:$A$150,0),MATCH(A3600,tab_tipo_Combustivel!$B$1:$AQ$1,0),1,1)</f>
        <v>495.06</v>
      </c>
    </row>
    <row r="3601" spans="1:3">
      <c r="A3601" s="3">
        <f t="shared" si="108"/>
        <v>2038</v>
      </c>
      <c r="B3601" s="106">
        <f t="shared" si="109"/>
        <v>249</v>
      </c>
      <c r="C3601" s="107">
        <f ca="1">OFFSET(tab_tipo_Combustivel!$A$1,MATCH(B3601,tab_tipo_Combustivel!$A$2:$A$150,0),MATCH(A3601,tab_tipo_Combustivel!$B$1:$AQ$1,0),1,1)</f>
        <v>842.33</v>
      </c>
    </row>
    <row r="3602" spans="1:3">
      <c r="A3602" s="3">
        <f t="shared" si="108"/>
        <v>2038</v>
      </c>
      <c r="B3602" s="106">
        <f t="shared" si="109"/>
        <v>250</v>
      </c>
      <c r="C3602" s="107">
        <f ca="1">OFFSET(tab_tipo_Combustivel!$A$1,MATCH(B3602,tab_tipo_Combustivel!$A$2:$A$150,0),MATCH(A3602,tab_tipo_Combustivel!$B$1:$AQ$1,0),1,1)</f>
        <v>1176.45</v>
      </c>
    </row>
    <row r="3603" spans="1:3">
      <c r="A3603" s="3">
        <f t="shared" si="108"/>
        <v>2038</v>
      </c>
      <c r="B3603" s="106">
        <f t="shared" si="109"/>
        <v>251</v>
      </c>
      <c r="C3603" s="107">
        <f ca="1">OFFSET(tab_tipo_Combustivel!$A$1,MATCH(B3603,tab_tipo_Combustivel!$A$2:$A$150,0),MATCH(A3603,tab_tipo_Combustivel!$B$1:$AQ$1,0),1,1)</f>
        <v>842.33</v>
      </c>
    </row>
    <row r="3604" spans="1:3">
      <c r="A3604" s="3">
        <f t="shared" si="108"/>
        <v>2038</v>
      </c>
      <c r="B3604" s="106">
        <f t="shared" si="109"/>
        <v>252</v>
      </c>
      <c r="C3604" s="107">
        <f ca="1">OFFSET(tab_tipo_Combustivel!$A$1,MATCH(B3604,tab_tipo_Combustivel!$A$2:$A$150,0),MATCH(A3604,tab_tipo_Combustivel!$B$1:$AQ$1,0),1,1)</f>
        <v>842.33</v>
      </c>
    </row>
    <row r="3605" spans="1:3">
      <c r="A3605" s="3">
        <f t="shared" si="108"/>
        <v>2038</v>
      </c>
      <c r="B3605" s="106">
        <f t="shared" si="109"/>
        <v>253</v>
      </c>
      <c r="C3605" s="107">
        <f ca="1">OFFSET(tab_tipo_Combustivel!$A$1,MATCH(B3605,tab_tipo_Combustivel!$A$2:$A$150,0),MATCH(A3605,tab_tipo_Combustivel!$B$1:$AQ$1,0),1,1)</f>
        <v>279.45</v>
      </c>
    </row>
    <row r="3606" spans="1:3">
      <c r="A3606" s="3">
        <f t="shared" si="108"/>
        <v>2038</v>
      </c>
      <c r="B3606" s="106">
        <f t="shared" si="109"/>
        <v>254</v>
      </c>
      <c r="C3606" s="107">
        <f ca="1">OFFSET(tab_tipo_Combustivel!$A$1,MATCH(B3606,tab_tipo_Combustivel!$A$2:$A$150,0),MATCH(A3606,tab_tipo_Combustivel!$B$1:$AQ$1,0),1,1)</f>
        <v>1153.98</v>
      </c>
    </row>
    <row r="3607" spans="1:3">
      <c r="A3607" s="3">
        <f t="shared" si="108"/>
        <v>2038</v>
      </c>
      <c r="B3607" s="106">
        <f t="shared" si="109"/>
        <v>255</v>
      </c>
      <c r="C3607" s="107">
        <f ca="1">OFFSET(tab_tipo_Combustivel!$A$1,MATCH(B3607,tab_tipo_Combustivel!$A$2:$A$150,0),MATCH(A3607,tab_tipo_Combustivel!$B$1:$AQ$1,0),1,1)</f>
        <v>828.98</v>
      </c>
    </row>
    <row r="3608" spans="1:3">
      <c r="A3608" s="3">
        <f t="shared" si="108"/>
        <v>2038</v>
      </c>
      <c r="B3608" s="106">
        <f t="shared" si="109"/>
        <v>256</v>
      </c>
      <c r="C3608" s="107">
        <f ca="1">OFFSET(tab_tipo_Combustivel!$A$1,MATCH(B3608,tab_tipo_Combustivel!$A$2:$A$150,0),MATCH(A3608,tab_tipo_Combustivel!$B$1:$AQ$1,0),1,1)</f>
        <v>562.65</v>
      </c>
    </row>
    <row r="3609" spans="1:3">
      <c r="A3609" s="3">
        <f t="shared" si="108"/>
        <v>2038</v>
      </c>
      <c r="B3609" s="106">
        <f t="shared" si="109"/>
        <v>257</v>
      </c>
      <c r="C3609" s="107">
        <f ca="1">OFFSET(tab_tipo_Combustivel!$A$1,MATCH(B3609,tab_tipo_Combustivel!$A$2:$A$150,0),MATCH(A3609,tab_tipo_Combustivel!$B$1:$AQ$1,0),1,1)</f>
        <v>907.52</v>
      </c>
    </row>
    <row r="3610" spans="1:3">
      <c r="A3610" s="3">
        <f t="shared" si="108"/>
        <v>2038</v>
      </c>
      <c r="B3610" s="106">
        <f t="shared" si="109"/>
        <v>258</v>
      </c>
      <c r="C3610" s="107">
        <f ca="1">OFFSET(tab_tipo_Combustivel!$A$1,MATCH(B3610,tab_tipo_Combustivel!$A$2:$A$150,0),MATCH(A3610,tab_tipo_Combustivel!$B$1:$AQ$1,0),1,1)</f>
        <v>1016.04</v>
      </c>
    </row>
    <row r="3611" spans="1:3">
      <c r="A3611" s="3">
        <f t="shared" si="108"/>
        <v>2038</v>
      </c>
      <c r="B3611" s="106">
        <f t="shared" si="109"/>
        <v>259</v>
      </c>
      <c r="C3611" s="107">
        <f ca="1">OFFSET(tab_tipo_Combustivel!$A$1,MATCH(B3611,tab_tipo_Combustivel!$A$2:$A$150,0),MATCH(A3611,tab_tipo_Combustivel!$B$1:$AQ$1,0),1,1)</f>
        <v>977.53</v>
      </c>
    </row>
    <row r="3612" spans="1:3">
      <c r="A3612" s="3">
        <f t="shared" si="108"/>
        <v>2038</v>
      </c>
      <c r="B3612" s="106">
        <f t="shared" si="109"/>
        <v>260</v>
      </c>
      <c r="C3612" s="107">
        <f ca="1">OFFSET(tab_tipo_Combustivel!$A$1,MATCH(B3612,tab_tipo_Combustivel!$A$2:$A$150,0),MATCH(A3612,tab_tipo_Combustivel!$B$1:$AQ$1,0),1,1)</f>
        <v>827.17</v>
      </c>
    </row>
    <row r="3613" spans="1:3">
      <c r="A3613" s="3">
        <f t="shared" si="108"/>
        <v>2038</v>
      </c>
      <c r="B3613" s="106">
        <f t="shared" si="109"/>
        <v>261</v>
      </c>
      <c r="C3613" s="107">
        <f ca="1">OFFSET(tab_tipo_Combustivel!$A$1,MATCH(B3613,tab_tipo_Combustivel!$A$2:$A$150,0),MATCH(A3613,tab_tipo_Combustivel!$B$1:$AQ$1,0),1,1)</f>
        <v>829.7</v>
      </c>
    </row>
    <row r="3614" spans="1:3">
      <c r="A3614" s="3">
        <f t="shared" si="108"/>
        <v>2038</v>
      </c>
      <c r="B3614" s="106">
        <f t="shared" si="109"/>
        <v>262</v>
      </c>
      <c r="C3614" s="107">
        <f ca="1">OFFSET(tab_tipo_Combustivel!$A$1,MATCH(B3614,tab_tipo_Combustivel!$A$2:$A$150,0),MATCH(A3614,tab_tipo_Combustivel!$B$1:$AQ$1,0),1,1)</f>
        <v>495.75</v>
      </c>
    </row>
    <row r="3615" spans="1:3">
      <c r="A3615" s="3">
        <f t="shared" si="108"/>
        <v>2038</v>
      </c>
      <c r="B3615" s="106">
        <f t="shared" si="109"/>
        <v>263</v>
      </c>
      <c r="C3615" s="107">
        <f ca="1">OFFSET(tab_tipo_Combustivel!$A$1,MATCH(B3615,tab_tipo_Combustivel!$A$2:$A$150,0),MATCH(A3615,tab_tipo_Combustivel!$B$1:$AQ$1,0),1,1)</f>
        <v>474.77</v>
      </c>
    </row>
    <row r="3616" spans="1:3">
      <c r="A3616" s="3">
        <f t="shared" si="108"/>
        <v>2038</v>
      </c>
      <c r="B3616" s="106">
        <f t="shared" si="109"/>
        <v>264</v>
      </c>
      <c r="C3616" s="107">
        <f ca="1">OFFSET(tab_tipo_Combustivel!$A$1,MATCH(B3616,tab_tipo_Combustivel!$A$2:$A$150,0),MATCH(A3616,tab_tipo_Combustivel!$B$1:$AQ$1,0),1,1)</f>
        <v>842.33</v>
      </c>
    </row>
    <row r="3617" spans="1:3">
      <c r="A3617" s="3">
        <f t="shared" si="108"/>
        <v>2038</v>
      </c>
      <c r="B3617" s="106">
        <f t="shared" si="109"/>
        <v>265</v>
      </c>
      <c r="C3617" s="107">
        <f ca="1">OFFSET(tab_tipo_Combustivel!$A$1,MATCH(B3617,tab_tipo_Combustivel!$A$2:$A$150,0),MATCH(A3617,tab_tipo_Combustivel!$B$1:$AQ$1,0),1,1)</f>
        <v>415.82</v>
      </c>
    </row>
    <row r="3618" spans="1:3">
      <c r="A3618" s="3">
        <f t="shared" si="108"/>
        <v>2038</v>
      </c>
      <c r="B3618" s="106">
        <f t="shared" si="109"/>
        <v>266</v>
      </c>
      <c r="C3618" s="107">
        <f ca="1">OFFSET(tab_tipo_Combustivel!$A$1,MATCH(B3618,tab_tipo_Combustivel!$A$2:$A$150,0),MATCH(A3618,tab_tipo_Combustivel!$B$1:$AQ$1,0),1,1)</f>
        <v>827.17</v>
      </c>
    </row>
    <row r="3619" spans="1:3">
      <c r="A3619" s="3">
        <f t="shared" si="108"/>
        <v>2038</v>
      </c>
      <c r="B3619" s="106">
        <f t="shared" si="109"/>
        <v>301</v>
      </c>
      <c r="C3619" s="107">
        <f ca="1">OFFSET(tab_tipo_Combustivel!$A$1,MATCH(B3619,tab_tipo_Combustivel!$A$2:$A$150,0),MATCH(A3619,tab_tipo_Combustivel!$B$1:$AQ$1,0),1,1)</f>
        <v>99.08</v>
      </c>
    </row>
    <row r="3620" spans="1:3">
      <c r="A3620" s="3">
        <f t="shared" si="108"/>
        <v>2038</v>
      </c>
      <c r="B3620" s="106">
        <f t="shared" si="109"/>
        <v>302</v>
      </c>
      <c r="C3620" s="107">
        <f ca="1">OFFSET(tab_tipo_Combustivel!$A$1,MATCH(B3620,tab_tipo_Combustivel!$A$2:$A$150,0),MATCH(A3620,tab_tipo_Combustivel!$B$1:$AQ$1,0),1,1)</f>
        <v>103.73</v>
      </c>
    </row>
    <row r="3621" spans="1:3">
      <c r="A3621" s="3">
        <f t="shared" si="108"/>
        <v>2038</v>
      </c>
      <c r="B3621" s="106">
        <f t="shared" si="109"/>
        <v>303</v>
      </c>
      <c r="C3621" s="107">
        <f ca="1">OFFSET(tab_tipo_Combustivel!$A$1,MATCH(B3621,tab_tipo_Combustivel!$A$2:$A$150,0),MATCH(A3621,tab_tipo_Combustivel!$B$1:$AQ$1,0),1,1)</f>
        <v>103.73</v>
      </c>
    </row>
    <row r="3622" spans="1:3">
      <c r="A3622" s="3">
        <f t="shared" si="108"/>
        <v>2038</v>
      </c>
      <c r="B3622" s="106">
        <f t="shared" si="109"/>
        <v>304</v>
      </c>
      <c r="C3622" s="107">
        <f ca="1">OFFSET(tab_tipo_Combustivel!$A$1,MATCH(B3622,tab_tipo_Combustivel!$A$2:$A$150,0),MATCH(A3622,tab_tipo_Combustivel!$B$1:$AQ$1,0),1,1)</f>
        <v>139.41999999999999</v>
      </c>
    </row>
    <row r="3623" spans="1:3">
      <c r="A3623" s="3">
        <f t="shared" si="108"/>
        <v>2038</v>
      </c>
      <c r="B3623" s="106">
        <f t="shared" si="109"/>
        <v>305</v>
      </c>
      <c r="C3623" s="107">
        <f ca="1">OFFSET(tab_tipo_Combustivel!$A$1,MATCH(B3623,tab_tipo_Combustivel!$A$2:$A$150,0),MATCH(A3623,tab_tipo_Combustivel!$B$1:$AQ$1,0),1,1)</f>
        <v>89.7</v>
      </c>
    </row>
    <row r="3624" spans="1:3">
      <c r="A3624" s="3">
        <f t="shared" si="108"/>
        <v>2038</v>
      </c>
      <c r="B3624" s="106">
        <f t="shared" si="109"/>
        <v>306</v>
      </c>
      <c r="C3624" s="107">
        <f ca="1">OFFSET(tab_tipo_Combustivel!$A$1,MATCH(B3624,tab_tipo_Combustivel!$A$2:$A$150,0),MATCH(A3624,tab_tipo_Combustivel!$B$1:$AQ$1,0),1,1)</f>
        <v>100.38</v>
      </c>
    </row>
    <row r="3625" spans="1:3">
      <c r="A3625" s="3">
        <f t="shared" si="108"/>
        <v>2038</v>
      </c>
      <c r="B3625" s="106">
        <f t="shared" si="109"/>
        <v>307</v>
      </c>
      <c r="C3625" s="107">
        <f ca="1">OFFSET(tab_tipo_Combustivel!$A$1,MATCH(B3625,tab_tipo_Combustivel!$A$2:$A$150,0),MATCH(A3625,tab_tipo_Combustivel!$B$1:$AQ$1,0),1,1)</f>
        <v>510.12</v>
      </c>
    </row>
    <row r="3626" spans="1:3">
      <c r="A3626" s="3">
        <f t="shared" si="108"/>
        <v>2038</v>
      </c>
      <c r="B3626" s="106">
        <f t="shared" si="109"/>
        <v>308</v>
      </c>
      <c r="C3626" s="107">
        <f ca="1">OFFSET(tab_tipo_Combustivel!$A$1,MATCH(B3626,tab_tipo_Combustivel!$A$2:$A$150,0),MATCH(A3626,tab_tipo_Combustivel!$B$1:$AQ$1,0),1,1)</f>
        <v>72.5</v>
      </c>
    </row>
    <row r="3627" spans="1:3">
      <c r="A3627" s="3">
        <f t="shared" si="108"/>
        <v>2038</v>
      </c>
      <c r="B3627" s="106">
        <f t="shared" si="109"/>
        <v>309</v>
      </c>
      <c r="C3627" s="107">
        <f ca="1">OFFSET(tab_tipo_Combustivel!$A$1,MATCH(B3627,tab_tipo_Combustivel!$A$2:$A$150,0),MATCH(A3627,tab_tipo_Combustivel!$B$1:$AQ$1,0),1,1)</f>
        <v>126.77</v>
      </c>
    </row>
    <row r="3628" spans="1:3">
      <c r="A3628" s="3">
        <f t="shared" si="108"/>
        <v>2038</v>
      </c>
      <c r="B3628" s="106">
        <f t="shared" si="109"/>
        <v>310</v>
      </c>
      <c r="C3628" s="107">
        <f ca="1">OFFSET(tab_tipo_Combustivel!$A$1,MATCH(B3628,tab_tipo_Combustivel!$A$2:$A$150,0),MATCH(A3628,tab_tipo_Combustivel!$B$1:$AQ$1,0),1,1)</f>
        <v>275.99</v>
      </c>
    </row>
    <row r="3629" spans="1:3">
      <c r="A3629" s="3">
        <f t="shared" si="108"/>
        <v>2038</v>
      </c>
      <c r="B3629" s="106">
        <f t="shared" si="109"/>
        <v>311</v>
      </c>
      <c r="C3629" s="107">
        <f ca="1">OFFSET(tab_tipo_Combustivel!$A$1,MATCH(B3629,tab_tipo_Combustivel!$A$2:$A$150,0),MATCH(A3629,tab_tipo_Combustivel!$B$1:$AQ$1,0),1,1)</f>
        <v>70.66</v>
      </c>
    </row>
    <row r="3630" spans="1:3">
      <c r="A3630" s="3">
        <f t="shared" si="108"/>
        <v>2038</v>
      </c>
      <c r="B3630" s="106">
        <f t="shared" si="109"/>
        <v>312</v>
      </c>
      <c r="C3630" s="107">
        <f ca="1">OFFSET(tab_tipo_Combustivel!$A$1,MATCH(B3630,tab_tipo_Combustivel!$A$2:$A$150,0),MATCH(A3630,tab_tipo_Combustivel!$B$1:$AQ$1,0),1,1)</f>
        <v>0</v>
      </c>
    </row>
    <row r="3631" spans="1:3">
      <c r="A3631" s="3">
        <f t="shared" si="108"/>
        <v>2038</v>
      </c>
      <c r="B3631" s="106">
        <f t="shared" si="109"/>
        <v>1301</v>
      </c>
      <c r="C3631" s="107">
        <f ca="1">OFFSET(tab_tipo_Combustivel!$A$1,MATCH(B3631,tab_tipo_Combustivel!$A$2:$A$150,0),MATCH(A3631,tab_tipo_Combustivel!$B$1:$AQ$1,0),1,1)</f>
        <v>242.05</v>
      </c>
    </row>
    <row r="3632" spans="1:3">
      <c r="A3632" s="3">
        <f t="shared" si="108"/>
        <v>2038</v>
      </c>
      <c r="B3632" s="106">
        <f t="shared" si="109"/>
        <v>1302</v>
      </c>
      <c r="C3632" s="107">
        <f ca="1">OFFSET(tab_tipo_Combustivel!$A$1,MATCH(B3632,tab_tipo_Combustivel!$A$2:$A$150,0),MATCH(A3632,tab_tipo_Combustivel!$B$1:$AQ$1,0),1,1)</f>
        <v>193.64</v>
      </c>
    </row>
    <row r="3633" spans="1:3">
      <c r="A3633" s="3">
        <f t="shared" si="108"/>
        <v>2038</v>
      </c>
      <c r="B3633" s="106">
        <f t="shared" si="109"/>
        <v>1303</v>
      </c>
      <c r="C3633" s="107">
        <f ca="1">OFFSET(tab_tipo_Combustivel!$A$1,MATCH(B3633,tab_tipo_Combustivel!$A$2:$A$150,0),MATCH(A3633,tab_tipo_Combustivel!$B$1:$AQ$1,0),1,1)</f>
        <v>25.58</v>
      </c>
    </row>
    <row r="3634" spans="1:3">
      <c r="A3634" s="3">
        <f t="shared" si="108"/>
        <v>2038</v>
      </c>
      <c r="B3634" s="106">
        <f t="shared" si="109"/>
        <v>1304</v>
      </c>
      <c r="C3634" s="107">
        <f ca="1">OFFSET(tab_tipo_Combustivel!$A$1,MATCH(B3634,tab_tipo_Combustivel!$A$2:$A$150,0),MATCH(A3634,tab_tipo_Combustivel!$B$1:$AQ$1,0),1,1)</f>
        <v>0</v>
      </c>
    </row>
    <row r="3635" spans="1:3">
      <c r="A3635" s="3">
        <f t="shared" si="108"/>
        <v>2038</v>
      </c>
      <c r="B3635" s="106">
        <f t="shared" si="109"/>
        <v>1315</v>
      </c>
      <c r="C3635" s="107">
        <f ca="1">OFFSET(tab_tipo_Combustivel!$A$1,MATCH(B3635,tab_tipo_Combustivel!$A$2:$A$150,0),MATCH(A3635,tab_tipo_Combustivel!$B$1:$AQ$1,0),1,1)</f>
        <v>0</v>
      </c>
    </row>
    <row r="3636" spans="1:3">
      <c r="A3636" s="3">
        <f t="shared" si="108"/>
        <v>2038</v>
      </c>
      <c r="B3636" s="106">
        <f t="shared" si="109"/>
        <v>1316</v>
      </c>
      <c r="C3636" s="107">
        <f ca="1">OFFSET(tab_tipo_Combustivel!$A$1,MATCH(B3636,tab_tipo_Combustivel!$A$2:$A$150,0),MATCH(A3636,tab_tipo_Combustivel!$B$1:$AQ$1,0),1,1)</f>
        <v>0</v>
      </c>
    </row>
    <row r="3637" spans="1:3">
      <c r="A3637" s="3">
        <f t="shared" si="108"/>
        <v>2038</v>
      </c>
      <c r="B3637" s="106">
        <f t="shared" si="109"/>
        <v>1318</v>
      </c>
      <c r="C3637" s="107">
        <f ca="1">OFFSET(tab_tipo_Combustivel!$A$1,MATCH(B3637,tab_tipo_Combustivel!$A$2:$A$150,0),MATCH(A3637,tab_tipo_Combustivel!$B$1:$AQ$1,0),1,1)</f>
        <v>150</v>
      </c>
    </row>
    <row r="3638" spans="1:3">
      <c r="A3638" s="3">
        <f t="shared" si="108"/>
        <v>2038</v>
      </c>
      <c r="B3638" s="106">
        <f t="shared" si="109"/>
        <v>1321</v>
      </c>
      <c r="C3638" s="107">
        <f ca="1">OFFSET(tab_tipo_Combustivel!$A$1,MATCH(B3638,tab_tipo_Combustivel!$A$2:$A$150,0),MATCH(A3638,tab_tipo_Combustivel!$B$1:$AQ$1,0),1,1)</f>
        <v>85</v>
      </c>
    </row>
    <row r="3639" spans="1:3">
      <c r="A3639" s="3">
        <f t="shared" si="108"/>
        <v>2038</v>
      </c>
      <c r="B3639" s="106">
        <f t="shared" si="109"/>
        <v>1322</v>
      </c>
      <c r="C3639" s="107">
        <f ca="1">OFFSET(tab_tipo_Combustivel!$A$1,MATCH(B3639,tab_tipo_Combustivel!$A$2:$A$150,0),MATCH(A3639,tab_tipo_Combustivel!$B$1:$AQ$1,0),1,1)</f>
        <v>140</v>
      </c>
    </row>
    <row r="3640" spans="1:3">
      <c r="A3640" s="3">
        <f t="shared" si="108"/>
        <v>2038</v>
      </c>
      <c r="B3640" s="106">
        <f t="shared" si="109"/>
        <v>1323</v>
      </c>
      <c r="C3640" s="107">
        <f ca="1">OFFSET(tab_tipo_Combustivel!$A$1,MATCH(B3640,tab_tipo_Combustivel!$A$2:$A$150,0),MATCH(A3640,tab_tipo_Combustivel!$B$1:$AQ$1,0),1,1)</f>
        <v>63.75</v>
      </c>
    </row>
    <row r="3641" spans="1:3">
      <c r="A3641" s="3">
        <f t="shared" si="108"/>
        <v>2038</v>
      </c>
      <c r="B3641" s="106">
        <f t="shared" si="109"/>
        <v>1325</v>
      </c>
      <c r="C3641" s="107">
        <f ca="1">OFFSET(tab_tipo_Combustivel!$A$1,MATCH(B3641,tab_tipo_Combustivel!$A$2:$A$150,0),MATCH(A3641,tab_tipo_Combustivel!$B$1:$AQ$1,0),1,1)</f>
        <v>0</v>
      </c>
    </row>
    <row r="3642" spans="1:3">
      <c r="A3642" s="3">
        <f t="shared" si="108"/>
        <v>2038</v>
      </c>
      <c r="B3642" s="106">
        <f t="shared" si="109"/>
        <v>1326</v>
      </c>
      <c r="C3642" s="107">
        <f ca="1">OFFSET(tab_tipo_Combustivel!$A$1,MATCH(B3642,tab_tipo_Combustivel!$A$2:$A$150,0),MATCH(A3642,tab_tipo_Combustivel!$B$1:$AQ$1,0),1,1)</f>
        <v>260</v>
      </c>
    </row>
    <row r="3643" spans="1:3">
      <c r="A3643" s="3">
        <f t="shared" si="108"/>
        <v>2038</v>
      </c>
      <c r="B3643" s="106">
        <f t="shared" si="109"/>
        <v>1501</v>
      </c>
      <c r="C3643" s="107">
        <f ca="1">OFFSET(tab_tipo_Combustivel!$A$1,MATCH(B3643,tab_tipo_Combustivel!$A$2:$A$150,0),MATCH(A3643,tab_tipo_Combustivel!$B$1:$AQ$1,0),1,1)</f>
        <v>260</v>
      </c>
    </row>
    <row r="3644" spans="1:3">
      <c r="A3644" s="3">
        <f t="shared" si="108"/>
        <v>2038</v>
      </c>
      <c r="B3644" s="106">
        <f t="shared" si="109"/>
        <v>1502</v>
      </c>
      <c r="C3644" s="107">
        <f ca="1">OFFSET(tab_tipo_Combustivel!$A$1,MATCH(B3644,tab_tipo_Combustivel!$A$2:$A$150,0),MATCH(A3644,tab_tipo_Combustivel!$B$1:$AQ$1,0),1,1)</f>
        <v>60</v>
      </c>
    </row>
    <row r="3645" spans="1:3">
      <c r="A3645" s="3">
        <f t="shared" si="108"/>
        <v>2038</v>
      </c>
      <c r="B3645" s="106">
        <f t="shared" si="109"/>
        <v>1503</v>
      </c>
      <c r="C3645" s="107">
        <f ca="1">OFFSET(tab_tipo_Combustivel!$A$1,MATCH(B3645,tab_tipo_Combustivel!$A$2:$A$150,0),MATCH(A3645,tab_tipo_Combustivel!$B$1:$AQ$1,0),1,1)</f>
        <v>96.82</v>
      </c>
    </row>
    <row r="3646" spans="1:3">
      <c r="A3646" s="3">
        <f t="shared" si="108"/>
        <v>2038</v>
      </c>
      <c r="B3646" s="106">
        <f t="shared" si="109"/>
        <v>1504</v>
      </c>
      <c r="C3646" s="107">
        <f ca="1">OFFSET(tab_tipo_Combustivel!$A$1,MATCH(B3646,tab_tipo_Combustivel!$A$2:$A$150,0),MATCH(A3646,tab_tipo_Combustivel!$B$1:$AQ$1,0),1,1)</f>
        <v>145.22999999999999</v>
      </c>
    </row>
    <row r="3647" spans="1:3">
      <c r="A3647" s="3">
        <f t="shared" si="108"/>
        <v>2039</v>
      </c>
      <c r="B3647" s="106">
        <f t="shared" si="109"/>
        <v>1</v>
      </c>
      <c r="C3647" s="107">
        <f ca="1">OFFSET(tab_tipo_Combustivel!$A$1,MATCH(B3647,tab_tipo_Combustivel!$A$2:$A$150,0),MATCH(A3647,tab_tipo_Combustivel!$B$1:$AQ$1,0),1,1)</f>
        <v>29.13</v>
      </c>
    </row>
    <row r="3648" spans="1:3">
      <c r="A3648" s="3">
        <f t="shared" si="108"/>
        <v>2039</v>
      </c>
      <c r="B3648" s="106">
        <f t="shared" si="109"/>
        <v>2</v>
      </c>
      <c r="C3648" s="107">
        <f ca="1">OFFSET(tab_tipo_Combustivel!$A$1,MATCH(B3648,tab_tipo_Combustivel!$A$2:$A$150,0),MATCH(A3648,tab_tipo_Combustivel!$B$1:$AQ$1,0),1,1)</f>
        <v>842.33</v>
      </c>
    </row>
    <row r="3649" spans="1:3">
      <c r="A3649" s="3">
        <f t="shared" si="108"/>
        <v>2039</v>
      </c>
      <c r="B3649" s="106">
        <f t="shared" si="109"/>
        <v>4</v>
      </c>
      <c r="C3649" s="107">
        <f ca="1">OFFSET(tab_tipo_Combustivel!$A$1,MATCH(B3649,tab_tipo_Combustivel!$A$2:$A$150,0),MATCH(A3649,tab_tipo_Combustivel!$B$1:$AQ$1,0),1,1)</f>
        <v>842.33</v>
      </c>
    </row>
    <row r="3650" spans="1:3">
      <c r="A3650" s="3">
        <f t="shared" si="108"/>
        <v>2039</v>
      </c>
      <c r="B3650" s="106">
        <f t="shared" si="109"/>
        <v>9</v>
      </c>
      <c r="C3650" s="107">
        <f ca="1">OFFSET(tab_tipo_Combustivel!$A$1,MATCH(B3650,tab_tipo_Combustivel!$A$2:$A$150,0),MATCH(A3650,tab_tipo_Combustivel!$B$1:$AQ$1,0),1,1)</f>
        <v>842.33</v>
      </c>
    </row>
    <row r="3651" spans="1:3">
      <c r="A3651" s="3">
        <f t="shared" si="108"/>
        <v>2039</v>
      </c>
      <c r="B3651" s="106">
        <f t="shared" si="109"/>
        <v>12</v>
      </c>
      <c r="C3651" s="107">
        <f ca="1">OFFSET(tab_tipo_Combustivel!$A$1,MATCH(B3651,tab_tipo_Combustivel!$A$2:$A$150,0),MATCH(A3651,tab_tipo_Combustivel!$B$1:$AQ$1,0),1,1)</f>
        <v>728.87</v>
      </c>
    </row>
    <row r="3652" spans="1:3">
      <c r="A3652" s="3">
        <f t="shared" si="108"/>
        <v>2039</v>
      </c>
      <c r="B3652" s="106">
        <f t="shared" si="109"/>
        <v>13</v>
      </c>
      <c r="C3652" s="107">
        <f ca="1">OFFSET(tab_tipo_Combustivel!$A$1,MATCH(B3652,tab_tipo_Combustivel!$A$2:$A$150,0),MATCH(A3652,tab_tipo_Combustivel!$B$1:$AQ$1,0),1,1)</f>
        <v>20.12</v>
      </c>
    </row>
    <row r="3653" spans="1:3">
      <c r="A3653" s="3">
        <f t="shared" si="108"/>
        <v>2039</v>
      </c>
      <c r="B3653" s="106">
        <f t="shared" si="109"/>
        <v>15</v>
      </c>
      <c r="C3653" s="107">
        <f ca="1">OFFSET(tab_tipo_Combustivel!$A$1,MATCH(B3653,tab_tipo_Combustivel!$A$2:$A$150,0),MATCH(A3653,tab_tipo_Combustivel!$B$1:$AQ$1,0),1,1)</f>
        <v>257.29000000000002</v>
      </c>
    </row>
    <row r="3654" spans="1:3">
      <c r="A3654" s="3">
        <f t="shared" si="108"/>
        <v>2039</v>
      </c>
      <c r="B3654" s="106">
        <f t="shared" si="109"/>
        <v>21</v>
      </c>
      <c r="C3654" s="107">
        <f ca="1">OFFSET(tab_tipo_Combustivel!$A$1,MATCH(B3654,tab_tipo_Combustivel!$A$2:$A$150,0),MATCH(A3654,tab_tipo_Combustivel!$B$1:$AQ$1,0),1,1)</f>
        <v>157.83000000000001</v>
      </c>
    </row>
    <row r="3655" spans="1:3">
      <c r="A3655" s="3">
        <f t="shared" si="108"/>
        <v>2039</v>
      </c>
      <c r="B3655" s="106">
        <f t="shared" si="109"/>
        <v>22</v>
      </c>
      <c r="C3655" s="107">
        <f ca="1">OFFSET(tab_tipo_Combustivel!$A$1,MATCH(B3655,tab_tipo_Combustivel!$A$2:$A$150,0),MATCH(A3655,tab_tipo_Combustivel!$B$1:$AQ$1,0),1,1)</f>
        <v>115.9</v>
      </c>
    </row>
    <row r="3656" spans="1:3">
      <c r="A3656" s="3">
        <f t="shared" si="108"/>
        <v>2039</v>
      </c>
      <c r="B3656" s="106">
        <f t="shared" si="109"/>
        <v>23</v>
      </c>
      <c r="C3656" s="107">
        <f ca="1">OFFSET(tab_tipo_Combustivel!$A$1,MATCH(B3656,tab_tipo_Combustivel!$A$2:$A$150,0),MATCH(A3656,tab_tipo_Combustivel!$B$1:$AQ$1,0),1,1)</f>
        <v>115.9</v>
      </c>
    </row>
    <row r="3657" spans="1:3">
      <c r="A3657" s="3">
        <f t="shared" si="108"/>
        <v>2039</v>
      </c>
      <c r="B3657" s="106">
        <f t="shared" si="109"/>
        <v>24</v>
      </c>
      <c r="C3657" s="107">
        <f ca="1">OFFSET(tab_tipo_Combustivel!$A$1,MATCH(B3657,tab_tipo_Combustivel!$A$2:$A$150,0),MATCH(A3657,tab_tipo_Combustivel!$B$1:$AQ$1,0),1,1)</f>
        <v>155.85</v>
      </c>
    </row>
    <row r="3658" spans="1:3">
      <c r="A3658" s="3">
        <f t="shared" ref="A3658:A3721" si="110">A3523+1</f>
        <v>2039</v>
      </c>
      <c r="B3658" s="106">
        <f t="shared" ref="B3658:B3721" si="111">B3523</f>
        <v>25</v>
      </c>
      <c r="C3658" s="107">
        <f ca="1">OFFSET(tab_tipo_Combustivel!$A$1,MATCH(B3658,tab_tipo_Combustivel!$A$2:$A$150,0),MATCH(A3658,tab_tipo_Combustivel!$B$1:$AQ$1,0),1,1)</f>
        <v>186.33</v>
      </c>
    </row>
    <row r="3659" spans="1:3">
      <c r="A3659" s="3">
        <f t="shared" si="110"/>
        <v>2039</v>
      </c>
      <c r="B3659" s="106">
        <f t="shared" si="111"/>
        <v>26</v>
      </c>
      <c r="C3659" s="107">
        <f ca="1">OFFSET(tab_tipo_Combustivel!$A$1,MATCH(B3659,tab_tipo_Combustivel!$A$2:$A$150,0),MATCH(A3659,tab_tipo_Combustivel!$B$1:$AQ$1,0),1,1)</f>
        <v>258.42</v>
      </c>
    </row>
    <row r="3660" spans="1:3">
      <c r="A3660" s="3">
        <f t="shared" si="110"/>
        <v>2039</v>
      </c>
      <c r="B3660" s="106">
        <f t="shared" si="111"/>
        <v>27</v>
      </c>
      <c r="C3660" s="107">
        <f ca="1">OFFSET(tab_tipo_Combustivel!$A$1,MATCH(B3660,tab_tipo_Combustivel!$A$2:$A$150,0),MATCH(A3660,tab_tipo_Combustivel!$B$1:$AQ$1,0),1,1)</f>
        <v>195.49</v>
      </c>
    </row>
    <row r="3661" spans="1:3">
      <c r="A3661" s="3">
        <f t="shared" si="110"/>
        <v>2039</v>
      </c>
      <c r="B3661" s="106">
        <f t="shared" si="111"/>
        <v>28</v>
      </c>
      <c r="C3661" s="107">
        <f ca="1">OFFSET(tab_tipo_Combustivel!$A$1,MATCH(B3661,tab_tipo_Combustivel!$A$2:$A$150,0),MATCH(A3661,tab_tipo_Combustivel!$B$1:$AQ$1,0),1,1)</f>
        <v>459.92</v>
      </c>
    </row>
    <row r="3662" spans="1:3">
      <c r="A3662" s="3">
        <f t="shared" si="110"/>
        <v>2039</v>
      </c>
      <c r="B3662" s="106">
        <f t="shared" si="111"/>
        <v>32</v>
      </c>
      <c r="C3662" s="107">
        <f ca="1">OFFSET(tab_tipo_Combustivel!$A$1,MATCH(B3662,tab_tipo_Combustivel!$A$2:$A$150,0),MATCH(A3662,tab_tipo_Combustivel!$B$1:$AQ$1,0),1,1)</f>
        <v>248.31</v>
      </c>
    </row>
    <row r="3663" spans="1:3">
      <c r="A3663" s="3">
        <f t="shared" si="110"/>
        <v>2039</v>
      </c>
      <c r="B3663" s="106">
        <f t="shared" si="111"/>
        <v>34</v>
      </c>
      <c r="C3663" s="107">
        <f ca="1">OFFSET(tab_tipo_Combustivel!$A$1,MATCH(B3663,tab_tipo_Combustivel!$A$2:$A$150,0),MATCH(A3663,tab_tipo_Combustivel!$B$1:$AQ$1,0),1,1)</f>
        <v>423.38</v>
      </c>
    </row>
    <row r="3664" spans="1:3">
      <c r="A3664" s="3">
        <f t="shared" si="110"/>
        <v>2039</v>
      </c>
      <c r="B3664" s="106">
        <f t="shared" si="111"/>
        <v>35</v>
      </c>
      <c r="C3664" s="107">
        <f ca="1">OFFSET(tab_tipo_Combustivel!$A$1,MATCH(B3664,tab_tipo_Combustivel!$A$2:$A$150,0),MATCH(A3664,tab_tipo_Combustivel!$B$1:$AQ$1,0),1,1)</f>
        <v>692.45</v>
      </c>
    </row>
    <row r="3665" spans="1:3">
      <c r="A3665" s="3">
        <f t="shared" si="110"/>
        <v>2039</v>
      </c>
      <c r="B3665" s="106">
        <f t="shared" si="111"/>
        <v>36</v>
      </c>
      <c r="C3665" s="107">
        <f ca="1">OFFSET(tab_tipo_Combustivel!$A$1,MATCH(B3665,tab_tipo_Combustivel!$A$2:$A$150,0),MATCH(A3665,tab_tipo_Combustivel!$B$1:$AQ$1,0),1,1)</f>
        <v>157.83000000000001</v>
      </c>
    </row>
    <row r="3666" spans="1:3">
      <c r="A3666" s="3">
        <f t="shared" si="110"/>
        <v>2039</v>
      </c>
      <c r="B3666" s="106">
        <f t="shared" si="111"/>
        <v>42</v>
      </c>
      <c r="C3666" s="107">
        <f ca="1">OFFSET(tab_tipo_Combustivel!$A$1,MATCH(B3666,tab_tipo_Combustivel!$A$2:$A$150,0),MATCH(A3666,tab_tipo_Combustivel!$B$1:$AQ$1,0),1,1)</f>
        <v>199.22</v>
      </c>
    </row>
    <row r="3667" spans="1:3">
      <c r="A3667" s="3">
        <f t="shared" si="110"/>
        <v>2039</v>
      </c>
      <c r="B3667" s="106">
        <f t="shared" si="111"/>
        <v>43</v>
      </c>
      <c r="C3667" s="107">
        <f ca="1">OFFSET(tab_tipo_Combustivel!$A$1,MATCH(B3667,tab_tipo_Combustivel!$A$2:$A$150,0),MATCH(A3667,tab_tipo_Combustivel!$B$1:$AQ$1,0),1,1)</f>
        <v>431.62</v>
      </c>
    </row>
    <row r="3668" spans="1:3">
      <c r="A3668" s="3">
        <f t="shared" si="110"/>
        <v>2039</v>
      </c>
      <c r="B3668" s="106">
        <f t="shared" si="111"/>
        <v>44</v>
      </c>
      <c r="C3668" s="107">
        <f ca="1">OFFSET(tab_tipo_Combustivel!$A$1,MATCH(B3668,tab_tipo_Combustivel!$A$2:$A$150,0),MATCH(A3668,tab_tipo_Combustivel!$B$1:$AQ$1,0),1,1)</f>
        <v>25.58</v>
      </c>
    </row>
    <row r="3669" spans="1:3">
      <c r="A3669" s="3">
        <f t="shared" si="110"/>
        <v>2039</v>
      </c>
      <c r="B3669" s="106">
        <f t="shared" si="111"/>
        <v>46</v>
      </c>
      <c r="C3669" s="107">
        <f ca="1">OFFSET(tab_tipo_Combustivel!$A$1,MATCH(B3669,tab_tipo_Combustivel!$A$2:$A$150,0),MATCH(A3669,tab_tipo_Combustivel!$B$1:$AQ$1,0),1,1)</f>
        <v>228.91</v>
      </c>
    </row>
    <row r="3670" spans="1:3">
      <c r="A3670" s="3">
        <f t="shared" si="110"/>
        <v>2039</v>
      </c>
      <c r="B3670" s="106">
        <f t="shared" si="111"/>
        <v>47</v>
      </c>
      <c r="C3670" s="107">
        <f ca="1">OFFSET(tab_tipo_Combustivel!$A$1,MATCH(B3670,tab_tipo_Combustivel!$A$2:$A$150,0),MATCH(A3670,tab_tipo_Combustivel!$B$1:$AQ$1,0),1,1)</f>
        <v>235.6</v>
      </c>
    </row>
    <row r="3671" spans="1:3">
      <c r="A3671" s="3">
        <f t="shared" si="110"/>
        <v>2039</v>
      </c>
      <c r="B3671" s="106">
        <f t="shared" si="111"/>
        <v>48</v>
      </c>
      <c r="C3671" s="107">
        <f ca="1">OFFSET(tab_tipo_Combustivel!$A$1,MATCH(B3671,tab_tipo_Combustivel!$A$2:$A$150,0),MATCH(A3671,tab_tipo_Combustivel!$B$1:$AQ$1,0),1,1)</f>
        <v>1012.12</v>
      </c>
    </row>
    <row r="3672" spans="1:3">
      <c r="A3672" s="3">
        <f t="shared" si="110"/>
        <v>2039</v>
      </c>
      <c r="B3672" s="106">
        <f t="shared" si="111"/>
        <v>50</v>
      </c>
      <c r="C3672" s="107">
        <f ca="1">OFFSET(tab_tipo_Combustivel!$A$1,MATCH(B3672,tab_tipo_Combustivel!$A$2:$A$150,0),MATCH(A3672,tab_tipo_Combustivel!$B$1:$AQ$1,0),1,1)</f>
        <v>669.87</v>
      </c>
    </row>
    <row r="3673" spans="1:3">
      <c r="A3673" s="3">
        <f t="shared" si="110"/>
        <v>2039</v>
      </c>
      <c r="B3673" s="106">
        <f t="shared" si="111"/>
        <v>54</v>
      </c>
      <c r="C3673" s="107">
        <f ca="1">OFFSET(tab_tipo_Combustivel!$A$1,MATCH(B3673,tab_tipo_Combustivel!$A$2:$A$150,0),MATCH(A3673,tab_tipo_Combustivel!$B$1:$AQ$1,0),1,1)</f>
        <v>304.55</v>
      </c>
    </row>
    <row r="3674" spans="1:3">
      <c r="A3674" s="3">
        <f t="shared" si="110"/>
        <v>2039</v>
      </c>
      <c r="B3674" s="106">
        <f t="shared" si="111"/>
        <v>58</v>
      </c>
      <c r="C3674" s="107">
        <f ca="1">OFFSET(tab_tipo_Combustivel!$A$1,MATCH(B3674,tab_tipo_Combustivel!$A$2:$A$150,0),MATCH(A3674,tab_tipo_Combustivel!$B$1:$AQ$1,0),1,1)</f>
        <v>300.05</v>
      </c>
    </row>
    <row r="3675" spans="1:3">
      <c r="A3675" s="3">
        <f t="shared" si="110"/>
        <v>2039</v>
      </c>
      <c r="B3675" s="106">
        <f t="shared" si="111"/>
        <v>62</v>
      </c>
      <c r="C3675" s="107">
        <f ca="1">OFFSET(tab_tipo_Combustivel!$A$1,MATCH(B3675,tab_tipo_Combustivel!$A$2:$A$150,0),MATCH(A3675,tab_tipo_Combustivel!$B$1:$AQ$1,0),1,1)</f>
        <v>309.24</v>
      </c>
    </row>
    <row r="3676" spans="1:3">
      <c r="A3676" s="3">
        <f t="shared" si="110"/>
        <v>2039</v>
      </c>
      <c r="B3676" s="106">
        <f t="shared" si="111"/>
        <v>63</v>
      </c>
      <c r="C3676" s="107">
        <f ca="1">OFFSET(tab_tipo_Combustivel!$A$1,MATCH(B3676,tab_tipo_Combustivel!$A$2:$A$150,0),MATCH(A3676,tab_tipo_Combustivel!$B$1:$AQ$1,0),1,1)</f>
        <v>365.77</v>
      </c>
    </row>
    <row r="3677" spans="1:3">
      <c r="A3677" s="3">
        <f t="shared" si="110"/>
        <v>2039</v>
      </c>
      <c r="B3677" s="106">
        <f t="shared" si="111"/>
        <v>64</v>
      </c>
      <c r="C3677" s="107">
        <f ca="1">OFFSET(tab_tipo_Combustivel!$A$1,MATCH(B3677,tab_tipo_Combustivel!$A$2:$A$150,0),MATCH(A3677,tab_tipo_Combustivel!$B$1:$AQ$1,0),1,1)</f>
        <v>853.54</v>
      </c>
    </row>
    <row r="3678" spans="1:3">
      <c r="A3678" s="3">
        <f t="shared" si="110"/>
        <v>2039</v>
      </c>
      <c r="B3678" s="106">
        <f t="shared" si="111"/>
        <v>68</v>
      </c>
      <c r="C3678" s="107">
        <f ca="1">OFFSET(tab_tipo_Combustivel!$A$1,MATCH(B3678,tab_tipo_Combustivel!$A$2:$A$150,0),MATCH(A3678,tab_tipo_Combustivel!$B$1:$AQ$1,0),1,1)</f>
        <v>195.63</v>
      </c>
    </row>
    <row r="3679" spans="1:3">
      <c r="A3679" s="3">
        <f t="shared" si="110"/>
        <v>2039</v>
      </c>
      <c r="B3679" s="106">
        <f t="shared" si="111"/>
        <v>74</v>
      </c>
      <c r="C3679" s="107">
        <f ca="1">OFFSET(tab_tipo_Combustivel!$A$1,MATCH(B3679,tab_tipo_Combustivel!$A$2:$A$150,0),MATCH(A3679,tab_tipo_Combustivel!$B$1:$AQ$1,0),1,1)</f>
        <v>364.46</v>
      </c>
    </row>
    <row r="3680" spans="1:3">
      <c r="A3680" s="3">
        <f t="shared" si="110"/>
        <v>2039</v>
      </c>
      <c r="B3680" s="106">
        <f t="shared" si="111"/>
        <v>83</v>
      </c>
      <c r="C3680" s="107">
        <f ca="1">OFFSET(tab_tipo_Combustivel!$A$1,MATCH(B3680,tab_tipo_Combustivel!$A$2:$A$150,0),MATCH(A3680,tab_tipo_Combustivel!$B$1:$AQ$1,0),1,1)</f>
        <v>448.1</v>
      </c>
    </row>
    <row r="3681" spans="1:3">
      <c r="A3681" s="3">
        <f t="shared" si="110"/>
        <v>2039</v>
      </c>
      <c r="B3681" s="106">
        <f t="shared" si="111"/>
        <v>86</v>
      </c>
      <c r="C3681" s="107">
        <f ca="1">OFFSET(tab_tipo_Combustivel!$A$1,MATCH(B3681,tab_tipo_Combustivel!$A$2:$A$150,0),MATCH(A3681,tab_tipo_Combustivel!$B$1:$AQ$1,0),1,1)</f>
        <v>170.34</v>
      </c>
    </row>
    <row r="3682" spans="1:3">
      <c r="A3682" s="3">
        <f t="shared" si="110"/>
        <v>2039</v>
      </c>
      <c r="B3682" s="106">
        <f t="shared" si="111"/>
        <v>90</v>
      </c>
      <c r="C3682" s="107">
        <f ca="1">OFFSET(tab_tipo_Combustivel!$A$1,MATCH(B3682,tab_tipo_Combustivel!$A$2:$A$150,0),MATCH(A3682,tab_tipo_Combustivel!$B$1:$AQ$1,0),1,1)</f>
        <v>533.1</v>
      </c>
    </row>
    <row r="3683" spans="1:3">
      <c r="A3683" s="3">
        <f t="shared" si="110"/>
        <v>2039</v>
      </c>
      <c r="B3683" s="106">
        <f t="shared" si="111"/>
        <v>93</v>
      </c>
      <c r="C3683" s="107">
        <f ca="1">OFFSET(tab_tipo_Combustivel!$A$1,MATCH(B3683,tab_tipo_Combustivel!$A$2:$A$150,0),MATCH(A3683,tab_tipo_Combustivel!$B$1:$AQ$1,0),1,1)</f>
        <v>842.33</v>
      </c>
    </row>
    <row r="3684" spans="1:3">
      <c r="A3684" s="3">
        <f t="shared" si="110"/>
        <v>2039</v>
      </c>
      <c r="B3684" s="106">
        <f t="shared" si="111"/>
        <v>94</v>
      </c>
      <c r="C3684" s="107">
        <f ca="1">OFFSET(tab_tipo_Combustivel!$A$1,MATCH(B3684,tab_tipo_Combustivel!$A$2:$A$150,0),MATCH(A3684,tab_tipo_Combustivel!$B$1:$AQ$1,0),1,1)</f>
        <v>842.33</v>
      </c>
    </row>
    <row r="3685" spans="1:3">
      <c r="A3685" s="3">
        <f t="shared" si="110"/>
        <v>2039</v>
      </c>
      <c r="B3685" s="106">
        <f t="shared" si="111"/>
        <v>96</v>
      </c>
      <c r="C3685" s="107">
        <f ca="1">OFFSET(tab_tipo_Combustivel!$A$1,MATCH(B3685,tab_tipo_Combustivel!$A$2:$A$150,0),MATCH(A3685,tab_tipo_Combustivel!$B$1:$AQ$1,0),1,1)</f>
        <v>99.92</v>
      </c>
    </row>
    <row r="3686" spans="1:3">
      <c r="A3686" s="3">
        <f t="shared" si="110"/>
        <v>2039</v>
      </c>
      <c r="B3686" s="106">
        <f t="shared" si="111"/>
        <v>98</v>
      </c>
      <c r="C3686" s="107">
        <f ca="1">OFFSET(tab_tipo_Combustivel!$A$1,MATCH(B3686,tab_tipo_Combustivel!$A$2:$A$150,0),MATCH(A3686,tab_tipo_Combustivel!$B$1:$AQ$1,0),1,1)</f>
        <v>489.8</v>
      </c>
    </row>
    <row r="3687" spans="1:3">
      <c r="A3687" s="3">
        <f t="shared" si="110"/>
        <v>2039</v>
      </c>
      <c r="B3687" s="106">
        <f t="shared" si="111"/>
        <v>107</v>
      </c>
      <c r="C3687" s="107">
        <f ca="1">OFFSET(tab_tipo_Combustivel!$A$1,MATCH(B3687,tab_tipo_Combustivel!$A$2:$A$150,0),MATCH(A3687,tab_tipo_Combustivel!$B$1:$AQ$1,0),1,1)</f>
        <v>57.63</v>
      </c>
    </row>
    <row r="3688" spans="1:3">
      <c r="A3688" s="3">
        <f t="shared" si="110"/>
        <v>2039</v>
      </c>
      <c r="B3688" s="106">
        <f t="shared" si="111"/>
        <v>110</v>
      </c>
      <c r="C3688" s="107">
        <f ca="1">OFFSET(tab_tipo_Combustivel!$A$1,MATCH(B3688,tab_tipo_Combustivel!$A$2:$A$150,0),MATCH(A3688,tab_tipo_Combustivel!$B$1:$AQ$1,0),1,1)</f>
        <v>568.29</v>
      </c>
    </row>
    <row r="3689" spans="1:3">
      <c r="A3689" s="3">
        <f t="shared" si="110"/>
        <v>2039</v>
      </c>
      <c r="B3689" s="106">
        <f t="shared" si="111"/>
        <v>116</v>
      </c>
      <c r="C3689" s="107">
        <f ca="1">OFFSET(tab_tipo_Combustivel!$A$1,MATCH(B3689,tab_tipo_Combustivel!$A$2:$A$150,0),MATCH(A3689,tab_tipo_Combustivel!$B$1:$AQ$1,0),1,1)</f>
        <v>117.46</v>
      </c>
    </row>
    <row r="3690" spans="1:3">
      <c r="A3690" s="3">
        <f t="shared" si="110"/>
        <v>2039</v>
      </c>
      <c r="B3690" s="106">
        <f t="shared" si="111"/>
        <v>140</v>
      </c>
      <c r="C3690" s="107">
        <f ca="1">OFFSET(tab_tipo_Combustivel!$A$1,MATCH(B3690,tab_tipo_Combustivel!$A$2:$A$150,0),MATCH(A3690,tab_tipo_Combustivel!$B$1:$AQ$1,0),1,1)</f>
        <v>88.11</v>
      </c>
    </row>
    <row r="3691" spans="1:3">
      <c r="A3691" s="3">
        <f t="shared" si="110"/>
        <v>2039</v>
      </c>
      <c r="B3691" s="106">
        <f t="shared" si="111"/>
        <v>141</v>
      </c>
      <c r="C3691" s="107">
        <f ca="1">OFFSET(tab_tipo_Combustivel!$A$1,MATCH(B3691,tab_tipo_Combustivel!$A$2:$A$150,0),MATCH(A3691,tab_tipo_Combustivel!$B$1:$AQ$1,0),1,1)</f>
        <v>1280.52</v>
      </c>
    </row>
    <row r="3692" spans="1:3">
      <c r="A3692" s="3">
        <f t="shared" si="110"/>
        <v>2039</v>
      </c>
      <c r="B3692" s="106">
        <f t="shared" si="111"/>
        <v>147</v>
      </c>
      <c r="C3692" s="107">
        <f ca="1">OFFSET(tab_tipo_Combustivel!$A$1,MATCH(B3692,tab_tipo_Combustivel!$A$2:$A$150,0),MATCH(A3692,tab_tipo_Combustivel!$B$1:$AQ$1,0),1,1)</f>
        <v>134.18</v>
      </c>
    </row>
    <row r="3693" spans="1:3">
      <c r="A3693" s="3">
        <f t="shared" si="110"/>
        <v>2039</v>
      </c>
      <c r="B3693" s="106">
        <f t="shared" si="111"/>
        <v>156</v>
      </c>
      <c r="C3693" s="107">
        <f ca="1">OFFSET(tab_tipo_Combustivel!$A$1,MATCH(B3693,tab_tipo_Combustivel!$A$2:$A$150,0),MATCH(A3693,tab_tipo_Combustivel!$B$1:$AQ$1,0),1,1)</f>
        <v>77.12</v>
      </c>
    </row>
    <row r="3694" spans="1:3">
      <c r="A3694" s="3">
        <f t="shared" si="110"/>
        <v>2039</v>
      </c>
      <c r="B3694" s="106">
        <f t="shared" si="111"/>
        <v>163</v>
      </c>
      <c r="C3694" s="107">
        <f ca="1">OFFSET(tab_tipo_Combustivel!$A$1,MATCH(B3694,tab_tipo_Combustivel!$A$2:$A$150,0),MATCH(A3694,tab_tipo_Combustivel!$B$1:$AQ$1,0),1,1)</f>
        <v>156.69999999999999</v>
      </c>
    </row>
    <row r="3695" spans="1:3">
      <c r="A3695" s="3">
        <f t="shared" si="110"/>
        <v>2039</v>
      </c>
      <c r="B3695" s="106">
        <f t="shared" si="111"/>
        <v>167</v>
      </c>
      <c r="C3695" s="107">
        <f ca="1">OFFSET(tab_tipo_Combustivel!$A$1,MATCH(B3695,tab_tipo_Combustivel!$A$2:$A$150,0),MATCH(A3695,tab_tipo_Combustivel!$B$1:$AQ$1,0),1,1)</f>
        <v>144.66999999999999</v>
      </c>
    </row>
    <row r="3696" spans="1:3">
      <c r="A3696" s="3">
        <f t="shared" si="110"/>
        <v>2039</v>
      </c>
      <c r="B3696" s="106">
        <f t="shared" si="111"/>
        <v>171</v>
      </c>
      <c r="C3696" s="107">
        <f ca="1">OFFSET(tab_tipo_Combustivel!$A$1,MATCH(B3696,tab_tipo_Combustivel!$A$2:$A$150,0),MATCH(A3696,tab_tipo_Combustivel!$B$1:$AQ$1,0),1,1)</f>
        <v>88</v>
      </c>
    </row>
    <row r="3697" spans="1:3">
      <c r="A3697" s="3">
        <f t="shared" si="110"/>
        <v>2039</v>
      </c>
      <c r="B3697" s="106">
        <f t="shared" si="111"/>
        <v>172</v>
      </c>
      <c r="C3697" s="107">
        <f ca="1">OFFSET(tab_tipo_Combustivel!$A$1,MATCH(B3697,tab_tipo_Combustivel!$A$2:$A$150,0),MATCH(A3697,tab_tipo_Combustivel!$B$1:$AQ$1,0),1,1)</f>
        <v>99.97</v>
      </c>
    </row>
    <row r="3698" spans="1:3">
      <c r="A3698" s="3">
        <f t="shared" si="110"/>
        <v>2039</v>
      </c>
      <c r="B3698" s="106">
        <f t="shared" si="111"/>
        <v>173</v>
      </c>
      <c r="C3698" s="107">
        <f ca="1">OFFSET(tab_tipo_Combustivel!$A$1,MATCH(B3698,tab_tipo_Combustivel!$A$2:$A$150,0),MATCH(A3698,tab_tipo_Combustivel!$B$1:$AQ$1,0),1,1)</f>
        <v>192.03</v>
      </c>
    </row>
    <row r="3699" spans="1:3">
      <c r="A3699" s="3">
        <f t="shared" si="110"/>
        <v>2039</v>
      </c>
      <c r="B3699" s="106">
        <f t="shared" si="111"/>
        <v>174</v>
      </c>
      <c r="C3699" s="107">
        <f ca="1">OFFSET(tab_tipo_Combustivel!$A$1,MATCH(B3699,tab_tipo_Combustivel!$A$2:$A$150,0),MATCH(A3699,tab_tipo_Combustivel!$B$1:$AQ$1,0),1,1)</f>
        <v>331.22</v>
      </c>
    </row>
    <row r="3700" spans="1:3">
      <c r="A3700" s="3">
        <f t="shared" si="110"/>
        <v>2039</v>
      </c>
      <c r="B3700" s="106">
        <f t="shared" si="111"/>
        <v>176</v>
      </c>
      <c r="C3700" s="107">
        <f ca="1">OFFSET(tab_tipo_Combustivel!$A$1,MATCH(B3700,tab_tipo_Combustivel!$A$2:$A$150,0),MATCH(A3700,tab_tipo_Combustivel!$B$1:$AQ$1,0),1,1)</f>
        <v>149.47999999999999</v>
      </c>
    </row>
    <row r="3701" spans="1:3">
      <c r="A3701" s="3">
        <f t="shared" si="110"/>
        <v>2039</v>
      </c>
      <c r="B3701" s="106">
        <f t="shared" si="111"/>
        <v>183</v>
      </c>
      <c r="C3701" s="107">
        <f ca="1">OFFSET(tab_tipo_Combustivel!$A$1,MATCH(B3701,tab_tipo_Combustivel!$A$2:$A$150,0),MATCH(A3701,tab_tipo_Combustivel!$B$1:$AQ$1,0),1,1)</f>
        <v>171.61</v>
      </c>
    </row>
    <row r="3702" spans="1:3">
      <c r="A3702" s="3">
        <f t="shared" si="110"/>
        <v>2039</v>
      </c>
      <c r="B3702" s="106">
        <f t="shared" si="111"/>
        <v>194</v>
      </c>
      <c r="C3702" s="107">
        <f ca="1">OFFSET(tab_tipo_Combustivel!$A$1,MATCH(B3702,tab_tipo_Combustivel!$A$2:$A$150,0),MATCH(A3702,tab_tipo_Combustivel!$B$1:$AQ$1,0),1,1)</f>
        <v>1098.58</v>
      </c>
    </row>
    <row r="3703" spans="1:3">
      <c r="A3703" s="3">
        <f t="shared" si="110"/>
        <v>2039</v>
      </c>
      <c r="B3703" s="106">
        <f t="shared" si="111"/>
        <v>203</v>
      </c>
      <c r="C3703" s="107">
        <f ca="1">OFFSET(tab_tipo_Combustivel!$A$1,MATCH(B3703,tab_tipo_Combustivel!$A$2:$A$150,0),MATCH(A3703,tab_tipo_Combustivel!$B$1:$AQ$1,0),1,1)</f>
        <v>0</v>
      </c>
    </row>
    <row r="3704" spans="1:3">
      <c r="A3704" s="3">
        <f t="shared" si="110"/>
        <v>2039</v>
      </c>
      <c r="B3704" s="106">
        <f t="shared" si="111"/>
        <v>204</v>
      </c>
      <c r="C3704" s="107">
        <f ca="1">OFFSET(tab_tipo_Combustivel!$A$1,MATCH(B3704,tab_tipo_Combustivel!$A$2:$A$150,0),MATCH(A3704,tab_tipo_Combustivel!$B$1:$AQ$1,0),1,1)</f>
        <v>0</v>
      </c>
    </row>
    <row r="3705" spans="1:3">
      <c r="A3705" s="3">
        <f t="shared" si="110"/>
        <v>2039</v>
      </c>
      <c r="B3705" s="106">
        <f t="shared" si="111"/>
        <v>205</v>
      </c>
      <c r="C3705" s="107">
        <f ca="1">OFFSET(tab_tipo_Combustivel!$A$1,MATCH(B3705,tab_tipo_Combustivel!$A$2:$A$150,0),MATCH(A3705,tab_tipo_Combustivel!$B$1:$AQ$1,0),1,1)</f>
        <v>0</v>
      </c>
    </row>
    <row r="3706" spans="1:3">
      <c r="A3706" s="3">
        <f t="shared" si="110"/>
        <v>2039</v>
      </c>
      <c r="B3706" s="106">
        <f t="shared" si="111"/>
        <v>207</v>
      </c>
      <c r="C3706" s="107">
        <f ca="1">OFFSET(tab_tipo_Combustivel!$A$1,MATCH(B3706,tab_tipo_Combustivel!$A$2:$A$150,0),MATCH(A3706,tab_tipo_Combustivel!$B$1:$AQ$1,0),1,1)</f>
        <v>0</v>
      </c>
    </row>
    <row r="3707" spans="1:3">
      <c r="A3707" s="3">
        <f t="shared" si="110"/>
        <v>2039</v>
      </c>
      <c r="B3707" s="106">
        <f t="shared" si="111"/>
        <v>208</v>
      </c>
      <c r="C3707" s="107">
        <f ca="1">OFFSET(tab_tipo_Combustivel!$A$1,MATCH(B3707,tab_tipo_Combustivel!$A$2:$A$150,0),MATCH(A3707,tab_tipo_Combustivel!$B$1:$AQ$1,0),1,1)</f>
        <v>783.64</v>
      </c>
    </row>
    <row r="3708" spans="1:3">
      <c r="A3708" s="3">
        <f t="shared" si="110"/>
        <v>2039</v>
      </c>
      <c r="B3708" s="106">
        <f t="shared" si="111"/>
        <v>209</v>
      </c>
      <c r="C3708" s="107">
        <f ca="1">OFFSET(tab_tipo_Combustivel!$A$1,MATCH(B3708,tab_tipo_Combustivel!$A$2:$A$150,0),MATCH(A3708,tab_tipo_Combustivel!$B$1:$AQ$1,0),1,1)</f>
        <v>0</v>
      </c>
    </row>
    <row r="3709" spans="1:3">
      <c r="A3709" s="3">
        <f t="shared" si="110"/>
        <v>2039</v>
      </c>
      <c r="B3709" s="106">
        <f t="shared" si="111"/>
        <v>211</v>
      </c>
      <c r="C3709" s="107">
        <f ca="1">OFFSET(tab_tipo_Combustivel!$A$1,MATCH(B3709,tab_tipo_Combustivel!$A$2:$A$150,0),MATCH(A3709,tab_tipo_Combustivel!$B$1:$AQ$1,0),1,1)</f>
        <v>150.79</v>
      </c>
    </row>
    <row r="3710" spans="1:3">
      <c r="A3710" s="3">
        <f t="shared" si="110"/>
        <v>2039</v>
      </c>
      <c r="B3710" s="106">
        <f t="shared" si="111"/>
        <v>212</v>
      </c>
      <c r="C3710" s="107">
        <f ca="1">OFFSET(tab_tipo_Combustivel!$A$1,MATCH(B3710,tab_tipo_Combustivel!$A$2:$A$150,0),MATCH(A3710,tab_tipo_Combustivel!$B$1:$AQ$1,0),1,1)</f>
        <v>84.58</v>
      </c>
    </row>
    <row r="3711" spans="1:3">
      <c r="A3711" s="3">
        <f t="shared" si="110"/>
        <v>2039</v>
      </c>
      <c r="B3711" s="106">
        <f t="shared" si="111"/>
        <v>224</v>
      </c>
      <c r="C3711" s="107">
        <f ca="1">OFFSET(tab_tipo_Combustivel!$A$1,MATCH(B3711,tab_tipo_Combustivel!$A$2:$A$150,0),MATCH(A3711,tab_tipo_Combustivel!$B$1:$AQ$1,0),1,1)</f>
        <v>31.08</v>
      </c>
    </row>
    <row r="3712" spans="1:3">
      <c r="A3712" s="3">
        <f t="shared" si="110"/>
        <v>2039</v>
      </c>
      <c r="B3712" s="106">
        <f t="shared" si="111"/>
        <v>225</v>
      </c>
      <c r="C3712" s="107">
        <f ca="1">OFFSET(tab_tipo_Combustivel!$A$1,MATCH(B3712,tab_tipo_Combustivel!$A$2:$A$150,0),MATCH(A3712,tab_tipo_Combustivel!$B$1:$AQ$1,0),1,1)</f>
        <v>1329.7</v>
      </c>
    </row>
    <row r="3713" spans="1:3">
      <c r="A3713" s="3">
        <f t="shared" si="110"/>
        <v>2039</v>
      </c>
      <c r="B3713" s="106">
        <f t="shared" si="111"/>
        <v>226</v>
      </c>
      <c r="C3713" s="107">
        <f ca="1">OFFSET(tab_tipo_Combustivel!$A$1,MATCH(B3713,tab_tipo_Combustivel!$A$2:$A$150,0),MATCH(A3713,tab_tipo_Combustivel!$B$1:$AQ$1,0),1,1)</f>
        <v>1061.1300000000001</v>
      </c>
    </row>
    <row r="3714" spans="1:3">
      <c r="A3714" s="3">
        <f t="shared" si="110"/>
        <v>2039</v>
      </c>
      <c r="B3714" s="106">
        <f t="shared" si="111"/>
        <v>227</v>
      </c>
      <c r="C3714" s="107">
        <f ca="1">OFFSET(tab_tipo_Combustivel!$A$1,MATCH(B3714,tab_tipo_Combustivel!$A$2:$A$150,0),MATCH(A3714,tab_tipo_Combustivel!$B$1:$AQ$1,0),1,1)</f>
        <v>447.52</v>
      </c>
    </row>
    <row r="3715" spans="1:3">
      <c r="A3715" s="3">
        <f t="shared" si="110"/>
        <v>2039</v>
      </c>
      <c r="B3715" s="106">
        <f t="shared" si="111"/>
        <v>228</v>
      </c>
      <c r="C3715" s="107">
        <f ca="1">OFFSET(tab_tipo_Combustivel!$A$1,MATCH(B3715,tab_tipo_Combustivel!$A$2:$A$150,0),MATCH(A3715,tab_tipo_Combustivel!$B$1:$AQ$1,0),1,1)</f>
        <v>1061.1400000000001</v>
      </c>
    </row>
    <row r="3716" spans="1:3">
      <c r="A3716" s="3">
        <f t="shared" si="110"/>
        <v>2039</v>
      </c>
      <c r="B3716" s="106">
        <f t="shared" si="111"/>
        <v>229</v>
      </c>
      <c r="C3716" s="107">
        <f ca="1">OFFSET(tab_tipo_Combustivel!$A$1,MATCH(B3716,tab_tipo_Combustivel!$A$2:$A$150,0),MATCH(A3716,tab_tipo_Combustivel!$B$1:$AQ$1,0),1,1)</f>
        <v>942.05</v>
      </c>
    </row>
    <row r="3717" spans="1:3">
      <c r="A3717" s="3">
        <f t="shared" si="110"/>
        <v>2039</v>
      </c>
      <c r="B3717" s="106">
        <f t="shared" si="111"/>
        <v>230</v>
      </c>
      <c r="C3717" s="107">
        <f ca="1">OFFSET(tab_tipo_Combustivel!$A$1,MATCH(B3717,tab_tipo_Combustivel!$A$2:$A$150,0),MATCH(A3717,tab_tipo_Combustivel!$B$1:$AQ$1,0),1,1)</f>
        <v>495.06</v>
      </c>
    </row>
    <row r="3718" spans="1:3">
      <c r="A3718" s="3">
        <f t="shared" si="110"/>
        <v>2039</v>
      </c>
      <c r="B3718" s="106">
        <f t="shared" si="111"/>
        <v>231</v>
      </c>
      <c r="C3718" s="107">
        <f ca="1">OFFSET(tab_tipo_Combustivel!$A$1,MATCH(B3718,tab_tipo_Combustivel!$A$2:$A$150,0),MATCH(A3718,tab_tipo_Combustivel!$B$1:$AQ$1,0),1,1)</f>
        <v>489.29</v>
      </c>
    </row>
    <row r="3719" spans="1:3">
      <c r="A3719" s="3">
        <f t="shared" si="110"/>
        <v>2039</v>
      </c>
      <c r="B3719" s="106">
        <f t="shared" si="111"/>
        <v>232</v>
      </c>
      <c r="C3719" s="107">
        <f ca="1">OFFSET(tab_tipo_Combustivel!$A$1,MATCH(B3719,tab_tipo_Combustivel!$A$2:$A$150,0),MATCH(A3719,tab_tipo_Combustivel!$B$1:$AQ$1,0),1,1)</f>
        <v>842.33</v>
      </c>
    </row>
    <row r="3720" spans="1:3">
      <c r="A3720" s="3">
        <f t="shared" si="110"/>
        <v>2039</v>
      </c>
      <c r="B3720" s="106">
        <f t="shared" si="111"/>
        <v>233</v>
      </c>
      <c r="C3720" s="107">
        <f ca="1">OFFSET(tab_tipo_Combustivel!$A$1,MATCH(B3720,tab_tipo_Combustivel!$A$2:$A$150,0),MATCH(A3720,tab_tipo_Combustivel!$B$1:$AQ$1,0),1,1)</f>
        <v>984.29</v>
      </c>
    </row>
    <row r="3721" spans="1:3">
      <c r="A3721" s="3">
        <f t="shared" si="110"/>
        <v>2039</v>
      </c>
      <c r="B3721" s="106">
        <f t="shared" si="111"/>
        <v>234</v>
      </c>
      <c r="C3721" s="107">
        <f ca="1">OFFSET(tab_tipo_Combustivel!$A$1,MATCH(B3721,tab_tipo_Combustivel!$A$2:$A$150,0),MATCH(A3721,tab_tipo_Combustivel!$B$1:$AQ$1,0),1,1)</f>
        <v>290.26</v>
      </c>
    </row>
    <row r="3722" spans="1:3">
      <c r="A3722" s="3">
        <f t="shared" ref="A3722:A3785" si="112">A3587+1</f>
        <v>2039</v>
      </c>
      <c r="B3722" s="106">
        <f t="shared" ref="B3722:B3785" si="113">B3587</f>
        <v>235</v>
      </c>
      <c r="C3722" s="107">
        <f ca="1">OFFSET(tab_tipo_Combustivel!$A$1,MATCH(B3722,tab_tipo_Combustivel!$A$2:$A$150,0),MATCH(A3722,tab_tipo_Combustivel!$B$1:$AQ$1,0),1,1)</f>
        <v>1350.87</v>
      </c>
    </row>
    <row r="3723" spans="1:3">
      <c r="A3723" s="3">
        <f t="shared" si="112"/>
        <v>2039</v>
      </c>
      <c r="B3723" s="106">
        <f t="shared" si="113"/>
        <v>236</v>
      </c>
      <c r="C3723" s="107">
        <f ca="1">OFFSET(tab_tipo_Combustivel!$A$1,MATCH(B3723,tab_tipo_Combustivel!$A$2:$A$150,0),MATCH(A3723,tab_tipo_Combustivel!$B$1:$AQ$1,0),1,1)</f>
        <v>842.33</v>
      </c>
    </row>
    <row r="3724" spans="1:3">
      <c r="A3724" s="3">
        <f t="shared" si="112"/>
        <v>2039</v>
      </c>
      <c r="B3724" s="106">
        <f t="shared" si="113"/>
        <v>237</v>
      </c>
      <c r="C3724" s="107">
        <f ca="1">OFFSET(tab_tipo_Combustivel!$A$1,MATCH(B3724,tab_tipo_Combustivel!$A$2:$A$150,0),MATCH(A3724,tab_tipo_Combustivel!$B$1:$AQ$1,0),1,1)</f>
        <v>760.85</v>
      </c>
    </row>
    <row r="3725" spans="1:3">
      <c r="A3725" s="3">
        <f t="shared" si="112"/>
        <v>2039</v>
      </c>
      <c r="B3725" s="106">
        <f t="shared" si="113"/>
        <v>238</v>
      </c>
      <c r="C3725" s="107">
        <f ca="1">OFFSET(tab_tipo_Combustivel!$A$1,MATCH(B3725,tab_tipo_Combustivel!$A$2:$A$150,0),MATCH(A3725,tab_tipo_Combustivel!$B$1:$AQ$1,0),1,1)</f>
        <v>963.75</v>
      </c>
    </row>
    <row r="3726" spans="1:3">
      <c r="A3726" s="3">
        <f t="shared" si="112"/>
        <v>2039</v>
      </c>
      <c r="B3726" s="106">
        <f t="shared" si="113"/>
        <v>239</v>
      </c>
      <c r="C3726" s="107">
        <f ca="1">OFFSET(tab_tipo_Combustivel!$A$1,MATCH(B3726,tab_tipo_Combustivel!$A$2:$A$150,0),MATCH(A3726,tab_tipo_Combustivel!$B$1:$AQ$1,0),1,1)</f>
        <v>963.75</v>
      </c>
    </row>
    <row r="3727" spans="1:3">
      <c r="A3727" s="3">
        <f t="shared" si="112"/>
        <v>2039</v>
      </c>
      <c r="B3727" s="106">
        <f t="shared" si="113"/>
        <v>240</v>
      </c>
      <c r="C3727" s="107">
        <f ca="1">OFFSET(tab_tipo_Combustivel!$A$1,MATCH(B3727,tab_tipo_Combustivel!$A$2:$A$150,0),MATCH(A3727,tab_tipo_Combustivel!$B$1:$AQ$1,0),1,1)</f>
        <v>1115.96</v>
      </c>
    </row>
    <row r="3728" spans="1:3">
      <c r="A3728" s="3">
        <f t="shared" si="112"/>
        <v>2039</v>
      </c>
      <c r="B3728" s="106">
        <f t="shared" si="113"/>
        <v>241</v>
      </c>
      <c r="C3728" s="107">
        <f ca="1">OFFSET(tab_tipo_Combustivel!$A$1,MATCH(B3728,tab_tipo_Combustivel!$A$2:$A$150,0),MATCH(A3728,tab_tipo_Combustivel!$B$1:$AQ$1,0),1,1)</f>
        <v>495.75</v>
      </c>
    </row>
    <row r="3729" spans="1:3">
      <c r="A3729" s="3">
        <f t="shared" si="112"/>
        <v>2039</v>
      </c>
      <c r="B3729" s="106">
        <f t="shared" si="113"/>
        <v>242</v>
      </c>
      <c r="C3729" s="107">
        <f ca="1">OFFSET(tab_tipo_Combustivel!$A$1,MATCH(B3729,tab_tipo_Combustivel!$A$2:$A$150,0),MATCH(A3729,tab_tipo_Combustivel!$B$1:$AQ$1,0),1,1)</f>
        <v>1176.45</v>
      </c>
    </row>
    <row r="3730" spans="1:3">
      <c r="A3730" s="3">
        <f t="shared" si="112"/>
        <v>2039</v>
      </c>
      <c r="B3730" s="106">
        <f t="shared" si="113"/>
        <v>243</v>
      </c>
      <c r="C3730" s="107">
        <f ca="1">OFFSET(tab_tipo_Combustivel!$A$1,MATCH(B3730,tab_tipo_Combustivel!$A$2:$A$150,0),MATCH(A3730,tab_tipo_Combustivel!$B$1:$AQ$1,0),1,1)</f>
        <v>495.08</v>
      </c>
    </row>
    <row r="3731" spans="1:3">
      <c r="A3731" s="3">
        <f t="shared" si="112"/>
        <v>2039</v>
      </c>
      <c r="B3731" s="106">
        <f t="shared" si="113"/>
        <v>244</v>
      </c>
      <c r="C3731" s="107">
        <f ca="1">OFFSET(tab_tipo_Combustivel!$A$1,MATCH(B3731,tab_tipo_Combustivel!$A$2:$A$150,0),MATCH(A3731,tab_tipo_Combustivel!$B$1:$AQ$1,0),1,1)</f>
        <v>495.06</v>
      </c>
    </row>
    <row r="3732" spans="1:3">
      <c r="A3732" s="3">
        <f t="shared" si="112"/>
        <v>2039</v>
      </c>
      <c r="B3732" s="106">
        <f t="shared" si="113"/>
        <v>245</v>
      </c>
      <c r="C3732" s="107">
        <f ca="1">OFFSET(tab_tipo_Combustivel!$A$1,MATCH(B3732,tab_tipo_Combustivel!$A$2:$A$150,0),MATCH(A3732,tab_tipo_Combustivel!$B$1:$AQ$1,0),1,1)</f>
        <v>562.65</v>
      </c>
    </row>
    <row r="3733" spans="1:3">
      <c r="A3733" s="3">
        <f t="shared" si="112"/>
        <v>2039</v>
      </c>
      <c r="B3733" s="106">
        <f t="shared" si="113"/>
        <v>246</v>
      </c>
      <c r="C3733" s="107">
        <f ca="1">OFFSET(tab_tipo_Combustivel!$A$1,MATCH(B3733,tab_tipo_Combustivel!$A$2:$A$150,0),MATCH(A3733,tab_tipo_Combustivel!$B$1:$AQ$1,0),1,1)</f>
        <v>1124.53</v>
      </c>
    </row>
    <row r="3734" spans="1:3">
      <c r="A3734" s="3">
        <f t="shared" si="112"/>
        <v>2039</v>
      </c>
      <c r="B3734" s="106">
        <f t="shared" si="113"/>
        <v>247</v>
      </c>
      <c r="C3734" s="107">
        <f ca="1">OFFSET(tab_tipo_Combustivel!$A$1,MATCH(B3734,tab_tipo_Combustivel!$A$2:$A$150,0),MATCH(A3734,tab_tipo_Combustivel!$B$1:$AQ$1,0),1,1)</f>
        <v>609.51</v>
      </c>
    </row>
    <row r="3735" spans="1:3">
      <c r="A3735" s="3">
        <f t="shared" si="112"/>
        <v>2039</v>
      </c>
      <c r="B3735" s="106">
        <f t="shared" si="113"/>
        <v>248</v>
      </c>
      <c r="C3735" s="107">
        <f ca="1">OFFSET(tab_tipo_Combustivel!$A$1,MATCH(B3735,tab_tipo_Combustivel!$A$2:$A$150,0),MATCH(A3735,tab_tipo_Combustivel!$B$1:$AQ$1,0),1,1)</f>
        <v>495.06</v>
      </c>
    </row>
    <row r="3736" spans="1:3">
      <c r="A3736" s="3">
        <f t="shared" si="112"/>
        <v>2039</v>
      </c>
      <c r="B3736" s="106">
        <f t="shared" si="113"/>
        <v>249</v>
      </c>
      <c r="C3736" s="107">
        <f ca="1">OFFSET(tab_tipo_Combustivel!$A$1,MATCH(B3736,tab_tipo_Combustivel!$A$2:$A$150,0),MATCH(A3736,tab_tipo_Combustivel!$B$1:$AQ$1,0),1,1)</f>
        <v>842.33</v>
      </c>
    </row>
    <row r="3737" spans="1:3">
      <c r="A3737" s="3">
        <f t="shared" si="112"/>
        <v>2039</v>
      </c>
      <c r="B3737" s="106">
        <f t="shared" si="113"/>
        <v>250</v>
      </c>
      <c r="C3737" s="107">
        <f ca="1">OFFSET(tab_tipo_Combustivel!$A$1,MATCH(B3737,tab_tipo_Combustivel!$A$2:$A$150,0),MATCH(A3737,tab_tipo_Combustivel!$B$1:$AQ$1,0),1,1)</f>
        <v>1176.45</v>
      </c>
    </row>
    <row r="3738" spans="1:3">
      <c r="A3738" s="3">
        <f t="shared" si="112"/>
        <v>2039</v>
      </c>
      <c r="B3738" s="106">
        <f t="shared" si="113"/>
        <v>251</v>
      </c>
      <c r="C3738" s="107">
        <f ca="1">OFFSET(tab_tipo_Combustivel!$A$1,MATCH(B3738,tab_tipo_Combustivel!$A$2:$A$150,0),MATCH(A3738,tab_tipo_Combustivel!$B$1:$AQ$1,0),1,1)</f>
        <v>842.33</v>
      </c>
    </row>
    <row r="3739" spans="1:3">
      <c r="A3739" s="3">
        <f t="shared" si="112"/>
        <v>2039</v>
      </c>
      <c r="B3739" s="106">
        <f t="shared" si="113"/>
        <v>252</v>
      </c>
      <c r="C3739" s="107">
        <f ca="1">OFFSET(tab_tipo_Combustivel!$A$1,MATCH(B3739,tab_tipo_Combustivel!$A$2:$A$150,0),MATCH(A3739,tab_tipo_Combustivel!$B$1:$AQ$1,0),1,1)</f>
        <v>842.33</v>
      </c>
    </row>
    <row r="3740" spans="1:3">
      <c r="A3740" s="3">
        <f t="shared" si="112"/>
        <v>2039</v>
      </c>
      <c r="B3740" s="106">
        <f t="shared" si="113"/>
        <v>253</v>
      </c>
      <c r="C3740" s="107">
        <f ca="1">OFFSET(tab_tipo_Combustivel!$A$1,MATCH(B3740,tab_tipo_Combustivel!$A$2:$A$150,0),MATCH(A3740,tab_tipo_Combustivel!$B$1:$AQ$1,0),1,1)</f>
        <v>279.45</v>
      </c>
    </row>
    <row r="3741" spans="1:3">
      <c r="A3741" s="3">
        <f t="shared" si="112"/>
        <v>2039</v>
      </c>
      <c r="B3741" s="106">
        <f t="shared" si="113"/>
        <v>254</v>
      </c>
      <c r="C3741" s="107">
        <f ca="1">OFFSET(tab_tipo_Combustivel!$A$1,MATCH(B3741,tab_tipo_Combustivel!$A$2:$A$150,0),MATCH(A3741,tab_tipo_Combustivel!$B$1:$AQ$1,0),1,1)</f>
        <v>1153.98</v>
      </c>
    </row>
    <row r="3742" spans="1:3">
      <c r="A3742" s="3">
        <f t="shared" si="112"/>
        <v>2039</v>
      </c>
      <c r="B3742" s="106">
        <f t="shared" si="113"/>
        <v>255</v>
      </c>
      <c r="C3742" s="107">
        <f ca="1">OFFSET(tab_tipo_Combustivel!$A$1,MATCH(B3742,tab_tipo_Combustivel!$A$2:$A$150,0),MATCH(A3742,tab_tipo_Combustivel!$B$1:$AQ$1,0),1,1)</f>
        <v>828.98</v>
      </c>
    </row>
    <row r="3743" spans="1:3">
      <c r="A3743" s="3">
        <f t="shared" si="112"/>
        <v>2039</v>
      </c>
      <c r="B3743" s="106">
        <f t="shared" si="113"/>
        <v>256</v>
      </c>
      <c r="C3743" s="107">
        <f ca="1">OFFSET(tab_tipo_Combustivel!$A$1,MATCH(B3743,tab_tipo_Combustivel!$A$2:$A$150,0),MATCH(A3743,tab_tipo_Combustivel!$B$1:$AQ$1,0),1,1)</f>
        <v>562.65</v>
      </c>
    </row>
    <row r="3744" spans="1:3">
      <c r="A3744" s="3">
        <f t="shared" si="112"/>
        <v>2039</v>
      </c>
      <c r="B3744" s="106">
        <f t="shared" si="113"/>
        <v>257</v>
      </c>
      <c r="C3744" s="107">
        <f ca="1">OFFSET(tab_tipo_Combustivel!$A$1,MATCH(B3744,tab_tipo_Combustivel!$A$2:$A$150,0),MATCH(A3744,tab_tipo_Combustivel!$B$1:$AQ$1,0),1,1)</f>
        <v>907.52</v>
      </c>
    </row>
    <row r="3745" spans="1:3">
      <c r="A3745" s="3">
        <f t="shared" si="112"/>
        <v>2039</v>
      </c>
      <c r="B3745" s="106">
        <f t="shared" si="113"/>
        <v>258</v>
      </c>
      <c r="C3745" s="107">
        <f ca="1">OFFSET(tab_tipo_Combustivel!$A$1,MATCH(B3745,tab_tipo_Combustivel!$A$2:$A$150,0),MATCH(A3745,tab_tipo_Combustivel!$B$1:$AQ$1,0),1,1)</f>
        <v>1016.04</v>
      </c>
    </row>
    <row r="3746" spans="1:3">
      <c r="A3746" s="3">
        <f t="shared" si="112"/>
        <v>2039</v>
      </c>
      <c r="B3746" s="106">
        <f t="shared" si="113"/>
        <v>259</v>
      </c>
      <c r="C3746" s="107">
        <f ca="1">OFFSET(tab_tipo_Combustivel!$A$1,MATCH(B3746,tab_tipo_Combustivel!$A$2:$A$150,0),MATCH(A3746,tab_tipo_Combustivel!$B$1:$AQ$1,0),1,1)</f>
        <v>977.53</v>
      </c>
    </row>
    <row r="3747" spans="1:3">
      <c r="A3747" s="3">
        <f t="shared" si="112"/>
        <v>2039</v>
      </c>
      <c r="B3747" s="106">
        <f t="shared" si="113"/>
        <v>260</v>
      </c>
      <c r="C3747" s="107">
        <f ca="1">OFFSET(tab_tipo_Combustivel!$A$1,MATCH(B3747,tab_tipo_Combustivel!$A$2:$A$150,0),MATCH(A3747,tab_tipo_Combustivel!$B$1:$AQ$1,0),1,1)</f>
        <v>827.17</v>
      </c>
    </row>
    <row r="3748" spans="1:3">
      <c r="A3748" s="3">
        <f t="shared" si="112"/>
        <v>2039</v>
      </c>
      <c r="B3748" s="106">
        <f t="shared" si="113"/>
        <v>261</v>
      </c>
      <c r="C3748" s="107">
        <f ca="1">OFFSET(tab_tipo_Combustivel!$A$1,MATCH(B3748,tab_tipo_Combustivel!$A$2:$A$150,0),MATCH(A3748,tab_tipo_Combustivel!$B$1:$AQ$1,0),1,1)</f>
        <v>829.7</v>
      </c>
    </row>
    <row r="3749" spans="1:3">
      <c r="A3749" s="3">
        <f t="shared" si="112"/>
        <v>2039</v>
      </c>
      <c r="B3749" s="106">
        <f t="shared" si="113"/>
        <v>262</v>
      </c>
      <c r="C3749" s="107">
        <f ca="1">OFFSET(tab_tipo_Combustivel!$A$1,MATCH(B3749,tab_tipo_Combustivel!$A$2:$A$150,0),MATCH(A3749,tab_tipo_Combustivel!$B$1:$AQ$1,0),1,1)</f>
        <v>495.75</v>
      </c>
    </row>
    <row r="3750" spans="1:3">
      <c r="A3750" s="3">
        <f t="shared" si="112"/>
        <v>2039</v>
      </c>
      <c r="B3750" s="106">
        <f t="shared" si="113"/>
        <v>263</v>
      </c>
      <c r="C3750" s="107">
        <f ca="1">OFFSET(tab_tipo_Combustivel!$A$1,MATCH(B3750,tab_tipo_Combustivel!$A$2:$A$150,0),MATCH(A3750,tab_tipo_Combustivel!$B$1:$AQ$1,0),1,1)</f>
        <v>474.77</v>
      </c>
    </row>
    <row r="3751" spans="1:3">
      <c r="A3751" s="3">
        <f t="shared" si="112"/>
        <v>2039</v>
      </c>
      <c r="B3751" s="106">
        <f t="shared" si="113"/>
        <v>264</v>
      </c>
      <c r="C3751" s="107">
        <f ca="1">OFFSET(tab_tipo_Combustivel!$A$1,MATCH(B3751,tab_tipo_Combustivel!$A$2:$A$150,0),MATCH(A3751,tab_tipo_Combustivel!$B$1:$AQ$1,0),1,1)</f>
        <v>842.33</v>
      </c>
    </row>
    <row r="3752" spans="1:3">
      <c r="A3752" s="3">
        <f t="shared" si="112"/>
        <v>2039</v>
      </c>
      <c r="B3752" s="106">
        <f t="shared" si="113"/>
        <v>265</v>
      </c>
      <c r="C3752" s="107">
        <f ca="1">OFFSET(tab_tipo_Combustivel!$A$1,MATCH(B3752,tab_tipo_Combustivel!$A$2:$A$150,0),MATCH(A3752,tab_tipo_Combustivel!$B$1:$AQ$1,0),1,1)</f>
        <v>415.82</v>
      </c>
    </row>
    <row r="3753" spans="1:3">
      <c r="A3753" s="3">
        <f t="shared" si="112"/>
        <v>2039</v>
      </c>
      <c r="B3753" s="106">
        <f t="shared" si="113"/>
        <v>266</v>
      </c>
      <c r="C3753" s="107">
        <f ca="1">OFFSET(tab_tipo_Combustivel!$A$1,MATCH(B3753,tab_tipo_Combustivel!$A$2:$A$150,0),MATCH(A3753,tab_tipo_Combustivel!$B$1:$AQ$1,0),1,1)</f>
        <v>827.17</v>
      </c>
    </row>
    <row r="3754" spans="1:3">
      <c r="A3754" s="3">
        <f t="shared" si="112"/>
        <v>2039</v>
      </c>
      <c r="B3754" s="106">
        <f t="shared" si="113"/>
        <v>301</v>
      </c>
      <c r="C3754" s="107">
        <f ca="1">OFFSET(tab_tipo_Combustivel!$A$1,MATCH(B3754,tab_tipo_Combustivel!$A$2:$A$150,0),MATCH(A3754,tab_tipo_Combustivel!$B$1:$AQ$1,0),1,1)</f>
        <v>99.08</v>
      </c>
    </row>
    <row r="3755" spans="1:3">
      <c r="A3755" s="3">
        <f t="shared" si="112"/>
        <v>2039</v>
      </c>
      <c r="B3755" s="106">
        <f t="shared" si="113"/>
        <v>302</v>
      </c>
      <c r="C3755" s="107">
        <f ca="1">OFFSET(tab_tipo_Combustivel!$A$1,MATCH(B3755,tab_tipo_Combustivel!$A$2:$A$150,0),MATCH(A3755,tab_tipo_Combustivel!$B$1:$AQ$1,0),1,1)</f>
        <v>103.73</v>
      </c>
    </row>
    <row r="3756" spans="1:3">
      <c r="A3756" s="3">
        <f t="shared" si="112"/>
        <v>2039</v>
      </c>
      <c r="B3756" s="106">
        <f t="shared" si="113"/>
        <v>303</v>
      </c>
      <c r="C3756" s="107">
        <f ca="1">OFFSET(tab_tipo_Combustivel!$A$1,MATCH(B3756,tab_tipo_Combustivel!$A$2:$A$150,0),MATCH(A3756,tab_tipo_Combustivel!$B$1:$AQ$1,0),1,1)</f>
        <v>103.73</v>
      </c>
    </row>
    <row r="3757" spans="1:3">
      <c r="A3757" s="3">
        <f t="shared" si="112"/>
        <v>2039</v>
      </c>
      <c r="B3757" s="106">
        <f t="shared" si="113"/>
        <v>304</v>
      </c>
      <c r="C3757" s="107">
        <f ca="1">OFFSET(tab_tipo_Combustivel!$A$1,MATCH(B3757,tab_tipo_Combustivel!$A$2:$A$150,0),MATCH(A3757,tab_tipo_Combustivel!$B$1:$AQ$1,0),1,1)</f>
        <v>139.41999999999999</v>
      </c>
    </row>
    <row r="3758" spans="1:3">
      <c r="A3758" s="3">
        <f t="shared" si="112"/>
        <v>2039</v>
      </c>
      <c r="B3758" s="106">
        <f t="shared" si="113"/>
        <v>305</v>
      </c>
      <c r="C3758" s="107">
        <f ca="1">OFFSET(tab_tipo_Combustivel!$A$1,MATCH(B3758,tab_tipo_Combustivel!$A$2:$A$150,0),MATCH(A3758,tab_tipo_Combustivel!$B$1:$AQ$1,0),1,1)</f>
        <v>89.7</v>
      </c>
    </row>
    <row r="3759" spans="1:3">
      <c r="A3759" s="3">
        <f t="shared" si="112"/>
        <v>2039</v>
      </c>
      <c r="B3759" s="106">
        <f t="shared" si="113"/>
        <v>306</v>
      </c>
      <c r="C3759" s="107">
        <f ca="1">OFFSET(tab_tipo_Combustivel!$A$1,MATCH(B3759,tab_tipo_Combustivel!$A$2:$A$150,0),MATCH(A3759,tab_tipo_Combustivel!$B$1:$AQ$1,0),1,1)</f>
        <v>100.38</v>
      </c>
    </row>
    <row r="3760" spans="1:3">
      <c r="A3760" s="3">
        <f t="shared" si="112"/>
        <v>2039</v>
      </c>
      <c r="B3760" s="106">
        <f t="shared" si="113"/>
        <v>307</v>
      </c>
      <c r="C3760" s="107">
        <f ca="1">OFFSET(tab_tipo_Combustivel!$A$1,MATCH(B3760,tab_tipo_Combustivel!$A$2:$A$150,0),MATCH(A3760,tab_tipo_Combustivel!$B$1:$AQ$1,0),1,1)</f>
        <v>510.12</v>
      </c>
    </row>
    <row r="3761" spans="1:3">
      <c r="A3761" s="3">
        <f t="shared" si="112"/>
        <v>2039</v>
      </c>
      <c r="B3761" s="106">
        <f t="shared" si="113"/>
        <v>308</v>
      </c>
      <c r="C3761" s="107">
        <f ca="1">OFFSET(tab_tipo_Combustivel!$A$1,MATCH(B3761,tab_tipo_Combustivel!$A$2:$A$150,0),MATCH(A3761,tab_tipo_Combustivel!$B$1:$AQ$1,0),1,1)</f>
        <v>72.5</v>
      </c>
    </row>
    <row r="3762" spans="1:3">
      <c r="A3762" s="3">
        <f t="shared" si="112"/>
        <v>2039</v>
      </c>
      <c r="B3762" s="106">
        <f t="shared" si="113"/>
        <v>309</v>
      </c>
      <c r="C3762" s="107">
        <f ca="1">OFFSET(tab_tipo_Combustivel!$A$1,MATCH(B3762,tab_tipo_Combustivel!$A$2:$A$150,0),MATCH(A3762,tab_tipo_Combustivel!$B$1:$AQ$1,0),1,1)</f>
        <v>126.77</v>
      </c>
    </row>
    <row r="3763" spans="1:3">
      <c r="A3763" s="3">
        <f t="shared" si="112"/>
        <v>2039</v>
      </c>
      <c r="B3763" s="106">
        <f t="shared" si="113"/>
        <v>310</v>
      </c>
      <c r="C3763" s="107">
        <f ca="1">OFFSET(tab_tipo_Combustivel!$A$1,MATCH(B3763,tab_tipo_Combustivel!$A$2:$A$150,0),MATCH(A3763,tab_tipo_Combustivel!$B$1:$AQ$1,0),1,1)</f>
        <v>275.99</v>
      </c>
    </row>
    <row r="3764" spans="1:3">
      <c r="A3764" s="3">
        <f t="shared" si="112"/>
        <v>2039</v>
      </c>
      <c r="B3764" s="106">
        <f t="shared" si="113"/>
        <v>311</v>
      </c>
      <c r="C3764" s="107">
        <f ca="1">OFFSET(tab_tipo_Combustivel!$A$1,MATCH(B3764,tab_tipo_Combustivel!$A$2:$A$150,0),MATCH(A3764,tab_tipo_Combustivel!$B$1:$AQ$1,0),1,1)</f>
        <v>70.66</v>
      </c>
    </row>
    <row r="3765" spans="1:3">
      <c r="A3765" s="3">
        <f t="shared" si="112"/>
        <v>2039</v>
      </c>
      <c r="B3765" s="106">
        <f t="shared" si="113"/>
        <v>312</v>
      </c>
      <c r="C3765" s="107">
        <f ca="1">OFFSET(tab_tipo_Combustivel!$A$1,MATCH(B3765,tab_tipo_Combustivel!$A$2:$A$150,0),MATCH(A3765,tab_tipo_Combustivel!$B$1:$AQ$1,0),1,1)</f>
        <v>0</v>
      </c>
    </row>
    <row r="3766" spans="1:3">
      <c r="A3766" s="3">
        <f t="shared" si="112"/>
        <v>2039</v>
      </c>
      <c r="B3766" s="106">
        <f t="shared" si="113"/>
        <v>1301</v>
      </c>
      <c r="C3766" s="107">
        <f ca="1">OFFSET(tab_tipo_Combustivel!$A$1,MATCH(B3766,tab_tipo_Combustivel!$A$2:$A$150,0),MATCH(A3766,tab_tipo_Combustivel!$B$1:$AQ$1,0),1,1)</f>
        <v>242.05</v>
      </c>
    </row>
    <row r="3767" spans="1:3">
      <c r="A3767" s="3">
        <f t="shared" si="112"/>
        <v>2039</v>
      </c>
      <c r="B3767" s="106">
        <f t="shared" si="113"/>
        <v>1302</v>
      </c>
      <c r="C3767" s="107">
        <f ca="1">OFFSET(tab_tipo_Combustivel!$A$1,MATCH(B3767,tab_tipo_Combustivel!$A$2:$A$150,0),MATCH(A3767,tab_tipo_Combustivel!$B$1:$AQ$1,0),1,1)</f>
        <v>193.64</v>
      </c>
    </row>
    <row r="3768" spans="1:3">
      <c r="A3768" s="3">
        <f t="shared" si="112"/>
        <v>2039</v>
      </c>
      <c r="B3768" s="106">
        <f t="shared" si="113"/>
        <v>1303</v>
      </c>
      <c r="C3768" s="107">
        <f ca="1">OFFSET(tab_tipo_Combustivel!$A$1,MATCH(B3768,tab_tipo_Combustivel!$A$2:$A$150,0),MATCH(A3768,tab_tipo_Combustivel!$B$1:$AQ$1,0),1,1)</f>
        <v>25.58</v>
      </c>
    </row>
    <row r="3769" spans="1:3">
      <c r="A3769" s="3">
        <f t="shared" si="112"/>
        <v>2039</v>
      </c>
      <c r="B3769" s="106">
        <f t="shared" si="113"/>
        <v>1304</v>
      </c>
      <c r="C3769" s="107">
        <f ca="1">OFFSET(tab_tipo_Combustivel!$A$1,MATCH(B3769,tab_tipo_Combustivel!$A$2:$A$150,0),MATCH(A3769,tab_tipo_Combustivel!$B$1:$AQ$1,0),1,1)</f>
        <v>0</v>
      </c>
    </row>
    <row r="3770" spans="1:3">
      <c r="A3770" s="3">
        <f t="shared" si="112"/>
        <v>2039</v>
      </c>
      <c r="B3770" s="106">
        <f t="shared" si="113"/>
        <v>1315</v>
      </c>
      <c r="C3770" s="107">
        <f ca="1">OFFSET(tab_tipo_Combustivel!$A$1,MATCH(B3770,tab_tipo_Combustivel!$A$2:$A$150,0),MATCH(A3770,tab_tipo_Combustivel!$B$1:$AQ$1,0),1,1)</f>
        <v>0</v>
      </c>
    </row>
    <row r="3771" spans="1:3">
      <c r="A3771" s="3">
        <f t="shared" si="112"/>
        <v>2039</v>
      </c>
      <c r="B3771" s="106">
        <f t="shared" si="113"/>
        <v>1316</v>
      </c>
      <c r="C3771" s="107">
        <f ca="1">OFFSET(tab_tipo_Combustivel!$A$1,MATCH(B3771,tab_tipo_Combustivel!$A$2:$A$150,0),MATCH(A3771,tab_tipo_Combustivel!$B$1:$AQ$1,0),1,1)</f>
        <v>0</v>
      </c>
    </row>
    <row r="3772" spans="1:3">
      <c r="A3772" s="3">
        <f t="shared" si="112"/>
        <v>2039</v>
      </c>
      <c r="B3772" s="106">
        <f t="shared" si="113"/>
        <v>1318</v>
      </c>
      <c r="C3772" s="107">
        <f ca="1">OFFSET(tab_tipo_Combustivel!$A$1,MATCH(B3772,tab_tipo_Combustivel!$A$2:$A$150,0),MATCH(A3772,tab_tipo_Combustivel!$B$1:$AQ$1,0),1,1)</f>
        <v>150</v>
      </c>
    </row>
    <row r="3773" spans="1:3">
      <c r="A3773" s="3">
        <f t="shared" si="112"/>
        <v>2039</v>
      </c>
      <c r="B3773" s="106">
        <f t="shared" si="113"/>
        <v>1321</v>
      </c>
      <c r="C3773" s="107">
        <f ca="1">OFFSET(tab_tipo_Combustivel!$A$1,MATCH(B3773,tab_tipo_Combustivel!$A$2:$A$150,0),MATCH(A3773,tab_tipo_Combustivel!$B$1:$AQ$1,0),1,1)</f>
        <v>85</v>
      </c>
    </row>
    <row r="3774" spans="1:3">
      <c r="A3774" s="3">
        <f t="shared" si="112"/>
        <v>2039</v>
      </c>
      <c r="B3774" s="106">
        <f t="shared" si="113"/>
        <v>1322</v>
      </c>
      <c r="C3774" s="107">
        <f ca="1">OFFSET(tab_tipo_Combustivel!$A$1,MATCH(B3774,tab_tipo_Combustivel!$A$2:$A$150,0),MATCH(A3774,tab_tipo_Combustivel!$B$1:$AQ$1,0),1,1)</f>
        <v>140</v>
      </c>
    </row>
    <row r="3775" spans="1:3">
      <c r="A3775" s="3">
        <f t="shared" si="112"/>
        <v>2039</v>
      </c>
      <c r="B3775" s="106">
        <f t="shared" si="113"/>
        <v>1323</v>
      </c>
      <c r="C3775" s="107">
        <f ca="1">OFFSET(tab_tipo_Combustivel!$A$1,MATCH(B3775,tab_tipo_Combustivel!$A$2:$A$150,0),MATCH(A3775,tab_tipo_Combustivel!$B$1:$AQ$1,0),1,1)</f>
        <v>63.75</v>
      </c>
    </row>
    <row r="3776" spans="1:3">
      <c r="A3776" s="3">
        <f t="shared" si="112"/>
        <v>2039</v>
      </c>
      <c r="B3776" s="106">
        <f t="shared" si="113"/>
        <v>1325</v>
      </c>
      <c r="C3776" s="107">
        <f ca="1">OFFSET(tab_tipo_Combustivel!$A$1,MATCH(B3776,tab_tipo_Combustivel!$A$2:$A$150,0),MATCH(A3776,tab_tipo_Combustivel!$B$1:$AQ$1,0),1,1)</f>
        <v>0</v>
      </c>
    </row>
    <row r="3777" spans="1:3">
      <c r="A3777" s="3">
        <f t="shared" si="112"/>
        <v>2039</v>
      </c>
      <c r="B3777" s="106">
        <f t="shared" si="113"/>
        <v>1326</v>
      </c>
      <c r="C3777" s="107">
        <f ca="1">OFFSET(tab_tipo_Combustivel!$A$1,MATCH(B3777,tab_tipo_Combustivel!$A$2:$A$150,0),MATCH(A3777,tab_tipo_Combustivel!$B$1:$AQ$1,0),1,1)</f>
        <v>260</v>
      </c>
    </row>
    <row r="3778" spans="1:3">
      <c r="A3778" s="3">
        <f t="shared" si="112"/>
        <v>2039</v>
      </c>
      <c r="B3778" s="106">
        <f t="shared" si="113"/>
        <v>1501</v>
      </c>
      <c r="C3778" s="107">
        <f ca="1">OFFSET(tab_tipo_Combustivel!$A$1,MATCH(B3778,tab_tipo_Combustivel!$A$2:$A$150,0),MATCH(A3778,tab_tipo_Combustivel!$B$1:$AQ$1,0),1,1)</f>
        <v>260</v>
      </c>
    </row>
    <row r="3779" spans="1:3">
      <c r="A3779" s="3">
        <f t="shared" si="112"/>
        <v>2039</v>
      </c>
      <c r="B3779" s="106">
        <f t="shared" si="113"/>
        <v>1502</v>
      </c>
      <c r="C3779" s="107">
        <f ca="1">OFFSET(tab_tipo_Combustivel!$A$1,MATCH(B3779,tab_tipo_Combustivel!$A$2:$A$150,0),MATCH(A3779,tab_tipo_Combustivel!$B$1:$AQ$1,0),1,1)</f>
        <v>60</v>
      </c>
    </row>
    <row r="3780" spans="1:3">
      <c r="A3780" s="3">
        <f t="shared" si="112"/>
        <v>2039</v>
      </c>
      <c r="B3780" s="106">
        <f t="shared" si="113"/>
        <v>1503</v>
      </c>
      <c r="C3780" s="107">
        <f ca="1">OFFSET(tab_tipo_Combustivel!$A$1,MATCH(B3780,tab_tipo_Combustivel!$A$2:$A$150,0),MATCH(A3780,tab_tipo_Combustivel!$B$1:$AQ$1,0),1,1)</f>
        <v>96.82</v>
      </c>
    </row>
    <row r="3781" spans="1:3">
      <c r="A3781" s="3">
        <f t="shared" si="112"/>
        <v>2039</v>
      </c>
      <c r="B3781" s="106">
        <f t="shared" si="113"/>
        <v>1504</v>
      </c>
      <c r="C3781" s="107">
        <f ca="1">OFFSET(tab_tipo_Combustivel!$A$1,MATCH(B3781,tab_tipo_Combustivel!$A$2:$A$150,0),MATCH(A3781,tab_tipo_Combustivel!$B$1:$AQ$1,0),1,1)</f>
        <v>145.22999999999999</v>
      </c>
    </row>
    <row r="3782" spans="1:3">
      <c r="A3782" s="3">
        <f t="shared" si="112"/>
        <v>2040</v>
      </c>
      <c r="B3782" s="106">
        <f t="shared" si="113"/>
        <v>1</v>
      </c>
      <c r="C3782" s="107">
        <f ca="1">OFFSET(tab_tipo_Combustivel!$A$1,MATCH(B3782,tab_tipo_Combustivel!$A$2:$A$150,0),MATCH(A3782,tab_tipo_Combustivel!$B$1:$AQ$1,0),1,1)</f>
        <v>29.13</v>
      </c>
    </row>
    <row r="3783" spans="1:3">
      <c r="A3783" s="3">
        <f t="shared" si="112"/>
        <v>2040</v>
      </c>
      <c r="B3783" s="106">
        <f t="shared" si="113"/>
        <v>2</v>
      </c>
      <c r="C3783" s="107">
        <f ca="1">OFFSET(tab_tipo_Combustivel!$A$1,MATCH(B3783,tab_tipo_Combustivel!$A$2:$A$150,0),MATCH(A3783,tab_tipo_Combustivel!$B$1:$AQ$1,0),1,1)</f>
        <v>842.33</v>
      </c>
    </row>
    <row r="3784" spans="1:3">
      <c r="A3784" s="3">
        <f t="shared" si="112"/>
        <v>2040</v>
      </c>
      <c r="B3784" s="106">
        <f t="shared" si="113"/>
        <v>4</v>
      </c>
      <c r="C3784" s="107">
        <f ca="1">OFFSET(tab_tipo_Combustivel!$A$1,MATCH(B3784,tab_tipo_Combustivel!$A$2:$A$150,0),MATCH(A3784,tab_tipo_Combustivel!$B$1:$AQ$1,0),1,1)</f>
        <v>842.33</v>
      </c>
    </row>
    <row r="3785" spans="1:3">
      <c r="A3785" s="3">
        <f t="shared" si="112"/>
        <v>2040</v>
      </c>
      <c r="B3785" s="106">
        <f t="shared" si="113"/>
        <v>9</v>
      </c>
      <c r="C3785" s="107">
        <f ca="1">OFFSET(tab_tipo_Combustivel!$A$1,MATCH(B3785,tab_tipo_Combustivel!$A$2:$A$150,0),MATCH(A3785,tab_tipo_Combustivel!$B$1:$AQ$1,0),1,1)</f>
        <v>842.33</v>
      </c>
    </row>
    <row r="3786" spans="1:3">
      <c r="A3786" s="3">
        <f t="shared" ref="A3786:A3849" si="114">A3651+1</f>
        <v>2040</v>
      </c>
      <c r="B3786" s="106">
        <f t="shared" ref="B3786:B3849" si="115">B3651</f>
        <v>12</v>
      </c>
      <c r="C3786" s="107">
        <f ca="1">OFFSET(tab_tipo_Combustivel!$A$1,MATCH(B3786,tab_tipo_Combustivel!$A$2:$A$150,0),MATCH(A3786,tab_tipo_Combustivel!$B$1:$AQ$1,0),1,1)</f>
        <v>728.87</v>
      </c>
    </row>
    <row r="3787" spans="1:3">
      <c r="A3787" s="3">
        <f t="shared" si="114"/>
        <v>2040</v>
      </c>
      <c r="B3787" s="106">
        <f t="shared" si="115"/>
        <v>13</v>
      </c>
      <c r="C3787" s="107">
        <f ca="1">OFFSET(tab_tipo_Combustivel!$A$1,MATCH(B3787,tab_tipo_Combustivel!$A$2:$A$150,0),MATCH(A3787,tab_tipo_Combustivel!$B$1:$AQ$1,0),1,1)</f>
        <v>20.12</v>
      </c>
    </row>
    <row r="3788" spans="1:3">
      <c r="A3788" s="3">
        <f t="shared" si="114"/>
        <v>2040</v>
      </c>
      <c r="B3788" s="106">
        <f t="shared" si="115"/>
        <v>15</v>
      </c>
      <c r="C3788" s="107">
        <f ca="1">OFFSET(tab_tipo_Combustivel!$A$1,MATCH(B3788,tab_tipo_Combustivel!$A$2:$A$150,0),MATCH(A3788,tab_tipo_Combustivel!$B$1:$AQ$1,0),1,1)</f>
        <v>257.29000000000002</v>
      </c>
    </row>
    <row r="3789" spans="1:3">
      <c r="A3789" s="3">
        <f t="shared" si="114"/>
        <v>2040</v>
      </c>
      <c r="B3789" s="106">
        <f t="shared" si="115"/>
        <v>21</v>
      </c>
      <c r="C3789" s="107">
        <f ca="1">OFFSET(tab_tipo_Combustivel!$A$1,MATCH(B3789,tab_tipo_Combustivel!$A$2:$A$150,0),MATCH(A3789,tab_tipo_Combustivel!$B$1:$AQ$1,0),1,1)</f>
        <v>157.83000000000001</v>
      </c>
    </row>
    <row r="3790" spans="1:3">
      <c r="A3790" s="3">
        <f t="shared" si="114"/>
        <v>2040</v>
      </c>
      <c r="B3790" s="106">
        <f t="shared" si="115"/>
        <v>22</v>
      </c>
      <c r="C3790" s="107">
        <f ca="1">OFFSET(tab_tipo_Combustivel!$A$1,MATCH(B3790,tab_tipo_Combustivel!$A$2:$A$150,0),MATCH(A3790,tab_tipo_Combustivel!$B$1:$AQ$1,0),1,1)</f>
        <v>115.9</v>
      </c>
    </row>
    <row r="3791" spans="1:3">
      <c r="A3791" s="3">
        <f t="shared" si="114"/>
        <v>2040</v>
      </c>
      <c r="B3791" s="106">
        <f t="shared" si="115"/>
        <v>23</v>
      </c>
      <c r="C3791" s="107">
        <f ca="1">OFFSET(tab_tipo_Combustivel!$A$1,MATCH(B3791,tab_tipo_Combustivel!$A$2:$A$150,0),MATCH(A3791,tab_tipo_Combustivel!$B$1:$AQ$1,0),1,1)</f>
        <v>115.9</v>
      </c>
    </row>
    <row r="3792" spans="1:3">
      <c r="A3792" s="3">
        <f t="shared" si="114"/>
        <v>2040</v>
      </c>
      <c r="B3792" s="106">
        <f t="shared" si="115"/>
        <v>24</v>
      </c>
      <c r="C3792" s="107">
        <f ca="1">OFFSET(tab_tipo_Combustivel!$A$1,MATCH(B3792,tab_tipo_Combustivel!$A$2:$A$150,0),MATCH(A3792,tab_tipo_Combustivel!$B$1:$AQ$1,0),1,1)</f>
        <v>155.85</v>
      </c>
    </row>
    <row r="3793" spans="1:3">
      <c r="A3793" s="3">
        <f t="shared" si="114"/>
        <v>2040</v>
      </c>
      <c r="B3793" s="106">
        <f t="shared" si="115"/>
        <v>25</v>
      </c>
      <c r="C3793" s="107">
        <f ca="1">OFFSET(tab_tipo_Combustivel!$A$1,MATCH(B3793,tab_tipo_Combustivel!$A$2:$A$150,0),MATCH(A3793,tab_tipo_Combustivel!$B$1:$AQ$1,0),1,1)</f>
        <v>186.33</v>
      </c>
    </row>
    <row r="3794" spans="1:3">
      <c r="A3794" s="3">
        <f t="shared" si="114"/>
        <v>2040</v>
      </c>
      <c r="B3794" s="106">
        <f t="shared" si="115"/>
        <v>26</v>
      </c>
      <c r="C3794" s="107">
        <f ca="1">OFFSET(tab_tipo_Combustivel!$A$1,MATCH(B3794,tab_tipo_Combustivel!$A$2:$A$150,0),MATCH(A3794,tab_tipo_Combustivel!$B$1:$AQ$1,0),1,1)</f>
        <v>258.42</v>
      </c>
    </row>
    <row r="3795" spans="1:3">
      <c r="A3795" s="3">
        <f t="shared" si="114"/>
        <v>2040</v>
      </c>
      <c r="B3795" s="106">
        <f t="shared" si="115"/>
        <v>27</v>
      </c>
      <c r="C3795" s="107">
        <f ca="1">OFFSET(tab_tipo_Combustivel!$A$1,MATCH(B3795,tab_tipo_Combustivel!$A$2:$A$150,0),MATCH(A3795,tab_tipo_Combustivel!$B$1:$AQ$1,0),1,1)</f>
        <v>195.49</v>
      </c>
    </row>
    <row r="3796" spans="1:3">
      <c r="A3796" s="3">
        <f t="shared" si="114"/>
        <v>2040</v>
      </c>
      <c r="B3796" s="106">
        <f t="shared" si="115"/>
        <v>28</v>
      </c>
      <c r="C3796" s="107">
        <f ca="1">OFFSET(tab_tipo_Combustivel!$A$1,MATCH(B3796,tab_tipo_Combustivel!$A$2:$A$150,0),MATCH(A3796,tab_tipo_Combustivel!$B$1:$AQ$1,0),1,1)</f>
        <v>459.92</v>
      </c>
    </row>
    <row r="3797" spans="1:3">
      <c r="A3797" s="3">
        <f t="shared" si="114"/>
        <v>2040</v>
      </c>
      <c r="B3797" s="106">
        <f t="shared" si="115"/>
        <v>32</v>
      </c>
      <c r="C3797" s="107">
        <f ca="1">OFFSET(tab_tipo_Combustivel!$A$1,MATCH(B3797,tab_tipo_Combustivel!$A$2:$A$150,0),MATCH(A3797,tab_tipo_Combustivel!$B$1:$AQ$1,0),1,1)</f>
        <v>248.31</v>
      </c>
    </row>
    <row r="3798" spans="1:3">
      <c r="A3798" s="3">
        <f t="shared" si="114"/>
        <v>2040</v>
      </c>
      <c r="B3798" s="106">
        <f t="shared" si="115"/>
        <v>34</v>
      </c>
      <c r="C3798" s="107">
        <f ca="1">OFFSET(tab_tipo_Combustivel!$A$1,MATCH(B3798,tab_tipo_Combustivel!$A$2:$A$150,0),MATCH(A3798,tab_tipo_Combustivel!$B$1:$AQ$1,0),1,1)</f>
        <v>423.38</v>
      </c>
    </row>
    <row r="3799" spans="1:3">
      <c r="A3799" s="3">
        <f t="shared" si="114"/>
        <v>2040</v>
      </c>
      <c r="B3799" s="106">
        <f t="shared" si="115"/>
        <v>35</v>
      </c>
      <c r="C3799" s="107">
        <f ca="1">OFFSET(tab_tipo_Combustivel!$A$1,MATCH(B3799,tab_tipo_Combustivel!$A$2:$A$150,0),MATCH(A3799,tab_tipo_Combustivel!$B$1:$AQ$1,0),1,1)</f>
        <v>692.45</v>
      </c>
    </row>
    <row r="3800" spans="1:3">
      <c r="A3800" s="3">
        <f t="shared" si="114"/>
        <v>2040</v>
      </c>
      <c r="B3800" s="106">
        <f t="shared" si="115"/>
        <v>36</v>
      </c>
      <c r="C3800" s="107">
        <f ca="1">OFFSET(tab_tipo_Combustivel!$A$1,MATCH(B3800,tab_tipo_Combustivel!$A$2:$A$150,0),MATCH(A3800,tab_tipo_Combustivel!$B$1:$AQ$1,0),1,1)</f>
        <v>157.83000000000001</v>
      </c>
    </row>
    <row r="3801" spans="1:3">
      <c r="A3801" s="3">
        <f t="shared" si="114"/>
        <v>2040</v>
      </c>
      <c r="B3801" s="106">
        <f t="shared" si="115"/>
        <v>42</v>
      </c>
      <c r="C3801" s="107">
        <f ca="1">OFFSET(tab_tipo_Combustivel!$A$1,MATCH(B3801,tab_tipo_Combustivel!$A$2:$A$150,0),MATCH(A3801,tab_tipo_Combustivel!$B$1:$AQ$1,0),1,1)</f>
        <v>199.22</v>
      </c>
    </row>
    <row r="3802" spans="1:3">
      <c r="A3802" s="3">
        <f t="shared" si="114"/>
        <v>2040</v>
      </c>
      <c r="B3802" s="106">
        <f t="shared" si="115"/>
        <v>43</v>
      </c>
      <c r="C3802" s="107">
        <f ca="1">OFFSET(tab_tipo_Combustivel!$A$1,MATCH(B3802,tab_tipo_Combustivel!$A$2:$A$150,0),MATCH(A3802,tab_tipo_Combustivel!$B$1:$AQ$1,0),1,1)</f>
        <v>431.62</v>
      </c>
    </row>
    <row r="3803" spans="1:3">
      <c r="A3803" s="3">
        <f t="shared" si="114"/>
        <v>2040</v>
      </c>
      <c r="B3803" s="106">
        <f t="shared" si="115"/>
        <v>44</v>
      </c>
      <c r="C3803" s="107">
        <f ca="1">OFFSET(tab_tipo_Combustivel!$A$1,MATCH(B3803,tab_tipo_Combustivel!$A$2:$A$150,0),MATCH(A3803,tab_tipo_Combustivel!$B$1:$AQ$1,0),1,1)</f>
        <v>25.58</v>
      </c>
    </row>
    <row r="3804" spans="1:3">
      <c r="A3804" s="3">
        <f t="shared" si="114"/>
        <v>2040</v>
      </c>
      <c r="B3804" s="106">
        <f t="shared" si="115"/>
        <v>46</v>
      </c>
      <c r="C3804" s="107">
        <f ca="1">OFFSET(tab_tipo_Combustivel!$A$1,MATCH(B3804,tab_tipo_Combustivel!$A$2:$A$150,0),MATCH(A3804,tab_tipo_Combustivel!$B$1:$AQ$1,0),1,1)</f>
        <v>228.91</v>
      </c>
    </row>
    <row r="3805" spans="1:3">
      <c r="A3805" s="3">
        <f t="shared" si="114"/>
        <v>2040</v>
      </c>
      <c r="B3805" s="106">
        <f t="shared" si="115"/>
        <v>47</v>
      </c>
      <c r="C3805" s="107">
        <f ca="1">OFFSET(tab_tipo_Combustivel!$A$1,MATCH(B3805,tab_tipo_Combustivel!$A$2:$A$150,0),MATCH(A3805,tab_tipo_Combustivel!$B$1:$AQ$1,0),1,1)</f>
        <v>235.6</v>
      </c>
    </row>
    <row r="3806" spans="1:3">
      <c r="A3806" s="3">
        <f t="shared" si="114"/>
        <v>2040</v>
      </c>
      <c r="B3806" s="106">
        <f t="shared" si="115"/>
        <v>48</v>
      </c>
      <c r="C3806" s="107">
        <f ca="1">OFFSET(tab_tipo_Combustivel!$A$1,MATCH(B3806,tab_tipo_Combustivel!$A$2:$A$150,0),MATCH(A3806,tab_tipo_Combustivel!$B$1:$AQ$1,0),1,1)</f>
        <v>1012.12</v>
      </c>
    </row>
    <row r="3807" spans="1:3">
      <c r="A3807" s="3">
        <f t="shared" si="114"/>
        <v>2040</v>
      </c>
      <c r="B3807" s="106">
        <f t="shared" si="115"/>
        <v>50</v>
      </c>
      <c r="C3807" s="107">
        <f ca="1">OFFSET(tab_tipo_Combustivel!$A$1,MATCH(B3807,tab_tipo_Combustivel!$A$2:$A$150,0),MATCH(A3807,tab_tipo_Combustivel!$B$1:$AQ$1,0),1,1)</f>
        <v>669.87</v>
      </c>
    </row>
    <row r="3808" spans="1:3">
      <c r="A3808" s="3">
        <f t="shared" si="114"/>
        <v>2040</v>
      </c>
      <c r="B3808" s="106">
        <f t="shared" si="115"/>
        <v>54</v>
      </c>
      <c r="C3808" s="107">
        <f ca="1">OFFSET(tab_tipo_Combustivel!$A$1,MATCH(B3808,tab_tipo_Combustivel!$A$2:$A$150,0),MATCH(A3808,tab_tipo_Combustivel!$B$1:$AQ$1,0),1,1)</f>
        <v>304.55</v>
      </c>
    </row>
    <row r="3809" spans="1:3">
      <c r="A3809" s="3">
        <f t="shared" si="114"/>
        <v>2040</v>
      </c>
      <c r="B3809" s="106">
        <f t="shared" si="115"/>
        <v>58</v>
      </c>
      <c r="C3809" s="107">
        <f ca="1">OFFSET(tab_tipo_Combustivel!$A$1,MATCH(B3809,tab_tipo_Combustivel!$A$2:$A$150,0),MATCH(A3809,tab_tipo_Combustivel!$B$1:$AQ$1,0),1,1)</f>
        <v>300.05</v>
      </c>
    </row>
    <row r="3810" spans="1:3">
      <c r="A3810" s="3">
        <f t="shared" si="114"/>
        <v>2040</v>
      </c>
      <c r="B3810" s="106">
        <f t="shared" si="115"/>
        <v>62</v>
      </c>
      <c r="C3810" s="107">
        <f ca="1">OFFSET(tab_tipo_Combustivel!$A$1,MATCH(B3810,tab_tipo_Combustivel!$A$2:$A$150,0),MATCH(A3810,tab_tipo_Combustivel!$B$1:$AQ$1,0),1,1)</f>
        <v>309.24</v>
      </c>
    </row>
    <row r="3811" spans="1:3">
      <c r="A3811" s="3">
        <f t="shared" si="114"/>
        <v>2040</v>
      </c>
      <c r="B3811" s="106">
        <f t="shared" si="115"/>
        <v>63</v>
      </c>
      <c r="C3811" s="107">
        <f ca="1">OFFSET(tab_tipo_Combustivel!$A$1,MATCH(B3811,tab_tipo_Combustivel!$A$2:$A$150,0),MATCH(A3811,tab_tipo_Combustivel!$B$1:$AQ$1,0),1,1)</f>
        <v>365.77</v>
      </c>
    </row>
    <row r="3812" spans="1:3">
      <c r="A3812" s="3">
        <f t="shared" si="114"/>
        <v>2040</v>
      </c>
      <c r="B3812" s="106">
        <f t="shared" si="115"/>
        <v>64</v>
      </c>
      <c r="C3812" s="107">
        <f ca="1">OFFSET(tab_tipo_Combustivel!$A$1,MATCH(B3812,tab_tipo_Combustivel!$A$2:$A$150,0),MATCH(A3812,tab_tipo_Combustivel!$B$1:$AQ$1,0),1,1)</f>
        <v>853.54</v>
      </c>
    </row>
    <row r="3813" spans="1:3">
      <c r="A3813" s="3">
        <f t="shared" si="114"/>
        <v>2040</v>
      </c>
      <c r="B3813" s="106">
        <f t="shared" si="115"/>
        <v>68</v>
      </c>
      <c r="C3813" s="107">
        <f ca="1">OFFSET(tab_tipo_Combustivel!$A$1,MATCH(B3813,tab_tipo_Combustivel!$A$2:$A$150,0),MATCH(A3813,tab_tipo_Combustivel!$B$1:$AQ$1,0),1,1)</f>
        <v>195.63</v>
      </c>
    </row>
    <row r="3814" spans="1:3">
      <c r="A3814" s="3">
        <f t="shared" si="114"/>
        <v>2040</v>
      </c>
      <c r="B3814" s="106">
        <f t="shared" si="115"/>
        <v>74</v>
      </c>
      <c r="C3814" s="107">
        <f ca="1">OFFSET(tab_tipo_Combustivel!$A$1,MATCH(B3814,tab_tipo_Combustivel!$A$2:$A$150,0),MATCH(A3814,tab_tipo_Combustivel!$B$1:$AQ$1,0),1,1)</f>
        <v>364.46</v>
      </c>
    </row>
    <row r="3815" spans="1:3">
      <c r="A3815" s="3">
        <f t="shared" si="114"/>
        <v>2040</v>
      </c>
      <c r="B3815" s="106">
        <f t="shared" si="115"/>
        <v>83</v>
      </c>
      <c r="C3815" s="107">
        <f ca="1">OFFSET(tab_tipo_Combustivel!$A$1,MATCH(B3815,tab_tipo_Combustivel!$A$2:$A$150,0),MATCH(A3815,tab_tipo_Combustivel!$B$1:$AQ$1,0),1,1)</f>
        <v>448.1</v>
      </c>
    </row>
    <row r="3816" spans="1:3">
      <c r="A3816" s="3">
        <f t="shared" si="114"/>
        <v>2040</v>
      </c>
      <c r="B3816" s="106">
        <f t="shared" si="115"/>
        <v>86</v>
      </c>
      <c r="C3816" s="107">
        <f ca="1">OFFSET(tab_tipo_Combustivel!$A$1,MATCH(B3816,tab_tipo_Combustivel!$A$2:$A$150,0),MATCH(A3816,tab_tipo_Combustivel!$B$1:$AQ$1,0),1,1)</f>
        <v>170.34</v>
      </c>
    </row>
    <row r="3817" spans="1:3">
      <c r="A3817" s="3">
        <f t="shared" si="114"/>
        <v>2040</v>
      </c>
      <c r="B3817" s="106">
        <f t="shared" si="115"/>
        <v>90</v>
      </c>
      <c r="C3817" s="107">
        <f ca="1">OFFSET(tab_tipo_Combustivel!$A$1,MATCH(B3817,tab_tipo_Combustivel!$A$2:$A$150,0),MATCH(A3817,tab_tipo_Combustivel!$B$1:$AQ$1,0),1,1)</f>
        <v>533.1</v>
      </c>
    </row>
    <row r="3818" spans="1:3">
      <c r="A3818" s="3">
        <f t="shared" si="114"/>
        <v>2040</v>
      </c>
      <c r="B3818" s="106">
        <f t="shared" si="115"/>
        <v>93</v>
      </c>
      <c r="C3818" s="107">
        <f ca="1">OFFSET(tab_tipo_Combustivel!$A$1,MATCH(B3818,tab_tipo_Combustivel!$A$2:$A$150,0),MATCH(A3818,tab_tipo_Combustivel!$B$1:$AQ$1,0),1,1)</f>
        <v>842.33</v>
      </c>
    </row>
    <row r="3819" spans="1:3">
      <c r="A3819" s="3">
        <f t="shared" si="114"/>
        <v>2040</v>
      </c>
      <c r="B3819" s="106">
        <f t="shared" si="115"/>
        <v>94</v>
      </c>
      <c r="C3819" s="107">
        <f ca="1">OFFSET(tab_tipo_Combustivel!$A$1,MATCH(B3819,tab_tipo_Combustivel!$A$2:$A$150,0),MATCH(A3819,tab_tipo_Combustivel!$B$1:$AQ$1,0),1,1)</f>
        <v>842.33</v>
      </c>
    </row>
    <row r="3820" spans="1:3">
      <c r="A3820" s="3">
        <f t="shared" si="114"/>
        <v>2040</v>
      </c>
      <c r="B3820" s="106">
        <f t="shared" si="115"/>
        <v>96</v>
      </c>
      <c r="C3820" s="107">
        <f ca="1">OFFSET(tab_tipo_Combustivel!$A$1,MATCH(B3820,tab_tipo_Combustivel!$A$2:$A$150,0),MATCH(A3820,tab_tipo_Combustivel!$B$1:$AQ$1,0),1,1)</f>
        <v>99.92</v>
      </c>
    </row>
    <row r="3821" spans="1:3">
      <c r="A3821" s="3">
        <f t="shared" si="114"/>
        <v>2040</v>
      </c>
      <c r="B3821" s="106">
        <f t="shared" si="115"/>
        <v>98</v>
      </c>
      <c r="C3821" s="107">
        <f ca="1">OFFSET(tab_tipo_Combustivel!$A$1,MATCH(B3821,tab_tipo_Combustivel!$A$2:$A$150,0),MATCH(A3821,tab_tipo_Combustivel!$B$1:$AQ$1,0),1,1)</f>
        <v>489.8</v>
      </c>
    </row>
    <row r="3822" spans="1:3">
      <c r="A3822" s="3">
        <f t="shared" si="114"/>
        <v>2040</v>
      </c>
      <c r="B3822" s="106">
        <f t="shared" si="115"/>
        <v>107</v>
      </c>
      <c r="C3822" s="107">
        <f ca="1">OFFSET(tab_tipo_Combustivel!$A$1,MATCH(B3822,tab_tipo_Combustivel!$A$2:$A$150,0),MATCH(A3822,tab_tipo_Combustivel!$B$1:$AQ$1,0),1,1)</f>
        <v>57.63</v>
      </c>
    </row>
    <row r="3823" spans="1:3">
      <c r="A3823" s="3">
        <f t="shared" si="114"/>
        <v>2040</v>
      </c>
      <c r="B3823" s="106">
        <f t="shared" si="115"/>
        <v>110</v>
      </c>
      <c r="C3823" s="107">
        <f ca="1">OFFSET(tab_tipo_Combustivel!$A$1,MATCH(B3823,tab_tipo_Combustivel!$A$2:$A$150,0),MATCH(A3823,tab_tipo_Combustivel!$B$1:$AQ$1,0),1,1)</f>
        <v>568.29</v>
      </c>
    </row>
    <row r="3824" spans="1:3">
      <c r="A3824" s="3">
        <f t="shared" si="114"/>
        <v>2040</v>
      </c>
      <c r="B3824" s="106">
        <f t="shared" si="115"/>
        <v>116</v>
      </c>
      <c r="C3824" s="107">
        <f ca="1">OFFSET(tab_tipo_Combustivel!$A$1,MATCH(B3824,tab_tipo_Combustivel!$A$2:$A$150,0),MATCH(A3824,tab_tipo_Combustivel!$B$1:$AQ$1,0),1,1)</f>
        <v>117.46</v>
      </c>
    </row>
    <row r="3825" spans="1:3">
      <c r="A3825" s="3">
        <f t="shared" si="114"/>
        <v>2040</v>
      </c>
      <c r="B3825" s="106">
        <f t="shared" si="115"/>
        <v>140</v>
      </c>
      <c r="C3825" s="107">
        <f ca="1">OFFSET(tab_tipo_Combustivel!$A$1,MATCH(B3825,tab_tipo_Combustivel!$A$2:$A$150,0),MATCH(A3825,tab_tipo_Combustivel!$B$1:$AQ$1,0),1,1)</f>
        <v>88.11</v>
      </c>
    </row>
    <row r="3826" spans="1:3">
      <c r="A3826" s="3">
        <f t="shared" si="114"/>
        <v>2040</v>
      </c>
      <c r="B3826" s="106">
        <f t="shared" si="115"/>
        <v>141</v>
      </c>
      <c r="C3826" s="107">
        <f ca="1">OFFSET(tab_tipo_Combustivel!$A$1,MATCH(B3826,tab_tipo_Combustivel!$A$2:$A$150,0),MATCH(A3826,tab_tipo_Combustivel!$B$1:$AQ$1,0),1,1)</f>
        <v>1280.52</v>
      </c>
    </row>
    <row r="3827" spans="1:3">
      <c r="A3827" s="3">
        <f t="shared" si="114"/>
        <v>2040</v>
      </c>
      <c r="B3827" s="106">
        <f t="shared" si="115"/>
        <v>147</v>
      </c>
      <c r="C3827" s="107">
        <f ca="1">OFFSET(tab_tipo_Combustivel!$A$1,MATCH(B3827,tab_tipo_Combustivel!$A$2:$A$150,0),MATCH(A3827,tab_tipo_Combustivel!$B$1:$AQ$1,0),1,1)</f>
        <v>134.18</v>
      </c>
    </row>
    <row r="3828" spans="1:3">
      <c r="A3828" s="3">
        <f t="shared" si="114"/>
        <v>2040</v>
      </c>
      <c r="B3828" s="106">
        <f t="shared" si="115"/>
        <v>156</v>
      </c>
      <c r="C3828" s="107">
        <f ca="1">OFFSET(tab_tipo_Combustivel!$A$1,MATCH(B3828,tab_tipo_Combustivel!$A$2:$A$150,0),MATCH(A3828,tab_tipo_Combustivel!$B$1:$AQ$1,0),1,1)</f>
        <v>77.12</v>
      </c>
    </row>
    <row r="3829" spans="1:3">
      <c r="A3829" s="3">
        <f t="shared" si="114"/>
        <v>2040</v>
      </c>
      <c r="B3829" s="106">
        <f t="shared" si="115"/>
        <v>163</v>
      </c>
      <c r="C3829" s="107">
        <f ca="1">OFFSET(tab_tipo_Combustivel!$A$1,MATCH(B3829,tab_tipo_Combustivel!$A$2:$A$150,0),MATCH(A3829,tab_tipo_Combustivel!$B$1:$AQ$1,0),1,1)</f>
        <v>156.69999999999999</v>
      </c>
    </row>
    <row r="3830" spans="1:3">
      <c r="A3830" s="3">
        <f t="shared" si="114"/>
        <v>2040</v>
      </c>
      <c r="B3830" s="106">
        <f t="shared" si="115"/>
        <v>167</v>
      </c>
      <c r="C3830" s="107">
        <f ca="1">OFFSET(tab_tipo_Combustivel!$A$1,MATCH(B3830,tab_tipo_Combustivel!$A$2:$A$150,0),MATCH(A3830,tab_tipo_Combustivel!$B$1:$AQ$1,0),1,1)</f>
        <v>144.66999999999999</v>
      </c>
    </row>
    <row r="3831" spans="1:3">
      <c r="A3831" s="3">
        <f t="shared" si="114"/>
        <v>2040</v>
      </c>
      <c r="B3831" s="106">
        <f t="shared" si="115"/>
        <v>171</v>
      </c>
      <c r="C3831" s="107">
        <f ca="1">OFFSET(tab_tipo_Combustivel!$A$1,MATCH(B3831,tab_tipo_Combustivel!$A$2:$A$150,0),MATCH(A3831,tab_tipo_Combustivel!$B$1:$AQ$1,0),1,1)</f>
        <v>88</v>
      </c>
    </row>
    <row r="3832" spans="1:3">
      <c r="A3832" s="3">
        <f t="shared" si="114"/>
        <v>2040</v>
      </c>
      <c r="B3832" s="106">
        <f t="shared" si="115"/>
        <v>172</v>
      </c>
      <c r="C3832" s="107">
        <f ca="1">OFFSET(tab_tipo_Combustivel!$A$1,MATCH(B3832,tab_tipo_Combustivel!$A$2:$A$150,0),MATCH(A3832,tab_tipo_Combustivel!$B$1:$AQ$1,0),1,1)</f>
        <v>99.97</v>
      </c>
    </row>
    <row r="3833" spans="1:3">
      <c r="A3833" s="3">
        <f t="shared" si="114"/>
        <v>2040</v>
      </c>
      <c r="B3833" s="106">
        <f t="shared" si="115"/>
        <v>173</v>
      </c>
      <c r="C3833" s="107">
        <f ca="1">OFFSET(tab_tipo_Combustivel!$A$1,MATCH(B3833,tab_tipo_Combustivel!$A$2:$A$150,0),MATCH(A3833,tab_tipo_Combustivel!$B$1:$AQ$1,0),1,1)</f>
        <v>192.03</v>
      </c>
    </row>
    <row r="3834" spans="1:3">
      <c r="A3834" s="3">
        <f t="shared" si="114"/>
        <v>2040</v>
      </c>
      <c r="B3834" s="106">
        <f t="shared" si="115"/>
        <v>174</v>
      </c>
      <c r="C3834" s="107">
        <f ca="1">OFFSET(tab_tipo_Combustivel!$A$1,MATCH(B3834,tab_tipo_Combustivel!$A$2:$A$150,0),MATCH(A3834,tab_tipo_Combustivel!$B$1:$AQ$1,0),1,1)</f>
        <v>331.22</v>
      </c>
    </row>
    <row r="3835" spans="1:3">
      <c r="A3835" s="3">
        <f t="shared" si="114"/>
        <v>2040</v>
      </c>
      <c r="B3835" s="106">
        <f t="shared" si="115"/>
        <v>176</v>
      </c>
      <c r="C3835" s="107">
        <f ca="1">OFFSET(tab_tipo_Combustivel!$A$1,MATCH(B3835,tab_tipo_Combustivel!$A$2:$A$150,0),MATCH(A3835,tab_tipo_Combustivel!$B$1:$AQ$1,0),1,1)</f>
        <v>149.47999999999999</v>
      </c>
    </row>
    <row r="3836" spans="1:3">
      <c r="A3836" s="3">
        <f t="shared" si="114"/>
        <v>2040</v>
      </c>
      <c r="B3836" s="106">
        <f t="shared" si="115"/>
        <v>183</v>
      </c>
      <c r="C3836" s="107">
        <f ca="1">OFFSET(tab_tipo_Combustivel!$A$1,MATCH(B3836,tab_tipo_Combustivel!$A$2:$A$150,0),MATCH(A3836,tab_tipo_Combustivel!$B$1:$AQ$1,0),1,1)</f>
        <v>171.61</v>
      </c>
    </row>
    <row r="3837" spans="1:3">
      <c r="A3837" s="3">
        <f t="shared" si="114"/>
        <v>2040</v>
      </c>
      <c r="B3837" s="106">
        <f t="shared" si="115"/>
        <v>194</v>
      </c>
      <c r="C3837" s="107">
        <f ca="1">OFFSET(tab_tipo_Combustivel!$A$1,MATCH(B3837,tab_tipo_Combustivel!$A$2:$A$150,0),MATCH(A3837,tab_tipo_Combustivel!$B$1:$AQ$1,0),1,1)</f>
        <v>1098.58</v>
      </c>
    </row>
    <row r="3838" spans="1:3">
      <c r="A3838" s="3">
        <f t="shared" si="114"/>
        <v>2040</v>
      </c>
      <c r="B3838" s="106">
        <f t="shared" si="115"/>
        <v>203</v>
      </c>
      <c r="C3838" s="107">
        <f ca="1">OFFSET(tab_tipo_Combustivel!$A$1,MATCH(B3838,tab_tipo_Combustivel!$A$2:$A$150,0),MATCH(A3838,tab_tipo_Combustivel!$B$1:$AQ$1,0),1,1)</f>
        <v>0</v>
      </c>
    </row>
    <row r="3839" spans="1:3">
      <c r="A3839" s="3">
        <f t="shared" si="114"/>
        <v>2040</v>
      </c>
      <c r="B3839" s="106">
        <f t="shared" si="115"/>
        <v>204</v>
      </c>
      <c r="C3839" s="107">
        <f ca="1">OFFSET(tab_tipo_Combustivel!$A$1,MATCH(B3839,tab_tipo_Combustivel!$A$2:$A$150,0),MATCH(A3839,tab_tipo_Combustivel!$B$1:$AQ$1,0),1,1)</f>
        <v>0</v>
      </c>
    </row>
    <row r="3840" spans="1:3">
      <c r="A3840" s="3">
        <f t="shared" si="114"/>
        <v>2040</v>
      </c>
      <c r="B3840" s="106">
        <f t="shared" si="115"/>
        <v>205</v>
      </c>
      <c r="C3840" s="107">
        <f ca="1">OFFSET(tab_tipo_Combustivel!$A$1,MATCH(B3840,tab_tipo_Combustivel!$A$2:$A$150,0),MATCH(A3840,tab_tipo_Combustivel!$B$1:$AQ$1,0),1,1)</f>
        <v>0</v>
      </c>
    </row>
    <row r="3841" spans="1:3">
      <c r="A3841" s="3">
        <f t="shared" si="114"/>
        <v>2040</v>
      </c>
      <c r="B3841" s="106">
        <f t="shared" si="115"/>
        <v>207</v>
      </c>
      <c r="C3841" s="107">
        <f ca="1">OFFSET(tab_tipo_Combustivel!$A$1,MATCH(B3841,tab_tipo_Combustivel!$A$2:$A$150,0),MATCH(A3841,tab_tipo_Combustivel!$B$1:$AQ$1,0),1,1)</f>
        <v>0</v>
      </c>
    </row>
    <row r="3842" spans="1:3">
      <c r="A3842" s="3">
        <f t="shared" si="114"/>
        <v>2040</v>
      </c>
      <c r="B3842" s="106">
        <f t="shared" si="115"/>
        <v>208</v>
      </c>
      <c r="C3842" s="107">
        <f ca="1">OFFSET(tab_tipo_Combustivel!$A$1,MATCH(B3842,tab_tipo_Combustivel!$A$2:$A$150,0),MATCH(A3842,tab_tipo_Combustivel!$B$1:$AQ$1,0),1,1)</f>
        <v>783.64</v>
      </c>
    </row>
    <row r="3843" spans="1:3">
      <c r="A3843" s="3">
        <f t="shared" si="114"/>
        <v>2040</v>
      </c>
      <c r="B3843" s="106">
        <f t="shared" si="115"/>
        <v>209</v>
      </c>
      <c r="C3843" s="107">
        <f ca="1">OFFSET(tab_tipo_Combustivel!$A$1,MATCH(B3843,tab_tipo_Combustivel!$A$2:$A$150,0),MATCH(A3843,tab_tipo_Combustivel!$B$1:$AQ$1,0),1,1)</f>
        <v>0</v>
      </c>
    </row>
    <row r="3844" spans="1:3">
      <c r="A3844" s="3">
        <f t="shared" si="114"/>
        <v>2040</v>
      </c>
      <c r="B3844" s="106">
        <f t="shared" si="115"/>
        <v>211</v>
      </c>
      <c r="C3844" s="107">
        <f ca="1">OFFSET(tab_tipo_Combustivel!$A$1,MATCH(B3844,tab_tipo_Combustivel!$A$2:$A$150,0),MATCH(A3844,tab_tipo_Combustivel!$B$1:$AQ$1,0),1,1)</f>
        <v>150.79</v>
      </c>
    </row>
    <row r="3845" spans="1:3">
      <c r="A3845" s="3">
        <f t="shared" si="114"/>
        <v>2040</v>
      </c>
      <c r="B3845" s="106">
        <f t="shared" si="115"/>
        <v>212</v>
      </c>
      <c r="C3845" s="107">
        <f ca="1">OFFSET(tab_tipo_Combustivel!$A$1,MATCH(B3845,tab_tipo_Combustivel!$A$2:$A$150,0),MATCH(A3845,tab_tipo_Combustivel!$B$1:$AQ$1,0),1,1)</f>
        <v>84.58</v>
      </c>
    </row>
    <row r="3846" spans="1:3">
      <c r="A3846" s="3">
        <f t="shared" si="114"/>
        <v>2040</v>
      </c>
      <c r="B3846" s="106">
        <f t="shared" si="115"/>
        <v>224</v>
      </c>
      <c r="C3846" s="107">
        <f ca="1">OFFSET(tab_tipo_Combustivel!$A$1,MATCH(B3846,tab_tipo_Combustivel!$A$2:$A$150,0),MATCH(A3846,tab_tipo_Combustivel!$B$1:$AQ$1,0),1,1)</f>
        <v>31.08</v>
      </c>
    </row>
    <row r="3847" spans="1:3">
      <c r="A3847" s="3">
        <f t="shared" si="114"/>
        <v>2040</v>
      </c>
      <c r="B3847" s="106">
        <f t="shared" si="115"/>
        <v>225</v>
      </c>
      <c r="C3847" s="107">
        <f ca="1">OFFSET(tab_tipo_Combustivel!$A$1,MATCH(B3847,tab_tipo_Combustivel!$A$2:$A$150,0),MATCH(A3847,tab_tipo_Combustivel!$B$1:$AQ$1,0),1,1)</f>
        <v>1329.7</v>
      </c>
    </row>
    <row r="3848" spans="1:3">
      <c r="A3848" s="3">
        <f t="shared" si="114"/>
        <v>2040</v>
      </c>
      <c r="B3848" s="106">
        <f t="shared" si="115"/>
        <v>226</v>
      </c>
      <c r="C3848" s="107">
        <f ca="1">OFFSET(tab_tipo_Combustivel!$A$1,MATCH(B3848,tab_tipo_Combustivel!$A$2:$A$150,0),MATCH(A3848,tab_tipo_Combustivel!$B$1:$AQ$1,0),1,1)</f>
        <v>1061.1300000000001</v>
      </c>
    </row>
    <row r="3849" spans="1:3">
      <c r="A3849" s="3">
        <f t="shared" si="114"/>
        <v>2040</v>
      </c>
      <c r="B3849" s="106">
        <f t="shared" si="115"/>
        <v>227</v>
      </c>
      <c r="C3849" s="107">
        <f ca="1">OFFSET(tab_tipo_Combustivel!$A$1,MATCH(B3849,tab_tipo_Combustivel!$A$2:$A$150,0),MATCH(A3849,tab_tipo_Combustivel!$B$1:$AQ$1,0),1,1)</f>
        <v>447.52</v>
      </c>
    </row>
    <row r="3850" spans="1:3">
      <c r="A3850" s="3">
        <f t="shared" ref="A3850:A3913" si="116">A3715+1</f>
        <v>2040</v>
      </c>
      <c r="B3850" s="106">
        <f t="shared" ref="B3850:B3913" si="117">B3715</f>
        <v>228</v>
      </c>
      <c r="C3850" s="107">
        <f ca="1">OFFSET(tab_tipo_Combustivel!$A$1,MATCH(B3850,tab_tipo_Combustivel!$A$2:$A$150,0),MATCH(A3850,tab_tipo_Combustivel!$B$1:$AQ$1,0),1,1)</f>
        <v>1061.1400000000001</v>
      </c>
    </row>
    <row r="3851" spans="1:3">
      <c r="A3851" s="3">
        <f t="shared" si="116"/>
        <v>2040</v>
      </c>
      <c r="B3851" s="106">
        <f t="shared" si="117"/>
        <v>229</v>
      </c>
      <c r="C3851" s="107">
        <f ca="1">OFFSET(tab_tipo_Combustivel!$A$1,MATCH(B3851,tab_tipo_Combustivel!$A$2:$A$150,0),MATCH(A3851,tab_tipo_Combustivel!$B$1:$AQ$1,0),1,1)</f>
        <v>942.05</v>
      </c>
    </row>
    <row r="3852" spans="1:3">
      <c r="A3852" s="3">
        <f t="shared" si="116"/>
        <v>2040</v>
      </c>
      <c r="B3852" s="106">
        <f t="shared" si="117"/>
        <v>230</v>
      </c>
      <c r="C3852" s="107">
        <f ca="1">OFFSET(tab_tipo_Combustivel!$A$1,MATCH(B3852,tab_tipo_Combustivel!$A$2:$A$150,0),MATCH(A3852,tab_tipo_Combustivel!$B$1:$AQ$1,0),1,1)</f>
        <v>495.06</v>
      </c>
    </row>
    <row r="3853" spans="1:3">
      <c r="A3853" s="3">
        <f t="shared" si="116"/>
        <v>2040</v>
      </c>
      <c r="B3853" s="106">
        <f t="shared" si="117"/>
        <v>231</v>
      </c>
      <c r="C3853" s="107">
        <f ca="1">OFFSET(tab_tipo_Combustivel!$A$1,MATCH(B3853,tab_tipo_Combustivel!$A$2:$A$150,0),MATCH(A3853,tab_tipo_Combustivel!$B$1:$AQ$1,0),1,1)</f>
        <v>489.29</v>
      </c>
    </row>
    <row r="3854" spans="1:3">
      <c r="A3854" s="3">
        <f t="shared" si="116"/>
        <v>2040</v>
      </c>
      <c r="B3854" s="106">
        <f t="shared" si="117"/>
        <v>232</v>
      </c>
      <c r="C3854" s="107">
        <f ca="1">OFFSET(tab_tipo_Combustivel!$A$1,MATCH(B3854,tab_tipo_Combustivel!$A$2:$A$150,0),MATCH(A3854,tab_tipo_Combustivel!$B$1:$AQ$1,0),1,1)</f>
        <v>842.33</v>
      </c>
    </row>
    <row r="3855" spans="1:3">
      <c r="A3855" s="3">
        <f t="shared" si="116"/>
        <v>2040</v>
      </c>
      <c r="B3855" s="106">
        <f t="shared" si="117"/>
        <v>233</v>
      </c>
      <c r="C3855" s="107">
        <f ca="1">OFFSET(tab_tipo_Combustivel!$A$1,MATCH(B3855,tab_tipo_Combustivel!$A$2:$A$150,0),MATCH(A3855,tab_tipo_Combustivel!$B$1:$AQ$1,0),1,1)</f>
        <v>984.29</v>
      </c>
    </row>
    <row r="3856" spans="1:3">
      <c r="A3856" s="3">
        <f t="shared" si="116"/>
        <v>2040</v>
      </c>
      <c r="B3856" s="106">
        <f t="shared" si="117"/>
        <v>234</v>
      </c>
      <c r="C3856" s="107">
        <f ca="1">OFFSET(tab_tipo_Combustivel!$A$1,MATCH(B3856,tab_tipo_Combustivel!$A$2:$A$150,0),MATCH(A3856,tab_tipo_Combustivel!$B$1:$AQ$1,0),1,1)</f>
        <v>290.26</v>
      </c>
    </row>
    <row r="3857" spans="1:3">
      <c r="A3857" s="3">
        <f t="shared" si="116"/>
        <v>2040</v>
      </c>
      <c r="B3857" s="106">
        <f t="shared" si="117"/>
        <v>235</v>
      </c>
      <c r="C3857" s="107">
        <f ca="1">OFFSET(tab_tipo_Combustivel!$A$1,MATCH(B3857,tab_tipo_Combustivel!$A$2:$A$150,0),MATCH(A3857,tab_tipo_Combustivel!$B$1:$AQ$1,0),1,1)</f>
        <v>1350.87</v>
      </c>
    </row>
    <row r="3858" spans="1:3">
      <c r="A3858" s="3">
        <f t="shared" si="116"/>
        <v>2040</v>
      </c>
      <c r="B3858" s="106">
        <f t="shared" si="117"/>
        <v>236</v>
      </c>
      <c r="C3858" s="107">
        <f ca="1">OFFSET(tab_tipo_Combustivel!$A$1,MATCH(B3858,tab_tipo_Combustivel!$A$2:$A$150,0),MATCH(A3858,tab_tipo_Combustivel!$B$1:$AQ$1,0),1,1)</f>
        <v>842.33</v>
      </c>
    </row>
    <row r="3859" spans="1:3">
      <c r="A3859" s="3">
        <f t="shared" si="116"/>
        <v>2040</v>
      </c>
      <c r="B3859" s="106">
        <f t="shared" si="117"/>
        <v>237</v>
      </c>
      <c r="C3859" s="107">
        <f ca="1">OFFSET(tab_tipo_Combustivel!$A$1,MATCH(B3859,tab_tipo_Combustivel!$A$2:$A$150,0),MATCH(A3859,tab_tipo_Combustivel!$B$1:$AQ$1,0),1,1)</f>
        <v>760.85</v>
      </c>
    </row>
    <row r="3860" spans="1:3">
      <c r="A3860" s="3">
        <f t="shared" si="116"/>
        <v>2040</v>
      </c>
      <c r="B3860" s="106">
        <f t="shared" si="117"/>
        <v>238</v>
      </c>
      <c r="C3860" s="107">
        <f ca="1">OFFSET(tab_tipo_Combustivel!$A$1,MATCH(B3860,tab_tipo_Combustivel!$A$2:$A$150,0),MATCH(A3860,tab_tipo_Combustivel!$B$1:$AQ$1,0),1,1)</f>
        <v>963.75</v>
      </c>
    </row>
    <row r="3861" spans="1:3">
      <c r="A3861" s="3">
        <f t="shared" si="116"/>
        <v>2040</v>
      </c>
      <c r="B3861" s="106">
        <f t="shared" si="117"/>
        <v>239</v>
      </c>
      <c r="C3861" s="107">
        <f ca="1">OFFSET(tab_tipo_Combustivel!$A$1,MATCH(B3861,tab_tipo_Combustivel!$A$2:$A$150,0),MATCH(A3861,tab_tipo_Combustivel!$B$1:$AQ$1,0),1,1)</f>
        <v>963.75</v>
      </c>
    </row>
    <row r="3862" spans="1:3">
      <c r="A3862" s="3">
        <f t="shared" si="116"/>
        <v>2040</v>
      </c>
      <c r="B3862" s="106">
        <f t="shared" si="117"/>
        <v>240</v>
      </c>
      <c r="C3862" s="107">
        <f ca="1">OFFSET(tab_tipo_Combustivel!$A$1,MATCH(B3862,tab_tipo_Combustivel!$A$2:$A$150,0),MATCH(A3862,tab_tipo_Combustivel!$B$1:$AQ$1,0),1,1)</f>
        <v>1115.96</v>
      </c>
    </row>
    <row r="3863" spans="1:3">
      <c r="A3863" s="3">
        <f t="shared" si="116"/>
        <v>2040</v>
      </c>
      <c r="B3863" s="106">
        <f t="shared" si="117"/>
        <v>241</v>
      </c>
      <c r="C3863" s="107">
        <f ca="1">OFFSET(tab_tipo_Combustivel!$A$1,MATCH(B3863,tab_tipo_Combustivel!$A$2:$A$150,0),MATCH(A3863,tab_tipo_Combustivel!$B$1:$AQ$1,0),1,1)</f>
        <v>495.75</v>
      </c>
    </row>
    <row r="3864" spans="1:3">
      <c r="A3864" s="3">
        <f t="shared" si="116"/>
        <v>2040</v>
      </c>
      <c r="B3864" s="106">
        <f t="shared" si="117"/>
        <v>242</v>
      </c>
      <c r="C3864" s="107">
        <f ca="1">OFFSET(tab_tipo_Combustivel!$A$1,MATCH(B3864,tab_tipo_Combustivel!$A$2:$A$150,0),MATCH(A3864,tab_tipo_Combustivel!$B$1:$AQ$1,0),1,1)</f>
        <v>1176.45</v>
      </c>
    </row>
    <row r="3865" spans="1:3">
      <c r="A3865" s="3">
        <f t="shared" si="116"/>
        <v>2040</v>
      </c>
      <c r="B3865" s="106">
        <f t="shared" si="117"/>
        <v>243</v>
      </c>
      <c r="C3865" s="107">
        <f ca="1">OFFSET(tab_tipo_Combustivel!$A$1,MATCH(B3865,tab_tipo_Combustivel!$A$2:$A$150,0),MATCH(A3865,tab_tipo_Combustivel!$B$1:$AQ$1,0),1,1)</f>
        <v>495.08</v>
      </c>
    </row>
    <row r="3866" spans="1:3">
      <c r="A3866" s="3">
        <f t="shared" si="116"/>
        <v>2040</v>
      </c>
      <c r="B3866" s="106">
        <f t="shared" si="117"/>
        <v>244</v>
      </c>
      <c r="C3866" s="107">
        <f ca="1">OFFSET(tab_tipo_Combustivel!$A$1,MATCH(B3866,tab_tipo_Combustivel!$A$2:$A$150,0),MATCH(A3866,tab_tipo_Combustivel!$B$1:$AQ$1,0),1,1)</f>
        <v>495.06</v>
      </c>
    </row>
    <row r="3867" spans="1:3">
      <c r="A3867" s="3">
        <f t="shared" si="116"/>
        <v>2040</v>
      </c>
      <c r="B3867" s="106">
        <f t="shared" si="117"/>
        <v>245</v>
      </c>
      <c r="C3867" s="107">
        <f ca="1">OFFSET(tab_tipo_Combustivel!$A$1,MATCH(B3867,tab_tipo_Combustivel!$A$2:$A$150,0),MATCH(A3867,tab_tipo_Combustivel!$B$1:$AQ$1,0),1,1)</f>
        <v>562.65</v>
      </c>
    </row>
    <row r="3868" spans="1:3">
      <c r="A3868" s="3">
        <f t="shared" si="116"/>
        <v>2040</v>
      </c>
      <c r="B3868" s="106">
        <f t="shared" si="117"/>
        <v>246</v>
      </c>
      <c r="C3868" s="107">
        <f ca="1">OFFSET(tab_tipo_Combustivel!$A$1,MATCH(B3868,tab_tipo_Combustivel!$A$2:$A$150,0),MATCH(A3868,tab_tipo_Combustivel!$B$1:$AQ$1,0),1,1)</f>
        <v>1124.53</v>
      </c>
    </row>
    <row r="3869" spans="1:3">
      <c r="A3869" s="3">
        <f t="shared" si="116"/>
        <v>2040</v>
      </c>
      <c r="B3869" s="106">
        <f t="shared" si="117"/>
        <v>247</v>
      </c>
      <c r="C3869" s="107">
        <f ca="1">OFFSET(tab_tipo_Combustivel!$A$1,MATCH(B3869,tab_tipo_Combustivel!$A$2:$A$150,0),MATCH(A3869,tab_tipo_Combustivel!$B$1:$AQ$1,0),1,1)</f>
        <v>609.51</v>
      </c>
    </row>
    <row r="3870" spans="1:3">
      <c r="A3870" s="3">
        <f t="shared" si="116"/>
        <v>2040</v>
      </c>
      <c r="B3870" s="106">
        <f t="shared" si="117"/>
        <v>248</v>
      </c>
      <c r="C3870" s="107">
        <f ca="1">OFFSET(tab_tipo_Combustivel!$A$1,MATCH(B3870,tab_tipo_Combustivel!$A$2:$A$150,0),MATCH(A3870,tab_tipo_Combustivel!$B$1:$AQ$1,0),1,1)</f>
        <v>495.06</v>
      </c>
    </row>
    <row r="3871" spans="1:3">
      <c r="A3871" s="3">
        <f t="shared" si="116"/>
        <v>2040</v>
      </c>
      <c r="B3871" s="106">
        <f t="shared" si="117"/>
        <v>249</v>
      </c>
      <c r="C3871" s="107">
        <f ca="1">OFFSET(tab_tipo_Combustivel!$A$1,MATCH(B3871,tab_tipo_Combustivel!$A$2:$A$150,0),MATCH(A3871,tab_tipo_Combustivel!$B$1:$AQ$1,0),1,1)</f>
        <v>842.33</v>
      </c>
    </row>
    <row r="3872" spans="1:3">
      <c r="A3872" s="3">
        <f t="shared" si="116"/>
        <v>2040</v>
      </c>
      <c r="B3872" s="106">
        <f t="shared" si="117"/>
        <v>250</v>
      </c>
      <c r="C3872" s="107">
        <f ca="1">OFFSET(tab_tipo_Combustivel!$A$1,MATCH(B3872,tab_tipo_Combustivel!$A$2:$A$150,0),MATCH(A3872,tab_tipo_Combustivel!$B$1:$AQ$1,0),1,1)</f>
        <v>1176.45</v>
      </c>
    </row>
    <row r="3873" spans="1:3">
      <c r="A3873" s="3">
        <f t="shared" si="116"/>
        <v>2040</v>
      </c>
      <c r="B3873" s="106">
        <f t="shared" si="117"/>
        <v>251</v>
      </c>
      <c r="C3873" s="107">
        <f ca="1">OFFSET(tab_tipo_Combustivel!$A$1,MATCH(B3873,tab_tipo_Combustivel!$A$2:$A$150,0),MATCH(A3873,tab_tipo_Combustivel!$B$1:$AQ$1,0),1,1)</f>
        <v>842.33</v>
      </c>
    </row>
    <row r="3874" spans="1:3">
      <c r="A3874" s="3">
        <f t="shared" si="116"/>
        <v>2040</v>
      </c>
      <c r="B3874" s="106">
        <f t="shared" si="117"/>
        <v>252</v>
      </c>
      <c r="C3874" s="107">
        <f ca="1">OFFSET(tab_tipo_Combustivel!$A$1,MATCH(B3874,tab_tipo_Combustivel!$A$2:$A$150,0),MATCH(A3874,tab_tipo_Combustivel!$B$1:$AQ$1,0),1,1)</f>
        <v>842.33</v>
      </c>
    </row>
    <row r="3875" spans="1:3">
      <c r="A3875" s="3">
        <f t="shared" si="116"/>
        <v>2040</v>
      </c>
      <c r="B3875" s="106">
        <f t="shared" si="117"/>
        <v>253</v>
      </c>
      <c r="C3875" s="107">
        <f ca="1">OFFSET(tab_tipo_Combustivel!$A$1,MATCH(B3875,tab_tipo_Combustivel!$A$2:$A$150,0),MATCH(A3875,tab_tipo_Combustivel!$B$1:$AQ$1,0),1,1)</f>
        <v>279.45</v>
      </c>
    </row>
    <row r="3876" spans="1:3">
      <c r="A3876" s="3">
        <f t="shared" si="116"/>
        <v>2040</v>
      </c>
      <c r="B3876" s="106">
        <f t="shared" si="117"/>
        <v>254</v>
      </c>
      <c r="C3876" s="107">
        <f ca="1">OFFSET(tab_tipo_Combustivel!$A$1,MATCH(B3876,tab_tipo_Combustivel!$A$2:$A$150,0),MATCH(A3876,tab_tipo_Combustivel!$B$1:$AQ$1,0),1,1)</f>
        <v>1153.98</v>
      </c>
    </row>
    <row r="3877" spans="1:3">
      <c r="A3877" s="3">
        <f t="shared" si="116"/>
        <v>2040</v>
      </c>
      <c r="B3877" s="106">
        <f t="shared" si="117"/>
        <v>255</v>
      </c>
      <c r="C3877" s="107">
        <f ca="1">OFFSET(tab_tipo_Combustivel!$A$1,MATCH(B3877,tab_tipo_Combustivel!$A$2:$A$150,0),MATCH(A3877,tab_tipo_Combustivel!$B$1:$AQ$1,0),1,1)</f>
        <v>828.98</v>
      </c>
    </row>
    <row r="3878" spans="1:3">
      <c r="A3878" s="3">
        <f t="shared" si="116"/>
        <v>2040</v>
      </c>
      <c r="B3878" s="106">
        <f t="shared" si="117"/>
        <v>256</v>
      </c>
      <c r="C3878" s="107">
        <f ca="1">OFFSET(tab_tipo_Combustivel!$A$1,MATCH(B3878,tab_tipo_Combustivel!$A$2:$A$150,0),MATCH(A3878,tab_tipo_Combustivel!$B$1:$AQ$1,0),1,1)</f>
        <v>562.65</v>
      </c>
    </row>
    <row r="3879" spans="1:3">
      <c r="A3879" s="3">
        <f t="shared" si="116"/>
        <v>2040</v>
      </c>
      <c r="B3879" s="106">
        <f t="shared" si="117"/>
        <v>257</v>
      </c>
      <c r="C3879" s="107">
        <f ca="1">OFFSET(tab_tipo_Combustivel!$A$1,MATCH(B3879,tab_tipo_Combustivel!$A$2:$A$150,0),MATCH(A3879,tab_tipo_Combustivel!$B$1:$AQ$1,0),1,1)</f>
        <v>907.52</v>
      </c>
    </row>
    <row r="3880" spans="1:3">
      <c r="A3880" s="3">
        <f t="shared" si="116"/>
        <v>2040</v>
      </c>
      <c r="B3880" s="106">
        <f t="shared" si="117"/>
        <v>258</v>
      </c>
      <c r="C3880" s="107">
        <f ca="1">OFFSET(tab_tipo_Combustivel!$A$1,MATCH(B3880,tab_tipo_Combustivel!$A$2:$A$150,0),MATCH(A3880,tab_tipo_Combustivel!$B$1:$AQ$1,0),1,1)</f>
        <v>1016.04</v>
      </c>
    </row>
    <row r="3881" spans="1:3">
      <c r="A3881" s="3">
        <f t="shared" si="116"/>
        <v>2040</v>
      </c>
      <c r="B3881" s="106">
        <f t="shared" si="117"/>
        <v>259</v>
      </c>
      <c r="C3881" s="107">
        <f ca="1">OFFSET(tab_tipo_Combustivel!$A$1,MATCH(B3881,tab_tipo_Combustivel!$A$2:$A$150,0),MATCH(A3881,tab_tipo_Combustivel!$B$1:$AQ$1,0),1,1)</f>
        <v>977.53</v>
      </c>
    </row>
    <row r="3882" spans="1:3">
      <c r="A3882" s="3">
        <f t="shared" si="116"/>
        <v>2040</v>
      </c>
      <c r="B3882" s="106">
        <f t="shared" si="117"/>
        <v>260</v>
      </c>
      <c r="C3882" s="107">
        <f ca="1">OFFSET(tab_tipo_Combustivel!$A$1,MATCH(B3882,tab_tipo_Combustivel!$A$2:$A$150,0),MATCH(A3882,tab_tipo_Combustivel!$B$1:$AQ$1,0),1,1)</f>
        <v>827.17</v>
      </c>
    </row>
    <row r="3883" spans="1:3">
      <c r="A3883" s="3">
        <f t="shared" si="116"/>
        <v>2040</v>
      </c>
      <c r="B3883" s="106">
        <f t="shared" si="117"/>
        <v>261</v>
      </c>
      <c r="C3883" s="107">
        <f ca="1">OFFSET(tab_tipo_Combustivel!$A$1,MATCH(B3883,tab_tipo_Combustivel!$A$2:$A$150,0),MATCH(A3883,tab_tipo_Combustivel!$B$1:$AQ$1,0),1,1)</f>
        <v>829.7</v>
      </c>
    </row>
    <row r="3884" spans="1:3">
      <c r="A3884" s="3">
        <f t="shared" si="116"/>
        <v>2040</v>
      </c>
      <c r="B3884" s="106">
        <f t="shared" si="117"/>
        <v>262</v>
      </c>
      <c r="C3884" s="107">
        <f ca="1">OFFSET(tab_tipo_Combustivel!$A$1,MATCH(B3884,tab_tipo_Combustivel!$A$2:$A$150,0),MATCH(A3884,tab_tipo_Combustivel!$B$1:$AQ$1,0),1,1)</f>
        <v>495.75</v>
      </c>
    </row>
    <row r="3885" spans="1:3">
      <c r="A3885" s="3">
        <f t="shared" si="116"/>
        <v>2040</v>
      </c>
      <c r="B3885" s="106">
        <f t="shared" si="117"/>
        <v>263</v>
      </c>
      <c r="C3885" s="107">
        <f ca="1">OFFSET(tab_tipo_Combustivel!$A$1,MATCH(B3885,tab_tipo_Combustivel!$A$2:$A$150,0),MATCH(A3885,tab_tipo_Combustivel!$B$1:$AQ$1,0),1,1)</f>
        <v>474.77</v>
      </c>
    </row>
    <row r="3886" spans="1:3">
      <c r="A3886" s="3">
        <f t="shared" si="116"/>
        <v>2040</v>
      </c>
      <c r="B3886" s="106">
        <f t="shared" si="117"/>
        <v>264</v>
      </c>
      <c r="C3886" s="107">
        <f ca="1">OFFSET(tab_tipo_Combustivel!$A$1,MATCH(B3886,tab_tipo_Combustivel!$A$2:$A$150,0),MATCH(A3886,tab_tipo_Combustivel!$B$1:$AQ$1,0),1,1)</f>
        <v>842.33</v>
      </c>
    </row>
    <row r="3887" spans="1:3">
      <c r="A3887" s="3">
        <f t="shared" si="116"/>
        <v>2040</v>
      </c>
      <c r="B3887" s="106">
        <f t="shared" si="117"/>
        <v>265</v>
      </c>
      <c r="C3887" s="107">
        <f ca="1">OFFSET(tab_tipo_Combustivel!$A$1,MATCH(B3887,tab_tipo_Combustivel!$A$2:$A$150,0),MATCH(A3887,tab_tipo_Combustivel!$B$1:$AQ$1,0),1,1)</f>
        <v>415.82</v>
      </c>
    </row>
    <row r="3888" spans="1:3">
      <c r="A3888" s="3">
        <f t="shared" si="116"/>
        <v>2040</v>
      </c>
      <c r="B3888" s="106">
        <f t="shared" si="117"/>
        <v>266</v>
      </c>
      <c r="C3888" s="107">
        <f ca="1">OFFSET(tab_tipo_Combustivel!$A$1,MATCH(B3888,tab_tipo_Combustivel!$A$2:$A$150,0),MATCH(A3888,tab_tipo_Combustivel!$B$1:$AQ$1,0),1,1)</f>
        <v>827.17</v>
      </c>
    </row>
    <row r="3889" spans="1:3">
      <c r="A3889" s="3">
        <f t="shared" si="116"/>
        <v>2040</v>
      </c>
      <c r="B3889" s="106">
        <f t="shared" si="117"/>
        <v>301</v>
      </c>
      <c r="C3889" s="107">
        <f ca="1">OFFSET(tab_tipo_Combustivel!$A$1,MATCH(B3889,tab_tipo_Combustivel!$A$2:$A$150,0),MATCH(A3889,tab_tipo_Combustivel!$B$1:$AQ$1,0),1,1)</f>
        <v>99.08</v>
      </c>
    </row>
    <row r="3890" spans="1:3">
      <c r="A3890" s="3">
        <f t="shared" si="116"/>
        <v>2040</v>
      </c>
      <c r="B3890" s="106">
        <f t="shared" si="117"/>
        <v>302</v>
      </c>
      <c r="C3890" s="107">
        <f ca="1">OFFSET(tab_tipo_Combustivel!$A$1,MATCH(B3890,tab_tipo_Combustivel!$A$2:$A$150,0),MATCH(A3890,tab_tipo_Combustivel!$B$1:$AQ$1,0),1,1)</f>
        <v>103.73</v>
      </c>
    </row>
    <row r="3891" spans="1:3">
      <c r="A3891" s="3">
        <f t="shared" si="116"/>
        <v>2040</v>
      </c>
      <c r="B3891" s="106">
        <f t="shared" si="117"/>
        <v>303</v>
      </c>
      <c r="C3891" s="107">
        <f ca="1">OFFSET(tab_tipo_Combustivel!$A$1,MATCH(B3891,tab_tipo_Combustivel!$A$2:$A$150,0),MATCH(A3891,tab_tipo_Combustivel!$B$1:$AQ$1,0),1,1)</f>
        <v>103.73</v>
      </c>
    </row>
    <row r="3892" spans="1:3">
      <c r="A3892" s="3">
        <f t="shared" si="116"/>
        <v>2040</v>
      </c>
      <c r="B3892" s="106">
        <f t="shared" si="117"/>
        <v>304</v>
      </c>
      <c r="C3892" s="107">
        <f ca="1">OFFSET(tab_tipo_Combustivel!$A$1,MATCH(B3892,tab_tipo_Combustivel!$A$2:$A$150,0),MATCH(A3892,tab_tipo_Combustivel!$B$1:$AQ$1,0),1,1)</f>
        <v>139.41999999999999</v>
      </c>
    </row>
    <row r="3893" spans="1:3">
      <c r="A3893" s="3">
        <f t="shared" si="116"/>
        <v>2040</v>
      </c>
      <c r="B3893" s="106">
        <f t="shared" si="117"/>
        <v>305</v>
      </c>
      <c r="C3893" s="107">
        <f ca="1">OFFSET(tab_tipo_Combustivel!$A$1,MATCH(B3893,tab_tipo_Combustivel!$A$2:$A$150,0),MATCH(A3893,tab_tipo_Combustivel!$B$1:$AQ$1,0),1,1)</f>
        <v>89.7</v>
      </c>
    </row>
    <row r="3894" spans="1:3">
      <c r="A3894" s="3">
        <f t="shared" si="116"/>
        <v>2040</v>
      </c>
      <c r="B3894" s="106">
        <f t="shared" si="117"/>
        <v>306</v>
      </c>
      <c r="C3894" s="107">
        <f ca="1">OFFSET(tab_tipo_Combustivel!$A$1,MATCH(B3894,tab_tipo_Combustivel!$A$2:$A$150,0),MATCH(A3894,tab_tipo_Combustivel!$B$1:$AQ$1,0),1,1)</f>
        <v>100.38</v>
      </c>
    </row>
    <row r="3895" spans="1:3">
      <c r="A3895" s="3">
        <f t="shared" si="116"/>
        <v>2040</v>
      </c>
      <c r="B3895" s="106">
        <f t="shared" si="117"/>
        <v>307</v>
      </c>
      <c r="C3895" s="107">
        <f ca="1">OFFSET(tab_tipo_Combustivel!$A$1,MATCH(B3895,tab_tipo_Combustivel!$A$2:$A$150,0),MATCH(A3895,tab_tipo_Combustivel!$B$1:$AQ$1,0),1,1)</f>
        <v>510.12</v>
      </c>
    </row>
    <row r="3896" spans="1:3">
      <c r="A3896" s="3">
        <f t="shared" si="116"/>
        <v>2040</v>
      </c>
      <c r="B3896" s="106">
        <f t="shared" si="117"/>
        <v>308</v>
      </c>
      <c r="C3896" s="107">
        <f ca="1">OFFSET(tab_tipo_Combustivel!$A$1,MATCH(B3896,tab_tipo_Combustivel!$A$2:$A$150,0),MATCH(A3896,tab_tipo_Combustivel!$B$1:$AQ$1,0),1,1)</f>
        <v>72.5</v>
      </c>
    </row>
    <row r="3897" spans="1:3">
      <c r="A3897" s="3">
        <f t="shared" si="116"/>
        <v>2040</v>
      </c>
      <c r="B3897" s="106">
        <f t="shared" si="117"/>
        <v>309</v>
      </c>
      <c r="C3897" s="107">
        <f ca="1">OFFSET(tab_tipo_Combustivel!$A$1,MATCH(B3897,tab_tipo_Combustivel!$A$2:$A$150,0),MATCH(A3897,tab_tipo_Combustivel!$B$1:$AQ$1,0),1,1)</f>
        <v>126.77</v>
      </c>
    </row>
    <row r="3898" spans="1:3">
      <c r="A3898" s="3">
        <f t="shared" si="116"/>
        <v>2040</v>
      </c>
      <c r="B3898" s="106">
        <f t="shared" si="117"/>
        <v>310</v>
      </c>
      <c r="C3898" s="107">
        <f ca="1">OFFSET(tab_tipo_Combustivel!$A$1,MATCH(B3898,tab_tipo_Combustivel!$A$2:$A$150,0),MATCH(A3898,tab_tipo_Combustivel!$B$1:$AQ$1,0),1,1)</f>
        <v>275.99</v>
      </c>
    </row>
    <row r="3899" spans="1:3">
      <c r="A3899" s="3">
        <f t="shared" si="116"/>
        <v>2040</v>
      </c>
      <c r="B3899" s="106">
        <f t="shared" si="117"/>
        <v>311</v>
      </c>
      <c r="C3899" s="107">
        <f ca="1">OFFSET(tab_tipo_Combustivel!$A$1,MATCH(B3899,tab_tipo_Combustivel!$A$2:$A$150,0),MATCH(A3899,tab_tipo_Combustivel!$B$1:$AQ$1,0),1,1)</f>
        <v>70.66</v>
      </c>
    </row>
    <row r="3900" spans="1:3">
      <c r="A3900" s="3">
        <f t="shared" si="116"/>
        <v>2040</v>
      </c>
      <c r="B3900" s="106">
        <f t="shared" si="117"/>
        <v>312</v>
      </c>
      <c r="C3900" s="107">
        <f ca="1">OFFSET(tab_tipo_Combustivel!$A$1,MATCH(B3900,tab_tipo_Combustivel!$A$2:$A$150,0),MATCH(A3900,tab_tipo_Combustivel!$B$1:$AQ$1,0),1,1)</f>
        <v>0</v>
      </c>
    </row>
    <row r="3901" spans="1:3">
      <c r="A3901" s="3">
        <f t="shared" si="116"/>
        <v>2040</v>
      </c>
      <c r="B3901" s="106">
        <f t="shared" si="117"/>
        <v>1301</v>
      </c>
      <c r="C3901" s="107">
        <f ca="1">OFFSET(tab_tipo_Combustivel!$A$1,MATCH(B3901,tab_tipo_Combustivel!$A$2:$A$150,0),MATCH(A3901,tab_tipo_Combustivel!$B$1:$AQ$1,0),1,1)</f>
        <v>242.05</v>
      </c>
    </row>
    <row r="3902" spans="1:3">
      <c r="A3902" s="3">
        <f t="shared" si="116"/>
        <v>2040</v>
      </c>
      <c r="B3902" s="106">
        <f t="shared" si="117"/>
        <v>1302</v>
      </c>
      <c r="C3902" s="107">
        <f ca="1">OFFSET(tab_tipo_Combustivel!$A$1,MATCH(B3902,tab_tipo_Combustivel!$A$2:$A$150,0),MATCH(A3902,tab_tipo_Combustivel!$B$1:$AQ$1,0),1,1)</f>
        <v>193.64</v>
      </c>
    </row>
    <row r="3903" spans="1:3">
      <c r="A3903" s="3">
        <f t="shared" si="116"/>
        <v>2040</v>
      </c>
      <c r="B3903" s="106">
        <f t="shared" si="117"/>
        <v>1303</v>
      </c>
      <c r="C3903" s="107">
        <f ca="1">OFFSET(tab_tipo_Combustivel!$A$1,MATCH(B3903,tab_tipo_Combustivel!$A$2:$A$150,0),MATCH(A3903,tab_tipo_Combustivel!$B$1:$AQ$1,0),1,1)</f>
        <v>25.58</v>
      </c>
    </row>
    <row r="3904" spans="1:3">
      <c r="A3904" s="3">
        <f t="shared" si="116"/>
        <v>2040</v>
      </c>
      <c r="B3904" s="106">
        <f t="shared" si="117"/>
        <v>1304</v>
      </c>
      <c r="C3904" s="107">
        <f ca="1">OFFSET(tab_tipo_Combustivel!$A$1,MATCH(B3904,tab_tipo_Combustivel!$A$2:$A$150,0),MATCH(A3904,tab_tipo_Combustivel!$B$1:$AQ$1,0),1,1)</f>
        <v>0</v>
      </c>
    </row>
    <row r="3905" spans="1:3">
      <c r="A3905" s="3">
        <f t="shared" si="116"/>
        <v>2040</v>
      </c>
      <c r="B3905" s="106">
        <f t="shared" si="117"/>
        <v>1315</v>
      </c>
      <c r="C3905" s="107">
        <f ca="1">OFFSET(tab_tipo_Combustivel!$A$1,MATCH(B3905,tab_tipo_Combustivel!$A$2:$A$150,0),MATCH(A3905,tab_tipo_Combustivel!$B$1:$AQ$1,0),1,1)</f>
        <v>0</v>
      </c>
    </row>
    <row r="3906" spans="1:3">
      <c r="A3906" s="3">
        <f t="shared" si="116"/>
        <v>2040</v>
      </c>
      <c r="B3906" s="106">
        <f t="shared" si="117"/>
        <v>1316</v>
      </c>
      <c r="C3906" s="107">
        <f ca="1">OFFSET(tab_tipo_Combustivel!$A$1,MATCH(B3906,tab_tipo_Combustivel!$A$2:$A$150,0),MATCH(A3906,tab_tipo_Combustivel!$B$1:$AQ$1,0),1,1)</f>
        <v>0</v>
      </c>
    </row>
    <row r="3907" spans="1:3">
      <c r="A3907" s="3">
        <f t="shared" si="116"/>
        <v>2040</v>
      </c>
      <c r="B3907" s="106">
        <f t="shared" si="117"/>
        <v>1318</v>
      </c>
      <c r="C3907" s="107">
        <f ca="1">OFFSET(tab_tipo_Combustivel!$A$1,MATCH(B3907,tab_tipo_Combustivel!$A$2:$A$150,0),MATCH(A3907,tab_tipo_Combustivel!$B$1:$AQ$1,0),1,1)</f>
        <v>150</v>
      </c>
    </row>
    <row r="3908" spans="1:3">
      <c r="A3908" s="3">
        <f t="shared" si="116"/>
        <v>2040</v>
      </c>
      <c r="B3908" s="106">
        <f t="shared" si="117"/>
        <v>1321</v>
      </c>
      <c r="C3908" s="107">
        <f ca="1">OFFSET(tab_tipo_Combustivel!$A$1,MATCH(B3908,tab_tipo_Combustivel!$A$2:$A$150,0),MATCH(A3908,tab_tipo_Combustivel!$B$1:$AQ$1,0),1,1)</f>
        <v>85</v>
      </c>
    </row>
    <row r="3909" spans="1:3">
      <c r="A3909" s="3">
        <f t="shared" si="116"/>
        <v>2040</v>
      </c>
      <c r="B3909" s="106">
        <f t="shared" si="117"/>
        <v>1322</v>
      </c>
      <c r="C3909" s="107">
        <f ca="1">OFFSET(tab_tipo_Combustivel!$A$1,MATCH(B3909,tab_tipo_Combustivel!$A$2:$A$150,0),MATCH(A3909,tab_tipo_Combustivel!$B$1:$AQ$1,0),1,1)</f>
        <v>140</v>
      </c>
    </row>
    <row r="3910" spans="1:3">
      <c r="A3910" s="3">
        <f t="shared" si="116"/>
        <v>2040</v>
      </c>
      <c r="B3910" s="106">
        <f t="shared" si="117"/>
        <v>1323</v>
      </c>
      <c r="C3910" s="107">
        <f ca="1">OFFSET(tab_tipo_Combustivel!$A$1,MATCH(B3910,tab_tipo_Combustivel!$A$2:$A$150,0),MATCH(A3910,tab_tipo_Combustivel!$B$1:$AQ$1,0),1,1)</f>
        <v>63.75</v>
      </c>
    </row>
    <row r="3911" spans="1:3">
      <c r="A3911" s="3">
        <f t="shared" si="116"/>
        <v>2040</v>
      </c>
      <c r="B3911" s="106">
        <f t="shared" si="117"/>
        <v>1325</v>
      </c>
      <c r="C3911" s="107">
        <f ca="1">OFFSET(tab_tipo_Combustivel!$A$1,MATCH(B3911,tab_tipo_Combustivel!$A$2:$A$150,0),MATCH(A3911,tab_tipo_Combustivel!$B$1:$AQ$1,0),1,1)</f>
        <v>0</v>
      </c>
    </row>
    <row r="3912" spans="1:3">
      <c r="A3912" s="3">
        <f t="shared" si="116"/>
        <v>2040</v>
      </c>
      <c r="B3912" s="106">
        <f t="shared" si="117"/>
        <v>1326</v>
      </c>
      <c r="C3912" s="107">
        <f ca="1">OFFSET(tab_tipo_Combustivel!$A$1,MATCH(B3912,tab_tipo_Combustivel!$A$2:$A$150,0),MATCH(A3912,tab_tipo_Combustivel!$B$1:$AQ$1,0),1,1)</f>
        <v>260</v>
      </c>
    </row>
    <row r="3913" spans="1:3">
      <c r="A3913" s="3">
        <f t="shared" si="116"/>
        <v>2040</v>
      </c>
      <c r="B3913" s="106">
        <f t="shared" si="117"/>
        <v>1501</v>
      </c>
      <c r="C3913" s="107">
        <f ca="1">OFFSET(tab_tipo_Combustivel!$A$1,MATCH(B3913,tab_tipo_Combustivel!$A$2:$A$150,0),MATCH(A3913,tab_tipo_Combustivel!$B$1:$AQ$1,0),1,1)</f>
        <v>260</v>
      </c>
    </row>
    <row r="3914" spans="1:3">
      <c r="A3914" s="3">
        <f t="shared" ref="A3914:A3977" si="118">A3779+1</f>
        <v>2040</v>
      </c>
      <c r="B3914" s="106">
        <f t="shared" ref="B3914:B3977" si="119">B3779</f>
        <v>1502</v>
      </c>
      <c r="C3914" s="107">
        <f ca="1">OFFSET(tab_tipo_Combustivel!$A$1,MATCH(B3914,tab_tipo_Combustivel!$A$2:$A$150,0),MATCH(A3914,tab_tipo_Combustivel!$B$1:$AQ$1,0),1,1)</f>
        <v>60</v>
      </c>
    </row>
    <row r="3915" spans="1:3">
      <c r="A3915" s="3">
        <f t="shared" si="118"/>
        <v>2040</v>
      </c>
      <c r="B3915" s="106">
        <f t="shared" si="119"/>
        <v>1503</v>
      </c>
      <c r="C3915" s="107">
        <f ca="1">OFFSET(tab_tipo_Combustivel!$A$1,MATCH(B3915,tab_tipo_Combustivel!$A$2:$A$150,0),MATCH(A3915,tab_tipo_Combustivel!$B$1:$AQ$1,0),1,1)</f>
        <v>96.82</v>
      </c>
    </row>
    <row r="3916" spans="1:3">
      <c r="A3916" s="3">
        <f t="shared" si="118"/>
        <v>2040</v>
      </c>
      <c r="B3916" s="106">
        <f t="shared" si="119"/>
        <v>1504</v>
      </c>
      <c r="C3916" s="107">
        <f ca="1">OFFSET(tab_tipo_Combustivel!$A$1,MATCH(B3916,tab_tipo_Combustivel!$A$2:$A$150,0),MATCH(A3916,tab_tipo_Combustivel!$B$1:$AQ$1,0),1,1)</f>
        <v>145.22999999999999</v>
      </c>
    </row>
    <row r="3917" spans="1:3">
      <c r="A3917" s="3">
        <f t="shared" si="118"/>
        <v>2041</v>
      </c>
      <c r="B3917" s="106">
        <f t="shared" si="119"/>
        <v>1</v>
      </c>
      <c r="C3917" s="107">
        <f ca="1">OFFSET(tab_tipo_Combustivel!$A$1,MATCH(B3917,tab_tipo_Combustivel!$A$2:$A$150,0),MATCH(A3917,tab_tipo_Combustivel!$B$1:$AQ$1,0),1,1)</f>
        <v>29.13</v>
      </c>
    </row>
    <row r="3918" spans="1:3">
      <c r="A3918" s="3">
        <f t="shared" si="118"/>
        <v>2041</v>
      </c>
      <c r="B3918" s="106">
        <f t="shared" si="119"/>
        <v>2</v>
      </c>
      <c r="C3918" s="107">
        <f ca="1">OFFSET(tab_tipo_Combustivel!$A$1,MATCH(B3918,tab_tipo_Combustivel!$A$2:$A$150,0),MATCH(A3918,tab_tipo_Combustivel!$B$1:$AQ$1,0),1,1)</f>
        <v>842.33</v>
      </c>
    </row>
    <row r="3919" spans="1:3">
      <c r="A3919" s="3">
        <f t="shared" si="118"/>
        <v>2041</v>
      </c>
      <c r="B3919" s="106">
        <f t="shared" si="119"/>
        <v>4</v>
      </c>
      <c r="C3919" s="107">
        <f ca="1">OFFSET(tab_tipo_Combustivel!$A$1,MATCH(B3919,tab_tipo_Combustivel!$A$2:$A$150,0),MATCH(A3919,tab_tipo_Combustivel!$B$1:$AQ$1,0),1,1)</f>
        <v>842.33</v>
      </c>
    </row>
    <row r="3920" spans="1:3">
      <c r="A3920" s="3">
        <f t="shared" si="118"/>
        <v>2041</v>
      </c>
      <c r="B3920" s="106">
        <f t="shared" si="119"/>
        <v>9</v>
      </c>
      <c r="C3920" s="107">
        <f ca="1">OFFSET(tab_tipo_Combustivel!$A$1,MATCH(B3920,tab_tipo_Combustivel!$A$2:$A$150,0),MATCH(A3920,tab_tipo_Combustivel!$B$1:$AQ$1,0),1,1)</f>
        <v>842.33</v>
      </c>
    </row>
    <row r="3921" spans="1:3">
      <c r="A3921" s="3">
        <f t="shared" si="118"/>
        <v>2041</v>
      </c>
      <c r="B3921" s="106">
        <f t="shared" si="119"/>
        <v>12</v>
      </c>
      <c r="C3921" s="107">
        <f ca="1">OFFSET(tab_tipo_Combustivel!$A$1,MATCH(B3921,tab_tipo_Combustivel!$A$2:$A$150,0),MATCH(A3921,tab_tipo_Combustivel!$B$1:$AQ$1,0),1,1)</f>
        <v>728.87</v>
      </c>
    </row>
    <row r="3922" spans="1:3">
      <c r="A3922" s="3">
        <f t="shared" si="118"/>
        <v>2041</v>
      </c>
      <c r="B3922" s="106">
        <f t="shared" si="119"/>
        <v>13</v>
      </c>
      <c r="C3922" s="107">
        <f ca="1">OFFSET(tab_tipo_Combustivel!$A$1,MATCH(B3922,tab_tipo_Combustivel!$A$2:$A$150,0),MATCH(A3922,tab_tipo_Combustivel!$B$1:$AQ$1,0),1,1)</f>
        <v>20.12</v>
      </c>
    </row>
    <row r="3923" spans="1:3">
      <c r="A3923" s="3">
        <f t="shared" si="118"/>
        <v>2041</v>
      </c>
      <c r="B3923" s="106">
        <f t="shared" si="119"/>
        <v>15</v>
      </c>
      <c r="C3923" s="107">
        <f ca="1">OFFSET(tab_tipo_Combustivel!$A$1,MATCH(B3923,tab_tipo_Combustivel!$A$2:$A$150,0),MATCH(A3923,tab_tipo_Combustivel!$B$1:$AQ$1,0),1,1)</f>
        <v>257.29000000000002</v>
      </c>
    </row>
    <row r="3924" spans="1:3">
      <c r="A3924" s="3">
        <f t="shared" si="118"/>
        <v>2041</v>
      </c>
      <c r="B3924" s="106">
        <f t="shared" si="119"/>
        <v>21</v>
      </c>
      <c r="C3924" s="107">
        <f ca="1">OFFSET(tab_tipo_Combustivel!$A$1,MATCH(B3924,tab_tipo_Combustivel!$A$2:$A$150,0),MATCH(A3924,tab_tipo_Combustivel!$B$1:$AQ$1,0),1,1)</f>
        <v>157.83000000000001</v>
      </c>
    </row>
    <row r="3925" spans="1:3">
      <c r="A3925" s="3">
        <f t="shared" si="118"/>
        <v>2041</v>
      </c>
      <c r="B3925" s="106">
        <f t="shared" si="119"/>
        <v>22</v>
      </c>
      <c r="C3925" s="107">
        <f ca="1">OFFSET(tab_tipo_Combustivel!$A$1,MATCH(B3925,tab_tipo_Combustivel!$A$2:$A$150,0),MATCH(A3925,tab_tipo_Combustivel!$B$1:$AQ$1,0),1,1)</f>
        <v>115.9</v>
      </c>
    </row>
    <row r="3926" spans="1:3">
      <c r="A3926" s="3">
        <f t="shared" si="118"/>
        <v>2041</v>
      </c>
      <c r="B3926" s="106">
        <f t="shared" si="119"/>
        <v>23</v>
      </c>
      <c r="C3926" s="107">
        <f ca="1">OFFSET(tab_tipo_Combustivel!$A$1,MATCH(B3926,tab_tipo_Combustivel!$A$2:$A$150,0),MATCH(A3926,tab_tipo_Combustivel!$B$1:$AQ$1,0),1,1)</f>
        <v>115.9</v>
      </c>
    </row>
    <row r="3927" spans="1:3">
      <c r="A3927" s="3">
        <f t="shared" si="118"/>
        <v>2041</v>
      </c>
      <c r="B3927" s="106">
        <f t="shared" si="119"/>
        <v>24</v>
      </c>
      <c r="C3927" s="107">
        <f ca="1">OFFSET(tab_tipo_Combustivel!$A$1,MATCH(B3927,tab_tipo_Combustivel!$A$2:$A$150,0),MATCH(A3927,tab_tipo_Combustivel!$B$1:$AQ$1,0),1,1)</f>
        <v>155.85</v>
      </c>
    </row>
    <row r="3928" spans="1:3">
      <c r="A3928" s="3">
        <f t="shared" si="118"/>
        <v>2041</v>
      </c>
      <c r="B3928" s="106">
        <f t="shared" si="119"/>
        <v>25</v>
      </c>
      <c r="C3928" s="107">
        <f ca="1">OFFSET(tab_tipo_Combustivel!$A$1,MATCH(B3928,tab_tipo_Combustivel!$A$2:$A$150,0),MATCH(A3928,tab_tipo_Combustivel!$B$1:$AQ$1,0),1,1)</f>
        <v>186.33</v>
      </c>
    </row>
    <row r="3929" spans="1:3">
      <c r="A3929" s="3">
        <f t="shared" si="118"/>
        <v>2041</v>
      </c>
      <c r="B3929" s="106">
        <f t="shared" si="119"/>
        <v>26</v>
      </c>
      <c r="C3929" s="107">
        <f ca="1">OFFSET(tab_tipo_Combustivel!$A$1,MATCH(B3929,tab_tipo_Combustivel!$A$2:$A$150,0),MATCH(A3929,tab_tipo_Combustivel!$B$1:$AQ$1,0),1,1)</f>
        <v>258.42</v>
      </c>
    </row>
    <row r="3930" spans="1:3">
      <c r="A3930" s="3">
        <f t="shared" si="118"/>
        <v>2041</v>
      </c>
      <c r="B3930" s="106">
        <f t="shared" si="119"/>
        <v>27</v>
      </c>
      <c r="C3930" s="107">
        <f ca="1">OFFSET(tab_tipo_Combustivel!$A$1,MATCH(B3930,tab_tipo_Combustivel!$A$2:$A$150,0),MATCH(A3930,tab_tipo_Combustivel!$B$1:$AQ$1,0),1,1)</f>
        <v>195.49</v>
      </c>
    </row>
    <row r="3931" spans="1:3">
      <c r="A3931" s="3">
        <f t="shared" si="118"/>
        <v>2041</v>
      </c>
      <c r="B3931" s="106">
        <f t="shared" si="119"/>
        <v>28</v>
      </c>
      <c r="C3931" s="107">
        <f ca="1">OFFSET(tab_tipo_Combustivel!$A$1,MATCH(B3931,tab_tipo_Combustivel!$A$2:$A$150,0),MATCH(A3931,tab_tipo_Combustivel!$B$1:$AQ$1,0),1,1)</f>
        <v>459.92</v>
      </c>
    </row>
    <row r="3932" spans="1:3">
      <c r="A3932" s="3">
        <f t="shared" si="118"/>
        <v>2041</v>
      </c>
      <c r="B3932" s="106">
        <f t="shared" si="119"/>
        <v>32</v>
      </c>
      <c r="C3932" s="107">
        <f ca="1">OFFSET(tab_tipo_Combustivel!$A$1,MATCH(B3932,tab_tipo_Combustivel!$A$2:$A$150,0),MATCH(A3932,tab_tipo_Combustivel!$B$1:$AQ$1,0),1,1)</f>
        <v>248.31</v>
      </c>
    </row>
    <row r="3933" spans="1:3">
      <c r="A3933" s="3">
        <f t="shared" si="118"/>
        <v>2041</v>
      </c>
      <c r="B3933" s="106">
        <f t="shared" si="119"/>
        <v>34</v>
      </c>
      <c r="C3933" s="107">
        <f ca="1">OFFSET(tab_tipo_Combustivel!$A$1,MATCH(B3933,tab_tipo_Combustivel!$A$2:$A$150,0),MATCH(A3933,tab_tipo_Combustivel!$B$1:$AQ$1,0),1,1)</f>
        <v>423.38</v>
      </c>
    </row>
    <row r="3934" spans="1:3">
      <c r="A3934" s="3">
        <f t="shared" si="118"/>
        <v>2041</v>
      </c>
      <c r="B3934" s="106">
        <f t="shared" si="119"/>
        <v>35</v>
      </c>
      <c r="C3934" s="107">
        <f ca="1">OFFSET(tab_tipo_Combustivel!$A$1,MATCH(B3934,tab_tipo_Combustivel!$A$2:$A$150,0),MATCH(A3934,tab_tipo_Combustivel!$B$1:$AQ$1,0),1,1)</f>
        <v>692.45</v>
      </c>
    </row>
    <row r="3935" spans="1:3">
      <c r="A3935" s="3">
        <f t="shared" si="118"/>
        <v>2041</v>
      </c>
      <c r="B3935" s="106">
        <f t="shared" si="119"/>
        <v>36</v>
      </c>
      <c r="C3935" s="107">
        <f ca="1">OFFSET(tab_tipo_Combustivel!$A$1,MATCH(B3935,tab_tipo_Combustivel!$A$2:$A$150,0),MATCH(A3935,tab_tipo_Combustivel!$B$1:$AQ$1,0),1,1)</f>
        <v>157.83000000000001</v>
      </c>
    </row>
    <row r="3936" spans="1:3">
      <c r="A3936" s="3">
        <f t="shared" si="118"/>
        <v>2041</v>
      </c>
      <c r="B3936" s="106">
        <f t="shared" si="119"/>
        <v>42</v>
      </c>
      <c r="C3936" s="107">
        <f ca="1">OFFSET(tab_tipo_Combustivel!$A$1,MATCH(B3936,tab_tipo_Combustivel!$A$2:$A$150,0),MATCH(A3936,tab_tipo_Combustivel!$B$1:$AQ$1,0),1,1)</f>
        <v>199.22</v>
      </c>
    </row>
    <row r="3937" spans="1:3">
      <c r="A3937" s="3">
        <f t="shared" si="118"/>
        <v>2041</v>
      </c>
      <c r="B3937" s="106">
        <f t="shared" si="119"/>
        <v>43</v>
      </c>
      <c r="C3937" s="107">
        <f ca="1">OFFSET(tab_tipo_Combustivel!$A$1,MATCH(B3937,tab_tipo_Combustivel!$A$2:$A$150,0),MATCH(A3937,tab_tipo_Combustivel!$B$1:$AQ$1,0),1,1)</f>
        <v>431.62</v>
      </c>
    </row>
    <row r="3938" spans="1:3">
      <c r="A3938" s="3">
        <f t="shared" si="118"/>
        <v>2041</v>
      </c>
      <c r="B3938" s="106">
        <f t="shared" si="119"/>
        <v>44</v>
      </c>
      <c r="C3938" s="107">
        <f ca="1">OFFSET(tab_tipo_Combustivel!$A$1,MATCH(B3938,tab_tipo_Combustivel!$A$2:$A$150,0),MATCH(A3938,tab_tipo_Combustivel!$B$1:$AQ$1,0),1,1)</f>
        <v>25.58</v>
      </c>
    </row>
    <row r="3939" spans="1:3">
      <c r="A3939" s="3">
        <f t="shared" si="118"/>
        <v>2041</v>
      </c>
      <c r="B3939" s="106">
        <f t="shared" si="119"/>
        <v>46</v>
      </c>
      <c r="C3939" s="107">
        <f ca="1">OFFSET(tab_tipo_Combustivel!$A$1,MATCH(B3939,tab_tipo_Combustivel!$A$2:$A$150,0),MATCH(A3939,tab_tipo_Combustivel!$B$1:$AQ$1,0),1,1)</f>
        <v>228.91</v>
      </c>
    </row>
    <row r="3940" spans="1:3">
      <c r="A3940" s="3">
        <f t="shared" si="118"/>
        <v>2041</v>
      </c>
      <c r="B3940" s="106">
        <f t="shared" si="119"/>
        <v>47</v>
      </c>
      <c r="C3940" s="107">
        <f ca="1">OFFSET(tab_tipo_Combustivel!$A$1,MATCH(B3940,tab_tipo_Combustivel!$A$2:$A$150,0),MATCH(A3940,tab_tipo_Combustivel!$B$1:$AQ$1,0),1,1)</f>
        <v>235.6</v>
      </c>
    </row>
    <row r="3941" spans="1:3">
      <c r="A3941" s="3">
        <f t="shared" si="118"/>
        <v>2041</v>
      </c>
      <c r="B3941" s="106">
        <f t="shared" si="119"/>
        <v>48</v>
      </c>
      <c r="C3941" s="107">
        <f ca="1">OFFSET(tab_tipo_Combustivel!$A$1,MATCH(B3941,tab_tipo_Combustivel!$A$2:$A$150,0),MATCH(A3941,tab_tipo_Combustivel!$B$1:$AQ$1,0),1,1)</f>
        <v>1012.12</v>
      </c>
    </row>
    <row r="3942" spans="1:3">
      <c r="A3942" s="3">
        <f t="shared" si="118"/>
        <v>2041</v>
      </c>
      <c r="B3942" s="106">
        <f t="shared" si="119"/>
        <v>50</v>
      </c>
      <c r="C3942" s="107">
        <f ca="1">OFFSET(tab_tipo_Combustivel!$A$1,MATCH(B3942,tab_tipo_Combustivel!$A$2:$A$150,0),MATCH(A3942,tab_tipo_Combustivel!$B$1:$AQ$1,0),1,1)</f>
        <v>669.87</v>
      </c>
    </row>
    <row r="3943" spans="1:3">
      <c r="A3943" s="3">
        <f t="shared" si="118"/>
        <v>2041</v>
      </c>
      <c r="B3943" s="106">
        <f t="shared" si="119"/>
        <v>54</v>
      </c>
      <c r="C3943" s="107">
        <f ca="1">OFFSET(tab_tipo_Combustivel!$A$1,MATCH(B3943,tab_tipo_Combustivel!$A$2:$A$150,0),MATCH(A3943,tab_tipo_Combustivel!$B$1:$AQ$1,0),1,1)</f>
        <v>304.55</v>
      </c>
    </row>
    <row r="3944" spans="1:3">
      <c r="A3944" s="3">
        <f t="shared" si="118"/>
        <v>2041</v>
      </c>
      <c r="B3944" s="106">
        <f t="shared" si="119"/>
        <v>58</v>
      </c>
      <c r="C3944" s="107">
        <f ca="1">OFFSET(tab_tipo_Combustivel!$A$1,MATCH(B3944,tab_tipo_Combustivel!$A$2:$A$150,0),MATCH(A3944,tab_tipo_Combustivel!$B$1:$AQ$1,0),1,1)</f>
        <v>300.05</v>
      </c>
    </row>
    <row r="3945" spans="1:3">
      <c r="A3945" s="3">
        <f t="shared" si="118"/>
        <v>2041</v>
      </c>
      <c r="B3945" s="106">
        <f t="shared" si="119"/>
        <v>62</v>
      </c>
      <c r="C3945" s="107">
        <f ca="1">OFFSET(tab_tipo_Combustivel!$A$1,MATCH(B3945,tab_tipo_Combustivel!$A$2:$A$150,0),MATCH(A3945,tab_tipo_Combustivel!$B$1:$AQ$1,0),1,1)</f>
        <v>309.24</v>
      </c>
    </row>
    <row r="3946" spans="1:3">
      <c r="A3946" s="3">
        <f t="shared" si="118"/>
        <v>2041</v>
      </c>
      <c r="B3946" s="106">
        <f t="shared" si="119"/>
        <v>63</v>
      </c>
      <c r="C3946" s="107">
        <f ca="1">OFFSET(tab_tipo_Combustivel!$A$1,MATCH(B3946,tab_tipo_Combustivel!$A$2:$A$150,0),MATCH(A3946,tab_tipo_Combustivel!$B$1:$AQ$1,0),1,1)</f>
        <v>365.77</v>
      </c>
    </row>
    <row r="3947" spans="1:3">
      <c r="A3947" s="3">
        <f t="shared" si="118"/>
        <v>2041</v>
      </c>
      <c r="B3947" s="106">
        <f t="shared" si="119"/>
        <v>64</v>
      </c>
      <c r="C3947" s="107">
        <f ca="1">OFFSET(tab_tipo_Combustivel!$A$1,MATCH(B3947,tab_tipo_Combustivel!$A$2:$A$150,0),MATCH(A3947,tab_tipo_Combustivel!$B$1:$AQ$1,0),1,1)</f>
        <v>853.54</v>
      </c>
    </row>
    <row r="3948" spans="1:3">
      <c r="A3948" s="3">
        <f t="shared" si="118"/>
        <v>2041</v>
      </c>
      <c r="B3948" s="106">
        <f t="shared" si="119"/>
        <v>68</v>
      </c>
      <c r="C3948" s="107">
        <f ca="1">OFFSET(tab_tipo_Combustivel!$A$1,MATCH(B3948,tab_tipo_Combustivel!$A$2:$A$150,0),MATCH(A3948,tab_tipo_Combustivel!$B$1:$AQ$1,0),1,1)</f>
        <v>195.63</v>
      </c>
    </row>
    <row r="3949" spans="1:3">
      <c r="A3949" s="3">
        <f t="shared" si="118"/>
        <v>2041</v>
      </c>
      <c r="B3949" s="106">
        <f t="shared" si="119"/>
        <v>74</v>
      </c>
      <c r="C3949" s="107">
        <f ca="1">OFFSET(tab_tipo_Combustivel!$A$1,MATCH(B3949,tab_tipo_Combustivel!$A$2:$A$150,0),MATCH(A3949,tab_tipo_Combustivel!$B$1:$AQ$1,0),1,1)</f>
        <v>364.46</v>
      </c>
    </row>
    <row r="3950" spans="1:3">
      <c r="A3950" s="3">
        <f t="shared" si="118"/>
        <v>2041</v>
      </c>
      <c r="B3950" s="106">
        <f t="shared" si="119"/>
        <v>83</v>
      </c>
      <c r="C3950" s="107">
        <f ca="1">OFFSET(tab_tipo_Combustivel!$A$1,MATCH(B3950,tab_tipo_Combustivel!$A$2:$A$150,0),MATCH(A3950,tab_tipo_Combustivel!$B$1:$AQ$1,0),1,1)</f>
        <v>448.1</v>
      </c>
    </row>
    <row r="3951" spans="1:3">
      <c r="A3951" s="3">
        <f t="shared" si="118"/>
        <v>2041</v>
      </c>
      <c r="B3951" s="106">
        <f t="shared" si="119"/>
        <v>86</v>
      </c>
      <c r="C3951" s="107">
        <f ca="1">OFFSET(tab_tipo_Combustivel!$A$1,MATCH(B3951,tab_tipo_Combustivel!$A$2:$A$150,0),MATCH(A3951,tab_tipo_Combustivel!$B$1:$AQ$1,0),1,1)</f>
        <v>170.34</v>
      </c>
    </row>
    <row r="3952" spans="1:3">
      <c r="A3952" s="3">
        <f t="shared" si="118"/>
        <v>2041</v>
      </c>
      <c r="B3952" s="106">
        <f t="shared" si="119"/>
        <v>90</v>
      </c>
      <c r="C3952" s="107">
        <f ca="1">OFFSET(tab_tipo_Combustivel!$A$1,MATCH(B3952,tab_tipo_Combustivel!$A$2:$A$150,0),MATCH(A3952,tab_tipo_Combustivel!$B$1:$AQ$1,0),1,1)</f>
        <v>533.1</v>
      </c>
    </row>
    <row r="3953" spans="1:3">
      <c r="A3953" s="3">
        <f t="shared" si="118"/>
        <v>2041</v>
      </c>
      <c r="B3953" s="106">
        <f t="shared" si="119"/>
        <v>93</v>
      </c>
      <c r="C3953" s="107">
        <f ca="1">OFFSET(tab_tipo_Combustivel!$A$1,MATCH(B3953,tab_tipo_Combustivel!$A$2:$A$150,0),MATCH(A3953,tab_tipo_Combustivel!$B$1:$AQ$1,0),1,1)</f>
        <v>842.33</v>
      </c>
    </row>
    <row r="3954" spans="1:3">
      <c r="A3954" s="3">
        <f t="shared" si="118"/>
        <v>2041</v>
      </c>
      <c r="B3954" s="106">
        <f t="shared" si="119"/>
        <v>94</v>
      </c>
      <c r="C3954" s="107">
        <f ca="1">OFFSET(tab_tipo_Combustivel!$A$1,MATCH(B3954,tab_tipo_Combustivel!$A$2:$A$150,0),MATCH(A3954,tab_tipo_Combustivel!$B$1:$AQ$1,0),1,1)</f>
        <v>842.33</v>
      </c>
    </row>
    <row r="3955" spans="1:3">
      <c r="A3955" s="3">
        <f t="shared" si="118"/>
        <v>2041</v>
      </c>
      <c r="B3955" s="106">
        <f t="shared" si="119"/>
        <v>96</v>
      </c>
      <c r="C3955" s="107">
        <f ca="1">OFFSET(tab_tipo_Combustivel!$A$1,MATCH(B3955,tab_tipo_Combustivel!$A$2:$A$150,0),MATCH(A3955,tab_tipo_Combustivel!$B$1:$AQ$1,0),1,1)</f>
        <v>99.92</v>
      </c>
    </row>
    <row r="3956" spans="1:3">
      <c r="A3956" s="3">
        <f t="shared" si="118"/>
        <v>2041</v>
      </c>
      <c r="B3956" s="106">
        <f t="shared" si="119"/>
        <v>98</v>
      </c>
      <c r="C3956" s="107">
        <f ca="1">OFFSET(tab_tipo_Combustivel!$A$1,MATCH(B3956,tab_tipo_Combustivel!$A$2:$A$150,0),MATCH(A3956,tab_tipo_Combustivel!$B$1:$AQ$1,0),1,1)</f>
        <v>489.8</v>
      </c>
    </row>
    <row r="3957" spans="1:3">
      <c r="A3957" s="3">
        <f t="shared" si="118"/>
        <v>2041</v>
      </c>
      <c r="B3957" s="106">
        <f t="shared" si="119"/>
        <v>107</v>
      </c>
      <c r="C3957" s="107">
        <f ca="1">OFFSET(tab_tipo_Combustivel!$A$1,MATCH(B3957,tab_tipo_Combustivel!$A$2:$A$150,0),MATCH(A3957,tab_tipo_Combustivel!$B$1:$AQ$1,0),1,1)</f>
        <v>57.63</v>
      </c>
    </row>
    <row r="3958" spans="1:3">
      <c r="A3958" s="3">
        <f t="shared" si="118"/>
        <v>2041</v>
      </c>
      <c r="B3958" s="106">
        <f t="shared" si="119"/>
        <v>110</v>
      </c>
      <c r="C3958" s="107">
        <f ca="1">OFFSET(tab_tipo_Combustivel!$A$1,MATCH(B3958,tab_tipo_Combustivel!$A$2:$A$150,0),MATCH(A3958,tab_tipo_Combustivel!$B$1:$AQ$1,0),1,1)</f>
        <v>568.29</v>
      </c>
    </row>
    <row r="3959" spans="1:3">
      <c r="A3959" s="3">
        <f t="shared" si="118"/>
        <v>2041</v>
      </c>
      <c r="B3959" s="106">
        <f t="shared" si="119"/>
        <v>116</v>
      </c>
      <c r="C3959" s="107">
        <f ca="1">OFFSET(tab_tipo_Combustivel!$A$1,MATCH(B3959,tab_tipo_Combustivel!$A$2:$A$150,0),MATCH(A3959,tab_tipo_Combustivel!$B$1:$AQ$1,0),1,1)</f>
        <v>117.46</v>
      </c>
    </row>
    <row r="3960" spans="1:3">
      <c r="A3960" s="3">
        <f t="shared" si="118"/>
        <v>2041</v>
      </c>
      <c r="B3960" s="106">
        <f t="shared" si="119"/>
        <v>140</v>
      </c>
      <c r="C3960" s="107">
        <f ca="1">OFFSET(tab_tipo_Combustivel!$A$1,MATCH(B3960,tab_tipo_Combustivel!$A$2:$A$150,0),MATCH(A3960,tab_tipo_Combustivel!$B$1:$AQ$1,0),1,1)</f>
        <v>88.11</v>
      </c>
    </row>
    <row r="3961" spans="1:3">
      <c r="A3961" s="3">
        <f t="shared" si="118"/>
        <v>2041</v>
      </c>
      <c r="B3961" s="106">
        <f t="shared" si="119"/>
        <v>141</v>
      </c>
      <c r="C3961" s="107">
        <f ca="1">OFFSET(tab_tipo_Combustivel!$A$1,MATCH(B3961,tab_tipo_Combustivel!$A$2:$A$150,0),MATCH(A3961,tab_tipo_Combustivel!$B$1:$AQ$1,0),1,1)</f>
        <v>1280.52</v>
      </c>
    </row>
    <row r="3962" spans="1:3">
      <c r="A3962" s="3">
        <f t="shared" si="118"/>
        <v>2041</v>
      </c>
      <c r="B3962" s="106">
        <f t="shared" si="119"/>
        <v>147</v>
      </c>
      <c r="C3962" s="107">
        <f ca="1">OFFSET(tab_tipo_Combustivel!$A$1,MATCH(B3962,tab_tipo_Combustivel!$A$2:$A$150,0),MATCH(A3962,tab_tipo_Combustivel!$B$1:$AQ$1,0),1,1)</f>
        <v>134.18</v>
      </c>
    </row>
    <row r="3963" spans="1:3">
      <c r="A3963" s="3">
        <f t="shared" si="118"/>
        <v>2041</v>
      </c>
      <c r="B3963" s="106">
        <f t="shared" si="119"/>
        <v>156</v>
      </c>
      <c r="C3963" s="107">
        <f ca="1">OFFSET(tab_tipo_Combustivel!$A$1,MATCH(B3963,tab_tipo_Combustivel!$A$2:$A$150,0),MATCH(A3963,tab_tipo_Combustivel!$B$1:$AQ$1,0),1,1)</f>
        <v>77.12</v>
      </c>
    </row>
    <row r="3964" spans="1:3">
      <c r="A3964" s="3">
        <f t="shared" si="118"/>
        <v>2041</v>
      </c>
      <c r="B3964" s="106">
        <f t="shared" si="119"/>
        <v>163</v>
      </c>
      <c r="C3964" s="107">
        <f ca="1">OFFSET(tab_tipo_Combustivel!$A$1,MATCH(B3964,tab_tipo_Combustivel!$A$2:$A$150,0),MATCH(A3964,tab_tipo_Combustivel!$B$1:$AQ$1,0),1,1)</f>
        <v>156.69999999999999</v>
      </c>
    </row>
    <row r="3965" spans="1:3">
      <c r="A3965" s="3">
        <f t="shared" si="118"/>
        <v>2041</v>
      </c>
      <c r="B3965" s="106">
        <f t="shared" si="119"/>
        <v>167</v>
      </c>
      <c r="C3965" s="107">
        <f ca="1">OFFSET(tab_tipo_Combustivel!$A$1,MATCH(B3965,tab_tipo_Combustivel!$A$2:$A$150,0),MATCH(A3965,tab_tipo_Combustivel!$B$1:$AQ$1,0),1,1)</f>
        <v>144.66999999999999</v>
      </c>
    </row>
    <row r="3966" spans="1:3">
      <c r="A3966" s="3">
        <f t="shared" si="118"/>
        <v>2041</v>
      </c>
      <c r="B3966" s="106">
        <f t="shared" si="119"/>
        <v>171</v>
      </c>
      <c r="C3966" s="107">
        <f ca="1">OFFSET(tab_tipo_Combustivel!$A$1,MATCH(B3966,tab_tipo_Combustivel!$A$2:$A$150,0),MATCH(A3966,tab_tipo_Combustivel!$B$1:$AQ$1,0),1,1)</f>
        <v>88</v>
      </c>
    </row>
    <row r="3967" spans="1:3">
      <c r="A3967" s="3">
        <f t="shared" si="118"/>
        <v>2041</v>
      </c>
      <c r="B3967" s="106">
        <f t="shared" si="119"/>
        <v>172</v>
      </c>
      <c r="C3967" s="107">
        <f ca="1">OFFSET(tab_tipo_Combustivel!$A$1,MATCH(B3967,tab_tipo_Combustivel!$A$2:$A$150,0),MATCH(A3967,tab_tipo_Combustivel!$B$1:$AQ$1,0),1,1)</f>
        <v>99.97</v>
      </c>
    </row>
    <row r="3968" spans="1:3">
      <c r="A3968" s="3">
        <f t="shared" si="118"/>
        <v>2041</v>
      </c>
      <c r="B3968" s="106">
        <f t="shared" si="119"/>
        <v>173</v>
      </c>
      <c r="C3968" s="107">
        <f ca="1">OFFSET(tab_tipo_Combustivel!$A$1,MATCH(B3968,tab_tipo_Combustivel!$A$2:$A$150,0),MATCH(A3968,tab_tipo_Combustivel!$B$1:$AQ$1,0),1,1)</f>
        <v>192.03</v>
      </c>
    </row>
    <row r="3969" spans="1:3">
      <c r="A3969" s="3">
        <f t="shared" si="118"/>
        <v>2041</v>
      </c>
      <c r="B3969" s="106">
        <f t="shared" si="119"/>
        <v>174</v>
      </c>
      <c r="C3969" s="107">
        <f ca="1">OFFSET(tab_tipo_Combustivel!$A$1,MATCH(B3969,tab_tipo_Combustivel!$A$2:$A$150,0),MATCH(A3969,tab_tipo_Combustivel!$B$1:$AQ$1,0),1,1)</f>
        <v>331.22</v>
      </c>
    </row>
    <row r="3970" spans="1:3">
      <c r="A3970" s="3">
        <f t="shared" si="118"/>
        <v>2041</v>
      </c>
      <c r="B3970" s="106">
        <f t="shared" si="119"/>
        <v>176</v>
      </c>
      <c r="C3970" s="107">
        <f ca="1">OFFSET(tab_tipo_Combustivel!$A$1,MATCH(B3970,tab_tipo_Combustivel!$A$2:$A$150,0),MATCH(A3970,tab_tipo_Combustivel!$B$1:$AQ$1,0),1,1)</f>
        <v>149.47999999999999</v>
      </c>
    </row>
    <row r="3971" spans="1:3">
      <c r="A3971" s="3">
        <f t="shared" si="118"/>
        <v>2041</v>
      </c>
      <c r="B3971" s="106">
        <f t="shared" si="119"/>
        <v>183</v>
      </c>
      <c r="C3971" s="107">
        <f ca="1">OFFSET(tab_tipo_Combustivel!$A$1,MATCH(B3971,tab_tipo_Combustivel!$A$2:$A$150,0),MATCH(A3971,tab_tipo_Combustivel!$B$1:$AQ$1,0),1,1)</f>
        <v>171.61</v>
      </c>
    </row>
    <row r="3972" spans="1:3">
      <c r="A3972" s="3">
        <f t="shared" si="118"/>
        <v>2041</v>
      </c>
      <c r="B3972" s="106">
        <f t="shared" si="119"/>
        <v>194</v>
      </c>
      <c r="C3972" s="107">
        <f ca="1">OFFSET(tab_tipo_Combustivel!$A$1,MATCH(B3972,tab_tipo_Combustivel!$A$2:$A$150,0),MATCH(A3972,tab_tipo_Combustivel!$B$1:$AQ$1,0),1,1)</f>
        <v>1098.58</v>
      </c>
    </row>
    <row r="3973" spans="1:3">
      <c r="A3973" s="3">
        <f t="shared" si="118"/>
        <v>2041</v>
      </c>
      <c r="B3973" s="106">
        <f t="shared" si="119"/>
        <v>203</v>
      </c>
      <c r="C3973" s="107">
        <f ca="1">OFFSET(tab_tipo_Combustivel!$A$1,MATCH(B3973,tab_tipo_Combustivel!$A$2:$A$150,0),MATCH(A3973,tab_tipo_Combustivel!$B$1:$AQ$1,0),1,1)</f>
        <v>0</v>
      </c>
    </row>
    <row r="3974" spans="1:3">
      <c r="A3974" s="3">
        <f t="shared" si="118"/>
        <v>2041</v>
      </c>
      <c r="B3974" s="106">
        <f t="shared" si="119"/>
        <v>204</v>
      </c>
      <c r="C3974" s="107">
        <f ca="1">OFFSET(tab_tipo_Combustivel!$A$1,MATCH(B3974,tab_tipo_Combustivel!$A$2:$A$150,0),MATCH(A3974,tab_tipo_Combustivel!$B$1:$AQ$1,0),1,1)</f>
        <v>0</v>
      </c>
    </row>
    <row r="3975" spans="1:3">
      <c r="A3975" s="3">
        <f t="shared" si="118"/>
        <v>2041</v>
      </c>
      <c r="B3975" s="106">
        <f t="shared" si="119"/>
        <v>205</v>
      </c>
      <c r="C3975" s="107">
        <f ca="1">OFFSET(tab_tipo_Combustivel!$A$1,MATCH(B3975,tab_tipo_Combustivel!$A$2:$A$150,0),MATCH(A3975,tab_tipo_Combustivel!$B$1:$AQ$1,0),1,1)</f>
        <v>0</v>
      </c>
    </row>
    <row r="3976" spans="1:3">
      <c r="A3976" s="3">
        <f t="shared" si="118"/>
        <v>2041</v>
      </c>
      <c r="B3976" s="106">
        <f t="shared" si="119"/>
        <v>207</v>
      </c>
      <c r="C3976" s="107">
        <f ca="1">OFFSET(tab_tipo_Combustivel!$A$1,MATCH(B3976,tab_tipo_Combustivel!$A$2:$A$150,0),MATCH(A3976,tab_tipo_Combustivel!$B$1:$AQ$1,0),1,1)</f>
        <v>0</v>
      </c>
    </row>
    <row r="3977" spans="1:3">
      <c r="A3977" s="3">
        <f t="shared" si="118"/>
        <v>2041</v>
      </c>
      <c r="B3977" s="106">
        <f t="shared" si="119"/>
        <v>208</v>
      </c>
      <c r="C3977" s="107">
        <f ca="1">OFFSET(tab_tipo_Combustivel!$A$1,MATCH(B3977,tab_tipo_Combustivel!$A$2:$A$150,0),MATCH(A3977,tab_tipo_Combustivel!$B$1:$AQ$1,0),1,1)</f>
        <v>783.64</v>
      </c>
    </row>
    <row r="3978" spans="1:3">
      <c r="A3978" s="3">
        <f t="shared" ref="A3978:A4041" si="120">A3843+1</f>
        <v>2041</v>
      </c>
      <c r="B3978" s="106">
        <f t="shared" ref="B3978:B4041" si="121">B3843</f>
        <v>209</v>
      </c>
      <c r="C3978" s="107">
        <f ca="1">OFFSET(tab_tipo_Combustivel!$A$1,MATCH(B3978,tab_tipo_Combustivel!$A$2:$A$150,0),MATCH(A3978,tab_tipo_Combustivel!$B$1:$AQ$1,0),1,1)</f>
        <v>0</v>
      </c>
    </row>
    <row r="3979" spans="1:3">
      <c r="A3979" s="3">
        <f t="shared" si="120"/>
        <v>2041</v>
      </c>
      <c r="B3979" s="106">
        <f t="shared" si="121"/>
        <v>211</v>
      </c>
      <c r="C3979" s="107">
        <f ca="1">OFFSET(tab_tipo_Combustivel!$A$1,MATCH(B3979,tab_tipo_Combustivel!$A$2:$A$150,0),MATCH(A3979,tab_tipo_Combustivel!$B$1:$AQ$1,0),1,1)</f>
        <v>150.79</v>
      </c>
    </row>
    <row r="3980" spans="1:3">
      <c r="A3980" s="3">
        <f t="shared" si="120"/>
        <v>2041</v>
      </c>
      <c r="B3980" s="106">
        <f t="shared" si="121"/>
        <v>212</v>
      </c>
      <c r="C3980" s="107">
        <f ca="1">OFFSET(tab_tipo_Combustivel!$A$1,MATCH(B3980,tab_tipo_Combustivel!$A$2:$A$150,0),MATCH(A3980,tab_tipo_Combustivel!$B$1:$AQ$1,0),1,1)</f>
        <v>84.58</v>
      </c>
    </row>
    <row r="3981" spans="1:3">
      <c r="A3981" s="3">
        <f t="shared" si="120"/>
        <v>2041</v>
      </c>
      <c r="B3981" s="106">
        <f t="shared" si="121"/>
        <v>224</v>
      </c>
      <c r="C3981" s="107">
        <f ca="1">OFFSET(tab_tipo_Combustivel!$A$1,MATCH(B3981,tab_tipo_Combustivel!$A$2:$A$150,0),MATCH(A3981,tab_tipo_Combustivel!$B$1:$AQ$1,0),1,1)</f>
        <v>31.08</v>
      </c>
    </row>
    <row r="3982" spans="1:3">
      <c r="A3982" s="3">
        <f t="shared" si="120"/>
        <v>2041</v>
      </c>
      <c r="B3982" s="106">
        <f t="shared" si="121"/>
        <v>225</v>
      </c>
      <c r="C3982" s="107">
        <f ca="1">OFFSET(tab_tipo_Combustivel!$A$1,MATCH(B3982,tab_tipo_Combustivel!$A$2:$A$150,0),MATCH(A3982,tab_tipo_Combustivel!$B$1:$AQ$1,0),1,1)</f>
        <v>1329.7</v>
      </c>
    </row>
    <row r="3983" spans="1:3">
      <c r="A3983" s="3">
        <f t="shared" si="120"/>
        <v>2041</v>
      </c>
      <c r="B3983" s="106">
        <f t="shared" si="121"/>
        <v>226</v>
      </c>
      <c r="C3983" s="107">
        <f ca="1">OFFSET(tab_tipo_Combustivel!$A$1,MATCH(B3983,tab_tipo_Combustivel!$A$2:$A$150,0),MATCH(A3983,tab_tipo_Combustivel!$B$1:$AQ$1,0),1,1)</f>
        <v>1061.1300000000001</v>
      </c>
    </row>
    <row r="3984" spans="1:3">
      <c r="A3984" s="3">
        <f t="shared" si="120"/>
        <v>2041</v>
      </c>
      <c r="B3984" s="106">
        <f t="shared" si="121"/>
        <v>227</v>
      </c>
      <c r="C3984" s="107">
        <f ca="1">OFFSET(tab_tipo_Combustivel!$A$1,MATCH(B3984,tab_tipo_Combustivel!$A$2:$A$150,0),MATCH(A3984,tab_tipo_Combustivel!$B$1:$AQ$1,0),1,1)</f>
        <v>447.52</v>
      </c>
    </row>
    <row r="3985" spans="1:3">
      <c r="A3985" s="3">
        <f t="shared" si="120"/>
        <v>2041</v>
      </c>
      <c r="B3985" s="106">
        <f t="shared" si="121"/>
        <v>228</v>
      </c>
      <c r="C3985" s="107">
        <f ca="1">OFFSET(tab_tipo_Combustivel!$A$1,MATCH(B3985,tab_tipo_Combustivel!$A$2:$A$150,0),MATCH(A3985,tab_tipo_Combustivel!$B$1:$AQ$1,0),1,1)</f>
        <v>1061.1400000000001</v>
      </c>
    </row>
    <row r="3986" spans="1:3">
      <c r="A3986" s="3">
        <f t="shared" si="120"/>
        <v>2041</v>
      </c>
      <c r="B3986" s="106">
        <f t="shared" si="121"/>
        <v>229</v>
      </c>
      <c r="C3986" s="107">
        <f ca="1">OFFSET(tab_tipo_Combustivel!$A$1,MATCH(B3986,tab_tipo_Combustivel!$A$2:$A$150,0),MATCH(A3986,tab_tipo_Combustivel!$B$1:$AQ$1,0),1,1)</f>
        <v>942.05</v>
      </c>
    </row>
    <row r="3987" spans="1:3">
      <c r="A3987" s="3">
        <f t="shared" si="120"/>
        <v>2041</v>
      </c>
      <c r="B3987" s="106">
        <f t="shared" si="121"/>
        <v>230</v>
      </c>
      <c r="C3987" s="107">
        <f ca="1">OFFSET(tab_tipo_Combustivel!$A$1,MATCH(B3987,tab_tipo_Combustivel!$A$2:$A$150,0),MATCH(A3987,tab_tipo_Combustivel!$B$1:$AQ$1,0),1,1)</f>
        <v>495.06</v>
      </c>
    </row>
    <row r="3988" spans="1:3">
      <c r="A3988" s="3">
        <f t="shared" si="120"/>
        <v>2041</v>
      </c>
      <c r="B3988" s="106">
        <f t="shared" si="121"/>
        <v>231</v>
      </c>
      <c r="C3988" s="107">
        <f ca="1">OFFSET(tab_tipo_Combustivel!$A$1,MATCH(B3988,tab_tipo_Combustivel!$A$2:$A$150,0),MATCH(A3988,tab_tipo_Combustivel!$B$1:$AQ$1,0),1,1)</f>
        <v>489.29</v>
      </c>
    </row>
    <row r="3989" spans="1:3">
      <c r="A3989" s="3">
        <f t="shared" si="120"/>
        <v>2041</v>
      </c>
      <c r="B3989" s="106">
        <f t="shared" si="121"/>
        <v>232</v>
      </c>
      <c r="C3989" s="107">
        <f ca="1">OFFSET(tab_tipo_Combustivel!$A$1,MATCH(B3989,tab_tipo_Combustivel!$A$2:$A$150,0),MATCH(A3989,tab_tipo_Combustivel!$B$1:$AQ$1,0),1,1)</f>
        <v>842.33</v>
      </c>
    </row>
    <row r="3990" spans="1:3">
      <c r="A3990" s="3">
        <f t="shared" si="120"/>
        <v>2041</v>
      </c>
      <c r="B3990" s="106">
        <f t="shared" si="121"/>
        <v>233</v>
      </c>
      <c r="C3990" s="107">
        <f ca="1">OFFSET(tab_tipo_Combustivel!$A$1,MATCH(B3990,tab_tipo_Combustivel!$A$2:$A$150,0),MATCH(A3990,tab_tipo_Combustivel!$B$1:$AQ$1,0),1,1)</f>
        <v>984.29</v>
      </c>
    </row>
    <row r="3991" spans="1:3">
      <c r="A3991" s="3">
        <f t="shared" si="120"/>
        <v>2041</v>
      </c>
      <c r="B3991" s="106">
        <f t="shared" si="121"/>
        <v>234</v>
      </c>
      <c r="C3991" s="107">
        <f ca="1">OFFSET(tab_tipo_Combustivel!$A$1,MATCH(B3991,tab_tipo_Combustivel!$A$2:$A$150,0),MATCH(A3991,tab_tipo_Combustivel!$B$1:$AQ$1,0),1,1)</f>
        <v>290.26</v>
      </c>
    </row>
    <row r="3992" spans="1:3">
      <c r="A3992" s="3">
        <f t="shared" si="120"/>
        <v>2041</v>
      </c>
      <c r="B3992" s="106">
        <f t="shared" si="121"/>
        <v>235</v>
      </c>
      <c r="C3992" s="107">
        <f ca="1">OFFSET(tab_tipo_Combustivel!$A$1,MATCH(B3992,tab_tipo_Combustivel!$A$2:$A$150,0),MATCH(A3992,tab_tipo_Combustivel!$B$1:$AQ$1,0),1,1)</f>
        <v>1350.87</v>
      </c>
    </row>
    <row r="3993" spans="1:3">
      <c r="A3993" s="3">
        <f t="shared" si="120"/>
        <v>2041</v>
      </c>
      <c r="B3993" s="106">
        <f t="shared" si="121"/>
        <v>236</v>
      </c>
      <c r="C3993" s="107">
        <f ca="1">OFFSET(tab_tipo_Combustivel!$A$1,MATCH(B3993,tab_tipo_Combustivel!$A$2:$A$150,0),MATCH(A3993,tab_tipo_Combustivel!$B$1:$AQ$1,0),1,1)</f>
        <v>842.33</v>
      </c>
    </row>
    <row r="3994" spans="1:3">
      <c r="A3994" s="3">
        <f t="shared" si="120"/>
        <v>2041</v>
      </c>
      <c r="B3994" s="106">
        <f t="shared" si="121"/>
        <v>237</v>
      </c>
      <c r="C3994" s="107">
        <f ca="1">OFFSET(tab_tipo_Combustivel!$A$1,MATCH(B3994,tab_tipo_Combustivel!$A$2:$A$150,0),MATCH(A3994,tab_tipo_Combustivel!$B$1:$AQ$1,0),1,1)</f>
        <v>760.85</v>
      </c>
    </row>
    <row r="3995" spans="1:3">
      <c r="A3995" s="3">
        <f t="shared" si="120"/>
        <v>2041</v>
      </c>
      <c r="B3995" s="106">
        <f t="shared" si="121"/>
        <v>238</v>
      </c>
      <c r="C3995" s="107">
        <f ca="1">OFFSET(tab_tipo_Combustivel!$A$1,MATCH(B3995,tab_tipo_Combustivel!$A$2:$A$150,0),MATCH(A3995,tab_tipo_Combustivel!$B$1:$AQ$1,0),1,1)</f>
        <v>963.75</v>
      </c>
    </row>
    <row r="3996" spans="1:3">
      <c r="A3996" s="3">
        <f t="shared" si="120"/>
        <v>2041</v>
      </c>
      <c r="B3996" s="106">
        <f t="shared" si="121"/>
        <v>239</v>
      </c>
      <c r="C3996" s="107">
        <f ca="1">OFFSET(tab_tipo_Combustivel!$A$1,MATCH(B3996,tab_tipo_Combustivel!$A$2:$A$150,0),MATCH(A3996,tab_tipo_Combustivel!$B$1:$AQ$1,0),1,1)</f>
        <v>963.75</v>
      </c>
    </row>
    <row r="3997" spans="1:3">
      <c r="A3997" s="3">
        <f t="shared" si="120"/>
        <v>2041</v>
      </c>
      <c r="B3997" s="106">
        <f t="shared" si="121"/>
        <v>240</v>
      </c>
      <c r="C3997" s="107">
        <f ca="1">OFFSET(tab_tipo_Combustivel!$A$1,MATCH(B3997,tab_tipo_Combustivel!$A$2:$A$150,0),MATCH(A3997,tab_tipo_Combustivel!$B$1:$AQ$1,0),1,1)</f>
        <v>1115.96</v>
      </c>
    </row>
    <row r="3998" spans="1:3">
      <c r="A3998" s="3">
        <f t="shared" si="120"/>
        <v>2041</v>
      </c>
      <c r="B3998" s="106">
        <f t="shared" si="121"/>
        <v>241</v>
      </c>
      <c r="C3998" s="107">
        <f ca="1">OFFSET(tab_tipo_Combustivel!$A$1,MATCH(B3998,tab_tipo_Combustivel!$A$2:$A$150,0),MATCH(A3998,tab_tipo_Combustivel!$B$1:$AQ$1,0),1,1)</f>
        <v>495.75</v>
      </c>
    </row>
    <row r="3999" spans="1:3">
      <c r="A3999" s="3">
        <f t="shared" si="120"/>
        <v>2041</v>
      </c>
      <c r="B3999" s="106">
        <f t="shared" si="121"/>
        <v>242</v>
      </c>
      <c r="C3999" s="107">
        <f ca="1">OFFSET(tab_tipo_Combustivel!$A$1,MATCH(B3999,tab_tipo_Combustivel!$A$2:$A$150,0),MATCH(A3999,tab_tipo_Combustivel!$B$1:$AQ$1,0),1,1)</f>
        <v>1176.45</v>
      </c>
    </row>
    <row r="4000" spans="1:3">
      <c r="A4000" s="3">
        <f t="shared" si="120"/>
        <v>2041</v>
      </c>
      <c r="B4000" s="106">
        <f t="shared" si="121"/>
        <v>243</v>
      </c>
      <c r="C4000" s="107">
        <f ca="1">OFFSET(tab_tipo_Combustivel!$A$1,MATCH(B4000,tab_tipo_Combustivel!$A$2:$A$150,0),MATCH(A4000,tab_tipo_Combustivel!$B$1:$AQ$1,0),1,1)</f>
        <v>495.08</v>
      </c>
    </row>
    <row r="4001" spans="1:3">
      <c r="A4001" s="3">
        <f t="shared" si="120"/>
        <v>2041</v>
      </c>
      <c r="B4001" s="106">
        <f t="shared" si="121"/>
        <v>244</v>
      </c>
      <c r="C4001" s="107">
        <f ca="1">OFFSET(tab_tipo_Combustivel!$A$1,MATCH(B4001,tab_tipo_Combustivel!$A$2:$A$150,0),MATCH(A4001,tab_tipo_Combustivel!$B$1:$AQ$1,0),1,1)</f>
        <v>495.06</v>
      </c>
    </row>
    <row r="4002" spans="1:3">
      <c r="A4002" s="3">
        <f t="shared" si="120"/>
        <v>2041</v>
      </c>
      <c r="B4002" s="106">
        <f t="shared" si="121"/>
        <v>245</v>
      </c>
      <c r="C4002" s="107">
        <f ca="1">OFFSET(tab_tipo_Combustivel!$A$1,MATCH(B4002,tab_tipo_Combustivel!$A$2:$A$150,0),MATCH(A4002,tab_tipo_Combustivel!$B$1:$AQ$1,0),1,1)</f>
        <v>562.65</v>
      </c>
    </row>
    <row r="4003" spans="1:3">
      <c r="A4003" s="3">
        <f t="shared" si="120"/>
        <v>2041</v>
      </c>
      <c r="B4003" s="106">
        <f t="shared" si="121"/>
        <v>246</v>
      </c>
      <c r="C4003" s="107">
        <f ca="1">OFFSET(tab_tipo_Combustivel!$A$1,MATCH(B4003,tab_tipo_Combustivel!$A$2:$A$150,0),MATCH(A4003,tab_tipo_Combustivel!$B$1:$AQ$1,0),1,1)</f>
        <v>1124.53</v>
      </c>
    </row>
    <row r="4004" spans="1:3">
      <c r="A4004" s="3">
        <f t="shared" si="120"/>
        <v>2041</v>
      </c>
      <c r="B4004" s="106">
        <f t="shared" si="121"/>
        <v>247</v>
      </c>
      <c r="C4004" s="107">
        <f ca="1">OFFSET(tab_tipo_Combustivel!$A$1,MATCH(B4004,tab_tipo_Combustivel!$A$2:$A$150,0),MATCH(A4004,tab_tipo_Combustivel!$B$1:$AQ$1,0),1,1)</f>
        <v>609.51</v>
      </c>
    </row>
    <row r="4005" spans="1:3">
      <c r="A4005" s="3">
        <f t="shared" si="120"/>
        <v>2041</v>
      </c>
      <c r="B4005" s="106">
        <f t="shared" si="121"/>
        <v>248</v>
      </c>
      <c r="C4005" s="107">
        <f ca="1">OFFSET(tab_tipo_Combustivel!$A$1,MATCH(B4005,tab_tipo_Combustivel!$A$2:$A$150,0),MATCH(A4005,tab_tipo_Combustivel!$B$1:$AQ$1,0),1,1)</f>
        <v>495.06</v>
      </c>
    </row>
    <row r="4006" spans="1:3">
      <c r="A4006" s="3">
        <f t="shared" si="120"/>
        <v>2041</v>
      </c>
      <c r="B4006" s="106">
        <f t="shared" si="121"/>
        <v>249</v>
      </c>
      <c r="C4006" s="107">
        <f ca="1">OFFSET(tab_tipo_Combustivel!$A$1,MATCH(B4006,tab_tipo_Combustivel!$A$2:$A$150,0),MATCH(A4006,tab_tipo_Combustivel!$B$1:$AQ$1,0),1,1)</f>
        <v>842.33</v>
      </c>
    </row>
    <row r="4007" spans="1:3">
      <c r="A4007" s="3">
        <f t="shared" si="120"/>
        <v>2041</v>
      </c>
      <c r="B4007" s="106">
        <f t="shared" si="121"/>
        <v>250</v>
      </c>
      <c r="C4007" s="107">
        <f ca="1">OFFSET(tab_tipo_Combustivel!$A$1,MATCH(B4007,tab_tipo_Combustivel!$A$2:$A$150,0),MATCH(A4007,tab_tipo_Combustivel!$B$1:$AQ$1,0),1,1)</f>
        <v>1176.45</v>
      </c>
    </row>
    <row r="4008" spans="1:3">
      <c r="A4008" s="3">
        <f t="shared" si="120"/>
        <v>2041</v>
      </c>
      <c r="B4008" s="106">
        <f t="shared" si="121"/>
        <v>251</v>
      </c>
      <c r="C4008" s="107">
        <f ca="1">OFFSET(tab_tipo_Combustivel!$A$1,MATCH(B4008,tab_tipo_Combustivel!$A$2:$A$150,0),MATCH(A4008,tab_tipo_Combustivel!$B$1:$AQ$1,0),1,1)</f>
        <v>842.33</v>
      </c>
    </row>
    <row r="4009" spans="1:3">
      <c r="A4009" s="3">
        <f t="shared" si="120"/>
        <v>2041</v>
      </c>
      <c r="B4009" s="106">
        <f t="shared" si="121"/>
        <v>252</v>
      </c>
      <c r="C4009" s="107">
        <f ca="1">OFFSET(tab_tipo_Combustivel!$A$1,MATCH(B4009,tab_tipo_Combustivel!$A$2:$A$150,0),MATCH(A4009,tab_tipo_Combustivel!$B$1:$AQ$1,0),1,1)</f>
        <v>842.33</v>
      </c>
    </row>
    <row r="4010" spans="1:3">
      <c r="A4010" s="3">
        <f t="shared" si="120"/>
        <v>2041</v>
      </c>
      <c r="B4010" s="106">
        <f t="shared" si="121"/>
        <v>253</v>
      </c>
      <c r="C4010" s="107">
        <f ca="1">OFFSET(tab_tipo_Combustivel!$A$1,MATCH(B4010,tab_tipo_Combustivel!$A$2:$A$150,0),MATCH(A4010,tab_tipo_Combustivel!$B$1:$AQ$1,0),1,1)</f>
        <v>279.45</v>
      </c>
    </row>
    <row r="4011" spans="1:3">
      <c r="A4011" s="3">
        <f t="shared" si="120"/>
        <v>2041</v>
      </c>
      <c r="B4011" s="106">
        <f t="shared" si="121"/>
        <v>254</v>
      </c>
      <c r="C4011" s="107">
        <f ca="1">OFFSET(tab_tipo_Combustivel!$A$1,MATCH(B4011,tab_tipo_Combustivel!$A$2:$A$150,0),MATCH(A4011,tab_tipo_Combustivel!$B$1:$AQ$1,0),1,1)</f>
        <v>1153.98</v>
      </c>
    </row>
    <row r="4012" spans="1:3">
      <c r="A4012" s="3">
        <f t="shared" si="120"/>
        <v>2041</v>
      </c>
      <c r="B4012" s="106">
        <f t="shared" si="121"/>
        <v>255</v>
      </c>
      <c r="C4012" s="107">
        <f ca="1">OFFSET(tab_tipo_Combustivel!$A$1,MATCH(B4012,tab_tipo_Combustivel!$A$2:$A$150,0),MATCH(A4012,tab_tipo_Combustivel!$B$1:$AQ$1,0),1,1)</f>
        <v>828.98</v>
      </c>
    </row>
    <row r="4013" spans="1:3">
      <c r="A4013" s="3">
        <f t="shared" si="120"/>
        <v>2041</v>
      </c>
      <c r="B4013" s="106">
        <f t="shared" si="121"/>
        <v>256</v>
      </c>
      <c r="C4013" s="107">
        <f ca="1">OFFSET(tab_tipo_Combustivel!$A$1,MATCH(B4013,tab_tipo_Combustivel!$A$2:$A$150,0),MATCH(A4013,tab_tipo_Combustivel!$B$1:$AQ$1,0),1,1)</f>
        <v>562.65</v>
      </c>
    </row>
    <row r="4014" spans="1:3">
      <c r="A4014" s="3">
        <f t="shared" si="120"/>
        <v>2041</v>
      </c>
      <c r="B4014" s="106">
        <f t="shared" si="121"/>
        <v>257</v>
      </c>
      <c r="C4014" s="107">
        <f ca="1">OFFSET(tab_tipo_Combustivel!$A$1,MATCH(B4014,tab_tipo_Combustivel!$A$2:$A$150,0),MATCH(A4014,tab_tipo_Combustivel!$B$1:$AQ$1,0),1,1)</f>
        <v>907.52</v>
      </c>
    </row>
    <row r="4015" spans="1:3">
      <c r="A4015" s="3">
        <f t="shared" si="120"/>
        <v>2041</v>
      </c>
      <c r="B4015" s="106">
        <f t="shared" si="121"/>
        <v>258</v>
      </c>
      <c r="C4015" s="107">
        <f ca="1">OFFSET(tab_tipo_Combustivel!$A$1,MATCH(B4015,tab_tipo_Combustivel!$A$2:$A$150,0),MATCH(A4015,tab_tipo_Combustivel!$B$1:$AQ$1,0),1,1)</f>
        <v>1016.04</v>
      </c>
    </row>
    <row r="4016" spans="1:3">
      <c r="A4016" s="3">
        <f t="shared" si="120"/>
        <v>2041</v>
      </c>
      <c r="B4016" s="106">
        <f t="shared" si="121"/>
        <v>259</v>
      </c>
      <c r="C4016" s="107">
        <f ca="1">OFFSET(tab_tipo_Combustivel!$A$1,MATCH(B4016,tab_tipo_Combustivel!$A$2:$A$150,0),MATCH(A4016,tab_tipo_Combustivel!$B$1:$AQ$1,0),1,1)</f>
        <v>977.53</v>
      </c>
    </row>
    <row r="4017" spans="1:3">
      <c r="A4017" s="3">
        <f t="shared" si="120"/>
        <v>2041</v>
      </c>
      <c r="B4017" s="106">
        <f t="shared" si="121"/>
        <v>260</v>
      </c>
      <c r="C4017" s="107">
        <f ca="1">OFFSET(tab_tipo_Combustivel!$A$1,MATCH(B4017,tab_tipo_Combustivel!$A$2:$A$150,0),MATCH(A4017,tab_tipo_Combustivel!$B$1:$AQ$1,0),1,1)</f>
        <v>827.17</v>
      </c>
    </row>
    <row r="4018" spans="1:3">
      <c r="A4018" s="3">
        <f t="shared" si="120"/>
        <v>2041</v>
      </c>
      <c r="B4018" s="106">
        <f t="shared" si="121"/>
        <v>261</v>
      </c>
      <c r="C4018" s="107">
        <f ca="1">OFFSET(tab_tipo_Combustivel!$A$1,MATCH(B4018,tab_tipo_Combustivel!$A$2:$A$150,0),MATCH(A4018,tab_tipo_Combustivel!$B$1:$AQ$1,0),1,1)</f>
        <v>829.7</v>
      </c>
    </row>
    <row r="4019" spans="1:3">
      <c r="A4019" s="3">
        <f t="shared" si="120"/>
        <v>2041</v>
      </c>
      <c r="B4019" s="106">
        <f t="shared" si="121"/>
        <v>262</v>
      </c>
      <c r="C4019" s="107">
        <f ca="1">OFFSET(tab_tipo_Combustivel!$A$1,MATCH(B4019,tab_tipo_Combustivel!$A$2:$A$150,0),MATCH(A4019,tab_tipo_Combustivel!$B$1:$AQ$1,0),1,1)</f>
        <v>495.75</v>
      </c>
    </row>
    <row r="4020" spans="1:3">
      <c r="A4020" s="3">
        <f t="shared" si="120"/>
        <v>2041</v>
      </c>
      <c r="B4020" s="106">
        <f t="shared" si="121"/>
        <v>263</v>
      </c>
      <c r="C4020" s="107">
        <f ca="1">OFFSET(tab_tipo_Combustivel!$A$1,MATCH(B4020,tab_tipo_Combustivel!$A$2:$A$150,0),MATCH(A4020,tab_tipo_Combustivel!$B$1:$AQ$1,0),1,1)</f>
        <v>474.77</v>
      </c>
    </row>
    <row r="4021" spans="1:3">
      <c r="A4021" s="3">
        <f t="shared" si="120"/>
        <v>2041</v>
      </c>
      <c r="B4021" s="106">
        <f t="shared" si="121"/>
        <v>264</v>
      </c>
      <c r="C4021" s="107">
        <f ca="1">OFFSET(tab_tipo_Combustivel!$A$1,MATCH(B4021,tab_tipo_Combustivel!$A$2:$A$150,0),MATCH(A4021,tab_tipo_Combustivel!$B$1:$AQ$1,0),1,1)</f>
        <v>842.33</v>
      </c>
    </row>
    <row r="4022" spans="1:3">
      <c r="A4022" s="3">
        <f t="shared" si="120"/>
        <v>2041</v>
      </c>
      <c r="B4022" s="106">
        <f t="shared" si="121"/>
        <v>265</v>
      </c>
      <c r="C4022" s="107">
        <f ca="1">OFFSET(tab_tipo_Combustivel!$A$1,MATCH(B4022,tab_tipo_Combustivel!$A$2:$A$150,0),MATCH(A4022,tab_tipo_Combustivel!$B$1:$AQ$1,0),1,1)</f>
        <v>415.82</v>
      </c>
    </row>
    <row r="4023" spans="1:3">
      <c r="A4023" s="3">
        <f t="shared" si="120"/>
        <v>2041</v>
      </c>
      <c r="B4023" s="106">
        <f t="shared" si="121"/>
        <v>266</v>
      </c>
      <c r="C4023" s="107">
        <f ca="1">OFFSET(tab_tipo_Combustivel!$A$1,MATCH(B4023,tab_tipo_Combustivel!$A$2:$A$150,0),MATCH(A4023,tab_tipo_Combustivel!$B$1:$AQ$1,0),1,1)</f>
        <v>827.17</v>
      </c>
    </row>
    <row r="4024" spans="1:3">
      <c r="A4024" s="3">
        <f t="shared" si="120"/>
        <v>2041</v>
      </c>
      <c r="B4024" s="106">
        <f t="shared" si="121"/>
        <v>301</v>
      </c>
      <c r="C4024" s="107">
        <f ca="1">OFFSET(tab_tipo_Combustivel!$A$1,MATCH(B4024,tab_tipo_Combustivel!$A$2:$A$150,0),MATCH(A4024,tab_tipo_Combustivel!$B$1:$AQ$1,0),1,1)</f>
        <v>99.08</v>
      </c>
    </row>
    <row r="4025" spans="1:3">
      <c r="A4025" s="3">
        <f t="shared" si="120"/>
        <v>2041</v>
      </c>
      <c r="B4025" s="106">
        <f t="shared" si="121"/>
        <v>302</v>
      </c>
      <c r="C4025" s="107">
        <f ca="1">OFFSET(tab_tipo_Combustivel!$A$1,MATCH(B4025,tab_tipo_Combustivel!$A$2:$A$150,0),MATCH(A4025,tab_tipo_Combustivel!$B$1:$AQ$1,0),1,1)</f>
        <v>103.73</v>
      </c>
    </row>
    <row r="4026" spans="1:3">
      <c r="A4026" s="3">
        <f t="shared" si="120"/>
        <v>2041</v>
      </c>
      <c r="B4026" s="106">
        <f t="shared" si="121"/>
        <v>303</v>
      </c>
      <c r="C4026" s="107">
        <f ca="1">OFFSET(tab_tipo_Combustivel!$A$1,MATCH(B4026,tab_tipo_Combustivel!$A$2:$A$150,0),MATCH(A4026,tab_tipo_Combustivel!$B$1:$AQ$1,0),1,1)</f>
        <v>103.73</v>
      </c>
    </row>
    <row r="4027" spans="1:3">
      <c r="A4027" s="3">
        <f t="shared" si="120"/>
        <v>2041</v>
      </c>
      <c r="B4027" s="106">
        <f t="shared" si="121"/>
        <v>304</v>
      </c>
      <c r="C4027" s="107">
        <f ca="1">OFFSET(tab_tipo_Combustivel!$A$1,MATCH(B4027,tab_tipo_Combustivel!$A$2:$A$150,0),MATCH(A4027,tab_tipo_Combustivel!$B$1:$AQ$1,0),1,1)</f>
        <v>139.41999999999999</v>
      </c>
    </row>
    <row r="4028" spans="1:3">
      <c r="A4028" s="3">
        <f t="shared" si="120"/>
        <v>2041</v>
      </c>
      <c r="B4028" s="106">
        <f t="shared" si="121"/>
        <v>305</v>
      </c>
      <c r="C4028" s="107">
        <f ca="1">OFFSET(tab_tipo_Combustivel!$A$1,MATCH(B4028,tab_tipo_Combustivel!$A$2:$A$150,0),MATCH(A4028,tab_tipo_Combustivel!$B$1:$AQ$1,0),1,1)</f>
        <v>89.7</v>
      </c>
    </row>
    <row r="4029" spans="1:3">
      <c r="A4029" s="3">
        <f t="shared" si="120"/>
        <v>2041</v>
      </c>
      <c r="B4029" s="106">
        <f t="shared" si="121"/>
        <v>306</v>
      </c>
      <c r="C4029" s="107">
        <f ca="1">OFFSET(tab_tipo_Combustivel!$A$1,MATCH(B4029,tab_tipo_Combustivel!$A$2:$A$150,0),MATCH(A4029,tab_tipo_Combustivel!$B$1:$AQ$1,0),1,1)</f>
        <v>100.38</v>
      </c>
    </row>
    <row r="4030" spans="1:3">
      <c r="A4030" s="3">
        <f t="shared" si="120"/>
        <v>2041</v>
      </c>
      <c r="B4030" s="106">
        <f t="shared" si="121"/>
        <v>307</v>
      </c>
      <c r="C4030" s="107">
        <f ca="1">OFFSET(tab_tipo_Combustivel!$A$1,MATCH(B4030,tab_tipo_Combustivel!$A$2:$A$150,0),MATCH(A4030,tab_tipo_Combustivel!$B$1:$AQ$1,0),1,1)</f>
        <v>510.12</v>
      </c>
    </row>
    <row r="4031" spans="1:3">
      <c r="A4031" s="3">
        <f t="shared" si="120"/>
        <v>2041</v>
      </c>
      <c r="B4031" s="106">
        <f t="shared" si="121"/>
        <v>308</v>
      </c>
      <c r="C4031" s="107">
        <f ca="1">OFFSET(tab_tipo_Combustivel!$A$1,MATCH(B4031,tab_tipo_Combustivel!$A$2:$A$150,0),MATCH(A4031,tab_tipo_Combustivel!$B$1:$AQ$1,0),1,1)</f>
        <v>72.5</v>
      </c>
    </row>
    <row r="4032" spans="1:3">
      <c r="A4032" s="3">
        <f t="shared" si="120"/>
        <v>2041</v>
      </c>
      <c r="B4032" s="106">
        <f t="shared" si="121"/>
        <v>309</v>
      </c>
      <c r="C4032" s="107">
        <f ca="1">OFFSET(tab_tipo_Combustivel!$A$1,MATCH(B4032,tab_tipo_Combustivel!$A$2:$A$150,0),MATCH(A4032,tab_tipo_Combustivel!$B$1:$AQ$1,0),1,1)</f>
        <v>126.77</v>
      </c>
    </row>
    <row r="4033" spans="1:3">
      <c r="A4033" s="3">
        <f t="shared" si="120"/>
        <v>2041</v>
      </c>
      <c r="B4033" s="106">
        <f t="shared" si="121"/>
        <v>310</v>
      </c>
      <c r="C4033" s="107">
        <f ca="1">OFFSET(tab_tipo_Combustivel!$A$1,MATCH(B4033,tab_tipo_Combustivel!$A$2:$A$150,0),MATCH(A4033,tab_tipo_Combustivel!$B$1:$AQ$1,0),1,1)</f>
        <v>275.99</v>
      </c>
    </row>
    <row r="4034" spans="1:3">
      <c r="A4034" s="3">
        <f t="shared" si="120"/>
        <v>2041</v>
      </c>
      <c r="B4034" s="106">
        <f t="shared" si="121"/>
        <v>311</v>
      </c>
      <c r="C4034" s="107">
        <f ca="1">OFFSET(tab_tipo_Combustivel!$A$1,MATCH(B4034,tab_tipo_Combustivel!$A$2:$A$150,0),MATCH(A4034,tab_tipo_Combustivel!$B$1:$AQ$1,0),1,1)</f>
        <v>70.66</v>
      </c>
    </row>
    <row r="4035" spans="1:3">
      <c r="A4035" s="3">
        <f t="shared" si="120"/>
        <v>2041</v>
      </c>
      <c r="B4035" s="106">
        <f t="shared" si="121"/>
        <v>312</v>
      </c>
      <c r="C4035" s="107">
        <f ca="1">OFFSET(tab_tipo_Combustivel!$A$1,MATCH(B4035,tab_tipo_Combustivel!$A$2:$A$150,0),MATCH(A4035,tab_tipo_Combustivel!$B$1:$AQ$1,0),1,1)</f>
        <v>0</v>
      </c>
    </row>
    <row r="4036" spans="1:3">
      <c r="A4036" s="3">
        <f t="shared" si="120"/>
        <v>2041</v>
      </c>
      <c r="B4036" s="106">
        <f t="shared" si="121"/>
        <v>1301</v>
      </c>
      <c r="C4036" s="107">
        <f ca="1">OFFSET(tab_tipo_Combustivel!$A$1,MATCH(B4036,tab_tipo_Combustivel!$A$2:$A$150,0),MATCH(A4036,tab_tipo_Combustivel!$B$1:$AQ$1,0),1,1)</f>
        <v>242.05</v>
      </c>
    </row>
    <row r="4037" spans="1:3">
      <c r="A4037" s="3">
        <f t="shared" si="120"/>
        <v>2041</v>
      </c>
      <c r="B4037" s="106">
        <f t="shared" si="121"/>
        <v>1302</v>
      </c>
      <c r="C4037" s="107">
        <f ca="1">OFFSET(tab_tipo_Combustivel!$A$1,MATCH(B4037,tab_tipo_Combustivel!$A$2:$A$150,0),MATCH(A4037,tab_tipo_Combustivel!$B$1:$AQ$1,0),1,1)</f>
        <v>193.64</v>
      </c>
    </row>
    <row r="4038" spans="1:3">
      <c r="A4038" s="3">
        <f t="shared" si="120"/>
        <v>2041</v>
      </c>
      <c r="B4038" s="106">
        <f t="shared" si="121"/>
        <v>1303</v>
      </c>
      <c r="C4038" s="107">
        <f ca="1">OFFSET(tab_tipo_Combustivel!$A$1,MATCH(B4038,tab_tipo_Combustivel!$A$2:$A$150,0),MATCH(A4038,tab_tipo_Combustivel!$B$1:$AQ$1,0),1,1)</f>
        <v>25.58</v>
      </c>
    </row>
    <row r="4039" spans="1:3">
      <c r="A4039" s="3">
        <f t="shared" si="120"/>
        <v>2041</v>
      </c>
      <c r="B4039" s="106">
        <f t="shared" si="121"/>
        <v>1304</v>
      </c>
      <c r="C4039" s="107">
        <f ca="1">OFFSET(tab_tipo_Combustivel!$A$1,MATCH(B4039,tab_tipo_Combustivel!$A$2:$A$150,0),MATCH(A4039,tab_tipo_Combustivel!$B$1:$AQ$1,0),1,1)</f>
        <v>0</v>
      </c>
    </row>
    <row r="4040" spans="1:3">
      <c r="A4040" s="3">
        <f t="shared" si="120"/>
        <v>2041</v>
      </c>
      <c r="B4040" s="106">
        <f t="shared" si="121"/>
        <v>1315</v>
      </c>
      <c r="C4040" s="107">
        <f ca="1">OFFSET(tab_tipo_Combustivel!$A$1,MATCH(B4040,tab_tipo_Combustivel!$A$2:$A$150,0),MATCH(A4040,tab_tipo_Combustivel!$B$1:$AQ$1,0),1,1)</f>
        <v>0</v>
      </c>
    </row>
    <row r="4041" spans="1:3">
      <c r="A4041" s="3">
        <f t="shared" si="120"/>
        <v>2041</v>
      </c>
      <c r="B4041" s="106">
        <f t="shared" si="121"/>
        <v>1316</v>
      </c>
      <c r="C4041" s="107">
        <f ca="1">OFFSET(tab_tipo_Combustivel!$A$1,MATCH(B4041,tab_tipo_Combustivel!$A$2:$A$150,0),MATCH(A4041,tab_tipo_Combustivel!$B$1:$AQ$1,0),1,1)</f>
        <v>0</v>
      </c>
    </row>
    <row r="4042" spans="1:3">
      <c r="A4042" s="3">
        <f t="shared" ref="A4042:A4105" si="122">A3907+1</f>
        <v>2041</v>
      </c>
      <c r="B4042" s="106">
        <f t="shared" ref="B4042:B4105" si="123">B3907</f>
        <v>1318</v>
      </c>
      <c r="C4042" s="107">
        <f ca="1">OFFSET(tab_tipo_Combustivel!$A$1,MATCH(B4042,tab_tipo_Combustivel!$A$2:$A$150,0),MATCH(A4042,tab_tipo_Combustivel!$B$1:$AQ$1,0),1,1)</f>
        <v>150</v>
      </c>
    </row>
    <row r="4043" spans="1:3">
      <c r="A4043" s="3">
        <f t="shared" si="122"/>
        <v>2041</v>
      </c>
      <c r="B4043" s="106">
        <f t="shared" si="123"/>
        <v>1321</v>
      </c>
      <c r="C4043" s="107">
        <f ca="1">OFFSET(tab_tipo_Combustivel!$A$1,MATCH(B4043,tab_tipo_Combustivel!$A$2:$A$150,0),MATCH(A4043,tab_tipo_Combustivel!$B$1:$AQ$1,0),1,1)</f>
        <v>85</v>
      </c>
    </row>
    <row r="4044" spans="1:3">
      <c r="A4044" s="3">
        <f t="shared" si="122"/>
        <v>2041</v>
      </c>
      <c r="B4044" s="106">
        <f t="shared" si="123"/>
        <v>1322</v>
      </c>
      <c r="C4044" s="107">
        <f ca="1">OFFSET(tab_tipo_Combustivel!$A$1,MATCH(B4044,tab_tipo_Combustivel!$A$2:$A$150,0),MATCH(A4044,tab_tipo_Combustivel!$B$1:$AQ$1,0),1,1)</f>
        <v>140</v>
      </c>
    </row>
    <row r="4045" spans="1:3">
      <c r="A4045" s="3">
        <f t="shared" si="122"/>
        <v>2041</v>
      </c>
      <c r="B4045" s="106">
        <f t="shared" si="123"/>
        <v>1323</v>
      </c>
      <c r="C4045" s="107">
        <f ca="1">OFFSET(tab_tipo_Combustivel!$A$1,MATCH(B4045,tab_tipo_Combustivel!$A$2:$A$150,0),MATCH(A4045,tab_tipo_Combustivel!$B$1:$AQ$1,0),1,1)</f>
        <v>63.75</v>
      </c>
    </row>
    <row r="4046" spans="1:3">
      <c r="A4046" s="3">
        <f t="shared" si="122"/>
        <v>2041</v>
      </c>
      <c r="B4046" s="106">
        <f t="shared" si="123"/>
        <v>1325</v>
      </c>
      <c r="C4046" s="107">
        <f ca="1">OFFSET(tab_tipo_Combustivel!$A$1,MATCH(B4046,tab_tipo_Combustivel!$A$2:$A$150,0),MATCH(A4046,tab_tipo_Combustivel!$B$1:$AQ$1,0),1,1)</f>
        <v>0</v>
      </c>
    </row>
    <row r="4047" spans="1:3">
      <c r="A4047" s="3">
        <f t="shared" si="122"/>
        <v>2041</v>
      </c>
      <c r="B4047" s="106">
        <f t="shared" si="123"/>
        <v>1326</v>
      </c>
      <c r="C4047" s="107">
        <f ca="1">OFFSET(tab_tipo_Combustivel!$A$1,MATCH(B4047,tab_tipo_Combustivel!$A$2:$A$150,0),MATCH(A4047,tab_tipo_Combustivel!$B$1:$AQ$1,0),1,1)</f>
        <v>260</v>
      </c>
    </row>
    <row r="4048" spans="1:3">
      <c r="A4048" s="3">
        <f t="shared" si="122"/>
        <v>2041</v>
      </c>
      <c r="B4048" s="106">
        <f t="shared" si="123"/>
        <v>1501</v>
      </c>
      <c r="C4048" s="107">
        <f ca="1">OFFSET(tab_tipo_Combustivel!$A$1,MATCH(B4048,tab_tipo_Combustivel!$A$2:$A$150,0),MATCH(A4048,tab_tipo_Combustivel!$B$1:$AQ$1,0),1,1)</f>
        <v>260</v>
      </c>
    </row>
    <row r="4049" spans="1:3">
      <c r="A4049" s="3">
        <f t="shared" si="122"/>
        <v>2041</v>
      </c>
      <c r="B4049" s="106">
        <f t="shared" si="123"/>
        <v>1502</v>
      </c>
      <c r="C4049" s="107">
        <f ca="1">OFFSET(tab_tipo_Combustivel!$A$1,MATCH(B4049,tab_tipo_Combustivel!$A$2:$A$150,0),MATCH(A4049,tab_tipo_Combustivel!$B$1:$AQ$1,0),1,1)</f>
        <v>60</v>
      </c>
    </row>
    <row r="4050" spans="1:3">
      <c r="A4050" s="3">
        <f t="shared" si="122"/>
        <v>2041</v>
      </c>
      <c r="B4050" s="106">
        <f t="shared" si="123"/>
        <v>1503</v>
      </c>
      <c r="C4050" s="107">
        <f ca="1">OFFSET(tab_tipo_Combustivel!$A$1,MATCH(B4050,tab_tipo_Combustivel!$A$2:$A$150,0),MATCH(A4050,tab_tipo_Combustivel!$B$1:$AQ$1,0),1,1)</f>
        <v>96.82</v>
      </c>
    </row>
    <row r="4051" spans="1:3">
      <c r="A4051" s="3">
        <f t="shared" si="122"/>
        <v>2041</v>
      </c>
      <c r="B4051" s="106">
        <f t="shared" si="123"/>
        <v>1504</v>
      </c>
      <c r="C4051" s="107">
        <f ca="1">OFFSET(tab_tipo_Combustivel!$A$1,MATCH(B4051,tab_tipo_Combustivel!$A$2:$A$150,0),MATCH(A4051,tab_tipo_Combustivel!$B$1:$AQ$1,0),1,1)</f>
        <v>145.22999999999999</v>
      </c>
    </row>
    <row r="4052" spans="1:3">
      <c r="A4052" s="3">
        <f t="shared" si="122"/>
        <v>2042</v>
      </c>
      <c r="B4052" s="106">
        <f t="shared" si="123"/>
        <v>1</v>
      </c>
      <c r="C4052" s="107">
        <f ca="1">OFFSET(tab_tipo_Combustivel!$A$1,MATCH(B4052,tab_tipo_Combustivel!$A$2:$A$150,0),MATCH(A4052,tab_tipo_Combustivel!$B$1:$AQ$1,0),1,1)</f>
        <v>29.13</v>
      </c>
    </row>
    <row r="4053" spans="1:3">
      <c r="A4053" s="3">
        <f t="shared" si="122"/>
        <v>2042</v>
      </c>
      <c r="B4053" s="106">
        <f t="shared" si="123"/>
        <v>2</v>
      </c>
      <c r="C4053" s="107">
        <f ca="1">OFFSET(tab_tipo_Combustivel!$A$1,MATCH(B4053,tab_tipo_Combustivel!$A$2:$A$150,0),MATCH(A4053,tab_tipo_Combustivel!$B$1:$AQ$1,0),1,1)</f>
        <v>842.33</v>
      </c>
    </row>
    <row r="4054" spans="1:3">
      <c r="A4054" s="3">
        <f t="shared" si="122"/>
        <v>2042</v>
      </c>
      <c r="B4054" s="106">
        <f t="shared" si="123"/>
        <v>4</v>
      </c>
      <c r="C4054" s="107">
        <f ca="1">OFFSET(tab_tipo_Combustivel!$A$1,MATCH(B4054,tab_tipo_Combustivel!$A$2:$A$150,0),MATCH(A4054,tab_tipo_Combustivel!$B$1:$AQ$1,0),1,1)</f>
        <v>842.33</v>
      </c>
    </row>
    <row r="4055" spans="1:3">
      <c r="A4055" s="3">
        <f t="shared" si="122"/>
        <v>2042</v>
      </c>
      <c r="B4055" s="106">
        <f t="shared" si="123"/>
        <v>9</v>
      </c>
      <c r="C4055" s="107">
        <f ca="1">OFFSET(tab_tipo_Combustivel!$A$1,MATCH(B4055,tab_tipo_Combustivel!$A$2:$A$150,0),MATCH(A4055,tab_tipo_Combustivel!$B$1:$AQ$1,0),1,1)</f>
        <v>842.33</v>
      </c>
    </row>
    <row r="4056" spans="1:3">
      <c r="A4056" s="3">
        <f t="shared" si="122"/>
        <v>2042</v>
      </c>
      <c r="B4056" s="106">
        <f t="shared" si="123"/>
        <v>12</v>
      </c>
      <c r="C4056" s="107">
        <f ca="1">OFFSET(tab_tipo_Combustivel!$A$1,MATCH(B4056,tab_tipo_Combustivel!$A$2:$A$150,0),MATCH(A4056,tab_tipo_Combustivel!$B$1:$AQ$1,0),1,1)</f>
        <v>728.87</v>
      </c>
    </row>
    <row r="4057" spans="1:3">
      <c r="A4057" s="3">
        <f t="shared" si="122"/>
        <v>2042</v>
      </c>
      <c r="B4057" s="106">
        <f t="shared" si="123"/>
        <v>13</v>
      </c>
      <c r="C4057" s="107">
        <f ca="1">OFFSET(tab_tipo_Combustivel!$A$1,MATCH(B4057,tab_tipo_Combustivel!$A$2:$A$150,0),MATCH(A4057,tab_tipo_Combustivel!$B$1:$AQ$1,0),1,1)</f>
        <v>20.12</v>
      </c>
    </row>
    <row r="4058" spans="1:3">
      <c r="A4058" s="3">
        <f t="shared" si="122"/>
        <v>2042</v>
      </c>
      <c r="B4058" s="106">
        <f t="shared" si="123"/>
        <v>15</v>
      </c>
      <c r="C4058" s="107">
        <f ca="1">OFFSET(tab_tipo_Combustivel!$A$1,MATCH(B4058,tab_tipo_Combustivel!$A$2:$A$150,0),MATCH(A4058,tab_tipo_Combustivel!$B$1:$AQ$1,0),1,1)</f>
        <v>257.29000000000002</v>
      </c>
    </row>
    <row r="4059" spans="1:3">
      <c r="A4059" s="3">
        <f t="shared" si="122"/>
        <v>2042</v>
      </c>
      <c r="B4059" s="106">
        <f t="shared" si="123"/>
        <v>21</v>
      </c>
      <c r="C4059" s="107">
        <f ca="1">OFFSET(tab_tipo_Combustivel!$A$1,MATCH(B4059,tab_tipo_Combustivel!$A$2:$A$150,0),MATCH(A4059,tab_tipo_Combustivel!$B$1:$AQ$1,0),1,1)</f>
        <v>157.83000000000001</v>
      </c>
    </row>
    <row r="4060" spans="1:3">
      <c r="A4060" s="3">
        <f t="shared" si="122"/>
        <v>2042</v>
      </c>
      <c r="B4060" s="106">
        <f t="shared" si="123"/>
        <v>22</v>
      </c>
      <c r="C4060" s="107">
        <f ca="1">OFFSET(tab_tipo_Combustivel!$A$1,MATCH(B4060,tab_tipo_Combustivel!$A$2:$A$150,0),MATCH(A4060,tab_tipo_Combustivel!$B$1:$AQ$1,0),1,1)</f>
        <v>115.9</v>
      </c>
    </row>
    <row r="4061" spans="1:3">
      <c r="A4061" s="3">
        <f t="shared" si="122"/>
        <v>2042</v>
      </c>
      <c r="B4061" s="106">
        <f t="shared" si="123"/>
        <v>23</v>
      </c>
      <c r="C4061" s="107">
        <f ca="1">OFFSET(tab_tipo_Combustivel!$A$1,MATCH(B4061,tab_tipo_Combustivel!$A$2:$A$150,0),MATCH(A4061,tab_tipo_Combustivel!$B$1:$AQ$1,0),1,1)</f>
        <v>115.9</v>
      </c>
    </row>
    <row r="4062" spans="1:3">
      <c r="A4062" s="3">
        <f t="shared" si="122"/>
        <v>2042</v>
      </c>
      <c r="B4062" s="106">
        <f t="shared" si="123"/>
        <v>24</v>
      </c>
      <c r="C4062" s="107">
        <f ca="1">OFFSET(tab_tipo_Combustivel!$A$1,MATCH(B4062,tab_tipo_Combustivel!$A$2:$A$150,0),MATCH(A4062,tab_tipo_Combustivel!$B$1:$AQ$1,0),1,1)</f>
        <v>155.85</v>
      </c>
    </row>
    <row r="4063" spans="1:3">
      <c r="A4063" s="3">
        <f t="shared" si="122"/>
        <v>2042</v>
      </c>
      <c r="B4063" s="106">
        <f t="shared" si="123"/>
        <v>25</v>
      </c>
      <c r="C4063" s="107">
        <f ca="1">OFFSET(tab_tipo_Combustivel!$A$1,MATCH(B4063,tab_tipo_Combustivel!$A$2:$A$150,0),MATCH(A4063,tab_tipo_Combustivel!$B$1:$AQ$1,0),1,1)</f>
        <v>186.33</v>
      </c>
    </row>
    <row r="4064" spans="1:3">
      <c r="A4064" s="3">
        <f t="shared" si="122"/>
        <v>2042</v>
      </c>
      <c r="B4064" s="106">
        <f t="shared" si="123"/>
        <v>26</v>
      </c>
      <c r="C4064" s="107">
        <f ca="1">OFFSET(tab_tipo_Combustivel!$A$1,MATCH(B4064,tab_tipo_Combustivel!$A$2:$A$150,0),MATCH(A4064,tab_tipo_Combustivel!$B$1:$AQ$1,0),1,1)</f>
        <v>258.42</v>
      </c>
    </row>
    <row r="4065" spans="1:3">
      <c r="A4065" s="3">
        <f t="shared" si="122"/>
        <v>2042</v>
      </c>
      <c r="B4065" s="106">
        <f t="shared" si="123"/>
        <v>27</v>
      </c>
      <c r="C4065" s="107">
        <f ca="1">OFFSET(tab_tipo_Combustivel!$A$1,MATCH(B4065,tab_tipo_Combustivel!$A$2:$A$150,0),MATCH(A4065,tab_tipo_Combustivel!$B$1:$AQ$1,0),1,1)</f>
        <v>195.49</v>
      </c>
    </row>
    <row r="4066" spans="1:3">
      <c r="A4066" s="3">
        <f t="shared" si="122"/>
        <v>2042</v>
      </c>
      <c r="B4066" s="106">
        <f t="shared" si="123"/>
        <v>28</v>
      </c>
      <c r="C4066" s="107">
        <f ca="1">OFFSET(tab_tipo_Combustivel!$A$1,MATCH(B4066,tab_tipo_Combustivel!$A$2:$A$150,0),MATCH(A4066,tab_tipo_Combustivel!$B$1:$AQ$1,0),1,1)</f>
        <v>459.92</v>
      </c>
    </row>
    <row r="4067" spans="1:3">
      <c r="A4067" s="3">
        <f t="shared" si="122"/>
        <v>2042</v>
      </c>
      <c r="B4067" s="106">
        <f t="shared" si="123"/>
        <v>32</v>
      </c>
      <c r="C4067" s="107">
        <f ca="1">OFFSET(tab_tipo_Combustivel!$A$1,MATCH(B4067,tab_tipo_Combustivel!$A$2:$A$150,0),MATCH(A4067,tab_tipo_Combustivel!$B$1:$AQ$1,0),1,1)</f>
        <v>248.31</v>
      </c>
    </row>
    <row r="4068" spans="1:3">
      <c r="A4068" s="3">
        <f t="shared" si="122"/>
        <v>2042</v>
      </c>
      <c r="B4068" s="106">
        <f t="shared" si="123"/>
        <v>34</v>
      </c>
      <c r="C4068" s="107">
        <f ca="1">OFFSET(tab_tipo_Combustivel!$A$1,MATCH(B4068,tab_tipo_Combustivel!$A$2:$A$150,0),MATCH(A4068,tab_tipo_Combustivel!$B$1:$AQ$1,0),1,1)</f>
        <v>423.38</v>
      </c>
    </row>
    <row r="4069" spans="1:3">
      <c r="A4069" s="3">
        <f t="shared" si="122"/>
        <v>2042</v>
      </c>
      <c r="B4069" s="106">
        <f t="shared" si="123"/>
        <v>35</v>
      </c>
      <c r="C4069" s="107">
        <f ca="1">OFFSET(tab_tipo_Combustivel!$A$1,MATCH(B4069,tab_tipo_Combustivel!$A$2:$A$150,0),MATCH(A4069,tab_tipo_Combustivel!$B$1:$AQ$1,0),1,1)</f>
        <v>692.45</v>
      </c>
    </row>
    <row r="4070" spans="1:3">
      <c r="A4070" s="3">
        <f t="shared" si="122"/>
        <v>2042</v>
      </c>
      <c r="B4070" s="106">
        <f t="shared" si="123"/>
        <v>36</v>
      </c>
      <c r="C4070" s="107">
        <f ca="1">OFFSET(tab_tipo_Combustivel!$A$1,MATCH(B4070,tab_tipo_Combustivel!$A$2:$A$150,0),MATCH(A4070,tab_tipo_Combustivel!$B$1:$AQ$1,0),1,1)</f>
        <v>157.83000000000001</v>
      </c>
    </row>
    <row r="4071" spans="1:3">
      <c r="A4071" s="3">
        <f t="shared" si="122"/>
        <v>2042</v>
      </c>
      <c r="B4071" s="106">
        <f t="shared" si="123"/>
        <v>42</v>
      </c>
      <c r="C4071" s="107">
        <f ca="1">OFFSET(tab_tipo_Combustivel!$A$1,MATCH(B4071,tab_tipo_Combustivel!$A$2:$A$150,0),MATCH(A4071,tab_tipo_Combustivel!$B$1:$AQ$1,0),1,1)</f>
        <v>199.22</v>
      </c>
    </row>
    <row r="4072" spans="1:3">
      <c r="A4072" s="3">
        <f t="shared" si="122"/>
        <v>2042</v>
      </c>
      <c r="B4072" s="106">
        <f t="shared" si="123"/>
        <v>43</v>
      </c>
      <c r="C4072" s="107">
        <f ca="1">OFFSET(tab_tipo_Combustivel!$A$1,MATCH(B4072,tab_tipo_Combustivel!$A$2:$A$150,0),MATCH(A4072,tab_tipo_Combustivel!$B$1:$AQ$1,0),1,1)</f>
        <v>431.62</v>
      </c>
    </row>
    <row r="4073" spans="1:3">
      <c r="A4073" s="3">
        <f t="shared" si="122"/>
        <v>2042</v>
      </c>
      <c r="B4073" s="106">
        <f t="shared" si="123"/>
        <v>44</v>
      </c>
      <c r="C4073" s="107">
        <f ca="1">OFFSET(tab_tipo_Combustivel!$A$1,MATCH(B4073,tab_tipo_Combustivel!$A$2:$A$150,0),MATCH(A4073,tab_tipo_Combustivel!$B$1:$AQ$1,0),1,1)</f>
        <v>25.58</v>
      </c>
    </row>
    <row r="4074" spans="1:3">
      <c r="A4074" s="3">
        <f t="shared" si="122"/>
        <v>2042</v>
      </c>
      <c r="B4074" s="106">
        <f t="shared" si="123"/>
        <v>46</v>
      </c>
      <c r="C4074" s="107">
        <f ca="1">OFFSET(tab_tipo_Combustivel!$A$1,MATCH(B4074,tab_tipo_Combustivel!$A$2:$A$150,0),MATCH(A4074,tab_tipo_Combustivel!$B$1:$AQ$1,0),1,1)</f>
        <v>228.91</v>
      </c>
    </row>
    <row r="4075" spans="1:3">
      <c r="A4075" s="3">
        <f t="shared" si="122"/>
        <v>2042</v>
      </c>
      <c r="B4075" s="106">
        <f t="shared" si="123"/>
        <v>47</v>
      </c>
      <c r="C4075" s="107">
        <f ca="1">OFFSET(tab_tipo_Combustivel!$A$1,MATCH(B4075,tab_tipo_Combustivel!$A$2:$A$150,0),MATCH(A4075,tab_tipo_Combustivel!$B$1:$AQ$1,0),1,1)</f>
        <v>235.6</v>
      </c>
    </row>
    <row r="4076" spans="1:3">
      <c r="A4076" s="3">
        <f t="shared" si="122"/>
        <v>2042</v>
      </c>
      <c r="B4076" s="106">
        <f t="shared" si="123"/>
        <v>48</v>
      </c>
      <c r="C4076" s="107">
        <f ca="1">OFFSET(tab_tipo_Combustivel!$A$1,MATCH(B4076,tab_tipo_Combustivel!$A$2:$A$150,0),MATCH(A4076,tab_tipo_Combustivel!$B$1:$AQ$1,0),1,1)</f>
        <v>1012.12</v>
      </c>
    </row>
    <row r="4077" spans="1:3">
      <c r="A4077" s="3">
        <f t="shared" si="122"/>
        <v>2042</v>
      </c>
      <c r="B4077" s="106">
        <f t="shared" si="123"/>
        <v>50</v>
      </c>
      <c r="C4077" s="107">
        <f ca="1">OFFSET(tab_tipo_Combustivel!$A$1,MATCH(B4077,tab_tipo_Combustivel!$A$2:$A$150,0),MATCH(A4077,tab_tipo_Combustivel!$B$1:$AQ$1,0),1,1)</f>
        <v>669.87</v>
      </c>
    </row>
    <row r="4078" spans="1:3">
      <c r="A4078" s="3">
        <f t="shared" si="122"/>
        <v>2042</v>
      </c>
      <c r="B4078" s="106">
        <f t="shared" si="123"/>
        <v>54</v>
      </c>
      <c r="C4078" s="107">
        <f ca="1">OFFSET(tab_tipo_Combustivel!$A$1,MATCH(B4078,tab_tipo_Combustivel!$A$2:$A$150,0),MATCH(A4078,tab_tipo_Combustivel!$B$1:$AQ$1,0),1,1)</f>
        <v>304.55</v>
      </c>
    </row>
    <row r="4079" spans="1:3">
      <c r="A4079" s="3">
        <f t="shared" si="122"/>
        <v>2042</v>
      </c>
      <c r="B4079" s="106">
        <f t="shared" si="123"/>
        <v>58</v>
      </c>
      <c r="C4079" s="107">
        <f ca="1">OFFSET(tab_tipo_Combustivel!$A$1,MATCH(B4079,tab_tipo_Combustivel!$A$2:$A$150,0),MATCH(A4079,tab_tipo_Combustivel!$B$1:$AQ$1,0),1,1)</f>
        <v>300.05</v>
      </c>
    </row>
    <row r="4080" spans="1:3">
      <c r="A4080" s="3">
        <f t="shared" si="122"/>
        <v>2042</v>
      </c>
      <c r="B4080" s="106">
        <f t="shared" si="123"/>
        <v>62</v>
      </c>
      <c r="C4080" s="107">
        <f ca="1">OFFSET(tab_tipo_Combustivel!$A$1,MATCH(B4080,tab_tipo_Combustivel!$A$2:$A$150,0),MATCH(A4080,tab_tipo_Combustivel!$B$1:$AQ$1,0),1,1)</f>
        <v>309.24</v>
      </c>
    </row>
    <row r="4081" spans="1:3">
      <c r="A4081" s="3">
        <f t="shared" si="122"/>
        <v>2042</v>
      </c>
      <c r="B4081" s="106">
        <f t="shared" si="123"/>
        <v>63</v>
      </c>
      <c r="C4081" s="107">
        <f ca="1">OFFSET(tab_tipo_Combustivel!$A$1,MATCH(B4081,tab_tipo_Combustivel!$A$2:$A$150,0),MATCH(A4081,tab_tipo_Combustivel!$B$1:$AQ$1,0),1,1)</f>
        <v>365.77</v>
      </c>
    </row>
    <row r="4082" spans="1:3">
      <c r="A4082" s="3">
        <f t="shared" si="122"/>
        <v>2042</v>
      </c>
      <c r="B4082" s="106">
        <f t="shared" si="123"/>
        <v>64</v>
      </c>
      <c r="C4082" s="107">
        <f ca="1">OFFSET(tab_tipo_Combustivel!$A$1,MATCH(B4082,tab_tipo_Combustivel!$A$2:$A$150,0),MATCH(A4082,tab_tipo_Combustivel!$B$1:$AQ$1,0),1,1)</f>
        <v>853.54</v>
      </c>
    </row>
    <row r="4083" spans="1:3">
      <c r="A4083" s="3">
        <f t="shared" si="122"/>
        <v>2042</v>
      </c>
      <c r="B4083" s="106">
        <f t="shared" si="123"/>
        <v>68</v>
      </c>
      <c r="C4083" s="107">
        <f ca="1">OFFSET(tab_tipo_Combustivel!$A$1,MATCH(B4083,tab_tipo_Combustivel!$A$2:$A$150,0),MATCH(A4083,tab_tipo_Combustivel!$B$1:$AQ$1,0),1,1)</f>
        <v>195.63</v>
      </c>
    </row>
    <row r="4084" spans="1:3">
      <c r="A4084" s="3">
        <f t="shared" si="122"/>
        <v>2042</v>
      </c>
      <c r="B4084" s="106">
        <f t="shared" si="123"/>
        <v>74</v>
      </c>
      <c r="C4084" s="107">
        <f ca="1">OFFSET(tab_tipo_Combustivel!$A$1,MATCH(B4084,tab_tipo_Combustivel!$A$2:$A$150,0),MATCH(A4084,tab_tipo_Combustivel!$B$1:$AQ$1,0),1,1)</f>
        <v>364.46</v>
      </c>
    </row>
    <row r="4085" spans="1:3">
      <c r="A4085" s="3">
        <f t="shared" si="122"/>
        <v>2042</v>
      </c>
      <c r="B4085" s="106">
        <f t="shared" si="123"/>
        <v>83</v>
      </c>
      <c r="C4085" s="107">
        <f ca="1">OFFSET(tab_tipo_Combustivel!$A$1,MATCH(B4085,tab_tipo_Combustivel!$A$2:$A$150,0),MATCH(A4085,tab_tipo_Combustivel!$B$1:$AQ$1,0),1,1)</f>
        <v>448.1</v>
      </c>
    </row>
    <row r="4086" spans="1:3">
      <c r="A4086" s="3">
        <f t="shared" si="122"/>
        <v>2042</v>
      </c>
      <c r="B4086" s="106">
        <f t="shared" si="123"/>
        <v>86</v>
      </c>
      <c r="C4086" s="107">
        <f ca="1">OFFSET(tab_tipo_Combustivel!$A$1,MATCH(B4086,tab_tipo_Combustivel!$A$2:$A$150,0),MATCH(A4086,tab_tipo_Combustivel!$B$1:$AQ$1,0),1,1)</f>
        <v>170.34</v>
      </c>
    </row>
    <row r="4087" spans="1:3">
      <c r="A4087" s="3">
        <f t="shared" si="122"/>
        <v>2042</v>
      </c>
      <c r="B4087" s="106">
        <f t="shared" si="123"/>
        <v>90</v>
      </c>
      <c r="C4087" s="107">
        <f ca="1">OFFSET(tab_tipo_Combustivel!$A$1,MATCH(B4087,tab_tipo_Combustivel!$A$2:$A$150,0),MATCH(A4087,tab_tipo_Combustivel!$B$1:$AQ$1,0),1,1)</f>
        <v>533.1</v>
      </c>
    </row>
    <row r="4088" spans="1:3">
      <c r="A4088" s="3">
        <f t="shared" si="122"/>
        <v>2042</v>
      </c>
      <c r="B4088" s="106">
        <f t="shared" si="123"/>
        <v>93</v>
      </c>
      <c r="C4088" s="107">
        <f ca="1">OFFSET(tab_tipo_Combustivel!$A$1,MATCH(B4088,tab_tipo_Combustivel!$A$2:$A$150,0),MATCH(A4088,tab_tipo_Combustivel!$B$1:$AQ$1,0),1,1)</f>
        <v>842.33</v>
      </c>
    </row>
    <row r="4089" spans="1:3">
      <c r="A4089" s="3">
        <f t="shared" si="122"/>
        <v>2042</v>
      </c>
      <c r="B4089" s="106">
        <f t="shared" si="123"/>
        <v>94</v>
      </c>
      <c r="C4089" s="107">
        <f ca="1">OFFSET(tab_tipo_Combustivel!$A$1,MATCH(B4089,tab_tipo_Combustivel!$A$2:$A$150,0),MATCH(A4089,tab_tipo_Combustivel!$B$1:$AQ$1,0),1,1)</f>
        <v>842.33</v>
      </c>
    </row>
    <row r="4090" spans="1:3">
      <c r="A4090" s="3">
        <f t="shared" si="122"/>
        <v>2042</v>
      </c>
      <c r="B4090" s="106">
        <f t="shared" si="123"/>
        <v>96</v>
      </c>
      <c r="C4090" s="107">
        <f ca="1">OFFSET(tab_tipo_Combustivel!$A$1,MATCH(B4090,tab_tipo_Combustivel!$A$2:$A$150,0),MATCH(A4090,tab_tipo_Combustivel!$B$1:$AQ$1,0),1,1)</f>
        <v>99.92</v>
      </c>
    </row>
    <row r="4091" spans="1:3">
      <c r="A4091" s="3">
        <f t="shared" si="122"/>
        <v>2042</v>
      </c>
      <c r="B4091" s="106">
        <f t="shared" si="123"/>
        <v>98</v>
      </c>
      <c r="C4091" s="107">
        <f ca="1">OFFSET(tab_tipo_Combustivel!$A$1,MATCH(B4091,tab_tipo_Combustivel!$A$2:$A$150,0),MATCH(A4091,tab_tipo_Combustivel!$B$1:$AQ$1,0),1,1)</f>
        <v>489.8</v>
      </c>
    </row>
    <row r="4092" spans="1:3">
      <c r="A4092" s="3">
        <f t="shared" si="122"/>
        <v>2042</v>
      </c>
      <c r="B4092" s="106">
        <f t="shared" si="123"/>
        <v>107</v>
      </c>
      <c r="C4092" s="107">
        <f ca="1">OFFSET(tab_tipo_Combustivel!$A$1,MATCH(B4092,tab_tipo_Combustivel!$A$2:$A$150,0),MATCH(A4092,tab_tipo_Combustivel!$B$1:$AQ$1,0),1,1)</f>
        <v>57.63</v>
      </c>
    </row>
    <row r="4093" spans="1:3">
      <c r="A4093" s="3">
        <f t="shared" si="122"/>
        <v>2042</v>
      </c>
      <c r="B4093" s="106">
        <f t="shared" si="123"/>
        <v>110</v>
      </c>
      <c r="C4093" s="107">
        <f ca="1">OFFSET(tab_tipo_Combustivel!$A$1,MATCH(B4093,tab_tipo_Combustivel!$A$2:$A$150,0),MATCH(A4093,tab_tipo_Combustivel!$B$1:$AQ$1,0),1,1)</f>
        <v>568.29</v>
      </c>
    </row>
    <row r="4094" spans="1:3">
      <c r="A4094" s="3">
        <f t="shared" si="122"/>
        <v>2042</v>
      </c>
      <c r="B4094" s="106">
        <f t="shared" si="123"/>
        <v>116</v>
      </c>
      <c r="C4094" s="107">
        <f ca="1">OFFSET(tab_tipo_Combustivel!$A$1,MATCH(B4094,tab_tipo_Combustivel!$A$2:$A$150,0),MATCH(A4094,tab_tipo_Combustivel!$B$1:$AQ$1,0),1,1)</f>
        <v>117.46</v>
      </c>
    </row>
    <row r="4095" spans="1:3">
      <c r="A4095" s="3">
        <f t="shared" si="122"/>
        <v>2042</v>
      </c>
      <c r="B4095" s="106">
        <f t="shared" si="123"/>
        <v>140</v>
      </c>
      <c r="C4095" s="107">
        <f ca="1">OFFSET(tab_tipo_Combustivel!$A$1,MATCH(B4095,tab_tipo_Combustivel!$A$2:$A$150,0),MATCH(A4095,tab_tipo_Combustivel!$B$1:$AQ$1,0),1,1)</f>
        <v>88.11</v>
      </c>
    </row>
    <row r="4096" spans="1:3">
      <c r="A4096" s="3">
        <f t="shared" si="122"/>
        <v>2042</v>
      </c>
      <c r="B4096" s="106">
        <f t="shared" si="123"/>
        <v>141</v>
      </c>
      <c r="C4096" s="107">
        <f ca="1">OFFSET(tab_tipo_Combustivel!$A$1,MATCH(B4096,tab_tipo_Combustivel!$A$2:$A$150,0),MATCH(A4096,tab_tipo_Combustivel!$B$1:$AQ$1,0),1,1)</f>
        <v>1280.52</v>
      </c>
    </row>
    <row r="4097" spans="1:3">
      <c r="A4097" s="3">
        <f t="shared" si="122"/>
        <v>2042</v>
      </c>
      <c r="B4097" s="106">
        <f t="shared" si="123"/>
        <v>147</v>
      </c>
      <c r="C4097" s="107">
        <f ca="1">OFFSET(tab_tipo_Combustivel!$A$1,MATCH(B4097,tab_tipo_Combustivel!$A$2:$A$150,0),MATCH(A4097,tab_tipo_Combustivel!$B$1:$AQ$1,0),1,1)</f>
        <v>134.18</v>
      </c>
    </row>
    <row r="4098" spans="1:3">
      <c r="A4098" s="3">
        <f t="shared" si="122"/>
        <v>2042</v>
      </c>
      <c r="B4098" s="106">
        <f t="shared" si="123"/>
        <v>156</v>
      </c>
      <c r="C4098" s="107">
        <f ca="1">OFFSET(tab_tipo_Combustivel!$A$1,MATCH(B4098,tab_tipo_Combustivel!$A$2:$A$150,0),MATCH(A4098,tab_tipo_Combustivel!$B$1:$AQ$1,0),1,1)</f>
        <v>77.12</v>
      </c>
    </row>
    <row r="4099" spans="1:3">
      <c r="A4099" s="3">
        <f t="shared" si="122"/>
        <v>2042</v>
      </c>
      <c r="B4099" s="106">
        <f t="shared" si="123"/>
        <v>163</v>
      </c>
      <c r="C4099" s="107">
        <f ca="1">OFFSET(tab_tipo_Combustivel!$A$1,MATCH(B4099,tab_tipo_Combustivel!$A$2:$A$150,0),MATCH(A4099,tab_tipo_Combustivel!$B$1:$AQ$1,0),1,1)</f>
        <v>156.69999999999999</v>
      </c>
    </row>
    <row r="4100" spans="1:3">
      <c r="A4100" s="3">
        <f t="shared" si="122"/>
        <v>2042</v>
      </c>
      <c r="B4100" s="106">
        <f t="shared" si="123"/>
        <v>167</v>
      </c>
      <c r="C4100" s="107">
        <f ca="1">OFFSET(tab_tipo_Combustivel!$A$1,MATCH(B4100,tab_tipo_Combustivel!$A$2:$A$150,0),MATCH(A4100,tab_tipo_Combustivel!$B$1:$AQ$1,0),1,1)</f>
        <v>144.66999999999999</v>
      </c>
    </row>
    <row r="4101" spans="1:3">
      <c r="A4101" s="3">
        <f t="shared" si="122"/>
        <v>2042</v>
      </c>
      <c r="B4101" s="106">
        <f t="shared" si="123"/>
        <v>171</v>
      </c>
      <c r="C4101" s="107">
        <f ca="1">OFFSET(tab_tipo_Combustivel!$A$1,MATCH(B4101,tab_tipo_Combustivel!$A$2:$A$150,0),MATCH(A4101,tab_tipo_Combustivel!$B$1:$AQ$1,0),1,1)</f>
        <v>88</v>
      </c>
    </row>
    <row r="4102" spans="1:3">
      <c r="A4102" s="3">
        <f t="shared" si="122"/>
        <v>2042</v>
      </c>
      <c r="B4102" s="106">
        <f t="shared" si="123"/>
        <v>172</v>
      </c>
      <c r="C4102" s="107">
        <f ca="1">OFFSET(tab_tipo_Combustivel!$A$1,MATCH(B4102,tab_tipo_Combustivel!$A$2:$A$150,0),MATCH(A4102,tab_tipo_Combustivel!$B$1:$AQ$1,0),1,1)</f>
        <v>99.97</v>
      </c>
    </row>
    <row r="4103" spans="1:3">
      <c r="A4103" s="3">
        <f t="shared" si="122"/>
        <v>2042</v>
      </c>
      <c r="B4103" s="106">
        <f t="shared" si="123"/>
        <v>173</v>
      </c>
      <c r="C4103" s="107">
        <f ca="1">OFFSET(tab_tipo_Combustivel!$A$1,MATCH(B4103,tab_tipo_Combustivel!$A$2:$A$150,0),MATCH(A4103,tab_tipo_Combustivel!$B$1:$AQ$1,0),1,1)</f>
        <v>192.03</v>
      </c>
    </row>
    <row r="4104" spans="1:3">
      <c r="A4104" s="3">
        <f t="shared" si="122"/>
        <v>2042</v>
      </c>
      <c r="B4104" s="106">
        <f t="shared" si="123"/>
        <v>174</v>
      </c>
      <c r="C4104" s="107">
        <f ca="1">OFFSET(tab_tipo_Combustivel!$A$1,MATCH(B4104,tab_tipo_Combustivel!$A$2:$A$150,0),MATCH(A4104,tab_tipo_Combustivel!$B$1:$AQ$1,0),1,1)</f>
        <v>331.22</v>
      </c>
    </row>
    <row r="4105" spans="1:3">
      <c r="A4105" s="3">
        <f t="shared" si="122"/>
        <v>2042</v>
      </c>
      <c r="B4105" s="106">
        <f t="shared" si="123"/>
        <v>176</v>
      </c>
      <c r="C4105" s="107">
        <f ca="1">OFFSET(tab_tipo_Combustivel!$A$1,MATCH(B4105,tab_tipo_Combustivel!$A$2:$A$150,0),MATCH(A4105,tab_tipo_Combustivel!$B$1:$AQ$1,0),1,1)</f>
        <v>149.47999999999999</v>
      </c>
    </row>
    <row r="4106" spans="1:3">
      <c r="A4106" s="3">
        <f t="shared" ref="A4106:A4169" si="124">A3971+1</f>
        <v>2042</v>
      </c>
      <c r="B4106" s="106">
        <f t="shared" ref="B4106:B4169" si="125">B3971</f>
        <v>183</v>
      </c>
      <c r="C4106" s="107">
        <f ca="1">OFFSET(tab_tipo_Combustivel!$A$1,MATCH(B4106,tab_tipo_Combustivel!$A$2:$A$150,0),MATCH(A4106,tab_tipo_Combustivel!$B$1:$AQ$1,0),1,1)</f>
        <v>171.61</v>
      </c>
    </row>
    <row r="4107" spans="1:3">
      <c r="A4107" s="3">
        <f t="shared" si="124"/>
        <v>2042</v>
      </c>
      <c r="B4107" s="106">
        <f t="shared" si="125"/>
        <v>194</v>
      </c>
      <c r="C4107" s="107">
        <f ca="1">OFFSET(tab_tipo_Combustivel!$A$1,MATCH(B4107,tab_tipo_Combustivel!$A$2:$A$150,0),MATCH(A4107,tab_tipo_Combustivel!$B$1:$AQ$1,0),1,1)</f>
        <v>1098.58</v>
      </c>
    </row>
    <row r="4108" spans="1:3">
      <c r="A4108" s="3">
        <f t="shared" si="124"/>
        <v>2042</v>
      </c>
      <c r="B4108" s="106">
        <f t="shared" si="125"/>
        <v>203</v>
      </c>
      <c r="C4108" s="107">
        <f ca="1">OFFSET(tab_tipo_Combustivel!$A$1,MATCH(B4108,tab_tipo_Combustivel!$A$2:$A$150,0),MATCH(A4108,tab_tipo_Combustivel!$B$1:$AQ$1,0),1,1)</f>
        <v>0</v>
      </c>
    </row>
    <row r="4109" spans="1:3">
      <c r="A4109" s="3">
        <f t="shared" si="124"/>
        <v>2042</v>
      </c>
      <c r="B4109" s="106">
        <f t="shared" si="125"/>
        <v>204</v>
      </c>
      <c r="C4109" s="107">
        <f ca="1">OFFSET(tab_tipo_Combustivel!$A$1,MATCH(B4109,tab_tipo_Combustivel!$A$2:$A$150,0),MATCH(A4109,tab_tipo_Combustivel!$B$1:$AQ$1,0),1,1)</f>
        <v>0</v>
      </c>
    </row>
    <row r="4110" spans="1:3">
      <c r="A4110" s="3">
        <f t="shared" si="124"/>
        <v>2042</v>
      </c>
      <c r="B4110" s="106">
        <f t="shared" si="125"/>
        <v>205</v>
      </c>
      <c r="C4110" s="107">
        <f ca="1">OFFSET(tab_tipo_Combustivel!$A$1,MATCH(B4110,tab_tipo_Combustivel!$A$2:$A$150,0),MATCH(A4110,tab_tipo_Combustivel!$B$1:$AQ$1,0),1,1)</f>
        <v>0</v>
      </c>
    </row>
    <row r="4111" spans="1:3">
      <c r="A4111" s="3">
        <f t="shared" si="124"/>
        <v>2042</v>
      </c>
      <c r="B4111" s="106">
        <f t="shared" si="125"/>
        <v>207</v>
      </c>
      <c r="C4111" s="107">
        <f ca="1">OFFSET(tab_tipo_Combustivel!$A$1,MATCH(B4111,tab_tipo_Combustivel!$A$2:$A$150,0),MATCH(A4111,tab_tipo_Combustivel!$B$1:$AQ$1,0),1,1)</f>
        <v>0</v>
      </c>
    </row>
    <row r="4112" spans="1:3">
      <c r="A4112" s="3">
        <f t="shared" si="124"/>
        <v>2042</v>
      </c>
      <c r="B4112" s="106">
        <f t="shared" si="125"/>
        <v>208</v>
      </c>
      <c r="C4112" s="107">
        <f ca="1">OFFSET(tab_tipo_Combustivel!$A$1,MATCH(B4112,tab_tipo_Combustivel!$A$2:$A$150,0),MATCH(A4112,tab_tipo_Combustivel!$B$1:$AQ$1,0),1,1)</f>
        <v>783.64</v>
      </c>
    </row>
    <row r="4113" spans="1:3">
      <c r="A4113" s="3">
        <f t="shared" si="124"/>
        <v>2042</v>
      </c>
      <c r="B4113" s="106">
        <f t="shared" si="125"/>
        <v>209</v>
      </c>
      <c r="C4113" s="107">
        <f ca="1">OFFSET(tab_tipo_Combustivel!$A$1,MATCH(B4113,tab_tipo_Combustivel!$A$2:$A$150,0),MATCH(A4113,tab_tipo_Combustivel!$B$1:$AQ$1,0),1,1)</f>
        <v>0</v>
      </c>
    </row>
    <row r="4114" spans="1:3">
      <c r="A4114" s="3">
        <f t="shared" si="124"/>
        <v>2042</v>
      </c>
      <c r="B4114" s="106">
        <f t="shared" si="125"/>
        <v>211</v>
      </c>
      <c r="C4114" s="107">
        <f ca="1">OFFSET(tab_tipo_Combustivel!$A$1,MATCH(B4114,tab_tipo_Combustivel!$A$2:$A$150,0),MATCH(A4114,tab_tipo_Combustivel!$B$1:$AQ$1,0),1,1)</f>
        <v>150.79</v>
      </c>
    </row>
    <row r="4115" spans="1:3">
      <c r="A4115" s="3">
        <f t="shared" si="124"/>
        <v>2042</v>
      </c>
      <c r="B4115" s="106">
        <f t="shared" si="125"/>
        <v>212</v>
      </c>
      <c r="C4115" s="107">
        <f ca="1">OFFSET(tab_tipo_Combustivel!$A$1,MATCH(B4115,tab_tipo_Combustivel!$A$2:$A$150,0),MATCH(A4115,tab_tipo_Combustivel!$B$1:$AQ$1,0),1,1)</f>
        <v>84.58</v>
      </c>
    </row>
    <row r="4116" spans="1:3">
      <c r="A4116" s="3">
        <f t="shared" si="124"/>
        <v>2042</v>
      </c>
      <c r="B4116" s="106">
        <f t="shared" si="125"/>
        <v>224</v>
      </c>
      <c r="C4116" s="107">
        <f ca="1">OFFSET(tab_tipo_Combustivel!$A$1,MATCH(B4116,tab_tipo_Combustivel!$A$2:$A$150,0),MATCH(A4116,tab_tipo_Combustivel!$B$1:$AQ$1,0),1,1)</f>
        <v>31.08</v>
      </c>
    </row>
    <row r="4117" spans="1:3">
      <c r="A4117" s="3">
        <f t="shared" si="124"/>
        <v>2042</v>
      </c>
      <c r="B4117" s="106">
        <f t="shared" si="125"/>
        <v>225</v>
      </c>
      <c r="C4117" s="107">
        <f ca="1">OFFSET(tab_tipo_Combustivel!$A$1,MATCH(B4117,tab_tipo_Combustivel!$A$2:$A$150,0),MATCH(A4117,tab_tipo_Combustivel!$B$1:$AQ$1,0),1,1)</f>
        <v>1329.7</v>
      </c>
    </row>
    <row r="4118" spans="1:3">
      <c r="A4118" s="3">
        <f t="shared" si="124"/>
        <v>2042</v>
      </c>
      <c r="B4118" s="106">
        <f t="shared" si="125"/>
        <v>226</v>
      </c>
      <c r="C4118" s="107">
        <f ca="1">OFFSET(tab_tipo_Combustivel!$A$1,MATCH(B4118,tab_tipo_Combustivel!$A$2:$A$150,0),MATCH(A4118,tab_tipo_Combustivel!$B$1:$AQ$1,0),1,1)</f>
        <v>1061.1300000000001</v>
      </c>
    </row>
    <row r="4119" spans="1:3">
      <c r="A4119" s="3">
        <f t="shared" si="124"/>
        <v>2042</v>
      </c>
      <c r="B4119" s="106">
        <f t="shared" si="125"/>
        <v>227</v>
      </c>
      <c r="C4119" s="107">
        <f ca="1">OFFSET(tab_tipo_Combustivel!$A$1,MATCH(B4119,tab_tipo_Combustivel!$A$2:$A$150,0),MATCH(A4119,tab_tipo_Combustivel!$B$1:$AQ$1,0),1,1)</f>
        <v>447.52</v>
      </c>
    </row>
    <row r="4120" spans="1:3">
      <c r="A4120" s="3">
        <f t="shared" si="124"/>
        <v>2042</v>
      </c>
      <c r="B4120" s="106">
        <f t="shared" si="125"/>
        <v>228</v>
      </c>
      <c r="C4120" s="107">
        <f ca="1">OFFSET(tab_tipo_Combustivel!$A$1,MATCH(B4120,tab_tipo_Combustivel!$A$2:$A$150,0),MATCH(A4120,tab_tipo_Combustivel!$B$1:$AQ$1,0),1,1)</f>
        <v>1061.1400000000001</v>
      </c>
    </row>
    <row r="4121" spans="1:3">
      <c r="A4121" s="3">
        <f t="shared" si="124"/>
        <v>2042</v>
      </c>
      <c r="B4121" s="106">
        <f t="shared" si="125"/>
        <v>229</v>
      </c>
      <c r="C4121" s="107">
        <f ca="1">OFFSET(tab_tipo_Combustivel!$A$1,MATCH(B4121,tab_tipo_Combustivel!$A$2:$A$150,0),MATCH(A4121,tab_tipo_Combustivel!$B$1:$AQ$1,0),1,1)</f>
        <v>942.05</v>
      </c>
    </row>
    <row r="4122" spans="1:3">
      <c r="A4122" s="3">
        <f t="shared" si="124"/>
        <v>2042</v>
      </c>
      <c r="B4122" s="106">
        <f t="shared" si="125"/>
        <v>230</v>
      </c>
      <c r="C4122" s="107">
        <f ca="1">OFFSET(tab_tipo_Combustivel!$A$1,MATCH(B4122,tab_tipo_Combustivel!$A$2:$A$150,0),MATCH(A4122,tab_tipo_Combustivel!$B$1:$AQ$1,0),1,1)</f>
        <v>495.06</v>
      </c>
    </row>
    <row r="4123" spans="1:3">
      <c r="A4123" s="3">
        <f t="shared" si="124"/>
        <v>2042</v>
      </c>
      <c r="B4123" s="106">
        <f t="shared" si="125"/>
        <v>231</v>
      </c>
      <c r="C4123" s="107">
        <f ca="1">OFFSET(tab_tipo_Combustivel!$A$1,MATCH(B4123,tab_tipo_Combustivel!$A$2:$A$150,0),MATCH(A4123,tab_tipo_Combustivel!$B$1:$AQ$1,0),1,1)</f>
        <v>489.29</v>
      </c>
    </row>
    <row r="4124" spans="1:3">
      <c r="A4124" s="3">
        <f t="shared" si="124"/>
        <v>2042</v>
      </c>
      <c r="B4124" s="106">
        <f t="shared" si="125"/>
        <v>232</v>
      </c>
      <c r="C4124" s="107">
        <f ca="1">OFFSET(tab_tipo_Combustivel!$A$1,MATCH(B4124,tab_tipo_Combustivel!$A$2:$A$150,0),MATCH(A4124,tab_tipo_Combustivel!$B$1:$AQ$1,0),1,1)</f>
        <v>842.33</v>
      </c>
    </row>
    <row r="4125" spans="1:3">
      <c r="A4125" s="3">
        <f t="shared" si="124"/>
        <v>2042</v>
      </c>
      <c r="B4125" s="106">
        <f t="shared" si="125"/>
        <v>233</v>
      </c>
      <c r="C4125" s="107">
        <f ca="1">OFFSET(tab_tipo_Combustivel!$A$1,MATCH(B4125,tab_tipo_Combustivel!$A$2:$A$150,0),MATCH(A4125,tab_tipo_Combustivel!$B$1:$AQ$1,0),1,1)</f>
        <v>984.29</v>
      </c>
    </row>
    <row r="4126" spans="1:3">
      <c r="A4126" s="3">
        <f t="shared" si="124"/>
        <v>2042</v>
      </c>
      <c r="B4126" s="106">
        <f t="shared" si="125"/>
        <v>234</v>
      </c>
      <c r="C4126" s="107">
        <f ca="1">OFFSET(tab_tipo_Combustivel!$A$1,MATCH(B4126,tab_tipo_Combustivel!$A$2:$A$150,0),MATCH(A4126,tab_tipo_Combustivel!$B$1:$AQ$1,0),1,1)</f>
        <v>290.26</v>
      </c>
    </row>
    <row r="4127" spans="1:3">
      <c r="A4127" s="3">
        <f t="shared" si="124"/>
        <v>2042</v>
      </c>
      <c r="B4127" s="106">
        <f t="shared" si="125"/>
        <v>235</v>
      </c>
      <c r="C4127" s="107">
        <f ca="1">OFFSET(tab_tipo_Combustivel!$A$1,MATCH(B4127,tab_tipo_Combustivel!$A$2:$A$150,0),MATCH(A4127,tab_tipo_Combustivel!$B$1:$AQ$1,0),1,1)</f>
        <v>1350.87</v>
      </c>
    </row>
    <row r="4128" spans="1:3">
      <c r="A4128" s="3">
        <f t="shared" si="124"/>
        <v>2042</v>
      </c>
      <c r="B4128" s="106">
        <f t="shared" si="125"/>
        <v>236</v>
      </c>
      <c r="C4128" s="107">
        <f ca="1">OFFSET(tab_tipo_Combustivel!$A$1,MATCH(B4128,tab_tipo_Combustivel!$A$2:$A$150,0),MATCH(A4128,tab_tipo_Combustivel!$B$1:$AQ$1,0),1,1)</f>
        <v>842.33</v>
      </c>
    </row>
    <row r="4129" spans="1:3">
      <c r="A4129" s="3">
        <f t="shared" si="124"/>
        <v>2042</v>
      </c>
      <c r="B4129" s="106">
        <f t="shared" si="125"/>
        <v>237</v>
      </c>
      <c r="C4129" s="107">
        <f ca="1">OFFSET(tab_tipo_Combustivel!$A$1,MATCH(B4129,tab_tipo_Combustivel!$A$2:$A$150,0),MATCH(A4129,tab_tipo_Combustivel!$B$1:$AQ$1,0),1,1)</f>
        <v>760.85</v>
      </c>
    </row>
    <row r="4130" spans="1:3">
      <c r="A4130" s="3">
        <f t="shared" si="124"/>
        <v>2042</v>
      </c>
      <c r="B4130" s="106">
        <f t="shared" si="125"/>
        <v>238</v>
      </c>
      <c r="C4130" s="107">
        <f ca="1">OFFSET(tab_tipo_Combustivel!$A$1,MATCH(B4130,tab_tipo_Combustivel!$A$2:$A$150,0),MATCH(A4130,tab_tipo_Combustivel!$B$1:$AQ$1,0),1,1)</f>
        <v>963.75</v>
      </c>
    </row>
    <row r="4131" spans="1:3">
      <c r="A4131" s="3">
        <f t="shared" si="124"/>
        <v>2042</v>
      </c>
      <c r="B4131" s="106">
        <f t="shared" si="125"/>
        <v>239</v>
      </c>
      <c r="C4131" s="107">
        <f ca="1">OFFSET(tab_tipo_Combustivel!$A$1,MATCH(B4131,tab_tipo_Combustivel!$A$2:$A$150,0),MATCH(A4131,tab_tipo_Combustivel!$B$1:$AQ$1,0),1,1)</f>
        <v>963.75</v>
      </c>
    </row>
    <row r="4132" spans="1:3">
      <c r="A4132" s="3">
        <f t="shared" si="124"/>
        <v>2042</v>
      </c>
      <c r="B4132" s="106">
        <f t="shared" si="125"/>
        <v>240</v>
      </c>
      <c r="C4132" s="107">
        <f ca="1">OFFSET(tab_tipo_Combustivel!$A$1,MATCH(B4132,tab_tipo_Combustivel!$A$2:$A$150,0),MATCH(A4132,tab_tipo_Combustivel!$B$1:$AQ$1,0),1,1)</f>
        <v>1115.96</v>
      </c>
    </row>
    <row r="4133" spans="1:3">
      <c r="A4133" s="3">
        <f t="shared" si="124"/>
        <v>2042</v>
      </c>
      <c r="B4133" s="106">
        <f t="shared" si="125"/>
        <v>241</v>
      </c>
      <c r="C4133" s="107">
        <f ca="1">OFFSET(tab_tipo_Combustivel!$A$1,MATCH(B4133,tab_tipo_Combustivel!$A$2:$A$150,0),MATCH(A4133,tab_tipo_Combustivel!$B$1:$AQ$1,0),1,1)</f>
        <v>495.75</v>
      </c>
    </row>
    <row r="4134" spans="1:3">
      <c r="A4134" s="3">
        <f t="shared" si="124"/>
        <v>2042</v>
      </c>
      <c r="B4134" s="106">
        <f t="shared" si="125"/>
        <v>242</v>
      </c>
      <c r="C4134" s="107">
        <f ca="1">OFFSET(tab_tipo_Combustivel!$A$1,MATCH(B4134,tab_tipo_Combustivel!$A$2:$A$150,0),MATCH(A4134,tab_tipo_Combustivel!$B$1:$AQ$1,0),1,1)</f>
        <v>1176.45</v>
      </c>
    </row>
    <row r="4135" spans="1:3">
      <c r="A4135" s="3">
        <f t="shared" si="124"/>
        <v>2042</v>
      </c>
      <c r="B4135" s="106">
        <f t="shared" si="125"/>
        <v>243</v>
      </c>
      <c r="C4135" s="107">
        <f ca="1">OFFSET(tab_tipo_Combustivel!$A$1,MATCH(B4135,tab_tipo_Combustivel!$A$2:$A$150,0),MATCH(A4135,tab_tipo_Combustivel!$B$1:$AQ$1,0),1,1)</f>
        <v>495.08</v>
      </c>
    </row>
    <row r="4136" spans="1:3">
      <c r="A4136" s="3">
        <f t="shared" si="124"/>
        <v>2042</v>
      </c>
      <c r="B4136" s="106">
        <f t="shared" si="125"/>
        <v>244</v>
      </c>
      <c r="C4136" s="107">
        <f ca="1">OFFSET(tab_tipo_Combustivel!$A$1,MATCH(B4136,tab_tipo_Combustivel!$A$2:$A$150,0),MATCH(A4136,tab_tipo_Combustivel!$B$1:$AQ$1,0),1,1)</f>
        <v>495.06</v>
      </c>
    </row>
    <row r="4137" spans="1:3">
      <c r="A4137" s="3">
        <f t="shared" si="124"/>
        <v>2042</v>
      </c>
      <c r="B4137" s="106">
        <f t="shared" si="125"/>
        <v>245</v>
      </c>
      <c r="C4137" s="107">
        <f ca="1">OFFSET(tab_tipo_Combustivel!$A$1,MATCH(B4137,tab_tipo_Combustivel!$A$2:$A$150,0),MATCH(A4137,tab_tipo_Combustivel!$B$1:$AQ$1,0),1,1)</f>
        <v>562.65</v>
      </c>
    </row>
    <row r="4138" spans="1:3">
      <c r="A4138" s="3">
        <f t="shared" si="124"/>
        <v>2042</v>
      </c>
      <c r="B4138" s="106">
        <f t="shared" si="125"/>
        <v>246</v>
      </c>
      <c r="C4138" s="107">
        <f ca="1">OFFSET(tab_tipo_Combustivel!$A$1,MATCH(B4138,tab_tipo_Combustivel!$A$2:$A$150,0),MATCH(A4138,tab_tipo_Combustivel!$B$1:$AQ$1,0),1,1)</f>
        <v>1124.53</v>
      </c>
    </row>
    <row r="4139" spans="1:3">
      <c r="A4139" s="3">
        <f t="shared" si="124"/>
        <v>2042</v>
      </c>
      <c r="B4139" s="106">
        <f t="shared" si="125"/>
        <v>247</v>
      </c>
      <c r="C4139" s="107">
        <f ca="1">OFFSET(tab_tipo_Combustivel!$A$1,MATCH(B4139,tab_tipo_Combustivel!$A$2:$A$150,0),MATCH(A4139,tab_tipo_Combustivel!$B$1:$AQ$1,0),1,1)</f>
        <v>609.51</v>
      </c>
    </row>
    <row r="4140" spans="1:3">
      <c r="A4140" s="3">
        <f t="shared" si="124"/>
        <v>2042</v>
      </c>
      <c r="B4140" s="106">
        <f t="shared" si="125"/>
        <v>248</v>
      </c>
      <c r="C4140" s="107">
        <f ca="1">OFFSET(tab_tipo_Combustivel!$A$1,MATCH(B4140,tab_tipo_Combustivel!$A$2:$A$150,0),MATCH(A4140,tab_tipo_Combustivel!$B$1:$AQ$1,0),1,1)</f>
        <v>495.06</v>
      </c>
    </row>
    <row r="4141" spans="1:3">
      <c r="A4141" s="3">
        <f t="shared" si="124"/>
        <v>2042</v>
      </c>
      <c r="B4141" s="106">
        <f t="shared" si="125"/>
        <v>249</v>
      </c>
      <c r="C4141" s="107">
        <f ca="1">OFFSET(tab_tipo_Combustivel!$A$1,MATCH(B4141,tab_tipo_Combustivel!$A$2:$A$150,0),MATCH(A4141,tab_tipo_Combustivel!$B$1:$AQ$1,0),1,1)</f>
        <v>842.33</v>
      </c>
    </row>
    <row r="4142" spans="1:3">
      <c r="A4142" s="3">
        <f t="shared" si="124"/>
        <v>2042</v>
      </c>
      <c r="B4142" s="106">
        <f t="shared" si="125"/>
        <v>250</v>
      </c>
      <c r="C4142" s="107">
        <f ca="1">OFFSET(tab_tipo_Combustivel!$A$1,MATCH(B4142,tab_tipo_Combustivel!$A$2:$A$150,0),MATCH(A4142,tab_tipo_Combustivel!$B$1:$AQ$1,0),1,1)</f>
        <v>1176.45</v>
      </c>
    </row>
    <row r="4143" spans="1:3">
      <c r="A4143" s="3">
        <f t="shared" si="124"/>
        <v>2042</v>
      </c>
      <c r="B4143" s="106">
        <f t="shared" si="125"/>
        <v>251</v>
      </c>
      <c r="C4143" s="107">
        <f ca="1">OFFSET(tab_tipo_Combustivel!$A$1,MATCH(B4143,tab_tipo_Combustivel!$A$2:$A$150,0),MATCH(A4143,tab_tipo_Combustivel!$B$1:$AQ$1,0),1,1)</f>
        <v>842.33</v>
      </c>
    </row>
    <row r="4144" spans="1:3">
      <c r="A4144" s="3">
        <f t="shared" si="124"/>
        <v>2042</v>
      </c>
      <c r="B4144" s="106">
        <f t="shared" si="125"/>
        <v>252</v>
      </c>
      <c r="C4144" s="107">
        <f ca="1">OFFSET(tab_tipo_Combustivel!$A$1,MATCH(B4144,tab_tipo_Combustivel!$A$2:$A$150,0),MATCH(A4144,tab_tipo_Combustivel!$B$1:$AQ$1,0),1,1)</f>
        <v>842.33</v>
      </c>
    </row>
    <row r="4145" spans="1:3">
      <c r="A4145" s="3">
        <f t="shared" si="124"/>
        <v>2042</v>
      </c>
      <c r="B4145" s="106">
        <f t="shared" si="125"/>
        <v>253</v>
      </c>
      <c r="C4145" s="107">
        <f ca="1">OFFSET(tab_tipo_Combustivel!$A$1,MATCH(B4145,tab_tipo_Combustivel!$A$2:$A$150,0),MATCH(A4145,tab_tipo_Combustivel!$B$1:$AQ$1,0),1,1)</f>
        <v>279.45</v>
      </c>
    </row>
    <row r="4146" spans="1:3">
      <c r="A4146" s="3">
        <f t="shared" si="124"/>
        <v>2042</v>
      </c>
      <c r="B4146" s="106">
        <f t="shared" si="125"/>
        <v>254</v>
      </c>
      <c r="C4146" s="107">
        <f ca="1">OFFSET(tab_tipo_Combustivel!$A$1,MATCH(B4146,tab_tipo_Combustivel!$A$2:$A$150,0),MATCH(A4146,tab_tipo_Combustivel!$B$1:$AQ$1,0),1,1)</f>
        <v>1153.98</v>
      </c>
    </row>
    <row r="4147" spans="1:3">
      <c r="A4147" s="3">
        <f t="shared" si="124"/>
        <v>2042</v>
      </c>
      <c r="B4147" s="106">
        <f t="shared" si="125"/>
        <v>255</v>
      </c>
      <c r="C4147" s="107">
        <f ca="1">OFFSET(tab_tipo_Combustivel!$A$1,MATCH(B4147,tab_tipo_Combustivel!$A$2:$A$150,0),MATCH(A4147,tab_tipo_Combustivel!$B$1:$AQ$1,0),1,1)</f>
        <v>828.98</v>
      </c>
    </row>
    <row r="4148" spans="1:3">
      <c r="A4148" s="3">
        <f t="shared" si="124"/>
        <v>2042</v>
      </c>
      <c r="B4148" s="106">
        <f t="shared" si="125"/>
        <v>256</v>
      </c>
      <c r="C4148" s="107">
        <f ca="1">OFFSET(tab_tipo_Combustivel!$A$1,MATCH(B4148,tab_tipo_Combustivel!$A$2:$A$150,0),MATCH(A4148,tab_tipo_Combustivel!$B$1:$AQ$1,0),1,1)</f>
        <v>562.65</v>
      </c>
    </row>
    <row r="4149" spans="1:3">
      <c r="A4149" s="3">
        <f t="shared" si="124"/>
        <v>2042</v>
      </c>
      <c r="B4149" s="106">
        <f t="shared" si="125"/>
        <v>257</v>
      </c>
      <c r="C4149" s="107">
        <f ca="1">OFFSET(tab_tipo_Combustivel!$A$1,MATCH(B4149,tab_tipo_Combustivel!$A$2:$A$150,0),MATCH(A4149,tab_tipo_Combustivel!$B$1:$AQ$1,0),1,1)</f>
        <v>907.52</v>
      </c>
    </row>
    <row r="4150" spans="1:3">
      <c r="A4150" s="3">
        <f t="shared" si="124"/>
        <v>2042</v>
      </c>
      <c r="B4150" s="106">
        <f t="shared" si="125"/>
        <v>258</v>
      </c>
      <c r="C4150" s="107">
        <f ca="1">OFFSET(tab_tipo_Combustivel!$A$1,MATCH(B4150,tab_tipo_Combustivel!$A$2:$A$150,0),MATCH(A4150,tab_tipo_Combustivel!$B$1:$AQ$1,0),1,1)</f>
        <v>1016.04</v>
      </c>
    </row>
    <row r="4151" spans="1:3">
      <c r="A4151" s="3">
        <f t="shared" si="124"/>
        <v>2042</v>
      </c>
      <c r="B4151" s="106">
        <f t="shared" si="125"/>
        <v>259</v>
      </c>
      <c r="C4151" s="107">
        <f ca="1">OFFSET(tab_tipo_Combustivel!$A$1,MATCH(B4151,tab_tipo_Combustivel!$A$2:$A$150,0),MATCH(A4151,tab_tipo_Combustivel!$B$1:$AQ$1,0),1,1)</f>
        <v>977.53</v>
      </c>
    </row>
    <row r="4152" spans="1:3">
      <c r="A4152" s="3">
        <f t="shared" si="124"/>
        <v>2042</v>
      </c>
      <c r="B4152" s="106">
        <f t="shared" si="125"/>
        <v>260</v>
      </c>
      <c r="C4152" s="107">
        <f ca="1">OFFSET(tab_tipo_Combustivel!$A$1,MATCH(B4152,tab_tipo_Combustivel!$A$2:$A$150,0),MATCH(A4152,tab_tipo_Combustivel!$B$1:$AQ$1,0),1,1)</f>
        <v>827.17</v>
      </c>
    </row>
    <row r="4153" spans="1:3">
      <c r="A4153" s="3">
        <f t="shared" si="124"/>
        <v>2042</v>
      </c>
      <c r="B4153" s="106">
        <f t="shared" si="125"/>
        <v>261</v>
      </c>
      <c r="C4153" s="107">
        <f ca="1">OFFSET(tab_tipo_Combustivel!$A$1,MATCH(B4153,tab_tipo_Combustivel!$A$2:$A$150,0),MATCH(A4153,tab_tipo_Combustivel!$B$1:$AQ$1,0),1,1)</f>
        <v>829.7</v>
      </c>
    </row>
    <row r="4154" spans="1:3">
      <c r="A4154" s="3">
        <f t="shared" si="124"/>
        <v>2042</v>
      </c>
      <c r="B4154" s="106">
        <f t="shared" si="125"/>
        <v>262</v>
      </c>
      <c r="C4154" s="107">
        <f ca="1">OFFSET(tab_tipo_Combustivel!$A$1,MATCH(B4154,tab_tipo_Combustivel!$A$2:$A$150,0),MATCH(A4154,tab_tipo_Combustivel!$B$1:$AQ$1,0),1,1)</f>
        <v>495.75</v>
      </c>
    </row>
    <row r="4155" spans="1:3">
      <c r="A4155" s="3">
        <f t="shared" si="124"/>
        <v>2042</v>
      </c>
      <c r="B4155" s="106">
        <f t="shared" si="125"/>
        <v>263</v>
      </c>
      <c r="C4155" s="107">
        <f ca="1">OFFSET(tab_tipo_Combustivel!$A$1,MATCH(B4155,tab_tipo_Combustivel!$A$2:$A$150,0),MATCH(A4155,tab_tipo_Combustivel!$B$1:$AQ$1,0),1,1)</f>
        <v>474.77</v>
      </c>
    </row>
    <row r="4156" spans="1:3">
      <c r="A4156" s="3">
        <f t="shared" si="124"/>
        <v>2042</v>
      </c>
      <c r="B4156" s="106">
        <f t="shared" si="125"/>
        <v>264</v>
      </c>
      <c r="C4156" s="107">
        <f ca="1">OFFSET(tab_tipo_Combustivel!$A$1,MATCH(B4156,tab_tipo_Combustivel!$A$2:$A$150,0),MATCH(A4156,tab_tipo_Combustivel!$B$1:$AQ$1,0),1,1)</f>
        <v>842.33</v>
      </c>
    </row>
    <row r="4157" spans="1:3">
      <c r="A4157" s="3">
        <f t="shared" si="124"/>
        <v>2042</v>
      </c>
      <c r="B4157" s="106">
        <f t="shared" si="125"/>
        <v>265</v>
      </c>
      <c r="C4157" s="107">
        <f ca="1">OFFSET(tab_tipo_Combustivel!$A$1,MATCH(B4157,tab_tipo_Combustivel!$A$2:$A$150,0),MATCH(A4157,tab_tipo_Combustivel!$B$1:$AQ$1,0),1,1)</f>
        <v>415.82</v>
      </c>
    </row>
    <row r="4158" spans="1:3">
      <c r="A4158" s="3">
        <f t="shared" si="124"/>
        <v>2042</v>
      </c>
      <c r="B4158" s="106">
        <f t="shared" si="125"/>
        <v>266</v>
      </c>
      <c r="C4158" s="107">
        <f ca="1">OFFSET(tab_tipo_Combustivel!$A$1,MATCH(B4158,tab_tipo_Combustivel!$A$2:$A$150,0),MATCH(A4158,tab_tipo_Combustivel!$B$1:$AQ$1,0),1,1)</f>
        <v>827.17</v>
      </c>
    </row>
    <row r="4159" spans="1:3">
      <c r="A4159" s="3">
        <f t="shared" si="124"/>
        <v>2042</v>
      </c>
      <c r="B4159" s="106">
        <f t="shared" si="125"/>
        <v>301</v>
      </c>
      <c r="C4159" s="107">
        <f ca="1">OFFSET(tab_tipo_Combustivel!$A$1,MATCH(B4159,tab_tipo_Combustivel!$A$2:$A$150,0),MATCH(A4159,tab_tipo_Combustivel!$B$1:$AQ$1,0),1,1)</f>
        <v>99.08</v>
      </c>
    </row>
    <row r="4160" spans="1:3">
      <c r="A4160" s="3">
        <f t="shared" si="124"/>
        <v>2042</v>
      </c>
      <c r="B4160" s="106">
        <f t="shared" si="125"/>
        <v>302</v>
      </c>
      <c r="C4160" s="107">
        <f ca="1">OFFSET(tab_tipo_Combustivel!$A$1,MATCH(B4160,tab_tipo_Combustivel!$A$2:$A$150,0),MATCH(A4160,tab_tipo_Combustivel!$B$1:$AQ$1,0),1,1)</f>
        <v>103.73</v>
      </c>
    </row>
    <row r="4161" spans="1:3">
      <c r="A4161" s="3">
        <f t="shared" si="124"/>
        <v>2042</v>
      </c>
      <c r="B4161" s="106">
        <f t="shared" si="125"/>
        <v>303</v>
      </c>
      <c r="C4161" s="107">
        <f ca="1">OFFSET(tab_tipo_Combustivel!$A$1,MATCH(B4161,tab_tipo_Combustivel!$A$2:$A$150,0),MATCH(A4161,tab_tipo_Combustivel!$B$1:$AQ$1,0),1,1)</f>
        <v>103.73</v>
      </c>
    </row>
    <row r="4162" spans="1:3">
      <c r="A4162" s="3">
        <f t="shared" si="124"/>
        <v>2042</v>
      </c>
      <c r="B4162" s="106">
        <f t="shared" si="125"/>
        <v>304</v>
      </c>
      <c r="C4162" s="107">
        <f ca="1">OFFSET(tab_tipo_Combustivel!$A$1,MATCH(B4162,tab_tipo_Combustivel!$A$2:$A$150,0),MATCH(A4162,tab_tipo_Combustivel!$B$1:$AQ$1,0),1,1)</f>
        <v>139.41999999999999</v>
      </c>
    </row>
    <row r="4163" spans="1:3">
      <c r="A4163" s="3">
        <f t="shared" si="124"/>
        <v>2042</v>
      </c>
      <c r="B4163" s="106">
        <f t="shared" si="125"/>
        <v>305</v>
      </c>
      <c r="C4163" s="107">
        <f ca="1">OFFSET(tab_tipo_Combustivel!$A$1,MATCH(B4163,tab_tipo_Combustivel!$A$2:$A$150,0),MATCH(A4163,tab_tipo_Combustivel!$B$1:$AQ$1,0),1,1)</f>
        <v>89.7</v>
      </c>
    </row>
    <row r="4164" spans="1:3">
      <c r="A4164" s="3">
        <f t="shared" si="124"/>
        <v>2042</v>
      </c>
      <c r="B4164" s="106">
        <f t="shared" si="125"/>
        <v>306</v>
      </c>
      <c r="C4164" s="107">
        <f ca="1">OFFSET(tab_tipo_Combustivel!$A$1,MATCH(B4164,tab_tipo_Combustivel!$A$2:$A$150,0),MATCH(A4164,tab_tipo_Combustivel!$B$1:$AQ$1,0),1,1)</f>
        <v>100.38</v>
      </c>
    </row>
    <row r="4165" spans="1:3">
      <c r="A4165" s="3">
        <f t="shared" si="124"/>
        <v>2042</v>
      </c>
      <c r="B4165" s="106">
        <f t="shared" si="125"/>
        <v>307</v>
      </c>
      <c r="C4165" s="107">
        <f ca="1">OFFSET(tab_tipo_Combustivel!$A$1,MATCH(B4165,tab_tipo_Combustivel!$A$2:$A$150,0),MATCH(A4165,tab_tipo_Combustivel!$B$1:$AQ$1,0),1,1)</f>
        <v>510.12</v>
      </c>
    </row>
    <row r="4166" spans="1:3">
      <c r="A4166" s="3">
        <f t="shared" si="124"/>
        <v>2042</v>
      </c>
      <c r="B4166" s="106">
        <f t="shared" si="125"/>
        <v>308</v>
      </c>
      <c r="C4166" s="107">
        <f ca="1">OFFSET(tab_tipo_Combustivel!$A$1,MATCH(B4166,tab_tipo_Combustivel!$A$2:$A$150,0),MATCH(A4166,tab_tipo_Combustivel!$B$1:$AQ$1,0),1,1)</f>
        <v>72.5</v>
      </c>
    </row>
    <row r="4167" spans="1:3">
      <c r="A4167" s="3">
        <f t="shared" si="124"/>
        <v>2042</v>
      </c>
      <c r="B4167" s="106">
        <f t="shared" si="125"/>
        <v>309</v>
      </c>
      <c r="C4167" s="107">
        <f ca="1">OFFSET(tab_tipo_Combustivel!$A$1,MATCH(B4167,tab_tipo_Combustivel!$A$2:$A$150,0),MATCH(A4167,tab_tipo_Combustivel!$B$1:$AQ$1,0),1,1)</f>
        <v>126.77</v>
      </c>
    </row>
    <row r="4168" spans="1:3">
      <c r="A4168" s="3">
        <f t="shared" si="124"/>
        <v>2042</v>
      </c>
      <c r="B4168" s="106">
        <f t="shared" si="125"/>
        <v>310</v>
      </c>
      <c r="C4168" s="107">
        <f ca="1">OFFSET(tab_tipo_Combustivel!$A$1,MATCH(B4168,tab_tipo_Combustivel!$A$2:$A$150,0),MATCH(A4168,tab_tipo_Combustivel!$B$1:$AQ$1,0),1,1)</f>
        <v>275.99</v>
      </c>
    </row>
    <row r="4169" spans="1:3">
      <c r="A4169" s="3">
        <f t="shared" si="124"/>
        <v>2042</v>
      </c>
      <c r="B4169" s="106">
        <f t="shared" si="125"/>
        <v>311</v>
      </c>
      <c r="C4169" s="107">
        <f ca="1">OFFSET(tab_tipo_Combustivel!$A$1,MATCH(B4169,tab_tipo_Combustivel!$A$2:$A$150,0),MATCH(A4169,tab_tipo_Combustivel!$B$1:$AQ$1,0),1,1)</f>
        <v>70.66</v>
      </c>
    </row>
    <row r="4170" spans="1:3">
      <c r="A4170" s="3">
        <f t="shared" ref="A4170:A4233" si="126">A4035+1</f>
        <v>2042</v>
      </c>
      <c r="B4170" s="106">
        <f t="shared" ref="B4170:B4233" si="127">B4035</f>
        <v>312</v>
      </c>
      <c r="C4170" s="107">
        <f ca="1">OFFSET(tab_tipo_Combustivel!$A$1,MATCH(B4170,tab_tipo_Combustivel!$A$2:$A$150,0),MATCH(A4170,tab_tipo_Combustivel!$B$1:$AQ$1,0),1,1)</f>
        <v>0</v>
      </c>
    </row>
    <row r="4171" spans="1:3">
      <c r="A4171" s="3">
        <f t="shared" si="126"/>
        <v>2042</v>
      </c>
      <c r="B4171" s="106">
        <f t="shared" si="127"/>
        <v>1301</v>
      </c>
      <c r="C4171" s="107">
        <f ca="1">OFFSET(tab_tipo_Combustivel!$A$1,MATCH(B4171,tab_tipo_Combustivel!$A$2:$A$150,0),MATCH(A4171,tab_tipo_Combustivel!$B$1:$AQ$1,0),1,1)</f>
        <v>242.05</v>
      </c>
    </row>
    <row r="4172" spans="1:3">
      <c r="A4172" s="3">
        <f t="shared" si="126"/>
        <v>2042</v>
      </c>
      <c r="B4172" s="106">
        <f t="shared" si="127"/>
        <v>1302</v>
      </c>
      <c r="C4172" s="107">
        <f ca="1">OFFSET(tab_tipo_Combustivel!$A$1,MATCH(B4172,tab_tipo_Combustivel!$A$2:$A$150,0),MATCH(A4172,tab_tipo_Combustivel!$B$1:$AQ$1,0),1,1)</f>
        <v>193.64</v>
      </c>
    </row>
    <row r="4173" spans="1:3">
      <c r="A4173" s="3">
        <f t="shared" si="126"/>
        <v>2042</v>
      </c>
      <c r="B4173" s="106">
        <f t="shared" si="127"/>
        <v>1303</v>
      </c>
      <c r="C4173" s="107">
        <f ca="1">OFFSET(tab_tipo_Combustivel!$A$1,MATCH(B4173,tab_tipo_Combustivel!$A$2:$A$150,0),MATCH(A4173,tab_tipo_Combustivel!$B$1:$AQ$1,0),1,1)</f>
        <v>25.58</v>
      </c>
    </row>
    <row r="4174" spans="1:3">
      <c r="A4174" s="3">
        <f t="shared" si="126"/>
        <v>2042</v>
      </c>
      <c r="B4174" s="106">
        <f t="shared" si="127"/>
        <v>1304</v>
      </c>
      <c r="C4174" s="107">
        <f ca="1">OFFSET(tab_tipo_Combustivel!$A$1,MATCH(B4174,tab_tipo_Combustivel!$A$2:$A$150,0),MATCH(A4174,tab_tipo_Combustivel!$B$1:$AQ$1,0),1,1)</f>
        <v>0</v>
      </c>
    </row>
    <row r="4175" spans="1:3">
      <c r="A4175" s="3">
        <f t="shared" si="126"/>
        <v>2042</v>
      </c>
      <c r="B4175" s="106">
        <f t="shared" si="127"/>
        <v>1315</v>
      </c>
      <c r="C4175" s="107">
        <f ca="1">OFFSET(tab_tipo_Combustivel!$A$1,MATCH(B4175,tab_tipo_Combustivel!$A$2:$A$150,0),MATCH(A4175,tab_tipo_Combustivel!$B$1:$AQ$1,0),1,1)</f>
        <v>0</v>
      </c>
    </row>
    <row r="4176" spans="1:3">
      <c r="A4176" s="3">
        <f t="shared" si="126"/>
        <v>2042</v>
      </c>
      <c r="B4176" s="106">
        <f t="shared" si="127"/>
        <v>1316</v>
      </c>
      <c r="C4176" s="107">
        <f ca="1">OFFSET(tab_tipo_Combustivel!$A$1,MATCH(B4176,tab_tipo_Combustivel!$A$2:$A$150,0),MATCH(A4176,tab_tipo_Combustivel!$B$1:$AQ$1,0),1,1)</f>
        <v>0</v>
      </c>
    </row>
    <row r="4177" spans="1:3">
      <c r="A4177" s="3">
        <f t="shared" si="126"/>
        <v>2042</v>
      </c>
      <c r="B4177" s="106">
        <f t="shared" si="127"/>
        <v>1318</v>
      </c>
      <c r="C4177" s="107">
        <f ca="1">OFFSET(tab_tipo_Combustivel!$A$1,MATCH(B4177,tab_tipo_Combustivel!$A$2:$A$150,0),MATCH(A4177,tab_tipo_Combustivel!$B$1:$AQ$1,0),1,1)</f>
        <v>150</v>
      </c>
    </row>
    <row r="4178" spans="1:3">
      <c r="A4178" s="3">
        <f t="shared" si="126"/>
        <v>2042</v>
      </c>
      <c r="B4178" s="106">
        <f t="shared" si="127"/>
        <v>1321</v>
      </c>
      <c r="C4178" s="107">
        <f ca="1">OFFSET(tab_tipo_Combustivel!$A$1,MATCH(B4178,tab_tipo_Combustivel!$A$2:$A$150,0),MATCH(A4178,tab_tipo_Combustivel!$B$1:$AQ$1,0),1,1)</f>
        <v>85</v>
      </c>
    </row>
    <row r="4179" spans="1:3">
      <c r="A4179" s="3">
        <f t="shared" si="126"/>
        <v>2042</v>
      </c>
      <c r="B4179" s="106">
        <f t="shared" si="127"/>
        <v>1322</v>
      </c>
      <c r="C4179" s="107">
        <f ca="1">OFFSET(tab_tipo_Combustivel!$A$1,MATCH(B4179,tab_tipo_Combustivel!$A$2:$A$150,0),MATCH(A4179,tab_tipo_Combustivel!$B$1:$AQ$1,0),1,1)</f>
        <v>140</v>
      </c>
    </row>
    <row r="4180" spans="1:3">
      <c r="A4180" s="3">
        <f t="shared" si="126"/>
        <v>2042</v>
      </c>
      <c r="B4180" s="106">
        <f t="shared" si="127"/>
        <v>1323</v>
      </c>
      <c r="C4180" s="107">
        <f ca="1">OFFSET(tab_tipo_Combustivel!$A$1,MATCH(B4180,tab_tipo_Combustivel!$A$2:$A$150,0),MATCH(A4180,tab_tipo_Combustivel!$B$1:$AQ$1,0),1,1)</f>
        <v>63.75</v>
      </c>
    </row>
    <row r="4181" spans="1:3">
      <c r="A4181" s="3">
        <f t="shared" si="126"/>
        <v>2042</v>
      </c>
      <c r="B4181" s="106">
        <f t="shared" si="127"/>
        <v>1325</v>
      </c>
      <c r="C4181" s="107">
        <f ca="1">OFFSET(tab_tipo_Combustivel!$A$1,MATCH(B4181,tab_tipo_Combustivel!$A$2:$A$150,0),MATCH(A4181,tab_tipo_Combustivel!$B$1:$AQ$1,0),1,1)</f>
        <v>0</v>
      </c>
    </row>
    <row r="4182" spans="1:3">
      <c r="A4182" s="3">
        <f t="shared" si="126"/>
        <v>2042</v>
      </c>
      <c r="B4182" s="106">
        <f t="shared" si="127"/>
        <v>1326</v>
      </c>
      <c r="C4182" s="107">
        <f ca="1">OFFSET(tab_tipo_Combustivel!$A$1,MATCH(B4182,tab_tipo_Combustivel!$A$2:$A$150,0),MATCH(A4182,tab_tipo_Combustivel!$B$1:$AQ$1,0),1,1)</f>
        <v>260</v>
      </c>
    </row>
    <row r="4183" spans="1:3">
      <c r="A4183" s="3">
        <f t="shared" si="126"/>
        <v>2042</v>
      </c>
      <c r="B4183" s="106">
        <f t="shared" si="127"/>
        <v>1501</v>
      </c>
      <c r="C4183" s="107">
        <f ca="1">OFFSET(tab_tipo_Combustivel!$A$1,MATCH(B4183,tab_tipo_Combustivel!$A$2:$A$150,0),MATCH(A4183,tab_tipo_Combustivel!$B$1:$AQ$1,0),1,1)</f>
        <v>260</v>
      </c>
    </row>
    <row r="4184" spans="1:3">
      <c r="A4184" s="3">
        <f t="shared" si="126"/>
        <v>2042</v>
      </c>
      <c r="B4184" s="106">
        <f t="shared" si="127"/>
        <v>1502</v>
      </c>
      <c r="C4184" s="107">
        <f ca="1">OFFSET(tab_tipo_Combustivel!$A$1,MATCH(B4184,tab_tipo_Combustivel!$A$2:$A$150,0),MATCH(A4184,tab_tipo_Combustivel!$B$1:$AQ$1,0),1,1)</f>
        <v>60</v>
      </c>
    </row>
    <row r="4185" spans="1:3">
      <c r="A4185" s="3">
        <f t="shared" si="126"/>
        <v>2042</v>
      </c>
      <c r="B4185" s="106">
        <f t="shared" si="127"/>
        <v>1503</v>
      </c>
      <c r="C4185" s="107">
        <f ca="1">OFFSET(tab_tipo_Combustivel!$A$1,MATCH(B4185,tab_tipo_Combustivel!$A$2:$A$150,0),MATCH(A4185,tab_tipo_Combustivel!$B$1:$AQ$1,0),1,1)</f>
        <v>96.82</v>
      </c>
    </row>
    <row r="4186" spans="1:3">
      <c r="A4186" s="3">
        <f t="shared" si="126"/>
        <v>2042</v>
      </c>
      <c r="B4186" s="106">
        <f t="shared" si="127"/>
        <v>1504</v>
      </c>
      <c r="C4186" s="107">
        <f ca="1">OFFSET(tab_tipo_Combustivel!$A$1,MATCH(B4186,tab_tipo_Combustivel!$A$2:$A$150,0),MATCH(A4186,tab_tipo_Combustivel!$B$1:$AQ$1,0),1,1)</f>
        <v>145.22999999999999</v>
      </c>
    </row>
    <row r="4187" spans="1:3">
      <c r="A4187" s="3">
        <f t="shared" si="126"/>
        <v>2043</v>
      </c>
      <c r="B4187" s="106">
        <f t="shared" si="127"/>
        <v>1</v>
      </c>
      <c r="C4187" s="107">
        <f ca="1">OFFSET(tab_tipo_Combustivel!$A$1,MATCH(B4187,tab_tipo_Combustivel!$A$2:$A$150,0),MATCH(A4187,tab_tipo_Combustivel!$B$1:$AQ$1,0),1,1)</f>
        <v>29.13</v>
      </c>
    </row>
    <row r="4188" spans="1:3">
      <c r="A4188" s="3">
        <f t="shared" si="126"/>
        <v>2043</v>
      </c>
      <c r="B4188" s="106">
        <f t="shared" si="127"/>
        <v>2</v>
      </c>
      <c r="C4188" s="107">
        <f ca="1">OFFSET(tab_tipo_Combustivel!$A$1,MATCH(B4188,tab_tipo_Combustivel!$A$2:$A$150,0),MATCH(A4188,tab_tipo_Combustivel!$B$1:$AQ$1,0),1,1)</f>
        <v>842.33</v>
      </c>
    </row>
    <row r="4189" spans="1:3">
      <c r="A4189" s="3">
        <f t="shared" si="126"/>
        <v>2043</v>
      </c>
      <c r="B4189" s="106">
        <f t="shared" si="127"/>
        <v>4</v>
      </c>
      <c r="C4189" s="107">
        <f ca="1">OFFSET(tab_tipo_Combustivel!$A$1,MATCH(B4189,tab_tipo_Combustivel!$A$2:$A$150,0),MATCH(A4189,tab_tipo_Combustivel!$B$1:$AQ$1,0),1,1)</f>
        <v>842.33</v>
      </c>
    </row>
    <row r="4190" spans="1:3">
      <c r="A4190" s="3">
        <f t="shared" si="126"/>
        <v>2043</v>
      </c>
      <c r="B4190" s="106">
        <f t="shared" si="127"/>
        <v>9</v>
      </c>
      <c r="C4190" s="107">
        <f ca="1">OFFSET(tab_tipo_Combustivel!$A$1,MATCH(B4190,tab_tipo_Combustivel!$A$2:$A$150,0),MATCH(A4190,tab_tipo_Combustivel!$B$1:$AQ$1,0),1,1)</f>
        <v>842.33</v>
      </c>
    </row>
    <row r="4191" spans="1:3">
      <c r="A4191" s="3">
        <f t="shared" si="126"/>
        <v>2043</v>
      </c>
      <c r="B4191" s="106">
        <f t="shared" si="127"/>
        <v>12</v>
      </c>
      <c r="C4191" s="107">
        <f ca="1">OFFSET(tab_tipo_Combustivel!$A$1,MATCH(B4191,tab_tipo_Combustivel!$A$2:$A$150,0),MATCH(A4191,tab_tipo_Combustivel!$B$1:$AQ$1,0),1,1)</f>
        <v>728.87</v>
      </c>
    </row>
    <row r="4192" spans="1:3">
      <c r="A4192" s="3">
        <f t="shared" si="126"/>
        <v>2043</v>
      </c>
      <c r="B4192" s="106">
        <f t="shared" si="127"/>
        <v>13</v>
      </c>
      <c r="C4192" s="107">
        <f ca="1">OFFSET(tab_tipo_Combustivel!$A$1,MATCH(B4192,tab_tipo_Combustivel!$A$2:$A$150,0),MATCH(A4192,tab_tipo_Combustivel!$B$1:$AQ$1,0),1,1)</f>
        <v>20.12</v>
      </c>
    </row>
    <row r="4193" spans="1:3">
      <c r="A4193" s="3">
        <f t="shared" si="126"/>
        <v>2043</v>
      </c>
      <c r="B4193" s="106">
        <f t="shared" si="127"/>
        <v>15</v>
      </c>
      <c r="C4193" s="107">
        <f ca="1">OFFSET(tab_tipo_Combustivel!$A$1,MATCH(B4193,tab_tipo_Combustivel!$A$2:$A$150,0),MATCH(A4193,tab_tipo_Combustivel!$B$1:$AQ$1,0),1,1)</f>
        <v>257.29000000000002</v>
      </c>
    </row>
    <row r="4194" spans="1:3">
      <c r="A4194" s="3">
        <f t="shared" si="126"/>
        <v>2043</v>
      </c>
      <c r="B4194" s="106">
        <f t="shared" si="127"/>
        <v>21</v>
      </c>
      <c r="C4194" s="107">
        <f ca="1">OFFSET(tab_tipo_Combustivel!$A$1,MATCH(B4194,tab_tipo_Combustivel!$A$2:$A$150,0),MATCH(A4194,tab_tipo_Combustivel!$B$1:$AQ$1,0),1,1)</f>
        <v>157.83000000000001</v>
      </c>
    </row>
    <row r="4195" spans="1:3">
      <c r="A4195" s="3">
        <f t="shared" si="126"/>
        <v>2043</v>
      </c>
      <c r="B4195" s="106">
        <f t="shared" si="127"/>
        <v>22</v>
      </c>
      <c r="C4195" s="107">
        <f ca="1">OFFSET(tab_tipo_Combustivel!$A$1,MATCH(B4195,tab_tipo_Combustivel!$A$2:$A$150,0),MATCH(A4195,tab_tipo_Combustivel!$B$1:$AQ$1,0),1,1)</f>
        <v>115.9</v>
      </c>
    </row>
    <row r="4196" spans="1:3">
      <c r="A4196" s="3">
        <f t="shared" si="126"/>
        <v>2043</v>
      </c>
      <c r="B4196" s="106">
        <f t="shared" si="127"/>
        <v>23</v>
      </c>
      <c r="C4196" s="107">
        <f ca="1">OFFSET(tab_tipo_Combustivel!$A$1,MATCH(B4196,tab_tipo_Combustivel!$A$2:$A$150,0),MATCH(A4196,tab_tipo_Combustivel!$B$1:$AQ$1,0),1,1)</f>
        <v>115.9</v>
      </c>
    </row>
    <row r="4197" spans="1:3">
      <c r="A4197" s="3">
        <f t="shared" si="126"/>
        <v>2043</v>
      </c>
      <c r="B4197" s="106">
        <f t="shared" si="127"/>
        <v>24</v>
      </c>
      <c r="C4197" s="107">
        <f ca="1">OFFSET(tab_tipo_Combustivel!$A$1,MATCH(B4197,tab_tipo_Combustivel!$A$2:$A$150,0),MATCH(A4197,tab_tipo_Combustivel!$B$1:$AQ$1,0),1,1)</f>
        <v>155.85</v>
      </c>
    </row>
    <row r="4198" spans="1:3">
      <c r="A4198" s="3">
        <f t="shared" si="126"/>
        <v>2043</v>
      </c>
      <c r="B4198" s="106">
        <f t="shared" si="127"/>
        <v>25</v>
      </c>
      <c r="C4198" s="107">
        <f ca="1">OFFSET(tab_tipo_Combustivel!$A$1,MATCH(B4198,tab_tipo_Combustivel!$A$2:$A$150,0),MATCH(A4198,tab_tipo_Combustivel!$B$1:$AQ$1,0),1,1)</f>
        <v>186.33</v>
      </c>
    </row>
    <row r="4199" spans="1:3">
      <c r="A4199" s="3">
        <f t="shared" si="126"/>
        <v>2043</v>
      </c>
      <c r="B4199" s="106">
        <f t="shared" si="127"/>
        <v>26</v>
      </c>
      <c r="C4199" s="107">
        <f ca="1">OFFSET(tab_tipo_Combustivel!$A$1,MATCH(B4199,tab_tipo_Combustivel!$A$2:$A$150,0),MATCH(A4199,tab_tipo_Combustivel!$B$1:$AQ$1,0),1,1)</f>
        <v>258.42</v>
      </c>
    </row>
    <row r="4200" spans="1:3">
      <c r="A4200" s="3">
        <f t="shared" si="126"/>
        <v>2043</v>
      </c>
      <c r="B4200" s="106">
        <f t="shared" si="127"/>
        <v>27</v>
      </c>
      <c r="C4200" s="107">
        <f ca="1">OFFSET(tab_tipo_Combustivel!$A$1,MATCH(B4200,tab_tipo_Combustivel!$A$2:$A$150,0),MATCH(A4200,tab_tipo_Combustivel!$B$1:$AQ$1,0),1,1)</f>
        <v>195.49</v>
      </c>
    </row>
    <row r="4201" spans="1:3">
      <c r="A4201" s="3">
        <f t="shared" si="126"/>
        <v>2043</v>
      </c>
      <c r="B4201" s="106">
        <f t="shared" si="127"/>
        <v>28</v>
      </c>
      <c r="C4201" s="107">
        <f ca="1">OFFSET(tab_tipo_Combustivel!$A$1,MATCH(B4201,tab_tipo_Combustivel!$A$2:$A$150,0),MATCH(A4201,tab_tipo_Combustivel!$B$1:$AQ$1,0),1,1)</f>
        <v>459.92</v>
      </c>
    </row>
    <row r="4202" spans="1:3">
      <c r="A4202" s="3">
        <f t="shared" si="126"/>
        <v>2043</v>
      </c>
      <c r="B4202" s="106">
        <f t="shared" si="127"/>
        <v>32</v>
      </c>
      <c r="C4202" s="107">
        <f ca="1">OFFSET(tab_tipo_Combustivel!$A$1,MATCH(B4202,tab_tipo_Combustivel!$A$2:$A$150,0),MATCH(A4202,tab_tipo_Combustivel!$B$1:$AQ$1,0),1,1)</f>
        <v>248.31</v>
      </c>
    </row>
    <row r="4203" spans="1:3">
      <c r="A4203" s="3">
        <f t="shared" si="126"/>
        <v>2043</v>
      </c>
      <c r="B4203" s="106">
        <f t="shared" si="127"/>
        <v>34</v>
      </c>
      <c r="C4203" s="107">
        <f ca="1">OFFSET(tab_tipo_Combustivel!$A$1,MATCH(B4203,tab_tipo_Combustivel!$A$2:$A$150,0),MATCH(A4203,tab_tipo_Combustivel!$B$1:$AQ$1,0),1,1)</f>
        <v>423.38</v>
      </c>
    </row>
    <row r="4204" spans="1:3">
      <c r="A4204" s="3">
        <f t="shared" si="126"/>
        <v>2043</v>
      </c>
      <c r="B4204" s="106">
        <f t="shared" si="127"/>
        <v>35</v>
      </c>
      <c r="C4204" s="107">
        <f ca="1">OFFSET(tab_tipo_Combustivel!$A$1,MATCH(B4204,tab_tipo_Combustivel!$A$2:$A$150,0),MATCH(A4204,tab_tipo_Combustivel!$B$1:$AQ$1,0),1,1)</f>
        <v>692.45</v>
      </c>
    </row>
    <row r="4205" spans="1:3">
      <c r="A4205" s="3">
        <f t="shared" si="126"/>
        <v>2043</v>
      </c>
      <c r="B4205" s="106">
        <f t="shared" si="127"/>
        <v>36</v>
      </c>
      <c r="C4205" s="107">
        <f ca="1">OFFSET(tab_tipo_Combustivel!$A$1,MATCH(B4205,tab_tipo_Combustivel!$A$2:$A$150,0),MATCH(A4205,tab_tipo_Combustivel!$B$1:$AQ$1,0),1,1)</f>
        <v>157.83000000000001</v>
      </c>
    </row>
    <row r="4206" spans="1:3">
      <c r="A4206" s="3">
        <f t="shared" si="126"/>
        <v>2043</v>
      </c>
      <c r="B4206" s="106">
        <f t="shared" si="127"/>
        <v>42</v>
      </c>
      <c r="C4206" s="107">
        <f ca="1">OFFSET(tab_tipo_Combustivel!$A$1,MATCH(B4206,tab_tipo_Combustivel!$A$2:$A$150,0),MATCH(A4206,tab_tipo_Combustivel!$B$1:$AQ$1,0),1,1)</f>
        <v>199.22</v>
      </c>
    </row>
    <row r="4207" spans="1:3">
      <c r="A4207" s="3">
        <f t="shared" si="126"/>
        <v>2043</v>
      </c>
      <c r="B4207" s="106">
        <f t="shared" si="127"/>
        <v>43</v>
      </c>
      <c r="C4207" s="107">
        <f ca="1">OFFSET(tab_tipo_Combustivel!$A$1,MATCH(B4207,tab_tipo_Combustivel!$A$2:$A$150,0),MATCH(A4207,tab_tipo_Combustivel!$B$1:$AQ$1,0),1,1)</f>
        <v>431.62</v>
      </c>
    </row>
    <row r="4208" spans="1:3">
      <c r="A4208" s="3">
        <f t="shared" si="126"/>
        <v>2043</v>
      </c>
      <c r="B4208" s="106">
        <f t="shared" si="127"/>
        <v>44</v>
      </c>
      <c r="C4208" s="107">
        <f ca="1">OFFSET(tab_tipo_Combustivel!$A$1,MATCH(B4208,tab_tipo_Combustivel!$A$2:$A$150,0),MATCH(A4208,tab_tipo_Combustivel!$B$1:$AQ$1,0),1,1)</f>
        <v>25.58</v>
      </c>
    </row>
    <row r="4209" spans="1:3">
      <c r="A4209" s="3">
        <f t="shared" si="126"/>
        <v>2043</v>
      </c>
      <c r="B4209" s="106">
        <f t="shared" si="127"/>
        <v>46</v>
      </c>
      <c r="C4209" s="107">
        <f ca="1">OFFSET(tab_tipo_Combustivel!$A$1,MATCH(B4209,tab_tipo_Combustivel!$A$2:$A$150,0),MATCH(A4209,tab_tipo_Combustivel!$B$1:$AQ$1,0),1,1)</f>
        <v>228.91</v>
      </c>
    </row>
    <row r="4210" spans="1:3">
      <c r="A4210" s="3">
        <f t="shared" si="126"/>
        <v>2043</v>
      </c>
      <c r="B4210" s="106">
        <f t="shared" si="127"/>
        <v>47</v>
      </c>
      <c r="C4210" s="107">
        <f ca="1">OFFSET(tab_tipo_Combustivel!$A$1,MATCH(B4210,tab_tipo_Combustivel!$A$2:$A$150,0),MATCH(A4210,tab_tipo_Combustivel!$B$1:$AQ$1,0),1,1)</f>
        <v>235.6</v>
      </c>
    </row>
    <row r="4211" spans="1:3">
      <c r="A4211" s="3">
        <f t="shared" si="126"/>
        <v>2043</v>
      </c>
      <c r="B4211" s="106">
        <f t="shared" si="127"/>
        <v>48</v>
      </c>
      <c r="C4211" s="107">
        <f ca="1">OFFSET(tab_tipo_Combustivel!$A$1,MATCH(B4211,tab_tipo_Combustivel!$A$2:$A$150,0),MATCH(A4211,tab_tipo_Combustivel!$B$1:$AQ$1,0),1,1)</f>
        <v>1012.12</v>
      </c>
    </row>
    <row r="4212" spans="1:3">
      <c r="A4212" s="3">
        <f t="shared" si="126"/>
        <v>2043</v>
      </c>
      <c r="B4212" s="106">
        <f t="shared" si="127"/>
        <v>50</v>
      </c>
      <c r="C4212" s="107">
        <f ca="1">OFFSET(tab_tipo_Combustivel!$A$1,MATCH(B4212,tab_tipo_Combustivel!$A$2:$A$150,0),MATCH(A4212,tab_tipo_Combustivel!$B$1:$AQ$1,0),1,1)</f>
        <v>669.87</v>
      </c>
    </row>
    <row r="4213" spans="1:3">
      <c r="A4213" s="3">
        <f t="shared" si="126"/>
        <v>2043</v>
      </c>
      <c r="B4213" s="106">
        <f t="shared" si="127"/>
        <v>54</v>
      </c>
      <c r="C4213" s="107">
        <f ca="1">OFFSET(tab_tipo_Combustivel!$A$1,MATCH(B4213,tab_tipo_Combustivel!$A$2:$A$150,0),MATCH(A4213,tab_tipo_Combustivel!$B$1:$AQ$1,0),1,1)</f>
        <v>304.55</v>
      </c>
    </row>
    <row r="4214" spans="1:3">
      <c r="A4214" s="3">
        <f t="shared" si="126"/>
        <v>2043</v>
      </c>
      <c r="B4214" s="106">
        <f t="shared" si="127"/>
        <v>58</v>
      </c>
      <c r="C4214" s="107">
        <f ca="1">OFFSET(tab_tipo_Combustivel!$A$1,MATCH(B4214,tab_tipo_Combustivel!$A$2:$A$150,0),MATCH(A4214,tab_tipo_Combustivel!$B$1:$AQ$1,0),1,1)</f>
        <v>300.05</v>
      </c>
    </row>
    <row r="4215" spans="1:3">
      <c r="A4215" s="3">
        <f t="shared" si="126"/>
        <v>2043</v>
      </c>
      <c r="B4215" s="106">
        <f t="shared" si="127"/>
        <v>62</v>
      </c>
      <c r="C4215" s="107">
        <f ca="1">OFFSET(tab_tipo_Combustivel!$A$1,MATCH(B4215,tab_tipo_Combustivel!$A$2:$A$150,0),MATCH(A4215,tab_tipo_Combustivel!$B$1:$AQ$1,0),1,1)</f>
        <v>309.24</v>
      </c>
    </row>
    <row r="4216" spans="1:3">
      <c r="A4216" s="3">
        <f t="shared" si="126"/>
        <v>2043</v>
      </c>
      <c r="B4216" s="106">
        <f t="shared" si="127"/>
        <v>63</v>
      </c>
      <c r="C4216" s="107">
        <f ca="1">OFFSET(tab_tipo_Combustivel!$A$1,MATCH(B4216,tab_tipo_Combustivel!$A$2:$A$150,0),MATCH(A4216,tab_tipo_Combustivel!$B$1:$AQ$1,0),1,1)</f>
        <v>365.77</v>
      </c>
    </row>
    <row r="4217" spans="1:3">
      <c r="A4217" s="3">
        <f t="shared" si="126"/>
        <v>2043</v>
      </c>
      <c r="B4217" s="106">
        <f t="shared" si="127"/>
        <v>64</v>
      </c>
      <c r="C4217" s="107">
        <f ca="1">OFFSET(tab_tipo_Combustivel!$A$1,MATCH(B4217,tab_tipo_Combustivel!$A$2:$A$150,0),MATCH(A4217,tab_tipo_Combustivel!$B$1:$AQ$1,0),1,1)</f>
        <v>853.54</v>
      </c>
    </row>
    <row r="4218" spans="1:3">
      <c r="A4218" s="3">
        <f t="shared" si="126"/>
        <v>2043</v>
      </c>
      <c r="B4218" s="106">
        <f t="shared" si="127"/>
        <v>68</v>
      </c>
      <c r="C4218" s="107">
        <f ca="1">OFFSET(tab_tipo_Combustivel!$A$1,MATCH(B4218,tab_tipo_Combustivel!$A$2:$A$150,0),MATCH(A4218,tab_tipo_Combustivel!$B$1:$AQ$1,0),1,1)</f>
        <v>195.63</v>
      </c>
    </row>
    <row r="4219" spans="1:3">
      <c r="A4219" s="3">
        <f t="shared" si="126"/>
        <v>2043</v>
      </c>
      <c r="B4219" s="106">
        <f t="shared" si="127"/>
        <v>74</v>
      </c>
      <c r="C4219" s="107">
        <f ca="1">OFFSET(tab_tipo_Combustivel!$A$1,MATCH(B4219,tab_tipo_Combustivel!$A$2:$A$150,0),MATCH(A4219,tab_tipo_Combustivel!$B$1:$AQ$1,0),1,1)</f>
        <v>364.46</v>
      </c>
    </row>
    <row r="4220" spans="1:3">
      <c r="A4220" s="3">
        <f t="shared" si="126"/>
        <v>2043</v>
      </c>
      <c r="B4220" s="106">
        <f t="shared" si="127"/>
        <v>83</v>
      </c>
      <c r="C4220" s="107">
        <f ca="1">OFFSET(tab_tipo_Combustivel!$A$1,MATCH(B4220,tab_tipo_Combustivel!$A$2:$A$150,0),MATCH(A4220,tab_tipo_Combustivel!$B$1:$AQ$1,0),1,1)</f>
        <v>448.1</v>
      </c>
    </row>
    <row r="4221" spans="1:3">
      <c r="A4221" s="3">
        <f t="shared" si="126"/>
        <v>2043</v>
      </c>
      <c r="B4221" s="106">
        <f t="shared" si="127"/>
        <v>86</v>
      </c>
      <c r="C4221" s="107">
        <f ca="1">OFFSET(tab_tipo_Combustivel!$A$1,MATCH(B4221,tab_tipo_Combustivel!$A$2:$A$150,0),MATCH(A4221,tab_tipo_Combustivel!$B$1:$AQ$1,0),1,1)</f>
        <v>170.34</v>
      </c>
    </row>
    <row r="4222" spans="1:3">
      <c r="A4222" s="3">
        <f t="shared" si="126"/>
        <v>2043</v>
      </c>
      <c r="B4222" s="106">
        <f t="shared" si="127"/>
        <v>90</v>
      </c>
      <c r="C4222" s="107">
        <f ca="1">OFFSET(tab_tipo_Combustivel!$A$1,MATCH(B4222,tab_tipo_Combustivel!$A$2:$A$150,0),MATCH(A4222,tab_tipo_Combustivel!$B$1:$AQ$1,0),1,1)</f>
        <v>533.1</v>
      </c>
    </row>
    <row r="4223" spans="1:3">
      <c r="A4223" s="3">
        <f t="shared" si="126"/>
        <v>2043</v>
      </c>
      <c r="B4223" s="106">
        <f t="shared" si="127"/>
        <v>93</v>
      </c>
      <c r="C4223" s="107">
        <f ca="1">OFFSET(tab_tipo_Combustivel!$A$1,MATCH(B4223,tab_tipo_Combustivel!$A$2:$A$150,0),MATCH(A4223,tab_tipo_Combustivel!$B$1:$AQ$1,0),1,1)</f>
        <v>842.33</v>
      </c>
    </row>
    <row r="4224" spans="1:3">
      <c r="A4224" s="3">
        <f t="shared" si="126"/>
        <v>2043</v>
      </c>
      <c r="B4224" s="106">
        <f t="shared" si="127"/>
        <v>94</v>
      </c>
      <c r="C4224" s="107">
        <f ca="1">OFFSET(tab_tipo_Combustivel!$A$1,MATCH(B4224,tab_tipo_Combustivel!$A$2:$A$150,0),MATCH(A4224,tab_tipo_Combustivel!$B$1:$AQ$1,0),1,1)</f>
        <v>842.33</v>
      </c>
    </row>
    <row r="4225" spans="1:3">
      <c r="A4225" s="3">
        <f t="shared" si="126"/>
        <v>2043</v>
      </c>
      <c r="B4225" s="106">
        <f t="shared" si="127"/>
        <v>96</v>
      </c>
      <c r="C4225" s="107">
        <f ca="1">OFFSET(tab_tipo_Combustivel!$A$1,MATCH(B4225,tab_tipo_Combustivel!$A$2:$A$150,0),MATCH(A4225,tab_tipo_Combustivel!$B$1:$AQ$1,0),1,1)</f>
        <v>99.92</v>
      </c>
    </row>
    <row r="4226" spans="1:3">
      <c r="A4226" s="3">
        <f t="shared" si="126"/>
        <v>2043</v>
      </c>
      <c r="B4226" s="106">
        <f t="shared" si="127"/>
        <v>98</v>
      </c>
      <c r="C4226" s="107">
        <f ca="1">OFFSET(tab_tipo_Combustivel!$A$1,MATCH(B4226,tab_tipo_Combustivel!$A$2:$A$150,0),MATCH(A4226,tab_tipo_Combustivel!$B$1:$AQ$1,0),1,1)</f>
        <v>489.8</v>
      </c>
    </row>
    <row r="4227" spans="1:3">
      <c r="A4227" s="3">
        <f t="shared" si="126"/>
        <v>2043</v>
      </c>
      <c r="B4227" s="106">
        <f t="shared" si="127"/>
        <v>107</v>
      </c>
      <c r="C4227" s="107">
        <f ca="1">OFFSET(tab_tipo_Combustivel!$A$1,MATCH(B4227,tab_tipo_Combustivel!$A$2:$A$150,0),MATCH(A4227,tab_tipo_Combustivel!$B$1:$AQ$1,0),1,1)</f>
        <v>57.63</v>
      </c>
    </row>
    <row r="4228" spans="1:3">
      <c r="A4228" s="3">
        <f t="shared" si="126"/>
        <v>2043</v>
      </c>
      <c r="B4228" s="106">
        <f t="shared" si="127"/>
        <v>110</v>
      </c>
      <c r="C4228" s="107">
        <f ca="1">OFFSET(tab_tipo_Combustivel!$A$1,MATCH(B4228,tab_tipo_Combustivel!$A$2:$A$150,0),MATCH(A4228,tab_tipo_Combustivel!$B$1:$AQ$1,0),1,1)</f>
        <v>568.29</v>
      </c>
    </row>
    <row r="4229" spans="1:3">
      <c r="A4229" s="3">
        <f t="shared" si="126"/>
        <v>2043</v>
      </c>
      <c r="B4229" s="106">
        <f t="shared" si="127"/>
        <v>116</v>
      </c>
      <c r="C4229" s="107">
        <f ca="1">OFFSET(tab_tipo_Combustivel!$A$1,MATCH(B4229,tab_tipo_Combustivel!$A$2:$A$150,0),MATCH(A4229,tab_tipo_Combustivel!$B$1:$AQ$1,0),1,1)</f>
        <v>117.46</v>
      </c>
    </row>
    <row r="4230" spans="1:3">
      <c r="A4230" s="3">
        <f t="shared" si="126"/>
        <v>2043</v>
      </c>
      <c r="B4230" s="106">
        <f t="shared" si="127"/>
        <v>140</v>
      </c>
      <c r="C4230" s="107">
        <f ca="1">OFFSET(tab_tipo_Combustivel!$A$1,MATCH(B4230,tab_tipo_Combustivel!$A$2:$A$150,0),MATCH(A4230,tab_tipo_Combustivel!$B$1:$AQ$1,0),1,1)</f>
        <v>88.11</v>
      </c>
    </row>
    <row r="4231" spans="1:3">
      <c r="A4231" s="3">
        <f t="shared" si="126"/>
        <v>2043</v>
      </c>
      <c r="B4231" s="106">
        <f t="shared" si="127"/>
        <v>141</v>
      </c>
      <c r="C4231" s="107">
        <f ca="1">OFFSET(tab_tipo_Combustivel!$A$1,MATCH(B4231,tab_tipo_Combustivel!$A$2:$A$150,0),MATCH(A4231,tab_tipo_Combustivel!$B$1:$AQ$1,0),1,1)</f>
        <v>1280.52</v>
      </c>
    </row>
    <row r="4232" spans="1:3">
      <c r="A4232" s="3">
        <f t="shared" si="126"/>
        <v>2043</v>
      </c>
      <c r="B4232" s="106">
        <f t="shared" si="127"/>
        <v>147</v>
      </c>
      <c r="C4232" s="107">
        <f ca="1">OFFSET(tab_tipo_Combustivel!$A$1,MATCH(B4232,tab_tipo_Combustivel!$A$2:$A$150,0),MATCH(A4232,tab_tipo_Combustivel!$B$1:$AQ$1,0),1,1)</f>
        <v>134.18</v>
      </c>
    </row>
    <row r="4233" spans="1:3">
      <c r="A4233" s="3">
        <f t="shared" si="126"/>
        <v>2043</v>
      </c>
      <c r="B4233" s="106">
        <f t="shared" si="127"/>
        <v>156</v>
      </c>
      <c r="C4233" s="107">
        <f ca="1">OFFSET(tab_tipo_Combustivel!$A$1,MATCH(B4233,tab_tipo_Combustivel!$A$2:$A$150,0),MATCH(A4233,tab_tipo_Combustivel!$B$1:$AQ$1,0),1,1)</f>
        <v>77.12</v>
      </c>
    </row>
    <row r="4234" spans="1:3">
      <c r="A4234" s="3">
        <f t="shared" ref="A4234:A4297" si="128">A4099+1</f>
        <v>2043</v>
      </c>
      <c r="B4234" s="106">
        <f t="shared" ref="B4234:B4297" si="129">B4099</f>
        <v>163</v>
      </c>
      <c r="C4234" s="107">
        <f ca="1">OFFSET(tab_tipo_Combustivel!$A$1,MATCH(B4234,tab_tipo_Combustivel!$A$2:$A$150,0),MATCH(A4234,tab_tipo_Combustivel!$B$1:$AQ$1,0),1,1)</f>
        <v>156.69999999999999</v>
      </c>
    </row>
    <row r="4235" spans="1:3">
      <c r="A4235" s="3">
        <f t="shared" si="128"/>
        <v>2043</v>
      </c>
      <c r="B4235" s="106">
        <f t="shared" si="129"/>
        <v>167</v>
      </c>
      <c r="C4235" s="107">
        <f ca="1">OFFSET(tab_tipo_Combustivel!$A$1,MATCH(B4235,tab_tipo_Combustivel!$A$2:$A$150,0),MATCH(A4235,tab_tipo_Combustivel!$B$1:$AQ$1,0),1,1)</f>
        <v>144.66999999999999</v>
      </c>
    </row>
    <row r="4236" spans="1:3">
      <c r="A4236" s="3">
        <f t="shared" si="128"/>
        <v>2043</v>
      </c>
      <c r="B4236" s="106">
        <f t="shared" si="129"/>
        <v>171</v>
      </c>
      <c r="C4236" s="107">
        <f ca="1">OFFSET(tab_tipo_Combustivel!$A$1,MATCH(B4236,tab_tipo_Combustivel!$A$2:$A$150,0),MATCH(A4236,tab_tipo_Combustivel!$B$1:$AQ$1,0),1,1)</f>
        <v>88</v>
      </c>
    </row>
    <row r="4237" spans="1:3">
      <c r="A4237" s="3">
        <f t="shared" si="128"/>
        <v>2043</v>
      </c>
      <c r="B4237" s="106">
        <f t="shared" si="129"/>
        <v>172</v>
      </c>
      <c r="C4237" s="107">
        <f ca="1">OFFSET(tab_tipo_Combustivel!$A$1,MATCH(B4237,tab_tipo_Combustivel!$A$2:$A$150,0),MATCH(A4237,tab_tipo_Combustivel!$B$1:$AQ$1,0),1,1)</f>
        <v>99.97</v>
      </c>
    </row>
    <row r="4238" spans="1:3">
      <c r="A4238" s="3">
        <f t="shared" si="128"/>
        <v>2043</v>
      </c>
      <c r="B4238" s="106">
        <f t="shared" si="129"/>
        <v>173</v>
      </c>
      <c r="C4238" s="107">
        <f ca="1">OFFSET(tab_tipo_Combustivel!$A$1,MATCH(B4238,tab_tipo_Combustivel!$A$2:$A$150,0),MATCH(A4238,tab_tipo_Combustivel!$B$1:$AQ$1,0),1,1)</f>
        <v>192.03</v>
      </c>
    </row>
    <row r="4239" spans="1:3">
      <c r="A4239" s="3">
        <f t="shared" si="128"/>
        <v>2043</v>
      </c>
      <c r="B4239" s="106">
        <f t="shared" si="129"/>
        <v>174</v>
      </c>
      <c r="C4239" s="107">
        <f ca="1">OFFSET(tab_tipo_Combustivel!$A$1,MATCH(B4239,tab_tipo_Combustivel!$A$2:$A$150,0),MATCH(A4239,tab_tipo_Combustivel!$B$1:$AQ$1,0),1,1)</f>
        <v>331.22</v>
      </c>
    </row>
    <row r="4240" spans="1:3">
      <c r="A4240" s="3">
        <f t="shared" si="128"/>
        <v>2043</v>
      </c>
      <c r="B4240" s="106">
        <f t="shared" si="129"/>
        <v>176</v>
      </c>
      <c r="C4240" s="107">
        <f ca="1">OFFSET(tab_tipo_Combustivel!$A$1,MATCH(B4240,tab_tipo_Combustivel!$A$2:$A$150,0),MATCH(A4240,tab_tipo_Combustivel!$B$1:$AQ$1,0),1,1)</f>
        <v>149.47999999999999</v>
      </c>
    </row>
    <row r="4241" spans="1:3">
      <c r="A4241" s="3">
        <f t="shared" si="128"/>
        <v>2043</v>
      </c>
      <c r="B4241" s="106">
        <f t="shared" si="129"/>
        <v>183</v>
      </c>
      <c r="C4241" s="107">
        <f ca="1">OFFSET(tab_tipo_Combustivel!$A$1,MATCH(B4241,tab_tipo_Combustivel!$A$2:$A$150,0),MATCH(A4241,tab_tipo_Combustivel!$B$1:$AQ$1,0),1,1)</f>
        <v>171.61</v>
      </c>
    </row>
    <row r="4242" spans="1:3">
      <c r="A4242" s="3">
        <f t="shared" si="128"/>
        <v>2043</v>
      </c>
      <c r="B4242" s="106">
        <f t="shared" si="129"/>
        <v>194</v>
      </c>
      <c r="C4242" s="107">
        <f ca="1">OFFSET(tab_tipo_Combustivel!$A$1,MATCH(B4242,tab_tipo_Combustivel!$A$2:$A$150,0),MATCH(A4242,tab_tipo_Combustivel!$B$1:$AQ$1,0),1,1)</f>
        <v>1098.58</v>
      </c>
    </row>
    <row r="4243" spans="1:3">
      <c r="A4243" s="3">
        <f t="shared" si="128"/>
        <v>2043</v>
      </c>
      <c r="B4243" s="106">
        <f t="shared" si="129"/>
        <v>203</v>
      </c>
      <c r="C4243" s="107">
        <f ca="1">OFFSET(tab_tipo_Combustivel!$A$1,MATCH(B4243,tab_tipo_Combustivel!$A$2:$A$150,0),MATCH(A4243,tab_tipo_Combustivel!$B$1:$AQ$1,0),1,1)</f>
        <v>0</v>
      </c>
    </row>
    <row r="4244" spans="1:3">
      <c r="A4244" s="3">
        <f t="shared" si="128"/>
        <v>2043</v>
      </c>
      <c r="B4244" s="106">
        <f t="shared" si="129"/>
        <v>204</v>
      </c>
      <c r="C4244" s="107">
        <f ca="1">OFFSET(tab_tipo_Combustivel!$A$1,MATCH(B4244,tab_tipo_Combustivel!$A$2:$A$150,0),MATCH(A4244,tab_tipo_Combustivel!$B$1:$AQ$1,0),1,1)</f>
        <v>0</v>
      </c>
    </row>
    <row r="4245" spans="1:3">
      <c r="A4245" s="3">
        <f t="shared" si="128"/>
        <v>2043</v>
      </c>
      <c r="B4245" s="106">
        <f t="shared" si="129"/>
        <v>205</v>
      </c>
      <c r="C4245" s="107">
        <f ca="1">OFFSET(tab_tipo_Combustivel!$A$1,MATCH(B4245,tab_tipo_Combustivel!$A$2:$A$150,0),MATCH(A4245,tab_tipo_Combustivel!$B$1:$AQ$1,0),1,1)</f>
        <v>0</v>
      </c>
    </row>
    <row r="4246" spans="1:3">
      <c r="A4246" s="3">
        <f t="shared" si="128"/>
        <v>2043</v>
      </c>
      <c r="B4246" s="106">
        <f t="shared" si="129"/>
        <v>207</v>
      </c>
      <c r="C4246" s="107">
        <f ca="1">OFFSET(tab_tipo_Combustivel!$A$1,MATCH(B4246,tab_tipo_Combustivel!$A$2:$A$150,0),MATCH(A4246,tab_tipo_Combustivel!$B$1:$AQ$1,0),1,1)</f>
        <v>0</v>
      </c>
    </row>
    <row r="4247" spans="1:3">
      <c r="A4247" s="3">
        <f t="shared" si="128"/>
        <v>2043</v>
      </c>
      <c r="B4247" s="106">
        <f t="shared" si="129"/>
        <v>208</v>
      </c>
      <c r="C4247" s="107">
        <f ca="1">OFFSET(tab_tipo_Combustivel!$A$1,MATCH(B4247,tab_tipo_Combustivel!$A$2:$A$150,0),MATCH(A4247,tab_tipo_Combustivel!$B$1:$AQ$1,0),1,1)</f>
        <v>783.64</v>
      </c>
    </row>
    <row r="4248" spans="1:3">
      <c r="A4248" s="3">
        <f t="shared" si="128"/>
        <v>2043</v>
      </c>
      <c r="B4248" s="106">
        <f t="shared" si="129"/>
        <v>209</v>
      </c>
      <c r="C4248" s="107">
        <f ca="1">OFFSET(tab_tipo_Combustivel!$A$1,MATCH(B4248,tab_tipo_Combustivel!$A$2:$A$150,0),MATCH(A4248,tab_tipo_Combustivel!$B$1:$AQ$1,0),1,1)</f>
        <v>0</v>
      </c>
    </row>
    <row r="4249" spans="1:3">
      <c r="A4249" s="3">
        <f t="shared" si="128"/>
        <v>2043</v>
      </c>
      <c r="B4249" s="106">
        <f t="shared" si="129"/>
        <v>211</v>
      </c>
      <c r="C4249" s="107">
        <f ca="1">OFFSET(tab_tipo_Combustivel!$A$1,MATCH(B4249,tab_tipo_Combustivel!$A$2:$A$150,0),MATCH(A4249,tab_tipo_Combustivel!$B$1:$AQ$1,0),1,1)</f>
        <v>150.79</v>
      </c>
    </row>
    <row r="4250" spans="1:3">
      <c r="A4250" s="3">
        <f t="shared" si="128"/>
        <v>2043</v>
      </c>
      <c r="B4250" s="106">
        <f t="shared" si="129"/>
        <v>212</v>
      </c>
      <c r="C4250" s="107">
        <f ca="1">OFFSET(tab_tipo_Combustivel!$A$1,MATCH(B4250,tab_tipo_Combustivel!$A$2:$A$150,0),MATCH(A4250,tab_tipo_Combustivel!$B$1:$AQ$1,0),1,1)</f>
        <v>84.58</v>
      </c>
    </row>
    <row r="4251" spans="1:3">
      <c r="A4251" s="3">
        <f t="shared" si="128"/>
        <v>2043</v>
      </c>
      <c r="B4251" s="106">
        <f t="shared" si="129"/>
        <v>224</v>
      </c>
      <c r="C4251" s="107">
        <f ca="1">OFFSET(tab_tipo_Combustivel!$A$1,MATCH(B4251,tab_tipo_Combustivel!$A$2:$A$150,0),MATCH(A4251,tab_tipo_Combustivel!$B$1:$AQ$1,0),1,1)</f>
        <v>31.08</v>
      </c>
    </row>
    <row r="4252" spans="1:3">
      <c r="A4252" s="3">
        <f t="shared" si="128"/>
        <v>2043</v>
      </c>
      <c r="B4252" s="106">
        <f t="shared" si="129"/>
        <v>225</v>
      </c>
      <c r="C4252" s="107">
        <f ca="1">OFFSET(tab_tipo_Combustivel!$A$1,MATCH(B4252,tab_tipo_Combustivel!$A$2:$A$150,0),MATCH(A4252,tab_tipo_Combustivel!$B$1:$AQ$1,0),1,1)</f>
        <v>1329.7</v>
      </c>
    </row>
    <row r="4253" spans="1:3">
      <c r="A4253" s="3">
        <f t="shared" si="128"/>
        <v>2043</v>
      </c>
      <c r="B4253" s="106">
        <f t="shared" si="129"/>
        <v>226</v>
      </c>
      <c r="C4253" s="107">
        <f ca="1">OFFSET(tab_tipo_Combustivel!$A$1,MATCH(B4253,tab_tipo_Combustivel!$A$2:$A$150,0),MATCH(A4253,tab_tipo_Combustivel!$B$1:$AQ$1,0),1,1)</f>
        <v>1061.1300000000001</v>
      </c>
    </row>
    <row r="4254" spans="1:3">
      <c r="A4254" s="3">
        <f t="shared" si="128"/>
        <v>2043</v>
      </c>
      <c r="B4254" s="106">
        <f t="shared" si="129"/>
        <v>227</v>
      </c>
      <c r="C4254" s="107">
        <f ca="1">OFFSET(tab_tipo_Combustivel!$A$1,MATCH(B4254,tab_tipo_Combustivel!$A$2:$A$150,0),MATCH(A4254,tab_tipo_Combustivel!$B$1:$AQ$1,0),1,1)</f>
        <v>447.52</v>
      </c>
    </row>
    <row r="4255" spans="1:3">
      <c r="A4255" s="3">
        <f t="shared" si="128"/>
        <v>2043</v>
      </c>
      <c r="B4255" s="106">
        <f t="shared" si="129"/>
        <v>228</v>
      </c>
      <c r="C4255" s="107">
        <f ca="1">OFFSET(tab_tipo_Combustivel!$A$1,MATCH(B4255,tab_tipo_Combustivel!$A$2:$A$150,0),MATCH(A4255,tab_tipo_Combustivel!$B$1:$AQ$1,0),1,1)</f>
        <v>1061.1400000000001</v>
      </c>
    </row>
    <row r="4256" spans="1:3">
      <c r="A4256" s="3">
        <f t="shared" si="128"/>
        <v>2043</v>
      </c>
      <c r="B4256" s="106">
        <f t="shared" si="129"/>
        <v>229</v>
      </c>
      <c r="C4256" s="107">
        <f ca="1">OFFSET(tab_tipo_Combustivel!$A$1,MATCH(B4256,tab_tipo_Combustivel!$A$2:$A$150,0),MATCH(A4256,tab_tipo_Combustivel!$B$1:$AQ$1,0),1,1)</f>
        <v>942.05</v>
      </c>
    </row>
    <row r="4257" spans="1:3">
      <c r="A4257" s="3">
        <f t="shared" si="128"/>
        <v>2043</v>
      </c>
      <c r="B4257" s="106">
        <f t="shared" si="129"/>
        <v>230</v>
      </c>
      <c r="C4257" s="107">
        <f ca="1">OFFSET(tab_tipo_Combustivel!$A$1,MATCH(B4257,tab_tipo_Combustivel!$A$2:$A$150,0),MATCH(A4257,tab_tipo_Combustivel!$B$1:$AQ$1,0),1,1)</f>
        <v>495.06</v>
      </c>
    </row>
    <row r="4258" spans="1:3">
      <c r="A4258" s="3">
        <f t="shared" si="128"/>
        <v>2043</v>
      </c>
      <c r="B4258" s="106">
        <f t="shared" si="129"/>
        <v>231</v>
      </c>
      <c r="C4258" s="107">
        <f ca="1">OFFSET(tab_tipo_Combustivel!$A$1,MATCH(B4258,tab_tipo_Combustivel!$A$2:$A$150,0),MATCH(A4258,tab_tipo_Combustivel!$B$1:$AQ$1,0),1,1)</f>
        <v>489.29</v>
      </c>
    </row>
    <row r="4259" spans="1:3">
      <c r="A4259" s="3">
        <f t="shared" si="128"/>
        <v>2043</v>
      </c>
      <c r="B4259" s="106">
        <f t="shared" si="129"/>
        <v>232</v>
      </c>
      <c r="C4259" s="107">
        <f ca="1">OFFSET(tab_tipo_Combustivel!$A$1,MATCH(B4259,tab_tipo_Combustivel!$A$2:$A$150,0),MATCH(A4259,tab_tipo_Combustivel!$B$1:$AQ$1,0),1,1)</f>
        <v>842.33</v>
      </c>
    </row>
    <row r="4260" spans="1:3">
      <c r="A4260" s="3">
        <f t="shared" si="128"/>
        <v>2043</v>
      </c>
      <c r="B4260" s="106">
        <f t="shared" si="129"/>
        <v>233</v>
      </c>
      <c r="C4260" s="107">
        <f ca="1">OFFSET(tab_tipo_Combustivel!$A$1,MATCH(B4260,tab_tipo_Combustivel!$A$2:$A$150,0),MATCH(A4260,tab_tipo_Combustivel!$B$1:$AQ$1,0),1,1)</f>
        <v>984.29</v>
      </c>
    </row>
    <row r="4261" spans="1:3">
      <c r="A4261" s="3">
        <f t="shared" si="128"/>
        <v>2043</v>
      </c>
      <c r="B4261" s="106">
        <f t="shared" si="129"/>
        <v>234</v>
      </c>
      <c r="C4261" s="107">
        <f ca="1">OFFSET(tab_tipo_Combustivel!$A$1,MATCH(B4261,tab_tipo_Combustivel!$A$2:$A$150,0),MATCH(A4261,tab_tipo_Combustivel!$B$1:$AQ$1,0),1,1)</f>
        <v>290.26</v>
      </c>
    </row>
    <row r="4262" spans="1:3">
      <c r="A4262" s="3">
        <f t="shared" si="128"/>
        <v>2043</v>
      </c>
      <c r="B4262" s="106">
        <f t="shared" si="129"/>
        <v>235</v>
      </c>
      <c r="C4262" s="107">
        <f ca="1">OFFSET(tab_tipo_Combustivel!$A$1,MATCH(B4262,tab_tipo_Combustivel!$A$2:$A$150,0),MATCH(A4262,tab_tipo_Combustivel!$B$1:$AQ$1,0),1,1)</f>
        <v>1350.87</v>
      </c>
    </row>
    <row r="4263" spans="1:3">
      <c r="A4263" s="3">
        <f t="shared" si="128"/>
        <v>2043</v>
      </c>
      <c r="B4263" s="106">
        <f t="shared" si="129"/>
        <v>236</v>
      </c>
      <c r="C4263" s="107">
        <f ca="1">OFFSET(tab_tipo_Combustivel!$A$1,MATCH(B4263,tab_tipo_Combustivel!$A$2:$A$150,0),MATCH(A4263,tab_tipo_Combustivel!$B$1:$AQ$1,0),1,1)</f>
        <v>842.33</v>
      </c>
    </row>
    <row r="4264" spans="1:3">
      <c r="A4264" s="3">
        <f t="shared" si="128"/>
        <v>2043</v>
      </c>
      <c r="B4264" s="106">
        <f t="shared" si="129"/>
        <v>237</v>
      </c>
      <c r="C4264" s="107">
        <f ca="1">OFFSET(tab_tipo_Combustivel!$A$1,MATCH(B4264,tab_tipo_Combustivel!$A$2:$A$150,0),MATCH(A4264,tab_tipo_Combustivel!$B$1:$AQ$1,0),1,1)</f>
        <v>760.85</v>
      </c>
    </row>
    <row r="4265" spans="1:3">
      <c r="A4265" s="3">
        <f t="shared" si="128"/>
        <v>2043</v>
      </c>
      <c r="B4265" s="106">
        <f t="shared" si="129"/>
        <v>238</v>
      </c>
      <c r="C4265" s="107">
        <f ca="1">OFFSET(tab_tipo_Combustivel!$A$1,MATCH(B4265,tab_tipo_Combustivel!$A$2:$A$150,0),MATCH(A4265,tab_tipo_Combustivel!$B$1:$AQ$1,0),1,1)</f>
        <v>963.75</v>
      </c>
    </row>
    <row r="4266" spans="1:3">
      <c r="A4266" s="3">
        <f t="shared" si="128"/>
        <v>2043</v>
      </c>
      <c r="B4266" s="106">
        <f t="shared" si="129"/>
        <v>239</v>
      </c>
      <c r="C4266" s="107">
        <f ca="1">OFFSET(tab_tipo_Combustivel!$A$1,MATCH(B4266,tab_tipo_Combustivel!$A$2:$A$150,0),MATCH(A4266,tab_tipo_Combustivel!$B$1:$AQ$1,0),1,1)</f>
        <v>963.75</v>
      </c>
    </row>
    <row r="4267" spans="1:3">
      <c r="A4267" s="3">
        <f t="shared" si="128"/>
        <v>2043</v>
      </c>
      <c r="B4267" s="106">
        <f t="shared" si="129"/>
        <v>240</v>
      </c>
      <c r="C4267" s="107">
        <f ca="1">OFFSET(tab_tipo_Combustivel!$A$1,MATCH(B4267,tab_tipo_Combustivel!$A$2:$A$150,0),MATCH(A4267,tab_tipo_Combustivel!$B$1:$AQ$1,0),1,1)</f>
        <v>1115.96</v>
      </c>
    </row>
    <row r="4268" spans="1:3">
      <c r="A4268" s="3">
        <f t="shared" si="128"/>
        <v>2043</v>
      </c>
      <c r="B4268" s="106">
        <f t="shared" si="129"/>
        <v>241</v>
      </c>
      <c r="C4268" s="107">
        <f ca="1">OFFSET(tab_tipo_Combustivel!$A$1,MATCH(B4268,tab_tipo_Combustivel!$A$2:$A$150,0),MATCH(A4268,tab_tipo_Combustivel!$B$1:$AQ$1,0),1,1)</f>
        <v>495.75</v>
      </c>
    </row>
    <row r="4269" spans="1:3">
      <c r="A4269" s="3">
        <f t="shared" si="128"/>
        <v>2043</v>
      </c>
      <c r="B4269" s="106">
        <f t="shared" si="129"/>
        <v>242</v>
      </c>
      <c r="C4269" s="107">
        <f ca="1">OFFSET(tab_tipo_Combustivel!$A$1,MATCH(B4269,tab_tipo_Combustivel!$A$2:$A$150,0),MATCH(A4269,tab_tipo_Combustivel!$B$1:$AQ$1,0),1,1)</f>
        <v>1176.45</v>
      </c>
    </row>
    <row r="4270" spans="1:3">
      <c r="A4270" s="3">
        <f t="shared" si="128"/>
        <v>2043</v>
      </c>
      <c r="B4270" s="106">
        <f t="shared" si="129"/>
        <v>243</v>
      </c>
      <c r="C4270" s="107">
        <f ca="1">OFFSET(tab_tipo_Combustivel!$A$1,MATCH(B4270,tab_tipo_Combustivel!$A$2:$A$150,0),MATCH(A4270,tab_tipo_Combustivel!$B$1:$AQ$1,0),1,1)</f>
        <v>495.08</v>
      </c>
    </row>
    <row r="4271" spans="1:3">
      <c r="A4271" s="3">
        <f t="shared" si="128"/>
        <v>2043</v>
      </c>
      <c r="B4271" s="106">
        <f t="shared" si="129"/>
        <v>244</v>
      </c>
      <c r="C4271" s="107">
        <f ca="1">OFFSET(tab_tipo_Combustivel!$A$1,MATCH(B4271,tab_tipo_Combustivel!$A$2:$A$150,0),MATCH(A4271,tab_tipo_Combustivel!$B$1:$AQ$1,0),1,1)</f>
        <v>495.06</v>
      </c>
    </row>
    <row r="4272" spans="1:3">
      <c r="A4272" s="3">
        <f t="shared" si="128"/>
        <v>2043</v>
      </c>
      <c r="B4272" s="106">
        <f t="shared" si="129"/>
        <v>245</v>
      </c>
      <c r="C4272" s="107">
        <f ca="1">OFFSET(tab_tipo_Combustivel!$A$1,MATCH(B4272,tab_tipo_Combustivel!$A$2:$A$150,0),MATCH(A4272,tab_tipo_Combustivel!$B$1:$AQ$1,0),1,1)</f>
        <v>562.65</v>
      </c>
    </row>
    <row r="4273" spans="1:3">
      <c r="A4273" s="3">
        <f t="shared" si="128"/>
        <v>2043</v>
      </c>
      <c r="B4273" s="106">
        <f t="shared" si="129"/>
        <v>246</v>
      </c>
      <c r="C4273" s="107">
        <f ca="1">OFFSET(tab_tipo_Combustivel!$A$1,MATCH(B4273,tab_tipo_Combustivel!$A$2:$A$150,0),MATCH(A4273,tab_tipo_Combustivel!$B$1:$AQ$1,0),1,1)</f>
        <v>1124.53</v>
      </c>
    </row>
    <row r="4274" spans="1:3">
      <c r="A4274" s="3">
        <f t="shared" si="128"/>
        <v>2043</v>
      </c>
      <c r="B4274" s="106">
        <f t="shared" si="129"/>
        <v>247</v>
      </c>
      <c r="C4274" s="107">
        <f ca="1">OFFSET(tab_tipo_Combustivel!$A$1,MATCH(B4274,tab_tipo_Combustivel!$A$2:$A$150,0),MATCH(A4274,tab_tipo_Combustivel!$B$1:$AQ$1,0),1,1)</f>
        <v>609.51</v>
      </c>
    </row>
    <row r="4275" spans="1:3">
      <c r="A4275" s="3">
        <f t="shared" si="128"/>
        <v>2043</v>
      </c>
      <c r="B4275" s="106">
        <f t="shared" si="129"/>
        <v>248</v>
      </c>
      <c r="C4275" s="107">
        <f ca="1">OFFSET(tab_tipo_Combustivel!$A$1,MATCH(B4275,tab_tipo_Combustivel!$A$2:$A$150,0),MATCH(A4275,tab_tipo_Combustivel!$B$1:$AQ$1,0),1,1)</f>
        <v>495.06</v>
      </c>
    </row>
    <row r="4276" spans="1:3">
      <c r="A4276" s="3">
        <f t="shared" si="128"/>
        <v>2043</v>
      </c>
      <c r="B4276" s="106">
        <f t="shared" si="129"/>
        <v>249</v>
      </c>
      <c r="C4276" s="107">
        <f ca="1">OFFSET(tab_tipo_Combustivel!$A$1,MATCH(B4276,tab_tipo_Combustivel!$A$2:$A$150,0),MATCH(A4276,tab_tipo_Combustivel!$B$1:$AQ$1,0),1,1)</f>
        <v>842.33</v>
      </c>
    </row>
    <row r="4277" spans="1:3">
      <c r="A4277" s="3">
        <f t="shared" si="128"/>
        <v>2043</v>
      </c>
      <c r="B4277" s="106">
        <f t="shared" si="129"/>
        <v>250</v>
      </c>
      <c r="C4277" s="107">
        <f ca="1">OFFSET(tab_tipo_Combustivel!$A$1,MATCH(B4277,tab_tipo_Combustivel!$A$2:$A$150,0),MATCH(A4277,tab_tipo_Combustivel!$B$1:$AQ$1,0),1,1)</f>
        <v>1176.45</v>
      </c>
    </row>
    <row r="4278" spans="1:3">
      <c r="A4278" s="3">
        <f t="shared" si="128"/>
        <v>2043</v>
      </c>
      <c r="B4278" s="106">
        <f t="shared" si="129"/>
        <v>251</v>
      </c>
      <c r="C4278" s="107">
        <f ca="1">OFFSET(tab_tipo_Combustivel!$A$1,MATCH(B4278,tab_tipo_Combustivel!$A$2:$A$150,0),MATCH(A4278,tab_tipo_Combustivel!$B$1:$AQ$1,0),1,1)</f>
        <v>842.33</v>
      </c>
    </row>
    <row r="4279" spans="1:3">
      <c r="A4279" s="3">
        <f t="shared" si="128"/>
        <v>2043</v>
      </c>
      <c r="B4279" s="106">
        <f t="shared" si="129"/>
        <v>252</v>
      </c>
      <c r="C4279" s="107">
        <f ca="1">OFFSET(tab_tipo_Combustivel!$A$1,MATCH(B4279,tab_tipo_Combustivel!$A$2:$A$150,0),MATCH(A4279,tab_tipo_Combustivel!$B$1:$AQ$1,0),1,1)</f>
        <v>842.33</v>
      </c>
    </row>
    <row r="4280" spans="1:3">
      <c r="A4280" s="3">
        <f t="shared" si="128"/>
        <v>2043</v>
      </c>
      <c r="B4280" s="106">
        <f t="shared" si="129"/>
        <v>253</v>
      </c>
      <c r="C4280" s="107">
        <f ca="1">OFFSET(tab_tipo_Combustivel!$A$1,MATCH(B4280,tab_tipo_Combustivel!$A$2:$A$150,0),MATCH(A4280,tab_tipo_Combustivel!$B$1:$AQ$1,0),1,1)</f>
        <v>279.45</v>
      </c>
    </row>
    <row r="4281" spans="1:3">
      <c r="A4281" s="3">
        <f t="shared" si="128"/>
        <v>2043</v>
      </c>
      <c r="B4281" s="106">
        <f t="shared" si="129"/>
        <v>254</v>
      </c>
      <c r="C4281" s="107">
        <f ca="1">OFFSET(tab_tipo_Combustivel!$A$1,MATCH(B4281,tab_tipo_Combustivel!$A$2:$A$150,0),MATCH(A4281,tab_tipo_Combustivel!$B$1:$AQ$1,0),1,1)</f>
        <v>1153.98</v>
      </c>
    </row>
    <row r="4282" spans="1:3">
      <c r="A4282" s="3">
        <f t="shared" si="128"/>
        <v>2043</v>
      </c>
      <c r="B4282" s="106">
        <f t="shared" si="129"/>
        <v>255</v>
      </c>
      <c r="C4282" s="107">
        <f ca="1">OFFSET(tab_tipo_Combustivel!$A$1,MATCH(B4282,tab_tipo_Combustivel!$A$2:$A$150,0),MATCH(A4282,tab_tipo_Combustivel!$B$1:$AQ$1,0),1,1)</f>
        <v>828.98</v>
      </c>
    </row>
    <row r="4283" spans="1:3">
      <c r="A4283" s="3">
        <f t="shared" si="128"/>
        <v>2043</v>
      </c>
      <c r="B4283" s="106">
        <f t="shared" si="129"/>
        <v>256</v>
      </c>
      <c r="C4283" s="107">
        <f ca="1">OFFSET(tab_tipo_Combustivel!$A$1,MATCH(B4283,tab_tipo_Combustivel!$A$2:$A$150,0),MATCH(A4283,tab_tipo_Combustivel!$B$1:$AQ$1,0),1,1)</f>
        <v>562.65</v>
      </c>
    </row>
    <row r="4284" spans="1:3">
      <c r="A4284" s="3">
        <f t="shared" si="128"/>
        <v>2043</v>
      </c>
      <c r="B4284" s="106">
        <f t="shared" si="129"/>
        <v>257</v>
      </c>
      <c r="C4284" s="107">
        <f ca="1">OFFSET(tab_tipo_Combustivel!$A$1,MATCH(B4284,tab_tipo_Combustivel!$A$2:$A$150,0),MATCH(A4284,tab_tipo_Combustivel!$B$1:$AQ$1,0),1,1)</f>
        <v>907.52</v>
      </c>
    </row>
    <row r="4285" spans="1:3">
      <c r="A4285" s="3">
        <f t="shared" si="128"/>
        <v>2043</v>
      </c>
      <c r="B4285" s="106">
        <f t="shared" si="129"/>
        <v>258</v>
      </c>
      <c r="C4285" s="107">
        <f ca="1">OFFSET(tab_tipo_Combustivel!$A$1,MATCH(B4285,tab_tipo_Combustivel!$A$2:$A$150,0),MATCH(A4285,tab_tipo_Combustivel!$B$1:$AQ$1,0),1,1)</f>
        <v>1016.04</v>
      </c>
    </row>
    <row r="4286" spans="1:3">
      <c r="A4286" s="3">
        <f t="shared" si="128"/>
        <v>2043</v>
      </c>
      <c r="B4286" s="106">
        <f t="shared" si="129"/>
        <v>259</v>
      </c>
      <c r="C4286" s="107">
        <f ca="1">OFFSET(tab_tipo_Combustivel!$A$1,MATCH(B4286,tab_tipo_Combustivel!$A$2:$A$150,0),MATCH(A4286,tab_tipo_Combustivel!$B$1:$AQ$1,0),1,1)</f>
        <v>977.53</v>
      </c>
    </row>
    <row r="4287" spans="1:3">
      <c r="A4287" s="3">
        <f t="shared" si="128"/>
        <v>2043</v>
      </c>
      <c r="B4287" s="106">
        <f t="shared" si="129"/>
        <v>260</v>
      </c>
      <c r="C4287" s="107">
        <f ca="1">OFFSET(tab_tipo_Combustivel!$A$1,MATCH(B4287,tab_tipo_Combustivel!$A$2:$A$150,0),MATCH(A4287,tab_tipo_Combustivel!$B$1:$AQ$1,0),1,1)</f>
        <v>827.17</v>
      </c>
    </row>
    <row r="4288" spans="1:3">
      <c r="A4288" s="3">
        <f t="shared" si="128"/>
        <v>2043</v>
      </c>
      <c r="B4288" s="106">
        <f t="shared" si="129"/>
        <v>261</v>
      </c>
      <c r="C4288" s="107">
        <f ca="1">OFFSET(tab_tipo_Combustivel!$A$1,MATCH(B4288,tab_tipo_Combustivel!$A$2:$A$150,0),MATCH(A4288,tab_tipo_Combustivel!$B$1:$AQ$1,0),1,1)</f>
        <v>829.7</v>
      </c>
    </row>
    <row r="4289" spans="1:3">
      <c r="A4289" s="3">
        <f t="shared" si="128"/>
        <v>2043</v>
      </c>
      <c r="B4289" s="106">
        <f t="shared" si="129"/>
        <v>262</v>
      </c>
      <c r="C4289" s="107">
        <f ca="1">OFFSET(tab_tipo_Combustivel!$A$1,MATCH(B4289,tab_tipo_Combustivel!$A$2:$A$150,0),MATCH(A4289,tab_tipo_Combustivel!$B$1:$AQ$1,0),1,1)</f>
        <v>495.75</v>
      </c>
    </row>
    <row r="4290" spans="1:3">
      <c r="A4290" s="3">
        <f t="shared" si="128"/>
        <v>2043</v>
      </c>
      <c r="B4290" s="106">
        <f t="shared" si="129"/>
        <v>263</v>
      </c>
      <c r="C4290" s="107">
        <f ca="1">OFFSET(tab_tipo_Combustivel!$A$1,MATCH(B4290,tab_tipo_Combustivel!$A$2:$A$150,0),MATCH(A4290,tab_tipo_Combustivel!$B$1:$AQ$1,0),1,1)</f>
        <v>474.77</v>
      </c>
    </row>
    <row r="4291" spans="1:3">
      <c r="A4291" s="3">
        <f t="shared" si="128"/>
        <v>2043</v>
      </c>
      <c r="B4291" s="106">
        <f t="shared" si="129"/>
        <v>264</v>
      </c>
      <c r="C4291" s="107">
        <f ca="1">OFFSET(tab_tipo_Combustivel!$A$1,MATCH(B4291,tab_tipo_Combustivel!$A$2:$A$150,0),MATCH(A4291,tab_tipo_Combustivel!$B$1:$AQ$1,0),1,1)</f>
        <v>842.33</v>
      </c>
    </row>
    <row r="4292" spans="1:3">
      <c r="A4292" s="3">
        <f t="shared" si="128"/>
        <v>2043</v>
      </c>
      <c r="B4292" s="106">
        <f t="shared" si="129"/>
        <v>265</v>
      </c>
      <c r="C4292" s="107">
        <f ca="1">OFFSET(tab_tipo_Combustivel!$A$1,MATCH(B4292,tab_tipo_Combustivel!$A$2:$A$150,0),MATCH(A4292,tab_tipo_Combustivel!$B$1:$AQ$1,0),1,1)</f>
        <v>415.82</v>
      </c>
    </row>
    <row r="4293" spans="1:3">
      <c r="A4293" s="3">
        <f t="shared" si="128"/>
        <v>2043</v>
      </c>
      <c r="B4293" s="106">
        <f t="shared" si="129"/>
        <v>266</v>
      </c>
      <c r="C4293" s="107">
        <f ca="1">OFFSET(tab_tipo_Combustivel!$A$1,MATCH(B4293,tab_tipo_Combustivel!$A$2:$A$150,0),MATCH(A4293,tab_tipo_Combustivel!$B$1:$AQ$1,0),1,1)</f>
        <v>827.17</v>
      </c>
    </row>
    <row r="4294" spans="1:3">
      <c r="A4294" s="3">
        <f t="shared" si="128"/>
        <v>2043</v>
      </c>
      <c r="B4294" s="106">
        <f t="shared" si="129"/>
        <v>301</v>
      </c>
      <c r="C4294" s="107">
        <f ca="1">OFFSET(tab_tipo_Combustivel!$A$1,MATCH(B4294,tab_tipo_Combustivel!$A$2:$A$150,0),MATCH(A4294,tab_tipo_Combustivel!$B$1:$AQ$1,0),1,1)</f>
        <v>99.08</v>
      </c>
    </row>
    <row r="4295" spans="1:3">
      <c r="A4295" s="3">
        <f t="shared" si="128"/>
        <v>2043</v>
      </c>
      <c r="B4295" s="106">
        <f t="shared" si="129"/>
        <v>302</v>
      </c>
      <c r="C4295" s="107">
        <f ca="1">OFFSET(tab_tipo_Combustivel!$A$1,MATCH(B4295,tab_tipo_Combustivel!$A$2:$A$150,0),MATCH(A4295,tab_tipo_Combustivel!$B$1:$AQ$1,0),1,1)</f>
        <v>103.73</v>
      </c>
    </row>
    <row r="4296" spans="1:3">
      <c r="A4296" s="3">
        <f t="shared" si="128"/>
        <v>2043</v>
      </c>
      <c r="B4296" s="106">
        <f t="shared" si="129"/>
        <v>303</v>
      </c>
      <c r="C4296" s="107">
        <f ca="1">OFFSET(tab_tipo_Combustivel!$A$1,MATCH(B4296,tab_tipo_Combustivel!$A$2:$A$150,0),MATCH(A4296,tab_tipo_Combustivel!$B$1:$AQ$1,0),1,1)</f>
        <v>103.73</v>
      </c>
    </row>
    <row r="4297" spans="1:3">
      <c r="A4297" s="3">
        <f t="shared" si="128"/>
        <v>2043</v>
      </c>
      <c r="B4297" s="106">
        <f t="shared" si="129"/>
        <v>304</v>
      </c>
      <c r="C4297" s="107">
        <f ca="1">OFFSET(tab_tipo_Combustivel!$A$1,MATCH(B4297,tab_tipo_Combustivel!$A$2:$A$150,0),MATCH(A4297,tab_tipo_Combustivel!$B$1:$AQ$1,0),1,1)</f>
        <v>139.41999999999999</v>
      </c>
    </row>
    <row r="4298" spans="1:3">
      <c r="A4298" s="3">
        <f t="shared" ref="A4298:A4361" si="130">A4163+1</f>
        <v>2043</v>
      </c>
      <c r="B4298" s="106">
        <f t="shared" ref="B4298:B4361" si="131">B4163</f>
        <v>305</v>
      </c>
      <c r="C4298" s="107">
        <f ca="1">OFFSET(tab_tipo_Combustivel!$A$1,MATCH(B4298,tab_tipo_Combustivel!$A$2:$A$150,0),MATCH(A4298,tab_tipo_Combustivel!$B$1:$AQ$1,0),1,1)</f>
        <v>89.7</v>
      </c>
    </row>
    <row r="4299" spans="1:3">
      <c r="A4299" s="3">
        <f t="shared" si="130"/>
        <v>2043</v>
      </c>
      <c r="B4299" s="106">
        <f t="shared" si="131"/>
        <v>306</v>
      </c>
      <c r="C4299" s="107">
        <f ca="1">OFFSET(tab_tipo_Combustivel!$A$1,MATCH(B4299,tab_tipo_Combustivel!$A$2:$A$150,0),MATCH(A4299,tab_tipo_Combustivel!$B$1:$AQ$1,0),1,1)</f>
        <v>100.38</v>
      </c>
    </row>
    <row r="4300" spans="1:3">
      <c r="A4300" s="3">
        <f t="shared" si="130"/>
        <v>2043</v>
      </c>
      <c r="B4300" s="106">
        <f t="shared" si="131"/>
        <v>307</v>
      </c>
      <c r="C4300" s="107">
        <f ca="1">OFFSET(tab_tipo_Combustivel!$A$1,MATCH(B4300,tab_tipo_Combustivel!$A$2:$A$150,0),MATCH(A4300,tab_tipo_Combustivel!$B$1:$AQ$1,0),1,1)</f>
        <v>510.12</v>
      </c>
    </row>
    <row r="4301" spans="1:3">
      <c r="A4301" s="3">
        <f t="shared" si="130"/>
        <v>2043</v>
      </c>
      <c r="B4301" s="106">
        <f t="shared" si="131"/>
        <v>308</v>
      </c>
      <c r="C4301" s="107">
        <f ca="1">OFFSET(tab_tipo_Combustivel!$A$1,MATCH(B4301,tab_tipo_Combustivel!$A$2:$A$150,0),MATCH(A4301,tab_tipo_Combustivel!$B$1:$AQ$1,0),1,1)</f>
        <v>72.5</v>
      </c>
    </row>
    <row r="4302" spans="1:3">
      <c r="A4302" s="3">
        <f t="shared" si="130"/>
        <v>2043</v>
      </c>
      <c r="B4302" s="106">
        <f t="shared" si="131"/>
        <v>309</v>
      </c>
      <c r="C4302" s="107">
        <f ca="1">OFFSET(tab_tipo_Combustivel!$A$1,MATCH(B4302,tab_tipo_Combustivel!$A$2:$A$150,0),MATCH(A4302,tab_tipo_Combustivel!$B$1:$AQ$1,0),1,1)</f>
        <v>126.77</v>
      </c>
    </row>
    <row r="4303" spans="1:3">
      <c r="A4303" s="3">
        <f t="shared" si="130"/>
        <v>2043</v>
      </c>
      <c r="B4303" s="106">
        <f t="shared" si="131"/>
        <v>310</v>
      </c>
      <c r="C4303" s="107">
        <f ca="1">OFFSET(tab_tipo_Combustivel!$A$1,MATCH(B4303,tab_tipo_Combustivel!$A$2:$A$150,0),MATCH(A4303,tab_tipo_Combustivel!$B$1:$AQ$1,0),1,1)</f>
        <v>275.99</v>
      </c>
    </row>
    <row r="4304" spans="1:3">
      <c r="A4304" s="3">
        <f t="shared" si="130"/>
        <v>2043</v>
      </c>
      <c r="B4304" s="106">
        <f t="shared" si="131"/>
        <v>311</v>
      </c>
      <c r="C4304" s="107">
        <f ca="1">OFFSET(tab_tipo_Combustivel!$A$1,MATCH(B4304,tab_tipo_Combustivel!$A$2:$A$150,0),MATCH(A4304,tab_tipo_Combustivel!$B$1:$AQ$1,0),1,1)</f>
        <v>70.66</v>
      </c>
    </row>
    <row r="4305" spans="1:3">
      <c r="A4305" s="3">
        <f t="shared" si="130"/>
        <v>2043</v>
      </c>
      <c r="B4305" s="106">
        <f t="shared" si="131"/>
        <v>312</v>
      </c>
      <c r="C4305" s="107">
        <f ca="1">OFFSET(tab_tipo_Combustivel!$A$1,MATCH(B4305,tab_tipo_Combustivel!$A$2:$A$150,0),MATCH(A4305,tab_tipo_Combustivel!$B$1:$AQ$1,0),1,1)</f>
        <v>0</v>
      </c>
    </row>
    <row r="4306" spans="1:3">
      <c r="A4306" s="3">
        <f t="shared" si="130"/>
        <v>2043</v>
      </c>
      <c r="B4306" s="106">
        <f t="shared" si="131"/>
        <v>1301</v>
      </c>
      <c r="C4306" s="107">
        <f ca="1">OFFSET(tab_tipo_Combustivel!$A$1,MATCH(B4306,tab_tipo_Combustivel!$A$2:$A$150,0),MATCH(A4306,tab_tipo_Combustivel!$B$1:$AQ$1,0),1,1)</f>
        <v>242.05</v>
      </c>
    </row>
    <row r="4307" spans="1:3">
      <c r="A4307" s="3">
        <f t="shared" si="130"/>
        <v>2043</v>
      </c>
      <c r="B4307" s="106">
        <f t="shared" si="131"/>
        <v>1302</v>
      </c>
      <c r="C4307" s="107">
        <f ca="1">OFFSET(tab_tipo_Combustivel!$A$1,MATCH(B4307,tab_tipo_Combustivel!$A$2:$A$150,0),MATCH(A4307,tab_tipo_Combustivel!$B$1:$AQ$1,0),1,1)</f>
        <v>193.64</v>
      </c>
    </row>
    <row r="4308" spans="1:3">
      <c r="A4308" s="3">
        <f t="shared" si="130"/>
        <v>2043</v>
      </c>
      <c r="B4308" s="106">
        <f t="shared" si="131"/>
        <v>1303</v>
      </c>
      <c r="C4308" s="107">
        <f ca="1">OFFSET(tab_tipo_Combustivel!$A$1,MATCH(B4308,tab_tipo_Combustivel!$A$2:$A$150,0),MATCH(A4308,tab_tipo_Combustivel!$B$1:$AQ$1,0),1,1)</f>
        <v>25.58</v>
      </c>
    </row>
    <row r="4309" spans="1:3">
      <c r="A4309" s="3">
        <f t="shared" si="130"/>
        <v>2043</v>
      </c>
      <c r="B4309" s="106">
        <f t="shared" si="131"/>
        <v>1304</v>
      </c>
      <c r="C4309" s="107">
        <f ca="1">OFFSET(tab_tipo_Combustivel!$A$1,MATCH(B4309,tab_tipo_Combustivel!$A$2:$A$150,0),MATCH(A4309,tab_tipo_Combustivel!$B$1:$AQ$1,0),1,1)</f>
        <v>0</v>
      </c>
    </row>
    <row r="4310" spans="1:3">
      <c r="A4310" s="3">
        <f t="shared" si="130"/>
        <v>2043</v>
      </c>
      <c r="B4310" s="106">
        <f t="shared" si="131"/>
        <v>1315</v>
      </c>
      <c r="C4310" s="107">
        <f ca="1">OFFSET(tab_tipo_Combustivel!$A$1,MATCH(B4310,tab_tipo_Combustivel!$A$2:$A$150,0),MATCH(A4310,tab_tipo_Combustivel!$B$1:$AQ$1,0),1,1)</f>
        <v>0</v>
      </c>
    </row>
    <row r="4311" spans="1:3">
      <c r="A4311" s="3">
        <f t="shared" si="130"/>
        <v>2043</v>
      </c>
      <c r="B4311" s="106">
        <f t="shared" si="131"/>
        <v>1316</v>
      </c>
      <c r="C4311" s="107">
        <f ca="1">OFFSET(tab_tipo_Combustivel!$A$1,MATCH(B4311,tab_tipo_Combustivel!$A$2:$A$150,0),MATCH(A4311,tab_tipo_Combustivel!$B$1:$AQ$1,0),1,1)</f>
        <v>0</v>
      </c>
    </row>
    <row r="4312" spans="1:3">
      <c r="A4312" s="3">
        <f t="shared" si="130"/>
        <v>2043</v>
      </c>
      <c r="B4312" s="106">
        <f t="shared" si="131"/>
        <v>1318</v>
      </c>
      <c r="C4312" s="107">
        <f ca="1">OFFSET(tab_tipo_Combustivel!$A$1,MATCH(B4312,tab_tipo_Combustivel!$A$2:$A$150,0),MATCH(A4312,tab_tipo_Combustivel!$B$1:$AQ$1,0),1,1)</f>
        <v>150</v>
      </c>
    </row>
    <row r="4313" spans="1:3">
      <c r="A4313" s="3">
        <f t="shared" si="130"/>
        <v>2043</v>
      </c>
      <c r="B4313" s="106">
        <f t="shared" si="131"/>
        <v>1321</v>
      </c>
      <c r="C4313" s="107">
        <f ca="1">OFFSET(tab_tipo_Combustivel!$A$1,MATCH(B4313,tab_tipo_Combustivel!$A$2:$A$150,0),MATCH(A4313,tab_tipo_Combustivel!$B$1:$AQ$1,0),1,1)</f>
        <v>85</v>
      </c>
    </row>
    <row r="4314" spans="1:3">
      <c r="A4314" s="3">
        <f t="shared" si="130"/>
        <v>2043</v>
      </c>
      <c r="B4314" s="106">
        <f t="shared" si="131"/>
        <v>1322</v>
      </c>
      <c r="C4314" s="107">
        <f ca="1">OFFSET(tab_tipo_Combustivel!$A$1,MATCH(B4314,tab_tipo_Combustivel!$A$2:$A$150,0),MATCH(A4314,tab_tipo_Combustivel!$B$1:$AQ$1,0),1,1)</f>
        <v>140</v>
      </c>
    </row>
    <row r="4315" spans="1:3">
      <c r="A4315" s="3">
        <f t="shared" si="130"/>
        <v>2043</v>
      </c>
      <c r="B4315" s="106">
        <f t="shared" si="131"/>
        <v>1323</v>
      </c>
      <c r="C4315" s="107">
        <f ca="1">OFFSET(tab_tipo_Combustivel!$A$1,MATCH(B4315,tab_tipo_Combustivel!$A$2:$A$150,0),MATCH(A4315,tab_tipo_Combustivel!$B$1:$AQ$1,0),1,1)</f>
        <v>63.75</v>
      </c>
    </row>
    <row r="4316" spans="1:3">
      <c r="A4316" s="3">
        <f t="shared" si="130"/>
        <v>2043</v>
      </c>
      <c r="B4316" s="106">
        <f t="shared" si="131"/>
        <v>1325</v>
      </c>
      <c r="C4316" s="107">
        <f ca="1">OFFSET(tab_tipo_Combustivel!$A$1,MATCH(B4316,tab_tipo_Combustivel!$A$2:$A$150,0),MATCH(A4316,tab_tipo_Combustivel!$B$1:$AQ$1,0),1,1)</f>
        <v>0</v>
      </c>
    </row>
    <row r="4317" spans="1:3">
      <c r="A4317" s="3">
        <f t="shared" si="130"/>
        <v>2043</v>
      </c>
      <c r="B4317" s="106">
        <f t="shared" si="131"/>
        <v>1326</v>
      </c>
      <c r="C4317" s="107">
        <f ca="1">OFFSET(tab_tipo_Combustivel!$A$1,MATCH(B4317,tab_tipo_Combustivel!$A$2:$A$150,0),MATCH(A4317,tab_tipo_Combustivel!$B$1:$AQ$1,0),1,1)</f>
        <v>260</v>
      </c>
    </row>
    <row r="4318" spans="1:3">
      <c r="A4318" s="3">
        <f t="shared" si="130"/>
        <v>2043</v>
      </c>
      <c r="B4318" s="106">
        <f t="shared" si="131"/>
        <v>1501</v>
      </c>
      <c r="C4318" s="107">
        <f ca="1">OFFSET(tab_tipo_Combustivel!$A$1,MATCH(B4318,tab_tipo_Combustivel!$A$2:$A$150,0),MATCH(A4318,tab_tipo_Combustivel!$B$1:$AQ$1,0),1,1)</f>
        <v>260</v>
      </c>
    </row>
    <row r="4319" spans="1:3">
      <c r="A4319" s="3">
        <f t="shared" si="130"/>
        <v>2043</v>
      </c>
      <c r="B4319" s="106">
        <f t="shared" si="131"/>
        <v>1502</v>
      </c>
      <c r="C4319" s="107">
        <f ca="1">OFFSET(tab_tipo_Combustivel!$A$1,MATCH(B4319,tab_tipo_Combustivel!$A$2:$A$150,0),MATCH(A4319,tab_tipo_Combustivel!$B$1:$AQ$1,0),1,1)</f>
        <v>60</v>
      </c>
    </row>
    <row r="4320" spans="1:3">
      <c r="A4320" s="3">
        <f t="shared" si="130"/>
        <v>2043</v>
      </c>
      <c r="B4320" s="106">
        <f t="shared" si="131"/>
        <v>1503</v>
      </c>
      <c r="C4320" s="107">
        <f ca="1">OFFSET(tab_tipo_Combustivel!$A$1,MATCH(B4320,tab_tipo_Combustivel!$A$2:$A$150,0),MATCH(A4320,tab_tipo_Combustivel!$B$1:$AQ$1,0),1,1)</f>
        <v>96.82</v>
      </c>
    </row>
    <row r="4321" spans="1:3">
      <c r="A4321" s="3">
        <f t="shared" si="130"/>
        <v>2043</v>
      </c>
      <c r="B4321" s="106">
        <f t="shared" si="131"/>
        <v>1504</v>
      </c>
      <c r="C4321" s="107">
        <f ca="1">OFFSET(tab_tipo_Combustivel!$A$1,MATCH(B4321,tab_tipo_Combustivel!$A$2:$A$150,0),MATCH(A4321,tab_tipo_Combustivel!$B$1:$AQ$1,0),1,1)</f>
        <v>145.22999999999999</v>
      </c>
    </row>
    <row r="4322" spans="1:3">
      <c r="A4322" s="3">
        <f t="shared" si="130"/>
        <v>2044</v>
      </c>
      <c r="B4322" s="106">
        <f t="shared" si="131"/>
        <v>1</v>
      </c>
      <c r="C4322" s="107">
        <f ca="1">OFFSET(tab_tipo_Combustivel!$A$1,MATCH(B4322,tab_tipo_Combustivel!$A$2:$A$150,0),MATCH(A4322,tab_tipo_Combustivel!$B$1:$AQ$1,0),1,1)</f>
        <v>29.13</v>
      </c>
    </row>
    <row r="4323" spans="1:3">
      <c r="A4323" s="3">
        <f t="shared" si="130"/>
        <v>2044</v>
      </c>
      <c r="B4323" s="106">
        <f t="shared" si="131"/>
        <v>2</v>
      </c>
      <c r="C4323" s="107">
        <f ca="1">OFFSET(tab_tipo_Combustivel!$A$1,MATCH(B4323,tab_tipo_Combustivel!$A$2:$A$150,0),MATCH(A4323,tab_tipo_Combustivel!$B$1:$AQ$1,0),1,1)</f>
        <v>842.33</v>
      </c>
    </row>
    <row r="4324" spans="1:3">
      <c r="A4324" s="3">
        <f t="shared" si="130"/>
        <v>2044</v>
      </c>
      <c r="B4324" s="106">
        <f t="shared" si="131"/>
        <v>4</v>
      </c>
      <c r="C4324" s="107">
        <f ca="1">OFFSET(tab_tipo_Combustivel!$A$1,MATCH(B4324,tab_tipo_Combustivel!$A$2:$A$150,0),MATCH(A4324,tab_tipo_Combustivel!$B$1:$AQ$1,0),1,1)</f>
        <v>842.33</v>
      </c>
    </row>
    <row r="4325" spans="1:3">
      <c r="A4325" s="3">
        <f t="shared" si="130"/>
        <v>2044</v>
      </c>
      <c r="B4325" s="106">
        <f t="shared" si="131"/>
        <v>9</v>
      </c>
      <c r="C4325" s="107">
        <f ca="1">OFFSET(tab_tipo_Combustivel!$A$1,MATCH(B4325,tab_tipo_Combustivel!$A$2:$A$150,0),MATCH(A4325,tab_tipo_Combustivel!$B$1:$AQ$1,0),1,1)</f>
        <v>842.33</v>
      </c>
    </row>
    <row r="4326" spans="1:3">
      <c r="A4326" s="3">
        <f t="shared" si="130"/>
        <v>2044</v>
      </c>
      <c r="B4326" s="106">
        <f t="shared" si="131"/>
        <v>12</v>
      </c>
      <c r="C4326" s="107">
        <f ca="1">OFFSET(tab_tipo_Combustivel!$A$1,MATCH(B4326,tab_tipo_Combustivel!$A$2:$A$150,0),MATCH(A4326,tab_tipo_Combustivel!$B$1:$AQ$1,0),1,1)</f>
        <v>728.87</v>
      </c>
    </row>
    <row r="4327" spans="1:3">
      <c r="A4327" s="3">
        <f t="shared" si="130"/>
        <v>2044</v>
      </c>
      <c r="B4327" s="106">
        <f t="shared" si="131"/>
        <v>13</v>
      </c>
      <c r="C4327" s="107">
        <f ca="1">OFFSET(tab_tipo_Combustivel!$A$1,MATCH(B4327,tab_tipo_Combustivel!$A$2:$A$150,0),MATCH(A4327,tab_tipo_Combustivel!$B$1:$AQ$1,0),1,1)</f>
        <v>20.12</v>
      </c>
    </row>
    <row r="4328" spans="1:3">
      <c r="A4328" s="3">
        <f t="shared" si="130"/>
        <v>2044</v>
      </c>
      <c r="B4328" s="106">
        <f t="shared" si="131"/>
        <v>15</v>
      </c>
      <c r="C4328" s="107">
        <f ca="1">OFFSET(tab_tipo_Combustivel!$A$1,MATCH(B4328,tab_tipo_Combustivel!$A$2:$A$150,0),MATCH(A4328,tab_tipo_Combustivel!$B$1:$AQ$1,0),1,1)</f>
        <v>257.29000000000002</v>
      </c>
    </row>
    <row r="4329" spans="1:3">
      <c r="A4329" s="3">
        <f t="shared" si="130"/>
        <v>2044</v>
      </c>
      <c r="B4329" s="106">
        <f t="shared" si="131"/>
        <v>21</v>
      </c>
      <c r="C4329" s="107">
        <f ca="1">OFFSET(tab_tipo_Combustivel!$A$1,MATCH(B4329,tab_tipo_Combustivel!$A$2:$A$150,0),MATCH(A4329,tab_tipo_Combustivel!$B$1:$AQ$1,0),1,1)</f>
        <v>157.83000000000001</v>
      </c>
    </row>
    <row r="4330" spans="1:3">
      <c r="A4330" s="3">
        <f t="shared" si="130"/>
        <v>2044</v>
      </c>
      <c r="B4330" s="106">
        <f t="shared" si="131"/>
        <v>22</v>
      </c>
      <c r="C4330" s="107">
        <f ca="1">OFFSET(tab_tipo_Combustivel!$A$1,MATCH(B4330,tab_tipo_Combustivel!$A$2:$A$150,0),MATCH(A4330,tab_tipo_Combustivel!$B$1:$AQ$1,0),1,1)</f>
        <v>115.9</v>
      </c>
    </row>
    <row r="4331" spans="1:3">
      <c r="A4331" s="3">
        <f t="shared" si="130"/>
        <v>2044</v>
      </c>
      <c r="B4331" s="106">
        <f t="shared" si="131"/>
        <v>23</v>
      </c>
      <c r="C4331" s="107">
        <f ca="1">OFFSET(tab_tipo_Combustivel!$A$1,MATCH(B4331,tab_tipo_Combustivel!$A$2:$A$150,0),MATCH(A4331,tab_tipo_Combustivel!$B$1:$AQ$1,0),1,1)</f>
        <v>115.9</v>
      </c>
    </row>
    <row r="4332" spans="1:3">
      <c r="A4332" s="3">
        <f t="shared" si="130"/>
        <v>2044</v>
      </c>
      <c r="B4332" s="106">
        <f t="shared" si="131"/>
        <v>24</v>
      </c>
      <c r="C4332" s="107">
        <f ca="1">OFFSET(tab_tipo_Combustivel!$A$1,MATCH(B4332,tab_tipo_Combustivel!$A$2:$A$150,0),MATCH(A4332,tab_tipo_Combustivel!$B$1:$AQ$1,0),1,1)</f>
        <v>155.85</v>
      </c>
    </row>
    <row r="4333" spans="1:3">
      <c r="A4333" s="3">
        <f t="shared" si="130"/>
        <v>2044</v>
      </c>
      <c r="B4333" s="106">
        <f t="shared" si="131"/>
        <v>25</v>
      </c>
      <c r="C4333" s="107">
        <f ca="1">OFFSET(tab_tipo_Combustivel!$A$1,MATCH(B4333,tab_tipo_Combustivel!$A$2:$A$150,0),MATCH(A4333,tab_tipo_Combustivel!$B$1:$AQ$1,0),1,1)</f>
        <v>186.33</v>
      </c>
    </row>
    <row r="4334" spans="1:3">
      <c r="A4334" s="3">
        <f t="shared" si="130"/>
        <v>2044</v>
      </c>
      <c r="B4334" s="106">
        <f t="shared" si="131"/>
        <v>26</v>
      </c>
      <c r="C4334" s="107">
        <f ca="1">OFFSET(tab_tipo_Combustivel!$A$1,MATCH(B4334,tab_tipo_Combustivel!$A$2:$A$150,0),MATCH(A4334,tab_tipo_Combustivel!$B$1:$AQ$1,0),1,1)</f>
        <v>258.42</v>
      </c>
    </row>
    <row r="4335" spans="1:3">
      <c r="A4335" s="3">
        <f t="shared" si="130"/>
        <v>2044</v>
      </c>
      <c r="B4335" s="106">
        <f t="shared" si="131"/>
        <v>27</v>
      </c>
      <c r="C4335" s="107">
        <f ca="1">OFFSET(tab_tipo_Combustivel!$A$1,MATCH(B4335,tab_tipo_Combustivel!$A$2:$A$150,0),MATCH(A4335,tab_tipo_Combustivel!$B$1:$AQ$1,0),1,1)</f>
        <v>195.49</v>
      </c>
    </row>
    <row r="4336" spans="1:3">
      <c r="A4336" s="3">
        <f t="shared" si="130"/>
        <v>2044</v>
      </c>
      <c r="B4336" s="106">
        <f t="shared" si="131"/>
        <v>28</v>
      </c>
      <c r="C4336" s="107">
        <f ca="1">OFFSET(tab_tipo_Combustivel!$A$1,MATCH(B4336,tab_tipo_Combustivel!$A$2:$A$150,0),MATCH(A4336,tab_tipo_Combustivel!$B$1:$AQ$1,0),1,1)</f>
        <v>459.92</v>
      </c>
    </row>
    <row r="4337" spans="1:3">
      <c r="A4337" s="3">
        <f t="shared" si="130"/>
        <v>2044</v>
      </c>
      <c r="B4337" s="106">
        <f t="shared" si="131"/>
        <v>32</v>
      </c>
      <c r="C4337" s="107">
        <f ca="1">OFFSET(tab_tipo_Combustivel!$A$1,MATCH(B4337,tab_tipo_Combustivel!$A$2:$A$150,0),MATCH(A4337,tab_tipo_Combustivel!$B$1:$AQ$1,0),1,1)</f>
        <v>248.31</v>
      </c>
    </row>
    <row r="4338" spans="1:3">
      <c r="A4338" s="3">
        <f t="shared" si="130"/>
        <v>2044</v>
      </c>
      <c r="B4338" s="106">
        <f t="shared" si="131"/>
        <v>34</v>
      </c>
      <c r="C4338" s="107">
        <f ca="1">OFFSET(tab_tipo_Combustivel!$A$1,MATCH(B4338,tab_tipo_Combustivel!$A$2:$A$150,0),MATCH(A4338,tab_tipo_Combustivel!$B$1:$AQ$1,0),1,1)</f>
        <v>423.38</v>
      </c>
    </row>
    <row r="4339" spans="1:3">
      <c r="A4339" s="3">
        <f t="shared" si="130"/>
        <v>2044</v>
      </c>
      <c r="B4339" s="106">
        <f t="shared" si="131"/>
        <v>35</v>
      </c>
      <c r="C4339" s="107">
        <f ca="1">OFFSET(tab_tipo_Combustivel!$A$1,MATCH(B4339,tab_tipo_Combustivel!$A$2:$A$150,0),MATCH(A4339,tab_tipo_Combustivel!$B$1:$AQ$1,0),1,1)</f>
        <v>692.45</v>
      </c>
    </row>
    <row r="4340" spans="1:3">
      <c r="A4340" s="3">
        <f t="shared" si="130"/>
        <v>2044</v>
      </c>
      <c r="B4340" s="106">
        <f t="shared" si="131"/>
        <v>36</v>
      </c>
      <c r="C4340" s="107">
        <f ca="1">OFFSET(tab_tipo_Combustivel!$A$1,MATCH(B4340,tab_tipo_Combustivel!$A$2:$A$150,0),MATCH(A4340,tab_tipo_Combustivel!$B$1:$AQ$1,0),1,1)</f>
        <v>157.83000000000001</v>
      </c>
    </row>
    <row r="4341" spans="1:3">
      <c r="A4341" s="3">
        <f t="shared" si="130"/>
        <v>2044</v>
      </c>
      <c r="B4341" s="106">
        <f t="shared" si="131"/>
        <v>42</v>
      </c>
      <c r="C4341" s="107">
        <f ca="1">OFFSET(tab_tipo_Combustivel!$A$1,MATCH(B4341,tab_tipo_Combustivel!$A$2:$A$150,0),MATCH(A4341,tab_tipo_Combustivel!$B$1:$AQ$1,0),1,1)</f>
        <v>199.22</v>
      </c>
    </row>
    <row r="4342" spans="1:3">
      <c r="A4342" s="3">
        <f t="shared" si="130"/>
        <v>2044</v>
      </c>
      <c r="B4342" s="106">
        <f t="shared" si="131"/>
        <v>43</v>
      </c>
      <c r="C4342" s="107">
        <f ca="1">OFFSET(tab_tipo_Combustivel!$A$1,MATCH(B4342,tab_tipo_Combustivel!$A$2:$A$150,0),MATCH(A4342,tab_tipo_Combustivel!$B$1:$AQ$1,0),1,1)</f>
        <v>431.62</v>
      </c>
    </row>
    <row r="4343" spans="1:3">
      <c r="A4343" s="3">
        <f t="shared" si="130"/>
        <v>2044</v>
      </c>
      <c r="B4343" s="106">
        <f t="shared" si="131"/>
        <v>44</v>
      </c>
      <c r="C4343" s="107">
        <f ca="1">OFFSET(tab_tipo_Combustivel!$A$1,MATCH(B4343,tab_tipo_Combustivel!$A$2:$A$150,0),MATCH(A4343,tab_tipo_Combustivel!$B$1:$AQ$1,0),1,1)</f>
        <v>25.58</v>
      </c>
    </row>
    <row r="4344" spans="1:3">
      <c r="A4344" s="3">
        <f t="shared" si="130"/>
        <v>2044</v>
      </c>
      <c r="B4344" s="106">
        <f t="shared" si="131"/>
        <v>46</v>
      </c>
      <c r="C4344" s="107">
        <f ca="1">OFFSET(tab_tipo_Combustivel!$A$1,MATCH(B4344,tab_tipo_Combustivel!$A$2:$A$150,0),MATCH(A4344,tab_tipo_Combustivel!$B$1:$AQ$1,0),1,1)</f>
        <v>228.91</v>
      </c>
    </row>
    <row r="4345" spans="1:3">
      <c r="A4345" s="3">
        <f t="shared" si="130"/>
        <v>2044</v>
      </c>
      <c r="B4345" s="106">
        <f t="shared" si="131"/>
        <v>47</v>
      </c>
      <c r="C4345" s="107">
        <f ca="1">OFFSET(tab_tipo_Combustivel!$A$1,MATCH(B4345,tab_tipo_Combustivel!$A$2:$A$150,0),MATCH(A4345,tab_tipo_Combustivel!$B$1:$AQ$1,0),1,1)</f>
        <v>235.6</v>
      </c>
    </row>
    <row r="4346" spans="1:3">
      <c r="A4346" s="3">
        <f t="shared" si="130"/>
        <v>2044</v>
      </c>
      <c r="B4346" s="106">
        <f t="shared" si="131"/>
        <v>48</v>
      </c>
      <c r="C4346" s="107">
        <f ca="1">OFFSET(tab_tipo_Combustivel!$A$1,MATCH(B4346,tab_tipo_Combustivel!$A$2:$A$150,0),MATCH(A4346,tab_tipo_Combustivel!$B$1:$AQ$1,0),1,1)</f>
        <v>1012.12</v>
      </c>
    </row>
    <row r="4347" spans="1:3">
      <c r="A4347" s="3">
        <f t="shared" si="130"/>
        <v>2044</v>
      </c>
      <c r="B4347" s="106">
        <f t="shared" si="131"/>
        <v>50</v>
      </c>
      <c r="C4347" s="107">
        <f ca="1">OFFSET(tab_tipo_Combustivel!$A$1,MATCH(B4347,tab_tipo_Combustivel!$A$2:$A$150,0),MATCH(A4347,tab_tipo_Combustivel!$B$1:$AQ$1,0),1,1)</f>
        <v>669.87</v>
      </c>
    </row>
    <row r="4348" spans="1:3">
      <c r="A4348" s="3">
        <f t="shared" si="130"/>
        <v>2044</v>
      </c>
      <c r="B4348" s="106">
        <f t="shared" si="131"/>
        <v>54</v>
      </c>
      <c r="C4348" s="107">
        <f ca="1">OFFSET(tab_tipo_Combustivel!$A$1,MATCH(B4348,tab_tipo_Combustivel!$A$2:$A$150,0),MATCH(A4348,tab_tipo_Combustivel!$B$1:$AQ$1,0),1,1)</f>
        <v>304.55</v>
      </c>
    </row>
    <row r="4349" spans="1:3">
      <c r="A4349" s="3">
        <f t="shared" si="130"/>
        <v>2044</v>
      </c>
      <c r="B4349" s="106">
        <f t="shared" si="131"/>
        <v>58</v>
      </c>
      <c r="C4349" s="107">
        <f ca="1">OFFSET(tab_tipo_Combustivel!$A$1,MATCH(B4349,tab_tipo_Combustivel!$A$2:$A$150,0),MATCH(A4349,tab_tipo_Combustivel!$B$1:$AQ$1,0),1,1)</f>
        <v>300.05</v>
      </c>
    </row>
    <row r="4350" spans="1:3">
      <c r="A4350" s="3">
        <f t="shared" si="130"/>
        <v>2044</v>
      </c>
      <c r="B4350" s="106">
        <f t="shared" si="131"/>
        <v>62</v>
      </c>
      <c r="C4350" s="107">
        <f ca="1">OFFSET(tab_tipo_Combustivel!$A$1,MATCH(B4350,tab_tipo_Combustivel!$A$2:$A$150,0),MATCH(A4350,tab_tipo_Combustivel!$B$1:$AQ$1,0),1,1)</f>
        <v>309.24</v>
      </c>
    </row>
    <row r="4351" spans="1:3">
      <c r="A4351" s="3">
        <f t="shared" si="130"/>
        <v>2044</v>
      </c>
      <c r="B4351" s="106">
        <f t="shared" si="131"/>
        <v>63</v>
      </c>
      <c r="C4351" s="107">
        <f ca="1">OFFSET(tab_tipo_Combustivel!$A$1,MATCH(B4351,tab_tipo_Combustivel!$A$2:$A$150,0),MATCH(A4351,tab_tipo_Combustivel!$B$1:$AQ$1,0),1,1)</f>
        <v>365.77</v>
      </c>
    </row>
    <row r="4352" spans="1:3">
      <c r="A4352" s="3">
        <f t="shared" si="130"/>
        <v>2044</v>
      </c>
      <c r="B4352" s="106">
        <f t="shared" si="131"/>
        <v>64</v>
      </c>
      <c r="C4352" s="107">
        <f ca="1">OFFSET(tab_tipo_Combustivel!$A$1,MATCH(B4352,tab_tipo_Combustivel!$A$2:$A$150,0),MATCH(A4352,tab_tipo_Combustivel!$B$1:$AQ$1,0),1,1)</f>
        <v>853.54</v>
      </c>
    </row>
    <row r="4353" spans="1:3">
      <c r="A4353" s="3">
        <f t="shared" si="130"/>
        <v>2044</v>
      </c>
      <c r="B4353" s="106">
        <f t="shared" si="131"/>
        <v>68</v>
      </c>
      <c r="C4353" s="107">
        <f ca="1">OFFSET(tab_tipo_Combustivel!$A$1,MATCH(B4353,tab_tipo_Combustivel!$A$2:$A$150,0),MATCH(A4353,tab_tipo_Combustivel!$B$1:$AQ$1,0),1,1)</f>
        <v>195.63</v>
      </c>
    </row>
    <row r="4354" spans="1:3">
      <c r="A4354" s="3">
        <f t="shared" si="130"/>
        <v>2044</v>
      </c>
      <c r="B4354" s="106">
        <f t="shared" si="131"/>
        <v>74</v>
      </c>
      <c r="C4354" s="107">
        <f ca="1">OFFSET(tab_tipo_Combustivel!$A$1,MATCH(B4354,tab_tipo_Combustivel!$A$2:$A$150,0),MATCH(A4354,tab_tipo_Combustivel!$B$1:$AQ$1,0),1,1)</f>
        <v>364.46</v>
      </c>
    </row>
    <row r="4355" spans="1:3">
      <c r="A4355" s="3">
        <f t="shared" si="130"/>
        <v>2044</v>
      </c>
      <c r="B4355" s="106">
        <f t="shared" si="131"/>
        <v>83</v>
      </c>
      <c r="C4355" s="107">
        <f ca="1">OFFSET(tab_tipo_Combustivel!$A$1,MATCH(B4355,tab_tipo_Combustivel!$A$2:$A$150,0),MATCH(A4355,tab_tipo_Combustivel!$B$1:$AQ$1,0),1,1)</f>
        <v>448.1</v>
      </c>
    </row>
    <row r="4356" spans="1:3">
      <c r="A4356" s="3">
        <f t="shared" si="130"/>
        <v>2044</v>
      </c>
      <c r="B4356" s="106">
        <f t="shared" si="131"/>
        <v>86</v>
      </c>
      <c r="C4356" s="107">
        <f ca="1">OFFSET(tab_tipo_Combustivel!$A$1,MATCH(B4356,tab_tipo_Combustivel!$A$2:$A$150,0),MATCH(A4356,tab_tipo_Combustivel!$B$1:$AQ$1,0),1,1)</f>
        <v>170.34</v>
      </c>
    </row>
    <row r="4357" spans="1:3">
      <c r="A4357" s="3">
        <f t="shared" si="130"/>
        <v>2044</v>
      </c>
      <c r="B4357" s="106">
        <f t="shared" si="131"/>
        <v>90</v>
      </c>
      <c r="C4357" s="107">
        <f ca="1">OFFSET(tab_tipo_Combustivel!$A$1,MATCH(B4357,tab_tipo_Combustivel!$A$2:$A$150,0),MATCH(A4357,tab_tipo_Combustivel!$B$1:$AQ$1,0),1,1)</f>
        <v>533.1</v>
      </c>
    </row>
    <row r="4358" spans="1:3">
      <c r="A4358" s="3">
        <f t="shared" si="130"/>
        <v>2044</v>
      </c>
      <c r="B4358" s="106">
        <f t="shared" si="131"/>
        <v>93</v>
      </c>
      <c r="C4358" s="107">
        <f ca="1">OFFSET(tab_tipo_Combustivel!$A$1,MATCH(B4358,tab_tipo_Combustivel!$A$2:$A$150,0),MATCH(A4358,tab_tipo_Combustivel!$B$1:$AQ$1,0),1,1)</f>
        <v>842.33</v>
      </c>
    </row>
    <row r="4359" spans="1:3">
      <c r="A4359" s="3">
        <f t="shared" si="130"/>
        <v>2044</v>
      </c>
      <c r="B4359" s="106">
        <f t="shared" si="131"/>
        <v>94</v>
      </c>
      <c r="C4359" s="107">
        <f ca="1">OFFSET(tab_tipo_Combustivel!$A$1,MATCH(B4359,tab_tipo_Combustivel!$A$2:$A$150,0),MATCH(A4359,tab_tipo_Combustivel!$B$1:$AQ$1,0),1,1)</f>
        <v>842.33</v>
      </c>
    </row>
    <row r="4360" spans="1:3">
      <c r="A4360" s="3">
        <f t="shared" si="130"/>
        <v>2044</v>
      </c>
      <c r="B4360" s="106">
        <f t="shared" si="131"/>
        <v>96</v>
      </c>
      <c r="C4360" s="107">
        <f ca="1">OFFSET(tab_tipo_Combustivel!$A$1,MATCH(B4360,tab_tipo_Combustivel!$A$2:$A$150,0),MATCH(A4360,tab_tipo_Combustivel!$B$1:$AQ$1,0),1,1)</f>
        <v>99.92</v>
      </c>
    </row>
    <row r="4361" spans="1:3">
      <c r="A4361" s="3">
        <f t="shared" si="130"/>
        <v>2044</v>
      </c>
      <c r="B4361" s="106">
        <f t="shared" si="131"/>
        <v>98</v>
      </c>
      <c r="C4361" s="107">
        <f ca="1">OFFSET(tab_tipo_Combustivel!$A$1,MATCH(B4361,tab_tipo_Combustivel!$A$2:$A$150,0),MATCH(A4361,tab_tipo_Combustivel!$B$1:$AQ$1,0),1,1)</f>
        <v>489.8</v>
      </c>
    </row>
    <row r="4362" spans="1:3">
      <c r="A4362" s="3">
        <f t="shared" ref="A4362:A4425" si="132">A4227+1</f>
        <v>2044</v>
      </c>
      <c r="B4362" s="106">
        <f t="shared" ref="B4362:B4425" si="133">B4227</f>
        <v>107</v>
      </c>
      <c r="C4362" s="107">
        <f ca="1">OFFSET(tab_tipo_Combustivel!$A$1,MATCH(B4362,tab_tipo_Combustivel!$A$2:$A$150,0),MATCH(A4362,tab_tipo_Combustivel!$B$1:$AQ$1,0),1,1)</f>
        <v>57.63</v>
      </c>
    </row>
    <row r="4363" spans="1:3">
      <c r="A4363" s="3">
        <f t="shared" si="132"/>
        <v>2044</v>
      </c>
      <c r="B4363" s="106">
        <f t="shared" si="133"/>
        <v>110</v>
      </c>
      <c r="C4363" s="107">
        <f ca="1">OFFSET(tab_tipo_Combustivel!$A$1,MATCH(B4363,tab_tipo_Combustivel!$A$2:$A$150,0),MATCH(A4363,tab_tipo_Combustivel!$B$1:$AQ$1,0),1,1)</f>
        <v>568.29</v>
      </c>
    </row>
    <row r="4364" spans="1:3">
      <c r="A4364" s="3">
        <f t="shared" si="132"/>
        <v>2044</v>
      </c>
      <c r="B4364" s="106">
        <f t="shared" si="133"/>
        <v>116</v>
      </c>
      <c r="C4364" s="107">
        <f ca="1">OFFSET(tab_tipo_Combustivel!$A$1,MATCH(B4364,tab_tipo_Combustivel!$A$2:$A$150,0),MATCH(A4364,tab_tipo_Combustivel!$B$1:$AQ$1,0),1,1)</f>
        <v>117.46</v>
      </c>
    </row>
    <row r="4365" spans="1:3">
      <c r="A4365" s="3">
        <f t="shared" si="132"/>
        <v>2044</v>
      </c>
      <c r="B4365" s="106">
        <f t="shared" si="133"/>
        <v>140</v>
      </c>
      <c r="C4365" s="107">
        <f ca="1">OFFSET(tab_tipo_Combustivel!$A$1,MATCH(B4365,tab_tipo_Combustivel!$A$2:$A$150,0),MATCH(A4365,tab_tipo_Combustivel!$B$1:$AQ$1,0),1,1)</f>
        <v>88.11</v>
      </c>
    </row>
    <row r="4366" spans="1:3">
      <c r="A4366" s="3">
        <f t="shared" si="132"/>
        <v>2044</v>
      </c>
      <c r="B4366" s="106">
        <f t="shared" si="133"/>
        <v>141</v>
      </c>
      <c r="C4366" s="107">
        <f ca="1">OFFSET(tab_tipo_Combustivel!$A$1,MATCH(B4366,tab_tipo_Combustivel!$A$2:$A$150,0),MATCH(A4366,tab_tipo_Combustivel!$B$1:$AQ$1,0),1,1)</f>
        <v>1280.52</v>
      </c>
    </row>
    <row r="4367" spans="1:3">
      <c r="A4367" s="3">
        <f t="shared" si="132"/>
        <v>2044</v>
      </c>
      <c r="B4367" s="106">
        <f t="shared" si="133"/>
        <v>147</v>
      </c>
      <c r="C4367" s="107">
        <f ca="1">OFFSET(tab_tipo_Combustivel!$A$1,MATCH(B4367,tab_tipo_Combustivel!$A$2:$A$150,0),MATCH(A4367,tab_tipo_Combustivel!$B$1:$AQ$1,0),1,1)</f>
        <v>134.18</v>
      </c>
    </row>
    <row r="4368" spans="1:3">
      <c r="A4368" s="3">
        <f t="shared" si="132"/>
        <v>2044</v>
      </c>
      <c r="B4368" s="106">
        <f t="shared" si="133"/>
        <v>156</v>
      </c>
      <c r="C4368" s="107">
        <f ca="1">OFFSET(tab_tipo_Combustivel!$A$1,MATCH(B4368,tab_tipo_Combustivel!$A$2:$A$150,0),MATCH(A4368,tab_tipo_Combustivel!$B$1:$AQ$1,0),1,1)</f>
        <v>77.12</v>
      </c>
    </row>
    <row r="4369" spans="1:3">
      <c r="A4369" s="3">
        <f t="shared" si="132"/>
        <v>2044</v>
      </c>
      <c r="B4369" s="106">
        <f t="shared" si="133"/>
        <v>163</v>
      </c>
      <c r="C4369" s="107">
        <f ca="1">OFFSET(tab_tipo_Combustivel!$A$1,MATCH(B4369,tab_tipo_Combustivel!$A$2:$A$150,0),MATCH(A4369,tab_tipo_Combustivel!$B$1:$AQ$1,0),1,1)</f>
        <v>156.69999999999999</v>
      </c>
    </row>
    <row r="4370" spans="1:3">
      <c r="A4370" s="3">
        <f t="shared" si="132"/>
        <v>2044</v>
      </c>
      <c r="B4370" s="106">
        <f t="shared" si="133"/>
        <v>167</v>
      </c>
      <c r="C4370" s="107">
        <f ca="1">OFFSET(tab_tipo_Combustivel!$A$1,MATCH(B4370,tab_tipo_Combustivel!$A$2:$A$150,0),MATCH(A4370,tab_tipo_Combustivel!$B$1:$AQ$1,0),1,1)</f>
        <v>144.66999999999999</v>
      </c>
    </row>
    <row r="4371" spans="1:3">
      <c r="A4371" s="3">
        <f t="shared" si="132"/>
        <v>2044</v>
      </c>
      <c r="B4371" s="106">
        <f t="shared" si="133"/>
        <v>171</v>
      </c>
      <c r="C4371" s="107">
        <f ca="1">OFFSET(tab_tipo_Combustivel!$A$1,MATCH(B4371,tab_tipo_Combustivel!$A$2:$A$150,0),MATCH(A4371,tab_tipo_Combustivel!$B$1:$AQ$1,0),1,1)</f>
        <v>88</v>
      </c>
    </row>
    <row r="4372" spans="1:3">
      <c r="A4372" s="3">
        <f t="shared" si="132"/>
        <v>2044</v>
      </c>
      <c r="B4372" s="106">
        <f t="shared" si="133"/>
        <v>172</v>
      </c>
      <c r="C4372" s="107">
        <f ca="1">OFFSET(tab_tipo_Combustivel!$A$1,MATCH(B4372,tab_tipo_Combustivel!$A$2:$A$150,0),MATCH(A4372,tab_tipo_Combustivel!$B$1:$AQ$1,0),1,1)</f>
        <v>99.97</v>
      </c>
    </row>
    <row r="4373" spans="1:3">
      <c r="A4373" s="3">
        <f t="shared" si="132"/>
        <v>2044</v>
      </c>
      <c r="B4373" s="106">
        <f t="shared" si="133"/>
        <v>173</v>
      </c>
      <c r="C4373" s="107">
        <f ca="1">OFFSET(tab_tipo_Combustivel!$A$1,MATCH(B4373,tab_tipo_Combustivel!$A$2:$A$150,0),MATCH(A4373,tab_tipo_Combustivel!$B$1:$AQ$1,0),1,1)</f>
        <v>192.03</v>
      </c>
    </row>
    <row r="4374" spans="1:3">
      <c r="A4374" s="3">
        <f t="shared" si="132"/>
        <v>2044</v>
      </c>
      <c r="B4374" s="106">
        <f t="shared" si="133"/>
        <v>174</v>
      </c>
      <c r="C4374" s="107">
        <f ca="1">OFFSET(tab_tipo_Combustivel!$A$1,MATCH(B4374,tab_tipo_Combustivel!$A$2:$A$150,0),MATCH(A4374,tab_tipo_Combustivel!$B$1:$AQ$1,0),1,1)</f>
        <v>331.22</v>
      </c>
    </row>
    <row r="4375" spans="1:3">
      <c r="A4375" s="3">
        <f t="shared" si="132"/>
        <v>2044</v>
      </c>
      <c r="B4375" s="106">
        <f t="shared" si="133"/>
        <v>176</v>
      </c>
      <c r="C4375" s="107">
        <f ca="1">OFFSET(tab_tipo_Combustivel!$A$1,MATCH(B4375,tab_tipo_Combustivel!$A$2:$A$150,0),MATCH(A4375,tab_tipo_Combustivel!$B$1:$AQ$1,0),1,1)</f>
        <v>149.47999999999999</v>
      </c>
    </row>
    <row r="4376" spans="1:3">
      <c r="A4376" s="3">
        <f t="shared" si="132"/>
        <v>2044</v>
      </c>
      <c r="B4376" s="106">
        <f t="shared" si="133"/>
        <v>183</v>
      </c>
      <c r="C4376" s="107">
        <f ca="1">OFFSET(tab_tipo_Combustivel!$A$1,MATCH(B4376,tab_tipo_Combustivel!$A$2:$A$150,0),MATCH(A4376,tab_tipo_Combustivel!$B$1:$AQ$1,0),1,1)</f>
        <v>171.61</v>
      </c>
    </row>
    <row r="4377" spans="1:3">
      <c r="A4377" s="3">
        <f t="shared" si="132"/>
        <v>2044</v>
      </c>
      <c r="B4377" s="106">
        <f t="shared" si="133"/>
        <v>194</v>
      </c>
      <c r="C4377" s="107">
        <f ca="1">OFFSET(tab_tipo_Combustivel!$A$1,MATCH(B4377,tab_tipo_Combustivel!$A$2:$A$150,0),MATCH(A4377,tab_tipo_Combustivel!$B$1:$AQ$1,0),1,1)</f>
        <v>1098.58</v>
      </c>
    </row>
    <row r="4378" spans="1:3">
      <c r="A4378" s="3">
        <f t="shared" si="132"/>
        <v>2044</v>
      </c>
      <c r="B4378" s="106">
        <f t="shared" si="133"/>
        <v>203</v>
      </c>
      <c r="C4378" s="107">
        <f ca="1">OFFSET(tab_tipo_Combustivel!$A$1,MATCH(B4378,tab_tipo_Combustivel!$A$2:$A$150,0),MATCH(A4378,tab_tipo_Combustivel!$B$1:$AQ$1,0),1,1)</f>
        <v>0</v>
      </c>
    </row>
    <row r="4379" spans="1:3">
      <c r="A4379" s="3">
        <f t="shared" si="132"/>
        <v>2044</v>
      </c>
      <c r="B4379" s="106">
        <f t="shared" si="133"/>
        <v>204</v>
      </c>
      <c r="C4379" s="107">
        <f ca="1">OFFSET(tab_tipo_Combustivel!$A$1,MATCH(B4379,tab_tipo_Combustivel!$A$2:$A$150,0),MATCH(A4379,tab_tipo_Combustivel!$B$1:$AQ$1,0),1,1)</f>
        <v>0</v>
      </c>
    </row>
    <row r="4380" spans="1:3">
      <c r="A4380" s="3">
        <f t="shared" si="132"/>
        <v>2044</v>
      </c>
      <c r="B4380" s="106">
        <f t="shared" si="133"/>
        <v>205</v>
      </c>
      <c r="C4380" s="107">
        <f ca="1">OFFSET(tab_tipo_Combustivel!$A$1,MATCH(B4380,tab_tipo_Combustivel!$A$2:$A$150,0),MATCH(A4380,tab_tipo_Combustivel!$B$1:$AQ$1,0),1,1)</f>
        <v>0</v>
      </c>
    </row>
    <row r="4381" spans="1:3">
      <c r="A4381" s="3">
        <f t="shared" si="132"/>
        <v>2044</v>
      </c>
      <c r="B4381" s="106">
        <f t="shared" si="133"/>
        <v>207</v>
      </c>
      <c r="C4381" s="107">
        <f ca="1">OFFSET(tab_tipo_Combustivel!$A$1,MATCH(B4381,tab_tipo_Combustivel!$A$2:$A$150,0),MATCH(A4381,tab_tipo_Combustivel!$B$1:$AQ$1,0),1,1)</f>
        <v>0</v>
      </c>
    </row>
    <row r="4382" spans="1:3">
      <c r="A4382" s="3">
        <f t="shared" si="132"/>
        <v>2044</v>
      </c>
      <c r="B4382" s="106">
        <f t="shared" si="133"/>
        <v>208</v>
      </c>
      <c r="C4382" s="107">
        <f ca="1">OFFSET(tab_tipo_Combustivel!$A$1,MATCH(B4382,tab_tipo_Combustivel!$A$2:$A$150,0),MATCH(A4382,tab_tipo_Combustivel!$B$1:$AQ$1,0),1,1)</f>
        <v>783.64</v>
      </c>
    </row>
    <row r="4383" spans="1:3">
      <c r="A4383" s="3">
        <f t="shared" si="132"/>
        <v>2044</v>
      </c>
      <c r="B4383" s="106">
        <f t="shared" si="133"/>
        <v>209</v>
      </c>
      <c r="C4383" s="107">
        <f ca="1">OFFSET(tab_tipo_Combustivel!$A$1,MATCH(B4383,tab_tipo_Combustivel!$A$2:$A$150,0),MATCH(A4383,tab_tipo_Combustivel!$B$1:$AQ$1,0),1,1)</f>
        <v>0</v>
      </c>
    </row>
    <row r="4384" spans="1:3">
      <c r="A4384" s="3">
        <f t="shared" si="132"/>
        <v>2044</v>
      </c>
      <c r="B4384" s="106">
        <f t="shared" si="133"/>
        <v>211</v>
      </c>
      <c r="C4384" s="107">
        <f ca="1">OFFSET(tab_tipo_Combustivel!$A$1,MATCH(B4384,tab_tipo_Combustivel!$A$2:$A$150,0),MATCH(A4384,tab_tipo_Combustivel!$B$1:$AQ$1,0),1,1)</f>
        <v>150.79</v>
      </c>
    </row>
    <row r="4385" spans="1:3">
      <c r="A4385" s="3">
        <f t="shared" si="132"/>
        <v>2044</v>
      </c>
      <c r="B4385" s="106">
        <f t="shared" si="133"/>
        <v>212</v>
      </c>
      <c r="C4385" s="107">
        <f ca="1">OFFSET(tab_tipo_Combustivel!$A$1,MATCH(B4385,tab_tipo_Combustivel!$A$2:$A$150,0),MATCH(A4385,tab_tipo_Combustivel!$B$1:$AQ$1,0),1,1)</f>
        <v>84.58</v>
      </c>
    </row>
    <row r="4386" spans="1:3">
      <c r="A4386" s="3">
        <f t="shared" si="132"/>
        <v>2044</v>
      </c>
      <c r="B4386" s="106">
        <f t="shared" si="133"/>
        <v>224</v>
      </c>
      <c r="C4386" s="107">
        <f ca="1">OFFSET(tab_tipo_Combustivel!$A$1,MATCH(B4386,tab_tipo_Combustivel!$A$2:$A$150,0),MATCH(A4386,tab_tipo_Combustivel!$B$1:$AQ$1,0),1,1)</f>
        <v>31.08</v>
      </c>
    </row>
    <row r="4387" spans="1:3">
      <c r="A4387" s="3">
        <f t="shared" si="132"/>
        <v>2044</v>
      </c>
      <c r="B4387" s="106">
        <f t="shared" si="133"/>
        <v>225</v>
      </c>
      <c r="C4387" s="107">
        <f ca="1">OFFSET(tab_tipo_Combustivel!$A$1,MATCH(B4387,tab_tipo_Combustivel!$A$2:$A$150,0),MATCH(A4387,tab_tipo_Combustivel!$B$1:$AQ$1,0),1,1)</f>
        <v>1329.7</v>
      </c>
    </row>
    <row r="4388" spans="1:3">
      <c r="A4388" s="3">
        <f t="shared" si="132"/>
        <v>2044</v>
      </c>
      <c r="B4388" s="106">
        <f t="shared" si="133"/>
        <v>226</v>
      </c>
      <c r="C4388" s="107">
        <f ca="1">OFFSET(tab_tipo_Combustivel!$A$1,MATCH(B4388,tab_tipo_Combustivel!$A$2:$A$150,0),MATCH(A4388,tab_tipo_Combustivel!$B$1:$AQ$1,0),1,1)</f>
        <v>1061.1300000000001</v>
      </c>
    </row>
    <row r="4389" spans="1:3">
      <c r="A4389" s="3">
        <f t="shared" si="132"/>
        <v>2044</v>
      </c>
      <c r="B4389" s="106">
        <f t="shared" si="133"/>
        <v>227</v>
      </c>
      <c r="C4389" s="107">
        <f ca="1">OFFSET(tab_tipo_Combustivel!$A$1,MATCH(B4389,tab_tipo_Combustivel!$A$2:$A$150,0),MATCH(A4389,tab_tipo_Combustivel!$B$1:$AQ$1,0),1,1)</f>
        <v>447.52</v>
      </c>
    </row>
    <row r="4390" spans="1:3">
      <c r="A4390" s="3">
        <f t="shared" si="132"/>
        <v>2044</v>
      </c>
      <c r="B4390" s="106">
        <f t="shared" si="133"/>
        <v>228</v>
      </c>
      <c r="C4390" s="107">
        <f ca="1">OFFSET(tab_tipo_Combustivel!$A$1,MATCH(B4390,tab_tipo_Combustivel!$A$2:$A$150,0),MATCH(A4390,tab_tipo_Combustivel!$B$1:$AQ$1,0),1,1)</f>
        <v>1061.1400000000001</v>
      </c>
    </row>
    <row r="4391" spans="1:3">
      <c r="A4391" s="3">
        <f t="shared" si="132"/>
        <v>2044</v>
      </c>
      <c r="B4391" s="106">
        <f t="shared" si="133"/>
        <v>229</v>
      </c>
      <c r="C4391" s="107">
        <f ca="1">OFFSET(tab_tipo_Combustivel!$A$1,MATCH(B4391,tab_tipo_Combustivel!$A$2:$A$150,0),MATCH(A4391,tab_tipo_Combustivel!$B$1:$AQ$1,0),1,1)</f>
        <v>942.05</v>
      </c>
    </row>
    <row r="4392" spans="1:3">
      <c r="A4392" s="3">
        <f t="shared" si="132"/>
        <v>2044</v>
      </c>
      <c r="B4392" s="106">
        <f t="shared" si="133"/>
        <v>230</v>
      </c>
      <c r="C4392" s="107">
        <f ca="1">OFFSET(tab_tipo_Combustivel!$A$1,MATCH(B4392,tab_tipo_Combustivel!$A$2:$A$150,0),MATCH(A4392,tab_tipo_Combustivel!$B$1:$AQ$1,0),1,1)</f>
        <v>495.06</v>
      </c>
    </row>
    <row r="4393" spans="1:3">
      <c r="A4393" s="3">
        <f t="shared" si="132"/>
        <v>2044</v>
      </c>
      <c r="B4393" s="106">
        <f t="shared" si="133"/>
        <v>231</v>
      </c>
      <c r="C4393" s="107">
        <f ca="1">OFFSET(tab_tipo_Combustivel!$A$1,MATCH(B4393,tab_tipo_Combustivel!$A$2:$A$150,0),MATCH(A4393,tab_tipo_Combustivel!$B$1:$AQ$1,0),1,1)</f>
        <v>489.29</v>
      </c>
    </row>
    <row r="4394" spans="1:3">
      <c r="A4394" s="3">
        <f t="shared" si="132"/>
        <v>2044</v>
      </c>
      <c r="B4394" s="106">
        <f t="shared" si="133"/>
        <v>232</v>
      </c>
      <c r="C4394" s="107">
        <f ca="1">OFFSET(tab_tipo_Combustivel!$A$1,MATCH(B4394,tab_tipo_Combustivel!$A$2:$A$150,0),MATCH(A4394,tab_tipo_Combustivel!$B$1:$AQ$1,0),1,1)</f>
        <v>842.33</v>
      </c>
    </row>
    <row r="4395" spans="1:3">
      <c r="A4395" s="3">
        <f t="shared" si="132"/>
        <v>2044</v>
      </c>
      <c r="B4395" s="106">
        <f t="shared" si="133"/>
        <v>233</v>
      </c>
      <c r="C4395" s="107">
        <f ca="1">OFFSET(tab_tipo_Combustivel!$A$1,MATCH(B4395,tab_tipo_Combustivel!$A$2:$A$150,0),MATCH(A4395,tab_tipo_Combustivel!$B$1:$AQ$1,0),1,1)</f>
        <v>984.29</v>
      </c>
    </row>
    <row r="4396" spans="1:3">
      <c r="A4396" s="3">
        <f t="shared" si="132"/>
        <v>2044</v>
      </c>
      <c r="B4396" s="106">
        <f t="shared" si="133"/>
        <v>234</v>
      </c>
      <c r="C4396" s="107">
        <f ca="1">OFFSET(tab_tipo_Combustivel!$A$1,MATCH(B4396,tab_tipo_Combustivel!$A$2:$A$150,0),MATCH(A4396,tab_tipo_Combustivel!$B$1:$AQ$1,0),1,1)</f>
        <v>290.26</v>
      </c>
    </row>
    <row r="4397" spans="1:3">
      <c r="A4397" s="3">
        <f t="shared" si="132"/>
        <v>2044</v>
      </c>
      <c r="B4397" s="106">
        <f t="shared" si="133"/>
        <v>235</v>
      </c>
      <c r="C4397" s="107">
        <f ca="1">OFFSET(tab_tipo_Combustivel!$A$1,MATCH(B4397,tab_tipo_Combustivel!$A$2:$A$150,0),MATCH(A4397,tab_tipo_Combustivel!$B$1:$AQ$1,0),1,1)</f>
        <v>1350.87</v>
      </c>
    </row>
    <row r="4398" spans="1:3">
      <c r="A4398" s="3">
        <f t="shared" si="132"/>
        <v>2044</v>
      </c>
      <c r="B4398" s="106">
        <f t="shared" si="133"/>
        <v>236</v>
      </c>
      <c r="C4398" s="107">
        <f ca="1">OFFSET(tab_tipo_Combustivel!$A$1,MATCH(B4398,tab_tipo_Combustivel!$A$2:$A$150,0),MATCH(A4398,tab_tipo_Combustivel!$B$1:$AQ$1,0),1,1)</f>
        <v>842.33</v>
      </c>
    </row>
    <row r="4399" spans="1:3">
      <c r="A4399" s="3">
        <f t="shared" si="132"/>
        <v>2044</v>
      </c>
      <c r="B4399" s="106">
        <f t="shared" si="133"/>
        <v>237</v>
      </c>
      <c r="C4399" s="107">
        <f ca="1">OFFSET(tab_tipo_Combustivel!$A$1,MATCH(B4399,tab_tipo_Combustivel!$A$2:$A$150,0),MATCH(A4399,tab_tipo_Combustivel!$B$1:$AQ$1,0),1,1)</f>
        <v>760.85</v>
      </c>
    </row>
    <row r="4400" spans="1:3">
      <c r="A4400" s="3">
        <f t="shared" si="132"/>
        <v>2044</v>
      </c>
      <c r="B4400" s="106">
        <f t="shared" si="133"/>
        <v>238</v>
      </c>
      <c r="C4400" s="107">
        <f ca="1">OFFSET(tab_tipo_Combustivel!$A$1,MATCH(B4400,tab_tipo_Combustivel!$A$2:$A$150,0),MATCH(A4400,tab_tipo_Combustivel!$B$1:$AQ$1,0),1,1)</f>
        <v>963.75</v>
      </c>
    </row>
    <row r="4401" spans="1:3">
      <c r="A4401" s="3">
        <f t="shared" si="132"/>
        <v>2044</v>
      </c>
      <c r="B4401" s="106">
        <f t="shared" si="133"/>
        <v>239</v>
      </c>
      <c r="C4401" s="107">
        <f ca="1">OFFSET(tab_tipo_Combustivel!$A$1,MATCH(B4401,tab_tipo_Combustivel!$A$2:$A$150,0),MATCH(A4401,tab_tipo_Combustivel!$B$1:$AQ$1,0),1,1)</f>
        <v>963.75</v>
      </c>
    </row>
    <row r="4402" spans="1:3">
      <c r="A4402" s="3">
        <f t="shared" si="132"/>
        <v>2044</v>
      </c>
      <c r="B4402" s="106">
        <f t="shared" si="133"/>
        <v>240</v>
      </c>
      <c r="C4402" s="107">
        <f ca="1">OFFSET(tab_tipo_Combustivel!$A$1,MATCH(B4402,tab_tipo_Combustivel!$A$2:$A$150,0),MATCH(A4402,tab_tipo_Combustivel!$B$1:$AQ$1,0),1,1)</f>
        <v>1115.96</v>
      </c>
    </row>
    <row r="4403" spans="1:3">
      <c r="A4403" s="3">
        <f t="shared" si="132"/>
        <v>2044</v>
      </c>
      <c r="B4403" s="106">
        <f t="shared" si="133"/>
        <v>241</v>
      </c>
      <c r="C4403" s="107">
        <f ca="1">OFFSET(tab_tipo_Combustivel!$A$1,MATCH(B4403,tab_tipo_Combustivel!$A$2:$A$150,0),MATCH(A4403,tab_tipo_Combustivel!$B$1:$AQ$1,0),1,1)</f>
        <v>495.75</v>
      </c>
    </row>
    <row r="4404" spans="1:3">
      <c r="A4404" s="3">
        <f t="shared" si="132"/>
        <v>2044</v>
      </c>
      <c r="B4404" s="106">
        <f t="shared" si="133"/>
        <v>242</v>
      </c>
      <c r="C4404" s="107">
        <f ca="1">OFFSET(tab_tipo_Combustivel!$A$1,MATCH(B4404,tab_tipo_Combustivel!$A$2:$A$150,0),MATCH(A4404,tab_tipo_Combustivel!$B$1:$AQ$1,0),1,1)</f>
        <v>1176.45</v>
      </c>
    </row>
    <row r="4405" spans="1:3">
      <c r="A4405" s="3">
        <f t="shared" si="132"/>
        <v>2044</v>
      </c>
      <c r="B4405" s="106">
        <f t="shared" si="133"/>
        <v>243</v>
      </c>
      <c r="C4405" s="107">
        <f ca="1">OFFSET(tab_tipo_Combustivel!$A$1,MATCH(B4405,tab_tipo_Combustivel!$A$2:$A$150,0),MATCH(A4405,tab_tipo_Combustivel!$B$1:$AQ$1,0),1,1)</f>
        <v>495.08</v>
      </c>
    </row>
    <row r="4406" spans="1:3">
      <c r="A4406" s="3">
        <f t="shared" si="132"/>
        <v>2044</v>
      </c>
      <c r="B4406" s="106">
        <f t="shared" si="133"/>
        <v>244</v>
      </c>
      <c r="C4406" s="107">
        <f ca="1">OFFSET(tab_tipo_Combustivel!$A$1,MATCH(B4406,tab_tipo_Combustivel!$A$2:$A$150,0),MATCH(A4406,tab_tipo_Combustivel!$B$1:$AQ$1,0),1,1)</f>
        <v>495.06</v>
      </c>
    </row>
    <row r="4407" spans="1:3">
      <c r="A4407" s="3">
        <f t="shared" si="132"/>
        <v>2044</v>
      </c>
      <c r="B4407" s="106">
        <f t="shared" si="133"/>
        <v>245</v>
      </c>
      <c r="C4407" s="107">
        <f ca="1">OFFSET(tab_tipo_Combustivel!$A$1,MATCH(B4407,tab_tipo_Combustivel!$A$2:$A$150,0),MATCH(A4407,tab_tipo_Combustivel!$B$1:$AQ$1,0),1,1)</f>
        <v>562.65</v>
      </c>
    </row>
    <row r="4408" spans="1:3">
      <c r="A4408" s="3">
        <f t="shared" si="132"/>
        <v>2044</v>
      </c>
      <c r="B4408" s="106">
        <f t="shared" si="133"/>
        <v>246</v>
      </c>
      <c r="C4408" s="107">
        <f ca="1">OFFSET(tab_tipo_Combustivel!$A$1,MATCH(B4408,tab_tipo_Combustivel!$A$2:$A$150,0),MATCH(A4408,tab_tipo_Combustivel!$B$1:$AQ$1,0),1,1)</f>
        <v>1124.53</v>
      </c>
    </row>
    <row r="4409" spans="1:3">
      <c r="A4409" s="3">
        <f t="shared" si="132"/>
        <v>2044</v>
      </c>
      <c r="B4409" s="106">
        <f t="shared" si="133"/>
        <v>247</v>
      </c>
      <c r="C4409" s="107">
        <f ca="1">OFFSET(tab_tipo_Combustivel!$A$1,MATCH(B4409,tab_tipo_Combustivel!$A$2:$A$150,0),MATCH(A4409,tab_tipo_Combustivel!$B$1:$AQ$1,0),1,1)</f>
        <v>609.51</v>
      </c>
    </row>
    <row r="4410" spans="1:3">
      <c r="A4410" s="3">
        <f t="shared" si="132"/>
        <v>2044</v>
      </c>
      <c r="B4410" s="106">
        <f t="shared" si="133"/>
        <v>248</v>
      </c>
      <c r="C4410" s="107">
        <f ca="1">OFFSET(tab_tipo_Combustivel!$A$1,MATCH(B4410,tab_tipo_Combustivel!$A$2:$A$150,0),MATCH(A4410,tab_tipo_Combustivel!$B$1:$AQ$1,0),1,1)</f>
        <v>495.06</v>
      </c>
    </row>
    <row r="4411" spans="1:3">
      <c r="A4411" s="3">
        <f t="shared" si="132"/>
        <v>2044</v>
      </c>
      <c r="B4411" s="106">
        <f t="shared" si="133"/>
        <v>249</v>
      </c>
      <c r="C4411" s="107">
        <f ca="1">OFFSET(tab_tipo_Combustivel!$A$1,MATCH(B4411,tab_tipo_Combustivel!$A$2:$A$150,0),MATCH(A4411,tab_tipo_Combustivel!$B$1:$AQ$1,0),1,1)</f>
        <v>842.33</v>
      </c>
    </row>
    <row r="4412" spans="1:3">
      <c r="A4412" s="3">
        <f t="shared" si="132"/>
        <v>2044</v>
      </c>
      <c r="B4412" s="106">
        <f t="shared" si="133"/>
        <v>250</v>
      </c>
      <c r="C4412" s="107">
        <f ca="1">OFFSET(tab_tipo_Combustivel!$A$1,MATCH(B4412,tab_tipo_Combustivel!$A$2:$A$150,0),MATCH(A4412,tab_tipo_Combustivel!$B$1:$AQ$1,0),1,1)</f>
        <v>1176.45</v>
      </c>
    </row>
    <row r="4413" spans="1:3">
      <c r="A4413" s="3">
        <f t="shared" si="132"/>
        <v>2044</v>
      </c>
      <c r="B4413" s="106">
        <f t="shared" si="133"/>
        <v>251</v>
      </c>
      <c r="C4413" s="107">
        <f ca="1">OFFSET(tab_tipo_Combustivel!$A$1,MATCH(B4413,tab_tipo_Combustivel!$A$2:$A$150,0),MATCH(A4413,tab_tipo_Combustivel!$B$1:$AQ$1,0),1,1)</f>
        <v>842.33</v>
      </c>
    </row>
    <row r="4414" spans="1:3">
      <c r="A4414" s="3">
        <f t="shared" si="132"/>
        <v>2044</v>
      </c>
      <c r="B4414" s="106">
        <f t="shared" si="133"/>
        <v>252</v>
      </c>
      <c r="C4414" s="107">
        <f ca="1">OFFSET(tab_tipo_Combustivel!$A$1,MATCH(B4414,tab_tipo_Combustivel!$A$2:$A$150,0),MATCH(A4414,tab_tipo_Combustivel!$B$1:$AQ$1,0),1,1)</f>
        <v>842.33</v>
      </c>
    </row>
    <row r="4415" spans="1:3">
      <c r="A4415" s="3">
        <f t="shared" si="132"/>
        <v>2044</v>
      </c>
      <c r="B4415" s="106">
        <f t="shared" si="133"/>
        <v>253</v>
      </c>
      <c r="C4415" s="107">
        <f ca="1">OFFSET(tab_tipo_Combustivel!$A$1,MATCH(B4415,tab_tipo_Combustivel!$A$2:$A$150,0),MATCH(A4415,tab_tipo_Combustivel!$B$1:$AQ$1,0),1,1)</f>
        <v>279.45</v>
      </c>
    </row>
    <row r="4416" spans="1:3">
      <c r="A4416" s="3">
        <f t="shared" si="132"/>
        <v>2044</v>
      </c>
      <c r="B4416" s="106">
        <f t="shared" si="133"/>
        <v>254</v>
      </c>
      <c r="C4416" s="107">
        <f ca="1">OFFSET(tab_tipo_Combustivel!$A$1,MATCH(B4416,tab_tipo_Combustivel!$A$2:$A$150,0),MATCH(A4416,tab_tipo_Combustivel!$B$1:$AQ$1,0),1,1)</f>
        <v>1153.98</v>
      </c>
    </row>
    <row r="4417" spans="1:3">
      <c r="A4417" s="3">
        <f t="shared" si="132"/>
        <v>2044</v>
      </c>
      <c r="B4417" s="106">
        <f t="shared" si="133"/>
        <v>255</v>
      </c>
      <c r="C4417" s="107">
        <f ca="1">OFFSET(tab_tipo_Combustivel!$A$1,MATCH(B4417,tab_tipo_Combustivel!$A$2:$A$150,0),MATCH(A4417,tab_tipo_Combustivel!$B$1:$AQ$1,0),1,1)</f>
        <v>828.98</v>
      </c>
    </row>
    <row r="4418" spans="1:3">
      <c r="A4418" s="3">
        <f t="shared" si="132"/>
        <v>2044</v>
      </c>
      <c r="B4418" s="106">
        <f t="shared" si="133"/>
        <v>256</v>
      </c>
      <c r="C4418" s="107">
        <f ca="1">OFFSET(tab_tipo_Combustivel!$A$1,MATCH(B4418,tab_tipo_Combustivel!$A$2:$A$150,0),MATCH(A4418,tab_tipo_Combustivel!$B$1:$AQ$1,0),1,1)</f>
        <v>562.65</v>
      </c>
    </row>
    <row r="4419" spans="1:3">
      <c r="A4419" s="3">
        <f t="shared" si="132"/>
        <v>2044</v>
      </c>
      <c r="B4419" s="106">
        <f t="shared" si="133"/>
        <v>257</v>
      </c>
      <c r="C4419" s="107">
        <f ca="1">OFFSET(tab_tipo_Combustivel!$A$1,MATCH(B4419,tab_tipo_Combustivel!$A$2:$A$150,0),MATCH(A4419,tab_tipo_Combustivel!$B$1:$AQ$1,0),1,1)</f>
        <v>907.52</v>
      </c>
    </row>
    <row r="4420" spans="1:3">
      <c r="A4420" s="3">
        <f t="shared" si="132"/>
        <v>2044</v>
      </c>
      <c r="B4420" s="106">
        <f t="shared" si="133"/>
        <v>258</v>
      </c>
      <c r="C4420" s="107">
        <f ca="1">OFFSET(tab_tipo_Combustivel!$A$1,MATCH(B4420,tab_tipo_Combustivel!$A$2:$A$150,0),MATCH(A4420,tab_tipo_Combustivel!$B$1:$AQ$1,0),1,1)</f>
        <v>1016.04</v>
      </c>
    </row>
    <row r="4421" spans="1:3">
      <c r="A4421" s="3">
        <f t="shared" si="132"/>
        <v>2044</v>
      </c>
      <c r="B4421" s="106">
        <f t="shared" si="133"/>
        <v>259</v>
      </c>
      <c r="C4421" s="107">
        <f ca="1">OFFSET(tab_tipo_Combustivel!$A$1,MATCH(B4421,tab_tipo_Combustivel!$A$2:$A$150,0),MATCH(A4421,tab_tipo_Combustivel!$B$1:$AQ$1,0),1,1)</f>
        <v>977.53</v>
      </c>
    </row>
    <row r="4422" spans="1:3">
      <c r="A4422" s="3">
        <f t="shared" si="132"/>
        <v>2044</v>
      </c>
      <c r="B4422" s="106">
        <f t="shared" si="133"/>
        <v>260</v>
      </c>
      <c r="C4422" s="107">
        <f ca="1">OFFSET(tab_tipo_Combustivel!$A$1,MATCH(B4422,tab_tipo_Combustivel!$A$2:$A$150,0),MATCH(A4422,tab_tipo_Combustivel!$B$1:$AQ$1,0),1,1)</f>
        <v>827.17</v>
      </c>
    </row>
    <row r="4423" spans="1:3">
      <c r="A4423" s="3">
        <f t="shared" si="132"/>
        <v>2044</v>
      </c>
      <c r="B4423" s="106">
        <f t="shared" si="133"/>
        <v>261</v>
      </c>
      <c r="C4423" s="107">
        <f ca="1">OFFSET(tab_tipo_Combustivel!$A$1,MATCH(B4423,tab_tipo_Combustivel!$A$2:$A$150,0),MATCH(A4423,tab_tipo_Combustivel!$B$1:$AQ$1,0),1,1)</f>
        <v>829.7</v>
      </c>
    </row>
    <row r="4424" spans="1:3">
      <c r="A4424" s="3">
        <f t="shared" si="132"/>
        <v>2044</v>
      </c>
      <c r="B4424" s="106">
        <f t="shared" si="133"/>
        <v>262</v>
      </c>
      <c r="C4424" s="107">
        <f ca="1">OFFSET(tab_tipo_Combustivel!$A$1,MATCH(B4424,tab_tipo_Combustivel!$A$2:$A$150,0),MATCH(A4424,tab_tipo_Combustivel!$B$1:$AQ$1,0),1,1)</f>
        <v>495.75</v>
      </c>
    </row>
    <row r="4425" spans="1:3">
      <c r="A4425" s="3">
        <f t="shared" si="132"/>
        <v>2044</v>
      </c>
      <c r="B4425" s="106">
        <f t="shared" si="133"/>
        <v>263</v>
      </c>
      <c r="C4425" s="107">
        <f ca="1">OFFSET(tab_tipo_Combustivel!$A$1,MATCH(B4425,tab_tipo_Combustivel!$A$2:$A$150,0),MATCH(A4425,tab_tipo_Combustivel!$B$1:$AQ$1,0),1,1)</f>
        <v>474.77</v>
      </c>
    </row>
    <row r="4426" spans="1:3">
      <c r="A4426" s="3">
        <f t="shared" ref="A4426:A4489" si="134">A4291+1</f>
        <v>2044</v>
      </c>
      <c r="B4426" s="106">
        <f t="shared" ref="B4426:B4489" si="135">B4291</f>
        <v>264</v>
      </c>
      <c r="C4426" s="107">
        <f ca="1">OFFSET(tab_tipo_Combustivel!$A$1,MATCH(B4426,tab_tipo_Combustivel!$A$2:$A$150,0),MATCH(A4426,tab_tipo_Combustivel!$B$1:$AQ$1,0),1,1)</f>
        <v>842.33</v>
      </c>
    </row>
    <row r="4427" spans="1:3">
      <c r="A4427" s="3">
        <f t="shared" si="134"/>
        <v>2044</v>
      </c>
      <c r="B4427" s="106">
        <f t="shared" si="135"/>
        <v>265</v>
      </c>
      <c r="C4427" s="107">
        <f ca="1">OFFSET(tab_tipo_Combustivel!$A$1,MATCH(B4427,tab_tipo_Combustivel!$A$2:$A$150,0),MATCH(A4427,tab_tipo_Combustivel!$B$1:$AQ$1,0),1,1)</f>
        <v>415.82</v>
      </c>
    </row>
    <row r="4428" spans="1:3">
      <c r="A4428" s="3">
        <f t="shared" si="134"/>
        <v>2044</v>
      </c>
      <c r="B4428" s="106">
        <f t="shared" si="135"/>
        <v>266</v>
      </c>
      <c r="C4428" s="107">
        <f ca="1">OFFSET(tab_tipo_Combustivel!$A$1,MATCH(B4428,tab_tipo_Combustivel!$A$2:$A$150,0),MATCH(A4428,tab_tipo_Combustivel!$B$1:$AQ$1,0),1,1)</f>
        <v>827.17</v>
      </c>
    </row>
    <row r="4429" spans="1:3">
      <c r="A4429" s="3">
        <f t="shared" si="134"/>
        <v>2044</v>
      </c>
      <c r="B4429" s="106">
        <f t="shared" si="135"/>
        <v>301</v>
      </c>
      <c r="C4429" s="107">
        <f ca="1">OFFSET(tab_tipo_Combustivel!$A$1,MATCH(B4429,tab_tipo_Combustivel!$A$2:$A$150,0),MATCH(A4429,tab_tipo_Combustivel!$B$1:$AQ$1,0),1,1)</f>
        <v>99.08</v>
      </c>
    </row>
    <row r="4430" spans="1:3">
      <c r="A4430" s="3">
        <f t="shared" si="134"/>
        <v>2044</v>
      </c>
      <c r="B4430" s="106">
        <f t="shared" si="135"/>
        <v>302</v>
      </c>
      <c r="C4430" s="107">
        <f ca="1">OFFSET(tab_tipo_Combustivel!$A$1,MATCH(B4430,tab_tipo_Combustivel!$A$2:$A$150,0),MATCH(A4430,tab_tipo_Combustivel!$B$1:$AQ$1,0),1,1)</f>
        <v>103.73</v>
      </c>
    </row>
    <row r="4431" spans="1:3">
      <c r="A4431" s="3">
        <f t="shared" si="134"/>
        <v>2044</v>
      </c>
      <c r="B4431" s="106">
        <f t="shared" si="135"/>
        <v>303</v>
      </c>
      <c r="C4431" s="107">
        <f ca="1">OFFSET(tab_tipo_Combustivel!$A$1,MATCH(B4431,tab_tipo_Combustivel!$A$2:$A$150,0),MATCH(A4431,tab_tipo_Combustivel!$B$1:$AQ$1,0),1,1)</f>
        <v>103.73</v>
      </c>
    </row>
    <row r="4432" spans="1:3">
      <c r="A4432" s="3">
        <f t="shared" si="134"/>
        <v>2044</v>
      </c>
      <c r="B4432" s="106">
        <f t="shared" si="135"/>
        <v>304</v>
      </c>
      <c r="C4432" s="107">
        <f ca="1">OFFSET(tab_tipo_Combustivel!$A$1,MATCH(B4432,tab_tipo_Combustivel!$A$2:$A$150,0),MATCH(A4432,tab_tipo_Combustivel!$B$1:$AQ$1,0),1,1)</f>
        <v>139.41999999999999</v>
      </c>
    </row>
    <row r="4433" spans="1:3">
      <c r="A4433" s="3">
        <f t="shared" si="134"/>
        <v>2044</v>
      </c>
      <c r="B4433" s="106">
        <f t="shared" si="135"/>
        <v>305</v>
      </c>
      <c r="C4433" s="107">
        <f ca="1">OFFSET(tab_tipo_Combustivel!$A$1,MATCH(B4433,tab_tipo_Combustivel!$A$2:$A$150,0),MATCH(A4433,tab_tipo_Combustivel!$B$1:$AQ$1,0),1,1)</f>
        <v>89.7</v>
      </c>
    </row>
    <row r="4434" spans="1:3">
      <c r="A4434" s="3">
        <f t="shared" si="134"/>
        <v>2044</v>
      </c>
      <c r="B4434" s="106">
        <f t="shared" si="135"/>
        <v>306</v>
      </c>
      <c r="C4434" s="107">
        <f ca="1">OFFSET(tab_tipo_Combustivel!$A$1,MATCH(B4434,tab_tipo_Combustivel!$A$2:$A$150,0),MATCH(A4434,tab_tipo_Combustivel!$B$1:$AQ$1,0),1,1)</f>
        <v>100.38</v>
      </c>
    </row>
    <row r="4435" spans="1:3">
      <c r="A4435" s="3">
        <f t="shared" si="134"/>
        <v>2044</v>
      </c>
      <c r="B4435" s="106">
        <f t="shared" si="135"/>
        <v>307</v>
      </c>
      <c r="C4435" s="107">
        <f ca="1">OFFSET(tab_tipo_Combustivel!$A$1,MATCH(B4435,tab_tipo_Combustivel!$A$2:$A$150,0),MATCH(A4435,tab_tipo_Combustivel!$B$1:$AQ$1,0),1,1)</f>
        <v>510.12</v>
      </c>
    </row>
    <row r="4436" spans="1:3">
      <c r="A4436" s="3">
        <f t="shared" si="134"/>
        <v>2044</v>
      </c>
      <c r="B4436" s="106">
        <f t="shared" si="135"/>
        <v>308</v>
      </c>
      <c r="C4436" s="107">
        <f ca="1">OFFSET(tab_tipo_Combustivel!$A$1,MATCH(B4436,tab_tipo_Combustivel!$A$2:$A$150,0),MATCH(A4436,tab_tipo_Combustivel!$B$1:$AQ$1,0),1,1)</f>
        <v>72.5</v>
      </c>
    </row>
    <row r="4437" spans="1:3">
      <c r="A4437" s="3">
        <f t="shared" si="134"/>
        <v>2044</v>
      </c>
      <c r="B4437" s="106">
        <f t="shared" si="135"/>
        <v>309</v>
      </c>
      <c r="C4437" s="107">
        <f ca="1">OFFSET(tab_tipo_Combustivel!$A$1,MATCH(B4437,tab_tipo_Combustivel!$A$2:$A$150,0),MATCH(A4437,tab_tipo_Combustivel!$B$1:$AQ$1,0),1,1)</f>
        <v>126.77</v>
      </c>
    </row>
    <row r="4438" spans="1:3">
      <c r="A4438" s="3">
        <f t="shared" si="134"/>
        <v>2044</v>
      </c>
      <c r="B4438" s="106">
        <f t="shared" si="135"/>
        <v>310</v>
      </c>
      <c r="C4438" s="107">
        <f ca="1">OFFSET(tab_tipo_Combustivel!$A$1,MATCH(B4438,tab_tipo_Combustivel!$A$2:$A$150,0),MATCH(A4438,tab_tipo_Combustivel!$B$1:$AQ$1,0),1,1)</f>
        <v>275.99</v>
      </c>
    </row>
    <row r="4439" spans="1:3">
      <c r="A4439" s="3">
        <f t="shared" si="134"/>
        <v>2044</v>
      </c>
      <c r="B4439" s="106">
        <f t="shared" si="135"/>
        <v>311</v>
      </c>
      <c r="C4439" s="107">
        <f ca="1">OFFSET(tab_tipo_Combustivel!$A$1,MATCH(B4439,tab_tipo_Combustivel!$A$2:$A$150,0),MATCH(A4439,tab_tipo_Combustivel!$B$1:$AQ$1,0),1,1)</f>
        <v>70.66</v>
      </c>
    </row>
    <row r="4440" spans="1:3">
      <c r="A4440" s="3">
        <f t="shared" si="134"/>
        <v>2044</v>
      </c>
      <c r="B4440" s="106">
        <f t="shared" si="135"/>
        <v>312</v>
      </c>
      <c r="C4440" s="107">
        <f ca="1">OFFSET(tab_tipo_Combustivel!$A$1,MATCH(B4440,tab_tipo_Combustivel!$A$2:$A$150,0),MATCH(A4440,tab_tipo_Combustivel!$B$1:$AQ$1,0),1,1)</f>
        <v>0</v>
      </c>
    </row>
    <row r="4441" spans="1:3">
      <c r="A4441" s="3">
        <f t="shared" si="134"/>
        <v>2044</v>
      </c>
      <c r="B4441" s="106">
        <f t="shared" si="135"/>
        <v>1301</v>
      </c>
      <c r="C4441" s="107">
        <f ca="1">OFFSET(tab_tipo_Combustivel!$A$1,MATCH(B4441,tab_tipo_Combustivel!$A$2:$A$150,0),MATCH(A4441,tab_tipo_Combustivel!$B$1:$AQ$1,0),1,1)</f>
        <v>242.05</v>
      </c>
    </row>
    <row r="4442" spans="1:3">
      <c r="A4442" s="3">
        <f t="shared" si="134"/>
        <v>2044</v>
      </c>
      <c r="B4442" s="106">
        <f t="shared" si="135"/>
        <v>1302</v>
      </c>
      <c r="C4442" s="107">
        <f ca="1">OFFSET(tab_tipo_Combustivel!$A$1,MATCH(B4442,tab_tipo_Combustivel!$A$2:$A$150,0),MATCH(A4442,tab_tipo_Combustivel!$B$1:$AQ$1,0),1,1)</f>
        <v>193.64</v>
      </c>
    </row>
    <row r="4443" spans="1:3">
      <c r="A4443" s="3">
        <f t="shared" si="134"/>
        <v>2044</v>
      </c>
      <c r="B4443" s="106">
        <f t="shared" si="135"/>
        <v>1303</v>
      </c>
      <c r="C4443" s="107">
        <f ca="1">OFFSET(tab_tipo_Combustivel!$A$1,MATCH(B4443,tab_tipo_Combustivel!$A$2:$A$150,0),MATCH(A4443,tab_tipo_Combustivel!$B$1:$AQ$1,0),1,1)</f>
        <v>25.58</v>
      </c>
    </row>
    <row r="4444" spans="1:3">
      <c r="A4444" s="3">
        <f t="shared" si="134"/>
        <v>2044</v>
      </c>
      <c r="B4444" s="106">
        <f t="shared" si="135"/>
        <v>1304</v>
      </c>
      <c r="C4444" s="107">
        <f ca="1">OFFSET(tab_tipo_Combustivel!$A$1,MATCH(B4444,tab_tipo_Combustivel!$A$2:$A$150,0),MATCH(A4444,tab_tipo_Combustivel!$B$1:$AQ$1,0),1,1)</f>
        <v>0</v>
      </c>
    </row>
    <row r="4445" spans="1:3">
      <c r="A4445" s="3">
        <f t="shared" si="134"/>
        <v>2044</v>
      </c>
      <c r="B4445" s="106">
        <f t="shared" si="135"/>
        <v>1315</v>
      </c>
      <c r="C4445" s="107">
        <f ca="1">OFFSET(tab_tipo_Combustivel!$A$1,MATCH(B4445,tab_tipo_Combustivel!$A$2:$A$150,0),MATCH(A4445,tab_tipo_Combustivel!$B$1:$AQ$1,0),1,1)</f>
        <v>0</v>
      </c>
    </row>
    <row r="4446" spans="1:3">
      <c r="A4446" s="3">
        <f t="shared" si="134"/>
        <v>2044</v>
      </c>
      <c r="B4446" s="106">
        <f t="shared" si="135"/>
        <v>1316</v>
      </c>
      <c r="C4446" s="107">
        <f ca="1">OFFSET(tab_tipo_Combustivel!$A$1,MATCH(B4446,tab_tipo_Combustivel!$A$2:$A$150,0),MATCH(A4446,tab_tipo_Combustivel!$B$1:$AQ$1,0),1,1)</f>
        <v>0</v>
      </c>
    </row>
    <row r="4447" spans="1:3">
      <c r="A4447" s="3">
        <f t="shared" si="134"/>
        <v>2044</v>
      </c>
      <c r="B4447" s="106">
        <f t="shared" si="135"/>
        <v>1318</v>
      </c>
      <c r="C4447" s="107">
        <f ca="1">OFFSET(tab_tipo_Combustivel!$A$1,MATCH(B4447,tab_tipo_Combustivel!$A$2:$A$150,0),MATCH(A4447,tab_tipo_Combustivel!$B$1:$AQ$1,0),1,1)</f>
        <v>150</v>
      </c>
    </row>
    <row r="4448" spans="1:3">
      <c r="A4448" s="3">
        <f t="shared" si="134"/>
        <v>2044</v>
      </c>
      <c r="B4448" s="106">
        <f t="shared" si="135"/>
        <v>1321</v>
      </c>
      <c r="C4448" s="107">
        <f ca="1">OFFSET(tab_tipo_Combustivel!$A$1,MATCH(B4448,tab_tipo_Combustivel!$A$2:$A$150,0),MATCH(A4448,tab_tipo_Combustivel!$B$1:$AQ$1,0),1,1)</f>
        <v>85</v>
      </c>
    </row>
    <row r="4449" spans="1:3">
      <c r="A4449" s="3">
        <f t="shared" si="134"/>
        <v>2044</v>
      </c>
      <c r="B4449" s="106">
        <f t="shared" si="135"/>
        <v>1322</v>
      </c>
      <c r="C4449" s="107">
        <f ca="1">OFFSET(tab_tipo_Combustivel!$A$1,MATCH(B4449,tab_tipo_Combustivel!$A$2:$A$150,0),MATCH(A4449,tab_tipo_Combustivel!$B$1:$AQ$1,0),1,1)</f>
        <v>140</v>
      </c>
    </row>
    <row r="4450" spans="1:3">
      <c r="A4450" s="3">
        <f t="shared" si="134"/>
        <v>2044</v>
      </c>
      <c r="B4450" s="106">
        <f t="shared" si="135"/>
        <v>1323</v>
      </c>
      <c r="C4450" s="107">
        <f ca="1">OFFSET(tab_tipo_Combustivel!$A$1,MATCH(B4450,tab_tipo_Combustivel!$A$2:$A$150,0),MATCH(A4450,tab_tipo_Combustivel!$B$1:$AQ$1,0),1,1)</f>
        <v>63.75</v>
      </c>
    </row>
    <row r="4451" spans="1:3">
      <c r="A4451" s="3">
        <f t="shared" si="134"/>
        <v>2044</v>
      </c>
      <c r="B4451" s="106">
        <f t="shared" si="135"/>
        <v>1325</v>
      </c>
      <c r="C4451" s="107">
        <f ca="1">OFFSET(tab_tipo_Combustivel!$A$1,MATCH(B4451,tab_tipo_Combustivel!$A$2:$A$150,0),MATCH(A4451,tab_tipo_Combustivel!$B$1:$AQ$1,0),1,1)</f>
        <v>0</v>
      </c>
    </row>
    <row r="4452" spans="1:3">
      <c r="A4452" s="3">
        <f t="shared" si="134"/>
        <v>2044</v>
      </c>
      <c r="B4452" s="106">
        <f t="shared" si="135"/>
        <v>1326</v>
      </c>
      <c r="C4452" s="107">
        <f ca="1">OFFSET(tab_tipo_Combustivel!$A$1,MATCH(B4452,tab_tipo_Combustivel!$A$2:$A$150,0),MATCH(A4452,tab_tipo_Combustivel!$B$1:$AQ$1,0),1,1)</f>
        <v>260</v>
      </c>
    </row>
    <row r="4453" spans="1:3">
      <c r="A4453" s="3">
        <f t="shared" si="134"/>
        <v>2044</v>
      </c>
      <c r="B4453" s="106">
        <f t="shared" si="135"/>
        <v>1501</v>
      </c>
      <c r="C4453" s="107">
        <f ca="1">OFFSET(tab_tipo_Combustivel!$A$1,MATCH(B4453,tab_tipo_Combustivel!$A$2:$A$150,0),MATCH(A4453,tab_tipo_Combustivel!$B$1:$AQ$1,0),1,1)</f>
        <v>260</v>
      </c>
    </row>
    <row r="4454" spans="1:3">
      <c r="A4454" s="3">
        <f t="shared" si="134"/>
        <v>2044</v>
      </c>
      <c r="B4454" s="106">
        <f t="shared" si="135"/>
        <v>1502</v>
      </c>
      <c r="C4454" s="107">
        <f ca="1">OFFSET(tab_tipo_Combustivel!$A$1,MATCH(B4454,tab_tipo_Combustivel!$A$2:$A$150,0),MATCH(A4454,tab_tipo_Combustivel!$B$1:$AQ$1,0),1,1)</f>
        <v>60</v>
      </c>
    </row>
    <row r="4455" spans="1:3">
      <c r="A4455" s="3">
        <f t="shared" si="134"/>
        <v>2044</v>
      </c>
      <c r="B4455" s="106">
        <f t="shared" si="135"/>
        <v>1503</v>
      </c>
      <c r="C4455" s="107">
        <f ca="1">OFFSET(tab_tipo_Combustivel!$A$1,MATCH(B4455,tab_tipo_Combustivel!$A$2:$A$150,0),MATCH(A4455,tab_tipo_Combustivel!$B$1:$AQ$1,0),1,1)</f>
        <v>96.82</v>
      </c>
    </row>
    <row r="4456" spans="1:3">
      <c r="A4456" s="3">
        <f t="shared" si="134"/>
        <v>2044</v>
      </c>
      <c r="B4456" s="106">
        <f t="shared" si="135"/>
        <v>1504</v>
      </c>
      <c r="C4456" s="107">
        <f ca="1">OFFSET(tab_tipo_Combustivel!$A$1,MATCH(B4456,tab_tipo_Combustivel!$A$2:$A$150,0),MATCH(A4456,tab_tipo_Combustivel!$B$1:$AQ$1,0),1,1)</f>
        <v>145.22999999999999</v>
      </c>
    </row>
    <row r="4457" spans="1:3">
      <c r="A4457" s="3">
        <f t="shared" si="134"/>
        <v>2045</v>
      </c>
      <c r="B4457" s="106">
        <f t="shared" si="135"/>
        <v>1</v>
      </c>
      <c r="C4457" s="107">
        <f ca="1">OFFSET(tab_tipo_Combustivel!$A$1,MATCH(B4457,tab_tipo_Combustivel!$A$2:$A$150,0),MATCH(A4457,tab_tipo_Combustivel!$B$1:$AQ$1,0),1,1)</f>
        <v>29.13</v>
      </c>
    </row>
    <row r="4458" spans="1:3">
      <c r="A4458" s="3">
        <f t="shared" si="134"/>
        <v>2045</v>
      </c>
      <c r="B4458" s="106">
        <f t="shared" si="135"/>
        <v>2</v>
      </c>
      <c r="C4458" s="107">
        <f ca="1">OFFSET(tab_tipo_Combustivel!$A$1,MATCH(B4458,tab_tipo_Combustivel!$A$2:$A$150,0),MATCH(A4458,tab_tipo_Combustivel!$B$1:$AQ$1,0),1,1)</f>
        <v>842.33</v>
      </c>
    </row>
    <row r="4459" spans="1:3">
      <c r="A4459" s="3">
        <f t="shared" si="134"/>
        <v>2045</v>
      </c>
      <c r="B4459" s="106">
        <f t="shared" si="135"/>
        <v>4</v>
      </c>
      <c r="C4459" s="107">
        <f ca="1">OFFSET(tab_tipo_Combustivel!$A$1,MATCH(B4459,tab_tipo_Combustivel!$A$2:$A$150,0),MATCH(A4459,tab_tipo_Combustivel!$B$1:$AQ$1,0),1,1)</f>
        <v>842.33</v>
      </c>
    </row>
    <row r="4460" spans="1:3">
      <c r="A4460" s="3">
        <f t="shared" si="134"/>
        <v>2045</v>
      </c>
      <c r="B4460" s="106">
        <f t="shared" si="135"/>
        <v>9</v>
      </c>
      <c r="C4460" s="107">
        <f ca="1">OFFSET(tab_tipo_Combustivel!$A$1,MATCH(B4460,tab_tipo_Combustivel!$A$2:$A$150,0),MATCH(A4460,tab_tipo_Combustivel!$B$1:$AQ$1,0),1,1)</f>
        <v>842.33</v>
      </c>
    </row>
    <row r="4461" spans="1:3">
      <c r="A4461" s="3">
        <f t="shared" si="134"/>
        <v>2045</v>
      </c>
      <c r="B4461" s="106">
        <f t="shared" si="135"/>
        <v>12</v>
      </c>
      <c r="C4461" s="107">
        <f ca="1">OFFSET(tab_tipo_Combustivel!$A$1,MATCH(B4461,tab_tipo_Combustivel!$A$2:$A$150,0),MATCH(A4461,tab_tipo_Combustivel!$B$1:$AQ$1,0),1,1)</f>
        <v>728.87</v>
      </c>
    </row>
    <row r="4462" spans="1:3">
      <c r="A4462" s="3">
        <f t="shared" si="134"/>
        <v>2045</v>
      </c>
      <c r="B4462" s="106">
        <f t="shared" si="135"/>
        <v>13</v>
      </c>
      <c r="C4462" s="107">
        <f ca="1">OFFSET(tab_tipo_Combustivel!$A$1,MATCH(B4462,tab_tipo_Combustivel!$A$2:$A$150,0),MATCH(A4462,tab_tipo_Combustivel!$B$1:$AQ$1,0),1,1)</f>
        <v>20.12</v>
      </c>
    </row>
    <row r="4463" spans="1:3">
      <c r="A4463" s="3">
        <f t="shared" si="134"/>
        <v>2045</v>
      </c>
      <c r="B4463" s="106">
        <f t="shared" si="135"/>
        <v>15</v>
      </c>
      <c r="C4463" s="107">
        <f ca="1">OFFSET(tab_tipo_Combustivel!$A$1,MATCH(B4463,tab_tipo_Combustivel!$A$2:$A$150,0),MATCH(A4463,tab_tipo_Combustivel!$B$1:$AQ$1,0),1,1)</f>
        <v>257.29000000000002</v>
      </c>
    </row>
    <row r="4464" spans="1:3">
      <c r="A4464" s="3">
        <f t="shared" si="134"/>
        <v>2045</v>
      </c>
      <c r="B4464" s="106">
        <f t="shared" si="135"/>
        <v>21</v>
      </c>
      <c r="C4464" s="107">
        <f ca="1">OFFSET(tab_tipo_Combustivel!$A$1,MATCH(B4464,tab_tipo_Combustivel!$A$2:$A$150,0),MATCH(A4464,tab_tipo_Combustivel!$B$1:$AQ$1,0),1,1)</f>
        <v>157.83000000000001</v>
      </c>
    </row>
    <row r="4465" spans="1:3">
      <c r="A4465" s="3">
        <f t="shared" si="134"/>
        <v>2045</v>
      </c>
      <c r="B4465" s="106">
        <f t="shared" si="135"/>
        <v>22</v>
      </c>
      <c r="C4465" s="107">
        <f ca="1">OFFSET(tab_tipo_Combustivel!$A$1,MATCH(B4465,tab_tipo_Combustivel!$A$2:$A$150,0),MATCH(A4465,tab_tipo_Combustivel!$B$1:$AQ$1,0),1,1)</f>
        <v>115.9</v>
      </c>
    </row>
    <row r="4466" spans="1:3">
      <c r="A4466" s="3">
        <f t="shared" si="134"/>
        <v>2045</v>
      </c>
      <c r="B4466" s="106">
        <f t="shared" si="135"/>
        <v>23</v>
      </c>
      <c r="C4466" s="107">
        <f ca="1">OFFSET(tab_tipo_Combustivel!$A$1,MATCH(B4466,tab_tipo_Combustivel!$A$2:$A$150,0),MATCH(A4466,tab_tipo_Combustivel!$B$1:$AQ$1,0),1,1)</f>
        <v>115.9</v>
      </c>
    </row>
    <row r="4467" spans="1:3">
      <c r="A4467" s="3">
        <f t="shared" si="134"/>
        <v>2045</v>
      </c>
      <c r="B4467" s="106">
        <f t="shared" si="135"/>
        <v>24</v>
      </c>
      <c r="C4467" s="107">
        <f ca="1">OFFSET(tab_tipo_Combustivel!$A$1,MATCH(B4467,tab_tipo_Combustivel!$A$2:$A$150,0),MATCH(A4467,tab_tipo_Combustivel!$B$1:$AQ$1,0),1,1)</f>
        <v>155.85</v>
      </c>
    </row>
    <row r="4468" spans="1:3">
      <c r="A4468" s="3">
        <f t="shared" si="134"/>
        <v>2045</v>
      </c>
      <c r="B4468" s="106">
        <f t="shared" si="135"/>
        <v>25</v>
      </c>
      <c r="C4468" s="107">
        <f ca="1">OFFSET(tab_tipo_Combustivel!$A$1,MATCH(B4468,tab_tipo_Combustivel!$A$2:$A$150,0),MATCH(A4468,tab_tipo_Combustivel!$B$1:$AQ$1,0),1,1)</f>
        <v>186.33</v>
      </c>
    </row>
    <row r="4469" spans="1:3">
      <c r="A4469" s="3">
        <f t="shared" si="134"/>
        <v>2045</v>
      </c>
      <c r="B4469" s="106">
        <f t="shared" si="135"/>
        <v>26</v>
      </c>
      <c r="C4469" s="107">
        <f ca="1">OFFSET(tab_tipo_Combustivel!$A$1,MATCH(B4469,tab_tipo_Combustivel!$A$2:$A$150,0),MATCH(A4469,tab_tipo_Combustivel!$B$1:$AQ$1,0),1,1)</f>
        <v>258.42</v>
      </c>
    </row>
    <row r="4470" spans="1:3">
      <c r="A4470" s="3">
        <f t="shared" si="134"/>
        <v>2045</v>
      </c>
      <c r="B4470" s="106">
        <f t="shared" si="135"/>
        <v>27</v>
      </c>
      <c r="C4470" s="107">
        <f ca="1">OFFSET(tab_tipo_Combustivel!$A$1,MATCH(B4470,tab_tipo_Combustivel!$A$2:$A$150,0),MATCH(A4470,tab_tipo_Combustivel!$B$1:$AQ$1,0),1,1)</f>
        <v>195.49</v>
      </c>
    </row>
    <row r="4471" spans="1:3">
      <c r="A4471" s="3">
        <f t="shared" si="134"/>
        <v>2045</v>
      </c>
      <c r="B4471" s="106">
        <f t="shared" si="135"/>
        <v>28</v>
      </c>
      <c r="C4471" s="107">
        <f ca="1">OFFSET(tab_tipo_Combustivel!$A$1,MATCH(B4471,tab_tipo_Combustivel!$A$2:$A$150,0),MATCH(A4471,tab_tipo_Combustivel!$B$1:$AQ$1,0),1,1)</f>
        <v>459.92</v>
      </c>
    </row>
    <row r="4472" spans="1:3">
      <c r="A4472" s="3">
        <f t="shared" si="134"/>
        <v>2045</v>
      </c>
      <c r="B4472" s="106">
        <f t="shared" si="135"/>
        <v>32</v>
      </c>
      <c r="C4472" s="107">
        <f ca="1">OFFSET(tab_tipo_Combustivel!$A$1,MATCH(B4472,tab_tipo_Combustivel!$A$2:$A$150,0),MATCH(A4472,tab_tipo_Combustivel!$B$1:$AQ$1,0),1,1)</f>
        <v>248.31</v>
      </c>
    </row>
    <row r="4473" spans="1:3">
      <c r="A4473" s="3">
        <f t="shared" si="134"/>
        <v>2045</v>
      </c>
      <c r="B4473" s="106">
        <f t="shared" si="135"/>
        <v>34</v>
      </c>
      <c r="C4473" s="107">
        <f ca="1">OFFSET(tab_tipo_Combustivel!$A$1,MATCH(B4473,tab_tipo_Combustivel!$A$2:$A$150,0),MATCH(A4473,tab_tipo_Combustivel!$B$1:$AQ$1,0),1,1)</f>
        <v>423.38</v>
      </c>
    </row>
    <row r="4474" spans="1:3">
      <c r="A4474" s="3">
        <f t="shared" si="134"/>
        <v>2045</v>
      </c>
      <c r="B4474" s="106">
        <f t="shared" si="135"/>
        <v>35</v>
      </c>
      <c r="C4474" s="107">
        <f ca="1">OFFSET(tab_tipo_Combustivel!$A$1,MATCH(B4474,tab_tipo_Combustivel!$A$2:$A$150,0),MATCH(A4474,tab_tipo_Combustivel!$B$1:$AQ$1,0),1,1)</f>
        <v>692.45</v>
      </c>
    </row>
    <row r="4475" spans="1:3">
      <c r="A4475" s="3">
        <f t="shared" si="134"/>
        <v>2045</v>
      </c>
      <c r="B4475" s="106">
        <f t="shared" si="135"/>
        <v>36</v>
      </c>
      <c r="C4475" s="107">
        <f ca="1">OFFSET(tab_tipo_Combustivel!$A$1,MATCH(B4475,tab_tipo_Combustivel!$A$2:$A$150,0),MATCH(A4475,tab_tipo_Combustivel!$B$1:$AQ$1,0),1,1)</f>
        <v>157.83000000000001</v>
      </c>
    </row>
    <row r="4476" spans="1:3">
      <c r="A4476" s="3">
        <f t="shared" si="134"/>
        <v>2045</v>
      </c>
      <c r="B4476" s="106">
        <f t="shared" si="135"/>
        <v>42</v>
      </c>
      <c r="C4476" s="107">
        <f ca="1">OFFSET(tab_tipo_Combustivel!$A$1,MATCH(B4476,tab_tipo_Combustivel!$A$2:$A$150,0),MATCH(A4476,tab_tipo_Combustivel!$B$1:$AQ$1,0),1,1)</f>
        <v>199.22</v>
      </c>
    </row>
    <row r="4477" spans="1:3">
      <c r="A4477" s="3">
        <f t="shared" si="134"/>
        <v>2045</v>
      </c>
      <c r="B4477" s="106">
        <f t="shared" si="135"/>
        <v>43</v>
      </c>
      <c r="C4477" s="107">
        <f ca="1">OFFSET(tab_tipo_Combustivel!$A$1,MATCH(B4477,tab_tipo_Combustivel!$A$2:$A$150,0),MATCH(A4477,tab_tipo_Combustivel!$B$1:$AQ$1,0),1,1)</f>
        <v>431.62</v>
      </c>
    </row>
    <row r="4478" spans="1:3">
      <c r="A4478" s="3">
        <f t="shared" si="134"/>
        <v>2045</v>
      </c>
      <c r="B4478" s="106">
        <f t="shared" si="135"/>
        <v>44</v>
      </c>
      <c r="C4478" s="107">
        <f ca="1">OFFSET(tab_tipo_Combustivel!$A$1,MATCH(B4478,tab_tipo_Combustivel!$A$2:$A$150,0),MATCH(A4478,tab_tipo_Combustivel!$B$1:$AQ$1,0),1,1)</f>
        <v>25.58</v>
      </c>
    </row>
    <row r="4479" spans="1:3">
      <c r="A4479" s="3">
        <f t="shared" si="134"/>
        <v>2045</v>
      </c>
      <c r="B4479" s="106">
        <f t="shared" si="135"/>
        <v>46</v>
      </c>
      <c r="C4479" s="107">
        <f ca="1">OFFSET(tab_tipo_Combustivel!$A$1,MATCH(B4479,tab_tipo_Combustivel!$A$2:$A$150,0),MATCH(A4479,tab_tipo_Combustivel!$B$1:$AQ$1,0),1,1)</f>
        <v>228.91</v>
      </c>
    </row>
    <row r="4480" spans="1:3">
      <c r="A4480" s="3">
        <f t="shared" si="134"/>
        <v>2045</v>
      </c>
      <c r="B4480" s="106">
        <f t="shared" si="135"/>
        <v>47</v>
      </c>
      <c r="C4480" s="107">
        <f ca="1">OFFSET(tab_tipo_Combustivel!$A$1,MATCH(B4480,tab_tipo_Combustivel!$A$2:$A$150,0),MATCH(A4480,tab_tipo_Combustivel!$B$1:$AQ$1,0),1,1)</f>
        <v>235.6</v>
      </c>
    </row>
    <row r="4481" spans="1:3">
      <c r="A4481" s="3">
        <f t="shared" si="134"/>
        <v>2045</v>
      </c>
      <c r="B4481" s="106">
        <f t="shared" si="135"/>
        <v>48</v>
      </c>
      <c r="C4481" s="107">
        <f ca="1">OFFSET(tab_tipo_Combustivel!$A$1,MATCH(B4481,tab_tipo_Combustivel!$A$2:$A$150,0),MATCH(A4481,tab_tipo_Combustivel!$B$1:$AQ$1,0),1,1)</f>
        <v>1012.12</v>
      </c>
    </row>
    <row r="4482" spans="1:3">
      <c r="A4482" s="3">
        <f t="shared" si="134"/>
        <v>2045</v>
      </c>
      <c r="B4482" s="106">
        <f t="shared" si="135"/>
        <v>50</v>
      </c>
      <c r="C4482" s="107">
        <f ca="1">OFFSET(tab_tipo_Combustivel!$A$1,MATCH(B4482,tab_tipo_Combustivel!$A$2:$A$150,0),MATCH(A4482,tab_tipo_Combustivel!$B$1:$AQ$1,0),1,1)</f>
        <v>669.87</v>
      </c>
    </row>
    <row r="4483" spans="1:3">
      <c r="A4483" s="3">
        <f t="shared" si="134"/>
        <v>2045</v>
      </c>
      <c r="B4483" s="106">
        <f t="shared" si="135"/>
        <v>54</v>
      </c>
      <c r="C4483" s="107">
        <f ca="1">OFFSET(tab_tipo_Combustivel!$A$1,MATCH(B4483,tab_tipo_Combustivel!$A$2:$A$150,0),MATCH(A4483,tab_tipo_Combustivel!$B$1:$AQ$1,0),1,1)</f>
        <v>304.55</v>
      </c>
    </row>
    <row r="4484" spans="1:3">
      <c r="A4484" s="3">
        <f t="shared" si="134"/>
        <v>2045</v>
      </c>
      <c r="B4484" s="106">
        <f t="shared" si="135"/>
        <v>58</v>
      </c>
      <c r="C4484" s="107">
        <f ca="1">OFFSET(tab_tipo_Combustivel!$A$1,MATCH(B4484,tab_tipo_Combustivel!$A$2:$A$150,0),MATCH(A4484,tab_tipo_Combustivel!$B$1:$AQ$1,0),1,1)</f>
        <v>300.05</v>
      </c>
    </row>
    <row r="4485" spans="1:3">
      <c r="A4485" s="3">
        <f t="shared" si="134"/>
        <v>2045</v>
      </c>
      <c r="B4485" s="106">
        <f t="shared" si="135"/>
        <v>62</v>
      </c>
      <c r="C4485" s="107">
        <f ca="1">OFFSET(tab_tipo_Combustivel!$A$1,MATCH(B4485,tab_tipo_Combustivel!$A$2:$A$150,0),MATCH(A4485,tab_tipo_Combustivel!$B$1:$AQ$1,0),1,1)</f>
        <v>309.24</v>
      </c>
    </row>
    <row r="4486" spans="1:3">
      <c r="A4486" s="3">
        <f t="shared" si="134"/>
        <v>2045</v>
      </c>
      <c r="B4486" s="106">
        <f t="shared" si="135"/>
        <v>63</v>
      </c>
      <c r="C4486" s="107">
        <f ca="1">OFFSET(tab_tipo_Combustivel!$A$1,MATCH(B4486,tab_tipo_Combustivel!$A$2:$A$150,0),MATCH(A4486,tab_tipo_Combustivel!$B$1:$AQ$1,0),1,1)</f>
        <v>365.77</v>
      </c>
    </row>
    <row r="4487" spans="1:3">
      <c r="A4487" s="3">
        <f t="shared" si="134"/>
        <v>2045</v>
      </c>
      <c r="B4487" s="106">
        <f t="shared" si="135"/>
        <v>64</v>
      </c>
      <c r="C4487" s="107">
        <f ca="1">OFFSET(tab_tipo_Combustivel!$A$1,MATCH(B4487,tab_tipo_Combustivel!$A$2:$A$150,0),MATCH(A4487,tab_tipo_Combustivel!$B$1:$AQ$1,0),1,1)</f>
        <v>853.54</v>
      </c>
    </row>
    <row r="4488" spans="1:3">
      <c r="A4488" s="3">
        <f t="shared" si="134"/>
        <v>2045</v>
      </c>
      <c r="B4488" s="106">
        <f t="shared" si="135"/>
        <v>68</v>
      </c>
      <c r="C4488" s="107">
        <f ca="1">OFFSET(tab_tipo_Combustivel!$A$1,MATCH(B4488,tab_tipo_Combustivel!$A$2:$A$150,0),MATCH(A4488,tab_tipo_Combustivel!$B$1:$AQ$1,0),1,1)</f>
        <v>195.63</v>
      </c>
    </row>
    <row r="4489" spans="1:3">
      <c r="A4489" s="3">
        <f t="shared" si="134"/>
        <v>2045</v>
      </c>
      <c r="B4489" s="106">
        <f t="shared" si="135"/>
        <v>74</v>
      </c>
      <c r="C4489" s="107">
        <f ca="1">OFFSET(tab_tipo_Combustivel!$A$1,MATCH(B4489,tab_tipo_Combustivel!$A$2:$A$150,0),MATCH(A4489,tab_tipo_Combustivel!$B$1:$AQ$1,0),1,1)</f>
        <v>364.46</v>
      </c>
    </row>
    <row r="4490" spans="1:3">
      <c r="A4490" s="3">
        <f t="shared" ref="A4490:A4553" si="136">A4355+1</f>
        <v>2045</v>
      </c>
      <c r="B4490" s="106">
        <f t="shared" ref="B4490:B4553" si="137">B4355</f>
        <v>83</v>
      </c>
      <c r="C4490" s="107">
        <f ca="1">OFFSET(tab_tipo_Combustivel!$A$1,MATCH(B4490,tab_tipo_Combustivel!$A$2:$A$150,0),MATCH(A4490,tab_tipo_Combustivel!$B$1:$AQ$1,0),1,1)</f>
        <v>448.1</v>
      </c>
    </row>
    <row r="4491" spans="1:3">
      <c r="A4491" s="3">
        <f t="shared" si="136"/>
        <v>2045</v>
      </c>
      <c r="B4491" s="106">
        <f t="shared" si="137"/>
        <v>86</v>
      </c>
      <c r="C4491" s="107">
        <f ca="1">OFFSET(tab_tipo_Combustivel!$A$1,MATCH(B4491,tab_tipo_Combustivel!$A$2:$A$150,0),MATCH(A4491,tab_tipo_Combustivel!$B$1:$AQ$1,0),1,1)</f>
        <v>170.34</v>
      </c>
    </row>
    <row r="4492" spans="1:3">
      <c r="A4492" s="3">
        <f t="shared" si="136"/>
        <v>2045</v>
      </c>
      <c r="B4492" s="106">
        <f t="shared" si="137"/>
        <v>90</v>
      </c>
      <c r="C4492" s="107">
        <f ca="1">OFFSET(tab_tipo_Combustivel!$A$1,MATCH(B4492,tab_tipo_Combustivel!$A$2:$A$150,0),MATCH(A4492,tab_tipo_Combustivel!$B$1:$AQ$1,0),1,1)</f>
        <v>533.1</v>
      </c>
    </row>
    <row r="4493" spans="1:3">
      <c r="A4493" s="3">
        <f t="shared" si="136"/>
        <v>2045</v>
      </c>
      <c r="B4493" s="106">
        <f t="shared" si="137"/>
        <v>93</v>
      </c>
      <c r="C4493" s="107">
        <f ca="1">OFFSET(tab_tipo_Combustivel!$A$1,MATCH(B4493,tab_tipo_Combustivel!$A$2:$A$150,0),MATCH(A4493,tab_tipo_Combustivel!$B$1:$AQ$1,0),1,1)</f>
        <v>842.33</v>
      </c>
    </row>
    <row r="4494" spans="1:3">
      <c r="A4494" s="3">
        <f t="shared" si="136"/>
        <v>2045</v>
      </c>
      <c r="B4494" s="106">
        <f t="shared" si="137"/>
        <v>94</v>
      </c>
      <c r="C4494" s="107">
        <f ca="1">OFFSET(tab_tipo_Combustivel!$A$1,MATCH(B4494,tab_tipo_Combustivel!$A$2:$A$150,0),MATCH(A4494,tab_tipo_Combustivel!$B$1:$AQ$1,0),1,1)</f>
        <v>842.33</v>
      </c>
    </row>
    <row r="4495" spans="1:3">
      <c r="A4495" s="3">
        <f t="shared" si="136"/>
        <v>2045</v>
      </c>
      <c r="B4495" s="106">
        <f t="shared" si="137"/>
        <v>96</v>
      </c>
      <c r="C4495" s="107">
        <f ca="1">OFFSET(tab_tipo_Combustivel!$A$1,MATCH(B4495,tab_tipo_Combustivel!$A$2:$A$150,0),MATCH(A4495,tab_tipo_Combustivel!$B$1:$AQ$1,0),1,1)</f>
        <v>99.92</v>
      </c>
    </row>
    <row r="4496" spans="1:3">
      <c r="A4496" s="3">
        <f t="shared" si="136"/>
        <v>2045</v>
      </c>
      <c r="B4496" s="106">
        <f t="shared" si="137"/>
        <v>98</v>
      </c>
      <c r="C4496" s="107">
        <f ca="1">OFFSET(tab_tipo_Combustivel!$A$1,MATCH(B4496,tab_tipo_Combustivel!$A$2:$A$150,0),MATCH(A4496,tab_tipo_Combustivel!$B$1:$AQ$1,0),1,1)</f>
        <v>489.8</v>
      </c>
    </row>
    <row r="4497" spans="1:3">
      <c r="A4497" s="3">
        <f t="shared" si="136"/>
        <v>2045</v>
      </c>
      <c r="B4497" s="106">
        <f t="shared" si="137"/>
        <v>107</v>
      </c>
      <c r="C4497" s="107">
        <f ca="1">OFFSET(tab_tipo_Combustivel!$A$1,MATCH(B4497,tab_tipo_Combustivel!$A$2:$A$150,0),MATCH(A4497,tab_tipo_Combustivel!$B$1:$AQ$1,0),1,1)</f>
        <v>57.63</v>
      </c>
    </row>
    <row r="4498" spans="1:3">
      <c r="A4498" s="3">
        <f t="shared" si="136"/>
        <v>2045</v>
      </c>
      <c r="B4498" s="106">
        <f t="shared" si="137"/>
        <v>110</v>
      </c>
      <c r="C4498" s="107">
        <f ca="1">OFFSET(tab_tipo_Combustivel!$A$1,MATCH(B4498,tab_tipo_Combustivel!$A$2:$A$150,0),MATCH(A4498,tab_tipo_Combustivel!$B$1:$AQ$1,0),1,1)</f>
        <v>568.29</v>
      </c>
    </row>
    <row r="4499" spans="1:3">
      <c r="A4499" s="3">
        <f t="shared" si="136"/>
        <v>2045</v>
      </c>
      <c r="B4499" s="106">
        <f t="shared" si="137"/>
        <v>116</v>
      </c>
      <c r="C4499" s="107">
        <f ca="1">OFFSET(tab_tipo_Combustivel!$A$1,MATCH(B4499,tab_tipo_Combustivel!$A$2:$A$150,0),MATCH(A4499,tab_tipo_Combustivel!$B$1:$AQ$1,0),1,1)</f>
        <v>117.46</v>
      </c>
    </row>
    <row r="4500" spans="1:3">
      <c r="A4500" s="3">
        <f t="shared" si="136"/>
        <v>2045</v>
      </c>
      <c r="B4500" s="106">
        <f t="shared" si="137"/>
        <v>140</v>
      </c>
      <c r="C4500" s="107">
        <f ca="1">OFFSET(tab_tipo_Combustivel!$A$1,MATCH(B4500,tab_tipo_Combustivel!$A$2:$A$150,0),MATCH(A4500,tab_tipo_Combustivel!$B$1:$AQ$1,0),1,1)</f>
        <v>88.11</v>
      </c>
    </row>
    <row r="4501" spans="1:3">
      <c r="A4501" s="3">
        <f t="shared" si="136"/>
        <v>2045</v>
      </c>
      <c r="B4501" s="106">
        <f t="shared" si="137"/>
        <v>141</v>
      </c>
      <c r="C4501" s="107">
        <f ca="1">OFFSET(tab_tipo_Combustivel!$A$1,MATCH(B4501,tab_tipo_Combustivel!$A$2:$A$150,0),MATCH(A4501,tab_tipo_Combustivel!$B$1:$AQ$1,0),1,1)</f>
        <v>1280.52</v>
      </c>
    </row>
    <row r="4502" spans="1:3">
      <c r="A4502" s="3">
        <f t="shared" si="136"/>
        <v>2045</v>
      </c>
      <c r="B4502" s="106">
        <f t="shared" si="137"/>
        <v>147</v>
      </c>
      <c r="C4502" s="107">
        <f ca="1">OFFSET(tab_tipo_Combustivel!$A$1,MATCH(B4502,tab_tipo_Combustivel!$A$2:$A$150,0),MATCH(A4502,tab_tipo_Combustivel!$B$1:$AQ$1,0),1,1)</f>
        <v>134.18</v>
      </c>
    </row>
    <row r="4503" spans="1:3">
      <c r="A4503" s="3">
        <f t="shared" si="136"/>
        <v>2045</v>
      </c>
      <c r="B4503" s="106">
        <f t="shared" si="137"/>
        <v>156</v>
      </c>
      <c r="C4503" s="107">
        <f ca="1">OFFSET(tab_tipo_Combustivel!$A$1,MATCH(B4503,tab_tipo_Combustivel!$A$2:$A$150,0),MATCH(A4503,tab_tipo_Combustivel!$B$1:$AQ$1,0),1,1)</f>
        <v>77.12</v>
      </c>
    </row>
    <row r="4504" spans="1:3">
      <c r="A4504" s="3">
        <f t="shared" si="136"/>
        <v>2045</v>
      </c>
      <c r="B4504" s="106">
        <f t="shared" si="137"/>
        <v>163</v>
      </c>
      <c r="C4504" s="107">
        <f ca="1">OFFSET(tab_tipo_Combustivel!$A$1,MATCH(B4504,tab_tipo_Combustivel!$A$2:$A$150,0),MATCH(A4504,tab_tipo_Combustivel!$B$1:$AQ$1,0),1,1)</f>
        <v>156.69999999999999</v>
      </c>
    </row>
    <row r="4505" spans="1:3">
      <c r="A4505" s="3">
        <f t="shared" si="136"/>
        <v>2045</v>
      </c>
      <c r="B4505" s="106">
        <f t="shared" si="137"/>
        <v>167</v>
      </c>
      <c r="C4505" s="107">
        <f ca="1">OFFSET(tab_tipo_Combustivel!$A$1,MATCH(B4505,tab_tipo_Combustivel!$A$2:$A$150,0),MATCH(A4505,tab_tipo_Combustivel!$B$1:$AQ$1,0),1,1)</f>
        <v>144.66999999999999</v>
      </c>
    </row>
    <row r="4506" spans="1:3">
      <c r="A4506" s="3">
        <f t="shared" si="136"/>
        <v>2045</v>
      </c>
      <c r="B4506" s="106">
        <f t="shared" si="137"/>
        <v>171</v>
      </c>
      <c r="C4506" s="107">
        <f ca="1">OFFSET(tab_tipo_Combustivel!$A$1,MATCH(B4506,tab_tipo_Combustivel!$A$2:$A$150,0),MATCH(A4506,tab_tipo_Combustivel!$B$1:$AQ$1,0),1,1)</f>
        <v>88</v>
      </c>
    </row>
    <row r="4507" spans="1:3">
      <c r="A4507" s="3">
        <f t="shared" si="136"/>
        <v>2045</v>
      </c>
      <c r="B4507" s="106">
        <f t="shared" si="137"/>
        <v>172</v>
      </c>
      <c r="C4507" s="107">
        <f ca="1">OFFSET(tab_tipo_Combustivel!$A$1,MATCH(B4507,tab_tipo_Combustivel!$A$2:$A$150,0),MATCH(A4507,tab_tipo_Combustivel!$B$1:$AQ$1,0),1,1)</f>
        <v>99.97</v>
      </c>
    </row>
    <row r="4508" spans="1:3">
      <c r="A4508" s="3">
        <f t="shared" si="136"/>
        <v>2045</v>
      </c>
      <c r="B4508" s="106">
        <f t="shared" si="137"/>
        <v>173</v>
      </c>
      <c r="C4508" s="107">
        <f ca="1">OFFSET(tab_tipo_Combustivel!$A$1,MATCH(B4508,tab_tipo_Combustivel!$A$2:$A$150,0),MATCH(A4508,tab_tipo_Combustivel!$B$1:$AQ$1,0),1,1)</f>
        <v>192.03</v>
      </c>
    </row>
    <row r="4509" spans="1:3">
      <c r="A4509" s="3">
        <f t="shared" si="136"/>
        <v>2045</v>
      </c>
      <c r="B4509" s="106">
        <f t="shared" si="137"/>
        <v>174</v>
      </c>
      <c r="C4509" s="107">
        <f ca="1">OFFSET(tab_tipo_Combustivel!$A$1,MATCH(B4509,tab_tipo_Combustivel!$A$2:$A$150,0),MATCH(A4509,tab_tipo_Combustivel!$B$1:$AQ$1,0),1,1)</f>
        <v>331.22</v>
      </c>
    </row>
    <row r="4510" spans="1:3">
      <c r="A4510" s="3">
        <f t="shared" si="136"/>
        <v>2045</v>
      </c>
      <c r="B4510" s="106">
        <f t="shared" si="137"/>
        <v>176</v>
      </c>
      <c r="C4510" s="107">
        <f ca="1">OFFSET(tab_tipo_Combustivel!$A$1,MATCH(B4510,tab_tipo_Combustivel!$A$2:$A$150,0),MATCH(A4510,tab_tipo_Combustivel!$B$1:$AQ$1,0),1,1)</f>
        <v>149.47999999999999</v>
      </c>
    </row>
    <row r="4511" spans="1:3">
      <c r="A4511" s="3">
        <f t="shared" si="136"/>
        <v>2045</v>
      </c>
      <c r="B4511" s="106">
        <f t="shared" si="137"/>
        <v>183</v>
      </c>
      <c r="C4511" s="107">
        <f ca="1">OFFSET(tab_tipo_Combustivel!$A$1,MATCH(B4511,tab_tipo_Combustivel!$A$2:$A$150,0),MATCH(A4511,tab_tipo_Combustivel!$B$1:$AQ$1,0),1,1)</f>
        <v>171.61</v>
      </c>
    </row>
    <row r="4512" spans="1:3">
      <c r="A4512" s="3">
        <f t="shared" si="136"/>
        <v>2045</v>
      </c>
      <c r="B4512" s="106">
        <f t="shared" si="137"/>
        <v>194</v>
      </c>
      <c r="C4512" s="107">
        <f ca="1">OFFSET(tab_tipo_Combustivel!$A$1,MATCH(B4512,tab_tipo_Combustivel!$A$2:$A$150,0),MATCH(A4512,tab_tipo_Combustivel!$B$1:$AQ$1,0),1,1)</f>
        <v>1098.58</v>
      </c>
    </row>
    <row r="4513" spans="1:3">
      <c r="A4513" s="3">
        <f t="shared" si="136"/>
        <v>2045</v>
      </c>
      <c r="B4513" s="106">
        <f t="shared" si="137"/>
        <v>203</v>
      </c>
      <c r="C4513" s="107">
        <f ca="1">OFFSET(tab_tipo_Combustivel!$A$1,MATCH(B4513,tab_tipo_Combustivel!$A$2:$A$150,0),MATCH(A4513,tab_tipo_Combustivel!$B$1:$AQ$1,0),1,1)</f>
        <v>0</v>
      </c>
    </row>
    <row r="4514" spans="1:3">
      <c r="A4514" s="3">
        <f t="shared" si="136"/>
        <v>2045</v>
      </c>
      <c r="B4514" s="106">
        <f t="shared" si="137"/>
        <v>204</v>
      </c>
      <c r="C4514" s="107">
        <f ca="1">OFFSET(tab_tipo_Combustivel!$A$1,MATCH(B4514,tab_tipo_Combustivel!$A$2:$A$150,0),MATCH(A4514,tab_tipo_Combustivel!$B$1:$AQ$1,0),1,1)</f>
        <v>0</v>
      </c>
    </row>
    <row r="4515" spans="1:3">
      <c r="A4515" s="3">
        <f t="shared" si="136"/>
        <v>2045</v>
      </c>
      <c r="B4515" s="106">
        <f t="shared" si="137"/>
        <v>205</v>
      </c>
      <c r="C4515" s="107">
        <f ca="1">OFFSET(tab_tipo_Combustivel!$A$1,MATCH(B4515,tab_tipo_Combustivel!$A$2:$A$150,0),MATCH(A4515,tab_tipo_Combustivel!$B$1:$AQ$1,0),1,1)</f>
        <v>0</v>
      </c>
    </row>
    <row r="4516" spans="1:3">
      <c r="A4516" s="3">
        <f t="shared" si="136"/>
        <v>2045</v>
      </c>
      <c r="B4516" s="106">
        <f t="shared" si="137"/>
        <v>207</v>
      </c>
      <c r="C4516" s="107">
        <f ca="1">OFFSET(tab_tipo_Combustivel!$A$1,MATCH(B4516,tab_tipo_Combustivel!$A$2:$A$150,0),MATCH(A4516,tab_tipo_Combustivel!$B$1:$AQ$1,0),1,1)</f>
        <v>0</v>
      </c>
    </row>
    <row r="4517" spans="1:3">
      <c r="A4517" s="3">
        <f t="shared" si="136"/>
        <v>2045</v>
      </c>
      <c r="B4517" s="106">
        <f t="shared" si="137"/>
        <v>208</v>
      </c>
      <c r="C4517" s="107">
        <f ca="1">OFFSET(tab_tipo_Combustivel!$A$1,MATCH(B4517,tab_tipo_Combustivel!$A$2:$A$150,0),MATCH(A4517,tab_tipo_Combustivel!$B$1:$AQ$1,0),1,1)</f>
        <v>783.64</v>
      </c>
    </row>
    <row r="4518" spans="1:3">
      <c r="A4518" s="3">
        <f t="shared" si="136"/>
        <v>2045</v>
      </c>
      <c r="B4518" s="106">
        <f t="shared" si="137"/>
        <v>209</v>
      </c>
      <c r="C4518" s="107">
        <f ca="1">OFFSET(tab_tipo_Combustivel!$A$1,MATCH(B4518,tab_tipo_Combustivel!$A$2:$A$150,0),MATCH(A4518,tab_tipo_Combustivel!$B$1:$AQ$1,0),1,1)</f>
        <v>0</v>
      </c>
    </row>
    <row r="4519" spans="1:3">
      <c r="A4519" s="3">
        <f t="shared" si="136"/>
        <v>2045</v>
      </c>
      <c r="B4519" s="106">
        <f t="shared" si="137"/>
        <v>211</v>
      </c>
      <c r="C4519" s="107">
        <f ca="1">OFFSET(tab_tipo_Combustivel!$A$1,MATCH(B4519,tab_tipo_Combustivel!$A$2:$A$150,0),MATCH(A4519,tab_tipo_Combustivel!$B$1:$AQ$1,0),1,1)</f>
        <v>150.79</v>
      </c>
    </row>
    <row r="4520" spans="1:3">
      <c r="A4520" s="3">
        <f t="shared" si="136"/>
        <v>2045</v>
      </c>
      <c r="B4520" s="106">
        <f t="shared" si="137"/>
        <v>212</v>
      </c>
      <c r="C4520" s="107">
        <f ca="1">OFFSET(tab_tipo_Combustivel!$A$1,MATCH(B4520,tab_tipo_Combustivel!$A$2:$A$150,0),MATCH(A4520,tab_tipo_Combustivel!$B$1:$AQ$1,0),1,1)</f>
        <v>84.58</v>
      </c>
    </row>
    <row r="4521" spans="1:3">
      <c r="A4521" s="3">
        <f t="shared" si="136"/>
        <v>2045</v>
      </c>
      <c r="B4521" s="106">
        <f t="shared" si="137"/>
        <v>224</v>
      </c>
      <c r="C4521" s="107">
        <f ca="1">OFFSET(tab_tipo_Combustivel!$A$1,MATCH(B4521,tab_tipo_Combustivel!$A$2:$A$150,0),MATCH(A4521,tab_tipo_Combustivel!$B$1:$AQ$1,0),1,1)</f>
        <v>31.08</v>
      </c>
    </row>
    <row r="4522" spans="1:3">
      <c r="A4522" s="3">
        <f t="shared" si="136"/>
        <v>2045</v>
      </c>
      <c r="B4522" s="106">
        <f t="shared" si="137"/>
        <v>225</v>
      </c>
      <c r="C4522" s="107">
        <f ca="1">OFFSET(tab_tipo_Combustivel!$A$1,MATCH(B4522,tab_tipo_Combustivel!$A$2:$A$150,0),MATCH(A4522,tab_tipo_Combustivel!$B$1:$AQ$1,0),1,1)</f>
        <v>1329.7</v>
      </c>
    </row>
    <row r="4523" spans="1:3">
      <c r="A4523" s="3">
        <f t="shared" si="136"/>
        <v>2045</v>
      </c>
      <c r="B4523" s="106">
        <f t="shared" si="137"/>
        <v>226</v>
      </c>
      <c r="C4523" s="107">
        <f ca="1">OFFSET(tab_tipo_Combustivel!$A$1,MATCH(B4523,tab_tipo_Combustivel!$A$2:$A$150,0),MATCH(A4523,tab_tipo_Combustivel!$B$1:$AQ$1,0),1,1)</f>
        <v>1061.1300000000001</v>
      </c>
    </row>
    <row r="4524" spans="1:3">
      <c r="A4524" s="3">
        <f t="shared" si="136"/>
        <v>2045</v>
      </c>
      <c r="B4524" s="106">
        <f t="shared" si="137"/>
        <v>227</v>
      </c>
      <c r="C4524" s="107">
        <f ca="1">OFFSET(tab_tipo_Combustivel!$A$1,MATCH(B4524,tab_tipo_Combustivel!$A$2:$A$150,0),MATCH(A4524,tab_tipo_Combustivel!$B$1:$AQ$1,0),1,1)</f>
        <v>447.52</v>
      </c>
    </row>
    <row r="4525" spans="1:3">
      <c r="A4525" s="3">
        <f t="shared" si="136"/>
        <v>2045</v>
      </c>
      <c r="B4525" s="106">
        <f t="shared" si="137"/>
        <v>228</v>
      </c>
      <c r="C4525" s="107">
        <f ca="1">OFFSET(tab_tipo_Combustivel!$A$1,MATCH(B4525,tab_tipo_Combustivel!$A$2:$A$150,0),MATCH(A4525,tab_tipo_Combustivel!$B$1:$AQ$1,0),1,1)</f>
        <v>1061.1400000000001</v>
      </c>
    </row>
    <row r="4526" spans="1:3">
      <c r="A4526" s="3">
        <f t="shared" si="136"/>
        <v>2045</v>
      </c>
      <c r="B4526" s="106">
        <f t="shared" si="137"/>
        <v>229</v>
      </c>
      <c r="C4526" s="107">
        <f ca="1">OFFSET(tab_tipo_Combustivel!$A$1,MATCH(B4526,tab_tipo_Combustivel!$A$2:$A$150,0),MATCH(A4526,tab_tipo_Combustivel!$B$1:$AQ$1,0),1,1)</f>
        <v>942.05</v>
      </c>
    </row>
    <row r="4527" spans="1:3">
      <c r="A4527" s="3">
        <f t="shared" si="136"/>
        <v>2045</v>
      </c>
      <c r="B4527" s="106">
        <f t="shared" si="137"/>
        <v>230</v>
      </c>
      <c r="C4527" s="107">
        <f ca="1">OFFSET(tab_tipo_Combustivel!$A$1,MATCH(B4527,tab_tipo_Combustivel!$A$2:$A$150,0),MATCH(A4527,tab_tipo_Combustivel!$B$1:$AQ$1,0),1,1)</f>
        <v>495.06</v>
      </c>
    </row>
    <row r="4528" spans="1:3">
      <c r="A4528" s="3">
        <f t="shared" si="136"/>
        <v>2045</v>
      </c>
      <c r="B4528" s="106">
        <f t="shared" si="137"/>
        <v>231</v>
      </c>
      <c r="C4528" s="107">
        <f ca="1">OFFSET(tab_tipo_Combustivel!$A$1,MATCH(B4528,tab_tipo_Combustivel!$A$2:$A$150,0),MATCH(A4528,tab_tipo_Combustivel!$B$1:$AQ$1,0),1,1)</f>
        <v>489.29</v>
      </c>
    </row>
    <row r="4529" spans="1:3">
      <c r="A4529" s="3">
        <f t="shared" si="136"/>
        <v>2045</v>
      </c>
      <c r="B4529" s="106">
        <f t="shared" si="137"/>
        <v>232</v>
      </c>
      <c r="C4529" s="107">
        <f ca="1">OFFSET(tab_tipo_Combustivel!$A$1,MATCH(B4529,tab_tipo_Combustivel!$A$2:$A$150,0),MATCH(A4529,tab_tipo_Combustivel!$B$1:$AQ$1,0),1,1)</f>
        <v>842.33</v>
      </c>
    </row>
    <row r="4530" spans="1:3">
      <c r="A4530" s="3">
        <f t="shared" si="136"/>
        <v>2045</v>
      </c>
      <c r="B4530" s="106">
        <f t="shared" si="137"/>
        <v>233</v>
      </c>
      <c r="C4530" s="107">
        <f ca="1">OFFSET(tab_tipo_Combustivel!$A$1,MATCH(B4530,tab_tipo_Combustivel!$A$2:$A$150,0),MATCH(A4530,tab_tipo_Combustivel!$B$1:$AQ$1,0),1,1)</f>
        <v>984.29</v>
      </c>
    </row>
    <row r="4531" spans="1:3">
      <c r="A4531" s="3">
        <f t="shared" si="136"/>
        <v>2045</v>
      </c>
      <c r="B4531" s="106">
        <f t="shared" si="137"/>
        <v>234</v>
      </c>
      <c r="C4531" s="107">
        <f ca="1">OFFSET(tab_tipo_Combustivel!$A$1,MATCH(B4531,tab_tipo_Combustivel!$A$2:$A$150,0),MATCH(A4531,tab_tipo_Combustivel!$B$1:$AQ$1,0),1,1)</f>
        <v>290.26</v>
      </c>
    </row>
    <row r="4532" spans="1:3">
      <c r="A4532" s="3">
        <f t="shared" si="136"/>
        <v>2045</v>
      </c>
      <c r="B4532" s="106">
        <f t="shared" si="137"/>
        <v>235</v>
      </c>
      <c r="C4532" s="107">
        <f ca="1">OFFSET(tab_tipo_Combustivel!$A$1,MATCH(B4532,tab_tipo_Combustivel!$A$2:$A$150,0),MATCH(A4532,tab_tipo_Combustivel!$B$1:$AQ$1,0),1,1)</f>
        <v>1350.87</v>
      </c>
    </row>
    <row r="4533" spans="1:3">
      <c r="A4533" s="3">
        <f t="shared" si="136"/>
        <v>2045</v>
      </c>
      <c r="B4533" s="106">
        <f t="shared" si="137"/>
        <v>236</v>
      </c>
      <c r="C4533" s="107">
        <f ca="1">OFFSET(tab_tipo_Combustivel!$A$1,MATCH(B4533,tab_tipo_Combustivel!$A$2:$A$150,0),MATCH(A4533,tab_tipo_Combustivel!$B$1:$AQ$1,0),1,1)</f>
        <v>842.33</v>
      </c>
    </row>
    <row r="4534" spans="1:3">
      <c r="A4534" s="3">
        <f t="shared" si="136"/>
        <v>2045</v>
      </c>
      <c r="B4534" s="106">
        <f t="shared" si="137"/>
        <v>237</v>
      </c>
      <c r="C4534" s="107">
        <f ca="1">OFFSET(tab_tipo_Combustivel!$A$1,MATCH(B4534,tab_tipo_Combustivel!$A$2:$A$150,0),MATCH(A4534,tab_tipo_Combustivel!$B$1:$AQ$1,0),1,1)</f>
        <v>760.85</v>
      </c>
    </row>
    <row r="4535" spans="1:3">
      <c r="A4535" s="3">
        <f t="shared" si="136"/>
        <v>2045</v>
      </c>
      <c r="B4535" s="106">
        <f t="shared" si="137"/>
        <v>238</v>
      </c>
      <c r="C4535" s="107">
        <f ca="1">OFFSET(tab_tipo_Combustivel!$A$1,MATCH(B4535,tab_tipo_Combustivel!$A$2:$A$150,0),MATCH(A4535,tab_tipo_Combustivel!$B$1:$AQ$1,0),1,1)</f>
        <v>963.75</v>
      </c>
    </row>
    <row r="4536" spans="1:3">
      <c r="A4536" s="3">
        <f t="shared" si="136"/>
        <v>2045</v>
      </c>
      <c r="B4536" s="106">
        <f t="shared" si="137"/>
        <v>239</v>
      </c>
      <c r="C4536" s="107">
        <f ca="1">OFFSET(tab_tipo_Combustivel!$A$1,MATCH(B4536,tab_tipo_Combustivel!$A$2:$A$150,0),MATCH(A4536,tab_tipo_Combustivel!$B$1:$AQ$1,0),1,1)</f>
        <v>963.75</v>
      </c>
    </row>
    <row r="4537" spans="1:3">
      <c r="A4537" s="3">
        <f t="shared" si="136"/>
        <v>2045</v>
      </c>
      <c r="B4537" s="106">
        <f t="shared" si="137"/>
        <v>240</v>
      </c>
      <c r="C4537" s="107">
        <f ca="1">OFFSET(tab_tipo_Combustivel!$A$1,MATCH(B4537,tab_tipo_Combustivel!$A$2:$A$150,0),MATCH(A4537,tab_tipo_Combustivel!$B$1:$AQ$1,0),1,1)</f>
        <v>1115.96</v>
      </c>
    </row>
    <row r="4538" spans="1:3">
      <c r="A4538" s="3">
        <f t="shared" si="136"/>
        <v>2045</v>
      </c>
      <c r="B4538" s="106">
        <f t="shared" si="137"/>
        <v>241</v>
      </c>
      <c r="C4538" s="107">
        <f ca="1">OFFSET(tab_tipo_Combustivel!$A$1,MATCH(B4538,tab_tipo_Combustivel!$A$2:$A$150,0),MATCH(A4538,tab_tipo_Combustivel!$B$1:$AQ$1,0),1,1)</f>
        <v>495.75</v>
      </c>
    </row>
    <row r="4539" spans="1:3">
      <c r="A4539" s="3">
        <f t="shared" si="136"/>
        <v>2045</v>
      </c>
      <c r="B4539" s="106">
        <f t="shared" si="137"/>
        <v>242</v>
      </c>
      <c r="C4539" s="107">
        <f ca="1">OFFSET(tab_tipo_Combustivel!$A$1,MATCH(B4539,tab_tipo_Combustivel!$A$2:$A$150,0),MATCH(A4539,tab_tipo_Combustivel!$B$1:$AQ$1,0),1,1)</f>
        <v>1176.45</v>
      </c>
    </row>
    <row r="4540" spans="1:3">
      <c r="A4540" s="3">
        <f t="shared" si="136"/>
        <v>2045</v>
      </c>
      <c r="B4540" s="106">
        <f t="shared" si="137"/>
        <v>243</v>
      </c>
      <c r="C4540" s="107">
        <f ca="1">OFFSET(tab_tipo_Combustivel!$A$1,MATCH(B4540,tab_tipo_Combustivel!$A$2:$A$150,0),MATCH(A4540,tab_tipo_Combustivel!$B$1:$AQ$1,0),1,1)</f>
        <v>495.08</v>
      </c>
    </row>
    <row r="4541" spans="1:3">
      <c r="A4541" s="3">
        <f t="shared" si="136"/>
        <v>2045</v>
      </c>
      <c r="B4541" s="106">
        <f t="shared" si="137"/>
        <v>244</v>
      </c>
      <c r="C4541" s="107">
        <f ca="1">OFFSET(tab_tipo_Combustivel!$A$1,MATCH(B4541,tab_tipo_Combustivel!$A$2:$A$150,0),MATCH(A4541,tab_tipo_Combustivel!$B$1:$AQ$1,0),1,1)</f>
        <v>495.06</v>
      </c>
    </row>
    <row r="4542" spans="1:3">
      <c r="A4542" s="3">
        <f t="shared" si="136"/>
        <v>2045</v>
      </c>
      <c r="B4542" s="106">
        <f t="shared" si="137"/>
        <v>245</v>
      </c>
      <c r="C4542" s="107">
        <f ca="1">OFFSET(tab_tipo_Combustivel!$A$1,MATCH(B4542,tab_tipo_Combustivel!$A$2:$A$150,0),MATCH(A4542,tab_tipo_Combustivel!$B$1:$AQ$1,0),1,1)</f>
        <v>562.65</v>
      </c>
    </row>
    <row r="4543" spans="1:3">
      <c r="A4543" s="3">
        <f t="shared" si="136"/>
        <v>2045</v>
      </c>
      <c r="B4543" s="106">
        <f t="shared" si="137"/>
        <v>246</v>
      </c>
      <c r="C4543" s="107">
        <f ca="1">OFFSET(tab_tipo_Combustivel!$A$1,MATCH(B4543,tab_tipo_Combustivel!$A$2:$A$150,0),MATCH(A4543,tab_tipo_Combustivel!$B$1:$AQ$1,0),1,1)</f>
        <v>1124.53</v>
      </c>
    </row>
    <row r="4544" spans="1:3">
      <c r="A4544" s="3">
        <f t="shared" si="136"/>
        <v>2045</v>
      </c>
      <c r="B4544" s="106">
        <f t="shared" si="137"/>
        <v>247</v>
      </c>
      <c r="C4544" s="107">
        <f ca="1">OFFSET(tab_tipo_Combustivel!$A$1,MATCH(B4544,tab_tipo_Combustivel!$A$2:$A$150,0),MATCH(A4544,tab_tipo_Combustivel!$B$1:$AQ$1,0),1,1)</f>
        <v>609.51</v>
      </c>
    </row>
    <row r="4545" spans="1:3">
      <c r="A4545" s="3">
        <f t="shared" si="136"/>
        <v>2045</v>
      </c>
      <c r="B4545" s="106">
        <f t="shared" si="137"/>
        <v>248</v>
      </c>
      <c r="C4545" s="107">
        <f ca="1">OFFSET(tab_tipo_Combustivel!$A$1,MATCH(B4545,tab_tipo_Combustivel!$A$2:$A$150,0),MATCH(A4545,tab_tipo_Combustivel!$B$1:$AQ$1,0),1,1)</f>
        <v>495.06</v>
      </c>
    </row>
    <row r="4546" spans="1:3">
      <c r="A4546" s="3">
        <f t="shared" si="136"/>
        <v>2045</v>
      </c>
      <c r="B4546" s="106">
        <f t="shared" si="137"/>
        <v>249</v>
      </c>
      <c r="C4546" s="107">
        <f ca="1">OFFSET(tab_tipo_Combustivel!$A$1,MATCH(B4546,tab_tipo_Combustivel!$A$2:$A$150,0),MATCH(A4546,tab_tipo_Combustivel!$B$1:$AQ$1,0),1,1)</f>
        <v>842.33</v>
      </c>
    </row>
    <row r="4547" spans="1:3">
      <c r="A4547" s="3">
        <f t="shared" si="136"/>
        <v>2045</v>
      </c>
      <c r="B4547" s="106">
        <f t="shared" si="137"/>
        <v>250</v>
      </c>
      <c r="C4547" s="107">
        <f ca="1">OFFSET(tab_tipo_Combustivel!$A$1,MATCH(B4547,tab_tipo_Combustivel!$A$2:$A$150,0),MATCH(A4547,tab_tipo_Combustivel!$B$1:$AQ$1,0),1,1)</f>
        <v>1176.45</v>
      </c>
    </row>
    <row r="4548" spans="1:3">
      <c r="A4548" s="3">
        <f t="shared" si="136"/>
        <v>2045</v>
      </c>
      <c r="B4548" s="106">
        <f t="shared" si="137"/>
        <v>251</v>
      </c>
      <c r="C4548" s="107">
        <f ca="1">OFFSET(tab_tipo_Combustivel!$A$1,MATCH(B4548,tab_tipo_Combustivel!$A$2:$A$150,0),MATCH(A4548,tab_tipo_Combustivel!$B$1:$AQ$1,0),1,1)</f>
        <v>842.33</v>
      </c>
    </row>
    <row r="4549" spans="1:3">
      <c r="A4549" s="3">
        <f t="shared" si="136"/>
        <v>2045</v>
      </c>
      <c r="B4549" s="106">
        <f t="shared" si="137"/>
        <v>252</v>
      </c>
      <c r="C4549" s="107">
        <f ca="1">OFFSET(tab_tipo_Combustivel!$A$1,MATCH(B4549,tab_tipo_Combustivel!$A$2:$A$150,0),MATCH(A4549,tab_tipo_Combustivel!$B$1:$AQ$1,0),1,1)</f>
        <v>842.33</v>
      </c>
    </row>
    <row r="4550" spans="1:3">
      <c r="A4550" s="3">
        <f t="shared" si="136"/>
        <v>2045</v>
      </c>
      <c r="B4550" s="106">
        <f t="shared" si="137"/>
        <v>253</v>
      </c>
      <c r="C4550" s="107">
        <f ca="1">OFFSET(tab_tipo_Combustivel!$A$1,MATCH(B4550,tab_tipo_Combustivel!$A$2:$A$150,0),MATCH(A4550,tab_tipo_Combustivel!$B$1:$AQ$1,0),1,1)</f>
        <v>279.45</v>
      </c>
    </row>
    <row r="4551" spans="1:3">
      <c r="A4551" s="3">
        <f t="shared" si="136"/>
        <v>2045</v>
      </c>
      <c r="B4551" s="106">
        <f t="shared" si="137"/>
        <v>254</v>
      </c>
      <c r="C4551" s="107">
        <f ca="1">OFFSET(tab_tipo_Combustivel!$A$1,MATCH(B4551,tab_tipo_Combustivel!$A$2:$A$150,0),MATCH(A4551,tab_tipo_Combustivel!$B$1:$AQ$1,0),1,1)</f>
        <v>1153.98</v>
      </c>
    </row>
    <row r="4552" spans="1:3">
      <c r="A4552" s="3">
        <f t="shared" si="136"/>
        <v>2045</v>
      </c>
      <c r="B4552" s="106">
        <f t="shared" si="137"/>
        <v>255</v>
      </c>
      <c r="C4552" s="107">
        <f ca="1">OFFSET(tab_tipo_Combustivel!$A$1,MATCH(B4552,tab_tipo_Combustivel!$A$2:$A$150,0),MATCH(A4552,tab_tipo_Combustivel!$B$1:$AQ$1,0),1,1)</f>
        <v>828.98</v>
      </c>
    </row>
    <row r="4553" spans="1:3">
      <c r="A4553" s="3">
        <f t="shared" si="136"/>
        <v>2045</v>
      </c>
      <c r="B4553" s="106">
        <f t="shared" si="137"/>
        <v>256</v>
      </c>
      <c r="C4553" s="107">
        <f ca="1">OFFSET(tab_tipo_Combustivel!$A$1,MATCH(B4553,tab_tipo_Combustivel!$A$2:$A$150,0),MATCH(A4553,tab_tipo_Combustivel!$B$1:$AQ$1,0),1,1)</f>
        <v>562.65</v>
      </c>
    </row>
    <row r="4554" spans="1:3">
      <c r="A4554" s="3">
        <f t="shared" ref="A4554:A4617" si="138">A4419+1</f>
        <v>2045</v>
      </c>
      <c r="B4554" s="106">
        <f t="shared" ref="B4554:B4617" si="139">B4419</f>
        <v>257</v>
      </c>
      <c r="C4554" s="107">
        <f ca="1">OFFSET(tab_tipo_Combustivel!$A$1,MATCH(B4554,tab_tipo_Combustivel!$A$2:$A$150,0),MATCH(A4554,tab_tipo_Combustivel!$B$1:$AQ$1,0),1,1)</f>
        <v>907.52</v>
      </c>
    </row>
    <row r="4555" spans="1:3">
      <c r="A4555" s="3">
        <f t="shared" si="138"/>
        <v>2045</v>
      </c>
      <c r="B4555" s="106">
        <f t="shared" si="139"/>
        <v>258</v>
      </c>
      <c r="C4555" s="107">
        <f ca="1">OFFSET(tab_tipo_Combustivel!$A$1,MATCH(B4555,tab_tipo_Combustivel!$A$2:$A$150,0),MATCH(A4555,tab_tipo_Combustivel!$B$1:$AQ$1,0),1,1)</f>
        <v>1016.04</v>
      </c>
    </row>
    <row r="4556" spans="1:3">
      <c r="A4556" s="3">
        <f t="shared" si="138"/>
        <v>2045</v>
      </c>
      <c r="B4556" s="106">
        <f t="shared" si="139"/>
        <v>259</v>
      </c>
      <c r="C4556" s="107">
        <f ca="1">OFFSET(tab_tipo_Combustivel!$A$1,MATCH(B4556,tab_tipo_Combustivel!$A$2:$A$150,0),MATCH(A4556,tab_tipo_Combustivel!$B$1:$AQ$1,0),1,1)</f>
        <v>977.53</v>
      </c>
    </row>
    <row r="4557" spans="1:3">
      <c r="A4557" s="3">
        <f t="shared" si="138"/>
        <v>2045</v>
      </c>
      <c r="B4557" s="106">
        <f t="shared" si="139"/>
        <v>260</v>
      </c>
      <c r="C4557" s="107">
        <f ca="1">OFFSET(tab_tipo_Combustivel!$A$1,MATCH(B4557,tab_tipo_Combustivel!$A$2:$A$150,0),MATCH(A4557,tab_tipo_Combustivel!$B$1:$AQ$1,0),1,1)</f>
        <v>827.17</v>
      </c>
    </row>
    <row r="4558" spans="1:3">
      <c r="A4558" s="3">
        <f t="shared" si="138"/>
        <v>2045</v>
      </c>
      <c r="B4558" s="106">
        <f t="shared" si="139"/>
        <v>261</v>
      </c>
      <c r="C4558" s="107">
        <f ca="1">OFFSET(tab_tipo_Combustivel!$A$1,MATCH(B4558,tab_tipo_Combustivel!$A$2:$A$150,0),MATCH(A4558,tab_tipo_Combustivel!$B$1:$AQ$1,0),1,1)</f>
        <v>829.7</v>
      </c>
    </row>
    <row r="4559" spans="1:3">
      <c r="A4559" s="3">
        <f t="shared" si="138"/>
        <v>2045</v>
      </c>
      <c r="B4559" s="106">
        <f t="shared" si="139"/>
        <v>262</v>
      </c>
      <c r="C4559" s="107">
        <f ca="1">OFFSET(tab_tipo_Combustivel!$A$1,MATCH(B4559,tab_tipo_Combustivel!$A$2:$A$150,0),MATCH(A4559,tab_tipo_Combustivel!$B$1:$AQ$1,0),1,1)</f>
        <v>495.75</v>
      </c>
    </row>
    <row r="4560" spans="1:3">
      <c r="A4560" s="3">
        <f t="shared" si="138"/>
        <v>2045</v>
      </c>
      <c r="B4560" s="106">
        <f t="shared" si="139"/>
        <v>263</v>
      </c>
      <c r="C4560" s="107">
        <f ca="1">OFFSET(tab_tipo_Combustivel!$A$1,MATCH(B4560,tab_tipo_Combustivel!$A$2:$A$150,0),MATCH(A4560,tab_tipo_Combustivel!$B$1:$AQ$1,0),1,1)</f>
        <v>474.77</v>
      </c>
    </row>
    <row r="4561" spans="1:3">
      <c r="A4561" s="3">
        <f t="shared" si="138"/>
        <v>2045</v>
      </c>
      <c r="B4561" s="106">
        <f t="shared" si="139"/>
        <v>264</v>
      </c>
      <c r="C4561" s="107">
        <f ca="1">OFFSET(tab_tipo_Combustivel!$A$1,MATCH(B4561,tab_tipo_Combustivel!$A$2:$A$150,0),MATCH(A4561,tab_tipo_Combustivel!$B$1:$AQ$1,0),1,1)</f>
        <v>842.33</v>
      </c>
    </row>
    <row r="4562" spans="1:3">
      <c r="A4562" s="3">
        <f t="shared" si="138"/>
        <v>2045</v>
      </c>
      <c r="B4562" s="106">
        <f t="shared" si="139"/>
        <v>265</v>
      </c>
      <c r="C4562" s="107">
        <f ca="1">OFFSET(tab_tipo_Combustivel!$A$1,MATCH(B4562,tab_tipo_Combustivel!$A$2:$A$150,0),MATCH(A4562,tab_tipo_Combustivel!$B$1:$AQ$1,0),1,1)</f>
        <v>415.82</v>
      </c>
    </row>
    <row r="4563" spans="1:3">
      <c r="A4563" s="3">
        <f t="shared" si="138"/>
        <v>2045</v>
      </c>
      <c r="B4563" s="106">
        <f t="shared" si="139"/>
        <v>266</v>
      </c>
      <c r="C4563" s="107">
        <f ca="1">OFFSET(tab_tipo_Combustivel!$A$1,MATCH(B4563,tab_tipo_Combustivel!$A$2:$A$150,0),MATCH(A4563,tab_tipo_Combustivel!$B$1:$AQ$1,0),1,1)</f>
        <v>827.17</v>
      </c>
    </row>
    <row r="4564" spans="1:3">
      <c r="A4564" s="3">
        <f t="shared" si="138"/>
        <v>2045</v>
      </c>
      <c r="B4564" s="106">
        <f t="shared" si="139"/>
        <v>301</v>
      </c>
      <c r="C4564" s="107">
        <f ca="1">OFFSET(tab_tipo_Combustivel!$A$1,MATCH(B4564,tab_tipo_Combustivel!$A$2:$A$150,0),MATCH(A4564,tab_tipo_Combustivel!$B$1:$AQ$1,0),1,1)</f>
        <v>99.08</v>
      </c>
    </row>
    <row r="4565" spans="1:3">
      <c r="A4565" s="3">
        <f t="shared" si="138"/>
        <v>2045</v>
      </c>
      <c r="B4565" s="106">
        <f t="shared" si="139"/>
        <v>302</v>
      </c>
      <c r="C4565" s="107">
        <f ca="1">OFFSET(tab_tipo_Combustivel!$A$1,MATCH(B4565,tab_tipo_Combustivel!$A$2:$A$150,0),MATCH(A4565,tab_tipo_Combustivel!$B$1:$AQ$1,0),1,1)</f>
        <v>103.73</v>
      </c>
    </row>
    <row r="4566" spans="1:3">
      <c r="A4566" s="3">
        <f t="shared" si="138"/>
        <v>2045</v>
      </c>
      <c r="B4566" s="106">
        <f t="shared" si="139"/>
        <v>303</v>
      </c>
      <c r="C4566" s="107">
        <f ca="1">OFFSET(tab_tipo_Combustivel!$A$1,MATCH(B4566,tab_tipo_Combustivel!$A$2:$A$150,0),MATCH(A4566,tab_tipo_Combustivel!$B$1:$AQ$1,0),1,1)</f>
        <v>103.73</v>
      </c>
    </row>
    <row r="4567" spans="1:3">
      <c r="A4567" s="3">
        <f t="shared" si="138"/>
        <v>2045</v>
      </c>
      <c r="B4567" s="106">
        <f t="shared" si="139"/>
        <v>304</v>
      </c>
      <c r="C4567" s="107">
        <f ca="1">OFFSET(tab_tipo_Combustivel!$A$1,MATCH(B4567,tab_tipo_Combustivel!$A$2:$A$150,0),MATCH(A4567,tab_tipo_Combustivel!$B$1:$AQ$1,0),1,1)</f>
        <v>139.41999999999999</v>
      </c>
    </row>
    <row r="4568" spans="1:3">
      <c r="A4568" s="3">
        <f t="shared" si="138"/>
        <v>2045</v>
      </c>
      <c r="B4568" s="106">
        <f t="shared" si="139"/>
        <v>305</v>
      </c>
      <c r="C4568" s="107">
        <f ca="1">OFFSET(tab_tipo_Combustivel!$A$1,MATCH(B4568,tab_tipo_Combustivel!$A$2:$A$150,0),MATCH(A4568,tab_tipo_Combustivel!$B$1:$AQ$1,0),1,1)</f>
        <v>89.7</v>
      </c>
    </row>
    <row r="4569" spans="1:3">
      <c r="A4569" s="3">
        <f t="shared" si="138"/>
        <v>2045</v>
      </c>
      <c r="B4569" s="106">
        <f t="shared" si="139"/>
        <v>306</v>
      </c>
      <c r="C4569" s="107">
        <f ca="1">OFFSET(tab_tipo_Combustivel!$A$1,MATCH(B4569,tab_tipo_Combustivel!$A$2:$A$150,0),MATCH(A4569,tab_tipo_Combustivel!$B$1:$AQ$1,0),1,1)</f>
        <v>100.38</v>
      </c>
    </row>
    <row r="4570" spans="1:3">
      <c r="A4570" s="3">
        <f t="shared" si="138"/>
        <v>2045</v>
      </c>
      <c r="B4570" s="106">
        <f t="shared" si="139"/>
        <v>307</v>
      </c>
      <c r="C4570" s="107">
        <f ca="1">OFFSET(tab_tipo_Combustivel!$A$1,MATCH(B4570,tab_tipo_Combustivel!$A$2:$A$150,0),MATCH(A4570,tab_tipo_Combustivel!$B$1:$AQ$1,0),1,1)</f>
        <v>510.12</v>
      </c>
    </row>
    <row r="4571" spans="1:3">
      <c r="A4571" s="3">
        <f t="shared" si="138"/>
        <v>2045</v>
      </c>
      <c r="B4571" s="106">
        <f t="shared" si="139"/>
        <v>308</v>
      </c>
      <c r="C4571" s="107">
        <f ca="1">OFFSET(tab_tipo_Combustivel!$A$1,MATCH(B4571,tab_tipo_Combustivel!$A$2:$A$150,0),MATCH(A4571,tab_tipo_Combustivel!$B$1:$AQ$1,0),1,1)</f>
        <v>72.5</v>
      </c>
    </row>
    <row r="4572" spans="1:3">
      <c r="A4572" s="3">
        <f t="shared" si="138"/>
        <v>2045</v>
      </c>
      <c r="B4572" s="106">
        <f t="shared" si="139"/>
        <v>309</v>
      </c>
      <c r="C4572" s="107">
        <f ca="1">OFFSET(tab_tipo_Combustivel!$A$1,MATCH(B4572,tab_tipo_Combustivel!$A$2:$A$150,0),MATCH(A4572,tab_tipo_Combustivel!$B$1:$AQ$1,0),1,1)</f>
        <v>126.77</v>
      </c>
    </row>
    <row r="4573" spans="1:3">
      <c r="A4573" s="3">
        <f t="shared" si="138"/>
        <v>2045</v>
      </c>
      <c r="B4573" s="106">
        <f t="shared" si="139"/>
        <v>310</v>
      </c>
      <c r="C4573" s="107">
        <f ca="1">OFFSET(tab_tipo_Combustivel!$A$1,MATCH(B4573,tab_tipo_Combustivel!$A$2:$A$150,0),MATCH(A4573,tab_tipo_Combustivel!$B$1:$AQ$1,0),1,1)</f>
        <v>275.99</v>
      </c>
    </row>
    <row r="4574" spans="1:3">
      <c r="A4574" s="3">
        <f t="shared" si="138"/>
        <v>2045</v>
      </c>
      <c r="B4574" s="106">
        <f t="shared" si="139"/>
        <v>311</v>
      </c>
      <c r="C4574" s="107">
        <f ca="1">OFFSET(tab_tipo_Combustivel!$A$1,MATCH(B4574,tab_tipo_Combustivel!$A$2:$A$150,0),MATCH(A4574,tab_tipo_Combustivel!$B$1:$AQ$1,0),1,1)</f>
        <v>70.66</v>
      </c>
    </row>
    <row r="4575" spans="1:3">
      <c r="A4575" s="3">
        <f t="shared" si="138"/>
        <v>2045</v>
      </c>
      <c r="B4575" s="106">
        <f t="shared" si="139"/>
        <v>312</v>
      </c>
      <c r="C4575" s="107">
        <f ca="1">OFFSET(tab_tipo_Combustivel!$A$1,MATCH(B4575,tab_tipo_Combustivel!$A$2:$A$150,0),MATCH(A4575,tab_tipo_Combustivel!$B$1:$AQ$1,0),1,1)</f>
        <v>0</v>
      </c>
    </row>
    <row r="4576" spans="1:3">
      <c r="A4576" s="3">
        <f t="shared" si="138"/>
        <v>2045</v>
      </c>
      <c r="B4576" s="106">
        <f t="shared" si="139"/>
        <v>1301</v>
      </c>
      <c r="C4576" s="107">
        <f ca="1">OFFSET(tab_tipo_Combustivel!$A$1,MATCH(B4576,tab_tipo_Combustivel!$A$2:$A$150,0),MATCH(A4576,tab_tipo_Combustivel!$B$1:$AQ$1,0),1,1)</f>
        <v>242.05</v>
      </c>
    </row>
    <row r="4577" spans="1:3">
      <c r="A4577" s="3">
        <f t="shared" si="138"/>
        <v>2045</v>
      </c>
      <c r="B4577" s="106">
        <f t="shared" si="139"/>
        <v>1302</v>
      </c>
      <c r="C4577" s="107">
        <f ca="1">OFFSET(tab_tipo_Combustivel!$A$1,MATCH(B4577,tab_tipo_Combustivel!$A$2:$A$150,0),MATCH(A4577,tab_tipo_Combustivel!$B$1:$AQ$1,0),1,1)</f>
        <v>193.64</v>
      </c>
    </row>
    <row r="4578" spans="1:3">
      <c r="A4578" s="3">
        <f t="shared" si="138"/>
        <v>2045</v>
      </c>
      <c r="B4578" s="106">
        <f t="shared" si="139"/>
        <v>1303</v>
      </c>
      <c r="C4578" s="107">
        <f ca="1">OFFSET(tab_tipo_Combustivel!$A$1,MATCH(B4578,tab_tipo_Combustivel!$A$2:$A$150,0),MATCH(A4578,tab_tipo_Combustivel!$B$1:$AQ$1,0),1,1)</f>
        <v>25.58</v>
      </c>
    </row>
    <row r="4579" spans="1:3">
      <c r="A4579" s="3">
        <f t="shared" si="138"/>
        <v>2045</v>
      </c>
      <c r="B4579" s="106">
        <f t="shared" si="139"/>
        <v>1304</v>
      </c>
      <c r="C4579" s="107">
        <f ca="1">OFFSET(tab_tipo_Combustivel!$A$1,MATCH(B4579,tab_tipo_Combustivel!$A$2:$A$150,0),MATCH(A4579,tab_tipo_Combustivel!$B$1:$AQ$1,0),1,1)</f>
        <v>0</v>
      </c>
    </row>
    <row r="4580" spans="1:3">
      <c r="A4580" s="3">
        <f t="shared" si="138"/>
        <v>2045</v>
      </c>
      <c r="B4580" s="106">
        <f t="shared" si="139"/>
        <v>1315</v>
      </c>
      <c r="C4580" s="107">
        <f ca="1">OFFSET(tab_tipo_Combustivel!$A$1,MATCH(B4580,tab_tipo_Combustivel!$A$2:$A$150,0),MATCH(A4580,tab_tipo_Combustivel!$B$1:$AQ$1,0),1,1)</f>
        <v>0</v>
      </c>
    </row>
    <row r="4581" spans="1:3">
      <c r="A4581" s="3">
        <f t="shared" si="138"/>
        <v>2045</v>
      </c>
      <c r="B4581" s="106">
        <f t="shared" si="139"/>
        <v>1316</v>
      </c>
      <c r="C4581" s="107">
        <f ca="1">OFFSET(tab_tipo_Combustivel!$A$1,MATCH(B4581,tab_tipo_Combustivel!$A$2:$A$150,0),MATCH(A4581,tab_tipo_Combustivel!$B$1:$AQ$1,0),1,1)</f>
        <v>0</v>
      </c>
    </row>
    <row r="4582" spans="1:3">
      <c r="A4582" s="3">
        <f t="shared" si="138"/>
        <v>2045</v>
      </c>
      <c r="B4582" s="106">
        <f t="shared" si="139"/>
        <v>1318</v>
      </c>
      <c r="C4582" s="107">
        <f ca="1">OFFSET(tab_tipo_Combustivel!$A$1,MATCH(B4582,tab_tipo_Combustivel!$A$2:$A$150,0),MATCH(A4582,tab_tipo_Combustivel!$B$1:$AQ$1,0),1,1)</f>
        <v>150</v>
      </c>
    </row>
    <row r="4583" spans="1:3">
      <c r="A4583" s="3">
        <f t="shared" si="138"/>
        <v>2045</v>
      </c>
      <c r="B4583" s="106">
        <f t="shared" si="139"/>
        <v>1321</v>
      </c>
      <c r="C4583" s="107">
        <f ca="1">OFFSET(tab_tipo_Combustivel!$A$1,MATCH(B4583,tab_tipo_Combustivel!$A$2:$A$150,0),MATCH(A4583,tab_tipo_Combustivel!$B$1:$AQ$1,0),1,1)</f>
        <v>85</v>
      </c>
    </row>
    <row r="4584" spans="1:3">
      <c r="A4584" s="3">
        <f t="shared" si="138"/>
        <v>2045</v>
      </c>
      <c r="B4584" s="106">
        <f t="shared" si="139"/>
        <v>1322</v>
      </c>
      <c r="C4584" s="107">
        <f ca="1">OFFSET(tab_tipo_Combustivel!$A$1,MATCH(B4584,tab_tipo_Combustivel!$A$2:$A$150,0),MATCH(A4584,tab_tipo_Combustivel!$B$1:$AQ$1,0),1,1)</f>
        <v>140</v>
      </c>
    </row>
    <row r="4585" spans="1:3">
      <c r="A4585" s="3">
        <f t="shared" si="138"/>
        <v>2045</v>
      </c>
      <c r="B4585" s="106">
        <f t="shared" si="139"/>
        <v>1323</v>
      </c>
      <c r="C4585" s="107">
        <f ca="1">OFFSET(tab_tipo_Combustivel!$A$1,MATCH(B4585,tab_tipo_Combustivel!$A$2:$A$150,0),MATCH(A4585,tab_tipo_Combustivel!$B$1:$AQ$1,0),1,1)</f>
        <v>63.75</v>
      </c>
    </row>
    <row r="4586" spans="1:3">
      <c r="A4586" s="3">
        <f t="shared" si="138"/>
        <v>2045</v>
      </c>
      <c r="B4586" s="106">
        <f t="shared" si="139"/>
        <v>1325</v>
      </c>
      <c r="C4586" s="107">
        <f ca="1">OFFSET(tab_tipo_Combustivel!$A$1,MATCH(B4586,tab_tipo_Combustivel!$A$2:$A$150,0),MATCH(A4586,tab_tipo_Combustivel!$B$1:$AQ$1,0),1,1)</f>
        <v>0</v>
      </c>
    </row>
    <row r="4587" spans="1:3">
      <c r="A4587" s="3">
        <f t="shared" si="138"/>
        <v>2045</v>
      </c>
      <c r="B4587" s="106">
        <f t="shared" si="139"/>
        <v>1326</v>
      </c>
      <c r="C4587" s="107">
        <f ca="1">OFFSET(tab_tipo_Combustivel!$A$1,MATCH(B4587,tab_tipo_Combustivel!$A$2:$A$150,0),MATCH(A4587,tab_tipo_Combustivel!$B$1:$AQ$1,0),1,1)</f>
        <v>260</v>
      </c>
    </row>
    <row r="4588" spans="1:3">
      <c r="A4588" s="3">
        <f t="shared" si="138"/>
        <v>2045</v>
      </c>
      <c r="B4588" s="106">
        <f t="shared" si="139"/>
        <v>1501</v>
      </c>
      <c r="C4588" s="107">
        <f ca="1">OFFSET(tab_tipo_Combustivel!$A$1,MATCH(B4588,tab_tipo_Combustivel!$A$2:$A$150,0),MATCH(A4588,tab_tipo_Combustivel!$B$1:$AQ$1,0),1,1)</f>
        <v>260</v>
      </c>
    </row>
    <row r="4589" spans="1:3">
      <c r="A4589" s="3">
        <f t="shared" si="138"/>
        <v>2045</v>
      </c>
      <c r="B4589" s="106">
        <f t="shared" si="139"/>
        <v>1502</v>
      </c>
      <c r="C4589" s="107">
        <f ca="1">OFFSET(tab_tipo_Combustivel!$A$1,MATCH(B4589,tab_tipo_Combustivel!$A$2:$A$150,0),MATCH(A4589,tab_tipo_Combustivel!$B$1:$AQ$1,0),1,1)</f>
        <v>60</v>
      </c>
    </row>
    <row r="4590" spans="1:3">
      <c r="A4590" s="3">
        <f t="shared" si="138"/>
        <v>2045</v>
      </c>
      <c r="B4590" s="106">
        <f t="shared" si="139"/>
        <v>1503</v>
      </c>
      <c r="C4590" s="107">
        <f ca="1">OFFSET(tab_tipo_Combustivel!$A$1,MATCH(B4590,tab_tipo_Combustivel!$A$2:$A$150,0),MATCH(A4590,tab_tipo_Combustivel!$B$1:$AQ$1,0),1,1)</f>
        <v>96.82</v>
      </c>
    </row>
    <row r="4591" spans="1:3">
      <c r="A4591" s="3">
        <f t="shared" si="138"/>
        <v>2045</v>
      </c>
      <c r="B4591" s="106">
        <f t="shared" si="139"/>
        <v>1504</v>
      </c>
      <c r="C4591" s="107">
        <f ca="1">OFFSET(tab_tipo_Combustivel!$A$1,MATCH(B4591,tab_tipo_Combustivel!$A$2:$A$150,0),MATCH(A4591,tab_tipo_Combustivel!$B$1:$AQ$1,0),1,1)</f>
        <v>145.22999999999999</v>
      </c>
    </row>
    <row r="4592" spans="1:3">
      <c r="A4592" s="3">
        <f t="shared" si="138"/>
        <v>2046</v>
      </c>
      <c r="B4592" s="106">
        <f t="shared" si="139"/>
        <v>1</v>
      </c>
      <c r="C4592" s="107">
        <f ca="1">OFFSET(tab_tipo_Combustivel!$A$1,MATCH(B4592,tab_tipo_Combustivel!$A$2:$A$150,0),MATCH(A4592,tab_tipo_Combustivel!$B$1:$AQ$1,0),1,1)</f>
        <v>29.13</v>
      </c>
    </row>
    <row r="4593" spans="1:3">
      <c r="A4593" s="3">
        <f t="shared" si="138"/>
        <v>2046</v>
      </c>
      <c r="B4593" s="106">
        <f t="shared" si="139"/>
        <v>2</v>
      </c>
      <c r="C4593" s="107">
        <f ca="1">OFFSET(tab_tipo_Combustivel!$A$1,MATCH(B4593,tab_tipo_Combustivel!$A$2:$A$150,0),MATCH(A4593,tab_tipo_Combustivel!$B$1:$AQ$1,0),1,1)</f>
        <v>842.33</v>
      </c>
    </row>
    <row r="4594" spans="1:3">
      <c r="A4594" s="3">
        <f t="shared" si="138"/>
        <v>2046</v>
      </c>
      <c r="B4594" s="106">
        <f t="shared" si="139"/>
        <v>4</v>
      </c>
      <c r="C4594" s="107">
        <f ca="1">OFFSET(tab_tipo_Combustivel!$A$1,MATCH(B4594,tab_tipo_Combustivel!$A$2:$A$150,0),MATCH(A4594,tab_tipo_Combustivel!$B$1:$AQ$1,0),1,1)</f>
        <v>842.33</v>
      </c>
    </row>
    <row r="4595" spans="1:3">
      <c r="A4595" s="3">
        <f t="shared" si="138"/>
        <v>2046</v>
      </c>
      <c r="B4595" s="106">
        <f t="shared" si="139"/>
        <v>9</v>
      </c>
      <c r="C4595" s="107">
        <f ca="1">OFFSET(tab_tipo_Combustivel!$A$1,MATCH(B4595,tab_tipo_Combustivel!$A$2:$A$150,0),MATCH(A4595,tab_tipo_Combustivel!$B$1:$AQ$1,0),1,1)</f>
        <v>842.33</v>
      </c>
    </row>
    <row r="4596" spans="1:3">
      <c r="A4596" s="3">
        <f t="shared" si="138"/>
        <v>2046</v>
      </c>
      <c r="B4596" s="106">
        <f t="shared" si="139"/>
        <v>12</v>
      </c>
      <c r="C4596" s="107">
        <f ca="1">OFFSET(tab_tipo_Combustivel!$A$1,MATCH(B4596,tab_tipo_Combustivel!$A$2:$A$150,0),MATCH(A4596,tab_tipo_Combustivel!$B$1:$AQ$1,0),1,1)</f>
        <v>728.87</v>
      </c>
    </row>
    <row r="4597" spans="1:3">
      <c r="A4597" s="3">
        <f t="shared" si="138"/>
        <v>2046</v>
      </c>
      <c r="B4597" s="106">
        <f t="shared" si="139"/>
        <v>13</v>
      </c>
      <c r="C4597" s="107">
        <f ca="1">OFFSET(tab_tipo_Combustivel!$A$1,MATCH(B4597,tab_tipo_Combustivel!$A$2:$A$150,0),MATCH(A4597,tab_tipo_Combustivel!$B$1:$AQ$1,0),1,1)</f>
        <v>20.12</v>
      </c>
    </row>
    <row r="4598" spans="1:3">
      <c r="A4598" s="3">
        <f t="shared" si="138"/>
        <v>2046</v>
      </c>
      <c r="B4598" s="106">
        <f t="shared" si="139"/>
        <v>15</v>
      </c>
      <c r="C4598" s="107">
        <f ca="1">OFFSET(tab_tipo_Combustivel!$A$1,MATCH(B4598,tab_tipo_Combustivel!$A$2:$A$150,0),MATCH(A4598,tab_tipo_Combustivel!$B$1:$AQ$1,0),1,1)</f>
        <v>257.29000000000002</v>
      </c>
    </row>
    <row r="4599" spans="1:3">
      <c r="A4599" s="3">
        <f t="shared" si="138"/>
        <v>2046</v>
      </c>
      <c r="B4599" s="106">
        <f t="shared" si="139"/>
        <v>21</v>
      </c>
      <c r="C4599" s="107">
        <f ca="1">OFFSET(tab_tipo_Combustivel!$A$1,MATCH(B4599,tab_tipo_Combustivel!$A$2:$A$150,0),MATCH(A4599,tab_tipo_Combustivel!$B$1:$AQ$1,0),1,1)</f>
        <v>157.83000000000001</v>
      </c>
    </row>
    <row r="4600" spans="1:3">
      <c r="A4600" s="3">
        <f t="shared" si="138"/>
        <v>2046</v>
      </c>
      <c r="B4600" s="106">
        <f t="shared" si="139"/>
        <v>22</v>
      </c>
      <c r="C4600" s="107">
        <f ca="1">OFFSET(tab_tipo_Combustivel!$A$1,MATCH(B4600,tab_tipo_Combustivel!$A$2:$A$150,0),MATCH(A4600,tab_tipo_Combustivel!$B$1:$AQ$1,0),1,1)</f>
        <v>115.9</v>
      </c>
    </row>
    <row r="4601" spans="1:3">
      <c r="A4601" s="3">
        <f t="shared" si="138"/>
        <v>2046</v>
      </c>
      <c r="B4601" s="106">
        <f t="shared" si="139"/>
        <v>23</v>
      </c>
      <c r="C4601" s="107">
        <f ca="1">OFFSET(tab_tipo_Combustivel!$A$1,MATCH(B4601,tab_tipo_Combustivel!$A$2:$A$150,0),MATCH(A4601,tab_tipo_Combustivel!$B$1:$AQ$1,0),1,1)</f>
        <v>115.9</v>
      </c>
    </row>
    <row r="4602" spans="1:3">
      <c r="A4602" s="3">
        <f t="shared" si="138"/>
        <v>2046</v>
      </c>
      <c r="B4602" s="106">
        <f t="shared" si="139"/>
        <v>24</v>
      </c>
      <c r="C4602" s="107">
        <f ca="1">OFFSET(tab_tipo_Combustivel!$A$1,MATCH(B4602,tab_tipo_Combustivel!$A$2:$A$150,0),MATCH(A4602,tab_tipo_Combustivel!$B$1:$AQ$1,0),1,1)</f>
        <v>155.85</v>
      </c>
    </row>
    <row r="4603" spans="1:3">
      <c r="A4603" s="3">
        <f t="shared" si="138"/>
        <v>2046</v>
      </c>
      <c r="B4603" s="106">
        <f t="shared" si="139"/>
        <v>25</v>
      </c>
      <c r="C4603" s="107">
        <f ca="1">OFFSET(tab_tipo_Combustivel!$A$1,MATCH(B4603,tab_tipo_Combustivel!$A$2:$A$150,0),MATCH(A4603,tab_tipo_Combustivel!$B$1:$AQ$1,0),1,1)</f>
        <v>186.33</v>
      </c>
    </row>
    <row r="4604" spans="1:3">
      <c r="A4604" s="3">
        <f t="shared" si="138"/>
        <v>2046</v>
      </c>
      <c r="B4604" s="106">
        <f t="shared" si="139"/>
        <v>26</v>
      </c>
      <c r="C4604" s="107">
        <f ca="1">OFFSET(tab_tipo_Combustivel!$A$1,MATCH(B4604,tab_tipo_Combustivel!$A$2:$A$150,0),MATCH(A4604,tab_tipo_Combustivel!$B$1:$AQ$1,0),1,1)</f>
        <v>258.42</v>
      </c>
    </row>
    <row r="4605" spans="1:3">
      <c r="A4605" s="3">
        <f t="shared" si="138"/>
        <v>2046</v>
      </c>
      <c r="B4605" s="106">
        <f t="shared" si="139"/>
        <v>27</v>
      </c>
      <c r="C4605" s="107">
        <f ca="1">OFFSET(tab_tipo_Combustivel!$A$1,MATCH(B4605,tab_tipo_Combustivel!$A$2:$A$150,0),MATCH(A4605,tab_tipo_Combustivel!$B$1:$AQ$1,0),1,1)</f>
        <v>195.49</v>
      </c>
    </row>
    <row r="4606" spans="1:3">
      <c r="A4606" s="3">
        <f t="shared" si="138"/>
        <v>2046</v>
      </c>
      <c r="B4606" s="106">
        <f t="shared" si="139"/>
        <v>28</v>
      </c>
      <c r="C4606" s="107">
        <f ca="1">OFFSET(tab_tipo_Combustivel!$A$1,MATCH(B4606,tab_tipo_Combustivel!$A$2:$A$150,0),MATCH(A4606,tab_tipo_Combustivel!$B$1:$AQ$1,0),1,1)</f>
        <v>459.92</v>
      </c>
    </row>
    <row r="4607" spans="1:3">
      <c r="A4607" s="3">
        <f t="shared" si="138"/>
        <v>2046</v>
      </c>
      <c r="B4607" s="106">
        <f t="shared" si="139"/>
        <v>32</v>
      </c>
      <c r="C4607" s="107">
        <f ca="1">OFFSET(tab_tipo_Combustivel!$A$1,MATCH(B4607,tab_tipo_Combustivel!$A$2:$A$150,0),MATCH(A4607,tab_tipo_Combustivel!$B$1:$AQ$1,0),1,1)</f>
        <v>248.31</v>
      </c>
    </row>
    <row r="4608" spans="1:3">
      <c r="A4608" s="3">
        <f t="shared" si="138"/>
        <v>2046</v>
      </c>
      <c r="B4608" s="106">
        <f t="shared" si="139"/>
        <v>34</v>
      </c>
      <c r="C4608" s="107">
        <f ca="1">OFFSET(tab_tipo_Combustivel!$A$1,MATCH(B4608,tab_tipo_Combustivel!$A$2:$A$150,0),MATCH(A4608,tab_tipo_Combustivel!$B$1:$AQ$1,0),1,1)</f>
        <v>423.38</v>
      </c>
    </row>
    <row r="4609" spans="1:3">
      <c r="A4609" s="3">
        <f t="shared" si="138"/>
        <v>2046</v>
      </c>
      <c r="B4609" s="106">
        <f t="shared" si="139"/>
        <v>35</v>
      </c>
      <c r="C4609" s="107">
        <f ca="1">OFFSET(tab_tipo_Combustivel!$A$1,MATCH(B4609,tab_tipo_Combustivel!$A$2:$A$150,0),MATCH(A4609,tab_tipo_Combustivel!$B$1:$AQ$1,0),1,1)</f>
        <v>692.45</v>
      </c>
    </row>
    <row r="4610" spans="1:3">
      <c r="A4610" s="3">
        <f t="shared" si="138"/>
        <v>2046</v>
      </c>
      <c r="B4610" s="106">
        <f t="shared" si="139"/>
        <v>36</v>
      </c>
      <c r="C4610" s="107">
        <f ca="1">OFFSET(tab_tipo_Combustivel!$A$1,MATCH(B4610,tab_tipo_Combustivel!$A$2:$A$150,0),MATCH(A4610,tab_tipo_Combustivel!$B$1:$AQ$1,0),1,1)</f>
        <v>157.83000000000001</v>
      </c>
    </row>
    <row r="4611" spans="1:3">
      <c r="A4611" s="3">
        <f t="shared" si="138"/>
        <v>2046</v>
      </c>
      <c r="B4611" s="106">
        <f t="shared" si="139"/>
        <v>42</v>
      </c>
      <c r="C4611" s="107">
        <f ca="1">OFFSET(tab_tipo_Combustivel!$A$1,MATCH(B4611,tab_tipo_Combustivel!$A$2:$A$150,0),MATCH(A4611,tab_tipo_Combustivel!$B$1:$AQ$1,0),1,1)</f>
        <v>199.22</v>
      </c>
    </row>
    <row r="4612" spans="1:3">
      <c r="A4612" s="3">
        <f t="shared" si="138"/>
        <v>2046</v>
      </c>
      <c r="B4612" s="106">
        <f t="shared" si="139"/>
        <v>43</v>
      </c>
      <c r="C4612" s="107">
        <f ca="1">OFFSET(tab_tipo_Combustivel!$A$1,MATCH(B4612,tab_tipo_Combustivel!$A$2:$A$150,0),MATCH(A4612,tab_tipo_Combustivel!$B$1:$AQ$1,0),1,1)</f>
        <v>431.62</v>
      </c>
    </row>
    <row r="4613" spans="1:3">
      <c r="A4613" s="3">
        <f t="shared" si="138"/>
        <v>2046</v>
      </c>
      <c r="B4613" s="106">
        <f t="shared" si="139"/>
        <v>44</v>
      </c>
      <c r="C4613" s="107">
        <f ca="1">OFFSET(tab_tipo_Combustivel!$A$1,MATCH(B4613,tab_tipo_Combustivel!$A$2:$A$150,0),MATCH(A4613,tab_tipo_Combustivel!$B$1:$AQ$1,0),1,1)</f>
        <v>25.58</v>
      </c>
    </row>
    <row r="4614" spans="1:3">
      <c r="A4614" s="3">
        <f t="shared" si="138"/>
        <v>2046</v>
      </c>
      <c r="B4614" s="106">
        <f t="shared" si="139"/>
        <v>46</v>
      </c>
      <c r="C4614" s="107">
        <f ca="1">OFFSET(tab_tipo_Combustivel!$A$1,MATCH(B4614,tab_tipo_Combustivel!$A$2:$A$150,0),MATCH(A4614,tab_tipo_Combustivel!$B$1:$AQ$1,0),1,1)</f>
        <v>228.91</v>
      </c>
    </row>
    <row r="4615" spans="1:3">
      <c r="A4615" s="3">
        <f t="shared" si="138"/>
        <v>2046</v>
      </c>
      <c r="B4615" s="106">
        <f t="shared" si="139"/>
        <v>47</v>
      </c>
      <c r="C4615" s="107">
        <f ca="1">OFFSET(tab_tipo_Combustivel!$A$1,MATCH(B4615,tab_tipo_Combustivel!$A$2:$A$150,0),MATCH(A4615,tab_tipo_Combustivel!$B$1:$AQ$1,0),1,1)</f>
        <v>235.6</v>
      </c>
    </row>
    <row r="4616" spans="1:3">
      <c r="A4616" s="3">
        <f t="shared" si="138"/>
        <v>2046</v>
      </c>
      <c r="B4616" s="106">
        <f t="shared" si="139"/>
        <v>48</v>
      </c>
      <c r="C4616" s="107">
        <f ca="1">OFFSET(tab_tipo_Combustivel!$A$1,MATCH(B4616,tab_tipo_Combustivel!$A$2:$A$150,0),MATCH(A4616,tab_tipo_Combustivel!$B$1:$AQ$1,0),1,1)</f>
        <v>1012.12</v>
      </c>
    </row>
    <row r="4617" spans="1:3">
      <c r="A4617" s="3">
        <f t="shared" si="138"/>
        <v>2046</v>
      </c>
      <c r="B4617" s="106">
        <f t="shared" si="139"/>
        <v>50</v>
      </c>
      <c r="C4617" s="107">
        <f ca="1">OFFSET(tab_tipo_Combustivel!$A$1,MATCH(B4617,tab_tipo_Combustivel!$A$2:$A$150,0),MATCH(A4617,tab_tipo_Combustivel!$B$1:$AQ$1,0),1,1)</f>
        <v>669.87</v>
      </c>
    </row>
    <row r="4618" spans="1:3">
      <c r="A4618" s="3">
        <f t="shared" ref="A4618:A4681" si="140">A4483+1</f>
        <v>2046</v>
      </c>
      <c r="B4618" s="106">
        <f t="shared" ref="B4618:B4681" si="141">B4483</f>
        <v>54</v>
      </c>
      <c r="C4618" s="107">
        <f ca="1">OFFSET(tab_tipo_Combustivel!$A$1,MATCH(B4618,tab_tipo_Combustivel!$A$2:$A$150,0),MATCH(A4618,tab_tipo_Combustivel!$B$1:$AQ$1,0),1,1)</f>
        <v>304.55</v>
      </c>
    </row>
    <row r="4619" spans="1:3">
      <c r="A4619" s="3">
        <f t="shared" si="140"/>
        <v>2046</v>
      </c>
      <c r="B4619" s="106">
        <f t="shared" si="141"/>
        <v>58</v>
      </c>
      <c r="C4619" s="107">
        <f ca="1">OFFSET(tab_tipo_Combustivel!$A$1,MATCH(B4619,tab_tipo_Combustivel!$A$2:$A$150,0),MATCH(A4619,tab_tipo_Combustivel!$B$1:$AQ$1,0),1,1)</f>
        <v>300.05</v>
      </c>
    </row>
    <row r="4620" spans="1:3">
      <c r="A4620" s="3">
        <f t="shared" si="140"/>
        <v>2046</v>
      </c>
      <c r="B4620" s="106">
        <f t="shared" si="141"/>
        <v>62</v>
      </c>
      <c r="C4620" s="107">
        <f ca="1">OFFSET(tab_tipo_Combustivel!$A$1,MATCH(B4620,tab_tipo_Combustivel!$A$2:$A$150,0),MATCH(A4620,tab_tipo_Combustivel!$B$1:$AQ$1,0),1,1)</f>
        <v>309.24</v>
      </c>
    </row>
    <row r="4621" spans="1:3">
      <c r="A4621" s="3">
        <f t="shared" si="140"/>
        <v>2046</v>
      </c>
      <c r="B4621" s="106">
        <f t="shared" si="141"/>
        <v>63</v>
      </c>
      <c r="C4621" s="107">
        <f ca="1">OFFSET(tab_tipo_Combustivel!$A$1,MATCH(B4621,tab_tipo_Combustivel!$A$2:$A$150,0),MATCH(A4621,tab_tipo_Combustivel!$B$1:$AQ$1,0),1,1)</f>
        <v>365.77</v>
      </c>
    </row>
    <row r="4622" spans="1:3">
      <c r="A4622" s="3">
        <f t="shared" si="140"/>
        <v>2046</v>
      </c>
      <c r="B4622" s="106">
        <f t="shared" si="141"/>
        <v>64</v>
      </c>
      <c r="C4622" s="107">
        <f ca="1">OFFSET(tab_tipo_Combustivel!$A$1,MATCH(B4622,tab_tipo_Combustivel!$A$2:$A$150,0),MATCH(A4622,tab_tipo_Combustivel!$B$1:$AQ$1,0),1,1)</f>
        <v>853.54</v>
      </c>
    </row>
    <row r="4623" spans="1:3">
      <c r="A4623" s="3">
        <f t="shared" si="140"/>
        <v>2046</v>
      </c>
      <c r="B4623" s="106">
        <f t="shared" si="141"/>
        <v>68</v>
      </c>
      <c r="C4623" s="107">
        <f ca="1">OFFSET(tab_tipo_Combustivel!$A$1,MATCH(B4623,tab_tipo_Combustivel!$A$2:$A$150,0),MATCH(A4623,tab_tipo_Combustivel!$B$1:$AQ$1,0),1,1)</f>
        <v>195.63</v>
      </c>
    </row>
    <row r="4624" spans="1:3">
      <c r="A4624" s="3">
        <f t="shared" si="140"/>
        <v>2046</v>
      </c>
      <c r="B4624" s="106">
        <f t="shared" si="141"/>
        <v>74</v>
      </c>
      <c r="C4624" s="107">
        <f ca="1">OFFSET(tab_tipo_Combustivel!$A$1,MATCH(B4624,tab_tipo_Combustivel!$A$2:$A$150,0),MATCH(A4624,tab_tipo_Combustivel!$B$1:$AQ$1,0),1,1)</f>
        <v>364.46</v>
      </c>
    </row>
    <row r="4625" spans="1:3">
      <c r="A4625" s="3">
        <f t="shared" si="140"/>
        <v>2046</v>
      </c>
      <c r="B4625" s="106">
        <f t="shared" si="141"/>
        <v>83</v>
      </c>
      <c r="C4625" s="107">
        <f ca="1">OFFSET(tab_tipo_Combustivel!$A$1,MATCH(B4625,tab_tipo_Combustivel!$A$2:$A$150,0),MATCH(A4625,tab_tipo_Combustivel!$B$1:$AQ$1,0),1,1)</f>
        <v>448.1</v>
      </c>
    </row>
    <row r="4626" spans="1:3">
      <c r="A4626" s="3">
        <f t="shared" si="140"/>
        <v>2046</v>
      </c>
      <c r="B4626" s="106">
        <f t="shared" si="141"/>
        <v>86</v>
      </c>
      <c r="C4626" s="107">
        <f ca="1">OFFSET(tab_tipo_Combustivel!$A$1,MATCH(B4626,tab_tipo_Combustivel!$A$2:$A$150,0),MATCH(A4626,tab_tipo_Combustivel!$B$1:$AQ$1,0),1,1)</f>
        <v>170.34</v>
      </c>
    </row>
    <row r="4627" spans="1:3">
      <c r="A4627" s="3">
        <f t="shared" si="140"/>
        <v>2046</v>
      </c>
      <c r="B4627" s="106">
        <f t="shared" si="141"/>
        <v>90</v>
      </c>
      <c r="C4627" s="107">
        <f ca="1">OFFSET(tab_tipo_Combustivel!$A$1,MATCH(B4627,tab_tipo_Combustivel!$A$2:$A$150,0),MATCH(A4627,tab_tipo_Combustivel!$B$1:$AQ$1,0),1,1)</f>
        <v>533.1</v>
      </c>
    </row>
    <row r="4628" spans="1:3">
      <c r="A4628" s="3">
        <f t="shared" si="140"/>
        <v>2046</v>
      </c>
      <c r="B4628" s="106">
        <f t="shared" si="141"/>
        <v>93</v>
      </c>
      <c r="C4628" s="107">
        <f ca="1">OFFSET(tab_tipo_Combustivel!$A$1,MATCH(B4628,tab_tipo_Combustivel!$A$2:$A$150,0),MATCH(A4628,tab_tipo_Combustivel!$B$1:$AQ$1,0),1,1)</f>
        <v>842.33</v>
      </c>
    </row>
    <row r="4629" spans="1:3">
      <c r="A4629" s="3">
        <f t="shared" si="140"/>
        <v>2046</v>
      </c>
      <c r="B4629" s="106">
        <f t="shared" si="141"/>
        <v>94</v>
      </c>
      <c r="C4629" s="107">
        <f ca="1">OFFSET(tab_tipo_Combustivel!$A$1,MATCH(B4629,tab_tipo_Combustivel!$A$2:$A$150,0),MATCH(A4629,tab_tipo_Combustivel!$B$1:$AQ$1,0),1,1)</f>
        <v>842.33</v>
      </c>
    </row>
    <row r="4630" spans="1:3">
      <c r="A4630" s="3">
        <f t="shared" si="140"/>
        <v>2046</v>
      </c>
      <c r="B4630" s="106">
        <f t="shared" si="141"/>
        <v>96</v>
      </c>
      <c r="C4630" s="107">
        <f ca="1">OFFSET(tab_tipo_Combustivel!$A$1,MATCH(B4630,tab_tipo_Combustivel!$A$2:$A$150,0),MATCH(A4630,tab_tipo_Combustivel!$B$1:$AQ$1,0),1,1)</f>
        <v>99.92</v>
      </c>
    </row>
    <row r="4631" spans="1:3">
      <c r="A4631" s="3">
        <f t="shared" si="140"/>
        <v>2046</v>
      </c>
      <c r="B4631" s="106">
        <f t="shared" si="141"/>
        <v>98</v>
      </c>
      <c r="C4631" s="107">
        <f ca="1">OFFSET(tab_tipo_Combustivel!$A$1,MATCH(B4631,tab_tipo_Combustivel!$A$2:$A$150,0),MATCH(A4631,tab_tipo_Combustivel!$B$1:$AQ$1,0),1,1)</f>
        <v>489.8</v>
      </c>
    </row>
    <row r="4632" spans="1:3">
      <c r="A4632" s="3">
        <f t="shared" si="140"/>
        <v>2046</v>
      </c>
      <c r="B4632" s="106">
        <f t="shared" si="141"/>
        <v>107</v>
      </c>
      <c r="C4632" s="107">
        <f ca="1">OFFSET(tab_tipo_Combustivel!$A$1,MATCH(B4632,tab_tipo_Combustivel!$A$2:$A$150,0),MATCH(A4632,tab_tipo_Combustivel!$B$1:$AQ$1,0),1,1)</f>
        <v>57.63</v>
      </c>
    </row>
    <row r="4633" spans="1:3">
      <c r="A4633" s="3">
        <f t="shared" si="140"/>
        <v>2046</v>
      </c>
      <c r="B4633" s="106">
        <f t="shared" si="141"/>
        <v>110</v>
      </c>
      <c r="C4633" s="107">
        <f ca="1">OFFSET(tab_tipo_Combustivel!$A$1,MATCH(B4633,tab_tipo_Combustivel!$A$2:$A$150,0),MATCH(A4633,tab_tipo_Combustivel!$B$1:$AQ$1,0),1,1)</f>
        <v>568.29</v>
      </c>
    </row>
    <row r="4634" spans="1:3">
      <c r="A4634" s="3">
        <f t="shared" si="140"/>
        <v>2046</v>
      </c>
      <c r="B4634" s="106">
        <f t="shared" si="141"/>
        <v>116</v>
      </c>
      <c r="C4634" s="107">
        <f ca="1">OFFSET(tab_tipo_Combustivel!$A$1,MATCH(B4634,tab_tipo_Combustivel!$A$2:$A$150,0),MATCH(A4634,tab_tipo_Combustivel!$B$1:$AQ$1,0),1,1)</f>
        <v>117.46</v>
      </c>
    </row>
    <row r="4635" spans="1:3">
      <c r="A4635" s="3">
        <f t="shared" si="140"/>
        <v>2046</v>
      </c>
      <c r="B4635" s="106">
        <f t="shared" si="141"/>
        <v>140</v>
      </c>
      <c r="C4635" s="107">
        <f ca="1">OFFSET(tab_tipo_Combustivel!$A$1,MATCH(B4635,tab_tipo_Combustivel!$A$2:$A$150,0),MATCH(A4635,tab_tipo_Combustivel!$B$1:$AQ$1,0),1,1)</f>
        <v>88.11</v>
      </c>
    </row>
    <row r="4636" spans="1:3">
      <c r="A4636" s="3">
        <f t="shared" si="140"/>
        <v>2046</v>
      </c>
      <c r="B4636" s="106">
        <f t="shared" si="141"/>
        <v>141</v>
      </c>
      <c r="C4636" s="107">
        <f ca="1">OFFSET(tab_tipo_Combustivel!$A$1,MATCH(B4636,tab_tipo_Combustivel!$A$2:$A$150,0),MATCH(A4636,tab_tipo_Combustivel!$B$1:$AQ$1,0),1,1)</f>
        <v>1280.52</v>
      </c>
    </row>
    <row r="4637" spans="1:3">
      <c r="A4637" s="3">
        <f t="shared" si="140"/>
        <v>2046</v>
      </c>
      <c r="B4637" s="106">
        <f t="shared" si="141"/>
        <v>147</v>
      </c>
      <c r="C4637" s="107">
        <f ca="1">OFFSET(tab_tipo_Combustivel!$A$1,MATCH(B4637,tab_tipo_Combustivel!$A$2:$A$150,0),MATCH(A4637,tab_tipo_Combustivel!$B$1:$AQ$1,0),1,1)</f>
        <v>134.18</v>
      </c>
    </row>
    <row r="4638" spans="1:3">
      <c r="A4638" s="3">
        <f t="shared" si="140"/>
        <v>2046</v>
      </c>
      <c r="B4638" s="106">
        <f t="shared" si="141"/>
        <v>156</v>
      </c>
      <c r="C4638" s="107">
        <f ca="1">OFFSET(tab_tipo_Combustivel!$A$1,MATCH(B4638,tab_tipo_Combustivel!$A$2:$A$150,0),MATCH(A4638,tab_tipo_Combustivel!$B$1:$AQ$1,0),1,1)</f>
        <v>77.12</v>
      </c>
    </row>
    <row r="4639" spans="1:3">
      <c r="A4639" s="3">
        <f t="shared" si="140"/>
        <v>2046</v>
      </c>
      <c r="B4639" s="106">
        <f t="shared" si="141"/>
        <v>163</v>
      </c>
      <c r="C4639" s="107">
        <f ca="1">OFFSET(tab_tipo_Combustivel!$A$1,MATCH(B4639,tab_tipo_Combustivel!$A$2:$A$150,0),MATCH(A4639,tab_tipo_Combustivel!$B$1:$AQ$1,0),1,1)</f>
        <v>156.69999999999999</v>
      </c>
    </row>
    <row r="4640" spans="1:3">
      <c r="A4640" s="3">
        <f t="shared" si="140"/>
        <v>2046</v>
      </c>
      <c r="B4640" s="106">
        <f t="shared" si="141"/>
        <v>167</v>
      </c>
      <c r="C4640" s="107">
        <f ca="1">OFFSET(tab_tipo_Combustivel!$A$1,MATCH(B4640,tab_tipo_Combustivel!$A$2:$A$150,0),MATCH(A4640,tab_tipo_Combustivel!$B$1:$AQ$1,0),1,1)</f>
        <v>144.66999999999999</v>
      </c>
    </row>
    <row r="4641" spans="1:3">
      <c r="A4641" s="3">
        <f t="shared" si="140"/>
        <v>2046</v>
      </c>
      <c r="B4641" s="106">
        <f t="shared" si="141"/>
        <v>171</v>
      </c>
      <c r="C4641" s="107">
        <f ca="1">OFFSET(tab_tipo_Combustivel!$A$1,MATCH(B4641,tab_tipo_Combustivel!$A$2:$A$150,0),MATCH(A4641,tab_tipo_Combustivel!$B$1:$AQ$1,0),1,1)</f>
        <v>88</v>
      </c>
    </row>
    <row r="4642" spans="1:3">
      <c r="A4642" s="3">
        <f t="shared" si="140"/>
        <v>2046</v>
      </c>
      <c r="B4642" s="106">
        <f t="shared" si="141"/>
        <v>172</v>
      </c>
      <c r="C4642" s="107">
        <f ca="1">OFFSET(tab_tipo_Combustivel!$A$1,MATCH(B4642,tab_tipo_Combustivel!$A$2:$A$150,0),MATCH(A4642,tab_tipo_Combustivel!$B$1:$AQ$1,0),1,1)</f>
        <v>99.97</v>
      </c>
    </row>
    <row r="4643" spans="1:3">
      <c r="A4643" s="3">
        <f t="shared" si="140"/>
        <v>2046</v>
      </c>
      <c r="B4643" s="106">
        <f t="shared" si="141"/>
        <v>173</v>
      </c>
      <c r="C4643" s="107">
        <f ca="1">OFFSET(tab_tipo_Combustivel!$A$1,MATCH(B4643,tab_tipo_Combustivel!$A$2:$A$150,0),MATCH(A4643,tab_tipo_Combustivel!$B$1:$AQ$1,0),1,1)</f>
        <v>192.03</v>
      </c>
    </row>
    <row r="4644" spans="1:3">
      <c r="A4644" s="3">
        <f t="shared" si="140"/>
        <v>2046</v>
      </c>
      <c r="B4644" s="106">
        <f t="shared" si="141"/>
        <v>174</v>
      </c>
      <c r="C4644" s="107">
        <f ca="1">OFFSET(tab_tipo_Combustivel!$A$1,MATCH(B4644,tab_tipo_Combustivel!$A$2:$A$150,0),MATCH(A4644,tab_tipo_Combustivel!$B$1:$AQ$1,0),1,1)</f>
        <v>331.22</v>
      </c>
    </row>
    <row r="4645" spans="1:3">
      <c r="A4645" s="3">
        <f t="shared" si="140"/>
        <v>2046</v>
      </c>
      <c r="B4645" s="106">
        <f t="shared" si="141"/>
        <v>176</v>
      </c>
      <c r="C4645" s="107">
        <f ca="1">OFFSET(tab_tipo_Combustivel!$A$1,MATCH(B4645,tab_tipo_Combustivel!$A$2:$A$150,0),MATCH(A4645,tab_tipo_Combustivel!$B$1:$AQ$1,0),1,1)</f>
        <v>149.47999999999999</v>
      </c>
    </row>
    <row r="4646" spans="1:3">
      <c r="A4646" s="3">
        <f t="shared" si="140"/>
        <v>2046</v>
      </c>
      <c r="B4646" s="106">
        <f t="shared" si="141"/>
        <v>183</v>
      </c>
      <c r="C4646" s="107">
        <f ca="1">OFFSET(tab_tipo_Combustivel!$A$1,MATCH(B4646,tab_tipo_Combustivel!$A$2:$A$150,0),MATCH(A4646,tab_tipo_Combustivel!$B$1:$AQ$1,0),1,1)</f>
        <v>171.61</v>
      </c>
    </row>
    <row r="4647" spans="1:3">
      <c r="A4647" s="3">
        <f t="shared" si="140"/>
        <v>2046</v>
      </c>
      <c r="B4647" s="106">
        <f t="shared" si="141"/>
        <v>194</v>
      </c>
      <c r="C4647" s="107">
        <f ca="1">OFFSET(tab_tipo_Combustivel!$A$1,MATCH(B4647,tab_tipo_Combustivel!$A$2:$A$150,0),MATCH(A4647,tab_tipo_Combustivel!$B$1:$AQ$1,0),1,1)</f>
        <v>1098.58</v>
      </c>
    </row>
    <row r="4648" spans="1:3">
      <c r="A4648" s="3">
        <f t="shared" si="140"/>
        <v>2046</v>
      </c>
      <c r="B4648" s="106">
        <f t="shared" si="141"/>
        <v>203</v>
      </c>
      <c r="C4648" s="107">
        <f ca="1">OFFSET(tab_tipo_Combustivel!$A$1,MATCH(B4648,tab_tipo_Combustivel!$A$2:$A$150,0),MATCH(A4648,tab_tipo_Combustivel!$B$1:$AQ$1,0),1,1)</f>
        <v>0</v>
      </c>
    </row>
    <row r="4649" spans="1:3">
      <c r="A4649" s="3">
        <f t="shared" si="140"/>
        <v>2046</v>
      </c>
      <c r="B4649" s="106">
        <f t="shared" si="141"/>
        <v>204</v>
      </c>
      <c r="C4649" s="107">
        <f ca="1">OFFSET(tab_tipo_Combustivel!$A$1,MATCH(B4649,tab_tipo_Combustivel!$A$2:$A$150,0),MATCH(A4649,tab_tipo_Combustivel!$B$1:$AQ$1,0),1,1)</f>
        <v>0</v>
      </c>
    </row>
    <row r="4650" spans="1:3">
      <c r="A4650" s="3">
        <f t="shared" si="140"/>
        <v>2046</v>
      </c>
      <c r="B4650" s="106">
        <f t="shared" si="141"/>
        <v>205</v>
      </c>
      <c r="C4650" s="107">
        <f ca="1">OFFSET(tab_tipo_Combustivel!$A$1,MATCH(B4650,tab_tipo_Combustivel!$A$2:$A$150,0),MATCH(A4650,tab_tipo_Combustivel!$B$1:$AQ$1,0),1,1)</f>
        <v>0</v>
      </c>
    </row>
    <row r="4651" spans="1:3">
      <c r="A4651" s="3">
        <f t="shared" si="140"/>
        <v>2046</v>
      </c>
      <c r="B4651" s="106">
        <f t="shared" si="141"/>
        <v>207</v>
      </c>
      <c r="C4651" s="107">
        <f ca="1">OFFSET(tab_tipo_Combustivel!$A$1,MATCH(B4651,tab_tipo_Combustivel!$A$2:$A$150,0),MATCH(A4651,tab_tipo_Combustivel!$B$1:$AQ$1,0),1,1)</f>
        <v>0</v>
      </c>
    </row>
    <row r="4652" spans="1:3">
      <c r="A4652" s="3">
        <f t="shared" si="140"/>
        <v>2046</v>
      </c>
      <c r="B4652" s="106">
        <f t="shared" si="141"/>
        <v>208</v>
      </c>
      <c r="C4652" s="107">
        <f ca="1">OFFSET(tab_tipo_Combustivel!$A$1,MATCH(B4652,tab_tipo_Combustivel!$A$2:$A$150,0),MATCH(A4652,tab_tipo_Combustivel!$B$1:$AQ$1,0),1,1)</f>
        <v>783.64</v>
      </c>
    </row>
    <row r="4653" spans="1:3">
      <c r="A4653" s="3">
        <f t="shared" si="140"/>
        <v>2046</v>
      </c>
      <c r="B4653" s="106">
        <f t="shared" si="141"/>
        <v>209</v>
      </c>
      <c r="C4653" s="107">
        <f ca="1">OFFSET(tab_tipo_Combustivel!$A$1,MATCH(B4653,tab_tipo_Combustivel!$A$2:$A$150,0),MATCH(A4653,tab_tipo_Combustivel!$B$1:$AQ$1,0),1,1)</f>
        <v>0</v>
      </c>
    </row>
    <row r="4654" spans="1:3">
      <c r="A4654" s="3">
        <f t="shared" si="140"/>
        <v>2046</v>
      </c>
      <c r="B4654" s="106">
        <f t="shared" si="141"/>
        <v>211</v>
      </c>
      <c r="C4654" s="107">
        <f ca="1">OFFSET(tab_tipo_Combustivel!$A$1,MATCH(B4654,tab_tipo_Combustivel!$A$2:$A$150,0),MATCH(A4654,tab_tipo_Combustivel!$B$1:$AQ$1,0),1,1)</f>
        <v>150.79</v>
      </c>
    </row>
    <row r="4655" spans="1:3">
      <c r="A4655" s="3">
        <f t="shared" si="140"/>
        <v>2046</v>
      </c>
      <c r="B4655" s="106">
        <f t="shared" si="141"/>
        <v>212</v>
      </c>
      <c r="C4655" s="107">
        <f ca="1">OFFSET(tab_tipo_Combustivel!$A$1,MATCH(B4655,tab_tipo_Combustivel!$A$2:$A$150,0),MATCH(A4655,tab_tipo_Combustivel!$B$1:$AQ$1,0),1,1)</f>
        <v>84.58</v>
      </c>
    </row>
    <row r="4656" spans="1:3">
      <c r="A4656" s="3">
        <f t="shared" si="140"/>
        <v>2046</v>
      </c>
      <c r="B4656" s="106">
        <f t="shared" si="141"/>
        <v>224</v>
      </c>
      <c r="C4656" s="107">
        <f ca="1">OFFSET(tab_tipo_Combustivel!$A$1,MATCH(B4656,tab_tipo_Combustivel!$A$2:$A$150,0),MATCH(A4656,tab_tipo_Combustivel!$B$1:$AQ$1,0),1,1)</f>
        <v>31.08</v>
      </c>
    </row>
    <row r="4657" spans="1:3">
      <c r="A4657" s="3">
        <f t="shared" si="140"/>
        <v>2046</v>
      </c>
      <c r="B4657" s="106">
        <f t="shared" si="141"/>
        <v>225</v>
      </c>
      <c r="C4657" s="107">
        <f ca="1">OFFSET(tab_tipo_Combustivel!$A$1,MATCH(B4657,tab_tipo_Combustivel!$A$2:$A$150,0),MATCH(A4657,tab_tipo_Combustivel!$B$1:$AQ$1,0),1,1)</f>
        <v>1329.7</v>
      </c>
    </row>
    <row r="4658" spans="1:3">
      <c r="A4658" s="3">
        <f t="shared" si="140"/>
        <v>2046</v>
      </c>
      <c r="B4658" s="106">
        <f t="shared" si="141"/>
        <v>226</v>
      </c>
      <c r="C4658" s="107">
        <f ca="1">OFFSET(tab_tipo_Combustivel!$A$1,MATCH(B4658,tab_tipo_Combustivel!$A$2:$A$150,0),MATCH(A4658,tab_tipo_Combustivel!$B$1:$AQ$1,0),1,1)</f>
        <v>1061.1300000000001</v>
      </c>
    </row>
    <row r="4659" spans="1:3">
      <c r="A4659" s="3">
        <f t="shared" si="140"/>
        <v>2046</v>
      </c>
      <c r="B4659" s="106">
        <f t="shared" si="141"/>
        <v>227</v>
      </c>
      <c r="C4659" s="107">
        <f ca="1">OFFSET(tab_tipo_Combustivel!$A$1,MATCH(B4659,tab_tipo_Combustivel!$A$2:$A$150,0),MATCH(A4659,tab_tipo_Combustivel!$B$1:$AQ$1,0),1,1)</f>
        <v>447.52</v>
      </c>
    </row>
    <row r="4660" spans="1:3">
      <c r="A4660" s="3">
        <f t="shared" si="140"/>
        <v>2046</v>
      </c>
      <c r="B4660" s="106">
        <f t="shared" si="141"/>
        <v>228</v>
      </c>
      <c r="C4660" s="107">
        <f ca="1">OFFSET(tab_tipo_Combustivel!$A$1,MATCH(B4660,tab_tipo_Combustivel!$A$2:$A$150,0),MATCH(A4660,tab_tipo_Combustivel!$B$1:$AQ$1,0),1,1)</f>
        <v>1061.1400000000001</v>
      </c>
    </row>
    <row r="4661" spans="1:3">
      <c r="A4661" s="3">
        <f t="shared" si="140"/>
        <v>2046</v>
      </c>
      <c r="B4661" s="106">
        <f t="shared" si="141"/>
        <v>229</v>
      </c>
      <c r="C4661" s="107">
        <f ca="1">OFFSET(tab_tipo_Combustivel!$A$1,MATCH(B4661,tab_tipo_Combustivel!$A$2:$A$150,0),MATCH(A4661,tab_tipo_Combustivel!$B$1:$AQ$1,0),1,1)</f>
        <v>942.05</v>
      </c>
    </row>
    <row r="4662" spans="1:3">
      <c r="A4662" s="3">
        <f t="shared" si="140"/>
        <v>2046</v>
      </c>
      <c r="B4662" s="106">
        <f t="shared" si="141"/>
        <v>230</v>
      </c>
      <c r="C4662" s="107">
        <f ca="1">OFFSET(tab_tipo_Combustivel!$A$1,MATCH(B4662,tab_tipo_Combustivel!$A$2:$A$150,0),MATCH(A4662,tab_tipo_Combustivel!$B$1:$AQ$1,0),1,1)</f>
        <v>495.06</v>
      </c>
    </row>
    <row r="4663" spans="1:3">
      <c r="A4663" s="3">
        <f t="shared" si="140"/>
        <v>2046</v>
      </c>
      <c r="B4663" s="106">
        <f t="shared" si="141"/>
        <v>231</v>
      </c>
      <c r="C4663" s="107">
        <f ca="1">OFFSET(tab_tipo_Combustivel!$A$1,MATCH(B4663,tab_tipo_Combustivel!$A$2:$A$150,0),MATCH(A4663,tab_tipo_Combustivel!$B$1:$AQ$1,0),1,1)</f>
        <v>489.29</v>
      </c>
    </row>
    <row r="4664" spans="1:3">
      <c r="A4664" s="3">
        <f t="shared" si="140"/>
        <v>2046</v>
      </c>
      <c r="B4664" s="106">
        <f t="shared" si="141"/>
        <v>232</v>
      </c>
      <c r="C4664" s="107">
        <f ca="1">OFFSET(tab_tipo_Combustivel!$A$1,MATCH(B4664,tab_tipo_Combustivel!$A$2:$A$150,0),MATCH(A4664,tab_tipo_Combustivel!$B$1:$AQ$1,0),1,1)</f>
        <v>842.33</v>
      </c>
    </row>
    <row r="4665" spans="1:3">
      <c r="A4665" s="3">
        <f t="shared" si="140"/>
        <v>2046</v>
      </c>
      <c r="B4665" s="106">
        <f t="shared" si="141"/>
        <v>233</v>
      </c>
      <c r="C4665" s="107">
        <f ca="1">OFFSET(tab_tipo_Combustivel!$A$1,MATCH(B4665,tab_tipo_Combustivel!$A$2:$A$150,0),MATCH(A4665,tab_tipo_Combustivel!$B$1:$AQ$1,0),1,1)</f>
        <v>984.29</v>
      </c>
    </row>
    <row r="4666" spans="1:3">
      <c r="A4666" s="3">
        <f t="shared" si="140"/>
        <v>2046</v>
      </c>
      <c r="B4666" s="106">
        <f t="shared" si="141"/>
        <v>234</v>
      </c>
      <c r="C4666" s="107">
        <f ca="1">OFFSET(tab_tipo_Combustivel!$A$1,MATCH(B4666,tab_tipo_Combustivel!$A$2:$A$150,0),MATCH(A4666,tab_tipo_Combustivel!$B$1:$AQ$1,0),1,1)</f>
        <v>290.26</v>
      </c>
    </row>
    <row r="4667" spans="1:3">
      <c r="A4667" s="3">
        <f t="shared" si="140"/>
        <v>2046</v>
      </c>
      <c r="B4667" s="106">
        <f t="shared" si="141"/>
        <v>235</v>
      </c>
      <c r="C4667" s="107">
        <f ca="1">OFFSET(tab_tipo_Combustivel!$A$1,MATCH(B4667,tab_tipo_Combustivel!$A$2:$A$150,0),MATCH(A4667,tab_tipo_Combustivel!$B$1:$AQ$1,0),1,1)</f>
        <v>1350.87</v>
      </c>
    </row>
    <row r="4668" spans="1:3">
      <c r="A4668" s="3">
        <f t="shared" si="140"/>
        <v>2046</v>
      </c>
      <c r="B4668" s="106">
        <f t="shared" si="141"/>
        <v>236</v>
      </c>
      <c r="C4668" s="107">
        <f ca="1">OFFSET(tab_tipo_Combustivel!$A$1,MATCH(B4668,tab_tipo_Combustivel!$A$2:$A$150,0),MATCH(A4668,tab_tipo_Combustivel!$B$1:$AQ$1,0),1,1)</f>
        <v>842.33</v>
      </c>
    </row>
    <row r="4669" spans="1:3">
      <c r="A4669" s="3">
        <f t="shared" si="140"/>
        <v>2046</v>
      </c>
      <c r="B4669" s="106">
        <f t="shared" si="141"/>
        <v>237</v>
      </c>
      <c r="C4669" s="107">
        <f ca="1">OFFSET(tab_tipo_Combustivel!$A$1,MATCH(B4669,tab_tipo_Combustivel!$A$2:$A$150,0),MATCH(A4669,tab_tipo_Combustivel!$B$1:$AQ$1,0),1,1)</f>
        <v>760.85</v>
      </c>
    </row>
    <row r="4670" spans="1:3">
      <c r="A4670" s="3">
        <f t="shared" si="140"/>
        <v>2046</v>
      </c>
      <c r="B4670" s="106">
        <f t="shared" si="141"/>
        <v>238</v>
      </c>
      <c r="C4670" s="107">
        <f ca="1">OFFSET(tab_tipo_Combustivel!$A$1,MATCH(B4670,tab_tipo_Combustivel!$A$2:$A$150,0),MATCH(A4670,tab_tipo_Combustivel!$B$1:$AQ$1,0),1,1)</f>
        <v>963.75</v>
      </c>
    </row>
    <row r="4671" spans="1:3">
      <c r="A4671" s="3">
        <f t="shared" si="140"/>
        <v>2046</v>
      </c>
      <c r="B4671" s="106">
        <f t="shared" si="141"/>
        <v>239</v>
      </c>
      <c r="C4671" s="107">
        <f ca="1">OFFSET(tab_tipo_Combustivel!$A$1,MATCH(B4671,tab_tipo_Combustivel!$A$2:$A$150,0),MATCH(A4671,tab_tipo_Combustivel!$B$1:$AQ$1,0),1,1)</f>
        <v>963.75</v>
      </c>
    </row>
    <row r="4672" spans="1:3">
      <c r="A4672" s="3">
        <f t="shared" si="140"/>
        <v>2046</v>
      </c>
      <c r="B4672" s="106">
        <f t="shared" si="141"/>
        <v>240</v>
      </c>
      <c r="C4672" s="107">
        <f ca="1">OFFSET(tab_tipo_Combustivel!$A$1,MATCH(B4672,tab_tipo_Combustivel!$A$2:$A$150,0),MATCH(A4672,tab_tipo_Combustivel!$B$1:$AQ$1,0),1,1)</f>
        <v>1115.96</v>
      </c>
    </row>
    <row r="4673" spans="1:3">
      <c r="A4673" s="3">
        <f t="shared" si="140"/>
        <v>2046</v>
      </c>
      <c r="B4673" s="106">
        <f t="shared" si="141"/>
        <v>241</v>
      </c>
      <c r="C4673" s="107">
        <f ca="1">OFFSET(tab_tipo_Combustivel!$A$1,MATCH(B4673,tab_tipo_Combustivel!$A$2:$A$150,0),MATCH(A4673,tab_tipo_Combustivel!$B$1:$AQ$1,0),1,1)</f>
        <v>495.75</v>
      </c>
    </row>
    <row r="4674" spans="1:3">
      <c r="A4674" s="3">
        <f t="shared" si="140"/>
        <v>2046</v>
      </c>
      <c r="B4674" s="106">
        <f t="shared" si="141"/>
        <v>242</v>
      </c>
      <c r="C4674" s="107">
        <f ca="1">OFFSET(tab_tipo_Combustivel!$A$1,MATCH(B4674,tab_tipo_Combustivel!$A$2:$A$150,0),MATCH(A4674,tab_tipo_Combustivel!$B$1:$AQ$1,0),1,1)</f>
        <v>1176.45</v>
      </c>
    </row>
    <row r="4675" spans="1:3">
      <c r="A4675" s="3">
        <f t="shared" si="140"/>
        <v>2046</v>
      </c>
      <c r="B4675" s="106">
        <f t="shared" si="141"/>
        <v>243</v>
      </c>
      <c r="C4675" s="107">
        <f ca="1">OFFSET(tab_tipo_Combustivel!$A$1,MATCH(B4675,tab_tipo_Combustivel!$A$2:$A$150,0),MATCH(A4675,tab_tipo_Combustivel!$B$1:$AQ$1,0),1,1)</f>
        <v>495.08</v>
      </c>
    </row>
    <row r="4676" spans="1:3">
      <c r="A4676" s="3">
        <f t="shared" si="140"/>
        <v>2046</v>
      </c>
      <c r="B4676" s="106">
        <f t="shared" si="141"/>
        <v>244</v>
      </c>
      <c r="C4676" s="107">
        <f ca="1">OFFSET(tab_tipo_Combustivel!$A$1,MATCH(B4676,tab_tipo_Combustivel!$A$2:$A$150,0),MATCH(A4676,tab_tipo_Combustivel!$B$1:$AQ$1,0),1,1)</f>
        <v>495.06</v>
      </c>
    </row>
    <row r="4677" spans="1:3">
      <c r="A4677" s="3">
        <f t="shared" si="140"/>
        <v>2046</v>
      </c>
      <c r="B4677" s="106">
        <f t="shared" si="141"/>
        <v>245</v>
      </c>
      <c r="C4677" s="107">
        <f ca="1">OFFSET(tab_tipo_Combustivel!$A$1,MATCH(B4677,tab_tipo_Combustivel!$A$2:$A$150,0),MATCH(A4677,tab_tipo_Combustivel!$B$1:$AQ$1,0),1,1)</f>
        <v>562.65</v>
      </c>
    </row>
    <row r="4678" spans="1:3">
      <c r="A4678" s="3">
        <f t="shared" si="140"/>
        <v>2046</v>
      </c>
      <c r="B4678" s="106">
        <f t="shared" si="141"/>
        <v>246</v>
      </c>
      <c r="C4678" s="107">
        <f ca="1">OFFSET(tab_tipo_Combustivel!$A$1,MATCH(B4678,tab_tipo_Combustivel!$A$2:$A$150,0),MATCH(A4678,tab_tipo_Combustivel!$B$1:$AQ$1,0),1,1)</f>
        <v>1124.53</v>
      </c>
    </row>
    <row r="4679" spans="1:3">
      <c r="A4679" s="3">
        <f t="shared" si="140"/>
        <v>2046</v>
      </c>
      <c r="B4679" s="106">
        <f t="shared" si="141"/>
        <v>247</v>
      </c>
      <c r="C4679" s="107">
        <f ca="1">OFFSET(tab_tipo_Combustivel!$A$1,MATCH(B4679,tab_tipo_Combustivel!$A$2:$A$150,0),MATCH(A4679,tab_tipo_Combustivel!$B$1:$AQ$1,0),1,1)</f>
        <v>609.51</v>
      </c>
    </row>
    <row r="4680" spans="1:3">
      <c r="A4680" s="3">
        <f t="shared" si="140"/>
        <v>2046</v>
      </c>
      <c r="B4680" s="106">
        <f t="shared" si="141"/>
        <v>248</v>
      </c>
      <c r="C4680" s="107">
        <f ca="1">OFFSET(tab_tipo_Combustivel!$A$1,MATCH(B4680,tab_tipo_Combustivel!$A$2:$A$150,0),MATCH(A4680,tab_tipo_Combustivel!$B$1:$AQ$1,0),1,1)</f>
        <v>495.06</v>
      </c>
    </row>
    <row r="4681" spans="1:3">
      <c r="A4681" s="3">
        <f t="shared" si="140"/>
        <v>2046</v>
      </c>
      <c r="B4681" s="106">
        <f t="shared" si="141"/>
        <v>249</v>
      </c>
      <c r="C4681" s="107">
        <f ca="1">OFFSET(tab_tipo_Combustivel!$A$1,MATCH(B4681,tab_tipo_Combustivel!$A$2:$A$150,0),MATCH(A4681,tab_tipo_Combustivel!$B$1:$AQ$1,0),1,1)</f>
        <v>842.33</v>
      </c>
    </row>
    <row r="4682" spans="1:3">
      <c r="A4682" s="3">
        <f t="shared" ref="A4682:A4745" si="142">A4547+1</f>
        <v>2046</v>
      </c>
      <c r="B4682" s="106">
        <f t="shared" ref="B4682:B4745" si="143">B4547</f>
        <v>250</v>
      </c>
      <c r="C4682" s="107">
        <f ca="1">OFFSET(tab_tipo_Combustivel!$A$1,MATCH(B4682,tab_tipo_Combustivel!$A$2:$A$150,0),MATCH(A4682,tab_tipo_Combustivel!$B$1:$AQ$1,0),1,1)</f>
        <v>1176.45</v>
      </c>
    </row>
    <row r="4683" spans="1:3">
      <c r="A4683" s="3">
        <f t="shared" si="142"/>
        <v>2046</v>
      </c>
      <c r="B4683" s="106">
        <f t="shared" si="143"/>
        <v>251</v>
      </c>
      <c r="C4683" s="107">
        <f ca="1">OFFSET(tab_tipo_Combustivel!$A$1,MATCH(B4683,tab_tipo_Combustivel!$A$2:$A$150,0),MATCH(A4683,tab_tipo_Combustivel!$B$1:$AQ$1,0),1,1)</f>
        <v>842.33</v>
      </c>
    </row>
    <row r="4684" spans="1:3">
      <c r="A4684" s="3">
        <f t="shared" si="142"/>
        <v>2046</v>
      </c>
      <c r="B4684" s="106">
        <f t="shared" si="143"/>
        <v>252</v>
      </c>
      <c r="C4684" s="107">
        <f ca="1">OFFSET(tab_tipo_Combustivel!$A$1,MATCH(B4684,tab_tipo_Combustivel!$A$2:$A$150,0),MATCH(A4684,tab_tipo_Combustivel!$B$1:$AQ$1,0),1,1)</f>
        <v>842.33</v>
      </c>
    </row>
    <row r="4685" spans="1:3">
      <c r="A4685" s="3">
        <f t="shared" si="142"/>
        <v>2046</v>
      </c>
      <c r="B4685" s="106">
        <f t="shared" si="143"/>
        <v>253</v>
      </c>
      <c r="C4685" s="107">
        <f ca="1">OFFSET(tab_tipo_Combustivel!$A$1,MATCH(B4685,tab_tipo_Combustivel!$A$2:$A$150,0),MATCH(A4685,tab_tipo_Combustivel!$B$1:$AQ$1,0),1,1)</f>
        <v>279.45</v>
      </c>
    </row>
    <row r="4686" spans="1:3">
      <c r="A4686" s="3">
        <f t="shared" si="142"/>
        <v>2046</v>
      </c>
      <c r="B4686" s="106">
        <f t="shared" si="143"/>
        <v>254</v>
      </c>
      <c r="C4686" s="107">
        <f ca="1">OFFSET(tab_tipo_Combustivel!$A$1,MATCH(B4686,tab_tipo_Combustivel!$A$2:$A$150,0),MATCH(A4686,tab_tipo_Combustivel!$B$1:$AQ$1,0),1,1)</f>
        <v>1153.98</v>
      </c>
    </row>
    <row r="4687" spans="1:3">
      <c r="A4687" s="3">
        <f t="shared" si="142"/>
        <v>2046</v>
      </c>
      <c r="B4687" s="106">
        <f t="shared" si="143"/>
        <v>255</v>
      </c>
      <c r="C4687" s="107">
        <f ca="1">OFFSET(tab_tipo_Combustivel!$A$1,MATCH(B4687,tab_tipo_Combustivel!$A$2:$A$150,0),MATCH(A4687,tab_tipo_Combustivel!$B$1:$AQ$1,0),1,1)</f>
        <v>828.98</v>
      </c>
    </row>
    <row r="4688" spans="1:3">
      <c r="A4688" s="3">
        <f t="shared" si="142"/>
        <v>2046</v>
      </c>
      <c r="B4688" s="106">
        <f t="shared" si="143"/>
        <v>256</v>
      </c>
      <c r="C4688" s="107">
        <f ca="1">OFFSET(tab_tipo_Combustivel!$A$1,MATCH(B4688,tab_tipo_Combustivel!$A$2:$A$150,0),MATCH(A4688,tab_tipo_Combustivel!$B$1:$AQ$1,0),1,1)</f>
        <v>562.65</v>
      </c>
    </row>
    <row r="4689" spans="1:3">
      <c r="A4689" s="3">
        <f t="shared" si="142"/>
        <v>2046</v>
      </c>
      <c r="B4689" s="106">
        <f t="shared" si="143"/>
        <v>257</v>
      </c>
      <c r="C4689" s="107">
        <f ca="1">OFFSET(tab_tipo_Combustivel!$A$1,MATCH(B4689,tab_tipo_Combustivel!$A$2:$A$150,0),MATCH(A4689,tab_tipo_Combustivel!$B$1:$AQ$1,0),1,1)</f>
        <v>907.52</v>
      </c>
    </row>
    <row r="4690" spans="1:3">
      <c r="A4690" s="3">
        <f t="shared" si="142"/>
        <v>2046</v>
      </c>
      <c r="B4690" s="106">
        <f t="shared" si="143"/>
        <v>258</v>
      </c>
      <c r="C4690" s="107">
        <f ca="1">OFFSET(tab_tipo_Combustivel!$A$1,MATCH(B4690,tab_tipo_Combustivel!$A$2:$A$150,0),MATCH(A4690,tab_tipo_Combustivel!$B$1:$AQ$1,0),1,1)</f>
        <v>1016.04</v>
      </c>
    </row>
    <row r="4691" spans="1:3">
      <c r="A4691" s="3">
        <f t="shared" si="142"/>
        <v>2046</v>
      </c>
      <c r="B4691" s="106">
        <f t="shared" si="143"/>
        <v>259</v>
      </c>
      <c r="C4691" s="107">
        <f ca="1">OFFSET(tab_tipo_Combustivel!$A$1,MATCH(B4691,tab_tipo_Combustivel!$A$2:$A$150,0),MATCH(A4691,tab_tipo_Combustivel!$B$1:$AQ$1,0),1,1)</f>
        <v>977.53</v>
      </c>
    </row>
    <row r="4692" spans="1:3">
      <c r="A4692" s="3">
        <f t="shared" si="142"/>
        <v>2046</v>
      </c>
      <c r="B4692" s="106">
        <f t="shared" si="143"/>
        <v>260</v>
      </c>
      <c r="C4692" s="107">
        <f ca="1">OFFSET(tab_tipo_Combustivel!$A$1,MATCH(B4692,tab_tipo_Combustivel!$A$2:$A$150,0),MATCH(A4692,tab_tipo_Combustivel!$B$1:$AQ$1,0),1,1)</f>
        <v>827.17</v>
      </c>
    </row>
    <row r="4693" spans="1:3">
      <c r="A4693" s="3">
        <f t="shared" si="142"/>
        <v>2046</v>
      </c>
      <c r="B4693" s="106">
        <f t="shared" si="143"/>
        <v>261</v>
      </c>
      <c r="C4693" s="107">
        <f ca="1">OFFSET(tab_tipo_Combustivel!$A$1,MATCH(B4693,tab_tipo_Combustivel!$A$2:$A$150,0),MATCH(A4693,tab_tipo_Combustivel!$B$1:$AQ$1,0),1,1)</f>
        <v>829.7</v>
      </c>
    </row>
    <row r="4694" spans="1:3">
      <c r="A4694" s="3">
        <f t="shared" si="142"/>
        <v>2046</v>
      </c>
      <c r="B4694" s="106">
        <f t="shared" si="143"/>
        <v>262</v>
      </c>
      <c r="C4694" s="107">
        <f ca="1">OFFSET(tab_tipo_Combustivel!$A$1,MATCH(B4694,tab_tipo_Combustivel!$A$2:$A$150,0),MATCH(A4694,tab_tipo_Combustivel!$B$1:$AQ$1,0),1,1)</f>
        <v>495.75</v>
      </c>
    </row>
    <row r="4695" spans="1:3">
      <c r="A4695" s="3">
        <f t="shared" si="142"/>
        <v>2046</v>
      </c>
      <c r="B4695" s="106">
        <f t="shared" si="143"/>
        <v>263</v>
      </c>
      <c r="C4695" s="107">
        <f ca="1">OFFSET(tab_tipo_Combustivel!$A$1,MATCH(B4695,tab_tipo_Combustivel!$A$2:$A$150,0),MATCH(A4695,tab_tipo_Combustivel!$B$1:$AQ$1,0),1,1)</f>
        <v>474.77</v>
      </c>
    </row>
    <row r="4696" spans="1:3">
      <c r="A4696" s="3">
        <f t="shared" si="142"/>
        <v>2046</v>
      </c>
      <c r="B4696" s="106">
        <f t="shared" si="143"/>
        <v>264</v>
      </c>
      <c r="C4696" s="107">
        <f ca="1">OFFSET(tab_tipo_Combustivel!$A$1,MATCH(B4696,tab_tipo_Combustivel!$A$2:$A$150,0),MATCH(A4696,tab_tipo_Combustivel!$B$1:$AQ$1,0),1,1)</f>
        <v>842.33</v>
      </c>
    </row>
    <row r="4697" spans="1:3">
      <c r="A4697" s="3">
        <f t="shared" si="142"/>
        <v>2046</v>
      </c>
      <c r="B4697" s="106">
        <f t="shared" si="143"/>
        <v>265</v>
      </c>
      <c r="C4697" s="107">
        <f ca="1">OFFSET(tab_tipo_Combustivel!$A$1,MATCH(B4697,tab_tipo_Combustivel!$A$2:$A$150,0),MATCH(A4697,tab_tipo_Combustivel!$B$1:$AQ$1,0),1,1)</f>
        <v>415.82</v>
      </c>
    </row>
    <row r="4698" spans="1:3">
      <c r="A4698" s="3">
        <f t="shared" si="142"/>
        <v>2046</v>
      </c>
      <c r="B4698" s="106">
        <f t="shared" si="143"/>
        <v>266</v>
      </c>
      <c r="C4698" s="107">
        <f ca="1">OFFSET(tab_tipo_Combustivel!$A$1,MATCH(B4698,tab_tipo_Combustivel!$A$2:$A$150,0),MATCH(A4698,tab_tipo_Combustivel!$B$1:$AQ$1,0),1,1)</f>
        <v>827.17</v>
      </c>
    </row>
    <row r="4699" spans="1:3">
      <c r="A4699" s="3">
        <f t="shared" si="142"/>
        <v>2046</v>
      </c>
      <c r="B4699" s="106">
        <f t="shared" si="143"/>
        <v>301</v>
      </c>
      <c r="C4699" s="107">
        <f ca="1">OFFSET(tab_tipo_Combustivel!$A$1,MATCH(B4699,tab_tipo_Combustivel!$A$2:$A$150,0),MATCH(A4699,tab_tipo_Combustivel!$B$1:$AQ$1,0),1,1)</f>
        <v>99.08</v>
      </c>
    </row>
    <row r="4700" spans="1:3">
      <c r="A4700" s="3">
        <f t="shared" si="142"/>
        <v>2046</v>
      </c>
      <c r="B4700" s="106">
        <f t="shared" si="143"/>
        <v>302</v>
      </c>
      <c r="C4700" s="107">
        <f ca="1">OFFSET(tab_tipo_Combustivel!$A$1,MATCH(B4700,tab_tipo_Combustivel!$A$2:$A$150,0),MATCH(A4700,tab_tipo_Combustivel!$B$1:$AQ$1,0),1,1)</f>
        <v>103.73</v>
      </c>
    </row>
    <row r="4701" spans="1:3">
      <c r="A4701" s="3">
        <f t="shared" si="142"/>
        <v>2046</v>
      </c>
      <c r="B4701" s="106">
        <f t="shared" si="143"/>
        <v>303</v>
      </c>
      <c r="C4701" s="107">
        <f ca="1">OFFSET(tab_tipo_Combustivel!$A$1,MATCH(B4701,tab_tipo_Combustivel!$A$2:$A$150,0),MATCH(A4701,tab_tipo_Combustivel!$B$1:$AQ$1,0),1,1)</f>
        <v>103.73</v>
      </c>
    </row>
    <row r="4702" spans="1:3">
      <c r="A4702" s="3">
        <f t="shared" si="142"/>
        <v>2046</v>
      </c>
      <c r="B4702" s="106">
        <f t="shared" si="143"/>
        <v>304</v>
      </c>
      <c r="C4702" s="107">
        <f ca="1">OFFSET(tab_tipo_Combustivel!$A$1,MATCH(B4702,tab_tipo_Combustivel!$A$2:$A$150,0),MATCH(A4702,tab_tipo_Combustivel!$B$1:$AQ$1,0),1,1)</f>
        <v>139.41999999999999</v>
      </c>
    </row>
    <row r="4703" spans="1:3">
      <c r="A4703" s="3">
        <f t="shared" si="142"/>
        <v>2046</v>
      </c>
      <c r="B4703" s="106">
        <f t="shared" si="143"/>
        <v>305</v>
      </c>
      <c r="C4703" s="107">
        <f ca="1">OFFSET(tab_tipo_Combustivel!$A$1,MATCH(B4703,tab_tipo_Combustivel!$A$2:$A$150,0),MATCH(A4703,tab_tipo_Combustivel!$B$1:$AQ$1,0),1,1)</f>
        <v>89.7</v>
      </c>
    </row>
    <row r="4704" spans="1:3">
      <c r="A4704" s="3">
        <f t="shared" si="142"/>
        <v>2046</v>
      </c>
      <c r="B4704" s="106">
        <f t="shared" si="143"/>
        <v>306</v>
      </c>
      <c r="C4704" s="107">
        <f ca="1">OFFSET(tab_tipo_Combustivel!$A$1,MATCH(B4704,tab_tipo_Combustivel!$A$2:$A$150,0),MATCH(A4704,tab_tipo_Combustivel!$B$1:$AQ$1,0),1,1)</f>
        <v>100.38</v>
      </c>
    </row>
    <row r="4705" spans="1:3">
      <c r="A4705" s="3">
        <f t="shared" si="142"/>
        <v>2046</v>
      </c>
      <c r="B4705" s="106">
        <f t="shared" si="143"/>
        <v>307</v>
      </c>
      <c r="C4705" s="107">
        <f ca="1">OFFSET(tab_tipo_Combustivel!$A$1,MATCH(B4705,tab_tipo_Combustivel!$A$2:$A$150,0),MATCH(A4705,tab_tipo_Combustivel!$B$1:$AQ$1,0),1,1)</f>
        <v>510.12</v>
      </c>
    </row>
    <row r="4706" spans="1:3">
      <c r="A4706" s="3">
        <f t="shared" si="142"/>
        <v>2046</v>
      </c>
      <c r="B4706" s="106">
        <f t="shared" si="143"/>
        <v>308</v>
      </c>
      <c r="C4706" s="107">
        <f ca="1">OFFSET(tab_tipo_Combustivel!$A$1,MATCH(B4706,tab_tipo_Combustivel!$A$2:$A$150,0),MATCH(A4706,tab_tipo_Combustivel!$B$1:$AQ$1,0),1,1)</f>
        <v>72.5</v>
      </c>
    </row>
    <row r="4707" spans="1:3">
      <c r="A4707" s="3">
        <f t="shared" si="142"/>
        <v>2046</v>
      </c>
      <c r="B4707" s="106">
        <f t="shared" si="143"/>
        <v>309</v>
      </c>
      <c r="C4707" s="107">
        <f ca="1">OFFSET(tab_tipo_Combustivel!$A$1,MATCH(B4707,tab_tipo_Combustivel!$A$2:$A$150,0),MATCH(A4707,tab_tipo_Combustivel!$B$1:$AQ$1,0),1,1)</f>
        <v>126.77</v>
      </c>
    </row>
    <row r="4708" spans="1:3">
      <c r="A4708" s="3">
        <f t="shared" si="142"/>
        <v>2046</v>
      </c>
      <c r="B4708" s="106">
        <f t="shared" si="143"/>
        <v>310</v>
      </c>
      <c r="C4708" s="107">
        <f ca="1">OFFSET(tab_tipo_Combustivel!$A$1,MATCH(B4708,tab_tipo_Combustivel!$A$2:$A$150,0),MATCH(A4708,tab_tipo_Combustivel!$B$1:$AQ$1,0),1,1)</f>
        <v>275.99</v>
      </c>
    </row>
    <row r="4709" spans="1:3">
      <c r="A4709" s="3">
        <f t="shared" si="142"/>
        <v>2046</v>
      </c>
      <c r="B4709" s="106">
        <f t="shared" si="143"/>
        <v>311</v>
      </c>
      <c r="C4709" s="107">
        <f ca="1">OFFSET(tab_tipo_Combustivel!$A$1,MATCH(B4709,tab_tipo_Combustivel!$A$2:$A$150,0),MATCH(A4709,tab_tipo_Combustivel!$B$1:$AQ$1,0),1,1)</f>
        <v>70.66</v>
      </c>
    </row>
    <row r="4710" spans="1:3">
      <c r="A4710" s="3">
        <f t="shared" si="142"/>
        <v>2046</v>
      </c>
      <c r="B4710" s="106">
        <f t="shared" si="143"/>
        <v>312</v>
      </c>
      <c r="C4710" s="107">
        <f ca="1">OFFSET(tab_tipo_Combustivel!$A$1,MATCH(B4710,tab_tipo_Combustivel!$A$2:$A$150,0),MATCH(A4710,tab_tipo_Combustivel!$B$1:$AQ$1,0),1,1)</f>
        <v>0</v>
      </c>
    </row>
    <row r="4711" spans="1:3">
      <c r="A4711" s="3">
        <f t="shared" si="142"/>
        <v>2046</v>
      </c>
      <c r="B4711" s="106">
        <f t="shared" si="143"/>
        <v>1301</v>
      </c>
      <c r="C4711" s="107">
        <f ca="1">OFFSET(tab_tipo_Combustivel!$A$1,MATCH(B4711,tab_tipo_Combustivel!$A$2:$A$150,0),MATCH(A4711,tab_tipo_Combustivel!$B$1:$AQ$1,0),1,1)</f>
        <v>242.05</v>
      </c>
    </row>
    <row r="4712" spans="1:3">
      <c r="A4712" s="3">
        <f t="shared" si="142"/>
        <v>2046</v>
      </c>
      <c r="B4712" s="106">
        <f t="shared" si="143"/>
        <v>1302</v>
      </c>
      <c r="C4712" s="107">
        <f ca="1">OFFSET(tab_tipo_Combustivel!$A$1,MATCH(B4712,tab_tipo_Combustivel!$A$2:$A$150,0),MATCH(A4712,tab_tipo_Combustivel!$B$1:$AQ$1,0),1,1)</f>
        <v>193.64</v>
      </c>
    </row>
    <row r="4713" spans="1:3">
      <c r="A4713" s="3">
        <f t="shared" si="142"/>
        <v>2046</v>
      </c>
      <c r="B4713" s="106">
        <f t="shared" si="143"/>
        <v>1303</v>
      </c>
      <c r="C4713" s="107">
        <f ca="1">OFFSET(tab_tipo_Combustivel!$A$1,MATCH(B4713,tab_tipo_Combustivel!$A$2:$A$150,0),MATCH(A4713,tab_tipo_Combustivel!$B$1:$AQ$1,0),1,1)</f>
        <v>25.58</v>
      </c>
    </row>
    <row r="4714" spans="1:3">
      <c r="A4714" s="3">
        <f t="shared" si="142"/>
        <v>2046</v>
      </c>
      <c r="B4714" s="106">
        <f t="shared" si="143"/>
        <v>1304</v>
      </c>
      <c r="C4714" s="107">
        <f ca="1">OFFSET(tab_tipo_Combustivel!$A$1,MATCH(B4714,tab_tipo_Combustivel!$A$2:$A$150,0),MATCH(A4714,tab_tipo_Combustivel!$B$1:$AQ$1,0),1,1)</f>
        <v>0</v>
      </c>
    </row>
    <row r="4715" spans="1:3">
      <c r="A4715" s="3">
        <f t="shared" si="142"/>
        <v>2046</v>
      </c>
      <c r="B4715" s="106">
        <f t="shared" si="143"/>
        <v>1315</v>
      </c>
      <c r="C4715" s="107">
        <f ca="1">OFFSET(tab_tipo_Combustivel!$A$1,MATCH(B4715,tab_tipo_Combustivel!$A$2:$A$150,0),MATCH(A4715,tab_tipo_Combustivel!$B$1:$AQ$1,0),1,1)</f>
        <v>0</v>
      </c>
    </row>
    <row r="4716" spans="1:3">
      <c r="A4716" s="3">
        <f t="shared" si="142"/>
        <v>2046</v>
      </c>
      <c r="B4716" s="106">
        <f t="shared" si="143"/>
        <v>1316</v>
      </c>
      <c r="C4716" s="107">
        <f ca="1">OFFSET(tab_tipo_Combustivel!$A$1,MATCH(B4716,tab_tipo_Combustivel!$A$2:$A$150,0),MATCH(A4716,tab_tipo_Combustivel!$B$1:$AQ$1,0),1,1)</f>
        <v>0</v>
      </c>
    </row>
    <row r="4717" spans="1:3">
      <c r="A4717" s="3">
        <f t="shared" si="142"/>
        <v>2046</v>
      </c>
      <c r="B4717" s="106">
        <f t="shared" si="143"/>
        <v>1318</v>
      </c>
      <c r="C4717" s="107">
        <f ca="1">OFFSET(tab_tipo_Combustivel!$A$1,MATCH(B4717,tab_tipo_Combustivel!$A$2:$A$150,0),MATCH(A4717,tab_tipo_Combustivel!$B$1:$AQ$1,0),1,1)</f>
        <v>150</v>
      </c>
    </row>
    <row r="4718" spans="1:3">
      <c r="A4718" s="3">
        <f t="shared" si="142"/>
        <v>2046</v>
      </c>
      <c r="B4718" s="106">
        <f t="shared" si="143"/>
        <v>1321</v>
      </c>
      <c r="C4718" s="107">
        <f ca="1">OFFSET(tab_tipo_Combustivel!$A$1,MATCH(B4718,tab_tipo_Combustivel!$A$2:$A$150,0),MATCH(A4718,tab_tipo_Combustivel!$B$1:$AQ$1,0),1,1)</f>
        <v>85</v>
      </c>
    </row>
    <row r="4719" spans="1:3">
      <c r="A4719" s="3">
        <f t="shared" si="142"/>
        <v>2046</v>
      </c>
      <c r="B4719" s="106">
        <f t="shared" si="143"/>
        <v>1322</v>
      </c>
      <c r="C4719" s="107">
        <f ca="1">OFFSET(tab_tipo_Combustivel!$A$1,MATCH(B4719,tab_tipo_Combustivel!$A$2:$A$150,0),MATCH(A4719,tab_tipo_Combustivel!$B$1:$AQ$1,0),1,1)</f>
        <v>140</v>
      </c>
    </row>
    <row r="4720" spans="1:3">
      <c r="A4720" s="3">
        <f t="shared" si="142"/>
        <v>2046</v>
      </c>
      <c r="B4720" s="106">
        <f t="shared" si="143"/>
        <v>1323</v>
      </c>
      <c r="C4720" s="107">
        <f ca="1">OFFSET(tab_tipo_Combustivel!$A$1,MATCH(B4720,tab_tipo_Combustivel!$A$2:$A$150,0),MATCH(A4720,tab_tipo_Combustivel!$B$1:$AQ$1,0),1,1)</f>
        <v>63.75</v>
      </c>
    </row>
    <row r="4721" spans="1:3">
      <c r="A4721" s="3">
        <f t="shared" si="142"/>
        <v>2046</v>
      </c>
      <c r="B4721" s="106">
        <f t="shared" si="143"/>
        <v>1325</v>
      </c>
      <c r="C4721" s="107">
        <f ca="1">OFFSET(tab_tipo_Combustivel!$A$1,MATCH(B4721,tab_tipo_Combustivel!$A$2:$A$150,0),MATCH(A4721,tab_tipo_Combustivel!$B$1:$AQ$1,0),1,1)</f>
        <v>0</v>
      </c>
    </row>
    <row r="4722" spans="1:3">
      <c r="A4722" s="3">
        <f t="shared" si="142"/>
        <v>2046</v>
      </c>
      <c r="B4722" s="106">
        <f t="shared" si="143"/>
        <v>1326</v>
      </c>
      <c r="C4722" s="107">
        <f ca="1">OFFSET(tab_tipo_Combustivel!$A$1,MATCH(B4722,tab_tipo_Combustivel!$A$2:$A$150,0),MATCH(A4722,tab_tipo_Combustivel!$B$1:$AQ$1,0),1,1)</f>
        <v>260</v>
      </c>
    </row>
    <row r="4723" spans="1:3">
      <c r="A4723" s="3">
        <f t="shared" si="142"/>
        <v>2046</v>
      </c>
      <c r="B4723" s="106">
        <f t="shared" si="143"/>
        <v>1501</v>
      </c>
      <c r="C4723" s="107">
        <f ca="1">OFFSET(tab_tipo_Combustivel!$A$1,MATCH(B4723,tab_tipo_Combustivel!$A$2:$A$150,0),MATCH(A4723,tab_tipo_Combustivel!$B$1:$AQ$1,0),1,1)</f>
        <v>260</v>
      </c>
    </row>
    <row r="4724" spans="1:3">
      <c r="A4724" s="3">
        <f t="shared" si="142"/>
        <v>2046</v>
      </c>
      <c r="B4724" s="106">
        <f t="shared" si="143"/>
        <v>1502</v>
      </c>
      <c r="C4724" s="107">
        <f ca="1">OFFSET(tab_tipo_Combustivel!$A$1,MATCH(B4724,tab_tipo_Combustivel!$A$2:$A$150,0),MATCH(A4724,tab_tipo_Combustivel!$B$1:$AQ$1,0),1,1)</f>
        <v>60</v>
      </c>
    </row>
    <row r="4725" spans="1:3">
      <c r="A4725" s="3">
        <f t="shared" si="142"/>
        <v>2046</v>
      </c>
      <c r="B4725" s="106">
        <f t="shared" si="143"/>
        <v>1503</v>
      </c>
      <c r="C4725" s="107">
        <f ca="1">OFFSET(tab_tipo_Combustivel!$A$1,MATCH(B4725,tab_tipo_Combustivel!$A$2:$A$150,0),MATCH(A4725,tab_tipo_Combustivel!$B$1:$AQ$1,0),1,1)</f>
        <v>96.82</v>
      </c>
    </row>
    <row r="4726" spans="1:3">
      <c r="A4726" s="3">
        <f t="shared" si="142"/>
        <v>2046</v>
      </c>
      <c r="B4726" s="106">
        <f t="shared" si="143"/>
        <v>1504</v>
      </c>
      <c r="C4726" s="107">
        <f ca="1">OFFSET(tab_tipo_Combustivel!$A$1,MATCH(B4726,tab_tipo_Combustivel!$A$2:$A$150,0),MATCH(A4726,tab_tipo_Combustivel!$B$1:$AQ$1,0),1,1)</f>
        <v>145.22999999999999</v>
      </c>
    </row>
    <row r="4727" spans="1:3">
      <c r="A4727" s="3">
        <f t="shared" si="142"/>
        <v>2047</v>
      </c>
      <c r="B4727" s="106">
        <f t="shared" si="143"/>
        <v>1</v>
      </c>
      <c r="C4727" s="107">
        <f ca="1">OFFSET(tab_tipo_Combustivel!$A$1,MATCH(B4727,tab_tipo_Combustivel!$A$2:$A$150,0),MATCH(A4727,tab_tipo_Combustivel!$B$1:$AQ$1,0),1,1)</f>
        <v>29.13</v>
      </c>
    </row>
    <row r="4728" spans="1:3">
      <c r="A4728" s="3">
        <f t="shared" si="142"/>
        <v>2047</v>
      </c>
      <c r="B4728" s="106">
        <f t="shared" si="143"/>
        <v>2</v>
      </c>
      <c r="C4728" s="107">
        <f ca="1">OFFSET(tab_tipo_Combustivel!$A$1,MATCH(B4728,tab_tipo_Combustivel!$A$2:$A$150,0),MATCH(A4728,tab_tipo_Combustivel!$B$1:$AQ$1,0),1,1)</f>
        <v>842.33</v>
      </c>
    </row>
    <row r="4729" spans="1:3">
      <c r="A4729" s="3">
        <f t="shared" si="142"/>
        <v>2047</v>
      </c>
      <c r="B4729" s="106">
        <f t="shared" si="143"/>
        <v>4</v>
      </c>
      <c r="C4729" s="107">
        <f ca="1">OFFSET(tab_tipo_Combustivel!$A$1,MATCH(B4729,tab_tipo_Combustivel!$A$2:$A$150,0),MATCH(A4729,tab_tipo_Combustivel!$B$1:$AQ$1,0),1,1)</f>
        <v>842.33</v>
      </c>
    </row>
    <row r="4730" spans="1:3">
      <c r="A4730" s="3">
        <f t="shared" si="142"/>
        <v>2047</v>
      </c>
      <c r="B4730" s="106">
        <f t="shared" si="143"/>
        <v>9</v>
      </c>
      <c r="C4730" s="107">
        <f ca="1">OFFSET(tab_tipo_Combustivel!$A$1,MATCH(B4730,tab_tipo_Combustivel!$A$2:$A$150,0),MATCH(A4730,tab_tipo_Combustivel!$B$1:$AQ$1,0),1,1)</f>
        <v>842.33</v>
      </c>
    </row>
    <row r="4731" spans="1:3">
      <c r="A4731" s="3">
        <f t="shared" si="142"/>
        <v>2047</v>
      </c>
      <c r="B4731" s="106">
        <f t="shared" si="143"/>
        <v>12</v>
      </c>
      <c r="C4731" s="107">
        <f ca="1">OFFSET(tab_tipo_Combustivel!$A$1,MATCH(B4731,tab_tipo_Combustivel!$A$2:$A$150,0),MATCH(A4731,tab_tipo_Combustivel!$B$1:$AQ$1,0),1,1)</f>
        <v>728.87</v>
      </c>
    </row>
    <row r="4732" spans="1:3">
      <c r="A4732" s="3">
        <f t="shared" si="142"/>
        <v>2047</v>
      </c>
      <c r="B4732" s="106">
        <f t="shared" si="143"/>
        <v>13</v>
      </c>
      <c r="C4732" s="107">
        <f ca="1">OFFSET(tab_tipo_Combustivel!$A$1,MATCH(B4732,tab_tipo_Combustivel!$A$2:$A$150,0),MATCH(A4732,tab_tipo_Combustivel!$B$1:$AQ$1,0),1,1)</f>
        <v>20.12</v>
      </c>
    </row>
    <row r="4733" spans="1:3">
      <c r="A4733" s="3">
        <f t="shared" si="142"/>
        <v>2047</v>
      </c>
      <c r="B4733" s="106">
        <f t="shared" si="143"/>
        <v>15</v>
      </c>
      <c r="C4733" s="107">
        <f ca="1">OFFSET(tab_tipo_Combustivel!$A$1,MATCH(B4733,tab_tipo_Combustivel!$A$2:$A$150,0),MATCH(A4733,tab_tipo_Combustivel!$B$1:$AQ$1,0),1,1)</f>
        <v>257.29000000000002</v>
      </c>
    </row>
    <row r="4734" spans="1:3">
      <c r="A4734" s="3">
        <f t="shared" si="142"/>
        <v>2047</v>
      </c>
      <c r="B4734" s="106">
        <f t="shared" si="143"/>
        <v>21</v>
      </c>
      <c r="C4734" s="107">
        <f ca="1">OFFSET(tab_tipo_Combustivel!$A$1,MATCH(B4734,tab_tipo_Combustivel!$A$2:$A$150,0),MATCH(A4734,tab_tipo_Combustivel!$B$1:$AQ$1,0),1,1)</f>
        <v>157.83000000000001</v>
      </c>
    </row>
    <row r="4735" spans="1:3">
      <c r="A4735" s="3">
        <f t="shared" si="142"/>
        <v>2047</v>
      </c>
      <c r="B4735" s="106">
        <f t="shared" si="143"/>
        <v>22</v>
      </c>
      <c r="C4735" s="107">
        <f ca="1">OFFSET(tab_tipo_Combustivel!$A$1,MATCH(B4735,tab_tipo_Combustivel!$A$2:$A$150,0),MATCH(A4735,tab_tipo_Combustivel!$B$1:$AQ$1,0),1,1)</f>
        <v>115.9</v>
      </c>
    </row>
    <row r="4736" spans="1:3">
      <c r="A4736" s="3">
        <f t="shared" si="142"/>
        <v>2047</v>
      </c>
      <c r="B4736" s="106">
        <f t="shared" si="143"/>
        <v>23</v>
      </c>
      <c r="C4736" s="107">
        <f ca="1">OFFSET(tab_tipo_Combustivel!$A$1,MATCH(B4736,tab_tipo_Combustivel!$A$2:$A$150,0),MATCH(A4736,tab_tipo_Combustivel!$B$1:$AQ$1,0),1,1)</f>
        <v>115.9</v>
      </c>
    </row>
    <row r="4737" spans="1:3">
      <c r="A4737" s="3">
        <f t="shared" si="142"/>
        <v>2047</v>
      </c>
      <c r="B4737" s="106">
        <f t="shared" si="143"/>
        <v>24</v>
      </c>
      <c r="C4737" s="107">
        <f ca="1">OFFSET(tab_tipo_Combustivel!$A$1,MATCH(B4737,tab_tipo_Combustivel!$A$2:$A$150,0),MATCH(A4737,tab_tipo_Combustivel!$B$1:$AQ$1,0),1,1)</f>
        <v>155.85</v>
      </c>
    </row>
    <row r="4738" spans="1:3">
      <c r="A4738" s="3">
        <f t="shared" si="142"/>
        <v>2047</v>
      </c>
      <c r="B4738" s="106">
        <f t="shared" si="143"/>
        <v>25</v>
      </c>
      <c r="C4738" s="107">
        <f ca="1">OFFSET(tab_tipo_Combustivel!$A$1,MATCH(B4738,tab_tipo_Combustivel!$A$2:$A$150,0),MATCH(A4738,tab_tipo_Combustivel!$B$1:$AQ$1,0),1,1)</f>
        <v>186.33</v>
      </c>
    </row>
    <row r="4739" spans="1:3">
      <c r="A4739" s="3">
        <f t="shared" si="142"/>
        <v>2047</v>
      </c>
      <c r="B4739" s="106">
        <f t="shared" si="143"/>
        <v>26</v>
      </c>
      <c r="C4739" s="107">
        <f ca="1">OFFSET(tab_tipo_Combustivel!$A$1,MATCH(B4739,tab_tipo_Combustivel!$A$2:$A$150,0),MATCH(A4739,tab_tipo_Combustivel!$B$1:$AQ$1,0),1,1)</f>
        <v>258.42</v>
      </c>
    </row>
    <row r="4740" spans="1:3">
      <c r="A4740" s="3">
        <f t="shared" si="142"/>
        <v>2047</v>
      </c>
      <c r="B4740" s="106">
        <f t="shared" si="143"/>
        <v>27</v>
      </c>
      <c r="C4740" s="107">
        <f ca="1">OFFSET(tab_tipo_Combustivel!$A$1,MATCH(B4740,tab_tipo_Combustivel!$A$2:$A$150,0),MATCH(A4740,tab_tipo_Combustivel!$B$1:$AQ$1,0),1,1)</f>
        <v>195.49</v>
      </c>
    </row>
    <row r="4741" spans="1:3">
      <c r="A4741" s="3">
        <f t="shared" si="142"/>
        <v>2047</v>
      </c>
      <c r="B4741" s="106">
        <f t="shared" si="143"/>
        <v>28</v>
      </c>
      <c r="C4741" s="107">
        <f ca="1">OFFSET(tab_tipo_Combustivel!$A$1,MATCH(B4741,tab_tipo_Combustivel!$A$2:$A$150,0),MATCH(A4741,tab_tipo_Combustivel!$B$1:$AQ$1,0),1,1)</f>
        <v>459.92</v>
      </c>
    </row>
    <row r="4742" spans="1:3">
      <c r="A4742" s="3">
        <f t="shared" si="142"/>
        <v>2047</v>
      </c>
      <c r="B4742" s="106">
        <f t="shared" si="143"/>
        <v>32</v>
      </c>
      <c r="C4742" s="107">
        <f ca="1">OFFSET(tab_tipo_Combustivel!$A$1,MATCH(B4742,tab_tipo_Combustivel!$A$2:$A$150,0),MATCH(A4742,tab_tipo_Combustivel!$B$1:$AQ$1,0),1,1)</f>
        <v>248.31</v>
      </c>
    </row>
    <row r="4743" spans="1:3">
      <c r="A4743" s="3">
        <f t="shared" si="142"/>
        <v>2047</v>
      </c>
      <c r="B4743" s="106">
        <f t="shared" si="143"/>
        <v>34</v>
      </c>
      <c r="C4743" s="107">
        <f ca="1">OFFSET(tab_tipo_Combustivel!$A$1,MATCH(B4743,tab_tipo_Combustivel!$A$2:$A$150,0),MATCH(A4743,tab_tipo_Combustivel!$B$1:$AQ$1,0),1,1)</f>
        <v>423.38</v>
      </c>
    </row>
    <row r="4744" spans="1:3">
      <c r="A4744" s="3">
        <f t="shared" si="142"/>
        <v>2047</v>
      </c>
      <c r="B4744" s="106">
        <f t="shared" si="143"/>
        <v>35</v>
      </c>
      <c r="C4744" s="107">
        <f ca="1">OFFSET(tab_tipo_Combustivel!$A$1,MATCH(B4744,tab_tipo_Combustivel!$A$2:$A$150,0),MATCH(A4744,tab_tipo_Combustivel!$B$1:$AQ$1,0),1,1)</f>
        <v>692.45</v>
      </c>
    </row>
    <row r="4745" spans="1:3">
      <c r="A4745" s="3">
        <f t="shared" si="142"/>
        <v>2047</v>
      </c>
      <c r="B4745" s="106">
        <f t="shared" si="143"/>
        <v>36</v>
      </c>
      <c r="C4745" s="107">
        <f ca="1">OFFSET(tab_tipo_Combustivel!$A$1,MATCH(B4745,tab_tipo_Combustivel!$A$2:$A$150,0),MATCH(A4745,tab_tipo_Combustivel!$B$1:$AQ$1,0),1,1)</f>
        <v>157.83000000000001</v>
      </c>
    </row>
    <row r="4746" spans="1:3">
      <c r="A4746" s="3">
        <f t="shared" ref="A4746:A4809" si="144">A4611+1</f>
        <v>2047</v>
      </c>
      <c r="B4746" s="106">
        <f t="shared" ref="B4746:B4809" si="145">B4611</f>
        <v>42</v>
      </c>
      <c r="C4746" s="107">
        <f ca="1">OFFSET(tab_tipo_Combustivel!$A$1,MATCH(B4746,tab_tipo_Combustivel!$A$2:$A$150,0),MATCH(A4746,tab_tipo_Combustivel!$B$1:$AQ$1,0),1,1)</f>
        <v>199.22</v>
      </c>
    </row>
    <row r="4747" spans="1:3">
      <c r="A4747" s="3">
        <f t="shared" si="144"/>
        <v>2047</v>
      </c>
      <c r="B4747" s="106">
        <f t="shared" si="145"/>
        <v>43</v>
      </c>
      <c r="C4747" s="107">
        <f ca="1">OFFSET(tab_tipo_Combustivel!$A$1,MATCH(B4747,tab_tipo_Combustivel!$A$2:$A$150,0),MATCH(A4747,tab_tipo_Combustivel!$B$1:$AQ$1,0),1,1)</f>
        <v>431.62</v>
      </c>
    </row>
    <row r="4748" spans="1:3">
      <c r="A4748" s="3">
        <f t="shared" si="144"/>
        <v>2047</v>
      </c>
      <c r="B4748" s="106">
        <f t="shared" si="145"/>
        <v>44</v>
      </c>
      <c r="C4748" s="107">
        <f ca="1">OFFSET(tab_tipo_Combustivel!$A$1,MATCH(B4748,tab_tipo_Combustivel!$A$2:$A$150,0),MATCH(A4748,tab_tipo_Combustivel!$B$1:$AQ$1,0),1,1)</f>
        <v>25.58</v>
      </c>
    </row>
    <row r="4749" spans="1:3">
      <c r="A4749" s="3">
        <f t="shared" si="144"/>
        <v>2047</v>
      </c>
      <c r="B4749" s="106">
        <f t="shared" si="145"/>
        <v>46</v>
      </c>
      <c r="C4749" s="107">
        <f ca="1">OFFSET(tab_tipo_Combustivel!$A$1,MATCH(B4749,tab_tipo_Combustivel!$A$2:$A$150,0),MATCH(A4749,tab_tipo_Combustivel!$B$1:$AQ$1,0),1,1)</f>
        <v>228.91</v>
      </c>
    </row>
    <row r="4750" spans="1:3">
      <c r="A4750" s="3">
        <f t="shared" si="144"/>
        <v>2047</v>
      </c>
      <c r="B4750" s="106">
        <f t="shared" si="145"/>
        <v>47</v>
      </c>
      <c r="C4750" s="107">
        <f ca="1">OFFSET(tab_tipo_Combustivel!$A$1,MATCH(B4750,tab_tipo_Combustivel!$A$2:$A$150,0),MATCH(A4750,tab_tipo_Combustivel!$B$1:$AQ$1,0),1,1)</f>
        <v>235.6</v>
      </c>
    </row>
    <row r="4751" spans="1:3">
      <c r="A4751" s="3">
        <f t="shared" si="144"/>
        <v>2047</v>
      </c>
      <c r="B4751" s="106">
        <f t="shared" si="145"/>
        <v>48</v>
      </c>
      <c r="C4751" s="107">
        <f ca="1">OFFSET(tab_tipo_Combustivel!$A$1,MATCH(B4751,tab_tipo_Combustivel!$A$2:$A$150,0),MATCH(A4751,tab_tipo_Combustivel!$B$1:$AQ$1,0),1,1)</f>
        <v>1012.12</v>
      </c>
    </row>
    <row r="4752" spans="1:3">
      <c r="A4752" s="3">
        <f t="shared" si="144"/>
        <v>2047</v>
      </c>
      <c r="B4752" s="106">
        <f t="shared" si="145"/>
        <v>50</v>
      </c>
      <c r="C4752" s="107">
        <f ca="1">OFFSET(tab_tipo_Combustivel!$A$1,MATCH(B4752,tab_tipo_Combustivel!$A$2:$A$150,0),MATCH(A4752,tab_tipo_Combustivel!$B$1:$AQ$1,0),1,1)</f>
        <v>669.87</v>
      </c>
    </row>
    <row r="4753" spans="1:3">
      <c r="A4753" s="3">
        <f t="shared" si="144"/>
        <v>2047</v>
      </c>
      <c r="B4753" s="106">
        <f t="shared" si="145"/>
        <v>54</v>
      </c>
      <c r="C4753" s="107">
        <f ca="1">OFFSET(tab_tipo_Combustivel!$A$1,MATCH(B4753,tab_tipo_Combustivel!$A$2:$A$150,0),MATCH(A4753,tab_tipo_Combustivel!$B$1:$AQ$1,0),1,1)</f>
        <v>304.55</v>
      </c>
    </row>
    <row r="4754" spans="1:3">
      <c r="A4754" s="3">
        <f t="shared" si="144"/>
        <v>2047</v>
      </c>
      <c r="B4754" s="106">
        <f t="shared" si="145"/>
        <v>58</v>
      </c>
      <c r="C4754" s="107">
        <f ca="1">OFFSET(tab_tipo_Combustivel!$A$1,MATCH(B4754,tab_tipo_Combustivel!$A$2:$A$150,0),MATCH(A4754,tab_tipo_Combustivel!$B$1:$AQ$1,0),1,1)</f>
        <v>300.05</v>
      </c>
    </row>
    <row r="4755" spans="1:3">
      <c r="A4755" s="3">
        <f t="shared" si="144"/>
        <v>2047</v>
      </c>
      <c r="B4755" s="106">
        <f t="shared" si="145"/>
        <v>62</v>
      </c>
      <c r="C4755" s="107">
        <f ca="1">OFFSET(tab_tipo_Combustivel!$A$1,MATCH(B4755,tab_tipo_Combustivel!$A$2:$A$150,0),MATCH(A4755,tab_tipo_Combustivel!$B$1:$AQ$1,0),1,1)</f>
        <v>309.24</v>
      </c>
    </row>
    <row r="4756" spans="1:3">
      <c r="A4756" s="3">
        <f t="shared" si="144"/>
        <v>2047</v>
      </c>
      <c r="B4756" s="106">
        <f t="shared" si="145"/>
        <v>63</v>
      </c>
      <c r="C4756" s="107">
        <f ca="1">OFFSET(tab_tipo_Combustivel!$A$1,MATCH(B4756,tab_tipo_Combustivel!$A$2:$A$150,0),MATCH(A4756,tab_tipo_Combustivel!$B$1:$AQ$1,0),1,1)</f>
        <v>365.77</v>
      </c>
    </row>
    <row r="4757" spans="1:3">
      <c r="A4757" s="3">
        <f t="shared" si="144"/>
        <v>2047</v>
      </c>
      <c r="B4757" s="106">
        <f t="shared" si="145"/>
        <v>64</v>
      </c>
      <c r="C4757" s="107">
        <f ca="1">OFFSET(tab_tipo_Combustivel!$A$1,MATCH(B4757,tab_tipo_Combustivel!$A$2:$A$150,0),MATCH(A4757,tab_tipo_Combustivel!$B$1:$AQ$1,0),1,1)</f>
        <v>853.54</v>
      </c>
    </row>
    <row r="4758" spans="1:3">
      <c r="A4758" s="3">
        <f t="shared" si="144"/>
        <v>2047</v>
      </c>
      <c r="B4758" s="106">
        <f t="shared" si="145"/>
        <v>68</v>
      </c>
      <c r="C4758" s="107">
        <f ca="1">OFFSET(tab_tipo_Combustivel!$A$1,MATCH(B4758,tab_tipo_Combustivel!$A$2:$A$150,0),MATCH(A4758,tab_tipo_Combustivel!$B$1:$AQ$1,0),1,1)</f>
        <v>195.63</v>
      </c>
    </row>
    <row r="4759" spans="1:3">
      <c r="A4759" s="3">
        <f t="shared" si="144"/>
        <v>2047</v>
      </c>
      <c r="B4759" s="106">
        <f t="shared" si="145"/>
        <v>74</v>
      </c>
      <c r="C4759" s="107">
        <f ca="1">OFFSET(tab_tipo_Combustivel!$A$1,MATCH(B4759,tab_tipo_Combustivel!$A$2:$A$150,0),MATCH(A4759,tab_tipo_Combustivel!$B$1:$AQ$1,0),1,1)</f>
        <v>364.46</v>
      </c>
    </row>
    <row r="4760" spans="1:3">
      <c r="A4760" s="3">
        <f t="shared" si="144"/>
        <v>2047</v>
      </c>
      <c r="B4760" s="106">
        <f t="shared" si="145"/>
        <v>83</v>
      </c>
      <c r="C4760" s="107">
        <f ca="1">OFFSET(tab_tipo_Combustivel!$A$1,MATCH(B4760,tab_tipo_Combustivel!$A$2:$A$150,0),MATCH(A4760,tab_tipo_Combustivel!$B$1:$AQ$1,0),1,1)</f>
        <v>448.1</v>
      </c>
    </row>
    <row r="4761" spans="1:3">
      <c r="A4761" s="3">
        <f t="shared" si="144"/>
        <v>2047</v>
      </c>
      <c r="B4761" s="106">
        <f t="shared" si="145"/>
        <v>86</v>
      </c>
      <c r="C4761" s="107">
        <f ca="1">OFFSET(tab_tipo_Combustivel!$A$1,MATCH(B4761,tab_tipo_Combustivel!$A$2:$A$150,0),MATCH(A4761,tab_tipo_Combustivel!$B$1:$AQ$1,0),1,1)</f>
        <v>170.34</v>
      </c>
    </row>
    <row r="4762" spans="1:3">
      <c r="A4762" s="3">
        <f t="shared" si="144"/>
        <v>2047</v>
      </c>
      <c r="B4762" s="106">
        <f t="shared" si="145"/>
        <v>90</v>
      </c>
      <c r="C4762" s="107">
        <f ca="1">OFFSET(tab_tipo_Combustivel!$A$1,MATCH(B4762,tab_tipo_Combustivel!$A$2:$A$150,0),MATCH(A4762,tab_tipo_Combustivel!$B$1:$AQ$1,0),1,1)</f>
        <v>533.1</v>
      </c>
    </row>
    <row r="4763" spans="1:3">
      <c r="A4763" s="3">
        <f t="shared" si="144"/>
        <v>2047</v>
      </c>
      <c r="B4763" s="106">
        <f t="shared" si="145"/>
        <v>93</v>
      </c>
      <c r="C4763" s="107">
        <f ca="1">OFFSET(tab_tipo_Combustivel!$A$1,MATCH(B4763,tab_tipo_Combustivel!$A$2:$A$150,0),MATCH(A4763,tab_tipo_Combustivel!$B$1:$AQ$1,0),1,1)</f>
        <v>842.33</v>
      </c>
    </row>
    <row r="4764" spans="1:3">
      <c r="A4764" s="3">
        <f t="shared" si="144"/>
        <v>2047</v>
      </c>
      <c r="B4764" s="106">
        <f t="shared" si="145"/>
        <v>94</v>
      </c>
      <c r="C4764" s="107">
        <f ca="1">OFFSET(tab_tipo_Combustivel!$A$1,MATCH(B4764,tab_tipo_Combustivel!$A$2:$A$150,0),MATCH(A4764,tab_tipo_Combustivel!$B$1:$AQ$1,0),1,1)</f>
        <v>842.33</v>
      </c>
    </row>
    <row r="4765" spans="1:3">
      <c r="A4765" s="3">
        <f t="shared" si="144"/>
        <v>2047</v>
      </c>
      <c r="B4765" s="106">
        <f t="shared" si="145"/>
        <v>96</v>
      </c>
      <c r="C4765" s="107">
        <f ca="1">OFFSET(tab_tipo_Combustivel!$A$1,MATCH(B4765,tab_tipo_Combustivel!$A$2:$A$150,0),MATCH(A4765,tab_tipo_Combustivel!$B$1:$AQ$1,0),1,1)</f>
        <v>99.92</v>
      </c>
    </row>
    <row r="4766" spans="1:3">
      <c r="A4766" s="3">
        <f t="shared" si="144"/>
        <v>2047</v>
      </c>
      <c r="B4766" s="106">
        <f t="shared" si="145"/>
        <v>98</v>
      </c>
      <c r="C4766" s="107">
        <f ca="1">OFFSET(tab_tipo_Combustivel!$A$1,MATCH(B4766,tab_tipo_Combustivel!$A$2:$A$150,0),MATCH(A4766,tab_tipo_Combustivel!$B$1:$AQ$1,0),1,1)</f>
        <v>489.8</v>
      </c>
    </row>
    <row r="4767" spans="1:3">
      <c r="A4767" s="3">
        <f t="shared" si="144"/>
        <v>2047</v>
      </c>
      <c r="B4767" s="106">
        <f t="shared" si="145"/>
        <v>107</v>
      </c>
      <c r="C4767" s="107">
        <f ca="1">OFFSET(tab_tipo_Combustivel!$A$1,MATCH(B4767,tab_tipo_Combustivel!$A$2:$A$150,0),MATCH(A4767,tab_tipo_Combustivel!$B$1:$AQ$1,0),1,1)</f>
        <v>57.63</v>
      </c>
    </row>
    <row r="4768" spans="1:3">
      <c r="A4768" s="3">
        <f t="shared" si="144"/>
        <v>2047</v>
      </c>
      <c r="B4768" s="106">
        <f t="shared" si="145"/>
        <v>110</v>
      </c>
      <c r="C4768" s="107">
        <f ca="1">OFFSET(tab_tipo_Combustivel!$A$1,MATCH(B4768,tab_tipo_Combustivel!$A$2:$A$150,0),MATCH(A4768,tab_tipo_Combustivel!$B$1:$AQ$1,0),1,1)</f>
        <v>568.29</v>
      </c>
    </row>
    <row r="4769" spans="1:3">
      <c r="A4769" s="3">
        <f t="shared" si="144"/>
        <v>2047</v>
      </c>
      <c r="B4769" s="106">
        <f t="shared" si="145"/>
        <v>116</v>
      </c>
      <c r="C4769" s="107">
        <f ca="1">OFFSET(tab_tipo_Combustivel!$A$1,MATCH(B4769,tab_tipo_Combustivel!$A$2:$A$150,0),MATCH(A4769,tab_tipo_Combustivel!$B$1:$AQ$1,0),1,1)</f>
        <v>117.46</v>
      </c>
    </row>
    <row r="4770" spans="1:3">
      <c r="A4770" s="3">
        <f t="shared" si="144"/>
        <v>2047</v>
      </c>
      <c r="B4770" s="106">
        <f t="shared" si="145"/>
        <v>140</v>
      </c>
      <c r="C4770" s="107">
        <f ca="1">OFFSET(tab_tipo_Combustivel!$A$1,MATCH(B4770,tab_tipo_Combustivel!$A$2:$A$150,0),MATCH(A4770,tab_tipo_Combustivel!$B$1:$AQ$1,0),1,1)</f>
        <v>88.11</v>
      </c>
    </row>
    <row r="4771" spans="1:3">
      <c r="A4771" s="3">
        <f t="shared" si="144"/>
        <v>2047</v>
      </c>
      <c r="B4771" s="106">
        <f t="shared" si="145"/>
        <v>141</v>
      </c>
      <c r="C4771" s="107">
        <f ca="1">OFFSET(tab_tipo_Combustivel!$A$1,MATCH(B4771,tab_tipo_Combustivel!$A$2:$A$150,0),MATCH(A4771,tab_tipo_Combustivel!$B$1:$AQ$1,0),1,1)</f>
        <v>1280.52</v>
      </c>
    </row>
    <row r="4772" spans="1:3">
      <c r="A4772" s="3">
        <f t="shared" si="144"/>
        <v>2047</v>
      </c>
      <c r="B4772" s="106">
        <f t="shared" si="145"/>
        <v>147</v>
      </c>
      <c r="C4772" s="107">
        <f ca="1">OFFSET(tab_tipo_Combustivel!$A$1,MATCH(B4772,tab_tipo_Combustivel!$A$2:$A$150,0),MATCH(A4772,tab_tipo_Combustivel!$B$1:$AQ$1,0),1,1)</f>
        <v>134.18</v>
      </c>
    </row>
    <row r="4773" spans="1:3">
      <c r="A4773" s="3">
        <f t="shared" si="144"/>
        <v>2047</v>
      </c>
      <c r="B4773" s="106">
        <f t="shared" si="145"/>
        <v>156</v>
      </c>
      <c r="C4773" s="107">
        <f ca="1">OFFSET(tab_tipo_Combustivel!$A$1,MATCH(B4773,tab_tipo_Combustivel!$A$2:$A$150,0),MATCH(A4773,tab_tipo_Combustivel!$B$1:$AQ$1,0),1,1)</f>
        <v>77.12</v>
      </c>
    </row>
    <row r="4774" spans="1:3">
      <c r="A4774" s="3">
        <f t="shared" si="144"/>
        <v>2047</v>
      </c>
      <c r="B4774" s="106">
        <f t="shared" si="145"/>
        <v>163</v>
      </c>
      <c r="C4774" s="107">
        <f ca="1">OFFSET(tab_tipo_Combustivel!$A$1,MATCH(B4774,tab_tipo_Combustivel!$A$2:$A$150,0),MATCH(A4774,tab_tipo_Combustivel!$B$1:$AQ$1,0),1,1)</f>
        <v>156.69999999999999</v>
      </c>
    </row>
    <row r="4775" spans="1:3">
      <c r="A4775" s="3">
        <f t="shared" si="144"/>
        <v>2047</v>
      </c>
      <c r="B4775" s="106">
        <f t="shared" si="145"/>
        <v>167</v>
      </c>
      <c r="C4775" s="107">
        <f ca="1">OFFSET(tab_tipo_Combustivel!$A$1,MATCH(B4775,tab_tipo_Combustivel!$A$2:$A$150,0),MATCH(A4775,tab_tipo_Combustivel!$B$1:$AQ$1,0),1,1)</f>
        <v>144.66999999999999</v>
      </c>
    </row>
    <row r="4776" spans="1:3">
      <c r="A4776" s="3">
        <f t="shared" si="144"/>
        <v>2047</v>
      </c>
      <c r="B4776" s="106">
        <f t="shared" si="145"/>
        <v>171</v>
      </c>
      <c r="C4776" s="107">
        <f ca="1">OFFSET(tab_tipo_Combustivel!$A$1,MATCH(B4776,tab_tipo_Combustivel!$A$2:$A$150,0),MATCH(A4776,tab_tipo_Combustivel!$B$1:$AQ$1,0),1,1)</f>
        <v>88</v>
      </c>
    </row>
    <row r="4777" spans="1:3">
      <c r="A4777" s="3">
        <f t="shared" si="144"/>
        <v>2047</v>
      </c>
      <c r="B4777" s="106">
        <f t="shared" si="145"/>
        <v>172</v>
      </c>
      <c r="C4777" s="107">
        <f ca="1">OFFSET(tab_tipo_Combustivel!$A$1,MATCH(B4777,tab_tipo_Combustivel!$A$2:$A$150,0),MATCH(A4777,tab_tipo_Combustivel!$B$1:$AQ$1,0),1,1)</f>
        <v>99.97</v>
      </c>
    </row>
    <row r="4778" spans="1:3">
      <c r="A4778" s="3">
        <f t="shared" si="144"/>
        <v>2047</v>
      </c>
      <c r="B4778" s="106">
        <f t="shared" si="145"/>
        <v>173</v>
      </c>
      <c r="C4778" s="107">
        <f ca="1">OFFSET(tab_tipo_Combustivel!$A$1,MATCH(B4778,tab_tipo_Combustivel!$A$2:$A$150,0),MATCH(A4778,tab_tipo_Combustivel!$B$1:$AQ$1,0),1,1)</f>
        <v>192.03</v>
      </c>
    </row>
    <row r="4779" spans="1:3">
      <c r="A4779" s="3">
        <f t="shared" si="144"/>
        <v>2047</v>
      </c>
      <c r="B4779" s="106">
        <f t="shared" si="145"/>
        <v>174</v>
      </c>
      <c r="C4779" s="107">
        <f ca="1">OFFSET(tab_tipo_Combustivel!$A$1,MATCH(B4779,tab_tipo_Combustivel!$A$2:$A$150,0),MATCH(A4779,tab_tipo_Combustivel!$B$1:$AQ$1,0),1,1)</f>
        <v>331.22</v>
      </c>
    </row>
    <row r="4780" spans="1:3">
      <c r="A4780" s="3">
        <f t="shared" si="144"/>
        <v>2047</v>
      </c>
      <c r="B4780" s="106">
        <f t="shared" si="145"/>
        <v>176</v>
      </c>
      <c r="C4780" s="107">
        <f ca="1">OFFSET(tab_tipo_Combustivel!$A$1,MATCH(B4780,tab_tipo_Combustivel!$A$2:$A$150,0),MATCH(A4780,tab_tipo_Combustivel!$B$1:$AQ$1,0),1,1)</f>
        <v>149.47999999999999</v>
      </c>
    </row>
    <row r="4781" spans="1:3">
      <c r="A4781" s="3">
        <f t="shared" si="144"/>
        <v>2047</v>
      </c>
      <c r="B4781" s="106">
        <f t="shared" si="145"/>
        <v>183</v>
      </c>
      <c r="C4781" s="107">
        <f ca="1">OFFSET(tab_tipo_Combustivel!$A$1,MATCH(B4781,tab_tipo_Combustivel!$A$2:$A$150,0),MATCH(A4781,tab_tipo_Combustivel!$B$1:$AQ$1,0),1,1)</f>
        <v>171.61</v>
      </c>
    </row>
    <row r="4782" spans="1:3">
      <c r="A4782" s="3">
        <f t="shared" si="144"/>
        <v>2047</v>
      </c>
      <c r="B4782" s="106">
        <f t="shared" si="145"/>
        <v>194</v>
      </c>
      <c r="C4782" s="107">
        <f ca="1">OFFSET(tab_tipo_Combustivel!$A$1,MATCH(B4782,tab_tipo_Combustivel!$A$2:$A$150,0),MATCH(A4782,tab_tipo_Combustivel!$B$1:$AQ$1,0),1,1)</f>
        <v>1098.58</v>
      </c>
    </row>
    <row r="4783" spans="1:3">
      <c r="A4783" s="3">
        <f t="shared" si="144"/>
        <v>2047</v>
      </c>
      <c r="B4783" s="106">
        <f t="shared" si="145"/>
        <v>203</v>
      </c>
      <c r="C4783" s="107">
        <f ca="1">OFFSET(tab_tipo_Combustivel!$A$1,MATCH(B4783,tab_tipo_Combustivel!$A$2:$A$150,0),MATCH(A4783,tab_tipo_Combustivel!$B$1:$AQ$1,0),1,1)</f>
        <v>0</v>
      </c>
    </row>
    <row r="4784" spans="1:3">
      <c r="A4784" s="3">
        <f t="shared" si="144"/>
        <v>2047</v>
      </c>
      <c r="B4784" s="106">
        <f t="shared" si="145"/>
        <v>204</v>
      </c>
      <c r="C4784" s="107">
        <f ca="1">OFFSET(tab_tipo_Combustivel!$A$1,MATCH(B4784,tab_tipo_Combustivel!$A$2:$A$150,0),MATCH(A4784,tab_tipo_Combustivel!$B$1:$AQ$1,0),1,1)</f>
        <v>0</v>
      </c>
    </row>
    <row r="4785" spans="1:3">
      <c r="A4785" s="3">
        <f t="shared" si="144"/>
        <v>2047</v>
      </c>
      <c r="B4785" s="106">
        <f t="shared" si="145"/>
        <v>205</v>
      </c>
      <c r="C4785" s="107">
        <f ca="1">OFFSET(tab_tipo_Combustivel!$A$1,MATCH(B4785,tab_tipo_Combustivel!$A$2:$A$150,0),MATCH(A4785,tab_tipo_Combustivel!$B$1:$AQ$1,0),1,1)</f>
        <v>0</v>
      </c>
    </row>
    <row r="4786" spans="1:3">
      <c r="A4786" s="3">
        <f t="shared" si="144"/>
        <v>2047</v>
      </c>
      <c r="B4786" s="106">
        <f t="shared" si="145"/>
        <v>207</v>
      </c>
      <c r="C4786" s="107">
        <f ca="1">OFFSET(tab_tipo_Combustivel!$A$1,MATCH(B4786,tab_tipo_Combustivel!$A$2:$A$150,0),MATCH(A4786,tab_tipo_Combustivel!$B$1:$AQ$1,0),1,1)</f>
        <v>0</v>
      </c>
    </row>
    <row r="4787" spans="1:3">
      <c r="A4787" s="3">
        <f t="shared" si="144"/>
        <v>2047</v>
      </c>
      <c r="B4787" s="106">
        <f t="shared" si="145"/>
        <v>208</v>
      </c>
      <c r="C4787" s="107">
        <f ca="1">OFFSET(tab_tipo_Combustivel!$A$1,MATCH(B4787,tab_tipo_Combustivel!$A$2:$A$150,0),MATCH(A4787,tab_tipo_Combustivel!$B$1:$AQ$1,0),1,1)</f>
        <v>783.64</v>
      </c>
    </row>
    <row r="4788" spans="1:3">
      <c r="A4788" s="3">
        <f t="shared" si="144"/>
        <v>2047</v>
      </c>
      <c r="B4788" s="106">
        <f t="shared" si="145"/>
        <v>209</v>
      </c>
      <c r="C4788" s="107">
        <f ca="1">OFFSET(tab_tipo_Combustivel!$A$1,MATCH(B4788,tab_tipo_Combustivel!$A$2:$A$150,0),MATCH(A4788,tab_tipo_Combustivel!$B$1:$AQ$1,0),1,1)</f>
        <v>0</v>
      </c>
    </row>
    <row r="4789" spans="1:3">
      <c r="A4789" s="3">
        <f t="shared" si="144"/>
        <v>2047</v>
      </c>
      <c r="B4789" s="106">
        <f t="shared" si="145"/>
        <v>211</v>
      </c>
      <c r="C4789" s="107">
        <f ca="1">OFFSET(tab_tipo_Combustivel!$A$1,MATCH(B4789,tab_tipo_Combustivel!$A$2:$A$150,0),MATCH(A4789,tab_tipo_Combustivel!$B$1:$AQ$1,0),1,1)</f>
        <v>150.79</v>
      </c>
    </row>
    <row r="4790" spans="1:3">
      <c r="A4790" s="3">
        <f t="shared" si="144"/>
        <v>2047</v>
      </c>
      <c r="B4790" s="106">
        <f t="shared" si="145"/>
        <v>212</v>
      </c>
      <c r="C4790" s="107">
        <f ca="1">OFFSET(tab_tipo_Combustivel!$A$1,MATCH(B4790,tab_tipo_Combustivel!$A$2:$A$150,0),MATCH(A4790,tab_tipo_Combustivel!$B$1:$AQ$1,0),1,1)</f>
        <v>84.58</v>
      </c>
    </row>
    <row r="4791" spans="1:3">
      <c r="A4791" s="3">
        <f t="shared" si="144"/>
        <v>2047</v>
      </c>
      <c r="B4791" s="106">
        <f t="shared" si="145"/>
        <v>224</v>
      </c>
      <c r="C4791" s="107">
        <f ca="1">OFFSET(tab_tipo_Combustivel!$A$1,MATCH(B4791,tab_tipo_Combustivel!$A$2:$A$150,0),MATCH(A4791,tab_tipo_Combustivel!$B$1:$AQ$1,0),1,1)</f>
        <v>31.08</v>
      </c>
    </row>
    <row r="4792" spans="1:3">
      <c r="A4792" s="3">
        <f t="shared" si="144"/>
        <v>2047</v>
      </c>
      <c r="B4792" s="106">
        <f t="shared" si="145"/>
        <v>225</v>
      </c>
      <c r="C4792" s="107">
        <f ca="1">OFFSET(tab_tipo_Combustivel!$A$1,MATCH(B4792,tab_tipo_Combustivel!$A$2:$A$150,0),MATCH(A4792,tab_tipo_Combustivel!$B$1:$AQ$1,0),1,1)</f>
        <v>1329.7</v>
      </c>
    </row>
    <row r="4793" spans="1:3">
      <c r="A4793" s="3">
        <f t="shared" si="144"/>
        <v>2047</v>
      </c>
      <c r="B4793" s="106">
        <f t="shared" si="145"/>
        <v>226</v>
      </c>
      <c r="C4793" s="107">
        <f ca="1">OFFSET(tab_tipo_Combustivel!$A$1,MATCH(B4793,tab_tipo_Combustivel!$A$2:$A$150,0),MATCH(A4793,tab_tipo_Combustivel!$B$1:$AQ$1,0),1,1)</f>
        <v>1061.1300000000001</v>
      </c>
    </row>
    <row r="4794" spans="1:3">
      <c r="A4794" s="3">
        <f t="shared" si="144"/>
        <v>2047</v>
      </c>
      <c r="B4794" s="106">
        <f t="shared" si="145"/>
        <v>227</v>
      </c>
      <c r="C4794" s="107">
        <f ca="1">OFFSET(tab_tipo_Combustivel!$A$1,MATCH(B4794,tab_tipo_Combustivel!$A$2:$A$150,0),MATCH(A4794,tab_tipo_Combustivel!$B$1:$AQ$1,0),1,1)</f>
        <v>447.52</v>
      </c>
    </row>
    <row r="4795" spans="1:3">
      <c r="A4795" s="3">
        <f t="shared" si="144"/>
        <v>2047</v>
      </c>
      <c r="B4795" s="106">
        <f t="shared" si="145"/>
        <v>228</v>
      </c>
      <c r="C4795" s="107">
        <f ca="1">OFFSET(tab_tipo_Combustivel!$A$1,MATCH(B4795,tab_tipo_Combustivel!$A$2:$A$150,0),MATCH(A4795,tab_tipo_Combustivel!$B$1:$AQ$1,0),1,1)</f>
        <v>1061.1400000000001</v>
      </c>
    </row>
    <row r="4796" spans="1:3">
      <c r="A4796" s="3">
        <f t="shared" si="144"/>
        <v>2047</v>
      </c>
      <c r="B4796" s="106">
        <f t="shared" si="145"/>
        <v>229</v>
      </c>
      <c r="C4796" s="107">
        <f ca="1">OFFSET(tab_tipo_Combustivel!$A$1,MATCH(B4796,tab_tipo_Combustivel!$A$2:$A$150,0),MATCH(A4796,tab_tipo_Combustivel!$B$1:$AQ$1,0),1,1)</f>
        <v>942.05</v>
      </c>
    </row>
    <row r="4797" spans="1:3">
      <c r="A4797" s="3">
        <f t="shared" si="144"/>
        <v>2047</v>
      </c>
      <c r="B4797" s="106">
        <f t="shared" si="145"/>
        <v>230</v>
      </c>
      <c r="C4797" s="107">
        <f ca="1">OFFSET(tab_tipo_Combustivel!$A$1,MATCH(B4797,tab_tipo_Combustivel!$A$2:$A$150,0),MATCH(A4797,tab_tipo_Combustivel!$B$1:$AQ$1,0),1,1)</f>
        <v>495.06</v>
      </c>
    </row>
    <row r="4798" spans="1:3">
      <c r="A4798" s="3">
        <f t="shared" si="144"/>
        <v>2047</v>
      </c>
      <c r="B4798" s="106">
        <f t="shared" si="145"/>
        <v>231</v>
      </c>
      <c r="C4798" s="107">
        <f ca="1">OFFSET(tab_tipo_Combustivel!$A$1,MATCH(B4798,tab_tipo_Combustivel!$A$2:$A$150,0),MATCH(A4798,tab_tipo_Combustivel!$B$1:$AQ$1,0),1,1)</f>
        <v>489.29</v>
      </c>
    </row>
    <row r="4799" spans="1:3">
      <c r="A4799" s="3">
        <f t="shared" si="144"/>
        <v>2047</v>
      </c>
      <c r="B4799" s="106">
        <f t="shared" si="145"/>
        <v>232</v>
      </c>
      <c r="C4799" s="107">
        <f ca="1">OFFSET(tab_tipo_Combustivel!$A$1,MATCH(B4799,tab_tipo_Combustivel!$A$2:$A$150,0),MATCH(A4799,tab_tipo_Combustivel!$B$1:$AQ$1,0),1,1)</f>
        <v>842.33</v>
      </c>
    </row>
    <row r="4800" spans="1:3">
      <c r="A4800" s="3">
        <f t="shared" si="144"/>
        <v>2047</v>
      </c>
      <c r="B4800" s="106">
        <f t="shared" si="145"/>
        <v>233</v>
      </c>
      <c r="C4800" s="107">
        <f ca="1">OFFSET(tab_tipo_Combustivel!$A$1,MATCH(B4800,tab_tipo_Combustivel!$A$2:$A$150,0),MATCH(A4800,tab_tipo_Combustivel!$B$1:$AQ$1,0),1,1)</f>
        <v>984.29</v>
      </c>
    </row>
    <row r="4801" spans="1:3">
      <c r="A4801" s="3">
        <f t="shared" si="144"/>
        <v>2047</v>
      </c>
      <c r="B4801" s="106">
        <f t="shared" si="145"/>
        <v>234</v>
      </c>
      <c r="C4801" s="107">
        <f ca="1">OFFSET(tab_tipo_Combustivel!$A$1,MATCH(B4801,tab_tipo_Combustivel!$A$2:$A$150,0),MATCH(A4801,tab_tipo_Combustivel!$B$1:$AQ$1,0),1,1)</f>
        <v>290.26</v>
      </c>
    </row>
    <row r="4802" spans="1:3">
      <c r="A4802" s="3">
        <f t="shared" si="144"/>
        <v>2047</v>
      </c>
      <c r="B4802" s="106">
        <f t="shared" si="145"/>
        <v>235</v>
      </c>
      <c r="C4802" s="107">
        <f ca="1">OFFSET(tab_tipo_Combustivel!$A$1,MATCH(B4802,tab_tipo_Combustivel!$A$2:$A$150,0),MATCH(A4802,tab_tipo_Combustivel!$B$1:$AQ$1,0),1,1)</f>
        <v>1350.87</v>
      </c>
    </row>
    <row r="4803" spans="1:3">
      <c r="A4803" s="3">
        <f t="shared" si="144"/>
        <v>2047</v>
      </c>
      <c r="B4803" s="106">
        <f t="shared" si="145"/>
        <v>236</v>
      </c>
      <c r="C4803" s="107">
        <f ca="1">OFFSET(tab_tipo_Combustivel!$A$1,MATCH(B4803,tab_tipo_Combustivel!$A$2:$A$150,0),MATCH(A4803,tab_tipo_Combustivel!$B$1:$AQ$1,0),1,1)</f>
        <v>842.33</v>
      </c>
    </row>
    <row r="4804" spans="1:3">
      <c r="A4804" s="3">
        <f t="shared" si="144"/>
        <v>2047</v>
      </c>
      <c r="B4804" s="106">
        <f t="shared" si="145"/>
        <v>237</v>
      </c>
      <c r="C4804" s="107">
        <f ca="1">OFFSET(tab_tipo_Combustivel!$A$1,MATCH(B4804,tab_tipo_Combustivel!$A$2:$A$150,0),MATCH(A4804,tab_tipo_Combustivel!$B$1:$AQ$1,0),1,1)</f>
        <v>760.85</v>
      </c>
    </row>
    <row r="4805" spans="1:3">
      <c r="A4805" s="3">
        <f t="shared" si="144"/>
        <v>2047</v>
      </c>
      <c r="B4805" s="106">
        <f t="shared" si="145"/>
        <v>238</v>
      </c>
      <c r="C4805" s="107">
        <f ca="1">OFFSET(tab_tipo_Combustivel!$A$1,MATCH(B4805,tab_tipo_Combustivel!$A$2:$A$150,0),MATCH(A4805,tab_tipo_Combustivel!$B$1:$AQ$1,0),1,1)</f>
        <v>963.75</v>
      </c>
    </row>
    <row r="4806" spans="1:3">
      <c r="A4806" s="3">
        <f t="shared" si="144"/>
        <v>2047</v>
      </c>
      <c r="B4806" s="106">
        <f t="shared" si="145"/>
        <v>239</v>
      </c>
      <c r="C4806" s="107">
        <f ca="1">OFFSET(tab_tipo_Combustivel!$A$1,MATCH(B4806,tab_tipo_Combustivel!$A$2:$A$150,0),MATCH(A4806,tab_tipo_Combustivel!$B$1:$AQ$1,0),1,1)</f>
        <v>963.75</v>
      </c>
    </row>
    <row r="4807" spans="1:3">
      <c r="A4807" s="3">
        <f t="shared" si="144"/>
        <v>2047</v>
      </c>
      <c r="B4807" s="106">
        <f t="shared" si="145"/>
        <v>240</v>
      </c>
      <c r="C4807" s="107">
        <f ca="1">OFFSET(tab_tipo_Combustivel!$A$1,MATCH(B4807,tab_tipo_Combustivel!$A$2:$A$150,0),MATCH(A4807,tab_tipo_Combustivel!$B$1:$AQ$1,0),1,1)</f>
        <v>1115.96</v>
      </c>
    </row>
    <row r="4808" spans="1:3">
      <c r="A4808" s="3">
        <f t="shared" si="144"/>
        <v>2047</v>
      </c>
      <c r="B4808" s="106">
        <f t="shared" si="145"/>
        <v>241</v>
      </c>
      <c r="C4808" s="107">
        <f ca="1">OFFSET(tab_tipo_Combustivel!$A$1,MATCH(B4808,tab_tipo_Combustivel!$A$2:$A$150,0),MATCH(A4808,tab_tipo_Combustivel!$B$1:$AQ$1,0),1,1)</f>
        <v>495.75</v>
      </c>
    </row>
    <row r="4809" spans="1:3">
      <c r="A4809" s="3">
        <f t="shared" si="144"/>
        <v>2047</v>
      </c>
      <c r="B4809" s="106">
        <f t="shared" si="145"/>
        <v>242</v>
      </c>
      <c r="C4809" s="107">
        <f ca="1">OFFSET(tab_tipo_Combustivel!$A$1,MATCH(B4809,tab_tipo_Combustivel!$A$2:$A$150,0),MATCH(A4809,tab_tipo_Combustivel!$B$1:$AQ$1,0),1,1)</f>
        <v>1176.45</v>
      </c>
    </row>
    <row r="4810" spans="1:3">
      <c r="A4810" s="3">
        <f t="shared" ref="A4810:A4873" si="146">A4675+1</f>
        <v>2047</v>
      </c>
      <c r="B4810" s="106">
        <f t="shared" ref="B4810:B4873" si="147">B4675</f>
        <v>243</v>
      </c>
      <c r="C4810" s="107">
        <f ca="1">OFFSET(tab_tipo_Combustivel!$A$1,MATCH(B4810,tab_tipo_Combustivel!$A$2:$A$150,0),MATCH(A4810,tab_tipo_Combustivel!$B$1:$AQ$1,0),1,1)</f>
        <v>495.08</v>
      </c>
    </row>
    <row r="4811" spans="1:3">
      <c r="A4811" s="3">
        <f t="shared" si="146"/>
        <v>2047</v>
      </c>
      <c r="B4811" s="106">
        <f t="shared" si="147"/>
        <v>244</v>
      </c>
      <c r="C4811" s="107">
        <f ca="1">OFFSET(tab_tipo_Combustivel!$A$1,MATCH(B4811,tab_tipo_Combustivel!$A$2:$A$150,0),MATCH(A4811,tab_tipo_Combustivel!$B$1:$AQ$1,0),1,1)</f>
        <v>495.06</v>
      </c>
    </row>
    <row r="4812" spans="1:3">
      <c r="A4812" s="3">
        <f t="shared" si="146"/>
        <v>2047</v>
      </c>
      <c r="B4812" s="106">
        <f t="shared" si="147"/>
        <v>245</v>
      </c>
      <c r="C4812" s="107">
        <f ca="1">OFFSET(tab_tipo_Combustivel!$A$1,MATCH(B4812,tab_tipo_Combustivel!$A$2:$A$150,0),MATCH(A4812,tab_tipo_Combustivel!$B$1:$AQ$1,0),1,1)</f>
        <v>562.65</v>
      </c>
    </row>
    <row r="4813" spans="1:3">
      <c r="A4813" s="3">
        <f t="shared" si="146"/>
        <v>2047</v>
      </c>
      <c r="B4813" s="106">
        <f t="shared" si="147"/>
        <v>246</v>
      </c>
      <c r="C4813" s="107">
        <f ca="1">OFFSET(tab_tipo_Combustivel!$A$1,MATCH(B4813,tab_tipo_Combustivel!$A$2:$A$150,0),MATCH(A4813,tab_tipo_Combustivel!$B$1:$AQ$1,0),1,1)</f>
        <v>1124.53</v>
      </c>
    </row>
    <row r="4814" spans="1:3">
      <c r="A4814" s="3">
        <f t="shared" si="146"/>
        <v>2047</v>
      </c>
      <c r="B4814" s="106">
        <f t="shared" si="147"/>
        <v>247</v>
      </c>
      <c r="C4814" s="107">
        <f ca="1">OFFSET(tab_tipo_Combustivel!$A$1,MATCH(B4814,tab_tipo_Combustivel!$A$2:$A$150,0),MATCH(A4814,tab_tipo_Combustivel!$B$1:$AQ$1,0),1,1)</f>
        <v>609.51</v>
      </c>
    </row>
    <row r="4815" spans="1:3">
      <c r="A4815" s="3">
        <f t="shared" si="146"/>
        <v>2047</v>
      </c>
      <c r="B4815" s="106">
        <f t="shared" si="147"/>
        <v>248</v>
      </c>
      <c r="C4815" s="107">
        <f ca="1">OFFSET(tab_tipo_Combustivel!$A$1,MATCH(B4815,tab_tipo_Combustivel!$A$2:$A$150,0),MATCH(A4815,tab_tipo_Combustivel!$B$1:$AQ$1,0),1,1)</f>
        <v>495.06</v>
      </c>
    </row>
    <row r="4816" spans="1:3">
      <c r="A4816" s="3">
        <f t="shared" si="146"/>
        <v>2047</v>
      </c>
      <c r="B4816" s="106">
        <f t="shared" si="147"/>
        <v>249</v>
      </c>
      <c r="C4816" s="107">
        <f ca="1">OFFSET(tab_tipo_Combustivel!$A$1,MATCH(B4816,tab_tipo_Combustivel!$A$2:$A$150,0),MATCH(A4816,tab_tipo_Combustivel!$B$1:$AQ$1,0),1,1)</f>
        <v>842.33</v>
      </c>
    </row>
    <row r="4817" spans="1:3">
      <c r="A4817" s="3">
        <f t="shared" si="146"/>
        <v>2047</v>
      </c>
      <c r="B4817" s="106">
        <f t="shared" si="147"/>
        <v>250</v>
      </c>
      <c r="C4817" s="107">
        <f ca="1">OFFSET(tab_tipo_Combustivel!$A$1,MATCH(B4817,tab_tipo_Combustivel!$A$2:$A$150,0),MATCH(A4817,tab_tipo_Combustivel!$B$1:$AQ$1,0),1,1)</f>
        <v>1176.45</v>
      </c>
    </row>
    <row r="4818" spans="1:3">
      <c r="A4818" s="3">
        <f t="shared" si="146"/>
        <v>2047</v>
      </c>
      <c r="B4818" s="106">
        <f t="shared" si="147"/>
        <v>251</v>
      </c>
      <c r="C4818" s="107">
        <f ca="1">OFFSET(tab_tipo_Combustivel!$A$1,MATCH(B4818,tab_tipo_Combustivel!$A$2:$A$150,0),MATCH(A4818,tab_tipo_Combustivel!$B$1:$AQ$1,0),1,1)</f>
        <v>842.33</v>
      </c>
    </row>
    <row r="4819" spans="1:3">
      <c r="A4819" s="3">
        <f t="shared" si="146"/>
        <v>2047</v>
      </c>
      <c r="B4819" s="106">
        <f t="shared" si="147"/>
        <v>252</v>
      </c>
      <c r="C4819" s="107">
        <f ca="1">OFFSET(tab_tipo_Combustivel!$A$1,MATCH(B4819,tab_tipo_Combustivel!$A$2:$A$150,0),MATCH(A4819,tab_tipo_Combustivel!$B$1:$AQ$1,0),1,1)</f>
        <v>842.33</v>
      </c>
    </row>
    <row r="4820" spans="1:3">
      <c r="A4820" s="3">
        <f t="shared" si="146"/>
        <v>2047</v>
      </c>
      <c r="B4820" s="106">
        <f t="shared" si="147"/>
        <v>253</v>
      </c>
      <c r="C4820" s="107">
        <f ca="1">OFFSET(tab_tipo_Combustivel!$A$1,MATCH(B4820,tab_tipo_Combustivel!$A$2:$A$150,0),MATCH(A4820,tab_tipo_Combustivel!$B$1:$AQ$1,0),1,1)</f>
        <v>279.45</v>
      </c>
    </row>
    <row r="4821" spans="1:3">
      <c r="A4821" s="3">
        <f t="shared" si="146"/>
        <v>2047</v>
      </c>
      <c r="B4821" s="106">
        <f t="shared" si="147"/>
        <v>254</v>
      </c>
      <c r="C4821" s="107">
        <f ca="1">OFFSET(tab_tipo_Combustivel!$A$1,MATCH(B4821,tab_tipo_Combustivel!$A$2:$A$150,0),MATCH(A4821,tab_tipo_Combustivel!$B$1:$AQ$1,0),1,1)</f>
        <v>1153.98</v>
      </c>
    </row>
    <row r="4822" spans="1:3">
      <c r="A4822" s="3">
        <f t="shared" si="146"/>
        <v>2047</v>
      </c>
      <c r="B4822" s="106">
        <f t="shared" si="147"/>
        <v>255</v>
      </c>
      <c r="C4822" s="107">
        <f ca="1">OFFSET(tab_tipo_Combustivel!$A$1,MATCH(B4822,tab_tipo_Combustivel!$A$2:$A$150,0),MATCH(A4822,tab_tipo_Combustivel!$B$1:$AQ$1,0),1,1)</f>
        <v>828.98</v>
      </c>
    </row>
    <row r="4823" spans="1:3">
      <c r="A4823" s="3">
        <f t="shared" si="146"/>
        <v>2047</v>
      </c>
      <c r="B4823" s="106">
        <f t="shared" si="147"/>
        <v>256</v>
      </c>
      <c r="C4823" s="107">
        <f ca="1">OFFSET(tab_tipo_Combustivel!$A$1,MATCH(B4823,tab_tipo_Combustivel!$A$2:$A$150,0),MATCH(A4823,tab_tipo_Combustivel!$B$1:$AQ$1,0),1,1)</f>
        <v>562.65</v>
      </c>
    </row>
    <row r="4824" spans="1:3">
      <c r="A4824" s="3">
        <f t="shared" si="146"/>
        <v>2047</v>
      </c>
      <c r="B4824" s="106">
        <f t="shared" si="147"/>
        <v>257</v>
      </c>
      <c r="C4824" s="107">
        <f ca="1">OFFSET(tab_tipo_Combustivel!$A$1,MATCH(B4824,tab_tipo_Combustivel!$A$2:$A$150,0),MATCH(A4824,tab_tipo_Combustivel!$B$1:$AQ$1,0),1,1)</f>
        <v>907.52</v>
      </c>
    </row>
    <row r="4825" spans="1:3">
      <c r="A4825" s="3">
        <f t="shared" si="146"/>
        <v>2047</v>
      </c>
      <c r="B4825" s="106">
        <f t="shared" si="147"/>
        <v>258</v>
      </c>
      <c r="C4825" s="107">
        <f ca="1">OFFSET(tab_tipo_Combustivel!$A$1,MATCH(B4825,tab_tipo_Combustivel!$A$2:$A$150,0),MATCH(A4825,tab_tipo_Combustivel!$B$1:$AQ$1,0),1,1)</f>
        <v>1016.04</v>
      </c>
    </row>
    <row r="4826" spans="1:3">
      <c r="A4826" s="3">
        <f t="shared" si="146"/>
        <v>2047</v>
      </c>
      <c r="B4826" s="106">
        <f t="shared" si="147"/>
        <v>259</v>
      </c>
      <c r="C4826" s="107">
        <f ca="1">OFFSET(tab_tipo_Combustivel!$A$1,MATCH(B4826,tab_tipo_Combustivel!$A$2:$A$150,0),MATCH(A4826,tab_tipo_Combustivel!$B$1:$AQ$1,0),1,1)</f>
        <v>977.53</v>
      </c>
    </row>
    <row r="4827" spans="1:3">
      <c r="A4827" s="3">
        <f t="shared" si="146"/>
        <v>2047</v>
      </c>
      <c r="B4827" s="106">
        <f t="shared" si="147"/>
        <v>260</v>
      </c>
      <c r="C4827" s="107">
        <f ca="1">OFFSET(tab_tipo_Combustivel!$A$1,MATCH(B4827,tab_tipo_Combustivel!$A$2:$A$150,0),MATCH(A4827,tab_tipo_Combustivel!$B$1:$AQ$1,0),1,1)</f>
        <v>827.17</v>
      </c>
    </row>
    <row r="4828" spans="1:3">
      <c r="A4828" s="3">
        <f t="shared" si="146"/>
        <v>2047</v>
      </c>
      <c r="B4828" s="106">
        <f t="shared" si="147"/>
        <v>261</v>
      </c>
      <c r="C4828" s="107">
        <f ca="1">OFFSET(tab_tipo_Combustivel!$A$1,MATCH(B4828,tab_tipo_Combustivel!$A$2:$A$150,0),MATCH(A4828,tab_tipo_Combustivel!$B$1:$AQ$1,0),1,1)</f>
        <v>829.7</v>
      </c>
    </row>
    <row r="4829" spans="1:3">
      <c r="A4829" s="3">
        <f t="shared" si="146"/>
        <v>2047</v>
      </c>
      <c r="B4829" s="106">
        <f t="shared" si="147"/>
        <v>262</v>
      </c>
      <c r="C4829" s="107">
        <f ca="1">OFFSET(tab_tipo_Combustivel!$A$1,MATCH(B4829,tab_tipo_Combustivel!$A$2:$A$150,0),MATCH(A4829,tab_tipo_Combustivel!$B$1:$AQ$1,0),1,1)</f>
        <v>495.75</v>
      </c>
    </row>
    <row r="4830" spans="1:3">
      <c r="A4830" s="3">
        <f t="shared" si="146"/>
        <v>2047</v>
      </c>
      <c r="B4830" s="106">
        <f t="shared" si="147"/>
        <v>263</v>
      </c>
      <c r="C4830" s="107">
        <f ca="1">OFFSET(tab_tipo_Combustivel!$A$1,MATCH(B4830,tab_tipo_Combustivel!$A$2:$A$150,0),MATCH(A4830,tab_tipo_Combustivel!$B$1:$AQ$1,0),1,1)</f>
        <v>474.77</v>
      </c>
    </row>
    <row r="4831" spans="1:3">
      <c r="A4831" s="3">
        <f t="shared" si="146"/>
        <v>2047</v>
      </c>
      <c r="B4831" s="106">
        <f t="shared" si="147"/>
        <v>264</v>
      </c>
      <c r="C4831" s="107">
        <f ca="1">OFFSET(tab_tipo_Combustivel!$A$1,MATCH(B4831,tab_tipo_Combustivel!$A$2:$A$150,0),MATCH(A4831,tab_tipo_Combustivel!$B$1:$AQ$1,0),1,1)</f>
        <v>842.33</v>
      </c>
    </row>
    <row r="4832" spans="1:3">
      <c r="A4832" s="3">
        <f t="shared" si="146"/>
        <v>2047</v>
      </c>
      <c r="B4832" s="106">
        <f t="shared" si="147"/>
        <v>265</v>
      </c>
      <c r="C4832" s="107">
        <f ca="1">OFFSET(tab_tipo_Combustivel!$A$1,MATCH(B4832,tab_tipo_Combustivel!$A$2:$A$150,0),MATCH(A4832,tab_tipo_Combustivel!$B$1:$AQ$1,0),1,1)</f>
        <v>415.82</v>
      </c>
    </row>
    <row r="4833" spans="1:3">
      <c r="A4833" s="3">
        <f t="shared" si="146"/>
        <v>2047</v>
      </c>
      <c r="B4833" s="106">
        <f t="shared" si="147"/>
        <v>266</v>
      </c>
      <c r="C4833" s="107">
        <f ca="1">OFFSET(tab_tipo_Combustivel!$A$1,MATCH(B4833,tab_tipo_Combustivel!$A$2:$A$150,0),MATCH(A4833,tab_tipo_Combustivel!$B$1:$AQ$1,0),1,1)</f>
        <v>827.17</v>
      </c>
    </row>
    <row r="4834" spans="1:3">
      <c r="A4834" s="3">
        <f t="shared" si="146"/>
        <v>2047</v>
      </c>
      <c r="B4834" s="106">
        <f t="shared" si="147"/>
        <v>301</v>
      </c>
      <c r="C4834" s="107">
        <f ca="1">OFFSET(tab_tipo_Combustivel!$A$1,MATCH(B4834,tab_tipo_Combustivel!$A$2:$A$150,0),MATCH(A4834,tab_tipo_Combustivel!$B$1:$AQ$1,0),1,1)</f>
        <v>99.08</v>
      </c>
    </row>
    <row r="4835" spans="1:3">
      <c r="A4835" s="3">
        <f t="shared" si="146"/>
        <v>2047</v>
      </c>
      <c r="B4835" s="106">
        <f t="shared" si="147"/>
        <v>302</v>
      </c>
      <c r="C4835" s="107">
        <f ca="1">OFFSET(tab_tipo_Combustivel!$A$1,MATCH(B4835,tab_tipo_Combustivel!$A$2:$A$150,0),MATCH(A4835,tab_tipo_Combustivel!$B$1:$AQ$1,0),1,1)</f>
        <v>103.73</v>
      </c>
    </row>
    <row r="4836" spans="1:3">
      <c r="A4836" s="3">
        <f t="shared" si="146"/>
        <v>2047</v>
      </c>
      <c r="B4836" s="106">
        <f t="shared" si="147"/>
        <v>303</v>
      </c>
      <c r="C4836" s="107">
        <f ca="1">OFFSET(tab_tipo_Combustivel!$A$1,MATCH(B4836,tab_tipo_Combustivel!$A$2:$A$150,0),MATCH(A4836,tab_tipo_Combustivel!$B$1:$AQ$1,0),1,1)</f>
        <v>103.73</v>
      </c>
    </row>
    <row r="4837" spans="1:3">
      <c r="A4837" s="3">
        <f t="shared" si="146"/>
        <v>2047</v>
      </c>
      <c r="B4837" s="106">
        <f t="shared" si="147"/>
        <v>304</v>
      </c>
      <c r="C4837" s="107">
        <f ca="1">OFFSET(tab_tipo_Combustivel!$A$1,MATCH(B4837,tab_tipo_Combustivel!$A$2:$A$150,0),MATCH(A4837,tab_tipo_Combustivel!$B$1:$AQ$1,0),1,1)</f>
        <v>139.41999999999999</v>
      </c>
    </row>
    <row r="4838" spans="1:3">
      <c r="A4838" s="3">
        <f t="shared" si="146"/>
        <v>2047</v>
      </c>
      <c r="B4838" s="106">
        <f t="shared" si="147"/>
        <v>305</v>
      </c>
      <c r="C4838" s="107">
        <f ca="1">OFFSET(tab_tipo_Combustivel!$A$1,MATCH(B4838,tab_tipo_Combustivel!$A$2:$A$150,0),MATCH(A4838,tab_tipo_Combustivel!$B$1:$AQ$1,0),1,1)</f>
        <v>89.7</v>
      </c>
    </row>
    <row r="4839" spans="1:3">
      <c r="A4839" s="3">
        <f t="shared" si="146"/>
        <v>2047</v>
      </c>
      <c r="B4839" s="106">
        <f t="shared" si="147"/>
        <v>306</v>
      </c>
      <c r="C4839" s="107">
        <f ca="1">OFFSET(tab_tipo_Combustivel!$A$1,MATCH(B4839,tab_tipo_Combustivel!$A$2:$A$150,0),MATCH(A4839,tab_tipo_Combustivel!$B$1:$AQ$1,0),1,1)</f>
        <v>100.38</v>
      </c>
    </row>
    <row r="4840" spans="1:3">
      <c r="A4840" s="3">
        <f t="shared" si="146"/>
        <v>2047</v>
      </c>
      <c r="B4840" s="106">
        <f t="shared" si="147"/>
        <v>307</v>
      </c>
      <c r="C4840" s="107">
        <f ca="1">OFFSET(tab_tipo_Combustivel!$A$1,MATCH(B4840,tab_tipo_Combustivel!$A$2:$A$150,0),MATCH(A4840,tab_tipo_Combustivel!$B$1:$AQ$1,0),1,1)</f>
        <v>510.12</v>
      </c>
    </row>
    <row r="4841" spans="1:3">
      <c r="A4841" s="3">
        <f t="shared" si="146"/>
        <v>2047</v>
      </c>
      <c r="B4841" s="106">
        <f t="shared" si="147"/>
        <v>308</v>
      </c>
      <c r="C4841" s="107">
        <f ca="1">OFFSET(tab_tipo_Combustivel!$A$1,MATCH(B4841,tab_tipo_Combustivel!$A$2:$A$150,0),MATCH(A4841,tab_tipo_Combustivel!$B$1:$AQ$1,0),1,1)</f>
        <v>72.5</v>
      </c>
    </row>
    <row r="4842" spans="1:3">
      <c r="A4842" s="3">
        <f t="shared" si="146"/>
        <v>2047</v>
      </c>
      <c r="B4842" s="106">
        <f t="shared" si="147"/>
        <v>309</v>
      </c>
      <c r="C4842" s="107">
        <f ca="1">OFFSET(tab_tipo_Combustivel!$A$1,MATCH(B4842,tab_tipo_Combustivel!$A$2:$A$150,0),MATCH(A4842,tab_tipo_Combustivel!$B$1:$AQ$1,0),1,1)</f>
        <v>126.77</v>
      </c>
    </row>
    <row r="4843" spans="1:3">
      <c r="A4843" s="3">
        <f t="shared" si="146"/>
        <v>2047</v>
      </c>
      <c r="B4843" s="106">
        <f t="shared" si="147"/>
        <v>310</v>
      </c>
      <c r="C4843" s="107">
        <f ca="1">OFFSET(tab_tipo_Combustivel!$A$1,MATCH(B4843,tab_tipo_Combustivel!$A$2:$A$150,0),MATCH(A4843,tab_tipo_Combustivel!$B$1:$AQ$1,0),1,1)</f>
        <v>275.99</v>
      </c>
    </row>
    <row r="4844" spans="1:3">
      <c r="A4844" s="3">
        <f t="shared" si="146"/>
        <v>2047</v>
      </c>
      <c r="B4844" s="106">
        <f t="shared" si="147"/>
        <v>311</v>
      </c>
      <c r="C4844" s="107">
        <f ca="1">OFFSET(tab_tipo_Combustivel!$A$1,MATCH(B4844,tab_tipo_Combustivel!$A$2:$A$150,0),MATCH(A4844,tab_tipo_Combustivel!$B$1:$AQ$1,0),1,1)</f>
        <v>70.66</v>
      </c>
    </row>
    <row r="4845" spans="1:3">
      <c r="A4845" s="3">
        <f t="shared" si="146"/>
        <v>2047</v>
      </c>
      <c r="B4845" s="106">
        <f t="shared" si="147"/>
        <v>312</v>
      </c>
      <c r="C4845" s="107">
        <f ca="1">OFFSET(tab_tipo_Combustivel!$A$1,MATCH(B4845,tab_tipo_Combustivel!$A$2:$A$150,0),MATCH(A4845,tab_tipo_Combustivel!$B$1:$AQ$1,0),1,1)</f>
        <v>0</v>
      </c>
    </row>
    <row r="4846" spans="1:3">
      <c r="A4846" s="3">
        <f t="shared" si="146"/>
        <v>2047</v>
      </c>
      <c r="B4846" s="106">
        <f t="shared" si="147"/>
        <v>1301</v>
      </c>
      <c r="C4846" s="107">
        <f ca="1">OFFSET(tab_tipo_Combustivel!$A$1,MATCH(B4846,tab_tipo_Combustivel!$A$2:$A$150,0),MATCH(A4846,tab_tipo_Combustivel!$B$1:$AQ$1,0),1,1)</f>
        <v>242.05</v>
      </c>
    </row>
    <row r="4847" spans="1:3">
      <c r="A4847" s="3">
        <f t="shared" si="146"/>
        <v>2047</v>
      </c>
      <c r="B4847" s="106">
        <f t="shared" si="147"/>
        <v>1302</v>
      </c>
      <c r="C4847" s="107">
        <f ca="1">OFFSET(tab_tipo_Combustivel!$A$1,MATCH(B4847,tab_tipo_Combustivel!$A$2:$A$150,0),MATCH(A4847,tab_tipo_Combustivel!$B$1:$AQ$1,0),1,1)</f>
        <v>193.64</v>
      </c>
    </row>
    <row r="4848" spans="1:3">
      <c r="A4848" s="3">
        <f t="shared" si="146"/>
        <v>2047</v>
      </c>
      <c r="B4848" s="106">
        <f t="shared" si="147"/>
        <v>1303</v>
      </c>
      <c r="C4848" s="107">
        <f ca="1">OFFSET(tab_tipo_Combustivel!$A$1,MATCH(B4848,tab_tipo_Combustivel!$A$2:$A$150,0),MATCH(A4848,tab_tipo_Combustivel!$B$1:$AQ$1,0),1,1)</f>
        <v>25.58</v>
      </c>
    </row>
    <row r="4849" spans="1:3">
      <c r="A4849" s="3">
        <f t="shared" si="146"/>
        <v>2047</v>
      </c>
      <c r="B4849" s="106">
        <f t="shared" si="147"/>
        <v>1304</v>
      </c>
      <c r="C4849" s="107">
        <f ca="1">OFFSET(tab_tipo_Combustivel!$A$1,MATCH(B4849,tab_tipo_Combustivel!$A$2:$A$150,0),MATCH(A4849,tab_tipo_Combustivel!$B$1:$AQ$1,0),1,1)</f>
        <v>0</v>
      </c>
    </row>
    <row r="4850" spans="1:3">
      <c r="A4850" s="3">
        <f t="shared" si="146"/>
        <v>2047</v>
      </c>
      <c r="B4850" s="106">
        <f t="shared" si="147"/>
        <v>1315</v>
      </c>
      <c r="C4850" s="107">
        <f ca="1">OFFSET(tab_tipo_Combustivel!$A$1,MATCH(B4850,tab_tipo_Combustivel!$A$2:$A$150,0),MATCH(A4850,tab_tipo_Combustivel!$B$1:$AQ$1,0),1,1)</f>
        <v>0</v>
      </c>
    </row>
    <row r="4851" spans="1:3">
      <c r="A4851" s="3">
        <f t="shared" si="146"/>
        <v>2047</v>
      </c>
      <c r="B4851" s="106">
        <f t="shared" si="147"/>
        <v>1316</v>
      </c>
      <c r="C4851" s="107">
        <f ca="1">OFFSET(tab_tipo_Combustivel!$A$1,MATCH(B4851,tab_tipo_Combustivel!$A$2:$A$150,0),MATCH(A4851,tab_tipo_Combustivel!$B$1:$AQ$1,0),1,1)</f>
        <v>0</v>
      </c>
    </row>
    <row r="4852" spans="1:3">
      <c r="A4852" s="3">
        <f t="shared" si="146"/>
        <v>2047</v>
      </c>
      <c r="B4852" s="106">
        <f t="shared" si="147"/>
        <v>1318</v>
      </c>
      <c r="C4852" s="107">
        <f ca="1">OFFSET(tab_tipo_Combustivel!$A$1,MATCH(B4852,tab_tipo_Combustivel!$A$2:$A$150,0),MATCH(A4852,tab_tipo_Combustivel!$B$1:$AQ$1,0),1,1)</f>
        <v>150</v>
      </c>
    </row>
    <row r="4853" spans="1:3">
      <c r="A4853" s="3">
        <f t="shared" si="146"/>
        <v>2047</v>
      </c>
      <c r="B4853" s="106">
        <f t="shared" si="147"/>
        <v>1321</v>
      </c>
      <c r="C4853" s="107">
        <f ca="1">OFFSET(tab_tipo_Combustivel!$A$1,MATCH(B4853,tab_tipo_Combustivel!$A$2:$A$150,0),MATCH(A4853,tab_tipo_Combustivel!$B$1:$AQ$1,0),1,1)</f>
        <v>85</v>
      </c>
    </row>
    <row r="4854" spans="1:3">
      <c r="A4854" s="3">
        <f t="shared" si="146"/>
        <v>2047</v>
      </c>
      <c r="B4854" s="106">
        <f t="shared" si="147"/>
        <v>1322</v>
      </c>
      <c r="C4854" s="107">
        <f ca="1">OFFSET(tab_tipo_Combustivel!$A$1,MATCH(B4854,tab_tipo_Combustivel!$A$2:$A$150,0),MATCH(A4854,tab_tipo_Combustivel!$B$1:$AQ$1,0),1,1)</f>
        <v>140</v>
      </c>
    </row>
    <row r="4855" spans="1:3">
      <c r="A4855" s="3">
        <f t="shared" si="146"/>
        <v>2047</v>
      </c>
      <c r="B4855" s="106">
        <f t="shared" si="147"/>
        <v>1323</v>
      </c>
      <c r="C4855" s="107">
        <f ca="1">OFFSET(tab_tipo_Combustivel!$A$1,MATCH(B4855,tab_tipo_Combustivel!$A$2:$A$150,0),MATCH(A4855,tab_tipo_Combustivel!$B$1:$AQ$1,0),1,1)</f>
        <v>63.75</v>
      </c>
    </row>
    <row r="4856" spans="1:3">
      <c r="A4856" s="3">
        <f t="shared" si="146"/>
        <v>2047</v>
      </c>
      <c r="B4856" s="106">
        <f t="shared" si="147"/>
        <v>1325</v>
      </c>
      <c r="C4856" s="107">
        <f ca="1">OFFSET(tab_tipo_Combustivel!$A$1,MATCH(B4856,tab_tipo_Combustivel!$A$2:$A$150,0),MATCH(A4856,tab_tipo_Combustivel!$B$1:$AQ$1,0),1,1)</f>
        <v>0</v>
      </c>
    </row>
    <row r="4857" spans="1:3">
      <c r="A4857" s="3">
        <f t="shared" si="146"/>
        <v>2047</v>
      </c>
      <c r="B4857" s="106">
        <f t="shared" si="147"/>
        <v>1326</v>
      </c>
      <c r="C4857" s="107">
        <f ca="1">OFFSET(tab_tipo_Combustivel!$A$1,MATCH(B4857,tab_tipo_Combustivel!$A$2:$A$150,0),MATCH(A4857,tab_tipo_Combustivel!$B$1:$AQ$1,0),1,1)</f>
        <v>260</v>
      </c>
    </row>
    <row r="4858" spans="1:3">
      <c r="A4858" s="3">
        <f t="shared" si="146"/>
        <v>2047</v>
      </c>
      <c r="B4858" s="106">
        <f t="shared" si="147"/>
        <v>1501</v>
      </c>
      <c r="C4858" s="107">
        <f ca="1">OFFSET(tab_tipo_Combustivel!$A$1,MATCH(B4858,tab_tipo_Combustivel!$A$2:$A$150,0),MATCH(A4858,tab_tipo_Combustivel!$B$1:$AQ$1,0),1,1)</f>
        <v>260</v>
      </c>
    </row>
    <row r="4859" spans="1:3">
      <c r="A4859" s="3">
        <f t="shared" si="146"/>
        <v>2047</v>
      </c>
      <c r="B4859" s="106">
        <f t="shared" si="147"/>
        <v>1502</v>
      </c>
      <c r="C4859" s="107">
        <f ca="1">OFFSET(tab_tipo_Combustivel!$A$1,MATCH(B4859,tab_tipo_Combustivel!$A$2:$A$150,0),MATCH(A4859,tab_tipo_Combustivel!$B$1:$AQ$1,0),1,1)</f>
        <v>60</v>
      </c>
    </row>
    <row r="4860" spans="1:3">
      <c r="A4860" s="3">
        <f t="shared" si="146"/>
        <v>2047</v>
      </c>
      <c r="B4860" s="106">
        <f t="shared" si="147"/>
        <v>1503</v>
      </c>
      <c r="C4860" s="107">
        <f ca="1">OFFSET(tab_tipo_Combustivel!$A$1,MATCH(B4860,tab_tipo_Combustivel!$A$2:$A$150,0),MATCH(A4860,tab_tipo_Combustivel!$B$1:$AQ$1,0),1,1)</f>
        <v>96.82</v>
      </c>
    </row>
    <row r="4861" spans="1:3">
      <c r="A4861" s="3">
        <f t="shared" si="146"/>
        <v>2047</v>
      </c>
      <c r="B4861" s="106">
        <f t="shared" si="147"/>
        <v>1504</v>
      </c>
      <c r="C4861" s="107">
        <f ca="1">OFFSET(tab_tipo_Combustivel!$A$1,MATCH(B4861,tab_tipo_Combustivel!$A$2:$A$150,0),MATCH(A4861,tab_tipo_Combustivel!$B$1:$AQ$1,0),1,1)</f>
        <v>145.22999999999999</v>
      </c>
    </row>
    <row r="4862" spans="1:3">
      <c r="A4862" s="3">
        <f t="shared" si="146"/>
        <v>2048</v>
      </c>
      <c r="B4862" s="106">
        <f t="shared" si="147"/>
        <v>1</v>
      </c>
      <c r="C4862" s="107">
        <f ca="1">OFFSET(tab_tipo_Combustivel!$A$1,MATCH(B4862,tab_tipo_Combustivel!$A$2:$A$150,0),MATCH(A4862,tab_tipo_Combustivel!$B$1:$AQ$1,0),1,1)</f>
        <v>29.13</v>
      </c>
    </row>
    <row r="4863" spans="1:3">
      <c r="A4863" s="3">
        <f t="shared" si="146"/>
        <v>2048</v>
      </c>
      <c r="B4863" s="106">
        <f t="shared" si="147"/>
        <v>2</v>
      </c>
      <c r="C4863" s="107">
        <f ca="1">OFFSET(tab_tipo_Combustivel!$A$1,MATCH(B4863,tab_tipo_Combustivel!$A$2:$A$150,0),MATCH(A4863,tab_tipo_Combustivel!$B$1:$AQ$1,0),1,1)</f>
        <v>842.33</v>
      </c>
    </row>
    <row r="4864" spans="1:3">
      <c r="A4864" s="3">
        <f t="shared" si="146"/>
        <v>2048</v>
      </c>
      <c r="B4864" s="106">
        <f t="shared" si="147"/>
        <v>4</v>
      </c>
      <c r="C4864" s="107">
        <f ca="1">OFFSET(tab_tipo_Combustivel!$A$1,MATCH(B4864,tab_tipo_Combustivel!$A$2:$A$150,0),MATCH(A4864,tab_tipo_Combustivel!$B$1:$AQ$1,0),1,1)</f>
        <v>842.33</v>
      </c>
    </row>
    <row r="4865" spans="1:3">
      <c r="A4865" s="3">
        <f t="shared" si="146"/>
        <v>2048</v>
      </c>
      <c r="B4865" s="106">
        <f t="shared" si="147"/>
        <v>9</v>
      </c>
      <c r="C4865" s="107">
        <f ca="1">OFFSET(tab_tipo_Combustivel!$A$1,MATCH(B4865,tab_tipo_Combustivel!$A$2:$A$150,0),MATCH(A4865,tab_tipo_Combustivel!$B$1:$AQ$1,0),1,1)</f>
        <v>842.33</v>
      </c>
    </row>
    <row r="4866" spans="1:3">
      <c r="A4866" s="3">
        <f t="shared" si="146"/>
        <v>2048</v>
      </c>
      <c r="B4866" s="106">
        <f t="shared" si="147"/>
        <v>12</v>
      </c>
      <c r="C4866" s="107">
        <f ca="1">OFFSET(tab_tipo_Combustivel!$A$1,MATCH(B4866,tab_tipo_Combustivel!$A$2:$A$150,0),MATCH(A4866,tab_tipo_Combustivel!$B$1:$AQ$1,0),1,1)</f>
        <v>728.87</v>
      </c>
    </row>
    <row r="4867" spans="1:3">
      <c r="A4867" s="3">
        <f t="shared" si="146"/>
        <v>2048</v>
      </c>
      <c r="B4867" s="106">
        <f t="shared" si="147"/>
        <v>13</v>
      </c>
      <c r="C4867" s="107">
        <f ca="1">OFFSET(tab_tipo_Combustivel!$A$1,MATCH(B4867,tab_tipo_Combustivel!$A$2:$A$150,0),MATCH(A4867,tab_tipo_Combustivel!$B$1:$AQ$1,0),1,1)</f>
        <v>20.12</v>
      </c>
    </row>
    <row r="4868" spans="1:3">
      <c r="A4868" s="3">
        <f t="shared" si="146"/>
        <v>2048</v>
      </c>
      <c r="B4868" s="106">
        <f t="shared" si="147"/>
        <v>15</v>
      </c>
      <c r="C4868" s="107">
        <f ca="1">OFFSET(tab_tipo_Combustivel!$A$1,MATCH(B4868,tab_tipo_Combustivel!$A$2:$A$150,0),MATCH(A4868,tab_tipo_Combustivel!$B$1:$AQ$1,0),1,1)</f>
        <v>257.29000000000002</v>
      </c>
    </row>
    <row r="4869" spans="1:3">
      <c r="A4869" s="3">
        <f t="shared" si="146"/>
        <v>2048</v>
      </c>
      <c r="B4869" s="106">
        <f t="shared" si="147"/>
        <v>21</v>
      </c>
      <c r="C4869" s="107">
        <f ca="1">OFFSET(tab_tipo_Combustivel!$A$1,MATCH(B4869,tab_tipo_Combustivel!$A$2:$A$150,0),MATCH(A4869,tab_tipo_Combustivel!$B$1:$AQ$1,0),1,1)</f>
        <v>157.83000000000001</v>
      </c>
    </row>
    <row r="4870" spans="1:3">
      <c r="A4870" s="3">
        <f t="shared" si="146"/>
        <v>2048</v>
      </c>
      <c r="B4870" s="106">
        <f t="shared" si="147"/>
        <v>22</v>
      </c>
      <c r="C4870" s="107">
        <f ca="1">OFFSET(tab_tipo_Combustivel!$A$1,MATCH(B4870,tab_tipo_Combustivel!$A$2:$A$150,0),MATCH(A4870,tab_tipo_Combustivel!$B$1:$AQ$1,0),1,1)</f>
        <v>115.9</v>
      </c>
    </row>
    <row r="4871" spans="1:3">
      <c r="A4871" s="3">
        <f t="shared" si="146"/>
        <v>2048</v>
      </c>
      <c r="B4871" s="106">
        <f t="shared" si="147"/>
        <v>23</v>
      </c>
      <c r="C4871" s="107">
        <f ca="1">OFFSET(tab_tipo_Combustivel!$A$1,MATCH(B4871,tab_tipo_Combustivel!$A$2:$A$150,0),MATCH(A4871,tab_tipo_Combustivel!$B$1:$AQ$1,0),1,1)</f>
        <v>115.9</v>
      </c>
    </row>
    <row r="4872" spans="1:3">
      <c r="A4872" s="3">
        <f t="shared" si="146"/>
        <v>2048</v>
      </c>
      <c r="B4872" s="106">
        <f t="shared" si="147"/>
        <v>24</v>
      </c>
      <c r="C4872" s="107">
        <f ca="1">OFFSET(tab_tipo_Combustivel!$A$1,MATCH(B4872,tab_tipo_Combustivel!$A$2:$A$150,0),MATCH(A4872,tab_tipo_Combustivel!$B$1:$AQ$1,0),1,1)</f>
        <v>155.85</v>
      </c>
    </row>
    <row r="4873" spans="1:3">
      <c r="A4873" s="3">
        <f t="shared" si="146"/>
        <v>2048</v>
      </c>
      <c r="B4873" s="106">
        <f t="shared" si="147"/>
        <v>25</v>
      </c>
      <c r="C4873" s="107">
        <f ca="1">OFFSET(tab_tipo_Combustivel!$A$1,MATCH(B4873,tab_tipo_Combustivel!$A$2:$A$150,0),MATCH(A4873,tab_tipo_Combustivel!$B$1:$AQ$1,0),1,1)</f>
        <v>186.33</v>
      </c>
    </row>
    <row r="4874" spans="1:3">
      <c r="A4874" s="3">
        <f t="shared" ref="A4874:A4937" si="148">A4739+1</f>
        <v>2048</v>
      </c>
      <c r="B4874" s="106">
        <f t="shared" ref="B4874:B4937" si="149">B4739</f>
        <v>26</v>
      </c>
      <c r="C4874" s="107">
        <f ca="1">OFFSET(tab_tipo_Combustivel!$A$1,MATCH(B4874,tab_tipo_Combustivel!$A$2:$A$150,0),MATCH(A4874,tab_tipo_Combustivel!$B$1:$AQ$1,0),1,1)</f>
        <v>258.42</v>
      </c>
    </row>
    <row r="4875" spans="1:3">
      <c r="A4875" s="3">
        <f t="shared" si="148"/>
        <v>2048</v>
      </c>
      <c r="B4875" s="106">
        <f t="shared" si="149"/>
        <v>27</v>
      </c>
      <c r="C4875" s="107">
        <f ca="1">OFFSET(tab_tipo_Combustivel!$A$1,MATCH(B4875,tab_tipo_Combustivel!$A$2:$A$150,0),MATCH(A4875,tab_tipo_Combustivel!$B$1:$AQ$1,0),1,1)</f>
        <v>195.49</v>
      </c>
    </row>
    <row r="4876" spans="1:3">
      <c r="A4876" s="3">
        <f t="shared" si="148"/>
        <v>2048</v>
      </c>
      <c r="B4876" s="106">
        <f t="shared" si="149"/>
        <v>28</v>
      </c>
      <c r="C4876" s="107">
        <f ca="1">OFFSET(tab_tipo_Combustivel!$A$1,MATCH(B4876,tab_tipo_Combustivel!$A$2:$A$150,0),MATCH(A4876,tab_tipo_Combustivel!$B$1:$AQ$1,0),1,1)</f>
        <v>459.92</v>
      </c>
    </row>
    <row r="4877" spans="1:3">
      <c r="A4877" s="3">
        <f t="shared" si="148"/>
        <v>2048</v>
      </c>
      <c r="B4877" s="106">
        <f t="shared" si="149"/>
        <v>32</v>
      </c>
      <c r="C4877" s="107">
        <f ca="1">OFFSET(tab_tipo_Combustivel!$A$1,MATCH(B4877,tab_tipo_Combustivel!$A$2:$A$150,0),MATCH(A4877,tab_tipo_Combustivel!$B$1:$AQ$1,0),1,1)</f>
        <v>248.31</v>
      </c>
    </row>
    <row r="4878" spans="1:3">
      <c r="A4878" s="3">
        <f t="shared" si="148"/>
        <v>2048</v>
      </c>
      <c r="B4878" s="106">
        <f t="shared" si="149"/>
        <v>34</v>
      </c>
      <c r="C4878" s="107">
        <f ca="1">OFFSET(tab_tipo_Combustivel!$A$1,MATCH(B4878,tab_tipo_Combustivel!$A$2:$A$150,0),MATCH(A4878,tab_tipo_Combustivel!$B$1:$AQ$1,0),1,1)</f>
        <v>423.38</v>
      </c>
    </row>
    <row r="4879" spans="1:3">
      <c r="A4879" s="3">
        <f t="shared" si="148"/>
        <v>2048</v>
      </c>
      <c r="B4879" s="106">
        <f t="shared" si="149"/>
        <v>35</v>
      </c>
      <c r="C4879" s="107">
        <f ca="1">OFFSET(tab_tipo_Combustivel!$A$1,MATCH(B4879,tab_tipo_Combustivel!$A$2:$A$150,0),MATCH(A4879,tab_tipo_Combustivel!$B$1:$AQ$1,0),1,1)</f>
        <v>692.45</v>
      </c>
    </row>
    <row r="4880" spans="1:3">
      <c r="A4880" s="3">
        <f t="shared" si="148"/>
        <v>2048</v>
      </c>
      <c r="B4880" s="106">
        <f t="shared" si="149"/>
        <v>36</v>
      </c>
      <c r="C4880" s="107">
        <f ca="1">OFFSET(tab_tipo_Combustivel!$A$1,MATCH(B4880,tab_tipo_Combustivel!$A$2:$A$150,0),MATCH(A4880,tab_tipo_Combustivel!$B$1:$AQ$1,0),1,1)</f>
        <v>157.83000000000001</v>
      </c>
    </row>
    <row r="4881" spans="1:3">
      <c r="A4881" s="3">
        <f t="shared" si="148"/>
        <v>2048</v>
      </c>
      <c r="B4881" s="106">
        <f t="shared" si="149"/>
        <v>42</v>
      </c>
      <c r="C4881" s="107">
        <f ca="1">OFFSET(tab_tipo_Combustivel!$A$1,MATCH(B4881,tab_tipo_Combustivel!$A$2:$A$150,0),MATCH(A4881,tab_tipo_Combustivel!$B$1:$AQ$1,0),1,1)</f>
        <v>199.22</v>
      </c>
    </row>
    <row r="4882" spans="1:3">
      <c r="A4882" s="3">
        <f t="shared" si="148"/>
        <v>2048</v>
      </c>
      <c r="B4882" s="106">
        <f t="shared" si="149"/>
        <v>43</v>
      </c>
      <c r="C4882" s="107">
        <f ca="1">OFFSET(tab_tipo_Combustivel!$A$1,MATCH(B4882,tab_tipo_Combustivel!$A$2:$A$150,0),MATCH(A4882,tab_tipo_Combustivel!$B$1:$AQ$1,0),1,1)</f>
        <v>431.62</v>
      </c>
    </row>
    <row r="4883" spans="1:3">
      <c r="A4883" s="3">
        <f t="shared" si="148"/>
        <v>2048</v>
      </c>
      <c r="B4883" s="106">
        <f t="shared" si="149"/>
        <v>44</v>
      </c>
      <c r="C4883" s="107">
        <f ca="1">OFFSET(tab_tipo_Combustivel!$A$1,MATCH(B4883,tab_tipo_Combustivel!$A$2:$A$150,0),MATCH(A4883,tab_tipo_Combustivel!$B$1:$AQ$1,0),1,1)</f>
        <v>25.58</v>
      </c>
    </row>
    <row r="4884" spans="1:3">
      <c r="A4884" s="3">
        <f t="shared" si="148"/>
        <v>2048</v>
      </c>
      <c r="B4884" s="106">
        <f t="shared" si="149"/>
        <v>46</v>
      </c>
      <c r="C4884" s="107">
        <f ca="1">OFFSET(tab_tipo_Combustivel!$A$1,MATCH(B4884,tab_tipo_Combustivel!$A$2:$A$150,0),MATCH(A4884,tab_tipo_Combustivel!$B$1:$AQ$1,0),1,1)</f>
        <v>228.91</v>
      </c>
    </row>
    <row r="4885" spans="1:3">
      <c r="A4885" s="3">
        <f t="shared" si="148"/>
        <v>2048</v>
      </c>
      <c r="B4885" s="106">
        <f t="shared" si="149"/>
        <v>47</v>
      </c>
      <c r="C4885" s="107">
        <f ca="1">OFFSET(tab_tipo_Combustivel!$A$1,MATCH(B4885,tab_tipo_Combustivel!$A$2:$A$150,0),MATCH(A4885,tab_tipo_Combustivel!$B$1:$AQ$1,0),1,1)</f>
        <v>235.6</v>
      </c>
    </row>
    <row r="4886" spans="1:3">
      <c r="A4886" s="3">
        <f t="shared" si="148"/>
        <v>2048</v>
      </c>
      <c r="B4886" s="106">
        <f t="shared" si="149"/>
        <v>48</v>
      </c>
      <c r="C4886" s="107">
        <f ca="1">OFFSET(tab_tipo_Combustivel!$A$1,MATCH(B4886,tab_tipo_Combustivel!$A$2:$A$150,0),MATCH(A4886,tab_tipo_Combustivel!$B$1:$AQ$1,0),1,1)</f>
        <v>1012.12</v>
      </c>
    </row>
    <row r="4887" spans="1:3">
      <c r="A4887" s="3">
        <f t="shared" si="148"/>
        <v>2048</v>
      </c>
      <c r="B4887" s="106">
        <f t="shared" si="149"/>
        <v>50</v>
      </c>
      <c r="C4887" s="107">
        <f ca="1">OFFSET(tab_tipo_Combustivel!$A$1,MATCH(B4887,tab_tipo_Combustivel!$A$2:$A$150,0),MATCH(A4887,tab_tipo_Combustivel!$B$1:$AQ$1,0),1,1)</f>
        <v>669.87</v>
      </c>
    </row>
    <row r="4888" spans="1:3">
      <c r="A4888" s="3">
        <f t="shared" si="148"/>
        <v>2048</v>
      </c>
      <c r="B4888" s="106">
        <f t="shared" si="149"/>
        <v>54</v>
      </c>
      <c r="C4888" s="107">
        <f ca="1">OFFSET(tab_tipo_Combustivel!$A$1,MATCH(B4888,tab_tipo_Combustivel!$A$2:$A$150,0),MATCH(A4888,tab_tipo_Combustivel!$B$1:$AQ$1,0),1,1)</f>
        <v>304.55</v>
      </c>
    </row>
    <row r="4889" spans="1:3">
      <c r="A4889" s="3">
        <f t="shared" si="148"/>
        <v>2048</v>
      </c>
      <c r="B4889" s="106">
        <f t="shared" si="149"/>
        <v>58</v>
      </c>
      <c r="C4889" s="107">
        <f ca="1">OFFSET(tab_tipo_Combustivel!$A$1,MATCH(B4889,tab_tipo_Combustivel!$A$2:$A$150,0),MATCH(A4889,tab_tipo_Combustivel!$B$1:$AQ$1,0),1,1)</f>
        <v>300.05</v>
      </c>
    </row>
    <row r="4890" spans="1:3">
      <c r="A4890" s="3">
        <f t="shared" si="148"/>
        <v>2048</v>
      </c>
      <c r="B4890" s="106">
        <f t="shared" si="149"/>
        <v>62</v>
      </c>
      <c r="C4890" s="107">
        <f ca="1">OFFSET(tab_tipo_Combustivel!$A$1,MATCH(B4890,tab_tipo_Combustivel!$A$2:$A$150,0),MATCH(A4890,tab_tipo_Combustivel!$B$1:$AQ$1,0),1,1)</f>
        <v>309.24</v>
      </c>
    </row>
    <row r="4891" spans="1:3">
      <c r="A4891" s="3">
        <f t="shared" si="148"/>
        <v>2048</v>
      </c>
      <c r="B4891" s="106">
        <f t="shared" si="149"/>
        <v>63</v>
      </c>
      <c r="C4891" s="107">
        <f ca="1">OFFSET(tab_tipo_Combustivel!$A$1,MATCH(B4891,tab_tipo_Combustivel!$A$2:$A$150,0),MATCH(A4891,tab_tipo_Combustivel!$B$1:$AQ$1,0),1,1)</f>
        <v>365.77</v>
      </c>
    </row>
    <row r="4892" spans="1:3">
      <c r="A4892" s="3">
        <f t="shared" si="148"/>
        <v>2048</v>
      </c>
      <c r="B4892" s="106">
        <f t="shared" si="149"/>
        <v>64</v>
      </c>
      <c r="C4892" s="107">
        <f ca="1">OFFSET(tab_tipo_Combustivel!$A$1,MATCH(B4892,tab_tipo_Combustivel!$A$2:$A$150,0),MATCH(A4892,tab_tipo_Combustivel!$B$1:$AQ$1,0),1,1)</f>
        <v>853.54</v>
      </c>
    </row>
    <row r="4893" spans="1:3">
      <c r="A4893" s="3">
        <f t="shared" si="148"/>
        <v>2048</v>
      </c>
      <c r="B4893" s="106">
        <f t="shared" si="149"/>
        <v>68</v>
      </c>
      <c r="C4893" s="107">
        <f ca="1">OFFSET(tab_tipo_Combustivel!$A$1,MATCH(B4893,tab_tipo_Combustivel!$A$2:$A$150,0),MATCH(A4893,tab_tipo_Combustivel!$B$1:$AQ$1,0),1,1)</f>
        <v>195.63</v>
      </c>
    </row>
    <row r="4894" spans="1:3">
      <c r="A4894" s="3">
        <f t="shared" si="148"/>
        <v>2048</v>
      </c>
      <c r="B4894" s="106">
        <f t="shared" si="149"/>
        <v>74</v>
      </c>
      <c r="C4894" s="107">
        <f ca="1">OFFSET(tab_tipo_Combustivel!$A$1,MATCH(B4894,tab_tipo_Combustivel!$A$2:$A$150,0),MATCH(A4894,tab_tipo_Combustivel!$B$1:$AQ$1,0),1,1)</f>
        <v>364.46</v>
      </c>
    </row>
    <row r="4895" spans="1:3">
      <c r="A4895" s="3">
        <f t="shared" si="148"/>
        <v>2048</v>
      </c>
      <c r="B4895" s="106">
        <f t="shared" si="149"/>
        <v>83</v>
      </c>
      <c r="C4895" s="107">
        <f ca="1">OFFSET(tab_tipo_Combustivel!$A$1,MATCH(B4895,tab_tipo_Combustivel!$A$2:$A$150,0),MATCH(A4895,tab_tipo_Combustivel!$B$1:$AQ$1,0),1,1)</f>
        <v>448.1</v>
      </c>
    </row>
    <row r="4896" spans="1:3">
      <c r="A4896" s="3">
        <f t="shared" si="148"/>
        <v>2048</v>
      </c>
      <c r="B4896" s="106">
        <f t="shared" si="149"/>
        <v>86</v>
      </c>
      <c r="C4896" s="107">
        <f ca="1">OFFSET(tab_tipo_Combustivel!$A$1,MATCH(B4896,tab_tipo_Combustivel!$A$2:$A$150,0),MATCH(A4896,tab_tipo_Combustivel!$B$1:$AQ$1,0),1,1)</f>
        <v>170.34</v>
      </c>
    </row>
    <row r="4897" spans="1:3">
      <c r="A4897" s="3">
        <f t="shared" si="148"/>
        <v>2048</v>
      </c>
      <c r="B4897" s="106">
        <f t="shared" si="149"/>
        <v>90</v>
      </c>
      <c r="C4897" s="107">
        <f ca="1">OFFSET(tab_tipo_Combustivel!$A$1,MATCH(B4897,tab_tipo_Combustivel!$A$2:$A$150,0),MATCH(A4897,tab_tipo_Combustivel!$B$1:$AQ$1,0),1,1)</f>
        <v>533.1</v>
      </c>
    </row>
    <row r="4898" spans="1:3">
      <c r="A4898" s="3">
        <f t="shared" si="148"/>
        <v>2048</v>
      </c>
      <c r="B4898" s="106">
        <f t="shared" si="149"/>
        <v>93</v>
      </c>
      <c r="C4898" s="107">
        <f ca="1">OFFSET(tab_tipo_Combustivel!$A$1,MATCH(B4898,tab_tipo_Combustivel!$A$2:$A$150,0),MATCH(A4898,tab_tipo_Combustivel!$B$1:$AQ$1,0),1,1)</f>
        <v>842.33</v>
      </c>
    </row>
    <row r="4899" spans="1:3">
      <c r="A4899" s="3">
        <f t="shared" si="148"/>
        <v>2048</v>
      </c>
      <c r="B4899" s="106">
        <f t="shared" si="149"/>
        <v>94</v>
      </c>
      <c r="C4899" s="107">
        <f ca="1">OFFSET(tab_tipo_Combustivel!$A$1,MATCH(B4899,tab_tipo_Combustivel!$A$2:$A$150,0),MATCH(A4899,tab_tipo_Combustivel!$B$1:$AQ$1,0),1,1)</f>
        <v>842.33</v>
      </c>
    </row>
    <row r="4900" spans="1:3">
      <c r="A4900" s="3">
        <f t="shared" si="148"/>
        <v>2048</v>
      </c>
      <c r="B4900" s="106">
        <f t="shared" si="149"/>
        <v>96</v>
      </c>
      <c r="C4900" s="107">
        <f ca="1">OFFSET(tab_tipo_Combustivel!$A$1,MATCH(B4900,tab_tipo_Combustivel!$A$2:$A$150,0),MATCH(A4900,tab_tipo_Combustivel!$B$1:$AQ$1,0),1,1)</f>
        <v>99.92</v>
      </c>
    </row>
    <row r="4901" spans="1:3">
      <c r="A4901" s="3">
        <f t="shared" si="148"/>
        <v>2048</v>
      </c>
      <c r="B4901" s="106">
        <f t="shared" si="149"/>
        <v>98</v>
      </c>
      <c r="C4901" s="107">
        <f ca="1">OFFSET(tab_tipo_Combustivel!$A$1,MATCH(B4901,tab_tipo_Combustivel!$A$2:$A$150,0),MATCH(A4901,tab_tipo_Combustivel!$B$1:$AQ$1,0),1,1)</f>
        <v>489.8</v>
      </c>
    </row>
    <row r="4902" spans="1:3">
      <c r="A4902" s="3">
        <f t="shared" si="148"/>
        <v>2048</v>
      </c>
      <c r="B4902" s="106">
        <f t="shared" si="149"/>
        <v>107</v>
      </c>
      <c r="C4902" s="107">
        <f ca="1">OFFSET(tab_tipo_Combustivel!$A$1,MATCH(B4902,tab_tipo_Combustivel!$A$2:$A$150,0),MATCH(A4902,tab_tipo_Combustivel!$B$1:$AQ$1,0),1,1)</f>
        <v>57.63</v>
      </c>
    </row>
    <row r="4903" spans="1:3">
      <c r="A4903" s="3">
        <f t="shared" si="148"/>
        <v>2048</v>
      </c>
      <c r="B4903" s="106">
        <f t="shared" si="149"/>
        <v>110</v>
      </c>
      <c r="C4903" s="107">
        <f ca="1">OFFSET(tab_tipo_Combustivel!$A$1,MATCH(B4903,tab_tipo_Combustivel!$A$2:$A$150,0),MATCH(A4903,tab_tipo_Combustivel!$B$1:$AQ$1,0),1,1)</f>
        <v>568.29</v>
      </c>
    </row>
    <row r="4904" spans="1:3">
      <c r="A4904" s="3">
        <f t="shared" si="148"/>
        <v>2048</v>
      </c>
      <c r="B4904" s="106">
        <f t="shared" si="149"/>
        <v>116</v>
      </c>
      <c r="C4904" s="107">
        <f ca="1">OFFSET(tab_tipo_Combustivel!$A$1,MATCH(B4904,tab_tipo_Combustivel!$A$2:$A$150,0),MATCH(A4904,tab_tipo_Combustivel!$B$1:$AQ$1,0),1,1)</f>
        <v>117.46</v>
      </c>
    </row>
    <row r="4905" spans="1:3">
      <c r="A4905" s="3">
        <f t="shared" si="148"/>
        <v>2048</v>
      </c>
      <c r="B4905" s="106">
        <f t="shared" si="149"/>
        <v>140</v>
      </c>
      <c r="C4905" s="107">
        <f ca="1">OFFSET(tab_tipo_Combustivel!$A$1,MATCH(B4905,tab_tipo_Combustivel!$A$2:$A$150,0),MATCH(A4905,tab_tipo_Combustivel!$B$1:$AQ$1,0),1,1)</f>
        <v>88.11</v>
      </c>
    </row>
    <row r="4906" spans="1:3">
      <c r="A4906" s="3">
        <f t="shared" si="148"/>
        <v>2048</v>
      </c>
      <c r="B4906" s="106">
        <f t="shared" si="149"/>
        <v>141</v>
      </c>
      <c r="C4906" s="107">
        <f ca="1">OFFSET(tab_tipo_Combustivel!$A$1,MATCH(B4906,tab_tipo_Combustivel!$A$2:$A$150,0),MATCH(A4906,tab_tipo_Combustivel!$B$1:$AQ$1,0),1,1)</f>
        <v>1280.52</v>
      </c>
    </row>
    <row r="4907" spans="1:3">
      <c r="A4907" s="3">
        <f t="shared" si="148"/>
        <v>2048</v>
      </c>
      <c r="B4907" s="106">
        <f t="shared" si="149"/>
        <v>147</v>
      </c>
      <c r="C4907" s="107">
        <f ca="1">OFFSET(tab_tipo_Combustivel!$A$1,MATCH(B4907,tab_tipo_Combustivel!$A$2:$A$150,0),MATCH(A4907,tab_tipo_Combustivel!$B$1:$AQ$1,0),1,1)</f>
        <v>134.18</v>
      </c>
    </row>
    <row r="4908" spans="1:3">
      <c r="A4908" s="3">
        <f t="shared" si="148"/>
        <v>2048</v>
      </c>
      <c r="B4908" s="106">
        <f t="shared" si="149"/>
        <v>156</v>
      </c>
      <c r="C4908" s="107">
        <f ca="1">OFFSET(tab_tipo_Combustivel!$A$1,MATCH(B4908,tab_tipo_Combustivel!$A$2:$A$150,0),MATCH(A4908,tab_tipo_Combustivel!$B$1:$AQ$1,0),1,1)</f>
        <v>77.12</v>
      </c>
    </row>
    <row r="4909" spans="1:3">
      <c r="A4909" s="3">
        <f t="shared" si="148"/>
        <v>2048</v>
      </c>
      <c r="B4909" s="106">
        <f t="shared" si="149"/>
        <v>163</v>
      </c>
      <c r="C4909" s="107">
        <f ca="1">OFFSET(tab_tipo_Combustivel!$A$1,MATCH(B4909,tab_tipo_Combustivel!$A$2:$A$150,0),MATCH(A4909,tab_tipo_Combustivel!$B$1:$AQ$1,0),1,1)</f>
        <v>156.69999999999999</v>
      </c>
    </row>
    <row r="4910" spans="1:3">
      <c r="A4910" s="3">
        <f t="shared" si="148"/>
        <v>2048</v>
      </c>
      <c r="B4910" s="106">
        <f t="shared" si="149"/>
        <v>167</v>
      </c>
      <c r="C4910" s="107">
        <f ca="1">OFFSET(tab_tipo_Combustivel!$A$1,MATCH(B4910,tab_tipo_Combustivel!$A$2:$A$150,0),MATCH(A4910,tab_tipo_Combustivel!$B$1:$AQ$1,0),1,1)</f>
        <v>144.66999999999999</v>
      </c>
    </row>
    <row r="4911" spans="1:3">
      <c r="A4911" s="3">
        <f t="shared" si="148"/>
        <v>2048</v>
      </c>
      <c r="B4911" s="106">
        <f t="shared" si="149"/>
        <v>171</v>
      </c>
      <c r="C4911" s="107">
        <f ca="1">OFFSET(tab_tipo_Combustivel!$A$1,MATCH(B4911,tab_tipo_Combustivel!$A$2:$A$150,0),MATCH(A4911,tab_tipo_Combustivel!$B$1:$AQ$1,0),1,1)</f>
        <v>88</v>
      </c>
    </row>
    <row r="4912" spans="1:3">
      <c r="A4912" s="3">
        <f t="shared" si="148"/>
        <v>2048</v>
      </c>
      <c r="B4912" s="106">
        <f t="shared" si="149"/>
        <v>172</v>
      </c>
      <c r="C4912" s="107">
        <f ca="1">OFFSET(tab_tipo_Combustivel!$A$1,MATCH(B4912,tab_tipo_Combustivel!$A$2:$A$150,0),MATCH(A4912,tab_tipo_Combustivel!$B$1:$AQ$1,0),1,1)</f>
        <v>99.97</v>
      </c>
    </row>
    <row r="4913" spans="1:3">
      <c r="A4913" s="3">
        <f t="shared" si="148"/>
        <v>2048</v>
      </c>
      <c r="B4913" s="106">
        <f t="shared" si="149"/>
        <v>173</v>
      </c>
      <c r="C4913" s="107">
        <f ca="1">OFFSET(tab_tipo_Combustivel!$A$1,MATCH(B4913,tab_tipo_Combustivel!$A$2:$A$150,0),MATCH(A4913,tab_tipo_Combustivel!$B$1:$AQ$1,0),1,1)</f>
        <v>192.03</v>
      </c>
    </row>
    <row r="4914" spans="1:3">
      <c r="A4914" s="3">
        <f t="shared" si="148"/>
        <v>2048</v>
      </c>
      <c r="B4914" s="106">
        <f t="shared" si="149"/>
        <v>174</v>
      </c>
      <c r="C4914" s="107">
        <f ca="1">OFFSET(tab_tipo_Combustivel!$A$1,MATCH(B4914,tab_tipo_Combustivel!$A$2:$A$150,0),MATCH(A4914,tab_tipo_Combustivel!$B$1:$AQ$1,0),1,1)</f>
        <v>331.22</v>
      </c>
    </row>
    <row r="4915" spans="1:3">
      <c r="A4915" s="3">
        <f t="shared" si="148"/>
        <v>2048</v>
      </c>
      <c r="B4915" s="106">
        <f t="shared" si="149"/>
        <v>176</v>
      </c>
      <c r="C4915" s="107">
        <f ca="1">OFFSET(tab_tipo_Combustivel!$A$1,MATCH(B4915,tab_tipo_Combustivel!$A$2:$A$150,0),MATCH(A4915,tab_tipo_Combustivel!$B$1:$AQ$1,0),1,1)</f>
        <v>149.47999999999999</v>
      </c>
    </row>
    <row r="4916" spans="1:3">
      <c r="A4916" s="3">
        <f t="shared" si="148"/>
        <v>2048</v>
      </c>
      <c r="B4916" s="106">
        <f t="shared" si="149"/>
        <v>183</v>
      </c>
      <c r="C4916" s="107">
        <f ca="1">OFFSET(tab_tipo_Combustivel!$A$1,MATCH(B4916,tab_tipo_Combustivel!$A$2:$A$150,0),MATCH(A4916,tab_tipo_Combustivel!$B$1:$AQ$1,0),1,1)</f>
        <v>171.61</v>
      </c>
    </row>
    <row r="4917" spans="1:3">
      <c r="A4917" s="3">
        <f t="shared" si="148"/>
        <v>2048</v>
      </c>
      <c r="B4917" s="106">
        <f t="shared" si="149"/>
        <v>194</v>
      </c>
      <c r="C4917" s="107">
        <f ca="1">OFFSET(tab_tipo_Combustivel!$A$1,MATCH(B4917,tab_tipo_Combustivel!$A$2:$A$150,0),MATCH(A4917,tab_tipo_Combustivel!$B$1:$AQ$1,0),1,1)</f>
        <v>1098.58</v>
      </c>
    </row>
    <row r="4918" spans="1:3">
      <c r="A4918" s="3">
        <f t="shared" si="148"/>
        <v>2048</v>
      </c>
      <c r="B4918" s="106">
        <f t="shared" si="149"/>
        <v>203</v>
      </c>
      <c r="C4918" s="107">
        <f ca="1">OFFSET(tab_tipo_Combustivel!$A$1,MATCH(B4918,tab_tipo_Combustivel!$A$2:$A$150,0),MATCH(A4918,tab_tipo_Combustivel!$B$1:$AQ$1,0),1,1)</f>
        <v>0</v>
      </c>
    </row>
    <row r="4919" spans="1:3">
      <c r="A4919" s="3">
        <f t="shared" si="148"/>
        <v>2048</v>
      </c>
      <c r="B4919" s="106">
        <f t="shared" si="149"/>
        <v>204</v>
      </c>
      <c r="C4919" s="107">
        <f ca="1">OFFSET(tab_tipo_Combustivel!$A$1,MATCH(B4919,tab_tipo_Combustivel!$A$2:$A$150,0),MATCH(A4919,tab_tipo_Combustivel!$B$1:$AQ$1,0),1,1)</f>
        <v>0</v>
      </c>
    </row>
    <row r="4920" spans="1:3">
      <c r="A4920" s="3">
        <f t="shared" si="148"/>
        <v>2048</v>
      </c>
      <c r="B4920" s="106">
        <f t="shared" si="149"/>
        <v>205</v>
      </c>
      <c r="C4920" s="107">
        <f ca="1">OFFSET(tab_tipo_Combustivel!$A$1,MATCH(B4920,tab_tipo_Combustivel!$A$2:$A$150,0),MATCH(A4920,tab_tipo_Combustivel!$B$1:$AQ$1,0),1,1)</f>
        <v>0</v>
      </c>
    </row>
    <row r="4921" spans="1:3">
      <c r="A4921" s="3">
        <f t="shared" si="148"/>
        <v>2048</v>
      </c>
      <c r="B4921" s="106">
        <f t="shared" si="149"/>
        <v>207</v>
      </c>
      <c r="C4921" s="107">
        <f ca="1">OFFSET(tab_tipo_Combustivel!$A$1,MATCH(B4921,tab_tipo_Combustivel!$A$2:$A$150,0),MATCH(A4921,tab_tipo_Combustivel!$B$1:$AQ$1,0),1,1)</f>
        <v>0</v>
      </c>
    </row>
    <row r="4922" spans="1:3">
      <c r="A4922" s="3">
        <f t="shared" si="148"/>
        <v>2048</v>
      </c>
      <c r="B4922" s="106">
        <f t="shared" si="149"/>
        <v>208</v>
      </c>
      <c r="C4922" s="107">
        <f ca="1">OFFSET(tab_tipo_Combustivel!$A$1,MATCH(B4922,tab_tipo_Combustivel!$A$2:$A$150,0),MATCH(A4922,tab_tipo_Combustivel!$B$1:$AQ$1,0),1,1)</f>
        <v>783.64</v>
      </c>
    </row>
    <row r="4923" spans="1:3">
      <c r="A4923" s="3">
        <f t="shared" si="148"/>
        <v>2048</v>
      </c>
      <c r="B4923" s="106">
        <f t="shared" si="149"/>
        <v>209</v>
      </c>
      <c r="C4923" s="107">
        <f ca="1">OFFSET(tab_tipo_Combustivel!$A$1,MATCH(B4923,tab_tipo_Combustivel!$A$2:$A$150,0),MATCH(A4923,tab_tipo_Combustivel!$B$1:$AQ$1,0),1,1)</f>
        <v>0</v>
      </c>
    </row>
    <row r="4924" spans="1:3">
      <c r="A4924" s="3">
        <f t="shared" si="148"/>
        <v>2048</v>
      </c>
      <c r="B4924" s="106">
        <f t="shared" si="149"/>
        <v>211</v>
      </c>
      <c r="C4924" s="107">
        <f ca="1">OFFSET(tab_tipo_Combustivel!$A$1,MATCH(B4924,tab_tipo_Combustivel!$A$2:$A$150,0),MATCH(A4924,tab_tipo_Combustivel!$B$1:$AQ$1,0),1,1)</f>
        <v>150.79</v>
      </c>
    </row>
    <row r="4925" spans="1:3">
      <c r="A4925" s="3">
        <f t="shared" si="148"/>
        <v>2048</v>
      </c>
      <c r="B4925" s="106">
        <f t="shared" si="149"/>
        <v>212</v>
      </c>
      <c r="C4925" s="107">
        <f ca="1">OFFSET(tab_tipo_Combustivel!$A$1,MATCH(B4925,tab_tipo_Combustivel!$A$2:$A$150,0),MATCH(A4925,tab_tipo_Combustivel!$B$1:$AQ$1,0),1,1)</f>
        <v>84.58</v>
      </c>
    </row>
    <row r="4926" spans="1:3">
      <c r="A4926" s="3">
        <f t="shared" si="148"/>
        <v>2048</v>
      </c>
      <c r="B4926" s="106">
        <f t="shared" si="149"/>
        <v>224</v>
      </c>
      <c r="C4926" s="107">
        <f ca="1">OFFSET(tab_tipo_Combustivel!$A$1,MATCH(B4926,tab_tipo_Combustivel!$A$2:$A$150,0),MATCH(A4926,tab_tipo_Combustivel!$B$1:$AQ$1,0),1,1)</f>
        <v>31.08</v>
      </c>
    </row>
    <row r="4927" spans="1:3">
      <c r="A4927" s="3">
        <f t="shared" si="148"/>
        <v>2048</v>
      </c>
      <c r="B4927" s="106">
        <f t="shared" si="149"/>
        <v>225</v>
      </c>
      <c r="C4927" s="107">
        <f ca="1">OFFSET(tab_tipo_Combustivel!$A$1,MATCH(B4927,tab_tipo_Combustivel!$A$2:$A$150,0),MATCH(A4927,tab_tipo_Combustivel!$B$1:$AQ$1,0),1,1)</f>
        <v>1329.7</v>
      </c>
    </row>
    <row r="4928" spans="1:3">
      <c r="A4928" s="3">
        <f t="shared" si="148"/>
        <v>2048</v>
      </c>
      <c r="B4928" s="106">
        <f t="shared" si="149"/>
        <v>226</v>
      </c>
      <c r="C4928" s="107">
        <f ca="1">OFFSET(tab_tipo_Combustivel!$A$1,MATCH(B4928,tab_tipo_Combustivel!$A$2:$A$150,0),MATCH(A4928,tab_tipo_Combustivel!$B$1:$AQ$1,0),1,1)</f>
        <v>1061.1300000000001</v>
      </c>
    </row>
    <row r="4929" spans="1:3">
      <c r="A4929" s="3">
        <f t="shared" si="148"/>
        <v>2048</v>
      </c>
      <c r="B4929" s="106">
        <f t="shared" si="149"/>
        <v>227</v>
      </c>
      <c r="C4929" s="107">
        <f ca="1">OFFSET(tab_tipo_Combustivel!$A$1,MATCH(B4929,tab_tipo_Combustivel!$A$2:$A$150,0),MATCH(A4929,tab_tipo_Combustivel!$B$1:$AQ$1,0),1,1)</f>
        <v>447.52</v>
      </c>
    </row>
    <row r="4930" spans="1:3">
      <c r="A4930" s="3">
        <f t="shared" si="148"/>
        <v>2048</v>
      </c>
      <c r="B4930" s="106">
        <f t="shared" si="149"/>
        <v>228</v>
      </c>
      <c r="C4930" s="107">
        <f ca="1">OFFSET(tab_tipo_Combustivel!$A$1,MATCH(B4930,tab_tipo_Combustivel!$A$2:$A$150,0),MATCH(A4930,tab_tipo_Combustivel!$B$1:$AQ$1,0),1,1)</f>
        <v>1061.1400000000001</v>
      </c>
    </row>
    <row r="4931" spans="1:3">
      <c r="A4931" s="3">
        <f t="shared" si="148"/>
        <v>2048</v>
      </c>
      <c r="B4931" s="106">
        <f t="shared" si="149"/>
        <v>229</v>
      </c>
      <c r="C4931" s="107">
        <f ca="1">OFFSET(tab_tipo_Combustivel!$A$1,MATCH(B4931,tab_tipo_Combustivel!$A$2:$A$150,0),MATCH(A4931,tab_tipo_Combustivel!$B$1:$AQ$1,0),1,1)</f>
        <v>942.05</v>
      </c>
    </row>
    <row r="4932" spans="1:3">
      <c r="A4932" s="3">
        <f t="shared" si="148"/>
        <v>2048</v>
      </c>
      <c r="B4932" s="106">
        <f t="shared" si="149"/>
        <v>230</v>
      </c>
      <c r="C4932" s="107">
        <f ca="1">OFFSET(tab_tipo_Combustivel!$A$1,MATCH(B4932,tab_tipo_Combustivel!$A$2:$A$150,0),MATCH(A4932,tab_tipo_Combustivel!$B$1:$AQ$1,0),1,1)</f>
        <v>495.06</v>
      </c>
    </row>
    <row r="4933" spans="1:3">
      <c r="A4933" s="3">
        <f t="shared" si="148"/>
        <v>2048</v>
      </c>
      <c r="B4933" s="106">
        <f t="shared" si="149"/>
        <v>231</v>
      </c>
      <c r="C4933" s="107">
        <f ca="1">OFFSET(tab_tipo_Combustivel!$A$1,MATCH(B4933,tab_tipo_Combustivel!$A$2:$A$150,0),MATCH(A4933,tab_tipo_Combustivel!$B$1:$AQ$1,0),1,1)</f>
        <v>489.29</v>
      </c>
    </row>
    <row r="4934" spans="1:3">
      <c r="A4934" s="3">
        <f t="shared" si="148"/>
        <v>2048</v>
      </c>
      <c r="B4934" s="106">
        <f t="shared" si="149"/>
        <v>232</v>
      </c>
      <c r="C4934" s="107">
        <f ca="1">OFFSET(tab_tipo_Combustivel!$A$1,MATCH(B4934,tab_tipo_Combustivel!$A$2:$A$150,0),MATCH(A4934,tab_tipo_Combustivel!$B$1:$AQ$1,0),1,1)</f>
        <v>842.33</v>
      </c>
    </row>
    <row r="4935" spans="1:3">
      <c r="A4935" s="3">
        <f t="shared" si="148"/>
        <v>2048</v>
      </c>
      <c r="B4935" s="106">
        <f t="shared" si="149"/>
        <v>233</v>
      </c>
      <c r="C4935" s="107">
        <f ca="1">OFFSET(tab_tipo_Combustivel!$A$1,MATCH(B4935,tab_tipo_Combustivel!$A$2:$A$150,0),MATCH(A4935,tab_tipo_Combustivel!$B$1:$AQ$1,0),1,1)</f>
        <v>984.29</v>
      </c>
    </row>
    <row r="4936" spans="1:3">
      <c r="A4936" s="3">
        <f t="shared" si="148"/>
        <v>2048</v>
      </c>
      <c r="B4936" s="106">
        <f t="shared" si="149"/>
        <v>234</v>
      </c>
      <c r="C4936" s="107">
        <f ca="1">OFFSET(tab_tipo_Combustivel!$A$1,MATCH(B4936,tab_tipo_Combustivel!$A$2:$A$150,0),MATCH(A4936,tab_tipo_Combustivel!$B$1:$AQ$1,0),1,1)</f>
        <v>290.26</v>
      </c>
    </row>
    <row r="4937" spans="1:3">
      <c r="A4937" s="3">
        <f t="shared" si="148"/>
        <v>2048</v>
      </c>
      <c r="B4937" s="106">
        <f t="shared" si="149"/>
        <v>235</v>
      </c>
      <c r="C4937" s="107">
        <f ca="1">OFFSET(tab_tipo_Combustivel!$A$1,MATCH(B4937,tab_tipo_Combustivel!$A$2:$A$150,0),MATCH(A4937,tab_tipo_Combustivel!$B$1:$AQ$1,0),1,1)</f>
        <v>1350.87</v>
      </c>
    </row>
    <row r="4938" spans="1:3">
      <c r="A4938" s="3">
        <f t="shared" ref="A4938:A5001" si="150">A4803+1</f>
        <v>2048</v>
      </c>
      <c r="B4938" s="106">
        <f t="shared" ref="B4938:B5001" si="151">B4803</f>
        <v>236</v>
      </c>
      <c r="C4938" s="107">
        <f ca="1">OFFSET(tab_tipo_Combustivel!$A$1,MATCH(B4938,tab_tipo_Combustivel!$A$2:$A$150,0),MATCH(A4938,tab_tipo_Combustivel!$B$1:$AQ$1,0),1,1)</f>
        <v>842.33</v>
      </c>
    </row>
    <row r="4939" spans="1:3">
      <c r="A4939" s="3">
        <f t="shared" si="150"/>
        <v>2048</v>
      </c>
      <c r="B4939" s="106">
        <f t="shared" si="151"/>
        <v>237</v>
      </c>
      <c r="C4939" s="107">
        <f ca="1">OFFSET(tab_tipo_Combustivel!$A$1,MATCH(B4939,tab_tipo_Combustivel!$A$2:$A$150,0),MATCH(A4939,tab_tipo_Combustivel!$B$1:$AQ$1,0),1,1)</f>
        <v>760.85</v>
      </c>
    </row>
    <row r="4940" spans="1:3">
      <c r="A4940" s="3">
        <f t="shared" si="150"/>
        <v>2048</v>
      </c>
      <c r="B4940" s="106">
        <f t="shared" si="151"/>
        <v>238</v>
      </c>
      <c r="C4940" s="107">
        <f ca="1">OFFSET(tab_tipo_Combustivel!$A$1,MATCH(B4940,tab_tipo_Combustivel!$A$2:$A$150,0),MATCH(A4940,tab_tipo_Combustivel!$B$1:$AQ$1,0),1,1)</f>
        <v>963.75</v>
      </c>
    </row>
    <row r="4941" spans="1:3">
      <c r="A4941" s="3">
        <f t="shared" si="150"/>
        <v>2048</v>
      </c>
      <c r="B4941" s="106">
        <f t="shared" si="151"/>
        <v>239</v>
      </c>
      <c r="C4941" s="107">
        <f ca="1">OFFSET(tab_tipo_Combustivel!$A$1,MATCH(B4941,tab_tipo_Combustivel!$A$2:$A$150,0),MATCH(A4941,tab_tipo_Combustivel!$B$1:$AQ$1,0),1,1)</f>
        <v>963.75</v>
      </c>
    </row>
    <row r="4942" spans="1:3">
      <c r="A4942" s="3">
        <f t="shared" si="150"/>
        <v>2048</v>
      </c>
      <c r="B4942" s="106">
        <f t="shared" si="151"/>
        <v>240</v>
      </c>
      <c r="C4942" s="107">
        <f ca="1">OFFSET(tab_tipo_Combustivel!$A$1,MATCH(B4942,tab_tipo_Combustivel!$A$2:$A$150,0),MATCH(A4942,tab_tipo_Combustivel!$B$1:$AQ$1,0),1,1)</f>
        <v>1115.96</v>
      </c>
    </row>
    <row r="4943" spans="1:3">
      <c r="A4943" s="3">
        <f t="shared" si="150"/>
        <v>2048</v>
      </c>
      <c r="B4943" s="106">
        <f t="shared" si="151"/>
        <v>241</v>
      </c>
      <c r="C4943" s="107">
        <f ca="1">OFFSET(tab_tipo_Combustivel!$A$1,MATCH(B4943,tab_tipo_Combustivel!$A$2:$A$150,0),MATCH(A4943,tab_tipo_Combustivel!$B$1:$AQ$1,0),1,1)</f>
        <v>495.75</v>
      </c>
    </row>
    <row r="4944" spans="1:3">
      <c r="A4944" s="3">
        <f t="shared" si="150"/>
        <v>2048</v>
      </c>
      <c r="B4944" s="106">
        <f t="shared" si="151"/>
        <v>242</v>
      </c>
      <c r="C4944" s="107">
        <f ca="1">OFFSET(tab_tipo_Combustivel!$A$1,MATCH(B4944,tab_tipo_Combustivel!$A$2:$A$150,0),MATCH(A4944,tab_tipo_Combustivel!$B$1:$AQ$1,0),1,1)</f>
        <v>1176.45</v>
      </c>
    </row>
    <row r="4945" spans="1:3">
      <c r="A4945" s="3">
        <f t="shared" si="150"/>
        <v>2048</v>
      </c>
      <c r="B4945" s="106">
        <f t="shared" si="151"/>
        <v>243</v>
      </c>
      <c r="C4945" s="107">
        <f ca="1">OFFSET(tab_tipo_Combustivel!$A$1,MATCH(B4945,tab_tipo_Combustivel!$A$2:$A$150,0),MATCH(A4945,tab_tipo_Combustivel!$B$1:$AQ$1,0),1,1)</f>
        <v>495.08</v>
      </c>
    </row>
    <row r="4946" spans="1:3">
      <c r="A4946" s="3">
        <f t="shared" si="150"/>
        <v>2048</v>
      </c>
      <c r="B4946" s="106">
        <f t="shared" si="151"/>
        <v>244</v>
      </c>
      <c r="C4946" s="107">
        <f ca="1">OFFSET(tab_tipo_Combustivel!$A$1,MATCH(B4946,tab_tipo_Combustivel!$A$2:$A$150,0),MATCH(A4946,tab_tipo_Combustivel!$B$1:$AQ$1,0),1,1)</f>
        <v>495.06</v>
      </c>
    </row>
    <row r="4947" spans="1:3">
      <c r="A4947" s="3">
        <f t="shared" si="150"/>
        <v>2048</v>
      </c>
      <c r="B4947" s="106">
        <f t="shared" si="151"/>
        <v>245</v>
      </c>
      <c r="C4947" s="107">
        <f ca="1">OFFSET(tab_tipo_Combustivel!$A$1,MATCH(B4947,tab_tipo_Combustivel!$A$2:$A$150,0),MATCH(A4947,tab_tipo_Combustivel!$B$1:$AQ$1,0),1,1)</f>
        <v>562.65</v>
      </c>
    </row>
    <row r="4948" spans="1:3">
      <c r="A4948" s="3">
        <f t="shared" si="150"/>
        <v>2048</v>
      </c>
      <c r="B4948" s="106">
        <f t="shared" si="151"/>
        <v>246</v>
      </c>
      <c r="C4948" s="107">
        <f ca="1">OFFSET(tab_tipo_Combustivel!$A$1,MATCH(B4948,tab_tipo_Combustivel!$A$2:$A$150,0),MATCH(A4948,tab_tipo_Combustivel!$B$1:$AQ$1,0),1,1)</f>
        <v>1124.53</v>
      </c>
    </row>
    <row r="4949" spans="1:3">
      <c r="A4949" s="3">
        <f t="shared" si="150"/>
        <v>2048</v>
      </c>
      <c r="B4949" s="106">
        <f t="shared" si="151"/>
        <v>247</v>
      </c>
      <c r="C4949" s="107">
        <f ca="1">OFFSET(tab_tipo_Combustivel!$A$1,MATCH(B4949,tab_tipo_Combustivel!$A$2:$A$150,0),MATCH(A4949,tab_tipo_Combustivel!$B$1:$AQ$1,0),1,1)</f>
        <v>609.51</v>
      </c>
    </row>
    <row r="4950" spans="1:3">
      <c r="A4950" s="3">
        <f t="shared" si="150"/>
        <v>2048</v>
      </c>
      <c r="B4950" s="106">
        <f t="shared" si="151"/>
        <v>248</v>
      </c>
      <c r="C4950" s="107">
        <f ca="1">OFFSET(tab_tipo_Combustivel!$A$1,MATCH(B4950,tab_tipo_Combustivel!$A$2:$A$150,0),MATCH(A4950,tab_tipo_Combustivel!$B$1:$AQ$1,0),1,1)</f>
        <v>495.06</v>
      </c>
    </row>
    <row r="4951" spans="1:3">
      <c r="A4951" s="3">
        <f t="shared" si="150"/>
        <v>2048</v>
      </c>
      <c r="B4951" s="106">
        <f t="shared" si="151"/>
        <v>249</v>
      </c>
      <c r="C4951" s="107">
        <f ca="1">OFFSET(tab_tipo_Combustivel!$A$1,MATCH(B4951,tab_tipo_Combustivel!$A$2:$A$150,0),MATCH(A4951,tab_tipo_Combustivel!$B$1:$AQ$1,0),1,1)</f>
        <v>842.33</v>
      </c>
    </row>
    <row r="4952" spans="1:3">
      <c r="A4952" s="3">
        <f t="shared" si="150"/>
        <v>2048</v>
      </c>
      <c r="B4952" s="106">
        <f t="shared" si="151"/>
        <v>250</v>
      </c>
      <c r="C4952" s="107">
        <f ca="1">OFFSET(tab_tipo_Combustivel!$A$1,MATCH(B4952,tab_tipo_Combustivel!$A$2:$A$150,0),MATCH(A4952,tab_tipo_Combustivel!$B$1:$AQ$1,0),1,1)</f>
        <v>1176.45</v>
      </c>
    </row>
    <row r="4953" spans="1:3">
      <c r="A4953" s="3">
        <f t="shared" si="150"/>
        <v>2048</v>
      </c>
      <c r="B4953" s="106">
        <f t="shared" si="151"/>
        <v>251</v>
      </c>
      <c r="C4953" s="107">
        <f ca="1">OFFSET(tab_tipo_Combustivel!$A$1,MATCH(B4953,tab_tipo_Combustivel!$A$2:$A$150,0),MATCH(A4953,tab_tipo_Combustivel!$B$1:$AQ$1,0),1,1)</f>
        <v>842.33</v>
      </c>
    </row>
    <row r="4954" spans="1:3">
      <c r="A4954" s="3">
        <f t="shared" si="150"/>
        <v>2048</v>
      </c>
      <c r="B4954" s="106">
        <f t="shared" si="151"/>
        <v>252</v>
      </c>
      <c r="C4954" s="107">
        <f ca="1">OFFSET(tab_tipo_Combustivel!$A$1,MATCH(B4954,tab_tipo_Combustivel!$A$2:$A$150,0),MATCH(A4954,tab_tipo_Combustivel!$B$1:$AQ$1,0),1,1)</f>
        <v>842.33</v>
      </c>
    </row>
    <row r="4955" spans="1:3">
      <c r="A4955" s="3">
        <f t="shared" si="150"/>
        <v>2048</v>
      </c>
      <c r="B4955" s="106">
        <f t="shared" si="151"/>
        <v>253</v>
      </c>
      <c r="C4955" s="107">
        <f ca="1">OFFSET(tab_tipo_Combustivel!$A$1,MATCH(B4955,tab_tipo_Combustivel!$A$2:$A$150,0),MATCH(A4955,tab_tipo_Combustivel!$B$1:$AQ$1,0),1,1)</f>
        <v>279.45</v>
      </c>
    </row>
    <row r="4956" spans="1:3">
      <c r="A4956" s="3">
        <f t="shared" si="150"/>
        <v>2048</v>
      </c>
      <c r="B4956" s="106">
        <f t="shared" si="151"/>
        <v>254</v>
      </c>
      <c r="C4956" s="107">
        <f ca="1">OFFSET(tab_tipo_Combustivel!$A$1,MATCH(B4956,tab_tipo_Combustivel!$A$2:$A$150,0),MATCH(A4956,tab_tipo_Combustivel!$B$1:$AQ$1,0),1,1)</f>
        <v>1153.98</v>
      </c>
    </row>
    <row r="4957" spans="1:3">
      <c r="A4957" s="3">
        <f t="shared" si="150"/>
        <v>2048</v>
      </c>
      <c r="B4957" s="106">
        <f t="shared" si="151"/>
        <v>255</v>
      </c>
      <c r="C4957" s="107">
        <f ca="1">OFFSET(tab_tipo_Combustivel!$A$1,MATCH(B4957,tab_tipo_Combustivel!$A$2:$A$150,0),MATCH(A4957,tab_tipo_Combustivel!$B$1:$AQ$1,0),1,1)</f>
        <v>828.98</v>
      </c>
    </row>
    <row r="4958" spans="1:3">
      <c r="A4958" s="3">
        <f t="shared" si="150"/>
        <v>2048</v>
      </c>
      <c r="B4958" s="106">
        <f t="shared" si="151"/>
        <v>256</v>
      </c>
      <c r="C4958" s="107">
        <f ca="1">OFFSET(tab_tipo_Combustivel!$A$1,MATCH(B4958,tab_tipo_Combustivel!$A$2:$A$150,0),MATCH(A4958,tab_tipo_Combustivel!$B$1:$AQ$1,0),1,1)</f>
        <v>562.65</v>
      </c>
    </row>
    <row r="4959" spans="1:3">
      <c r="A4959" s="3">
        <f t="shared" si="150"/>
        <v>2048</v>
      </c>
      <c r="B4959" s="106">
        <f t="shared" si="151"/>
        <v>257</v>
      </c>
      <c r="C4959" s="107">
        <f ca="1">OFFSET(tab_tipo_Combustivel!$A$1,MATCH(B4959,tab_tipo_Combustivel!$A$2:$A$150,0),MATCH(A4959,tab_tipo_Combustivel!$B$1:$AQ$1,0),1,1)</f>
        <v>907.52</v>
      </c>
    </row>
    <row r="4960" spans="1:3">
      <c r="A4960" s="3">
        <f t="shared" si="150"/>
        <v>2048</v>
      </c>
      <c r="B4960" s="106">
        <f t="shared" si="151"/>
        <v>258</v>
      </c>
      <c r="C4960" s="107">
        <f ca="1">OFFSET(tab_tipo_Combustivel!$A$1,MATCH(B4960,tab_tipo_Combustivel!$A$2:$A$150,0),MATCH(A4960,tab_tipo_Combustivel!$B$1:$AQ$1,0),1,1)</f>
        <v>1016.04</v>
      </c>
    </row>
    <row r="4961" spans="1:3">
      <c r="A4961" s="3">
        <f t="shared" si="150"/>
        <v>2048</v>
      </c>
      <c r="B4961" s="106">
        <f t="shared" si="151"/>
        <v>259</v>
      </c>
      <c r="C4961" s="107">
        <f ca="1">OFFSET(tab_tipo_Combustivel!$A$1,MATCH(B4961,tab_tipo_Combustivel!$A$2:$A$150,0),MATCH(A4961,tab_tipo_Combustivel!$B$1:$AQ$1,0),1,1)</f>
        <v>977.53</v>
      </c>
    </row>
    <row r="4962" spans="1:3">
      <c r="A4962" s="3">
        <f t="shared" si="150"/>
        <v>2048</v>
      </c>
      <c r="B4962" s="106">
        <f t="shared" si="151"/>
        <v>260</v>
      </c>
      <c r="C4962" s="107">
        <f ca="1">OFFSET(tab_tipo_Combustivel!$A$1,MATCH(B4962,tab_tipo_Combustivel!$A$2:$A$150,0),MATCH(A4962,tab_tipo_Combustivel!$B$1:$AQ$1,0),1,1)</f>
        <v>827.17</v>
      </c>
    </row>
    <row r="4963" spans="1:3">
      <c r="A4963" s="3">
        <f t="shared" si="150"/>
        <v>2048</v>
      </c>
      <c r="B4963" s="106">
        <f t="shared" si="151"/>
        <v>261</v>
      </c>
      <c r="C4963" s="107">
        <f ca="1">OFFSET(tab_tipo_Combustivel!$A$1,MATCH(B4963,tab_tipo_Combustivel!$A$2:$A$150,0),MATCH(A4963,tab_tipo_Combustivel!$B$1:$AQ$1,0),1,1)</f>
        <v>829.7</v>
      </c>
    </row>
    <row r="4964" spans="1:3">
      <c r="A4964" s="3">
        <f t="shared" si="150"/>
        <v>2048</v>
      </c>
      <c r="B4964" s="106">
        <f t="shared" si="151"/>
        <v>262</v>
      </c>
      <c r="C4964" s="107">
        <f ca="1">OFFSET(tab_tipo_Combustivel!$A$1,MATCH(B4964,tab_tipo_Combustivel!$A$2:$A$150,0),MATCH(A4964,tab_tipo_Combustivel!$B$1:$AQ$1,0),1,1)</f>
        <v>495.75</v>
      </c>
    </row>
    <row r="4965" spans="1:3">
      <c r="A4965" s="3">
        <f t="shared" si="150"/>
        <v>2048</v>
      </c>
      <c r="B4965" s="106">
        <f t="shared" si="151"/>
        <v>263</v>
      </c>
      <c r="C4965" s="107">
        <f ca="1">OFFSET(tab_tipo_Combustivel!$A$1,MATCH(B4965,tab_tipo_Combustivel!$A$2:$A$150,0),MATCH(A4965,tab_tipo_Combustivel!$B$1:$AQ$1,0),1,1)</f>
        <v>474.77</v>
      </c>
    </row>
    <row r="4966" spans="1:3">
      <c r="A4966" s="3">
        <f t="shared" si="150"/>
        <v>2048</v>
      </c>
      <c r="B4966" s="106">
        <f t="shared" si="151"/>
        <v>264</v>
      </c>
      <c r="C4966" s="107">
        <f ca="1">OFFSET(tab_tipo_Combustivel!$A$1,MATCH(B4966,tab_tipo_Combustivel!$A$2:$A$150,0),MATCH(A4966,tab_tipo_Combustivel!$B$1:$AQ$1,0),1,1)</f>
        <v>842.33</v>
      </c>
    </row>
    <row r="4967" spans="1:3">
      <c r="A4967" s="3">
        <f t="shared" si="150"/>
        <v>2048</v>
      </c>
      <c r="B4967" s="106">
        <f t="shared" si="151"/>
        <v>265</v>
      </c>
      <c r="C4967" s="107">
        <f ca="1">OFFSET(tab_tipo_Combustivel!$A$1,MATCH(B4967,tab_tipo_Combustivel!$A$2:$A$150,0),MATCH(A4967,tab_tipo_Combustivel!$B$1:$AQ$1,0),1,1)</f>
        <v>415.82</v>
      </c>
    </row>
    <row r="4968" spans="1:3">
      <c r="A4968" s="3">
        <f t="shared" si="150"/>
        <v>2048</v>
      </c>
      <c r="B4968" s="106">
        <f t="shared" si="151"/>
        <v>266</v>
      </c>
      <c r="C4968" s="107">
        <f ca="1">OFFSET(tab_tipo_Combustivel!$A$1,MATCH(B4968,tab_tipo_Combustivel!$A$2:$A$150,0),MATCH(A4968,tab_tipo_Combustivel!$B$1:$AQ$1,0),1,1)</f>
        <v>827.17</v>
      </c>
    </row>
    <row r="4969" spans="1:3">
      <c r="A4969" s="3">
        <f t="shared" si="150"/>
        <v>2048</v>
      </c>
      <c r="B4969" s="106">
        <f t="shared" si="151"/>
        <v>301</v>
      </c>
      <c r="C4969" s="107">
        <f ca="1">OFFSET(tab_tipo_Combustivel!$A$1,MATCH(B4969,tab_tipo_Combustivel!$A$2:$A$150,0),MATCH(A4969,tab_tipo_Combustivel!$B$1:$AQ$1,0),1,1)</f>
        <v>99.08</v>
      </c>
    </row>
    <row r="4970" spans="1:3">
      <c r="A4970" s="3">
        <f t="shared" si="150"/>
        <v>2048</v>
      </c>
      <c r="B4970" s="106">
        <f t="shared" si="151"/>
        <v>302</v>
      </c>
      <c r="C4970" s="107">
        <f ca="1">OFFSET(tab_tipo_Combustivel!$A$1,MATCH(B4970,tab_tipo_Combustivel!$A$2:$A$150,0),MATCH(A4970,tab_tipo_Combustivel!$B$1:$AQ$1,0),1,1)</f>
        <v>103.73</v>
      </c>
    </row>
    <row r="4971" spans="1:3">
      <c r="A4971" s="3">
        <f t="shared" si="150"/>
        <v>2048</v>
      </c>
      <c r="B4971" s="106">
        <f t="shared" si="151"/>
        <v>303</v>
      </c>
      <c r="C4971" s="107">
        <f ca="1">OFFSET(tab_tipo_Combustivel!$A$1,MATCH(B4971,tab_tipo_Combustivel!$A$2:$A$150,0),MATCH(A4971,tab_tipo_Combustivel!$B$1:$AQ$1,0),1,1)</f>
        <v>103.73</v>
      </c>
    </row>
    <row r="4972" spans="1:3">
      <c r="A4972" s="3">
        <f t="shared" si="150"/>
        <v>2048</v>
      </c>
      <c r="B4972" s="106">
        <f t="shared" si="151"/>
        <v>304</v>
      </c>
      <c r="C4972" s="107">
        <f ca="1">OFFSET(tab_tipo_Combustivel!$A$1,MATCH(B4972,tab_tipo_Combustivel!$A$2:$A$150,0),MATCH(A4972,tab_tipo_Combustivel!$B$1:$AQ$1,0),1,1)</f>
        <v>139.41999999999999</v>
      </c>
    </row>
    <row r="4973" spans="1:3">
      <c r="A4973" s="3">
        <f t="shared" si="150"/>
        <v>2048</v>
      </c>
      <c r="B4973" s="106">
        <f t="shared" si="151"/>
        <v>305</v>
      </c>
      <c r="C4973" s="107">
        <f ca="1">OFFSET(tab_tipo_Combustivel!$A$1,MATCH(B4973,tab_tipo_Combustivel!$A$2:$A$150,0),MATCH(A4973,tab_tipo_Combustivel!$B$1:$AQ$1,0),1,1)</f>
        <v>89.7</v>
      </c>
    </row>
    <row r="4974" spans="1:3">
      <c r="A4974" s="3">
        <f t="shared" si="150"/>
        <v>2048</v>
      </c>
      <c r="B4974" s="106">
        <f t="shared" si="151"/>
        <v>306</v>
      </c>
      <c r="C4974" s="107">
        <f ca="1">OFFSET(tab_tipo_Combustivel!$A$1,MATCH(B4974,tab_tipo_Combustivel!$A$2:$A$150,0),MATCH(A4974,tab_tipo_Combustivel!$B$1:$AQ$1,0),1,1)</f>
        <v>100.38</v>
      </c>
    </row>
    <row r="4975" spans="1:3">
      <c r="A4975" s="3">
        <f t="shared" si="150"/>
        <v>2048</v>
      </c>
      <c r="B4975" s="106">
        <f t="shared" si="151"/>
        <v>307</v>
      </c>
      <c r="C4975" s="107">
        <f ca="1">OFFSET(tab_tipo_Combustivel!$A$1,MATCH(B4975,tab_tipo_Combustivel!$A$2:$A$150,0),MATCH(A4975,tab_tipo_Combustivel!$B$1:$AQ$1,0),1,1)</f>
        <v>510.12</v>
      </c>
    </row>
    <row r="4976" spans="1:3">
      <c r="A4976" s="3">
        <f t="shared" si="150"/>
        <v>2048</v>
      </c>
      <c r="B4976" s="106">
        <f t="shared" si="151"/>
        <v>308</v>
      </c>
      <c r="C4976" s="107">
        <f ca="1">OFFSET(tab_tipo_Combustivel!$A$1,MATCH(B4976,tab_tipo_Combustivel!$A$2:$A$150,0),MATCH(A4976,tab_tipo_Combustivel!$B$1:$AQ$1,0),1,1)</f>
        <v>72.5</v>
      </c>
    </row>
    <row r="4977" spans="1:3">
      <c r="A4977" s="3">
        <f t="shared" si="150"/>
        <v>2048</v>
      </c>
      <c r="B4977" s="106">
        <f t="shared" si="151"/>
        <v>309</v>
      </c>
      <c r="C4977" s="107">
        <f ca="1">OFFSET(tab_tipo_Combustivel!$A$1,MATCH(B4977,tab_tipo_Combustivel!$A$2:$A$150,0),MATCH(A4977,tab_tipo_Combustivel!$B$1:$AQ$1,0),1,1)</f>
        <v>126.77</v>
      </c>
    </row>
    <row r="4978" spans="1:3">
      <c r="A4978" s="3">
        <f t="shared" si="150"/>
        <v>2048</v>
      </c>
      <c r="B4978" s="106">
        <f t="shared" si="151"/>
        <v>310</v>
      </c>
      <c r="C4978" s="107">
        <f ca="1">OFFSET(tab_tipo_Combustivel!$A$1,MATCH(B4978,tab_tipo_Combustivel!$A$2:$A$150,0),MATCH(A4978,tab_tipo_Combustivel!$B$1:$AQ$1,0),1,1)</f>
        <v>275.99</v>
      </c>
    </row>
    <row r="4979" spans="1:3">
      <c r="A4979" s="3">
        <f t="shared" si="150"/>
        <v>2048</v>
      </c>
      <c r="B4979" s="106">
        <f t="shared" si="151"/>
        <v>311</v>
      </c>
      <c r="C4979" s="107">
        <f ca="1">OFFSET(tab_tipo_Combustivel!$A$1,MATCH(B4979,tab_tipo_Combustivel!$A$2:$A$150,0),MATCH(A4979,tab_tipo_Combustivel!$B$1:$AQ$1,0),1,1)</f>
        <v>70.66</v>
      </c>
    </row>
    <row r="4980" spans="1:3">
      <c r="A4980" s="3">
        <f t="shared" si="150"/>
        <v>2048</v>
      </c>
      <c r="B4980" s="106">
        <f t="shared" si="151"/>
        <v>312</v>
      </c>
      <c r="C4980" s="107">
        <f ca="1">OFFSET(tab_tipo_Combustivel!$A$1,MATCH(B4980,tab_tipo_Combustivel!$A$2:$A$150,0),MATCH(A4980,tab_tipo_Combustivel!$B$1:$AQ$1,0),1,1)</f>
        <v>0</v>
      </c>
    </row>
    <row r="4981" spans="1:3">
      <c r="A4981" s="3">
        <f t="shared" si="150"/>
        <v>2048</v>
      </c>
      <c r="B4981" s="106">
        <f t="shared" si="151"/>
        <v>1301</v>
      </c>
      <c r="C4981" s="107">
        <f ca="1">OFFSET(tab_tipo_Combustivel!$A$1,MATCH(B4981,tab_tipo_Combustivel!$A$2:$A$150,0),MATCH(A4981,tab_tipo_Combustivel!$B$1:$AQ$1,0),1,1)</f>
        <v>242.05</v>
      </c>
    </row>
    <row r="4982" spans="1:3">
      <c r="A4982" s="3">
        <f t="shared" si="150"/>
        <v>2048</v>
      </c>
      <c r="B4982" s="106">
        <f t="shared" si="151"/>
        <v>1302</v>
      </c>
      <c r="C4982" s="107">
        <f ca="1">OFFSET(tab_tipo_Combustivel!$A$1,MATCH(B4982,tab_tipo_Combustivel!$A$2:$A$150,0),MATCH(A4982,tab_tipo_Combustivel!$B$1:$AQ$1,0),1,1)</f>
        <v>193.64</v>
      </c>
    </row>
    <row r="4983" spans="1:3">
      <c r="A4983" s="3">
        <f t="shared" si="150"/>
        <v>2048</v>
      </c>
      <c r="B4983" s="106">
        <f t="shared" si="151"/>
        <v>1303</v>
      </c>
      <c r="C4983" s="107">
        <f ca="1">OFFSET(tab_tipo_Combustivel!$A$1,MATCH(B4983,tab_tipo_Combustivel!$A$2:$A$150,0),MATCH(A4983,tab_tipo_Combustivel!$B$1:$AQ$1,0),1,1)</f>
        <v>25.58</v>
      </c>
    </row>
    <row r="4984" spans="1:3">
      <c r="A4984" s="3">
        <f t="shared" si="150"/>
        <v>2048</v>
      </c>
      <c r="B4984" s="106">
        <f t="shared" si="151"/>
        <v>1304</v>
      </c>
      <c r="C4984" s="107">
        <f ca="1">OFFSET(tab_tipo_Combustivel!$A$1,MATCH(B4984,tab_tipo_Combustivel!$A$2:$A$150,0),MATCH(A4984,tab_tipo_Combustivel!$B$1:$AQ$1,0),1,1)</f>
        <v>0</v>
      </c>
    </row>
    <row r="4985" spans="1:3">
      <c r="A4985" s="3">
        <f t="shared" si="150"/>
        <v>2048</v>
      </c>
      <c r="B4985" s="106">
        <f t="shared" si="151"/>
        <v>1315</v>
      </c>
      <c r="C4985" s="107">
        <f ca="1">OFFSET(tab_tipo_Combustivel!$A$1,MATCH(B4985,tab_tipo_Combustivel!$A$2:$A$150,0),MATCH(A4985,tab_tipo_Combustivel!$B$1:$AQ$1,0),1,1)</f>
        <v>0</v>
      </c>
    </row>
    <row r="4986" spans="1:3">
      <c r="A4986" s="3">
        <f t="shared" si="150"/>
        <v>2048</v>
      </c>
      <c r="B4986" s="106">
        <f t="shared" si="151"/>
        <v>1316</v>
      </c>
      <c r="C4986" s="107">
        <f ca="1">OFFSET(tab_tipo_Combustivel!$A$1,MATCH(B4986,tab_tipo_Combustivel!$A$2:$A$150,0),MATCH(A4986,tab_tipo_Combustivel!$B$1:$AQ$1,0),1,1)</f>
        <v>0</v>
      </c>
    </row>
    <row r="4987" spans="1:3">
      <c r="A4987" s="3">
        <f t="shared" si="150"/>
        <v>2048</v>
      </c>
      <c r="B4987" s="106">
        <f t="shared" si="151"/>
        <v>1318</v>
      </c>
      <c r="C4987" s="107">
        <f ca="1">OFFSET(tab_tipo_Combustivel!$A$1,MATCH(B4987,tab_tipo_Combustivel!$A$2:$A$150,0),MATCH(A4987,tab_tipo_Combustivel!$B$1:$AQ$1,0),1,1)</f>
        <v>150</v>
      </c>
    </row>
    <row r="4988" spans="1:3">
      <c r="A4988" s="3">
        <f t="shared" si="150"/>
        <v>2048</v>
      </c>
      <c r="B4988" s="106">
        <f t="shared" si="151"/>
        <v>1321</v>
      </c>
      <c r="C4988" s="107">
        <f ca="1">OFFSET(tab_tipo_Combustivel!$A$1,MATCH(B4988,tab_tipo_Combustivel!$A$2:$A$150,0),MATCH(A4988,tab_tipo_Combustivel!$B$1:$AQ$1,0),1,1)</f>
        <v>85</v>
      </c>
    </row>
    <row r="4989" spans="1:3">
      <c r="A4989" s="3">
        <f t="shared" si="150"/>
        <v>2048</v>
      </c>
      <c r="B4989" s="106">
        <f t="shared" si="151"/>
        <v>1322</v>
      </c>
      <c r="C4989" s="107">
        <f ca="1">OFFSET(tab_tipo_Combustivel!$A$1,MATCH(B4989,tab_tipo_Combustivel!$A$2:$A$150,0),MATCH(A4989,tab_tipo_Combustivel!$B$1:$AQ$1,0),1,1)</f>
        <v>140</v>
      </c>
    </row>
    <row r="4990" spans="1:3">
      <c r="A4990" s="3">
        <f t="shared" si="150"/>
        <v>2048</v>
      </c>
      <c r="B4990" s="106">
        <f t="shared" si="151"/>
        <v>1323</v>
      </c>
      <c r="C4990" s="107">
        <f ca="1">OFFSET(tab_tipo_Combustivel!$A$1,MATCH(B4990,tab_tipo_Combustivel!$A$2:$A$150,0),MATCH(A4990,tab_tipo_Combustivel!$B$1:$AQ$1,0),1,1)</f>
        <v>63.75</v>
      </c>
    </row>
    <row r="4991" spans="1:3">
      <c r="A4991" s="3">
        <f t="shared" si="150"/>
        <v>2048</v>
      </c>
      <c r="B4991" s="106">
        <f t="shared" si="151"/>
        <v>1325</v>
      </c>
      <c r="C4991" s="107">
        <f ca="1">OFFSET(tab_tipo_Combustivel!$A$1,MATCH(B4991,tab_tipo_Combustivel!$A$2:$A$150,0),MATCH(A4991,tab_tipo_Combustivel!$B$1:$AQ$1,0),1,1)</f>
        <v>0</v>
      </c>
    </row>
    <row r="4992" spans="1:3">
      <c r="A4992" s="3">
        <f t="shared" si="150"/>
        <v>2048</v>
      </c>
      <c r="B4992" s="106">
        <f t="shared" si="151"/>
        <v>1326</v>
      </c>
      <c r="C4992" s="107">
        <f ca="1">OFFSET(tab_tipo_Combustivel!$A$1,MATCH(B4992,tab_tipo_Combustivel!$A$2:$A$150,0),MATCH(A4992,tab_tipo_Combustivel!$B$1:$AQ$1,0),1,1)</f>
        <v>260</v>
      </c>
    </row>
    <row r="4993" spans="1:3">
      <c r="A4993" s="3">
        <f t="shared" si="150"/>
        <v>2048</v>
      </c>
      <c r="B4993" s="106">
        <f t="shared" si="151"/>
        <v>1501</v>
      </c>
      <c r="C4993" s="107">
        <f ca="1">OFFSET(tab_tipo_Combustivel!$A$1,MATCH(B4993,tab_tipo_Combustivel!$A$2:$A$150,0),MATCH(A4993,tab_tipo_Combustivel!$B$1:$AQ$1,0),1,1)</f>
        <v>260</v>
      </c>
    </row>
    <row r="4994" spans="1:3">
      <c r="A4994" s="3">
        <f t="shared" si="150"/>
        <v>2048</v>
      </c>
      <c r="B4994" s="106">
        <f t="shared" si="151"/>
        <v>1502</v>
      </c>
      <c r="C4994" s="107">
        <f ca="1">OFFSET(tab_tipo_Combustivel!$A$1,MATCH(B4994,tab_tipo_Combustivel!$A$2:$A$150,0),MATCH(A4994,tab_tipo_Combustivel!$B$1:$AQ$1,0),1,1)</f>
        <v>60</v>
      </c>
    </row>
    <row r="4995" spans="1:3">
      <c r="A4995" s="3">
        <f t="shared" si="150"/>
        <v>2048</v>
      </c>
      <c r="B4995" s="106">
        <f t="shared" si="151"/>
        <v>1503</v>
      </c>
      <c r="C4995" s="107">
        <f ca="1">OFFSET(tab_tipo_Combustivel!$A$1,MATCH(B4995,tab_tipo_Combustivel!$A$2:$A$150,0),MATCH(A4995,tab_tipo_Combustivel!$B$1:$AQ$1,0),1,1)</f>
        <v>96.82</v>
      </c>
    </row>
    <row r="4996" spans="1:3">
      <c r="A4996" s="3">
        <f t="shared" si="150"/>
        <v>2048</v>
      </c>
      <c r="B4996" s="106">
        <f t="shared" si="151"/>
        <v>1504</v>
      </c>
      <c r="C4996" s="107">
        <f ca="1">OFFSET(tab_tipo_Combustivel!$A$1,MATCH(B4996,tab_tipo_Combustivel!$A$2:$A$150,0),MATCH(A4996,tab_tipo_Combustivel!$B$1:$AQ$1,0),1,1)</f>
        <v>145.22999999999999</v>
      </c>
    </row>
    <row r="4997" spans="1:3">
      <c r="A4997" s="3">
        <f t="shared" si="150"/>
        <v>2049</v>
      </c>
      <c r="B4997" s="106">
        <f t="shared" si="151"/>
        <v>1</v>
      </c>
      <c r="C4997" s="107">
        <f ca="1">OFFSET(tab_tipo_Combustivel!$A$1,MATCH(B4997,tab_tipo_Combustivel!$A$2:$A$150,0),MATCH(A4997,tab_tipo_Combustivel!$B$1:$AQ$1,0),1,1)</f>
        <v>29.13</v>
      </c>
    </row>
    <row r="4998" spans="1:3">
      <c r="A4998" s="3">
        <f t="shared" si="150"/>
        <v>2049</v>
      </c>
      <c r="B4998" s="106">
        <f t="shared" si="151"/>
        <v>2</v>
      </c>
      <c r="C4998" s="107">
        <f ca="1">OFFSET(tab_tipo_Combustivel!$A$1,MATCH(B4998,tab_tipo_Combustivel!$A$2:$A$150,0),MATCH(A4998,tab_tipo_Combustivel!$B$1:$AQ$1,0),1,1)</f>
        <v>842.33</v>
      </c>
    </row>
    <row r="4999" spans="1:3">
      <c r="A4999" s="3">
        <f t="shared" si="150"/>
        <v>2049</v>
      </c>
      <c r="B4999" s="106">
        <f t="shared" si="151"/>
        <v>4</v>
      </c>
      <c r="C4999" s="107">
        <f ca="1">OFFSET(tab_tipo_Combustivel!$A$1,MATCH(B4999,tab_tipo_Combustivel!$A$2:$A$150,0),MATCH(A4999,tab_tipo_Combustivel!$B$1:$AQ$1,0),1,1)</f>
        <v>842.33</v>
      </c>
    </row>
    <row r="5000" spans="1:3">
      <c r="A5000" s="3">
        <f t="shared" si="150"/>
        <v>2049</v>
      </c>
      <c r="B5000" s="106">
        <f t="shared" si="151"/>
        <v>9</v>
      </c>
      <c r="C5000" s="107">
        <f ca="1">OFFSET(tab_tipo_Combustivel!$A$1,MATCH(B5000,tab_tipo_Combustivel!$A$2:$A$150,0),MATCH(A5000,tab_tipo_Combustivel!$B$1:$AQ$1,0),1,1)</f>
        <v>842.33</v>
      </c>
    </row>
    <row r="5001" spans="1:3">
      <c r="A5001" s="3">
        <f t="shared" si="150"/>
        <v>2049</v>
      </c>
      <c r="B5001" s="106">
        <f t="shared" si="151"/>
        <v>12</v>
      </c>
      <c r="C5001" s="107">
        <f ca="1">OFFSET(tab_tipo_Combustivel!$A$1,MATCH(B5001,tab_tipo_Combustivel!$A$2:$A$150,0),MATCH(A5001,tab_tipo_Combustivel!$B$1:$AQ$1,0),1,1)</f>
        <v>728.87</v>
      </c>
    </row>
    <row r="5002" spans="1:3">
      <c r="A5002" s="3">
        <f t="shared" ref="A5002:A5065" si="152">A4867+1</f>
        <v>2049</v>
      </c>
      <c r="B5002" s="106">
        <f t="shared" ref="B5002:B5065" si="153">B4867</f>
        <v>13</v>
      </c>
      <c r="C5002" s="107">
        <f ca="1">OFFSET(tab_tipo_Combustivel!$A$1,MATCH(B5002,tab_tipo_Combustivel!$A$2:$A$150,0),MATCH(A5002,tab_tipo_Combustivel!$B$1:$AQ$1,0),1,1)</f>
        <v>20.12</v>
      </c>
    </row>
    <row r="5003" spans="1:3">
      <c r="A5003" s="3">
        <f t="shared" si="152"/>
        <v>2049</v>
      </c>
      <c r="B5003" s="106">
        <f t="shared" si="153"/>
        <v>15</v>
      </c>
      <c r="C5003" s="107">
        <f ca="1">OFFSET(tab_tipo_Combustivel!$A$1,MATCH(B5003,tab_tipo_Combustivel!$A$2:$A$150,0),MATCH(A5003,tab_tipo_Combustivel!$B$1:$AQ$1,0),1,1)</f>
        <v>257.29000000000002</v>
      </c>
    </row>
    <row r="5004" spans="1:3">
      <c r="A5004" s="3">
        <f t="shared" si="152"/>
        <v>2049</v>
      </c>
      <c r="B5004" s="106">
        <f t="shared" si="153"/>
        <v>21</v>
      </c>
      <c r="C5004" s="107">
        <f ca="1">OFFSET(tab_tipo_Combustivel!$A$1,MATCH(B5004,tab_tipo_Combustivel!$A$2:$A$150,0),MATCH(A5004,tab_tipo_Combustivel!$B$1:$AQ$1,0),1,1)</f>
        <v>157.83000000000001</v>
      </c>
    </row>
    <row r="5005" spans="1:3">
      <c r="A5005" s="3">
        <f t="shared" si="152"/>
        <v>2049</v>
      </c>
      <c r="B5005" s="106">
        <f t="shared" si="153"/>
        <v>22</v>
      </c>
      <c r="C5005" s="107">
        <f ca="1">OFFSET(tab_tipo_Combustivel!$A$1,MATCH(B5005,tab_tipo_Combustivel!$A$2:$A$150,0),MATCH(A5005,tab_tipo_Combustivel!$B$1:$AQ$1,0),1,1)</f>
        <v>115.9</v>
      </c>
    </row>
    <row r="5006" spans="1:3">
      <c r="A5006" s="3">
        <f t="shared" si="152"/>
        <v>2049</v>
      </c>
      <c r="B5006" s="106">
        <f t="shared" si="153"/>
        <v>23</v>
      </c>
      <c r="C5006" s="107">
        <f ca="1">OFFSET(tab_tipo_Combustivel!$A$1,MATCH(B5006,tab_tipo_Combustivel!$A$2:$A$150,0),MATCH(A5006,tab_tipo_Combustivel!$B$1:$AQ$1,0),1,1)</f>
        <v>115.9</v>
      </c>
    </row>
    <row r="5007" spans="1:3">
      <c r="A5007" s="3">
        <f t="shared" si="152"/>
        <v>2049</v>
      </c>
      <c r="B5007" s="106">
        <f t="shared" si="153"/>
        <v>24</v>
      </c>
      <c r="C5007" s="107">
        <f ca="1">OFFSET(tab_tipo_Combustivel!$A$1,MATCH(B5007,tab_tipo_Combustivel!$A$2:$A$150,0),MATCH(A5007,tab_tipo_Combustivel!$B$1:$AQ$1,0),1,1)</f>
        <v>155.85</v>
      </c>
    </row>
    <row r="5008" spans="1:3">
      <c r="A5008" s="3">
        <f t="shared" si="152"/>
        <v>2049</v>
      </c>
      <c r="B5008" s="106">
        <f t="shared" si="153"/>
        <v>25</v>
      </c>
      <c r="C5008" s="107">
        <f ca="1">OFFSET(tab_tipo_Combustivel!$A$1,MATCH(B5008,tab_tipo_Combustivel!$A$2:$A$150,0),MATCH(A5008,tab_tipo_Combustivel!$B$1:$AQ$1,0),1,1)</f>
        <v>186.33</v>
      </c>
    </row>
    <row r="5009" spans="1:3">
      <c r="A5009" s="3">
        <f t="shared" si="152"/>
        <v>2049</v>
      </c>
      <c r="B5009" s="106">
        <f t="shared" si="153"/>
        <v>26</v>
      </c>
      <c r="C5009" s="107">
        <f ca="1">OFFSET(tab_tipo_Combustivel!$A$1,MATCH(B5009,tab_tipo_Combustivel!$A$2:$A$150,0),MATCH(A5009,tab_tipo_Combustivel!$B$1:$AQ$1,0),1,1)</f>
        <v>258.42</v>
      </c>
    </row>
    <row r="5010" spans="1:3">
      <c r="A5010" s="3">
        <f t="shared" si="152"/>
        <v>2049</v>
      </c>
      <c r="B5010" s="106">
        <f t="shared" si="153"/>
        <v>27</v>
      </c>
      <c r="C5010" s="107">
        <f ca="1">OFFSET(tab_tipo_Combustivel!$A$1,MATCH(B5010,tab_tipo_Combustivel!$A$2:$A$150,0),MATCH(A5010,tab_tipo_Combustivel!$B$1:$AQ$1,0),1,1)</f>
        <v>195.49</v>
      </c>
    </row>
    <row r="5011" spans="1:3">
      <c r="A5011" s="3">
        <f t="shared" si="152"/>
        <v>2049</v>
      </c>
      <c r="B5011" s="106">
        <f t="shared" si="153"/>
        <v>28</v>
      </c>
      <c r="C5011" s="107">
        <f ca="1">OFFSET(tab_tipo_Combustivel!$A$1,MATCH(B5011,tab_tipo_Combustivel!$A$2:$A$150,0),MATCH(A5011,tab_tipo_Combustivel!$B$1:$AQ$1,0),1,1)</f>
        <v>459.92</v>
      </c>
    </row>
    <row r="5012" spans="1:3">
      <c r="A5012" s="3">
        <f t="shared" si="152"/>
        <v>2049</v>
      </c>
      <c r="B5012" s="106">
        <f t="shared" si="153"/>
        <v>32</v>
      </c>
      <c r="C5012" s="107">
        <f ca="1">OFFSET(tab_tipo_Combustivel!$A$1,MATCH(B5012,tab_tipo_Combustivel!$A$2:$A$150,0),MATCH(A5012,tab_tipo_Combustivel!$B$1:$AQ$1,0),1,1)</f>
        <v>248.31</v>
      </c>
    </row>
    <row r="5013" spans="1:3">
      <c r="A5013" s="3">
        <f t="shared" si="152"/>
        <v>2049</v>
      </c>
      <c r="B5013" s="106">
        <f t="shared" si="153"/>
        <v>34</v>
      </c>
      <c r="C5013" s="107">
        <f ca="1">OFFSET(tab_tipo_Combustivel!$A$1,MATCH(B5013,tab_tipo_Combustivel!$A$2:$A$150,0),MATCH(A5013,tab_tipo_Combustivel!$B$1:$AQ$1,0),1,1)</f>
        <v>423.38</v>
      </c>
    </row>
    <row r="5014" spans="1:3">
      <c r="A5014" s="3">
        <f t="shared" si="152"/>
        <v>2049</v>
      </c>
      <c r="B5014" s="106">
        <f t="shared" si="153"/>
        <v>35</v>
      </c>
      <c r="C5014" s="107">
        <f ca="1">OFFSET(tab_tipo_Combustivel!$A$1,MATCH(B5014,tab_tipo_Combustivel!$A$2:$A$150,0),MATCH(A5014,tab_tipo_Combustivel!$B$1:$AQ$1,0),1,1)</f>
        <v>692.45</v>
      </c>
    </row>
    <row r="5015" spans="1:3">
      <c r="A5015" s="3">
        <f t="shared" si="152"/>
        <v>2049</v>
      </c>
      <c r="B5015" s="106">
        <f t="shared" si="153"/>
        <v>36</v>
      </c>
      <c r="C5015" s="107">
        <f ca="1">OFFSET(tab_tipo_Combustivel!$A$1,MATCH(B5015,tab_tipo_Combustivel!$A$2:$A$150,0),MATCH(A5015,tab_tipo_Combustivel!$B$1:$AQ$1,0),1,1)</f>
        <v>157.83000000000001</v>
      </c>
    </row>
    <row r="5016" spans="1:3">
      <c r="A5016" s="3">
        <f t="shared" si="152"/>
        <v>2049</v>
      </c>
      <c r="B5016" s="106">
        <f t="shared" si="153"/>
        <v>42</v>
      </c>
      <c r="C5016" s="107">
        <f ca="1">OFFSET(tab_tipo_Combustivel!$A$1,MATCH(B5016,tab_tipo_Combustivel!$A$2:$A$150,0),MATCH(A5016,tab_tipo_Combustivel!$B$1:$AQ$1,0),1,1)</f>
        <v>199.22</v>
      </c>
    </row>
    <row r="5017" spans="1:3">
      <c r="A5017" s="3">
        <f t="shared" si="152"/>
        <v>2049</v>
      </c>
      <c r="B5017" s="106">
        <f t="shared" si="153"/>
        <v>43</v>
      </c>
      <c r="C5017" s="107">
        <f ca="1">OFFSET(tab_tipo_Combustivel!$A$1,MATCH(B5017,tab_tipo_Combustivel!$A$2:$A$150,0),MATCH(A5017,tab_tipo_Combustivel!$B$1:$AQ$1,0),1,1)</f>
        <v>431.62</v>
      </c>
    </row>
    <row r="5018" spans="1:3">
      <c r="A5018" s="3">
        <f t="shared" si="152"/>
        <v>2049</v>
      </c>
      <c r="B5018" s="106">
        <f t="shared" si="153"/>
        <v>44</v>
      </c>
      <c r="C5018" s="107">
        <f ca="1">OFFSET(tab_tipo_Combustivel!$A$1,MATCH(B5018,tab_tipo_Combustivel!$A$2:$A$150,0),MATCH(A5018,tab_tipo_Combustivel!$B$1:$AQ$1,0),1,1)</f>
        <v>25.58</v>
      </c>
    </row>
    <row r="5019" spans="1:3">
      <c r="A5019" s="3">
        <f t="shared" si="152"/>
        <v>2049</v>
      </c>
      <c r="B5019" s="106">
        <f t="shared" si="153"/>
        <v>46</v>
      </c>
      <c r="C5019" s="107">
        <f ca="1">OFFSET(tab_tipo_Combustivel!$A$1,MATCH(B5019,tab_tipo_Combustivel!$A$2:$A$150,0),MATCH(A5019,tab_tipo_Combustivel!$B$1:$AQ$1,0),1,1)</f>
        <v>228.91</v>
      </c>
    </row>
    <row r="5020" spans="1:3">
      <c r="A5020" s="3">
        <f t="shared" si="152"/>
        <v>2049</v>
      </c>
      <c r="B5020" s="106">
        <f t="shared" si="153"/>
        <v>47</v>
      </c>
      <c r="C5020" s="107">
        <f ca="1">OFFSET(tab_tipo_Combustivel!$A$1,MATCH(B5020,tab_tipo_Combustivel!$A$2:$A$150,0),MATCH(A5020,tab_tipo_Combustivel!$B$1:$AQ$1,0),1,1)</f>
        <v>235.6</v>
      </c>
    </row>
    <row r="5021" spans="1:3">
      <c r="A5021" s="3">
        <f t="shared" si="152"/>
        <v>2049</v>
      </c>
      <c r="B5021" s="106">
        <f t="shared" si="153"/>
        <v>48</v>
      </c>
      <c r="C5021" s="107">
        <f ca="1">OFFSET(tab_tipo_Combustivel!$A$1,MATCH(B5021,tab_tipo_Combustivel!$A$2:$A$150,0),MATCH(A5021,tab_tipo_Combustivel!$B$1:$AQ$1,0),1,1)</f>
        <v>1012.12</v>
      </c>
    </row>
    <row r="5022" spans="1:3">
      <c r="A5022" s="3">
        <f t="shared" si="152"/>
        <v>2049</v>
      </c>
      <c r="B5022" s="106">
        <f t="shared" si="153"/>
        <v>50</v>
      </c>
      <c r="C5022" s="107">
        <f ca="1">OFFSET(tab_tipo_Combustivel!$A$1,MATCH(B5022,tab_tipo_Combustivel!$A$2:$A$150,0),MATCH(A5022,tab_tipo_Combustivel!$B$1:$AQ$1,0),1,1)</f>
        <v>669.87</v>
      </c>
    </row>
    <row r="5023" spans="1:3">
      <c r="A5023" s="3">
        <f t="shared" si="152"/>
        <v>2049</v>
      </c>
      <c r="B5023" s="106">
        <f t="shared" si="153"/>
        <v>54</v>
      </c>
      <c r="C5023" s="107">
        <f ca="1">OFFSET(tab_tipo_Combustivel!$A$1,MATCH(B5023,tab_tipo_Combustivel!$A$2:$A$150,0),MATCH(A5023,tab_tipo_Combustivel!$B$1:$AQ$1,0),1,1)</f>
        <v>304.55</v>
      </c>
    </row>
    <row r="5024" spans="1:3">
      <c r="A5024" s="3">
        <f t="shared" si="152"/>
        <v>2049</v>
      </c>
      <c r="B5024" s="106">
        <f t="shared" si="153"/>
        <v>58</v>
      </c>
      <c r="C5024" s="107">
        <f ca="1">OFFSET(tab_tipo_Combustivel!$A$1,MATCH(B5024,tab_tipo_Combustivel!$A$2:$A$150,0),MATCH(A5024,tab_tipo_Combustivel!$B$1:$AQ$1,0),1,1)</f>
        <v>300.05</v>
      </c>
    </row>
    <row r="5025" spans="1:3">
      <c r="A5025" s="3">
        <f t="shared" si="152"/>
        <v>2049</v>
      </c>
      <c r="B5025" s="106">
        <f t="shared" si="153"/>
        <v>62</v>
      </c>
      <c r="C5025" s="107">
        <f ca="1">OFFSET(tab_tipo_Combustivel!$A$1,MATCH(B5025,tab_tipo_Combustivel!$A$2:$A$150,0),MATCH(A5025,tab_tipo_Combustivel!$B$1:$AQ$1,0),1,1)</f>
        <v>309.24</v>
      </c>
    </row>
    <row r="5026" spans="1:3">
      <c r="A5026" s="3">
        <f t="shared" si="152"/>
        <v>2049</v>
      </c>
      <c r="B5026" s="106">
        <f t="shared" si="153"/>
        <v>63</v>
      </c>
      <c r="C5026" s="107">
        <f ca="1">OFFSET(tab_tipo_Combustivel!$A$1,MATCH(B5026,tab_tipo_Combustivel!$A$2:$A$150,0),MATCH(A5026,tab_tipo_Combustivel!$B$1:$AQ$1,0),1,1)</f>
        <v>365.77</v>
      </c>
    </row>
    <row r="5027" spans="1:3">
      <c r="A5027" s="3">
        <f t="shared" si="152"/>
        <v>2049</v>
      </c>
      <c r="B5027" s="106">
        <f t="shared" si="153"/>
        <v>64</v>
      </c>
      <c r="C5027" s="107">
        <f ca="1">OFFSET(tab_tipo_Combustivel!$A$1,MATCH(B5027,tab_tipo_Combustivel!$A$2:$A$150,0),MATCH(A5027,tab_tipo_Combustivel!$B$1:$AQ$1,0),1,1)</f>
        <v>853.54</v>
      </c>
    </row>
    <row r="5028" spans="1:3">
      <c r="A5028" s="3">
        <f t="shared" si="152"/>
        <v>2049</v>
      </c>
      <c r="B5028" s="106">
        <f t="shared" si="153"/>
        <v>68</v>
      </c>
      <c r="C5028" s="107">
        <f ca="1">OFFSET(tab_tipo_Combustivel!$A$1,MATCH(B5028,tab_tipo_Combustivel!$A$2:$A$150,0),MATCH(A5028,tab_tipo_Combustivel!$B$1:$AQ$1,0),1,1)</f>
        <v>195.63</v>
      </c>
    </row>
    <row r="5029" spans="1:3">
      <c r="A5029" s="3">
        <f t="shared" si="152"/>
        <v>2049</v>
      </c>
      <c r="B5029" s="106">
        <f t="shared" si="153"/>
        <v>74</v>
      </c>
      <c r="C5029" s="107">
        <f ca="1">OFFSET(tab_tipo_Combustivel!$A$1,MATCH(B5029,tab_tipo_Combustivel!$A$2:$A$150,0),MATCH(A5029,tab_tipo_Combustivel!$B$1:$AQ$1,0),1,1)</f>
        <v>364.46</v>
      </c>
    </row>
    <row r="5030" spans="1:3">
      <c r="A5030" s="3">
        <f t="shared" si="152"/>
        <v>2049</v>
      </c>
      <c r="B5030" s="106">
        <f t="shared" si="153"/>
        <v>83</v>
      </c>
      <c r="C5030" s="107">
        <f ca="1">OFFSET(tab_tipo_Combustivel!$A$1,MATCH(B5030,tab_tipo_Combustivel!$A$2:$A$150,0),MATCH(A5030,tab_tipo_Combustivel!$B$1:$AQ$1,0),1,1)</f>
        <v>448.1</v>
      </c>
    </row>
    <row r="5031" spans="1:3">
      <c r="A5031" s="3">
        <f t="shared" si="152"/>
        <v>2049</v>
      </c>
      <c r="B5031" s="106">
        <f t="shared" si="153"/>
        <v>86</v>
      </c>
      <c r="C5031" s="107">
        <f ca="1">OFFSET(tab_tipo_Combustivel!$A$1,MATCH(B5031,tab_tipo_Combustivel!$A$2:$A$150,0),MATCH(A5031,tab_tipo_Combustivel!$B$1:$AQ$1,0),1,1)</f>
        <v>170.34</v>
      </c>
    </row>
    <row r="5032" spans="1:3">
      <c r="A5032" s="3">
        <f t="shared" si="152"/>
        <v>2049</v>
      </c>
      <c r="B5032" s="106">
        <f t="shared" si="153"/>
        <v>90</v>
      </c>
      <c r="C5032" s="107">
        <f ca="1">OFFSET(tab_tipo_Combustivel!$A$1,MATCH(B5032,tab_tipo_Combustivel!$A$2:$A$150,0),MATCH(A5032,tab_tipo_Combustivel!$B$1:$AQ$1,0),1,1)</f>
        <v>533.1</v>
      </c>
    </row>
    <row r="5033" spans="1:3">
      <c r="A5033" s="3">
        <f t="shared" si="152"/>
        <v>2049</v>
      </c>
      <c r="B5033" s="106">
        <f t="shared" si="153"/>
        <v>93</v>
      </c>
      <c r="C5033" s="107">
        <f ca="1">OFFSET(tab_tipo_Combustivel!$A$1,MATCH(B5033,tab_tipo_Combustivel!$A$2:$A$150,0),MATCH(A5033,tab_tipo_Combustivel!$B$1:$AQ$1,0),1,1)</f>
        <v>842.33</v>
      </c>
    </row>
    <row r="5034" spans="1:3">
      <c r="A5034" s="3">
        <f t="shared" si="152"/>
        <v>2049</v>
      </c>
      <c r="B5034" s="106">
        <f t="shared" si="153"/>
        <v>94</v>
      </c>
      <c r="C5034" s="107">
        <f ca="1">OFFSET(tab_tipo_Combustivel!$A$1,MATCH(B5034,tab_tipo_Combustivel!$A$2:$A$150,0),MATCH(A5034,tab_tipo_Combustivel!$B$1:$AQ$1,0),1,1)</f>
        <v>842.33</v>
      </c>
    </row>
    <row r="5035" spans="1:3">
      <c r="A5035" s="3">
        <f t="shared" si="152"/>
        <v>2049</v>
      </c>
      <c r="B5035" s="106">
        <f t="shared" si="153"/>
        <v>96</v>
      </c>
      <c r="C5035" s="107">
        <f ca="1">OFFSET(tab_tipo_Combustivel!$A$1,MATCH(B5035,tab_tipo_Combustivel!$A$2:$A$150,0),MATCH(A5035,tab_tipo_Combustivel!$B$1:$AQ$1,0),1,1)</f>
        <v>99.92</v>
      </c>
    </row>
    <row r="5036" spans="1:3">
      <c r="A5036" s="3">
        <f t="shared" si="152"/>
        <v>2049</v>
      </c>
      <c r="B5036" s="106">
        <f t="shared" si="153"/>
        <v>98</v>
      </c>
      <c r="C5036" s="107">
        <f ca="1">OFFSET(tab_tipo_Combustivel!$A$1,MATCH(B5036,tab_tipo_Combustivel!$A$2:$A$150,0),MATCH(A5036,tab_tipo_Combustivel!$B$1:$AQ$1,0),1,1)</f>
        <v>489.8</v>
      </c>
    </row>
    <row r="5037" spans="1:3">
      <c r="A5037" s="3">
        <f t="shared" si="152"/>
        <v>2049</v>
      </c>
      <c r="B5037" s="106">
        <f t="shared" si="153"/>
        <v>107</v>
      </c>
      <c r="C5037" s="107">
        <f ca="1">OFFSET(tab_tipo_Combustivel!$A$1,MATCH(B5037,tab_tipo_Combustivel!$A$2:$A$150,0),MATCH(A5037,tab_tipo_Combustivel!$B$1:$AQ$1,0),1,1)</f>
        <v>57.63</v>
      </c>
    </row>
    <row r="5038" spans="1:3">
      <c r="A5038" s="3">
        <f t="shared" si="152"/>
        <v>2049</v>
      </c>
      <c r="B5038" s="106">
        <f t="shared" si="153"/>
        <v>110</v>
      </c>
      <c r="C5038" s="107">
        <f ca="1">OFFSET(tab_tipo_Combustivel!$A$1,MATCH(B5038,tab_tipo_Combustivel!$A$2:$A$150,0),MATCH(A5038,tab_tipo_Combustivel!$B$1:$AQ$1,0),1,1)</f>
        <v>568.29</v>
      </c>
    </row>
    <row r="5039" spans="1:3">
      <c r="A5039" s="3">
        <f t="shared" si="152"/>
        <v>2049</v>
      </c>
      <c r="B5039" s="106">
        <f t="shared" si="153"/>
        <v>116</v>
      </c>
      <c r="C5039" s="107">
        <f ca="1">OFFSET(tab_tipo_Combustivel!$A$1,MATCH(B5039,tab_tipo_Combustivel!$A$2:$A$150,0),MATCH(A5039,tab_tipo_Combustivel!$B$1:$AQ$1,0),1,1)</f>
        <v>117.46</v>
      </c>
    </row>
    <row r="5040" spans="1:3">
      <c r="A5040" s="3">
        <f t="shared" si="152"/>
        <v>2049</v>
      </c>
      <c r="B5040" s="106">
        <f t="shared" si="153"/>
        <v>140</v>
      </c>
      <c r="C5040" s="107">
        <f ca="1">OFFSET(tab_tipo_Combustivel!$A$1,MATCH(B5040,tab_tipo_Combustivel!$A$2:$A$150,0),MATCH(A5040,tab_tipo_Combustivel!$B$1:$AQ$1,0),1,1)</f>
        <v>88.11</v>
      </c>
    </row>
    <row r="5041" spans="1:3">
      <c r="A5041" s="3">
        <f t="shared" si="152"/>
        <v>2049</v>
      </c>
      <c r="B5041" s="106">
        <f t="shared" si="153"/>
        <v>141</v>
      </c>
      <c r="C5041" s="107">
        <f ca="1">OFFSET(tab_tipo_Combustivel!$A$1,MATCH(B5041,tab_tipo_Combustivel!$A$2:$A$150,0),MATCH(A5041,tab_tipo_Combustivel!$B$1:$AQ$1,0),1,1)</f>
        <v>1280.52</v>
      </c>
    </row>
    <row r="5042" spans="1:3">
      <c r="A5042" s="3">
        <f t="shared" si="152"/>
        <v>2049</v>
      </c>
      <c r="B5042" s="106">
        <f t="shared" si="153"/>
        <v>147</v>
      </c>
      <c r="C5042" s="107">
        <f ca="1">OFFSET(tab_tipo_Combustivel!$A$1,MATCH(B5042,tab_tipo_Combustivel!$A$2:$A$150,0),MATCH(A5042,tab_tipo_Combustivel!$B$1:$AQ$1,0),1,1)</f>
        <v>134.18</v>
      </c>
    </row>
    <row r="5043" spans="1:3">
      <c r="A5043" s="3">
        <f t="shared" si="152"/>
        <v>2049</v>
      </c>
      <c r="B5043" s="106">
        <f t="shared" si="153"/>
        <v>156</v>
      </c>
      <c r="C5043" s="107">
        <f ca="1">OFFSET(tab_tipo_Combustivel!$A$1,MATCH(B5043,tab_tipo_Combustivel!$A$2:$A$150,0),MATCH(A5043,tab_tipo_Combustivel!$B$1:$AQ$1,0),1,1)</f>
        <v>77.12</v>
      </c>
    </row>
    <row r="5044" spans="1:3">
      <c r="A5044" s="3">
        <f t="shared" si="152"/>
        <v>2049</v>
      </c>
      <c r="B5044" s="106">
        <f t="shared" si="153"/>
        <v>163</v>
      </c>
      <c r="C5044" s="107">
        <f ca="1">OFFSET(tab_tipo_Combustivel!$A$1,MATCH(B5044,tab_tipo_Combustivel!$A$2:$A$150,0),MATCH(A5044,tab_tipo_Combustivel!$B$1:$AQ$1,0),1,1)</f>
        <v>156.69999999999999</v>
      </c>
    </row>
    <row r="5045" spans="1:3">
      <c r="A5045" s="3">
        <f t="shared" si="152"/>
        <v>2049</v>
      </c>
      <c r="B5045" s="106">
        <f t="shared" si="153"/>
        <v>167</v>
      </c>
      <c r="C5045" s="107">
        <f ca="1">OFFSET(tab_tipo_Combustivel!$A$1,MATCH(B5045,tab_tipo_Combustivel!$A$2:$A$150,0),MATCH(A5045,tab_tipo_Combustivel!$B$1:$AQ$1,0),1,1)</f>
        <v>144.66999999999999</v>
      </c>
    </row>
    <row r="5046" spans="1:3">
      <c r="A5046" s="3">
        <f t="shared" si="152"/>
        <v>2049</v>
      </c>
      <c r="B5046" s="106">
        <f t="shared" si="153"/>
        <v>171</v>
      </c>
      <c r="C5046" s="107">
        <f ca="1">OFFSET(tab_tipo_Combustivel!$A$1,MATCH(B5046,tab_tipo_Combustivel!$A$2:$A$150,0),MATCH(A5046,tab_tipo_Combustivel!$B$1:$AQ$1,0),1,1)</f>
        <v>88</v>
      </c>
    </row>
    <row r="5047" spans="1:3">
      <c r="A5047" s="3">
        <f t="shared" si="152"/>
        <v>2049</v>
      </c>
      <c r="B5047" s="106">
        <f t="shared" si="153"/>
        <v>172</v>
      </c>
      <c r="C5047" s="107">
        <f ca="1">OFFSET(tab_tipo_Combustivel!$A$1,MATCH(B5047,tab_tipo_Combustivel!$A$2:$A$150,0),MATCH(A5047,tab_tipo_Combustivel!$B$1:$AQ$1,0),1,1)</f>
        <v>99.97</v>
      </c>
    </row>
    <row r="5048" spans="1:3">
      <c r="A5048" s="3">
        <f t="shared" si="152"/>
        <v>2049</v>
      </c>
      <c r="B5048" s="106">
        <f t="shared" si="153"/>
        <v>173</v>
      </c>
      <c r="C5048" s="107">
        <f ca="1">OFFSET(tab_tipo_Combustivel!$A$1,MATCH(B5048,tab_tipo_Combustivel!$A$2:$A$150,0),MATCH(A5048,tab_tipo_Combustivel!$B$1:$AQ$1,0),1,1)</f>
        <v>192.03</v>
      </c>
    </row>
    <row r="5049" spans="1:3">
      <c r="A5049" s="3">
        <f t="shared" si="152"/>
        <v>2049</v>
      </c>
      <c r="B5049" s="106">
        <f t="shared" si="153"/>
        <v>174</v>
      </c>
      <c r="C5049" s="107">
        <f ca="1">OFFSET(tab_tipo_Combustivel!$A$1,MATCH(B5049,tab_tipo_Combustivel!$A$2:$A$150,0),MATCH(A5049,tab_tipo_Combustivel!$B$1:$AQ$1,0),1,1)</f>
        <v>331.22</v>
      </c>
    </row>
    <row r="5050" spans="1:3">
      <c r="A5050" s="3">
        <f t="shared" si="152"/>
        <v>2049</v>
      </c>
      <c r="B5050" s="106">
        <f t="shared" si="153"/>
        <v>176</v>
      </c>
      <c r="C5050" s="107">
        <f ca="1">OFFSET(tab_tipo_Combustivel!$A$1,MATCH(B5050,tab_tipo_Combustivel!$A$2:$A$150,0),MATCH(A5050,tab_tipo_Combustivel!$B$1:$AQ$1,0),1,1)</f>
        <v>149.47999999999999</v>
      </c>
    </row>
    <row r="5051" spans="1:3">
      <c r="A5051" s="3">
        <f t="shared" si="152"/>
        <v>2049</v>
      </c>
      <c r="B5051" s="106">
        <f t="shared" si="153"/>
        <v>183</v>
      </c>
      <c r="C5051" s="107">
        <f ca="1">OFFSET(tab_tipo_Combustivel!$A$1,MATCH(B5051,tab_tipo_Combustivel!$A$2:$A$150,0),MATCH(A5051,tab_tipo_Combustivel!$B$1:$AQ$1,0),1,1)</f>
        <v>171.61</v>
      </c>
    </row>
    <row r="5052" spans="1:3">
      <c r="A5052" s="3">
        <f t="shared" si="152"/>
        <v>2049</v>
      </c>
      <c r="B5052" s="106">
        <f t="shared" si="153"/>
        <v>194</v>
      </c>
      <c r="C5052" s="107">
        <f ca="1">OFFSET(tab_tipo_Combustivel!$A$1,MATCH(B5052,tab_tipo_Combustivel!$A$2:$A$150,0),MATCH(A5052,tab_tipo_Combustivel!$B$1:$AQ$1,0),1,1)</f>
        <v>1098.58</v>
      </c>
    </row>
    <row r="5053" spans="1:3">
      <c r="A5053" s="3">
        <f t="shared" si="152"/>
        <v>2049</v>
      </c>
      <c r="B5053" s="106">
        <f t="shared" si="153"/>
        <v>203</v>
      </c>
      <c r="C5053" s="107">
        <f ca="1">OFFSET(tab_tipo_Combustivel!$A$1,MATCH(B5053,tab_tipo_Combustivel!$A$2:$A$150,0),MATCH(A5053,tab_tipo_Combustivel!$B$1:$AQ$1,0),1,1)</f>
        <v>0</v>
      </c>
    </row>
    <row r="5054" spans="1:3">
      <c r="A5054" s="3">
        <f t="shared" si="152"/>
        <v>2049</v>
      </c>
      <c r="B5054" s="106">
        <f t="shared" si="153"/>
        <v>204</v>
      </c>
      <c r="C5054" s="107">
        <f ca="1">OFFSET(tab_tipo_Combustivel!$A$1,MATCH(B5054,tab_tipo_Combustivel!$A$2:$A$150,0),MATCH(A5054,tab_tipo_Combustivel!$B$1:$AQ$1,0),1,1)</f>
        <v>0</v>
      </c>
    </row>
    <row r="5055" spans="1:3">
      <c r="A5055" s="3">
        <f t="shared" si="152"/>
        <v>2049</v>
      </c>
      <c r="B5055" s="106">
        <f t="shared" si="153"/>
        <v>205</v>
      </c>
      <c r="C5055" s="107">
        <f ca="1">OFFSET(tab_tipo_Combustivel!$A$1,MATCH(B5055,tab_tipo_Combustivel!$A$2:$A$150,0),MATCH(A5055,tab_tipo_Combustivel!$B$1:$AQ$1,0),1,1)</f>
        <v>0</v>
      </c>
    </row>
    <row r="5056" spans="1:3">
      <c r="A5056" s="3">
        <f t="shared" si="152"/>
        <v>2049</v>
      </c>
      <c r="B5056" s="106">
        <f t="shared" si="153"/>
        <v>207</v>
      </c>
      <c r="C5056" s="107">
        <f ca="1">OFFSET(tab_tipo_Combustivel!$A$1,MATCH(B5056,tab_tipo_Combustivel!$A$2:$A$150,0),MATCH(A5056,tab_tipo_Combustivel!$B$1:$AQ$1,0),1,1)</f>
        <v>0</v>
      </c>
    </row>
    <row r="5057" spans="1:3">
      <c r="A5057" s="3">
        <f t="shared" si="152"/>
        <v>2049</v>
      </c>
      <c r="B5057" s="106">
        <f t="shared" si="153"/>
        <v>208</v>
      </c>
      <c r="C5057" s="107">
        <f ca="1">OFFSET(tab_tipo_Combustivel!$A$1,MATCH(B5057,tab_tipo_Combustivel!$A$2:$A$150,0),MATCH(A5057,tab_tipo_Combustivel!$B$1:$AQ$1,0),1,1)</f>
        <v>783.64</v>
      </c>
    </row>
    <row r="5058" spans="1:3">
      <c r="A5058" s="3">
        <f t="shared" si="152"/>
        <v>2049</v>
      </c>
      <c r="B5058" s="106">
        <f t="shared" si="153"/>
        <v>209</v>
      </c>
      <c r="C5058" s="107">
        <f ca="1">OFFSET(tab_tipo_Combustivel!$A$1,MATCH(B5058,tab_tipo_Combustivel!$A$2:$A$150,0),MATCH(A5058,tab_tipo_Combustivel!$B$1:$AQ$1,0),1,1)</f>
        <v>0</v>
      </c>
    </row>
    <row r="5059" spans="1:3">
      <c r="A5059" s="3">
        <f t="shared" si="152"/>
        <v>2049</v>
      </c>
      <c r="B5059" s="106">
        <f t="shared" si="153"/>
        <v>211</v>
      </c>
      <c r="C5059" s="107">
        <f ca="1">OFFSET(tab_tipo_Combustivel!$A$1,MATCH(B5059,tab_tipo_Combustivel!$A$2:$A$150,0),MATCH(A5059,tab_tipo_Combustivel!$B$1:$AQ$1,0),1,1)</f>
        <v>150.79</v>
      </c>
    </row>
    <row r="5060" spans="1:3">
      <c r="A5060" s="3">
        <f t="shared" si="152"/>
        <v>2049</v>
      </c>
      <c r="B5060" s="106">
        <f t="shared" si="153"/>
        <v>212</v>
      </c>
      <c r="C5060" s="107">
        <f ca="1">OFFSET(tab_tipo_Combustivel!$A$1,MATCH(B5060,tab_tipo_Combustivel!$A$2:$A$150,0),MATCH(A5060,tab_tipo_Combustivel!$B$1:$AQ$1,0),1,1)</f>
        <v>84.58</v>
      </c>
    </row>
    <row r="5061" spans="1:3">
      <c r="A5061" s="3">
        <f t="shared" si="152"/>
        <v>2049</v>
      </c>
      <c r="B5061" s="106">
        <f t="shared" si="153"/>
        <v>224</v>
      </c>
      <c r="C5061" s="107">
        <f ca="1">OFFSET(tab_tipo_Combustivel!$A$1,MATCH(B5061,tab_tipo_Combustivel!$A$2:$A$150,0),MATCH(A5061,tab_tipo_Combustivel!$B$1:$AQ$1,0),1,1)</f>
        <v>31.08</v>
      </c>
    </row>
    <row r="5062" spans="1:3">
      <c r="A5062" s="3">
        <f t="shared" si="152"/>
        <v>2049</v>
      </c>
      <c r="B5062" s="106">
        <f t="shared" si="153"/>
        <v>225</v>
      </c>
      <c r="C5062" s="107">
        <f ca="1">OFFSET(tab_tipo_Combustivel!$A$1,MATCH(B5062,tab_tipo_Combustivel!$A$2:$A$150,0),MATCH(A5062,tab_tipo_Combustivel!$B$1:$AQ$1,0),1,1)</f>
        <v>1329.7</v>
      </c>
    </row>
    <row r="5063" spans="1:3">
      <c r="A5063" s="3">
        <f t="shared" si="152"/>
        <v>2049</v>
      </c>
      <c r="B5063" s="106">
        <f t="shared" si="153"/>
        <v>226</v>
      </c>
      <c r="C5063" s="107">
        <f ca="1">OFFSET(tab_tipo_Combustivel!$A$1,MATCH(B5063,tab_tipo_Combustivel!$A$2:$A$150,0),MATCH(A5063,tab_tipo_Combustivel!$B$1:$AQ$1,0),1,1)</f>
        <v>1061.1300000000001</v>
      </c>
    </row>
    <row r="5064" spans="1:3">
      <c r="A5064" s="3">
        <f t="shared" si="152"/>
        <v>2049</v>
      </c>
      <c r="B5064" s="106">
        <f t="shared" si="153"/>
        <v>227</v>
      </c>
      <c r="C5064" s="107">
        <f ca="1">OFFSET(tab_tipo_Combustivel!$A$1,MATCH(B5064,tab_tipo_Combustivel!$A$2:$A$150,0),MATCH(A5064,tab_tipo_Combustivel!$B$1:$AQ$1,0),1,1)</f>
        <v>447.52</v>
      </c>
    </row>
    <row r="5065" spans="1:3">
      <c r="A5065" s="3">
        <f t="shared" si="152"/>
        <v>2049</v>
      </c>
      <c r="B5065" s="106">
        <f t="shared" si="153"/>
        <v>228</v>
      </c>
      <c r="C5065" s="107">
        <f ca="1">OFFSET(tab_tipo_Combustivel!$A$1,MATCH(B5065,tab_tipo_Combustivel!$A$2:$A$150,0),MATCH(A5065,tab_tipo_Combustivel!$B$1:$AQ$1,0),1,1)</f>
        <v>1061.1400000000001</v>
      </c>
    </row>
    <row r="5066" spans="1:3">
      <c r="A5066" s="3">
        <f t="shared" ref="A5066:A5129" si="154">A4931+1</f>
        <v>2049</v>
      </c>
      <c r="B5066" s="106">
        <f t="shared" ref="B5066:B5129" si="155">B4931</f>
        <v>229</v>
      </c>
      <c r="C5066" s="107">
        <f ca="1">OFFSET(tab_tipo_Combustivel!$A$1,MATCH(B5066,tab_tipo_Combustivel!$A$2:$A$150,0),MATCH(A5066,tab_tipo_Combustivel!$B$1:$AQ$1,0),1,1)</f>
        <v>942.05</v>
      </c>
    </row>
    <row r="5067" spans="1:3">
      <c r="A5067" s="3">
        <f t="shared" si="154"/>
        <v>2049</v>
      </c>
      <c r="B5067" s="106">
        <f t="shared" si="155"/>
        <v>230</v>
      </c>
      <c r="C5067" s="107">
        <f ca="1">OFFSET(tab_tipo_Combustivel!$A$1,MATCH(B5067,tab_tipo_Combustivel!$A$2:$A$150,0),MATCH(A5067,tab_tipo_Combustivel!$B$1:$AQ$1,0),1,1)</f>
        <v>495.06</v>
      </c>
    </row>
    <row r="5068" spans="1:3">
      <c r="A5068" s="3">
        <f t="shared" si="154"/>
        <v>2049</v>
      </c>
      <c r="B5068" s="106">
        <f t="shared" si="155"/>
        <v>231</v>
      </c>
      <c r="C5068" s="107">
        <f ca="1">OFFSET(tab_tipo_Combustivel!$A$1,MATCH(B5068,tab_tipo_Combustivel!$A$2:$A$150,0),MATCH(A5068,tab_tipo_Combustivel!$B$1:$AQ$1,0),1,1)</f>
        <v>489.29</v>
      </c>
    </row>
    <row r="5069" spans="1:3">
      <c r="A5069" s="3">
        <f t="shared" si="154"/>
        <v>2049</v>
      </c>
      <c r="B5069" s="106">
        <f t="shared" si="155"/>
        <v>232</v>
      </c>
      <c r="C5069" s="107">
        <f ca="1">OFFSET(tab_tipo_Combustivel!$A$1,MATCH(B5069,tab_tipo_Combustivel!$A$2:$A$150,0),MATCH(A5069,tab_tipo_Combustivel!$B$1:$AQ$1,0),1,1)</f>
        <v>842.33</v>
      </c>
    </row>
    <row r="5070" spans="1:3">
      <c r="A5070" s="3">
        <f t="shared" si="154"/>
        <v>2049</v>
      </c>
      <c r="B5070" s="106">
        <f t="shared" si="155"/>
        <v>233</v>
      </c>
      <c r="C5070" s="107">
        <f ca="1">OFFSET(tab_tipo_Combustivel!$A$1,MATCH(B5070,tab_tipo_Combustivel!$A$2:$A$150,0),MATCH(A5070,tab_tipo_Combustivel!$B$1:$AQ$1,0),1,1)</f>
        <v>984.29</v>
      </c>
    </row>
    <row r="5071" spans="1:3">
      <c r="A5071" s="3">
        <f t="shared" si="154"/>
        <v>2049</v>
      </c>
      <c r="B5071" s="106">
        <f t="shared" si="155"/>
        <v>234</v>
      </c>
      <c r="C5071" s="107">
        <f ca="1">OFFSET(tab_tipo_Combustivel!$A$1,MATCH(B5071,tab_tipo_Combustivel!$A$2:$A$150,0),MATCH(A5071,tab_tipo_Combustivel!$B$1:$AQ$1,0),1,1)</f>
        <v>290.26</v>
      </c>
    </row>
    <row r="5072" spans="1:3">
      <c r="A5072" s="3">
        <f t="shared" si="154"/>
        <v>2049</v>
      </c>
      <c r="B5072" s="106">
        <f t="shared" si="155"/>
        <v>235</v>
      </c>
      <c r="C5072" s="107">
        <f ca="1">OFFSET(tab_tipo_Combustivel!$A$1,MATCH(B5072,tab_tipo_Combustivel!$A$2:$A$150,0),MATCH(A5072,tab_tipo_Combustivel!$B$1:$AQ$1,0),1,1)</f>
        <v>1350.87</v>
      </c>
    </row>
    <row r="5073" spans="1:3">
      <c r="A5073" s="3">
        <f t="shared" si="154"/>
        <v>2049</v>
      </c>
      <c r="B5073" s="106">
        <f t="shared" si="155"/>
        <v>236</v>
      </c>
      <c r="C5073" s="107">
        <f ca="1">OFFSET(tab_tipo_Combustivel!$A$1,MATCH(B5073,tab_tipo_Combustivel!$A$2:$A$150,0),MATCH(A5073,tab_tipo_Combustivel!$B$1:$AQ$1,0),1,1)</f>
        <v>842.33</v>
      </c>
    </row>
    <row r="5074" spans="1:3">
      <c r="A5074" s="3">
        <f t="shared" si="154"/>
        <v>2049</v>
      </c>
      <c r="B5074" s="106">
        <f t="shared" si="155"/>
        <v>237</v>
      </c>
      <c r="C5074" s="107">
        <f ca="1">OFFSET(tab_tipo_Combustivel!$A$1,MATCH(B5074,tab_tipo_Combustivel!$A$2:$A$150,0),MATCH(A5074,tab_tipo_Combustivel!$B$1:$AQ$1,0),1,1)</f>
        <v>760.85</v>
      </c>
    </row>
    <row r="5075" spans="1:3">
      <c r="A5075" s="3">
        <f t="shared" si="154"/>
        <v>2049</v>
      </c>
      <c r="B5075" s="106">
        <f t="shared" si="155"/>
        <v>238</v>
      </c>
      <c r="C5075" s="107">
        <f ca="1">OFFSET(tab_tipo_Combustivel!$A$1,MATCH(B5075,tab_tipo_Combustivel!$A$2:$A$150,0),MATCH(A5075,tab_tipo_Combustivel!$B$1:$AQ$1,0),1,1)</f>
        <v>963.75</v>
      </c>
    </row>
    <row r="5076" spans="1:3">
      <c r="A5076" s="3">
        <f t="shared" si="154"/>
        <v>2049</v>
      </c>
      <c r="B5076" s="106">
        <f t="shared" si="155"/>
        <v>239</v>
      </c>
      <c r="C5076" s="107">
        <f ca="1">OFFSET(tab_tipo_Combustivel!$A$1,MATCH(B5076,tab_tipo_Combustivel!$A$2:$A$150,0),MATCH(A5076,tab_tipo_Combustivel!$B$1:$AQ$1,0),1,1)</f>
        <v>963.75</v>
      </c>
    </row>
    <row r="5077" spans="1:3">
      <c r="A5077" s="3">
        <f t="shared" si="154"/>
        <v>2049</v>
      </c>
      <c r="B5077" s="106">
        <f t="shared" si="155"/>
        <v>240</v>
      </c>
      <c r="C5077" s="107">
        <f ca="1">OFFSET(tab_tipo_Combustivel!$A$1,MATCH(B5077,tab_tipo_Combustivel!$A$2:$A$150,0),MATCH(A5077,tab_tipo_Combustivel!$B$1:$AQ$1,0),1,1)</f>
        <v>1115.96</v>
      </c>
    </row>
    <row r="5078" spans="1:3">
      <c r="A5078" s="3">
        <f t="shared" si="154"/>
        <v>2049</v>
      </c>
      <c r="B5078" s="106">
        <f t="shared" si="155"/>
        <v>241</v>
      </c>
      <c r="C5078" s="107">
        <f ca="1">OFFSET(tab_tipo_Combustivel!$A$1,MATCH(B5078,tab_tipo_Combustivel!$A$2:$A$150,0),MATCH(A5078,tab_tipo_Combustivel!$B$1:$AQ$1,0),1,1)</f>
        <v>495.75</v>
      </c>
    </row>
    <row r="5079" spans="1:3">
      <c r="A5079" s="3">
        <f t="shared" si="154"/>
        <v>2049</v>
      </c>
      <c r="B5079" s="106">
        <f t="shared" si="155"/>
        <v>242</v>
      </c>
      <c r="C5079" s="107">
        <f ca="1">OFFSET(tab_tipo_Combustivel!$A$1,MATCH(B5079,tab_tipo_Combustivel!$A$2:$A$150,0),MATCH(A5079,tab_tipo_Combustivel!$B$1:$AQ$1,0),1,1)</f>
        <v>1176.45</v>
      </c>
    </row>
    <row r="5080" spans="1:3">
      <c r="A5080" s="3">
        <f t="shared" si="154"/>
        <v>2049</v>
      </c>
      <c r="B5080" s="106">
        <f t="shared" si="155"/>
        <v>243</v>
      </c>
      <c r="C5080" s="107">
        <f ca="1">OFFSET(tab_tipo_Combustivel!$A$1,MATCH(B5080,tab_tipo_Combustivel!$A$2:$A$150,0),MATCH(A5080,tab_tipo_Combustivel!$B$1:$AQ$1,0),1,1)</f>
        <v>495.08</v>
      </c>
    </row>
    <row r="5081" spans="1:3">
      <c r="A5081" s="3">
        <f t="shared" si="154"/>
        <v>2049</v>
      </c>
      <c r="B5081" s="106">
        <f t="shared" si="155"/>
        <v>244</v>
      </c>
      <c r="C5081" s="107">
        <f ca="1">OFFSET(tab_tipo_Combustivel!$A$1,MATCH(B5081,tab_tipo_Combustivel!$A$2:$A$150,0),MATCH(A5081,tab_tipo_Combustivel!$B$1:$AQ$1,0),1,1)</f>
        <v>495.06</v>
      </c>
    </row>
    <row r="5082" spans="1:3">
      <c r="A5082" s="3">
        <f t="shared" si="154"/>
        <v>2049</v>
      </c>
      <c r="B5082" s="106">
        <f t="shared" si="155"/>
        <v>245</v>
      </c>
      <c r="C5082" s="107">
        <f ca="1">OFFSET(tab_tipo_Combustivel!$A$1,MATCH(B5082,tab_tipo_Combustivel!$A$2:$A$150,0),MATCH(A5082,tab_tipo_Combustivel!$B$1:$AQ$1,0),1,1)</f>
        <v>562.65</v>
      </c>
    </row>
    <row r="5083" spans="1:3">
      <c r="A5083" s="3">
        <f t="shared" si="154"/>
        <v>2049</v>
      </c>
      <c r="B5083" s="106">
        <f t="shared" si="155"/>
        <v>246</v>
      </c>
      <c r="C5083" s="107">
        <f ca="1">OFFSET(tab_tipo_Combustivel!$A$1,MATCH(B5083,tab_tipo_Combustivel!$A$2:$A$150,0),MATCH(A5083,tab_tipo_Combustivel!$B$1:$AQ$1,0),1,1)</f>
        <v>1124.53</v>
      </c>
    </row>
    <row r="5084" spans="1:3">
      <c r="A5084" s="3">
        <f t="shared" si="154"/>
        <v>2049</v>
      </c>
      <c r="B5084" s="106">
        <f t="shared" si="155"/>
        <v>247</v>
      </c>
      <c r="C5084" s="107">
        <f ca="1">OFFSET(tab_tipo_Combustivel!$A$1,MATCH(B5084,tab_tipo_Combustivel!$A$2:$A$150,0),MATCH(A5084,tab_tipo_Combustivel!$B$1:$AQ$1,0),1,1)</f>
        <v>609.51</v>
      </c>
    </row>
    <row r="5085" spans="1:3">
      <c r="A5085" s="3">
        <f t="shared" si="154"/>
        <v>2049</v>
      </c>
      <c r="B5085" s="106">
        <f t="shared" si="155"/>
        <v>248</v>
      </c>
      <c r="C5085" s="107">
        <f ca="1">OFFSET(tab_tipo_Combustivel!$A$1,MATCH(B5085,tab_tipo_Combustivel!$A$2:$A$150,0),MATCH(A5085,tab_tipo_Combustivel!$B$1:$AQ$1,0),1,1)</f>
        <v>495.06</v>
      </c>
    </row>
    <row r="5086" spans="1:3">
      <c r="A5086" s="3">
        <f t="shared" si="154"/>
        <v>2049</v>
      </c>
      <c r="B5086" s="106">
        <f t="shared" si="155"/>
        <v>249</v>
      </c>
      <c r="C5086" s="107">
        <f ca="1">OFFSET(tab_tipo_Combustivel!$A$1,MATCH(B5086,tab_tipo_Combustivel!$A$2:$A$150,0),MATCH(A5086,tab_tipo_Combustivel!$B$1:$AQ$1,0),1,1)</f>
        <v>842.33</v>
      </c>
    </row>
    <row r="5087" spans="1:3">
      <c r="A5087" s="3">
        <f t="shared" si="154"/>
        <v>2049</v>
      </c>
      <c r="B5087" s="106">
        <f t="shared" si="155"/>
        <v>250</v>
      </c>
      <c r="C5087" s="107">
        <f ca="1">OFFSET(tab_tipo_Combustivel!$A$1,MATCH(B5087,tab_tipo_Combustivel!$A$2:$A$150,0),MATCH(A5087,tab_tipo_Combustivel!$B$1:$AQ$1,0),1,1)</f>
        <v>1176.45</v>
      </c>
    </row>
    <row r="5088" spans="1:3">
      <c r="A5088" s="3">
        <f t="shared" si="154"/>
        <v>2049</v>
      </c>
      <c r="B5088" s="106">
        <f t="shared" si="155"/>
        <v>251</v>
      </c>
      <c r="C5088" s="107">
        <f ca="1">OFFSET(tab_tipo_Combustivel!$A$1,MATCH(B5088,tab_tipo_Combustivel!$A$2:$A$150,0),MATCH(A5088,tab_tipo_Combustivel!$B$1:$AQ$1,0),1,1)</f>
        <v>842.33</v>
      </c>
    </row>
    <row r="5089" spans="1:3">
      <c r="A5089" s="3">
        <f t="shared" si="154"/>
        <v>2049</v>
      </c>
      <c r="B5089" s="106">
        <f t="shared" si="155"/>
        <v>252</v>
      </c>
      <c r="C5089" s="107">
        <f ca="1">OFFSET(tab_tipo_Combustivel!$A$1,MATCH(B5089,tab_tipo_Combustivel!$A$2:$A$150,0),MATCH(A5089,tab_tipo_Combustivel!$B$1:$AQ$1,0),1,1)</f>
        <v>842.33</v>
      </c>
    </row>
    <row r="5090" spans="1:3">
      <c r="A5090" s="3">
        <f t="shared" si="154"/>
        <v>2049</v>
      </c>
      <c r="B5090" s="106">
        <f t="shared" si="155"/>
        <v>253</v>
      </c>
      <c r="C5090" s="107">
        <f ca="1">OFFSET(tab_tipo_Combustivel!$A$1,MATCH(B5090,tab_tipo_Combustivel!$A$2:$A$150,0),MATCH(A5090,tab_tipo_Combustivel!$B$1:$AQ$1,0),1,1)</f>
        <v>279.45</v>
      </c>
    </row>
    <row r="5091" spans="1:3">
      <c r="A5091" s="3">
        <f t="shared" si="154"/>
        <v>2049</v>
      </c>
      <c r="B5091" s="106">
        <f t="shared" si="155"/>
        <v>254</v>
      </c>
      <c r="C5091" s="107">
        <f ca="1">OFFSET(tab_tipo_Combustivel!$A$1,MATCH(B5091,tab_tipo_Combustivel!$A$2:$A$150,0),MATCH(A5091,tab_tipo_Combustivel!$B$1:$AQ$1,0),1,1)</f>
        <v>1153.98</v>
      </c>
    </row>
    <row r="5092" spans="1:3">
      <c r="A5092" s="3">
        <f t="shared" si="154"/>
        <v>2049</v>
      </c>
      <c r="B5092" s="106">
        <f t="shared" si="155"/>
        <v>255</v>
      </c>
      <c r="C5092" s="107">
        <f ca="1">OFFSET(tab_tipo_Combustivel!$A$1,MATCH(B5092,tab_tipo_Combustivel!$A$2:$A$150,0),MATCH(A5092,tab_tipo_Combustivel!$B$1:$AQ$1,0),1,1)</f>
        <v>828.98</v>
      </c>
    </row>
    <row r="5093" spans="1:3">
      <c r="A5093" s="3">
        <f t="shared" si="154"/>
        <v>2049</v>
      </c>
      <c r="B5093" s="106">
        <f t="shared" si="155"/>
        <v>256</v>
      </c>
      <c r="C5093" s="107">
        <f ca="1">OFFSET(tab_tipo_Combustivel!$A$1,MATCH(B5093,tab_tipo_Combustivel!$A$2:$A$150,0),MATCH(A5093,tab_tipo_Combustivel!$B$1:$AQ$1,0),1,1)</f>
        <v>562.65</v>
      </c>
    </row>
    <row r="5094" spans="1:3">
      <c r="A5094" s="3">
        <f t="shared" si="154"/>
        <v>2049</v>
      </c>
      <c r="B5094" s="106">
        <f t="shared" si="155"/>
        <v>257</v>
      </c>
      <c r="C5094" s="107">
        <f ca="1">OFFSET(tab_tipo_Combustivel!$A$1,MATCH(B5094,tab_tipo_Combustivel!$A$2:$A$150,0),MATCH(A5094,tab_tipo_Combustivel!$B$1:$AQ$1,0),1,1)</f>
        <v>907.52</v>
      </c>
    </row>
    <row r="5095" spans="1:3">
      <c r="A5095" s="3">
        <f t="shared" si="154"/>
        <v>2049</v>
      </c>
      <c r="B5095" s="106">
        <f t="shared" si="155"/>
        <v>258</v>
      </c>
      <c r="C5095" s="107">
        <f ca="1">OFFSET(tab_tipo_Combustivel!$A$1,MATCH(B5095,tab_tipo_Combustivel!$A$2:$A$150,0),MATCH(A5095,tab_tipo_Combustivel!$B$1:$AQ$1,0),1,1)</f>
        <v>1016.04</v>
      </c>
    </row>
    <row r="5096" spans="1:3">
      <c r="A5096" s="3">
        <f t="shared" si="154"/>
        <v>2049</v>
      </c>
      <c r="B5096" s="106">
        <f t="shared" si="155"/>
        <v>259</v>
      </c>
      <c r="C5096" s="107">
        <f ca="1">OFFSET(tab_tipo_Combustivel!$A$1,MATCH(B5096,tab_tipo_Combustivel!$A$2:$A$150,0),MATCH(A5096,tab_tipo_Combustivel!$B$1:$AQ$1,0),1,1)</f>
        <v>977.53</v>
      </c>
    </row>
    <row r="5097" spans="1:3">
      <c r="A5097" s="3">
        <f t="shared" si="154"/>
        <v>2049</v>
      </c>
      <c r="B5097" s="106">
        <f t="shared" si="155"/>
        <v>260</v>
      </c>
      <c r="C5097" s="107">
        <f ca="1">OFFSET(tab_tipo_Combustivel!$A$1,MATCH(B5097,tab_tipo_Combustivel!$A$2:$A$150,0),MATCH(A5097,tab_tipo_Combustivel!$B$1:$AQ$1,0),1,1)</f>
        <v>827.17</v>
      </c>
    </row>
    <row r="5098" spans="1:3">
      <c r="A5098" s="3">
        <f t="shared" si="154"/>
        <v>2049</v>
      </c>
      <c r="B5098" s="106">
        <f t="shared" si="155"/>
        <v>261</v>
      </c>
      <c r="C5098" s="107">
        <f ca="1">OFFSET(tab_tipo_Combustivel!$A$1,MATCH(B5098,tab_tipo_Combustivel!$A$2:$A$150,0),MATCH(A5098,tab_tipo_Combustivel!$B$1:$AQ$1,0),1,1)</f>
        <v>829.7</v>
      </c>
    </row>
    <row r="5099" spans="1:3">
      <c r="A5099" s="3">
        <f t="shared" si="154"/>
        <v>2049</v>
      </c>
      <c r="B5099" s="106">
        <f t="shared" si="155"/>
        <v>262</v>
      </c>
      <c r="C5099" s="107">
        <f ca="1">OFFSET(tab_tipo_Combustivel!$A$1,MATCH(B5099,tab_tipo_Combustivel!$A$2:$A$150,0),MATCH(A5099,tab_tipo_Combustivel!$B$1:$AQ$1,0),1,1)</f>
        <v>495.75</v>
      </c>
    </row>
    <row r="5100" spans="1:3">
      <c r="A5100" s="3">
        <f t="shared" si="154"/>
        <v>2049</v>
      </c>
      <c r="B5100" s="106">
        <f t="shared" si="155"/>
        <v>263</v>
      </c>
      <c r="C5100" s="107">
        <f ca="1">OFFSET(tab_tipo_Combustivel!$A$1,MATCH(B5100,tab_tipo_Combustivel!$A$2:$A$150,0),MATCH(A5100,tab_tipo_Combustivel!$B$1:$AQ$1,0),1,1)</f>
        <v>474.77</v>
      </c>
    </row>
    <row r="5101" spans="1:3">
      <c r="A5101" s="3">
        <f t="shared" si="154"/>
        <v>2049</v>
      </c>
      <c r="B5101" s="106">
        <f t="shared" si="155"/>
        <v>264</v>
      </c>
      <c r="C5101" s="107">
        <f ca="1">OFFSET(tab_tipo_Combustivel!$A$1,MATCH(B5101,tab_tipo_Combustivel!$A$2:$A$150,0),MATCH(A5101,tab_tipo_Combustivel!$B$1:$AQ$1,0),1,1)</f>
        <v>842.33</v>
      </c>
    </row>
    <row r="5102" spans="1:3">
      <c r="A5102" s="3">
        <f t="shared" si="154"/>
        <v>2049</v>
      </c>
      <c r="B5102" s="106">
        <f t="shared" si="155"/>
        <v>265</v>
      </c>
      <c r="C5102" s="107">
        <f ca="1">OFFSET(tab_tipo_Combustivel!$A$1,MATCH(B5102,tab_tipo_Combustivel!$A$2:$A$150,0),MATCH(A5102,tab_tipo_Combustivel!$B$1:$AQ$1,0),1,1)</f>
        <v>415.82</v>
      </c>
    </row>
    <row r="5103" spans="1:3">
      <c r="A5103" s="3">
        <f t="shared" si="154"/>
        <v>2049</v>
      </c>
      <c r="B5103" s="106">
        <f t="shared" si="155"/>
        <v>266</v>
      </c>
      <c r="C5103" s="107">
        <f ca="1">OFFSET(tab_tipo_Combustivel!$A$1,MATCH(B5103,tab_tipo_Combustivel!$A$2:$A$150,0),MATCH(A5103,tab_tipo_Combustivel!$B$1:$AQ$1,0),1,1)</f>
        <v>827.17</v>
      </c>
    </row>
    <row r="5104" spans="1:3">
      <c r="A5104" s="3">
        <f t="shared" si="154"/>
        <v>2049</v>
      </c>
      <c r="B5104" s="106">
        <f t="shared" si="155"/>
        <v>301</v>
      </c>
      <c r="C5104" s="107">
        <f ca="1">OFFSET(tab_tipo_Combustivel!$A$1,MATCH(B5104,tab_tipo_Combustivel!$A$2:$A$150,0),MATCH(A5104,tab_tipo_Combustivel!$B$1:$AQ$1,0),1,1)</f>
        <v>99.08</v>
      </c>
    </row>
    <row r="5105" spans="1:3">
      <c r="A5105" s="3">
        <f t="shared" si="154"/>
        <v>2049</v>
      </c>
      <c r="B5105" s="106">
        <f t="shared" si="155"/>
        <v>302</v>
      </c>
      <c r="C5105" s="107">
        <f ca="1">OFFSET(tab_tipo_Combustivel!$A$1,MATCH(B5105,tab_tipo_Combustivel!$A$2:$A$150,0),MATCH(A5105,tab_tipo_Combustivel!$B$1:$AQ$1,0),1,1)</f>
        <v>103.73</v>
      </c>
    </row>
    <row r="5106" spans="1:3">
      <c r="A5106" s="3">
        <f t="shared" si="154"/>
        <v>2049</v>
      </c>
      <c r="B5106" s="106">
        <f t="shared" si="155"/>
        <v>303</v>
      </c>
      <c r="C5106" s="107">
        <f ca="1">OFFSET(tab_tipo_Combustivel!$A$1,MATCH(B5106,tab_tipo_Combustivel!$A$2:$A$150,0),MATCH(A5106,tab_tipo_Combustivel!$B$1:$AQ$1,0),1,1)</f>
        <v>103.73</v>
      </c>
    </row>
    <row r="5107" spans="1:3">
      <c r="A5107" s="3">
        <f t="shared" si="154"/>
        <v>2049</v>
      </c>
      <c r="B5107" s="106">
        <f t="shared" si="155"/>
        <v>304</v>
      </c>
      <c r="C5107" s="107">
        <f ca="1">OFFSET(tab_tipo_Combustivel!$A$1,MATCH(B5107,tab_tipo_Combustivel!$A$2:$A$150,0),MATCH(A5107,tab_tipo_Combustivel!$B$1:$AQ$1,0),1,1)</f>
        <v>139.41999999999999</v>
      </c>
    </row>
    <row r="5108" spans="1:3">
      <c r="A5108" s="3">
        <f t="shared" si="154"/>
        <v>2049</v>
      </c>
      <c r="B5108" s="106">
        <f t="shared" si="155"/>
        <v>305</v>
      </c>
      <c r="C5108" s="107">
        <f ca="1">OFFSET(tab_tipo_Combustivel!$A$1,MATCH(B5108,tab_tipo_Combustivel!$A$2:$A$150,0),MATCH(A5108,tab_tipo_Combustivel!$B$1:$AQ$1,0),1,1)</f>
        <v>89.7</v>
      </c>
    </row>
    <row r="5109" spans="1:3">
      <c r="A5109" s="3">
        <f t="shared" si="154"/>
        <v>2049</v>
      </c>
      <c r="B5109" s="106">
        <f t="shared" si="155"/>
        <v>306</v>
      </c>
      <c r="C5109" s="107">
        <f ca="1">OFFSET(tab_tipo_Combustivel!$A$1,MATCH(B5109,tab_tipo_Combustivel!$A$2:$A$150,0),MATCH(A5109,tab_tipo_Combustivel!$B$1:$AQ$1,0),1,1)</f>
        <v>100.38</v>
      </c>
    </row>
    <row r="5110" spans="1:3">
      <c r="A5110" s="3">
        <f t="shared" si="154"/>
        <v>2049</v>
      </c>
      <c r="B5110" s="106">
        <f t="shared" si="155"/>
        <v>307</v>
      </c>
      <c r="C5110" s="107">
        <f ca="1">OFFSET(tab_tipo_Combustivel!$A$1,MATCH(B5110,tab_tipo_Combustivel!$A$2:$A$150,0),MATCH(A5110,tab_tipo_Combustivel!$B$1:$AQ$1,0),1,1)</f>
        <v>510.12</v>
      </c>
    </row>
    <row r="5111" spans="1:3">
      <c r="A5111" s="3">
        <f t="shared" si="154"/>
        <v>2049</v>
      </c>
      <c r="B5111" s="106">
        <f t="shared" si="155"/>
        <v>308</v>
      </c>
      <c r="C5111" s="107">
        <f ca="1">OFFSET(tab_tipo_Combustivel!$A$1,MATCH(B5111,tab_tipo_Combustivel!$A$2:$A$150,0),MATCH(A5111,tab_tipo_Combustivel!$B$1:$AQ$1,0),1,1)</f>
        <v>72.5</v>
      </c>
    </row>
    <row r="5112" spans="1:3">
      <c r="A5112" s="3">
        <f t="shared" si="154"/>
        <v>2049</v>
      </c>
      <c r="B5112" s="106">
        <f t="shared" si="155"/>
        <v>309</v>
      </c>
      <c r="C5112" s="107">
        <f ca="1">OFFSET(tab_tipo_Combustivel!$A$1,MATCH(B5112,tab_tipo_Combustivel!$A$2:$A$150,0),MATCH(A5112,tab_tipo_Combustivel!$B$1:$AQ$1,0),1,1)</f>
        <v>126.77</v>
      </c>
    </row>
    <row r="5113" spans="1:3">
      <c r="A5113" s="3">
        <f t="shared" si="154"/>
        <v>2049</v>
      </c>
      <c r="B5113" s="106">
        <f t="shared" si="155"/>
        <v>310</v>
      </c>
      <c r="C5113" s="107">
        <f ca="1">OFFSET(tab_tipo_Combustivel!$A$1,MATCH(B5113,tab_tipo_Combustivel!$A$2:$A$150,0),MATCH(A5113,tab_tipo_Combustivel!$B$1:$AQ$1,0),1,1)</f>
        <v>275.99</v>
      </c>
    </row>
    <row r="5114" spans="1:3">
      <c r="A5114" s="3">
        <f t="shared" si="154"/>
        <v>2049</v>
      </c>
      <c r="B5114" s="106">
        <f t="shared" si="155"/>
        <v>311</v>
      </c>
      <c r="C5114" s="107">
        <f ca="1">OFFSET(tab_tipo_Combustivel!$A$1,MATCH(B5114,tab_tipo_Combustivel!$A$2:$A$150,0),MATCH(A5114,tab_tipo_Combustivel!$B$1:$AQ$1,0),1,1)</f>
        <v>70.66</v>
      </c>
    </row>
    <row r="5115" spans="1:3">
      <c r="A5115" s="3">
        <f t="shared" si="154"/>
        <v>2049</v>
      </c>
      <c r="B5115" s="106">
        <f t="shared" si="155"/>
        <v>312</v>
      </c>
      <c r="C5115" s="107">
        <f ca="1">OFFSET(tab_tipo_Combustivel!$A$1,MATCH(B5115,tab_tipo_Combustivel!$A$2:$A$150,0),MATCH(A5115,tab_tipo_Combustivel!$B$1:$AQ$1,0),1,1)</f>
        <v>0</v>
      </c>
    </row>
    <row r="5116" spans="1:3">
      <c r="A5116" s="3">
        <f t="shared" si="154"/>
        <v>2049</v>
      </c>
      <c r="B5116" s="106">
        <f t="shared" si="155"/>
        <v>1301</v>
      </c>
      <c r="C5116" s="107">
        <f ca="1">OFFSET(tab_tipo_Combustivel!$A$1,MATCH(B5116,tab_tipo_Combustivel!$A$2:$A$150,0),MATCH(A5116,tab_tipo_Combustivel!$B$1:$AQ$1,0),1,1)</f>
        <v>242.05</v>
      </c>
    </row>
    <row r="5117" spans="1:3">
      <c r="A5117" s="3">
        <f t="shared" si="154"/>
        <v>2049</v>
      </c>
      <c r="B5117" s="106">
        <f t="shared" si="155"/>
        <v>1302</v>
      </c>
      <c r="C5117" s="107">
        <f ca="1">OFFSET(tab_tipo_Combustivel!$A$1,MATCH(B5117,tab_tipo_Combustivel!$A$2:$A$150,0),MATCH(A5117,tab_tipo_Combustivel!$B$1:$AQ$1,0),1,1)</f>
        <v>193.64</v>
      </c>
    </row>
    <row r="5118" spans="1:3">
      <c r="A5118" s="3">
        <f t="shared" si="154"/>
        <v>2049</v>
      </c>
      <c r="B5118" s="106">
        <f t="shared" si="155"/>
        <v>1303</v>
      </c>
      <c r="C5118" s="107">
        <f ca="1">OFFSET(tab_tipo_Combustivel!$A$1,MATCH(B5118,tab_tipo_Combustivel!$A$2:$A$150,0),MATCH(A5118,tab_tipo_Combustivel!$B$1:$AQ$1,0),1,1)</f>
        <v>25.58</v>
      </c>
    </row>
    <row r="5119" spans="1:3">
      <c r="A5119" s="3">
        <f t="shared" si="154"/>
        <v>2049</v>
      </c>
      <c r="B5119" s="106">
        <f t="shared" si="155"/>
        <v>1304</v>
      </c>
      <c r="C5119" s="107">
        <f ca="1">OFFSET(tab_tipo_Combustivel!$A$1,MATCH(B5119,tab_tipo_Combustivel!$A$2:$A$150,0),MATCH(A5119,tab_tipo_Combustivel!$B$1:$AQ$1,0),1,1)</f>
        <v>0</v>
      </c>
    </row>
    <row r="5120" spans="1:3">
      <c r="A5120" s="3">
        <f t="shared" si="154"/>
        <v>2049</v>
      </c>
      <c r="B5120" s="106">
        <f t="shared" si="155"/>
        <v>1315</v>
      </c>
      <c r="C5120" s="107">
        <f ca="1">OFFSET(tab_tipo_Combustivel!$A$1,MATCH(B5120,tab_tipo_Combustivel!$A$2:$A$150,0),MATCH(A5120,tab_tipo_Combustivel!$B$1:$AQ$1,0),1,1)</f>
        <v>0</v>
      </c>
    </row>
    <row r="5121" spans="1:3">
      <c r="A5121" s="3">
        <f t="shared" si="154"/>
        <v>2049</v>
      </c>
      <c r="B5121" s="106">
        <f t="shared" si="155"/>
        <v>1316</v>
      </c>
      <c r="C5121" s="107">
        <f ca="1">OFFSET(tab_tipo_Combustivel!$A$1,MATCH(B5121,tab_tipo_Combustivel!$A$2:$A$150,0),MATCH(A5121,tab_tipo_Combustivel!$B$1:$AQ$1,0),1,1)</f>
        <v>0</v>
      </c>
    </row>
    <row r="5122" spans="1:3">
      <c r="A5122" s="3">
        <f t="shared" si="154"/>
        <v>2049</v>
      </c>
      <c r="B5122" s="106">
        <f t="shared" si="155"/>
        <v>1318</v>
      </c>
      <c r="C5122" s="107">
        <f ca="1">OFFSET(tab_tipo_Combustivel!$A$1,MATCH(B5122,tab_tipo_Combustivel!$A$2:$A$150,0),MATCH(A5122,tab_tipo_Combustivel!$B$1:$AQ$1,0),1,1)</f>
        <v>150</v>
      </c>
    </row>
    <row r="5123" spans="1:3">
      <c r="A5123" s="3">
        <f t="shared" si="154"/>
        <v>2049</v>
      </c>
      <c r="B5123" s="106">
        <f t="shared" si="155"/>
        <v>1321</v>
      </c>
      <c r="C5123" s="107">
        <f ca="1">OFFSET(tab_tipo_Combustivel!$A$1,MATCH(B5123,tab_tipo_Combustivel!$A$2:$A$150,0),MATCH(A5123,tab_tipo_Combustivel!$B$1:$AQ$1,0),1,1)</f>
        <v>85</v>
      </c>
    </row>
    <row r="5124" spans="1:3">
      <c r="A5124" s="3">
        <f t="shared" si="154"/>
        <v>2049</v>
      </c>
      <c r="B5124" s="106">
        <f t="shared" si="155"/>
        <v>1322</v>
      </c>
      <c r="C5124" s="107">
        <f ca="1">OFFSET(tab_tipo_Combustivel!$A$1,MATCH(B5124,tab_tipo_Combustivel!$A$2:$A$150,0),MATCH(A5124,tab_tipo_Combustivel!$B$1:$AQ$1,0),1,1)</f>
        <v>140</v>
      </c>
    </row>
    <row r="5125" spans="1:3">
      <c r="A5125" s="3">
        <f t="shared" si="154"/>
        <v>2049</v>
      </c>
      <c r="B5125" s="106">
        <f t="shared" si="155"/>
        <v>1323</v>
      </c>
      <c r="C5125" s="107">
        <f ca="1">OFFSET(tab_tipo_Combustivel!$A$1,MATCH(B5125,tab_tipo_Combustivel!$A$2:$A$150,0),MATCH(A5125,tab_tipo_Combustivel!$B$1:$AQ$1,0),1,1)</f>
        <v>63.75</v>
      </c>
    </row>
    <row r="5126" spans="1:3">
      <c r="A5126" s="3">
        <f t="shared" si="154"/>
        <v>2049</v>
      </c>
      <c r="B5126" s="106">
        <f t="shared" si="155"/>
        <v>1325</v>
      </c>
      <c r="C5126" s="107">
        <f ca="1">OFFSET(tab_tipo_Combustivel!$A$1,MATCH(B5126,tab_tipo_Combustivel!$A$2:$A$150,0),MATCH(A5126,tab_tipo_Combustivel!$B$1:$AQ$1,0),1,1)</f>
        <v>0</v>
      </c>
    </row>
    <row r="5127" spans="1:3">
      <c r="A5127" s="3">
        <f t="shared" si="154"/>
        <v>2049</v>
      </c>
      <c r="B5127" s="106">
        <f t="shared" si="155"/>
        <v>1326</v>
      </c>
      <c r="C5127" s="107">
        <f ca="1">OFFSET(tab_tipo_Combustivel!$A$1,MATCH(B5127,tab_tipo_Combustivel!$A$2:$A$150,0),MATCH(A5127,tab_tipo_Combustivel!$B$1:$AQ$1,0),1,1)</f>
        <v>260</v>
      </c>
    </row>
    <row r="5128" spans="1:3">
      <c r="A5128" s="3">
        <f t="shared" si="154"/>
        <v>2049</v>
      </c>
      <c r="B5128" s="106">
        <f t="shared" si="155"/>
        <v>1501</v>
      </c>
      <c r="C5128" s="107">
        <f ca="1">OFFSET(tab_tipo_Combustivel!$A$1,MATCH(B5128,tab_tipo_Combustivel!$A$2:$A$150,0),MATCH(A5128,tab_tipo_Combustivel!$B$1:$AQ$1,0),1,1)</f>
        <v>260</v>
      </c>
    </row>
    <row r="5129" spans="1:3">
      <c r="A5129" s="3">
        <f t="shared" si="154"/>
        <v>2049</v>
      </c>
      <c r="B5129" s="106">
        <f t="shared" si="155"/>
        <v>1502</v>
      </c>
      <c r="C5129" s="107">
        <f ca="1">OFFSET(tab_tipo_Combustivel!$A$1,MATCH(B5129,tab_tipo_Combustivel!$A$2:$A$150,0),MATCH(A5129,tab_tipo_Combustivel!$B$1:$AQ$1,0),1,1)</f>
        <v>60</v>
      </c>
    </row>
    <row r="5130" spans="1:3">
      <c r="A5130" s="3">
        <f t="shared" ref="A5130:A5193" si="156">A4995+1</f>
        <v>2049</v>
      </c>
      <c r="B5130" s="106">
        <f t="shared" ref="B5130:B5193" si="157">B4995</f>
        <v>1503</v>
      </c>
      <c r="C5130" s="107">
        <f ca="1">OFFSET(tab_tipo_Combustivel!$A$1,MATCH(B5130,tab_tipo_Combustivel!$A$2:$A$150,0),MATCH(A5130,tab_tipo_Combustivel!$B$1:$AQ$1,0),1,1)</f>
        <v>96.82</v>
      </c>
    </row>
    <row r="5131" spans="1:3">
      <c r="A5131" s="3">
        <f t="shared" si="156"/>
        <v>2049</v>
      </c>
      <c r="B5131" s="106">
        <f t="shared" si="157"/>
        <v>1504</v>
      </c>
      <c r="C5131" s="107">
        <f ca="1">OFFSET(tab_tipo_Combustivel!$A$1,MATCH(B5131,tab_tipo_Combustivel!$A$2:$A$150,0),MATCH(A5131,tab_tipo_Combustivel!$B$1:$AQ$1,0),1,1)</f>
        <v>145.22999999999999</v>
      </c>
    </row>
    <row r="5132" spans="1:3">
      <c r="A5132" s="3">
        <f t="shared" si="156"/>
        <v>2050</v>
      </c>
      <c r="B5132" s="106">
        <f t="shared" si="157"/>
        <v>1</v>
      </c>
      <c r="C5132" s="107">
        <f ca="1">OFFSET(tab_tipo_Combustivel!$A$1,MATCH(B5132,tab_tipo_Combustivel!$A$2:$A$150,0),MATCH(A5132,tab_tipo_Combustivel!$B$1:$AQ$1,0),1,1)</f>
        <v>29.13</v>
      </c>
    </row>
    <row r="5133" spans="1:3">
      <c r="A5133" s="3">
        <f t="shared" si="156"/>
        <v>2050</v>
      </c>
      <c r="B5133" s="106">
        <f t="shared" si="157"/>
        <v>2</v>
      </c>
      <c r="C5133" s="107">
        <f ca="1">OFFSET(tab_tipo_Combustivel!$A$1,MATCH(B5133,tab_tipo_Combustivel!$A$2:$A$150,0),MATCH(A5133,tab_tipo_Combustivel!$B$1:$AQ$1,0),1,1)</f>
        <v>842.33</v>
      </c>
    </row>
    <row r="5134" spans="1:3">
      <c r="A5134" s="3">
        <f t="shared" si="156"/>
        <v>2050</v>
      </c>
      <c r="B5134" s="106">
        <f t="shared" si="157"/>
        <v>4</v>
      </c>
      <c r="C5134" s="107">
        <f ca="1">OFFSET(tab_tipo_Combustivel!$A$1,MATCH(B5134,tab_tipo_Combustivel!$A$2:$A$150,0),MATCH(A5134,tab_tipo_Combustivel!$B$1:$AQ$1,0),1,1)</f>
        <v>842.33</v>
      </c>
    </row>
    <row r="5135" spans="1:3">
      <c r="A5135" s="3">
        <f t="shared" si="156"/>
        <v>2050</v>
      </c>
      <c r="B5135" s="106">
        <f t="shared" si="157"/>
        <v>9</v>
      </c>
      <c r="C5135" s="107">
        <f ca="1">OFFSET(tab_tipo_Combustivel!$A$1,MATCH(B5135,tab_tipo_Combustivel!$A$2:$A$150,0),MATCH(A5135,tab_tipo_Combustivel!$B$1:$AQ$1,0),1,1)</f>
        <v>842.33</v>
      </c>
    </row>
    <row r="5136" spans="1:3">
      <c r="A5136" s="3">
        <f t="shared" si="156"/>
        <v>2050</v>
      </c>
      <c r="B5136" s="106">
        <f t="shared" si="157"/>
        <v>12</v>
      </c>
      <c r="C5136" s="107">
        <f ca="1">OFFSET(tab_tipo_Combustivel!$A$1,MATCH(B5136,tab_tipo_Combustivel!$A$2:$A$150,0),MATCH(A5136,tab_tipo_Combustivel!$B$1:$AQ$1,0),1,1)</f>
        <v>728.87</v>
      </c>
    </row>
    <row r="5137" spans="1:3">
      <c r="A5137" s="3">
        <f t="shared" si="156"/>
        <v>2050</v>
      </c>
      <c r="B5137" s="106">
        <f t="shared" si="157"/>
        <v>13</v>
      </c>
      <c r="C5137" s="107">
        <f ca="1">OFFSET(tab_tipo_Combustivel!$A$1,MATCH(B5137,tab_tipo_Combustivel!$A$2:$A$150,0),MATCH(A5137,tab_tipo_Combustivel!$B$1:$AQ$1,0),1,1)</f>
        <v>20.12</v>
      </c>
    </row>
    <row r="5138" spans="1:3">
      <c r="A5138" s="3">
        <f t="shared" si="156"/>
        <v>2050</v>
      </c>
      <c r="B5138" s="106">
        <f t="shared" si="157"/>
        <v>15</v>
      </c>
      <c r="C5138" s="107">
        <f ca="1">OFFSET(tab_tipo_Combustivel!$A$1,MATCH(B5138,tab_tipo_Combustivel!$A$2:$A$150,0),MATCH(A5138,tab_tipo_Combustivel!$B$1:$AQ$1,0),1,1)</f>
        <v>257.29000000000002</v>
      </c>
    </row>
    <row r="5139" spans="1:3">
      <c r="A5139" s="3">
        <f t="shared" si="156"/>
        <v>2050</v>
      </c>
      <c r="B5139" s="106">
        <f t="shared" si="157"/>
        <v>21</v>
      </c>
      <c r="C5139" s="107">
        <f ca="1">OFFSET(tab_tipo_Combustivel!$A$1,MATCH(B5139,tab_tipo_Combustivel!$A$2:$A$150,0),MATCH(A5139,tab_tipo_Combustivel!$B$1:$AQ$1,0),1,1)</f>
        <v>157.83000000000001</v>
      </c>
    </row>
    <row r="5140" spans="1:3">
      <c r="A5140" s="3">
        <f t="shared" si="156"/>
        <v>2050</v>
      </c>
      <c r="B5140" s="106">
        <f t="shared" si="157"/>
        <v>22</v>
      </c>
      <c r="C5140" s="107">
        <f ca="1">OFFSET(tab_tipo_Combustivel!$A$1,MATCH(B5140,tab_tipo_Combustivel!$A$2:$A$150,0),MATCH(A5140,tab_tipo_Combustivel!$B$1:$AQ$1,0),1,1)</f>
        <v>115.9</v>
      </c>
    </row>
    <row r="5141" spans="1:3">
      <c r="A5141" s="3">
        <f t="shared" si="156"/>
        <v>2050</v>
      </c>
      <c r="B5141" s="106">
        <f t="shared" si="157"/>
        <v>23</v>
      </c>
      <c r="C5141" s="107">
        <f ca="1">OFFSET(tab_tipo_Combustivel!$A$1,MATCH(B5141,tab_tipo_Combustivel!$A$2:$A$150,0),MATCH(A5141,tab_tipo_Combustivel!$B$1:$AQ$1,0),1,1)</f>
        <v>115.9</v>
      </c>
    </row>
    <row r="5142" spans="1:3">
      <c r="A5142" s="3">
        <f t="shared" si="156"/>
        <v>2050</v>
      </c>
      <c r="B5142" s="106">
        <f t="shared" si="157"/>
        <v>24</v>
      </c>
      <c r="C5142" s="107">
        <f ca="1">OFFSET(tab_tipo_Combustivel!$A$1,MATCH(B5142,tab_tipo_Combustivel!$A$2:$A$150,0),MATCH(A5142,tab_tipo_Combustivel!$B$1:$AQ$1,0),1,1)</f>
        <v>155.85</v>
      </c>
    </row>
    <row r="5143" spans="1:3">
      <c r="A5143" s="3">
        <f t="shared" si="156"/>
        <v>2050</v>
      </c>
      <c r="B5143" s="106">
        <f t="shared" si="157"/>
        <v>25</v>
      </c>
      <c r="C5143" s="107">
        <f ca="1">OFFSET(tab_tipo_Combustivel!$A$1,MATCH(B5143,tab_tipo_Combustivel!$A$2:$A$150,0),MATCH(A5143,tab_tipo_Combustivel!$B$1:$AQ$1,0),1,1)</f>
        <v>186.33</v>
      </c>
    </row>
    <row r="5144" spans="1:3">
      <c r="A5144" s="3">
        <f t="shared" si="156"/>
        <v>2050</v>
      </c>
      <c r="B5144" s="106">
        <f t="shared" si="157"/>
        <v>26</v>
      </c>
      <c r="C5144" s="107">
        <f ca="1">OFFSET(tab_tipo_Combustivel!$A$1,MATCH(B5144,tab_tipo_Combustivel!$A$2:$A$150,0),MATCH(A5144,tab_tipo_Combustivel!$B$1:$AQ$1,0),1,1)</f>
        <v>258.42</v>
      </c>
    </row>
    <row r="5145" spans="1:3">
      <c r="A5145" s="3">
        <f t="shared" si="156"/>
        <v>2050</v>
      </c>
      <c r="B5145" s="106">
        <f t="shared" si="157"/>
        <v>27</v>
      </c>
      <c r="C5145" s="107">
        <f ca="1">OFFSET(tab_tipo_Combustivel!$A$1,MATCH(B5145,tab_tipo_Combustivel!$A$2:$A$150,0),MATCH(A5145,tab_tipo_Combustivel!$B$1:$AQ$1,0),1,1)</f>
        <v>195.49</v>
      </c>
    </row>
    <row r="5146" spans="1:3">
      <c r="A5146" s="3">
        <f t="shared" si="156"/>
        <v>2050</v>
      </c>
      <c r="B5146" s="106">
        <f t="shared" si="157"/>
        <v>28</v>
      </c>
      <c r="C5146" s="107">
        <f ca="1">OFFSET(tab_tipo_Combustivel!$A$1,MATCH(B5146,tab_tipo_Combustivel!$A$2:$A$150,0),MATCH(A5146,tab_tipo_Combustivel!$B$1:$AQ$1,0),1,1)</f>
        <v>459.92</v>
      </c>
    </row>
    <row r="5147" spans="1:3">
      <c r="A5147" s="3">
        <f t="shared" si="156"/>
        <v>2050</v>
      </c>
      <c r="B5147" s="106">
        <f t="shared" si="157"/>
        <v>32</v>
      </c>
      <c r="C5147" s="107">
        <f ca="1">OFFSET(tab_tipo_Combustivel!$A$1,MATCH(B5147,tab_tipo_Combustivel!$A$2:$A$150,0),MATCH(A5147,tab_tipo_Combustivel!$B$1:$AQ$1,0),1,1)</f>
        <v>248.31</v>
      </c>
    </row>
    <row r="5148" spans="1:3">
      <c r="A5148" s="3">
        <f t="shared" si="156"/>
        <v>2050</v>
      </c>
      <c r="B5148" s="106">
        <f t="shared" si="157"/>
        <v>34</v>
      </c>
      <c r="C5148" s="107">
        <f ca="1">OFFSET(tab_tipo_Combustivel!$A$1,MATCH(B5148,tab_tipo_Combustivel!$A$2:$A$150,0),MATCH(A5148,tab_tipo_Combustivel!$B$1:$AQ$1,0),1,1)</f>
        <v>423.38</v>
      </c>
    </row>
    <row r="5149" spans="1:3">
      <c r="A5149" s="3">
        <f t="shared" si="156"/>
        <v>2050</v>
      </c>
      <c r="B5149" s="106">
        <f t="shared" si="157"/>
        <v>35</v>
      </c>
      <c r="C5149" s="107">
        <f ca="1">OFFSET(tab_tipo_Combustivel!$A$1,MATCH(B5149,tab_tipo_Combustivel!$A$2:$A$150,0),MATCH(A5149,tab_tipo_Combustivel!$B$1:$AQ$1,0),1,1)</f>
        <v>692.45</v>
      </c>
    </row>
    <row r="5150" spans="1:3">
      <c r="A5150" s="3">
        <f t="shared" si="156"/>
        <v>2050</v>
      </c>
      <c r="B5150" s="106">
        <f t="shared" si="157"/>
        <v>36</v>
      </c>
      <c r="C5150" s="107">
        <f ca="1">OFFSET(tab_tipo_Combustivel!$A$1,MATCH(B5150,tab_tipo_Combustivel!$A$2:$A$150,0),MATCH(A5150,tab_tipo_Combustivel!$B$1:$AQ$1,0),1,1)</f>
        <v>157.83000000000001</v>
      </c>
    </row>
    <row r="5151" spans="1:3">
      <c r="A5151" s="3">
        <f t="shared" si="156"/>
        <v>2050</v>
      </c>
      <c r="B5151" s="106">
        <f t="shared" si="157"/>
        <v>42</v>
      </c>
      <c r="C5151" s="107">
        <f ca="1">OFFSET(tab_tipo_Combustivel!$A$1,MATCH(B5151,tab_tipo_Combustivel!$A$2:$A$150,0),MATCH(A5151,tab_tipo_Combustivel!$B$1:$AQ$1,0),1,1)</f>
        <v>199.22</v>
      </c>
    </row>
    <row r="5152" spans="1:3">
      <c r="A5152" s="3">
        <f t="shared" si="156"/>
        <v>2050</v>
      </c>
      <c r="B5152" s="106">
        <f t="shared" si="157"/>
        <v>43</v>
      </c>
      <c r="C5152" s="107">
        <f ca="1">OFFSET(tab_tipo_Combustivel!$A$1,MATCH(B5152,tab_tipo_Combustivel!$A$2:$A$150,0),MATCH(A5152,tab_tipo_Combustivel!$B$1:$AQ$1,0),1,1)</f>
        <v>431.62</v>
      </c>
    </row>
    <row r="5153" spans="1:3">
      <c r="A5153" s="3">
        <f t="shared" si="156"/>
        <v>2050</v>
      </c>
      <c r="B5153" s="106">
        <f t="shared" si="157"/>
        <v>44</v>
      </c>
      <c r="C5153" s="107">
        <f ca="1">OFFSET(tab_tipo_Combustivel!$A$1,MATCH(B5153,tab_tipo_Combustivel!$A$2:$A$150,0),MATCH(A5153,tab_tipo_Combustivel!$B$1:$AQ$1,0),1,1)</f>
        <v>25.58</v>
      </c>
    </row>
    <row r="5154" spans="1:3">
      <c r="A5154" s="3">
        <f t="shared" si="156"/>
        <v>2050</v>
      </c>
      <c r="B5154" s="106">
        <f t="shared" si="157"/>
        <v>46</v>
      </c>
      <c r="C5154" s="107">
        <f ca="1">OFFSET(tab_tipo_Combustivel!$A$1,MATCH(B5154,tab_tipo_Combustivel!$A$2:$A$150,0),MATCH(A5154,tab_tipo_Combustivel!$B$1:$AQ$1,0),1,1)</f>
        <v>228.91</v>
      </c>
    </row>
    <row r="5155" spans="1:3">
      <c r="A5155" s="3">
        <f t="shared" si="156"/>
        <v>2050</v>
      </c>
      <c r="B5155" s="106">
        <f t="shared" si="157"/>
        <v>47</v>
      </c>
      <c r="C5155" s="107">
        <f ca="1">OFFSET(tab_tipo_Combustivel!$A$1,MATCH(B5155,tab_tipo_Combustivel!$A$2:$A$150,0),MATCH(A5155,tab_tipo_Combustivel!$B$1:$AQ$1,0),1,1)</f>
        <v>235.6</v>
      </c>
    </row>
    <row r="5156" spans="1:3">
      <c r="A5156" s="3">
        <f t="shared" si="156"/>
        <v>2050</v>
      </c>
      <c r="B5156" s="106">
        <f t="shared" si="157"/>
        <v>48</v>
      </c>
      <c r="C5156" s="107">
        <f ca="1">OFFSET(tab_tipo_Combustivel!$A$1,MATCH(B5156,tab_tipo_Combustivel!$A$2:$A$150,0),MATCH(A5156,tab_tipo_Combustivel!$B$1:$AQ$1,0),1,1)</f>
        <v>1012.12</v>
      </c>
    </row>
    <row r="5157" spans="1:3">
      <c r="A5157" s="3">
        <f t="shared" si="156"/>
        <v>2050</v>
      </c>
      <c r="B5157" s="106">
        <f t="shared" si="157"/>
        <v>50</v>
      </c>
      <c r="C5157" s="107">
        <f ca="1">OFFSET(tab_tipo_Combustivel!$A$1,MATCH(B5157,tab_tipo_Combustivel!$A$2:$A$150,0),MATCH(A5157,tab_tipo_Combustivel!$B$1:$AQ$1,0),1,1)</f>
        <v>669.87</v>
      </c>
    </row>
    <row r="5158" spans="1:3">
      <c r="A5158" s="3">
        <f t="shared" si="156"/>
        <v>2050</v>
      </c>
      <c r="B5158" s="106">
        <f t="shared" si="157"/>
        <v>54</v>
      </c>
      <c r="C5158" s="107">
        <f ca="1">OFFSET(tab_tipo_Combustivel!$A$1,MATCH(B5158,tab_tipo_Combustivel!$A$2:$A$150,0),MATCH(A5158,tab_tipo_Combustivel!$B$1:$AQ$1,0),1,1)</f>
        <v>304.55</v>
      </c>
    </row>
    <row r="5159" spans="1:3">
      <c r="A5159" s="3">
        <f t="shared" si="156"/>
        <v>2050</v>
      </c>
      <c r="B5159" s="106">
        <f t="shared" si="157"/>
        <v>58</v>
      </c>
      <c r="C5159" s="107">
        <f ca="1">OFFSET(tab_tipo_Combustivel!$A$1,MATCH(B5159,tab_tipo_Combustivel!$A$2:$A$150,0),MATCH(A5159,tab_tipo_Combustivel!$B$1:$AQ$1,0),1,1)</f>
        <v>300.05</v>
      </c>
    </row>
    <row r="5160" spans="1:3">
      <c r="A5160" s="3">
        <f t="shared" si="156"/>
        <v>2050</v>
      </c>
      <c r="B5160" s="106">
        <f t="shared" si="157"/>
        <v>62</v>
      </c>
      <c r="C5160" s="107">
        <f ca="1">OFFSET(tab_tipo_Combustivel!$A$1,MATCH(B5160,tab_tipo_Combustivel!$A$2:$A$150,0),MATCH(A5160,tab_tipo_Combustivel!$B$1:$AQ$1,0),1,1)</f>
        <v>309.24</v>
      </c>
    </row>
    <row r="5161" spans="1:3">
      <c r="A5161" s="3">
        <f t="shared" si="156"/>
        <v>2050</v>
      </c>
      <c r="B5161" s="106">
        <f t="shared" si="157"/>
        <v>63</v>
      </c>
      <c r="C5161" s="107">
        <f ca="1">OFFSET(tab_tipo_Combustivel!$A$1,MATCH(B5161,tab_tipo_Combustivel!$A$2:$A$150,0),MATCH(A5161,tab_tipo_Combustivel!$B$1:$AQ$1,0),1,1)</f>
        <v>365.77</v>
      </c>
    </row>
    <row r="5162" spans="1:3">
      <c r="A5162" s="3">
        <f t="shared" si="156"/>
        <v>2050</v>
      </c>
      <c r="B5162" s="106">
        <f t="shared" si="157"/>
        <v>64</v>
      </c>
      <c r="C5162" s="107">
        <f ca="1">OFFSET(tab_tipo_Combustivel!$A$1,MATCH(B5162,tab_tipo_Combustivel!$A$2:$A$150,0),MATCH(A5162,tab_tipo_Combustivel!$B$1:$AQ$1,0),1,1)</f>
        <v>853.54</v>
      </c>
    </row>
    <row r="5163" spans="1:3">
      <c r="A5163" s="3">
        <f t="shared" si="156"/>
        <v>2050</v>
      </c>
      <c r="B5163" s="106">
        <f t="shared" si="157"/>
        <v>68</v>
      </c>
      <c r="C5163" s="107">
        <f ca="1">OFFSET(tab_tipo_Combustivel!$A$1,MATCH(B5163,tab_tipo_Combustivel!$A$2:$A$150,0),MATCH(A5163,tab_tipo_Combustivel!$B$1:$AQ$1,0),1,1)</f>
        <v>195.63</v>
      </c>
    </row>
    <row r="5164" spans="1:3">
      <c r="A5164" s="3">
        <f t="shared" si="156"/>
        <v>2050</v>
      </c>
      <c r="B5164" s="106">
        <f t="shared" si="157"/>
        <v>74</v>
      </c>
      <c r="C5164" s="107">
        <f ca="1">OFFSET(tab_tipo_Combustivel!$A$1,MATCH(B5164,tab_tipo_Combustivel!$A$2:$A$150,0),MATCH(A5164,tab_tipo_Combustivel!$B$1:$AQ$1,0),1,1)</f>
        <v>364.46</v>
      </c>
    </row>
    <row r="5165" spans="1:3">
      <c r="A5165" s="3">
        <f t="shared" si="156"/>
        <v>2050</v>
      </c>
      <c r="B5165" s="106">
        <f t="shared" si="157"/>
        <v>83</v>
      </c>
      <c r="C5165" s="107">
        <f ca="1">OFFSET(tab_tipo_Combustivel!$A$1,MATCH(B5165,tab_tipo_Combustivel!$A$2:$A$150,0),MATCH(A5165,tab_tipo_Combustivel!$B$1:$AQ$1,0),1,1)</f>
        <v>448.1</v>
      </c>
    </row>
    <row r="5166" spans="1:3">
      <c r="A5166" s="3">
        <f t="shared" si="156"/>
        <v>2050</v>
      </c>
      <c r="B5166" s="106">
        <f t="shared" si="157"/>
        <v>86</v>
      </c>
      <c r="C5166" s="107">
        <f ca="1">OFFSET(tab_tipo_Combustivel!$A$1,MATCH(B5166,tab_tipo_Combustivel!$A$2:$A$150,0),MATCH(A5166,tab_tipo_Combustivel!$B$1:$AQ$1,0),1,1)</f>
        <v>170.34</v>
      </c>
    </row>
    <row r="5167" spans="1:3">
      <c r="A5167" s="3">
        <f t="shared" si="156"/>
        <v>2050</v>
      </c>
      <c r="B5167" s="106">
        <f t="shared" si="157"/>
        <v>90</v>
      </c>
      <c r="C5167" s="107">
        <f ca="1">OFFSET(tab_tipo_Combustivel!$A$1,MATCH(B5167,tab_tipo_Combustivel!$A$2:$A$150,0),MATCH(A5167,tab_tipo_Combustivel!$B$1:$AQ$1,0),1,1)</f>
        <v>533.1</v>
      </c>
    </row>
    <row r="5168" spans="1:3">
      <c r="A5168" s="3">
        <f t="shared" si="156"/>
        <v>2050</v>
      </c>
      <c r="B5168" s="106">
        <f t="shared" si="157"/>
        <v>93</v>
      </c>
      <c r="C5168" s="107">
        <f ca="1">OFFSET(tab_tipo_Combustivel!$A$1,MATCH(B5168,tab_tipo_Combustivel!$A$2:$A$150,0),MATCH(A5168,tab_tipo_Combustivel!$B$1:$AQ$1,0),1,1)</f>
        <v>842.33</v>
      </c>
    </row>
    <row r="5169" spans="1:3">
      <c r="A5169" s="3">
        <f t="shared" si="156"/>
        <v>2050</v>
      </c>
      <c r="B5169" s="106">
        <f t="shared" si="157"/>
        <v>94</v>
      </c>
      <c r="C5169" s="107">
        <f ca="1">OFFSET(tab_tipo_Combustivel!$A$1,MATCH(B5169,tab_tipo_Combustivel!$A$2:$A$150,0),MATCH(A5169,tab_tipo_Combustivel!$B$1:$AQ$1,0),1,1)</f>
        <v>842.33</v>
      </c>
    </row>
    <row r="5170" spans="1:3">
      <c r="A5170" s="3">
        <f t="shared" si="156"/>
        <v>2050</v>
      </c>
      <c r="B5170" s="106">
        <f t="shared" si="157"/>
        <v>96</v>
      </c>
      <c r="C5170" s="107">
        <f ca="1">OFFSET(tab_tipo_Combustivel!$A$1,MATCH(B5170,tab_tipo_Combustivel!$A$2:$A$150,0),MATCH(A5170,tab_tipo_Combustivel!$B$1:$AQ$1,0),1,1)</f>
        <v>99.92</v>
      </c>
    </row>
    <row r="5171" spans="1:3">
      <c r="A5171" s="3">
        <f t="shared" si="156"/>
        <v>2050</v>
      </c>
      <c r="B5171" s="106">
        <f t="shared" si="157"/>
        <v>98</v>
      </c>
      <c r="C5171" s="107">
        <f ca="1">OFFSET(tab_tipo_Combustivel!$A$1,MATCH(B5171,tab_tipo_Combustivel!$A$2:$A$150,0),MATCH(A5171,tab_tipo_Combustivel!$B$1:$AQ$1,0),1,1)</f>
        <v>489.8</v>
      </c>
    </row>
    <row r="5172" spans="1:3">
      <c r="A5172" s="3">
        <f t="shared" si="156"/>
        <v>2050</v>
      </c>
      <c r="B5172" s="106">
        <f t="shared" si="157"/>
        <v>107</v>
      </c>
      <c r="C5172" s="107">
        <f ca="1">OFFSET(tab_tipo_Combustivel!$A$1,MATCH(B5172,tab_tipo_Combustivel!$A$2:$A$150,0),MATCH(A5172,tab_tipo_Combustivel!$B$1:$AQ$1,0),1,1)</f>
        <v>57.63</v>
      </c>
    </row>
    <row r="5173" spans="1:3">
      <c r="A5173" s="3">
        <f t="shared" si="156"/>
        <v>2050</v>
      </c>
      <c r="B5173" s="106">
        <f t="shared" si="157"/>
        <v>110</v>
      </c>
      <c r="C5173" s="107">
        <f ca="1">OFFSET(tab_tipo_Combustivel!$A$1,MATCH(B5173,tab_tipo_Combustivel!$A$2:$A$150,0),MATCH(A5173,tab_tipo_Combustivel!$B$1:$AQ$1,0),1,1)</f>
        <v>568.29</v>
      </c>
    </row>
    <row r="5174" spans="1:3">
      <c r="A5174" s="3">
        <f t="shared" si="156"/>
        <v>2050</v>
      </c>
      <c r="B5174" s="106">
        <f t="shared" si="157"/>
        <v>116</v>
      </c>
      <c r="C5174" s="107">
        <f ca="1">OFFSET(tab_tipo_Combustivel!$A$1,MATCH(B5174,tab_tipo_Combustivel!$A$2:$A$150,0),MATCH(A5174,tab_tipo_Combustivel!$B$1:$AQ$1,0),1,1)</f>
        <v>117.46</v>
      </c>
    </row>
    <row r="5175" spans="1:3">
      <c r="A5175" s="3">
        <f t="shared" si="156"/>
        <v>2050</v>
      </c>
      <c r="B5175" s="106">
        <f t="shared" si="157"/>
        <v>140</v>
      </c>
      <c r="C5175" s="107">
        <f ca="1">OFFSET(tab_tipo_Combustivel!$A$1,MATCH(B5175,tab_tipo_Combustivel!$A$2:$A$150,0),MATCH(A5175,tab_tipo_Combustivel!$B$1:$AQ$1,0),1,1)</f>
        <v>88.11</v>
      </c>
    </row>
    <row r="5176" spans="1:3">
      <c r="A5176" s="3">
        <f t="shared" si="156"/>
        <v>2050</v>
      </c>
      <c r="B5176" s="106">
        <f t="shared" si="157"/>
        <v>141</v>
      </c>
      <c r="C5176" s="107">
        <f ca="1">OFFSET(tab_tipo_Combustivel!$A$1,MATCH(B5176,tab_tipo_Combustivel!$A$2:$A$150,0),MATCH(A5176,tab_tipo_Combustivel!$B$1:$AQ$1,0),1,1)</f>
        <v>1280.52</v>
      </c>
    </row>
    <row r="5177" spans="1:3">
      <c r="A5177" s="3">
        <f t="shared" si="156"/>
        <v>2050</v>
      </c>
      <c r="B5177" s="106">
        <f t="shared" si="157"/>
        <v>147</v>
      </c>
      <c r="C5177" s="107">
        <f ca="1">OFFSET(tab_tipo_Combustivel!$A$1,MATCH(B5177,tab_tipo_Combustivel!$A$2:$A$150,0),MATCH(A5177,tab_tipo_Combustivel!$B$1:$AQ$1,0),1,1)</f>
        <v>134.18</v>
      </c>
    </row>
    <row r="5178" spans="1:3">
      <c r="A5178" s="3">
        <f t="shared" si="156"/>
        <v>2050</v>
      </c>
      <c r="B5178" s="106">
        <f t="shared" si="157"/>
        <v>156</v>
      </c>
      <c r="C5178" s="107">
        <f ca="1">OFFSET(tab_tipo_Combustivel!$A$1,MATCH(B5178,tab_tipo_Combustivel!$A$2:$A$150,0),MATCH(A5178,tab_tipo_Combustivel!$B$1:$AQ$1,0),1,1)</f>
        <v>77.12</v>
      </c>
    </row>
    <row r="5179" spans="1:3">
      <c r="A5179" s="3">
        <f t="shared" si="156"/>
        <v>2050</v>
      </c>
      <c r="B5179" s="106">
        <f t="shared" si="157"/>
        <v>163</v>
      </c>
      <c r="C5179" s="107">
        <f ca="1">OFFSET(tab_tipo_Combustivel!$A$1,MATCH(B5179,tab_tipo_Combustivel!$A$2:$A$150,0),MATCH(A5179,tab_tipo_Combustivel!$B$1:$AQ$1,0),1,1)</f>
        <v>156.69999999999999</v>
      </c>
    </row>
    <row r="5180" spans="1:3">
      <c r="A5180" s="3">
        <f t="shared" si="156"/>
        <v>2050</v>
      </c>
      <c r="B5180" s="106">
        <f t="shared" si="157"/>
        <v>167</v>
      </c>
      <c r="C5180" s="107">
        <f ca="1">OFFSET(tab_tipo_Combustivel!$A$1,MATCH(B5180,tab_tipo_Combustivel!$A$2:$A$150,0),MATCH(A5180,tab_tipo_Combustivel!$B$1:$AQ$1,0),1,1)</f>
        <v>144.66999999999999</v>
      </c>
    </row>
    <row r="5181" spans="1:3">
      <c r="A5181" s="3">
        <f t="shared" si="156"/>
        <v>2050</v>
      </c>
      <c r="B5181" s="106">
        <f t="shared" si="157"/>
        <v>171</v>
      </c>
      <c r="C5181" s="107">
        <f ca="1">OFFSET(tab_tipo_Combustivel!$A$1,MATCH(B5181,tab_tipo_Combustivel!$A$2:$A$150,0),MATCH(A5181,tab_tipo_Combustivel!$B$1:$AQ$1,0),1,1)</f>
        <v>88</v>
      </c>
    </row>
    <row r="5182" spans="1:3">
      <c r="A5182" s="3">
        <f t="shared" si="156"/>
        <v>2050</v>
      </c>
      <c r="B5182" s="106">
        <f t="shared" si="157"/>
        <v>172</v>
      </c>
      <c r="C5182" s="107">
        <f ca="1">OFFSET(tab_tipo_Combustivel!$A$1,MATCH(B5182,tab_tipo_Combustivel!$A$2:$A$150,0),MATCH(A5182,tab_tipo_Combustivel!$B$1:$AQ$1,0),1,1)</f>
        <v>99.97</v>
      </c>
    </row>
    <row r="5183" spans="1:3">
      <c r="A5183" s="3">
        <f t="shared" si="156"/>
        <v>2050</v>
      </c>
      <c r="B5183" s="106">
        <f t="shared" si="157"/>
        <v>173</v>
      </c>
      <c r="C5183" s="107">
        <f ca="1">OFFSET(tab_tipo_Combustivel!$A$1,MATCH(B5183,tab_tipo_Combustivel!$A$2:$A$150,0),MATCH(A5183,tab_tipo_Combustivel!$B$1:$AQ$1,0),1,1)</f>
        <v>192.03</v>
      </c>
    </row>
    <row r="5184" spans="1:3">
      <c r="A5184" s="3">
        <f t="shared" si="156"/>
        <v>2050</v>
      </c>
      <c r="B5184" s="106">
        <f t="shared" si="157"/>
        <v>174</v>
      </c>
      <c r="C5184" s="107">
        <f ca="1">OFFSET(tab_tipo_Combustivel!$A$1,MATCH(B5184,tab_tipo_Combustivel!$A$2:$A$150,0),MATCH(A5184,tab_tipo_Combustivel!$B$1:$AQ$1,0),1,1)</f>
        <v>331.22</v>
      </c>
    </row>
    <row r="5185" spans="1:3">
      <c r="A5185" s="3">
        <f t="shared" si="156"/>
        <v>2050</v>
      </c>
      <c r="B5185" s="106">
        <f t="shared" si="157"/>
        <v>176</v>
      </c>
      <c r="C5185" s="107">
        <f ca="1">OFFSET(tab_tipo_Combustivel!$A$1,MATCH(B5185,tab_tipo_Combustivel!$A$2:$A$150,0),MATCH(A5185,tab_tipo_Combustivel!$B$1:$AQ$1,0),1,1)</f>
        <v>149.47999999999999</v>
      </c>
    </row>
    <row r="5186" spans="1:3">
      <c r="A5186" s="3">
        <f t="shared" si="156"/>
        <v>2050</v>
      </c>
      <c r="B5186" s="106">
        <f t="shared" si="157"/>
        <v>183</v>
      </c>
      <c r="C5186" s="107">
        <f ca="1">OFFSET(tab_tipo_Combustivel!$A$1,MATCH(B5186,tab_tipo_Combustivel!$A$2:$A$150,0),MATCH(A5186,tab_tipo_Combustivel!$B$1:$AQ$1,0),1,1)</f>
        <v>171.61</v>
      </c>
    </row>
    <row r="5187" spans="1:3">
      <c r="A5187" s="3">
        <f t="shared" si="156"/>
        <v>2050</v>
      </c>
      <c r="B5187" s="106">
        <f t="shared" si="157"/>
        <v>194</v>
      </c>
      <c r="C5187" s="107">
        <f ca="1">OFFSET(tab_tipo_Combustivel!$A$1,MATCH(B5187,tab_tipo_Combustivel!$A$2:$A$150,0),MATCH(A5187,tab_tipo_Combustivel!$B$1:$AQ$1,0),1,1)</f>
        <v>1098.58</v>
      </c>
    </row>
    <row r="5188" spans="1:3">
      <c r="A5188" s="3">
        <f t="shared" si="156"/>
        <v>2050</v>
      </c>
      <c r="B5188" s="106">
        <f t="shared" si="157"/>
        <v>203</v>
      </c>
      <c r="C5188" s="107">
        <f ca="1">OFFSET(tab_tipo_Combustivel!$A$1,MATCH(B5188,tab_tipo_Combustivel!$A$2:$A$150,0),MATCH(A5188,tab_tipo_Combustivel!$B$1:$AQ$1,0),1,1)</f>
        <v>0</v>
      </c>
    </row>
    <row r="5189" spans="1:3">
      <c r="A5189" s="3">
        <f t="shared" si="156"/>
        <v>2050</v>
      </c>
      <c r="B5189" s="106">
        <f t="shared" si="157"/>
        <v>204</v>
      </c>
      <c r="C5189" s="107">
        <f ca="1">OFFSET(tab_tipo_Combustivel!$A$1,MATCH(B5189,tab_tipo_Combustivel!$A$2:$A$150,0),MATCH(A5189,tab_tipo_Combustivel!$B$1:$AQ$1,0),1,1)</f>
        <v>0</v>
      </c>
    </row>
    <row r="5190" spans="1:3">
      <c r="A5190" s="3">
        <f t="shared" si="156"/>
        <v>2050</v>
      </c>
      <c r="B5190" s="106">
        <f t="shared" si="157"/>
        <v>205</v>
      </c>
      <c r="C5190" s="107">
        <f ca="1">OFFSET(tab_tipo_Combustivel!$A$1,MATCH(B5190,tab_tipo_Combustivel!$A$2:$A$150,0),MATCH(A5190,tab_tipo_Combustivel!$B$1:$AQ$1,0),1,1)</f>
        <v>0</v>
      </c>
    </row>
    <row r="5191" spans="1:3">
      <c r="A5191" s="3">
        <f t="shared" si="156"/>
        <v>2050</v>
      </c>
      <c r="B5191" s="106">
        <f t="shared" si="157"/>
        <v>207</v>
      </c>
      <c r="C5191" s="107">
        <f ca="1">OFFSET(tab_tipo_Combustivel!$A$1,MATCH(B5191,tab_tipo_Combustivel!$A$2:$A$150,0),MATCH(A5191,tab_tipo_Combustivel!$B$1:$AQ$1,0),1,1)</f>
        <v>0</v>
      </c>
    </row>
    <row r="5192" spans="1:3">
      <c r="A5192" s="3">
        <f t="shared" si="156"/>
        <v>2050</v>
      </c>
      <c r="B5192" s="106">
        <f t="shared" si="157"/>
        <v>208</v>
      </c>
      <c r="C5192" s="107">
        <f ca="1">OFFSET(tab_tipo_Combustivel!$A$1,MATCH(B5192,tab_tipo_Combustivel!$A$2:$A$150,0),MATCH(A5192,tab_tipo_Combustivel!$B$1:$AQ$1,0),1,1)</f>
        <v>783.64</v>
      </c>
    </row>
    <row r="5193" spans="1:3">
      <c r="A5193" s="3">
        <f t="shared" si="156"/>
        <v>2050</v>
      </c>
      <c r="B5193" s="106">
        <f t="shared" si="157"/>
        <v>209</v>
      </c>
      <c r="C5193" s="107">
        <f ca="1">OFFSET(tab_tipo_Combustivel!$A$1,MATCH(B5193,tab_tipo_Combustivel!$A$2:$A$150,0),MATCH(A5193,tab_tipo_Combustivel!$B$1:$AQ$1,0),1,1)</f>
        <v>0</v>
      </c>
    </row>
    <row r="5194" spans="1:3">
      <c r="A5194" s="3">
        <f t="shared" ref="A5194:A5257" si="158">A5059+1</f>
        <v>2050</v>
      </c>
      <c r="B5194" s="106">
        <f t="shared" ref="B5194:B5257" si="159">B5059</f>
        <v>211</v>
      </c>
      <c r="C5194" s="107">
        <f ca="1">OFFSET(tab_tipo_Combustivel!$A$1,MATCH(B5194,tab_tipo_Combustivel!$A$2:$A$150,0),MATCH(A5194,tab_tipo_Combustivel!$B$1:$AQ$1,0),1,1)</f>
        <v>150.79</v>
      </c>
    </row>
    <row r="5195" spans="1:3">
      <c r="A5195" s="3">
        <f t="shared" si="158"/>
        <v>2050</v>
      </c>
      <c r="B5195" s="106">
        <f t="shared" si="159"/>
        <v>212</v>
      </c>
      <c r="C5195" s="107">
        <f ca="1">OFFSET(tab_tipo_Combustivel!$A$1,MATCH(B5195,tab_tipo_Combustivel!$A$2:$A$150,0),MATCH(A5195,tab_tipo_Combustivel!$B$1:$AQ$1,0),1,1)</f>
        <v>84.58</v>
      </c>
    </row>
    <row r="5196" spans="1:3">
      <c r="A5196" s="3">
        <f t="shared" si="158"/>
        <v>2050</v>
      </c>
      <c r="B5196" s="106">
        <f t="shared" si="159"/>
        <v>224</v>
      </c>
      <c r="C5196" s="107">
        <f ca="1">OFFSET(tab_tipo_Combustivel!$A$1,MATCH(B5196,tab_tipo_Combustivel!$A$2:$A$150,0),MATCH(A5196,tab_tipo_Combustivel!$B$1:$AQ$1,0),1,1)</f>
        <v>31.08</v>
      </c>
    </row>
    <row r="5197" spans="1:3">
      <c r="A5197" s="3">
        <f t="shared" si="158"/>
        <v>2050</v>
      </c>
      <c r="B5197" s="106">
        <f t="shared" si="159"/>
        <v>225</v>
      </c>
      <c r="C5197" s="107">
        <f ca="1">OFFSET(tab_tipo_Combustivel!$A$1,MATCH(B5197,tab_tipo_Combustivel!$A$2:$A$150,0),MATCH(A5197,tab_tipo_Combustivel!$B$1:$AQ$1,0),1,1)</f>
        <v>1329.7</v>
      </c>
    </row>
    <row r="5198" spans="1:3">
      <c r="A5198" s="3">
        <f t="shared" si="158"/>
        <v>2050</v>
      </c>
      <c r="B5198" s="106">
        <f t="shared" si="159"/>
        <v>226</v>
      </c>
      <c r="C5198" s="107">
        <f ca="1">OFFSET(tab_tipo_Combustivel!$A$1,MATCH(B5198,tab_tipo_Combustivel!$A$2:$A$150,0),MATCH(A5198,tab_tipo_Combustivel!$B$1:$AQ$1,0),1,1)</f>
        <v>1061.1300000000001</v>
      </c>
    </row>
    <row r="5199" spans="1:3">
      <c r="A5199" s="3">
        <f t="shared" si="158"/>
        <v>2050</v>
      </c>
      <c r="B5199" s="106">
        <f t="shared" si="159"/>
        <v>227</v>
      </c>
      <c r="C5199" s="107">
        <f ca="1">OFFSET(tab_tipo_Combustivel!$A$1,MATCH(B5199,tab_tipo_Combustivel!$A$2:$A$150,0),MATCH(A5199,tab_tipo_Combustivel!$B$1:$AQ$1,0),1,1)</f>
        <v>447.52</v>
      </c>
    </row>
    <row r="5200" spans="1:3">
      <c r="A5200" s="3">
        <f t="shared" si="158"/>
        <v>2050</v>
      </c>
      <c r="B5200" s="106">
        <f t="shared" si="159"/>
        <v>228</v>
      </c>
      <c r="C5200" s="107">
        <f ca="1">OFFSET(tab_tipo_Combustivel!$A$1,MATCH(B5200,tab_tipo_Combustivel!$A$2:$A$150,0),MATCH(A5200,tab_tipo_Combustivel!$B$1:$AQ$1,0),1,1)</f>
        <v>1061.1400000000001</v>
      </c>
    </row>
    <row r="5201" spans="1:3">
      <c r="A5201" s="3">
        <f t="shared" si="158"/>
        <v>2050</v>
      </c>
      <c r="B5201" s="106">
        <f t="shared" si="159"/>
        <v>229</v>
      </c>
      <c r="C5201" s="107">
        <f ca="1">OFFSET(tab_tipo_Combustivel!$A$1,MATCH(B5201,tab_tipo_Combustivel!$A$2:$A$150,0),MATCH(A5201,tab_tipo_Combustivel!$B$1:$AQ$1,0),1,1)</f>
        <v>942.05</v>
      </c>
    </row>
    <row r="5202" spans="1:3">
      <c r="A5202" s="3">
        <f t="shared" si="158"/>
        <v>2050</v>
      </c>
      <c r="B5202" s="106">
        <f t="shared" si="159"/>
        <v>230</v>
      </c>
      <c r="C5202" s="107">
        <f ca="1">OFFSET(tab_tipo_Combustivel!$A$1,MATCH(B5202,tab_tipo_Combustivel!$A$2:$A$150,0),MATCH(A5202,tab_tipo_Combustivel!$B$1:$AQ$1,0),1,1)</f>
        <v>495.06</v>
      </c>
    </row>
    <row r="5203" spans="1:3">
      <c r="A5203" s="3">
        <f t="shared" si="158"/>
        <v>2050</v>
      </c>
      <c r="B5203" s="106">
        <f t="shared" si="159"/>
        <v>231</v>
      </c>
      <c r="C5203" s="107">
        <f ca="1">OFFSET(tab_tipo_Combustivel!$A$1,MATCH(B5203,tab_tipo_Combustivel!$A$2:$A$150,0),MATCH(A5203,tab_tipo_Combustivel!$B$1:$AQ$1,0),1,1)</f>
        <v>489.29</v>
      </c>
    </row>
    <row r="5204" spans="1:3">
      <c r="A5204" s="3">
        <f t="shared" si="158"/>
        <v>2050</v>
      </c>
      <c r="B5204" s="106">
        <f t="shared" si="159"/>
        <v>232</v>
      </c>
      <c r="C5204" s="107">
        <f ca="1">OFFSET(tab_tipo_Combustivel!$A$1,MATCH(B5204,tab_tipo_Combustivel!$A$2:$A$150,0),MATCH(A5204,tab_tipo_Combustivel!$B$1:$AQ$1,0),1,1)</f>
        <v>842.33</v>
      </c>
    </row>
    <row r="5205" spans="1:3">
      <c r="A5205" s="3">
        <f t="shared" si="158"/>
        <v>2050</v>
      </c>
      <c r="B5205" s="106">
        <f t="shared" si="159"/>
        <v>233</v>
      </c>
      <c r="C5205" s="107">
        <f ca="1">OFFSET(tab_tipo_Combustivel!$A$1,MATCH(B5205,tab_tipo_Combustivel!$A$2:$A$150,0),MATCH(A5205,tab_tipo_Combustivel!$B$1:$AQ$1,0),1,1)</f>
        <v>984.29</v>
      </c>
    </row>
    <row r="5206" spans="1:3">
      <c r="A5206" s="3">
        <f t="shared" si="158"/>
        <v>2050</v>
      </c>
      <c r="B5206" s="106">
        <f t="shared" si="159"/>
        <v>234</v>
      </c>
      <c r="C5206" s="107">
        <f ca="1">OFFSET(tab_tipo_Combustivel!$A$1,MATCH(B5206,tab_tipo_Combustivel!$A$2:$A$150,0),MATCH(A5206,tab_tipo_Combustivel!$B$1:$AQ$1,0),1,1)</f>
        <v>290.26</v>
      </c>
    </row>
    <row r="5207" spans="1:3">
      <c r="A5207" s="3">
        <f t="shared" si="158"/>
        <v>2050</v>
      </c>
      <c r="B5207" s="106">
        <f t="shared" si="159"/>
        <v>235</v>
      </c>
      <c r="C5207" s="107">
        <f ca="1">OFFSET(tab_tipo_Combustivel!$A$1,MATCH(B5207,tab_tipo_Combustivel!$A$2:$A$150,0),MATCH(A5207,tab_tipo_Combustivel!$B$1:$AQ$1,0),1,1)</f>
        <v>1350.87</v>
      </c>
    </row>
    <row r="5208" spans="1:3">
      <c r="A5208" s="3">
        <f t="shared" si="158"/>
        <v>2050</v>
      </c>
      <c r="B5208" s="106">
        <f t="shared" si="159"/>
        <v>236</v>
      </c>
      <c r="C5208" s="107">
        <f ca="1">OFFSET(tab_tipo_Combustivel!$A$1,MATCH(B5208,tab_tipo_Combustivel!$A$2:$A$150,0),MATCH(A5208,tab_tipo_Combustivel!$B$1:$AQ$1,0),1,1)</f>
        <v>842.33</v>
      </c>
    </row>
    <row r="5209" spans="1:3">
      <c r="A5209" s="3">
        <f t="shared" si="158"/>
        <v>2050</v>
      </c>
      <c r="B5209" s="106">
        <f t="shared" si="159"/>
        <v>237</v>
      </c>
      <c r="C5209" s="107">
        <f ca="1">OFFSET(tab_tipo_Combustivel!$A$1,MATCH(B5209,tab_tipo_Combustivel!$A$2:$A$150,0),MATCH(A5209,tab_tipo_Combustivel!$B$1:$AQ$1,0),1,1)</f>
        <v>760.85</v>
      </c>
    </row>
    <row r="5210" spans="1:3">
      <c r="A5210" s="3">
        <f t="shared" si="158"/>
        <v>2050</v>
      </c>
      <c r="B5210" s="106">
        <f t="shared" si="159"/>
        <v>238</v>
      </c>
      <c r="C5210" s="107">
        <f ca="1">OFFSET(tab_tipo_Combustivel!$A$1,MATCH(B5210,tab_tipo_Combustivel!$A$2:$A$150,0),MATCH(A5210,tab_tipo_Combustivel!$B$1:$AQ$1,0),1,1)</f>
        <v>963.75</v>
      </c>
    </row>
    <row r="5211" spans="1:3">
      <c r="A5211" s="3">
        <f t="shared" si="158"/>
        <v>2050</v>
      </c>
      <c r="B5211" s="106">
        <f t="shared" si="159"/>
        <v>239</v>
      </c>
      <c r="C5211" s="107">
        <f ca="1">OFFSET(tab_tipo_Combustivel!$A$1,MATCH(B5211,tab_tipo_Combustivel!$A$2:$A$150,0),MATCH(A5211,tab_tipo_Combustivel!$B$1:$AQ$1,0),1,1)</f>
        <v>963.75</v>
      </c>
    </row>
    <row r="5212" spans="1:3">
      <c r="A5212" s="3">
        <f t="shared" si="158"/>
        <v>2050</v>
      </c>
      <c r="B5212" s="106">
        <f t="shared" si="159"/>
        <v>240</v>
      </c>
      <c r="C5212" s="107">
        <f ca="1">OFFSET(tab_tipo_Combustivel!$A$1,MATCH(B5212,tab_tipo_Combustivel!$A$2:$A$150,0),MATCH(A5212,tab_tipo_Combustivel!$B$1:$AQ$1,0),1,1)</f>
        <v>1115.96</v>
      </c>
    </row>
    <row r="5213" spans="1:3">
      <c r="A5213" s="3">
        <f t="shared" si="158"/>
        <v>2050</v>
      </c>
      <c r="B5213" s="106">
        <f t="shared" si="159"/>
        <v>241</v>
      </c>
      <c r="C5213" s="107">
        <f ca="1">OFFSET(tab_tipo_Combustivel!$A$1,MATCH(B5213,tab_tipo_Combustivel!$A$2:$A$150,0),MATCH(A5213,tab_tipo_Combustivel!$B$1:$AQ$1,0),1,1)</f>
        <v>495.75</v>
      </c>
    </row>
    <row r="5214" spans="1:3">
      <c r="A5214" s="3">
        <f t="shared" si="158"/>
        <v>2050</v>
      </c>
      <c r="B5214" s="106">
        <f t="shared" si="159"/>
        <v>242</v>
      </c>
      <c r="C5214" s="107">
        <f ca="1">OFFSET(tab_tipo_Combustivel!$A$1,MATCH(B5214,tab_tipo_Combustivel!$A$2:$A$150,0),MATCH(A5214,tab_tipo_Combustivel!$B$1:$AQ$1,0),1,1)</f>
        <v>1176.45</v>
      </c>
    </row>
    <row r="5215" spans="1:3">
      <c r="A5215" s="3">
        <f t="shared" si="158"/>
        <v>2050</v>
      </c>
      <c r="B5215" s="106">
        <f t="shared" si="159"/>
        <v>243</v>
      </c>
      <c r="C5215" s="107">
        <f ca="1">OFFSET(tab_tipo_Combustivel!$A$1,MATCH(B5215,tab_tipo_Combustivel!$A$2:$A$150,0),MATCH(A5215,tab_tipo_Combustivel!$B$1:$AQ$1,0),1,1)</f>
        <v>495.08</v>
      </c>
    </row>
    <row r="5216" spans="1:3">
      <c r="A5216" s="3">
        <f t="shared" si="158"/>
        <v>2050</v>
      </c>
      <c r="B5216" s="106">
        <f t="shared" si="159"/>
        <v>244</v>
      </c>
      <c r="C5216" s="107">
        <f ca="1">OFFSET(tab_tipo_Combustivel!$A$1,MATCH(B5216,tab_tipo_Combustivel!$A$2:$A$150,0),MATCH(A5216,tab_tipo_Combustivel!$B$1:$AQ$1,0),1,1)</f>
        <v>495.06</v>
      </c>
    </row>
    <row r="5217" spans="1:3">
      <c r="A5217" s="3">
        <f t="shared" si="158"/>
        <v>2050</v>
      </c>
      <c r="B5217" s="106">
        <f t="shared" si="159"/>
        <v>245</v>
      </c>
      <c r="C5217" s="107">
        <f ca="1">OFFSET(tab_tipo_Combustivel!$A$1,MATCH(B5217,tab_tipo_Combustivel!$A$2:$A$150,0),MATCH(A5217,tab_tipo_Combustivel!$B$1:$AQ$1,0),1,1)</f>
        <v>562.65</v>
      </c>
    </row>
    <row r="5218" spans="1:3">
      <c r="A5218" s="3">
        <f t="shared" si="158"/>
        <v>2050</v>
      </c>
      <c r="B5218" s="106">
        <f t="shared" si="159"/>
        <v>246</v>
      </c>
      <c r="C5218" s="107">
        <f ca="1">OFFSET(tab_tipo_Combustivel!$A$1,MATCH(B5218,tab_tipo_Combustivel!$A$2:$A$150,0),MATCH(A5218,tab_tipo_Combustivel!$B$1:$AQ$1,0),1,1)</f>
        <v>1124.53</v>
      </c>
    </row>
    <row r="5219" spans="1:3">
      <c r="A5219" s="3">
        <f t="shared" si="158"/>
        <v>2050</v>
      </c>
      <c r="B5219" s="106">
        <f t="shared" si="159"/>
        <v>247</v>
      </c>
      <c r="C5219" s="107">
        <f ca="1">OFFSET(tab_tipo_Combustivel!$A$1,MATCH(B5219,tab_tipo_Combustivel!$A$2:$A$150,0),MATCH(A5219,tab_tipo_Combustivel!$B$1:$AQ$1,0),1,1)</f>
        <v>609.51</v>
      </c>
    </row>
    <row r="5220" spans="1:3">
      <c r="A5220" s="3">
        <f t="shared" si="158"/>
        <v>2050</v>
      </c>
      <c r="B5220" s="106">
        <f t="shared" si="159"/>
        <v>248</v>
      </c>
      <c r="C5220" s="107">
        <f ca="1">OFFSET(tab_tipo_Combustivel!$A$1,MATCH(B5220,tab_tipo_Combustivel!$A$2:$A$150,0),MATCH(A5220,tab_tipo_Combustivel!$B$1:$AQ$1,0),1,1)</f>
        <v>495.06</v>
      </c>
    </row>
    <row r="5221" spans="1:3">
      <c r="A5221" s="3">
        <f t="shared" si="158"/>
        <v>2050</v>
      </c>
      <c r="B5221" s="106">
        <f t="shared" si="159"/>
        <v>249</v>
      </c>
      <c r="C5221" s="107">
        <f ca="1">OFFSET(tab_tipo_Combustivel!$A$1,MATCH(B5221,tab_tipo_Combustivel!$A$2:$A$150,0),MATCH(A5221,tab_tipo_Combustivel!$B$1:$AQ$1,0),1,1)</f>
        <v>842.33</v>
      </c>
    </row>
    <row r="5222" spans="1:3">
      <c r="A5222" s="3">
        <f t="shared" si="158"/>
        <v>2050</v>
      </c>
      <c r="B5222" s="106">
        <f t="shared" si="159"/>
        <v>250</v>
      </c>
      <c r="C5222" s="107">
        <f ca="1">OFFSET(tab_tipo_Combustivel!$A$1,MATCH(B5222,tab_tipo_Combustivel!$A$2:$A$150,0),MATCH(A5222,tab_tipo_Combustivel!$B$1:$AQ$1,0),1,1)</f>
        <v>1176.45</v>
      </c>
    </row>
    <row r="5223" spans="1:3">
      <c r="A5223" s="3">
        <f t="shared" si="158"/>
        <v>2050</v>
      </c>
      <c r="B5223" s="106">
        <f t="shared" si="159"/>
        <v>251</v>
      </c>
      <c r="C5223" s="107">
        <f ca="1">OFFSET(tab_tipo_Combustivel!$A$1,MATCH(B5223,tab_tipo_Combustivel!$A$2:$A$150,0),MATCH(A5223,tab_tipo_Combustivel!$B$1:$AQ$1,0),1,1)</f>
        <v>842.33</v>
      </c>
    </row>
    <row r="5224" spans="1:3">
      <c r="A5224" s="3">
        <f t="shared" si="158"/>
        <v>2050</v>
      </c>
      <c r="B5224" s="106">
        <f t="shared" si="159"/>
        <v>252</v>
      </c>
      <c r="C5224" s="107">
        <f ca="1">OFFSET(tab_tipo_Combustivel!$A$1,MATCH(B5224,tab_tipo_Combustivel!$A$2:$A$150,0),MATCH(A5224,tab_tipo_Combustivel!$B$1:$AQ$1,0),1,1)</f>
        <v>842.33</v>
      </c>
    </row>
    <row r="5225" spans="1:3">
      <c r="A5225" s="3">
        <f t="shared" si="158"/>
        <v>2050</v>
      </c>
      <c r="B5225" s="106">
        <f t="shared" si="159"/>
        <v>253</v>
      </c>
      <c r="C5225" s="107">
        <f ca="1">OFFSET(tab_tipo_Combustivel!$A$1,MATCH(B5225,tab_tipo_Combustivel!$A$2:$A$150,0),MATCH(A5225,tab_tipo_Combustivel!$B$1:$AQ$1,0),1,1)</f>
        <v>279.45</v>
      </c>
    </row>
    <row r="5226" spans="1:3">
      <c r="A5226" s="3">
        <f t="shared" si="158"/>
        <v>2050</v>
      </c>
      <c r="B5226" s="106">
        <f t="shared" si="159"/>
        <v>254</v>
      </c>
      <c r="C5226" s="107">
        <f ca="1">OFFSET(tab_tipo_Combustivel!$A$1,MATCH(B5226,tab_tipo_Combustivel!$A$2:$A$150,0),MATCH(A5226,tab_tipo_Combustivel!$B$1:$AQ$1,0),1,1)</f>
        <v>1153.98</v>
      </c>
    </row>
    <row r="5227" spans="1:3">
      <c r="A5227" s="3">
        <f t="shared" si="158"/>
        <v>2050</v>
      </c>
      <c r="B5227" s="106">
        <f t="shared" si="159"/>
        <v>255</v>
      </c>
      <c r="C5227" s="107">
        <f ca="1">OFFSET(tab_tipo_Combustivel!$A$1,MATCH(B5227,tab_tipo_Combustivel!$A$2:$A$150,0),MATCH(A5227,tab_tipo_Combustivel!$B$1:$AQ$1,0),1,1)</f>
        <v>828.98</v>
      </c>
    </row>
    <row r="5228" spans="1:3">
      <c r="A5228" s="3">
        <f t="shared" si="158"/>
        <v>2050</v>
      </c>
      <c r="B5228" s="106">
        <f t="shared" si="159"/>
        <v>256</v>
      </c>
      <c r="C5228" s="107">
        <f ca="1">OFFSET(tab_tipo_Combustivel!$A$1,MATCH(B5228,tab_tipo_Combustivel!$A$2:$A$150,0),MATCH(A5228,tab_tipo_Combustivel!$B$1:$AQ$1,0),1,1)</f>
        <v>562.65</v>
      </c>
    </row>
    <row r="5229" spans="1:3">
      <c r="A5229" s="3">
        <f t="shared" si="158"/>
        <v>2050</v>
      </c>
      <c r="B5229" s="106">
        <f t="shared" si="159"/>
        <v>257</v>
      </c>
      <c r="C5229" s="107">
        <f ca="1">OFFSET(tab_tipo_Combustivel!$A$1,MATCH(B5229,tab_tipo_Combustivel!$A$2:$A$150,0),MATCH(A5229,tab_tipo_Combustivel!$B$1:$AQ$1,0),1,1)</f>
        <v>907.52</v>
      </c>
    </row>
    <row r="5230" spans="1:3">
      <c r="A5230" s="3">
        <f t="shared" si="158"/>
        <v>2050</v>
      </c>
      <c r="B5230" s="106">
        <f t="shared" si="159"/>
        <v>258</v>
      </c>
      <c r="C5230" s="107">
        <f ca="1">OFFSET(tab_tipo_Combustivel!$A$1,MATCH(B5230,tab_tipo_Combustivel!$A$2:$A$150,0),MATCH(A5230,tab_tipo_Combustivel!$B$1:$AQ$1,0),1,1)</f>
        <v>1016.04</v>
      </c>
    </row>
    <row r="5231" spans="1:3">
      <c r="A5231" s="3">
        <f t="shared" si="158"/>
        <v>2050</v>
      </c>
      <c r="B5231" s="106">
        <f t="shared" si="159"/>
        <v>259</v>
      </c>
      <c r="C5231" s="107">
        <f ca="1">OFFSET(tab_tipo_Combustivel!$A$1,MATCH(B5231,tab_tipo_Combustivel!$A$2:$A$150,0),MATCH(A5231,tab_tipo_Combustivel!$B$1:$AQ$1,0),1,1)</f>
        <v>977.53</v>
      </c>
    </row>
    <row r="5232" spans="1:3">
      <c r="A5232" s="3">
        <f t="shared" si="158"/>
        <v>2050</v>
      </c>
      <c r="B5232" s="106">
        <f t="shared" si="159"/>
        <v>260</v>
      </c>
      <c r="C5232" s="107">
        <f ca="1">OFFSET(tab_tipo_Combustivel!$A$1,MATCH(B5232,tab_tipo_Combustivel!$A$2:$A$150,0),MATCH(A5232,tab_tipo_Combustivel!$B$1:$AQ$1,0),1,1)</f>
        <v>827.17</v>
      </c>
    </row>
    <row r="5233" spans="1:3">
      <c r="A5233" s="3">
        <f t="shared" si="158"/>
        <v>2050</v>
      </c>
      <c r="B5233" s="106">
        <f t="shared" si="159"/>
        <v>261</v>
      </c>
      <c r="C5233" s="107">
        <f ca="1">OFFSET(tab_tipo_Combustivel!$A$1,MATCH(B5233,tab_tipo_Combustivel!$A$2:$A$150,0),MATCH(A5233,tab_tipo_Combustivel!$B$1:$AQ$1,0),1,1)</f>
        <v>829.7</v>
      </c>
    </row>
    <row r="5234" spans="1:3">
      <c r="A5234" s="3">
        <f t="shared" si="158"/>
        <v>2050</v>
      </c>
      <c r="B5234" s="106">
        <f t="shared" si="159"/>
        <v>262</v>
      </c>
      <c r="C5234" s="107">
        <f ca="1">OFFSET(tab_tipo_Combustivel!$A$1,MATCH(B5234,tab_tipo_Combustivel!$A$2:$A$150,0),MATCH(A5234,tab_tipo_Combustivel!$B$1:$AQ$1,0),1,1)</f>
        <v>495.75</v>
      </c>
    </row>
    <row r="5235" spans="1:3">
      <c r="A5235" s="3">
        <f t="shared" si="158"/>
        <v>2050</v>
      </c>
      <c r="B5235" s="106">
        <f t="shared" si="159"/>
        <v>263</v>
      </c>
      <c r="C5235" s="107">
        <f ca="1">OFFSET(tab_tipo_Combustivel!$A$1,MATCH(B5235,tab_tipo_Combustivel!$A$2:$A$150,0),MATCH(A5235,tab_tipo_Combustivel!$B$1:$AQ$1,0),1,1)</f>
        <v>474.77</v>
      </c>
    </row>
    <row r="5236" spans="1:3">
      <c r="A5236" s="3">
        <f t="shared" si="158"/>
        <v>2050</v>
      </c>
      <c r="B5236" s="106">
        <f t="shared" si="159"/>
        <v>264</v>
      </c>
      <c r="C5236" s="107">
        <f ca="1">OFFSET(tab_tipo_Combustivel!$A$1,MATCH(B5236,tab_tipo_Combustivel!$A$2:$A$150,0),MATCH(A5236,tab_tipo_Combustivel!$B$1:$AQ$1,0),1,1)</f>
        <v>842.33</v>
      </c>
    </row>
    <row r="5237" spans="1:3">
      <c r="A5237" s="3">
        <f t="shared" si="158"/>
        <v>2050</v>
      </c>
      <c r="B5237" s="106">
        <f t="shared" si="159"/>
        <v>265</v>
      </c>
      <c r="C5237" s="107">
        <f ca="1">OFFSET(tab_tipo_Combustivel!$A$1,MATCH(B5237,tab_tipo_Combustivel!$A$2:$A$150,0),MATCH(A5237,tab_tipo_Combustivel!$B$1:$AQ$1,0),1,1)</f>
        <v>415.82</v>
      </c>
    </row>
    <row r="5238" spans="1:3">
      <c r="A5238" s="3">
        <f t="shared" si="158"/>
        <v>2050</v>
      </c>
      <c r="B5238" s="106">
        <f t="shared" si="159"/>
        <v>266</v>
      </c>
      <c r="C5238" s="107">
        <f ca="1">OFFSET(tab_tipo_Combustivel!$A$1,MATCH(B5238,tab_tipo_Combustivel!$A$2:$A$150,0),MATCH(A5238,tab_tipo_Combustivel!$B$1:$AQ$1,0),1,1)</f>
        <v>827.17</v>
      </c>
    </row>
    <row r="5239" spans="1:3">
      <c r="A5239" s="3">
        <f t="shared" si="158"/>
        <v>2050</v>
      </c>
      <c r="B5239" s="106">
        <f t="shared" si="159"/>
        <v>301</v>
      </c>
      <c r="C5239" s="107">
        <f ca="1">OFFSET(tab_tipo_Combustivel!$A$1,MATCH(B5239,tab_tipo_Combustivel!$A$2:$A$150,0),MATCH(A5239,tab_tipo_Combustivel!$B$1:$AQ$1,0),1,1)</f>
        <v>99.08</v>
      </c>
    </row>
    <row r="5240" spans="1:3">
      <c r="A5240" s="3">
        <f t="shared" si="158"/>
        <v>2050</v>
      </c>
      <c r="B5240" s="106">
        <f t="shared" si="159"/>
        <v>302</v>
      </c>
      <c r="C5240" s="107">
        <f ca="1">OFFSET(tab_tipo_Combustivel!$A$1,MATCH(B5240,tab_tipo_Combustivel!$A$2:$A$150,0),MATCH(A5240,tab_tipo_Combustivel!$B$1:$AQ$1,0),1,1)</f>
        <v>103.73</v>
      </c>
    </row>
    <row r="5241" spans="1:3">
      <c r="A5241" s="3">
        <f t="shared" si="158"/>
        <v>2050</v>
      </c>
      <c r="B5241" s="106">
        <f t="shared" si="159"/>
        <v>303</v>
      </c>
      <c r="C5241" s="107">
        <f ca="1">OFFSET(tab_tipo_Combustivel!$A$1,MATCH(B5241,tab_tipo_Combustivel!$A$2:$A$150,0),MATCH(A5241,tab_tipo_Combustivel!$B$1:$AQ$1,0),1,1)</f>
        <v>103.73</v>
      </c>
    </row>
    <row r="5242" spans="1:3">
      <c r="A5242" s="3">
        <f t="shared" si="158"/>
        <v>2050</v>
      </c>
      <c r="B5242" s="106">
        <f t="shared" si="159"/>
        <v>304</v>
      </c>
      <c r="C5242" s="107">
        <f ca="1">OFFSET(tab_tipo_Combustivel!$A$1,MATCH(B5242,tab_tipo_Combustivel!$A$2:$A$150,0),MATCH(A5242,tab_tipo_Combustivel!$B$1:$AQ$1,0),1,1)</f>
        <v>139.41999999999999</v>
      </c>
    </row>
    <row r="5243" spans="1:3">
      <c r="A5243" s="3">
        <f t="shared" si="158"/>
        <v>2050</v>
      </c>
      <c r="B5243" s="106">
        <f t="shared" si="159"/>
        <v>305</v>
      </c>
      <c r="C5243" s="107">
        <f ca="1">OFFSET(tab_tipo_Combustivel!$A$1,MATCH(B5243,tab_tipo_Combustivel!$A$2:$A$150,0),MATCH(A5243,tab_tipo_Combustivel!$B$1:$AQ$1,0),1,1)</f>
        <v>89.7</v>
      </c>
    </row>
    <row r="5244" spans="1:3">
      <c r="A5244" s="3">
        <f t="shared" si="158"/>
        <v>2050</v>
      </c>
      <c r="B5244" s="106">
        <f t="shared" si="159"/>
        <v>306</v>
      </c>
      <c r="C5244" s="107">
        <f ca="1">OFFSET(tab_tipo_Combustivel!$A$1,MATCH(B5244,tab_tipo_Combustivel!$A$2:$A$150,0),MATCH(A5244,tab_tipo_Combustivel!$B$1:$AQ$1,0),1,1)</f>
        <v>100.38</v>
      </c>
    </row>
    <row r="5245" spans="1:3">
      <c r="A5245" s="3">
        <f t="shared" si="158"/>
        <v>2050</v>
      </c>
      <c r="B5245" s="106">
        <f t="shared" si="159"/>
        <v>307</v>
      </c>
      <c r="C5245" s="107">
        <f ca="1">OFFSET(tab_tipo_Combustivel!$A$1,MATCH(B5245,tab_tipo_Combustivel!$A$2:$A$150,0),MATCH(A5245,tab_tipo_Combustivel!$B$1:$AQ$1,0),1,1)</f>
        <v>510.12</v>
      </c>
    </row>
    <row r="5246" spans="1:3">
      <c r="A5246" s="3">
        <f t="shared" si="158"/>
        <v>2050</v>
      </c>
      <c r="B5246" s="106">
        <f t="shared" si="159"/>
        <v>308</v>
      </c>
      <c r="C5246" s="107">
        <f ca="1">OFFSET(tab_tipo_Combustivel!$A$1,MATCH(B5246,tab_tipo_Combustivel!$A$2:$A$150,0),MATCH(A5246,tab_tipo_Combustivel!$B$1:$AQ$1,0),1,1)</f>
        <v>72.5</v>
      </c>
    </row>
    <row r="5247" spans="1:3">
      <c r="A5247" s="3">
        <f t="shared" si="158"/>
        <v>2050</v>
      </c>
      <c r="B5247" s="106">
        <f t="shared" si="159"/>
        <v>309</v>
      </c>
      <c r="C5247" s="107">
        <f ca="1">OFFSET(tab_tipo_Combustivel!$A$1,MATCH(B5247,tab_tipo_Combustivel!$A$2:$A$150,0),MATCH(A5247,tab_tipo_Combustivel!$B$1:$AQ$1,0),1,1)</f>
        <v>126.77</v>
      </c>
    </row>
    <row r="5248" spans="1:3">
      <c r="A5248" s="3">
        <f t="shared" si="158"/>
        <v>2050</v>
      </c>
      <c r="B5248" s="106">
        <f t="shared" si="159"/>
        <v>310</v>
      </c>
      <c r="C5248" s="107">
        <f ca="1">OFFSET(tab_tipo_Combustivel!$A$1,MATCH(B5248,tab_tipo_Combustivel!$A$2:$A$150,0),MATCH(A5248,tab_tipo_Combustivel!$B$1:$AQ$1,0),1,1)</f>
        <v>275.99</v>
      </c>
    </row>
    <row r="5249" spans="1:3">
      <c r="A5249" s="3">
        <f t="shared" si="158"/>
        <v>2050</v>
      </c>
      <c r="B5249" s="106">
        <f t="shared" si="159"/>
        <v>311</v>
      </c>
      <c r="C5249" s="107">
        <f ca="1">OFFSET(tab_tipo_Combustivel!$A$1,MATCH(B5249,tab_tipo_Combustivel!$A$2:$A$150,0),MATCH(A5249,tab_tipo_Combustivel!$B$1:$AQ$1,0),1,1)</f>
        <v>70.66</v>
      </c>
    </row>
    <row r="5250" spans="1:3">
      <c r="A5250" s="3">
        <f t="shared" si="158"/>
        <v>2050</v>
      </c>
      <c r="B5250" s="106">
        <f t="shared" si="159"/>
        <v>312</v>
      </c>
      <c r="C5250" s="107">
        <f ca="1">OFFSET(tab_tipo_Combustivel!$A$1,MATCH(B5250,tab_tipo_Combustivel!$A$2:$A$150,0),MATCH(A5250,tab_tipo_Combustivel!$B$1:$AQ$1,0),1,1)</f>
        <v>0</v>
      </c>
    </row>
    <row r="5251" spans="1:3">
      <c r="A5251" s="3">
        <f t="shared" si="158"/>
        <v>2050</v>
      </c>
      <c r="B5251" s="106">
        <f t="shared" si="159"/>
        <v>1301</v>
      </c>
      <c r="C5251" s="107">
        <f ca="1">OFFSET(tab_tipo_Combustivel!$A$1,MATCH(B5251,tab_tipo_Combustivel!$A$2:$A$150,0),MATCH(A5251,tab_tipo_Combustivel!$B$1:$AQ$1,0),1,1)</f>
        <v>242.05</v>
      </c>
    </row>
    <row r="5252" spans="1:3">
      <c r="A5252" s="3">
        <f t="shared" si="158"/>
        <v>2050</v>
      </c>
      <c r="B5252" s="106">
        <f t="shared" si="159"/>
        <v>1302</v>
      </c>
      <c r="C5252" s="107">
        <f ca="1">OFFSET(tab_tipo_Combustivel!$A$1,MATCH(B5252,tab_tipo_Combustivel!$A$2:$A$150,0),MATCH(A5252,tab_tipo_Combustivel!$B$1:$AQ$1,0),1,1)</f>
        <v>193.64</v>
      </c>
    </row>
    <row r="5253" spans="1:3">
      <c r="A5253" s="3">
        <f t="shared" si="158"/>
        <v>2050</v>
      </c>
      <c r="B5253" s="106">
        <f t="shared" si="159"/>
        <v>1303</v>
      </c>
      <c r="C5253" s="107">
        <f ca="1">OFFSET(tab_tipo_Combustivel!$A$1,MATCH(B5253,tab_tipo_Combustivel!$A$2:$A$150,0),MATCH(A5253,tab_tipo_Combustivel!$B$1:$AQ$1,0),1,1)</f>
        <v>25.58</v>
      </c>
    </row>
    <row r="5254" spans="1:3">
      <c r="A5254" s="3">
        <f t="shared" si="158"/>
        <v>2050</v>
      </c>
      <c r="B5254" s="106">
        <f t="shared" si="159"/>
        <v>1304</v>
      </c>
      <c r="C5254" s="107">
        <f ca="1">OFFSET(tab_tipo_Combustivel!$A$1,MATCH(B5254,tab_tipo_Combustivel!$A$2:$A$150,0),MATCH(A5254,tab_tipo_Combustivel!$B$1:$AQ$1,0),1,1)</f>
        <v>0</v>
      </c>
    </row>
    <row r="5255" spans="1:3">
      <c r="A5255" s="3">
        <f t="shared" si="158"/>
        <v>2050</v>
      </c>
      <c r="B5255" s="106">
        <f t="shared" si="159"/>
        <v>1315</v>
      </c>
      <c r="C5255" s="107">
        <f ca="1">OFFSET(tab_tipo_Combustivel!$A$1,MATCH(B5255,tab_tipo_Combustivel!$A$2:$A$150,0),MATCH(A5255,tab_tipo_Combustivel!$B$1:$AQ$1,0),1,1)</f>
        <v>0</v>
      </c>
    </row>
    <row r="5256" spans="1:3">
      <c r="A5256" s="3">
        <f t="shared" si="158"/>
        <v>2050</v>
      </c>
      <c r="B5256" s="106">
        <f t="shared" si="159"/>
        <v>1316</v>
      </c>
      <c r="C5256" s="107">
        <f ca="1">OFFSET(tab_tipo_Combustivel!$A$1,MATCH(B5256,tab_tipo_Combustivel!$A$2:$A$150,0),MATCH(A5256,tab_tipo_Combustivel!$B$1:$AQ$1,0),1,1)</f>
        <v>0</v>
      </c>
    </row>
    <row r="5257" spans="1:3">
      <c r="A5257" s="3">
        <f t="shared" si="158"/>
        <v>2050</v>
      </c>
      <c r="B5257" s="106">
        <f t="shared" si="159"/>
        <v>1318</v>
      </c>
      <c r="C5257" s="107">
        <f ca="1">OFFSET(tab_tipo_Combustivel!$A$1,MATCH(B5257,tab_tipo_Combustivel!$A$2:$A$150,0),MATCH(A5257,tab_tipo_Combustivel!$B$1:$AQ$1,0),1,1)</f>
        <v>150</v>
      </c>
    </row>
    <row r="5258" spans="1:3">
      <c r="A5258" s="3">
        <f t="shared" ref="A5258:A5266" si="160">A5123+1</f>
        <v>2050</v>
      </c>
      <c r="B5258" s="106">
        <f t="shared" ref="B5258:B5266" si="161">B5123</f>
        <v>1321</v>
      </c>
      <c r="C5258" s="107">
        <f ca="1">OFFSET(tab_tipo_Combustivel!$A$1,MATCH(B5258,tab_tipo_Combustivel!$A$2:$A$150,0),MATCH(A5258,tab_tipo_Combustivel!$B$1:$AQ$1,0),1,1)</f>
        <v>85</v>
      </c>
    </row>
    <row r="5259" spans="1:3">
      <c r="A5259" s="3">
        <f t="shared" si="160"/>
        <v>2050</v>
      </c>
      <c r="B5259" s="106">
        <f t="shared" si="161"/>
        <v>1322</v>
      </c>
      <c r="C5259" s="107">
        <f ca="1">OFFSET(tab_tipo_Combustivel!$A$1,MATCH(B5259,tab_tipo_Combustivel!$A$2:$A$150,0),MATCH(A5259,tab_tipo_Combustivel!$B$1:$AQ$1,0),1,1)</f>
        <v>140</v>
      </c>
    </row>
    <row r="5260" spans="1:3">
      <c r="A5260" s="3">
        <f t="shared" si="160"/>
        <v>2050</v>
      </c>
      <c r="B5260" s="106">
        <f t="shared" si="161"/>
        <v>1323</v>
      </c>
      <c r="C5260" s="107">
        <f ca="1">OFFSET(tab_tipo_Combustivel!$A$1,MATCH(B5260,tab_tipo_Combustivel!$A$2:$A$150,0),MATCH(A5260,tab_tipo_Combustivel!$B$1:$AQ$1,0),1,1)</f>
        <v>63.75</v>
      </c>
    </row>
    <row r="5261" spans="1:3">
      <c r="A5261" s="3">
        <f t="shared" si="160"/>
        <v>2050</v>
      </c>
      <c r="B5261" s="106">
        <f t="shared" si="161"/>
        <v>1325</v>
      </c>
      <c r="C5261" s="107">
        <f ca="1">OFFSET(tab_tipo_Combustivel!$A$1,MATCH(B5261,tab_tipo_Combustivel!$A$2:$A$150,0),MATCH(A5261,tab_tipo_Combustivel!$B$1:$AQ$1,0),1,1)</f>
        <v>0</v>
      </c>
    </row>
    <row r="5262" spans="1:3">
      <c r="A5262" s="3">
        <f t="shared" si="160"/>
        <v>2050</v>
      </c>
      <c r="B5262" s="106">
        <f t="shared" si="161"/>
        <v>1326</v>
      </c>
      <c r="C5262" s="107">
        <f ca="1">OFFSET(tab_tipo_Combustivel!$A$1,MATCH(B5262,tab_tipo_Combustivel!$A$2:$A$150,0),MATCH(A5262,tab_tipo_Combustivel!$B$1:$AQ$1,0),1,1)</f>
        <v>260</v>
      </c>
    </row>
    <row r="5263" spans="1:3">
      <c r="A5263" s="3">
        <f t="shared" si="160"/>
        <v>2050</v>
      </c>
      <c r="B5263" s="106">
        <f t="shared" si="161"/>
        <v>1501</v>
      </c>
      <c r="C5263" s="107">
        <f ca="1">OFFSET(tab_tipo_Combustivel!$A$1,MATCH(B5263,tab_tipo_Combustivel!$A$2:$A$150,0),MATCH(A5263,tab_tipo_Combustivel!$B$1:$AQ$1,0),1,1)</f>
        <v>260</v>
      </c>
    </row>
    <row r="5264" spans="1:3">
      <c r="A5264" s="3">
        <f t="shared" si="160"/>
        <v>2050</v>
      </c>
      <c r="B5264" s="106">
        <f t="shared" si="161"/>
        <v>1502</v>
      </c>
      <c r="C5264" s="107">
        <f ca="1">OFFSET(tab_tipo_Combustivel!$A$1,MATCH(B5264,tab_tipo_Combustivel!$A$2:$A$150,0),MATCH(A5264,tab_tipo_Combustivel!$B$1:$AQ$1,0),1,1)</f>
        <v>60</v>
      </c>
    </row>
    <row r="5265" spans="1:3">
      <c r="A5265" s="3">
        <f t="shared" si="160"/>
        <v>2050</v>
      </c>
      <c r="B5265" s="106">
        <f t="shared" si="161"/>
        <v>1503</v>
      </c>
      <c r="C5265" s="107">
        <f ca="1">OFFSET(tab_tipo_Combustivel!$A$1,MATCH(B5265,tab_tipo_Combustivel!$A$2:$A$150,0),MATCH(A5265,tab_tipo_Combustivel!$B$1:$AQ$1,0),1,1)</f>
        <v>96.82</v>
      </c>
    </row>
    <row r="5266" spans="1:3">
      <c r="A5266" s="3">
        <f t="shared" si="160"/>
        <v>2050</v>
      </c>
      <c r="B5266" s="106">
        <f t="shared" si="161"/>
        <v>1504</v>
      </c>
      <c r="C5266" s="107">
        <f ca="1">OFFSET(tab_tipo_Combustivel!$A$1,MATCH(B5266,tab_tipo_Combustivel!$A$2:$A$150,0),MATCH(A5266,tab_tipo_Combustivel!$B$1:$AQ$1,0),1,1)</f>
        <v>145.22999999999999</v>
      </c>
    </row>
    <row r="5267" spans="1:3">
      <c r="A5267" s="3"/>
      <c r="B5267" s="106"/>
      <c r="C5267" s="107"/>
    </row>
    <row r="5268" spans="1:3">
      <c r="A5268" s="3"/>
      <c r="B5268" s="106"/>
      <c r="C5268" s="107"/>
    </row>
    <row r="5269" spans="1:3">
      <c r="A5269" s="3"/>
      <c r="B5269" s="106"/>
      <c r="C5269" s="107"/>
    </row>
    <row r="5270" spans="1:3">
      <c r="A5270" s="3"/>
      <c r="B5270" s="106"/>
      <c r="C5270" s="107"/>
    </row>
    <row r="5271" spans="1:3">
      <c r="A5271" s="3"/>
      <c r="B5271" s="106"/>
      <c r="C5271" s="107"/>
    </row>
    <row r="5272" spans="1:3">
      <c r="A5272" s="3"/>
      <c r="B5272" s="106"/>
      <c r="C5272" s="107"/>
    </row>
    <row r="5273" spans="1:3">
      <c r="A5273" s="3"/>
      <c r="B5273" s="106"/>
      <c r="C5273" s="107"/>
    </row>
    <row r="5274" spans="1:3">
      <c r="A5274" s="3"/>
      <c r="B5274" s="106"/>
      <c r="C5274" s="107"/>
    </row>
    <row r="5275" spans="1:3">
      <c r="A5275" s="3"/>
      <c r="B5275" s="106"/>
      <c r="C5275" s="107"/>
    </row>
    <row r="5276" spans="1:3">
      <c r="A5276" s="3"/>
      <c r="B5276" s="106"/>
      <c r="C5276" s="107"/>
    </row>
    <row r="5277" spans="1:3">
      <c r="A5277" s="3"/>
      <c r="B5277" s="106"/>
      <c r="C5277" s="107"/>
    </row>
    <row r="5278" spans="1:3">
      <c r="A5278" s="3"/>
      <c r="B5278" s="106"/>
      <c r="C5278" s="107"/>
    </row>
    <row r="5279" spans="1:3">
      <c r="A5279" s="3"/>
      <c r="B5279" s="106"/>
      <c r="C5279" s="107"/>
    </row>
    <row r="5280" spans="1:3">
      <c r="A5280" s="3"/>
      <c r="B5280" s="106"/>
      <c r="C5280" s="107"/>
    </row>
    <row r="5281" spans="1:3">
      <c r="A5281" s="3"/>
      <c r="B5281" s="106"/>
      <c r="C5281" s="107"/>
    </row>
    <row r="5282" spans="1:3">
      <c r="A5282" s="3"/>
      <c r="B5282" s="106"/>
      <c r="C5282" s="107"/>
    </row>
    <row r="5283" spans="1:3">
      <c r="A5283" s="3"/>
      <c r="B5283" s="106"/>
      <c r="C5283" s="107"/>
    </row>
    <row r="5284" spans="1:3">
      <c r="A5284" s="3"/>
      <c r="B5284" s="106"/>
      <c r="C5284" s="107"/>
    </row>
    <row r="5285" spans="1:3">
      <c r="A5285" s="3"/>
      <c r="B5285" s="106"/>
      <c r="C5285" s="107"/>
    </row>
    <row r="5286" spans="1:3">
      <c r="A5286" s="3"/>
      <c r="B5286" s="106"/>
      <c r="C5286" s="107"/>
    </row>
    <row r="5287" spans="1:3">
      <c r="A5287" s="3"/>
      <c r="B5287" s="106"/>
      <c r="C5287" s="107"/>
    </row>
    <row r="5288" spans="1:3">
      <c r="A5288" s="3"/>
      <c r="B5288" s="106"/>
      <c r="C5288" s="107"/>
    </row>
    <row r="5289" spans="1:3">
      <c r="A5289" s="3"/>
      <c r="B5289" s="106"/>
      <c r="C5289" s="107"/>
    </row>
    <row r="5290" spans="1:3">
      <c r="A5290" s="3"/>
      <c r="B5290" s="106"/>
      <c r="C5290" s="107"/>
    </row>
    <row r="5291" spans="1:3">
      <c r="A5291" s="3"/>
      <c r="B5291" s="106"/>
      <c r="C5291" s="107"/>
    </row>
    <row r="5292" spans="1:3">
      <c r="A5292" s="3"/>
      <c r="B5292" s="106"/>
      <c r="C5292" s="107"/>
    </row>
    <row r="5293" spans="1:3">
      <c r="A5293" s="3"/>
      <c r="B5293" s="106"/>
      <c r="C5293" s="107"/>
    </row>
    <row r="5294" spans="1:3">
      <c r="A5294" s="3"/>
      <c r="B5294" s="106"/>
      <c r="C5294" s="107"/>
    </row>
    <row r="5295" spans="1:3">
      <c r="A5295" s="3"/>
      <c r="B5295" s="106"/>
      <c r="C5295" s="107"/>
    </row>
    <row r="5296" spans="1:3">
      <c r="A5296" s="3"/>
      <c r="B5296" s="106"/>
      <c r="C5296" s="107"/>
    </row>
    <row r="5297" spans="1:3">
      <c r="A5297" s="3"/>
      <c r="B5297" s="106"/>
      <c r="C5297" s="107"/>
    </row>
    <row r="5298" spans="1:3">
      <c r="A5298" s="3"/>
      <c r="B5298" s="106"/>
      <c r="C5298" s="107"/>
    </row>
    <row r="5299" spans="1:3">
      <c r="A5299" s="3"/>
      <c r="B5299" s="106"/>
      <c r="C5299" s="107"/>
    </row>
    <row r="5300" spans="1:3">
      <c r="A5300" s="3"/>
      <c r="B5300" s="106"/>
      <c r="C5300" s="107"/>
    </row>
    <row r="5301" spans="1:3">
      <c r="A5301" s="3"/>
      <c r="B5301" s="106"/>
      <c r="C5301" s="107"/>
    </row>
    <row r="5302" spans="1:3">
      <c r="A5302" s="3"/>
      <c r="B5302" s="106"/>
      <c r="C5302" s="107"/>
    </row>
    <row r="5303" spans="1:3">
      <c r="A5303" s="3"/>
      <c r="B5303" s="106"/>
      <c r="C5303" s="107"/>
    </row>
    <row r="5304" spans="1:3">
      <c r="A5304" s="3"/>
      <c r="B5304" s="106"/>
      <c r="C5304" s="107"/>
    </row>
    <row r="5305" spans="1:3">
      <c r="A5305" s="3"/>
      <c r="B5305" s="106"/>
      <c r="C5305" s="107"/>
    </row>
    <row r="5306" spans="1:3">
      <c r="A5306" s="3"/>
      <c r="B5306" s="106"/>
      <c r="C5306" s="107"/>
    </row>
    <row r="5307" spans="1:3">
      <c r="A5307" s="3"/>
      <c r="B5307" s="106"/>
      <c r="C5307" s="107"/>
    </row>
    <row r="5308" spans="1:3">
      <c r="A5308" s="3"/>
      <c r="B5308" s="106"/>
      <c r="C5308" s="107"/>
    </row>
    <row r="5309" spans="1:3">
      <c r="A5309" s="3"/>
      <c r="B5309" s="106"/>
      <c r="C5309" s="107"/>
    </row>
    <row r="5310" spans="1:3">
      <c r="A5310" s="3"/>
      <c r="B5310" s="106"/>
      <c r="C5310" s="107"/>
    </row>
    <row r="5311" spans="1:3">
      <c r="A5311" s="3"/>
      <c r="B5311" s="106"/>
      <c r="C5311" s="107"/>
    </row>
    <row r="5312" spans="1:3">
      <c r="A5312" s="3"/>
      <c r="B5312" s="106"/>
      <c r="C5312" s="107"/>
    </row>
    <row r="5313" spans="1:3">
      <c r="A5313" s="3"/>
      <c r="B5313" s="106"/>
      <c r="C5313" s="107"/>
    </row>
    <row r="5314" spans="1:3">
      <c r="A5314" s="3"/>
      <c r="B5314" s="106"/>
      <c r="C5314" s="107"/>
    </row>
    <row r="5315" spans="1:3">
      <c r="A5315" s="3"/>
      <c r="B5315" s="106"/>
      <c r="C5315" s="107"/>
    </row>
    <row r="5316" spans="1:3">
      <c r="A5316" s="3"/>
      <c r="B5316" s="106"/>
      <c r="C5316" s="107"/>
    </row>
    <row r="5317" spans="1:3">
      <c r="A5317" s="3"/>
      <c r="B5317" s="106"/>
      <c r="C5317" s="107"/>
    </row>
    <row r="5318" spans="1:3">
      <c r="A5318" s="3"/>
      <c r="B5318" s="106"/>
      <c r="C5318" s="107"/>
    </row>
    <row r="5319" spans="1:3">
      <c r="A5319" s="3"/>
      <c r="B5319" s="106"/>
      <c r="C5319" s="107"/>
    </row>
    <row r="5320" spans="1:3">
      <c r="A5320" s="3"/>
      <c r="B5320" s="106"/>
      <c r="C5320" s="107"/>
    </row>
    <row r="5321" spans="1:3">
      <c r="A5321" s="3"/>
      <c r="B5321" s="106"/>
      <c r="C5321" s="107"/>
    </row>
    <row r="5322" spans="1:3">
      <c r="A5322" s="3"/>
      <c r="B5322" s="106"/>
      <c r="C5322" s="107"/>
    </row>
    <row r="5323" spans="1:3">
      <c r="A5323" s="3"/>
      <c r="B5323" s="106"/>
      <c r="C5323" s="107"/>
    </row>
    <row r="5324" spans="1:3">
      <c r="A5324" s="3"/>
      <c r="B5324" s="106"/>
      <c r="C5324" s="107"/>
    </row>
    <row r="5325" spans="1:3">
      <c r="A5325" s="3"/>
      <c r="B5325" s="106"/>
      <c r="C5325" s="107"/>
    </row>
    <row r="5326" spans="1:3">
      <c r="A5326" s="3"/>
      <c r="B5326" s="106"/>
      <c r="C5326" s="107"/>
    </row>
    <row r="5327" spans="1:3">
      <c r="A5327" s="3"/>
      <c r="B5327" s="106"/>
      <c r="C5327" s="107"/>
    </row>
    <row r="5328" spans="1:3">
      <c r="A5328" s="3"/>
      <c r="B5328" s="106"/>
      <c r="C5328" s="107"/>
    </row>
    <row r="5329" spans="1:3">
      <c r="A5329" s="3"/>
      <c r="B5329" s="106"/>
      <c r="C5329" s="107"/>
    </row>
    <row r="5330" spans="1:3">
      <c r="A5330" s="3"/>
      <c r="B5330" s="106"/>
      <c r="C5330" s="107"/>
    </row>
    <row r="5331" spans="1:3">
      <c r="A5331" s="3"/>
      <c r="B5331" s="106"/>
      <c r="C5331" s="107"/>
    </row>
    <row r="5332" spans="1:3">
      <c r="A5332" s="3"/>
      <c r="B5332" s="106"/>
      <c r="C5332" s="107"/>
    </row>
    <row r="5333" spans="1:3">
      <c r="A5333" s="3"/>
      <c r="B5333" s="106"/>
      <c r="C5333" s="107"/>
    </row>
    <row r="5334" spans="1:3">
      <c r="A5334" s="3"/>
      <c r="B5334" s="106"/>
      <c r="C5334" s="107"/>
    </row>
    <row r="5335" spans="1:3">
      <c r="A5335" s="3"/>
      <c r="B5335" s="106"/>
      <c r="C5335" s="107"/>
    </row>
    <row r="5336" spans="1:3">
      <c r="A5336" s="3"/>
      <c r="B5336" s="106"/>
      <c r="C5336" s="107"/>
    </row>
    <row r="5337" spans="1:3">
      <c r="A5337" s="3"/>
      <c r="B5337" s="106"/>
      <c r="C5337" s="107"/>
    </row>
    <row r="5338" spans="1:3">
      <c r="A5338" s="3"/>
      <c r="B5338" s="106"/>
      <c r="C5338" s="107"/>
    </row>
    <row r="5339" spans="1:3">
      <c r="A5339" s="3"/>
      <c r="B5339" s="106"/>
      <c r="C5339" s="107"/>
    </row>
    <row r="5340" spans="1:3">
      <c r="A5340" s="3"/>
      <c r="B5340" s="106"/>
      <c r="C5340" s="107"/>
    </row>
    <row r="5341" spans="1:3">
      <c r="A5341" s="3"/>
      <c r="B5341" s="106"/>
      <c r="C5341" s="107"/>
    </row>
    <row r="5342" spans="1:3">
      <c r="A5342" s="3"/>
      <c r="B5342" s="106"/>
      <c r="C5342" s="107"/>
    </row>
    <row r="5343" spans="1:3">
      <c r="A5343" s="3"/>
      <c r="B5343" s="106"/>
      <c r="C5343" s="107"/>
    </row>
    <row r="5344" spans="1:3">
      <c r="A5344" s="3"/>
      <c r="B5344" s="106"/>
      <c r="C5344" s="107"/>
    </row>
    <row r="5345" spans="1:3">
      <c r="A5345" s="3"/>
      <c r="B5345" s="106"/>
      <c r="C5345" s="107"/>
    </row>
    <row r="5346" spans="1:3">
      <c r="A5346" s="3"/>
      <c r="B5346" s="106"/>
      <c r="C5346" s="107"/>
    </row>
    <row r="5347" spans="1:3">
      <c r="A5347" s="3"/>
      <c r="B5347" s="106"/>
      <c r="C5347" s="107"/>
    </row>
    <row r="5348" spans="1:3">
      <c r="A5348" s="3"/>
      <c r="B5348" s="106"/>
      <c r="C5348" s="107"/>
    </row>
    <row r="5349" spans="1:3">
      <c r="A5349" s="3"/>
      <c r="B5349" s="106"/>
      <c r="C5349" s="107"/>
    </row>
    <row r="5350" spans="1:3">
      <c r="A5350" s="3"/>
      <c r="B5350" s="106"/>
      <c r="C5350" s="107"/>
    </row>
    <row r="5351" spans="1:3">
      <c r="A5351" s="3"/>
      <c r="B5351" s="106"/>
      <c r="C5351" s="107"/>
    </row>
    <row r="5352" spans="1:3">
      <c r="A5352" s="3"/>
      <c r="B5352" s="106"/>
      <c r="C5352" s="107"/>
    </row>
    <row r="5353" spans="1:3">
      <c r="A5353" s="3"/>
      <c r="B5353" s="106"/>
      <c r="C5353" s="107"/>
    </row>
    <row r="5354" spans="1:3">
      <c r="A5354" s="3"/>
      <c r="B5354" s="106"/>
      <c r="C5354" s="107"/>
    </row>
    <row r="5355" spans="1:3">
      <c r="A5355" s="3"/>
      <c r="B5355" s="106"/>
      <c r="C5355" s="107"/>
    </row>
    <row r="5356" spans="1:3">
      <c r="A5356" s="3"/>
      <c r="B5356" s="106"/>
      <c r="C5356" s="107"/>
    </row>
    <row r="5357" spans="1:3">
      <c r="A5357" s="3"/>
      <c r="B5357" s="106"/>
      <c r="C5357" s="107"/>
    </row>
    <row r="5358" spans="1:3">
      <c r="A5358" s="3"/>
      <c r="B5358" s="106"/>
      <c r="C5358" s="107"/>
    </row>
    <row r="5359" spans="1:3">
      <c r="A5359" s="3"/>
      <c r="B5359" s="106"/>
      <c r="C5359" s="107"/>
    </row>
    <row r="5360" spans="1:3">
      <c r="A5360" s="3"/>
      <c r="B5360" s="106"/>
      <c r="C5360" s="107"/>
    </row>
    <row r="5361" spans="1:3">
      <c r="A5361" s="3"/>
      <c r="B5361" s="106"/>
      <c r="C5361" s="107"/>
    </row>
    <row r="5362" spans="1:3">
      <c r="A5362" s="3"/>
      <c r="B5362" s="106"/>
      <c r="C5362" s="107"/>
    </row>
    <row r="5363" spans="1:3">
      <c r="A5363" s="3"/>
      <c r="B5363" s="106"/>
      <c r="C5363" s="107"/>
    </row>
    <row r="5364" spans="1:3">
      <c r="A5364" s="3"/>
      <c r="B5364" s="106"/>
      <c r="C5364" s="107"/>
    </row>
    <row r="5365" spans="1:3">
      <c r="A5365" s="3"/>
      <c r="B5365" s="106"/>
      <c r="C5365" s="107"/>
    </row>
    <row r="5366" spans="1:3">
      <c r="A5366" s="3"/>
      <c r="B5366" s="106"/>
      <c r="C5366" s="107"/>
    </row>
    <row r="5367" spans="1:3">
      <c r="A5367" s="3"/>
      <c r="B5367" s="106"/>
      <c r="C5367" s="107"/>
    </row>
    <row r="5368" spans="1:3">
      <c r="A5368" s="3"/>
      <c r="B5368" s="106"/>
      <c r="C5368" s="107"/>
    </row>
    <row r="5369" spans="1:3">
      <c r="A5369" s="3"/>
      <c r="B5369" s="106"/>
      <c r="C5369" s="107"/>
    </row>
    <row r="5370" spans="1:3">
      <c r="A5370" s="3"/>
      <c r="B5370" s="106"/>
      <c r="C5370" s="107"/>
    </row>
    <row r="5371" spans="1:3">
      <c r="A5371" s="3"/>
      <c r="B5371" s="106"/>
      <c r="C5371" s="107"/>
    </row>
    <row r="5372" spans="1:3">
      <c r="A5372" s="3"/>
      <c r="B5372" s="106"/>
      <c r="C5372" s="107"/>
    </row>
    <row r="5373" spans="1:3">
      <c r="A5373" s="3"/>
      <c r="B5373" s="106"/>
      <c r="C5373" s="107"/>
    </row>
    <row r="5374" spans="1:3">
      <c r="A5374" s="3"/>
      <c r="B5374" s="106"/>
      <c r="C5374" s="107"/>
    </row>
    <row r="5375" spans="1:3">
      <c r="A5375" s="3"/>
      <c r="B5375" s="106"/>
      <c r="C5375" s="107"/>
    </row>
    <row r="5376" spans="1:3">
      <c r="A5376" s="3"/>
      <c r="B5376" s="106"/>
      <c r="C5376" s="107"/>
    </row>
    <row r="5377" spans="1:3">
      <c r="A5377" s="3"/>
      <c r="B5377" s="106"/>
      <c r="C5377" s="107"/>
    </row>
    <row r="5378" spans="1:3">
      <c r="A5378" s="3"/>
      <c r="B5378" s="106"/>
      <c r="C5378" s="107"/>
    </row>
    <row r="5379" spans="1:3">
      <c r="A5379" s="3"/>
      <c r="B5379" s="106"/>
      <c r="C5379" s="107"/>
    </row>
    <row r="5380" spans="1:3">
      <c r="A5380" s="3"/>
      <c r="B5380" s="106"/>
      <c r="C5380" s="107"/>
    </row>
    <row r="5381" spans="1:3">
      <c r="A5381" s="3"/>
      <c r="B5381" s="106"/>
      <c r="C5381" s="107"/>
    </row>
    <row r="5382" spans="1:3">
      <c r="A5382" s="3"/>
      <c r="B5382" s="106"/>
      <c r="C5382" s="107"/>
    </row>
    <row r="5383" spans="1:3">
      <c r="A5383" s="3"/>
      <c r="B5383" s="106"/>
      <c r="C5383" s="107"/>
    </row>
    <row r="5384" spans="1:3">
      <c r="A5384" s="3"/>
      <c r="B5384" s="106"/>
      <c r="C5384" s="107"/>
    </row>
    <row r="5385" spans="1:3">
      <c r="A5385" s="3"/>
      <c r="B5385" s="106"/>
      <c r="C5385" s="107"/>
    </row>
    <row r="5386" spans="1:3">
      <c r="A5386" s="3"/>
      <c r="B5386" s="106"/>
      <c r="C5386" s="107"/>
    </row>
    <row r="5387" spans="1:3">
      <c r="A5387" s="3"/>
      <c r="B5387" s="106"/>
      <c r="C5387" s="107"/>
    </row>
    <row r="5388" spans="1:3">
      <c r="A5388" s="3"/>
      <c r="B5388" s="106"/>
      <c r="C5388" s="107"/>
    </row>
    <row r="5389" spans="1:3">
      <c r="A5389" s="3"/>
      <c r="B5389" s="106"/>
      <c r="C5389" s="107"/>
    </row>
    <row r="5390" spans="1:3">
      <c r="A5390" s="3"/>
      <c r="B5390" s="106"/>
      <c r="C5390" s="107"/>
    </row>
    <row r="5391" spans="1:3">
      <c r="A5391" s="3"/>
      <c r="B5391" s="106"/>
      <c r="C5391" s="107"/>
    </row>
    <row r="5392" spans="1:3">
      <c r="A5392" s="3"/>
      <c r="B5392" s="106"/>
      <c r="C5392" s="107"/>
    </row>
    <row r="5393" spans="1:3">
      <c r="A5393" s="3"/>
      <c r="B5393" s="106"/>
      <c r="C5393" s="107"/>
    </row>
    <row r="5394" spans="1:3">
      <c r="A5394" s="3"/>
      <c r="B5394" s="106"/>
      <c r="C5394" s="107"/>
    </row>
    <row r="5395" spans="1:3">
      <c r="A5395" s="3"/>
      <c r="B5395" s="106"/>
      <c r="C5395" s="107"/>
    </row>
    <row r="5396" spans="1:3">
      <c r="A5396" s="3"/>
      <c r="B5396" s="106"/>
      <c r="C5396" s="107"/>
    </row>
    <row r="5397" spans="1:3">
      <c r="A5397" s="3"/>
      <c r="B5397" s="106"/>
      <c r="C5397" s="107"/>
    </row>
    <row r="5398" spans="1:3">
      <c r="A5398" s="3"/>
      <c r="B5398" s="106"/>
      <c r="C5398" s="107"/>
    </row>
    <row r="5399" spans="1:3">
      <c r="A5399" s="3"/>
      <c r="B5399" s="106"/>
      <c r="C5399" s="107"/>
    </row>
    <row r="5400" spans="1:3">
      <c r="A5400" s="3"/>
      <c r="B5400" s="106"/>
      <c r="C5400" s="107"/>
    </row>
    <row r="5401" spans="1:3">
      <c r="A5401" s="3"/>
      <c r="B5401" s="106"/>
      <c r="C5401" s="107"/>
    </row>
    <row r="5402" spans="1:3">
      <c r="A5402" s="3"/>
      <c r="B5402" s="106"/>
      <c r="C5402" s="107"/>
    </row>
    <row r="5403" spans="1:3">
      <c r="A5403" s="3"/>
      <c r="B5403" s="106"/>
      <c r="C5403" s="107"/>
    </row>
    <row r="5404" spans="1:3">
      <c r="A5404" s="3"/>
      <c r="B5404" s="106"/>
      <c r="C5404" s="107"/>
    </row>
    <row r="5405" spans="1:3">
      <c r="A5405" s="3"/>
      <c r="B5405" s="106"/>
      <c r="C5405" s="107"/>
    </row>
    <row r="5406" spans="1:3">
      <c r="A5406" s="3"/>
      <c r="B5406" s="106"/>
      <c r="C5406" s="107"/>
    </row>
    <row r="5407" spans="1:3">
      <c r="A5407" s="3"/>
      <c r="B5407" s="106"/>
      <c r="C5407" s="107"/>
    </row>
    <row r="5408" spans="1:3">
      <c r="A5408" s="3"/>
      <c r="B5408" s="106"/>
      <c r="C5408" s="107"/>
    </row>
    <row r="5409" spans="1:3">
      <c r="A5409" s="3"/>
      <c r="B5409" s="106"/>
      <c r="C5409" s="107"/>
    </row>
    <row r="5410" spans="1:3">
      <c r="A5410" s="3"/>
      <c r="B5410" s="106"/>
      <c r="C5410" s="107"/>
    </row>
    <row r="5411" spans="1:3">
      <c r="A5411" s="3"/>
      <c r="B5411" s="106"/>
      <c r="C5411" s="107"/>
    </row>
    <row r="5412" spans="1:3">
      <c r="A5412" s="3"/>
      <c r="B5412" s="106"/>
      <c r="C5412" s="107"/>
    </row>
    <row r="5413" spans="1:3">
      <c r="A5413" s="3"/>
      <c r="B5413" s="106"/>
      <c r="C5413" s="107"/>
    </row>
    <row r="5414" spans="1:3">
      <c r="A5414" s="3"/>
      <c r="B5414" s="106"/>
      <c r="C5414" s="107"/>
    </row>
    <row r="5415" spans="1:3">
      <c r="A5415" s="3"/>
      <c r="B5415" s="106"/>
      <c r="C5415" s="107"/>
    </row>
    <row r="5416" spans="1:3">
      <c r="A5416" s="3"/>
      <c r="B5416" s="106"/>
      <c r="C5416" s="107"/>
    </row>
    <row r="5417" spans="1:3">
      <c r="A5417" s="3"/>
      <c r="B5417" s="106"/>
      <c r="C5417" s="107"/>
    </row>
    <row r="5418" spans="1:3">
      <c r="A5418" s="3"/>
      <c r="B5418" s="106"/>
      <c r="C5418" s="107"/>
    </row>
    <row r="5419" spans="1:3">
      <c r="A5419" s="3"/>
      <c r="B5419" s="106"/>
      <c r="C5419" s="107"/>
    </row>
    <row r="5420" spans="1:3">
      <c r="A5420" s="3"/>
      <c r="B5420" s="106"/>
      <c r="C5420" s="107"/>
    </row>
    <row r="5421" spans="1:3">
      <c r="A5421" s="3"/>
      <c r="B5421" s="106"/>
      <c r="C5421" s="107"/>
    </row>
    <row r="5422" spans="1:3">
      <c r="A5422" s="3"/>
      <c r="B5422" s="106"/>
      <c r="C5422" s="107"/>
    </row>
    <row r="5423" spans="1:3">
      <c r="A5423" s="3"/>
      <c r="B5423" s="106"/>
      <c r="C5423" s="107"/>
    </row>
    <row r="5424" spans="1:3">
      <c r="A5424" s="3"/>
      <c r="B5424" s="106"/>
      <c r="C5424" s="107"/>
    </row>
    <row r="5425" spans="1:3">
      <c r="A5425" s="3"/>
      <c r="B5425" s="106"/>
      <c r="C5425" s="107"/>
    </row>
    <row r="5426" spans="1:3">
      <c r="A5426" s="3"/>
      <c r="B5426" s="106"/>
      <c r="C5426" s="107"/>
    </row>
    <row r="5427" spans="1:3">
      <c r="A5427" s="3"/>
      <c r="B5427" s="106"/>
      <c r="C5427" s="107"/>
    </row>
    <row r="5428" spans="1:3">
      <c r="A5428" s="3"/>
      <c r="B5428" s="106"/>
      <c r="C5428" s="107"/>
    </row>
    <row r="5429" spans="1:3">
      <c r="A5429" s="3"/>
      <c r="B5429" s="106"/>
      <c r="C5429" s="107"/>
    </row>
    <row r="5430" spans="1:3">
      <c r="A5430" s="3"/>
      <c r="B5430" s="106"/>
      <c r="C5430" s="107"/>
    </row>
    <row r="5431" spans="1:3">
      <c r="A5431" s="3"/>
      <c r="B5431" s="106"/>
      <c r="C5431" s="107"/>
    </row>
    <row r="5432" spans="1:3">
      <c r="A5432" s="3"/>
      <c r="B5432" s="106"/>
      <c r="C5432" s="107"/>
    </row>
    <row r="5433" spans="1:3">
      <c r="A5433" s="3"/>
      <c r="B5433" s="106"/>
      <c r="C5433" s="107"/>
    </row>
    <row r="5434" spans="1:3">
      <c r="A5434" s="3"/>
      <c r="B5434" s="106"/>
      <c r="C5434" s="107"/>
    </row>
    <row r="5435" spans="1:3">
      <c r="A5435" s="3"/>
      <c r="B5435" s="106"/>
      <c r="C5435" s="107"/>
    </row>
    <row r="5436" spans="1:3">
      <c r="A5436" s="3"/>
      <c r="B5436" s="106"/>
      <c r="C5436" s="107"/>
    </row>
    <row r="5437" spans="1:3">
      <c r="A5437" s="3"/>
      <c r="B5437" s="106"/>
      <c r="C5437" s="107"/>
    </row>
    <row r="5438" spans="1:3">
      <c r="A5438" s="3"/>
      <c r="B5438" s="106"/>
      <c r="C5438" s="107"/>
    </row>
    <row r="5439" spans="1:3">
      <c r="A5439" s="3"/>
      <c r="B5439" s="106"/>
      <c r="C5439" s="107"/>
    </row>
    <row r="5440" spans="1:3">
      <c r="A5440" s="3"/>
      <c r="B5440" s="106"/>
      <c r="C5440" s="107"/>
    </row>
    <row r="5441" spans="1:3">
      <c r="A5441" s="3"/>
      <c r="B5441" s="106"/>
      <c r="C5441" s="107"/>
    </row>
    <row r="5442" spans="1:3">
      <c r="A5442" s="3"/>
      <c r="B5442" s="106"/>
      <c r="C5442" s="107"/>
    </row>
    <row r="5443" spans="1:3">
      <c r="A5443" s="3"/>
      <c r="B5443" s="106"/>
      <c r="C5443" s="107"/>
    </row>
    <row r="5444" spans="1:3">
      <c r="A5444" s="3"/>
      <c r="B5444" s="106"/>
      <c r="C5444" s="107"/>
    </row>
    <row r="5445" spans="1:3">
      <c r="A5445" s="3"/>
      <c r="B5445" s="106"/>
      <c r="C5445" s="107"/>
    </row>
    <row r="5446" spans="1:3">
      <c r="A5446" s="3"/>
      <c r="B5446" s="106"/>
      <c r="C5446" s="107"/>
    </row>
    <row r="5447" spans="1:3">
      <c r="A5447" s="3"/>
      <c r="B5447" s="106"/>
      <c r="C5447" s="107"/>
    </row>
    <row r="5448" spans="1:3">
      <c r="A5448" s="3"/>
      <c r="B5448" s="106"/>
      <c r="C5448" s="107"/>
    </row>
    <row r="5449" spans="1:3">
      <c r="A5449" s="3"/>
      <c r="B5449" s="106"/>
      <c r="C5449" s="107"/>
    </row>
    <row r="5450" spans="1:3">
      <c r="A5450" s="3"/>
      <c r="B5450" s="106"/>
      <c r="C5450" s="107"/>
    </row>
    <row r="5451" spans="1:3">
      <c r="A5451" s="3"/>
      <c r="B5451" s="106"/>
      <c r="C5451" s="107"/>
    </row>
    <row r="5452" spans="1:3">
      <c r="A5452" s="3"/>
      <c r="B5452" s="106"/>
      <c r="C5452" s="107"/>
    </row>
    <row r="5453" spans="1:3">
      <c r="A5453" s="3"/>
      <c r="B5453" s="106"/>
      <c r="C5453" s="107"/>
    </row>
    <row r="5454" spans="1:3">
      <c r="A5454" s="3"/>
      <c r="B5454" s="106"/>
      <c r="C5454" s="107"/>
    </row>
    <row r="5455" spans="1:3">
      <c r="A5455" s="3"/>
      <c r="B5455" s="106"/>
      <c r="C5455" s="107"/>
    </row>
    <row r="5456" spans="1:3">
      <c r="A5456" s="3"/>
      <c r="B5456" s="106"/>
      <c r="C5456" s="107"/>
    </row>
    <row r="5457" spans="1:3">
      <c r="A5457" s="3"/>
      <c r="B5457" s="106"/>
      <c r="C5457" s="107"/>
    </row>
    <row r="5458" spans="1:3">
      <c r="A5458" s="3"/>
      <c r="B5458" s="106"/>
      <c r="C5458" s="107"/>
    </row>
    <row r="5459" spans="1:3">
      <c r="A5459" s="3"/>
      <c r="B5459" s="106"/>
      <c r="C5459" s="107"/>
    </row>
    <row r="5460" spans="1:3">
      <c r="A5460" s="3"/>
      <c r="B5460" s="106"/>
      <c r="C5460" s="107"/>
    </row>
    <row r="5461" spans="1:3">
      <c r="A5461" s="3"/>
      <c r="B5461" s="106"/>
      <c r="C5461" s="107"/>
    </row>
    <row r="5462" spans="1:3">
      <c r="A5462" s="3"/>
      <c r="B5462" s="106"/>
      <c r="C5462" s="107"/>
    </row>
    <row r="5463" spans="1:3">
      <c r="A5463" s="3"/>
      <c r="B5463" s="106"/>
      <c r="C5463" s="107"/>
    </row>
    <row r="5464" spans="1:3">
      <c r="A5464" s="3"/>
      <c r="B5464" s="106"/>
      <c r="C5464" s="107"/>
    </row>
    <row r="5465" spans="1:3">
      <c r="A5465" s="3"/>
      <c r="B5465" s="106"/>
      <c r="C5465" s="107"/>
    </row>
    <row r="5466" spans="1:3">
      <c r="A5466" s="3"/>
      <c r="B5466" s="106"/>
      <c r="C5466" s="107"/>
    </row>
    <row r="5467" spans="1:3">
      <c r="A5467" s="3"/>
      <c r="B5467" s="106"/>
      <c r="C5467" s="107"/>
    </row>
    <row r="5468" spans="1:3">
      <c r="A5468" s="3"/>
      <c r="B5468" s="106"/>
      <c r="C5468" s="107"/>
    </row>
    <row r="5469" spans="1:3">
      <c r="A5469" s="3"/>
      <c r="B5469" s="106"/>
      <c r="C5469" s="107"/>
    </row>
    <row r="5470" spans="1:3">
      <c r="A5470" s="3"/>
      <c r="B5470" s="106"/>
      <c r="C5470" s="107"/>
    </row>
    <row r="5471" spans="1:3">
      <c r="A5471" s="3"/>
      <c r="B5471" s="106"/>
      <c r="C5471" s="107"/>
    </row>
    <row r="5472" spans="1:3">
      <c r="A5472" s="3"/>
      <c r="B5472" s="106"/>
      <c r="C5472" s="107"/>
    </row>
    <row r="5473" spans="1:3">
      <c r="A5473" s="3"/>
      <c r="B5473" s="106"/>
      <c r="C5473" s="107"/>
    </row>
    <row r="5474" spans="1:3">
      <c r="A5474" s="3"/>
      <c r="B5474" s="106"/>
      <c r="C5474" s="107"/>
    </row>
    <row r="5475" spans="1:3">
      <c r="A5475" s="3"/>
      <c r="B5475" s="106"/>
      <c r="C5475" s="107"/>
    </row>
    <row r="5476" spans="1:3">
      <c r="A5476" s="3"/>
      <c r="B5476" s="106"/>
      <c r="C5476" s="107"/>
    </row>
    <row r="5477" spans="1:3">
      <c r="A5477" s="3"/>
      <c r="B5477" s="106"/>
      <c r="C5477" s="107"/>
    </row>
    <row r="5478" spans="1:3">
      <c r="A5478" s="3"/>
      <c r="B5478" s="106"/>
      <c r="C5478" s="107"/>
    </row>
    <row r="5479" spans="1:3">
      <c r="A5479" s="3"/>
      <c r="B5479" s="106"/>
      <c r="C5479" s="107"/>
    </row>
    <row r="5480" spans="1:3">
      <c r="A5480" s="3"/>
      <c r="B5480" s="106"/>
      <c r="C5480" s="107"/>
    </row>
    <row r="5481" spans="1:3">
      <c r="A5481" s="3"/>
      <c r="B5481" s="106"/>
      <c r="C5481" s="107"/>
    </row>
    <row r="5482" spans="1:3">
      <c r="A5482" s="3"/>
      <c r="B5482" s="106"/>
      <c r="C5482" s="107"/>
    </row>
    <row r="5483" spans="1:3">
      <c r="A5483" s="3"/>
      <c r="B5483" s="106"/>
      <c r="C5483" s="107"/>
    </row>
    <row r="5484" spans="1:3">
      <c r="A5484" s="3"/>
      <c r="B5484" s="106"/>
      <c r="C5484" s="107"/>
    </row>
    <row r="5485" spans="1:3">
      <c r="A5485" s="3"/>
      <c r="B5485" s="106"/>
      <c r="C5485" s="107"/>
    </row>
    <row r="5486" spans="1:3">
      <c r="A5486" s="3"/>
      <c r="B5486" s="106"/>
      <c r="C5486" s="107"/>
    </row>
    <row r="5487" spans="1:3">
      <c r="A5487" s="3"/>
      <c r="B5487" s="106"/>
      <c r="C5487" s="107"/>
    </row>
    <row r="5488" spans="1:3">
      <c r="A5488" s="3"/>
      <c r="B5488" s="106"/>
      <c r="C5488" s="107"/>
    </row>
    <row r="5489" spans="1:3">
      <c r="A5489" s="3"/>
      <c r="B5489" s="106"/>
      <c r="C5489" s="107"/>
    </row>
    <row r="5490" spans="1:3">
      <c r="A5490" s="3"/>
      <c r="B5490" s="106"/>
      <c r="C5490" s="107"/>
    </row>
    <row r="5491" spans="1:3">
      <c r="A5491" s="3"/>
      <c r="B5491" s="106"/>
      <c r="C5491" s="107"/>
    </row>
    <row r="5492" spans="1:3">
      <c r="A5492" s="3"/>
      <c r="B5492" s="106"/>
      <c r="C5492" s="107"/>
    </row>
    <row r="5493" spans="1:3">
      <c r="A5493" s="3"/>
      <c r="B5493" s="106"/>
      <c r="C5493" s="107"/>
    </row>
    <row r="5494" spans="1:3">
      <c r="A5494" s="3"/>
      <c r="B5494" s="106"/>
      <c r="C5494" s="107"/>
    </row>
    <row r="5495" spans="1:3">
      <c r="A5495" s="3"/>
      <c r="B5495" s="106"/>
      <c r="C5495" s="107"/>
    </row>
    <row r="5496" spans="1:3">
      <c r="A5496" s="3"/>
      <c r="B5496" s="106"/>
      <c r="C5496" s="107"/>
    </row>
    <row r="5497" spans="1:3">
      <c r="A5497" s="3"/>
      <c r="B5497" s="106"/>
      <c r="C5497" s="107"/>
    </row>
    <row r="5498" spans="1:3">
      <c r="A5498" s="3"/>
      <c r="B5498" s="106"/>
      <c r="C5498" s="107"/>
    </row>
    <row r="5499" spans="1:3">
      <c r="A5499" s="3"/>
      <c r="B5499" s="106"/>
      <c r="C5499" s="107"/>
    </row>
    <row r="5500" spans="1:3">
      <c r="A5500" s="3"/>
      <c r="B5500" s="106"/>
      <c r="C5500" s="107"/>
    </row>
    <row r="5501" spans="1:3">
      <c r="A5501" s="3"/>
      <c r="B5501" s="106"/>
      <c r="C5501" s="107"/>
    </row>
    <row r="5502" spans="1:3">
      <c r="A5502" s="3"/>
      <c r="B5502" s="106"/>
      <c r="C5502" s="107"/>
    </row>
    <row r="5503" spans="1:3">
      <c r="A5503" s="3"/>
      <c r="B5503" s="106"/>
      <c r="C5503" s="107"/>
    </row>
    <row r="5504" spans="1:3">
      <c r="A5504" s="3"/>
      <c r="B5504" s="106"/>
      <c r="C5504" s="107"/>
    </row>
    <row r="5505" spans="1:3">
      <c r="A5505" s="3"/>
      <c r="B5505" s="106"/>
      <c r="C5505" s="107"/>
    </row>
    <row r="5506" spans="1:3">
      <c r="A5506" s="3"/>
      <c r="B5506" s="106"/>
      <c r="C5506" s="107"/>
    </row>
    <row r="5507" spans="1:3">
      <c r="A5507" s="3"/>
      <c r="B5507" s="106"/>
      <c r="C5507" s="107"/>
    </row>
    <row r="5508" spans="1:3">
      <c r="A5508" s="3"/>
      <c r="B5508" s="106"/>
      <c r="C5508" s="107"/>
    </row>
    <row r="5509" spans="1:3">
      <c r="A5509" s="3"/>
      <c r="B5509" s="106"/>
      <c r="C5509" s="107"/>
    </row>
    <row r="5510" spans="1:3">
      <c r="A5510" s="3"/>
      <c r="B5510" s="106"/>
      <c r="C5510" s="107"/>
    </row>
    <row r="5511" spans="1:3">
      <c r="A5511" s="3"/>
      <c r="B5511" s="106"/>
      <c r="C5511" s="107"/>
    </row>
    <row r="5512" spans="1:3">
      <c r="A5512" s="3"/>
      <c r="B5512" s="106"/>
      <c r="C5512" s="107"/>
    </row>
    <row r="5513" spans="1:3">
      <c r="A5513" s="3"/>
      <c r="B5513" s="106"/>
      <c r="C5513" s="107"/>
    </row>
    <row r="5514" spans="1:3">
      <c r="A5514" s="3"/>
      <c r="B5514" s="106"/>
      <c r="C5514" s="107"/>
    </row>
    <row r="5515" spans="1:3">
      <c r="A5515" s="3"/>
      <c r="B5515" s="106"/>
      <c r="C5515" s="107"/>
    </row>
    <row r="5516" spans="1:3">
      <c r="A5516" s="3"/>
      <c r="B5516" s="106"/>
      <c r="C5516" s="107"/>
    </row>
    <row r="5517" spans="1:3">
      <c r="A5517" s="3"/>
      <c r="B5517" s="106"/>
      <c r="C5517" s="107"/>
    </row>
    <row r="5518" spans="1:3">
      <c r="A5518" s="3"/>
      <c r="B5518" s="106"/>
      <c r="C5518" s="107"/>
    </row>
    <row r="5519" spans="1:3">
      <c r="A5519" s="3"/>
      <c r="B5519" s="106"/>
      <c r="C5519" s="107"/>
    </row>
    <row r="5520" spans="1:3">
      <c r="A5520" s="3"/>
      <c r="B5520" s="106"/>
      <c r="C5520" s="107"/>
    </row>
    <row r="5521" spans="1:3">
      <c r="A5521" s="3"/>
      <c r="B5521" s="106"/>
      <c r="C5521" s="107"/>
    </row>
    <row r="5522" spans="1:3">
      <c r="A5522" s="3"/>
      <c r="B5522" s="106"/>
      <c r="C5522" s="107"/>
    </row>
    <row r="5523" spans="1:3">
      <c r="A5523" s="3"/>
      <c r="B5523" s="106"/>
      <c r="C5523" s="107"/>
    </row>
    <row r="5524" spans="1:3">
      <c r="A5524" s="3"/>
      <c r="B5524" s="106"/>
      <c r="C5524" s="107"/>
    </row>
    <row r="5525" spans="1:3">
      <c r="A5525" s="3"/>
      <c r="B5525" s="106"/>
      <c r="C5525" s="107"/>
    </row>
    <row r="5526" spans="1:3">
      <c r="A5526" s="3"/>
      <c r="B5526" s="106"/>
      <c r="C5526" s="107"/>
    </row>
    <row r="5527" spans="1:3">
      <c r="A5527" s="3"/>
      <c r="B5527" s="106"/>
      <c r="C5527" s="107"/>
    </row>
    <row r="5528" spans="1:3">
      <c r="A5528" s="3"/>
      <c r="B5528" s="106"/>
      <c r="C5528" s="107"/>
    </row>
    <row r="5529" spans="1:3">
      <c r="A5529" s="3"/>
      <c r="B5529" s="106"/>
      <c r="C5529" s="107"/>
    </row>
    <row r="5530" spans="1:3">
      <c r="A5530" s="3"/>
      <c r="B5530" s="106"/>
      <c r="C5530" s="107"/>
    </row>
    <row r="5531" spans="1:3">
      <c r="A5531" s="3"/>
      <c r="B5531" s="106"/>
      <c r="C5531" s="107"/>
    </row>
    <row r="5532" spans="1:3">
      <c r="A5532" s="3"/>
      <c r="B5532" s="106"/>
      <c r="C5532" s="107"/>
    </row>
    <row r="5533" spans="1:3">
      <c r="A5533" s="3"/>
      <c r="B5533" s="106"/>
      <c r="C5533" s="107"/>
    </row>
    <row r="5534" spans="1:3">
      <c r="A5534" s="3"/>
      <c r="B5534" s="106"/>
      <c r="C5534" s="107"/>
    </row>
    <row r="5535" spans="1:3">
      <c r="A5535" s="3"/>
      <c r="B5535" s="106"/>
      <c r="C5535" s="107"/>
    </row>
    <row r="5536" spans="1:3">
      <c r="A5536" s="3"/>
      <c r="B5536" s="106"/>
      <c r="C5536" s="107"/>
    </row>
    <row r="5537" spans="1:3">
      <c r="A5537" s="3"/>
      <c r="B5537" s="106"/>
      <c r="C5537" s="107"/>
    </row>
    <row r="5538" spans="1:3">
      <c r="A5538" s="3"/>
      <c r="B5538" s="106"/>
      <c r="C5538" s="107"/>
    </row>
    <row r="5539" spans="1:3">
      <c r="A5539" s="3"/>
      <c r="B5539" s="106"/>
      <c r="C5539" s="107"/>
    </row>
    <row r="5540" spans="1:3">
      <c r="A5540" s="3"/>
      <c r="B5540" s="106"/>
      <c r="C5540" s="107"/>
    </row>
    <row r="5541" spans="1:3">
      <c r="A5541" s="3"/>
      <c r="B5541" s="106"/>
      <c r="C5541" s="107"/>
    </row>
    <row r="5542" spans="1:3">
      <c r="A5542" s="3"/>
      <c r="B5542" s="106"/>
      <c r="C5542" s="107"/>
    </row>
    <row r="5543" spans="1:3">
      <c r="A5543" s="3"/>
      <c r="B5543" s="106"/>
      <c r="C5543" s="107"/>
    </row>
    <row r="5544" spans="1:3">
      <c r="A5544" s="3"/>
      <c r="B5544" s="106"/>
      <c r="C5544" s="107"/>
    </row>
    <row r="5545" spans="1:3">
      <c r="A5545" s="3"/>
      <c r="B5545" s="106"/>
      <c r="C5545" s="107"/>
    </row>
    <row r="5546" spans="1:3">
      <c r="A5546" s="3"/>
      <c r="B5546" s="106"/>
      <c r="C5546" s="107"/>
    </row>
    <row r="5547" spans="1:3">
      <c r="A5547" s="3"/>
      <c r="B5547" s="106"/>
      <c r="C5547" s="107"/>
    </row>
    <row r="5548" spans="1:3">
      <c r="A5548" s="3"/>
      <c r="B5548" s="106"/>
      <c r="C5548" s="107"/>
    </row>
    <row r="5549" spans="1:3">
      <c r="A5549" s="3"/>
      <c r="B5549" s="106"/>
      <c r="C5549" s="107"/>
    </row>
    <row r="5550" spans="1:3">
      <c r="A5550" s="3"/>
      <c r="B5550" s="106"/>
      <c r="C5550" s="107"/>
    </row>
    <row r="5551" spans="1:3">
      <c r="A5551" s="3"/>
      <c r="B5551" s="106"/>
      <c r="C5551" s="107"/>
    </row>
    <row r="5552" spans="1:3">
      <c r="A5552" s="3"/>
      <c r="B5552" s="106"/>
      <c r="C5552" s="107"/>
    </row>
    <row r="5553" spans="1:3">
      <c r="A5553" s="3"/>
      <c r="B5553" s="106"/>
      <c r="C5553" s="107"/>
    </row>
    <row r="5554" spans="1:3">
      <c r="A5554" s="3"/>
      <c r="B5554" s="106"/>
      <c r="C5554" s="107"/>
    </row>
    <row r="5555" spans="1:3">
      <c r="A5555" s="3"/>
      <c r="B5555" s="106"/>
      <c r="C5555" s="107"/>
    </row>
    <row r="5556" spans="1:3">
      <c r="A5556" s="3"/>
      <c r="B5556" s="106"/>
      <c r="C5556" s="107"/>
    </row>
    <row r="5557" spans="1:3">
      <c r="A5557" s="3"/>
      <c r="B5557" s="106"/>
      <c r="C5557" s="107"/>
    </row>
    <row r="5558" spans="1:3">
      <c r="A5558" s="3"/>
      <c r="B5558" s="106"/>
      <c r="C5558" s="107"/>
    </row>
    <row r="5559" spans="1:3">
      <c r="A5559" s="3"/>
      <c r="B5559" s="106"/>
      <c r="C5559" s="107"/>
    </row>
    <row r="5560" spans="1:3">
      <c r="A5560" s="3"/>
      <c r="B5560" s="106"/>
      <c r="C5560" s="107"/>
    </row>
    <row r="5561" spans="1:3">
      <c r="A5561" s="3"/>
      <c r="B5561" s="106"/>
      <c r="C5561" s="107"/>
    </row>
    <row r="5562" spans="1:3">
      <c r="A5562" s="3"/>
      <c r="B5562" s="106"/>
      <c r="C5562" s="107"/>
    </row>
    <row r="5563" spans="1:3">
      <c r="A5563" s="3"/>
      <c r="B5563" s="106"/>
      <c r="C5563" s="107"/>
    </row>
    <row r="5564" spans="1:3">
      <c r="A5564" s="3"/>
      <c r="B5564" s="106"/>
      <c r="C5564" s="107"/>
    </row>
    <row r="5565" spans="1:3">
      <c r="A5565" s="3"/>
      <c r="B5565" s="106"/>
      <c r="C5565" s="107"/>
    </row>
    <row r="5566" spans="1:3">
      <c r="A5566" s="3"/>
      <c r="B5566" s="106"/>
      <c r="C5566" s="107"/>
    </row>
    <row r="5567" spans="1:3">
      <c r="A5567" s="3"/>
      <c r="B5567" s="106"/>
      <c r="C5567" s="107"/>
    </row>
    <row r="5568" spans="1:3">
      <c r="A5568" s="3"/>
      <c r="B5568" s="106"/>
      <c r="C5568" s="107"/>
    </row>
    <row r="5569" spans="1:3">
      <c r="A5569" s="3"/>
      <c r="B5569" s="106"/>
      <c r="C5569" s="107"/>
    </row>
    <row r="5570" spans="1:3">
      <c r="A5570" s="3"/>
      <c r="B5570" s="106"/>
      <c r="C5570" s="107"/>
    </row>
    <row r="5571" spans="1:3">
      <c r="A5571" s="3"/>
      <c r="B5571" s="106"/>
      <c r="C5571" s="107"/>
    </row>
    <row r="5572" spans="1:3">
      <c r="A5572" s="3"/>
      <c r="B5572" s="106"/>
      <c r="C5572" s="107"/>
    </row>
    <row r="5573" spans="1:3">
      <c r="A5573" s="3"/>
      <c r="B5573" s="106"/>
      <c r="C5573" s="107"/>
    </row>
    <row r="5574" spans="1:3">
      <c r="A5574" s="3"/>
      <c r="B5574" s="106"/>
      <c r="C5574" s="107"/>
    </row>
    <row r="5575" spans="1:3">
      <c r="A5575" s="3"/>
      <c r="B5575" s="106"/>
      <c r="C5575" s="107"/>
    </row>
    <row r="5576" spans="1:3">
      <c r="A5576" s="3"/>
      <c r="B5576" s="106"/>
      <c r="C5576" s="107"/>
    </row>
    <row r="5577" spans="1:3">
      <c r="A5577" s="3"/>
      <c r="B5577" s="106"/>
      <c r="C5577" s="107"/>
    </row>
    <row r="5578" spans="1:3">
      <c r="A5578" s="3"/>
      <c r="B5578" s="106"/>
      <c r="C5578" s="107"/>
    </row>
    <row r="5579" spans="1:3">
      <c r="A5579" s="3"/>
      <c r="B5579" s="106"/>
      <c r="C5579" s="107"/>
    </row>
    <row r="5580" spans="1:3">
      <c r="A5580" s="3"/>
      <c r="B5580" s="106"/>
      <c r="C5580" s="107"/>
    </row>
    <row r="5581" spans="1:3">
      <c r="A5581" s="3"/>
      <c r="B5581" s="106"/>
      <c r="C5581" s="107"/>
    </row>
    <row r="5582" spans="1:3">
      <c r="A5582" s="3"/>
      <c r="B5582" s="106"/>
      <c r="C5582" s="107"/>
    </row>
    <row r="5583" spans="1:3">
      <c r="A5583" s="3"/>
      <c r="B5583" s="106"/>
      <c r="C5583" s="107"/>
    </row>
    <row r="5584" spans="1:3">
      <c r="A5584" s="3"/>
      <c r="B5584" s="106"/>
      <c r="C5584" s="107"/>
    </row>
    <row r="5585" spans="1:3">
      <c r="A5585" s="3"/>
      <c r="B5585" s="106"/>
      <c r="C5585" s="107"/>
    </row>
    <row r="5586" spans="1:3">
      <c r="A5586" s="3"/>
      <c r="B5586" s="106"/>
      <c r="C5586" s="107"/>
    </row>
    <row r="5587" spans="1:3">
      <c r="A5587" s="3"/>
      <c r="B5587" s="106"/>
      <c r="C5587" s="107"/>
    </row>
    <row r="5588" spans="1:3">
      <c r="A5588" s="3"/>
      <c r="B5588" s="106"/>
      <c r="C5588" s="107"/>
    </row>
    <row r="5589" spans="1:3">
      <c r="A5589" s="3"/>
      <c r="B5589" s="106"/>
      <c r="C5589" s="107"/>
    </row>
    <row r="5590" spans="1:3">
      <c r="A5590" s="3"/>
      <c r="B5590" s="106"/>
      <c r="C5590" s="107"/>
    </row>
    <row r="5591" spans="1:3">
      <c r="A5591" s="3"/>
      <c r="B5591" s="106"/>
      <c r="C5591" s="107"/>
    </row>
    <row r="5592" spans="1:3">
      <c r="A5592" s="3"/>
      <c r="B5592" s="106"/>
      <c r="C5592" s="107"/>
    </row>
    <row r="5593" spans="1:3">
      <c r="A5593" s="3"/>
      <c r="B5593" s="106"/>
      <c r="C5593" s="107"/>
    </row>
    <row r="5594" spans="1:3">
      <c r="A5594" s="3"/>
      <c r="B5594" s="106"/>
      <c r="C5594" s="107"/>
    </row>
    <row r="5595" spans="1:3">
      <c r="A5595" s="3"/>
      <c r="B5595" s="106"/>
      <c r="C5595" s="107"/>
    </row>
    <row r="5596" spans="1:3">
      <c r="A5596" s="3"/>
      <c r="B5596" s="106"/>
      <c r="C5596" s="107"/>
    </row>
    <row r="5597" spans="1:3">
      <c r="A5597" s="3"/>
      <c r="B5597" s="106"/>
      <c r="C5597" s="107"/>
    </row>
    <row r="5598" spans="1:3">
      <c r="A5598" s="3"/>
      <c r="B5598" s="106"/>
      <c r="C5598" s="107"/>
    </row>
    <row r="5599" spans="1:3">
      <c r="A5599" s="3"/>
      <c r="B5599" s="106"/>
      <c r="C5599" s="107"/>
    </row>
    <row r="5600" spans="1:3">
      <c r="A5600" s="3"/>
      <c r="B5600" s="106"/>
      <c r="C5600" s="107"/>
    </row>
    <row r="5601" spans="1:3">
      <c r="A5601" s="3"/>
      <c r="B5601" s="106"/>
      <c r="C5601" s="107"/>
    </row>
    <row r="5602" spans="1:3">
      <c r="A5602" s="3"/>
      <c r="B5602" s="106"/>
      <c r="C5602" s="107"/>
    </row>
    <row r="5603" spans="1:3">
      <c r="A5603" s="3"/>
      <c r="B5603" s="106"/>
      <c r="C5603" s="107"/>
    </row>
    <row r="5604" spans="1:3">
      <c r="A5604" s="3"/>
      <c r="B5604" s="106"/>
      <c r="C5604" s="107"/>
    </row>
    <row r="5605" spans="1:3">
      <c r="A5605" s="3"/>
      <c r="B5605" s="106"/>
      <c r="C5605" s="107"/>
    </row>
    <row r="5606" spans="1:3">
      <c r="A5606" s="3"/>
      <c r="B5606" s="106"/>
      <c r="C5606" s="107"/>
    </row>
    <row r="5607" spans="1:3">
      <c r="A5607" s="3"/>
      <c r="B5607" s="106"/>
      <c r="C5607" s="107"/>
    </row>
    <row r="5608" spans="1:3">
      <c r="A5608" s="3"/>
      <c r="B5608" s="106"/>
      <c r="C5608" s="107"/>
    </row>
    <row r="5609" spans="1:3">
      <c r="A5609" s="3"/>
      <c r="B5609" s="106"/>
      <c r="C5609" s="107"/>
    </row>
    <row r="5610" spans="1:3">
      <c r="A5610" s="3"/>
      <c r="B5610" s="106"/>
      <c r="C5610" s="107"/>
    </row>
    <row r="5611" spans="1:3">
      <c r="A5611" s="3"/>
      <c r="B5611" s="106"/>
      <c r="C5611" s="107"/>
    </row>
    <row r="5612" spans="1:3">
      <c r="A5612" s="3"/>
      <c r="B5612" s="106"/>
      <c r="C5612" s="107"/>
    </row>
    <row r="5613" spans="1:3">
      <c r="A5613" s="3"/>
      <c r="B5613" s="106"/>
      <c r="C5613" s="107"/>
    </row>
    <row r="5614" spans="1:3">
      <c r="A5614" s="3"/>
      <c r="B5614" s="106"/>
      <c r="C5614" s="107"/>
    </row>
    <row r="5615" spans="1:3">
      <c r="A5615" s="3"/>
      <c r="B5615" s="106"/>
      <c r="C5615" s="107"/>
    </row>
    <row r="5616" spans="1:3">
      <c r="A5616" s="3"/>
      <c r="B5616" s="106"/>
      <c r="C5616" s="107"/>
    </row>
    <row r="5617" spans="1:3">
      <c r="A5617" s="3"/>
      <c r="B5617" s="106"/>
      <c r="C5617" s="107"/>
    </row>
    <row r="5618" spans="1:3">
      <c r="A5618" s="3"/>
      <c r="B5618" s="106"/>
      <c r="C5618" s="107"/>
    </row>
    <row r="5619" spans="1:3">
      <c r="A5619" s="3"/>
      <c r="B5619" s="106"/>
      <c r="C5619" s="107"/>
    </row>
    <row r="5620" spans="1:3">
      <c r="A5620" s="3"/>
      <c r="B5620" s="106"/>
      <c r="C5620" s="107"/>
    </row>
    <row r="5621" spans="1:3">
      <c r="A5621" s="3"/>
      <c r="B5621" s="106"/>
      <c r="C5621" s="107"/>
    </row>
    <row r="5622" spans="1:3">
      <c r="A5622" s="3"/>
      <c r="B5622" s="106"/>
      <c r="C5622" s="107"/>
    </row>
    <row r="5623" spans="1:3">
      <c r="A5623" s="3"/>
      <c r="B5623" s="106"/>
      <c r="C5623" s="107"/>
    </row>
    <row r="5624" spans="1:3">
      <c r="A5624" s="3"/>
      <c r="B5624" s="106"/>
      <c r="C5624" s="107"/>
    </row>
    <row r="5625" spans="1:3">
      <c r="A5625" s="3"/>
      <c r="B5625" s="106"/>
      <c r="C5625" s="107"/>
    </row>
    <row r="5626" spans="1:3">
      <c r="A5626" s="3"/>
      <c r="B5626" s="106"/>
      <c r="C5626" s="107"/>
    </row>
    <row r="5627" spans="1:3">
      <c r="A5627" s="3"/>
      <c r="B5627" s="106"/>
      <c r="C5627" s="107"/>
    </row>
    <row r="5628" spans="1:3">
      <c r="A5628" s="3"/>
      <c r="B5628" s="106"/>
      <c r="C5628" s="107"/>
    </row>
    <row r="5629" spans="1:3">
      <c r="A5629" s="3"/>
      <c r="B5629" s="106"/>
      <c r="C5629" s="107"/>
    </row>
    <row r="5630" spans="1:3">
      <c r="A5630" s="3"/>
      <c r="B5630" s="106"/>
      <c r="C5630" s="107"/>
    </row>
    <row r="5631" spans="1:3">
      <c r="A5631" s="3"/>
      <c r="B5631" s="106"/>
      <c r="C5631" s="107"/>
    </row>
    <row r="5632" spans="1:3">
      <c r="A5632" s="3"/>
      <c r="B5632" s="106"/>
      <c r="C5632" s="107"/>
    </row>
    <row r="5633" spans="1:3">
      <c r="A5633" s="3"/>
      <c r="B5633" s="106"/>
      <c r="C5633" s="107"/>
    </row>
    <row r="5634" spans="1:3">
      <c r="A5634" s="3"/>
      <c r="B5634" s="106"/>
      <c r="C5634" s="107"/>
    </row>
    <row r="5635" spans="1:3">
      <c r="A5635" s="3"/>
      <c r="B5635" s="106"/>
      <c r="C5635" s="107"/>
    </row>
    <row r="5636" spans="1:3">
      <c r="A5636" s="3"/>
      <c r="B5636" s="106"/>
      <c r="C5636" s="107"/>
    </row>
    <row r="5637" spans="1:3">
      <c r="A5637" s="3"/>
      <c r="B5637" s="106"/>
      <c r="C5637" s="107"/>
    </row>
    <row r="5638" spans="1:3">
      <c r="A5638" s="3"/>
      <c r="B5638" s="106"/>
      <c r="C5638" s="107"/>
    </row>
    <row r="5639" spans="1:3">
      <c r="A5639" s="3"/>
      <c r="B5639" s="106"/>
      <c r="C5639" s="107"/>
    </row>
    <row r="5640" spans="1:3">
      <c r="A5640" s="3"/>
      <c r="B5640" s="106"/>
      <c r="C5640" s="107"/>
    </row>
    <row r="5641" spans="1:3">
      <c r="A5641" s="3"/>
      <c r="B5641" s="106"/>
      <c r="C5641" s="107"/>
    </row>
    <row r="5642" spans="1:3">
      <c r="A5642" s="3"/>
      <c r="B5642" s="106"/>
      <c r="C5642" s="107"/>
    </row>
    <row r="5643" spans="1:3">
      <c r="A5643" s="3"/>
      <c r="B5643" s="106"/>
      <c r="C5643" s="107"/>
    </row>
    <row r="5644" spans="1:3">
      <c r="A5644" s="3"/>
      <c r="B5644" s="106"/>
      <c r="C5644" s="107"/>
    </row>
    <row r="5645" spans="1:3">
      <c r="A5645" s="3"/>
      <c r="B5645" s="106"/>
      <c r="C5645" s="107"/>
    </row>
    <row r="5646" spans="1:3">
      <c r="A5646" s="3"/>
      <c r="B5646" s="106"/>
      <c r="C5646" s="107"/>
    </row>
    <row r="5647" spans="1:3">
      <c r="A5647" s="3"/>
      <c r="B5647" s="106"/>
      <c r="C5647" s="107"/>
    </row>
    <row r="5648" spans="1:3">
      <c r="A5648" s="3"/>
      <c r="B5648" s="106"/>
      <c r="C5648" s="107"/>
    </row>
    <row r="5649" spans="1:3">
      <c r="A5649" s="3"/>
      <c r="B5649" s="106"/>
      <c r="C5649" s="107"/>
    </row>
    <row r="5650" spans="1:3">
      <c r="A5650" s="3"/>
      <c r="B5650" s="106"/>
      <c r="C5650" s="107"/>
    </row>
    <row r="5651" spans="1:3">
      <c r="A5651" s="3"/>
      <c r="B5651" s="106"/>
      <c r="C5651" s="107"/>
    </row>
    <row r="5652" spans="1:3">
      <c r="A5652" s="3"/>
      <c r="B5652" s="106"/>
      <c r="C5652" s="107"/>
    </row>
    <row r="5653" spans="1:3">
      <c r="A5653" s="3"/>
      <c r="B5653" s="106"/>
      <c r="C5653" s="107"/>
    </row>
    <row r="5654" spans="1:3">
      <c r="A5654" s="3"/>
      <c r="B5654" s="106"/>
      <c r="C5654" s="107"/>
    </row>
    <row r="5655" spans="1:3">
      <c r="A5655" s="3"/>
      <c r="B5655" s="106"/>
      <c r="C5655" s="107"/>
    </row>
    <row r="5656" spans="1:3">
      <c r="A5656" s="3"/>
      <c r="B5656" s="106"/>
      <c r="C5656" s="107"/>
    </row>
    <row r="5657" spans="1:3">
      <c r="A5657" s="3"/>
      <c r="B5657" s="106"/>
      <c r="C5657" s="107"/>
    </row>
    <row r="5658" spans="1:3">
      <c r="A5658" s="3"/>
      <c r="B5658" s="106"/>
      <c r="C5658" s="107"/>
    </row>
    <row r="5659" spans="1:3">
      <c r="A5659" s="3"/>
      <c r="B5659" s="106"/>
      <c r="C5659" s="107"/>
    </row>
    <row r="5660" spans="1:3">
      <c r="A5660" s="3"/>
      <c r="B5660" s="106"/>
      <c r="C5660" s="107"/>
    </row>
    <row r="5661" spans="1:3">
      <c r="A5661" s="3"/>
      <c r="B5661" s="106"/>
      <c r="C5661" s="107"/>
    </row>
    <row r="5662" spans="1:3">
      <c r="A5662" s="3"/>
      <c r="B5662" s="106"/>
      <c r="C5662" s="107"/>
    </row>
    <row r="5663" spans="1:3">
      <c r="A5663" s="3"/>
      <c r="B5663" s="106"/>
      <c r="C5663" s="107"/>
    </row>
    <row r="5664" spans="1:3">
      <c r="A5664" s="3"/>
      <c r="B5664" s="106"/>
      <c r="C5664" s="107"/>
    </row>
    <row r="5665" spans="1:3">
      <c r="A5665" s="3"/>
      <c r="B5665" s="106"/>
      <c r="C5665" s="107"/>
    </row>
    <row r="5666" spans="1:3">
      <c r="A5666" s="3"/>
      <c r="B5666" s="106"/>
      <c r="C5666" s="107"/>
    </row>
    <row r="5667" spans="1:3">
      <c r="A5667" s="3"/>
      <c r="B5667" s="106"/>
      <c r="C5667" s="107"/>
    </row>
    <row r="5668" spans="1:3">
      <c r="A5668" s="3"/>
      <c r="B5668" s="106"/>
      <c r="C5668" s="107"/>
    </row>
    <row r="5669" spans="1:3">
      <c r="A5669" s="3"/>
      <c r="B5669" s="106"/>
      <c r="C5669" s="107"/>
    </row>
    <row r="5670" spans="1:3">
      <c r="A5670" s="3"/>
      <c r="B5670" s="106"/>
      <c r="C5670" s="107"/>
    </row>
    <row r="5671" spans="1:3">
      <c r="A5671" s="3"/>
      <c r="B5671" s="106"/>
      <c r="C5671" s="107"/>
    </row>
    <row r="5672" spans="1:3">
      <c r="A5672" s="3"/>
      <c r="B5672" s="106"/>
      <c r="C5672" s="107"/>
    </row>
    <row r="5673" spans="1:3">
      <c r="A5673" s="3"/>
      <c r="B5673" s="106"/>
      <c r="C5673" s="107"/>
    </row>
    <row r="5674" spans="1:3">
      <c r="A5674" s="3"/>
      <c r="B5674" s="106"/>
      <c r="C5674" s="107"/>
    </row>
    <row r="5675" spans="1:3">
      <c r="A5675" s="3"/>
      <c r="B5675" s="106"/>
      <c r="C5675" s="107"/>
    </row>
    <row r="5676" spans="1:3">
      <c r="A5676" s="3"/>
      <c r="B5676" s="106"/>
      <c r="C5676" s="107"/>
    </row>
    <row r="5677" spans="1:3">
      <c r="A5677" s="3"/>
      <c r="B5677" s="106"/>
      <c r="C5677" s="107"/>
    </row>
    <row r="5678" spans="1:3">
      <c r="A5678" s="3"/>
      <c r="B5678" s="106"/>
      <c r="C5678" s="107"/>
    </row>
    <row r="5679" spans="1:3">
      <c r="A5679" s="3"/>
      <c r="B5679" s="106"/>
      <c r="C5679" s="107"/>
    </row>
    <row r="5680" spans="1:3">
      <c r="A5680" s="3"/>
      <c r="B5680" s="106"/>
      <c r="C5680" s="107"/>
    </row>
    <row r="5681" spans="1:3">
      <c r="A5681" s="3"/>
      <c r="B5681" s="106"/>
      <c r="C5681" s="107"/>
    </row>
    <row r="5682" spans="1:3">
      <c r="A5682" s="3"/>
      <c r="B5682" s="106"/>
      <c r="C5682" s="107"/>
    </row>
    <row r="5683" spans="1:3">
      <c r="A5683" s="3"/>
      <c r="B5683" s="106"/>
      <c r="C5683" s="107"/>
    </row>
    <row r="5684" spans="1:3">
      <c r="A5684" s="3"/>
      <c r="B5684" s="106"/>
      <c r="C5684" s="107"/>
    </row>
    <row r="5685" spans="1:3">
      <c r="A5685" s="3"/>
      <c r="B5685" s="106"/>
      <c r="C5685" s="107"/>
    </row>
    <row r="5686" spans="1:3">
      <c r="A5686" s="3"/>
      <c r="B5686" s="106"/>
      <c r="C5686" s="107"/>
    </row>
    <row r="5687" spans="1:3">
      <c r="A5687" s="3"/>
      <c r="B5687" s="106"/>
      <c r="C5687" s="107"/>
    </row>
    <row r="5688" spans="1:3">
      <c r="A5688" s="3"/>
      <c r="B5688" s="106"/>
      <c r="C5688" s="107"/>
    </row>
    <row r="5689" spans="1:3">
      <c r="A5689" s="3"/>
      <c r="B5689" s="106"/>
      <c r="C5689" s="107"/>
    </row>
    <row r="5690" spans="1:3">
      <c r="A5690" s="3"/>
      <c r="B5690" s="106"/>
      <c r="C5690" s="107"/>
    </row>
    <row r="5691" spans="1:3">
      <c r="A5691" s="3"/>
      <c r="B5691" s="106"/>
      <c r="C5691" s="107"/>
    </row>
    <row r="5692" spans="1:3">
      <c r="A5692" s="3"/>
      <c r="B5692" s="106"/>
      <c r="C5692" s="107"/>
    </row>
    <row r="5693" spans="1:3">
      <c r="A5693" s="3"/>
      <c r="B5693" s="106"/>
      <c r="C5693" s="107"/>
    </row>
    <row r="5694" spans="1:3">
      <c r="A5694" s="3"/>
      <c r="B5694" s="106"/>
      <c r="C5694" s="107"/>
    </row>
    <row r="5695" spans="1:3">
      <c r="A5695" s="3"/>
      <c r="B5695" s="106"/>
      <c r="C5695" s="107"/>
    </row>
    <row r="5696" spans="1:3">
      <c r="A5696" s="3"/>
      <c r="B5696" s="106"/>
      <c r="C5696" s="107"/>
    </row>
    <row r="5697" spans="1:3">
      <c r="A5697" s="3"/>
      <c r="B5697" s="106"/>
      <c r="C5697" s="107"/>
    </row>
    <row r="5698" spans="1:3">
      <c r="A5698" s="3"/>
      <c r="B5698" s="106"/>
      <c r="C5698" s="107"/>
    </row>
    <row r="5699" spans="1:3">
      <c r="A5699" s="3"/>
      <c r="B5699" s="106"/>
      <c r="C5699" s="107"/>
    </row>
    <row r="5700" spans="1:3">
      <c r="A5700" s="3"/>
      <c r="B5700" s="106"/>
      <c r="C5700" s="107"/>
    </row>
    <row r="5701" spans="1:3">
      <c r="A5701" s="3"/>
      <c r="B5701" s="106"/>
      <c r="C5701" s="107"/>
    </row>
    <row r="5702" spans="1:3">
      <c r="A5702" s="3"/>
      <c r="B5702" s="106"/>
      <c r="C5702" s="107"/>
    </row>
    <row r="5703" spans="1:3">
      <c r="A5703" s="3"/>
      <c r="B5703" s="106"/>
      <c r="C5703" s="107"/>
    </row>
    <row r="5704" spans="1:3">
      <c r="A5704" s="3"/>
      <c r="B5704" s="106"/>
      <c r="C5704" s="107"/>
    </row>
    <row r="5705" spans="1:3">
      <c r="A5705" s="3"/>
      <c r="B5705" s="106"/>
      <c r="C5705" s="107"/>
    </row>
    <row r="5706" spans="1:3">
      <c r="A5706" s="3"/>
      <c r="B5706" s="106"/>
      <c r="C5706" s="107"/>
    </row>
    <row r="5707" spans="1:3">
      <c r="A5707" s="3"/>
      <c r="B5707" s="106"/>
      <c r="C5707" s="107"/>
    </row>
    <row r="5708" spans="1:3">
      <c r="A5708" s="3"/>
      <c r="B5708" s="106"/>
      <c r="C5708" s="107"/>
    </row>
    <row r="5709" spans="1:3">
      <c r="A5709" s="3"/>
      <c r="B5709" s="106"/>
      <c r="C5709" s="107"/>
    </row>
    <row r="5710" spans="1:3">
      <c r="A5710" s="3"/>
      <c r="B5710" s="106"/>
      <c r="C5710" s="107"/>
    </row>
    <row r="5711" spans="1:3">
      <c r="A5711" s="3"/>
      <c r="B5711" s="106"/>
      <c r="C5711" s="107"/>
    </row>
    <row r="5712" spans="1:3">
      <c r="A5712" s="3"/>
      <c r="B5712" s="106"/>
      <c r="C5712" s="107"/>
    </row>
    <row r="5713" spans="1:3">
      <c r="A5713" s="3"/>
      <c r="B5713" s="106"/>
      <c r="C5713" s="107"/>
    </row>
    <row r="5714" spans="1:3">
      <c r="A5714" s="3"/>
      <c r="B5714" s="106"/>
      <c r="C5714" s="107"/>
    </row>
    <row r="5715" spans="1:3">
      <c r="A5715" s="3"/>
      <c r="B5715" s="106"/>
      <c r="C5715" s="107"/>
    </row>
    <row r="5716" spans="1:3">
      <c r="A5716" s="3"/>
      <c r="B5716" s="106"/>
      <c r="C5716" s="107"/>
    </row>
    <row r="5717" spans="1:3">
      <c r="A5717" s="3"/>
      <c r="B5717" s="106"/>
      <c r="C5717" s="107"/>
    </row>
    <row r="5718" spans="1:3">
      <c r="A5718" s="3"/>
      <c r="B5718" s="106"/>
      <c r="C5718" s="107"/>
    </row>
    <row r="5719" spans="1:3">
      <c r="A5719" s="3"/>
      <c r="B5719" s="106"/>
      <c r="C5719" s="107"/>
    </row>
    <row r="5720" spans="1:3">
      <c r="A5720" s="3"/>
      <c r="B5720" s="106"/>
      <c r="C5720" s="107"/>
    </row>
    <row r="5721" spans="1:3">
      <c r="A5721" s="3"/>
      <c r="B5721" s="106"/>
      <c r="C5721" s="107"/>
    </row>
    <row r="5722" spans="1:3">
      <c r="A5722" s="3"/>
      <c r="B5722" s="106"/>
      <c r="C5722" s="107"/>
    </row>
    <row r="5723" spans="1:3">
      <c r="A5723" s="3"/>
      <c r="B5723" s="106"/>
      <c r="C5723" s="107"/>
    </row>
    <row r="5724" spans="1:3">
      <c r="A5724" s="3"/>
      <c r="B5724" s="106"/>
      <c r="C5724" s="107"/>
    </row>
    <row r="5725" spans="1:3">
      <c r="A5725" s="3"/>
      <c r="B5725" s="106"/>
      <c r="C5725" s="107"/>
    </row>
    <row r="5726" spans="1:3">
      <c r="A5726" s="3"/>
      <c r="B5726" s="106"/>
      <c r="C5726" s="107"/>
    </row>
    <row r="5727" spans="1:3">
      <c r="A5727" s="3"/>
      <c r="B5727" s="106"/>
      <c r="C5727" s="107"/>
    </row>
    <row r="5728" spans="1:3">
      <c r="A5728" s="3"/>
      <c r="B5728" s="106"/>
      <c r="C5728" s="107"/>
    </row>
    <row r="5729" spans="1:3">
      <c r="A5729" s="3"/>
      <c r="B5729" s="106"/>
      <c r="C5729" s="107"/>
    </row>
    <row r="5730" spans="1:3">
      <c r="A5730" s="3"/>
      <c r="B5730" s="106"/>
      <c r="C5730" s="107"/>
    </row>
    <row r="5731" spans="1:3">
      <c r="A5731" s="3"/>
      <c r="B5731" s="106"/>
      <c r="C5731" s="107"/>
    </row>
    <row r="5732" spans="1:3">
      <c r="A5732" s="3"/>
      <c r="B5732" s="106"/>
      <c r="C5732" s="107"/>
    </row>
    <row r="5733" spans="1:3">
      <c r="A5733" s="3"/>
      <c r="B5733" s="106"/>
      <c r="C5733" s="107"/>
    </row>
    <row r="5734" spans="1:3">
      <c r="A5734" s="3"/>
      <c r="B5734" s="106"/>
      <c r="C5734" s="107"/>
    </row>
    <row r="5735" spans="1:3">
      <c r="A5735" s="3"/>
      <c r="B5735" s="106"/>
      <c r="C5735" s="107"/>
    </row>
    <row r="5736" spans="1:3">
      <c r="A5736" s="3"/>
      <c r="B5736" s="106"/>
      <c r="C5736" s="107"/>
    </row>
    <row r="5737" spans="1:3">
      <c r="A5737" s="3"/>
      <c r="B5737" s="106"/>
      <c r="C5737" s="107"/>
    </row>
    <row r="5738" spans="1:3">
      <c r="A5738" s="3"/>
      <c r="B5738" s="106"/>
      <c r="C5738" s="107"/>
    </row>
    <row r="5739" spans="1:3">
      <c r="A5739" s="3"/>
      <c r="B5739" s="106"/>
      <c r="C5739" s="107"/>
    </row>
    <row r="5740" spans="1:3">
      <c r="A5740" s="3"/>
      <c r="B5740" s="106"/>
      <c r="C5740" s="107"/>
    </row>
    <row r="5741" spans="1:3">
      <c r="A5741" s="3"/>
      <c r="B5741" s="106"/>
      <c r="C5741" s="107"/>
    </row>
    <row r="5742" spans="1:3">
      <c r="A5742" s="3"/>
      <c r="B5742" s="106"/>
      <c r="C5742" s="107"/>
    </row>
    <row r="5743" spans="1:3">
      <c r="A5743" s="3"/>
      <c r="B5743" s="106"/>
      <c r="C5743" s="107"/>
    </row>
    <row r="5744" spans="1:3">
      <c r="A5744" s="3"/>
      <c r="B5744" s="106"/>
      <c r="C5744" s="107"/>
    </row>
    <row r="5745" spans="1:3">
      <c r="A5745" s="3"/>
      <c r="B5745" s="106"/>
      <c r="C5745" s="107"/>
    </row>
    <row r="5746" spans="1:3">
      <c r="A5746" s="3"/>
      <c r="B5746" s="106"/>
      <c r="C5746" s="107"/>
    </row>
    <row r="5747" spans="1:3">
      <c r="A5747" s="3"/>
      <c r="B5747" s="106"/>
      <c r="C5747" s="107"/>
    </row>
    <row r="5748" spans="1:3">
      <c r="A5748" s="3"/>
      <c r="B5748" s="106"/>
      <c r="C5748" s="107"/>
    </row>
    <row r="5749" spans="1:3">
      <c r="A5749" s="3"/>
      <c r="B5749" s="106"/>
      <c r="C5749" s="107"/>
    </row>
    <row r="5750" spans="1:3">
      <c r="A5750" s="3"/>
      <c r="B5750" s="106"/>
      <c r="C5750" s="107"/>
    </row>
    <row r="5751" spans="1:3">
      <c r="A5751" s="3"/>
      <c r="B5751" s="106"/>
      <c r="C5751" s="107"/>
    </row>
    <row r="5752" spans="1:3">
      <c r="A5752" s="3"/>
      <c r="B5752" s="106"/>
      <c r="C5752" s="107"/>
    </row>
    <row r="5753" spans="1:3">
      <c r="A5753" s="3"/>
      <c r="B5753" s="106"/>
      <c r="C5753" s="107"/>
    </row>
    <row r="5754" spans="1:3">
      <c r="A5754" s="3"/>
      <c r="B5754" s="106"/>
      <c r="C5754" s="107"/>
    </row>
    <row r="5755" spans="1:3">
      <c r="A5755" s="3"/>
      <c r="B5755" s="106"/>
      <c r="C5755" s="107"/>
    </row>
    <row r="5756" spans="1:3">
      <c r="A5756" s="3"/>
      <c r="B5756" s="106"/>
      <c r="C5756" s="107"/>
    </row>
    <row r="5757" spans="1:3">
      <c r="A5757" s="3"/>
      <c r="B5757" s="106"/>
      <c r="C5757" s="107"/>
    </row>
    <row r="5758" spans="1:3">
      <c r="A5758" s="3"/>
      <c r="B5758" s="106"/>
      <c r="C5758" s="107"/>
    </row>
    <row r="5759" spans="1:3">
      <c r="A5759" s="3"/>
      <c r="B5759" s="106"/>
      <c r="C5759" s="107"/>
    </row>
    <row r="5760" spans="1:3">
      <c r="A5760" s="3"/>
      <c r="B5760" s="106"/>
      <c r="C5760" s="107"/>
    </row>
    <row r="5761" spans="1:3">
      <c r="A5761" s="3"/>
      <c r="B5761" s="106"/>
      <c r="C5761" s="107"/>
    </row>
    <row r="5762" spans="1:3">
      <c r="A5762" s="3"/>
      <c r="B5762" s="106"/>
      <c r="C5762" s="107"/>
    </row>
    <row r="5763" spans="1:3">
      <c r="A5763" s="3"/>
      <c r="B5763" s="106"/>
      <c r="C5763" s="107"/>
    </row>
    <row r="5764" spans="1:3">
      <c r="A5764" s="3"/>
      <c r="B5764" s="106"/>
      <c r="C5764" s="107"/>
    </row>
    <row r="5765" spans="1:3">
      <c r="A5765" s="3"/>
      <c r="B5765" s="106"/>
      <c r="C5765" s="107"/>
    </row>
    <row r="5766" spans="1:3">
      <c r="A5766" s="3"/>
      <c r="B5766" s="106"/>
      <c r="C5766" s="107"/>
    </row>
    <row r="5767" spans="1:3">
      <c r="A5767" s="3"/>
      <c r="B5767" s="106"/>
      <c r="C5767" s="107"/>
    </row>
    <row r="5768" spans="1:3">
      <c r="A5768" s="3"/>
      <c r="B5768" s="106"/>
      <c r="C5768" s="107"/>
    </row>
    <row r="5769" spans="1:3">
      <c r="A5769" s="3"/>
      <c r="B5769" s="106"/>
      <c r="C5769" s="107"/>
    </row>
    <row r="5770" spans="1:3">
      <c r="A5770" s="3"/>
      <c r="B5770" s="106"/>
      <c r="C5770" s="107"/>
    </row>
    <row r="5771" spans="1:3">
      <c r="A5771" s="3"/>
      <c r="B5771" s="106"/>
      <c r="C5771" s="107"/>
    </row>
    <row r="5772" spans="1:3">
      <c r="A5772" s="3"/>
      <c r="B5772" s="106"/>
      <c r="C5772" s="107"/>
    </row>
    <row r="5773" spans="1:3">
      <c r="A5773" s="3"/>
      <c r="B5773" s="106"/>
      <c r="C5773" s="107"/>
    </row>
    <row r="5774" spans="1:3">
      <c r="A5774" s="3"/>
      <c r="B5774" s="106"/>
      <c r="C5774" s="107"/>
    </row>
    <row r="5775" spans="1:3">
      <c r="A5775" s="3"/>
      <c r="B5775" s="106"/>
      <c r="C5775" s="107"/>
    </row>
    <row r="5776" spans="1:3">
      <c r="A5776" s="3"/>
      <c r="B5776" s="106"/>
      <c r="C5776" s="107"/>
    </row>
    <row r="5777" spans="1:3">
      <c r="A5777" s="3"/>
      <c r="B5777" s="106"/>
      <c r="C5777" s="107"/>
    </row>
    <row r="5778" spans="1:3">
      <c r="A5778" s="3"/>
      <c r="B5778" s="106"/>
      <c r="C5778" s="107"/>
    </row>
    <row r="5779" spans="1:3">
      <c r="A5779" s="3"/>
      <c r="B5779" s="106"/>
      <c r="C5779" s="107"/>
    </row>
    <row r="5780" spans="1:3">
      <c r="A5780" s="3"/>
      <c r="B5780" s="106"/>
      <c r="C5780" s="107"/>
    </row>
    <row r="5781" spans="1:3">
      <c r="A5781" s="3"/>
      <c r="B5781" s="106"/>
      <c r="C5781" s="107"/>
    </row>
    <row r="5782" spans="1:3">
      <c r="A5782" s="3"/>
      <c r="B5782" s="106"/>
      <c r="C5782" s="107"/>
    </row>
    <row r="5783" spans="1:3">
      <c r="A5783" s="3"/>
      <c r="B5783" s="106"/>
      <c r="C5783" s="107"/>
    </row>
    <row r="5784" spans="1:3">
      <c r="A5784" s="3"/>
      <c r="B5784" s="106"/>
      <c r="C5784" s="107"/>
    </row>
    <row r="5785" spans="1:3">
      <c r="A5785" s="3"/>
      <c r="B5785" s="106"/>
      <c r="C5785" s="107"/>
    </row>
    <row r="5786" spans="1:3">
      <c r="A5786" s="3"/>
      <c r="B5786" s="106"/>
      <c r="C5786" s="107"/>
    </row>
    <row r="5787" spans="1:3">
      <c r="A5787" s="3"/>
      <c r="B5787" s="106"/>
      <c r="C5787" s="107"/>
    </row>
    <row r="5788" spans="1:3">
      <c r="A5788" s="3"/>
      <c r="B5788" s="106"/>
      <c r="C5788" s="107"/>
    </row>
    <row r="5789" spans="1:3">
      <c r="A5789" s="3"/>
      <c r="B5789" s="106"/>
      <c r="C5789" s="107"/>
    </row>
    <row r="5790" spans="1:3">
      <c r="A5790" s="3"/>
      <c r="B5790" s="106"/>
      <c r="C5790" s="107"/>
    </row>
    <row r="5791" spans="1:3">
      <c r="A5791" s="3"/>
      <c r="B5791" s="106"/>
      <c r="C5791" s="107"/>
    </row>
    <row r="5792" spans="1:3">
      <c r="A5792" s="3"/>
      <c r="B5792" s="106"/>
      <c r="C5792" s="107"/>
    </row>
    <row r="5793" spans="1:3">
      <c r="A5793" s="3"/>
      <c r="B5793" s="106"/>
      <c r="C5793" s="107"/>
    </row>
    <row r="5794" spans="1:3">
      <c r="A5794" s="3"/>
      <c r="B5794" s="106"/>
      <c r="C5794" s="107"/>
    </row>
    <row r="5795" spans="1:3">
      <c r="A5795" s="3"/>
      <c r="B5795" s="106"/>
      <c r="C5795" s="107"/>
    </row>
    <row r="5796" spans="1:3">
      <c r="A5796" s="3"/>
      <c r="B5796" s="106"/>
      <c r="C5796" s="107"/>
    </row>
    <row r="5797" spans="1:3">
      <c r="A5797" s="3"/>
      <c r="B5797" s="106"/>
      <c r="C5797" s="107"/>
    </row>
    <row r="5798" spans="1:3">
      <c r="A5798" s="3"/>
      <c r="B5798" s="106"/>
      <c r="C5798" s="107"/>
    </row>
    <row r="5799" spans="1:3">
      <c r="A5799" s="3"/>
      <c r="B5799" s="106"/>
      <c r="C5799" s="107"/>
    </row>
    <row r="5800" spans="1:3">
      <c r="A5800" s="3"/>
      <c r="B5800" s="106"/>
      <c r="C5800" s="107"/>
    </row>
    <row r="5801" spans="1:3">
      <c r="A5801" s="3"/>
      <c r="B5801" s="106"/>
      <c r="C5801" s="107"/>
    </row>
    <row r="5802" spans="1:3">
      <c r="A5802" s="3"/>
      <c r="B5802" s="106"/>
      <c r="C5802" s="107"/>
    </row>
    <row r="5803" spans="1:3">
      <c r="A5803" s="3"/>
      <c r="B5803" s="106"/>
      <c r="C5803" s="107"/>
    </row>
    <row r="5804" spans="1:3">
      <c r="A5804" s="3"/>
      <c r="B5804" s="106"/>
      <c r="C5804" s="107"/>
    </row>
    <row r="5805" spans="1:3">
      <c r="A5805" s="3"/>
      <c r="B5805" s="106"/>
      <c r="C5805" s="107"/>
    </row>
    <row r="5806" spans="1:3">
      <c r="A5806" s="3"/>
      <c r="B5806" s="106"/>
      <c r="C5806" s="107"/>
    </row>
    <row r="5807" spans="1:3">
      <c r="A5807" s="3"/>
      <c r="B5807" s="106"/>
      <c r="C5807" s="107"/>
    </row>
    <row r="5808" spans="1:3">
      <c r="A5808" s="3"/>
      <c r="B5808" s="106"/>
      <c r="C5808" s="107"/>
    </row>
    <row r="5809" spans="1:3">
      <c r="A5809" s="3"/>
      <c r="B5809" s="106"/>
      <c r="C5809" s="107"/>
    </row>
    <row r="5810" spans="1:3">
      <c r="A5810" s="3"/>
      <c r="B5810" s="106"/>
      <c r="C5810" s="107"/>
    </row>
    <row r="5811" spans="1:3">
      <c r="A5811" s="3"/>
      <c r="B5811" s="106"/>
      <c r="C5811" s="107"/>
    </row>
    <row r="5812" spans="1:3">
      <c r="A5812" s="3"/>
      <c r="B5812" s="106"/>
      <c r="C5812" s="107"/>
    </row>
    <row r="5813" spans="1:3">
      <c r="A5813" s="3"/>
      <c r="B5813" s="106"/>
      <c r="C5813" s="107"/>
    </row>
    <row r="5814" spans="1:3">
      <c r="A5814" s="3"/>
      <c r="B5814" s="106"/>
      <c r="C5814" s="107"/>
    </row>
    <row r="5815" spans="1:3">
      <c r="A5815" s="3"/>
      <c r="B5815" s="106"/>
      <c r="C5815" s="107"/>
    </row>
    <row r="5816" spans="1:3">
      <c r="A5816" s="3"/>
      <c r="B5816" s="106"/>
      <c r="C5816" s="107"/>
    </row>
    <row r="5817" spans="1:3">
      <c r="A5817" s="3"/>
      <c r="B5817" s="106"/>
      <c r="C5817" s="107"/>
    </row>
    <row r="5818" spans="1:3">
      <c r="A5818" s="3"/>
      <c r="B5818" s="106"/>
      <c r="C5818" s="107"/>
    </row>
    <row r="5819" spans="1:3">
      <c r="A5819" s="3"/>
      <c r="B5819" s="106"/>
      <c r="C5819" s="107"/>
    </row>
    <row r="5820" spans="1:3">
      <c r="A5820" s="3"/>
      <c r="B5820" s="106"/>
      <c r="C5820" s="107"/>
    </row>
    <row r="5821" spans="1:3">
      <c r="A5821" s="3"/>
      <c r="B5821" s="106"/>
      <c r="C5821" s="107"/>
    </row>
    <row r="5822" spans="1:3">
      <c r="A5822" s="3"/>
      <c r="B5822" s="106"/>
      <c r="C5822" s="107"/>
    </row>
    <row r="5823" spans="1:3">
      <c r="A5823" s="3"/>
      <c r="B5823" s="106"/>
      <c r="C5823" s="107"/>
    </row>
    <row r="5824" spans="1:3">
      <c r="A5824" s="3"/>
      <c r="B5824" s="106"/>
      <c r="C5824" s="107"/>
    </row>
    <row r="5825" spans="1:3">
      <c r="A5825" s="3"/>
      <c r="B5825" s="106"/>
      <c r="C5825" s="107"/>
    </row>
    <row r="5826" spans="1:3">
      <c r="A5826" s="3"/>
      <c r="B5826" s="106"/>
      <c r="C5826" s="107"/>
    </row>
    <row r="5827" spans="1:3">
      <c r="A5827" s="3"/>
      <c r="B5827" s="106"/>
      <c r="C5827" s="107"/>
    </row>
    <row r="5828" spans="1:3">
      <c r="A5828" s="3"/>
      <c r="B5828" s="106"/>
      <c r="C5828" s="107"/>
    </row>
    <row r="5829" spans="1:3">
      <c r="A5829" s="3"/>
      <c r="B5829" s="106"/>
      <c r="C5829" s="107"/>
    </row>
    <row r="5830" spans="1:3">
      <c r="A5830" s="3"/>
      <c r="B5830" s="106"/>
      <c r="C5830" s="107"/>
    </row>
    <row r="5831" spans="1:3">
      <c r="A5831" s="3"/>
      <c r="B5831" s="106"/>
      <c r="C5831" s="107"/>
    </row>
    <row r="5832" spans="1:3">
      <c r="A5832" s="3"/>
      <c r="B5832" s="106"/>
      <c r="C5832" s="107"/>
    </row>
    <row r="5833" spans="1:3">
      <c r="A5833" s="3"/>
      <c r="B5833" s="106"/>
      <c r="C5833" s="107"/>
    </row>
    <row r="5834" spans="1:3">
      <c r="A5834" s="3"/>
      <c r="B5834" s="106"/>
      <c r="C5834" s="107"/>
    </row>
    <row r="5835" spans="1:3">
      <c r="A5835" s="3"/>
      <c r="B5835" s="106"/>
      <c r="C5835" s="107"/>
    </row>
    <row r="5836" spans="1:3">
      <c r="A5836" s="3"/>
      <c r="B5836" s="106"/>
      <c r="C5836" s="107"/>
    </row>
    <row r="5837" spans="1:3">
      <c r="A5837" s="3"/>
      <c r="B5837" s="106"/>
      <c r="C5837" s="107"/>
    </row>
    <row r="5838" spans="1:3">
      <c r="A5838" s="3"/>
      <c r="B5838" s="106"/>
      <c r="C5838" s="107"/>
    </row>
    <row r="5839" spans="1:3">
      <c r="A5839" s="3"/>
      <c r="B5839" s="106"/>
      <c r="C5839" s="107"/>
    </row>
    <row r="5840" spans="1:3">
      <c r="A5840" s="3"/>
      <c r="B5840" s="106"/>
      <c r="C5840" s="107"/>
    </row>
    <row r="5841" spans="1:3">
      <c r="A5841" s="3"/>
      <c r="B5841" s="106"/>
      <c r="C5841" s="107"/>
    </row>
    <row r="5842" spans="1:3">
      <c r="A5842" s="3"/>
      <c r="B5842" s="106"/>
      <c r="C5842" s="107"/>
    </row>
    <row r="5843" spans="1:3">
      <c r="A5843" s="3"/>
      <c r="B5843" s="106"/>
      <c r="C5843" s="107"/>
    </row>
    <row r="5844" spans="1:3">
      <c r="A5844" s="3"/>
      <c r="B5844" s="106"/>
      <c r="C5844" s="107"/>
    </row>
    <row r="5845" spans="1:3">
      <c r="A5845" s="3"/>
      <c r="B5845" s="106"/>
      <c r="C5845" s="107"/>
    </row>
    <row r="5846" spans="1:3">
      <c r="A5846" s="3"/>
      <c r="B5846" s="106"/>
      <c r="C5846" s="107"/>
    </row>
    <row r="5847" spans="1:3">
      <c r="A5847" s="3"/>
      <c r="B5847" s="106"/>
      <c r="C5847" s="107"/>
    </row>
    <row r="5848" spans="1:3">
      <c r="A5848" s="3"/>
      <c r="B5848" s="106"/>
      <c r="C5848" s="107"/>
    </row>
    <row r="5849" spans="1:3">
      <c r="A5849" s="3"/>
      <c r="B5849" s="106"/>
      <c r="C5849" s="107"/>
    </row>
    <row r="5850" spans="1:3">
      <c r="A5850" s="3"/>
      <c r="B5850" s="106"/>
      <c r="C5850" s="107"/>
    </row>
    <row r="5851" spans="1:3">
      <c r="A5851" s="3"/>
      <c r="B5851" s="106"/>
      <c r="C5851" s="107"/>
    </row>
    <row r="5852" spans="1:3">
      <c r="A5852" s="3"/>
      <c r="B5852" s="106"/>
      <c r="C5852" s="107"/>
    </row>
    <row r="5853" spans="1:3">
      <c r="A5853" s="3"/>
      <c r="B5853" s="106"/>
      <c r="C5853" s="107"/>
    </row>
    <row r="5854" spans="1:3">
      <c r="A5854" s="3"/>
      <c r="B5854" s="106"/>
      <c r="C5854" s="107"/>
    </row>
    <row r="5855" spans="1:3">
      <c r="A5855" s="3"/>
      <c r="B5855" s="106"/>
      <c r="C5855" s="107"/>
    </row>
    <row r="5856" spans="1:3">
      <c r="A5856" s="3"/>
      <c r="B5856" s="106"/>
      <c r="C5856" s="107"/>
    </row>
    <row r="5857" spans="1:3">
      <c r="A5857" s="3"/>
      <c r="B5857" s="106"/>
      <c r="C5857" s="107"/>
    </row>
    <row r="5858" spans="1:3">
      <c r="A5858" s="3"/>
      <c r="B5858" s="106"/>
      <c r="C5858" s="107"/>
    </row>
    <row r="5859" spans="1:3">
      <c r="A5859" s="3"/>
      <c r="B5859" s="106"/>
      <c r="C5859" s="107"/>
    </row>
    <row r="5860" spans="1:3">
      <c r="A5860" s="3"/>
      <c r="B5860" s="106"/>
      <c r="C5860" s="107"/>
    </row>
    <row r="5861" spans="1:3">
      <c r="A5861" s="3"/>
      <c r="B5861" s="106"/>
      <c r="C5861" s="107"/>
    </row>
    <row r="5862" spans="1:3">
      <c r="A5862" s="3"/>
      <c r="B5862" s="106"/>
      <c r="C5862" s="107"/>
    </row>
    <row r="5863" spans="1:3">
      <c r="A5863" s="3"/>
      <c r="B5863" s="106"/>
      <c r="C5863" s="107"/>
    </row>
    <row r="5864" spans="1:3">
      <c r="A5864" s="3"/>
      <c r="B5864" s="106"/>
      <c r="C5864" s="107"/>
    </row>
    <row r="5865" spans="1:3">
      <c r="A5865" s="3"/>
      <c r="B5865" s="106"/>
      <c r="C5865" s="107"/>
    </row>
    <row r="5866" spans="1:3">
      <c r="A5866" s="3"/>
      <c r="B5866" s="106"/>
      <c r="C5866" s="107"/>
    </row>
    <row r="5867" spans="1:3">
      <c r="A5867" s="3"/>
      <c r="B5867" s="106"/>
      <c r="C5867" s="107"/>
    </row>
    <row r="5868" spans="1:3">
      <c r="A5868" s="3"/>
      <c r="B5868" s="106"/>
      <c r="C5868" s="107"/>
    </row>
    <row r="5869" spans="1:3">
      <c r="A5869" s="3"/>
      <c r="B5869" s="106"/>
      <c r="C5869" s="107"/>
    </row>
    <row r="5870" spans="1:3">
      <c r="A5870" s="3"/>
      <c r="B5870" s="106"/>
      <c r="C5870" s="107"/>
    </row>
    <row r="5871" spans="1:3">
      <c r="A5871" s="3"/>
      <c r="B5871" s="106"/>
      <c r="C5871" s="107"/>
    </row>
    <row r="5872" spans="1:3">
      <c r="A5872" s="3"/>
      <c r="B5872" s="106"/>
      <c r="C5872" s="107"/>
    </row>
    <row r="5873" spans="1:3">
      <c r="A5873" s="3"/>
      <c r="B5873" s="106"/>
      <c r="C5873" s="107"/>
    </row>
    <row r="5874" spans="1:3">
      <c r="A5874" s="3"/>
      <c r="B5874" s="106"/>
      <c r="C5874" s="107"/>
    </row>
    <row r="5875" spans="1:3">
      <c r="A5875" s="3"/>
      <c r="B5875" s="106"/>
      <c r="C5875" s="107"/>
    </row>
    <row r="5876" spans="1:3">
      <c r="A5876" s="3"/>
      <c r="B5876" s="106"/>
      <c r="C5876" s="107"/>
    </row>
    <row r="5877" spans="1:3">
      <c r="A5877" s="3"/>
      <c r="B5877" s="106"/>
      <c r="C5877" s="107"/>
    </row>
    <row r="5878" spans="1:3">
      <c r="A5878" s="3"/>
      <c r="B5878" s="106"/>
      <c r="C5878" s="107"/>
    </row>
    <row r="5879" spans="1:3">
      <c r="A5879" s="3"/>
      <c r="B5879" s="106"/>
      <c r="C5879" s="107"/>
    </row>
    <row r="5880" spans="1:3">
      <c r="A5880" s="3"/>
      <c r="B5880" s="106"/>
      <c r="C5880" s="107"/>
    </row>
    <row r="5881" spans="1:3">
      <c r="A5881" s="3"/>
      <c r="B5881" s="106"/>
      <c r="C5881" s="107"/>
    </row>
    <row r="5882" spans="1:3">
      <c r="A5882" s="3"/>
      <c r="B5882" s="106"/>
      <c r="C5882" s="107"/>
    </row>
    <row r="5883" spans="1:3">
      <c r="A5883" s="3"/>
      <c r="B5883" s="106"/>
      <c r="C5883" s="107"/>
    </row>
    <row r="5884" spans="1:3">
      <c r="A5884" s="3"/>
      <c r="B5884" s="106"/>
      <c r="C5884" s="107"/>
    </row>
    <row r="5885" spans="1:3">
      <c r="A5885" s="3"/>
      <c r="B5885" s="106"/>
      <c r="C5885" s="107"/>
    </row>
    <row r="5886" spans="1:3">
      <c r="A5886" s="3"/>
      <c r="B5886" s="106"/>
      <c r="C5886" s="107"/>
    </row>
    <row r="5887" spans="1:3">
      <c r="A5887" s="3"/>
      <c r="B5887" s="106"/>
      <c r="C5887" s="107"/>
    </row>
    <row r="5888" spans="1:3">
      <c r="A5888" s="3"/>
      <c r="B5888" s="106"/>
      <c r="C5888" s="107"/>
    </row>
    <row r="5889" spans="1:3">
      <c r="A5889" s="3"/>
      <c r="B5889" s="106"/>
      <c r="C5889" s="107"/>
    </row>
    <row r="5890" spans="1:3">
      <c r="A5890" s="3"/>
      <c r="B5890" s="106"/>
      <c r="C5890" s="107"/>
    </row>
    <row r="5891" spans="1:3">
      <c r="A5891" s="3"/>
      <c r="B5891" s="106"/>
      <c r="C5891" s="107"/>
    </row>
    <row r="5892" spans="1:3">
      <c r="A5892" s="3"/>
      <c r="B5892" s="106"/>
      <c r="C5892" s="107"/>
    </row>
    <row r="5893" spans="1:3">
      <c r="A5893" s="3"/>
      <c r="B5893" s="106"/>
      <c r="C5893" s="107"/>
    </row>
    <row r="5894" spans="1:3">
      <c r="A5894" s="3"/>
      <c r="B5894" s="106"/>
      <c r="C5894" s="107"/>
    </row>
    <row r="5895" spans="1:3">
      <c r="A5895" s="3"/>
      <c r="B5895" s="106"/>
      <c r="C5895" s="107"/>
    </row>
    <row r="5896" spans="1:3">
      <c r="A5896" s="3"/>
      <c r="B5896" s="106"/>
      <c r="C5896" s="107"/>
    </row>
    <row r="5897" spans="1:3">
      <c r="A5897" s="3"/>
      <c r="B5897" s="106"/>
      <c r="C5897" s="107"/>
    </row>
    <row r="5898" spans="1:3">
      <c r="A5898" s="3"/>
      <c r="B5898" s="106"/>
      <c r="C5898" s="107"/>
    </row>
    <row r="5899" spans="1:3">
      <c r="A5899" s="3"/>
      <c r="B5899" s="106"/>
      <c r="C5899" s="107"/>
    </row>
    <row r="5900" spans="1:3">
      <c r="A5900" s="3"/>
      <c r="B5900" s="106"/>
      <c r="C5900" s="107"/>
    </row>
    <row r="5901" spans="1:3">
      <c r="A5901" s="3"/>
      <c r="B5901" s="106"/>
      <c r="C5901" s="107"/>
    </row>
    <row r="5902" spans="1:3">
      <c r="A5902" s="3"/>
      <c r="B5902" s="106"/>
      <c r="C5902" s="107"/>
    </row>
    <row r="5903" spans="1:3">
      <c r="A5903" s="3"/>
      <c r="B5903" s="106"/>
      <c r="C5903" s="107"/>
    </row>
    <row r="5904" spans="1:3">
      <c r="A5904" s="3"/>
      <c r="B5904" s="106"/>
      <c r="C5904" s="107"/>
    </row>
    <row r="5905" spans="1:3">
      <c r="A5905" s="3"/>
      <c r="B5905" s="106"/>
      <c r="C5905" s="107"/>
    </row>
    <row r="5906" spans="1:3">
      <c r="A5906" s="3"/>
      <c r="B5906" s="106"/>
      <c r="C5906" s="107"/>
    </row>
    <row r="5907" spans="1:3">
      <c r="A5907" s="3"/>
      <c r="B5907" s="106"/>
      <c r="C5907" s="107"/>
    </row>
    <row r="5908" spans="1:3">
      <c r="A5908" s="3"/>
      <c r="B5908" s="106"/>
      <c r="C5908" s="107"/>
    </row>
    <row r="5909" spans="1:3">
      <c r="A5909" s="3"/>
      <c r="B5909" s="106"/>
      <c r="C5909" s="107"/>
    </row>
    <row r="5910" spans="1:3">
      <c r="A5910" s="3"/>
      <c r="B5910" s="106"/>
      <c r="C5910" s="107"/>
    </row>
    <row r="5911" spans="1:3">
      <c r="A5911" s="3"/>
      <c r="B5911" s="106"/>
      <c r="C5911" s="107"/>
    </row>
    <row r="5912" spans="1:3">
      <c r="A5912" s="3"/>
      <c r="B5912" s="106"/>
      <c r="C5912" s="107"/>
    </row>
    <row r="5913" spans="1:3">
      <c r="A5913" s="3"/>
      <c r="B5913" s="106"/>
      <c r="C5913" s="107"/>
    </row>
    <row r="5914" spans="1:3">
      <c r="A5914" s="3"/>
      <c r="B5914" s="106"/>
      <c r="C5914" s="107"/>
    </row>
    <row r="5915" spans="1:3">
      <c r="A5915" s="3"/>
      <c r="B5915" s="106"/>
      <c r="C5915" s="107"/>
    </row>
    <row r="5916" spans="1:3">
      <c r="A5916" s="3"/>
      <c r="B5916" s="106"/>
      <c r="C5916" s="107"/>
    </row>
    <row r="5917" spans="1:3">
      <c r="A5917" s="3"/>
      <c r="B5917" s="106"/>
      <c r="C5917" s="107"/>
    </row>
    <row r="5918" spans="1:3">
      <c r="A5918" s="3"/>
      <c r="B5918" s="106"/>
      <c r="C5918" s="107"/>
    </row>
    <row r="5919" spans="1:3">
      <c r="A5919" s="3"/>
      <c r="B5919" s="106"/>
      <c r="C5919" s="107"/>
    </row>
    <row r="5920" spans="1:3">
      <c r="A5920" s="3"/>
      <c r="B5920" s="106"/>
      <c r="C5920" s="107"/>
    </row>
    <row r="5921" spans="1:3">
      <c r="A5921" s="3"/>
      <c r="B5921" s="106"/>
      <c r="C5921" s="107"/>
    </row>
    <row r="5922" spans="1:3">
      <c r="A5922" s="3"/>
      <c r="B5922" s="106"/>
      <c r="C5922" s="107"/>
    </row>
    <row r="5923" spans="1:3">
      <c r="A5923" s="3"/>
      <c r="B5923" s="106"/>
      <c r="C5923" s="107"/>
    </row>
    <row r="5924" spans="1:3">
      <c r="A5924" s="3"/>
      <c r="B5924" s="106"/>
      <c r="C5924" s="107"/>
    </row>
    <row r="5925" spans="1:3">
      <c r="A5925" s="3"/>
      <c r="B5925" s="106"/>
      <c r="C5925" s="107"/>
    </row>
    <row r="5926" spans="1:3">
      <c r="A5926" s="3"/>
      <c r="B5926" s="106"/>
      <c r="C5926" s="107"/>
    </row>
    <row r="5927" spans="1:3">
      <c r="A5927" s="3"/>
      <c r="B5927" s="106"/>
      <c r="C5927" s="107"/>
    </row>
    <row r="5928" spans="1:3">
      <c r="A5928" s="3"/>
      <c r="B5928" s="106"/>
      <c r="C5928" s="107"/>
    </row>
    <row r="5929" spans="1:3">
      <c r="A5929" s="3"/>
      <c r="B5929" s="106"/>
      <c r="C5929" s="107"/>
    </row>
    <row r="5930" spans="1:3">
      <c r="A5930" s="3"/>
      <c r="B5930" s="106"/>
      <c r="C5930" s="107"/>
    </row>
    <row r="5931" spans="1:3">
      <c r="A5931" s="3"/>
      <c r="B5931" s="106"/>
      <c r="C5931" s="107"/>
    </row>
    <row r="5932" spans="1:3">
      <c r="A5932" s="3"/>
      <c r="B5932" s="106"/>
      <c r="C5932" s="107"/>
    </row>
    <row r="5933" spans="1:3">
      <c r="A5933" s="3"/>
      <c r="B5933" s="106"/>
      <c r="C5933" s="107"/>
    </row>
    <row r="5934" spans="1:3">
      <c r="A5934" s="3"/>
      <c r="B5934" s="106"/>
      <c r="C5934" s="107"/>
    </row>
    <row r="5935" spans="1:3">
      <c r="A5935" s="3"/>
      <c r="B5935" s="106"/>
      <c r="C5935" s="107"/>
    </row>
    <row r="5936" spans="1:3">
      <c r="A5936" s="3"/>
      <c r="B5936" s="106"/>
      <c r="C5936" s="107"/>
    </row>
    <row r="5937" spans="1:3">
      <c r="A5937" s="3"/>
      <c r="B5937" s="106"/>
      <c r="C5937" s="107"/>
    </row>
    <row r="5938" spans="1:3">
      <c r="A5938" s="3"/>
      <c r="B5938" s="106"/>
      <c r="C5938" s="107"/>
    </row>
    <row r="5939" spans="1:3">
      <c r="A5939" s="3"/>
      <c r="B5939" s="106"/>
      <c r="C5939" s="107"/>
    </row>
    <row r="5940" spans="1:3">
      <c r="A5940" s="3"/>
      <c r="B5940" s="106"/>
      <c r="C5940" s="107"/>
    </row>
    <row r="5941" spans="1:3">
      <c r="A5941" s="3"/>
      <c r="B5941" s="106"/>
      <c r="C5941" s="107"/>
    </row>
    <row r="5942" spans="1:3">
      <c r="A5942" s="3"/>
      <c r="B5942" s="106"/>
      <c r="C5942" s="107"/>
    </row>
    <row r="5943" spans="1:3">
      <c r="A5943" s="3"/>
      <c r="B5943" s="106"/>
      <c r="C5943" s="107"/>
    </row>
    <row r="5944" spans="1:3">
      <c r="A5944" s="3"/>
      <c r="B5944" s="106"/>
      <c r="C5944" s="107"/>
    </row>
    <row r="5945" spans="1:3">
      <c r="A5945" s="3"/>
      <c r="B5945" s="106"/>
      <c r="C5945" s="107"/>
    </row>
    <row r="5946" spans="1:3">
      <c r="A5946" s="3"/>
      <c r="B5946" s="106"/>
      <c r="C5946" s="107"/>
    </row>
    <row r="5947" spans="1:3">
      <c r="A5947" s="3"/>
      <c r="B5947" s="106"/>
      <c r="C5947" s="107"/>
    </row>
    <row r="5948" spans="1:3">
      <c r="A5948" s="3"/>
      <c r="B5948" s="106"/>
      <c r="C5948" s="107"/>
    </row>
    <row r="5949" spans="1:3">
      <c r="A5949" s="3"/>
      <c r="B5949" s="106"/>
      <c r="C5949" s="107"/>
    </row>
    <row r="5950" spans="1:3">
      <c r="A5950" s="3"/>
      <c r="B5950" s="106"/>
      <c r="C5950" s="107"/>
    </row>
    <row r="5951" spans="1:3">
      <c r="A5951" s="3"/>
      <c r="B5951" s="106"/>
      <c r="C5951" s="107"/>
    </row>
    <row r="5952" spans="1:3">
      <c r="A5952" s="3"/>
      <c r="B5952" s="106"/>
      <c r="C5952" s="107"/>
    </row>
    <row r="5953" spans="1:3">
      <c r="A5953" s="3"/>
      <c r="B5953" s="106"/>
      <c r="C5953" s="107"/>
    </row>
    <row r="5954" spans="1:3">
      <c r="A5954" s="3"/>
      <c r="B5954" s="106"/>
      <c r="C5954" s="107"/>
    </row>
    <row r="5955" spans="1:3">
      <c r="A5955" s="3"/>
      <c r="B5955" s="106"/>
      <c r="C5955" s="107"/>
    </row>
    <row r="5956" spans="1:3">
      <c r="A5956" s="3"/>
      <c r="B5956" s="106"/>
      <c r="C5956" s="107"/>
    </row>
    <row r="5957" spans="1:3">
      <c r="A5957" s="3"/>
      <c r="B5957" s="106"/>
      <c r="C5957" s="107"/>
    </row>
    <row r="5958" spans="1:3">
      <c r="A5958" s="3"/>
      <c r="B5958" s="106"/>
      <c r="C5958" s="107"/>
    </row>
    <row r="5959" spans="1:3">
      <c r="A5959" s="3"/>
      <c r="B5959" s="106"/>
      <c r="C5959" s="107"/>
    </row>
    <row r="5960" spans="1:3">
      <c r="A5960" s="3"/>
      <c r="B5960" s="106"/>
      <c r="C5960" s="107"/>
    </row>
    <row r="5961" spans="1:3">
      <c r="A5961" s="3"/>
      <c r="B5961" s="106"/>
      <c r="C5961" s="107"/>
    </row>
    <row r="5962" spans="1:3">
      <c r="A5962" s="3"/>
      <c r="B5962" s="106"/>
      <c r="C5962" s="107"/>
    </row>
    <row r="5963" spans="1:3">
      <c r="A5963" s="3"/>
      <c r="B5963" s="106"/>
      <c r="C5963" s="107"/>
    </row>
    <row r="5964" spans="1:3">
      <c r="A5964" s="3"/>
      <c r="B5964" s="106"/>
      <c r="C5964" s="107"/>
    </row>
    <row r="5965" spans="1:3">
      <c r="A5965" s="3"/>
      <c r="B5965" s="106"/>
      <c r="C5965" s="107"/>
    </row>
    <row r="5966" spans="1:3">
      <c r="A5966" s="3"/>
      <c r="B5966" s="106"/>
      <c r="C5966" s="107"/>
    </row>
    <row r="5967" spans="1:3">
      <c r="A5967" s="3"/>
      <c r="B5967" s="106"/>
      <c r="C5967" s="107"/>
    </row>
    <row r="5968" spans="1:3">
      <c r="A5968" s="3"/>
      <c r="B5968" s="106"/>
      <c r="C5968" s="107"/>
    </row>
    <row r="5969" spans="1:3">
      <c r="A5969" s="3"/>
      <c r="B5969" s="106"/>
      <c r="C5969" s="107"/>
    </row>
    <row r="5970" spans="1:3">
      <c r="A5970" s="3"/>
      <c r="B5970" s="106"/>
      <c r="C5970" s="107"/>
    </row>
    <row r="5971" spans="1:3">
      <c r="A5971" s="3"/>
      <c r="B5971" s="106"/>
      <c r="C5971" s="107"/>
    </row>
    <row r="5972" spans="1:3">
      <c r="A5972" s="3"/>
      <c r="B5972" s="106"/>
      <c r="C5972" s="107"/>
    </row>
    <row r="5973" spans="1:3">
      <c r="A5973" s="3"/>
      <c r="B5973" s="106"/>
      <c r="C5973" s="107"/>
    </row>
    <row r="5974" spans="1:3">
      <c r="A5974" s="3"/>
      <c r="B5974" s="106"/>
      <c r="C5974" s="107"/>
    </row>
    <row r="5975" spans="1:3">
      <c r="A5975" s="3"/>
      <c r="B5975" s="106"/>
      <c r="C5975" s="107"/>
    </row>
    <row r="5976" spans="1:3">
      <c r="A5976" s="3"/>
      <c r="B5976" s="106"/>
      <c r="C5976" s="107"/>
    </row>
    <row r="5977" spans="1:3">
      <c r="A5977" s="3"/>
      <c r="B5977" s="106"/>
      <c r="C5977" s="107"/>
    </row>
    <row r="5978" spans="1:3">
      <c r="A5978" s="3"/>
      <c r="B5978" s="106"/>
      <c r="C5978" s="107"/>
    </row>
    <row r="5979" spans="1:3">
      <c r="A5979" s="3"/>
      <c r="B5979" s="106"/>
      <c r="C5979" s="107"/>
    </row>
    <row r="5980" spans="1:3">
      <c r="A5980" s="3"/>
      <c r="B5980" s="106"/>
      <c r="C5980" s="107"/>
    </row>
    <row r="5981" spans="1:3">
      <c r="A5981" s="3"/>
      <c r="B5981" s="106"/>
      <c r="C5981" s="107"/>
    </row>
    <row r="5982" spans="1:3">
      <c r="A5982" s="3"/>
      <c r="B5982" s="106"/>
      <c r="C5982" s="107"/>
    </row>
    <row r="5983" spans="1:3">
      <c r="A5983" s="3"/>
      <c r="B5983" s="106"/>
      <c r="C5983" s="107"/>
    </row>
    <row r="5984" spans="1:3">
      <c r="A5984" s="3"/>
      <c r="B5984" s="106"/>
      <c r="C5984" s="107"/>
    </row>
    <row r="5985" spans="1:3">
      <c r="A5985" s="3"/>
      <c r="B5985" s="106"/>
      <c r="C5985" s="107"/>
    </row>
    <row r="5986" spans="1:3">
      <c r="A5986" s="3"/>
      <c r="B5986" s="106"/>
      <c r="C5986" s="107"/>
    </row>
    <row r="5987" spans="1:3">
      <c r="A5987" s="3"/>
      <c r="B5987" s="106"/>
      <c r="C5987" s="107"/>
    </row>
    <row r="5988" spans="1:3">
      <c r="A5988" s="3"/>
      <c r="B5988" s="106"/>
      <c r="C5988" s="107"/>
    </row>
    <row r="5989" spans="1:3">
      <c r="A5989" s="3"/>
      <c r="B5989" s="106"/>
      <c r="C5989" s="107"/>
    </row>
    <row r="5990" spans="1:3">
      <c r="A5990" s="3"/>
      <c r="B5990" s="106"/>
      <c r="C5990" s="107"/>
    </row>
    <row r="5991" spans="1:3">
      <c r="A5991" s="3"/>
      <c r="B5991" s="106"/>
      <c r="C5991" s="107"/>
    </row>
    <row r="5992" spans="1:3">
      <c r="A5992" s="3"/>
      <c r="B5992" s="106"/>
      <c r="C5992" s="107"/>
    </row>
    <row r="5993" spans="1:3">
      <c r="A5993" s="3"/>
      <c r="B5993" s="106"/>
      <c r="C5993" s="107"/>
    </row>
    <row r="5994" spans="1:3">
      <c r="A5994" s="3"/>
      <c r="B5994" s="106"/>
      <c r="C5994" s="107"/>
    </row>
    <row r="5995" spans="1:3">
      <c r="A5995" s="3"/>
      <c r="B5995" s="106"/>
      <c r="C5995" s="107"/>
    </row>
    <row r="5996" spans="1:3">
      <c r="A5996" s="3"/>
      <c r="B5996" s="106"/>
      <c r="C5996" s="107"/>
    </row>
    <row r="5997" spans="1:3">
      <c r="A5997" s="3"/>
      <c r="B5997" s="106"/>
      <c r="C5997" s="107"/>
    </row>
    <row r="5998" spans="1:3">
      <c r="A5998" s="3"/>
      <c r="B5998" s="106"/>
      <c r="C5998" s="107"/>
    </row>
    <row r="5999" spans="1:3">
      <c r="A5999" s="3"/>
      <c r="B5999" s="106"/>
      <c r="C5999" s="107"/>
    </row>
    <row r="6000" spans="1:3">
      <c r="A6000" s="3"/>
      <c r="B6000" s="106"/>
      <c r="C6000" s="107"/>
    </row>
    <row r="6001" spans="1:3">
      <c r="A6001" s="3"/>
      <c r="B6001" s="106"/>
      <c r="C6001" s="107"/>
    </row>
    <row r="6002" spans="1:3">
      <c r="A6002" s="3"/>
      <c r="B6002" s="106"/>
      <c r="C6002" s="107"/>
    </row>
    <row r="6003" spans="1:3">
      <c r="A6003" s="3"/>
      <c r="B6003" s="106"/>
      <c r="C6003" s="107"/>
    </row>
    <row r="6004" spans="1:3">
      <c r="A6004" s="3"/>
      <c r="B6004" s="106"/>
      <c r="C6004" s="107"/>
    </row>
    <row r="6005" spans="1:3">
      <c r="A6005" s="3"/>
      <c r="B6005" s="106"/>
      <c r="C6005" s="107"/>
    </row>
    <row r="6006" spans="1:3">
      <c r="A6006" s="3"/>
      <c r="B6006" s="106"/>
      <c r="C6006" s="107"/>
    </row>
    <row r="6007" spans="1:3">
      <c r="A6007" s="3"/>
      <c r="B6007" s="106"/>
      <c r="C6007" s="107"/>
    </row>
    <row r="6008" spans="1:3">
      <c r="A6008" s="3"/>
      <c r="B6008" s="106"/>
      <c r="C6008" s="107"/>
    </row>
    <row r="6009" spans="1:3">
      <c r="A6009" s="3"/>
      <c r="B6009" s="106"/>
      <c r="C6009" s="107"/>
    </row>
    <row r="6010" spans="1:3">
      <c r="A6010" s="3"/>
      <c r="B6010" s="106"/>
      <c r="C6010" s="107"/>
    </row>
    <row r="6011" spans="1:3">
      <c r="A6011" s="3"/>
      <c r="B6011" s="106"/>
      <c r="C6011" s="107"/>
    </row>
    <row r="6012" spans="1:3">
      <c r="A6012" s="3"/>
      <c r="B6012" s="106"/>
      <c r="C6012" s="107"/>
    </row>
    <row r="6013" spans="1:3">
      <c r="A6013" s="3"/>
      <c r="B6013" s="106"/>
      <c r="C6013" s="107"/>
    </row>
    <row r="6014" spans="1:3">
      <c r="A6014" s="3"/>
      <c r="B6014" s="106"/>
      <c r="C6014" s="107"/>
    </row>
    <row r="6015" spans="1:3">
      <c r="A6015" s="3"/>
      <c r="B6015" s="106"/>
      <c r="C6015" s="107"/>
    </row>
    <row r="6016" spans="1:3">
      <c r="A6016" s="3"/>
      <c r="B6016" s="106"/>
      <c r="C6016" s="107"/>
    </row>
    <row r="6017" spans="1:3">
      <c r="A6017" s="3"/>
      <c r="B6017" s="106"/>
      <c r="C6017" s="107"/>
    </row>
    <row r="6018" spans="1:3">
      <c r="A6018" s="3"/>
      <c r="B6018" s="106"/>
      <c r="C6018" s="107"/>
    </row>
    <row r="6019" spans="1:3">
      <c r="A6019" s="3"/>
      <c r="B6019" s="106"/>
      <c r="C6019" s="107"/>
    </row>
    <row r="6020" spans="1:3">
      <c r="A6020" s="3"/>
      <c r="B6020" s="106"/>
      <c r="C6020" s="107"/>
    </row>
    <row r="6021" spans="1:3">
      <c r="A6021" s="3"/>
      <c r="B6021" s="106"/>
      <c r="C6021" s="107"/>
    </row>
    <row r="6022" spans="1:3">
      <c r="A6022" s="3"/>
      <c r="B6022" s="106"/>
      <c r="C6022" s="107"/>
    </row>
    <row r="6023" spans="1:3">
      <c r="A6023" s="3"/>
      <c r="B6023" s="106"/>
      <c r="C6023" s="107"/>
    </row>
    <row r="6024" spans="1:3">
      <c r="A6024" s="3"/>
      <c r="B6024" s="106"/>
      <c r="C6024" s="107"/>
    </row>
    <row r="6025" spans="1:3">
      <c r="A6025" s="3"/>
      <c r="B6025" s="106"/>
      <c r="C6025" s="107"/>
    </row>
    <row r="6026" spans="1:3">
      <c r="A6026" s="3"/>
      <c r="B6026" s="106"/>
      <c r="C6026" s="107"/>
    </row>
    <row r="6027" spans="1:3">
      <c r="A6027" s="3"/>
      <c r="B6027" s="106"/>
      <c r="C6027" s="107"/>
    </row>
    <row r="6028" spans="1:3">
      <c r="A6028" s="3"/>
      <c r="B6028" s="106"/>
      <c r="C6028" s="107"/>
    </row>
    <row r="6029" spans="1:3">
      <c r="A6029" s="3"/>
      <c r="B6029" s="106"/>
      <c r="C6029" s="107"/>
    </row>
    <row r="6030" spans="1:3">
      <c r="A6030" s="3"/>
      <c r="B6030" s="106"/>
      <c r="C6030" s="107"/>
    </row>
    <row r="6031" spans="1:3">
      <c r="A6031" s="3"/>
      <c r="B6031" s="106"/>
      <c r="C6031" s="107"/>
    </row>
    <row r="6032" spans="1:3">
      <c r="A6032" s="3"/>
      <c r="B6032" s="106"/>
      <c r="C6032" s="107"/>
    </row>
    <row r="6033" spans="1:3">
      <c r="A6033" s="3"/>
      <c r="B6033" s="106"/>
      <c r="C6033" s="107"/>
    </row>
    <row r="6034" spans="1:3">
      <c r="A6034" s="3"/>
      <c r="B6034" s="106"/>
      <c r="C6034" s="107"/>
    </row>
    <row r="6035" spans="1:3">
      <c r="A6035" s="3"/>
      <c r="B6035" s="106"/>
      <c r="C6035" s="107"/>
    </row>
    <row r="6036" spans="1:3">
      <c r="A6036" s="3"/>
      <c r="B6036" s="106"/>
      <c r="C6036" s="107"/>
    </row>
    <row r="6037" spans="1:3">
      <c r="A6037" s="3"/>
      <c r="B6037" s="106"/>
      <c r="C6037" s="107"/>
    </row>
    <row r="6038" spans="1:3">
      <c r="A6038" s="3"/>
      <c r="B6038" s="106"/>
      <c r="C6038" s="107"/>
    </row>
    <row r="6039" spans="1:3">
      <c r="A6039" s="3"/>
      <c r="B6039" s="106"/>
      <c r="C6039" s="107"/>
    </row>
    <row r="6040" spans="1:3">
      <c r="A6040" s="3"/>
      <c r="B6040" s="106"/>
      <c r="C6040" s="107"/>
    </row>
    <row r="6041" spans="1:3">
      <c r="A6041" s="3"/>
      <c r="B6041" s="106"/>
      <c r="C6041" s="107"/>
    </row>
    <row r="6042" spans="1:3">
      <c r="A6042" s="3"/>
      <c r="B6042" s="106"/>
      <c r="C6042" s="107"/>
    </row>
    <row r="6043" spans="1:3">
      <c r="A6043" s="3"/>
      <c r="B6043" s="106"/>
      <c r="C6043" s="107"/>
    </row>
    <row r="6044" spans="1:3">
      <c r="A6044" s="3"/>
      <c r="B6044" s="106"/>
      <c r="C6044" s="107"/>
    </row>
    <row r="6045" spans="1:3">
      <c r="A6045" s="3"/>
      <c r="B6045" s="106"/>
      <c r="C6045" s="107"/>
    </row>
    <row r="6046" spans="1:3">
      <c r="A6046" s="3"/>
      <c r="B6046" s="106"/>
      <c r="C6046" s="107"/>
    </row>
    <row r="6047" spans="1:3">
      <c r="A6047" s="3"/>
      <c r="B6047" s="106"/>
      <c r="C6047" s="107"/>
    </row>
    <row r="6048" spans="1:3">
      <c r="A6048" s="3"/>
      <c r="B6048" s="106"/>
      <c r="C6048" s="107"/>
    </row>
    <row r="6049" spans="1:3">
      <c r="A6049" s="3"/>
      <c r="B6049" s="106"/>
      <c r="C6049" s="107"/>
    </row>
    <row r="6050" spans="1:3">
      <c r="A6050" s="3"/>
      <c r="B6050" s="106"/>
      <c r="C6050" s="107"/>
    </row>
    <row r="6051" spans="1:3">
      <c r="A6051" s="3"/>
      <c r="B6051" s="106"/>
      <c r="C6051" s="107"/>
    </row>
    <row r="6052" spans="1:3">
      <c r="A6052" s="3"/>
      <c r="B6052" s="106"/>
      <c r="C6052" s="107"/>
    </row>
    <row r="6053" spans="1:3">
      <c r="A6053" s="3"/>
      <c r="B6053" s="106"/>
      <c r="C6053" s="107"/>
    </row>
    <row r="6054" spans="1:3">
      <c r="A6054" s="3"/>
      <c r="B6054" s="106"/>
      <c r="C6054" s="107"/>
    </row>
    <row r="6055" spans="1:3">
      <c r="A6055" s="3"/>
      <c r="B6055" s="106"/>
      <c r="C6055" s="107"/>
    </row>
    <row r="6056" spans="1:3">
      <c r="A6056" s="3"/>
      <c r="B6056" s="106"/>
      <c r="C6056" s="107"/>
    </row>
    <row r="6057" spans="1:3">
      <c r="A6057" s="3"/>
      <c r="B6057" s="106"/>
      <c r="C6057" s="107"/>
    </row>
    <row r="6058" spans="1:3">
      <c r="A6058" s="3"/>
      <c r="B6058" s="106"/>
      <c r="C6058" s="107"/>
    </row>
    <row r="6059" spans="1:3">
      <c r="A6059" s="3"/>
      <c r="B6059" s="106"/>
      <c r="C6059" s="107"/>
    </row>
    <row r="6060" spans="1:3">
      <c r="A6060" s="3"/>
      <c r="B6060" s="106"/>
      <c r="C6060" s="107"/>
    </row>
    <row r="6061" spans="1:3">
      <c r="A6061" s="3"/>
      <c r="B6061" s="106"/>
      <c r="C6061" s="107"/>
    </row>
    <row r="6062" spans="1:3">
      <c r="A6062" s="3"/>
      <c r="B6062" s="106"/>
      <c r="C6062" s="107"/>
    </row>
    <row r="6063" spans="1:3">
      <c r="A6063" s="3"/>
      <c r="B6063" s="106"/>
      <c r="C6063" s="107"/>
    </row>
    <row r="6064" spans="1:3">
      <c r="A6064" s="3"/>
      <c r="B6064" s="106"/>
      <c r="C6064" s="107"/>
    </row>
    <row r="6065" spans="1:3">
      <c r="A6065" s="3"/>
      <c r="B6065" s="106"/>
      <c r="C6065" s="107"/>
    </row>
    <row r="6066" spans="1:3">
      <c r="A6066" s="3"/>
      <c r="B6066" s="106"/>
      <c r="C6066" s="107"/>
    </row>
    <row r="6067" spans="1:3">
      <c r="A6067" s="3"/>
      <c r="B6067" s="106"/>
      <c r="C6067" s="107"/>
    </row>
    <row r="6068" spans="1:3">
      <c r="A6068" s="3"/>
      <c r="B6068" s="106"/>
      <c r="C6068" s="107"/>
    </row>
    <row r="6069" spans="1:3">
      <c r="A6069" s="3"/>
      <c r="B6069" s="106"/>
      <c r="C6069" s="107"/>
    </row>
    <row r="6070" spans="1:3">
      <c r="A6070" s="3"/>
      <c r="B6070" s="106"/>
      <c r="C6070" s="107"/>
    </row>
    <row r="6071" spans="1:3">
      <c r="A6071" s="3"/>
      <c r="B6071" s="106"/>
      <c r="C6071" s="107"/>
    </row>
    <row r="6072" spans="1:3">
      <c r="A6072" s="3"/>
      <c r="B6072" s="106"/>
      <c r="C6072" s="107"/>
    </row>
    <row r="6073" spans="1:3">
      <c r="A6073" s="3"/>
      <c r="B6073" s="106"/>
      <c r="C6073" s="107"/>
    </row>
    <row r="6074" spans="1:3">
      <c r="A6074" s="3"/>
      <c r="B6074" s="106"/>
      <c r="C6074" s="107"/>
    </row>
    <row r="6075" spans="1:3">
      <c r="A6075" s="3"/>
      <c r="B6075" s="106"/>
      <c r="C6075" s="107"/>
    </row>
    <row r="6076" spans="1:3">
      <c r="A6076" s="3"/>
      <c r="B6076" s="106"/>
      <c r="C6076" s="107"/>
    </row>
    <row r="6077" spans="1:3">
      <c r="A6077" s="3"/>
      <c r="B6077" s="106"/>
      <c r="C6077" s="107"/>
    </row>
    <row r="6078" spans="1:3">
      <c r="A6078" s="3"/>
      <c r="B6078" s="106"/>
      <c r="C6078" s="107"/>
    </row>
    <row r="6079" spans="1:3">
      <c r="A6079" s="3"/>
      <c r="B6079" s="106"/>
      <c r="C6079" s="107"/>
    </row>
    <row r="6080" spans="1:3">
      <c r="A6080" s="3"/>
      <c r="B6080" s="106"/>
      <c r="C6080" s="107"/>
    </row>
    <row r="6081" spans="1:3">
      <c r="A6081" s="3"/>
      <c r="B6081" s="106"/>
      <c r="C6081" s="107"/>
    </row>
    <row r="6082" spans="1:3">
      <c r="A6082" s="3"/>
      <c r="B6082" s="106"/>
      <c r="C6082" s="107"/>
    </row>
    <row r="6083" spans="1:3">
      <c r="A6083" s="3"/>
      <c r="B6083" s="106"/>
      <c r="C6083" s="107"/>
    </row>
    <row r="6084" spans="1:3">
      <c r="A6084" s="3"/>
      <c r="B6084" s="106"/>
      <c r="C6084" s="107"/>
    </row>
    <row r="6085" spans="1:3">
      <c r="A6085" s="3"/>
      <c r="B6085" s="106"/>
      <c r="C6085" s="107"/>
    </row>
    <row r="6086" spans="1:3">
      <c r="A6086" s="3"/>
      <c r="B6086" s="106"/>
      <c r="C6086" s="107"/>
    </row>
    <row r="6087" spans="1:3">
      <c r="A6087" s="3"/>
      <c r="B6087" s="106"/>
      <c r="C6087" s="107"/>
    </row>
    <row r="6088" spans="1:3">
      <c r="A6088" s="3"/>
      <c r="B6088" s="106"/>
      <c r="C6088" s="107"/>
    </row>
    <row r="6089" spans="1:3">
      <c r="A6089" s="3"/>
      <c r="B6089" s="106"/>
      <c r="C6089" s="107"/>
    </row>
    <row r="6090" spans="1:3">
      <c r="A6090" s="3"/>
      <c r="B6090" s="106"/>
      <c r="C6090" s="107"/>
    </row>
    <row r="6091" spans="1:3">
      <c r="A6091" s="3"/>
      <c r="B6091" s="106"/>
      <c r="C6091" s="107"/>
    </row>
    <row r="6092" spans="1:3">
      <c r="A6092" s="3"/>
      <c r="B6092" s="106"/>
      <c r="C6092" s="107"/>
    </row>
    <row r="6093" spans="1:3">
      <c r="A6093" s="3"/>
      <c r="B6093" s="106"/>
      <c r="C6093" s="107"/>
    </row>
    <row r="6094" spans="1:3">
      <c r="A6094" s="3"/>
      <c r="B6094" s="106"/>
      <c r="C6094" s="107"/>
    </row>
    <row r="6095" spans="1:3">
      <c r="A6095" s="3"/>
      <c r="B6095" s="106"/>
      <c r="C6095" s="107"/>
    </row>
    <row r="6096" spans="1:3">
      <c r="A6096" s="3"/>
      <c r="B6096" s="106"/>
      <c r="C6096" s="107"/>
    </row>
    <row r="6097" spans="1:3">
      <c r="A6097" s="3"/>
      <c r="B6097" s="106"/>
      <c r="C6097" s="107"/>
    </row>
    <row r="6098" spans="1:3">
      <c r="A6098" s="3"/>
      <c r="B6098" s="106"/>
      <c r="C6098" s="107"/>
    </row>
    <row r="6099" spans="1:3">
      <c r="A6099" s="3"/>
      <c r="B6099" s="106"/>
      <c r="C6099" s="107"/>
    </row>
    <row r="6100" spans="1:3">
      <c r="A6100" s="3"/>
      <c r="B6100" s="106"/>
      <c r="C6100" s="107"/>
    </row>
    <row r="6101" spans="1:3">
      <c r="A6101" s="3"/>
      <c r="B6101" s="106"/>
      <c r="C6101" s="107"/>
    </row>
    <row r="6102" spans="1:3">
      <c r="A6102" s="3"/>
      <c r="B6102" s="106"/>
      <c r="C6102" s="107"/>
    </row>
    <row r="6103" spans="1:3">
      <c r="A6103" s="3"/>
      <c r="B6103" s="106"/>
      <c r="C6103" s="107"/>
    </row>
    <row r="6104" spans="1:3">
      <c r="A6104" s="3"/>
      <c r="B6104" s="106"/>
      <c r="C6104" s="107"/>
    </row>
    <row r="6105" spans="1:3">
      <c r="A6105" s="3"/>
      <c r="B6105" s="106"/>
      <c r="C6105" s="107"/>
    </row>
    <row r="6106" spans="1:3">
      <c r="A6106" s="3"/>
      <c r="B6106" s="106"/>
      <c r="C6106" s="107"/>
    </row>
    <row r="6107" spans="1:3">
      <c r="A6107" s="3"/>
      <c r="B6107" s="106"/>
      <c r="C6107" s="107"/>
    </row>
    <row r="6108" spans="1:3">
      <c r="A6108" s="3"/>
      <c r="B6108" s="106"/>
      <c r="C6108" s="107"/>
    </row>
    <row r="6109" spans="1:3">
      <c r="A6109" s="3"/>
      <c r="B6109" s="106"/>
      <c r="C6109" s="107"/>
    </row>
    <row r="6110" spans="1:3">
      <c r="A6110" s="3"/>
      <c r="B6110" s="106"/>
      <c r="C6110" s="107"/>
    </row>
    <row r="6111" spans="1:3">
      <c r="A6111" s="3"/>
      <c r="B6111" s="106"/>
      <c r="C6111" s="107"/>
    </row>
    <row r="6112" spans="1:3">
      <c r="A6112" s="3"/>
      <c r="B6112" s="106"/>
      <c r="C6112" s="107"/>
    </row>
    <row r="6113" spans="1:3">
      <c r="A6113" s="3"/>
      <c r="B6113" s="106"/>
      <c r="C6113" s="107"/>
    </row>
    <row r="6114" spans="1:3">
      <c r="A6114" s="3"/>
      <c r="B6114" s="106"/>
      <c r="C6114" s="107"/>
    </row>
    <row r="6115" spans="1:3">
      <c r="A6115" s="3"/>
      <c r="B6115" s="106"/>
      <c r="C6115" s="107"/>
    </row>
    <row r="6116" spans="1:3">
      <c r="A6116" s="3"/>
      <c r="B6116" s="106"/>
      <c r="C6116" s="107"/>
    </row>
    <row r="6117" spans="1:3">
      <c r="A6117" s="3"/>
      <c r="B6117" s="106"/>
      <c r="C6117" s="107"/>
    </row>
    <row r="6118" spans="1:3">
      <c r="A6118" s="3"/>
      <c r="B6118" s="106"/>
      <c r="C6118" s="107"/>
    </row>
    <row r="6119" spans="1:3">
      <c r="A6119" s="3"/>
      <c r="B6119" s="106"/>
      <c r="C6119" s="107"/>
    </row>
    <row r="6120" spans="1:3">
      <c r="A6120" s="3"/>
      <c r="B6120" s="106"/>
      <c r="C6120" s="107"/>
    </row>
    <row r="6121" spans="1:3">
      <c r="A6121" s="3"/>
      <c r="B6121" s="106"/>
      <c r="C6121" s="107"/>
    </row>
    <row r="6122" spans="1:3">
      <c r="A6122" s="3"/>
      <c r="B6122" s="106"/>
      <c r="C6122" s="107"/>
    </row>
    <row r="6123" spans="1:3">
      <c r="A6123" s="3"/>
      <c r="B6123" s="106"/>
      <c r="C6123" s="107"/>
    </row>
    <row r="6124" spans="1:3">
      <c r="A6124" s="3"/>
      <c r="B6124" s="106"/>
      <c r="C6124" s="107"/>
    </row>
    <row r="6125" spans="1:3">
      <c r="A6125" s="3"/>
      <c r="B6125" s="106"/>
      <c r="C6125" s="107"/>
    </row>
    <row r="6126" spans="1:3">
      <c r="A6126" s="3"/>
      <c r="B6126" s="106"/>
      <c r="C6126" s="107"/>
    </row>
    <row r="6127" spans="1:3">
      <c r="A6127" s="3"/>
      <c r="B6127" s="106"/>
      <c r="C6127" s="107"/>
    </row>
    <row r="6128" spans="1:3">
      <c r="A6128" s="3"/>
      <c r="B6128" s="106"/>
      <c r="C6128" s="107"/>
    </row>
    <row r="6129" spans="1:3">
      <c r="A6129" s="3"/>
      <c r="B6129" s="106"/>
      <c r="C6129" s="107"/>
    </row>
    <row r="6130" spans="1:3">
      <c r="A6130" s="3"/>
      <c r="B6130" s="106"/>
      <c r="C6130" s="107"/>
    </row>
    <row r="6131" spans="1:3">
      <c r="A6131" s="3"/>
      <c r="B6131" s="106"/>
      <c r="C6131" s="107"/>
    </row>
    <row r="6132" spans="1:3">
      <c r="A6132" s="3"/>
      <c r="B6132" s="106"/>
      <c r="C6132" s="107"/>
    </row>
    <row r="6133" spans="1:3">
      <c r="A6133" s="3"/>
      <c r="B6133" s="106"/>
      <c r="C6133" s="107"/>
    </row>
    <row r="6134" spans="1:3">
      <c r="A6134" s="3"/>
      <c r="B6134" s="106"/>
      <c r="C6134" s="107"/>
    </row>
    <row r="6135" spans="1:3">
      <c r="A6135" s="3"/>
      <c r="B6135" s="106"/>
      <c r="C6135" s="107"/>
    </row>
    <row r="6136" spans="1:3">
      <c r="A6136" s="3"/>
      <c r="B6136" s="106"/>
      <c r="C6136" s="107"/>
    </row>
    <row r="6137" spans="1:3">
      <c r="A6137" s="3"/>
      <c r="B6137" s="106"/>
      <c r="C6137" s="107"/>
    </row>
    <row r="6138" spans="1:3">
      <c r="A6138" s="3"/>
      <c r="B6138" s="106"/>
      <c r="C6138" s="107"/>
    </row>
    <row r="6139" spans="1:3">
      <c r="A6139" s="3"/>
      <c r="B6139" s="106"/>
      <c r="C6139" s="107"/>
    </row>
    <row r="6140" spans="1:3">
      <c r="A6140" s="3"/>
      <c r="B6140" s="106"/>
      <c r="C6140" s="107"/>
    </row>
    <row r="6141" spans="1:3">
      <c r="A6141" s="3"/>
      <c r="B6141" s="106"/>
      <c r="C6141" s="107"/>
    </row>
    <row r="6142" spans="1:3">
      <c r="A6142" s="3"/>
      <c r="B6142" s="106"/>
      <c r="C6142" s="107"/>
    </row>
    <row r="6143" spans="1:3">
      <c r="A6143" s="3"/>
      <c r="B6143" s="106"/>
      <c r="C6143" s="107"/>
    </row>
    <row r="6144" spans="1:3">
      <c r="A6144" s="3"/>
      <c r="B6144" s="106"/>
      <c r="C6144" s="107"/>
    </row>
    <row r="6145" spans="1:3">
      <c r="A6145" s="3"/>
      <c r="B6145" s="106"/>
      <c r="C6145" s="107"/>
    </row>
    <row r="6146" spans="1:3">
      <c r="A6146" s="3"/>
      <c r="B6146" s="106"/>
      <c r="C6146" s="107"/>
    </row>
    <row r="6147" spans="1:3">
      <c r="A6147" s="3"/>
      <c r="B6147" s="106"/>
      <c r="C6147" s="107"/>
    </row>
    <row r="6148" spans="1:3">
      <c r="A6148" s="3"/>
      <c r="B6148" s="106"/>
      <c r="C6148" s="107"/>
    </row>
    <row r="6149" spans="1:3">
      <c r="A6149" s="3"/>
      <c r="B6149" s="106"/>
      <c r="C6149" s="107"/>
    </row>
    <row r="6150" spans="1:3">
      <c r="A6150" s="3"/>
      <c r="B6150" s="106"/>
      <c r="C6150" s="107"/>
    </row>
    <row r="6151" spans="1:3">
      <c r="A6151" s="3"/>
      <c r="B6151" s="106"/>
      <c r="C6151" s="107"/>
    </row>
    <row r="6152" spans="1:3">
      <c r="A6152" s="3"/>
      <c r="B6152" s="106"/>
      <c r="C6152" s="107"/>
    </row>
    <row r="6153" spans="1:3">
      <c r="A6153" s="3"/>
      <c r="B6153" s="106"/>
      <c r="C6153" s="107"/>
    </row>
    <row r="6154" spans="1:3">
      <c r="A6154" s="3"/>
      <c r="B6154" s="106"/>
      <c r="C6154" s="107"/>
    </row>
    <row r="6155" spans="1:3">
      <c r="A6155" s="3"/>
      <c r="B6155" s="106"/>
      <c r="C6155" s="107"/>
    </row>
    <row r="6156" spans="1:3">
      <c r="A6156" s="3"/>
      <c r="B6156" s="106"/>
      <c r="C6156" s="107"/>
    </row>
    <row r="6157" spans="1:3">
      <c r="A6157" s="3"/>
      <c r="B6157" s="106"/>
      <c r="C6157" s="107"/>
    </row>
    <row r="6158" spans="1:3">
      <c r="A6158" s="3"/>
      <c r="B6158" s="106"/>
      <c r="C6158" s="107"/>
    </row>
    <row r="6159" spans="1:3">
      <c r="A6159" s="3"/>
      <c r="B6159" s="106"/>
      <c r="C6159" s="107"/>
    </row>
    <row r="6160" spans="1:3">
      <c r="A6160" s="3"/>
      <c r="B6160" s="106"/>
      <c r="C6160" s="107"/>
    </row>
    <row r="6161" spans="1:3">
      <c r="A6161" s="3"/>
      <c r="B6161" s="106"/>
      <c r="C6161" s="107"/>
    </row>
    <row r="6162" spans="1:3">
      <c r="A6162" s="3"/>
      <c r="B6162" s="106"/>
      <c r="C6162" s="107"/>
    </row>
    <row r="6163" spans="1:3">
      <c r="A6163" s="3"/>
      <c r="B6163" s="106"/>
      <c r="C6163" s="107"/>
    </row>
    <row r="6164" spans="1:3">
      <c r="A6164" s="3"/>
      <c r="B6164" s="106"/>
      <c r="C6164" s="107"/>
    </row>
    <row r="6165" spans="1:3">
      <c r="A6165" s="3"/>
      <c r="B6165" s="106"/>
      <c r="C6165" s="107"/>
    </row>
    <row r="6166" spans="1:3">
      <c r="A6166" s="3"/>
      <c r="B6166" s="106"/>
      <c r="C6166" s="107"/>
    </row>
    <row r="6167" spans="1:3">
      <c r="A6167" s="3"/>
      <c r="B6167" s="106"/>
      <c r="C6167" s="107"/>
    </row>
    <row r="6168" spans="1:3">
      <c r="A6168" s="3"/>
      <c r="B6168" s="106"/>
      <c r="C6168" s="107"/>
    </row>
    <row r="6169" spans="1:3">
      <c r="A6169" s="3"/>
      <c r="B6169" s="106"/>
      <c r="C6169" s="107"/>
    </row>
    <row r="6170" spans="1:3">
      <c r="A6170" s="3"/>
      <c r="B6170" s="106"/>
      <c r="C6170" s="107"/>
    </row>
    <row r="6171" spans="1:3">
      <c r="A6171" s="3"/>
      <c r="B6171" s="106"/>
      <c r="C6171" s="107"/>
    </row>
    <row r="6172" spans="1:3">
      <c r="A6172" s="3"/>
      <c r="B6172" s="106"/>
      <c r="C6172" s="107"/>
    </row>
    <row r="6173" spans="1:3">
      <c r="A6173" s="3"/>
      <c r="B6173" s="106"/>
      <c r="C6173" s="107"/>
    </row>
    <row r="6174" spans="1:3">
      <c r="A6174" s="3"/>
      <c r="B6174" s="106"/>
      <c r="C6174" s="107"/>
    </row>
    <row r="6175" spans="1:3">
      <c r="A6175" s="3"/>
      <c r="B6175" s="106"/>
      <c r="C6175" s="107"/>
    </row>
    <row r="6176" spans="1:3">
      <c r="A6176" s="3"/>
      <c r="B6176" s="106"/>
      <c r="C6176" s="107"/>
    </row>
    <row r="6177" spans="1:3">
      <c r="A6177" s="3"/>
      <c r="B6177" s="106"/>
      <c r="C6177" s="107"/>
    </row>
    <row r="6178" spans="1:3">
      <c r="A6178" s="3"/>
      <c r="B6178" s="106"/>
      <c r="C6178" s="107"/>
    </row>
    <row r="6179" spans="1:3">
      <c r="A6179" s="3"/>
      <c r="B6179" s="106"/>
      <c r="C6179" s="107"/>
    </row>
    <row r="6180" spans="1:3">
      <c r="A6180" s="3"/>
      <c r="B6180" s="106"/>
      <c r="C6180" s="107"/>
    </row>
    <row r="6181" spans="1:3">
      <c r="A6181" s="3"/>
      <c r="B6181" s="106"/>
      <c r="C6181" s="107"/>
    </row>
    <row r="6182" spans="1:3">
      <c r="A6182" s="3"/>
      <c r="B6182" s="106"/>
      <c r="C6182" s="107"/>
    </row>
    <row r="6183" spans="1:3">
      <c r="A6183" s="3"/>
      <c r="B6183" s="106"/>
      <c r="C6183" s="107"/>
    </row>
    <row r="6184" spans="1:3">
      <c r="A6184" s="3"/>
      <c r="B6184" s="106"/>
      <c r="C6184" s="107"/>
    </row>
    <row r="6185" spans="1:3">
      <c r="A6185" s="3"/>
      <c r="B6185" s="106"/>
      <c r="C6185" s="107"/>
    </row>
    <row r="6186" spans="1:3">
      <c r="A6186" s="3"/>
      <c r="B6186" s="106"/>
      <c r="C6186" s="107"/>
    </row>
    <row r="6187" spans="1:3">
      <c r="A6187" s="3"/>
      <c r="B6187" s="106"/>
      <c r="C6187" s="107"/>
    </row>
    <row r="6188" spans="1:3">
      <c r="A6188" s="3"/>
      <c r="B6188" s="106"/>
      <c r="C6188" s="107"/>
    </row>
    <row r="6189" spans="1:3">
      <c r="A6189" s="3"/>
      <c r="B6189" s="106"/>
      <c r="C6189" s="107"/>
    </row>
    <row r="6190" spans="1:3">
      <c r="A6190" s="3"/>
      <c r="B6190" s="106"/>
      <c r="C6190" s="107"/>
    </row>
    <row r="6191" spans="1:3">
      <c r="A6191" s="3"/>
      <c r="B6191" s="106"/>
      <c r="C6191" s="107"/>
    </row>
    <row r="6192" spans="1:3">
      <c r="A6192" s="3"/>
      <c r="B6192" s="106"/>
      <c r="C6192" s="107"/>
    </row>
    <row r="6193" spans="1:3">
      <c r="A6193" s="3"/>
      <c r="B6193" s="106"/>
      <c r="C6193" s="107"/>
    </row>
    <row r="6194" spans="1:3">
      <c r="A6194" s="3"/>
      <c r="B6194" s="106"/>
      <c r="C6194" s="107"/>
    </row>
    <row r="6195" spans="1:3">
      <c r="A6195" s="3"/>
      <c r="B6195" s="106"/>
      <c r="C6195" s="107"/>
    </row>
    <row r="6196" spans="1:3">
      <c r="A6196" s="3"/>
      <c r="B6196" s="106"/>
      <c r="C6196" s="107"/>
    </row>
    <row r="6197" spans="1:3">
      <c r="A6197" s="3"/>
      <c r="B6197" s="106"/>
      <c r="C6197" s="107"/>
    </row>
    <row r="6198" spans="1:3">
      <c r="A6198" s="3"/>
      <c r="B6198" s="106"/>
      <c r="C6198" s="107"/>
    </row>
    <row r="6199" spans="1:3">
      <c r="A6199" s="3"/>
      <c r="B6199" s="106"/>
      <c r="C6199" s="107"/>
    </row>
    <row r="6200" spans="1:3">
      <c r="A6200" s="3"/>
      <c r="B6200" s="106"/>
      <c r="C6200" s="107"/>
    </row>
    <row r="6201" spans="1:3">
      <c r="A6201" s="3"/>
      <c r="B6201" s="106"/>
      <c r="C6201" s="107"/>
    </row>
    <row r="6202" spans="1:3">
      <c r="A6202" s="3"/>
      <c r="B6202" s="106"/>
      <c r="C6202" s="107"/>
    </row>
    <row r="6203" spans="1:3">
      <c r="A6203" s="3"/>
      <c r="B6203" s="106"/>
      <c r="C6203" s="107"/>
    </row>
    <row r="6204" spans="1:3">
      <c r="A6204" s="3"/>
      <c r="B6204" s="106"/>
      <c r="C6204" s="107"/>
    </row>
    <row r="6205" spans="1:3">
      <c r="A6205" s="3"/>
      <c r="B6205" s="106"/>
      <c r="C6205" s="107"/>
    </row>
    <row r="6206" spans="1:3">
      <c r="A6206" s="3"/>
      <c r="B6206" s="106"/>
      <c r="C6206" s="107"/>
    </row>
    <row r="6207" spans="1:3">
      <c r="A6207" s="3"/>
      <c r="B6207" s="106"/>
      <c r="C6207" s="107"/>
    </row>
    <row r="6208" spans="1:3">
      <c r="A6208" s="3"/>
      <c r="B6208" s="106"/>
      <c r="C6208" s="107"/>
    </row>
    <row r="6209" spans="1:3">
      <c r="A6209" s="3"/>
      <c r="B6209" s="106"/>
      <c r="C6209" s="107"/>
    </row>
    <row r="6210" spans="1:3">
      <c r="A6210" s="3"/>
      <c r="B6210" s="106"/>
      <c r="C6210" s="107"/>
    </row>
    <row r="6211" spans="1:3">
      <c r="A6211" s="3"/>
      <c r="B6211" s="106"/>
      <c r="C6211" s="107"/>
    </row>
  </sheetData>
  <conditionalFormatting sqref="B1">
    <cfRule type="cellIs" dxfId="1" priority="1" stopIfTrue="1" operator="equal">
      <formula>1</formula>
    </cfRule>
  </conditionalFormatting>
  <pageMargins left="0.511811024" right="0.511811024" top="0.78740157499999996" bottom="0.78740157499999996" header="0.31496062000000002" footer="0.3149606200000000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Plan17"/>
  <dimension ref="A1:AV25"/>
  <sheetViews>
    <sheetView workbookViewId="0">
      <pane xSplit="2" ySplit="1" topLeftCell="C2" activePane="bottomRight" state="frozen"/>
      <selection pane="bottomRight" activeCell="C8" sqref="C8:AO8"/>
      <selection pane="bottomLeft" activeCell="A2" sqref="A2"/>
      <selection pane="topRight" activeCell="C1" sqref="C1"/>
    </sheetView>
  </sheetViews>
  <sheetFormatPr defaultRowHeight="12.75"/>
  <cols>
    <col min="1" max="1" width="19.7109375" bestFit="1" customWidth="1"/>
    <col min="2" max="2" width="12.28515625" customWidth="1"/>
    <col min="23" max="48" width="9.5703125" bestFit="1" customWidth="1"/>
  </cols>
  <sheetData>
    <row r="1" spans="1:41" s="135" customFormat="1">
      <c r="A1" s="278" t="s">
        <v>9</v>
      </c>
      <c r="B1" s="276" t="s">
        <v>37</v>
      </c>
      <c r="C1" s="276">
        <v>2012</v>
      </c>
      <c r="D1" s="276">
        <v>2013</v>
      </c>
      <c r="E1" s="276">
        <v>2014</v>
      </c>
      <c r="F1" s="276">
        <v>2015</v>
      </c>
      <c r="G1" s="276">
        <v>2016</v>
      </c>
      <c r="H1" s="276">
        <v>2017</v>
      </c>
      <c r="I1" s="276">
        <v>2018</v>
      </c>
      <c r="J1" s="276">
        <v>2019</v>
      </c>
      <c r="K1" s="276">
        <v>2020</v>
      </c>
      <c r="L1" s="276">
        <v>2021</v>
      </c>
      <c r="M1" s="276">
        <v>2022</v>
      </c>
      <c r="N1" s="276">
        <v>2023</v>
      </c>
      <c r="O1" s="276">
        <v>2024</v>
      </c>
      <c r="P1" s="276">
        <v>2025</v>
      </c>
      <c r="Q1" s="276">
        <v>2026</v>
      </c>
      <c r="R1" s="276">
        <v>2027</v>
      </c>
      <c r="S1" s="276">
        <v>2028</v>
      </c>
      <c r="T1" s="276">
        <v>2029</v>
      </c>
      <c r="U1" s="276">
        <v>2030</v>
      </c>
      <c r="V1" s="276">
        <v>2031</v>
      </c>
      <c r="W1" s="276">
        <v>2032</v>
      </c>
      <c r="X1" s="276">
        <v>2033</v>
      </c>
      <c r="Y1" s="276">
        <v>2034</v>
      </c>
      <c r="Z1" s="276">
        <v>2035</v>
      </c>
      <c r="AA1" s="276">
        <v>2036</v>
      </c>
      <c r="AB1" s="276">
        <v>2037</v>
      </c>
      <c r="AC1" s="276">
        <v>2038</v>
      </c>
      <c r="AD1" s="276">
        <v>2039</v>
      </c>
      <c r="AE1" s="276">
        <v>2040</v>
      </c>
      <c r="AF1" s="276">
        <v>2041</v>
      </c>
      <c r="AG1" s="276">
        <v>2042</v>
      </c>
      <c r="AH1" s="276">
        <v>2043</v>
      </c>
      <c r="AI1" s="276">
        <v>2044</v>
      </c>
      <c r="AJ1" s="276">
        <v>2045</v>
      </c>
      <c r="AK1" s="276">
        <v>2046</v>
      </c>
      <c r="AL1" s="276">
        <v>2047</v>
      </c>
      <c r="AM1" s="276">
        <v>2048</v>
      </c>
      <c r="AN1" s="276">
        <v>2049</v>
      </c>
      <c r="AO1" s="276">
        <v>2050</v>
      </c>
    </row>
    <row r="2" spans="1:41" s="125" customFormat="1">
      <c r="A2" s="277" t="s">
        <v>2516</v>
      </c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  <c r="AF2" s="121"/>
      <c r="AG2" s="121"/>
      <c r="AH2" s="121"/>
      <c r="AI2" s="121"/>
      <c r="AJ2" s="121"/>
      <c r="AK2" s="121"/>
      <c r="AL2" s="121"/>
      <c r="AM2" s="121"/>
      <c r="AN2" s="121"/>
      <c r="AO2" s="121"/>
    </row>
    <row r="3" spans="1:41">
      <c r="A3" s="274" t="s">
        <v>2520</v>
      </c>
      <c r="B3" t="s">
        <v>2534</v>
      </c>
      <c r="C3">
        <v>9</v>
      </c>
      <c r="D3">
        <v>9</v>
      </c>
      <c r="E3">
        <v>9</v>
      </c>
      <c r="F3">
        <v>9</v>
      </c>
      <c r="G3">
        <v>9</v>
      </c>
      <c r="H3">
        <v>9</v>
      </c>
      <c r="I3">
        <v>9</v>
      </c>
      <c r="J3">
        <v>9</v>
      </c>
      <c r="K3">
        <v>9</v>
      </c>
      <c r="L3">
        <v>9</v>
      </c>
      <c r="M3">
        <v>9</v>
      </c>
      <c r="N3">
        <v>9</v>
      </c>
      <c r="O3">
        <v>9</v>
      </c>
      <c r="P3">
        <v>9</v>
      </c>
      <c r="Q3">
        <v>9</v>
      </c>
      <c r="R3">
        <v>9</v>
      </c>
      <c r="S3">
        <v>9</v>
      </c>
      <c r="T3">
        <v>9</v>
      </c>
      <c r="U3">
        <v>9</v>
      </c>
      <c r="V3">
        <v>9</v>
      </c>
      <c r="W3">
        <v>9</v>
      </c>
      <c r="X3">
        <v>9</v>
      </c>
      <c r="Y3">
        <v>9</v>
      </c>
      <c r="Z3">
        <v>9</v>
      </c>
      <c r="AA3">
        <v>9</v>
      </c>
      <c r="AB3">
        <v>9</v>
      </c>
      <c r="AC3">
        <v>9</v>
      </c>
      <c r="AD3">
        <v>9</v>
      </c>
      <c r="AE3">
        <v>9</v>
      </c>
      <c r="AF3">
        <v>9</v>
      </c>
      <c r="AG3">
        <v>9</v>
      </c>
      <c r="AH3">
        <v>9</v>
      </c>
      <c r="AI3">
        <v>9</v>
      </c>
      <c r="AJ3">
        <v>9</v>
      </c>
      <c r="AK3">
        <v>9</v>
      </c>
      <c r="AL3">
        <v>9</v>
      </c>
      <c r="AM3">
        <v>9</v>
      </c>
      <c r="AN3">
        <v>9</v>
      </c>
      <c r="AO3">
        <v>9</v>
      </c>
    </row>
    <row r="4" spans="1:41">
      <c r="A4" s="274" t="s">
        <v>2524</v>
      </c>
      <c r="B4" t="s">
        <v>2535</v>
      </c>
      <c r="C4" s="154">
        <v>28.8</v>
      </c>
      <c r="D4" s="154">
        <v>28.8</v>
      </c>
      <c r="E4" s="154">
        <v>28.8</v>
      </c>
      <c r="F4" s="154">
        <v>28.8</v>
      </c>
      <c r="G4" s="154">
        <v>28.8</v>
      </c>
      <c r="H4" s="154">
        <v>28.8</v>
      </c>
      <c r="I4" s="154">
        <v>28.8</v>
      </c>
      <c r="J4" s="154">
        <v>28.8</v>
      </c>
      <c r="K4" s="154">
        <v>28.8</v>
      </c>
      <c r="L4" s="154">
        <v>28.8</v>
      </c>
      <c r="M4" s="154">
        <v>28.8</v>
      </c>
      <c r="N4" s="154">
        <v>28.8</v>
      </c>
      <c r="O4" s="154">
        <v>28.8</v>
      </c>
      <c r="P4" s="154">
        <v>28.8</v>
      </c>
      <c r="Q4" s="154">
        <v>28.8</v>
      </c>
      <c r="R4" s="154">
        <v>28.8</v>
      </c>
      <c r="S4" s="154">
        <v>28.8</v>
      </c>
      <c r="T4" s="154">
        <v>28.8</v>
      </c>
      <c r="U4" s="154">
        <v>28.8</v>
      </c>
      <c r="V4" s="154">
        <v>28.8</v>
      </c>
      <c r="W4" s="154">
        <v>28.8</v>
      </c>
      <c r="X4" s="154">
        <v>28.8</v>
      </c>
      <c r="Y4" s="154">
        <v>28.8</v>
      </c>
      <c r="Z4" s="154">
        <v>28.8</v>
      </c>
      <c r="AA4" s="154">
        <v>28.8</v>
      </c>
      <c r="AB4" s="154">
        <v>28.8</v>
      </c>
      <c r="AC4" s="154">
        <v>28.8</v>
      </c>
      <c r="AD4" s="154">
        <v>28.8</v>
      </c>
      <c r="AE4" s="154">
        <v>28.8</v>
      </c>
      <c r="AF4" s="154">
        <v>28.8</v>
      </c>
      <c r="AG4" s="154">
        <v>28.8</v>
      </c>
      <c r="AH4" s="154">
        <v>28.8</v>
      </c>
      <c r="AI4" s="154">
        <v>28.8</v>
      </c>
      <c r="AJ4" s="154">
        <v>28.8</v>
      </c>
      <c r="AK4" s="154">
        <v>28.8</v>
      </c>
      <c r="AL4" s="154">
        <v>28.8</v>
      </c>
      <c r="AM4" s="154">
        <v>28.8</v>
      </c>
      <c r="AN4" s="154">
        <v>28.8</v>
      </c>
      <c r="AO4" s="154">
        <v>28.8</v>
      </c>
    </row>
    <row r="5" spans="1:41">
      <c r="A5" s="274" t="s">
        <v>2526</v>
      </c>
      <c r="B5" t="s">
        <v>2535</v>
      </c>
      <c r="C5" s="154">
        <v>90</v>
      </c>
      <c r="D5" s="154">
        <v>90</v>
      </c>
      <c r="E5" s="154">
        <v>90</v>
      </c>
      <c r="F5" s="154">
        <v>90</v>
      </c>
      <c r="G5" s="154">
        <v>90</v>
      </c>
      <c r="H5" s="154">
        <v>90</v>
      </c>
      <c r="I5" s="154">
        <v>90</v>
      </c>
      <c r="J5" s="154">
        <v>90</v>
      </c>
      <c r="K5" s="154">
        <v>90</v>
      </c>
      <c r="L5" s="154">
        <v>90</v>
      </c>
      <c r="M5" s="154">
        <v>90</v>
      </c>
      <c r="N5" s="154">
        <v>90</v>
      </c>
      <c r="O5" s="154">
        <v>90</v>
      </c>
      <c r="P5" s="154">
        <v>90</v>
      </c>
      <c r="Q5" s="154">
        <v>90</v>
      </c>
      <c r="R5" s="154">
        <v>90</v>
      </c>
      <c r="S5" s="154">
        <v>90</v>
      </c>
      <c r="T5" s="154">
        <v>90</v>
      </c>
      <c r="U5" s="154">
        <v>90</v>
      </c>
      <c r="V5" s="154">
        <v>90</v>
      </c>
      <c r="W5" s="154">
        <v>90</v>
      </c>
      <c r="X5" s="154">
        <v>90</v>
      </c>
      <c r="Y5" s="154">
        <v>90</v>
      </c>
      <c r="Z5" s="154">
        <v>90</v>
      </c>
      <c r="AA5" s="154">
        <v>90</v>
      </c>
      <c r="AB5" s="154">
        <v>90</v>
      </c>
      <c r="AC5" s="154">
        <v>90</v>
      </c>
      <c r="AD5" s="154">
        <v>90</v>
      </c>
      <c r="AE5" s="154">
        <v>90</v>
      </c>
      <c r="AF5" s="154">
        <v>90</v>
      </c>
      <c r="AG5" s="154">
        <v>90</v>
      </c>
      <c r="AH5" s="154">
        <v>90</v>
      </c>
      <c r="AI5" s="154">
        <v>90</v>
      </c>
      <c r="AJ5" s="154">
        <v>90</v>
      </c>
      <c r="AK5" s="154">
        <v>90</v>
      </c>
      <c r="AL5" s="154">
        <v>90</v>
      </c>
      <c r="AM5" s="154">
        <v>90</v>
      </c>
      <c r="AN5" s="154">
        <v>90</v>
      </c>
      <c r="AO5" s="154">
        <v>90</v>
      </c>
    </row>
    <row r="6" spans="1:41">
      <c r="A6" s="373" t="s">
        <v>28</v>
      </c>
      <c r="B6" t="s">
        <v>2536</v>
      </c>
      <c r="C6" s="395">
        <v>10</v>
      </c>
      <c r="D6" s="395">
        <v>10</v>
      </c>
      <c r="E6" s="395">
        <v>10</v>
      </c>
      <c r="F6" s="395">
        <v>10</v>
      </c>
      <c r="G6" s="395">
        <v>10</v>
      </c>
      <c r="H6" s="395">
        <v>10</v>
      </c>
      <c r="I6" s="395">
        <v>10</v>
      </c>
      <c r="J6" s="395">
        <v>10</v>
      </c>
      <c r="K6" s="395">
        <v>10</v>
      </c>
      <c r="L6" s="395">
        <v>10</v>
      </c>
      <c r="M6" s="395">
        <v>10</v>
      </c>
      <c r="N6" s="395">
        <v>10</v>
      </c>
      <c r="O6" s="395">
        <v>10</v>
      </c>
      <c r="P6" s="395">
        <v>10</v>
      </c>
      <c r="Q6" s="395">
        <v>10</v>
      </c>
      <c r="R6" s="395">
        <v>10</v>
      </c>
      <c r="S6" s="395">
        <v>10</v>
      </c>
      <c r="T6" s="395">
        <v>10</v>
      </c>
      <c r="U6" s="395">
        <v>10</v>
      </c>
      <c r="V6" s="395">
        <v>10</v>
      </c>
      <c r="W6" s="395">
        <v>10</v>
      </c>
      <c r="X6" s="395">
        <v>10</v>
      </c>
      <c r="Y6" s="395">
        <v>10</v>
      </c>
      <c r="Z6" s="395">
        <v>10</v>
      </c>
      <c r="AA6" s="395">
        <v>10</v>
      </c>
      <c r="AB6" s="395">
        <v>10</v>
      </c>
      <c r="AC6" s="395">
        <v>10</v>
      </c>
      <c r="AD6" s="395">
        <v>10</v>
      </c>
      <c r="AE6" s="395">
        <v>10</v>
      </c>
      <c r="AF6" s="395">
        <v>10</v>
      </c>
      <c r="AG6" s="395">
        <v>10</v>
      </c>
      <c r="AH6" s="395">
        <v>10</v>
      </c>
      <c r="AI6" s="395">
        <v>10</v>
      </c>
      <c r="AJ6" s="395">
        <v>10</v>
      </c>
      <c r="AK6" s="395">
        <v>10</v>
      </c>
      <c r="AL6" s="395">
        <v>10</v>
      </c>
      <c r="AM6" s="395">
        <v>10</v>
      </c>
      <c r="AN6" s="395">
        <v>10</v>
      </c>
      <c r="AO6" s="395">
        <v>10</v>
      </c>
    </row>
    <row r="7" spans="1:41">
      <c r="A7" s="274" t="s">
        <v>2529</v>
      </c>
      <c r="B7" t="s">
        <v>2536</v>
      </c>
      <c r="C7" s="154">
        <f>1.5</f>
        <v>1.5</v>
      </c>
      <c r="D7" s="154">
        <f t="shared" ref="D7:AO7" si="0">1.5</f>
        <v>1.5</v>
      </c>
      <c r="E7" s="154">
        <f t="shared" si="0"/>
        <v>1.5</v>
      </c>
      <c r="F7" s="154">
        <f t="shared" si="0"/>
        <v>1.5</v>
      </c>
      <c r="G7" s="154">
        <f t="shared" si="0"/>
        <v>1.5</v>
      </c>
      <c r="H7" s="154">
        <f t="shared" si="0"/>
        <v>1.5</v>
      </c>
      <c r="I7" s="154">
        <f t="shared" si="0"/>
        <v>1.5</v>
      </c>
      <c r="J7" s="154">
        <f t="shared" si="0"/>
        <v>1.5</v>
      </c>
      <c r="K7" s="154">
        <f t="shared" si="0"/>
        <v>1.5</v>
      </c>
      <c r="L7" s="154">
        <f t="shared" si="0"/>
        <v>1.5</v>
      </c>
      <c r="M7" s="154">
        <f t="shared" si="0"/>
        <v>1.5</v>
      </c>
      <c r="N7" s="154">
        <f t="shared" si="0"/>
        <v>1.5</v>
      </c>
      <c r="O7" s="154">
        <f t="shared" si="0"/>
        <v>1.5</v>
      </c>
      <c r="P7" s="154">
        <f t="shared" si="0"/>
        <v>1.5</v>
      </c>
      <c r="Q7" s="154">
        <f t="shared" si="0"/>
        <v>1.5</v>
      </c>
      <c r="R7" s="154">
        <f t="shared" si="0"/>
        <v>1.5</v>
      </c>
      <c r="S7" s="154">
        <f t="shared" si="0"/>
        <v>1.5</v>
      </c>
      <c r="T7" s="154">
        <f t="shared" si="0"/>
        <v>1.5</v>
      </c>
      <c r="U7" s="154">
        <f t="shared" si="0"/>
        <v>1.5</v>
      </c>
      <c r="V7" s="154">
        <f t="shared" si="0"/>
        <v>1.5</v>
      </c>
      <c r="W7" s="154">
        <f t="shared" si="0"/>
        <v>1.5</v>
      </c>
      <c r="X7" s="154">
        <f t="shared" si="0"/>
        <v>1.5</v>
      </c>
      <c r="Y7" s="154">
        <f t="shared" si="0"/>
        <v>1.5</v>
      </c>
      <c r="Z7" s="154">
        <f t="shared" si="0"/>
        <v>1.5</v>
      </c>
      <c r="AA7" s="154">
        <f t="shared" si="0"/>
        <v>1.5</v>
      </c>
      <c r="AB7" s="154">
        <f t="shared" si="0"/>
        <v>1.5</v>
      </c>
      <c r="AC7" s="154">
        <f t="shared" si="0"/>
        <v>1.5</v>
      </c>
      <c r="AD7" s="154">
        <f t="shared" si="0"/>
        <v>1.5</v>
      </c>
      <c r="AE7" s="154">
        <f t="shared" si="0"/>
        <v>1.5</v>
      </c>
      <c r="AF7" s="154">
        <f t="shared" si="0"/>
        <v>1.5</v>
      </c>
      <c r="AG7" s="154">
        <f t="shared" si="0"/>
        <v>1.5</v>
      </c>
      <c r="AH7" s="154">
        <f t="shared" si="0"/>
        <v>1.5</v>
      </c>
      <c r="AI7" s="154">
        <f t="shared" si="0"/>
        <v>1.5</v>
      </c>
      <c r="AJ7" s="154">
        <f t="shared" si="0"/>
        <v>1.5</v>
      </c>
      <c r="AK7" s="154">
        <f t="shared" si="0"/>
        <v>1.5</v>
      </c>
      <c r="AL7" s="154">
        <f t="shared" si="0"/>
        <v>1.5</v>
      </c>
      <c r="AM7" s="154">
        <f t="shared" si="0"/>
        <v>1.5</v>
      </c>
      <c r="AN7" s="154">
        <f t="shared" si="0"/>
        <v>1.5</v>
      </c>
      <c r="AO7" s="154">
        <f t="shared" si="0"/>
        <v>1.5</v>
      </c>
    </row>
    <row r="8" spans="1:41">
      <c r="A8" s="274" t="s">
        <v>2537</v>
      </c>
      <c r="B8" t="s">
        <v>2536</v>
      </c>
      <c r="C8" s="154">
        <v>13.105830094000321</v>
      </c>
      <c r="D8" s="154">
        <v>13.105830094000321</v>
      </c>
      <c r="E8" s="154">
        <v>13.105830094000321</v>
      </c>
      <c r="F8" s="154">
        <v>13.105830094000321</v>
      </c>
      <c r="G8" s="154">
        <v>13.105830094000321</v>
      </c>
      <c r="H8" s="154">
        <v>13.105830094000321</v>
      </c>
      <c r="I8" s="154">
        <v>13.105830094000321</v>
      </c>
      <c r="J8" s="154">
        <v>13.105830094000321</v>
      </c>
      <c r="K8" s="154">
        <v>13.105830094000321</v>
      </c>
      <c r="L8" s="154">
        <v>13.105830094000321</v>
      </c>
      <c r="M8" s="154">
        <v>13.105830094000321</v>
      </c>
      <c r="N8" s="154">
        <v>13.105830094000321</v>
      </c>
      <c r="O8" s="154">
        <v>13.105830094000321</v>
      </c>
      <c r="P8" s="154">
        <v>13.105830094000321</v>
      </c>
      <c r="Q8" s="154">
        <v>13.105830094000321</v>
      </c>
      <c r="R8" s="154">
        <v>13.105830094000321</v>
      </c>
      <c r="S8" s="154">
        <v>13.105830094000321</v>
      </c>
      <c r="T8" s="154">
        <v>13.105830094000321</v>
      </c>
      <c r="U8" s="154">
        <v>13.105830094000321</v>
      </c>
      <c r="V8" s="154">
        <v>13.105830094000321</v>
      </c>
      <c r="W8" s="154">
        <v>13.105830094000321</v>
      </c>
      <c r="X8" s="154">
        <v>13.105830094000321</v>
      </c>
      <c r="Y8" s="154">
        <v>13.105830094000321</v>
      </c>
      <c r="Z8" s="154">
        <v>13.105830094000321</v>
      </c>
      <c r="AA8" s="154">
        <v>13.105830094000321</v>
      </c>
      <c r="AB8" s="154">
        <v>13.105830094000321</v>
      </c>
      <c r="AC8" s="154">
        <v>13.105830094000321</v>
      </c>
      <c r="AD8" s="154">
        <v>13.105830094000321</v>
      </c>
      <c r="AE8" s="154">
        <v>13.105830094000321</v>
      </c>
      <c r="AF8" s="154">
        <v>13.105830094000321</v>
      </c>
      <c r="AG8" s="154">
        <v>13.105830094000321</v>
      </c>
      <c r="AH8" s="154">
        <v>13.105830094000321</v>
      </c>
      <c r="AI8" s="154">
        <v>13.105830094000321</v>
      </c>
      <c r="AJ8" s="154">
        <v>13.105830094000321</v>
      </c>
      <c r="AK8" s="154">
        <v>13.105830094000321</v>
      </c>
      <c r="AL8" s="154">
        <v>13.105830094000321</v>
      </c>
      <c r="AM8" s="154">
        <v>13.105830094000321</v>
      </c>
      <c r="AN8" s="154">
        <v>13.105830094000321</v>
      </c>
      <c r="AO8" s="154">
        <v>13.105830094000321</v>
      </c>
    </row>
    <row r="10" spans="1:41">
      <c r="C10" s="154"/>
      <c r="D10" s="154"/>
      <c r="E10" s="154"/>
      <c r="F10" s="154"/>
      <c r="G10" s="154"/>
      <c r="H10" s="154"/>
      <c r="I10" s="154"/>
      <c r="J10" s="154"/>
      <c r="K10" s="154"/>
      <c r="L10" s="154"/>
      <c r="M10" s="154"/>
      <c r="N10" s="154"/>
      <c r="O10" s="154"/>
      <c r="P10" s="154"/>
      <c r="Q10" s="154"/>
      <c r="R10" s="154"/>
      <c r="S10" s="154"/>
      <c r="T10" s="154"/>
      <c r="U10" s="154"/>
      <c r="V10" s="154"/>
      <c r="W10" s="154"/>
      <c r="X10" s="154"/>
      <c r="Y10" s="154"/>
      <c r="Z10" s="154"/>
      <c r="AA10" s="154"/>
      <c r="AB10" s="154"/>
    </row>
    <row r="11" spans="1:41">
      <c r="C11" s="154"/>
      <c r="D11" s="154"/>
      <c r="E11" s="154"/>
      <c r="F11" s="154"/>
      <c r="G11" s="154"/>
      <c r="H11" s="154"/>
      <c r="I11" s="154"/>
      <c r="J11" s="154"/>
      <c r="K11" s="154"/>
      <c r="L11" s="154"/>
      <c r="M11" s="154"/>
      <c r="N11" s="154"/>
      <c r="O11" s="154"/>
      <c r="P11" s="154"/>
      <c r="Q11" s="154"/>
      <c r="R11" s="154"/>
      <c r="S11" s="154"/>
      <c r="T11" s="154"/>
      <c r="U11" s="154"/>
      <c r="V11" s="154"/>
      <c r="W11" s="154"/>
      <c r="X11" s="154"/>
      <c r="Y11" s="154"/>
      <c r="Z11" s="154"/>
      <c r="AA11" s="154"/>
      <c r="AB11" s="154"/>
    </row>
    <row r="12" spans="1:41" s="135" customFormat="1">
      <c r="A12" s="275"/>
      <c r="B12" s="276" t="s">
        <v>37</v>
      </c>
      <c r="C12" s="276">
        <v>2012</v>
      </c>
      <c r="D12" s="276">
        <v>2013</v>
      </c>
      <c r="E12" s="276">
        <v>2014</v>
      </c>
      <c r="F12" s="276">
        <v>2015</v>
      </c>
      <c r="G12" s="276">
        <v>2016</v>
      </c>
      <c r="H12" s="276">
        <v>2017</v>
      </c>
      <c r="I12" s="276">
        <v>2018</v>
      </c>
      <c r="J12" s="276">
        <v>2019</v>
      </c>
      <c r="K12" s="276">
        <v>2020</v>
      </c>
      <c r="L12" s="276">
        <v>2021</v>
      </c>
      <c r="M12" s="276">
        <v>2022</v>
      </c>
      <c r="N12" s="276">
        <v>2023</v>
      </c>
      <c r="O12" s="276">
        <v>2024</v>
      </c>
      <c r="P12" s="276">
        <v>2025</v>
      </c>
      <c r="Q12" s="276">
        <v>2026</v>
      </c>
      <c r="R12" s="276">
        <v>2027</v>
      </c>
      <c r="S12" s="276">
        <v>2028</v>
      </c>
      <c r="T12" s="276">
        <v>2029</v>
      </c>
      <c r="U12" s="276">
        <v>2030</v>
      </c>
      <c r="V12" s="276">
        <v>2031</v>
      </c>
      <c r="W12" s="276">
        <v>2032</v>
      </c>
      <c r="X12" s="276">
        <v>2033</v>
      </c>
      <c r="Y12" s="276">
        <v>2034</v>
      </c>
      <c r="Z12" s="276">
        <v>2035</v>
      </c>
      <c r="AA12" s="276">
        <v>2036</v>
      </c>
      <c r="AB12" s="276">
        <v>2037</v>
      </c>
      <c r="AC12" s="276">
        <v>2038</v>
      </c>
      <c r="AD12" s="276">
        <v>2039</v>
      </c>
      <c r="AE12" s="276">
        <v>2040</v>
      </c>
      <c r="AF12" s="276">
        <v>2041</v>
      </c>
      <c r="AG12" s="276">
        <v>2042</v>
      </c>
      <c r="AH12" s="276">
        <v>2043</v>
      </c>
      <c r="AI12" s="276">
        <v>2044</v>
      </c>
      <c r="AJ12" s="276">
        <v>2045</v>
      </c>
      <c r="AK12" s="276">
        <v>2046</v>
      </c>
      <c r="AL12" s="276">
        <v>2047</v>
      </c>
      <c r="AM12" s="276">
        <v>2048</v>
      </c>
      <c r="AN12" s="276">
        <v>2049</v>
      </c>
      <c r="AO12" s="276">
        <v>2050</v>
      </c>
    </row>
    <row r="13" spans="1:41">
      <c r="A13" s="277" t="s">
        <v>2516</v>
      </c>
      <c r="B13" t="s">
        <v>47</v>
      </c>
      <c r="C13" s="154"/>
      <c r="D13" s="154"/>
      <c r="E13" s="154"/>
      <c r="F13" s="154"/>
      <c r="G13" s="154"/>
      <c r="H13" s="154"/>
      <c r="I13" s="154"/>
      <c r="J13" s="154"/>
      <c r="K13" s="154"/>
      <c r="L13" s="154"/>
      <c r="M13" s="154"/>
      <c r="N13" s="154"/>
      <c r="O13" s="154"/>
      <c r="P13" s="154"/>
      <c r="Q13" s="154"/>
      <c r="R13" s="154"/>
      <c r="S13" s="154"/>
      <c r="T13" s="154"/>
      <c r="U13" s="154"/>
      <c r="V13" s="154"/>
      <c r="W13" s="154"/>
      <c r="X13" s="154"/>
      <c r="Y13" s="154"/>
      <c r="Z13" s="154"/>
      <c r="AA13" s="154"/>
      <c r="AB13" s="154"/>
    </row>
    <row r="14" spans="1:41">
      <c r="A14" s="274" t="s">
        <v>2520</v>
      </c>
      <c r="B14" t="s">
        <v>47</v>
      </c>
      <c r="C14">
        <f>C3*constantes!$B$4</f>
        <v>35.1</v>
      </c>
      <c r="D14">
        <f>D3*constantes!$B$4</f>
        <v>35.1</v>
      </c>
      <c r="E14">
        <f>E3*constantes!$B$4</f>
        <v>35.1</v>
      </c>
      <c r="F14">
        <f>F3*constantes!$B$4</f>
        <v>35.1</v>
      </c>
      <c r="G14">
        <f>G3*constantes!$B$4</f>
        <v>35.1</v>
      </c>
      <c r="H14">
        <f>H3*constantes!$B$4</f>
        <v>35.1</v>
      </c>
      <c r="I14">
        <f>I3*constantes!$B$4</f>
        <v>35.1</v>
      </c>
      <c r="J14">
        <f>J3*constantes!$B$4</f>
        <v>35.1</v>
      </c>
      <c r="K14">
        <f>K3*constantes!$B$4</f>
        <v>35.1</v>
      </c>
      <c r="L14">
        <f>L3*constantes!$B$4</f>
        <v>35.1</v>
      </c>
      <c r="M14">
        <f>M3*constantes!$B$4</f>
        <v>35.1</v>
      </c>
      <c r="N14">
        <f>N3*constantes!$B$4</f>
        <v>35.1</v>
      </c>
      <c r="O14">
        <f>O3*constantes!$B$4</f>
        <v>35.1</v>
      </c>
      <c r="P14">
        <f>P3*constantes!$B$4</f>
        <v>35.1</v>
      </c>
      <c r="Q14">
        <f>Q3*constantes!$B$4</f>
        <v>35.1</v>
      </c>
      <c r="R14">
        <f>R3*constantes!$B$4</f>
        <v>35.1</v>
      </c>
      <c r="S14">
        <f>S3*constantes!$B$4</f>
        <v>35.1</v>
      </c>
      <c r="T14">
        <f>T3*constantes!$B$4</f>
        <v>35.1</v>
      </c>
      <c r="U14">
        <f>U3*constantes!$B$4</f>
        <v>35.1</v>
      </c>
      <c r="V14">
        <f>V3*constantes!$B$4</f>
        <v>35.1</v>
      </c>
      <c r="W14">
        <f>W3*constantes!$B$4</f>
        <v>35.1</v>
      </c>
      <c r="X14">
        <f>X3*constantes!$B$4</f>
        <v>35.1</v>
      </c>
      <c r="Y14">
        <f>Y3*constantes!$B$4</f>
        <v>35.1</v>
      </c>
      <c r="Z14">
        <f>Z3*constantes!$B$4</f>
        <v>35.1</v>
      </c>
      <c r="AA14">
        <f>AA3*constantes!$B$4</f>
        <v>35.1</v>
      </c>
      <c r="AB14">
        <f>AB3*constantes!$B$4</f>
        <v>35.1</v>
      </c>
      <c r="AC14">
        <f>AC3*constantes!$B$4</f>
        <v>35.1</v>
      </c>
      <c r="AD14">
        <f>AD3*constantes!$B$4</f>
        <v>35.1</v>
      </c>
      <c r="AE14">
        <f>AE3*constantes!$B$4</f>
        <v>35.1</v>
      </c>
      <c r="AF14">
        <f>AF3*constantes!$B$4</f>
        <v>35.1</v>
      </c>
      <c r="AG14">
        <f>AG3*constantes!$B$4</f>
        <v>35.1</v>
      </c>
      <c r="AH14">
        <f>AH3*constantes!$B$4</f>
        <v>35.1</v>
      </c>
      <c r="AI14">
        <f>AI3*constantes!$B$4</f>
        <v>35.1</v>
      </c>
      <c r="AJ14">
        <f>AJ3*constantes!$B$4</f>
        <v>35.1</v>
      </c>
      <c r="AK14">
        <f>AK3*constantes!$B$4</f>
        <v>35.1</v>
      </c>
      <c r="AL14">
        <f>AL3*constantes!$B$4</f>
        <v>35.1</v>
      </c>
      <c r="AM14">
        <f>AM3*constantes!$B$4</f>
        <v>35.1</v>
      </c>
      <c r="AN14">
        <f>AN3*constantes!$B$4</f>
        <v>35.1</v>
      </c>
      <c r="AO14">
        <f>AO3*constantes!$B$4</f>
        <v>35.1</v>
      </c>
    </row>
    <row r="15" spans="1:41">
      <c r="A15" s="274" t="s">
        <v>2524</v>
      </c>
      <c r="B15" t="s">
        <v>2538</v>
      </c>
      <c r="C15" s="153">
        <f>C4*constantes!$B$4/1000</f>
        <v>0.11231999999999999</v>
      </c>
      <c r="D15" s="153">
        <f>D4*constantes!$B$4/1000</f>
        <v>0.11231999999999999</v>
      </c>
      <c r="E15" s="153">
        <f>E4*constantes!$B$4/1000</f>
        <v>0.11231999999999999</v>
      </c>
      <c r="F15" s="153">
        <f>F4*constantes!$B$4/1000</f>
        <v>0.11231999999999999</v>
      </c>
      <c r="G15" s="153">
        <f>G4*constantes!$B$4/1000</f>
        <v>0.11231999999999999</v>
      </c>
      <c r="H15" s="153">
        <f>H4*constantes!$B$4/1000</f>
        <v>0.11231999999999999</v>
      </c>
      <c r="I15" s="153">
        <f>I4*constantes!$B$4/1000</f>
        <v>0.11231999999999999</v>
      </c>
      <c r="J15" s="153">
        <f>J4*constantes!$B$4/1000</f>
        <v>0.11231999999999999</v>
      </c>
      <c r="K15" s="153">
        <f>K4*constantes!$B$4/1000</f>
        <v>0.11231999999999999</v>
      </c>
      <c r="L15" s="153">
        <f>L4*constantes!$B$4/1000</f>
        <v>0.11231999999999999</v>
      </c>
      <c r="M15" s="153">
        <f>M4*constantes!$B$4/1000</f>
        <v>0.11231999999999999</v>
      </c>
      <c r="N15" s="153">
        <f>N4*constantes!$B$4/1000</f>
        <v>0.11231999999999999</v>
      </c>
      <c r="O15" s="153">
        <f>O4*constantes!$B$4/1000</f>
        <v>0.11231999999999999</v>
      </c>
      <c r="P15" s="153">
        <f>P4*constantes!$B$4/1000</f>
        <v>0.11231999999999999</v>
      </c>
      <c r="Q15" s="153">
        <f>Q4*constantes!$B$4/1000</f>
        <v>0.11231999999999999</v>
      </c>
      <c r="R15" s="153">
        <f>R4*constantes!$B$4/1000</f>
        <v>0.11231999999999999</v>
      </c>
      <c r="S15" s="153">
        <f>S4*constantes!$B$4/1000</f>
        <v>0.11231999999999999</v>
      </c>
      <c r="T15" s="153">
        <f>T4*constantes!$B$4/1000</f>
        <v>0.11231999999999999</v>
      </c>
      <c r="U15" s="153">
        <f>U4*constantes!$B$4/1000</f>
        <v>0.11231999999999999</v>
      </c>
      <c r="V15" s="153">
        <f>V4*constantes!$B$4/1000</f>
        <v>0.11231999999999999</v>
      </c>
      <c r="W15" s="153">
        <f>W4*constantes!$B$4/1000</f>
        <v>0.11231999999999999</v>
      </c>
      <c r="X15" s="153">
        <f>X4*constantes!$B$4/1000</f>
        <v>0.11231999999999999</v>
      </c>
      <c r="Y15" s="153">
        <f>Y4*constantes!$B$4/1000</f>
        <v>0.11231999999999999</v>
      </c>
      <c r="Z15" s="153">
        <f>Z4*constantes!$B$4/1000</f>
        <v>0.11231999999999999</v>
      </c>
      <c r="AA15" s="153">
        <f>AA4*constantes!$B$4/1000</f>
        <v>0.11231999999999999</v>
      </c>
      <c r="AB15" s="153">
        <f>AB4*constantes!$B$4/1000</f>
        <v>0.11231999999999999</v>
      </c>
      <c r="AC15" s="153">
        <f>AC4*constantes!$B$4/1000</f>
        <v>0.11231999999999999</v>
      </c>
      <c r="AD15" s="153">
        <f>AD4*constantes!$B$4/1000</f>
        <v>0.11231999999999999</v>
      </c>
      <c r="AE15" s="153">
        <f>AE4*constantes!$B$4/1000</f>
        <v>0.11231999999999999</v>
      </c>
      <c r="AF15" s="153">
        <f>AF4*constantes!$B$4/1000</f>
        <v>0.11231999999999999</v>
      </c>
      <c r="AG15" s="153">
        <f>AG4*constantes!$B$4/1000</f>
        <v>0.11231999999999999</v>
      </c>
      <c r="AH15" s="153">
        <f>AH4*constantes!$B$4/1000</f>
        <v>0.11231999999999999</v>
      </c>
      <c r="AI15" s="153">
        <f>AI4*constantes!$B$4/1000</f>
        <v>0.11231999999999999</v>
      </c>
      <c r="AJ15" s="153">
        <f>AJ4*constantes!$B$4/1000</f>
        <v>0.11231999999999999</v>
      </c>
      <c r="AK15" s="153">
        <f>AK4*constantes!$B$4/1000</f>
        <v>0.11231999999999999</v>
      </c>
      <c r="AL15" s="153">
        <f>AL4*constantes!$B$4/1000</f>
        <v>0.11231999999999999</v>
      </c>
      <c r="AM15" s="153">
        <f>AM4*constantes!$B$4/1000</f>
        <v>0.11231999999999999</v>
      </c>
      <c r="AN15" s="153">
        <f>AN4*constantes!$B$4/1000</f>
        <v>0.11231999999999999</v>
      </c>
      <c r="AO15" s="153">
        <f>AO4*constantes!$B$4/1000</f>
        <v>0.11231999999999999</v>
      </c>
    </row>
    <row r="16" spans="1:41">
      <c r="A16" s="274" t="s">
        <v>2526</v>
      </c>
      <c r="B16" t="s">
        <v>2538</v>
      </c>
      <c r="C16" s="153">
        <f>C5*constantes!$B$4/1000</f>
        <v>0.35099999999999998</v>
      </c>
      <c r="D16" s="153">
        <f>D5*constantes!$B$4/1000</f>
        <v>0.35099999999999998</v>
      </c>
      <c r="E16" s="153">
        <f>E5*constantes!$B$4/1000</f>
        <v>0.35099999999999998</v>
      </c>
      <c r="F16" s="153">
        <f>F5*constantes!$B$4/1000</f>
        <v>0.35099999999999998</v>
      </c>
      <c r="G16" s="153">
        <f>G5*constantes!$B$4/1000</f>
        <v>0.35099999999999998</v>
      </c>
      <c r="H16" s="153">
        <f>H5*constantes!$B$4/1000</f>
        <v>0.35099999999999998</v>
      </c>
      <c r="I16" s="153">
        <f>I5*constantes!$B$4/1000</f>
        <v>0.35099999999999998</v>
      </c>
      <c r="J16" s="153">
        <f>J5*constantes!$B$4/1000</f>
        <v>0.35099999999999998</v>
      </c>
      <c r="K16" s="153">
        <f>K5*constantes!$B$4/1000</f>
        <v>0.35099999999999998</v>
      </c>
      <c r="L16" s="153">
        <f>L5*constantes!$B$4/1000</f>
        <v>0.35099999999999998</v>
      </c>
      <c r="M16" s="153">
        <f>M5*constantes!$B$4/1000</f>
        <v>0.35099999999999998</v>
      </c>
      <c r="N16" s="153">
        <f>N5*constantes!$B$4/1000</f>
        <v>0.35099999999999998</v>
      </c>
      <c r="O16" s="153">
        <f>O5*constantes!$B$4/1000</f>
        <v>0.35099999999999998</v>
      </c>
      <c r="P16" s="153">
        <f>P5*constantes!$B$4/1000</f>
        <v>0.35099999999999998</v>
      </c>
      <c r="Q16" s="153">
        <f>Q5*constantes!$B$4/1000</f>
        <v>0.35099999999999998</v>
      </c>
      <c r="R16" s="153">
        <f>R5*constantes!$B$4/1000</f>
        <v>0.35099999999999998</v>
      </c>
      <c r="S16" s="153">
        <f>S5*constantes!$B$4/1000</f>
        <v>0.35099999999999998</v>
      </c>
      <c r="T16" s="153">
        <f>T5*constantes!$B$4/1000</f>
        <v>0.35099999999999998</v>
      </c>
      <c r="U16" s="153">
        <f>U5*constantes!$B$4/1000</f>
        <v>0.35099999999999998</v>
      </c>
      <c r="V16" s="153">
        <f>V5*constantes!$B$4/1000</f>
        <v>0.35099999999999998</v>
      </c>
      <c r="W16" s="153">
        <f>W5*constantes!$B$4/1000</f>
        <v>0.35099999999999998</v>
      </c>
      <c r="X16" s="153">
        <f>X5*constantes!$B$4/1000</f>
        <v>0.35099999999999998</v>
      </c>
      <c r="Y16" s="153">
        <f>Y5*constantes!$B$4/1000</f>
        <v>0.35099999999999998</v>
      </c>
      <c r="Z16" s="153">
        <f>Z5*constantes!$B$4/1000</f>
        <v>0.35099999999999998</v>
      </c>
      <c r="AA16" s="153">
        <f>AA5*constantes!$B$4/1000</f>
        <v>0.35099999999999998</v>
      </c>
      <c r="AB16" s="153">
        <f>AB5*constantes!$B$4/1000</f>
        <v>0.35099999999999998</v>
      </c>
      <c r="AC16" s="153">
        <f>AC5*constantes!$B$4/1000</f>
        <v>0.35099999999999998</v>
      </c>
      <c r="AD16" s="153">
        <f>AD5*constantes!$B$4/1000</f>
        <v>0.35099999999999998</v>
      </c>
      <c r="AE16" s="153">
        <f>AE5*constantes!$B$4/1000</f>
        <v>0.35099999999999998</v>
      </c>
      <c r="AF16" s="153">
        <f>AF5*constantes!$B$4/1000</f>
        <v>0.35099999999999998</v>
      </c>
      <c r="AG16" s="153">
        <f>AG5*constantes!$B$4/1000</f>
        <v>0.35099999999999998</v>
      </c>
      <c r="AH16" s="153">
        <f>AH5*constantes!$B$4/1000</f>
        <v>0.35099999999999998</v>
      </c>
      <c r="AI16" s="153">
        <f>AI5*constantes!$B$4/1000</f>
        <v>0.35099999999999998</v>
      </c>
      <c r="AJ16" s="153">
        <f>AJ5*constantes!$B$4/1000</f>
        <v>0.35099999999999998</v>
      </c>
      <c r="AK16" s="153">
        <f>AK5*constantes!$B$4/1000</f>
        <v>0.35099999999999998</v>
      </c>
      <c r="AL16" s="153">
        <f>AL5*constantes!$B$4/1000</f>
        <v>0.35099999999999998</v>
      </c>
      <c r="AM16" s="153">
        <f>AM5*constantes!$B$4/1000</f>
        <v>0.35099999999999998</v>
      </c>
      <c r="AN16" s="153">
        <f>AN5*constantes!$B$4/1000</f>
        <v>0.35099999999999998</v>
      </c>
      <c r="AO16" s="153">
        <f>AO5*constantes!$B$4/1000</f>
        <v>0.35099999999999998</v>
      </c>
    </row>
    <row r="17" spans="1:48">
      <c r="A17" s="274" t="s">
        <v>28</v>
      </c>
      <c r="B17" t="s">
        <v>2539</v>
      </c>
      <c r="C17" s="153">
        <f>C6*(34.92/1000)*constantes!$B$4</f>
        <v>1.36188</v>
      </c>
      <c r="D17" s="153">
        <f>D6*(34.92/1000)*constantes!$B$4</f>
        <v>1.36188</v>
      </c>
      <c r="E17" s="153">
        <f>E6*(34.92/1000)*constantes!$B$4</f>
        <v>1.36188</v>
      </c>
      <c r="F17" s="153">
        <f>F6*(34.92/1000)*constantes!$B$4</f>
        <v>1.36188</v>
      </c>
      <c r="G17" s="153">
        <f>G6*(34.92/1000)*constantes!$B$4</f>
        <v>1.36188</v>
      </c>
      <c r="H17" s="153">
        <f>H6*(34.92/1000)*constantes!$B$4</f>
        <v>1.36188</v>
      </c>
      <c r="I17" s="153">
        <f>I6*(34.92/1000)*constantes!$B$4</f>
        <v>1.36188</v>
      </c>
      <c r="J17" s="153">
        <f>J6*(34.92/1000)*constantes!$B$4</f>
        <v>1.36188</v>
      </c>
      <c r="K17" s="153">
        <f>K6*(34.92/1000)*constantes!$B$4</f>
        <v>1.36188</v>
      </c>
      <c r="L17" s="153">
        <f>L6*(34.92/1000)*constantes!$B$4</f>
        <v>1.36188</v>
      </c>
      <c r="M17" s="153">
        <f>M6*(34.92/1000)*constantes!$B$4</f>
        <v>1.36188</v>
      </c>
      <c r="N17" s="153">
        <f>N6*(34.92/1000)*constantes!$B$4</f>
        <v>1.36188</v>
      </c>
      <c r="O17" s="153">
        <f>O6*(34.92/1000)*constantes!$B$4</f>
        <v>1.36188</v>
      </c>
      <c r="P17" s="153">
        <f>P6*(34.92/1000)*constantes!$B$4</f>
        <v>1.36188</v>
      </c>
      <c r="Q17" s="153">
        <f>Q6*(34.92/1000)*constantes!$B$4</f>
        <v>1.36188</v>
      </c>
      <c r="R17" s="153">
        <f>R6*(34.92/1000)*constantes!$B$4</f>
        <v>1.36188</v>
      </c>
      <c r="S17" s="153">
        <f>S6*(34.92/1000)*constantes!$B$4</f>
        <v>1.36188</v>
      </c>
      <c r="T17" s="153">
        <f>T6*(34.92/1000)*constantes!$B$4</f>
        <v>1.36188</v>
      </c>
      <c r="U17" s="153">
        <f>U6*(34.92/1000)*constantes!$B$4</f>
        <v>1.36188</v>
      </c>
      <c r="V17" s="153">
        <f>V6*(34.92/1000)*constantes!$B$4</f>
        <v>1.36188</v>
      </c>
      <c r="W17" s="153">
        <f>W6*(34.92/1000)*constantes!$B$4</f>
        <v>1.36188</v>
      </c>
      <c r="X17" s="153">
        <f>X6*(34.92/1000)*constantes!$B$4</f>
        <v>1.36188</v>
      </c>
      <c r="Y17" s="153">
        <f>Y6*(34.92/1000)*constantes!$B$4</f>
        <v>1.36188</v>
      </c>
      <c r="Z17" s="153">
        <f>Z6*(34.92/1000)*constantes!$B$4</f>
        <v>1.36188</v>
      </c>
      <c r="AA17" s="153">
        <f>AA6*(34.92/1000)*constantes!$B$4</f>
        <v>1.36188</v>
      </c>
      <c r="AB17" s="153">
        <f>AB6*(34.92/1000)*constantes!$B$4</f>
        <v>1.36188</v>
      </c>
      <c r="AC17" s="153">
        <f>AC6*(34.92/1000)*constantes!$B$4</f>
        <v>1.36188</v>
      </c>
      <c r="AD17" s="153">
        <f>AD6*(34.92/1000)*constantes!$B$4</f>
        <v>1.36188</v>
      </c>
      <c r="AE17" s="153">
        <f>AE6*(34.92/1000)*constantes!$B$4</f>
        <v>1.36188</v>
      </c>
      <c r="AF17" s="153">
        <f>AF6*(34.92/1000)*constantes!$B$4</f>
        <v>1.36188</v>
      </c>
      <c r="AG17" s="153">
        <f>AG6*(34.92/1000)*constantes!$B$4</f>
        <v>1.36188</v>
      </c>
      <c r="AH17" s="153">
        <f>AH6*(34.92/1000)*constantes!$B$4</f>
        <v>1.36188</v>
      </c>
      <c r="AI17" s="153">
        <f>AI6*(34.92/1000)*constantes!$B$4</f>
        <v>1.36188</v>
      </c>
      <c r="AJ17" s="153">
        <f>AJ6*(34.92/1000)*constantes!$B$4</f>
        <v>1.36188</v>
      </c>
      <c r="AK17" s="153">
        <f>AK6*(34.92/1000)*constantes!$B$4</f>
        <v>1.36188</v>
      </c>
      <c r="AL17" s="153">
        <f>AL6*(34.92/1000)*constantes!$B$4</f>
        <v>1.36188</v>
      </c>
      <c r="AM17" s="153">
        <f>AM6*(34.92/1000)*constantes!$B$4</f>
        <v>1.36188</v>
      </c>
      <c r="AN17" s="153">
        <f>AN6*(34.92/1000)*constantes!$B$4</f>
        <v>1.36188</v>
      </c>
      <c r="AO17" s="153">
        <f>AO6*(34.92/1000)*constantes!$B$4</f>
        <v>1.36188</v>
      </c>
      <c r="AP17" s="24"/>
      <c r="AQ17" s="24"/>
      <c r="AR17" s="24"/>
      <c r="AS17" s="24"/>
      <c r="AT17" s="24"/>
      <c r="AU17" s="24"/>
      <c r="AV17" s="24"/>
    </row>
    <row r="18" spans="1:48">
      <c r="A18" s="274" t="s">
        <v>2529</v>
      </c>
      <c r="B18" t="s">
        <v>2539</v>
      </c>
      <c r="C18" s="153">
        <f>C7*(34.92/1000)*constantes!$B$4</f>
        <v>0.20428199999999999</v>
      </c>
      <c r="D18" s="153">
        <f>D7*(34.92/1000)*constantes!$B$4</f>
        <v>0.20428199999999999</v>
      </c>
      <c r="E18" s="153">
        <f>E7*(34.92/1000)*constantes!$B$4</f>
        <v>0.20428199999999999</v>
      </c>
      <c r="F18" s="153">
        <f>F7*(34.92/1000)*constantes!$B$4</f>
        <v>0.20428199999999999</v>
      </c>
      <c r="G18" s="153">
        <f>G7*(34.92/1000)*constantes!$B$4</f>
        <v>0.20428199999999999</v>
      </c>
      <c r="H18" s="153">
        <f>H7*(34.92/1000)*constantes!$B$4</f>
        <v>0.20428199999999999</v>
      </c>
      <c r="I18" s="153">
        <f>I7*(34.92/1000)*constantes!$B$4</f>
        <v>0.20428199999999999</v>
      </c>
      <c r="J18" s="153">
        <f>J7*(34.92/1000)*constantes!$B$4</f>
        <v>0.20428199999999999</v>
      </c>
      <c r="K18" s="153">
        <f>K7*(34.92/1000)*constantes!$B$4</f>
        <v>0.20428199999999999</v>
      </c>
      <c r="L18" s="153">
        <f>L7*(34.92/1000)*constantes!$B$4</f>
        <v>0.20428199999999999</v>
      </c>
      <c r="M18" s="153">
        <f>M7*(34.92/1000)*constantes!$B$4</f>
        <v>0.20428199999999999</v>
      </c>
      <c r="N18" s="153">
        <f>N7*(34.92/1000)*constantes!$B$4</f>
        <v>0.20428199999999999</v>
      </c>
      <c r="O18" s="153">
        <f>O7*(34.92/1000)*constantes!$B$4</f>
        <v>0.20428199999999999</v>
      </c>
      <c r="P18" s="153">
        <f>P7*(34.92/1000)*constantes!$B$4</f>
        <v>0.20428199999999999</v>
      </c>
      <c r="Q18" s="153">
        <f>Q7*(34.92/1000)*constantes!$B$4</f>
        <v>0.20428199999999999</v>
      </c>
      <c r="R18" s="153">
        <f>R7*(34.92/1000)*constantes!$B$4</f>
        <v>0.20428199999999999</v>
      </c>
      <c r="S18" s="153">
        <f>S7*(34.92/1000)*constantes!$B$4</f>
        <v>0.20428199999999999</v>
      </c>
      <c r="T18" s="153">
        <f>T7*(34.92/1000)*constantes!$B$4</f>
        <v>0.20428199999999999</v>
      </c>
      <c r="U18" s="153">
        <f>U7*(34.92/1000)*constantes!$B$4</f>
        <v>0.20428199999999999</v>
      </c>
      <c r="V18" s="153">
        <f>V7*(34.92/1000)*constantes!$B$4</f>
        <v>0.20428199999999999</v>
      </c>
      <c r="W18" s="153">
        <f>W7*(34.92/1000)*constantes!$B$4</f>
        <v>0.20428199999999999</v>
      </c>
      <c r="X18" s="153">
        <f>X7*(34.92/1000)*constantes!$B$4</f>
        <v>0.20428199999999999</v>
      </c>
      <c r="Y18" s="153">
        <f>Y7*(34.92/1000)*constantes!$B$4</f>
        <v>0.20428199999999999</v>
      </c>
      <c r="Z18" s="153">
        <f>Z7*(34.92/1000)*constantes!$B$4</f>
        <v>0.20428199999999999</v>
      </c>
      <c r="AA18" s="153">
        <f>AA7*(34.92/1000)*constantes!$B$4</f>
        <v>0.20428199999999999</v>
      </c>
      <c r="AB18" s="153">
        <f>AB7*(34.92/1000)*constantes!$B$4</f>
        <v>0.20428199999999999</v>
      </c>
      <c r="AC18" s="153">
        <f>AC7*(34.92/1000)*constantes!$B$4</f>
        <v>0.20428199999999999</v>
      </c>
      <c r="AD18" s="153">
        <f>AD7*(34.92/1000)*constantes!$B$4</f>
        <v>0.20428199999999999</v>
      </c>
      <c r="AE18" s="153">
        <f>AE7*(34.92/1000)*constantes!$B$4</f>
        <v>0.20428199999999999</v>
      </c>
      <c r="AF18" s="153">
        <f>AF7*(34.92/1000)*constantes!$B$4</f>
        <v>0.20428199999999999</v>
      </c>
      <c r="AG18" s="153">
        <f>AG7*(34.92/1000)*constantes!$B$4</f>
        <v>0.20428199999999999</v>
      </c>
      <c r="AH18" s="153">
        <f>AH7*(34.92/1000)*constantes!$B$4</f>
        <v>0.20428199999999999</v>
      </c>
      <c r="AI18" s="153">
        <f>AI7*(34.92/1000)*constantes!$B$4</f>
        <v>0.20428199999999999</v>
      </c>
      <c r="AJ18" s="153">
        <f>AJ7*(34.92/1000)*constantes!$B$4</f>
        <v>0.20428199999999999</v>
      </c>
      <c r="AK18" s="153">
        <f>AK7*(34.92/1000)*constantes!$B$4</f>
        <v>0.20428199999999999</v>
      </c>
      <c r="AL18" s="153">
        <f>AL7*(34.92/1000)*constantes!$B$4</f>
        <v>0.20428199999999999</v>
      </c>
      <c r="AM18" s="153">
        <f>AM7*(34.92/1000)*constantes!$B$4</f>
        <v>0.20428199999999999</v>
      </c>
      <c r="AN18" s="153">
        <f>AN7*(34.92/1000)*constantes!$B$4</f>
        <v>0.20428199999999999</v>
      </c>
      <c r="AO18" s="153">
        <f>AO7*(34.92/1000)*constantes!$B$4</f>
        <v>0.20428199999999999</v>
      </c>
      <c r="AP18" s="24"/>
      <c r="AQ18" s="24"/>
      <c r="AR18" s="24"/>
      <c r="AS18" s="24"/>
      <c r="AT18" s="24"/>
      <c r="AU18" s="24"/>
      <c r="AV18" s="24"/>
    </row>
    <row r="19" spans="1:48">
      <c r="A19" s="274" t="s">
        <v>2537</v>
      </c>
      <c r="B19" t="s">
        <v>2539</v>
      </c>
      <c r="C19" s="153">
        <f>C8*(34.92/1000)*constantes!$B$4</f>
        <v>1.7848567888417157</v>
      </c>
      <c r="D19" s="153">
        <f>D8*(34.92/1000)*constantes!$B$4</f>
        <v>1.7848567888417157</v>
      </c>
      <c r="E19" s="153">
        <f>E8*(34.92/1000)*constantes!$B$4</f>
        <v>1.7848567888417157</v>
      </c>
      <c r="F19" s="153">
        <f>F8*(34.92/1000)*constantes!$B$4</f>
        <v>1.7848567888417157</v>
      </c>
      <c r="G19" s="153">
        <f>G8*(34.92/1000)*constantes!$B$4</f>
        <v>1.7848567888417157</v>
      </c>
      <c r="H19" s="153">
        <f>H8*(34.92/1000)*constantes!$B$4</f>
        <v>1.7848567888417157</v>
      </c>
      <c r="I19" s="153">
        <f>I8*(34.92/1000)*constantes!$B$4</f>
        <v>1.7848567888417157</v>
      </c>
      <c r="J19" s="153">
        <f>J8*(34.92/1000)*constantes!$B$4</f>
        <v>1.7848567888417157</v>
      </c>
      <c r="K19" s="153">
        <f>K8*(34.92/1000)*constantes!$B$4</f>
        <v>1.7848567888417157</v>
      </c>
      <c r="L19" s="153">
        <f>L8*(34.92/1000)*constantes!$B$4</f>
        <v>1.7848567888417157</v>
      </c>
      <c r="M19" s="153">
        <f>M8*(34.92/1000)*constantes!$B$4</f>
        <v>1.7848567888417157</v>
      </c>
      <c r="N19" s="153">
        <f>N8*(34.92/1000)*constantes!$B$4</f>
        <v>1.7848567888417157</v>
      </c>
      <c r="O19" s="153">
        <f>O8*(34.92/1000)*constantes!$B$4</f>
        <v>1.7848567888417157</v>
      </c>
      <c r="P19" s="153">
        <f>P8*(34.92/1000)*constantes!$B$4</f>
        <v>1.7848567888417157</v>
      </c>
      <c r="Q19" s="153">
        <f>Q8*(34.92/1000)*constantes!$B$4</f>
        <v>1.7848567888417157</v>
      </c>
      <c r="R19" s="153">
        <f>R8*(34.92/1000)*constantes!$B$4</f>
        <v>1.7848567888417157</v>
      </c>
      <c r="S19" s="153">
        <f>S8*(34.92/1000)*constantes!$B$4</f>
        <v>1.7848567888417157</v>
      </c>
      <c r="T19" s="153">
        <f>T8*(34.92/1000)*constantes!$B$4</f>
        <v>1.7848567888417157</v>
      </c>
      <c r="U19" s="153">
        <f>U8*(34.92/1000)*constantes!$B$4</f>
        <v>1.7848567888417157</v>
      </c>
      <c r="V19" s="153">
        <f>V8*(34.92/1000)*constantes!$B$4</f>
        <v>1.7848567888417157</v>
      </c>
      <c r="W19" s="153">
        <f>W8*(34.92/1000)*constantes!$B$4</f>
        <v>1.7848567888417157</v>
      </c>
      <c r="X19" s="153">
        <f>X8*(34.92/1000)*constantes!$B$4</f>
        <v>1.7848567888417157</v>
      </c>
      <c r="Y19" s="153">
        <f>Y8*(34.92/1000)*constantes!$B$4</f>
        <v>1.7848567888417157</v>
      </c>
      <c r="Z19" s="153">
        <f>Z8*(34.92/1000)*constantes!$B$4</f>
        <v>1.7848567888417157</v>
      </c>
      <c r="AA19" s="153">
        <f>AA8*(34.92/1000)*constantes!$B$4</f>
        <v>1.7848567888417157</v>
      </c>
      <c r="AB19" s="153">
        <f>AB8*(34.92/1000)*constantes!$B$4</f>
        <v>1.7848567888417157</v>
      </c>
      <c r="AC19" s="153">
        <f>AC8*(34.92/1000)*constantes!$B$4</f>
        <v>1.7848567888417157</v>
      </c>
      <c r="AD19" s="153">
        <f>AD8*(34.92/1000)*constantes!$B$4</f>
        <v>1.7848567888417157</v>
      </c>
      <c r="AE19" s="153">
        <f>AE8*(34.92/1000)*constantes!$B$4</f>
        <v>1.7848567888417157</v>
      </c>
      <c r="AF19" s="153">
        <f>AF8*(34.92/1000)*constantes!$B$4</f>
        <v>1.7848567888417157</v>
      </c>
      <c r="AG19" s="153">
        <f>AG8*(34.92/1000)*constantes!$B$4</f>
        <v>1.7848567888417157</v>
      </c>
      <c r="AH19" s="153">
        <f>AH8*(34.92/1000)*constantes!$B$4</f>
        <v>1.7848567888417157</v>
      </c>
      <c r="AI19" s="153">
        <f>AI8*(34.92/1000)*constantes!$B$4</f>
        <v>1.7848567888417157</v>
      </c>
      <c r="AJ19" s="153">
        <f>AJ8*(34.92/1000)*constantes!$B$4</f>
        <v>1.7848567888417157</v>
      </c>
      <c r="AK19" s="153">
        <f>AK8*(34.92/1000)*constantes!$B$4</f>
        <v>1.7848567888417157</v>
      </c>
      <c r="AL19" s="153">
        <f>AL8*(34.92/1000)*constantes!$B$4</f>
        <v>1.7848567888417157</v>
      </c>
      <c r="AM19" s="153">
        <f>AM8*(34.92/1000)*constantes!$B$4</f>
        <v>1.7848567888417157</v>
      </c>
      <c r="AN19" s="153">
        <f>AN8*(34.92/1000)*constantes!$B$4</f>
        <v>1.7848567888417157</v>
      </c>
      <c r="AO19" s="153">
        <f>AO8*(34.92/1000)*constantes!$B$4</f>
        <v>1.7848567888417157</v>
      </c>
      <c r="AP19" s="24"/>
      <c r="AQ19" s="24"/>
      <c r="AR19" s="24"/>
      <c r="AS19" s="24"/>
      <c r="AT19" s="24"/>
      <c r="AU19" s="24"/>
      <c r="AV19" s="24"/>
    </row>
    <row r="20" spans="1:48">
      <c r="C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</row>
    <row r="22" spans="1:48">
      <c r="C22" s="153"/>
    </row>
    <row r="23" spans="1:48">
      <c r="A23" s="274"/>
      <c r="C23" s="154"/>
      <c r="D23" s="154"/>
      <c r="E23" s="154"/>
      <c r="F23" s="154"/>
      <c r="G23" s="154"/>
      <c r="H23" s="154"/>
      <c r="I23" s="154"/>
      <c r="J23" s="154"/>
      <c r="K23" s="154"/>
      <c r="L23" s="154"/>
      <c r="M23" s="154"/>
      <c r="N23" s="154"/>
      <c r="O23" s="154"/>
      <c r="P23" s="154"/>
      <c r="Q23" s="154"/>
      <c r="R23" s="154"/>
      <c r="S23" s="154"/>
      <c r="T23" s="154"/>
      <c r="U23" s="154"/>
      <c r="V23" s="154"/>
      <c r="W23" s="154"/>
      <c r="X23" s="154"/>
      <c r="Y23" s="154"/>
      <c r="Z23" s="154"/>
      <c r="AA23" s="154"/>
      <c r="AB23" s="154"/>
      <c r="AC23" s="154"/>
      <c r="AD23" s="154"/>
      <c r="AE23" s="154"/>
      <c r="AF23" s="154"/>
      <c r="AG23" s="154"/>
      <c r="AH23" s="154"/>
      <c r="AI23" s="154"/>
      <c r="AJ23" s="154"/>
      <c r="AK23" s="154"/>
      <c r="AL23" s="154"/>
      <c r="AM23" s="154"/>
      <c r="AN23" s="154"/>
      <c r="AO23" s="154"/>
    </row>
    <row r="24" spans="1:48">
      <c r="A24" s="274"/>
      <c r="C24" s="154"/>
      <c r="D24" s="154"/>
      <c r="E24" s="154"/>
      <c r="F24" s="154"/>
      <c r="G24" s="154"/>
      <c r="H24" s="154"/>
      <c r="I24" s="154"/>
      <c r="J24" s="154"/>
      <c r="K24" s="154"/>
      <c r="L24" s="154"/>
      <c r="M24" s="154"/>
      <c r="N24" s="154"/>
      <c r="O24" s="154"/>
      <c r="P24" s="154"/>
      <c r="Q24" s="154"/>
      <c r="R24" s="154"/>
      <c r="S24" s="154"/>
      <c r="T24" s="154"/>
      <c r="U24" s="154"/>
      <c r="V24" s="154"/>
      <c r="W24" s="154"/>
      <c r="X24" s="154"/>
      <c r="Y24" s="154"/>
      <c r="Z24" s="154"/>
      <c r="AA24" s="154"/>
      <c r="AB24" s="154"/>
      <c r="AC24" s="154"/>
      <c r="AD24" s="154"/>
      <c r="AE24" s="154"/>
      <c r="AF24" s="154"/>
      <c r="AG24" s="154"/>
      <c r="AH24" s="154"/>
      <c r="AI24" s="154"/>
      <c r="AJ24" s="154"/>
      <c r="AK24" s="154"/>
      <c r="AL24" s="154"/>
      <c r="AM24" s="154"/>
      <c r="AN24" s="154"/>
      <c r="AO24" s="154"/>
    </row>
    <row r="25" spans="1:48">
      <c r="A25" s="274"/>
      <c r="C25" s="154"/>
      <c r="D25" s="154"/>
      <c r="E25" s="154"/>
      <c r="F25" s="154"/>
      <c r="G25" s="154"/>
      <c r="H25" s="154"/>
      <c r="I25" s="154"/>
      <c r="J25" s="154"/>
      <c r="K25" s="154"/>
      <c r="L25" s="154"/>
      <c r="M25" s="154"/>
      <c r="N25" s="154"/>
      <c r="O25" s="154"/>
      <c r="P25" s="154"/>
      <c r="Q25" s="154"/>
      <c r="R25" s="154"/>
      <c r="S25" s="154"/>
      <c r="T25" s="154"/>
      <c r="U25" s="154"/>
      <c r="V25" s="154"/>
      <c r="W25" s="154"/>
      <c r="X25" s="154"/>
      <c r="Y25" s="154"/>
      <c r="Z25" s="154"/>
      <c r="AA25" s="154"/>
      <c r="AB25" s="154"/>
      <c r="AC25" s="154"/>
      <c r="AD25" s="154"/>
      <c r="AE25" s="154"/>
      <c r="AF25" s="154"/>
      <c r="AG25" s="154"/>
      <c r="AH25" s="154"/>
      <c r="AI25" s="154"/>
      <c r="AJ25" s="154"/>
      <c r="AK25" s="154"/>
      <c r="AL25" s="154"/>
      <c r="AM25" s="154"/>
      <c r="AN25" s="154"/>
      <c r="AO25" s="154"/>
    </row>
  </sheetData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Plan19"/>
  <dimension ref="A1:AO24"/>
  <sheetViews>
    <sheetView zoomScale="80" zoomScaleNormal="80" workbookViewId="0">
      <selection activeCell="B2" sqref="B2:I17"/>
    </sheetView>
  </sheetViews>
  <sheetFormatPr defaultRowHeight="12.75"/>
  <cols>
    <col min="1" max="1" width="24.42578125" customWidth="1"/>
    <col min="2" max="7" width="10.28515625" bestFit="1" customWidth="1"/>
    <col min="8" max="8" width="10.28515625" customWidth="1"/>
    <col min="9" max="14" width="10.28515625" bestFit="1" customWidth="1"/>
    <col min="15" max="40" width="11.28515625" bestFit="1" customWidth="1"/>
    <col min="43" max="43" width="11.28515625" bestFit="1" customWidth="1"/>
  </cols>
  <sheetData>
    <row r="1" spans="1:41" ht="13.5" thickBot="1">
      <c r="A1" s="11" t="s">
        <v>136</v>
      </c>
      <c r="B1" s="61">
        <v>2012</v>
      </c>
      <c r="C1" s="61">
        <v>2013</v>
      </c>
      <c r="D1" s="61">
        <v>2014</v>
      </c>
      <c r="E1" s="61">
        <v>2015</v>
      </c>
      <c r="F1" s="61">
        <v>2016</v>
      </c>
      <c r="G1" s="61">
        <v>2017</v>
      </c>
      <c r="H1" s="61">
        <v>2018</v>
      </c>
      <c r="I1" s="61">
        <v>2019</v>
      </c>
      <c r="J1" s="61">
        <v>2020</v>
      </c>
      <c r="K1" s="61">
        <v>2021</v>
      </c>
      <c r="L1" s="61">
        <v>2022</v>
      </c>
      <c r="M1" s="61">
        <v>2023</v>
      </c>
      <c r="N1" s="61">
        <v>2024</v>
      </c>
      <c r="O1" s="61">
        <v>2025</v>
      </c>
      <c r="P1" s="61">
        <v>2026</v>
      </c>
      <c r="Q1" s="61">
        <v>2027</v>
      </c>
      <c r="R1" s="61">
        <v>2028</v>
      </c>
      <c r="S1" s="61">
        <v>2029</v>
      </c>
      <c r="T1" s="61">
        <v>2030</v>
      </c>
      <c r="U1" s="61">
        <v>2031</v>
      </c>
      <c r="V1" s="61">
        <v>2032</v>
      </c>
      <c r="W1" s="61">
        <v>2033</v>
      </c>
      <c r="X1" s="61">
        <v>2034</v>
      </c>
      <c r="Y1" s="14">
        <v>2035</v>
      </c>
      <c r="Z1" s="14">
        <v>2036</v>
      </c>
      <c r="AA1" s="14">
        <v>2037</v>
      </c>
      <c r="AB1" s="14">
        <v>2038</v>
      </c>
      <c r="AC1" s="14">
        <v>2039</v>
      </c>
      <c r="AD1" s="14">
        <v>2040</v>
      </c>
      <c r="AE1" s="14">
        <v>2041</v>
      </c>
      <c r="AF1" s="14">
        <v>2042</v>
      </c>
      <c r="AG1" s="14">
        <v>2043</v>
      </c>
      <c r="AH1" s="14">
        <v>2044</v>
      </c>
      <c r="AI1" s="14">
        <v>2045</v>
      </c>
      <c r="AJ1" s="14">
        <v>2046</v>
      </c>
      <c r="AK1" s="14">
        <v>2047</v>
      </c>
      <c r="AL1" s="14">
        <v>2048</v>
      </c>
      <c r="AM1" s="14">
        <v>2049</v>
      </c>
      <c r="AN1" s="14">
        <v>2050</v>
      </c>
    </row>
    <row r="2" spans="1:41" ht="13.5" thickTop="1">
      <c r="A2" s="17">
        <v>1</v>
      </c>
      <c r="B2" s="646">
        <v>36632.607682862734</v>
      </c>
      <c r="C2" s="646">
        <v>37285.875877570135</v>
      </c>
      <c r="D2" s="645">
        <v>36217.813905744384</v>
      </c>
      <c r="E2" s="645">
        <v>37570.329722758615</v>
      </c>
      <c r="F2" s="645">
        <v>37257.89272578065</v>
      </c>
      <c r="G2" s="645">
        <v>37693.741716178396</v>
      </c>
      <c r="H2" s="645">
        <v>38368.085867323694</v>
      </c>
      <c r="I2" s="646">
        <v>41505.238760912776</v>
      </c>
      <c r="J2" s="645">
        <v>43491.022178047802</v>
      </c>
      <c r="K2" s="645">
        <v>45414.357045603974</v>
      </c>
      <c r="L2" s="645">
        <v>47223.242404641249</v>
      </c>
      <c r="M2" s="645">
        <v>49198.795180520014</v>
      </c>
      <c r="N2" s="645">
        <v>51136.530335030642</v>
      </c>
      <c r="O2" s="645">
        <v>53181.444195292373</v>
      </c>
      <c r="P2" s="645">
        <v>54820.009763885493</v>
      </c>
      <c r="Q2" s="645">
        <v>56506.148247180761</v>
      </c>
      <c r="R2" s="645">
        <v>58196.527079791442</v>
      </c>
      <c r="S2" s="645">
        <v>59936.293883143502</v>
      </c>
      <c r="T2" s="645">
        <v>61758.26651402736</v>
      </c>
      <c r="U2" s="645">
        <v>63702.589885373833</v>
      </c>
      <c r="V2" s="645">
        <v>65604.808656298497</v>
      </c>
      <c r="W2" s="645">
        <v>67441.235586179158</v>
      </c>
      <c r="X2" s="645">
        <v>69341.440837321948</v>
      </c>
      <c r="Y2" s="645">
        <v>71349.387358385953</v>
      </c>
      <c r="Z2" s="645">
        <v>73388.900367434893</v>
      </c>
      <c r="AA2" s="645">
        <v>75448.03360076352</v>
      </c>
      <c r="AB2" s="645">
        <v>77725.900300875437</v>
      </c>
      <c r="AC2" s="645">
        <v>79927.074241578477</v>
      </c>
      <c r="AD2" s="645">
        <v>82078.708841922373</v>
      </c>
      <c r="AE2" s="645">
        <v>83941.980687250136</v>
      </c>
      <c r="AF2" s="645">
        <v>85808.279096704806</v>
      </c>
      <c r="AG2" s="645">
        <v>87687.56123382457</v>
      </c>
      <c r="AH2" s="645">
        <v>89648.096584988074</v>
      </c>
      <c r="AI2" s="645">
        <v>91633.158385165545</v>
      </c>
      <c r="AJ2" s="645">
        <v>93629.861691804108</v>
      </c>
      <c r="AK2" s="645">
        <v>95629.981954285802</v>
      </c>
      <c r="AL2" s="645">
        <v>97856.458006043089</v>
      </c>
      <c r="AM2" s="645">
        <v>100041.29466092351</v>
      </c>
      <c r="AN2" s="645">
        <v>102168.62909803692</v>
      </c>
      <c r="AO2" s="335">
        <v>0.5471918381554427</v>
      </c>
    </row>
    <row r="3" spans="1:41">
      <c r="A3" s="17">
        <v>2</v>
      </c>
      <c r="B3" s="646">
        <v>10256.068306010928</v>
      </c>
      <c r="C3" s="646">
        <v>10719.242790329081</v>
      </c>
      <c r="D3" s="645">
        <v>10601.72726</v>
      </c>
      <c r="E3" s="645">
        <v>10937.29674</v>
      </c>
      <c r="F3" s="645">
        <v>10980.90603</v>
      </c>
      <c r="G3" s="645">
        <v>11281.72912</v>
      </c>
      <c r="H3" s="645">
        <v>11485.670169999999</v>
      </c>
      <c r="I3" s="646">
        <v>12096.368654684919</v>
      </c>
      <c r="J3" s="645">
        <v>12626.317359427154</v>
      </c>
      <c r="K3" s="645">
        <v>13192.039395337921</v>
      </c>
      <c r="L3" s="645">
        <v>13797.865811148409</v>
      </c>
      <c r="M3" s="645">
        <v>14416.273482162562</v>
      </c>
      <c r="N3" s="645">
        <v>15069.915879977259</v>
      </c>
      <c r="O3" s="645">
        <v>15748.6690236797</v>
      </c>
      <c r="P3" s="645">
        <v>16297.836632358432</v>
      </c>
      <c r="Q3" s="645">
        <v>16860.161400565823</v>
      </c>
      <c r="R3" s="645">
        <v>17489.391426263905</v>
      </c>
      <c r="S3" s="645">
        <v>18121.745771083723</v>
      </c>
      <c r="T3" s="645">
        <v>18718.889079853063</v>
      </c>
      <c r="U3" s="645">
        <v>19354.693093210321</v>
      </c>
      <c r="V3" s="645">
        <v>20010.716410390938</v>
      </c>
      <c r="W3" s="645">
        <v>20669.196666587686</v>
      </c>
      <c r="X3" s="645">
        <v>21425.223088526967</v>
      </c>
      <c r="Y3" s="645">
        <v>22128.538065666089</v>
      </c>
      <c r="Z3" s="645">
        <v>22890.62118350216</v>
      </c>
      <c r="AA3" s="645">
        <v>23666.943875667766</v>
      </c>
      <c r="AB3" s="645">
        <v>24449.940902077557</v>
      </c>
      <c r="AC3" s="645">
        <v>25214.347948564591</v>
      </c>
      <c r="AD3" s="645">
        <v>25978.044064409289</v>
      </c>
      <c r="AE3" s="645">
        <v>26695.131895319115</v>
      </c>
      <c r="AF3" s="645">
        <v>27428.38748112426</v>
      </c>
      <c r="AG3" s="645">
        <v>28173.39093147454</v>
      </c>
      <c r="AH3" s="645">
        <v>28929.112316731436</v>
      </c>
      <c r="AI3" s="645">
        <v>29705.65695938349</v>
      </c>
      <c r="AJ3" s="645">
        <v>30492.117362116616</v>
      </c>
      <c r="AK3" s="645">
        <v>31293.455243722874</v>
      </c>
      <c r="AL3" s="645">
        <v>32246.459845272253</v>
      </c>
      <c r="AM3" s="645">
        <v>33132.349539314986</v>
      </c>
      <c r="AN3" s="645">
        <v>34008.124717700433</v>
      </c>
      <c r="AO3" s="335">
        <v>0.16484353077059868</v>
      </c>
    </row>
    <row r="4" spans="1:41">
      <c r="A4" s="17">
        <v>3</v>
      </c>
      <c r="B4" s="646">
        <v>9067.636612021859</v>
      </c>
      <c r="C4" s="646">
        <v>9676.7722901656653</v>
      </c>
      <c r="D4" s="645">
        <v>9583.0543539999999</v>
      </c>
      <c r="E4" s="645">
        <v>10261.03637</v>
      </c>
      <c r="F4" s="645">
        <v>10420.44838</v>
      </c>
      <c r="G4" s="645">
        <v>10602.301160000001</v>
      </c>
      <c r="H4" s="645">
        <v>10803.4548</v>
      </c>
      <c r="I4" s="646">
        <v>11470.204606008609</v>
      </c>
      <c r="J4" s="645">
        <v>12054.133279161812</v>
      </c>
      <c r="K4" s="645">
        <v>12607.534799314715</v>
      </c>
      <c r="L4" s="645">
        <v>13195.353226360772</v>
      </c>
      <c r="M4" s="645">
        <v>13813.342926862912</v>
      </c>
      <c r="N4" s="645">
        <v>14454.516807188518</v>
      </c>
      <c r="O4" s="645">
        <v>15155.509906758005</v>
      </c>
      <c r="P4" s="645">
        <v>15868.562496292911</v>
      </c>
      <c r="Q4" s="645">
        <v>16420.351031338694</v>
      </c>
      <c r="R4" s="645">
        <v>16989.893615740111</v>
      </c>
      <c r="S4" s="645">
        <v>17550.46609733683</v>
      </c>
      <c r="T4" s="645">
        <v>18106.504694346579</v>
      </c>
      <c r="U4" s="645">
        <v>18715.900086075322</v>
      </c>
      <c r="V4" s="645">
        <v>19334.076389837504</v>
      </c>
      <c r="W4" s="645">
        <v>19956.090882794175</v>
      </c>
      <c r="X4" s="645">
        <v>20568.547366299932</v>
      </c>
      <c r="Y4" s="645">
        <v>21210.635236064227</v>
      </c>
      <c r="Z4" s="645">
        <v>21870.929598046299</v>
      </c>
      <c r="AA4" s="645">
        <v>22585.705649336338</v>
      </c>
      <c r="AB4" s="645">
        <v>23333.374890746931</v>
      </c>
      <c r="AC4" s="645">
        <v>24069.005314966002</v>
      </c>
      <c r="AD4" s="645">
        <v>24804.101839266008</v>
      </c>
      <c r="AE4" s="645">
        <v>25470.867137493406</v>
      </c>
      <c r="AF4" s="645">
        <v>26151.519470108087</v>
      </c>
      <c r="AG4" s="645">
        <v>26840.737157970929</v>
      </c>
      <c r="AH4" s="645">
        <v>27552.969854740371</v>
      </c>
      <c r="AI4" s="645">
        <v>28300.105766795368</v>
      </c>
      <c r="AJ4" s="645">
        <v>29076.597735254491</v>
      </c>
      <c r="AK4" s="645">
        <v>29837.820487232166</v>
      </c>
      <c r="AL4" s="645">
        <v>30627.850412087326</v>
      </c>
      <c r="AM4" s="645">
        <v>31422.378262736376</v>
      </c>
      <c r="AN4" s="645">
        <v>32235.252968644054</v>
      </c>
      <c r="AO4" s="335">
        <v>0.15872793711361019</v>
      </c>
    </row>
    <row r="5" spans="1:41">
      <c r="A5" s="17">
        <v>4</v>
      </c>
      <c r="B5" s="646">
        <v>4117.7322404371598</v>
      </c>
      <c r="C5" s="646">
        <v>4654.0969167976</v>
      </c>
      <c r="D5" s="645">
        <v>4091.2993824882797</v>
      </c>
      <c r="E5" s="645">
        <v>4385.8445955693096</v>
      </c>
      <c r="F5" s="645">
        <v>4348.4903569271855</v>
      </c>
      <c r="G5" s="645">
        <v>4366.7751684251243</v>
      </c>
      <c r="H5" s="645">
        <v>4150.9205023716113</v>
      </c>
      <c r="I5" s="646">
        <v>4715.1338327100848</v>
      </c>
      <c r="J5" s="645">
        <v>5356.860896961789</v>
      </c>
      <c r="K5" s="645">
        <v>6043.535248254494</v>
      </c>
      <c r="L5" s="645">
        <v>6237.5229814176591</v>
      </c>
      <c r="M5" s="645">
        <v>6413.4863421437203</v>
      </c>
      <c r="N5" s="645">
        <v>6674.347218177887</v>
      </c>
      <c r="O5" s="645">
        <v>6894.9565830470001</v>
      </c>
      <c r="P5" s="645">
        <v>7155.2613027652733</v>
      </c>
      <c r="Q5" s="645">
        <v>7335.189806953983</v>
      </c>
      <c r="R5" s="645">
        <v>7539.2646270793757</v>
      </c>
      <c r="S5" s="645">
        <v>7785.3401923268884</v>
      </c>
      <c r="T5" s="645">
        <v>8096.2191359312365</v>
      </c>
      <c r="U5" s="645">
        <v>8298.0187562730353</v>
      </c>
      <c r="V5" s="645">
        <v>8517.4743637269003</v>
      </c>
      <c r="W5" s="645">
        <v>8777.7444181226256</v>
      </c>
      <c r="X5" s="645">
        <v>8972.1032822316811</v>
      </c>
      <c r="Y5" s="645">
        <v>9194.1833242970824</v>
      </c>
      <c r="Z5" s="645">
        <v>9541.1592129932233</v>
      </c>
      <c r="AA5" s="645">
        <v>9792.9796128575144</v>
      </c>
      <c r="AB5" s="645">
        <v>10070.166674511345</v>
      </c>
      <c r="AC5" s="645">
        <v>10332.784905932011</v>
      </c>
      <c r="AD5" s="645">
        <v>10641.732190033263</v>
      </c>
      <c r="AE5" s="645">
        <v>10911.037010225466</v>
      </c>
      <c r="AF5" s="645">
        <v>11152.567567163725</v>
      </c>
      <c r="AG5" s="645">
        <v>11419.549460895325</v>
      </c>
      <c r="AH5" s="645">
        <v>11667.690365678938</v>
      </c>
      <c r="AI5" s="645">
        <v>11917.321900141191</v>
      </c>
      <c r="AJ5" s="645">
        <v>12165.822518042238</v>
      </c>
      <c r="AK5" s="645">
        <v>12426.991000332891</v>
      </c>
      <c r="AL5" s="645">
        <v>12675.550617625408</v>
      </c>
      <c r="AM5" s="645">
        <v>12928.556385569793</v>
      </c>
      <c r="AN5" s="645">
        <v>13210.140661921552</v>
      </c>
      <c r="AO5" s="335">
        <v>8.2560361357235074E-2</v>
      </c>
    </row>
    <row r="6" spans="1:41">
      <c r="A6" s="113">
        <v>5</v>
      </c>
      <c r="B6" s="645">
        <v>996</v>
      </c>
      <c r="C6" s="645">
        <v>1074</v>
      </c>
      <c r="D6" s="645">
        <v>1215</v>
      </c>
      <c r="E6" s="645">
        <v>1214</v>
      </c>
      <c r="F6" s="645">
        <v>1278</v>
      </c>
      <c r="G6" s="645">
        <v>1536</v>
      </c>
      <c r="H6" s="645">
        <v>1717</v>
      </c>
      <c r="I6" s="645">
        <v>1743</v>
      </c>
      <c r="J6" s="645">
        <v>1784</v>
      </c>
      <c r="K6" s="645">
        <v>1890</v>
      </c>
      <c r="L6" s="645">
        <v>2003</v>
      </c>
      <c r="M6" s="645">
        <v>2125</v>
      </c>
      <c r="N6" s="645">
        <v>2254</v>
      </c>
      <c r="O6" s="645">
        <v>2391</v>
      </c>
      <c r="P6" s="645">
        <v>2537</v>
      </c>
      <c r="Q6" s="645">
        <v>2693</v>
      </c>
      <c r="R6" s="645">
        <v>2859</v>
      </c>
      <c r="S6" s="645">
        <v>3035</v>
      </c>
      <c r="T6" s="645">
        <v>3223</v>
      </c>
      <c r="U6" s="645">
        <v>3423</v>
      </c>
      <c r="V6" s="645">
        <v>3635</v>
      </c>
      <c r="W6" s="645">
        <v>3862</v>
      </c>
      <c r="X6" s="645">
        <v>4104</v>
      </c>
      <c r="Y6" s="645">
        <v>4361</v>
      </c>
      <c r="Z6" s="645">
        <v>4635</v>
      </c>
      <c r="AA6" s="645">
        <v>4871</v>
      </c>
      <c r="AB6" s="645">
        <v>4871</v>
      </c>
      <c r="AC6" s="645">
        <v>4871</v>
      </c>
      <c r="AD6" s="645">
        <v>4871</v>
      </c>
      <c r="AE6" s="645">
        <v>4871</v>
      </c>
      <c r="AF6" s="645">
        <v>4871</v>
      </c>
      <c r="AG6" s="645">
        <v>4871</v>
      </c>
      <c r="AH6" s="645">
        <v>4871</v>
      </c>
      <c r="AI6" s="645">
        <v>4871</v>
      </c>
      <c r="AJ6" s="645">
        <v>4871</v>
      </c>
      <c r="AK6" s="645">
        <v>4871</v>
      </c>
      <c r="AL6" s="645">
        <v>4871</v>
      </c>
      <c r="AM6" s="645">
        <v>4871</v>
      </c>
      <c r="AN6" s="645">
        <v>4871</v>
      </c>
      <c r="AO6" s="335">
        <v>2.0547672752850091E-2</v>
      </c>
    </row>
    <row r="7" spans="1:41">
      <c r="A7" s="17">
        <v>6</v>
      </c>
      <c r="B7" s="646">
        <v>475.1502732240437</v>
      </c>
      <c r="C7" s="646">
        <v>508.74794520547943</v>
      </c>
      <c r="D7" s="646">
        <v>536.07262425561873</v>
      </c>
      <c r="E7" s="646">
        <v>493.55031724138286</v>
      </c>
      <c r="F7" s="646">
        <v>492.91981421934872</v>
      </c>
      <c r="G7" s="646">
        <v>505.68509382159959</v>
      </c>
      <c r="H7" s="646">
        <v>524.86979267630602</v>
      </c>
      <c r="I7" s="646">
        <v>546.46208549314554</v>
      </c>
      <c r="J7" s="645">
        <v>568.07391194113768</v>
      </c>
      <c r="K7" s="645">
        <v>591.20665084889049</v>
      </c>
      <c r="L7" s="645">
        <v>614.80294499081947</v>
      </c>
      <c r="M7" s="645">
        <v>638.41745669282273</v>
      </c>
      <c r="N7" s="645">
        <v>662.4856407299394</v>
      </c>
      <c r="O7" s="645">
        <v>686.88791785438343</v>
      </c>
      <c r="P7" s="645">
        <v>711.36211117429355</v>
      </c>
      <c r="Q7" s="645">
        <v>736.08516248314049</v>
      </c>
      <c r="R7" s="645">
        <v>760.94856293621933</v>
      </c>
      <c r="S7" s="645">
        <v>785.73462021588557</v>
      </c>
      <c r="T7" s="645">
        <v>810.63523453358221</v>
      </c>
      <c r="U7" s="645">
        <v>835.75247727882413</v>
      </c>
      <c r="V7" s="645">
        <v>860.87689319531444</v>
      </c>
      <c r="W7" s="645">
        <v>886.15926967083544</v>
      </c>
      <c r="X7" s="645">
        <v>911.656674564333</v>
      </c>
      <c r="Y7" s="645">
        <v>937.3483234327523</v>
      </c>
      <c r="Z7" s="645">
        <v>962.98664572381892</v>
      </c>
      <c r="AA7" s="645">
        <v>988.52694945299288</v>
      </c>
      <c r="AB7" s="645">
        <v>1013.9235689671686</v>
      </c>
      <c r="AC7" s="645">
        <v>1039.1299981650327</v>
      </c>
      <c r="AD7" s="645">
        <v>1064.0990308512958</v>
      </c>
      <c r="AE7" s="645">
        <v>1088.7829076368707</v>
      </c>
      <c r="AF7" s="645">
        <v>1113.133468741489</v>
      </c>
      <c r="AG7" s="645">
        <v>1137.102312003324</v>
      </c>
      <c r="AH7" s="645">
        <v>1160.6409553524923</v>
      </c>
      <c r="AI7" s="645">
        <v>1183.7010029622677</v>
      </c>
      <c r="AJ7" s="645">
        <v>1206.2343142539685</v>
      </c>
      <c r="AK7" s="645">
        <v>1228.1931748991281</v>
      </c>
      <c r="AL7" s="645">
        <v>1249.530468936133</v>
      </c>
      <c r="AM7" s="645">
        <v>1270.1998510982733</v>
      </c>
      <c r="AN7" s="645">
        <v>1290.1559184363809</v>
      </c>
      <c r="AO7" s="335">
        <v>7.3403028995851841E-3</v>
      </c>
    </row>
    <row r="8" spans="1:41">
      <c r="A8" s="113">
        <v>7</v>
      </c>
      <c r="B8" s="646">
        <v>0</v>
      </c>
      <c r="C8" s="646">
        <v>259.1192517053222</v>
      </c>
      <c r="D8" s="646">
        <v>1045.8892105117202</v>
      </c>
      <c r="E8" s="646">
        <v>977.10792243069079</v>
      </c>
      <c r="F8" s="646">
        <v>1112.006096072814</v>
      </c>
      <c r="G8" s="646">
        <v>1134.9225025748756</v>
      </c>
      <c r="H8" s="646">
        <v>1225.993663628388</v>
      </c>
      <c r="I8" s="646">
        <v>1327.5348207313752</v>
      </c>
      <c r="J8" s="645">
        <v>1375.1157880561218</v>
      </c>
      <c r="K8" s="645">
        <v>1426.8763792966981</v>
      </c>
      <c r="L8" s="645">
        <v>1480.2156203166567</v>
      </c>
      <c r="M8" s="645">
        <v>1535.0262131403188</v>
      </c>
      <c r="N8" s="645">
        <v>1591.7318891835114</v>
      </c>
      <c r="O8" s="645">
        <v>1650.1437807800139</v>
      </c>
      <c r="P8" s="645">
        <v>1710.8561486601725</v>
      </c>
      <c r="Q8" s="645">
        <v>1773.3485471506165</v>
      </c>
      <c r="R8" s="645">
        <v>1837.6477786231956</v>
      </c>
      <c r="S8" s="645">
        <v>1904.3899682025933</v>
      </c>
      <c r="T8" s="645">
        <v>1973.6691583736085</v>
      </c>
      <c r="U8" s="645">
        <v>2049.0362806437097</v>
      </c>
      <c r="V8" s="645">
        <v>2127.2833206782493</v>
      </c>
      <c r="W8" s="645">
        <v>2208.5294364177857</v>
      </c>
      <c r="X8" s="645">
        <v>2292.5350202695108</v>
      </c>
      <c r="Y8" s="645">
        <v>2379.3896489460044</v>
      </c>
      <c r="Z8" s="645">
        <v>2467.2076573479062</v>
      </c>
      <c r="AA8" s="645">
        <v>2555.812204245161</v>
      </c>
      <c r="AB8" s="645">
        <v>2645.0161690746286</v>
      </c>
      <c r="AC8" s="645">
        <v>2734.6228687791158</v>
      </c>
      <c r="AD8" s="645">
        <v>2824.4268938944338</v>
      </c>
      <c r="AE8" s="645">
        <v>2914.2150619414583</v>
      </c>
      <c r="AF8" s="645">
        <v>3003.767484650617</v>
      </c>
      <c r="AG8" s="645">
        <v>3092.8587439853709</v>
      </c>
      <c r="AH8" s="645">
        <v>3181.2591703635376</v>
      </c>
      <c r="AI8" s="645">
        <v>3268.7362149270011</v>
      </c>
      <c r="AJ8" s="645">
        <v>3355.0559062085135</v>
      </c>
      <c r="AK8" s="645">
        <v>3439.9843801166812</v>
      </c>
      <c r="AL8" s="645">
        <v>3523.2894708344334</v>
      </c>
      <c r="AM8" s="645">
        <v>3604.7423490292731</v>
      </c>
      <c r="AN8" s="645">
        <v>3684.1191927312716</v>
      </c>
      <c r="AO8" s="335">
        <v>1.8788356950678046E-2</v>
      </c>
    </row>
    <row r="9" spans="1:41">
      <c r="A9" s="17"/>
      <c r="B9" s="114"/>
      <c r="C9" s="114"/>
      <c r="D9" s="114"/>
      <c r="E9" s="114"/>
      <c r="F9" s="114"/>
      <c r="G9" s="114"/>
      <c r="H9" s="114"/>
      <c r="I9" s="114"/>
      <c r="J9" s="114"/>
      <c r="K9" s="114"/>
      <c r="L9" s="114"/>
      <c r="M9" s="114"/>
      <c r="N9" s="114"/>
      <c r="O9" s="114"/>
      <c r="P9" s="114"/>
      <c r="Q9" s="114"/>
      <c r="R9" s="114"/>
      <c r="S9" s="114"/>
      <c r="T9" s="114"/>
      <c r="U9" s="114"/>
      <c r="V9" s="114"/>
      <c r="W9" s="114"/>
      <c r="X9" s="114"/>
      <c r="Y9" s="114"/>
      <c r="Z9" s="114"/>
      <c r="AA9" s="114"/>
      <c r="AB9" s="114"/>
      <c r="AC9" s="114"/>
      <c r="AD9" s="114"/>
      <c r="AE9" s="114"/>
      <c r="AF9" s="114"/>
      <c r="AG9" s="114"/>
      <c r="AH9" s="114"/>
      <c r="AI9" s="114"/>
      <c r="AJ9" s="114"/>
      <c r="AK9" s="114"/>
      <c r="AL9" s="114"/>
      <c r="AM9" s="114"/>
      <c r="AN9" s="114"/>
    </row>
    <row r="10" spans="1:41">
      <c r="A10" s="17"/>
      <c r="B10" s="114"/>
      <c r="C10" s="114"/>
      <c r="D10" s="114"/>
      <c r="E10" s="114"/>
      <c r="F10" s="114"/>
      <c r="G10" s="114"/>
      <c r="H10" s="114"/>
      <c r="I10" s="114"/>
      <c r="J10" s="114"/>
      <c r="K10" s="114"/>
      <c r="L10" s="114"/>
      <c r="M10" s="114"/>
      <c r="N10" s="114"/>
      <c r="O10" s="114"/>
      <c r="P10" s="114"/>
      <c r="Q10" s="114"/>
      <c r="R10" s="114"/>
      <c r="S10" s="114"/>
      <c r="T10" s="114"/>
      <c r="U10" s="114"/>
      <c r="V10" s="114"/>
      <c r="W10" s="114"/>
      <c r="X10" s="114"/>
      <c r="Y10" s="114"/>
      <c r="Z10" s="114"/>
      <c r="AA10" s="114"/>
      <c r="AB10" s="114"/>
      <c r="AC10" s="114"/>
      <c r="AD10" s="114"/>
      <c r="AE10" s="114"/>
      <c r="AF10" s="114"/>
      <c r="AG10" s="114"/>
      <c r="AH10" s="114"/>
      <c r="AI10" s="114"/>
      <c r="AJ10" s="114"/>
      <c r="AK10" s="114"/>
      <c r="AL10" s="114"/>
      <c r="AM10" s="114"/>
      <c r="AN10" s="114"/>
    </row>
    <row r="11" spans="1:41">
      <c r="A11" s="17" t="s">
        <v>2540</v>
      </c>
      <c r="B11" s="114">
        <v>4871</v>
      </c>
      <c r="C11" s="114"/>
      <c r="D11" s="114"/>
      <c r="E11" s="114"/>
      <c r="F11" s="114"/>
      <c r="G11" s="112"/>
      <c r="H11" s="112"/>
      <c r="I11" s="112"/>
      <c r="J11" s="112"/>
      <c r="K11" s="112"/>
      <c r="L11" s="112"/>
      <c r="M11" s="112"/>
      <c r="N11" s="112"/>
      <c r="O11" s="112"/>
      <c r="P11" s="112"/>
      <c r="Q11" s="112"/>
      <c r="R11" s="112"/>
      <c r="S11" s="114"/>
      <c r="T11" s="114"/>
      <c r="U11" s="114"/>
      <c r="V11" s="114"/>
      <c r="W11" s="114"/>
      <c r="X11" s="114"/>
      <c r="Y11" s="114"/>
      <c r="Z11" s="114"/>
      <c r="AA11" s="114"/>
      <c r="AB11" s="114"/>
      <c r="AC11" s="114"/>
      <c r="AD11" s="114"/>
      <c r="AE11" s="114"/>
      <c r="AF11" s="114"/>
      <c r="AG11" s="114"/>
      <c r="AH11" s="114"/>
      <c r="AI11" s="114"/>
      <c r="AJ11" s="114"/>
      <c r="AK11" s="114"/>
      <c r="AL11" s="114"/>
      <c r="AM11" s="114"/>
      <c r="AN11" s="114"/>
    </row>
    <row r="12" spans="1:41">
      <c r="A12" s="17" t="s">
        <v>2541</v>
      </c>
      <c r="B12" s="114"/>
      <c r="C12" s="114"/>
      <c r="D12" s="114"/>
      <c r="E12" s="114"/>
      <c r="F12" s="114"/>
      <c r="G12" s="112">
        <v>3824</v>
      </c>
      <c r="H12" s="112">
        <v>3283</v>
      </c>
      <c r="I12" s="112">
        <v>3188</v>
      </c>
      <c r="J12" s="112">
        <v>3087</v>
      </c>
      <c r="K12" s="112">
        <v>2981</v>
      </c>
      <c r="L12" s="112">
        <v>2868</v>
      </c>
      <c r="M12" s="112">
        <v>2746</v>
      </c>
      <c r="N12" s="112">
        <v>2617</v>
      </c>
      <c r="O12" s="112">
        <v>2480</v>
      </c>
      <c r="P12" s="112">
        <v>2334</v>
      </c>
      <c r="Q12" s="112">
        <v>2178</v>
      </c>
      <c r="R12" s="112">
        <v>2012</v>
      </c>
      <c r="S12" s="112">
        <v>1836</v>
      </c>
      <c r="T12" s="112">
        <v>1648</v>
      </c>
      <c r="U12" s="112">
        <v>1448</v>
      </c>
      <c r="V12" s="112">
        <v>1236</v>
      </c>
      <c r="W12" s="112">
        <v>1009</v>
      </c>
      <c r="X12" s="112">
        <v>767</v>
      </c>
      <c r="Y12" s="112">
        <v>510</v>
      </c>
      <c r="Z12" s="112">
        <v>236</v>
      </c>
      <c r="AA12" s="112">
        <v>0</v>
      </c>
      <c r="AB12" s="112">
        <v>0</v>
      </c>
      <c r="AC12" s="112">
        <v>0</v>
      </c>
      <c r="AD12" s="112">
        <v>0</v>
      </c>
      <c r="AE12" s="112">
        <v>0</v>
      </c>
      <c r="AF12" s="112">
        <v>0</v>
      </c>
      <c r="AG12" s="112">
        <v>0</v>
      </c>
      <c r="AH12" s="112">
        <v>0</v>
      </c>
      <c r="AI12" s="112">
        <v>0</v>
      </c>
      <c r="AJ12" s="112">
        <v>0</v>
      </c>
      <c r="AK12" s="112">
        <v>0</v>
      </c>
      <c r="AL12" s="112">
        <v>0</v>
      </c>
      <c r="AM12" s="112">
        <v>0</v>
      </c>
      <c r="AN12" s="112">
        <v>0</v>
      </c>
    </row>
    <row r="13" spans="1:41">
      <c r="A13" s="113" t="s">
        <v>2542</v>
      </c>
      <c r="B13" s="115"/>
      <c r="C13" s="115"/>
      <c r="D13" s="115"/>
      <c r="E13" s="115"/>
      <c r="F13" s="114"/>
      <c r="G13" s="112">
        <f>$B$11-G12</f>
        <v>1047</v>
      </c>
      <c r="H13" s="112">
        <f>$B$11-H12</f>
        <v>1588</v>
      </c>
      <c r="I13" s="112">
        <f t="shared" ref="I13" si="0">$B$11-I12</f>
        <v>1683</v>
      </c>
      <c r="J13" s="112">
        <f t="shared" ref="J13:AA13" si="1">$B$11-J12</f>
        <v>1784</v>
      </c>
      <c r="K13" s="112">
        <f t="shared" si="1"/>
        <v>1890</v>
      </c>
      <c r="L13" s="112">
        <f t="shared" si="1"/>
        <v>2003</v>
      </c>
      <c r="M13" s="112">
        <f t="shared" si="1"/>
        <v>2125</v>
      </c>
      <c r="N13" s="112">
        <f t="shared" si="1"/>
        <v>2254</v>
      </c>
      <c r="O13" s="112">
        <f t="shared" si="1"/>
        <v>2391</v>
      </c>
      <c r="P13" s="112">
        <f t="shared" si="1"/>
        <v>2537</v>
      </c>
      <c r="Q13" s="112">
        <f t="shared" si="1"/>
        <v>2693</v>
      </c>
      <c r="R13" s="112">
        <f t="shared" si="1"/>
        <v>2859</v>
      </c>
      <c r="S13" s="112">
        <f t="shared" si="1"/>
        <v>3035</v>
      </c>
      <c r="T13" s="112">
        <f t="shared" si="1"/>
        <v>3223</v>
      </c>
      <c r="U13" s="112">
        <f t="shared" si="1"/>
        <v>3423</v>
      </c>
      <c r="V13" s="112">
        <f t="shared" si="1"/>
        <v>3635</v>
      </c>
      <c r="W13" s="112">
        <f t="shared" si="1"/>
        <v>3862</v>
      </c>
      <c r="X13" s="112">
        <f t="shared" si="1"/>
        <v>4104</v>
      </c>
      <c r="Y13" s="112">
        <f t="shared" si="1"/>
        <v>4361</v>
      </c>
      <c r="Z13" s="112">
        <f t="shared" si="1"/>
        <v>4635</v>
      </c>
      <c r="AA13" s="112">
        <f t="shared" si="1"/>
        <v>4871</v>
      </c>
      <c r="AB13" s="112">
        <f>$B$11-AB12</f>
        <v>4871</v>
      </c>
      <c r="AC13" s="112">
        <f>$B$11-AC12</f>
        <v>4871</v>
      </c>
      <c r="AD13" s="112">
        <f t="shared" ref="AD13:AN13" si="2">$B$11-AD12</f>
        <v>4871</v>
      </c>
      <c r="AE13" s="112">
        <f t="shared" si="2"/>
        <v>4871</v>
      </c>
      <c r="AF13" s="112">
        <f t="shared" si="2"/>
        <v>4871</v>
      </c>
      <c r="AG13" s="112">
        <f t="shared" si="2"/>
        <v>4871</v>
      </c>
      <c r="AH13" s="112">
        <f t="shared" si="2"/>
        <v>4871</v>
      </c>
      <c r="AI13" s="112">
        <f t="shared" si="2"/>
        <v>4871</v>
      </c>
      <c r="AJ13" s="112">
        <f t="shared" si="2"/>
        <v>4871</v>
      </c>
      <c r="AK13" s="112">
        <f t="shared" si="2"/>
        <v>4871</v>
      </c>
      <c r="AL13" s="112">
        <f t="shared" si="2"/>
        <v>4871</v>
      </c>
      <c r="AM13" s="112">
        <f t="shared" si="2"/>
        <v>4871</v>
      </c>
      <c r="AN13" s="112">
        <f t="shared" si="2"/>
        <v>4871</v>
      </c>
    </row>
    <row r="14" spans="1:41" ht="15.75">
      <c r="A14" s="17"/>
      <c r="B14" s="116"/>
      <c r="C14" s="116"/>
      <c r="D14" s="116"/>
      <c r="E14" s="116"/>
      <c r="F14" s="114"/>
      <c r="G14" s="114"/>
      <c r="H14" s="114"/>
      <c r="I14" s="114"/>
      <c r="J14" s="114"/>
      <c r="K14" s="114"/>
      <c r="L14" s="114"/>
      <c r="M14" s="114"/>
      <c r="N14" s="114"/>
      <c r="O14" s="114"/>
      <c r="P14" s="114"/>
      <c r="Q14" s="114"/>
      <c r="R14" s="114"/>
      <c r="S14" s="114"/>
      <c r="T14" s="114"/>
      <c r="U14" s="114"/>
      <c r="V14" s="114"/>
      <c r="W14" s="114"/>
      <c r="X14" s="114"/>
      <c r="Y14" s="114"/>
      <c r="Z14" s="114"/>
      <c r="AA14" s="114"/>
      <c r="AB14" s="114"/>
      <c r="AC14" s="114"/>
      <c r="AD14" s="114"/>
      <c r="AE14" s="114"/>
      <c r="AF14" s="114"/>
      <c r="AG14" s="114"/>
      <c r="AH14" s="114"/>
      <c r="AI14" s="114"/>
      <c r="AJ14" s="114"/>
      <c r="AK14" s="114"/>
      <c r="AL14" s="114"/>
      <c r="AM14" s="114"/>
      <c r="AN14" s="114"/>
    </row>
    <row r="15" spans="1:41">
      <c r="A15" s="17"/>
      <c r="B15" s="17"/>
      <c r="C15" s="17"/>
      <c r="D15" s="17"/>
      <c r="E15" s="17"/>
      <c r="F15" s="114"/>
      <c r="G15" s="114"/>
      <c r="H15" s="114"/>
      <c r="I15" s="114"/>
      <c r="J15" s="114"/>
      <c r="K15" s="114"/>
      <c r="L15" s="114"/>
      <c r="M15" s="114"/>
      <c r="N15" s="114"/>
      <c r="O15" s="114"/>
      <c r="P15" s="114"/>
      <c r="Q15" s="114"/>
      <c r="R15" s="114"/>
      <c r="S15" s="114"/>
      <c r="T15" s="114"/>
      <c r="U15" s="114"/>
      <c r="V15" s="114"/>
      <c r="W15" s="114"/>
      <c r="X15" s="114"/>
      <c r="Y15" s="114"/>
      <c r="Z15" s="114"/>
      <c r="AA15" s="114"/>
      <c r="AB15" s="114"/>
      <c r="AC15" s="114"/>
      <c r="AD15" s="114"/>
      <c r="AE15" s="114"/>
      <c r="AF15" s="114"/>
      <c r="AG15" s="114"/>
      <c r="AH15" s="114"/>
      <c r="AI15" s="114"/>
      <c r="AJ15" s="114"/>
      <c r="AK15" s="114"/>
      <c r="AL15" s="114"/>
      <c r="AM15" s="114"/>
      <c r="AN15" s="114"/>
    </row>
    <row r="16" spans="1:41">
      <c r="A16" s="117" t="s">
        <v>2543</v>
      </c>
      <c r="B16" s="17"/>
      <c r="C16" s="17"/>
      <c r="D16" s="17"/>
      <c r="E16" s="17"/>
      <c r="F16" s="114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</row>
    <row r="17" spans="1:41">
      <c r="A17" s="118" t="s">
        <v>40</v>
      </c>
      <c r="B17" s="251">
        <v>66416.195114556729</v>
      </c>
      <c r="C17" s="251">
        <v>64177.85507177328</v>
      </c>
      <c r="D17" s="251">
        <v>63290.856737000002</v>
      </c>
      <c r="E17" s="251">
        <v>65839.165668000001</v>
      </c>
      <c r="F17" s="251">
        <v>65890.663402999999</v>
      </c>
      <c r="G17" s="251">
        <v>71992.154760999998</v>
      </c>
      <c r="H17" s="251">
        <v>73146.994795999999</v>
      </c>
      <c r="I17" s="251">
        <v>78274.942760540915</v>
      </c>
      <c r="J17" s="251">
        <f t="shared" ref="J17:AN17" si="3">SUM(J2:J13)</f>
        <v>82126.523413595816</v>
      </c>
      <c r="K17" s="251">
        <f t="shared" si="3"/>
        <v>86036.549518656699</v>
      </c>
      <c r="L17" s="251">
        <f t="shared" si="3"/>
        <v>89423.002988875567</v>
      </c>
      <c r="M17" s="251">
        <f t="shared" si="3"/>
        <v>93011.341601522348</v>
      </c>
      <c r="N17" s="251">
        <f t="shared" si="3"/>
        <v>96714.527770287765</v>
      </c>
      <c r="O17" s="251">
        <f t="shared" si="3"/>
        <v>100579.61140741147</v>
      </c>
      <c r="P17" s="251">
        <f t="shared" si="3"/>
        <v>103971.88845513658</v>
      </c>
      <c r="Q17" s="251">
        <f t="shared" si="3"/>
        <v>107195.28419567303</v>
      </c>
      <c r="R17" s="251">
        <f t="shared" si="3"/>
        <v>110543.67309043425</v>
      </c>
      <c r="S17" s="251">
        <f t="shared" si="3"/>
        <v>113989.97053230941</v>
      </c>
      <c r="T17" s="251">
        <f t="shared" si="3"/>
        <v>117558.18381706542</v>
      </c>
      <c r="U17" s="251">
        <f t="shared" si="3"/>
        <v>121249.99057885504</v>
      </c>
      <c r="V17" s="251">
        <f t="shared" si="3"/>
        <v>124961.2360341274</v>
      </c>
      <c r="W17" s="251">
        <f t="shared" si="3"/>
        <v>128671.95625977227</v>
      </c>
      <c r="X17" s="251">
        <f t="shared" si="3"/>
        <v>132486.50626921438</v>
      </c>
      <c r="Y17" s="251">
        <f t="shared" si="3"/>
        <v>136431.48195679209</v>
      </c>
      <c r="Z17" s="251">
        <f t="shared" si="3"/>
        <v>140627.80466504829</v>
      </c>
      <c r="AA17" s="251">
        <f t="shared" si="3"/>
        <v>144780.00189232329</v>
      </c>
      <c r="AB17" s="251">
        <f t="shared" si="3"/>
        <v>148980.32250625305</v>
      </c>
      <c r="AC17" s="251">
        <f t="shared" si="3"/>
        <v>153058.96527798523</v>
      </c>
      <c r="AD17" s="251">
        <f t="shared" si="3"/>
        <v>157133.11286037668</v>
      </c>
      <c r="AE17" s="251">
        <f t="shared" si="3"/>
        <v>160764.01469986641</v>
      </c>
      <c r="AF17" s="251">
        <f t="shared" si="3"/>
        <v>164399.65456849299</v>
      </c>
      <c r="AG17" s="251">
        <f t="shared" si="3"/>
        <v>168093.19984015406</v>
      </c>
      <c r="AH17" s="251">
        <f t="shared" si="3"/>
        <v>171881.76924785486</v>
      </c>
      <c r="AI17" s="251">
        <f t="shared" si="3"/>
        <v>175750.68022937485</v>
      </c>
      <c r="AJ17" s="251">
        <f t="shared" si="3"/>
        <v>179667.68952767993</v>
      </c>
      <c r="AK17" s="251">
        <f t="shared" si="3"/>
        <v>183598.42624058953</v>
      </c>
      <c r="AL17" s="251">
        <f t="shared" si="3"/>
        <v>187921.13882079866</v>
      </c>
      <c r="AM17" s="251">
        <f t="shared" si="3"/>
        <v>192141.52104867221</v>
      </c>
      <c r="AN17" s="251">
        <f t="shared" si="3"/>
        <v>196338.42255747062</v>
      </c>
    </row>
    <row r="18" spans="1:41">
      <c r="A18" s="17"/>
      <c r="B18" s="424"/>
      <c r="C18" s="424"/>
      <c r="D18" s="424"/>
      <c r="E18" s="424"/>
      <c r="F18" s="424"/>
      <c r="Q18" s="424"/>
      <c r="R18" s="424"/>
      <c r="S18" s="424"/>
      <c r="T18" s="424"/>
      <c r="U18" s="424"/>
      <c r="V18" s="424"/>
      <c r="W18" s="424"/>
      <c r="X18" s="424"/>
      <c r="Y18" s="424"/>
      <c r="Z18" s="424"/>
      <c r="AA18" s="424"/>
      <c r="AB18" s="424"/>
      <c r="AC18" s="424"/>
      <c r="AD18" s="424"/>
      <c r="AE18" s="424"/>
      <c r="AF18" s="424"/>
      <c r="AG18" s="424"/>
      <c r="AH18" s="424"/>
      <c r="AI18" s="424"/>
      <c r="AJ18" s="424"/>
    </row>
    <row r="19" spans="1:41">
      <c r="A19" t="s">
        <v>2544</v>
      </c>
      <c r="B19" s="112">
        <v>9272.0776078431372</v>
      </c>
      <c r="C19" t="s">
        <v>2545</v>
      </c>
      <c r="D19" s="299"/>
      <c r="E19" s="299"/>
      <c r="F19" s="299"/>
      <c r="G19" s="299"/>
      <c r="H19" s="299"/>
      <c r="I19" s="299"/>
      <c r="J19" s="299"/>
      <c r="K19" s="299"/>
      <c r="L19" s="299"/>
      <c r="M19" s="299"/>
      <c r="N19" s="299"/>
      <c r="O19" s="299"/>
      <c r="P19" s="299"/>
      <c r="Q19" s="299"/>
      <c r="R19" s="299"/>
      <c r="S19" s="299"/>
      <c r="T19" s="299"/>
      <c r="U19" s="299"/>
      <c r="V19" s="299"/>
      <c r="W19" s="299"/>
      <c r="X19" s="299"/>
      <c r="Y19" s="299"/>
      <c r="Z19" s="299"/>
      <c r="AA19" s="299"/>
      <c r="AB19" s="299"/>
      <c r="AC19" s="299"/>
      <c r="AD19" s="299"/>
      <c r="AE19" s="299"/>
      <c r="AF19" s="299"/>
      <c r="AG19" s="299"/>
      <c r="AH19" s="299"/>
      <c r="AI19" s="299"/>
      <c r="AJ19" s="299"/>
      <c r="AK19" s="299"/>
      <c r="AL19" s="299"/>
      <c r="AM19" s="299"/>
      <c r="AN19" s="299"/>
      <c r="AO19" s="299"/>
    </row>
    <row r="20" spans="1:41">
      <c r="A20" t="s">
        <v>2546</v>
      </c>
      <c r="B20" s="112">
        <f>B19/2</f>
        <v>4636.0388039215686</v>
      </c>
      <c r="C20" t="s">
        <v>2545</v>
      </c>
    </row>
    <row r="22" spans="1:41" ht="15">
      <c r="A22" t="s">
        <v>2545</v>
      </c>
      <c r="B22" s="599">
        <v>2013</v>
      </c>
      <c r="C22" s="599">
        <v>2013</v>
      </c>
      <c r="D22" s="599">
        <v>2014</v>
      </c>
      <c r="E22" s="599">
        <v>2015</v>
      </c>
      <c r="F22" s="599">
        <v>2016</v>
      </c>
      <c r="G22" s="599">
        <v>2017</v>
      </c>
      <c r="H22" s="599">
        <v>2018</v>
      </c>
      <c r="I22" s="599">
        <v>2019</v>
      </c>
      <c r="J22" s="599">
        <v>2020</v>
      </c>
      <c r="K22" s="599">
        <v>2021</v>
      </c>
      <c r="L22" s="599">
        <v>2022</v>
      </c>
      <c r="M22" s="599">
        <v>2023</v>
      </c>
      <c r="N22" s="599">
        <v>2024</v>
      </c>
      <c r="O22" s="599">
        <v>2025</v>
      </c>
      <c r="P22" s="599">
        <v>2026</v>
      </c>
      <c r="Q22" s="599">
        <v>2027</v>
      </c>
      <c r="R22" s="599">
        <v>2028</v>
      </c>
      <c r="S22" s="599">
        <v>2029</v>
      </c>
      <c r="T22" s="599">
        <v>2030</v>
      </c>
      <c r="U22" s="599">
        <v>2031</v>
      </c>
      <c r="V22" s="599">
        <v>2032</v>
      </c>
      <c r="W22" s="599">
        <v>2033</v>
      </c>
      <c r="X22" s="599">
        <v>2034</v>
      </c>
      <c r="Y22" s="599">
        <v>2035</v>
      </c>
      <c r="Z22" s="599">
        <v>2036</v>
      </c>
      <c r="AA22" s="599">
        <v>2037</v>
      </c>
      <c r="AB22" s="599">
        <v>2038</v>
      </c>
      <c r="AC22" s="599">
        <v>2039</v>
      </c>
      <c r="AD22" s="599">
        <v>2040</v>
      </c>
      <c r="AE22" s="599">
        <v>2041</v>
      </c>
      <c r="AF22" s="599">
        <v>2042</v>
      </c>
      <c r="AG22" s="599">
        <v>2043</v>
      </c>
      <c r="AH22" s="599">
        <v>2044</v>
      </c>
      <c r="AI22" s="599">
        <v>2045</v>
      </c>
      <c r="AJ22" s="599">
        <v>2046</v>
      </c>
      <c r="AK22" s="599">
        <v>2047</v>
      </c>
      <c r="AL22" s="599">
        <v>2048</v>
      </c>
      <c r="AM22" s="599">
        <v>2049</v>
      </c>
      <c r="AN22" s="599">
        <v>2050</v>
      </c>
    </row>
    <row r="23" spans="1:41" ht="15">
      <c r="A23" t="s">
        <v>2547</v>
      </c>
      <c r="B23" s="600"/>
      <c r="C23" s="600"/>
      <c r="D23" s="600"/>
      <c r="E23" s="600"/>
      <c r="F23" s="600"/>
      <c r="G23" s="600"/>
      <c r="H23" s="600">
        <v>1627.9431818845601</v>
      </c>
      <c r="I23" s="600">
        <v>1723.4320350914891</v>
      </c>
      <c r="J23" s="600">
        <v>1824.1934150081681</v>
      </c>
      <c r="K23" s="600">
        <v>1930.6380305894315</v>
      </c>
      <c r="L23" s="600">
        <v>2043.5128066776474</v>
      </c>
      <c r="M23" s="600">
        <v>2164.8237881359514</v>
      </c>
      <c r="N23" s="600">
        <v>2293.9291709106601</v>
      </c>
      <c r="O23" s="600">
        <v>2431.3203134226719</v>
      </c>
      <c r="P23" s="600">
        <v>2577.5273729495962</v>
      </c>
      <c r="Q23" s="600">
        <v>2733.1281394115063</v>
      </c>
      <c r="R23" s="600">
        <v>2898.7486371514137</v>
      </c>
      <c r="S23" s="600">
        <v>3075.0667922675066</v>
      </c>
      <c r="T23" s="600">
        <v>3262.8011720442282</v>
      </c>
      <c r="U23" s="600">
        <v>3462.7200113842136</v>
      </c>
      <c r="V23" s="600">
        <v>3675.6309033768625</v>
      </c>
      <c r="W23" s="600">
        <v>3902.3911367459145</v>
      </c>
      <c r="X23" s="600">
        <v>4143.922945573855</v>
      </c>
      <c r="Y23" s="600">
        <v>4401.2081830038924</v>
      </c>
      <c r="Z23" s="600">
        <v>4675.3115487584355</v>
      </c>
      <c r="AA23" s="600">
        <v>4967.3748696252633</v>
      </c>
      <c r="AB23" s="600">
        <v>5278.6481451650516</v>
      </c>
      <c r="AC23" s="600">
        <v>5610.4647393744053</v>
      </c>
      <c r="AD23" s="600">
        <v>5964.2576310453496</v>
      </c>
      <c r="AE23" s="600">
        <v>6341.5477982288039</v>
      </c>
      <c r="AF23" s="600">
        <v>6743.9626331293803</v>
      </c>
      <c r="AG23" s="600">
        <v>7173.2475597855473</v>
      </c>
      <c r="AH23" s="600">
        <v>7631.2996639228895</v>
      </c>
      <c r="AI23" s="600">
        <v>8120.1384199371842</v>
      </c>
      <c r="AJ23" s="600">
        <v>8641.912402651109</v>
      </c>
      <c r="AK23" s="600">
        <v>9198.9412942227136</v>
      </c>
      <c r="AL23" s="600">
        <v>9793.7236485818448</v>
      </c>
      <c r="AM23" s="600">
        <v>10428.936331115983</v>
      </c>
      <c r="AN23" s="600">
        <v>11107.459298166557</v>
      </c>
    </row>
    <row r="24" spans="1:41">
      <c r="A24" t="s">
        <v>2548</v>
      </c>
      <c r="B24" s="24"/>
      <c r="C24" s="24"/>
      <c r="D24" s="24"/>
      <c r="E24" s="24"/>
      <c r="F24" s="24"/>
      <c r="G24" s="24"/>
      <c r="H24" s="24">
        <f t="shared" ref="H24:AN24" si="4">IF(H23&lt;$B$20,H23,$B$20)</f>
        <v>1627.9431818845601</v>
      </c>
      <c r="I24" s="24">
        <f t="shared" si="4"/>
        <v>1723.4320350914891</v>
      </c>
      <c r="J24" s="24">
        <f t="shared" si="4"/>
        <v>1824.1934150081681</v>
      </c>
      <c r="K24" s="24">
        <f t="shared" si="4"/>
        <v>1930.6380305894315</v>
      </c>
      <c r="L24" s="24">
        <f t="shared" si="4"/>
        <v>2043.5128066776474</v>
      </c>
      <c r="M24" s="24">
        <f t="shared" si="4"/>
        <v>2164.8237881359514</v>
      </c>
      <c r="N24" s="24">
        <f t="shared" si="4"/>
        <v>2293.9291709106601</v>
      </c>
      <c r="O24" s="24">
        <f t="shared" si="4"/>
        <v>2431.3203134226719</v>
      </c>
      <c r="P24" s="24">
        <f t="shared" si="4"/>
        <v>2577.5273729495962</v>
      </c>
      <c r="Q24" s="24">
        <f t="shared" si="4"/>
        <v>2733.1281394115063</v>
      </c>
      <c r="R24" s="24">
        <f t="shared" si="4"/>
        <v>2898.7486371514137</v>
      </c>
      <c r="S24" s="24">
        <f t="shared" si="4"/>
        <v>3075.0667922675066</v>
      </c>
      <c r="T24" s="24">
        <f t="shared" si="4"/>
        <v>3262.8011720442282</v>
      </c>
      <c r="U24" s="24">
        <f t="shared" si="4"/>
        <v>3462.7200113842136</v>
      </c>
      <c r="V24" s="24">
        <f t="shared" si="4"/>
        <v>3675.6309033768625</v>
      </c>
      <c r="W24" s="24">
        <f t="shared" si="4"/>
        <v>3902.3911367459145</v>
      </c>
      <c r="X24" s="24">
        <f t="shared" si="4"/>
        <v>4143.922945573855</v>
      </c>
      <c r="Y24" s="24">
        <f t="shared" si="4"/>
        <v>4401.2081830038924</v>
      </c>
      <c r="Z24" s="24">
        <f t="shared" si="4"/>
        <v>4636.0388039215686</v>
      </c>
      <c r="AA24" s="24">
        <f t="shared" si="4"/>
        <v>4636.0388039215686</v>
      </c>
      <c r="AB24" s="24">
        <f t="shared" si="4"/>
        <v>4636.0388039215686</v>
      </c>
      <c r="AC24" s="24">
        <f t="shared" si="4"/>
        <v>4636.0388039215686</v>
      </c>
      <c r="AD24" s="24">
        <f t="shared" si="4"/>
        <v>4636.0388039215686</v>
      </c>
      <c r="AE24" s="24">
        <f t="shared" si="4"/>
        <v>4636.0388039215686</v>
      </c>
      <c r="AF24" s="24">
        <f t="shared" si="4"/>
        <v>4636.0388039215686</v>
      </c>
      <c r="AG24" s="24">
        <f t="shared" si="4"/>
        <v>4636.0388039215686</v>
      </c>
      <c r="AH24" s="24">
        <f t="shared" si="4"/>
        <v>4636.0388039215686</v>
      </c>
      <c r="AI24" s="24">
        <f t="shared" si="4"/>
        <v>4636.0388039215686</v>
      </c>
      <c r="AJ24" s="24">
        <f t="shared" si="4"/>
        <v>4636.0388039215686</v>
      </c>
      <c r="AK24" s="24">
        <f t="shared" si="4"/>
        <v>4636.0388039215686</v>
      </c>
      <c r="AL24" s="24">
        <f t="shared" si="4"/>
        <v>4636.0388039215686</v>
      </c>
      <c r="AM24" s="24">
        <f t="shared" si="4"/>
        <v>4636.0388039215686</v>
      </c>
      <c r="AN24" s="24">
        <f t="shared" si="4"/>
        <v>4636.0388039215686</v>
      </c>
    </row>
  </sheetData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Plan20"/>
  <dimension ref="A1:AS64"/>
  <sheetViews>
    <sheetView zoomScale="80" zoomScaleNormal="80" workbookViewId="0">
      <selection activeCell="B21" sqref="B21:AN36"/>
    </sheetView>
  </sheetViews>
  <sheetFormatPr defaultRowHeight="12.75"/>
  <cols>
    <col min="1" max="1" width="19.28515625" customWidth="1"/>
    <col min="2" max="5" width="10.28515625" bestFit="1" customWidth="1"/>
    <col min="6" max="40" width="11.28515625" bestFit="1" customWidth="1"/>
  </cols>
  <sheetData>
    <row r="1" spans="1:45" ht="13.5" thickBot="1">
      <c r="A1" s="11" t="s">
        <v>136</v>
      </c>
      <c r="B1" s="61">
        <f>tab_PeriodoEstudo!B2</f>
        <v>2012</v>
      </c>
      <c r="C1" s="61">
        <f>tab_PeriodoEstudo!B3</f>
        <v>2013</v>
      </c>
      <c r="D1" s="61">
        <f>tab_PeriodoEstudo!B4</f>
        <v>2014</v>
      </c>
      <c r="E1" s="61">
        <f>tab_PeriodoEstudo!B5</f>
        <v>2015</v>
      </c>
      <c r="F1" s="61">
        <f>tab_PeriodoEstudo!B6</f>
        <v>2016</v>
      </c>
      <c r="G1" s="61">
        <f>tab_PeriodoEstudo!B7</f>
        <v>2017</v>
      </c>
      <c r="H1" s="61">
        <f>tab_PeriodoEstudo!B8</f>
        <v>2018</v>
      </c>
      <c r="I1" s="61">
        <f>tab_PeriodoEstudo!B9</f>
        <v>2019</v>
      </c>
      <c r="J1" s="61">
        <f>tab_PeriodoEstudo!B10</f>
        <v>2020</v>
      </c>
      <c r="K1" s="61">
        <f>tab_PeriodoEstudo!B11</f>
        <v>2021</v>
      </c>
      <c r="L1" s="61">
        <f>tab_PeriodoEstudo!B12</f>
        <v>2022</v>
      </c>
      <c r="M1" s="61">
        <f>tab_PeriodoEstudo!B13</f>
        <v>2023</v>
      </c>
      <c r="N1" s="61">
        <f>tab_PeriodoEstudo!B14</f>
        <v>2024</v>
      </c>
      <c r="O1" s="61">
        <f>tab_PeriodoEstudo!B15</f>
        <v>2025</v>
      </c>
      <c r="P1" s="61">
        <f>tab_PeriodoEstudo!B16</f>
        <v>2026</v>
      </c>
      <c r="Q1" s="61">
        <f>tab_PeriodoEstudo!B17</f>
        <v>2027</v>
      </c>
      <c r="R1" s="61">
        <f>tab_PeriodoEstudo!B18</f>
        <v>2028</v>
      </c>
      <c r="S1" s="61">
        <f>tab_PeriodoEstudo!B19</f>
        <v>2029</v>
      </c>
      <c r="T1" s="61">
        <f>tab_PeriodoEstudo!B20</f>
        <v>2030</v>
      </c>
      <c r="U1" s="61">
        <f>tab_PeriodoEstudo!B21</f>
        <v>2031</v>
      </c>
      <c r="V1" s="61">
        <f>tab_PeriodoEstudo!B22</f>
        <v>2032</v>
      </c>
      <c r="W1" s="61">
        <f>tab_PeriodoEstudo!B23</f>
        <v>2033</v>
      </c>
      <c r="X1" s="61">
        <f>tab_PeriodoEstudo!B24</f>
        <v>2034</v>
      </c>
      <c r="Y1" s="61">
        <f>tab_PeriodoEstudo!B25</f>
        <v>2035</v>
      </c>
      <c r="Z1" s="61">
        <f>tab_PeriodoEstudo!B26</f>
        <v>2036</v>
      </c>
      <c r="AA1" s="61">
        <f>tab_PeriodoEstudo!B27</f>
        <v>2037</v>
      </c>
      <c r="AB1" s="61">
        <f>tab_PeriodoEstudo!B28</f>
        <v>2038</v>
      </c>
      <c r="AC1" s="61">
        <f>tab_PeriodoEstudo!B29</f>
        <v>2039</v>
      </c>
      <c r="AD1" s="61">
        <f>tab_PeriodoEstudo!B30</f>
        <v>2040</v>
      </c>
      <c r="AE1" s="61">
        <f>tab_PeriodoEstudo!B31</f>
        <v>2041</v>
      </c>
      <c r="AF1" s="61">
        <f>tab_PeriodoEstudo!B32</f>
        <v>2042</v>
      </c>
      <c r="AG1" s="61">
        <f>tab_PeriodoEstudo!B33</f>
        <v>2043</v>
      </c>
      <c r="AH1" s="61">
        <f>tab_PeriodoEstudo!B34</f>
        <v>2044</v>
      </c>
      <c r="AI1" s="61">
        <f>tab_PeriodoEstudo!B35</f>
        <v>2045</v>
      </c>
      <c r="AJ1" s="61">
        <f>tab_PeriodoEstudo!B36</f>
        <v>2046</v>
      </c>
      <c r="AK1" s="61">
        <f>tab_PeriodoEstudo!B37</f>
        <v>2047</v>
      </c>
      <c r="AL1" s="61">
        <f>tab_PeriodoEstudo!B38</f>
        <v>2048</v>
      </c>
      <c r="AM1" s="61">
        <f>tab_PeriodoEstudo!B39</f>
        <v>2049</v>
      </c>
      <c r="AN1" s="61">
        <f>tab_PeriodoEstudo!B40</f>
        <v>2050</v>
      </c>
    </row>
    <row r="2" spans="1:45" ht="13.5" thickTop="1">
      <c r="A2" s="17">
        <v>1</v>
      </c>
      <c r="B2" s="112">
        <f>B21-B42</f>
        <v>48238.909479892376</v>
      </c>
      <c r="C2" s="112">
        <f t="shared" ref="C2:AN8" si="0">C21-C42</f>
        <v>48558.122887775178</v>
      </c>
      <c r="D2" s="112">
        <f t="shared" si="0"/>
        <v>51086.193587443093</v>
      </c>
      <c r="E2" s="112">
        <f t="shared" si="0"/>
        <v>51367.917537897403</v>
      </c>
      <c r="F2" s="112">
        <f t="shared" si="0"/>
        <v>49973.09127850752</v>
      </c>
      <c r="G2" s="112">
        <f t="shared" si="0"/>
        <v>52216.407187441349</v>
      </c>
      <c r="H2" s="112">
        <f t="shared" si="0"/>
        <v>53737.302967535492</v>
      </c>
      <c r="I2" s="112">
        <f t="shared" si="0"/>
        <v>55917.775129259004</v>
      </c>
      <c r="J2" s="112">
        <f t="shared" si="0"/>
        <v>58561.548905791817</v>
      </c>
      <c r="K2" s="112">
        <f t="shared" si="0"/>
        <v>61125.11999436788</v>
      </c>
      <c r="L2" s="112">
        <f t="shared" si="0"/>
        <v>63541.684816001289</v>
      </c>
      <c r="M2" s="112">
        <f t="shared" si="0"/>
        <v>66175.497356918597</v>
      </c>
      <c r="N2" s="112">
        <f t="shared" si="0"/>
        <v>68751.764217663484</v>
      </c>
      <c r="O2" s="112">
        <f t="shared" si="0"/>
        <v>71467.995757484925</v>
      </c>
      <c r="P2" s="112">
        <f t="shared" si="0"/>
        <v>73629.447386332453</v>
      </c>
      <c r="Q2" s="112">
        <f t="shared" si="0"/>
        <v>75849.324732289388</v>
      </c>
      <c r="R2" s="112">
        <f t="shared" si="0"/>
        <v>78072.311588689947</v>
      </c>
      <c r="S2" s="112">
        <f t="shared" si="0"/>
        <v>80360.172318840298</v>
      </c>
      <c r="T2" s="112">
        <f t="shared" si="0"/>
        <v>82754.347334515085</v>
      </c>
      <c r="U2" s="112">
        <f t="shared" si="0"/>
        <v>85319.040848313598</v>
      </c>
      <c r="V2" s="112">
        <f t="shared" si="0"/>
        <v>87832.763142267257</v>
      </c>
      <c r="W2" s="112">
        <f t="shared" si="0"/>
        <v>90256.973728760291</v>
      </c>
      <c r="X2" s="112">
        <f t="shared" si="0"/>
        <v>92767.972771865432</v>
      </c>
      <c r="Y2" s="112">
        <f t="shared" si="0"/>
        <v>95424.121103572426</v>
      </c>
      <c r="Z2" s="112">
        <f t="shared" si="0"/>
        <v>98122.446451719647</v>
      </c>
      <c r="AA2" s="112">
        <f t="shared" si="0"/>
        <v>100847.85984761575</v>
      </c>
      <c r="AB2" s="112">
        <f t="shared" si="0"/>
        <v>103869.34915400474</v>
      </c>
      <c r="AC2" s="112">
        <f t="shared" si="0"/>
        <v>106786.69970758552</v>
      </c>
      <c r="AD2" s="112">
        <f t="shared" si="0"/>
        <v>109633.25407061205</v>
      </c>
      <c r="AE2" s="112">
        <f t="shared" si="0"/>
        <v>112088.76675252938</v>
      </c>
      <c r="AF2" s="112">
        <f t="shared" si="0"/>
        <v>114550.91336833498</v>
      </c>
      <c r="AG2" s="112">
        <f t="shared" si="0"/>
        <v>117026.92723833109</v>
      </c>
      <c r="AH2" s="112">
        <f t="shared" si="0"/>
        <v>119610.46799335832</v>
      </c>
      <c r="AI2" s="112">
        <f t="shared" si="0"/>
        <v>122225.81465496533</v>
      </c>
      <c r="AJ2" s="112">
        <f t="shared" si="0"/>
        <v>124854.8458277865</v>
      </c>
      <c r="AK2" s="112">
        <f t="shared" si="0"/>
        <v>127485.27143786217</v>
      </c>
      <c r="AL2" s="112">
        <f t="shared" si="0"/>
        <v>130418.42000583433</v>
      </c>
      <c r="AM2" s="112">
        <f t="shared" si="0"/>
        <v>133291.24907815733</v>
      </c>
      <c r="AN2" s="112">
        <f>AN21-AN42</f>
        <v>136081.91866488633</v>
      </c>
    </row>
    <row r="3" spans="1:45">
      <c r="A3" s="17">
        <v>2</v>
      </c>
      <c r="B3" s="112">
        <f t="shared" ref="B3:Q8" si="1">B22-B43</f>
        <v>15486.640441939053</v>
      </c>
      <c r="C3" s="112">
        <f t="shared" si="1"/>
        <v>15879.632519420109</v>
      </c>
      <c r="D3" s="112">
        <f t="shared" si="1"/>
        <v>17971.47</v>
      </c>
      <c r="E3" s="112">
        <f t="shared" si="1"/>
        <v>17020.454964674998</v>
      </c>
      <c r="F3" s="112">
        <f t="shared" si="1"/>
        <v>16424.068999596999</v>
      </c>
      <c r="G3" s="112">
        <f t="shared" si="1"/>
        <v>17620.766988952902</v>
      </c>
      <c r="H3" s="112">
        <f t="shared" si="1"/>
        <v>17338.203805468151</v>
      </c>
      <c r="I3" s="112">
        <f t="shared" si="1"/>
        <v>18307.209101652526</v>
      </c>
      <c r="J3" s="112">
        <f t="shared" si="1"/>
        <v>19089.784529892186</v>
      </c>
      <c r="K3" s="112">
        <f t="shared" si="1"/>
        <v>19929.52503417974</v>
      </c>
      <c r="L3" s="112">
        <f t="shared" si="1"/>
        <v>20833.347503693767</v>
      </c>
      <c r="M3" s="112">
        <f t="shared" si="1"/>
        <v>21751.56180229878</v>
      </c>
      <c r="N3" s="112">
        <f t="shared" si="1"/>
        <v>22719.04478472476</v>
      </c>
      <c r="O3" s="112">
        <f t="shared" si="1"/>
        <v>23718.495884176555</v>
      </c>
      <c r="P3" s="112">
        <f t="shared" si="1"/>
        <v>24516.680462147218</v>
      </c>
      <c r="Q3" s="112">
        <f t="shared" si="1"/>
        <v>25329.746381516761</v>
      </c>
      <c r="R3" s="112">
        <f t="shared" si="0"/>
        <v>26237.86119844723</v>
      </c>
      <c r="S3" s="112">
        <f t="shared" si="0"/>
        <v>27144.97227340252</v>
      </c>
      <c r="T3" s="112">
        <f t="shared" si="0"/>
        <v>27992.58001081122</v>
      </c>
      <c r="U3" s="112">
        <f t="shared" si="0"/>
        <v>28899.106683353126</v>
      </c>
      <c r="V3" s="112">
        <f t="shared" si="0"/>
        <v>29838.887379721014</v>
      </c>
      <c r="W3" s="112">
        <f t="shared" si="0"/>
        <v>30784.26414771007</v>
      </c>
      <c r="X3" s="112">
        <f t="shared" si="0"/>
        <v>31878.784268269381</v>
      </c>
      <c r="Y3" s="112">
        <f t="shared" si="0"/>
        <v>32893.165437200194</v>
      </c>
      <c r="Z3" s="112">
        <f t="shared" si="0"/>
        <v>33997.737396167555</v>
      </c>
      <c r="AA3" s="112">
        <f t="shared" si="0"/>
        <v>35124.038389503658</v>
      </c>
      <c r="AB3" s="112">
        <f t="shared" si="0"/>
        <v>36259.98730931418</v>
      </c>
      <c r="AC3" s="112">
        <f t="shared" si="0"/>
        <v>37365.483356671459</v>
      </c>
      <c r="AD3" s="112">
        <f t="shared" si="0"/>
        <v>38466.743155179465</v>
      </c>
      <c r="AE3" s="112">
        <f t="shared" si="0"/>
        <v>39496.84320105685</v>
      </c>
      <c r="AF3" s="112">
        <f t="shared" si="0"/>
        <v>40547.729073215363</v>
      </c>
      <c r="AG3" s="112">
        <f t="shared" si="0"/>
        <v>41599.329390977684</v>
      </c>
      <c r="AH3" s="112">
        <f t="shared" si="0"/>
        <v>42657.203934055782</v>
      </c>
      <c r="AI3" s="112">
        <f t="shared" si="0"/>
        <v>43752.253175081431</v>
      </c>
      <c r="AJ3" s="112">
        <f t="shared" si="0"/>
        <v>44859.299805015078</v>
      </c>
      <c r="AK3" s="112">
        <f t="shared" si="0"/>
        <v>45967.234774604985</v>
      </c>
      <c r="AL3" s="112">
        <f t="shared" si="0"/>
        <v>47265.125015588899</v>
      </c>
      <c r="AM3" s="112">
        <f t="shared" si="0"/>
        <v>48448.174652774855</v>
      </c>
      <c r="AN3" s="112">
        <f t="shared" si="0"/>
        <v>49634.08133623765</v>
      </c>
    </row>
    <row r="4" spans="1:45">
      <c r="A4" s="17">
        <v>3</v>
      </c>
      <c r="B4" s="112">
        <f t="shared" si="1"/>
        <v>11583.07</v>
      </c>
      <c r="C4" s="112">
        <f t="shared" si="0"/>
        <v>11941.392097126802</v>
      </c>
      <c r="D4" s="112">
        <f t="shared" si="0"/>
        <v>11837.717000000001</v>
      </c>
      <c r="E4" s="112">
        <f t="shared" si="0"/>
        <v>12473.307865000001</v>
      </c>
      <c r="F4" s="112">
        <f t="shared" si="0"/>
        <v>12503.788209999999</v>
      </c>
      <c r="G4" s="112">
        <f t="shared" si="0"/>
        <v>12904.58779</v>
      </c>
      <c r="H4" s="112">
        <f t="shared" si="0"/>
        <v>12940.3042265</v>
      </c>
      <c r="I4" s="112">
        <f t="shared" si="0"/>
        <v>14516.738752802112</v>
      </c>
      <c r="J4" s="112">
        <f t="shared" si="0"/>
        <v>15253.556900065727</v>
      </c>
      <c r="K4" s="112">
        <f t="shared" si="0"/>
        <v>15952.79518842385</v>
      </c>
      <c r="L4" s="112">
        <f t="shared" si="0"/>
        <v>16696.483849792352</v>
      </c>
      <c r="M4" s="112">
        <f t="shared" si="0"/>
        <v>17477.952274630654</v>
      </c>
      <c r="N4" s="112">
        <f t="shared" si="0"/>
        <v>18288.707992536634</v>
      </c>
      <c r="O4" s="112">
        <f t="shared" si="0"/>
        <v>19175.129566131069</v>
      </c>
      <c r="P4" s="112">
        <f t="shared" si="0"/>
        <v>20076.349659979278</v>
      </c>
      <c r="Q4" s="112">
        <f t="shared" si="0"/>
        <v>20772.91292736664</v>
      </c>
      <c r="R4" s="112">
        <f t="shared" si="0"/>
        <v>21491.73097495101</v>
      </c>
      <c r="S4" s="112">
        <f t="shared" si="0"/>
        <v>22198.889532023106</v>
      </c>
      <c r="T4" s="112">
        <f t="shared" si="0"/>
        <v>22898.884589481313</v>
      </c>
      <c r="U4" s="112">
        <f t="shared" si="0"/>
        <v>23666.404143419262</v>
      </c>
      <c r="V4" s="112">
        <f t="shared" si="0"/>
        <v>24446.220316080551</v>
      </c>
      <c r="W4" s="112">
        <f t="shared" si="0"/>
        <v>25230.765231076635</v>
      </c>
      <c r="X4" s="112">
        <f t="shared" si="0"/>
        <v>26003.369166849967</v>
      </c>
      <c r="Y4" s="112">
        <f t="shared" si="0"/>
        <v>26813.263286494868</v>
      </c>
      <c r="Z4" s="112">
        <f t="shared" si="0"/>
        <v>27645.9930088205</v>
      </c>
      <c r="AA4" s="112">
        <f t="shared" si="0"/>
        <v>28547.752961744751</v>
      </c>
      <c r="AB4" s="112">
        <f t="shared" si="0"/>
        <v>29490.358706106334</v>
      </c>
      <c r="AC4" s="112">
        <f t="shared" si="0"/>
        <v>30416.386376364728</v>
      </c>
      <c r="AD4" s="112">
        <f t="shared" si="0"/>
        <v>31341.755818940761</v>
      </c>
      <c r="AE4" s="112">
        <f t="shared" si="0"/>
        <v>32181.016903640073</v>
      </c>
      <c r="AF4" s="112">
        <f t="shared" si="0"/>
        <v>33037.787392880251</v>
      </c>
      <c r="AG4" s="112">
        <f t="shared" si="0"/>
        <v>33905.458240871187</v>
      </c>
      <c r="AH4" s="112">
        <f t="shared" si="0"/>
        <v>34801.754546528711</v>
      </c>
      <c r="AI4" s="112">
        <f t="shared" si="0"/>
        <v>35741.626302357821</v>
      </c>
      <c r="AJ4" s="112">
        <f t="shared" si="0"/>
        <v>36717.983558255451</v>
      </c>
      <c r="AK4" s="112">
        <f t="shared" si="0"/>
        <v>37674.387047024662</v>
      </c>
      <c r="AL4" s="112">
        <f t="shared" si="0"/>
        <v>38666.598851588147</v>
      </c>
      <c r="AM4" s="112">
        <f t="shared" si="0"/>
        <v>39663.671183105937</v>
      </c>
      <c r="AN4" s="112">
        <f t="shared" si="0"/>
        <v>40682.954342039709</v>
      </c>
    </row>
    <row r="5" spans="1:45">
      <c r="A5" s="17">
        <v>4</v>
      </c>
      <c r="B5" s="112">
        <f t="shared" si="1"/>
        <v>4708.8805344847715</v>
      </c>
      <c r="C5" s="112">
        <f t="shared" si="0"/>
        <v>4839.7</v>
      </c>
      <c r="D5" s="112">
        <f t="shared" si="0"/>
        <v>4922.1350694333478</v>
      </c>
      <c r="E5" s="112">
        <f t="shared" si="0"/>
        <v>4623.0210333312516</v>
      </c>
      <c r="F5" s="112">
        <f t="shared" si="0"/>
        <v>5023.9730533333332</v>
      </c>
      <c r="G5" s="112">
        <f t="shared" si="0"/>
        <v>4835.4275175976791</v>
      </c>
      <c r="H5" s="112">
        <f t="shared" si="0"/>
        <v>4987.55314227283</v>
      </c>
      <c r="I5" s="112">
        <f t="shared" si="0"/>
        <v>5111.9911158893874</v>
      </c>
      <c r="J5" s="112">
        <f t="shared" si="0"/>
        <v>5847.3632056970428</v>
      </c>
      <c r="K5" s="112">
        <f t="shared" si="0"/>
        <v>6597.8128388610885</v>
      </c>
      <c r="L5" s="112">
        <f t="shared" si="0"/>
        <v>6807.6797858416403</v>
      </c>
      <c r="M5" s="112">
        <f t="shared" si="0"/>
        <v>6997.1183081090521</v>
      </c>
      <c r="N5" s="112">
        <f t="shared" si="0"/>
        <v>7281.76109628841</v>
      </c>
      <c r="O5" s="112">
        <f t="shared" si="0"/>
        <v>7519.1318301794217</v>
      </c>
      <c r="P5" s="112">
        <f t="shared" si="0"/>
        <v>7801.8173790435649</v>
      </c>
      <c r="Q5" s="112">
        <f t="shared" si="0"/>
        <v>7992.4473464898747</v>
      </c>
      <c r="R5" s="112">
        <f t="shared" si="0"/>
        <v>8209.1710197924258</v>
      </c>
      <c r="S5" s="112">
        <f t="shared" si="0"/>
        <v>8473.26528822197</v>
      </c>
      <c r="T5" s="112">
        <f t="shared" si="0"/>
        <v>8810.2437143555635</v>
      </c>
      <c r="U5" s="112">
        <f t="shared" si="0"/>
        <v>9021.6565363937971</v>
      </c>
      <c r="V5" s="112">
        <f t="shared" si="0"/>
        <v>9253.1396589755932</v>
      </c>
      <c r="W5" s="112">
        <f t="shared" si="0"/>
        <v>9530.5221117107976</v>
      </c>
      <c r="X5" s="112">
        <f t="shared" si="0"/>
        <v>9733.256947233991</v>
      </c>
      <c r="Y5" s="112">
        <f t="shared" si="0"/>
        <v>9967.065427935584</v>
      </c>
      <c r="Z5" s="112">
        <f t="shared" si="0"/>
        <v>10343.020246718217</v>
      </c>
      <c r="AA5" s="112">
        <f t="shared" si="0"/>
        <v>10610.754117462688</v>
      </c>
      <c r="AB5" s="112">
        <f t="shared" si="0"/>
        <v>10907.754558588644</v>
      </c>
      <c r="AC5" s="112">
        <f t="shared" si="0"/>
        <v>11187.970548188885</v>
      </c>
      <c r="AD5" s="112">
        <f t="shared" si="0"/>
        <v>11520.867510350483</v>
      </c>
      <c r="AE5" s="112">
        <f t="shared" si="0"/>
        <v>11809.101360964734</v>
      </c>
      <c r="AF5" s="112">
        <f t="shared" si="0"/>
        <v>12065.700800654449</v>
      </c>
      <c r="AG5" s="112">
        <f t="shared" si="0"/>
        <v>12351.304536701722</v>
      </c>
      <c r="AH5" s="112">
        <f t="shared" si="0"/>
        <v>12615.46091981194</v>
      </c>
      <c r="AI5" s="112">
        <f t="shared" si="0"/>
        <v>12881.421493971256</v>
      </c>
      <c r="AJ5" s="112">
        <f t="shared" si="0"/>
        <v>13146.214476555993</v>
      </c>
      <c r="AK5" s="112">
        <f t="shared" si="0"/>
        <v>13425.588222256554</v>
      </c>
      <c r="AL5" s="112">
        <f t="shared" si="0"/>
        <v>13690.79892185334</v>
      </c>
      <c r="AM5" s="112">
        <f t="shared" si="0"/>
        <v>13961.306624593577</v>
      </c>
      <c r="AN5" s="112">
        <f t="shared" si="0"/>
        <v>14264.63916194296</v>
      </c>
    </row>
    <row r="6" spans="1:45">
      <c r="A6" s="113">
        <v>5</v>
      </c>
      <c r="B6" s="112">
        <v>1047</v>
      </c>
      <c r="C6" s="112">
        <v>1047</v>
      </c>
      <c r="D6" s="112">
        <v>1047</v>
      </c>
      <c r="E6" s="112">
        <v>1047</v>
      </c>
      <c r="F6" s="112">
        <v>1047</v>
      </c>
      <c r="G6" s="112">
        <f>G13</f>
        <v>1047</v>
      </c>
      <c r="H6" s="112">
        <f t="shared" ref="H6:AN6" si="2">H13</f>
        <v>1588</v>
      </c>
      <c r="I6" s="112">
        <f t="shared" si="2"/>
        <v>1683</v>
      </c>
      <c r="J6" s="112">
        <f t="shared" si="2"/>
        <v>1784</v>
      </c>
      <c r="K6" s="112">
        <f t="shared" si="2"/>
        <v>1890</v>
      </c>
      <c r="L6" s="112">
        <f t="shared" si="2"/>
        <v>2003</v>
      </c>
      <c r="M6" s="112">
        <f t="shared" si="2"/>
        <v>2125</v>
      </c>
      <c r="N6" s="112">
        <f t="shared" si="2"/>
        <v>2254</v>
      </c>
      <c r="O6" s="112">
        <f t="shared" si="2"/>
        <v>2391</v>
      </c>
      <c r="P6" s="112">
        <f t="shared" si="2"/>
        <v>2537</v>
      </c>
      <c r="Q6" s="112">
        <f t="shared" si="2"/>
        <v>2693</v>
      </c>
      <c r="R6" s="112">
        <f t="shared" si="2"/>
        <v>2859</v>
      </c>
      <c r="S6" s="112">
        <f t="shared" si="2"/>
        <v>3035</v>
      </c>
      <c r="T6" s="112">
        <f t="shared" si="2"/>
        <v>3223</v>
      </c>
      <c r="U6" s="112">
        <f t="shared" si="2"/>
        <v>3423</v>
      </c>
      <c r="V6" s="112">
        <f t="shared" si="2"/>
        <v>3635</v>
      </c>
      <c r="W6" s="112">
        <f t="shared" si="2"/>
        <v>3862</v>
      </c>
      <c r="X6" s="112">
        <f t="shared" si="2"/>
        <v>4104</v>
      </c>
      <c r="Y6" s="112">
        <f t="shared" si="2"/>
        <v>4361</v>
      </c>
      <c r="Z6" s="112">
        <f t="shared" si="2"/>
        <v>4635</v>
      </c>
      <c r="AA6" s="112">
        <f t="shared" si="2"/>
        <v>4871</v>
      </c>
      <c r="AB6" s="112">
        <f t="shared" si="2"/>
        <v>4871</v>
      </c>
      <c r="AC6" s="112">
        <f t="shared" si="2"/>
        <v>4871</v>
      </c>
      <c r="AD6" s="112">
        <f t="shared" si="2"/>
        <v>4871</v>
      </c>
      <c r="AE6" s="112">
        <f t="shared" si="2"/>
        <v>4871</v>
      </c>
      <c r="AF6" s="112">
        <f t="shared" si="2"/>
        <v>4871</v>
      </c>
      <c r="AG6" s="112">
        <f t="shared" si="2"/>
        <v>4871</v>
      </c>
      <c r="AH6" s="112">
        <f t="shared" si="2"/>
        <v>4871</v>
      </c>
      <c r="AI6" s="112">
        <f t="shared" si="2"/>
        <v>4871</v>
      </c>
      <c r="AJ6" s="112">
        <f t="shared" si="2"/>
        <v>4871</v>
      </c>
      <c r="AK6" s="112">
        <f t="shared" si="2"/>
        <v>4871</v>
      </c>
      <c r="AL6" s="112">
        <f t="shared" si="2"/>
        <v>4871</v>
      </c>
      <c r="AM6" s="112">
        <f t="shared" si="2"/>
        <v>4871</v>
      </c>
      <c r="AN6" s="112">
        <f t="shared" si="2"/>
        <v>4871</v>
      </c>
    </row>
    <row r="7" spans="1:45">
      <c r="A7" s="17">
        <v>6</v>
      </c>
      <c r="B7" s="112">
        <f t="shared" si="1"/>
        <v>688.62358438267211</v>
      </c>
      <c r="C7" s="112">
        <f t="shared" si="0"/>
        <v>715.18527929416064</v>
      </c>
      <c r="D7" s="112">
        <f t="shared" si="0"/>
        <v>718.77254252373928</v>
      </c>
      <c r="E7" s="112">
        <f t="shared" si="0"/>
        <v>807.39917937395808</v>
      </c>
      <c r="F7" s="112">
        <f t="shared" si="0"/>
        <v>798</v>
      </c>
      <c r="G7" s="112">
        <f t="shared" si="0"/>
        <v>861.87909852043731</v>
      </c>
      <c r="H7" s="112">
        <f t="shared" si="0"/>
        <v>969.22078604005287</v>
      </c>
      <c r="I7" s="112">
        <f t="shared" si="0"/>
        <v>1016.1702431277995</v>
      </c>
      <c r="J7" s="112">
        <f t="shared" si="0"/>
        <v>1067.0194914386193</v>
      </c>
      <c r="K7" s="112">
        <f t="shared" si="0"/>
        <v>1119.0088230114286</v>
      </c>
      <c r="L7" s="112">
        <f t="shared" si="0"/>
        <v>1163.6708059192297</v>
      </c>
      <c r="M7" s="112">
        <f t="shared" si="0"/>
        <v>1208.367270188882</v>
      </c>
      <c r="N7" s="112">
        <f t="shared" si="0"/>
        <v>1254.8267037880471</v>
      </c>
      <c r="O7" s="112">
        <f t="shared" si="0"/>
        <v>1300.1099351560974</v>
      </c>
      <c r="P7" s="112">
        <f t="shared" si="0"/>
        <v>1346.4335653482528</v>
      </c>
      <c r="Q7" s="112">
        <f t="shared" si="0"/>
        <v>1393.2282225237775</v>
      </c>
      <c r="R7" s="112">
        <f t="shared" si="0"/>
        <v>1441.3272051141</v>
      </c>
      <c r="S7" s="112">
        <f t="shared" si="0"/>
        <v>1487.2024381062661</v>
      </c>
      <c r="T7" s="112">
        <f t="shared" si="0"/>
        <v>1534.3331783980041</v>
      </c>
      <c r="U7" s="112">
        <f t="shared" si="0"/>
        <v>1581.8739430380645</v>
      </c>
      <c r="V7" s="112">
        <f t="shared" si="0"/>
        <v>1630.6033638183146</v>
      </c>
      <c r="W7" s="112">
        <f t="shared" si="0"/>
        <v>1677.2816069156195</v>
      </c>
      <c r="X7" s="112">
        <f t="shared" si="0"/>
        <v>1725.5419250273162</v>
      </c>
      <c r="Y7" s="112">
        <f t="shared" si="0"/>
        <v>1774.1698992224524</v>
      </c>
      <c r="Z7" s="112">
        <f t="shared" si="0"/>
        <v>1824.0113961022751</v>
      </c>
      <c r="AA7" s="112">
        <f t="shared" si="0"/>
        <v>1871.0384543782864</v>
      </c>
      <c r="AB7" s="112">
        <f t="shared" si="0"/>
        <v>1919.1080105482333</v>
      </c>
      <c r="AC7" s="112">
        <f t="shared" si="0"/>
        <v>1966.8175832137686</v>
      </c>
      <c r="AD7" s="112">
        <f t="shared" si="0"/>
        <v>2015.5302957449337</v>
      </c>
      <c r="AE7" s="112">
        <f t="shared" si="0"/>
        <v>2060.7983320896396</v>
      </c>
      <c r="AF7" s="112">
        <f t="shared" si="0"/>
        <v>2106.8879568971784</v>
      </c>
      <c r="AG7" s="112">
        <f t="shared" si="0"/>
        <v>2152.2550836858563</v>
      </c>
      <c r="AH7" s="112">
        <f t="shared" si="0"/>
        <v>2198.3921986319351</v>
      </c>
      <c r="AI7" s="112">
        <f t="shared" si="0"/>
        <v>2240.4549478940298</v>
      </c>
      <c r="AJ7" s="112">
        <f t="shared" si="0"/>
        <v>2283.1049656346472</v>
      </c>
      <c r="AK7" s="112">
        <f t="shared" si="0"/>
        <v>2324.6676895484088</v>
      </c>
      <c r="AL7" s="112">
        <f t="shared" si="0"/>
        <v>2366.7595238596709</v>
      </c>
      <c r="AM7" s="112">
        <f t="shared" si="0"/>
        <v>2404.1759989098373</v>
      </c>
      <c r="AN7" s="112">
        <f t="shared" si="0"/>
        <v>2441.9479275440776</v>
      </c>
    </row>
    <row r="8" spans="1:45">
      <c r="A8" s="113">
        <v>7</v>
      </c>
      <c r="B8" s="112">
        <f t="shared" si="1"/>
        <v>0</v>
      </c>
      <c r="C8" s="112">
        <f t="shared" si="0"/>
        <v>1356</v>
      </c>
      <c r="D8" s="112">
        <f t="shared" si="0"/>
        <v>1572.0887103567179</v>
      </c>
      <c r="E8" s="112">
        <f t="shared" si="0"/>
        <v>1587.2587592727532</v>
      </c>
      <c r="F8" s="112">
        <f t="shared" si="0"/>
        <v>1938.0977901271897</v>
      </c>
      <c r="G8" s="112">
        <f t="shared" si="0"/>
        <v>2169</v>
      </c>
      <c r="H8" s="112">
        <f t="shared" si="0"/>
        <v>2246</v>
      </c>
      <c r="I8" s="112">
        <f t="shared" si="0"/>
        <v>2336</v>
      </c>
      <c r="J8" s="112">
        <f t="shared" si="0"/>
        <v>2424.8902575915795</v>
      </c>
      <c r="K8" s="112">
        <f t="shared" si="0"/>
        <v>2514.7726465140222</v>
      </c>
      <c r="L8" s="112">
        <f t="shared" si="0"/>
        <v>2608.5622117421053</v>
      </c>
      <c r="M8" s="112">
        <f t="shared" si="0"/>
        <v>2705.048277699093</v>
      </c>
      <c r="N8" s="112">
        <f t="shared" si="0"/>
        <v>2810.1025308347216</v>
      </c>
      <c r="O8" s="112">
        <f t="shared" si="0"/>
        <v>2907.4623419426762</v>
      </c>
      <c r="P8" s="112">
        <f t="shared" si="0"/>
        <v>3014.1669236496764</v>
      </c>
      <c r="Q8" s="112">
        <f t="shared" si="0"/>
        <v>3124.0394786546767</v>
      </c>
      <c r="R8" s="112">
        <f t="shared" si="0"/>
        <v>3243.1693984775443</v>
      </c>
      <c r="S8" s="112">
        <f t="shared" si="0"/>
        <v>3354.1372927911652</v>
      </c>
      <c r="T8" s="112">
        <f t="shared" si="0"/>
        <v>3476.8535358654644</v>
      </c>
      <c r="U8" s="112">
        <f t="shared" si="0"/>
        <v>3609.3977477783474</v>
      </c>
      <c r="V8" s="112">
        <f t="shared" si="0"/>
        <v>3754.0514496055966</v>
      </c>
      <c r="W8" s="112">
        <f t="shared" si="0"/>
        <v>3889.5689504621369</v>
      </c>
      <c r="X8" s="112">
        <f t="shared" si="0"/>
        <v>4037.1391293989454</v>
      </c>
      <c r="Y8" s="112">
        <f t="shared" si="0"/>
        <v>4189.5661025914487</v>
      </c>
      <c r="Z8" s="112">
        <f t="shared" si="0"/>
        <v>4351.8884550575285</v>
      </c>
      <c r="AA8" s="112">
        <f t="shared" si="0"/>
        <v>4498.8877597399451</v>
      </c>
      <c r="AB8" s="112">
        <f t="shared" si="0"/>
        <v>4655.3139520005125</v>
      </c>
      <c r="AC8" s="112">
        <f t="shared" si="0"/>
        <v>4812.5316716410098</v>
      </c>
      <c r="AD8" s="112">
        <f t="shared" si="0"/>
        <v>4979.5056567056199</v>
      </c>
      <c r="AE8" s="112">
        <f t="shared" si="0"/>
        <v>5127.3236094638887</v>
      </c>
      <c r="AF8" s="112">
        <f t="shared" si="0"/>
        <v>5284.3312657028982</v>
      </c>
      <c r="AG8" s="112">
        <f t="shared" si="0"/>
        <v>5440.6331120809755</v>
      </c>
      <c r="AH8" s="112">
        <f t="shared" si="0"/>
        <v>5606.3342731642479</v>
      </c>
      <c r="AI8" s="112">
        <f t="shared" si="0"/>
        <v>5748.8702216638767</v>
      </c>
      <c r="AJ8" s="112">
        <f t="shared" si="0"/>
        <v>5900.2031895568134</v>
      </c>
      <c r="AK8" s="112">
        <f t="shared" si="0"/>
        <v>6049.2164507697807</v>
      </c>
      <c r="AL8" s="112">
        <f t="shared" si="0"/>
        <v>6207.139076901125</v>
      </c>
      <c r="AM8" s="112">
        <f t="shared" si="0"/>
        <v>6337.9573083786654</v>
      </c>
      <c r="AN8" s="112">
        <f t="shared" si="0"/>
        <v>5806.2132112593008</v>
      </c>
      <c r="AO8" s="564"/>
      <c r="AP8" s="564"/>
      <c r="AQ8" s="564"/>
      <c r="AR8" s="564"/>
      <c r="AS8" s="564"/>
    </row>
    <row r="9" spans="1:45">
      <c r="A9" s="17"/>
      <c r="B9" s="114"/>
      <c r="C9" s="114"/>
      <c r="D9" s="114"/>
      <c r="E9" s="114"/>
      <c r="F9" s="114"/>
      <c r="G9" s="112"/>
      <c r="H9" s="112"/>
      <c r="I9" s="112"/>
      <c r="J9" s="112"/>
      <c r="K9" s="112"/>
      <c r="L9" s="112"/>
      <c r="M9" s="112"/>
      <c r="N9" s="112"/>
      <c r="O9" s="112"/>
      <c r="P9" s="112"/>
      <c r="Q9" s="112"/>
      <c r="R9" s="112"/>
      <c r="S9" s="114"/>
      <c r="T9" s="114"/>
      <c r="U9" s="114"/>
      <c r="V9" s="114"/>
      <c r="W9" s="114"/>
      <c r="X9" s="114"/>
      <c r="Y9" s="114"/>
      <c r="Z9" s="114"/>
      <c r="AA9" s="114"/>
      <c r="AB9" s="114"/>
      <c r="AC9" s="114"/>
      <c r="AD9" s="114"/>
      <c r="AE9" s="114"/>
      <c r="AF9" s="114"/>
      <c r="AG9" s="114"/>
      <c r="AH9" s="114"/>
      <c r="AI9" s="114"/>
      <c r="AJ9" s="114"/>
      <c r="AK9" s="114"/>
      <c r="AL9" s="114"/>
      <c r="AM9" s="114"/>
      <c r="AN9" s="114"/>
    </row>
    <row r="10" spans="1:45">
      <c r="A10" s="17"/>
      <c r="B10" s="114"/>
      <c r="C10" s="114"/>
      <c r="D10" s="114"/>
      <c r="E10" s="114"/>
      <c r="F10" s="114"/>
      <c r="G10" s="112"/>
      <c r="H10" s="112"/>
      <c r="I10" s="112"/>
      <c r="J10" s="112"/>
      <c r="K10" s="112"/>
      <c r="L10" s="112"/>
      <c r="M10" s="112"/>
      <c r="N10" s="112"/>
      <c r="O10" s="112"/>
      <c r="P10" s="112"/>
      <c r="Q10" s="112"/>
      <c r="R10" s="112"/>
      <c r="S10" s="114"/>
      <c r="T10" s="114"/>
      <c r="U10" s="114"/>
      <c r="V10" s="114"/>
      <c r="W10" s="114"/>
      <c r="X10" s="114"/>
      <c r="Y10" s="114"/>
      <c r="Z10" s="114"/>
      <c r="AA10" s="114"/>
      <c r="AB10" s="114"/>
      <c r="AC10" s="114"/>
      <c r="AD10" s="114"/>
      <c r="AE10" s="114"/>
      <c r="AF10" s="114"/>
      <c r="AG10" s="114"/>
      <c r="AH10" s="114"/>
      <c r="AI10" s="114"/>
      <c r="AJ10" s="114"/>
      <c r="AK10" s="114"/>
      <c r="AL10" s="114"/>
      <c r="AM10" s="114"/>
      <c r="AN10" s="114"/>
    </row>
    <row r="11" spans="1:45">
      <c r="A11" s="17" t="s">
        <v>2540</v>
      </c>
      <c r="B11" s="114">
        <v>4871</v>
      </c>
      <c r="C11" s="114"/>
      <c r="D11" s="114"/>
      <c r="E11" s="114"/>
      <c r="F11" s="114"/>
      <c r="G11" s="112"/>
      <c r="H11" s="112"/>
      <c r="I11" s="112"/>
      <c r="J11" s="112"/>
      <c r="K11" s="112"/>
      <c r="L11" s="112"/>
      <c r="M11" s="112"/>
      <c r="N11" s="112"/>
      <c r="O11" s="112"/>
      <c r="P11" s="112"/>
      <c r="Q11" s="112"/>
      <c r="R11" s="112"/>
      <c r="S11" s="114"/>
      <c r="T11" s="114"/>
      <c r="U11" s="114"/>
      <c r="V11" s="114"/>
      <c r="W11" s="114"/>
      <c r="X11" s="114"/>
      <c r="Y11" s="114"/>
      <c r="Z11" s="114"/>
      <c r="AA11" s="114"/>
      <c r="AB11" s="114"/>
      <c r="AC11" s="114"/>
      <c r="AD11" s="114"/>
      <c r="AE11" s="114"/>
      <c r="AF11" s="114"/>
      <c r="AG11" s="114"/>
      <c r="AH11" s="114"/>
      <c r="AI11" s="114"/>
      <c r="AJ11" s="114"/>
      <c r="AK11" s="114"/>
      <c r="AL11" s="114"/>
      <c r="AM11" s="114"/>
      <c r="AN11" s="114"/>
    </row>
    <row r="12" spans="1:45">
      <c r="A12" s="17" t="s">
        <v>2541</v>
      </c>
      <c r="B12" s="114"/>
      <c r="C12" s="114"/>
      <c r="D12" s="114"/>
      <c r="E12" s="114"/>
      <c r="F12" s="114"/>
      <c r="G12" s="112">
        <v>3824</v>
      </c>
      <c r="H12" s="112">
        <v>3283</v>
      </c>
      <c r="I12" s="112">
        <v>3188</v>
      </c>
      <c r="J12" s="112">
        <v>3087</v>
      </c>
      <c r="K12" s="112">
        <v>2981</v>
      </c>
      <c r="L12" s="112">
        <v>2868</v>
      </c>
      <c r="M12" s="112">
        <v>2746</v>
      </c>
      <c r="N12" s="112">
        <v>2617</v>
      </c>
      <c r="O12" s="112">
        <v>2480</v>
      </c>
      <c r="P12" s="112">
        <v>2334</v>
      </c>
      <c r="Q12" s="112">
        <v>2178</v>
      </c>
      <c r="R12" s="112">
        <v>2012</v>
      </c>
      <c r="S12" s="112">
        <v>1836</v>
      </c>
      <c r="T12" s="112">
        <v>1648</v>
      </c>
      <c r="U12" s="112">
        <v>1448</v>
      </c>
      <c r="V12" s="112">
        <v>1236</v>
      </c>
      <c r="W12" s="112">
        <v>1009</v>
      </c>
      <c r="X12" s="112">
        <v>767</v>
      </c>
      <c r="Y12" s="112">
        <v>510</v>
      </c>
      <c r="Z12" s="112">
        <v>236</v>
      </c>
      <c r="AA12" s="112">
        <v>0</v>
      </c>
      <c r="AB12" s="112">
        <v>0</v>
      </c>
      <c r="AC12" s="112">
        <v>0</v>
      </c>
      <c r="AD12" s="112">
        <v>0</v>
      </c>
      <c r="AE12" s="112">
        <v>0</v>
      </c>
      <c r="AF12" s="112">
        <v>0</v>
      </c>
      <c r="AG12" s="112">
        <v>0</v>
      </c>
      <c r="AH12" s="112">
        <v>0</v>
      </c>
      <c r="AI12" s="112">
        <v>0</v>
      </c>
      <c r="AJ12" s="112">
        <v>0</v>
      </c>
      <c r="AK12" s="112">
        <v>0</v>
      </c>
      <c r="AL12" s="112">
        <v>0</v>
      </c>
      <c r="AM12" s="112">
        <v>0</v>
      </c>
      <c r="AN12" s="112">
        <v>0</v>
      </c>
    </row>
    <row r="13" spans="1:45">
      <c r="A13" s="113" t="s">
        <v>2542</v>
      </c>
      <c r="B13" s="115"/>
      <c r="C13" s="115"/>
      <c r="D13" s="115"/>
      <c r="E13" s="115"/>
      <c r="F13" s="114"/>
      <c r="G13" s="112">
        <f>$B$11-G12</f>
        <v>1047</v>
      </c>
      <c r="H13" s="112">
        <f>$B$11-H12</f>
        <v>1588</v>
      </c>
      <c r="I13" s="112">
        <f t="shared" ref="I13:AA13" si="3">$B$11-I12</f>
        <v>1683</v>
      </c>
      <c r="J13" s="112">
        <f t="shared" si="3"/>
        <v>1784</v>
      </c>
      <c r="K13" s="112">
        <f t="shared" si="3"/>
        <v>1890</v>
      </c>
      <c r="L13" s="112">
        <f t="shared" si="3"/>
        <v>2003</v>
      </c>
      <c r="M13" s="112">
        <f t="shared" si="3"/>
        <v>2125</v>
      </c>
      <c r="N13" s="112">
        <f t="shared" si="3"/>
        <v>2254</v>
      </c>
      <c r="O13" s="112">
        <f t="shared" si="3"/>
        <v>2391</v>
      </c>
      <c r="P13" s="112">
        <f t="shared" si="3"/>
        <v>2537</v>
      </c>
      <c r="Q13" s="112">
        <f t="shared" si="3"/>
        <v>2693</v>
      </c>
      <c r="R13" s="112">
        <f t="shared" si="3"/>
        <v>2859</v>
      </c>
      <c r="S13" s="112">
        <f t="shared" si="3"/>
        <v>3035</v>
      </c>
      <c r="T13" s="112">
        <f t="shared" si="3"/>
        <v>3223</v>
      </c>
      <c r="U13" s="112">
        <f t="shared" si="3"/>
        <v>3423</v>
      </c>
      <c r="V13" s="112">
        <f t="shared" si="3"/>
        <v>3635</v>
      </c>
      <c r="W13" s="112">
        <f t="shared" si="3"/>
        <v>3862</v>
      </c>
      <c r="X13" s="112">
        <f t="shared" si="3"/>
        <v>4104</v>
      </c>
      <c r="Y13" s="112">
        <f t="shared" si="3"/>
        <v>4361</v>
      </c>
      <c r="Z13" s="112">
        <f t="shared" si="3"/>
        <v>4635</v>
      </c>
      <c r="AA13" s="112">
        <f t="shared" si="3"/>
        <v>4871</v>
      </c>
      <c r="AB13" s="112">
        <f>$B$11-AB12</f>
        <v>4871</v>
      </c>
      <c r="AC13" s="112">
        <f>$B$11-AC12</f>
        <v>4871</v>
      </c>
      <c r="AD13" s="112">
        <f t="shared" ref="AD13" si="4">$B$11-AD12</f>
        <v>4871</v>
      </c>
      <c r="AE13" s="112">
        <f t="shared" ref="AE13" si="5">$B$11-AE12</f>
        <v>4871</v>
      </c>
      <c r="AF13" s="112">
        <f t="shared" ref="AF13" si="6">$B$11-AF12</f>
        <v>4871</v>
      </c>
      <c r="AG13" s="112">
        <f t="shared" ref="AG13" si="7">$B$11-AG12</f>
        <v>4871</v>
      </c>
      <c r="AH13" s="112">
        <f t="shared" ref="AH13" si="8">$B$11-AH12</f>
        <v>4871</v>
      </c>
      <c r="AI13" s="112">
        <f t="shared" ref="AI13" si="9">$B$11-AI12</f>
        <v>4871</v>
      </c>
      <c r="AJ13" s="112">
        <f t="shared" ref="AJ13" si="10">$B$11-AJ12</f>
        <v>4871</v>
      </c>
      <c r="AK13" s="112">
        <f t="shared" ref="AK13" si="11">$B$11-AK12</f>
        <v>4871</v>
      </c>
      <c r="AL13" s="112">
        <f t="shared" ref="AL13" si="12">$B$11-AL12</f>
        <v>4871</v>
      </c>
      <c r="AM13" s="112">
        <f t="shared" ref="AM13" si="13">$B$11-AM12</f>
        <v>4871</v>
      </c>
      <c r="AN13" s="112">
        <f t="shared" ref="AN13" si="14">$B$11-AN12</f>
        <v>4871</v>
      </c>
    </row>
    <row r="14" spans="1:45" ht="15.75">
      <c r="A14" s="17"/>
      <c r="B14" s="116"/>
      <c r="C14" s="116"/>
      <c r="D14" s="116"/>
      <c r="E14" s="116"/>
      <c r="F14" s="114"/>
      <c r="G14" s="112"/>
      <c r="H14" s="112"/>
      <c r="I14" s="112"/>
      <c r="J14" s="112"/>
      <c r="K14" s="112"/>
      <c r="L14" s="112"/>
      <c r="M14" s="112"/>
      <c r="N14" s="112"/>
      <c r="O14" s="112"/>
      <c r="P14" s="112"/>
      <c r="Q14" s="112"/>
      <c r="R14" s="112"/>
      <c r="S14" s="116"/>
      <c r="T14" s="116"/>
      <c r="U14" s="116"/>
      <c r="V14" s="116"/>
      <c r="W14" s="116"/>
      <c r="X14" s="116"/>
      <c r="Y14" s="116"/>
      <c r="Z14" s="116"/>
      <c r="AA14" s="116"/>
      <c r="AB14" s="116"/>
      <c r="AC14" s="116"/>
      <c r="AD14" s="116"/>
      <c r="AE14" s="116"/>
      <c r="AF14" s="116"/>
      <c r="AG14" s="116"/>
      <c r="AH14" s="116"/>
      <c r="AI14" s="116"/>
      <c r="AJ14" s="116"/>
      <c r="AK14" s="116"/>
      <c r="AL14" s="116"/>
      <c r="AM14" s="116"/>
      <c r="AN14" s="116"/>
    </row>
    <row r="15" spans="1:45">
      <c r="A15" s="17"/>
      <c r="B15" s="17"/>
      <c r="C15" s="17"/>
      <c r="D15" s="17"/>
      <c r="E15" s="17"/>
      <c r="F15" s="114"/>
      <c r="G15" s="112"/>
      <c r="H15" s="112"/>
      <c r="I15" s="112"/>
      <c r="J15" s="112"/>
      <c r="K15" s="112"/>
      <c r="L15" s="112"/>
      <c r="M15" s="112"/>
      <c r="N15" s="112"/>
      <c r="O15" s="112"/>
      <c r="P15" s="112"/>
      <c r="Q15" s="112"/>
      <c r="R15" s="112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</row>
    <row r="16" spans="1:45">
      <c r="A16" s="117" t="s">
        <v>2549</v>
      </c>
      <c r="B16" s="17"/>
      <c r="C16" s="17"/>
      <c r="D16" s="17"/>
      <c r="E16" s="17"/>
      <c r="F16" s="5"/>
      <c r="G16" s="114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</row>
    <row r="17" spans="1:42">
      <c r="A17" s="118" t="s">
        <v>2550</v>
      </c>
      <c r="B17" s="251">
        <f t="shared" ref="B17:AM17" si="15">SUM(B2:B8)</f>
        <v>81753.124040698865</v>
      </c>
      <c r="C17" s="251">
        <f t="shared" si="15"/>
        <v>84337.032783616247</v>
      </c>
      <c r="D17" s="251">
        <f t="shared" si="15"/>
        <v>89155.376909756917</v>
      </c>
      <c r="E17" s="251">
        <f t="shared" si="15"/>
        <v>88926.359339550356</v>
      </c>
      <c r="F17" s="251">
        <f t="shared" si="15"/>
        <v>87708.019331565039</v>
      </c>
      <c r="G17" s="251">
        <f t="shared" si="15"/>
        <v>91655.06858251238</v>
      </c>
      <c r="H17" s="251">
        <f t="shared" si="15"/>
        <v>93806.584927816511</v>
      </c>
      <c r="I17" s="251">
        <f t="shared" si="15"/>
        <v>98888.884342730817</v>
      </c>
      <c r="J17" s="251">
        <f t="shared" si="15"/>
        <v>104028.16329047698</v>
      </c>
      <c r="K17" s="251">
        <f t="shared" si="15"/>
        <v>109129.03452535803</v>
      </c>
      <c r="L17" s="251">
        <f t="shared" si="15"/>
        <v>113654.42897299037</v>
      </c>
      <c r="M17" s="251">
        <f t="shared" si="15"/>
        <v>118440.54528984507</v>
      </c>
      <c r="N17" s="251">
        <f t="shared" si="15"/>
        <v>123360.20732583603</v>
      </c>
      <c r="O17" s="251">
        <f t="shared" si="15"/>
        <v>128479.32531507075</v>
      </c>
      <c r="P17" s="251">
        <f t="shared" si="15"/>
        <v>132921.89537650044</v>
      </c>
      <c r="Q17" s="251">
        <f t="shared" si="15"/>
        <v>137154.69908884112</v>
      </c>
      <c r="R17" s="251">
        <f t="shared" si="15"/>
        <v>141554.57138547223</v>
      </c>
      <c r="S17" s="251">
        <f t="shared" si="15"/>
        <v>146053.63914338531</v>
      </c>
      <c r="T17" s="251">
        <f t="shared" si="15"/>
        <v>150690.24236342666</v>
      </c>
      <c r="U17" s="251">
        <f t="shared" si="15"/>
        <v>155520.47990229615</v>
      </c>
      <c r="V17" s="251">
        <f t="shared" si="15"/>
        <v>160390.66531046832</v>
      </c>
      <c r="W17" s="251">
        <f t="shared" si="15"/>
        <v>165231.37577663554</v>
      </c>
      <c r="X17" s="251">
        <f t="shared" si="15"/>
        <v>170250.06420864502</v>
      </c>
      <c r="Y17" s="251">
        <f t="shared" si="15"/>
        <v>175422.35125701697</v>
      </c>
      <c r="Z17" s="251">
        <f t="shared" si="15"/>
        <v>180920.09695458575</v>
      </c>
      <c r="AA17" s="251">
        <f t="shared" si="15"/>
        <v>186371.33153044508</v>
      </c>
      <c r="AB17" s="251">
        <f t="shared" si="15"/>
        <v>191972.87169056264</v>
      </c>
      <c r="AC17" s="251">
        <f t="shared" si="15"/>
        <v>197406.88924366538</v>
      </c>
      <c r="AD17" s="251">
        <f t="shared" si="15"/>
        <v>202828.65650753331</v>
      </c>
      <c r="AE17" s="251">
        <f t="shared" si="15"/>
        <v>207634.85015974459</v>
      </c>
      <c r="AF17" s="251">
        <f t="shared" si="15"/>
        <v>212464.3498576851</v>
      </c>
      <c r="AG17" s="251">
        <f t="shared" si="15"/>
        <v>217346.90760264851</v>
      </c>
      <c r="AH17" s="251">
        <f t="shared" si="15"/>
        <v>222360.61386555096</v>
      </c>
      <c r="AI17" s="251">
        <f t="shared" si="15"/>
        <v>227461.44079593374</v>
      </c>
      <c r="AJ17" s="251">
        <f t="shared" si="15"/>
        <v>232632.65182280447</v>
      </c>
      <c r="AK17" s="251">
        <f t="shared" si="15"/>
        <v>237797.36562206654</v>
      </c>
      <c r="AL17" s="251">
        <f t="shared" si="15"/>
        <v>243485.84139562552</v>
      </c>
      <c r="AM17" s="251">
        <f t="shared" si="15"/>
        <v>248977.53484592019</v>
      </c>
      <c r="AN17" s="251">
        <f>SUM(AN2:AN8)</f>
        <v>253782.75464391004</v>
      </c>
      <c r="AP17" s="344"/>
    </row>
    <row r="18" spans="1:42">
      <c r="G18" s="112"/>
      <c r="H18" s="112"/>
      <c r="I18" s="112"/>
      <c r="J18" s="112"/>
      <c r="K18" s="112"/>
      <c r="L18" s="112"/>
      <c r="M18" s="112"/>
      <c r="N18" s="112"/>
      <c r="O18" s="112"/>
      <c r="P18" s="112"/>
      <c r="Q18" s="112"/>
      <c r="R18" s="112"/>
    </row>
    <row r="19" spans="1:42" s="383" customFormat="1">
      <c r="A19" s="383" t="s">
        <v>2551</v>
      </c>
    </row>
    <row r="20" spans="1:42" ht="13.5" thickBot="1">
      <c r="A20" s="11" t="s">
        <v>136</v>
      </c>
      <c r="B20" s="61">
        <v>2012</v>
      </c>
      <c r="C20" s="61">
        <v>2013</v>
      </c>
      <c r="D20" s="61">
        <v>2014</v>
      </c>
      <c r="E20" s="61">
        <v>2015</v>
      </c>
      <c r="F20" s="61">
        <v>2016</v>
      </c>
      <c r="G20" s="61">
        <v>2017</v>
      </c>
      <c r="H20" s="61">
        <v>2018</v>
      </c>
      <c r="I20" s="61">
        <v>2019</v>
      </c>
      <c r="J20" s="61">
        <v>2020</v>
      </c>
      <c r="K20" s="61">
        <v>2021</v>
      </c>
      <c r="L20" s="61">
        <v>2022</v>
      </c>
      <c r="M20" s="61">
        <v>2023</v>
      </c>
      <c r="N20" s="61">
        <v>2024</v>
      </c>
      <c r="O20" s="61">
        <v>2025</v>
      </c>
      <c r="P20" s="61">
        <v>2026</v>
      </c>
      <c r="Q20" s="61">
        <v>2027</v>
      </c>
      <c r="R20" s="61">
        <v>2028</v>
      </c>
      <c r="S20" s="61">
        <v>2029</v>
      </c>
      <c r="T20" s="61">
        <v>2030</v>
      </c>
      <c r="U20" s="61">
        <v>2031</v>
      </c>
      <c r="V20" s="61">
        <v>2032</v>
      </c>
      <c r="W20" s="61">
        <v>2033</v>
      </c>
      <c r="X20" s="61">
        <v>2034</v>
      </c>
      <c r="Y20" s="61">
        <v>2035</v>
      </c>
      <c r="Z20" s="61">
        <v>2036</v>
      </c>
      <c r="AA20" s="61">
        <v>2037</v>
      </c>
      <c r="AB20" s="61">
        <v>2038</v>
      </c>
      <c r="AC20" s="61">
        <v>2039</v>
      </c>
      <c r="AD20" s="61">
        <v>2040</v>
      </c>
      <c r="AE20" s="61">
        <v>2041</v>
      </c>
      <c r="AF20" s="61">
        <v>2042</v>
      </c>
      <c r="AG20" s="61">
        <v>2043</v>
      </c>
      <c r="AH20" s="61">
        <v>2044</v>
      </c>
      <c r="AI20" s="61">
        <v>2045</v>
      </c>
      <c r="AJ20" s="61">
        <v>2046</v>
      </c>
      <c r="AK20" s="61">
        <v>2047</v>
      </c>
      <c r="AL20" s="61">
        <v>2048</v>
      </c>
      <c r="AM20" s="61">
        <v>2049</v>
      </c>
      <c r="AN20" s="61">
        <v>2050</v>
      </c>
    </row>
    <row r="21" spans="1:42" ht="13.5" thickTop="1">
      <c r="A21" s="17">
        <v>1</v>
      </c>
      <c r="B21" s="645">
        <v>48238.909479892376</v>
      </c>
      <c r="C21" s="645">
        <v>48558.122887775178</v>
      </c>
      <c r="D21" s="645">
        <v>51086.193587443093</v>
      </c>
      <c r="E21" s="645">
        <v>51367.947051404903</v>
      </c>
      <c r="F21" s="645">
        <v>49973.836065573771</v>
      </c>
      <c r="G21" s="645">
        <v>52224.749467458852</v>
      </c>
      <c r="H21" s="645">
        <v>53762.580066356393</v>
      </c>
      <c r="I21" s="645">
        <v>55963.857894872541</v>
      </c>
      <c r="J21" s="645">
        <v>58632.780462764036</v>
      </c>
      <c r="K21" s="645">
        <v>61218.459615741987</v>
      </c>
      <c r="L21" s="645">
        <v>63656.806960000962</v>
      </c>
      <c r="M21" s="645">
        <v>66321.001400546724</v>
      </c>
      <c r="N21" s="645">
        <v>68933.699033018042</v>
      </c>
      <c r="O21" s="645">
        <v>71691.455232017572</v>
      </c>
      <c r="P21" s="645">
        <v>73898.514627993427</v>
      </c>
      <c r="Q21" s="645">
        <v>76169.905351289621</v>
      </c>
      <c r="R21" s="645">
        <v>78446.965365607466</v>
      </c>
      <c r="S21" s="645">
        <v>80790.995228883854</v>
      </c>
      <c r="T21" s="645">
        <v>83246.362385061177</v>
      </c>
      <c r="U21" s="645">
        <v>85867.412696505708</v>
      </c>
      <c r="V21" s="645">
        <v>88431.401597213262</v>
      </c>
      <c r="W21" s="645">
        <v>90906.14696023651</v>
      </c>
      <c r="X21" s="645">
        <v>93467.202737663101</v>
      </c>
      <c r="Y21" s="645">
        <v>96174.156119369873</v>
      </c>
      <c r="Z21" s="645">
        <v>98923.915640212974</v>
      </c>
      <c r="AA21" s="645">
        <v>101700.31699015504</v>
      </c>
      <c r="AB21" s="645">
        <v>104773.21081588123</v>
      </c>
      <c r="AC21" s="645">
        <v>107742.27978175314</v>
      </c>
      <c r="AD21" s="645">
        <v>110644.34636036203</v>
      </c>
      <c r="AE21" s="645">
        <v>113155.79843447248</v>
      </c>
      <c r="AF21" s="645">
        <v>115671.53469021052</v>
      </c>
      <c r="AG21" s="645">
        <v>118205.0749839154</v>
      </c>
      <c r="AH21" s="645">
        <v>120848.96036792771</v>
      </c>
      <c r="AI21" s="645">
        <v>123526.34487514764</v>
      </c>
      <c r="AJ21" s="645">
        <v>126219.79404869249</v>
      </c>
      <c r="AK21" s="645">
        <v>128918.18866476817</v>
      </c>
      <c r="AL21" s="645">
        <v>131923.66709124032</v>
      </c>
      <c r="AM21" s="645">
        <v>134873.08470556332</v>
      </c>
      <c r="AN21" s="645">
        <v>137744.97011829232</v>
      </c>
    </row>
    <row r="22" spans="1:42">
      <c r="A22" s="17">
        <v>2</v>
      </c>
      <c r="B22" s="645">
        <v>15486.640441939053</v>
      </c>
      <c r="C22" s="645">
        <v>15879.632519420109</v>
      </c>
      <c r="D22" s="645">
        <v>17971.47</v>
      </c>
      <c r="E22" s="645">
        <v>17020.835999999999</v>
      </c>
      <c r="F22" s="645">
        <v>16424.877</v>
      </c>
      <c r="G22" s="645">
        <v>17623.094000000001</v>
      </c>
      <c r="H22" s="645">
        <v>17346.021000000001</v>
      </c>
      <c r="I22" s="645">
        <v>18327.831294977143</v>
      </c>
      <c r="J22" s="645">
        <v>19130.783877919926</v>
      </c>
      <c r="K22" s="645">
        <v>19987.938477784723</v>
      </c>
      <c r="L22" s="645">
        <v>20905.857289618798</v>
      </c>
      <c r="M22" s="645">
        <v>21842.83860933721</v>
      </c>
      <c r="N22" s="645">
        <v>22833.205878753419</v>
      </c>
      <c r="O22" s="645">
        <v>23861.619732848027</v>
      </c>
      <c r="P22" s="645">
        <v>24693.691867209742</v>
      </c>
      <c r="Q22" s="645">
        <v>25545.699091766393</v>
      </c>
      <c r="R22" s="645">
        <v>26499.077918581668</v>
      </c>
      <c r="S22" s="645">
        <v>27457.190562248059</v>
      </c>
      <c r="T22" s="645">
        <v>28361.953151292513</v>
      </c>
      <c r="U22" s="645">
        <v>29325.292565470176</v>
      </c>
      <c r="V22" s="645">
        <v>30319.26728847111</v>
      </c>
      <c r="W22" s="645">
        <v>31316.964646344972</v>
      </c>
      <c r="X22" s="645">
        <v>32462.459225040853</v>
      </c>
      <c r="Y22" s="645">
        <v>33528.087978281947</v>
      </c>
      <c r="Z22" s="645">
        <v>34682.759368942658</v>
      </c>
      <c r="AA22" s="645">
        <v>35859.005872223883</v>
      </c>
      <c r="AB22" s="645">
        <v>37045.365003147803</v>
      </c>
      <c r="AC22" s="645">
        <v>38203.557497825132</v>
      </c>
      <c r="AD22" s="645">
        <v>39360.672824862551</v>
      </c>
      <c r="AE22" s="645">
        <v>40447.169538362286</v>
      </c>
      <c r="AF22" s="645">
        <v>41558.162850188266</v>
      </c>
      <c r="AG22" s="645">
        <v>42686.955956779595</v>
      </c>
      <c r="AH22" s="645">
        <v>43831.988358683986</v>
      </c>
      <c r="AI22" s="645">
        <v>45008.57115058104</v>
      </c>
      <c r="AJ22" s="645">
        <v>46200.177821388803</v>
      </c>
      <c r="AK22" s="645">
        <v>47414.326126852829</v>
      </c>
      <c r="AL22" s="645">
        <v>48858.272492836739</v>
      </c>
      <c r="AM22" s="645">
        <v>50200.529605022697</v>
      </c>
      <c r="AN22" s="645">
        <v>51527.461693485493</v>
      </c>
    </row>
    <row r="23" spans="1:42">
      <c r="A23" s="17">
        <v>3</v>
      </c>
      <c r="B23" s="645">
        <v>11583.07</v>
      </c>
      <c r="C23" s="645">
        <v>11941.392097126802</v>
      </c>
      <c r="D23" s="645">
        <v>11837.717000000001</v>
      </c>
      <c r="E23" s="645">
        <v>12473.308000000001</v>
      </c>
      <c r="F23" s="645">
        <v>12503.808999999999</v>
      </c>
      <c r="G23" s="645">
        <v>12904.838</v>
      </c>
      <c r="H23" s="645">
        <v>12941.254000000001</v>
      </c>
      <c r="I23" s="645">
        <v>14519.24633671976</v>
      </c>
      <c r="J23" s="645">
        <v>15258.396555901021</v>
      </c>
      <c r="K23" s="645">
        <v>15958.904809259144</v>
      </c>
      <c r="L23" s="645">
        <v>16702.978767545294</v>
      </c>
      <c r="M23" s="645">
        <v>17485.244211218887</v>
      </c>
      <c r="N23" s="645">
        <v>18296.856717960163</v>
      </c>
      <c r="O23" s="645">
        <v>19184.189755389893</v>
      </c>
      <c r="P23" s="645">
        <v>20086.787969991041</v>
      </c>
      <c r="Q23" s="645">
        <v>20785.254470048993</v>
      </c>
      <c r="R23" s="645">
        <v>21506.194450303952</v>
      </c>
      <c r="S23" s="645">
        <v>22215.779870046634</v>
      </c>
      <c r="T23" s="645">
        <v>22919.626195375429</v>
      </c>
      <c r="U23" s="645">
        <v>23691.012767183969</v>
      </c>
      <c r="V23" s="645">
        <v>24473.514417515846</v>
      </c>
      <c r="W23" s="645">
        <v>25260.874535182516</v>
      </c>
      <c r="X23" s="645">
        <v>26036.135906708791</v>
      </c>
      <c r="Y23" s="645">
        <v>26848.905362106634</v>
      </c>
      <c r="Z23" s="645">
        <v>27684.721010185207</v>
      </c>
      <c r="AA23" s="645">
        <v>28589.500821944752</v>
      </c>
      <c r="AB23" s="645">
        <v>29535.917583223982</v>
      </c>
      <c r="AC23" s="645">
        <v>30467.095335400023</v>
      </c>
      <c r="AD23" s="645">
        <v>31397.597264893702</v>
      </c>
      <c r="AE23" s="645">
        <v>32241.60397151066</v>
      </c>
      <c r="AF23" s="645">
        <v>33103.189202668487</v>
      </c>
      <c r="AG23" s="645">
        <v>33975.616655659425</v>
      </c>
      <c r="AH23" s="645">
        <v>34877.177031316947</v>
      </c>
      <c r="AI23" s="645">
        <v>35822.918692146057</v>
      </c>
      <c r="AJ23" s="645">
        <v>36805.819918043686</v>
      </c>
      <c r="AK23" s="645">
        <v>37769.393021812895</v>
      </c>
      <c r="AL23" s="645">
        <v>38769.430901376385</v>
      </c>
      <c r="AM23" s="645">
        <v>39775.162357894173</v>
      </c>
      <c r="AN23" s="645">
        <v>40804.117681827942</v>
      </c>
    </row>
    <row r="24" spans="1:42">
      <c r="A24" s="17">
        <v>4</v>
      </c>
      <c r="B24" s="645">
        <v>4708.8805344847715</v>
      </c>
      <c r="C24" s="645">
        <v>4839.7</v>
      </c>
      <c r="D24" s="645">
        <v>4922.1350694333478</v>
      </c>
      <c r="E24" s="645">
        <v>4623.0210333312516</v>
      </c>
      <c r="F24" s="645">
        <v>5024.333333333333</v>
      </c>
      <c r="G24" s="645">
        <v>4836.6003013476793</v>
      </c>
      <c r="H24" s="645">
        <v>4989.3741497728297</v>
      </c>
      <c r="I24" s="645">
        <v>5114.2601233893874</v>
      </c>
      <c r="J24" s="645">
        <v>5850.1922131970432</v>
      </c>
      <c r="K24" s="645">
        <v>6601.4932065584571</v>
      </c>
      <c r="L24" s="645">
        <v>6811.9035137363771</v>
      </c>
      <c r="M24" s="645">
        <v>7001.4820360037893</v>
      </c>
      <c r="N24" s="645">
        <v>7287.4798523492655</v>
      </c>
      <c r="O24" s="645">
        <v>7527.257599603764</v>
      </c>
      <c r="P24" s="645">
        <v>7811.8464938626439</v>
      </c>
      <c r="Q24" s="645">
        <v>8004.4588496724409</v>
      </c>
      <c r="R24" s="645">
        <v>8224.2512550884785</v>
      </c>
      <c r="S24" s="645">
        <v>8491.4702556315096</v>
      </c>
      <c r="T24" s="645">
        <v>8832.0962272009583</v>
      </c>
      <c r="U24" s="645">
        <v>9047.1005946750465</v>
      </c>
      <c r="V24" s="645">
        <v>9281.6804493703294</v>
      </c>
      <c r="W24" s="645">
        <v>9562.215634219021</v>
      </c>
      <c r="X24" s="645">
        <v>9767.072858105701</v>
      </c>
      <c r="Y24" s="645">
        <v>10002.980684202032</v>
      </c>
      <c r="Z24" s="645">
        <v>10381.079156150783</v>
      </c>
      <c r="AA24" s="645">
        <v>10650.532055061372</v>
      </c>
      <c r="AB24" s="645">
        <v>10948.775856384696</v>
      </c>
      <c r="AC24" s="645">
        <v>11230.319206182307</v>
      </c>
      <c r="AD24" s="645">
        <v>11564.627528541272</v>
      </c>
      <c r="AE24" s="645">
        <v>11853.729379155524</v>
      </c>
      <c r="AF24" s="645">
        <v>12111.196818845239</v>
      </c>
      <c r="AG24" s="645">
        <v>12397.752554892511</v>
      </c>
      <c r="AH24" s="645">
        <v>12662.944938002729</v>
      </c>
      <c r="AI24" s="645">
        <v>12929.997512162046</v>
      </c>
      <c r="AJ24" s="645">
        <v>13195.966494746783</v>
      </c>
      <c r="AK24" s="645">
        <v>13476.628240447344</v>
      </c>
      <c r="AL24" s="645">
        <v>13743.21094004413</v>
      </c>
      <c r="AM24" s="645">
        <v>14015.202642784367</v>
      </c>
      <c r="AN24" s="645">
        <v>14320.159180133749</v>
      </c>
    </row>
    <row r="25" spans="1:42">
      <c r="A25" s="113">
        <v>5</v>
      </c>
      <c r="B25" s="645">
        <v>996</v>
      </c>
      <c r="C25" s="645">
        <v>1074</v>
      </c>
      <c r="D25" s="645">
        <v>1215</v>
      </c>
      <c r="E25" s="645">
        <v>1214</v>
      </c>
      <c r="F25" s="645">
        <v>1278</v>
      </c>
      <c r="G25" s="645">
        <v>1536</v>
      </c>
      <c r="H25" s="645">
        <v>1717</v>
      </c>
      <c r="I25" s="645">
        <v>1743</v>
      </c>
      <c r="J25" s="645">
        <v>1784</v>
      </c>
      <c r="K25" s="645">
        <v>1890</v>
      </c>
      <c r="L25" s="645">
        <v>2003</v>
      </c>
      <c r="M25" s="645">
        <v>2125</v>
      </c>
      <c r="N25" s="645">
        <v>2254</v>
      </c>
      <c r="O25" s="645">
        <v>2391</v>
      </c>
      <c r="P25" s="645">
        <v>2537</v>
      </c>
      <c r="Q25" s="645">
        <v>2693</v>
      </c>
      <c r="R25" s="645">
        <v>2859</v>
      </c>
      <c r="S25" s="645">
        <v>3035</v>
      </c>
      <c r="T25" s="645">
        <v>3223</v>
      </c>
      <c r="U25" s="645">
        <v>3423</v>
      </c>
      <c r="V25" s="645">
        <v>3635</v>
      </c>
      <c r="W25" s="645">
        <v>3862</v>
      </c>
      <c r="X25" s="645">
        <v>4104</v>
      </c>
      <c r="Y25" s="645">
        <v>4361</v>
      </c>
      <c r="Z25" s="645">
        <v>4635</v>
      </c>
      <c r="AA25" s="645">
        <v>4871</v>
      </c>
      <c r="AB25" s="645">
        <v>4871</v>
      </c>
      <c r="AC25" s="645">
        <v>4871</v>
      </c>
      <c r="AD25" s="645">
        <v>4871</v>
      </c>
      <c r="AE25" s="645">
        <v>4871</v>
      </c>
      <c r="AF25" s="645">
        <v>4871</v>
      </c>
      <c r="AG25" s="645">
        <v>4871</v>
      </c>
      <c r="AH25" s="645">
        <v>4871</v>
      </c>
      <c r="AI25" s="645">
        <v>4871</v>
      </c>
      <c r="AJ25" s="645">
        <v>4871</v>
      </c>
      <c r="AK25" s="645">
        <v>4871</v>
      </c>
      <c r="AL25" s="645">
        <v>4871</v>
      </c>
      <c r="AM25" s="645">
        <v>4871</v>
      </c>
      <c r="AN25" s="645">
        <v>4871</v>
      </c>
      <c r="AO25" s="24"/>
    </row>
    <row r="26" spans="1:42">
      <c r="A26" s="17">
        <v>6</v>
      </c>
      <c r="B26" s="645">
        <v>688.62358438267211</v>
      </c>
      <c r="C26" s="645">
        <v>715.18527929416064</v>
      </c>
      <c r="D26" s="645">
        <v>718.77254252373928</v>
      </c>
      <c r="E26" s="645">
        <v>807.39917937395808</v>
      </c>
      <c r="F26" s="645">
        <v>798</v>
      </c>
      <c r="G26" s="645">
        <v>861.87909852043731</v>
      </c>
      <c r="H26" s="645">
        <v>969.22078604005287</v>
      </c>
      <c r="I26" s="645">
        <v>1016.1702431277995</v>
      </c>
      <c r="J26" s="645">
        <v>1067.0194914386193</v>
      </c>
      <c r="K26" s="645">
        <v>1119.0088230114286</v>
      </c>
      <c r="L26" s="645">
        <v>1163.6708059192297</v>
      </c>
      <c r="M26" s="645">
        <v>1208.367270188882</v>
      </c>
      <c r="N26" s="645">
        <v>1254.8267037880471</v>
      </c>
      <c r="O26" s="645">
        <v>1300.1099351560974</v>
      </c>
      <c r="P26" s="645">
        <v>1346.4335653482528</v>
      </c>
      <c r="Q26" s="645">
        <v>1393.2282225237775</v>
      </c>
      <c r="R26" s="645">
        <v>1441.3272051141</v>
      </c>
      <c r="S26" s="645">
        <v>1487.2024381062661</v>
      </c>
      <c r="T26" s="645">
        <v>1534.3331783980041</v>
      </c>
      <c r="U26" s="645">
        <v>1581.8739430380645</v>
      </c>
      <c r="V26" s="645">
        <v>1630.6033638183146</v>
      </c>
      <c r="W26" s="645">
        <v>1677.2816069156195</v>
      </c>
      <c r="X26" s="645">
        <v>1725.5419250273162</v>
      </c>
      <c r="Y26" s="645">
        <v>1774.1698992224524</v>
      </c>
      <c r="Z26" s="645">
        <v>1824.0113961022751</v>
      </c>
      <c r="AA26" s="645">
        <v>1871.0384543782864</v>
      </c>
      <c r="AB26" s="645">
        <v>1919.1080105482333</v>
      </c>
      <c r="AC26" s="645">
        <v>1966.8175832137686</v>
      </c>
      <c r="AD26" s="645">
        <v>2015.5302957449337</v>
      </c>
      <c r="AE26" s="645">
        <v>2060.7983320896396</v>
      </c>
      <c r="AF26" s="645">
        <v>2106.8879568971784</v>
      </c>
      <c r="AG26" s="645">
        <v>2152.2550836858563</v>
      </c>
      <c r="AH26" s="645">
        <v>2198.3921986319351</v>
      </c>
      <c r="AI26" s="645">
        <v>2240.4549478940298</v>
      </c>
      <c r="AJ26" s="645">
        <v>2283.1049656346472</v>
      </c>
      <c r="AK26" s="645">
        <v>2324.6676895484088</v>
      </c>
      <c r="AL26" s="645">
        <v>2366.7595238596709</v>
      </c>
      <c r="AM26" s="645">
        <v>2404.1759989098373</v>
      </c>
      <c r="AN26" s="645">
        <v>2441.9479275440776</v>
      </c>
    </row>
    <row r="27" spans="1:42">
      <c r="A27" s="113">
        <v>7</v>
      </c>
      <c r="B27" s="645">
        <v>0</v>
      </c>
      <c r="C27" s="645">
        <v>1356</v>
      </c>
      <c r="D27" s="645">
        <v>1572.0887103567179</v>
      </c>
      <c r="E27" s="645">
        <v>1587.2587592727532</v>
      </c>
      <c r="F27" s="645">
        <v>1938.0977901271897</v>
      </c>
      <c r="G27" s="645">
        <v>2169</v>
      </c>
      <c r="H27" s="645">
        <v>2246</v>
      </c>
      <c r="I27" s="645">
        <v>2336</v>
      </c>
      <c r="J27" s="645">
        <v>2424.8902575915795</v>
      </c>
      <c r="K27" s="645">
        <v>2514.7726465140222</v>
      </c>
      <c r="L27" s="645">
        <v>2608.5622117421053</v>
      </c>
      <c r="M27" s="645">
        <v>2705.048277699093</v>
      </c>
      <c r="N27" s="645">
        <v>2810.1025308347216</v>
      </c>
      <c r="O27" s="645">
        <v>2907.4623419426762</v>
      </c>
      <c r="P27" s="645">
        <v>3014.1669236496764</v>
      </c>
      <c r="Q27" s="645">
        <v>3124.0394786546767</v>
      </c>
      <c r="R27" s="645">
        <v>3243.1693984775443</v>
      </c>
      <c r="S27" s="645">
        <v>3354.1372927911652</v>
      </c>
      <c r="T27" s="645">
        <v>3476.8535358654644</v>
      </c>
      <c r="U27" s="645">
        <v>3609.3977477783474</v>
      </c>
      <c r="V27" s="645">
        <v>3754.0514496055966</v>
      </c>
      <c r="W27" s="645">
        <v>3889.5689504621369</v>
      </c>
      <c r="X27" s="645">
        <v>4037.1391293989454</v>
      </c>
      <c r="Y27" s="645">
        <v>4189.5661025914487</v>
      </c>
      <c r="Z27" s="645">
        <v>4351.8884550575285</v>
      </c>
      <c r="AA27" s="645">
        <v>4498.8877597399451</v>
      </c>
      <c r="AB27" s="645">
        <v>4655.3139520005125</v>
      </c>
      <c r="AC27" s="645">
        <v>4812.5316716410098</v>
      </c>
      <c r="AD27" s="645">
        <v>4979.5056567056199</v>
      </c>
      <c r="AE27" s="645">
        <v>5127.3236094638887</v>
      </c>
      <c r="AF27" s="645">
        <v>5284.3312657028982</v>
      </c>
      <c r="AG27" s="645">
        <v>5440.6331120809755</v>
      </c>
      <c r="AH27" s="645">
        <v>5606.3342731642479</v>
      </c>
      <c r="AI27" s="645">
        <v>5748.8702216638767</v>
      </c>
      <c r="AJ27" s="645">
        <v>5900.2031895568134</v>
      </c>
      <c r="AK27" s="645">
        <v>6049.2164507697807</v>
      </c>
      <c r="AL27" s="645">
        <v>6207.139076901125</v>
      </c>
      <c r="AM27" s="645">
        <v>6337.9573083786654</v>
      </c>
      <c r="AN27" s="645">
        <v>5806.2132112593008</v>
      </c>
    </row>
    <row r="28" spans="1:42">
      <c r="A28" s="17"/>
      <c r="B28" s="114"/>
      <c r="C28" s="114"/>
      <c r="D28" s="114"/>
      <c r="E28" s="114"/>
      <c r="F28" s="114"/>
      <c r="G28" s="112"/>
      <c r="H28" s="112"/>
      <c r="I28" s="112"/>
      <c r="J28" s="112"/>
      <c r="K28" s="112"/>
      <c r="L28" s="112"/>
      <c r="M28" s="112"/>
      <c r="N28" s="112"/>
      <c r="O28" s="112"/>
      <c r="P28" s="112"/>
      <c r="Q28" s="112"/>
      <c r="R28" s="112"/>
      <c r="S28" s="114"/>
      <c r="T28" s="114"/>
      <c r="U28" s="114"/>
      <c r="V28" s="114"/>
      <c r="W28" s="114"/>
      <c r="X28" s="114"/>
      <c r="Y28" s="114"/>
      <c r="Z28" s="114"/>
      <c r="AA28" s="114"/>
    </row>
    <row r="29" spans="1:42">
      <c r="A29" s="17"/>
      <c r="B29" s="114"/>
      <c r="C29" s="114"/>
      <c r="D29" s="114"/>
      <c r="E29" s="114"/>
      <c r="F29" s="114"/>
      <c r="G29" s="114"/>
      <c r="H29" s="114"/>
      <c r="I29" s="114"/>
      <c r="J29" s="114"/>
      <c r="K29" s="114"/>
      <c r="L29" s="114"/>
      <c r="M29" s="114"/>
      <c r="N29" s="114"/>
      <c r="O29" s="114"/>
      <c r="P29" s="114"/>
      <c r="Q29" s="114"/>
      <c r="R29" s="114"/>
      <c r="S29" s="114"/>
      <c r="T29" s="114"/>
      <c r="U29" s="114"/>
      <c r="V29" s="114"/>
      <c r="W29" s="114"/>
      <c r="X29" s="114"/>
      <c r="Y29" s="114"/>
      <c r="Z29" s="114"/>
      <c r="AA29" s="114"/>
    </row>
    <row r="30" spans="1:42">
      <c r="A30" s="17"/>
      <c r="B30" s="114"/>
      <c r="C30" s="114"/>
      <c r="D30" s="114"/>
      <c r="E30" s="114"/>
      <c r="F30" s="114"/>
      <c r="G30" s="114"/>
      <c r="H30" s="114"/>
      <c r="I30" s="114"/>
      <c r="J30" s="114"/>
      <c r="K30" s="114"/>
      <c r="L30" s="114"/>
      <c r="M30" s="114"/>
      <c r="N30" s="114"/>
      <c r="O30" s="114"/>
      <c r="P30" s="114"/>
      <c r="Q30" s="114"/>
      <c r="R30" s="114"/>
      <c r="S30" s="114"/>
      <c r="T30" s="114"/>
      <c r="U30" s="114"/>
      <c r="V30" s="114"/>
      <c r="W30" s="114"/>
      <c r="X30" s="114"/>
      <c r="Y30" s="114"/>
      <c r="Z30" s="114"/>
      <c r="AA30" s="114"/>
    </row>
    <row r="31" spans="1:42">
      <c r="A31" s="17"/>
      <c r="B31" s="114"/>
      <c r="C31" s="114"/>
      <c r="D31" s="114"/>
      <c r="E31" s="114"/>
      <c r="F31" s="114"/>
      <c r="G31" s="114"/>
      <c r="H31" s="114"/>
      <c r="I31" s="114"/>
      <c r="J31" s="114"/>
      <c r="K31" s="114"/>
      <c r="L31" s="114"/>
      <c r="M31" s="114"/>
      <c r="N31" s="114"/>
      <c r="O31" s="114"/>
      <c r="P31" s="114"/>
      <c r="Q31" s="114"/>
      <c r="R31" s="114"/>
      <c r="S31" s="114"/>
      <c r="T31" s="114"/>
      <c r="U31" s="114"/>
      <c r="V31" s="114"/>
      <c r="W31" s="114"/>
      <c r="X31" s="114"/>
      <c r="Y31" s="114"/>
      <c r="Z31" s="114"/>
      <c r="AA31" s="114"/>
    </row>
    <row r="32" spans="1:42">
      <c r="A32" s="113"/>
      <c r="B32" s="115"/>
      <c r="C32" s="115"/>
      <c r="D32" s="115"/>
      <c r="E32" s="115"/>
      <c r="F32" s="115"/>
      <c r="G32" s="115"/>
      <c r="H32" s="115"/>
      <c r="I32" s="115"/>
      <c r="J32" s="115"/>
      <c r="K32" s="115"/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15"/>
      <c r="W32" s="115"/>
      <c r="X32" s="115"/>
      <c r="Y32" s="115"/>
      <c r="Z32" s="115"/>
      <c r="AA32" s="115"/>
    </row>
    <row r="33" spans="1:42" ht="15.75">
      <c r="A33" s="17"/>
      <c r="B33" s="116"/>
      <c r="C33" s="116"/>
      <c r="D33" s="116"/>
      <c r="E33" s="116"/>
      <c r="F33" s="116"/>
      <c r="G33" s="116"/>
      <c r="H33" s="116"/>
      <c r="I33" s="116"/>
      <c r="J33" s="116"/>
      <c r="K33" s="116"/>
      <c r="L33" s="116"/>
      <c r="M33" s="116"/>
      <c r="N33" s="116"/>
      <c r="O33" s="116"/>
      <c r="P33" s="116"/>
      <c r="Q33" s="116"/>
      <c r="R33" s="116"/>
      <c r="S33" s="116"/>
      <c r="T33" s="116"/>
      <c r="U33" s="116"/>
      <c r="V33" s="116"/>
      <c r="W33" s="116"/>
      <c r="X33" s="116"/>
      <c r="Y33" s="116"/>
      <c r="Z33" s="116"/>
      <c r="AA33" s="116"/>
    </row>
    <row r="34" spans="1:42">
      <c r="A34" s="17"/>
      <c r="B34" s="17"/>
      <c r="C34" s="17"/>
      <c r="D34" s="17"/>
      <c r="E34" s="17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</row>
    <row r="35" spans="1:42">
      <c r="A35" s="117" t="s">
        <v>2549</v>
      </c>
      <c r="B35" s="17"/>
      <c r="C35" s="17"/>
      <c r="D35" s="17"/>
      <c r="E35" s="17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</row>
    <row r="36" spans="1:42">
      <c r="A36" s="118" t="s">
        <v>2550</v>
      </c>
      <c r="B36" s="251">
        <v>83714.124040698895</v>
      </c>
      <c r="C36" s="251">
        <v>86377.032783616247</v>
      </c>
      <c r="D36" s="251">
        <v>91337.376909756917</v>
      </c>
      <c r="E36" s="251">
        <v>91108.770023382865</v>
      </c>
      <c r="F36" s="251">
        <v>89956.953189034277</v>
      </c>
      <c r="G36" s="251">
        <v>94173.160867326966</v>
      </c>
      <c r="H36" s="251">
        <v>95989.45000216928</v>
      </c>
      <c r="I36" s="251">
        <v>101039.36589308662</v>
      </c>
      <c r="J36" s="251">
        <v>106168.06285881225</v>
      </c>
      <c r="K36" s="251">
        <v>111311.57757886976</v>
      </c>
      <c r="L36" s="251">
        <v>115874.77954856277</v>
      </c>
      <c r="M36" s="251">
        <v>120711.98180499459</v>
      </c>
      <c r="N36" s="251">
        <v>125694.17071670365</v>
      </c>
      <c r="O36" s="251">
        <v>130888.09459695804</v>
      </c>
      <c r="P36" s="251">
        <v>135414.44144805477</v>
      </c>
      <c r="Q36" s="251">
        <v>139742.58546395591</v>
      </c>
      <c r="R36" s="251">
        <v>144247.98559317319</v>
      </c>
      <c r="S36" s="251">
        <v>148860.77564770749</v>
      </c>
      <c r="T36" s="251">
        <v>153624.22467319356</v>
      </c>
      <c r="U36" s="251">
        <v>158576.09031465129</v>
      </c>
      <c r="V36" s="251">
        <v>163557.51856599443</v>
      </c>
      <c r="W36" s="251">
        <v>168508.05233336077</v>
      </c>
      <c r="X36" s="251">
        <v>173633.55178194473</v>
      </c>
      <c r="Y36" s="251">
        <v>178913.86614577437</v>
      </c>
      <c r="Z36" s="251">
        <v>184519.37502665143</v>
      </c>
      <c r="AA36" s="251">
        <v>190077.28195350329</v>
      </c>
      <c r="AB36" s="251">
        <v>195786.69122118645</v>
      </c>
      <c r="AC36" s="251">
        <v>201332.60107601539</v>
      </c>
      <c r="AD36" s="251">
        <v>206873.27993111013</v>
      </c>
      <c r="AE36" s="251">
        <v>211798.4232650545</v>
      </c>
      <c r="AF36" s="251">
        <v>216748.30278451261</v>
      </c>
      <c r="AG36" s="251">
        <v>221772.28834701376</v>
      </c>
      <c r="AH36" s="251">
        <v>226940.79716772755</v>
      </c>
      <c r="AI36" s="251">
        <v>232193.1573995947</v>
      </c>
      <c r="AJ36" s="251">
        <v>237522.06643806319</v>
      </c>
      <c r="AK36" s="251">
        <v>242870.42019419943</v>
      </c>
      <c r="AL36" s="251">
        <v>248787.48002625839</v>
      </c>
      <c r="AM36" s="251">
        <v>254526.11261855304</v>
      </c>
      <c r="AN36" s="251">
        <v>259565.86981254289</v>
      </c>
      <c r="AP36" s="344">
        <v>0</v>
      </c>
    </row>
    <row r="39" spans="1:42" ht="15">
      <c r="A39" s="620" t="s">
        <v>2552</v>
      </c>
      <c r="B39" s="349"/>
      <c r="C39" s="349"/>
      <c r="D39" s="349"/>
      <c r="E39" s="349"/>
      <c r="F39" s="349"/>
      <c r="G39" s="349"/>
      <c r="H39" s="349"/>
      <c r="I39" s="349"/>
      <c r="J39" s="349"/>
      <c r="K39" s="349"/>
      <c r="L39" s="349"/>
      <c r="M39" s="349"/>
      <c r="N39" s="349"/>
      <c r="O39" s="349"/>
      <c r="P39" s="349"/>
      <c r="Q39" s="349"/>
      <c r="R39" s="349"/>
      <c r="S39" s="349"/>
      <c r="T39" s="349"/>
      <c r="U39" s="349"/>
      <c r="V39" s="349"/>
      <c r="W39" s="349"/>
      <c r="X39" s="349"/>
      <c r="Y39" s="349"/>
      <c r="Z39" s="349"/>
      <c r="AA39" s="349"/>
      <c r="AB39" s="349"/>
      <c r="AC39" s="349"/>
      <c r="AD39" s="349"/>
      <c r="AE39" s="349"/>
      <c r="AF39" s="349"/>
      <c r="AG39" s="349"/>
      <c r="AH39" s="349"/>
      <c r="AI39" s="349"/>
      <c r="AJ39" s="349"/>
      <c r="AK39" s="349"/>
      <c r="AL39" s="349"/>
      <c r="AM39" s="349"/>
      <c r="AN39" s="349"/>
    </row>
    <row r="40" spans="1:42" ht="15">
      <c r="A40" s="617" t="s">
        <v>2553</v>
      </c>
    </row>
    <row r="41" spans="1:42" ht="15">
      <c r="A41" s="617"/>
      <c r="B41" s="274">
        <v>2012</v>
      </c>
      <c r="C41" s="274">
        <v>2013</v>
      </c>
      <c r="D41" s="274">
        <v>2014</v>
      </c>
      <c r="E41" s="274">
        <v>2015</v>
      </c>
      <c r="F41" s="274">
        <v>2016</v>
      </c>
      <c r="G41" s="274">
        <v>2017</v>
      </c>
      <c r="H41" s="274">
        <v>2018</v>
      </c>
      <c r="I41" s="274">
        <v>2019</v>
      </c>
      <c r="J41" s="274">
        <v>2020</v>
      </c>
      <c r="K41" s="274">
        <v>2021</v>
      </c>
      <c r="L41" s="274">
        <v>2022</v>
      </c>
      <c r="M41" s="274">
        <v>2023</v>
      </c>
      <c r="N41" s="274">
        <v>2024</v>
      </c>
      <c r="O41" s="274">
        <v>2025</v>
      </c>
      <c r="P41" s="274">
        <v>2026</v>
      </c>
      <c r="Q41" s="274">
        <v>2027</v>
      </c>
      <c r="R41" s="274">
        <v>2028</v>
      </c>
      <c r="S41" s="274">
        <v>2029</v>
      </c>
      <c r="T41" s="274">
        <v>2030</v>
      </c>
      <c r="U41" s="274">
        <v>2031</v>
      </c>
      <c r="V41" s="274">
        <v>2032</v>
      </c>
      <c r="W41" s="274">
        <v>2033</v>
      </c>
      <c r="X41" s="274">
        <v>2034</v>
      </c>
      <c r="Y41" s="274">
        <v>2035</v>
      </c>
      <c r="Z41" s="274">
        <v>2036</v>
      </c>
      <c r="AA41" s="274">
        <v>2037</v>
      </c>
      <c r="AB41" s="274">
        <v>2038</v>
      </c>
      <c r="AC41" s="274">
        <v>2039</v>
      </c>
      <c r="AD41" s="274">
        <v>2040</v>
      </c>
      <c r="AE41" s="274">
        <v>2041</v>
      </c>
      <c r="AF41" s="274">
        <v>2042</v>
      </c>
      <c r="AG41" s="274">
        <v>2043</v>
      </c>
      <c r="AH41" s="274">
        <v>2044</v>
      </c>
      <c r="AI41" s="274">
        <v>2045</v>
      </c>
      <c r="AJ41" s="274">
        <v>2046</v>
      </c>
      <c r="AK41" s="274">
        <v>2047</v>
      </c>
      <c r="AL41" s="274">
        <v>2048</v>
      </c>
      <c r="AM41" s="274">
        <v>2049</v>
      </c>
      <c r="AN41" s="274">
        <v>2050</v>
      </c>
    </row>
    <row r="42" spans="1:42" ht="15">
      <c r="A42" s="617">
        <v>1</v>
      </c>
      <c r="B42" s="58">
        <f>GerNaoDesp!B69+GerNaoDesp!B81+GerNaoDesp!B93+GerNaoDesp!B105</f>
        <v>0</v>
      </c>
      <c r="C42" s="58">
        <f>GerNaoDesp!C69+GerNaoDesp!C81+GerNaoDesp!C93+GerNaoDesp!C105</f>
        <v>0</v>
      </c>
      <c r="D42" s="58">
        <f>GerNaoDesp!D69+GerNaoDesp!D81+GerNaoDesp!D93+GerNaoDesp!D105</f>
        <v>0</v>
      </c>
      <c r="E42" s="58">
        <f>GerNaoDesp!E69+GerNaoDesp!E81+GerNaoDesp!E93+GerNaoDesp!E105</f>
        <v>2.9513507499999998E-2</v>
      </c>
      <c r="F42" s="58">
        <f>GerNaoDesp!F69+GerNaoDesp!F81+GerNaoDesp!F93+GerNaoDesp!F105</f>
        <v>0.74478706624999991</v>
      </c>
      <c r="G42" s="58">
        <f>GerNaoDesp!G69+GerNaoDesp!G81+GerNaoDesp!G93+GerNaoDesp!G105</f>
        <v>8.342280017500002</v>
      </c>
      <c r="H42" s="58">
        <f>GerNaoDesp!H69+GerNaoDesp!H81+GerNaoDesp!H93+GerNaoDesp!H105</f>
        <v>25.277098820899997</v>
      </c>
      <c r="I42" s="58">
        <f>GerNaoDesp!I69+GerNaoDesp!I81+GerNaoDesp!I93+GerNaoDesp!I105</f>
        <v>46.082765613540502</v>
      </c>
      <c r="J42" s="58">
        <f>GerNaoDesp!J69+GerNaoDesp!J81+GerNaoDesp!J93+GerNaoDesp!J105</f>
        <v>71.231556972222833</v>
      </c>
      <c r="K42" s="58">
        <f>GerNaoDesp!K69+GerNaoDesp!K81+GerNaoDesp!K93+GerNaoDesp!K105</f>
        <v>93.339621374106898</v>
      </c>
      <c r="L42" s="58">
        <f>GerNaoDesp!L69+GerNaoDesp!L81+GerNaoDesp!L93+GerNaoDesp!L105</f>
        <v>115.12214399967519</v>
      </c>
      <c r="M42" s="58">
        <f>GerNaoDesp!M69+GerNaoDesp!M81+GerNaoDesp!M93+GerNaoDesp!M105</f>
        <v>145.50404362812031</v>
      </c>
      <c r="N42" s="58">
        <f>GerNaoDesp!N69+GerNaoDesp!N81+GerNaoDesp!N93+GerNaoDesp!N105</f>
        <v>181.93481535456399</v>
      </c>
      <c r="O42" s="58">
        <f>GerNaoDesp!O69+GerNaoDesp!O81+GerNaoDesp!O93+GerNaoDesp!O105</f>
        <v>223.45947453264654</v>
      </c>
      <c r="P42" s="58">
        <f>GerNaoDesp!P69+GerNaoDesp!P81+GerNaoDesp!P93+GerNaoDesp!P105</f>
        <v>269.06724166097433</v>
      </c>
      <c r="Q42" s="58">
        <f>GerNaoDesp!Q69+GerNaoDesp!Q81+GerNaoDesp!Q93+GerNaoDesp!Q105</f>
        <v>320.58061900023114</v>
      </c>
      <c r="R42" s="58">
        <f>GerNaoDesp!R69+GerNaoDesp!R81+GerNaoDesp!R93+GerNaoDesp!R105</f>
        <v>374.65377691751826</v>
      </c>
      <c r="S42" s="58">
        <f>GerNaoDesp!S69+GerNaoDesp!S81+GerNaoDesp!S93+GerNaoDesp!S105</f>
        <v>430.82291004356341</v>
      </c>
      <c r="T42" s="58">
        <f>GerNaoDesp!T69+GerNaoDesp!T81+GerNaoDesp!T93+GerNaoDesp!T105</f>
        <v>492.01505054609396</v>
      </c>
      <c r="U42" s="58">
        <f>GerNaoDesp!U69+GerNaoDesp!U81+GerNaoDesp!U93+GerNaoDesp!U105</f>
        <v>548.37184819210734</v>
      </c>
      <c r="V42" s="58">
        <f>GerNaoDesp!V69+GerNaoDesp!V81+GerNaoDesp!V93+GerNaoDesp!V105</f>
        <v>598.63845494600378</v>
      </c>
      <c r="W42" s="58">
        <f>GerNaoDesp!W69+GerNaoDesp!W81+GerNaoDesp!W93+GerNaoDesp!W105</f>
        <v>649.17323147621539</v>
      </c>
      <c r="X42" s="58">
        <f>GerNaoDesp!X69+GerNaoDesp!X81+GerNaoDesp!X93+GerNaoDesp!X105</f>
        <v>699.22996579766925</v>
      </c>
      <c r="Y42" s="58">
        <f>GerNaoDesp!Y69+GerNaoDesp!Y81+GerNaoDesp!Y93+GerNaoDesp!Y105</f>
        <v>750.03501579744011</v>
      </c>
      <c r="Z42" s="58">
        <f>GerNaoDesp!Z69+GerNaoDesp!Z81+GerNaoDesp!Z93+GerNaoDesp!Z105</f>
        <v>801.46918849332599</v>
      </c>
      <c r="AA42" s="58">
        <f>GerNaoDesp!AA69+GerNaoDesp!AA81+GerNaoDesp!AA93+GerNaoDesp!AA105</f>
        <v>852.45714253928691</v>
      </c>
      <c r="AB42" s="58">
        <f>GerNaoDesp!AB69+GerNaoDesp!AB81+GerNaoDesp!AB93+GerNaoDesp!AB105</f>
        <v>903.86166187649019</v>
      </c>
      <c r="AC42" s="58">
        <f>GerNaoDesp!AC69+GerNaoDesp!AC81+GerNaoDesp!AC93+GerNaoDesp!AC105</f>
        <v>955.58007416761461</v>
      </c>
      <c r="AD42" s="58">
        <f>GerNaoDesp!AD69+GerNaoDesp!AD81+GerNaoDesp!AD93+GerNaoDesp!AD105</f>
        <v>1011.0922897499813</v>
      </c>
      <c r="AE42" s="58">
        <f>GerNaoDesp!AE69+GerNaoDesp!AE81+GerNaoDesp!AE93+GerNaoDesp!AE105</f>
        <v>1067.0316819431075</v>
      </c>
      <c r="AF42" s="58">
        <f>GerNaoDesp!AF69+GerNaoDesp!AF81+GerNaoDesp!AF93+GerNaoDesp!AF105</f>
        <v>1120.6213218755497</v>
      </c>
      <c r="AG42" s="58">
        <f>GerNaoDesp!AG69+GerNaoDesp!AG81+GerNaoDesp!AG93+GerNaoDesp!AG105</f>
        <v>1178.1477455843078</v>
      </c>
      <c r="AH42" s="58">
        <f>GerNaoDesp!AH69+GerNaoDesp!AH81+GerNaoDesp!AH93+GerNaoDesp!AH105</f>
        <v>1238.4923745693811</v>
      </c>
      <c r="AI42" s="58">
        <f>GerNaoDesp!AI69+GerNaoDesp!AI81+GerNaoDesp!AI93+GerNaoDesp!AI105</f>
        <v>1300.530220182306</v>
      </c>
      <c r="AJ42" s="58">
        <f>GerNaoDesp!AJ69+GerNaoDesp!AJ81+GerNaoDesp!AJ93+GerNaoDesp!AJ105</f>
        <v>1364.9482209059904</v>
      </c>
      <c r="AK42" s="58">
        <f>GerNaoDesp!AK69+GerNaoDesp!AK81+GerNaoDesp!AK93+GerNaoDesp!AK105</f>
        <v>1432.9172269059907</v>
      </c>
      <c r="AL42" s="58">
        <f>GerNaoDesp!AL69+GerNaoDesp!AL81+GerNaoDesp!AL93+GerNaoDesp!AL105</f>
        <v>1505.2470854059909</v>
      </c>
      <c r="AM42" s="58">
        <f>GerNaoDesp!AM69+GerNaoDesp!AM81+GerNaoDesp!AM93+GerNaoDesp!AM105</f>
        <v>1581.8356274059911</v>
      </c>
      <c r="AN42" s="58">
        <f>GerNaoDesp!AN69+GerNaoDesp!AN81+GerNaoDesp!AN93+GerNaoDesp!AN105</f>
        <v>1663.0514534059905</v>
      </c>
      <c r="AO42" s="58"/>
    </row>
    <row r="43" spans="1:42" ht="15">
      <c r="A43" s="617">
        <v>2</v>
      </c>
      <c r="B43" s="58">
        <f>GerNaoDesp!B70+GerNaoDesp!B82+GerNaoDesp!B94+GerNaoDesp!B106</f>
        <v>0</v>
      </c>
      <c r="C43" s="58">
        <f>GerNaoDesp!C70+GerNaoDesp!C82+GerNaoDesp!C94+GerNaoDesp!C106</f>
        <v>0</v>
      </c>
      <c r="D43" s="58">
        <f>GerNaoDesp!D70+GerNaoDesp!D82+GerNaoDesp!D94+GerNaoDesp!D106</f>
        <v>0</v>
      </c>
      <c r="E43" s="58">
        <f>GerNaoDesp!E70+GerNaoDesp!E82+GerNaoDesp!E94+GerNaoDesp!E106</f>
        <v>0.38103532499999987</v>
      </c>
      <c r="F43" s="58">
        <f>GerNaoDesp!F70+GerNaoDesp!F82+GerNaoDesp!F94+GerNaoDesp!F106</f>
        <v>0.80800040299999987</v>
      </c>
      <c r="G43" s="58">
        <f>GerNaoDesp!G70+GerNaoDesp!G82+GerNaoDesp!G94+GerNaoDesp!G106</f>
        <v>2.3270110471000005</v>
      </c>
      <c r="H43" s="58">
        <f>GerNaoDesp!H70+GerNaoDesp!H82+GerNaoDesp!H94+GerNaoDesp!H106</f>
        <v>7.8171945318500011</v>
      </c>
      <c r="I43" s="58">
        <f>GerNaoDesp!I70+GerNaoDesp!I82+GerNaoDesp!I94+GerNaoDesp!I106</f>
        <v>20.622193324617868</v>
      </c>
      <c r="J43" s="58">
        <f>GerNaoDesp!J70+GerNaoDesp!J82+GerNaoDesp!J94+GerNaoDesp!J106</f>
        <v>40.999348027740659</v>
      </c>
      <c r="K43" s="58">
        <f>GerNaoDesp!K70+GerNaoDesp!K82+GerNaoDesp!K94+GerNaoDesp!K106</f>
        <v>58.413443604981339</v>
      </c>
      <c r="L43" s="58">
        <f>GerNaoDesp!L70+GerNaoDesp!L82+GerNaoDesp!L94+GerNaoDesp!L106</f>
        <v>72.509785925031395</v>
      </c>
      <c r="M43" s="58">
        <f>GerNaoDesp!M70+GerNaoDesp!M82+GerNaoDesp!M94+GerNaoDesp!M106</f>
        <v>91.276807038430036</v>
      </c>
      <c r="N43" s="58">
        <f>GerNaoDesp!N70+GerNaoDesp!N82+GerNaoDesp!N94+GerNaoDesp!N106</f>
        <v>114.16109402865976</v>
      </c>
      <c r="O43" s="58">
        <f>GerNaoDesp!O70+GerNaoDesp!O82+GerNaoDesp!O94+GerNaoDesp!O106</f>
        <v>143.12384867147296</v>
      </c>
      <c r="P43" s="58">
        <f>GerNaoDesp!P70+GerNaoDesp!P82+GerNaoDesp!P94+GerNaoDesp!P106</f>
        <v>177.01140506252199</v>
      </c>
      <c r="Q43" s="58">
        <f>GerNaoDesp!Q70+GerNaoDesp!Q82+GerNaoDesp!Q94+GerNaoDesp!Q106</f>
        <v>215.95271024963279</v>
      </c>
      <c r="R43" s="58">
        <f>GerNaoDesp!R70+GerNaoDesp!R82+GerNaoDesp!R94+GerNaoDesp!R106</f>
        <v>261.21672013443998</v>
      </c>
      <c r="S43" s="58">
        <f>GerNaoDesp!S70+GerNaoDesp!S82+GerNaoDesp!S94+GerNaoDesp!S106</f>
        <v>312.21828884553895</v>
      </c>
      <c r="T43" s="58">
        <f>GerNaoDesp!T70+GerNaoDesp!T82+GerNaoDesp!T94+GerNaoDesp!T106</f>
        <v>369.37314048129508</v>
      </c>
      <c r="U43" s="58">
        <f>GerNaoDesp!U70+GerNaoDesp!U82+GerNaoDesp!U94+GerNaoDesp!U106</f>
        <v>426.18588211705116</v>
      </c>
      <c r="V43" s="58">
        <f>GerNaoDesp!V70+GerNaoDesp!V82+GerNaoDesp!V94+GerNaoDesp!V106</f>
        <v>480.37990875009422</v>
      </c>
      <c r="W43" s="58">
        <f>GerNaoDesp!W70+GerNaoDesp!W82+GerNaoDesp!W94+GerNaoDesp!W106</f>
        <v>532.70049863490158</v>
      </c>
      <c r="X43" s="58">
        <f>GerNaoDesp!X70+GerNaoDesp!X82+GerNaoDesp!X94+GerNaoDesp!X106</f>
        <v>583.67495677147281</v>
      </c>
      <c r="Y43" s="58">
        <f>GerNaoDesp!Y70+GerNaoDesp!Y82+GerNaoDesp!Y94+GerNaoDesp!Y106</f>
        <v>634.92254108175268</v>
      </c>
      <c r="Z43" s="58">
        <f>GerNaoDesp!Z70+GerNaoDesp!Z82+GerNaoDesp!Z94+GerNaoDesp!Z106</f>
        <v>685.02197277510504</v>
      </c>
      <c r="AA43" s="58">
        <f>GerNaoDesp!AA70+GerNaoDesp!AA82+GerNaoDesp!AA94+GerNaoDesp!AA106</f>
        <v>734.96748272022182</v>
      </c>
      <c r="AB43" s="58">
        <f>GerNaoDesp!AB70+GerNaoDesp!AB82+GerNaoDesp!AB94+GerNaoDesp!AB106</f>
        <v>785.37769383362058</v>
      </c>
      <c r="AC43" s="58">
        <f>GerNaoDesp!AC70+GerNaoDesp!AC82+GerNaoDesp!AC94+GerNaoDesp!AC106</f>
        <v>838.07414115367078</v>
      </c>
      <c r="AD43" s="58">
        <f>GerNaoDesp!AD70+GerNaoDesp!AD82+GerNaoDesp!AD94+GerNaoDesp!AD106</f>
        <v>893.92966968308519</v>
      </c>
      <c r="AE43" s="58">
        <f>GerNaoDesp!AE70+GerNaoDesp!AE82+GerNaoDesp!AE94+GerNaoDesp!AE106</f>
        <v>950.32633730543887</v>
      </c>
      <c r="AF43" s="58">
        <f>GerNaoDesp!AF70+GerNaoDesp!AF82+GerNaoDesp!AF94+GerNaoDesp!AF106</f>
        <v>1010.4337769729052</v>
      </c>
      <c r="AG43" s="58">
        <f>GerNaoDesp!AG70+GerNaoDesp!AG82+GerNaoDesp!AG94+GerNaoDesp!AG106</f>
        <v>1087.6265658019101</v>
      </c>
      <c r="AH43" s="58">
        <f>GerNaoDesp!AH70+GerNaoDesp!AH82+GerNaoDesp!AH94+GerNaoDesp!AH106</f>
        <v>1174.7844246282023</v>
      </c>
      <c r="AI43" s="58">
        <f>GerNaoDesp!AI70+GerNaoDesp!AI82+GerNaoDesp!AI94+GerNaoDesp!AI106</f>
        <v>1256.317975499607</v>
      </c>
      <c r="AJ43" s="58">
        <f>GerNaoDesp!AJ70+GerNaoDesp!AJ82+GerNaoDesp!AJ94+GerNaoDesp!AJ106</f>
        <v>1340.8780163737247</v>
      </c>
      <c r="AK43" s="58">
        <f>GerNaoDesp!AK70+GerNaoDesp!AK82+GerNaoDesp!AK94+GerNaoDesp!AK106</f>
        <v>1447.0913522478427</v>
      </c>
      <c r="AL43" s="58">
        <f>GerNaoDesp!AL70+GerNaoDesp!AL82+GerNaoDesp!AL94+GerNaoDesp!AL106</f>
        <v>1593.1474772478427</v>
      </c>
      <c r="AM43" s="58">
        <f>GerNaoDesp!AM70+GerNaoDesp!AM82+GerNaoDesp!AM94+GerNaoDesp!AM106</f>
        <v>1752.3549522478429</v>
      </c>
      <c r="AN43" s="58">
        <f>GerNaoDesp!AN70+GerNaoDesp!AN82+GerNaoDesp!AN94+GerNaoDesp!AN106</f>
        <v>1893.3803572478425</v>
      </c>
      <c r="AO43" s="58"/>
    </row>
    <row r="44" spans="1:42" ht="15">
      <c r="A44" s="617">
        <v>3</v>
      </c>
      <c r="B44" s="58">
        <f>GerNaoDesp!B71+GerNaoDesp!B83+GerNaoDesp!B95+GerNaoDesp!B107</f>
        <v>0</v>
      </c>
      <c r="C44" s="58">
        <f>GerNaoDesp!C71+GerNaoDesp!C83+GerNaoDesp!C95+GerNaoDesp!C107</f>
        <v>0</v>
      </c>
      <c r="D44" s="58">
        <f>GerNaoDesp!D71+GerNaoDesp!D83+GerNaoDesp!D95+GerNaoDesp!D107</f>
        <v>0</v>
      </c>
      <c r="E44" s="58">
        <f>GerNaoDesp!E71+GerNaoDesp!E83+GerNaoDesp!E95+GerNaoDesp!E107</f>
        <v>1.3500000000000003E-4</v>
      </c>
      <c r="F44" s="58">
        <f>GerNaoDesp!F71+GerNaoDesp!F83+GerNaoDesp!F95+GerNaoDesp!F107</f>
        <v>2.0789999999999999E-2</v>
      </c>
      <c r="G44" s="58">
        <f>GerNaoDesp!G71+GerNaoDesp!G83+GerNaoDesp!G95+GerNaoDesp!G107</f>
        <v>0.25021000000000004</v>
      </c>
      <c r="H44" s="58">
        <f>GerNaoDesp!H71+GerNaoDesp!H83+GerNaoDesp!H95+GerNaoDesp!H107</f>
        <v>0.94977350000000027</v>
      </c>
      <c r="I44" s="58">
        <f>GerNaoDesp!I71+GerNaoDesp!I83+GerNaoDesp!I95+GerNaoDesp!I107</f>
        <v>2.5075839176470591</v>
      </c>
      <c r="J44" s="58">
        <f>GerNaoDesp!J71+GerNaoDesp!J83+GerNaoDesp!J95+GerNaoDesp!J107</f>
        <v>4.839655835294117</v>
      </c>
      <c r="K44" s="58">
        <f>GerNaoDesp!K71+GerNaoDesp!K83+GerNaoDesp!K95+GerNaoDesp!K107</f>
        <v>6.1096208352941188</v>
      </c>
      <c r="L44" s="58">
        <f>GerNaoDesp!L71+GerNaoDesp!L83+GerNaoDesp!L95+GerNaoDesp!L107</f>
        <v>6.494917752941177</v>
      </c>
      <c r="M44" s="58">
        <f>GerNaoDesp!M71+GerNaoDesp!M83+GerNaoDesp!M95+GerNaoDesp!M107</f>
        <v>7.2919365882352958</v>
      </c>
      <c r="N44" s="58">
        <f>GerNaoDesp!N71+GerNaoDesp!N83+GerNaoDesp!N95+GerNaoDesp!N107</f>
        <v>8.1487254235294113</v>
      </c>
      <c r="O44" s="58">
        <f>GerNaoDesp!O71+GerNaoDesp!O83+GerNaoDesp!O95+GerNaoDesp!O107</f>
        <v>9.0601892588235291</v>
      </c>
      <c r="P44" s="58">
        <f>GerNaoDesp!P71+GerNaoDesp!P83+GerNaoDesp!P95+GerNaoDesp!P107</f>
        <v>10.438310011764703</v>
      </c>
      <c r="Q44" s="58">
        <f>GerNaoDesp!Q71+GerNaoDesp!Q83+GerNaoDesp!Q95+GerNaoDesp!Q107</f>
        <v>12.341542682352941</v>
      </c>
      <c r="R44" s="58">
        <f>GerNaoDesp!R71+GerNaoDesp!R83+GerNaoDesp!R95+GerNaoDesp!R107</f>
        <v>14.463475352941177</v>
      </c>
      <c r="S44" s="58">
        <f>GerNaoDesp!S71+GerNaoDesp!S83+GerNaoDesp!S95+GerNaoDesp!S107</f>
        <v>16.890338023529409</v>
      </c>
      <c r="T44" s="58">
        <f>GerNaoDesp!T71+GerNaoDesp!T83+GerNaoDesp!T95+GerNaoDesp!T107</f>
        <v>20.74160589411764</v>
      </c>
      <c r="U44" s="58">
        <f>GerNaoDesp!U71+GerNaoDesp!U83+GerNaoDesp!U95+GerNaoDesp!U107</f>
        <v>24.608623764705882</v>
      </c>
      <c r="V44" s="58">
        <f>GerNaoDesp!V71+GerNaoDesp!V83+GerNaoDesp!V95+GerNaoDesp!V107</f>
        <v>27.294101435294117</v>
      </c>
      <c r="W44" s="58">
        <f>GerNaoDesp!W71+GerNaoDesp!W83+GerNaoDesp!W95+GerNaoDesp!W107</f>
        <v>30.109304105882359</v>
      </c>
      <c r="X44" s="58">
        <f>GerNaoDesp!X71+GerNaoDesp!X83+GerNaoDesp!X95+GerNaoDesp!X107</f>
        <v>32.766739858823527</v>
      </c>
      <c r="Y44" s="58">
        <f>GerNaoDesp!Y71+GerNaoDesp!Y83+GerNaoDesp!Y95+GerNaoDesp!Y107</f>
        <v>35.64207561176471</v>
      </c>
      <c r="Z44" s="58">
        <f>GerNaoDesp!Z71+GerNaoDesp!Z83+GerNaoDesp!Z95+GerNaoDesp!Z107</f>
        <v>38.728001364705889</v>
      </c>
      <c r="AA44" s="58">
        <f>GerNaoDesp!AA71+GerNaoDesp!AA83+GerNaoDesp!AA95+GerNaoDesp!AA107</f>
        <v>41.747860200000005</v>
      </c>
      <c r="AB44" s="58">
        <f>GerNaoDesp!AB71+GerNaoDesp!AB83+GerNaoDesp!AB95+GerNaoDesp!AB107</f>
        <v>45.558877117647064</v>
      </c>
      <c r="AC44" s="58">
        <f>GerNaoDesp!AC71+GerNaoDesp!AC83+GerNaoDesp!AC95+GerNaoDesp!AC107</f>
        <v>50.708959035294122</v>
      </c>
      <c r="AD44" s="58">
        <f>GerNaoDesp!AD71+GerNaoDesp!AD83+GerNaoDesp!AD95+GerNaoDesp!AD107</f>
        <v>55.841445952941186</v>
      </c>
      <c r="AE44" s="58">
        <f>GerNaoDesp!AE71+GerNaoDesp!AE83+GerNaoDesp!AE95+GerNaoDesp!AE107</f>
        <v>60.587067870588243</v>
      </c>
      <c r="AF44" s="58">
        <f>GerNaoDesp!AF71+GerNaoDesp!AF83+GerNaoDesp!AF95+GerNaoDesp!AF107</f>
        <v>65.401809788235298</v>
      </c>
      <c r="AG44" s="58">
        <f>GerNaoDesp!AG71+GerNaoDesp!AG83+GerNaoDesp!AG95+GerNaoDesp!AG107</f>
        <v>70.158414788235319</v>
      </c>
      <c r="AH44" s="58">
        <f>GerNaoDesp!AH71+GerNaoDesp!AH83+GerNaoDesp!AH95+GerNaoDesp!AH107</f>
        <v>75.422484788235295</v>
      </c>
      <c r="AI44" s="58">
        <f>GerNaoDesp!AI71+GerNaoDesp!AI83+GerNaoDesp!AI95+GerNaoDesp!AI107</f>
        <v>81.292389788235312</v>
      </c>
      <c r="AJ44" s="58">
        <f>GerNaoDesp!AJ71+GerNaoDesp!AJ83+GerNaoDesp!AJ95+GerNaoDesp!AJ107</f>
        <v>87.836359788235313</v>
      </c>
      <c r="AK44" s="58">
        <f>GerNaoDesp!AK71+GerNaoDesp!AK83+GerNaoDesp!AK95+GerNaoDesp!AK107</f>
        <v>95.005974788235307</v>
      </c>
      <c r="AL44" s="58">
        <f>GerNaoDesp!AL71+GerNaoDesp!AL83+GerNaoDesp!AL95+GerNaoDesp!AL107</f>
        <v>102.83204978823534</v>
      </c>
      <c r="AM44" s="58">
        <f>GerNaoDesp!AM71+GerNaoDesp!AM83+GerNaoDesp!AM95+GerNaoDesp!AM107</f>
        <v>111.49117478823531</v>
      </c>
      <c r="AN44" s="58">
        <f>GerNaoDesp!AN71+GerNaoDesp!AN83+GerNaoDesp!AN95+GerNaoDesp!AN107</f>
        <v>121.16333978823532</v>
      </c>
      <c r="AO44" s="58"/>
    </row>
    <row r="45" spans="1:42" ht="15">
      <c r="A45" s="617">
        <v>4</v>
      </c>
      <c r="B45" s="58">
        <f>GerNaoDesp!B72+GerNaoDesp!B84+GerNaoDesp!B96+GerNaoDesp!B108</f>
        <v>0</v>
      </c>
      <c r="C45" s="58">
        <f>GerNaoDesp!C72+GerNaoDesp!C84+GerNaoDesp!C96+GerNaoDesp!C108</f>
        <v>0</v>
      </c>
      <c r="D45" s="58">
        <f>GerNaoDesp!D72+GerNaoDesp!D84+GerNaoDesp!D96+GerNaoDesp!D108</f>
        <v>0</v>
      </c>
      <c r="E45" s="58">
        <f>GerNaoDesp!E72+GerNaoDesp!E84+GerNaoDesp!E96+GerNaoDesp!E108</f>
        <v>0</v>
      </c>
      <c r="F45" s="58">
        <f>GerNaoDesp!F72+GerNaoDesp!F84+GerNaoDesp!F96+GerNaoDesp!F108</f>
        <v>0.36028000000000004</v>
      </c>
      <c r="G45" s="58">
        <f>GerNaoDesp!G72+GerNaoDesp!G84+GerNaoDesp!G96+GerNaoDesp!G108</f>
        <v>1.17278375</v>
      </c>
      <c r="H45" s="58">
        <f>GerNaoDesp!H72+GerNaoDesp!H84+GerNaoDesp!H96+GerNaoDesp!H108</f>
        <v>1.8210074999999999</v>
      </c>
      <c r="I45" s="58">
        <f>GerNaoDesp!I72+GerNaoDesp!I84+GerNaoDesp!I96+GerNaoDesp!I108</f>
        <v>2.2690074999999998</v>
      </c>
      <c r="J45" s="58">
        <f>GerNaoDesp!J72+GerNaoDesp!J84+GerNaoDesp!J96+GerNaoDesp!J108</f>
        <v>2.8290074999999995</v>
      </c>
      <c r="K45" s="58">
        <f>GerNaoDesp!K72+GerNaoDesp!K84+GerNaoDesp!K96+GerNaoDesp!K108</f>
        <v>3.6803676973684207</v>
      </c>
      <c r="L45" s="58">
        <f>GerNaoDesp!L72+GerNaoDesp!L84+GerNaoDesp!L96+GerNaoDesp!L108</f>
        <v>4.2237278947368413</v>
      </c>
      <c r="M45" s="58">
        <f>GerNaoDesp!M72+GerNaoDesp!M84+GerNaoDesp!M96+GerNaoDesp!M108</f>
        <v>4.3637278947368419</v>
      </c>
      <c r="N45" s="58">
        <f>GerNaoDesp!N72+GerNaoDesp!N84+GerNaoDesp!N96+GerNaoDesp!N108</f>
        <v>5.7187560608552621</v>
      </c>
      <c r="O45" s="58">
        <f>GerNaoDesp!O72+GerNaoDesp!O84+GerNaoDesp!O96+GerNaoDesp!O108</f>
        <v>8.1257694243421046</v>
      </c>
      <c r="P45" s="58">
        <f>GerNaoDesp!P72+GerNaoDesp!P84+GerNaoDesp!P96+GerNaoDesp!P108</f>
        <v>10.029114819078945</v>
      </c>
      <c r="Q45" s="58">
        <f>GerNaoDesp!Q72+GerNaoDesp!Q84+GerNaoDesp!Q96+GerNaoDesp!Q108</f>
        <v>12.011503182565789</v>
      </c>
      <c r="R45" s="58">
        <f>GerNaoDesp!R72+GerNaoDesp!R84+GerNaoDesp!R96+GerNaoDesp!R108</f>
        <v>15.080235296052628</v>
      </c>
      <c r="S45" s="58">
        <f>GerNaoDesp!S72+GerNaoDesp!S84+GerNaoDesp!S96+GerNaoDesp!S108</f>
        <v>18.204967409539474</v>
      </c>
      <c r="T45" s="58">
        <f>GerNaoDesp!T72+GerNaoDesp!T84+GerNaoDesp!T96+GerNaoDesp!T108</f>
        <v>21.852512845394738</v>
      </c>
      <c r="U45" s="58">
        <f>GerNaoDesp!U72+GerNaoDesp!U84+GerNaoDesp!U96+GerNaoDesp!U108</f>
        <v>25.444058281250001</v>
      </c>
      <c r="V45" s="58">
        <f>GerNaoDesp!V72+GerNaoDesp!V84+GerNaoDesp!V96+GerNaoDesp!V108</f>
        <v>28.540790394736842</v>
      </c>
      <c r="W45" s="58">
        <f>GerNaoDesp!W72+GerNaoDesp!W84+GerNaoDesp!W96+GerNaoDesp!W108</f>
        <v>31.69352250822368</v>
      </c>
      <c r="X45" s="58">
        <f>GerNaoDesp!X72+GerNaoDesp!X84+GerNaoDesp!X96+GerNaoDesp!X108</f>
        <v>33.815910871710528</v>
      </c>
      <c r="Y45" s="58">
        <f>GerNaoDesp!Y72+GerNaoDesp!Y84+GerNaoDesp!Y96+GerNaoDesp!Y108</f>
        <v>35.915256266447358</v>
      </c>
      <c r="Z45" s="58">
        <f>GerNaoDesp!Z72+GerNaoDesp!Z84+GerNaoDesp!Z96+GerNaoDesp!Z108</f>
        <v>38.058909432565791</v>
      </c>
      <c r="AA45" s="58">
        <f>GerNaoDesp!AA72+GerNaoDesp!AA84+GerNaoDesp!AA96+GerNaoDesp!AA108</f>
        <v>39.777937598684204</v>
      </c>
      <c r="AB45" s="58">
        <f>GerNaoDesp!AB72+GerNaoDesp!AB84+GerNaoDesp!AB96+GerNaoDesp!AB108</f>
        <v>41.021297796052629</v>
      </c>
      <c r="AC45" s="58">
        <f>GerNaoDesp!AC72+GerNaoDesp!AC84+GerNaoDesp!AC96+GerNaoDesp!AC108</f>
        <v>42.348657993421043</v>
      </c>
      <c r="AD45" s="58">
        <f>GerNaoDesp!AD72+GerNaoDesp!AD84+GerNaoDesp!AD96+GerNaoDesp!AD108</f>
        <v>43.760018190789467</v>
      </c>
      <c r="AE45" s="58">
        <f>GerNaoDesp!AE72+GerNaoDesp!AE84+GerNaoDesp!AE96+GerNaoDesp!AE108</f>
        <v>44.628018190789469</v>
      </c>
      <c r="AF45" s="58">
        <f>GerNaoDesp!AF72+GerNaoDesp!AF84+GerNaoDesp!AF96+GerNaoDesp!AF108</f>
        <v>45.496018190789471</v>
      </c>
      <c r="AG45" s="58">
        <f>GerNaoDesp!AG72+GerNaoDesp!AG84+GerNaoDesp!AG96+GerNaoDesp!AG108</f>
        <v>46.448018190789469</v>
      </c>
      <c r="AH45" s="58">
        <f>GerNaoDesp!AH72+GerNaoDesp!AH84+GerNaoDesp!AH96+GerNaoDesp!AH108</f>
        <v>47.48401819078947</v>
      </c>
      <c r="AI45" s="58">
        <f>GerNaoDesp!AI72+GerNaoDesp!AI84+GerNaoDesp!AI96+GerNaoDesp!AI108</f>
        <v>48.576018190789469</v>
      </c>
      <c r="AJ45" s="58">
        <f>GerNaoDesp!AJ72+GerNaoDesp!AJ84+GerNaoDesp!AJ96+GerNaoDesp!AJ108</f>
        <v>49.752018190789464</v>
      </c>
      <c r="AK45" s="58">
        <f>GerNaoDesp!AK72+GerNaoDesp!AK84+GerNaoDesp!AK96+GerNaoDesp!AK108</f>
        <v>51.040018190789468</v>
      </c>
      <c r="AL45" s="58">
        <f>GerNaoDesp!AL72+GerNaoDesp!AL84+GerNaoDesp!AL96+GerNaoDesp!AL108</f>
        <v>52.412018190789475</v>
      </c>
      <c r="AM45" s="58">
        <f>GerNaoDesp!AM72+GerNaoDesp!AM84+GerNaoDesp!AM96+GerNaoDesp!AM108</f>
        <v>53.896018190789469</v>
      </c>
      <c r="AN45" s="58">
        <f>GerNaoDesp!AN72+GerNaoDesp!AN84+GerNaoDesp!AN96+GerNaoDesp!AN108</f>
        <v>55.520018190789465</v>
      </c>
      <c r="AO45" s="58"/>
    </row>
    <row r="46" spans="1:42" ht="15">
      <c r="A46" s="617">
        <v>5</v>
      </c>
      <c r="B46" s="58">
        <f>GerNaoDesp!B73+GerNaoDesp!B85+GerNaoDesp!B97+GerNaoDesp!B109</f>
        <v>0</v>
      </c>
      <c r="C46" s="58">
        <f>GerNaoDesp!C73+GerNaoDesp!C85+GerNaoDesp!C97+GerNaoDesp!C109</f>
        <v>0</v>
      </c>
      <c r="D46" s="58">
        <f>GerNaoDesp!D73+GerNaoDesp!D85+GerNaoDesp!D97+GerNaoDesp!D109</f>
        <v>0</v>
      </c>
      <c r="E46" s="58">
        <f>GerNaoDesp!E73+GerNaoDesp!E85+GerNaoDesp!E97+GerNaoDesp!E109</f>
        <v>0</v>
      </c>
      <c r="F46" s="58">
        <f>GerNaoDesp!F73+GerNaoDesp!F85+GerNaoDesp!F97+GerNaoDesp!F109</f>
        <v>0</v>
      </c>
      <c r="G46" s="58">
        <f>GerNaoDesp!G73+GerNaoDesp!G85+GerNaoDesp!G97+GerNaoDesp!G109</f>
        <v>0</v>
      </c>
      <c r="H46" s="58">
        <f>GerNaoDesp!H73+GerNaoDesp!H85+GerNaoDesp!H97+GerNaoDesp!H109</f>
        <v>0</v>
      </c>
      <c r="I46" s="58">
        <f>GerNaoDesp!I73+GerNaoDesp!I85+GerNaoDesp!I97+GerNaoDesp!I109</f>
        <v>0</v>
      </c>
      <c r="J46" s="58">
        <f>GerNaoDesp!J73+GerNaoDesp!J85+GerNaoDesp!J97+GerNaoDesp!J109</f>
        <v>0</v>
      </c>
      <c r="K46" s="58">
        <f>GerNaoDesp!K73+GerNaoDesp!K85+GerNaoDesp!K97+GerNaoDesp!K109</f>
        <v>0</v>
      </c>
      <c r="L46" s="58">
        <f>GerNaoDesp!L73+GerNaoDesp!L85+GerNaoDesp!L97+GerNaoDesp!L109</f>
        <v>0</v>
      </c>
      <c r="M46" s="58">
        <f>GerNaoDesp!M73+GerNaoDesp!M85+GerNaoDesp!M97+GerNaoDesp!M109</f>
        <v>0</v>
      </c>
      <c r="N46" s="58">
        <f>GerNaoDesp!N73+GerNaoDesp!N85+GerNaoDesp!N97+GerNaoDesp!N109</f>
        <v>0</v>
      </c>
      <c r="O46" s="58">
        <f>GerNaoDesp!O73+GerNaoDesp!O85+GerNaoDesp!O97+GerNaoDesp!O109</f>
        <v>0</v>
      </c>
      <c r="P46" s="58">
        <f>GerNaoDesp!P73+GerNaoDesp!P85+GerNaoDesp!P97+GerNaoDesp!P109</f>
        <v>0</v>
      </c>
      <c r="Q46" s="58">
        <f>GerNaoDesp!Q73+GerNaoDesp!Q85+GerNaoDesp!Q97+GerNaoDesp!Q109</f>
        <v>0</v>
      </c>
      <c r="R46" s="58">
        <f>GerNaoDesp!R73+GerNaoDesp!R85+GerNaoDesp!R97+GerNaoDesp!R109</f>
        <v>0</v>
      </c>
      <c r="S46" s="58">
        <f>GerNaoDesp!S73+GerNaoDesp!S85+GerNaoDesp!S97+GerNaoDesp!S109</f>
        <v>0</v>
      </c>
      <c r="T46" s="58">
        <f>GerNaoDesp!T73+GerNaoDesp!T85+GerNaoDesp!T97+GerNaoDesp!T109</f>
        <v>0</v>
      </c>
      <c r="U46" s="58">
        <f>GerNaoDesp!U73+GerNaoDesp!U85+GerNaoDesp!U97+GerNaoDesp!U109</f>
        <v>0</v>
      </c>
      <c r="V46" s="58">
        <f>GerNaoDesp!V73+GerNaoDesp!V85+GerNaoDesp!V97+GerNaoDesp!V109</f>
        <v>0</v>
      </c>
      <c r="W46" s="58">
        <f>GerNaoDesp!W73+GerNaoDesp!W85+GerNaoDesp!W97+GerNaoDesp!W109</f>
        <v>0</v>
      </c>
      <c r="X46" s="58">
        <f>GerNaoDesp!X73+GerNaoDesp!X85+GerNaoDesp!X97+GerNaoDesp!X109</f>
        <v>0</v>
      </c>
      <c r="Y46" s="58">
        <f>GerNaoDesp!Y73+GerNaoDesp!Y85+GerNaoDesp!Y97+GerNaoDesp!Y109</f>
        <v>0</v>
      </c>
      <c r="Z46" s="58">
        <f>GerNaoDesp!Z73+GerNaoDesp!Z85+GerNaoDesp!Z97+GerNaoDesp!Z109</f>
        <v>0</v>
      </c>
      <c r="AA46" s="58">
        <f>GerNaoDesp!AA73+GerNaoDesp!AA85+GerNaoDesp!AA97+GerNaoDesp!AA109</f>
        <v>0</v>
      </c>
      <c r="AB46" s="58">
        <f>GerNaoDesp!AB73+GerNaoDesp!AB85+GerNaoDesp!AB97+GerNaoDesp!AB109</f>
        <v>0</v>
      </c>
      <c r="AC46" s="58">
        <f>GerNaoDesp!AC73+GerNaoDesp!AC85+GerNaoDesp!AC97+GerNaoDesp!AC109</f>
        <v>0</v>
      </c>
      <c r="AD46" s="58">
        <f>GerNaoDesp!AD73+GerNaoDesp!AD85+GerNaoDesp!AD97+GerNaoDesp!AD109</f>
        <v>0</v>
      </c>
      <c r="AE46" s="58">
        <f>GerNaoDesp!AE73+GerNaoDesp!AE85+GerNaoDesp!AE97+GerNaoDesp!AE109</f>
        <v>0</v>
      </c>
      <c r="AF46" s="58">
        <f>GerNaoDesp!AF73+GerNaoDesp!AF85+GerNaoDesp!AF97+GerNaoDesp!AF109</f>
        <v>0</v>
      </c>
      <c r="AG46" s="58">
        <f>GerNaoDesp!AG73+GerNaoDesp!AG85+GerNaoDesp!AG97+GerNaoDesp!AG109</f>
        <v>0</v>
      </c>
      <c r="AH46" s="58">
        <f>GerNaoDesp!AH73+GerNaoDesp!AH85+GerNaoDesp!AH97+GerNaoDesp!AH109</f>
        <v>0</v>
      </c>
      <c r="AI46" s="58">
        <f>GerNaoDesp!AI73+GerNaoDesp!AI85+GerNaoDesp!AI97+GerNaoDesp!AI109</f>
        <v>0</v>
      </c>
      <c r="AJ46" s="58">
        <f>GerNaoDesp!AJ73+GerNaoDesp!AJ85+GerNaoDesp!AJ97+GerNaoDesp!AJ109</f>
        <v>0</v>
      </c>
      <c r="AK46" s="58">
        <f>GerNaoDesp!AK73+GerNaoDesp!AK85+GerNaoDesp!AK97+GerNaoDesp!AK109</f>
        <v>0</v>
      </c>
      <c r="AL46" s="58">
        <f>GerNaoDesp!AL73+GerNaoDesp!AL85+GerNaoDesp!AL97+GerNaoDesp!AL109</f>
        <v>0</v>
      </c>
      <c r="AM46" s="58">
        <f>GerNaoDesp!AM73+GerNaoDesp!AM85+GerNaoDesp!AM97+GerNaoDesp!AM109</f>
        <v>0</v>
      </c>
      <c r="AN46" s="58">
        <f>GerNaoDesp!AN73+GerNaoDesp!AN85+GerNaoDesp!AN97+GerNaoDesp!AN109</f>
        <v>0</v>
      </c>
      <c r="AO46" s="58"/>
    </row>
    <row r="47" spans="1:42" ht="15">
      <c r="A47" s="617">
        <v>6</v>
      </c>
      <c r="B47" s="58">
        <f>GerNaoDesp!B74+GerNaoDesp!B86+GerNaoDesp!B98+GerNaoDesp!B110</f>
        <v>0</v>
      </c>
      <c r="C47" s="58">
        <f>GerNaoDesp!C74+GerNaoDesp!C86+GerNaoDesp!C98+GerNaoDesp!C110</f>
        <v>0</v>
      </c>
      <c r="D47" s="58">
        <f>GerNaoDesp!D74+GerNaoDesp!D86+GerNaoDesp!D98+GerNaoDesp!D110</f>
        <v>0</v>
      </c>
      <c r="E47" s="58">
        <f>GerNaoDesp!E74+GerNaoDesp!E86+GerNaoDesp!E98+GerNaoDesp!E110</f>
        <v>0</v>
      </c>
      <c r="F47" s="58">
        <f>GerNaoDesp!F74+GerNaoDesp!F86+GerNaoDesp!F98+GerNaoDesp!F110</f>
        <v>0</v>
      </c>
      <c r="G47" s="58">
        <f>GerNaoDesp!G74+GerNaoDesp!G86+GerNaoDesp!G98+GerNaoDesp!G110</f>
        <v>0</v>
      </c>
      <c r="H47" s="58">
        <f>GerNaoDesp!H74+GerNaoDesp!H86+GerNaoDesp!H98+GerNaoDesp!H110</f>
        <v>0</v>
      </c>
      <c r="I47" s="58">
        <f>GerNaoDesp!I74+GerNaoDesp!I86+GerNaoDesp!I98+GerNaoDesp!I110</f>
        <v>0</v>
      </c>
      <c r="J47" s="58">
        <f>GerNaoDesp!J74+GerNaoDesp!J86+GerNaoDesp!J98+GerNaoDesp!J110</f>
        <v>0</v>
      </c>
      <c r="K47" s="58">
        <f>GerNaoDesp!K74+GerNaoDesp!K86+GerNaoDesp!K98+GerNaoDesp!K110</f>
        <v>0</v>
      </c>
      <c r="L47" s="58">
        <f>GerNaoDesp!L74+GerNaoDesp!L86+GerNaoDesp!L98+GerNaoDesp!L110</f>
        <v>0</v>
      </c>
      <c r="M47" s="58">
        <f>GerNaoDesp!M74+GerNaoDesp!M86+GerNaoDesp!M98+GerNaoDesp!M110</f>
        <v>0</v>
      </c>
      <c r="N47" s="58">
        <f>GerNaoDesp!N74+GerNaoDesp!N86+GerNaoDesp!N98+GerNaoDesp!N110</f>
        <v>0</v>
      </c>
      <c r="O47" s="58">
        <f>GerNaoDesp!O74+GerNaoDesp!O86+GerNaoDesp!O98+GerNaoDesp!O110</f>
        <v>0</v>
      </c>
      <c r="P47" s="58">
        <f>GerNaoDesp!P74+GerNaoDesp!P86+GerNaoDesp!P98+GerNaoDesp!P110</f>
        <v>0</v>
      </c>
      <c r="Q47" s="58">
        <f>GerNaoDesp!Q74+GerNaoDesp!Q86+GerNaoDesp!Q98+GerNaoDesp!Q110</f>
        <v>0</v>
      </c>
      <c r="R47" s="58">
        <f>GerNaoDesp!R74+GerNaoDesp!R86+GerNaoDesp!R98+GerNaoDesp!R110</f>
        <v>0</v>
      </c>
      <c r="S47" s="58">
        <f>GerNaoDesp!S74+GerNaoDesp!S86+GerNaoDesp!S98+GerNaoDesp!S110</f>
        <v>0</v>
      </c>
      <c r="T47" s="58">
        <f>GerNaoDesp!T74+GerNaoDesp!T86+GerNaoDesp!T98+GerNaoDesp!T110</f>
        <v>0</v>
      </c>
      <c r="U47" s="58">
        <f>GerNaoDesp!U74+GerNaoDesp!U86+GerNaoDesp!U98+GerNaoDesp!U110</f>
        <v>0</v>
      </c>
      <c r="V47" s="58">
        <f>GerNaoDesp!V74+GerNaoDesp!V86+GerNaoDesp!V98+GerNaoDesp!V110</f>
        <v>0</v>
      </c>
      <c r="W47" s="58">
        <f>GerNaoDesp!W74+GerNaoDesp!W86+GerNaoDesp!W98+GerNaoDesp!W110</f>
        <v>0</v>
      </c>
      <c r="X47" s="58">
        <f>GerNaoDesp!X74+GerNaoDesp!X86+GerNaoDesp!X98+GerNaoDesp!X110</f>
        <v>0</v>
      </c>
      <c r="Y47" s="58">
        <f>GerNaoDesp!Y74+GerNaoDesp!Y86+GerNaoDesp!Y98+GerNaoDesp!Y110</f>
        <v>0</v>
      </c>
      <c r="Z47" s="58">
        <f>GerNaoDesp!Z74+GerNaoDesp!Z86+GerNaoDesp!Z98+GerNaoDesp!Z110</f>
        <v>0</v>
      </c>
      <c r="AA47" s="58">
        <f>GerNaoDesp!AA74+GerNaoDesp!AA86+GerNaoDesp!AA98+GerNaoDesp!AA110</f>
        <v>0</v>
      </c>
      <c r="AB47" s="58">
        <f>GerNaoDesp!AB74+GerNaoDesp!AB86+GerNaoDesp!AB98+GerNaoDesp!AB110</f>
        <v>0</v>
      </c>
      <c r="AC47" s="58">
        <f>GerNaoDesp!AC74+GerNaoDesp!AC86+GerNaoDesp!AC98+GerNaoDesp!AC110</f>
        <v>0</v>
      </c>
      <c r="AD47" s="58">
        <f>GerNaoDesp!AD74+GerNaoDesp!AD86+GerNaoDesp!AD98+GerNaoDesp!AD110</f>
        <v>0</v>
      </c>
      <c r="AE47" s="58">
        <f>GerNaoDesp!AE74+GerNaoDesp!AE86+GerNaoDesp!AE98+GerNaoDesp!AE110</f>
        <v>0</v>
      </c>
      <c r="AF47" s="58">
        <f>GerNaoDesp!AF74+GerNaoDesp!AF86+GerNaoDesp!AF98+GerNaoDesp!AF110</f>
        <v>0</v>
      </c>
      <c r="AG47" s="58">
        <f>GerNaoDesp!AG74+GerNaoDesp!AG86+GerNaoDesp!AG98+GerNaoDesp!AG110</f>
        <v>0</v>
      </c>
      <c r="AH47" s="58">
        <f>GerNaoDesp!AH74+GerNaoDesp!AH86+GerNaoDesp!AH98+GerNaoDesp!AH110</f>
        <v>0</v>
      </c>
      <c r="AI47" s="58">
        <f>GerNaoDesp!AI74+GerNaoDesp!AI86+GerNaoDesp!AI98+GerNaoDesp!AI110</f>
        <v>0</v>
      </c>
      <c r="AJ47" s="58">
        <f>GerNaoDesp!AJ74+GerNaoDesp!AJ86+GerNaoDesp!AJ98+GerNaoDesp!AJ110</f>
        <v>0</v>
      </c>
      <c r="AK47" s="58">
        <f>GerNaoDesp!AK74+GerNaoDesp!AK86+GerNaoDesp!AK98+GerNaoDesp!AK110</f>
        <v>0</v>
      </c>
      <c r="AL47" s="58">
        <f>GerNaoDesp!AL74+GerNaoDesp!AL86+GerNaoDesp!AL98+GerNaoDesp!AL110</f>
        <v>0</v>
      </c>
      <c r="AM47" s="58">
        <f>GerNaoDesp!AM74+GerNaoDesp!AM86+GerNaoDesp!AM98+GerNaoDesp!AM110</f>
        <v>0</v>
      </c>
      <c r="AN47" s="58">
        <f>GerNaoDesp!AN74+GerNaoDesp!AN86+GerNaoDesp!AN98+GerNaoDesp!AN110</f>
        <v>0</v>
      </c>
      <c r="AO47" s="58"/>
    </row>
    <row r="48" spans="1:42" ht="15">
      <c r="A48" s="617">
        <v>7</v>
      </c>
      <c r="B48" s="58">
        <f>GerNaoDesp!B75+GerNaoDesp!B87+GerNaoDesp!B99+GerNaoDesp!B111</f>
        <v>0</v>
      </c>
      <c r="C48" s="58">
        <f>GerNaoDesp!C75+GerNaoDesp!C87+GerNaoDesp!C99+GerNaoDesp!C111</f>
        <v>0</v>
      </c>
      <c r="D48" s="58">
        <f>GerNaoDesp!D75+GerNaoDesp!D87+GerNaoDesp!D99+GerNaoDesp!D111</f>
        <v>0</v>
      </c>
      <c r="E48" s="58">
        <f>GerNaoDesp!E75+GerNaoDesp!E87+GerNaoDesp!E99+GerNaoDesp!E111</f>
        <v>0</v>
      </c>
      <c r="F48" s="58">
        <f>GerNaoDesp!F75+GerNaoDesp!F87+GerNaoDesp!F99+GerNaoDesp!F111</f>
        <v>0</v>
      </c>
      <c r="G48" s="58">
        <f>GerNaoDesp!G75+GerNaoDesp!G87+GerNaoDesp!G99+GerNaoDesp!G111</f>
        <v>0</v>
      </c>
      <c r="H48" s="58">
        <f>GerNaoDesp!H75+GerNaoDesp!H87+GerNaoDesp!H99+GerNaoDesp!H111</f>
        <v>0</v>
      </c>
      <c r="I48" s="58">
        <f>GerNaoDesp!I75+GerNaoDesp!I87+GerNaoDesp!I99+GerNaoDesp!I111</f>
        <v>0</v>
      </c>
      <c r="J48" s="58">
        <f>GerNaoDesp!J75+GerNaoDesp!J87+GerNaoDesp!J99+GerNaoDesp!J111</f>
        <v>0</v>
      </c>
      <c r="K48" s="58">
        <f>GerNaoDesp!K75+GerNaoDesp!K87+GerNaoDesp!K99+GerNaoDesp!K111</f>
        <v>0</v>
      </c>
      <c r="L48" s="58">
        <f>GerNaoDesp!L75+GerNaoDesp!L87+GerNaoDesp!L99+GerNaoDesp!L111</f>
        <v>0</v>
      </c>
      <c r="M48" s="58">
        <f>GerNaoDesp!M75+GerNaoDesp!M87+GerNaoDesp!M99+GerNaoDesp!M111</f>
        <v>0</v>
      </c>
      <c r="N48" s="58">
        <f>GerNaoDesp!N75+GerNaoDesp!N87+GerNaoDesp!N99+GerNaoDesp!N111</f>
        <v>0</v>
      </c>
      <c r="O48" s="58">
        <f>GerNaoDesp!O75+GerNaoDesp!O87+GerNaoDesp!O99+GerNaoDesp!O111</f>
        <v>0</v>
      </c>
      <c r="P48" s="58">
        <f>GerNaoDesp!P75+GerNaoDesp!P87+GerNaoDesp!P99+GerNaoDesp!P111</f>
        <v>0</v>
      </c>
      <c r="Q48" s="58">
        <f>GerNaoDesp!Q75+GerNaoDesp!Q87+GerNaoDesp!Q99+GerNaoDesp!Q111</f>
        <v>0</v>
      </c>
      <c r="R48" s="58">
        <f>GerNaoDesp!R75+GerNaoDesp!R87+GerNaoDesp!R99+GerNaoDesp!R111</f>
        <v>0</v>
      </c>
      <c r="S48" s="58">
        <f>GerNaoDesp!S75+GerNaoDesp!S87+GerNaoDesp!S99+GerNaoDesp!S111</f>
        <v>0</v>
      </c>
      <c r="T48" s="58">
        <f>GerNaoDesp!T75+GerNaoDesp!T87+GerNaoDesp!T99+GerNaoDesp!T111</f>
        <v>0</v>
      </c>
      <c r="U48" s="58">
        <f>GerNaoDesp!U75+GerNaoDesp!U87+GerNaoDesp!U99+GerNaoDesp!U111</f>
        <v>0</v>
      </c>
      <c r="V48" s="58">
        <f>GerNaoDesp!V75+GerNaoDesp!V87+GerNaoDesp!V99+GerNaoDesp!V111</f>
        <v>0</v>
      </c>
      <c r="W48" s="58">
        <f>GerNaoDesp!W75+GerNaoDesp!W87+GerNaoDesp!W99+GerNaoDesp!W111</f>
        <v>0</v>
      </c>
      <c r="X48" s="58">
        <f>GerNaoDesp!X75+GerNaoDesp!X87+GerNaoDesp!X99+GerNaoDesp!X111</f>
        <v>0</v>
      </c>
      <c r="Y48" s="58">
        <f>GerNaoDesp!Y75+GerNaoDesp!Y87+GerNaoDesp!Y99+GerNaoDesp!Y111</f>
        <v>0</v>
      </c>
      <c r="Z48" s="58">
        <f>GerNaoDesp!Z75+GerNaoDesp!Z87+GerNaoDesp!Z99+GerNaoDesp!Z111</f>
        <v>0</v>
      </c>
      <c r="AA48" s="58">
        <f>GerNaoDesp!AA75+GerNaoDesp!AA87+GerNaoDesp!AA99+GerNaoDesp!AA111</f>
        <v>0</v>
      </c>
      <c r="AB48" s="58">
        <f>GerNaoDesp!AB75+GerNaoDesp!AB87+GerNaoDesp!AB99+GerNaoDesp!AB111</f>
        <v>0</v>
      </c>
      <c r="AC48" s="58">
        <f>GerNaoDesp!AC75+GerNaoDesp!AC87+GerNaoDesp!AC99+GerNaoDesp!AC111</f>
        <v>0</v>
      </c>
      <c r="AD48" s="58">
        <f>GerNaoDesp!AD75+GerNaoDesp!AD87+GerNaoDesp!AD99+GerNaoDesp!AD111</f>
        <v>0</v>
      </c>
      <c r="AE48" s="58">
        <f>GerNaoDesp!AE75+GerNaoDesp!AE87+GerNaoDesp!AE99+GerNaoDesp!AE111</f>
        <v>0</v>
      </c>
      <c r="AF48" s="58">
        <f>GerNaoDesp!AF75+GerNaoDesp!AF87+GerNaoDesp!AF99+GerNaoDesp!AF111</f>
        <v>0</v>
      </c>
      <c r="AG48" s="58">
        <f>GerNaoDesp!AG75+GerNaoDesp!AG87+GerNaoDesp!AG99+GerNaoDesp!AG111</f>
        <v>0</v>
      </c>
      <c r="AH48" s="58">
        <f>GerNaoDesp!AH75+GerNaoDesp!AH87+GerNaoDesp!AH99+GerNaoDesp!AH111</f>
        <v>0</v>
      </c>
      <c r="AI48" s="58">
        <f>GerNaoDesp!AI75+GerNaoDesp!AI87+GerNaoDesp!AI99+GerNaoDesp!AI111</f>
        <v>0</v>
      </c>
      <c r="AJ48" s="58">
        <f>GerNaoDesp!AJ75+GerNaoDesp!AJ87+GerNaoDesp!AJ99+GerNaoDesp!AJ111</f>
        <v>0</v>
      </c>
      <c r="AK48" s="58">
        <f>GerNaoDesp!AK75+GerNaoDesp!AK87+GerNaoDesp!AK99+GerNaoDesp!AK111</f>
        <v>0</v>
      </c>
      <c r="AL48" s="58">
        <f>GerNaoDesp!AL75+GerNaoDesp!AL87+GerNaoDesp!AL99+GerNaoDesp!AL111</f>
        <v>0</v>
      </c>
      <c r="AM48" s="58">
        <f>GerNaoDesp!AM75+GerNaoDesp!AM87+GerNaoDesp!AM99+GerNaoDesp!AM111</f>
        <v>0</v>
      </c>
      <c r="AN48" s="58">
        <f>GerNaoDesp!AN75+GerNaoDesp!AN87+GerNaoDesp!AN99+GerNaoDesp!AN111</f>
        <v>0</v>
      </c>
      <c r="AO48" s="58"/>
    </row>
    <row r="49" spans="1:40" ht="15">
      <c r="A49" s="618" t="s">
        <v>95</v>
      </c>
      <c r="B49" s="619">
        <f>SUM(B42:B48)</f>
        <v>0</v>
      </c>
      <c r="C49" s="619">
        <f t="shared" ref="C49:AN49" si="16">SUM(C42:C48)</f>
        <v>0</v>
      </c>
      <c r="D49" s="619">
        <f t="shared" si="16"/>
        <v>0</v>
      </c>
      <c r="E49" s="619">
        <f t="shared" si="16"/>
        <v>0.41068383249999985</v>
      </c>
      <c r="F49" s="619">
        <f t="shared" si="16"/>
        <v>1.9338574692499999</v>
      </c>
      <c r="G49" s="619">
        <f t="shared" si="16"/>
        <v>12.092284814600003</v>
      </c>
      <c r="H49" s="619">
        <f t="shared" si="16"/>
        <v>35.86507435275</v>
      </c>
      <c r="I49" s="619">
        <f t="shared" si="16"/>
        <v>71.481550355805425</v>
      </c>
      <c r="J49" s="619">
        <f t="shared" si="16"/>
        <v>119.8995683352576</v>
      </c>
      <c r="K49" s="619">
        <f t="shared" si="16"/>
        <v>161.54305351175077</v>
      </c>
      <c r="L49" s="619">
        <f t="shared" si="16"/>
        <v>198.3505755723846</v>
      </c>
      <c r="M49" s="619">
        <f t="shared" si="16"/>
        <v>248.43651514952251</v>
      </c>
      <c r="N49" s="619">
        <f t="shared" si="16"/>
        <v>309.96339086760844</v>
      </c>
      <c r="O49" s="619">
        <f t="shared" si="16"/>
        <v>383.7692818872851</v>
      </c>
      <c r="P49" s="619">
        <f t="shared" si="16"/>
        <v>466.54607155433996</v>
      </c>
      <c r="Q49" s="619">
        <f t="shared" si="16"/>
        <v>560.88637511478271</v>
      </c>
      <c r="R49" s="619">
        <f t="shared" si="16"/>
        <v>665.41420770095192</v>
      </c>
      <c r="S49" s="619">
        <f t="shared" si="16"/>
        <v>778.13650432217128</v>
      </c>
      <c r="T49" s="619">
        <f t="shared" si="16"/>
        <v>903.98230976690127</v>
      </c>
      <c r="U49" s="619">
        <f t="shared" si="16"/>
        <v>1024.6104123551142</v>
      </c>
      <c r="V49" s="619">
        <f t="shared" si="16"/>
        <v>1134.853255526129</v>
      </c>
      <c r="W49" s="619">
        <f t="shared" si="16"/>
        <v>1243.6765567252228</v>
      </c>
      <c r="X49" s="619">
        <f t="shared" si="16"/>
        <v>1349.4875732996759</v>
      </c>
      <c r="Y49" s="619">
        <f t="shared" si="16"/>
        <v>1456.5148887574051</v>
      </c>
      <c r="Z49" s="619">
        <f t="shared" si="16"/>
        <v>1563.2780720657026</v>
      </c>
      <c r="AA49" s="619">
        <f t="shared" si="16"/>
        <v>1668.9504230581931</v>
      </c>
      <c r="AB49" s="619">
        <f t="shared" si="16"/>
        <v>1775.8195306238106</v>
      </c>
      <c r="AC49" s="619">
        <f t="shared" si="16"/>
        <v>1886.7118323500006</v>
      </c>
      <c r="AD49" s="619">
        <f t="shared" si="16"/>
        <v>2004.6234235767972</v>
      </c>
      <c r="AE49" s="619">
        <f t="shared" si="16"/>
        <v>2122.5731053099244</v>
      </c>
      <c r="AF49" s="619">
        <f t="shared" si="16"/>
        <v>2241.9529268274796</v>
      </c>
      <c r="AG49" s="619">
        <f t="shared" si="16"/>
        <v>2382.3807443652427</v>
      </c>
      <c r="AH49" s="619">
        <f t="shared" si="16"/>
        <v>2536.1833021766079</v>
      </c>
      <c r="AI49" s="619">
        <f t="shared" si="16"/>
        <v>2686.7166036609378</v>
      </c>
      <c r="AJ49" s="619">
        <f t="shared" si="16"/>
        <v>2843.41461525874</v>
      </c>
      <c r="AK49" s="619">
        <f t="shared" si="16"/>
        <v>3026.0545721328576</v>
      </c>
      <c r="AL49" s="619">
        <f t="shared" si="16"/>
        <v>3253.6386306328586</v>
      </c>
      <c r="AM49" s="619">
        <f t="shared" si="16"/>
        <v>3499.5777726328588</v>
      </c>
      <c r="AN49" s="619">
        <f t="shared" si="16"/>
        <v>3733.1151686328576</v>
      </c>
    </row>
    <row r="53" spans="1:40">
      <c r="G53" s="112"/>
    </row>
    <row r="54" spans="1:40">
      <c r="G54" s="112"/>
    </row>
    <row r="55" spans="1:40">
      <c r="G55" s="112"/>
    </row>
    <row r="56" spans="1:40">
      <c r="G56" s="112"/>
    </row>
    <row r="57" spans="1:40">
      <c r="G57" s="112"/>
    </row>
    <row r="58" spans="1:40">
      <c r="G58" s="112"/>
    </row>
    <row r="59" spans="1:40">
      <c r="G59" s="112"/>
    </row>
    <row r="60" spans="1:40">
      <c r="G60" s="112"/>
    </row>
    <row r="61" spans="1:40">
      <c r="G61" s="112"/>
    </row>
    <row r="62" spans="1:40">
      <c r="G62" s="112"/>
    </row>
    <row r="63" spans="1:40">
      <c r="G63" s="112"/>
    </row>
    <row r="64" spans="1:40">
      <c r="G64" s="112"/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Plan3"/>
  <dimension ref="A1:E8"/>
  <sheetViews>
    <sheetView tabSelected="1" topLeftCell="B37" workbookViewId="0">
      <selection sqref="A1:C53"/>
    </sheetView>
  </sheetViews>
  <sheetFormatPr defaultRowHeight="12.75"/>
  <cols>
    <col min="1" max="1" width="12" bestFit="1" customWidth="1"/>
    <col min="2" max="2" width="98.42578125" bestFit="1" customWidth="1"/>
    <col min="5" max="5" width="9.7109375" customWidth="1"/>
  </cols>
  <sheetData>
    <row r="1" spans="1:5" ht="13.5" thickBot="1">
      <c r="A1" s="1"/>
      <c r="B1" s="2"/>
    </row>
    <row r="2" spans="1:5" ht="13.5" thickTop="1">
      <c r="B2" s="3"/>
      <c r="E2" s="598"/>
    </row>
    <row r="3" spans="1:5">
      <c r="E3" s="598"/>
    </row>
    <row r="4" spans="1:5">
      <c r="B4" s="3"/>
      <c r="E4" s="605"/>
    </row>
    <row r="5" spans="1:5">
      <c r="E5" s="605"/>
    </row>
    <row r="6" spans="1:5">
      <c r="E6" s="605"/>
    </row>
    <row r="8" spans="1:5">
      <c r="B8" s="3"/>
    </row>
  </sheetData>
  <pageMargins left="0.511811024" right="0.511811024" top="0.78740157499999996" bottom="0.78740157499999996" header="0.31496062000000002" footer="0.3149606200000000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Plan22">
    <tabColor rgb="FFFFC000"/>
  </sheetPr>
  <dimension ref="A1:AN112"/>
  <sheetViews>
    <sheetView workbookViewId="0">
      <pane xSplit="1" ySplit="1" topLeftCell="E71" activePane="bottomRight" state="frozen"/>
      <selection pane="bottomRight" activeCell="AH55" sqref="AH55"/>
      <selection pane="bottomLeft" activeCell="A2" sqref="A2"/>
      <selection pane="topRight" activeCell="B1" sqref="B1"/>
    </sheetView>
  </sheetViews>
  <sheetFormatPr defaultColWidth="8.85546875" defaultRowHeight="12.75"/>
  <cols>
    <col min="1" max="1" width="29.140625" bestFit="1" customWidth="1"/>
    <col min="2" max="2" width="0" hidden="1" customWidth="1"/>
    <col min="3" max="3" width="8.7109375" hidden="1" customWidth="1"/>
    <col min="4" max="4" width="0" hidden="1" customWidth="1"/>
    <col min="26" max="28" width="9.5703125" bestFit="1" customWidth="1"/>
    <col min="29" max="40" width="10.5703125" bestFit="1" customWidth="1"/>
  </cols>
  <sheetData>
    <row r="1" spans="1:40" ht="13.5" thickBot="1">
      <c r="A1" s="11" t="s">
        <v>136</v>
      </c>
      <c r="B1" s="61">
        <f>[5]tab_PeriodoEstudo!B2</f>
        <v>2012</v>
      </c>
      <c r="C1" s="61">
        <f>[5]tab_PeriodoEstudo!B3</f>
        <v>2013</v>
      </c>
      <c r="D1" s="61">
        <f>[5]tab_PeriodoEstudo!B4</f>
        <v>2014</v>
      </c>
      <c r="E1" s="61">
        <f>[5]tab_PeriodoEstudo!B5</f>
        <v>2015</v>
      </c>
      <c r="F1" s="61">
        <f>[5]tab_PeriodoEstudo!B6</f>
        <v>2016</v>
      </c>
      <c r="G1" s="61">
        <f>[5]tab_PeriodoEstudo!B7</f>
        <v>2017</v>
      </c>
      <c r="H1" s="61">
        <f>[5]tab_PeriodoEstudo!B8</f>
        <v>2018</v>
      </c>
      <c r="I1" s="61">
        <f>[5]tab_PeriodoEstudo!B9</f>
        <v>2019</v>
      </c>
      <c r="J1" s="61">
        <f>[5]tab_PeriodoEstudo!B10</f>
        <v>2020</v>
      </c>
      <c r="K1" s="61">
        <f>[5]tab_PeriodoEstudo!B11</f>
        <v>2021</v>
      </c>
      <c r="L1" s="61">
        <f>[5]tab_PeriodoEstudo!B12</f>
        <v>2022</v>
      </c>
      <c r="M1" s="61">
        <f>[5]tab_PeriodoEstudo!B13</f>
        <v>2023</v>
      </c>
      <c r="N1" s="61">
        <f>[5]tab_PeriodoEstudo!B14</f>
        <v>2024</v>
      </c>
      <c r="O1" s="61">
        <f>[5]tab_PeriodoEstudo!B15</f>
        <v>2025</v>
      </c>
      <c r="P1" s="61">
        <f>[5]tab_PeriodoEstudo!B16</f>
        <v>2026</v>
      </c>
      <c r="Q1" s="61">
        <f>[5]tab_PeriodoEstudo!B17</f>
        <v>2027</v>
      </c>
      <c r="R1" s="61">
        <f>[5]tab_PeriodoEstudo!B18</f>
        <v>2028</v>
      </c>
      <c r="S1" s="61">
        <f>[5]tab_PeriodoEstudo!B19</f>
        <v>2029</v>
      </c>
      <c r="T1" s="61">
        <f>[5]tab_PeriodoEstudo!B20</f>
        <v>2030</v>
      </c>
      <c r="U1" s="61">
        <f>[5]tab_PeriodoEstudo!B21</f>
        <v>2031</v>
      </c>
      <c r="V1" s="61">
        <f>[5]tab_PeriodoEstudo!B22</f>
        <v>2032</v>
      </c>
      <c r="W1" s="61">
        <f>[5]tab_PeriodoEstudo!B23</f>
        <v>2033</v>
      </c>
      <c r="X1" s="61">
        <f>[5]tab_PeriodoEstudo!B24</f>
        <v>2034</v>
      </c>
      <c r="Y1" s="61">
        <f>[5]tab_PeriodoEstudo!B25</f>
        <v>2035</v>
      </c>
      <c r="Z1" s="61">
        <f>[5]tab_PeriodoEstudo!B26</f>
        <v>2036</v>
      </c>
      <c r="AA1" s="61">
        <f>[5]tab_PeriodoEstudo!B27</f>
        <v>2037</v>
      </c>
      <c r="AB1" s="61">
        <f>[5]tab_PeriodoEstudo!B28</f>
        <v>2038</v>
      </c>
      <c r="AC1" s="61">
        <f>[5]tab_PeriodoEstudo!B29</f>
        <v>2039</v>
      </c>
      <c r="AD1" s="61">
        <f>[5]tab_PeriodoEstudo!B30</f>
        <v>2040</v>
      </c>
      <c r="AE1" s="61">
        <f>[5]tab_PeriodoEstudo!B31</f>
        <v>2041</v>
      </c>
      <c r="AF1" s="61">
        <f>[5]tab_PeriodoEstudo!B32</f>
        <v>2042</v>
      </c>
      <c r="AG1" s="61">
        <f>[5]tab_PeriodoEstudo!B33</f>
        <v>2043</v>
      </c>
      <c r="AH1" s="61">
        <f>[5]tab_PeriodoEstudo!B34</f>
        <v>2044</v>
      </c>
      <c r="AI1" s="61">
        <f>[5]tab_PeriodoEstudo!B35</f>
        <v>2045</v>
      </c>
      <c r="AJ1" s="61">
        <f>[5]tab_PeriodoEstudo!B36</f>
        <v>2046</v>
      </c>
      <c r="AK1" s="61">
        <f>[5]tab_PeriodoEstudo!B37</f>
        <v>2047</v>
      </c>
      <c r="AL1" s="61">
        <f>[5]tab_PeriodoEstudo!B38</f>
        <v>2048</v>
      </c>
      <c r="AM1" s="61">
        <f>[5]tab_PeriodoEstudo!B39</f>
        <v>2049</v>
      </c>
      <c r="AN1" s="61">
        <f>[5]tab_PeriodoEstudo!B40</f>
        <v>2050</v>
      </c>
    </row>
    <row r="2" spans="1:40" ht="13.5" thickTop="1">
      <c r="A2" s="17">
        <v>1</v>
      </c>
      <c r="B2" s="58">
        <f>B19+B31+B43+B55</f>
        <v>0</v>
      </c>
      <c r="C2" s="58">
        <f t="shared" ref="C2:E8" si="0">C19+C31+C43+C55</f>
        <v>0</v>
      </c>
      <c r="D2" s="58">
        <f t="shared" si="0"/>
        <v>0</v>
      </c>
      <c r="E2" s="638">
        <f>E19+E31+E43+E55</f>
        <v>0.70983861065819132</v>
      </c>
      <c r="F2" s="638">
        <f t="shared" ref="F2:AN2" si="1">F19+F31+F43+F55</f>
        <v>4.4388450636569177</v>
      </c>
      <c r="G2" s="638">
        <f t="shared" si="1"/>
        <v>24.431809736596122</v>
      </c>
      <c r="H2" s="638">
        <f t="shared" si="1"/>
        <v>70.953679247562974</v>
      </c>
      <c r="I2" s="638">
        <f t="shared" si="1"/>
        <v>138.15150094079453</v>
      </c>
      <c r="J2" s="638">
        <f t="shared" si="1"/>
        <v>225.73867317468006</v>
      </c>
      <c r="K2" s="638">
        <f t="shared" si="1"/>
        <v>296.547914215677</v>
      </c>
      <c r="L2" s="638">
        <f t="shared" si="1"/>
        <v>346.17028585053765</v>
      </c>
      <c r="M2" s="638">
        <f t="shared" si="1"/>
        <v>433.01779386993707</v>
      </c>
      <c r="N2" s="638">
        <f t="shared" si="1"/>
        <v>562.7132136644052</v>
      </c>
      <c r="O2" s="638">
        <f t="shared" si="1"/>
        <v>714.05546329887261</v>
      </c>
      <c r="P2" s="638">
        <f t="shared" si="1"/>
        <v>880.32877823056401</v>
      </c>
      <c r="Q2" s="638">
        <f t="shared" si="1"/>
        <v>1059.2932661405478</v>
      </c>
      <c r="R2" s="638">
        <f t="shared" si="1"/>
        <v>1241.4809004905339</v>
      </c>
      <c r="S2" s="638">
        <f t="shared" si="1"/>
        <v>1425.7169772148327</v>
      </c>
      <c r="T2" s="638">
        <f t="shared" si="1"/>
        <v>1618.4974558003214</v>
      </c>
      <c r="U2" s="638">
        <f t="shared" si="1"/>
        <v>1791.8202489519444</v>
      </c>
      <c r="V2" s="638">
        <f t="shared" si="1"/>
        <v>1943.0730434696768</v>
      </c>
      <c r="W2" s="638">
        <f t="shared" si="1"/>
        <v>2095.139858280002</v>
      </c>
      <c r="X2" s="638">
        <f t="shared" si="1"/>
        <v>2247.9842456453043</v>
      </c>
      <c r="Y2" s="638">
        <f t="shared" si="1"/>
        <v>2406.0781751769409</v>
      </c>
      <c r="Z2" s="638">
        <f t="shared" si="1"/>
        <v>2571.0608041143764</v>
      </c>
      <c r="AA2" s="638">
        <f t="shared" si="1"/>
        <v>2739.2522541082167</v>
      </c>
      <c r="AB2" s="638">
        <f t="shared" si="1"/>
        <v>2914.0386665633555</v>
      </c>
      <c r="AC2" s="638">
        <f t="shared" si="1"/>
        <v>3096.7253063360549</v>
      </c>
      <c r="AD2" s="638">
        <f t="shared" si="1"/>
        <v>3296.4508203223113</v>
      </c>
      <c r="AE2" s="638">
        <f t="shared" si="1"/>
        <v>3493.0358189086223</v>
      </c>
      <c r="AF2" s="638">
        <f t="shared" si="1"/>
        <v>3683.5384841537184</v>
      </c>
      <c r="AG2" s="638">
        <f t="shared" si="1"/>
        <v>3893.1982837823398</v>
      </c>
      <c r="AH2" s="638">
        <f t="shared" si="1"/>
        <v>4115.5397986007865</v>
      </c>
      <c r="AI2" s="638">
        <f t="shared" si="1"/>
        <v>4346.3583728102749</v>
      </c>
      <c r="AJ2" s="638">
        <f t="shared" si="1"/>
        <v>4588.1506508394677</v>
      </c>
      <c r="AK2" s="638">
        <f t="shared" si="1"/>
        <v>4843.8211309287781</v>
      </c>
      <c r="AL2" s="638">
        <f t="shared" si="1"/>
        <v>5114.8087263267207</v>
      </c>
      <c r="AM2" s="638">
        <f t="shared" si="1"/>
        <v>5402.0456529379444</v>
      </c>
      <c r="AN2" s="638">
        <f t="shared" si="1"/>
        <v>5706.8958398461109</v>
      </c>
    </row>
    <row r="3" spans="1:40">
      <c r="A3" s="17">
        <v>2</v>
      </c>
      <c r="B3" s="58">
        <f t="shared" ref="B3:E8" si="2">B20+B32+B44+B56</f>
        <v>0</v>
      </c>
      <c r="C3" s="58">
        <f t="shared" si="2"/>
        <v>0</v>
      </c>
      <c r="D3" s="58">
        <f t="shared" si="2"/>
        <v>0</v>
      </c>
      <c r="E3" s="638">
        <f t="shared" si="2"/>
        <v>0.70012744047599773</v>
      </c>
      <c r="F3" s="638">
        <f t="shared" ref="F3:AN7" si="3">F20+F32+F44+F56</f>
        <v>1.780773436612709</v>
      </c>
      <c r="G3" s="638">
        <f t="shared" si="3"/>
        <v>5.5780095062822674</v>
      </c>
      <c r="H3" s="638">
        <f t="shared" si="3"/>
        <v>18.55700339175479</v>
      </c>
      <c r="I3" s="638">
        <f t="shared" si="3"/>
        <v>46.167958278118299</v>
      </c>
      <c r="J3" s="638">
        <f t="shared" si="3"/>
        <v>86.152023624688553</v>
      </c>
      <c r="K3" s="638">
        <f t="shared" si="3"/>
        <v>119.76098430932448</v>
      </c>
      <c r="L3" s="638">
        <f t="shared" si="3"/>
        <v>147.31321053277</v>
      </c>
      <c r="M3" s="638">
        <f t="shared" si="3"/>
        <v>190.29587416015164</v>
      </c>
      <c r="N3" s="638">
        <f t="shared" si="3"/>
        <v>249.04328536407291</v>
      </c>
      <c r="O3" s="638">
        <f t="shared" si="3"/>
        <v>320.0590139243472</v>
      </c>
      <c r="P3" s="638">
        <f t="shared" si="3"/>
        <v>400.20978334682479</v>
      </c>
      <c r="Q3" s="638">
        <f t="shared" si="3"/>
        <v>487.54445087768283</v>
      </c>
      <c r="R3" s="638">
        <f t="shared" si="3"/>
        <v>582.44356110083379</v>
      </c>
      <c r="S3" s="638">
        <f t="shared" si="3"/>
        <v>683.53312262617897</v>
      </c>
      <c r="T3" s="638">
        <f t="shared" si="3"/>
        <v>791.19223822629567</v>
      </c>
      <c r="U3" s="638">
        <f t="shared" si="3"/>
        <v>893.55790609832923</v>
      </c>
      <c r="V3" s="638">
        <f t="shared" si="3"/>
        <v>988.18923328513677</v>
      </c>
      <c r="W3" s="638">
        <f t="shared" si="3"/>
        <v>1079.7482931196714</v>
      </c>
      <c r="X3" s="638">
        <f t="shared" si="3"/>
        <v>1169.2058379870762</v>
      </c>
      <c r="Y3" s="638">
        <f t="shared" si="3"/>
        <v>1259.0200273979513</v>
      </c>
      <c r="Z3" s="638">
        <f t="shared" si="3"/>
        <v>1347.4050969712393</v>
      </c>
      <c r="AA3" s="638">
        <f t="shared" si="3"/>
        <v>1435.9851557557824</v>
      </c>
      <c r="AB3" s="638">
        <f t="shared" si="3"/>
        <v>1526.1286009933576</v>
      </c>
      <c r="AC3" s="638">
        <f t="shared" si="3"/>
        <v>1620.0398691318287</v>
      </c>
      <c r="AD3" s="638">
        <f t="shared" si="3"/>
        <v>1718.5948196926911</v>
      </c>
      <c r="AE3" s="638">
        <f t="shared" si="3"/>
        <v>1814.8700944441837</v>
      </c>
      <c r="AF3" s="638">
        <f t="shared" si="3"/>
        <v>1913.4380856851967</v>
      </c>
      <c r="AG3" s="638">
        <f t="shared" si="3"/>
        <v>2031.1207104656983</v>
      </c>
      <c r="AH3" s="638">
        <f t="shared" si="3"/>
        <v>2160.5105725145672</v>
      </c>
      <c r="AI3" s="638">
        <f t="shared" si="3"/>
        <v>2286.9462862129371</v>
      </c>
      <c r="AJ3" s="638">
        <f t="shared" si="3"/>
        <v>2419.1932621946162</v>
      </c>
      <c r="AK3" s="638">
        <f t="shared" si="3"/>
        <v>2574.2433954709513</v>
      </c>
      <c r="AL3" s="638">
        <f t="shared" si="3"/>
        <v>2768.2955006816592</v>
      </c>
      <c r="AM3" s="638">
        <f t="shared" si="3"/>
        <v>2977.5594244474419</v>
      </c>
      <c r="AN3" s="638">
        <f t="shared" si="3"/>
        <v>3173.1480537846055</v>
      </c>
    </row>
    <row r="4" spans="1:40">
      <c r="A4" s="17">
        <v>3</v>
      </c>
      <c r="B4" s="58">
        <f t="shared" si="2"/>
        <v>0</v>
      </c>
      <c r="C4" s="58">
        <f t="shared" si="0"/>
        <v>0</v>
      </c>
      <c r="D4" s="58">
        <f t="shared" si="0"/>
        <v>0</v>
      </c>
      <c r="E4" s="638">
        <f t="shared" si="0"/>
        <v>0.14720892604048189</v>
      </c>
      <c r="F4" s="638">
        <f t="shared" si="3"/>
        <v>1.3339766745905934</v>
      </c>
      <c r="G4" s="638">
        <f t="shared" si="3"/>
        <v>6.8878423362633212</v>
      </c>
      <c r="H4" s="638">
        <f t="shared" si="3"/>
        <v>21.287798314906794</v>
      </c>
      <c r="I4" s="638">
        <f t="shared" si="3"/>
        <v>47.868390859078005</v>
      </c>
      <c r="J4" s="638">
        <f t="shared" si="3"/>
        <v>86.345267983997545</v>
      </c>
      <c r="K4" s="638">
        <f t="shared" si="3"/>
        <v>112.25136441045886</v>
      </c>
      <c r="L4" s="638">
        <f t="shared" si="3"/>
        <v>120.84446603703057</v>
      </c>
      <c r="M4" s="638">
        <f t="shared" si="3"/>
        <v>139.2084149646935</v>
      </c>
      <c r="N4" s="638">
        <f t="shared" si="3"/>
        <v>170.08099709231755</v>
      </c>
      <c r="O4" s="638">
        <f t="shared" si="3"/>
        <v>205.72198965384135</v>
      </c>
      <c r="P4" s="638">
        <f t="shared" si="3"/>
        <v>244.87008537748503</v>
      </c>
      <c r="Q4" s="638">
        <f t="shared" si="3"/>
        <v>286.88312716298356</v>
      </c>
      <c r="R4" s="638">
        <f t="shared" si="3"/>
        <v>330.96018524453621</v>
      </c>
      <c r="S4" s="638">
        <f t="shared" si="3"/>
        <v>377.43279032900108</v>
      </c>
      <c r="T4" s="638">
        <f t="shared" si="3"/>
        <v>428.38557598007475</v>
      </c>
      <c r="U4" s="638">
        <f t="shared" si="3"/>
        <v>474.7061867928374</v>
      </c>
      <c r="V4" s="638">
        <f t="shared" si="3"/>
        <v>514.01452206351814</v>
      </c>
      <c r="W4" s="638">
        <f t="shared" si="3"/>
        <v>555.20186598252326</v>
      </c>
      <c r="X4" s="638">
        <f t="shared" si="3"/>
        <v>598.4571529330741</v>
      </c>
      <c r="Y4" s="638">
        <f t="shared" si="3"/>
        <v>644.67887163056173</v>
      </c>
      <c r="Z4" s="638">
        <f t="shared" si="3"/>
        <v>694.55285081954651</v>
      </c>
      <c r="AA4" s="638">
        <f t="shared" si="3"/>
        <v>748.56200894897017</v>
      </c>
      <c r="AB4" s="638">
        <f t="shared" si="3"/>
        <v>813.495868339759</v>
      </c>
      <c r="AC4" s="638">
        <f t="shared" si="3"/>
        <v>891.95674214081907</v>
      </c>
      <c r="AD4" s="638">
        <f t="shared" si="3"/>
        <v>973.31917506002753</v>
      </c>
      <c r="AE4" s="638">
        <f t="shared" si="3"/>
        <v>1049.3678836320357</v>
      </c>
      <c r="AF4" s="638">
        <f t="shared" si="3"/>
        <v>1125.1658918012999</v>
      </c>
      <c r="AG4" s="638">
        <f t="shared" si="3"/>
        <v>1206.7732923632366</v>
      </c>
      <c r="AH4" s="638">
        <f t="shared" si="3"/>
        <v>1295.3674936672116</v>
      </c>
      <c r="AI4" s="638">
        <f t="shared" si="3"/>
        <v>1391.5260191021098</v>
      </c>
      <c r="AJ4" s="638">
        <f t="shared" si="3"/>
        <v>1495.6913351540577</v>
      </c>
      <c r="AK4" s="638">
        <f t="shared" si="3"/>
        <v>1607.5447909854745</v>
      </c>
      <c r="AL4" s="638">
        <f t="shared" si="3"/>
        <v>1727.7520641726899</v>
      </c>
      <c r="AM4" s="638">
        <f t="shared" si="3"/>
        <v>1857.7546760854573</v>
      </c>
      <c r="AN4" s="638">
        <f t="shared" si="3"/>
        <v>1999.3438292368371</v>
      </c>
    </row>
    <row r="5" spans="1:40">
      <c r="A5" s="17">
        <v>4</v>
      </c>
      <c r="B5" s="58">
        <f t="shared" si="2"/>
        <v>0</v>
      </c>
      <c r="C5" s="58">
        <f t="shared" si="0"/>
        <v>0</v>
      </c>
      <c r="D5" s="58">
        <f t="shared" si="0"/>
        <v>0</v>
      </c>
      <c r="E5" s="638">
        <f t="shared" si="0"/>
        <v>5.39056002371366E-2</v>
      </c>
      <c r="F5" s="638">
        <f t="shared" si="3"/>
        <v>0.95431470540109065</v>
      </c>
      <c r="G5" s="638">
        <f t="shared" si="3"/>
        <v>3.4785753815268867</v>
      </c>
      <c r="H5" s="638">
        <f t="shared" si="3"/>
        <v>7.5994956607932309</v>
      </c>
      <c r="I5" s="638">
        <f t="shared" si="3"/>
        <v>13.98044788414993</v>
      </c>
      <c r="J5" s="638">
        <f t="shared" si="3"/>
        <v>22.510358338060136</v>
      </c>
      <c r="K5" s="638">
        <f t="shared" si="3"/>
        <v>28.975285930671564</v>
      </c>
      <c r="L5" s="638">
        <f t="shared" si="3"/>
        <v>31.77476521808504</v>
      </c>
      <c r="M5" s="638">
        <f t="shared" si="3"/>
        <v>37.02239458958995</v>
      </c>
      <c r="N5" s="638">
        <f t="shared" si="3"/>
        <v>47.96308453461355</v>
      </c>
      <c r="O5" s="638">
        <f t="shared" si="3"/>
        <v>62.079964671563218</v>
      </c>
      <c r="P5" s="638">
        <f t="shared" si="3"/>
        <v>76.302587072470374</v>
      </c>
      <c r="Q5" s="638">
        <f t="shared" si="3"/>
        <v>90.848606053779505</v>
      </c>
      <c r="R5" s="638">
        <f t="shared" si="3"/>
        <v>107.37700982712364</v>
      </c>
      <c r="S5" s="638">
        <f t="shared" si="3"/>
        <v>124.09775654819579</v>
      </c>
      <c r="T5" s="638">
        <f t="shared" si="3"/>
        <v>141.81162746510577</v>
      </c>
      <c r="U5" s="638">
        <f t="shared" si="3"/>
        <v>157.98364005509984</v>
      </c>
      <c r="V5" s="638">
        <f t="shared" si="3"/>
        <v>171.86889509358144</v>
      </c>
      <c r="W5" s="638">
        <f t="shared" si="3"/>
        <v>185.99345796864162</v>
      </c>
      <c r="X5" s="638">
        <f t="shared" si="3"/>
        <v>198.75796403406673</v>
      </c>
      <c r="Y5" s="638">
        <f t="shared" si="3"/>
        <v>211.98486795230471</v>
      </c>
      <c r="Z5" s="638">
        <f t="shared" si="3"/>
        <v>225.85316318105384</v>
      </c>
      <c r="AA5" s="638">
        <f t="shared" si="3"/>
        <v>239.74792106947331</v>
      </c>
      <c r="AB5" s="638">
        <f t="shared" si="3"/>
        <v>253.83129104664516</v>
      </c>
      <c r="AC5" s="638">
        <f t="shared" si="3"/>
        <v>269.10433715221558</v>
      </c>
      <c r="AD5" s="638">
        <f t="shared" si="3"/>
        <v>285.44926964476178</v>
      </c>
      <c r="AE5" s="638">
        <f t="shared" si="3"/>
        <v>300.1294487042785</v>
      </c>
      <c r="AF5" s="638">
        <f t="shared" si="3"/>
        <v>314.61116859734045</v>
      </c>
      <c r="AG5" s="638">
        <f t="shared" si="3"/>
        <v>330.59888722371937</v>
      </c>
      <c r="AH5" s="638">
        <f t="shared" si="3"/>
        <v>347.62449235640406</v>
      </c>
      <c r="AI5" s="638">
        <f t="shared" si="3"/>
        <v>365.73853594515816</v>
      </c>
      <c r="AJ5" s="638">
        <f t="shared" si="3"/>
        <v>384.88494611654346</v>
      </c>
      <c r="AK5" s="638">
        <f t="shared" si="3"/>
        <v>405.19569226442655</v>
      </c>
      <c r="AL5" s="638">
        <f t="shared" si="3"/>
        <v>426.70326625268211</v>
      </c>
      <c r="AM5" s="638">
        <f t="shared" si="3"/>
        <v>449.53080624422529</v>
      </c>
      <c r="AN5" s="638">
        <f t="shared" si="3"/>
        <v>473.81544571957829</v>
      </c>
    </row>
    <row r="6" spans="1:40">
      <c r="A6" s="17">
        <v>5</v>
      </c>
      <c r="B6" s="58">
        <f t="shared" si="2"/>
        <v>0</v>
      </c>
      <c r="C6" s="58">
        <f t="shared" si="0"/>
        <v>0</v>
      </c>
      <c r="D6" s="58">
        <f t="shared" si="0"/>
        <v>0</v>
      </c>
      <c r="E6" s="638">
        <f t="shared" si="0"/>
        <v>0</v>
      </c>
      <c r="F6" s="638">
        <f t="shared" si="3"/>
        <v>0</v>
      </c>
      <c r="G6" s="638">
        <f t="shared" si="3"/>
        <v>0</v>
      </c>
      <c r="H6" s="638">
        <f t="shared" si="3"/>
        <v>0</v>
      </c>
      <c r="I6" s="638">
        <f t="shared" si="3"/>
        <v>0</v>
      </c>
      <c r="J6" s="638">
        <f t="shared" si="3"/>
        <v>0</v>
      </c>
      <c r="K6" s="638">
        <f t="shared" si="3"/>
        <v>0</v>
      </c>
      <c r="L6" s="638">
        <f t="shared" si="3"/>
        <v>0</v>
      </c>
      <c r="M6" s="638">
        <f t="shared" si="3"/>
        <v>0</v>
      </c>
      <c r="N6" s="638">
        <f t="shared" si="3"/>
        <v>0</v>
      </c>
      <c r="O6" s="638">
        <f t="shared" si="3"/>
        <v>0</v>
      </c>
      <c r="P6" s="638">
        <f t="shared" si="3"/>
        <v>0</v>
      </c>
      <c r="Q6" s="638">
        <f t="shared" si="3"/>
        <v>0</v>
      </c>
      <c r="R6" s="638">
        <f t="shared" si="3"/>
        <v>0</v>
      </c>
      <c r="S6" s="638">
        <f t="shared" si="3"/>
        <v>0</v>
      </c>
      <c r="T6" s="638">
        <f t="shared" si="3"/>
        <v>0</v>
      </c>
      <c r="U6" s="638">
        <f t="shared" si="3"/>
        <v>0</v>
      </c>
      <c r="V6" s="638">
        <f t="shared" si="3"/>
        <v>0</v>
      </c>
      <c r="W6" s="638">
        <f t="shared" si="3"/>
        <v>0</v>
      </c>
      <c r="X6" s="638">
        <f t="shared" si="3"/>
        <v>0</v>
      </c>
      <c r="Y6" s="638">
        <f t="shared" si="3"/>
        <v>0</v>
      </c>
      <c r="Z6" s="638">
        <f t="shared" si="3"/>
        <v>0</v>
      </c>
      <c r="AA6" s="638">
        <f t="shared" si="3"/>
        <v>0</v>
      </c>
      <c r="AB6" s="638">
        <f t="shared" si="3"/>
        <v>0</v>
      </c>
      <c r="AC6" s="638">
        <f t="shared" si="3"/>
        <v>0</v>
      </c>
      <c r="AD6" s="638">
        <f t="shared" si="3"/>
        <v>0</v>
      </c>
      <c r="AE6" s="638">
        <f t="shared" si="3"/>
        <v>0</v>
      </c>
      <c r="AF6" s="638">
        <f t="shared" si="3"/>
        <v>0</v>
      </c>
      <c r="AG6" s="638">
        <f t="shared" si="3"/>
        <v>0</v>
      </c>
      <c r="AH6" s="638">
        <f t="shared" si="3"/>
        <v>0</v>
      </c>
      <c r="AI6" s="638">
        <f t="shared" si="3"/>
        <v>0</v>
      </c>
      <c r="AJ6" s="638">
        <f t="shared" si="3"/>
        <v>0</v>
      </c>
      <c r="AK6" s="638">
        <f t="shared" si="3"/>
        <v>0</v>
      </c>
      <c r="AL6" s="638">
        <f t="shared" si="3"/>
        <v>0</v>
      </c>
      <c r="AM6" s="638">
        <f t="shared" si="3"/>
        <v>0</v>
      </c>
      <c r="AN6" s="638">
        <f t="shared" si="3"/>
        <v>0</v>
      </c>
    </row>
    <row r="7" spans="1:40">
      <c r="A7" s="17">
        <v>6</v>
      </c>
      <c r="B7" s="58">
        <f t="shared" si="2"/>
        <v>0</v>
      </c>
      <c r="C7" s="58">
        <f t="shared" si="0"/>
        <v>0</v>
      </c>
      <c r="D7" s="58">
        <f t="shared" si="0"/>
        <v>0</v>
      </c>
      <c r="E7" s="638">
        <f t="shared" si="0"/>
        <v>1.3776506037335768E-3</v>
      </c>
      <c r="F7" s="638">
        <f t="shared" si="3"/>
        <v>9.9992056056778383E-3</v>
      </c>
      <c r="G7" s="638">
        <f t="shared" si="3"/>
        <v>5.6286076865589438E-2</v>
      </c>
      <c r="H7" s="638">
        <f t="shared" si="3"/>
        <v>0.1977263213615468</v>
      </c>
      <c r="I7" s="638">
        <f t="shared" si="3"/>
        <v>0.45925472030867881</v>
      </c>
      <c r="J7" s="638">
        <f t="shared" si="3"/>
        <v>0.81230447635381775</v>
      </c>
      <c r="K7" s="638">
        <f t="shared" si="3"/>
        <v>1.0062649511729489</v>
      </c>
      <c r="L7" s="638">
        <f t="shared" si="3"/>
        <v>1.025834776680784</v>
      </c>
      <c r="M7" s="638">
        <f t="shared" si="3"/>
        <v>1.1649199226207259</v>
      </c>
      <c r="N7" s="638">
        <f t="shared" si="3"/>
        <v>1.4379936917872875</v>
      </c>
      <c r="O7" s="638">
        <f t="shared" si="3"/>
        <v>1.7674499696886508</v>
      </c>
      <c r="P7" s="638">
        <f t="shared" si="3"/>
        <v>2.1751016202766933</v>
      </c>
      <c r="Q7" s="638">
        <f t="shared" si="3"/>
        <v>2.6240320042287477</v>
      </c>
      <c r="R7" s="638">
        <f t="shared" si="3"/>
        <v>3.0792042875872516</v>
      </c>
      <c r="S7" s="638">
        <f t="shared" si="3"/>
        <v>3.5878098154797735</v>
      </c>
      <c r="T7" s="638">
        <f t="shared" si="3"/>
        <v>4.1113785407247452</v>
      </c>
      <c r="U7" s="638">
        <f t="shared" si="3"/>
        <v>4.5391194141010027</v>
      </c>
      <c r="V7" s="638">
        <f t="shared" si="3"/>
        <v>4.8918928789005234</v>
      </c>
      <c r="W7" s="638">
        <f t="shared" si="3"/>
        <v>5.259833734884932</v>
      </c>
      <c r="X7" s="638">
        <f t="shared" si="3"/>
        <v>5.6412433710056975</v>
      </c>
      <c r="Y7" s="638">
        <f t="shared" si="3"/>
        <v>6.0420919202680166</v>
      </c>
      <c r="Z7" s="638">
        <f t="shared" si="3"/>
        <v>6.4826880263971356</v>
      </c>
      <c r="AA7" s="638">
        <f t="shared" si="3"/>
        <v>6.9600854268150467</v>
      </c>
      <c r="AB7" s="638">
        <f t="shared" si="3"/>
        <v>7.4732266552174353</v>
      </c>
      <c r="AC7" s="638">
        <f t="shared" si="3"/>
        <v>8.0406479596200793</v>
      </c>
      <c r="AD7" s="638">
        <f t="shared" si="3"/>
        <v>8.6562493427711296</v>
      </c>
      <c r="AE7" s="638">
        <f t="shared" si="3"/>
        <v>9.2203244867271952</v>
      </c>
      <c r="AF7" s="638">
        <f t="shared" si="3"/>
        <v>9.7933282878563173</v>
      </c>
      <c r="AG7" s="638">
        <f t="shared" si="3"/>
        <v>10.423957506474501</v>
      </c>
      <c r="AH7" s="638">
        <f t="shared" si="3"/>
        <v>11.092403932313335</v>
      </c>
      <c r="AI7" s="638">
        <f t="shared" si="3"/>
        <v>11.813341355274522</v>
      </c>
      <c r="AJ7" s="638">
        <f t="shared" si="3"/>
        <v>12.591561499004454</v>
      </c>
      <c r="AK7" s="638">
        <f t="shared" si="3"/>
        <v>13.415223584350542</v>
      </c>
      <c r="AL7" s="638">
        <f t="shared" si="3"/>
        <v>14.295032248880089</v>
      </c>
      <c r="AM7" s="638">
        <f t="shared" si="3"/>
        <v>15.229685249299569</v>
      </c>
      <c r="AN7" s="638">
        <f t="shared" si="3"/>
        <v>16.228694114490292</v>
      </c>
    </row>
    <row r="8" spans="1:40">
      <c r="A8" s="17">
        <v>7</v>
      </c>
      <c r="B8" s="58">
        <f t="shared" si="2"/>
        <v>0</v>
      </c>
      <c r="C8" s="58">
        <f t="shared" si="0"/>
        <v>0</v>
      </c>
      <c r="D8" s="58">
        <f t="shared" si="0"/>
        <v>0</v>
      </c>
      <c r="E8" s="638">
        <f t="shared" ref="E8:AN8" si="4">E25+E37+E49+E61</f>
        <v>3.795360056026582E-3</v>
      </c>
      <c r="F8" s="638">
        <f t="shared" si="4"/>
        <v>2.5517683740473789E-2</v>
      </c>
      <c r="G8" s="638">
        <f t="shared" si="4"/>
        <v>0.24437820994921824</v>
      </c>
      <c r="H8" s="638">
        <f t="shared" si="4"/>
        <v>0.86271473820866007</v>
      </c>
      <c r="I8" s="638">
        <f t="shared" si="4"/>
        <v>1.9054418236967514</v>
      </c>
      <c r="J8" s="638">
        <f t="shared" si="4"/>
        <v>3.3202737699309051</v>
      </c>
      <c r="K8" s="638">
        <f t="shared" si="4"/>
        <v>4.7455971769748322</v>
      </c>
      <c r="L8" s="638">
        <f t="shared" si="4"/>
        <v>6.1657333352898211</v>
      </c>
      <c r="M8" s="638">
        <f t="shared" si="4"/>
        <v>8.2358436676344251</v>
      </c>
      <c r="N8" s="638">
        <f t="shared" si="4"/>
        <v>11.055946335319359</v>
      </c>
      <c r="O8" s="638">
        <f t="shared" si="4"/>
        <v>14.262793619045977</v>
      </c>
      <c r="P8" s="638">
        <f t="shared" si="4"/>
        <v>17.668954333580736</v>
      </c>
      <c r="Q8" s="638">
        <f t="shared" si="4"/>
        <v>21.086507016656139</v>
      </c>
      <c r="R8" s="638">
        <f t="shared" si="4"/>
        <v>24.408850761458716</v>
      </c>
      <c r="S8" s="638">
        <f t="shared" si="4"/>
        <v>27.625766938499691</v>
      </c>
      <c r="T8" s="638">
        <f t="shared" si="4"/>
        <v>30.757065665882585</v>
      </c>
      <c r="U8" s="638">
        <f t="shared" si="4"/>
        <v>33.463056703893756</v>
      </c>
      <c r="V8" s="638">
        <f t="shared" si="4"/>
        <v>35.746103838670209</v>
      </c>
      <c r="W8" s="638">
        <f t="shared" si="4"/>
        <v>37.998893650107831</v>
      </c>
      <c r="X8" s="638">
        <f t="shared" si="4"/>
        <v>40.276908755837432</v>
      </c>
      <c r="Y8" s="638">
        <f t="shared" si="4"/>
        <v>42.624544375933532</v>
      </c>
      <c r="Z8" s="638">
        <f t="shared" si="4"/>
        <v>45.047814767829969</v>
      </c>
      <c r="AA8" s="638">
        <f t="shared" si="4"/>
        <v>47.614540579222265</v>
      </c>
      <c r="AB8" s="638">
        <f t="shared" si="4"/>
        <v>50.364112564262129</v>
      </c>
      <c r="AC8" s="638">
        <f t="shared" si="4"/>
        <v>53.279436307790313</v>
      </c>
      <c r="AD8" s="638">
        <f t="shared" si="4"/>
        <v>56.374603422769646</v>
      </c>
      <c r="AE8" s="638">
        <f t="shared" si="4"/>
        <v>59.405368073790001</v>
      </c>
      <c r="AF8" s="638">
        <f t="shared" si="4"/>
        <v>62.399016864469523</v>
      </c>
      <c r="AG8" s="638">
        <f t="shared" si="4"/>
        <v>65.617757853418965</v>
      </c>
      <c r="AH8" s="638">
        <f t="shared" si="4"/>
        <v>69.033838976741109</v>
      </c>
      <c r="AI8" s="638">
        <f t="shared" si="4"/>
        <v>72.629102628705624</v>
      </c>
      <c r="AJ8" s="638">
        <f t="shared" si="4"/>
        <v>76.457563330336711</v>
      </c>
      <c r="AK8" s="638">
        <f t="shared" si="4"/>
        <v>80.567021450979141</v>
      </c>
      <c r="AL8" s="638">
        <f t="shared" si="4"/>
        <v>84.822218406604378</v>
      </c>
      <c r="AM8" s="638">
        <f t="shared" si="4"/>
        <v>89.171322186333029</v>
      </c>
      <c r="AN8" s="638">
        <f t="shared" si="4"/>
        <v>94.109610532102536</v>
      </c>
    </row>
    <row r="9" spans="1:40">
      <c r="A9" s="17"/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</row>
    <row r="10" spans="1:40">
      <c r="A10" s="120"/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</row>
    <row r="11" spans="1:40">
      <c r="A11" s="17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</row>
    <row r="12" spans="1:40">
      <c r="A12" s="17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</row>
    <row r="13" spans="1:40">
      <c r="A13" s="17" t="s">
        <v>95</v>
      </c>
      <c r="B13" s="302">
        <f>SUM(B2:B12)</f>
        <v>0</v>
      </c>
      <c r="C13" s="302">
        <f t="shared" ref="C13:AN13" si="5">SUM(C2:C12)</f>
        <v>0</v>
      </c>
      <c r="D13" s="302">
        <f t="shared" si="5"/>
        <v>0</v>
      </c>
      <c r="E13" s="302">
        <f t="shared" si="5"/>
        <v>1.6162535880715676</v>
      </c>
      <c r="F13" s="302">
        <f t="shared" si="5"/>
        <v>8.5434267696074606</v>
      </c>
      <c r="G13" s="302">
        <f t="shared" si="5"/>
        <v>40.676901247483407</v>
      </c>
      <c r="H13" s="302">
        <f t="shared" si="5"/>
        <v>119.45841767458801</v>
      </c>
      <c r="I13" s="302">
        <f t="shared" si="5"/>
        <v>248.5329945061462</v>
      </c>
      <c r="J13" s="302">
        <f t="shared" si="5"/>
        <v>424.87890136771097</v>
      </c>
      <c r="K13" s="302">
        <f t="shared" si="5"/>
        <v>563.28741099427975</v>
      </c>
      <c r="L13" s="302">
        <f t="shared" si="5"/>
        <v>653.29429575039376</v>
      </c>
      <c r="M13" s="302">
        <f t="shared" si="5"/>
        <v>808.9452411746272</v>
      </c>
      <c r="N13" s="302">
        <f t="shared" si="5"/>
        <v>1042.2945206825159</v>
      </c>
      <c r="O13" s="302">
        <f t="shared" si="5"/>
        <v>1317.9466751373591</v>
      </c>
      <c r="P13" s="302">
        <f t="shared" si="5"/>
        <v>1621.5552899812019</v>
      </c>
      <c r="Q13" s="302">
        <f t="shared" si="5"/>
        <v>1948.2799892558787</v>
      </c>
      <c r="R13" s="302">
        <f t="shared" si="5"/>
        <v>2289.7497117120738</v>
      </c>
      <c r="S13" s="302">
        <f t="shared" si="5"/>
        <v>2641.9942234721875</v>
      </c>
      <c r="T13" s="302">
        <f t="shared" si="5"/>
        <v>3014.7553416784049</v>
      </c>
      <c r="U13" s="302">
        <f t="shared" si="5"/>
        <v>3356.0701580162058</v>
      </c>
      <c r="V13" s="302">
        <f t="shared" si="5"/>
        <v>3657.7836906294838</v>
      </c>
      <c r="W13" s="302">
        <f t="shared" si="5"/>
        <v>3959.3422027358306</v>
      </c>
      <c r="X13" s="302">
        <f t="shared" si="5"/>
        <v>4260.3233527263637</v>
      </c>
      <c r="Y13" s="302">
        <f t="shared" si="5"/>
        <v>4570.4285784539597</v>
      </c>
      <c r="Z13" s="302">
        <f t="shared" si="5"/>
        <v>4890.402417880443</v>
      </c>
      <c r="AA13" s="302">
        <f t="shared" si="5"/>
        <v>5218.1219658884802</v>
      </c>
      <c r="AB13" s="302">
        <f t="shared" si="5"/>
        <v>5565.331766162597</v>
      </c>
      <c r="AC13" s="302">
        <f t="shared" si="5"/>
        <v>5939.1463390283288</v>
      </c>
      <c r="AD13" s="302">
        <f t="shared" si="5"/>
        <v>6338.8449374853317</v>
      </c>
      <c r="AE13" s="302">
        <f t="shared" si="5"/>
        <v>6726.0289382496376</v>
      </c>
      <c r="AF13" s="302">
        <f t="shared" si="5"/>
        <v>7108.9459753898809</v>
      </c>
      <c r="AG13" s="302">
        <f t="shared" si="5"/>
        <v>7537.7328891948882</v>
      </c>
      <c r="AH13" s="302">
        <f t="shared" si="5"/>
        <v>7999.168600048024</v>
      </c>
      <c r="AI13" s="302">
        <f t="shared" si="5"/>
        <v>8475.01165805446</v>
      </c>
      <c r="AJ13" s="302">
        <f t="shared" si="5"/>
        <v>8976.9693191340266</v>
      </c>
      <c r="AK13" s="302">
        <f t="shared" si="5"/>
        <v>9524.7872546849594</v>
      </c>
      <c r="AL13" s="302">
        <f t="shared" si="5"/>
        <v>10136.676808089234</v>
      </c>
      <c r="AM13" s="302">
        <f t="shared" si="5"/>
        <v>10791.291567150702</v>
      </c>
      <c r="AN13" s="302">
        <f t="shared" si="5"/>
        <v>11463.541473233725</v>
      </c>
    </row>
    <row r="16" spans="1:40" ht="15">
      <c r="A16" s="616" t="s">
        <v>2554</v>
      </c>
      <c r="B16" s="430"/>
      <c r="C16" s="430"/>
      <c r="D16" s="430"/>
      <c r="E16" s="430"/>
      <c r="F16" s="430"/>
      <c r="G16" s="430"/>
      <c r="H16" s="430"/>
      <c r="I16" s="430"/>
      <c r="J16" s="430"/>
      <c r="K16" s="430"/>
      <c r="L16" s="430"/>
      <c r="M16" s="430"/>
      <c r="N16" s="430"/>
      <c r="O16" s="430"/>
      <c r="P16" s="430"/>
      <c r="Q16" s="430"/>
      <c r="R16" s="430"/>
      <c r="S16" s="430"/>
      <c r="T16" s="430"/>
      <c r="U16" s="430"/>
      <c r="V16" s="430"/>
      <c r="W16" s="430"/>
      <c r="X16" s="430"/>
      <c r="Y16" s="430"/>
      <c r="Z16" s="430"/>
      <c r="AA16" s="430"/>
      <c r="AB16" s="430"/>
      <c r="AC16" s="430"/>
      <c r="AD16" s="430"/>
      <c r="AE16" s="430"/>
      <c r="AF16" s="430"/>
      <c r="AG16" s="430"/>
      <c r="AH16" s="430"/>
      <c r="AI16" s="430"/>
      <c r="AJ16" s="430"/>
      <c r="AK16" s="430"/>
      <c r="AL16" s="430"/>
      <c r="AM16" s="430"/>
      <c r="AN16" s="430"/>
    </row>
    <row r="17" spans="1:40" ht="15">
      <c r="A17" s="617" t="s">
        <v>2555</v>
      </c>
    </row>
    <row r="18" spans="1:40" ht="15">
      <c r="A18" s="617"/>
      <c r="B18" s="274">
        <v>2012</v>
      </c>
      <c r="C18" s="274">
        <v>2013</v>
      </c>
      <c r="D18" s="274">
        <v>2014</v>
      </c>
      <c r="E18" s="274">
        <v>2015</v>
      </c>
      <c r="F18" s="274">
        <v>2016</v>
      </c>
      <c r="G18" s="274">
        <v>2017</v>
      </c>
      <c r="H18" s="274">
        <v>2018</v>
      </c>
      <c r="I18" s="274">
        <v>2019</v>
      </c>
      <c r="J18" s="274">
        <v>2020</v>
      </c>
      <c r="K18" s="274">
        <v>2021</v>
      </c>
      <c r="L18" s="274">
        <v>2022</v>
      </c>
      <c r="M18" s="274">
        <v>2023</v>
      </c>
      <c r="N18" s="274">
        <v>2024</v>
      </c>
      <c r="O18" s="274">
        <v>2025</v>
      </c>
      <c r="P18" s="274">
        <v>2026</v>
      </c>
      <c r="Q18" s="274">
        <v>2027</v>
      </c>
      <c r="R18" s="274">
        <v>2028</v>
      </c>
      <c r="S18" s="274">
        <v>2029</v>
      </c>
      <c r="T18" s="274">
        <v>2030</v>
      </c>
      <c r="U18" s="274">
        <v>2031</v>
      </c>
      <c r="V18" s="274">
        <v>2032</v>
      </c>
      <c r="W18" s="274">
        <v>2033</v>
      </c>
      <c r="X18" s="274">
        <v>2034</v>
      </c>
      <c r="Y18" s="274">
        <v>2035</v>
      </c>
      <c r="Z18" s="274">
        <v>2036</v>
      </c>
      <c r="AA18" s="274">
        <v>2037</v>
      </c>
      <c r="AB18" s="274">
        <v>2038</v>
      </c>
      <c r="AC18" s="274">
        <v>2039</v>
      </c>
      <c r="AD18" s="274">
        <v>2040</v>
      </c>
      <c r="AE18" s="274">
        <v>2041</v>
      </c>
      <c r="AF18" s="274">
        <v>2042</v>
      </c>
      <c r="AG18" s="274">
        <v>2043</v>
      </c>
      <c r="AH18" s="274">
        <v>2044</v>
      </c>
      <c r="AI18" s="274">
        <v>2045</v>
      </c>
      <c r="AJ18" s="274">
        <v>2046</v>
      </c>
      <c r="AK18" s="274">
        <v>2047</v>
      </c>
      <c r="AL18" s="274">
        <v>2048</v>
      </c>
      <c r="AM18" s="274">
        <v>2049</v>
      </c>
      <c r="AN18" s="274">
        <v>2050</v>
      </c>
    </row>
    <row r="19" spans="1:40" ht="15">
      <c r="A19" s="617">
        <v>1</v>
      </c>
      <c r="E19" s="58">
        <v>0.68263551015819135</v>
      </c>
      <c r="F19" s="58">
        <v>3.5758198259069176</v>
      </c>
      <c r="G19" s="58">
        <v>11.73577110209612</v>
      </c>
      <c r="H19" s="58">
        <v>36.200797295502966</v>
      </c>
      <c r="I19" s="58">
        <v>82.437661179908716</v>
      </c>
      <c r="J19" s="58">
        <v>144.87766547619623</v>
      </c>
      <c r="K19" s="58">
        <v>191.82266999191972</v>
      </c>
      <c r="L19" s="58">
        <v>217.41121188308585</v>
      </c>
      <c r="M19" s="58">
        <v>271.81042282116135</v>
      </c>
      <c r="N19" s="58">
        <v>361.85842146251957</v>
      </c>
      <c r="O19" s="58">
        <v>466.37941419307515</v>
      </c>
      <c r="P19" s="58">
        <v>580.06184474638303</v>
      </c>
      <c r="Q19" s="58">
        <v>698.64004033769982</v>
      </c>
      <c r="R19" s="58">
        <v>817.66216955371613</v>
      </c>
      <c r="S19" s="58">
        <v>935.48493792352463</v>
      </c>
      <c r="T19" s="58">
        <v>1054.7943755813947</v>
      </c>
      <c r="U19" s="58">
        <v>1159.7781784220449</v>
      </c>
      <c r="V19" s="58">
        <v>1249.3964648176991</v>
      </c>
      <c r="W19" s="58">
        <v>1340.4488534243674</v>
      </c>
      <c r="X19" s="58">
        <v>1434.5096965065331</v>
      </c>
      <c r="Y19" s="58">
        <v>1535.1276423452402</v>
      </c>
      <c r="Z19" s="58">
        <v>1644.692570043233</v>
      </c>
      <c r="AA19" s="58">
        <v>1759.5704885147093</v>
      </c>
      <c r="AB19" s="58">
        <v>1881.6928669680042</v>
      </c>
      <c r="AC19" s="58">
        <v>2014.1042673641648</v>
      </c>
      <c r="AD19" s="58">
        <v>2161.6462081944014</v>
      </c>
      <c r="AE19" s="58">
        <v>2306.1653274759592</v>
      </c>
      <c r="AF19" s="58">
        <v>2447.8855632821142</v>
      </c>
      <c r="AG19" s="58">
        <v>2605.772082690215</v>
      </c>
      <c r="AH19" s="58">
        <v>2774.3308035065629</v>
      </c>
      <c r="AI19" s="58">
        <v>2949.8948426463639</v>
      </c>
      <c r="AJ19" s="58">
        <v>3134.8388424571363</v>
      </c>
      <c r="AK19" s="58">
        <v>3331.0103305464468</v>
      </c>
      <c r="AL19" s="58">
        <v>3538.6824289443889</v>
      </c>
      <c r="AM19" s="58">
        <v>3758.8734115556131</v>
      </c>
      <c r="AN19" s="58">
        <v>3992.6275664637792</v>
      </c>
    </row>
    <row r="20" spans="1:40" ht="15">
      <c r="A20" s="617">
        <v>2</v>
      </c>
      <c r="E20" s="58">
        <v>0.17459006547599779</v>
      </c>
      <c r="F20" s="58">
        <v>0.69579809161270889</v>
      </c>
      <c r="G20" s="58">
        <v>2.841223789782267</v>
      </c>
      <c r="H20" s="58">
        <v>10.54965767900479</v>
      </c>
      <c r="I20" s="58">
        <v>25.654563475349828</v>
      </c>
      <c r="J20" s="58">
        <v>45.201332739960854</v>
      </c>
      <c r="K20" s="58">
        <v>60.021575847369064</v>
      </c>
      <c r="L20" s="58">
        <v>70.426888251111947</v>
      </c>
      <c r="M20" s="58">
        <v>90.924708159676371</v>
      </c>
      <c r="N20" s="58">
        <v>122.29661577548089</v>
      </c>
      <c r="O20" s="58">
        <v>158.02178832231894</v>
      </c>
      <c r="P20" s="58">
        <v>196.66551874082333</v>
      </c>
      <c r="Q20" s="58">
        <v>236.50578899456258</v>
      </c>
      <c r="R20" s="58">
        <v>276.45008260669744</v>
      </c>
      <c r="S20" s="58">
        <v>316.26735130836687</v>
      </c>
      <c r="T20" s="58">
        <v>356.33739893289953</v>
      </c>
      <c r="U20" s="58">
        <v>391.42071882934914</v>
      </c>
      <c r="V20" s="58">
        <v>421.39331641460359</v>
      </c>
      <c r="W20" s="58">
        <v>451.83779963812225</v>
      </c>
      <c r="X20" s="58">
        <v>483.26201088504791</v>
      </c>
      <c r="Y20" s="58">
        <v>516.0968728881038</v>
      </c>
      <c r="Z20" s="58">
        <v>550.71496279131577</v>
      </c>
      <c r="AA20" s="58">
        <v>587.56306489632004</v>
      </c>
      <c r="AB20" s="58">
        <v>627.51088641507783</v>
      </c>
      <c r="AC20" s="58">
        <v>670.46393073384615</v>
      </c>
      <c r="AD20" s="58">
        <v>716.20597900008943</v>
      </c>
      <c r="AE20" s="58">
        <v>760.20579926577682</v>
      </c>
      <c r="AF20" s="58">
        <v>803.91779911240678</v>
      </c>
      <c r="AG20" s="58">
        <v>852.36209930621794</v>
      </c>
      <c r="AH20" s="58">
        <v>904.11798514242685</v>
      </c>
      <c r="AI20" s="58">
        <v>958.50564571955908</v>
      </c>
      <c r="AJ20" s="58">
        <v>1015.7274002059696</v>
      </c>
      <c r="AK20" s="58">
        <v>1076.7985219870366</v>
      </c>
      <c r="AL20" s="58">
        <v>1142.9571771977446</v>
      </c>
      <c r="AM20" s="58">
        <v>1212.8180509635274</v>
      </c>
      <c r="AN20" s="58">
        <v>1284.9081703006907</v>
      </c>
    </row>
    <row r="21" spans="1:40" ht="15">
      <c r="A21" s="617">
        <v>3</v>
      </c>
      <c r="B21" s="58"/>
      <c r="C21" s="58"/>
      <c r="D21" s="58"/>
      <c r="E21" s="24">
        <v>0.14629947604048188</v>
      </c>
      <c r="F21" s="24">
        <v>1.1939213745905934</v>
      </c>
      <c r="G21" s="24">
        <v>5.3663876362633216</v>
      </c>
      <c r="H21" s="24">
        <v>15.761764864906795</v>
      </c>
      <c r="I21" s="24">
        <v>34.51362683848977</v>
      </c>
      <c r="J21" s="24">
        <v>59.730064392821077</v>
      </c>
      <c r="K21" s="24">
        <v>77.409083269282391</v>
      </c>
      <c r="L21" s="24">
        <v>85.364139575265881</v>
      </c>
      <c r="M21" s="24">
        <v>102.43810811175233</v>
      </c>
      <c r="N21" s="24">
        <v>131.7821859481999</v>
      </c>
      <c r="O21" s="24">
        <v>165.52634696854724</v>
      </c>
      <c r="P21" s="24">
        <v>201.59147063042622</v>
      </c>
      <c r="Q21" s="24">
        <v>238.9416079835718</v>
      </c>
      <c r="R21" s="24">
        <v>276.8824526327715</v>
      </c>
      <c r="S21" s="24">
        <v>315.32875918488344</v>
      </c>
      <c r="T21" s="24">
        <v>354.43389250360417</v>
      </c>
      <c r="U21" s="24">
        <v>388.80074848401387</v>
      </c>
      <c r="V21" s="24">
        <v>418.34058217234178</v>
      </c>
      <c r="W21" s="24">
        <v>448.7213837589938</v>
      </c>
      <c r="X21" s="24">
        <v>480.43950659778005</v>
      </c>
      <c r="Y21" s="24">
        <v>513.820268183503</v>
      </c>
      <c r="Z21" s="24">
        <v>549.27048896072301</v>
      </c>
      <c r="AA21" s="24">
        <v>587.34338789897015</v>
      </c>
      <c r="AB21" s="24">
        <v>629.38190156917074</v>
      </c>
      <c r="AC21" s="24">
        <v>675.92659509964255</v>
      </c>
      <c r="AD21" s="24">
        <v>725.49137939826289</v>
      </c>
      <c r="AE21" s="24">
        <v>772.3486198996826</v>
      </c>
      <c r="AF21" s="24">
        <v>818.48952159835881</v>
      </c>
      <c r="AG21" s="24">
        <v>869.0380198102954</v>
      </c>
      <c r="AH21" s="24">
        <v>923.15469621427053</v>
      </c>
      <c r="AI21" s="24">
        <v>980.75438829916857</v>
      </c>
      <c r="AJ21" s="24">
        <v>1041.9840464511165</v>
      </c>
      <c r="AK21" s="24">
        <v>1106.8512092325334</v>
      </c>
      <c r="AL21" s="24">
        <v>1175.6498371697487</v>
      </c>
      <c r="AM21" s="24">
        <v>1248.7959503325162</v>
      </c>
      <c r="AN21" s="24">
        <v>1326.7040919338961</v>
      </c>
    </row>
    <row r="22" spans="1:40" ht="15">
      <c r="A22" s="617">
        <v>4</v>
      </c>
      <c r="B22" s="58"/>
      <c r="C22" s="58"/>
      <c r="D22" s="58"/>
      <c r="E22" s="58">
        <v>5.39056002371366E-2</v>
      </c>
      <c r="F22" s="58">
        <v>0.38803876940109067</v>
      </c>
      <c r="G22" s="58">
        <v>1.6721420035268868</v>
      </c>
      <c r="H22" s="58">
        <v>4.9476807767932316</v>
      </c>
      <c r="I22" s="58">
        <v>10.93663300014993</v>
      </c>
      <c r="J22" s="58">
        <v>18.976543454060135</v>
      </c>
      <c r="K22" s="58">
        <v>24.286033044039986</v>
      </c>
      <c r="L22" s="58">
        <v>26.199574328821885</v>
      </c>
      <c r="M22" s="58">
        <v>31.324703700326793</v>
      </c>
      <c r="N22" s="58">
        <v>40.267581586468815</v>
      </c>
      <c r="O22" s="58">
        <v>50.713715595238654</v>
      </c>
      <c r="P22" s="58">
        <v>62.107965924215982</v>
      </c>
      <c r="Q22" s="58">
        <v>73.696734844011971</v>
      </c>
      <c r="R22" s="58">
        <v>85.517780105842945</v>
      </c>
      <c r="S22" s="58">
        <v>97.482168315401935</v>
      </c>
      <c r="T22" s="58">
        <v>109.6295508765005</v>
      </c>
      <c r="U22" s="58">
        <v>120.28407511068316</v>
      </c>
      <c r="V22" s="58">
        <v>129.43747163765161</v>
      </c>
      <c r="W22" s="58">
        <v>138.78117600119865</v>
      </c>
      <c r="X22" s="58">
        <v>148.46593200511057</v>
      </c>
      <c r="Y22" s="58">
        <v>158.69296385141874</v>
      </c>
      <c r="Z22" s="58">
        <v>169.53145095461963</v>
      </c>
      <c r="AA22" s="58">
        <v>181.10989678415751</v>
      </c>
      <c r="AB22" s="58">
        <v>193.69482875869781</v>
      </c>
      <c r="AC22" s="58">
        <v>207.39593686163661</v>
      </c>
      <c r="AD22" s="58">
        <v>222.09543135155124</v>
      </c>
      <c r="AE22" s="58">
        <v>236.01611041106798</v>
      </c>
      <c r="AF22" s="58">
        <v>249.7383303041299</v>
      </c>
      <c r="AG22" s="58">
        <v>264.89304893050883</v>
      </c>
      <c r="AH22" s="58">
        <v>281.01215406319352</v>
      </c>
      <c r="AI22" s="58">
        <v>298.17069765194759</v>
      </c>
      <c r="AJ22" s="58">
        <v>316.28810782333289</v>
      </c>
      <c r="AK22" s="58">
        <v>335.47185397121604</v>
      </c>
      <c r="AL22" s="58">
        <v>355.77892795947156</v>
      </c>
      <c r="AM22" s="58">
        <v>377.30796795101475</v>
      </c>
      <c r="AN22" s="58">
        <v>400.17160742636776</v>
      </c>
    </row>
    <row r="23" spans="1:40" ht="15">
      <c r="A23" s="617">
        <v>5</v>
      </c>
      <c r="B23" s="58"/>
      <c r="C23" s="58"/>
      <c r="D23" s="58"/>
      <c r="E23" s="58">
        <v>0</v>
      </c>
      <c r="F23" s="58">
        <v>0</v>
      </c>
      <c r="G23" s="58">
        <v>0</v>
      </c>
      <c r="H23" s="58">
        <v>0</v>
      </c>
      <c r="I23" s="58">
        <v>0</v>
      </c>
      <c r="J23" s="58">
        <v>0</v>
      </c>
      <c r="K23" s="58">
        <v>0</v>
      </c>
      <c r="L23" s="58">
        <v>0</v>
      </c>
      <c r="M23" s="58">
        <v>0</v>
      </c>
      <c r="N23" s="58">
        <v>0</v>
      </c>
      <c r="O23" s="58">
        <v>0</v>
      </c>
      <c r="P23" s="58">
        <v>0</v>
      </c>
      <c r="Q23" s="58">
        <v>0</v>
      </c>
      <c r="R23" s="58">
        <v>0</v>
      </c>
      <c r="S23" s="58">
        <v>0</v>
      </c>
      <c r="T23" s="58">
        <v>0</v>
      </c>
      <c r="U23" s="58">
        <v>0</v>
      </c>
      <c r="V23" s="58">
        <v>0</v>
      </c>
      <c r="W23" s="58">
        <v>0</v>
      </c>
      <c r="X23" s="58">
        <v>0</v>
      </c>
      <c r="Y23" s="58">
        <v>0</v>
      </c>
      <c r="Z23" s="58">
        <v>0</v>
      </c>
      <c r="AA23" s="58">
        <v>0</v>
      </c>
      <c r="AB23" s="58">
        <v>0</v>
      </c>
      <c r="AC23" s="58">
        <v>0</v>
      </c>
      <c r="AD23" s="58">
        <v>0</v>
      </c>
      <c r="AE23" s="58">
        <v>0</v>
      </c>
      <c r="AF23" s="58">
        <v>0</v>
      </c>
      <c r="AG23" s="58">
        <v>0</v>
      </c>
      <c r="AH23" s="58">
        <v>0</v>
      </c>
      <c r="AI23" s="58">
        <v>0</v>
      </c>
      <c r="AJ23" s="58">
        <v>0</v>
      </c>
      <c r="AK23" s="58">
        <v>0</v>
      </c>
      <c r="AL23" s="58">
        <v>0</v>
      </c>
      <c r="AM23" s="58">
        <v>0</v>
      </c>
      <c r="AN23" s="58">
        <v>0</v>
      </c>
    </row>
    <row r="24" spans="1:40" ht="15">
      <c r="A24" s="617">
        <v>6</v>
      </c>
      <c r="B24" s="58"/>
      <c r="C24" s="58"/>
      <c r="D24" s="58"/>
      <c r="E24" s="58">
        <v>1.3776506037335768E-3</v>
      </c>
      <c r="F24" s="58">
        <v>9.9992056056778383E-3</v>
      </c>
      <c r="G24" s="58">
        <v>5.6286076865589438E-2</v>
      </c>
      <c r="H24" s="58">
        <v>0.1977263213615468</v>
      </c>
      <c r="I24" s="58">
        <v>0.45925472030867881</v>
      </c>
      <c r="J24" s="58">
        <v>0.81230447635381775</v>
      </c>
      <c r="K24" s="58">
        <v>1.0062649511729489</v>
      </c>
      <c r="L24" s="58">
        <v>1.025834776680784</v>
      </c>
      <c r="M24" s="58">
        <v>1.1649199226207259</v>
      </c>
      <c r="N24" s="58">
        <v>1.4379936917872875</v>
      </c>
      <c r="O24" s="58">
        <v>1.7674499696886508</v>
      </c>
      <c r="P24" s="58">
        <v>2.1751016202766933</v>
      </c>
      <c r="Q24" s="58">
        <v>2.6240320042287477</v>
      </c>
      <c r="R24" s="58">
        <v>3.0792042875872516</v>
      </c>
      <c r="S24" s="58">
        <v>3.5878098154797735</v>
      </c>
      <c r="T24" s="58">
        <v>4.1113785407247452</v>
      </c>
      <c r="U24" s="58">
        <v>4.5391194141010027</v>
      </c>
      <c r="V24" s="58">
        <v>4.8918928789005234</v>
      </c>
      <c r="W24" s="58">
        <v>5.259833734884932</v>
      </c>
      <c r="X24" s="58">
        <v>5.6412433710056975</v>
      </c>
      <c r="Y24" s="58">
        <v>6.0420919202680166</v>
      </c>
      <c r="Z24" s="58">
        <v>6.4826880263971356</v>
      </c>
      <c r="AA24" s="58">
        <v>6.9600854268150467</v>
      </c>
      <c r="AB24" s="58">
        <v>7.4732266552174353</v>
      </c>
      <c r="AC24" s="58">
        <v>8.0406479596200793</v>
      </c>
      <c r="AD24" s="58">
        <v>8.6562493427711296</v>
      </c>
      <c r="AE24" s="58">
        <v>9.2203244867271952</v>
      </c>
      <c r="AF24" s="58">
        <v>9.7933282878563173</v>
      </c>
      <c r="AG24" s="58">
        <v>10.423957506474501</v>
      </c>
      <c r="AH24" s="58">
        <v>11.092403932313335</v>
      </c>
      <c r="AI24" s="58">
        <v>11.813341355274522</v>
      </c>
      <c r="AJ24" s="58">
        <v>12.591561499004454</v>
      </c>
      <c r="AK24" s="58">
        <v>13.415223584350542</v>
      </c>
      <c r="AL24" s="58">
        <v>14.295032248880089</v>
      </c>
      <c r="AM24" s="58">
        <v>15.229685249299569</v>
      </c>
      <c r="AN24" s="58">
        <v>16.228694114490292</v>
      </c>
    </row>
    <row r="25" spans="1:40" ht="15">
      <c r="A25" s="617">
        <v>7</v>
      </c>
      <c r="B25" s="58"/>
      <c r="C25" s="58"/>
      <c r="D25" s="58"/>
      <c r="E25" s="58">
        <v>3.795360056026582E-3</v>
      </c>
      <c r="F25" s="58">
        <v>2.5517683740473789E-2</v>
      </c>
      <c r="G25" s="58">
        <v>0.24437820994921824</v>
      </c>
      <c r="H25" s="58">
        <v>0.86271473820866007</v>
      </c>
      <c r="I25" s="58">
        <v>1.9054418236967514</v>
      </c>
      <c r="J25" s="58">
        <v>3.3202737699309051</v>
      </c>
      <c r="K25" s="58">
        <v>4.7455971769748322</v>
      </c>
      <c r="L25" s="58">
        <v>6.1657333352898211</v>
      </c>
      <c r="M25" s="58">
        <v>8.2358436676344251</v>
      </c>
      <c r="N25" s="58">
        <v>11.055946335319359</v>
      </c>
      <c r="O25" s="58">
        <v>14.262793619045977</v>
      </c>
      <c r="P25" s="58">
        <v>17.668954333580736</v>
      </c>
      <c r="Q25" s="58">
        <v>21.086507016656139</v>
      </c>
      <c r="R25" s="58">
        <v>24.408850761458716</v>
      </c>
      <c r="S25" s="58">
        <v>27.625766938499691</v>
      </c>
      <c r="T25" s="58">
        <v>30.757065665882585</v>
      </c>
      <c r="U25" s="58">
        <v>33.463056703893756</v>
      </c>
      <c r="V25" s="58">
        <v>35.746103838670209</v>
      </c>
      <c r="W25" s="58">
        <v>37.998893650107831</v>
      </c>
      <c r="X25" s="58">
        <v>40.276908755837432</v>
      </c>
      <c r="Y25" s="58">
        <v>42.624544375933532</v>
      </c>
      <c r="Z25" s="58">
        <v>45.047814767829969</v>
      </c>
      <c r="AA25" s="58">
        <v>47.614540579222265</v>
      </c>
      <c r="AB25" s="58">
        <v>50.364112564262129</v>
      </c>
      <c r="AC25" s="58">
        <v>53.279436307790313</v>
      </c>
      <c r="AD25" s="58">
        <v>56.374603422769646</v>
      </c>
      <c r="AE25" s="58">
        <v>59.405368073790001</v>
      </c>
      <c r="AF25" s="58">
        <v>62.399016864469523</v>
      </c>
      <c r="AG25" s="58">
        <v>65.617757853418965</v>
      </c>
      <c r="AH25" s="58">
        <v>69.033838976741109</v>
      </c>
      <c r="AI25" s="58">
        <v>72.629102628705624</v>
      </c>
      <c r="AJ25" s="58">
        <v>76.457563330336711</v>
      </c>
      <c r="AK25" s="58">
        <v>80.567021450979141</v>
      </c>
      <c r="AL25" s="58">
        <v>84.822218406604378</v>
      </c>
      <c r="AM25" s="58">
        <v>89.171322186333029</v>
      </c>
      <c r="AN25" s="58">
        <v>94.109610532102536</v>
      </c>
    </row>
    <row r="26" spans="1:40" ht="15">
      <c r="A26" s="618" t="s">
        <v>95</v>
      </c>
      <c r="B26" s="619">
        <f>SUM(B19:B25)</f>
        <v>0</v>
      </c>
      <c r="C26" s="619">
        <f t="shared" ref="C26:AN26" si="6">SUM(C19:C25)</f>
        <v>0</v>
      </c>
      <c r="D26" s="619">
        <f t="shared" si="6"/>
        <v>0</v>
      </c>
      <c r="E26" s="619">
        <f t="shared" si="6"/>
        <v>1.0626036625715676</v>
      </c>
      <c r="F26" s="619">
        <f t="shared" si="6"/>
        <v>5.8890949508574622</v>
      </c>
      <c r="G26" s="619">
        <f t="shared" si="6"/>
        <v>21.916188818483402</v>
      </c>
      <c r="H26" s="619">
        <f t="shared" si="6"/>
        <v>68.520341675777985</v>
      </c>
      <c r="I26" s="619">
        <f t="shared" si="6"/>
        <v>155.90718103790368</v>
      </c>
      <c r="J26" s="619">
        <f t="shared" si="6"/>
        <v>272.91818430932301</v>
      </c>
      <c r="K26" s="619">
        <f t="shared" si="6"/>
        <v>359.29122428075897</v>
      </c>
      <c r="L26" s="619">
        <f t="shared" si="6"/>
        <v>406.59338215025616</v>
      </c>
      <c r="M26" s="619">
        <f t="shared" si="6"/>
        <v>505.898706383172</v>
      </c>
      <c r="N26" s="619">
        <f t="shared" si="6"/>
        <v>668.6987447997758</v>
      </c>
      <c r="O26" s="619">
        <f t="shared" si="6"/>
        <v>856.67150866791462</v>
      </c>
      <c r="P26" s="619">
        <f t="shared" si="6"/>
        <v>1060.2708559957061</v>
      </c>
      <c r="Q26" s="619">
        <f t="shared" si="6"/>
        <v>1271.494711180731</v>
      </c>
      <c r="R26" s="619">
        <f t="shared" si="6"/>
        <v>1484.0005399480742</v>
      </c>
      <c r="S26" s="619">
        <f t="shared" si="6"/>
        <v>1695.7767934861565</v>
      </c>
      <c r="T26" s="619">
        <f t="shared" si="6"/>
        <v>1910.0636621010062</v>
      </c>
      <c r="U26" s="619">
        <f t="shared" si="6"/>
        <v>2098.2858969640861</v>
      </c>
      <c r="V26" s="619">
        <f t="shared" si="6"/>
        <v>2259.2058317598662</v>
      </c>
      <c r="W26" s="619">
        <f t="shared" si="6"/>
        <v>2423.0479402076749</v>
      </c>
      <c r="X26" s="619">
        <f t="shared" si="6"/>
        <v>2592.5952981213145</v>
      </c>
      <c r="Y26" s="619">
        <f t="shared" si="6"/>
        <v>2772.4043835644675</v>
      </c>
      <c r="Z26" s="619">
        <f t="shared" si="6"/>
        <v>2965.7399755441188</v>
      </c>
      <c r="AA26" s="619">
        <f t="shared" si="6"/>
        <v>3170.1614641001943</v>
      </c>
      <c r="AB26" s="619">
        <f t="shared" si="6"/>
        <v>3390.1178229304301</v>
      </c>
      <c r="AC26" s="619">
        <f t="shared" si="6"/>
        <v>3629.2108143266996</v>
      </c>
      <c r="AD26" s="619">
        <f t="shared" si="6"/>
        <v>3890.4698507098456</v>
      </c>
      <c r="AE26" s="619">
        <f t="shared" si="6"/>
        <v>4143.3615496130042</v>
      </c>
      <c r="AF26" s="619">
        <f t="shared" si="6"/>
        <v>4392.2235594493359</v>
      </c>
      <c r="AG26" s="619">
        <f t="shared" si="6"/>
        <v>4668.1069660971307</v>
      </c>
      <c r="AH26" s="619">
        <f t="shared" si="6"/>
        <v>4962.7418818355081</v>
      </c>
      <c r="AI26" s="619">
        <f t="shared" si="6"/>
        <v>5271.7680183010189</v>
      </c>
      <c r="AJ26" s="619">
        <f t="shared" si="6"/>
        <v>5597.8875217668965</v>
      </c>
      <c r="AK26" s="619">
        <f t="shared" si="6"/>
        <v>5944.1141607725622</v>
      </c>
      <c r="AL26" s="619">
        <f t="shared" si="6"/>
        <v>6312.1856219268393</v>
      </c>
      <c r="AM26" s="619">
        <f t="shared" si="6"/>
        <v>6702.1963882383043</v>
      </c>
      <c r="AN26" s="619">
        <f t="shared" si="6"/>
        <v>7114.7497407713263</v>
      </c>
    </row>
    <row r="27" spans="1:40" ht="15">
      <c r="A27" s="617"/>
    </row>
    <row r="28" spans="1:40" ht="15">
      <c r="A28" s="616" t="s">
        <v>2556</v>
      </c>
      <c r="B28" s="430"/>
      <c r="C28" s="430"/>
      <c r="D28" s="430"/>
      <c r="E28" s="430"/>
      <c r="F28" s="430"/>
      <c r="G28" s="430"/>
      <c r="H28" s="430"/>
      <c r="I28" s="430"/>
      <c r="J28" s="430"/>
      <c r="K28" s="430"/>
      <c r="L28" s="430"/>
      <c r="M28" s="430"/>
      <c r="N28" s="430"/>
      <c r="O28" s="430"/>
      <c r="P28" s="430"/>
      <c r="Q28" s="430"/>
      <c r="R28" s="430"/>
      <c r="S28" s="430"/>
      <c r="T28" s="430"/>
      <c r="U28" s="430"/>
      <c r="V28" s="430"/>
      <c r="W28" s="430"/>
      <c r="X28" s="430"/>
      <c r="Y28" s="430"/>
      <c r="Z28" s="430"/>
      <c r="AA28" s="430"/>
      <c r="AB28" s="430"/>
      <c r="AC28" s="430"/>
      <c r="AD28" s="430"/>
      <c r="AE28" s="430"/>
      <c r="AF28" s="430"/>
      <c r="AG28" s="430"/>
      <c r="AH28" s="430"/>
      <c r="AI28" s="430"/>
      <c r="AJ28" s="430"/>
      <c r="AK28" s="430"/>
      <c r="AL28" s="430"/>
      <c r="AM28" s="430"/>
      <c r="AN28" s="430"/>
    </row>
    <row r="29" spans="1:40" ht="15">
      <c r="A29" s="617" t="s">
        <v>2555</v>
      </c>
    </row>
    <row r="30" spans="1:40" ht="15">
      <c r="A30" s="617"/>
      <c r="B30" s="274">
        <v>2012</v>
      </c>
      <c r="C30" s="274">
        <v>2013</v>
      </c>
      <c r="D30" s="274">
        <v>2014</v>
      </c>
      <c r="E30" s="274">
        <v>2015</v>
      </c>
      <c r="F30" s="274">
        <v>2016</v>
      </c>
      <c r="G30" s="274">
        <v>2017</v>
      </c>
      <c r="H30" s="274">
        <v>2018</v>
      </c>
      <c r="I30" s="274">
        <v>2019</v>
      </c>
      <c r="J30" s="274">
        <v>2020</v>
      </c>
      <c r="K30" s="274">
        <v>2021</v>
      </c>
      <c r="L30" s="274">
        <v>2022</v>
      </c>
      <c r="M30" s="274">
        <v>2023</v>
      </c>
      <c r="N30" s="274">
        <v>2024</v>
      </c>
      <c r="O30" s="274">
        <v>2025</v>
      </c>
      <c r="P30" s="274">
        <v>2026</v>
      </c>
      <c r="Q30" s="274">
        <v>2027</v>
      </c>
      <c r="R30" s="274">
        <v>2028</v>
      </c>
      <c r="S30" s="274">
        <v>2029</v>
      </c>
      <c r="T30" s="274">
        <v>2030</v>
      </c>
      <c r="U30" s="274">
        <v>2031</v>
      </c>
      <c r="V30" s="274">
        <v>2032</v>
      </c>
      <c r="W30" s="274">
        <v>2033</v>
      </c>
      <c r="X30" s="274">
        <v>2034</v>
      </c>
      <c r="Y30" s="274">
        <v>2035</v>
      </c>
      <c r="Z30" s="274">
        <v>2036</v>
      </c>
      <c r="AA30" s="274">
        <v>2037</v>
      </c>
      <c r="AB30" s="274">
        <v>2038</v>
      </c>
      <c r="AC30" s="274">
        <v>2039</v>
      </c>
      <c r="AD30" s="274">
        <v>2040</v>
      </c>
      <c r="AE30" s="274">
        <v>2041</v>
      </c>
      <c r="AF30" s="274">
        <v>2042</v>
      </c>
      <c r="AG30" s="274">
        <v>2043</v>
      </c>
      <c r="AH30" s="274">
        <v>2044</v>
      </c>
      <c r="AI30" s="274">
        <v>2045</v>
      </c>
      <c r="AJ30" s="274">
        <v>2046</v>
      </c>
      <c r="AK30" s="274">
        <v>2047</v>
      </c>
      <c r="AL30" s="274">
        <v>2048</v>
      </c>
      <c r="AM30" s="274">
        <v>2049</v>
      </c>
      <c r="AN30" s="274">
        <v>2050</v>
      </c>
    </row>
    <row r="31" spans="1:40" ht="15">
      <c r="A31" s="617">
        <v>1</v>
      </c>
      <c r="B31" s="58"/>
      <c r="C31" s="58"/>
      <c r="D31" s="58"/>
      <c r="E31" s="58">
        <v>2.4500000000000001E-2</v>
      </c>
      <c r="F31" s="58">
        <v>0.44869999999999999</v>
      </c>
      <c r="G31" s="58">
        <v>2.1168</v>
      </c>
      <c r="H31" s="58">
        <v>9.9862000000000002</v>
      </c>
      <c r="I31" s="58">
        <v>25.551400000000001</v>
      </c>
      <c r="J31" s="58">
        <v>44.548700000000004</v>
      </c>
      <c r="K31" s="58">
        <v>59.558800000000005</v>
      </c>
      <c r="L31" s="58">
        <v>73.845099999999988</v>
      </c>
      <c r="M31" s="58">
        <v>94.806599999999989</v>
      </c>
      <c r="N31" s="58">
        <v>119.23239999999998</v>
      </c>
      <c r="O31" s="58">
        <v>145.50829999999999</v>
      </c>
      <c r="P31" s="58">
        <v>173.24719999999996</v>
      </c>
      <c r="Q31" s="58">
        <v>203.62999999999997</v>
      </c>
      <c r="R31" s="58">
        <v>235.73409999999993</v>
      </c>
      <c r="S31" s="58">
        <v>268.31419999999997</v>
      </c>
      <c r="T31" s="58">
        <v>302.7346</v>
      </c>
      <c r="U31" s="58">
        <v>333.78659999999996</v>
      </c>
      <c r="V31" s="58">
        <v>360.82900000000001</v>
      </c>
      <c r="W31" s="58">
        <v>388.92769999999996</v>
      </c>
      <c r="X31" s="58">
        <v>418.34870000000001</v>
      </c>
      <c r="Y31" s="58">
        <v>450.30929999999995</v>
      </c>
      <c r="Z31" s="58">
        <v>485.32610000000011</v>
      </c>
      <c r="AA31" s="58">
        <v>521.60149999999999</v>
      </c>
      <c r="AB31" s="58">
        <v>559.21669999999995</v>
      </c>
      <c r="AC31" s="58">
        <v>599.6647999999999</v>
      </c>
      <c r="AD31" s="58">
        <v>644.7903</v>
      </c>
      <c r="AE31" s="58">
        <v>690.7600000000001</v>
      </c>
      <c r="AF31" s="58">
        <v>735.85260000000005</v>
      </c>
      <c r="AG31" s="58">
        <v>784.82880000000011</v>
      </c>
      <c r="AH31" s="58">
        <v>836.70999999999992</v>
      </c>
      <c r="AI31" s="58">
        <v>890.08219999999983</v>
      </c>
      <c r="AJ31" s="58">
        <v>946.00729999999987</v>
      </c>
      <c r="AK31" s="58">
        <v>1005.4786</v>
      </c>
      <c r="AL31" s="58">
        <v>1068.7655999999999</v>
      </c>
      <c r="AM31" s="58">
        <v>1135.7787000000001</v>
      </c>
      <c r="AN31" s="58">
        <v>1206.8406</v>
      </c>
    </row>
    <row r="32" spans="1:40" ht="15">
      <c r="A32" s="617">
        <v>2</v>
      </c>
      <c r="B32" s="58"/>
      <c r="C32" s="58"/>
      <c r="D32" s="58"/>
      <c r="E32" s="24">
        <v>0</v>
      </c>
      <c r="F32" s="24">
        <v>5.1100000000000007E-2</v>
      </c>
      <c r="G32" s="24">
        <v>0.82320000000000004</v>
      </c>
      <c r="H32" s="24">
        <v>4.8384</v>
      </c>
      <c r="I32" s="24">
        <v>13.834100000000001</v>
      </c>
      <c r="J32" s="24">
        <v>27.197799999999997</v>
      </c>
      <c r="K32" s="24">
        <v>36.315999999999995</v>
      </c>
      <c r="L32" s="24">
        <v>40.347999999999999</v>
      </c>
      <c r="M32" s="24">
        <v>46.316899999999997</v>
      </c>
      <c r="N32" s="24">
        <v>53.672500000000007</v>
      </c>
      <c r="O32" s="24">
        <v>61.848499999999987</v>
      </c>
      <c r="P32" s="24">
        <v>71.026899999999983</v>
      </c>
      <c r="Q32" s="24">
        <v>81.916099999999986</v>
      </c>
      <c r="R32" s="24">
        <v>94.996999999999986</v>
      </c>
      <c r="S32" s="24">
        <v>110.8492</v>
      </c>
      <c r="T32" s="24">
        <v>130.46600000000001</v>
      </c>
      <c r="U32" s="24">
        <v>149.78389999999999</v>
      </c>
      <c r="V32" s="24">
        <v>167.37279999999998</v>
      </c>
      <c r="W32" s="24">
        <v>186.62909999999999</v>
      </c>
      <c r="X32" s="24">
        <v>208.01409999999998</v>
      </c>
      <c r="Y32" s="24">
        <v>231.88689999999997</v>
      </c>
      <c r="Z32" s="24">
        <v>258.59119999999996</v>
      </c>
      <c r="AA32" s="24">
        <v>288.46719999999999</v>
      </c>
      <c r="AB32" s="24">
        <v>322.12249999999995</v>
      </c>
      <c r="AC32" s="24">
        <v>359.92739999999998</v>
      </c>
      <c r="AD32" s="24">
        <v>402.08349999999996</v>
      </c>
      <c r="AE32" s="24">
        <v>446.46629999999993</v>
      </c>
      <c r="AF32" s="24">
        <v>495.25349999999997</v>
      </c>
      <c r="AG32" s="24">
        <v>559.98179999999991</v>
      </c>
      <c r="AH32" s="24">
        <v>633.9914</v>
      </c>
      <c r="AI32" s="24">
        <v>704.23709999999994</v>
      </c>
      <c r="AJ32" s="24">
        <v>776.56880000000001</v>
      </c>
      <c r="AK32" s="24">
        <v>867.84669999999994</v>
      </c>
      <c r="AL32" s="24">
        <v>995.64009999999973</v>
      </c>
      <c r="AM32" s="24">
        <v>1134.9407999999999</v>
      </c>
      <c r="AN32" s="24">
        <v>1258.3318999999999</v>
      </c>
    </row>
    <row r="33" spans="1:40" ht="15">
      <c r="A33" s="617">
        <v>3</v>
      </c>
      <c r="B33" s="58"/>
      <c r="C33" s="58"/>
      <c r="D33" s="58"/>
      <c r="E33" s="58">
        <v>0</v>
      </c>
      <c r="F33" s="58">
        <v>0</v>
      </c>
      <c r="G33" s="58">
        <v>2.4500000000000001E-2</v>
      </c>
      <c r="H33" s="58">
        <v>7.3499999999999996E-2</v>
      </c>
      <c r="I33" s="58">
        <v>0.1225</v>
      </c>
      <c r="J33" s="58">
        <v>0.19599999999999998</v>
      </c>
      <c r="K33" s="58">
        <v>0.245</v>
      </c>
      <c r="L33" s="58">
        <v>0.245</v>
      </c>
      <c r="M33" s="58">
        <v>0.26949999999999996</v>
      </c>
      <c r="N33" s="58">
        <v>0.31849999999999995</v>
      </c>
      <c r="O33" s="58">
        <v>0.36749999999999999</v>
      </c>
      <c r="P33" s="58">
        <v>0.41649999999999998</v>
      </c>
      <c r="Q33" s="58">
        <v>0.46549999999999997</v>
      </c>
      <c r="R33" s="58">
        <v>0.51449999999999996</v>
      </c>
      <c r="S33" s="58">
        <v>0.58799999999999997</v>
      </c>
      <c r="T33" s="58">
        <v>0.66149999999999998</v>
      </c>
      <c r="U33" s="58">
        <v>0.73499999999999999</v>
      </c>
      <c r="V33" s="58">
        <v>0.8085</v>
      </c>
      <c r="W33" s="58">
        <v>0.85750000000000004</v>
      </c>
      <c r="X33" s="58">
        <v>0.93099999999999994</v>
      </c>
      <c r="Y33" s="58">
        <v>1.0289999999999999</v>
      </c>
      <c r="Z33" s="58">
        <v>1.1025</v>
      </c>
      <c r="AA33" s="58">
        <v>1.1759999999999999</v>
      </c>
      <c r="AB33" s="58">
        <v>1.2985</v>
      </c>
      <c r="AC33" s="58">
        <v>1.421</v>
      </c>
      <c r="AD33" s="58">
        <v>1.5434999999999999</v>
      </c>
      <c r="AE33" s="58">
        <v>1.6659999999999999</v>
      </c>
      <c r="AF33" s="58">
        <v>1.7885</v>
      </c>
      <c r="AG33" s="58">
        <v>1.9355</v>
      </c>
      <c r="AH33" s="58">
        <v>2.0825</v>
      </c>
      <c r="AI33" s="58">
        <v>2.2294999999999998</v>
      </c>
      <c r="AJ33" s="58">
        <v>2.4009999999999998</v>
      </c>
      <c r="AK33" s="58">
        <v>2.597</v>
      </c>
      <c r="AL33" s="58">
        <v>2.7930000000000001</v>
      </c>
      <c r="AM33" s="58">
        <v>3.0134999999999996</v>
      </c>
      <c r="AN33" s="58">
        <v>3.234</v>
      </c>
    </row>
    <row r="34" spans="1:40" ht="15">
      <c r="A34" s="617">
        <v>4</v>
      </c>
      <c r="B34" s="58"/>
      <c r="C34" s="58"/>
      <c r="D34" s="58"/>
      <c r="E34" s="58">
        <v>0</v>
      </c>
      <c r="F34" s="58">
        <v>2.4500000000000001E-2</v>
      </c>
      <c r="G34" s="58">
        <v>0.1225</v>
      </c>
      <c r="H34" s="58">
        <v>0.36749999999999999</v>
      </c>
      <c r="I34" s="58">
        <v>0.75949999999999995</v>
      </c>
      <c r="J34" s="58">
        <v>1.2494999999999998</v>
      </c>
      <c r="K34" s="58">
        <v>1.5189999999999999</v>
      </c>
      <c r="L34" s="58">
        <v>1.5189999999999999</v>
      </c>
      <c r="M34" s="58">
        <v>1.6414999999999997</v>
      </c>
      <c r="N34" s="58">
        <v>1.8864999999999998</v>
      </c>
      <c r="O34" s="58">
        <v>2.1804999999999999</v>
      </c>
      <c r="P34" s="58">
        <v>2.4989999999999997</v>
      </c>
      <c r="Q34" s="58">
        <v>2.8174999999999994</v>
      </c>
      <c r="R34" s="58">
        <v>3.1604999999999994</v>
      </c>
      <c r="S34" s="58">
        <v>3.5524999999999993</v>
      </c>
      <c r="T34" s="58">
        <v>3.9934999999999996</v>
      </c>
      <c r="U34" s="58">
        <v>4.3854999999999995</v>
      </c>
      <c r="V34" s="58">
        <v>4.7530000000000001</v>
      </c>
      <c r="W34" s="58">
        <v>5.1694999999999993</v>
      </c>
      <c r="X34" s="58">
        <v>5.6105</v>
      </c>
      <c r="Y34" s="58">
        <v>6.1004999999999994</v>
      </c>
      <c r="Z34" s="58">
        <v>6.6394999999999991</v>
      </c>
      <c r="AA34" s="58">
        <v>7.2029999999999985</v>
      </c>
      <c r="AB34" s="58">
        <v>7.8154999999999983</v>
      </c>
      <c r="AC34" s="58">
        <v>8.5014999999999983</v>
      </c>
      <c r="AD34" s="58">
        <v>9.2609999999999992</v>
      </c>
      <c r="AE34" s="58">
        <v>10.020499999999998</v>
      </c>
      <c r="AF34" s="58">
        <v>10.78</v>
      </c>
      <c r="AG34" s="58">
        <v>11.613</v>
      </c>
      <c r="AH34" s="58">
        <v>12.519499999999997</v>
      </c>
      <c r="AI34" s="58">
        <v>13.475</v>
      </c>
      <c r="AJ34" s="58">
        <v>14.503999999999998</v>
      </c>
      <c r="AK34" s="58">
        <v>15.630999999999997</v>
      </c>
      <c r="AL34" s="58">
        <v>16.831499999999998</v>
      </c>
      <c r="AM34" s="58">
        <v>18.13</v>
      </c>
      <c r="AN34" s="58">
        <v>19.550999999999998</v>
      </c>
    </row>
    <row r="35" spans="1:40" ht="15">
      <c r="A35" s="617">
        <v>5</v>
      </c>
      <c r="B35" s="58"/>
      <c r="C35" s="58"/>
      <c r="D35" s="58"/>
      <c r="E35" s="58">
        <v>0</v>
      </c>
      <c r="F35" s="58">
        <v>0</v>
      </c>
      <c r="G35" s="58">
        <v>0</v>
      </c>
      <c r="H35" s="58">
        <v>0</v>
      </c>
      <c r="I35" s="58">
        <v>0</v>
      </c>
      <c r="J35" s="58">
        <v>0</v>
      </c>
      <c r="K35" s="58">
        <v>0</v>
      </c>
      <c r="L35" s="58">
        <v>0</v>
      </c>
      <c r="M35" s="58">
        <v>0</v>
      </c>
      <c r="N35" s="58">
        <v>0</v>
      </c>
      <c r="O35" s="58">
        <v>0</v>
      </c>
      <c r="P35" s="58">
        <v>0</v>
      </c>
      <c r="Q35" s="58">
        <v>0</v>
      </c>
      <c r="R35" s="58">
        <v>0</v>
      </c>
      <c r="S35" s="58">
        <v>0</v>
      </c>
      <c r="T35" s="58">
        <v>0</v>
      </c>
      <c r="U35" s="58">
        <v>0</v>
      </c>
      <c r="V35" s="58">
        <v>0</v>
      </c>
      <c r="W35" s="58">
        <v>0</v>
      </c>
      <c r="X35" s="58">
        <v>0</v>
      </c>
      <c r="Y35" s="58">
        <v>0</v>
      </c>
      <c r="Z35" s="58">
        <v>0</v>
      </c>
      <c r="AA35" s="58">
        <v>0</v>
      </c>
      <c r="AB35" s="58">
        <v>0</v>
      </c>
      <c r="AC35" s="58">
        <v>0</v>
      </c>
      <c r="AD35" s="58">
        <v>0</v>
      </c>
      <c r="AE35" s="58">
        <v>0</v>
      </c>
      <c r="AF35" s="58">
        <v>0</v>
      </c>
      <c r="AG35" s="58">
        <v>0</v>
      </c>
      <c r="AH35" s="58">
        <v>0</v>
      </c>
      <c r="AI35" s="58">
        <v>0</v>
      </c>
      <c r="AJ35" s="58">
        <v>0</v>
      </c>
      <c r="AK35" s="58">
        <v>0</v>
      </c>
      <c r="AL35" s="58">
        <v>0</v>
      </c>
      <c r="AM35" s="58">
        <v>0</v>
      </c>
      <c r="AN35" s="58">
        <v>0</v>
      </c>
    </row>
    <row r="36" spans="1:40" ht="15">
      <c r="A36" s="617">
        <v>6</v>
      </c>
      <c r="B36" s="58"/>
      <c r="C36" s="58"/>
      <c r="D36" s="58"/>
      <c r="E36" s="58">
        <v>0</v>
      </c>
      <c r="F36" s="58">
        <v>0</v>
      </c>
      <c r="G36" s="58">
        <v>0</v>
      </c>
      <c r="H36" s="58">
        <v>0</v>
      </c>
      <c r="I36" s="58">
        <v>0</v>
      </c>
      <c r="J36" s="58">
        <v>0</v>
      </c>
      <c r="K36" s="58">
        <v>0</v>
      </c>
      <c r="L36" s="58">
        <v>0</v>
      </c>
      <c r="M36" s="58">
        <v>0</v>
      </c>
      <c r="N36" s="58">
        <v>0</v>
      </c>
      <c r="O36" s="58">
        <v>0</v>
      </c>
      <c r="P36" s="58">
        <v>0</v>
      </c>
      <c r="Q36" s="58">
        <v>0</v>
      </c>
      <c r="R36" s="58">
        <v>0</v>
      </c>
      <c r="S36" s="58">
        <v>0</v>
      </c>
      <c r="T36" s="58">
        <v>0</v>
      </c>
      <c r="U36" s="58">
        <v>0</v>
      </c>
      <c r="V36" s="58">
        <v>0</v>
      </c>
      <c r="W36" s="58">
        <v>0</v>
      </c>
      <c r="X36" s="58">
        <v>0</v>
      </c>
      <c r="Y36" s="58">
        <v>0</v>
      </c>
      <c r="Z36" s="58">
        <v>0</v>
      </c>
      <c r="AA36" s="58">
        <v>0</v>
      </c>
      <c r="AB36" s="58">
        <v>0</v>
      </c>
      <c r="AC36" s="58">
        <v>0</v>
      </c>
      <c r="AD36" s="58">
        <v>0</v>
      </c>
      <c r="AE36" s="58">
        <v>0</v>
      </c>
      <c r="AF36" s="58">
        <v>0</v>
      </c>
      <c r="AG36" s="58">
        <v>0</v>
      </c>
      <c r="AH36" s="58">
        <v>0</v>
      </c>
      <c r="AI36" s="58">
        <v>0</v>
      </c>
      <c r="AJ36" s="58">
        <v>0</v>
      </c>
      <c r="AK36" s="58">
        <v>0</v>
      </c>
      <c r="AL36" s="58">
        <v>0</v>
      </c>
      <c r="AM36" s="58">
        <v>0</v>
      </c>
      <c r="AN36" s="58">
        <v>0</v>
      </c>
    </row>
    <row r="37" spans="1:40" ht="15">
      <c r="A37" s="617">
        <v>7</v>
      </c>
      <c r="B37" s="58"/>
      <c r="C37" s="58"/>
      <c r="D37" s="58"/>
      <c r="E37" s="58">
        <v>0</v>
      </c>
      <c r="F37" s="58">
        <v>0</v>
      </c>
      <c r="G37" s="58">
        <v>0</v>
      </c>
      <c r="H37" s="58">
        <v>0</v>
      </c>
      <c r="I37" s="58">
        <v>0</v>
      </c>
      <c r="J37" s="58">
        <v>0</v>
      </c>
      <c r="K37" s="58">
        <v>0</v>
      </c>
      <c r="L37" s="58">
        <v>0</v>
      </c>
      <c r="M37" s="58">
        <v>0</v>
      </c>
      <c r="N37" s="58">
        <v>0</v>
      </c>
      <c r="O37" s="58">
        <v>0</v>
      </c>
      <c r="P37" s="58">
        <v>0</v>
      </c>
      <c r="Q37" s="58">
        <v>0</v>
      </c>
      <c r="R37" s="58">
        <v>0</v>
      </c>
      <c r="S37" s="58">
        <v>0</v>
      </c>
      <c r="T37" s="58">
        <v>0</v>
      </c>
      <c r="U37" s="58">
        <v>0</v>
      </c>
      <c r="V37" s="58">
        <v>0</v>
      </c>
      <c r="W37" s="58">
        <v>0</v>
      </c>
      <c r="X37" s="58">
        <v>0</v>
      </c>
      <c r="Y37" s="58">
        <v>0</v>
      </c>
      <c r="Z37" s="58">
        <v>0</v>
      </c>
      <c r="AA37" s="58">
        <v>0</v>
      </c>
      <c r="AB37" s="58">
        <v>0</v>
      </c>
      <c r="AC37" s="58">
        <v>0</v>
      </c>
      <c r="AD37" s="58">
        <v>0</v>
      </c>
      <c r="AE37" s="58">
        <v>0</v>
      </c>
      <c r="AF37" s="58">
        <v>0</v>
      </c>
      <c r="AG37" s="58">
        <v>0</v>
      </c>
      <c r="AH37" s="58">
        <v>0</v>
      </c>
      <c r="AI37" s="58">
        <v>0</v>
      </c>
      <c r="AJ37" s="58">
        <v>0</v>
      </c>
      <c r="AK37" s="58">
        <v>0</v>
      </c>
      <c r="AL37" s="58">
        <v>0</v>
      </c>
      <c r="AM37" s="58">
        <v>0</v>
      </c>
      <c r="AN37" s="58">
        <v>0</v>
      </c>
    </row>
    <row r="38" spans="1:40" ht="15">
      <c r="A38" s="618" t="s">
        <v>95</v>
      </c>
      <c r="B38" s="619">
        <f>SUM(B31:B37)</f>
        <v>0</v>
      </c>
      <c r="C38" s="619">
        <f t="shared" ref="C38:AN38" si="7">SUM(C31:C37)</f>
        <v>0</v>
      </c>
      <c r="D38" s="619">
        <f t="shared" si="7"/>
        <v>0</v>
      </c>
      <c r="E38" s="619">
        <f t="shared" si="7"/>
        <v>2.4500000000000001E-2</v>
      </c>
      <c r="F38" s="619">
        <f t="shared" si="7"/>
        <v>0.52429999999999999</v>
      </c>
      <c r="G38" s="619">
        <f t="shared" si="7"/>
        <v>3.0870000000000002</v>
      </c>
      <c r="H38" s="619">
        <f t="shared" si="7"/>
        <v>15.265599999999999</v>
      </c>
      <c r="I38" s="619">
        <f t="shared" si="7"/>
        <v>40.267500000000005</v>
      </c>
      <c r="J38" s="619">
        <f t="shared" si="7"/>
        <v>73.191999999999993</v>
      </c>
      <c r="K38" s="619">
        <f t="shared" si="7"/>
        <v>97.638800000000003</v>
      </c>
      <c r="L38" s="619">
        <f t="shared" si="7"/>
        <v>115.9571</v>
      </c>
      <c r="M38" s="619">
        <f t="shared" si="7"/>
        <v>143.03449999999998</v>
      </c>
      <c r="N38" s="619">
        <f t="shared" si="7"/>
        <v>175.10990000000001</v>
      </c>
      <c r="O38" s="619">
        <f t="shared" si="7"/>
        <v>209.90479999999997</v>
      </c>
      <c r="P38" s="619">
        <f t="shared" si="7"/>
        <v>247.18959999999996</v>
      </c>
      <c r="Q38" s="619">
        <f t="shared" si="7"/>
        <v>288.82909999999998</v>
      </c>
      <c r="R38" s="619">
        <f t="shared" si="7"/>
        <v>334.40609999999992</v>
      </c>
      <c r="S38" s="619">
        <f t="shared" si="7"/>
        <v>383.3039</v>
      </c>
      <c r="T38" s="619">
        <f t="shared" si="7"/>
        <v>437.85559999999998</v>
      </c>
      <c r="U38" s="619">
        <f t="shared" si="7"/>
        <v>488.69099999999992</v>
      </c>
      <c r="V38" s="619">
        <f t="shared" si="7"/>
        <v>533.76330000000007</v>
      </c>
      <c r="W38" s="619">
        <f t="shared" si="7"/>
        <v>581.58379999999988</v>
      </c>
      <c r="X38" s="619">
        <f t="shared" si="7"/>
        <v>632.90430000000003</v>
      </c>
      <c r="Y38" s="619">
        <f t="shared" si="7"/>
        <v>689.32569999999987</v>
      </c>
      <c r="Z38" s="619">
        <f t="shared" si="7"/>
        <v>751.65930000000003</v>
      </c>
      <c r="AA38" s="619">
        <f t="shared" si="7"/>
        <v>818.44770000000005</v>
      </c>
      <c r="AB38" s="619">
        <f t="shared" si="7"/>
        <v>890.45319999999992</v>
      </c>
      <c r="AC38" s="619">
        <f t="shared" si="7"/>
        <v>969.51469999999983</v>
      </c>
      <c r="AD38" s="619">
        <f t="shared" si="7"/>
        <v>1057.6782999999998</v>
      </c>
      <c r="AE38" s="619">
        <f t="shared" si="7"/>
        <v>1148.9128000000001</v>
      </c>
      <c r="AF38" s="619">
        <f t="shared" si="7"/>
        <v>1243.6746000000001</v>
      </c>
      <c r="AG38" s="619">
        <f t="shared" si="7"/>
        <v>1358.3591000000001</v>
      </c>
      <c r="AH38" s="619">
        <f t="shared" si="7"/>
        <v>1485.3034</v>
      </c>
      <c r="AI38" s="619">
        <f t="shared" si="7"/>
        <v>1610.0237999999995</v>
      </c>
      <c r="AJ38" s="619">
        <f t="shared" si="7"/>
        <v>1739.4810999999997</v>
      </c>
      <c r="AK38" s="619">
        <f t="shared" si="7"/>
        <v>1891.5533</v>
      </c>
      <c r="AL38" s="619">
        <f t="shared" si="7"/>
        <v>2084.0301999999997</v>
      </c>
      <c r="AM38" s="619">
        <f t="shared" si="7"/>
        <v>2291.8630000000003</v>
      </c>
      <c r="AN38" s="619">
        <f t="shared" si="7"/>
        <v>2487.9574999999995</v>
      </c>
    </row>
    <row r="39" spans="1:40" ht="15">
      <c r="A39" s="617"/>
    </row>
    <row r="40" spans="1:40" ht="15">
      <c r="A40" s="616" t="s">
        <v>2557</v>
      </c>
      <c r="B40" s="430"/>
      <c r="C40" s="430"/>
      <c r="D40" s="430"/>
      <c r="E40" s="430"/>
      <c r="F40" s="430"/>
      <c r="G40" s="430"/>
      <c r="H40" s="430"/>
      <c r="I40" s="430"/>
      <c r="J40" s="430"/>
      <c r="K40" s="430"/>
      <c r="L40" s="430"/>
      <c r="M40" s="430"/>
      <c r="N40" s="430"/>
      <c r="O40" s="430"/>
      <c r="P40" s="430"/>
      <c r="Q40" s="430"/>
      <c r="R40" s="430"/>
      <c r="S40" s="430"/>
      <c r="T40" s="430"/>
      <c r="U40" s="430"/>
      <c r="V40" s="430"/>
      <c r="W40" s="430"/>
      <c r="X40" s="430"/>
      <c r="Y40" s="430"/>
      <c r="Z40" s="430"/>
      <c r="AA40" s="430"/>
      <c r="AB40" s="430"/>
      <c r="AC40" s="430"/>
      <c r="AD40" s="430"/>
      <c r="AE40" s="430"/>
      <c r="AF40" s="430"/>
      <c r="AG40" s="430"/>
      <c r="AH40" s="430"/>
      <c r="AI40" s="430"/>
      <c r="AJ40" s="430"/>
      <c r="AK40" s="430"/>
      <c r="AL40" s="430"/>
      <c r="AM40" s="430"/>
      <c r="AN40" s="430"/>
    </row>
    <row r="41" spans="1:40" ht="15">
      <c r="A41" s="617" t="s">
        <v>2555</v>
      </c>
    </row>
    <row r="42" spans="1:40" ht="15">
      <c r="A42" s="617"/>
      <c r="B42" s="274">
        <v>2012</v>
      </c>
      <c r="C42" s="274">
        <v>2013</v>
      </c>
      <c r="D42" s="274">
        <v>2014</v>
      </c>
      <c r="E42" s="274">
        <v>2015</v>
      </c>
      <c r="F42" s="274">
        <v>2016</v>
      </c>
      <c r="G42" s="274">
        <v>2017</v>
      </c>
      <c r="H42" s="274">
        <v>2018</v>
      </c>
      <c r="I42" s="274">
        <v>2019</v>
      </c>
      <c r="J42" s="274">
        <v>2020</v>
      </c>
      <c r="K42" s="274">
        <v>2021</v>
      </c>
      <c r="L42" s="274">
        <v>2022</v>
      </c>
      <c r="M42" s="274">
        <v>2023</v>
      </c>
      <c r="N42" s="274">
        <v>2024</v>
      </c>
      <c r="O42" s="274">
        <v>2025</v>
      </c>
      <c r="P42" s="274">
        <v>2026</v>
      </c>
      <c r="Q42" s="274">
        <v>2027</v>
      </c>
      <c r="R42" s="274">
        <v>2028</v>
      </c>
      <c r="S42" s="274">
        <v>2029</v>
      </c>
      <c r="T42" s="274">
        <v>2030</v>
      </c>
      <c r="U42" s="274">
        <v>2031</v>
      </c>
      <c r="V42" s="274">
        <v>2032</v>
      </c>
      <c r="W42" s="274">
        <v>2033</v>
      </c>
      <c r="X42" s="274">
        <v>2034</v>
      </c>
      <c r="Y42" s="274">
        <v>2035</v>
      </c>
      <c r="Z42" s="274">
        <v>2036</v>
      </c>
      <c r="AA42" s="274">
        <v>2037</v>
      </c>
      <c r="AB42" s="274">
        <v>2038</v>
      </c>
      <c r="AC42" s="274">
        <v>2039</v>
      </c>
      <c r="AD42" s="274">
        <v>2040</v>
      </c>
      <c r="AE42" s="274">
        <v>2041</v>
      </c>
      <c r="AF42" s="274">
        <v>2042</v>
      </c>
      <c r="AG42" s="274">
        <v>2043</v>
      </c>
      <c r="AH42" s="274">
        <v>2044</v>
      </c>
      <c r="AI42" s="274">
        <v>2045</v>
      </c>
      <c r="AJ42" s="274">
        <v>2046</v>
      </c>
      <c r="AK42" s="274">
        <v>2047</v>
      </c>
      <c r="AL42" s="274">
        <v>2048</v>
      </c>
      <c r="AM42" s="274">
        <v>2049</v>
      </c>
      <c r="AN42" s="274">
        <v>2050</v>
      </c>
    </row>
    <row r="43" spans="1:40" ht="15">
      <c r="A43" s="617">
        <v>1</v>
      </c>
      <c r="B43" s="58"/>
      <c r="C43" s="58"/>
      <c r="D43" s="58"/>
      <c r="E43" s="58">
        <v>0</v>
      </c>
      <c r="F43" s="58">
        <v>0</v>
      </c>
      <c r="G43" s="58">
        <v>8.0500000000000005E-4</v>
      </c>
      <c r="H43" s="58">
        <v>5.9570000000000005E-3</v>
      </c>
      <c r="I43" s="58">
        <v>1.4651000000000001E-2</v>
      </c>
      <c r="J43" s="58">
        <v>2.6404000000000004E-2</v>
      </c>
      <c r="K43" s="58">
        <v>3.4293000000000011E-2</v>
      </c>
      <c r="L43" s="58">
        <v>3.9284000000000006E-2</v>
      </c>
      <c r="M43" s="58">
        <v>5.0876000000000005E-2</v>
      </c>
      <c r="N43" s="58">
        <v>6.5527000000000016E-2</v>
      </c>
      <c r="O43" s="58">
        <v>8.2915000000000003E-2</v>
      </c>
      <c r="P43" s="58">
        <v>0.100786</v>
      </c>
      <c r="Q43" s="58">
        <v>0.11946200000000001</v>
      </c>
      <c r="R43" s="58">
        <v>0.137655</v>
      </c>
      <c r="S43" s="58">
        <v>0.15584799999999999</v>
      </c>
      <c r="T43" s="58">
        <v>0.17710000000000004</v>
      </c>
      <c r="U43" s="58">
        <v>0.19481000000000001</v>
      </c>
      <c r="V43" s="58">
        <v>0.21026600000000004</v>
      </c>
      <c r="W43" s="58">
        <v>0.22652700000000003</v>
      </c>
      <c r="X43" s="58">
        <v>0.24230499999999999</v>
      </c>
      <c r="Y43" s="58">
        <v>0.25808300000000001</v>
      </c>
      <c r="Z43" s="58">
        <v>0.27386100000000002</v>
      </c>
      <c r="AA43" s="58">
        <v>0.29318100000000002</v>
      </c>
      <c r="AB43" s="58">
        <v>0.31411100000000003</v>
      </c>
      <c r="AC43" s="58">
        <v>0.33504100000000003</v>
      </c>
      <c r="AD43" s="58">
        <v>0.35870800000000008</v>
      </c>
      <c r="AE43" s="58">
        <v>0.38044300000000003</v>
      </c>
      <c r="AF43" s="58">
        <v>0.40217799999999998</v>
      </c>
      <c r="AG43" s="58">
        <v>0.42745500000000008</v>
      </c>
      <c r="AH43" s="58">
        <v>0.45353700000000013</v>
      </c>
      <c r="AI43" s="58">
        <v>0.47961900000000007</v>
      </c>
      <c r="AJ43" s="58">
        <v>0.50650600000000001</v>
      </c>
      <c r="AK43" s="58">
        <v>0.53419800000000017</v>
      </c>
      <c r="AL43" s="58">
        <v>0.56269500000000006</v>
      </c>
      <c r="AM43" s="58">
        <v>0.59553900000000015</v>
      </c>
      <c r="AN43" s="58">
        <v>0.62967100000000009</v>
      </c>
    </row>
    <row r="44" spans="1:40" ht="15">
      <c r="A44" s="617">
        <v>2</v>
      </c>
      <c r="B44" s="58"/>
      <c r="C44" s="58"/>
      <c r="D44" s="58"/>
      <c r="E44" s="58">
        <v>0</v>
      </c>
      <c r="F44" s="58">
        <v>0</v>
      </c>
      <c r="G44" s="58">
        <v>1.8400000000000001E-3</v>
      </c>
      <c r="H44" s="58">
        <v>1.5180000000000001E-2</v>
      </c>
      <c r="I44" s="58">
        <v>4.6920000000000003E-2</v>
      </c>
      <c r="J44" s="58">
        <v>8.3720000000000017E-2</v>
      </c>
      <c r="K44" s="58">
        <v>0.11132000000000002</v>
      </c>
      <c r="L44" s="58">
        <v>0.14237000000000002</v>
      </c>
      <c r="M44" s="58">
        <v>0.18675999999999998</v>
      </c>
      <c r="N44" s="58">
        <v>0.24333999999999997</v>
      </c>
      <c r="O44" s="58">
        <v>0.30452000000000001</v>
      </c>
      <c r="P44" s="58">
        <v>0.36753999999999998</v>
      </c>
      <c r="Q44" s="58">
        <v>0.43378000000000005</v>
      </c>
      <c r="R44" s="58">
        <v>0.50323999999999991</v>
      </c>
      <c r="S44" s="58">
        <v>0.57384999999999997</v>
      </c>
      <c r="T44" s="58">
        <v>0.64377000000000006</v>
      </c>
      <c r="U44" s="58">
        <v>0.70587</v>
      </c>
      <c r="V44" s="58">
        <v>0.75900000000000001</v>
      </c>
      <c r="W44" s="58">
        <v>0.81281999999999999</v>
      </c>
      <c r="X44" s="58">
        <v>0.86894000000000005</v>
      </c>
      <c r="Y44" s="58">
        <v>0.92827999999999999</v>
      </c>
      <c r="Z44" s="58">
        <v>0.99083999999999994</v>
      </c>
      <c r="AA44" s="58">
        <v>1.0589200000000001</v>
      </c>
      <c r="AB44" s="58">
        <v>1.1276900000000001</v>
      </c>
      <c r="AC44" s="58">
        <v>1.1971500000000002</v>
      </c>
      <c r="AD44" s="58">
        <v>1.27213</v>
      </c>
      <c r="AE44" s="58">
        <v>1.34642</v>
      </c>
      <c r="AF44" s="58">
        <v>1.4214000000000002</v>
      </c>
      <c r="AG44" s="58">
        <v>1.5007500000000003</v>
      </c>
      <c r="AH44" s="58">
        <v>1.5800999999999998</v>
      </c>
      <c r="AI44" s="58">
        <v>1.66198</v>
      </c>
      <c r="AJ44" s="58">
        <v>1.7493799999999999</v>
      </c>
      <c r="AK44" s="58">
        <v>1.8443700000000001</v>
      </c>
      <c r="AL44" s="58">
        <v>1.9444200000000003</v>
      </c>
      <c r="AM44" s="58">
        <v>2.0467700000000004</v>
      </c>
      <c r="AN44" s="58">
        <v>2.1541799999999998</v>
      </c>
    </row>
    <row r="45" spans="1:40" ht="15">
      <c r="A45" s="617">
        <v>3</v>
      </c>
      <c r="B45" s="58"/>
      <c r="C45" s="58"/>
      <c r="D45" s="58"/>
      <c r="E45" s="58">
        <v>9.0944999999999991E-4</v>
      </c>
      <c r="F45" s="58">
        <v>0.14005529999999999</v>
      </c>
      <c r="G45" s="58">
        <v>1.4969546999999999</v>
      </c>
      <c r="H45" s="58">
        <v>5.3545384499999997</v>
      </c>
      <c r="I45" s="58">
        <v>12.531311549999998</v>
      </c>
      <c r="J45" s="58">
        <v>25.213288649999992</v>
      </c>
      <c r="K45" s="58">
        <v>33.391366199999993</v>
      </c>
      <c r="L45" s="58">
        <v>33.524449049999994</v>
      </c>
      <c r="M45" s="58">
        <v>33.780004499999997</v>
      </c>
      <c r="N45" s="58">
        <v>34.249583849999993</v>
      </c>
      <c r="O45" s="58">
        <v>35.08749044999999</v>
      </c>
      <c r="P45" s="58">
        <v>36.606575099999993</v>
      </c>
      <c r="Q45" s="58">
        <v>39.200629649999989</v>
      </c>
      <c r="R45" s="58">
        <v>43.267993199999992</v>
      </c>
      <c r="S45" s="58">
        <v>49.200941849999992</v>
      </c>
      <c r="T45" s="58">
        <v>57.465720299999994</v>
      </c>
      <c r="U45" s="58">
        <v>65.836601250000001</v>
      </c>
      <c r="V45" s="58">
        <v>73.511752949999988</v>
      </c>
      <c r="W45" s="58">
        <v>82.249445399999999</v>
      </c>
      <c r="X45" s="58">
        <v>92.198222099999995</v>
      </c>
      <c r="Y45" s="58">
        <v>103.42629179999999</v>
      </c>
      <c r="Z45" s="58">
        <v>116.2616628</v>
      </c>
      <c r="AA45" s="58">
        <v>131.11449704999995</v>
      </c>
      <c r="AB45" s="58">
        <v>153.38238029999999</v>
      </c>
      <c r="AC45" s="58">
        <v>184.67109809999997</v>
      </c>
      <c r="AD45" s="58">
        <v>215.84128424999997</v>
      </c>
      <c r="AE45" s="58">
        <v>244.40528985</v>
      </c>
      <c r="AF45" s="58">
        <v>273.43493384999999</v>
      </c>
      <c r="AG45" s="58">
        <v>304.34683619999998</v>
      </c>
      <c r="AH45" s="58">
        <v>338.67736109999993</v>
      </c>
      <c r="AI45" s="58">
        <v>377.08919445000004</v>
      </c>
      <c r="AJ45" s="58">
        <v>419.85335234999997</v>
      </c>
      <c r="AK45" s="58">
        <v>466.64364539999997</v>
      </c>
      <c r="AL45" s="58">
        <v>517.85629065000001</v>
      </c>
      <c r="AM45" s="58">
        <v>574.49228939999989</v>
      </c>
      <c r="AN45" s="58">
        <v>637.95280094999998</v>
      </c>
    </row>
    <row r="46" spans="1:40" ht="15">
      <c r="A46" s="617">
        <v>4</v>
      </c>
      <c r="B46" s="58"/>
      <c r="C46" s="58"/>
      <c r="D46" s="58"/>
      <c r="E46" s="58">
        <v>0</v>
      </c>
      <c r="F46" s="58">
        <v>0</v>
      </c>
      <c r="G46" s="58">
        <v>0</v>
      </c>
      <c r="H46" s="58">
        <v>0</v>
      </c>
      <c r="I46" s="58">
        <v>0</v>
      </c>
      <c r="J46" s="58">
        <v>0</v>
      </c>
      <c r="K46" s="58">
        <v>0</v>
      </c>
      <c r="L46" s="58">
        <v>0</v>
      </c>
      <c r="M46" s="58">
        <v>0</v>
      </c>
      <c r="N46" s="58">
        <v>0</v>
      </c>
      <c r="O46" s="58">
        <v>0</v>
      </c>
      <c r="P46" s="58">
        <v>0</v>
      </c>
      <c r="Q46" s="58">
        <v>0</v>
      </c>
      <c r="R46" s="58">
        <v>0</v>
      </c>
      <c r="S46" s="58">
        <v>0</v>
      </c>
      <c r="T46" s="58">
        <v>0</v>
      </c>
      <c r="U46" s="58">
        <v>0</v>
      </c>
      <c r="V46" s="58">
        <v>0</v>
      </c>
      <c r="W46" s="58">
        <v>0</v>
      </c>
      <c r="X46" s="58">
        <v>0</v>
      </c>
      <c r="Y46" s="58">
        <v>0</v>
      </c>
      <c r="Z46" s="58">
        <v>0</v>
      </c>
      <c r="AA46" s="58">
        <v>0</v>
      </c>
      <c r="AB46" s="58">
        <v>0</v>
      </c>
      <c r="AC46" s="58">
        <v>0</v>
      </c>
      <c r="AD46" s="58">
        <v>0</v>
      </c>
      <c r="AE46" s="58">
        <v>0</v>
      </c>
      <c r="AF46" s="58">
        <v>0</v>
      </c>
      <c r="AG46" s="58">
        <v>0</v>
      </c>
      <c r="AH46" s="58">
        <v>0</v>
      </c>
      <c r="AI46" s="58">
        <v>0</v>
      </c>
      <c r="AJ46" s="58">
        <v>0</v>
      </c>
      <c r="AK46" s="58">
        <v>0</v>
      </c>
      <c r="AL46" s="58">
        <v>0</v>
      </c>
      <c r="AM46" s="58">
        <v>0</v>
      </c>
      <c r="AN46" s="58">
        <v>0</v>
      </c>
    </row>
    <row r="47" spans="1:40" ht="15">
      <c r="A47" s="617">
        <v>5</v>
      </c>
      <c r="B47" s="58"/>
      <c r="C47" s="58"/>
      <c r="D47" s="58"/>
      <c r="E47" s="58">
        <v>0</v>
      </c>
      <c r="F47" s="58">
        <v>0</v>
      </c>
      <c r="G47" s="58">
        <v>0</v>
      </c>
      <c r="H47" s="58">
        <v>0</v>
      </c>
      <c r="I47" s="58">
        <v>0</v>
      </c>
      <c r="J47" s="58">
        <v>0</v>
      </c>
      <c r="K47" s="58">
        <v>0</v>
      </c>
      <c r="L47" s="58">
        <v>0</v>
      </c>
      <c r="M47" s="58">
        <v>0</v>
      </c>
      <c r="N47" s="58">
        <v>0</v>
      </c>
      <c r="O47" s="58">
        <v>0</v>
      </c>
      <c r="P47" s="58">
        <v>0</v>
      </c>
      <c r="Q47" s="58">
        <v>0</v>
      </c>
      <c r="R47" s="58">
        <v>0</v>
      </c>
      <c r="S47" s="58">
        <v>0</v>
      </c>
      <c r="T47" s="58">
        <v>0</v>
      </c>
      <c r="U47" s="58">
        <v>0</v>
      </c>
      <c r="V47" s="58">
        <v>0</v>
      </c>
      <c r="W47" s="58">
        <v>0</v>
      </c>
      <c r="X47" s="58">
        <v>0</v>
      </c>
      <c r="Y47" s="58">
        <v>0</v>
      </c>
      <c r="Z47" s="58">
        <v>0</v>
      </c>
      <c r="AA47" s="58">
        <v>0</v>
      </c>
      <c r="AB47" s="58">
        <v>0</v>
      </c>
      <c r="AC47" s="58">
        <v>0</v>
      </c>
      <c r="AD47" s="58">
        <v>0</v>
      </c>
      <c r="AE47" s="58">
        <v>0</v>
      </c>
      <c r="AF47" s="58">
        <v>0</v>
      </c>
      <c r="AG47" s="58">
        <v>0</v>
      </c>
      <c r="AH47" s="58">
        <v>0</v>
      </c>
      <c r="AI47" s="58">
        <v>0</v>
      </c>
      <c r="AJ47" s="58">
        <v>0</v>
      </c>
      <c r="AK47" s="58">
        <v>0</v>
      </c>
      <c r="AL47" s="58">
        <v>0</v>
      </c>
      <c r="AM47" s="58">
        <v>0</v>
      </c>
      <c r="AN47" s="58">
        <v>0</v>
      </c>
    </row>
    <row r="48" spans="1:40" ht="15">
      <c r="A48" s="617">
        <v>6</v>
      </c>
      <c r="B48" s="58"/>
      <c r="C48" s="58"/>
      <c r="D48" s="58"/>
      <c r="E48" s="58">
        <v>0</v>
      </c>
      <c r="F48" s="58">
        <v>0</v>
      </c>
      <c r="G48" s="58">
        <v>0</v>
      </c>
      <c r="H48" s="58">
        <v>0</v>
      </c>
      <c r="I48" s="58">
        <v>0</v>
      </c>
      <c r="J48" s="58">
        <v>0</v>
      </c>
      <c r="K48" s="58">
        <v>0</v>
      </c>
      <c r="L48" s="58">
        <v>0</v>
      </c>
      <c r="M48" s="58">
        <v>0</v>
      </c>
      <c r="N48" s="58">
        <v>0</v>
      </c>
      <c r="O48" s="58">
        <v>0</v>
      </c>
      <c r="P48" s="58">
        <v>0</v>
      </c>
      <c r="Q48" s="58">
        <v>0</v>
      </c>
      <c r="R48" s="58">
        <v>0</v>
      </c>
      <c r="S48" s="58">
        <v>0</v>
      </c>
      <c r="T48" s="58">
        <v>0</v>
      </c>
      <c r="U48" s="58">
        <v>0</v>
      </c>
      <c r="V48" s="58">
        <v>0</v>
      </c>
      <c r="W48" s="58">
        <v>0</v>
      </c>
      <c r="X48" s="58">
        <v>0</v>
      </c>
      <c r="Y48" s="58">
        <v>0</v>
      </c>
      <c r="Z48" s="58">
        <v>0</v>
      </c>
      <c r="AA48" s="58">
        <v>0</v>
      </c>
      <c r="AB48" s="58">
        <v>0</v>
      </c>
      <c r="AC48" s="58">
        <v>0</v>
      </c>
      <c r="AD48" s="58">
        <v>0</v>
      </c>
      <c r="AE48" s="58">
        <v>0</v>
      </c>
      <c r="AF48" s="58">
        <v>0</v>
      </c>
      <c r="AG48" s="58">
        <v>0</v>
      </c>
      <c r="AH48" s="58">
        <v>0</v>
      </c>
      <c r="AI48" s="58">
        <v>0</v>
      </c>
      <c r="AJ48" s="58">
        <v>0</v>
      </c>
      <c r="AK48" s="58">
        <v>0</v>
      </c>
      <c r="AL48" s="58">
        <v>0</v>
      </c>
      <c r="AM48" s="58">
        <v>0</v>
      </c>
      <c r="AN48" s="58">
        <v>0</v>
      </c>
    </row>
    <row r="49" spans="1:40" ht="15">
      <c r="A49" s="617">
        <v>7</v>
      </c>
      <c r="B49" s="58"/>
      <c r="C49" s="58"/>
      <c r="D49" s="58"/>
      <c r="E49" s="58">
        <v>0</v>
      </c>
      <c r="F49" s="58">
        <v>0</v>
      </c>
      <c r="G49" s="58">
        <v>0</v>
      </c>
      <c r="H49" s="58">
        <v>0</v>
      </c>
      <c r="I49" s="58">
        <v>0</v>
      </c>
      <c r="J49" s="58">
        <v>0</v>
      </c>
      <c r="K49" s="58">
        <v>0</v>
      </c>
      <c r="L49" s="58">
        <v>0</v>
      </c>
      <c r="M49" s="58">
        <v>0</v>
      </c>
      <c r="N49" s="58">
        <v>0</v>
      </c>
      <c r="O49" s="58">
        <v>0</v>
      </c>
      <c r="P49" s="58">
        <v>0</v>
      </c>
      <c r="Q49" s="58">
        <v>0</v>
      </c>
      <c r="R49" s="58">
        <v>0</v>
      </c>
      <c r="S49" s="58">
        <v>0</v>
      </c>
      <c r="T49" s="58">
        <v>0</v>
      </c>
      <c r="U49" s="58">
        <v>0</v>
      </c>
      <c r="V49" s="58">
        <v>0</v>
      </c>
      <c r="W49" s="58">
        <v>0</v>
      </c>
      <c r="X49" s="58">
        <v>0</v>
      </c>
      <c r="Y49" s="58">
        <v>0</v>
      </c>
      <c r="Z49" s="58">
        <v>0</v>
      </c>
      <c r="AA49" s="58">
        <v>0</v>
      </c>
      <c r="AB49" s="58">
        <v>0</v>
      </c>
      <c r="AC49" s="58">
        <v>0</v>
      </c>
      <c r="AD49" s="58">
        <v>0</v>
      </c>
      <c r="AE49" s="58">
        <v>0</v>
      </c>
      <c r="AF49" s="58">
        <v>0</v>
      </c>
      <c r="AG49" s="58">
        <v>0</v>
      </c>
      <c r="AH49" s="58">
        <v>0</v>
      </c>
      <c r="AI49" s="58">
        <v>0</v>
      </c>
      <c r="AJ49" s="58">
        <v>0</v>
      </c>
      <c r="AK49" s="58">
        <v>0</v>
      </c>
      <c r="AL49" s="58">
        <v>0</v>
      </c>
      <c r="AM49" s="58">
        <v>0</v>
      </c>
      <c r="AN49" s="58">
        <v>0</v>
      </c>
    </row>
    <row r="50" spans="1:40" ht="15">
      <c r="A50" s="618" t="s">
        <v>95</v>
      </c>
      <c r="B50" s="619">
        <f>SUM(B43:B49)</f>
        <v>0</v>
      </c>
      <c r="C50" s="619">
        <f t="shared" ref="C50:AN50" si="8">SUM(C43:C49)</f>
        <v>0</v>
      </c>
      <c r="D50" s="619">
        <f t="shared" si="8"/>
        <v>0</v>
      </c>
      <c r="E50" s="619">
        <f t="shared" si="8"/>
        <v>9.0944999999999991E-4</v>
      </c>
      <c r="F50" s="619">
        <f t="shared" si="8"/>
        <v>0.14005529999999999</v>
      </c>
      <c r="G50" s="619">
        <f t="shared" si="8"/>
        <v>1.4995996999999999</v>
      </c>
      <c r="H50" s="619">
        <f t="shared" si="8"/>
        <v>5.3756754500000001</v>
      </c>
      <c r="I50" s="619">
        <f t="shared" si="8"/>
        <v>12.592882549999999</v>
      </c>
      <c r="J50" s="619">
        <f t="shared" si="8"/>
        <v>25.323412649999991</v>
      </c>
      <c r="K50" s="619">
        <f t="shared" si="8"/>
        <v>33.53697919999999</v>
      </c>
      <c r="L50" s="619">
        <f t="shared" si="8"/>
        <v>33.706103049999996</v>
      </c>
      <c r="M50" s="619">
        <f t="shared" si="8"/>
        <v>34.017640499999999</v>
      </c>
      <c r="N50" s="619">
        <f t="shared" si="8"/>
        <v>34.558450849999993</v>
      </c>
      <c r="O50" s="619">
        <f t="shared" si="8"/>
        <v>35.474925449999994</v>
      </c>
      <c r="P50" s="619">
        <f t="shared" si="8"/>
        <v>37.074901099999991</v>
      </c>
      <c r="Q50" s="619">
        <f t="shared" si="8"/>
        <v>39.753871649999986</v>
      </c>
      <c r="R50" s="619">
        <f t="shared" si="8"/>
        <v>43.908888199999993</v>
      </c>
      <c r="S50" s="619">
        <f t="shared" si="8"/>
        <v>49.930639849999991</v>
      </c>
      <c r="T50" s="619">
        <f t="shared" si="8"/>
        <v>58.286590299999993</v>
      </c>
      <c r="U50" s="619">
        <f t="shared" si="8"/>
        <v>66.737281249999995</v>
      </c>
      <c r="V50" s="619">
        <f t="shared" si="8"/>
        <v>74.481018949999992</v>
      </c>
      <c r="W50" s="619">
        <f t="shared" si="8"/>
        <v>83.288792400000006</v>
      </c>
      <c r="X50" s="619">
        <f t="shared" si="8"/>
        <v>93.309467099999992</v>
      </c>
      <c r="Y50" s="619">
        <f t="shared" si="8"/>
        <v>104.61265479999999</v>
      </c>
      <c r="Z50" s="619">
        <f t="shared" si="8"/>
        <v>117.5263638</v>
      </c>
      <c r="AA50" s="619">
        <f t="shared" si="8"/>
        <v>132.46659804999996</v>
      </c>
      <c r="AB50" s="619">
        <f t="shared" si="8"/>
        <v>154.82418129999999</v>
      </c>
      <c r="AC50" s="619">
        <f t="shared" si="8"/>
        <v>186.20328909999998</v>
      </c>
      <c r="AD50" s="619">
        <f t="shared" si="8"/>
        <v>217.47212224999998</v>
      </c>
      <c r="AE50" s="619">
        <f t="shared" si="8"/>
        <v>246.13215285000001</v>
      </c>
      <c r="AF50" s="619">
        <f t="shared" si="8"/>
        <v>275.25851184999999</v>
      </c>
      <c r="AG50" s="619">
        <f t="shared" si="8"/>
        <v>306.27504119999998</v>
      </c>
      <c r="AH50" s="619">
        <f t="shared" si="8"/>
        <v>340.71099809999993</v>
      </c>
      <c r="AI50" s="619">
        <f t="shared" si="8"/>
        <v>379.23079345000002</v>
      </c>
      <c r="AJ50" s="619">
        <f t="shared" si="8"/>
        <v>422.10923834999994</v>
      </c>
      <c r="AK50" s="619">
        <f t="shared" si="8"/>
        <v>469.02221339999994</v>
      </c>
      <c r="AL50" s="619">
        <f t="shared" si="8"/>
        <v>520.36340565</v>
      </c>
      <c r="AM50" s="619">
        <f t="shared" si="8"/>
        <v>577.13459839999985</v>
      </c>
      <c r="AN50" s="619">
        <f t="shared" si="8"/>
        <v>640.73665195000001</v>
      </c>
    </row>
    <row r="51" spans="1:40" ht="15">
      <c r="A51" s="617"/>
      <c r="B51" s="58"/>
      <c r="C51" s="58"/>
      <c r="D51" s="58"/>
      <c r="E51" s="58"/>
      <c r="F51" s="58"/>
      <c r="G51" s="58"/>
      <c r="H51" s="58"/>
      <c r="I51" s="58"/>
      <c r="J51" s="58"/>
      <c r="K51" s="58"/>
      <c r="L51" s="58"/>
      <c r="M51" s="58"/>
      <c r="N51" s="58"/>
      <c r="O51" s="58"/>
      <c r="P51" s="58"/>
      <c r="Q51" s="58"/>
      <c r="R51" s="58"/>
      <c r="S51" s="58"/>
      <c r="T51" s="58"/>
      <c r="U51" s="58"/>
      <c r="V51" s="58"/>
      <c r="W51" s="58"/>
      <c r="X51" s="58"/>
      <c r="Y51" s="58"/>
      <c r="Z51" s="58"/>
      <c r="AA51" s="58"/>
      <c r="AB51" s="58"/>
      <c r="AC51" s="58"/>
      <c r="AD51" s="58"/>
      <c r="AE51" s="58"/>
      <c r="AF51" s="58"/>
      <c r="AG51" s="58"/>
      <c r="AH51" s="58"/>
      <c r="AI51" s="58"/>
      <c r="AJ51" s="58"/>
      <c r="AK51" s="58"/>
      <c r="AL51" s="58"/>
      <c r="AM51" s="58"/>
      <c r="AN51" s="58"/>
    </row>
    <row r="52" spans="1:40" ht="15">
      <c r="A52" s="616" t="s">
        <v>2558</v>
      </c>
      <c r="B52" s="430"/>
      <c r="C52" s="430"/>
      <c r="D52" s="430"/>
      <c r="E52" s="430"/>
      <c r="F52" s="430"/>
      <c r="G52" s="430"/>
      <c r="H52" s="430"/>
      <c r="I52" s="430"/>
      <c r="J52" s="430"/>
      <c r="K52" s="430"/>
      <c r="L52" s="430"/>
      <c r="M52" s="430"/>
      <c r="N52" s="430"/>
      <c r="O52" s="430"/>
      <c r="P52" s="430"/>
      <c r="Q52" s="430"/>
      <c r="R52" s="430"/>
      <c r="S52" s="430"/>
      <c r="T52" s="430"/>
      <c r="U52" s="430"/>
      <c r="V52" s="430"/>
      <c r="W52" s="430"/>
      <c r="X52" s="430"/>
      <c r="Y52" s="430"/>
      <c r="Z52" s="430"/>
      <c r="AA52" s="430"/>
      <c r="AB52" s="430"/>
      <c r="AC52" s="430"/>
      <c r="AD52" s="430"/>
      <c r="AE52" s="430"/>
      <c r="AF52" s="430"/>
      <c r="AG52" s="430"/>
      <c r="AH52" s="430"/>
      <c r="AI52" s="430"/>
      <c r="AJ52" s="430"/>
      <c r="AK52" s="430"/>
      <c r="AL52" s="430"/>
      <c r="AM52" s="430"/>
      <c r="AN52" s="430"/>
    </row>
    <row r="53" spans="1:40" ht="15">
      <c r="A53" s="617" t="s">
        <v>2555</v>
      </c>
    </row>
    <row r="54" spans="1:40" ht="15">
      <c r="A54" s="617"/>
      <c r="B54" s="274">
        <v>2012</v>
      </c>
      <c r="C54" s="274">
        <v>2013</v>
      </c>
      <c r="D54" s="274">
        <v>2014</v>
      </c>
      <c r="E54" s="274">
        <v>2015</v>
      </c>
      <c r="F54" s="274">
        <v>2016</v>
      </c>
      <c r="G54" s="274">
        <v>2017</v>
      </c>
      <c r="H54" s="274">
        <v>2018</v>
      </c>
      <c r="I54" s="274">
        <v>2019</v>
      </c>
      <c r="J54" s="274">
        <v>2020</v>
      </c>
      <c r="K54" s="274">
        <v>2021</v>
      </c>
      <c r="L54" s="274">
        <v>2022</v>
      </c>
      <c r="M54" s="274">
        <v>2023</v>
      </c>
      <c r="N54" s="274">
        <v>2024</v>
      </c>
      <c r="O54" s="274">
        <v>2025</v>
      </c>
      <c r="P54" s="274">
        <v>2026</v>
      </c>
      <c r="Q54" s="274">
        <v>2027</v>
      </c>
      <c r="R54" s="274">
        <v>2028</v>
      </c>
      <c r="S54" s="274">
        <v>2029</v>
      </c>
      <c r="T54" s="274">
        <v>2030</v>
      </c>
      <c r="U54" s="274">
        <v>2031</v>
      </c>
      <c r="V54" s="274">
        <v>2032</v>
      </c>
      <c r="W54" s="274">
        <v>2033</v>
      </c>
      <c r="X54" s="274">
        <v>2034</v>
      </c>
      <c r="Y54" s="274">
        <v>2035</v>
      </c>
      <c r="Z54" s="274">
        <v>2036</v>
      </c>
      <c r="AA54" s="274">
        <v>2037</v>
      </c>
      <c r="AB54" s="274">
        <v>2038</v>
      </c>
      <c r="AC54" s="274">
        <v>2039</v>
      </c>
      <c r="AD54" s="274">
        <v>2040</v>
      </c>
      <c r="AE54" s="274">
        <v>2041</v>
      </c>
      <c r="AF54" s="274">
        <v>2042</v>
      </c>
      <c r="AG54" s="274">
        <v>2043</v>
      </c>
      <c r="AH54" s="274">
        <v>2044</v>
      </c>
      <c r="AI54" s="274">
        <v>2045</v>
      </c>
      <c r="AJ54" s="274">
        <v>2046</v>
      </c>
      <c r="AK54" s="274">
        <v>2047</v>
      </c>
      <c r="AL54" s="274">
        <v>2048</v>
      </c>
      <c r="AM54" s="274">
        <v>2049</v>
      </c>
      <c r="AN54" s="274">
        <v>2050</v>
      </c>
    </row>
    <row r="55" spans="1:40" ht="15">
      <c r="A55" s="617">
        <v>1</v>
      </c>
      <c r="B55" s="58"/>
      <c r="C55" s="58"/>
      <c r="D55" s="58"/>
      <c r="E55" s="58">
        <v>2.7031005000000006E-3</v>
      </c>
      <c r="F55" s="58">
        <v>0.41432523775000013</v>
      </c>
      <c r="G55" s="58">
        <v>10.578433634500003</v>
      </c>
      <c r="H55" s="58">
        <v>24.760724952060002</v>
      </c>
      <c r="I55" s="58">
        <v>30.147788760885824</v>
      </c>
      <c r="J55" s="58">
        <v>36.285903698483828</v>
      </c>
      <c r="K55" s="58">
        <v>45.132151223757262</v>
      </c>
      <c r="L55" s="58">
        <v>54.874689967451765</v>
      </c>
      <c r="M55" s="58">
        <v>66.349895048775693</v>
      </c>
      <c r="N55" s="58">
        <v>81.556865201885685</v>
      </c>
      <c r="O55" s="58">
        <v>102.08483410579753</v>
      </c>
      <c r="P55" s="58">
        <v>126.91894748418095</v>
      </c>
      <c r="Q55" s="58">
        <v>156.90376380284789</v>
      </c>
      <c r="R55" s="58">
        <v>187.94697593681789</v>
      </c>
      <c r="S55" s="58">
        <v>221.76199129130805</v>
      </c>
      <c r="T55" s="58">
        <v>260.79138021892658</v>
      </c>
      <c r="U55" s="58">
        <v>298.06066052989974</v>
      </c>
      <c r="V55" s="58">
        <v>332.63731265197765</v>
      </c>
      <c r="W55" s="58">
        <v>365.53677785563457</v>
      </c>
      <c r="X55" s="58">
        <v>394.88354413877113</v>
      </c>
      <c r="Y55" s="58">
        <v>420.38314983170073</v>
      </c>
      <c r="Z55" s="58">
        <v>440.76827307114291</v>
      </c>
      <c r="AA55" s="58">
        <v>457.7870845935073</v>
      </c>
      <c r="AB55" s="58">
        <v>472.81498859535139</v>
      </c>
      <c r="AC55" s="58">
        <v>482.62119797189069</v>
      </c>
      <c r="AD55" s="58">
        <v>489.65560412790978</v>
      </c>
      <c r="AE55" s="58">
        <v>495.73004843266301</v>
      </c>
      <c r="AF55" s="58">
        <v>499.39814287160431</v>
      </c>
      <c r="AG55" s="58">
        <v>502.16994609212458</v>
      </c>
      <c r="AH55" s="58">
        <v>504.0454580942237</v>
      </c>
      <c r="AI55" s="58">
        <v>505.90171116391053</v>
      </c>
      <c r="AJ55" s="58">
        <v>506.79800238233156</v>
      </c>
      <c r="AK55" s="58">
        <v>506.79800238233156</v>
      </c>
      <c r="AL55" s="58">
        <v>506.79800238233156</v>
      </c>
      <c r="AM55" s="58">
        <v>506.79800238233156</v>
      </c>
      <c r="AN55" s="58">
        <v>506.79800238233156</v>
      </c>
    </row>
    <row r="56" spans="1:40" ht="15">
      <c r="A56" s="617">
        <v>2</v>
      </c>
      <c r="B56" s="58"/>
      <c r="C56" s="58"/>
      <c r="D56" s="58"/>
      <c r="E56" s="58">
        <v>0.52553737499999997</v>
      </c>
      <c r="F56" s="58">
        <v>1.033875345</v>
      </c>
      <c r="G56" s="58">
        <v>1.9117457165000002</v>
      </c>
      <c r="H56" s="58">
        <v>3.1537657127499998</v>
      </c>
      <c r="I56" s="58">
        <v>6.6323748027684655</v>
      </c>
      <c r="J56" s="58">
        <v>13.669170884727709</v>
      </c>
      <c r="K56" s="58">
        <v>23.312088461955415</v>
      </c>
      <c r="L56" s="58">
        <v>36.395952281658047</v>
      </c>
      <c r="M56" s="58">
        <v>52.867506000475288</v>
      </c>
      <c r="N56" s="58">
        <v>72.83082958859201</v>
      </c>
      <c r="O56" s="58">
        <v>99.884205602028274</v>
      </c>
      <c r="P56" s="58">
        <v>132.14982460600149</v>
      </c>
      <c r="Q56" s="58">
        <v>168.6887818831203</v>
      </c>
      <c r="R56" s="58">
        <v>210.49323849413634</v>
      </c>
      <c r="S56" s="58">
        <v>255.84272131781216</v>
      </c>
      <c r="T56" s="58">
        <v>303.74506929339611</v>
      </c>
      <c r="U56" s="58">
        <v>351.64741726898012</v>
      </c>
      <c r="V56" s="58">
        <v>398.66411687053312</v>
      </c>
      <c r="W56" s="58">
        <v>440.46857348154913</v>
      </c>
      <c r="X56" s="58">
        <v>477.06078710202831</v>
      </c>
      <c r="Y56" s="58">
        <v>510.10797450984757</v>
      </c>
      <c r="Z56" s="58">
        <v>537.10809417992357</v>
      </c>
      <c r="AA56" s="58">
        <v>558.89597085946252</v>
      </c>
      <c r="AB56" s="58">
        <v>575.36752457827981</v>
      </c>
      <c r="AC56" s="58">
        <v>588.45138839798256</v>
      </c>
      <c r="AD56" s="58">
        <v>599.03321069260153</v>
      </c>
      <c r="AE56" s="58">
        <v>606.85157517840685</v>
      </c>
      <c r="AF56" s="58">
        <v>612.84538657278995</v>
      </c>
      <c r="AG56" s="58">
        <v>617.27606115948072</v>
      </c>
      <c r="AH56" s="58">
        <v>620.82108737214048</v>
      </c>
      <c r="AI56" s="58">
        <v>622.54156049337803</v>
      </c>
      <c r="AJ56" s="58">
        <v>625.14768198864647</v>
      </c>
      <c r="AK56" s="58">
        <v>627.75380348391491</v>
      </c>
      <c r="AL56" s="58">
        <v>627.75380348391491</v>
      </c>
      <c r="AM56" s="58">
        <v>627.75380348391491</v>
      </c>
      <c r="AN56" s="58">
        <v>627.75380348391491</v>
      </c>
    </row>
    <row r="57" spans="1:40" ht="15">
      <c r="A57" s="617">
        <v>3</v>
      </c>
      <c r="B57" s="58"/>
      <c r="C57" s="58"/>
      <c r="D57" s="58"/>
      <c r="E57" s="58">
        <v>0</v>
      </c>
      <c r="F57" s="58">
        <v>0</v>
      </c>
      <c r="G57" s="58">
        <v>0</v>
      </c>
      <c r="H57" s="58">
        <v>9.7994999999999999E-2</v>
      </c>
      <c r="I57" s="58">
        <v>0.70095247058823529</v>
      </c>
      <c r="J57" s="58">
        <v>1.2059149411764702</v>
      </c>
      <c r="K57" s="58">
        <v>1.2059149411764702</v>
      </c>
      <c r="L57" s="58">
        <v>1.7108774117647059</v>
      </c>
      <c r="M57" s="58">
        <v>2.7208023529411767</v>
      </c>
      <c r="N57" s="58">
        <v>3.7307272941176466</v>
      </c>
      <c r="O57" s="58">
        <v>4.7406522352941174</v>
      </c>
      <c r="P57" s="58">
        <v>6.2555396470588231</v>
      </c>
      <c r="Q57" s="58">
        <v>8.2753895294117648</v>
      </c>
      <c r="R57" s="58">
        <v>10.295239411764705</v>
      </c>
      <c r="S57" s="58">
        <v>12.315089294117646</v>
      </c>
      <c r="T57" s="58">
        <v>15.824463176470585</v>
      </c>
      <c r="U57" s="58">
        <v>19.33383705882353</v>
      </c>
      <c r="V57" s="58">
        <v>21.35368694117647</v>
      </c>
      <c r="W57" s="58">
        <v>23.373536823529413</v>
      </c>
      <c r="X57" s="58">
        <v>24.888424235294124</v>
      </c>
      <c r="Y57" s="58">
        <v>26.403311647058828</v>
      </c>
      <c r="Z57" s="58">
        <v>27.918199058823539</v>
      </c>
      <c r="AA57" s="58">
        <v>28.928124000000004</v>
      </c>
      <c r="AB57" s="58">
        <v>29.433086470588243</v>
      </c>
      <c r="AC57" s="58">
        <v>29.938048941176483</v>
      </c>
      <c r="AD57" s="58">
        <v>30.443011411764715</v>
      </c>
      <c r="AE57" s="58">
        <v>30.947973882352951</v>
      </c>
      <c r="AF57" s="58">
        <v>31.45293635294119</v>
      </c>
      <c r="AG57" s="58">
        <v>31.45293635294119</v>
      </c>
      <c r="AH57" s="58">
        <v>31.45293635294119</v>
      </c>
      <c r="AI57" s="58">
        <v>31.45293635294119</v>
      </c>
      <c r="AJ57" s="58">
        <v>31.45293635294119</v>
      </c>
      <c r="AK57" s="58">
        <v>31.45293635294119</v>
      </c>
      <c r="AL57" s="58">
        <v>31.45293635294119</v>
      </c>
      <c r="AM57" s="58">
        <v>31.45293635294119</v>
      </c>
      <c r="AN57" s="58">
        <v>31.45293635294119</v>
      </c>
    </row>
    <row r="58" spans="1:40" ht="15">
      <c r="A58" s="617">
        <v>4</v>
      </c>
      <c r="B58" s="58"/>
      <c r="C58" s="58"/>
      <c r="D58" s="58"/>
      <c r="E58" s="58">
        <v>0</v>
      </c>
      <c r="F58" s="58">
        <v>0.54177593599999996</v>
      </c>
      <c r="G58" s="58">
        <v>1.6839333779999999</v>
      </c>
      <c r="H58" s="58">
        <v>2.284314884</v>
      </c>
      <c r="I58" s="58">
        <v>2.284314884</v>
      </c>
      <c r="J58" s="58">
        <v>2.284314884</v>
      </c>
      <c r="K58" s="58">
        <v>3.1702528866315793</v>
      </c>
      <c r="L58" s="58">
        <v>4.0561908892631573</v>
      </c>
      <c r="M58" s="58">
        <v>4.0561908892631573</v>
      </c>
      <c r="N58" s="58">
        <v>5.8090029481447365</v>
      </c>
      <c r="O58" s="58">
        <v>9.1857490763245604</v>
      </c>
      <c r="P58" s="58">
        <v>11.695621148254386</v>
      </c>
      <c r="Q58" s="58">
        <v>14.334371209767543</v>
      </c>
      <c r="R58" s="58">
        <v>18.698729721280703</v>
      </c>
      <c r="S58" s="58">
        <v>23.063088232793859</v>
      </c>
      <c r="T58" s="58">
        <v>28.188576588605265</v>
      </c>
      <c r="U58" s="58">
        <v>33.314064944416671</v>
      </c>
      <c r="V58" s="58">
        <v>37.678423455929831</v>
      </c>
      <c r="W58" s="58">
        <v>42.042781967442977</v>
      </c>
      <c r="X58" s="58">
        <v>44.681532028956141</v>
      </c>
      <c r="Y58" s="58">
        <v>47.191404100885968</v>
      </c>
      <c r="Z58" s="58">
        <v>49.68221222643421</v>
      </c>
      <c r="AA58" s="58">
        <v>51.435024285315791</v>
      </c>
      <c r="AB58" s="58">
        <v>52.320962287947367</v>
      </c>
      <c r="AC58" s="58">
        <v>53.20690029057895</v>
      </c>
      <c r="AD58" s="58">
        <v>54.092838293210534</v>
      </c>
      <c r="AE58" s="58">
        <v>54.092838293210534</v>
      </c>
      <c r="AF58" s="58">
        <v>54.092838293210534</v>
      </c>
      <c r="AG58" s="58">
        <v>54.092838293210534</v>
      </c>
      <c r="AH58" s="58">
        <v>54.092838293210534</v>
      </c>
      <c r="AI58" s="58">
        <v>54.092838293210534</v>
      </c>
      <c r="AJ58" s="58">
        <v>54.092838293210534</v>
      </c>
      <c r="AK58" s="58">
        <v>54.092838293210534</v>
      </c>
      <c r="AL58" s="58">
        <v>54.092838293210534</v>
      </c>
      <c r="AM58" s="58">
        <v>54.092838293210534</v>
      </c>
      <c r="AN58" s="58">
        <v>54.092838293210534</v>
      </c>
    </row>
    <row r="59" spans="1:40" ht="15">
      <c r="A59" s="617">
        <v>5</v>
      </c>
      <c r="B59" s="58"/>
      <c r="C59" s="58"/>
      <c r="D59" s="58"/>
      <c r="E59" s="58">
        <v>0</v>
      </c>
      <c r="F59" s="58">
        <v>0</v>
      </c>
      <c r="G59" s="58">
        <v>0</v>
      </c>
      <c r="H59" s="58">
        <v>0</v>
      </c>
      <c r="I59" s="58">
        <v>0</v>
      </c>
      <c r="J59" s="58">
        <v>0</v>
      </c>
      <c r="K59" s="58">
        <v>0</v>
      </c>
      <c r="L59" s="58">
        <v>0</v>
      </c>
      <c r="M59" s="58">
        <v>0</v>
      </c>
      <c r="N59" s="58">
        <v>0</v>
      </c>
      <c r="O59" s="58">
        <v>0</v>
      </c>
      <c r="P59" s="58">
        <v>0</v>
      </c>
      <c r="Q59" s="58">
        <v>0</v>
      </c>
      <c r="R59" s="58">
        <v>0</v>
      </c>
      <c r="S59" s="58">
        <v>0</v>
      </c>
      <c r="T59" s="58">
        <v>0</v>
      </c>
      <c r="U59" s="58">
        <v>0</v>
      </c>
      <c r="V59" s="58">
        <v>0</v>
      </c>
      <c r="W59" s="58">
        <v>0</v>
      </c>
      <c r="X59" s="58">
        <v>0</v>
      </c>
      <c r="Y59" s="58">
        <v>0</v>
      </c>
      <c r="Z59" s="58">
        <v>0</v>
      </c>
      <c r="AA59" s="58">
        <v>0</v>
      </c>
      <c r="AB59" s="58">
        <v>0</v>
      </c>
      <c r="AC59" s="58">
        <v>0</v>
      </c>
      <c r="AD59" s="58">
        <v>0</v>
      </c>
      <c r="AE59" s="58">
        <v>0</v>
      </c>
      <c r="AF59" s="58">
        <v>0</v>
      </c>
      <c r="AG59" s="58">
        <v>0</v>
      </c>
      <c r="AH59" s="58">
        <v>0</v>
      </c>
      <c r="AI59" s="58">
        <v>0</v>
      </c>
      <c r="AJ59" s="58">
        <v>0</v>
      </c>
      <c r="AK59" s="58">
        <v>0</v>
      </c>
      <c r="AL59" s="58">
        <v>0</v>
      </c>
      <c r="AM59" s="58">
        <v>0</v>
      </c>
      <c r="AN59" s="58">
        <v>0</v>
      </c>
    </row>
    <row r="60" spans="1:40" ht="15">
      <c r="A60" s="617">
        <v>6</v>
      </c>
      <c r="B60" s="58"/>
      <c r="C60" s="58"/>
      <c r="D60" s="58"/>
      <c r="E60" s="58">
        <v>0</v>
      </c>
      <c r="F60" s="58">
        <v>0</v>
      </c>
      <c r="G60" s="58">
        <v>0</v>
      </c>
      <c r="H60" s="58">
        <v>0</v>
      </c>
      <c r="I60" s="58">
        <v>0</v>
      </c>
      <c r="J60" s="58">
        <v>0</v>
      </c>
      <c r="K60" s="58">
        <v>0</v>
      </c>
      <c r="L60" s="58">
        <v>0</v>
      </c>
      <c r="M60" s="58">
        <v>0</v>
      </c>
      <c r="N60" s="58">
        <v>0</v>
      </c>
      <c r="O60" s="58">
        <v>0</v>
      </c>
      <c r="P60" s="58">
        <v>0</v>
      </c>
      <c r="Q60" s="58">
        <v>0</v>
      </c>
      <c r="R60" s="58">
        <v>0</v>
      </c>
      <c r="S60" s="58">
        <v>0</v>
      </c>
      <c r="T60" s="58">
        <v>0</v>
      </c>
      <c r="U60" s="58">
        <v>0</v>
      </c>
      <c r="V60" s="58">
        <v>0</v>
      </c>
      <c r="W60" s="58">
        <v>0</v>
      </c>
      <c r="X60" s="58">
        <v>0</v>
      </c>
      <c r="Y60" s="58">
        <v>0</v>
      </c>
      <c r="Z60" s="58">
        <v>0</v>
      </c>
      <c r="AA60" s="58">
        <v>0</v>
      </c>
      <c r="AB60" s="58">
        <v>0</v>
      </c>
      <c r="AC60" s="58">
        <v>0</v>
      </c>
      <c r="AD60" s="58">
        <v>0</v>
      </c>
      <c r="AE60" s="58">
        <v>0</v>
      </c>
      <c r="AF60" s="58">
        <v>0</v>
      </c>
      <c r="AG60" s="58">
        <v>0</v>
      </c>
      <c r="AH60" s="58">
        <v>0</v>
      </c>
      <c r="AI60" s="58">
        <v>0</v>
      </c>
      <c r="AJ60" s="58">
        <v>0</v>
      </c>
      <c r="AK60" s="58">
        <v>0</v>
      </c>
      <c r="AL60" s="58">
        <v>0</v>
      </c>
      <c r="AM60" s="58">
        <v>0</v>
      </c>
      <c r="AN60" s="58">
        <v>0</v>
      </c>
    </row>
    <row r="61" spans="1:40" ht="15">
      <c r="A61" s="617">
        <v>7</v>
      </c>
      <c r="B61" s="58"/>
      <c r="C61" s="58"/>
      <c r="D61" s="58"/>
      <c r="E61" s="58">
        <v>0</v>
      </c>
      <c r="F61" s="58">
        <v>0</v>
      </c>
      <c r="G61" s="58">
        <v>0</v>
      </c>
      <c r="H61" s="58">
        <v>0</v>
      </c>
      <c r="I61" s="58">
        <v>0</v>
      </c>
      <c r="J61" s="58">
        <v>0</v>
      </c>
      <c r="K61" s="58">
        <v>0</v>
      </c>
      <c r="L61" s="58">
        <v>0</v>
      </c>
      <c r="M61" s="58">
        <v>0</v>
      </c>
      <c r="N61" s="58">
        <v>0</v>
      </c>
      <c r="O61" s="58">
        <v>0</v>
      </c>
      <c r="P61" s="58">
        <v>0</v>
      </c>
      <c r="Q61" s="58">
        <v>0</v>
      </c>
      <c r="R61" s="58">
        <v>0</v>
      </c>
      <c r="S61" s="58">
        <v>0</v>
      </c>
      <c r="T61" s="58">
        <v>0</v>
      </c>
      <c r="U61" s="58">
        <v>0</v>
      </c>
      <c r="V61" s="58">
        <v>0</v>
      </c>
      <c r="W61" s="58">
        <v>0</v>
      </c>
      <c r="X61" s="58">
        <v>0</v>
      </c>
      <c r="Y61" s="58">
        <v>0</v>
      </c>
      <c r="Z61" s="58">
        <v>0</v>
      </c>
      <c r="AA61" s="58">
        <v>0</v>
      </c>
      <c r="AB61" s="58">
        <v>0</v>
      </c>
      <c r="AC61" s="58">
        <v>0</v>
      </c>
      <c r="AD61" s="58">
        <v>0</v>
      </c>
      <c r="AE61" s="58">
        <v>0</v>
      </c>
      <c r="AF61" s="58">
        <v>0</v>
      </c>
      <c r="AG61" s="58">
        <v>0</v>
      </c>
      <c r="AH61" s="58">
        <v>0</v>
      </c>
      <c r="AI61" s="58">
        <v>0</v>
      </c>
      <c r="AJ61" s="58">
        <v>0</v>
      </c>
      <c r="AK61" s="58">
        <v>0</v>
      </c>
      <c r="AL61" s="58">
        <v>0</v>
      </c>
      <c r="AM61" s="58">
        <v>0</v>
      </c>
      <c r="AN61" s="58">
        <v>0</v>
      </c>
    </row>
    <row r="62" spans="1:40" ht="15">
      <c r="A62" s="618" t="s">
        <v>95</v>
      </c>
      <c r="B62" s="619">
        <f>SUM(B55:B61)</f>
        <v>0</v>
      </c>
      <c r="C62" s="619">
        <f t="shared" ref="C62:AN62" si="9">SUM(C55:C61)</f>
        <v>0</v>
      </c>
      <c r="D62" s="619">
        <f t="shared" si="9"/>
        <v>0</v>
      </c>
      <c r="E62" s="619">
        <f t="shared" si="9"/>
        <v>0.52824047549999997</v>
      </c>
      <c r="F62" s="619">
        <f t="shared" si="9"/>
        <v>1.9899765187500003</v>
      </c>
      <c r="G62" s="619">
        <f t="shared" si="9"/>
        <v>14.174112729000004</v>
      </c>
      <c r="H62" s="619">
        <f t="shared" si="9"/>
        <v>30.296800548810005</v>
      </c>
      <c r="I62" s="619">
        <f t="shared" si="9"/>
        <v>39.765430918242522</v>
      </c>
      <c r="J62" s="619">
        <f t="shared" si="9"/>
        <v>53.445304408388012</v>
      </c>
      <c r="K62" s="619">
        <f t="shared" si="9"/>
        <v>72.82040751352072</v>
      </c>
      <c r="L62" s="619">
        <f t="shared" si="9"/>
        <v>97.037710550137675</v>
      </c>
      <c r="M62" s="619">
        <f t="shared" si="9"/>
        <v>125.99439429145532</v>
      </c>
      <c r="N62" s="619">
        <f t="shared" si="9"/>
        <v>163.92742503274008</v>
      </c>
      <c r="O62" s="619">
        <f t="shared" si="9"/>
        <v>215.89544101944446</v>
      </c>
      <c r="P62" s="619">
        <f t="shared" si="9"/>
        <v>277.01993288549562</v>
      </c>
      <c r="Q62" s="619">
        <f t="shared" si="9"/>
        <v>348.20230642514747</v>
      </c>
      <c r="R62" s="619">
        <f t="shared" si="9"/>
        <v>427.43418356399968</v>
      </c>
      <c r="S62" s="619">
        <f t="shared" si="9"/>
        <v>512.98289013603176</v>
      </c>
      <c r="T62" s="619">
        <f t="shared" si="9"/>
        <v>608.54948927739849</v>
      </c>
      <c r="U62" s="619">
        <f t="shared" si="9"/>
        <v>702.35597980212015</v>
      </c>
      <c r="V62" s="619">
        <f t="shared" si="9"/>
        <v>790.33353991961701</v>
      </c>
      <c r="W62" s="619">
        <f t="shared" si="9"/>
        <v>871.42167012815617</v>
      </c>
      <c r="X62" s="619">
        <f t="shared" si="9"/>
        <v>941.51428750504965</v>
      </c>
      <c r="Y62" s="619">
        <f t="shared" si="9"/>
        <v>1004.0858400894931</v>
      </c>
      <c r="Z62" s="619">
        <f t="shared" si="9"/>
        <v>1055.4767785363242</v>
      </c>
      <c r="AA62" s="619">
        <f t="shared" si="9"/>
        <v>1097.0462037382856</v>
      </c>
      <c r="AB62" s="619">
        <f t="shared" si="9"/>
        <v>1129.9365619321668</v>
      </c>
      <c r="AC62" s="619">
        <f t="shared" si="9"/>
        <v>1154.2175356016287</v>
      </c>
      <c r="AD62" s="619">
        <f t="shared" si="9"/>
        <v>1173.2246645254863</v>
      </c>
      <c r="AE62" s="619">
        <f t="shared" si="9"/>
        <v>1187.6224357866333</v>
      </c>
      <c r="AF62" s="619">
        <f t="shared" si="9"/>
        <v>1197.7893040905458</v>
      </c>
      <c r="AG62" s="619">
        <f t="shared" si="9"/>
        <v>1204.9917818977569</v>
      </c>
      <c r="AH62" s="619">
        <f t="shared" si="9"/>
        <v>1210.4123201125158</v>
      </c>
      <c r="AI62" s="619">
        <f t="shared" si="9"/>
        <v>1213.9890463034401</v>
      </c>
      <c r="AJ62" s="619">
        <f t="shared" si="9"/>
        <v>1217.4914590171297</v>
      </c>
      <c r="AK62" s="619">
        <f t="shared" si="9"/>
        <v>1220.0975805123981</v>
      </c>
      <c r="AL62" s="619">
        <f t="shared" si="9"/>
        <v>1220.0975805123981</v>
      </c>
      <c r="AM62" s="619">
        <f t="shared" si="9"/>
        <v>1220.0975805123981</v>
      </c>
      <c r="AN62" s="619">
        <f t="shared" si="9"/>
        <v>1220.0975805123981</v>
      </c>
    </row>
    <row r="63" spans="1:40">
      <c r="B63" s="58"/>
      <c r="C63" s="58"/>
      <c r="D63" s="58"/>
      <c r="E63" s="58"/>
      <c r="F63" s="58"/>
      <c r="G63" s="58"/>
      <c r="H63" s="58"/>
      <c r="I63" s="58"/>
      <c r="J63" s="58"/>
      <c r="K63" s="58"/>
      <c r="L63" s="58"/>
      <c r="M63" s="58"/>
      <c r="N63" s="58"/>
      <c r="O63" s="58"/>
      <c r="P63" s="58"/>
      <c r="Q63" s="58"/>
      <c r="R63" s="58"/>
      <c r="S63" s="58"/>
      <c r="T63" s="58"/>
      <c r="U63" s="58"/>
      <c r="V63" s="58"/>
      <c r="W63" s="58"/>
      <c r="X63" s="58"/>
      <c r="Y63" s="58"/>
      <c r="Z63" s="58"/>
      <c r="AA63" s="58"/>
      <c r="AB63" s="58"/>
      <c r="AC63" s="58"/>
      <c r="AD63" s="58"/>
      <c r="AE63" s="58"/>
      <c r="AF63" s="58"/>
      <c r="AG63" s="58"/>
      <c r="AH63" s="58"/>
      <c r="AI63" s="58"/>
      <c r="AJ63" s="58"/>
      <c r="AK63" s="58"/>
      <c r="AL63" s="58"/>
      <c r="AM63" s="58"/>
      <c r="AN63" s="58"/>
    </row>
    <row r="64" spans="1:40">
      <c r="B64" s="58"/>
      <c r="C64" s="58"/>
      <c r="D64" s="58"/>
      <c r="E64" s="58"/>
      <c r="F64" s="58"/>
      <c r="G64" s="58"/>
      <c r="H64" s="58"/>
      <c r="I64" s="58"/>
      <c r="J64" s="58"/>
      <c r="K64" s="58"/>
      <c r="L64" s="58"/>
      <c r="M64" s="58"/>
      <c r="N64" s="58"/>
      <c r="O64" s="58"/>
      <c r="P64" s="58"/>
      <c r="Q64" s="58"/>
      <c r="R64" s="58"/>
      <c r="S64" s="58"/>
      <c r="T64" s="58"/>
      <c r="U64" s="58"/>
      <c r="V64" s="58"/>
      <c r="W64" s="58"/>
      <c r="X64" s="58"/>
      <c r="Y64" s="58"/>
      <c r="Z64" s="58"/>
      <c r="AA64" s="58"/>
      <c r="AB64" s="58"/>
      <c r="AC64" s="58"/>
      <c r="AD64" s="58"/>
      <c r="AE64" s="58"/>
      <c r="AF64" s="58"/>
      <c r="AG64" s="58"/>
      <c r="AH64" s="58"/>
      <c r="AI64" s="58"/>
      <c r="AJ64" s="58"/>
      <c r="AK64" s="58"/>
      <c r="AL64" s="58"/>
      <c r="AM64" s="58"/>
      <c r="AN64" s="58"/>
    </row>
    <row r="66" spans="1:40" ht="15">
      <c r="A66" s="620" t="s">
        <v>2554</v>
      </c>
      <c r="B66" s="349"/>
      <c r="C66" s="349"/>
      <c r="D66" s="349"/>
      <c r="E66" s="349"/>
      <c r="F66" s="349"/>
      <c r="G66" s="349"/>
      <c r="H66" s="349"/>
      <c r="I66" s="349"/>
      <c r="J66" s="349"/>
      <c r="K66" s="349"/>
      <c r="L66" s="349"/>
      <c r="M66" s="349"/>
      <c r="N66" s="349"/>
      <c r="O66" s="349"/>
      <c r="P66" s="349"/>
      <c r="Q66" s="349"/>
      <c r="R66" s="349"/>
      <c r="S66" s="349"/>
      <c r="T66" s="349"/>
      <c r="U66" s="349"/>
      <c r="V66" s="349"/>
      <c r="W66" s="349"/>
      <c r="X66" s="349"/>
      <c r="Y66" s="349"/>
      <c r="Z66" s="349"/>
      <c r="AA66" s="349"/>
      <c r="AB66" s="349"/>
      <c r="AC66" s="349"/>
      <c r="AD66" s="349"/>
      <c r="AE66" s="349"/>
      <c r="AF66" s="349"/>
      <c r="AG66" s="349"/>
      <c r="AH66" s="349"/>
      <c r="AI66" s="349"/>
      <c r="AJ66" s="349"/>
      <c r="AK66" s="349"/>
      <c r="AL66" s="349"/>
      <c r="AM66" s="349"/>
      <c r="AN66" s="349"/>
    </row>
    <row r="67" spans="1:40" ht="15">
      <c r="A67" s="617" t="s">
        <v>2553</v>
      </c>
    </row>
    <row r="68" spans="1:40" ht="15">
      <c r="A68" s="617"/>
      <c r="B68" s="274">
        <v>2012</v>
      </c>
      <c r="C68" s="274">
        <v>2013</v>
      </c>
      <c r="D68" s="274">
        <v>2014</v>
      </c>
      <c r="E68" s="274">
        <v>2015</v>
      </c>
      <c r="F68" s="274">
        <v>2016</v>
      </c>
      <c r="G68" s="274">
        <v>2017</v>
      </c>
      <c r="H68" s="274">
        <v>2018</v>
      </c>
      <c r="I68" s="274">
        <v>2019</v>
      </c>
      <c r="J68" s="274">
        <v>2020</v>
      </c>
      <c r="K68" s="274">
        <v>2021</v>
      </c>
      <c r="L68" s="274">
        <v>2022</v>
      </c>
      <c r="M68" s="274">
        <v>2023</v>
      </c>
      <c r="N68" s="274">
        <v>2024</v>
      </c>
      <c r="O68" s="274">
        <v>2025</v>
      </c>
      <c r="P68" s="274">
        <v>2026</v>
      </c>
      <c r="Q68" s="274">
        <v>2027</v>
      </c>
      <c r="R68" s="274">
        <v>2028</v>
      </c>
      <c r="S68" s="274">
        <v>2029</v>
      </c>
      <c r="T68" s="274">
        <v>2030</v>
      </c>
      <c r="U68" s="274">
        <v>2031</v>
      </c>
      <c r="V68" s="274">
        <v>2032</v>
      </c>
      <c r="W68" s="274">
        <v>2033</v>
      </c>
      <c r="X68" s="274">
        <v>2034</v>
      </c>
      <c r="Y68" s="274">
        <v>2035</v>
      </c>
      <c r="Z68" s="274">
        <v>2036</v>
      </c>
      <c r="AA68" s="274">
        <v>2037</v>
      </c>
      <c r="AB68" s="274">
        <v>2038</v>
      </c>
      <c r="AC68" s="274">
        <v>2039</v>
      </c>
      <c r="AD68" s="274">
        <v>2040</v>
      </c>
      <c r="AE68" s="274">
        <v>2041</v>
      </c>
      <c r="AF68" s="274">
        <v>2042</v>
      </c>
      <c r="AG68" s="274">
        <v>2043</v>
      </c>
      <c r="AH68" s="274">
        <v>2044</v>
      </c>
      <c r="AI68" s="274">
        <v>2045</v>
      </c>
      <c r="AJ68" s="274">
        <v>2046</v>
      </c>
      <c r="AK68" s="274">
        <v>2047</v>
      </c>
      <c r="AL68" s="274">
        <v>2048</v>
      </c>
      <c r="AM68" s="274">
        <v>2049</v>
      </c>
      <c r="AN68" s="274">
        <v>2050</v>
      </c>
    </row>
    <row r="69" spans="1:40" ht="15">
      <c r="A69" s="617">
        <v>1</v>
      </c>
      <c r="B69" s="58">
        <v>0</v>
      </c>
      <c r="C69" s="58">
        <v>0</v>
      </c>
      <c r="D69" s="58">
        <v>0</v>
      </c>
      <c r="E69" s="58"/>
      <c r="F69" s="58"/>
      <c r="G69" s="58"/>
      <c r="H69" s="58"/>
      <c r="I69" s="58"/>
      <c r="J69" s="58"/>
      <c r="K69" s="58"/>
      <c r="L69" s="58"/>
      <c r="M69" s="58"/>
      <c r="N69" s="58"/>
      <c r="O69" s="58"/>
      <c r="P69" s="58"/>
      <c r="Q69" s="58"/>
      <c r="R69" s="58"/>
      <c r="S69" s="58"/>
      <c r="T69" s="58"/>
      <c r="U69" s="58"/>
      <c r="V69" s="58"/>
      <c r="W69" s="58"/>
      <c r="X69" s="58"/>
      <c r="Y69" s="58"/>
      <c r="Z69" s="58"/>
      <c r="AA69" s="58"/>
      <c r="AB69" s="58"/>
      <c r="AC69" s="58"/>
      <c r="AD69" s="58"/>
      <c r="AE69" s="58"/>
      <c r="AF69" s="58"/>
      <c r="AG69" s="58"/>
      <c r="AH69" s="58"/>
      <c r="AI69" s="58"/>
      <c r="AJ69" s="58"/>
      <c r="AK69" s="58"/>
      <c r="AL69" s="58"/>
      <c r="AM69" s="58"/>
      <c r="AN69" s="58"/>
    </row>
    <row r="70" spans="1:40" ht="15">
      <c r="A70" s="617">
        <v>2</v>
      </c>
      <c r="B70" s="58">
        <v>0</v>
      </c>
      <c r="C70" s="58">
        <v>0</v>
      </c>
      <c r="D70" s="58">
        <v>0</v>
      </c>
      <c r="E70" s="58"/>
      <c r="F70" s="58"/>
      <c r="G70" s="58"/>
      <c r="H70" s="58"/>
      <c r="I70" s="58"/>
      <c r="J70" s="58"/>
      <c r="K70" s="58"/>
      <c r="L70" s="58"/>
      <c r="M70" s="58"/>
      <c r="N70" s="58"/>
      <c r="O70" s="58"/>
      <c r="P70" s="58"/>
      <c r="Q70" s="58"/>
      <c r="R70" s="58"/>
      <c r="S70" s="58"/>
      <c r="T70" s="58"/>
      <c r="U70" s="58"/>
      <c r="V70" s="58"/>
      <c r="W70" s="58"/>
      <c r="X70" s="58"/>
      <c r="Y70" s="58"/>
      <c r="Z70" s="58"/>
      <c r="AA70" s="58"/>
      <c r="AB70" s="58"/>
      <c r="AC70" s="58"/>
      <c r="AD70" s="58"/>
      <c r="AE70" s="58"/>
      <c r="AF70" s="58"/>
      <c r="AG70" s="58"/>
      <c r="AH70" s="58"/>
      <c r="AI70" s="58"/>
      <c r="AJ70" s="58"/>
      <c r="AK70" s="58"/>
      <c r="AL70" s="58"/>
      <c r="AM70" s="58"/>
      <c r="AN70" s="58"/>
    </row>
    <row r="71" spans="1:40" ht="15">
      <c r="A71" s="617">
        <v>3</v>
      </c>
      <c r="B71" s="58">
        <v>0</v>
      </c>
      <c r="C71" s="58">
        <v>0</v>
      </c>
      <c r="D71" s="58">
        <v>0</v>
      </c>
      <c r="E71" s="58"/>
      <c r="F71" s="58"/>
      <c r="G71" s="58"/>
      <c r="H71" s="58"/>
      <c r="I71" s="58"/>
      <c r="J71" s="58"/>
      <c r="K71" s="58"/>
      <c r="L71" s="58"/>
      <c r="M71" s="58"/>
      <c r="N71" s="58"/>
      <c r="O71" s="58"/>
      <c r="P71" s="58"/>
      <c r="Q71" s="58"/>
      <c r="R71" s="58"/>
      <c r="S71" s="58"/>
      <c r="T71" s="58"/>
      <c r="U71" s="58"/>
      <c r="V71" s="58"/>
      <c r="W71" s="58"/>
      <c r="X71" s="58"/>
      <c r="Y71" s="58"/>
      <c r="Z71" s="58"/>
      <c r="AA71" s="58"/>
      <c r="AB71" s="58"/>
      <c r="AC71" s="58"/>
      <c r="AD71" s="58"/>
      <c r="AE71" s="58"/>
      <c r="AF71" s="58"/>
      <c r="AG71" s="58"/>
      <c r="AH71" s="58"/>
      <c r="AI71" s="58"/>
      <c r="AJ71" s="58"/>
      <c r="AK71" s="58"/>
      <c r="AL71" s="58"/>
      <c r="AM71" s="58"/>
      <c r="AN71" s="58"/>
    </row>
    <row r="72" spans="1:40" ht="15">
      <c r="A72" s="617">
        <v>4</v>
      </c>
      <c r="B72" s="58">
        <v>0</v>
      </c>
      <c r="C72" s="58">
        <v>0</v>
      </c>
      <c r="D72" s="58">
        <v>0</v>
      </c>
      <c r="E72" s="58"/>
      <c r="F72" s="58"/>
      <c r="G72" s="58"/>
      <c r="H72" s="58"/>
      <c r="I72" s="58"/>
      <c r="J72" s="58"/>
      <c r="K72" s="58"/>
      <c r="L72" s="58"/>
      <c r="M72" s="58"/>
      <c r="N72" s="58"/>
      <c r="O72" s="58"/>
      <c r="P72" s="58"/>
      <c r="Q72" s="58"/>
      <c r="R72" s="58"/>
      <c r="S72" s="58"/>
      <c r="T72" s="58"/>
      <c r="U72" s="58"/>
      <c r="V72" s="58"/>
      <c r="W72" s="58"/>
      <c r="X72" s="58"/>
      <c r="Y72" s="58"/>
      <c r="Z72" s="58"/>
      <c r="AA72" s="58"/>
      <c r="AB72" s="58"/>
      <c r="AC72" s="58"/>
      <c r="AD72" s="58"/>
      <c r="AE72" s="58"/>
      <c r="AF72" s="58"/>
      <c r="AG72" s="58"/>
      <c r="AH72" s="58"/>
      <c r="AI72" s="58"/>
      <c r="AJ72" s="58"/>
      <c r="AK72" s="58"/>
      <c r="AL72" s="58"/>
      <c r="AM72" s="58"/>
      <c r="AN72" s="58"/>
    </row>
    <row r="73" spans="1:40" ht="15">
      <c r="A73" s="617">
        <v>5</v>
      </c>
      <c r="B73" s="58">
        <v>0</v>
      </c>
      <c r="C73" s="58">
        <v>0</v>
      </c>
      <c r="D73" s="58">
        <v>0</v>
      </c>
      <c r="E73" s="58"/>
      <c r="F73" s="58"/>
      <c r="G73" s="58"/>
      <c r="H73" s="58"/>
      <c r="I73" s="58"/>
      <c r="J73" s="58"/>
      <c r="K73" s="58"/>
      <c r="L73" s="58"/>
      <c r="M73" s="58"/>
      <c r="N73" s="58"/>
      <c r="O73" s="58"/>
      <c r="P73" s="58"/>
      <c r="Q73" s="58"/>
      <c r="R73" s="58"/>
      <c r="S73" s="58"/>
      <c r="T73" s="58"/>
      <c r="U73" s="58"/>
      <c r="V73" s="58"/>
      <c r="W73" s="58"/>
      <c r="X73" s="58"/>
      <c r="Y73" s="58"/>
      <c r="Z73" s="58"/>
      <c r="AA73" s="58"/>
      <c r="AB73" s="58"/>
      <c r="AC73" s="58"/>
      <c r="AD73" s="58"/>
      <c r="AE73" s="58"/>
      <c r="AF73" s="58"/>
      <c r="AG73" s="58"/>
      <c r="AH73" s="58"/>
      <c r="AI73" s="58"/>
      <c r="AJ73" s="58"/>
      <c r="AK73" s="58"/>
      <c r="AL73" s="58"/>
      <c r="AM73" s="58"/>
      <c r="AN73" s="58"/>
    </row>
    <row r="74" spans="1:40" ht="15">
      <c r="A74" s="617">
        <v>6</v>
      </c>
      <c r="B74" s="58">
        <v>0</v>
      </c>
      <c r="C74" s="58">
        <v>0</v>
      </c>
      <c r="D74" s="58">
        <v>0</v>
      </c>
      <c r="E74" s="58"/>
      <c r="F74" s="58"/>
      <c r="G74" s="58"/>
      <c r="H74" s="58"/>
      <c r="I74" s="58"/>
      <c r="J74" s="58"/>
      <c r="K74" s="58"/>
      <c r="L74" s="58"/>
      <c r="M74" s="58"/>
      <c r="N74" s="58"/>
      <c r="O74" s="58"/>
      <c r="P74" s="58"/>
      <c r="Q74" s="58"/>
      <c r="R74" s="58"/>
      <c r="S74" s="58"/>
      <c r="T74" s="58"/>
      <c r="U74" s="58"/>
      <c r="V74" s="58"/>
      <c r="W74" s="58"/>
      <c r="X74" s="58"/>
      <c r="Y74" s="58"/>
      <c r="Z74" s="58"/>
      <c r="AA74" s="58"/>
      <c r="AB74" s="58"/>
      <c r="AC74" s="58"/>
      <c r="AD74" s="58"/>
      <c r="AE74" s="58"/>
      <c r="AF74" s="58"/>
      <c r="AG74" s="58"/>
      <c r="AH74" s="58"/>
      <c r="AI74" s="58"/>
      <c r="AJ74" s="58"/>
      <c r="AK74" s="58"/>
      <c r="AL74" s="58"/>
      <c r="AM74" s="58"/>
      <c r="AN74" s="58"/>
    </row>
    <row r="75" spans="1:40" ht="15">
      <c r="A75" s="617">
        <v>7</v>
      </c>
      <c r="B75" s="58">
        <v>0</v>
      </c>
      <c r="C75" s="58">
        <v>0</v>
      </c>
      <c r="D75" s="58">
        <v>0</v>
      </c>
      <c r="E75" s="58"/>
      <c r="F75" s="58"/>
      <c r="G75" s="58"/>
      <c r="H75" s="58"/>
      <c r="I75" s="58"/>
      <c r="J75" s="58"/>
      <c r="K75" s="58"/>
      <c r="L75" s="58"/>
      <c r="M75" s="58"/>
      <c r="N75" s="58"/>
      <c r="O75" s="58"/>
      <c r="P75" s="58"/>
      <c r="Q75" s="58"/>
      <c r="R75" s="58"/>
      <c r="S75" s="58"/>
      <c r="T75" s="58"/>
      <c r="U75" s="58"/>
      <c r="V75" s="58"/>
      <c r="W75" s="58"/>
      <c r="X75" s="58"/>
      <c r="Y75" s="58"/>
      <c r="Z75" s="58"/>
      <c r="AA75" s="58"/>
      <c r="AB75" s="58"/>
      <c r="AC75" s="58"/>
      <c r="AD75" s="58"/>
      <c r="AE75" s="58"/>
      <c r="AF75" s="58"/>
      <c r="AG75" s="58"/>
      <c r="AH75" s="58"/>
      <c r="AI75" s="58"/>
      <c r="AJ75" s="58"/>
      <c r="AK75" s="58"/>
      <c r="AL75" s="58"/>
      <c r="AM75" s="58"/>
      <c r="AN75" s="58"/>
    </row>
    <row r="76" spans="1:40" ht="15">
      <c r="A76" s="618" t="s">
        <v>95</v>
      </c>
      <c r="B76" s="619">
        <f>SUM(B69:B75)</f>
        <v>0</v>
      </c>
      <c r="C76" s="619">
        <f t="shared" ref="C76:AN76" si="10">SUM(C69:C75)</f>
        <v>0</v>
      </c>
      <c r="D76" s="619">
        <f t="shared" si="10"/>
        <v>0</v>
      </c>
      <c r="E76" s="619">
        <f t="shared" si="10"/>
        <v>0</v>
      </c>
      <c r="F76" s="619">
        <f t="shared" si="10"/>
        <v>0</v>
      </c>
      <c r="G76" s="619">
        <f t="shared" si="10"/>
        <v>0</v>
      </c>
      <c r="H76" s="619">
        <f t="shared" si="10"/>
        <v>0</v>
      </c>
      <c r="I76" s="619">
        <f t="shared" si="10"/>
        <v>0</v>
      </c>
      <c r="J76" s="619">
        <f t="shared" si="10"/>
        <v>0</v>
      </c>
      <c r="K76" s="619">
        <f t="shared" si="10"/>
        <v>0</v>
      </c>
      <c r="L76" s="619">
        <f t="shared" si="10"/>
        <v>0</v>
      </c>
      <c r="M76" s="619">
        <f t="shared" si="10"/>
        <v>0</v>
      </c>
      <c r="N76" s="619">
        <f t="shared" si="10"/>
        <v>0</v>
      </c>
      <c r="O76" s="619">
        <f t="shared" si="10"/>
        <v>0</v>
      </c>
      <c r="P76" s="619">
        <f t="shared" si="10"/>
        <v>0</v>
      </c>
      <c r="Q76" s="619">
        <f t="shared" si="10"/>
        <v>0</v>
      </c>
      <c r="R76" s="619">
        <f t="shared" si="10"/>
        <v>0</v>
      </c>
      <c r="S76" s="619">
        <f t="shared" si="10"/>
        <v>0</v>
      </c>
      <c r="T76" s="619">
        <f t="shared" si="10"/>
        <v>0</v>
      </c>
      <c r="U76" s="619">
        <f t="shared" si="10"/>
        <v>0</v>
      </c>
      <c r="V76" s="619">
        <f t="shared" si="10"/>
        <v>0</v>
      </c>
      <c r="W76" s="619">
        <f t="shared" si="10"/>
        <v>0</v>
      </c>
      <c r="X76" s="619">
        <f t="shared" si="10"/>
        <v>0</v>
      </c>
      <c r="Y76" s="619">
        <f t="shared" si="10"/>
        <v>0</v>
      </c>
      <c r="Z76" s="619">
        <f t="shared" si="10"/>
        <v>0</v>
      </c>
      <c r="AA76" s="619">
        <f t="shared" si="10"/>
        <v>0</v>
      </c>
      <c r="AB76" s="619">
        <f t="shared" si="10"/>
        <v>0</v>
      </c>
      <c r="AC76" s="619">
        <f t="shared" si="10"/>
        <v>0</v>
      </c>
      <c r="AD76" s="619">
        <f t="shared" si="10"/>
        <v>0</v>
      </c>
      <c r="AE76" s="619">
        <f t="shared" si="10"/>
        <v>0</v>
      </c>
      <c r="AF76" s="619">
        <f t="shared" si="10"/>
        <v>0</v>
      </c>
      <c r="AG76" s="619">
        <f t="shared" si="10"/>
        <v>0</v>
      </c>
      <c r="AH76" s="619">
        <f t="shared" si="10"/>
        <v>0</v>
      </c>
      <c r="AI76" s="619">
        <f t="shared" si="10"/>
        <v>0</v>
      </c>
      <c r="AJ76" s="619">
        <f t="shared" si="10"/>
        <v>0</v>
      </c>
      <c r="AK76" s="619">
        <f t="shared" si="10"/>
        <v>0</v>
      </c>
      <c r="AL76" s="619">
        <f t="shared" si="10"/>
        <v>0</v>
      </c>
      <c r="AM76" s="619">
        <f t="shared" si="10"/>
        <v>0</v>
      </c>
      <c r="AN76" s="619">
        <f t="shared" si="10"/>
        <v>0</v>
      </c>
    </row>
    <row r="77" spans="1:40" ht="15">
      <c r="A77" s="617"/>
    </row>
    <row r="78" spans="1:40" ht="15">
      <c r="A78" s="620" t="s">
        <v>2556</v>
      </c>
      <c r="B78" s="349"/>
      <c r="C78" s="349"/>
      <c r="D78" s="349"/>
      <c r="E78" s="349"/>
      <c r="F78" s="349"/>
      <c r="G78" s="349"/>
      <c r="H78" s="349"/>
      <c r="I78" s="349"/>
      <c r="J78" s="349"/>
      <c r="K78" s="349"/>
      <c r="L78" s="349"/>
      <c r="M78" s="349"/>
      <c r="N78" s="349"/>
      <c r="O78" s="349"/>
      <c r="P78" s="349"/>
      <c r="Q78" s="349"/>
      <c r="R78" s="349"/>
      <c r="S78" s="349"/>
      <c r="T78" s="349"/>
      <c r="U78" s="349"/>
      <c r="V78" s="349"/>
      <c r="W78" s="349"/>
      <c r="X78" s="349"/>
      <c r="Y78" s="349"/>
      <c r="Z78" s="349"/>
      <c r="AA78" s="349"/>
      <c r="AB78" s="349"/>
      <c r="AC78" s="349"/>
      <c r="AD78" s="349"/>
      <c r="AE78" s="349"/>
      <c r="AF78" s="349"/>
      <c r="AG78" s="349"/>
      <c r="AH78" s="349"/>
      <c r="AI78" s="349"/>
      <c r="AJ78" s="349"/>
      <c r="AK78" s="349"/>
      <c r="AL78" s="349"/>
      <c r="AM78" s="349"/>
      <c r="AN78" s="349"/>
    </row>
    <row r="79" spans="1:40" ht="15">
      <c r="A79" s="617" t="s">
        <v>2553</v>
      </c>
    </row>
    <row r="80" spans="1:40" ht="15">
      <c r="A80" s="617"/>
      <c r="B80" s="274">
        <v>2012</v>
      </c>
      <c r="C80" s="274">
        <v>2013</v>
      </c>
      <c r="D80" s="274">
        <v>2014</v>
      </c>
      <c r="E80" s="274">
        <v>2015</v>
      </c>
      <c r="F80" s="274">
        <v>2016</v>
      </c>
      <c r="G80" s="274">
        <v>2017</v>
      </c>
      <c r="H80" s="274">
        <v>2018</v>
      </c>
      <c r="I80" s="274">
        <v>2019</v>
      </c>
      <c r="J80" s="274">
        <v>2020</v>
      </c>
      <c r="K80" s="274">
        <v>2021</v>
      </c>
      <c r="L80" s="274">
        <v>2022</v>
      </c>
      <c r="M80" s="274">
        <v>2023</v>
      </c>
      <c r="N80" s="274">
        <v>2024</v>
      </c>
      <c r="O80" s="274">
        <v>2025</v>
      </c>
      <c r="P80" s="274">
        <v>2026</v>
      </c>
      <c r="Q80" s="274">
        <v>2027</v>
      </c>
      <c r="R80" s="274">
        <v>2028</v>
      </c>
      <c r="S80" s="274">
        <v>2029</v>
      </c>
      <c r="T80" s="274">
        <v>2030</v>
      </c>
      <c r="U80" s="274">
        <v>2031</v>
      </c>
      <c r="V80" s="274">
        <v>2032</v>
      </c>
      <c r="W80" s="274">
        <v>2033</v>
      </c>
      <c r="X80" s="274">
        <v>2034</v>
      </c>
      <c r="Y80" s="274">
        <v>2035</v>
      </c>
      <c r="Z80" s="274">
        <v>2036</v>
      </c>
      <c r="AA80" s="274">
        <v>2037</v>
      </c>
      <c r="AB80" s="274">
        <v>2038</v>
      </c>
      <c r="AC80" s="274">
        <v>2039</v>
      </c>
      <c r="AD80" s="274">
        <v>2040</v>
      </c>
      <c r="AE80" s="274">
        <v>2041</v>
      </c>
      <c r="AF80" s="274">
        <v>2042</v>
      </c>
      <c r="AG80" s="274">
        <v>2043</v>
      </c>
      <c r="AH80" s="274">
        <v>2044</v>
      </c>
      <c r="AI80" s="274">
        <v>2045</v>
      </c>
      <c r="AJ80" s="274">
        <v>2046</v>
      </c>
      <c r="AK80" s="274">
        <v>2047</v>
      </c>
      <c r="AL80" s="274">
        <v>2048</v>
      </c>
      <c r="AM80" s="274">
        <v>2049</v>
      </c>
      <c r="AN80" s="274">
        <v>2050</v>
      </c>
    </row>
    <row r="81" spans="1:40" ht="15">
      <c r="A81" s="617">
        <v>1</v>
      </c>
      <c r="B81" s="58">
        <v>0</v>
      </c>
      <c r="C81" s="58">
        <v>0</v>
      </c>
      <c r="D81" s="58">
        <v>0</v>
      </c>
      <c r="E81" s="58">
        <v>2.7999999999999997E-2</v>
      </c>
      <c r="F81" s="58">
        <v>0.51279999999999992</v>
      </c>
      <c r="G81" s="58">
        <v>2.4192000000000009</v>
      </c>
      <c r="H81" s="58">
        <v>11.412799999999999</v>
      </c>
      <c r="I81" s="58">
        <v>29.201600000000003</v>
      </c>
      <c r="J81" s="58">
        <v>50.912800000000011</v>
      </c>
      <c r="K81" s="58">
        <v>68.067200000000014</v>
      </c>
      <c r="L81" s="58">
        <v>84.394400000000005</v>
      </c>
      <c r="M81" s="58">
        <v>108.35039999999999</v>
      </c>
      <c r="N81" s="58">
        <v>136.26559999999995</v>
      </c>
      <c r="O81" s="58">
        <v>166.29520000000002</v>
      </c>
      <c r="P81" s="58">
        <v>197.99680000000001</v>
      </c>
      <c r="Q81" s="58">
        <v>232.72</v>
      </c>
      <c r="R81" s="58">
        <v>269.41039999999998</v>
      </c>
      <c r="S81" s="58">
        <v>306.64479999999998</v>
      </c>
      <c r="T81" s="58">
        <v>345.98239999999998</v>
      </c>
      <c r="U81" s="58">
        <v>381.47039999999998</v>
      </c>
      <c r="V81" s="58">
        <v>412.3760000000002</v>
      </c>
      <c r="W81" s="58">
        <v>444.48880000000008</v>
      </c>
      <c r="X81" s="58">
        <v>478.11280000000011</v>
      </c>
      <c r="Y81" s="58">
        <v>514.63919999999996</v>
      </c>
      <c r="Z81" s="58">
        <v>554.65840000000026</v>
      </c>
      <c r="AA81" s="58">
        <v>596.11599999999987</v>
      </c>
      <c r="AB81" s="58">
        <v>639.10480000000007</v>
      </c>
      <c r="AC81" s="58">
        <v>685.33119999999985</v>
      </c>
      <c r="AD81" s="58">
        <v>736.90319999999997</v>
      </c>
      <c r="AE81" s="58">
        <v>789.44000000000017</v>
      </c>
      <c r="AF81" s="58">
        <v>840.97440000000006</v>
      </c>
      <c r="AG81" s="58">
        <v>896.94720000000018</v>
      </c>
      <c r="AH81" s="58">
        <v>956.23999999999978</v>
      </c>
      <c r="AI81" s="58">
        <v>1017.2367999999999</v>
      </c>
      <c r="AJ81" s="58">
        <v>1081.1512</v>
      </c>
      <c r="AK81" s="58">
        <v>1149.1184000000003</v>
      </c>
      <c r="AL81" s="58">
        <v>1221.4464000000005</v>
      </c>
      <c r="AM81" s="58">
        <v>1298.0328000000006</v>
      </c>
      <c r="AN81" s="58">
        <v>1379.2464</v>
      </c>
    </row>
    <row r="82" spans="1:40" ht="15">
      <c r="A82" s="617">
        <v>2</v>
      </c>
      <c r="B82" s="58">
        <v>0</v>
      </c>
      <c r="C82" s="58">
        <v>0</v>
      </c>
      <c r="D82" s="58">
        <v>0</v>
      </c>
      <c r="E82" s="58">
        <v>0</v>
      </c>
      <c r="F82" s="58">
        <v>5.8400000000000035E-2</v>
      </c>
      <c r="G82" s="58">
        <v>0.94080000000000019</v>
      </c>
      <c r="H82" s="58">
        <v>5.5296000000000012</v>
      </c>
      <c r="I82" s="58">
        <v>15.810400000000008</v>
      </c>
      <c r="J82" s="58">
        <v>31.083199999999991</v>
      </c>
      <c r="K82" s="58">
        <v>41.503999999999991</v>
      </c>
      <c r="L82" s="58">
        <v>46.112000000000016</v>
      </c>
      <c r="M82" s="58">
        <v>52.933599999999984</v>
      </c>
      <c r="N82" s="58">
        <v>61.340000000000011</v>
      </c>
      <c r="O82" s="58">
        <v>70.683999999999983</v>
      </c>
      <c r="P82" s="58">
        <v>81.173599999999965</v>
      </c>
      <c r="Q82" s="58">
        <v>93.618400000000008</v>
      </c>
      <c r="R82" s="58">
        <v>108.56799999999998</v>
      </c>
      <c r="S82" s="58">
        <v>126.6848</v>
      </c>
      <c r="T82" s="58">
        <v>149.10400000000001</v>
      </c>
      <c r="U82" s="58">
        <v>171.18159999999997</v>
      </c>
      <c r="V82" s="58">
        <v>191.28320000000005</v>
      </c>
      <c r="W82" s="58">
        <v>213.29040000000006</v>
      </c>
      <c r="X82" s="58">
        <v>237.73039999999992</v>
      </c>
      <c r="Y82" s="58">
        <v>265.0136</v>
      </c>
      <c r="Z82" s="58">
        <v>295.5327999999999</v>
      </c>
      <c r="AA82" s="58">
        <v>329.67680000000001</v>
      </c>
      <c r="AB82" s="58">
        <v>368.14</v>
      </c>
      <c r="AC82" s="58">
        <v>411.34560000000005</v>
      </c>
      <c r="AD82" s="58">
        <v>459.52399999999989</v>
      </c>
      <c r="AE82" s="58">
        <v>510.24720000000002</v>
      </c>
      <c r="AF82" s="58">
        <v>566.00399999999991</v>
      </c>
      <c r="AG82" s="58">
        <v>639.97919999999976</v>
      </c>
      <c r="AH82" s="58">
        <v>724.56160000000011</v>
      </c>
      <c r="AI82" s="58">
        <v>804.84240000000034</v>
      </c>
      <c r="AJ82" s="58">
        <v>887.50720000000001</v>
      </c>
      <c r="AK82" s="58">
        <v>991.82479999999998</v>
      </c>
      <c r="AL82" s="58">
        <v>1137.8744000000002</v>
      </c>
      <c r="AM82" s="58">
        <v>1297.0752000000002</v>
      </c>
      <c r="AN82" s="58">
        <v>1438.0935999999999</v>
      </c>
    </row>
    <row r="83" spans="1:40" ht="15">
      <c r="A83" s="617">
        <v>3</v>
      </c>
      <c r="B83" s="58">
        <v>0</v>
      </c>
      <c r="C83" s="58">
        <v>0</v>
      </c>
      <c r="D83" s="58">
        <v>0</v>
      </c>
      <c r="E83" s="58">
        <v>0</v>
      </c>
      <c r="F83" s="58">
        <v>0</v>
      </c>
      <c r="G83" s="58">
        <v>2.7999999999999997E-2</v>
      </c>
      <c r="H83" s="58">
        <v>8.4000000000000005E-2</v>
      </c>
      <c r="I83" s="58">
        <v>0.14000000000000007</v>
      </c>
      <c r="J83" s="58">
        <v>0.22399999999999998</v>
      </c>
      <c r="K83" s="58">
        <v>0.28000000000000014</v>
      </c>
      <c r="L83" s="58">
        <v>0.28000000000000014</v>
      </c>
      <c r="M83" s="58">
        <v>0.30799999999999994</v>
      </c>
      <c r="N83" s="58">
        <v>0.36399999999999993</v>
      </c>
      <c r="O83" s="58">
        <v>0.42000000000000004</v>
      </c>
      <c r="P83" s="58">
        <v>0.47600000000000009</v>
      </c>
      <c r="Q83" s="58">
        <v>0.53199999999999992</v>
      </c>
      <c r="R83" s="58">
        <v>0.58799999999999997</v>
      </c>
      <c r="S83" s="58">
        <v>0.67200000000000004</v>
      </c>
      <c r="T83" s="58">
        <v>0.75600000000000023</v>
      </c>
      <c r="U83" s="58">
        <v>0.84000000000000008</v>
      </c>
      <c r="V83" s="58">
        <v>0.92400000000000038</v>
      </c>
      <c r="W83" s="58">
        <v>0.98000000000000009</v>
      </c>
      <c r="X83" s="58">
        <v>1.0639999999999998</v>
      </c>
      <c r="Y83" s="58">
        <v>1.1759999999999999</v>
      </c>
      <c r="Z83" s="58">
        <v>1.2599999999999998</v>
      </c>
      <c r="AA83" s="58">
        <v>1.3440000000000001</v>
      </c>
      <c r="AB83" s="58">
        <v>1.4840000000000004</v>
      </c>
      <c r="AC83" s="58">
        <v>1.6239999999999997</v>
      </c>
      <c r="AD83" s="58">
        <v>1.7640000000000002</v>
      </c>
      <c r="AE83" s="58">
        <v>1.9040000000000004</v>
      </c>
      <c r="AF83" s="58">
        <v>2.0439999999999996</v>
      </c>
      <c r="AG83" s="58">
        <v>2.2120000000000006</v>
      </c>
      <c r="AH83" s="58">
        <v>2.3800000000000003</v>
      </c>
      <c r="AI83" s="58">
        <v>2.5480000000000005</v>
      </c>
      <c r="AJ83" s="58">
        <v>2.7439999999999998</v>
      </c>
      <c r="AK83" s="58">
        <v>2.9680000000000009</v>
      </c>
      <c r="AL83" s="58">
        <v>3.1920000000000002</v>
      </c>
      <c r="AM83" s="58">
        <v>3.4440000000000008</v>
      </c>
      <c r="AN83" s="58">
        <v>3.6960000000000015</v>
      </c>
    </row>
    <row r="84" spans="1:40" ht="15">
      <c r="A84" s="617">
        <v>4</v>
      </c>
      <c r="B84" s="58">
        <v>0</v>
      </c>
      <c r="C84" s="58">
        <v>0</v>
      </c>
      <c r="D84" s="58">
        <v>0</v>
      </c>
      <c r="E84" s="58">
        <v>0</v>
      </c>
      <c r="F84" s="58">
        <v>2.7999999999999997E-2</v>
      </c>
      <c r="G84" s="58">
        <v>0.14000000000000007</v>
      </c>
      <c r="H84" s="58">
        <v>0.42000000000000004</v>
      </c>
      <c r="I84" s="58">
        <v>0.86799999999999999</v>
      </c>
      <c r="J84" s="58">
        <v>1.4279999999999997</v>
      </c>
      <c r="K84" s="58">
        <v>1.736</v>
      </c>
      <c r="L84" s="58">
        <v>1.736</v>
      </c>
      <c r="M84" s="58">
        <v>1.8760000000000006</v>
      </c>
      <c r="N84" s="58">
        <v>2.1559999999999993</v>
      </c>
      <c r="O84" s="58">
        <v>2.4919999999999995</v>
      </c>
      <c r="P84" s="58">
        <v>2.8559999999999994</v>
      </c>
      <c r="Q84" s="58">
        <v>3.2199999999999998</v>
      </c>
      <c r="R84" s="58">
        <v>3.6120000000000001</v>
      </c>
      <c r="S84" s="58">
        <v>4.0600000000000005</v>
      </c>
      <c r="T84" s="58">
        <v>4.5639999999999992</v>
      </c>
      <c r="U84" s="58">
        <v>5.0120000000000005</v>
      </c>
      <c r="V84" s="58">
        <v>5.4320000000000013</v>
      </c>
      <c r="W84" s="58">
        <v>5.9080000000000004</v>
      </c>
      <c r="X84" s="58">
        <v>6.4120000000000026</v>
      </c>
      <c r="Y84" s="58">
        <v>6.9719999999999978</v>
      </c>
      <c r="Z84" s="58">
        <v>7.5880000000000001</v>
      </c>
      <c r="AA84" s="58">
        <v>8.2319999999999993</v>
      </c>
      <c r="AB84" s="58">
        <v>8.9320000000000004</v>
      </c>
      <c r="AC84" s="58">
        <v>9.7159999999999975</v>
      </c>
      <c r="AD84" s="58">
        <v>10.583999999999998</v>
      </c>
      <c r="AE84" s="58">
        <v>11.452</v>
      </c>
      <c r="AF84" s="58">
        <v>12.32</v>
      </c>
      <c r="AG84" s="58">
        <v>13.272</v>
      </c>
      <c r="AH84" s="58">
        <v>14.307999999999996</v>
      </c>
      <c r="AI84" s="58">
        <v>15.399999999999999</v>
      </c>
      <c r="AJ84" s="58">
        <v>16.575999999999993</v>
      </c>
      <c r="AK84" s="58">
        <v>17.864000000000001</v>
      </c>
      <c r="AL84" s="58">
        <v>19.236000000000004</v>
      </c>
      <c r="AM84" s="58">
        <v>20.72</v>
      </c>
      <c r="AN84" s="58">
        <v>22.343999999999994</v>
      </c>
    </row>
    <row r="85" spans="1:40" ht="15">
      <c r="A85" s="617">
        <v>5</v>
      </c>
      <c r="B85" s="58">
        <v>0</v>
      </c>
      <c r="C85" s="58">
        <v>0</v>
      </c>
      <c r="D85" s="58">
        <v>0</v>
      </c>
      <c r="E85" s="58">
        <v>0</v>
      </c>
      <c r="F85" s="58">
        <v>0</v>
      </c>
      <c r="G85" s="58">
        <v>0</v>
      </c>
      <c r="H85" s="58">
        <v>0</v>
      </c>
      <c r="I85" s="58">
        <v>0</v>
      </c>
      <c r="J85" s="58">
        <v>0</v>
      </c>
      <c r="K85" s="58">
        <v>0</v>
      </c>
      <c r="L85" s="58">
        <v>0</v>
      </c>
      <c r="M85" s="58">
        <v>0</v>
      </c>
      <c r="N85" s="58">
        <v>0</v>
      </c>
      <c r="O85" s="58">
        <v>0</v>
      </c>
      <c r="P85" s="58">
        <v>0</v>
      </c>
      <c r="Q85" s="58">
        <v>0</v>
      </c>
      <c r="R85" s="58">
        <v>0</v>
      </c>
      <c r="S85" s="58">
        <v>0</v>
      </c>
      <c r="T85" s="58">
        <v>0</v>
      </c>
      <c r="U85" s="58">
        <v>0</v>
      </c>
      <c r="V85" s="58">
        <v>0</v>
      </c>
      <c r="W85" s="58">
        <v>0</v>
      </c>
      <c r="X85" s="58">
        <v>0</v>
      </c>
      <c r="Y85" s="58">
        <v>0</v>
      </c>
      <c r="Z85" s="58">
        <v>0</v>
      </c>
      <c r="AA85" s="58">
        <v>0</v>
      </c>
      <c r="AB85" s="58">
        <v>0</v>
      </c>
      <c r="AC85" s="58">
        <v>0</v>
      </c>
      <c r="AD85" s="58">
        <v>0</v>
      </c>
      <c r="AE85" s="58">
        <v>0</v>
      </c>
      <c r="AF85" s="58">
        <v>0</v>
      </c>
      <c r="AG85" s="58">
        <v>0</v>
      </c>
      <c r="AH85" s="58">
        <v>0</v>
      </c>
      <c r="AI85" s="58">
        <v>0</v>
      </c>
      <c r="AJ85" s="58">
        <v>0</v>
      </c>
      <c r="AK85" s="58">
        <v>0</v>
      </c>
      <c r="AL85" s="58">
        <v>0</v>
      </c>
      <c r="AM85" s="58">
        <v>0</v>
      </c>
      <c r="AN85" s="58">
        <v>0</v>
      </c>
    </row>
    <row r="86" spans="1:40" ht="15">
      <c r="A86" s="617">
        <v>6</v>
      </c>
      <c r="B86" s="58">
        <v>0</v>
      </c>
      <c r="C86" s="58">
        <v>0</v>
      </c>
      <c r="D86" s="58">
        <v>0</v>
      </c>
      <c r="E86" s="58">
        <v>0</v>
      </c>
      <c r="F86" s="58">
        <v>0</v>
      </c>
      <c r="G86" s="58">
        <v>0</v>
      </c>
      <c r="H86" s="58">
        <v>0</v>
      </c>
      <c r="I86" s="58">
        <v>0</v>
      </c>
      <c r="J86" s="58">
        <v>0</v>
      </c>
      <c r="K86" s="58">
        <v>0</v>
      </c>
      <c r="L86" s="58">
        <v>0</v>
      </c>
      <c r="M86" s="58">
        <v>0</v>
      </c>
      <c r="N86" s="58">
        <v>0</v>
      </c>
      <c r="O86" s="58">
        <v>0</v>
      </c>
      <c r="P86" s="58">
        <v>0</v>
      </c>
      <c r="Q86" s="58">
        <v>0</v>
      </c>
      <c r="R86" s="58">
        <v>0</v>
      </c>
      <c r="S86" s="58">
        <v>0</v>
      </c>
      <c r="T86" s="58">
        <v>0</v>
      </c>
      <c r="U86" s="58">
        <v>0</v>
      </c>
      <c r="V86" s="58">
        <v>0</v>
      </c>
      <c r="W86" s="58">
        <v>0</v>
      </c>
      <c r="X86" s="58">
        <v>0</v>
      </c>
      <c r="Y86" s="58">
        <v>0</v>
      </c>
      <c r="Z86" s="58">
        <v>0</v>
      </c>
      <c r="AA86" s="58">
        <v>0</v>
      </c>
      <c r="AB86" s="58">
        <v>0</v>
      </c>
      <c r="AC86" s="58">
        <v>0</v>
      </c>
      <c r="AD86" s="58">
        <v>0</v>
      </c>
      <c r="AE86" s="58">
        <v>0</v>
      </c>
      <c r="AF86" s="58">
        <v>0</v>
      </c>
      <c r="AG86" s="58">
        <v>0</v>
      </c>
      <c r="AH86" s="58">
        <v>0</v>
      </c>
      <c r="AI86" s="58">
        <v>0</v>
      </c>
      <c r="AJ86" s="58">
        <v>0</v>
      </c>
      <c r="AK86" s="58">
        <v>0</v>
      </c>
      <c r="AL86" s="58">
        <v>0</v>
      </c>
      <c r="AM86" s="58">
        <v>0</v>
      </c>
      <c r="AN86" s="58">
        <v>0</v>
      </c>
    </row>
    <row r="87" spans="1:40" ht="15">
      <c r="A87" s="617">
        <v>7</v>
      </c>
      <c r="B87" s="58">
        <v>0</v>
      </c>
      <c r="C87" s="58">
        <v>0</v>
      </c>
      <c r="D87" s="58">
        <v>0</v>
      </c>
      <c r="E87" s="58">
        <v>0</v>
      </c>
      <c r="F87" s="58">
        <v>0</v>
      </c>
      <c r="G87" s="58">
        <v>0</v>
      </c>
      <c r="H87" s="58">
        <v>0</v>
      </c>
      <c r="I87" s="58">
        <v>0</v>
      </c>
      <c r="J87" s="58">
        <v>0</v>
      </c>
      <c r="K87" s="58">
        <v>0</v>
      </c>
      <c r="L87" s="58">
        <v>0</v>
      </c>
      <c r="M87" s="58">
        <v>0</v>
      </c>
      <c r="N87" s="58">
        <v>0</v>
      </c>
      <c r="O87" s="58">
        <v>0</v>
      </c>
      <c r="P87" s="58">
        <v>0</v>
      </c>
      <c r="Q87" s="58">
        <v>0</v>
      </c>
      <c r="R87" s="58">
        <v>0</v>
      </c>
      <c r="S87" s="58">
        <v>0</v>
      </c>
      <c r="T87" s="58">
        <v>0</v>
      </c>
      <c r="U87" s="58">
        <v>0</v>
      </c>
      <c r="V87" s="58">
        <v>0</v>
      </c>
      <c r="W87" s="58">
        <v>0</v>
      </c>
      <c r="X87" s="58">
        <v>0</v>
      </c>
      <c r="Y87" s="58">
        <v>0</v>
      </c>
      <c r="Z87" s="58">
        <v>0</v>
      </c>
      <c r="AA87" s="58">
        <v>0</v>
      </c>
      <c r="AB87" s="58">
        <v>0</v>
      </c>
      <c r="AC87" s="58">
        <v>0</v>
      </c>
      <c r="AD87" s="58">
        <v>0</v>
      </c>
      <c r="AE87" s="58">
        <v>0</v>
      </c>
      <c r="AF87" s="58">
        <v>0</v>
      </c>
      <c r="AG87" s="58">
        <v>0</v>
      </c>
      <c r="AH87" s="58">
        <v>0</v>
      </c>
      <c r="AI87" s="58">
        <v>0</v>
      </c>
      <c r="AJ87" s="58">
        <v>0</v>
      </c>
      <c r="AK87" s="58">
        <v>0</v>
      </c>
      <c r="AL87" s="58">
        <v>0</v>
      </c>
      <c r="AM87" s="58">
        <v>0</v>
      </c>
      <c r="AN87" s="58">
        <v>0</v>
      </c>
    </row>
    <row r="88" spans="1:40" ht="15">
      <c r="A88" s="618" t="s">
        <v>95</v>
      </c>
      <c r="B88" s="619">
        <f>SUM(B81:B87)</f>
        <v>0</v>
      </c>
      <c r="C88" s="619">
        <f t="shared" ref="C88:AN88" si="11">SUM(C81:C87)</f>
        <v>0</v>
      </c>
      <c r="D88" s="619">
        <f t="shared" si="11"/>
        <v>0</v>
      </c>
      <c r="E88" s="619">
        <f t="shared" si="11"/>
        <v>2.7999999999999997E-2</v>
      </c>
      <c r="F88" s="619">
        <f t="shared" si="11"/>
        <v>0.59919999999999995</v>
      </c>
      <c r="G88" s="619">
        <f t="shared" si="11"/>
        <v>3.5280000000000014</v>
      </c>
      <c r="H88" s="619">
        <f t="shared" si="11"/>
        <v>17.446400000000001</v>
      </c>
      <c r="I88" s="619">
        <f t="shared" si="11"/>
        <v>46.020000000000017</v>
      </c>
      <c r="J88" s="619">
        <f t="shared" si="11"/>
        <v>83.64800000000001</v>
      </c>
      <c r="K88" s="619">
        <f t="shared" si="11"/>
        <v>111.58720000000001</v>
      </c>
      <c r="L88" s="619">
        <f t="shared" si="11"/>
        <v>132.5224</v>
      </c>
      <c r="M88" s="619">
        <f t="shared" si="11"/>
        <v>163.46799999999999</v>
      </c>
      <c r="N88" s="619">
        <f t="shared" si="11"/>
        <v>200.12559999999996</v>
      </c>
      <c r="O88" s="619">
        <f t="shared" si="11"/>
        <v>239.89119999999997</v>
      </c>
      <c r="P88" s="619">
        <f t="shared" si="11"/>
        <v>282.50239999999997</v>
      </c>
      <c r="Q88" s="619">
        <f t="shared" si="11"/>
        <v>330.09039999999999</v>
      </c>
      <c r="R88" s="619">
        <f t="shared" si="11"/>
        <v>382.17840000000001</v>
      </c>
      <c r="S88" s="619">
        <f t="shared" si="11"/>
        <v>438.0616</v>
      </c>
      <c r="T88" s="619">
        <f t="shared" si="11"/>
        <v>500.40640000000002</v>
      </c>
      <c r="U88" s="619">
        <f t="shared" si="11"/>
        <v>558.50399999999991</v>
      </c>
      <c r="V88" s="619">
        <f t="shared" si="11"/>
        <v>610.01520000000028</v>
      </c>
      <c r="W88" s="619">
        <f t="shared" si="11"/>
        <v>664.66720000000021</v>
      </c>
      <c r="X88" s="619">
        <f t="shared" si="11"/>
        <v>723.31920000000002</v>
      </c>
      <c r="Y88" s="619">
        <f t="shared" si="11"/>
        <v>787.80079999999998</v>
      </c>
      <c r="Z88" s="619">
        <f t="shared" si="11"/>
        <v>859.03920000000016</v>
      </c>
      <c r="AA88" s="619">
        <f t="shared" si="11"/>
        <v>935.36879999999996</v>
      </c>
      <c r="AB88" s="619">
        <f t="shared" si="11"/>
        <v>1017.6608000000001</v>
      </c>
      <c r="AC88" s="619">
        <f t="shared" si="11"/>
        <v>1108.0167999999999</v>
      </c>
      <c r="AD88" s="619">
        <f t="shared" si="11"/>
        <v>1208.7751999999998</v>
      </c>
      <c r="AE88" s="619">
        <f t="shared" si="11"/>
        <v>1313.0432000000003</v>
      </c>
      <c r="AF88" s="619">
        <f t="shared" si="11"/>
        <v>1421.3424</v>
      </c>
      <c r="AG88" s="619">
        <f t="shared" si="11"/>
        <v>1552.4103999999998</v>
      </c>
      <c r="AH88" s="619">
        <f t="shared" si="11"/>
        <v>1697.4895999999999</v>
      </c>
      <c r="AI88" s="619">
        <f t="shared" si="11"/>
        <v>1840.0272000000002</v>
      </c>
      <c r="AJ88" s="619">
        <f t="shared" si="11"/>
        <v>1987.9784</v>
      </c>
      <c r="AK88" s="619">
        <f t="shared" si="11"/>
        <v>2161.7752</v>
      </c>
      <c r="AL88" s="619">
        <f t="shared" si="11"/>
        <v>2381.7488000000003</v>
      </c>
      <c r="AM88" s="619">
        <f t="shared" si="11"/>
        <v>2619.2720000000008</v>
      </c>
      <c r="AN88" s="619">
        <f t="shared" si="11"/>
        <v>2843.38</v>
      </c>
    </row>
    <row r="89" spans="1:40" ht="15">
      <c r="A89" s="617"/>
    </row>
    <row r="90" spans="1:40" ht="15">
      <c r="A90" s="620" t="s">
        <v>2557</v>
      </c>
      <c r="B90" s="349"/>
      <c r="C90" s="349"/>
      <c r="D90" s="349"/>
      <c r="E90" s="349"/>
      <c r="F90" s="349"/>
      <c r="G90" s="349"/>
      <c r="H90" s="349"/>
      <c r="I90" s="349"/>
      <c r="J90" s="349"/>
      <c r="K90" s="349"/>
      <c r="L90" s="349"/>
      <c r="M90" s="349"/>
      <c r="N90" s="349"/>
      <c r="O90" s="349"/>
      <c r="P90" s="349"/>
      <c r="Q90" s="349"/>
      <c r="R90" s="349"/>
      <c r="S90" s="349"/>
      <c r="T90" s="349"/>
      <c r="U90" s="349"/>
      <c r="V90" s="349"/>
      <c r="W90" s="349"/>
      <c r="X90" s="349"/>
      <c r="Y90" s="349"/>
      <c r="Z90" s="349"/>
      <c r="AA90" s="349"/>
      <c r="AB90" s="349"/>
      <c r="AC90" s="349"/>
      <c r="AD90" s="349"/>
      <c r="AE90" s="349"/>
      <c r="AF90" s="349"/>
      <c r="AG90" s="349"/>
      <c r="AH90" s="349"/>
      <c r="AI90" s="349"/>
      <c r="AJ90" s="349"/>
      <c r="AK90" s="349"/>
      <c r="AL90" s="349"/>
      <c r="AM90" s="349"/>
      <c r="AN90" s="349"/>
    </row>
    <row r="91" spans="1:40" ht="15">
      <c r="A91" s="617" t="s">
        <v>2553</v>
      </c>
    </row>
    <row r="92" spans="1:40" ht="15">
      <c r="A92" s="617"/>
      <c r="B92" s="274">
        <v>2012</v>
      </c>
      <c r="C92" s="274">
        <v>2013</v>
      </c>
      <c r="D92" s="274">
        <v>2014</v>
      </c>
      <c r="E92" s="274">
        <v>2015</v>
      </c>
      <c r="F92" s="274">
        <v>2016</v>
      </c>
      <c r="G92" s="274">
        <v>2017</v>
      </c>
      <c r="H92" s="274">
        <v>2018</v>
      </c>
      <c r="I92" s="274">
        <v>2019</v>
      </c>
      <c r="J92" s="274">
        <v>2020</v>
      </c>
      <c r="K92" s="274">
        <v>2021</v>
      </c>
      <c r="L92" s="274">
        <v>2022</v>
      </c>
      <c r="M92" s="274">
        <v>2023</v>
      </c>
      <c r="N92" s="274">
        <v>2024</v>
      </c>
      <c r="O92" s="274">
        <v>2025</v>
      </c>
      <c r="P92" s="274">
        <v>2026</v>
      </c>
      <c r="Q92" s="274">
        <v>2027</v>
      </c>
      <c r="R92" s="274">
        <v>2028</v>
      </c>
      <c r="S92" s="274">
        <v>2029</v>
      </c>
      <c r="T92" s="274">
        <v>2030</v>
      </c>
      <c r="U92" s="274">
        <v>2031</v>
      </c>
      <c r="V92" s="274">
        <v>2032</v>
      </c>
      <c r="W92" s="274">
        <v>2033</v>
      </c>
      <c r="X92" s="274">
        <v>2034</v>
      </c>
      <c r="Y92" s="274">
        <v>2035</v>
      </c>
      <c r="Z92" s="274">
        <v>2036</v>
      </c>
      <c r="AA92" s="274">
        <v>2037</v>
      </c>
      <c r="AB92" s="274">
        <v>2038</v>
      </c>
      <c r="AC92" s="274">
        <v>2039</v>
      </c>
      <c r="AD92" s="274">
        <v>2040</v>
      </c>
      <c r="AE92" s="274">
        <v>2041</v>
      </c>
      <c r="AF92" s="274">
        <v>2042</v>
      </c>
      <c r="AG92" s="274">
        <v>2043</v>
      </c>
      <c r="AH92" s="274">
        <v>2044</v>
      </c>
      <c r="AI92" s="274">
        <v>2045</v>
      </c>
      <c r="AJ92" s="274">
        <v>2046</v>
      </c>
      <c r="AK92" s="274">
        <v>2047</v>
      </c>
      <c r="AL92" s="274">
        <v>2048</v>
      </c>
      <c r="AM92" s="274">
        <v>2049</v>
      </c>
      <c r="AN92" s="274">
        <v>2050</v>
      </c>
    </row>
    <row r="93" spans="1:40" ht="15">
      <c r="A93" s="617">
        <v>1</v>
      </c>
      <c r="B93" s="58">
        <v>0</v>
      </c>
      <c r="C93" s="58">
        <v>0</v>
      </c>
      <c r="D93" s="58">
        <v>0</v>
      </c>
      <c r="E93" s="58">
        <v>0</v>
      </c>
      <c r="F93" s="58">
        <v>0</v>
      </c>
      <c r="G93" s="58">
        <v>5.2500000000000002E-5</v>
      </c>
      <c r="H93" s="58">
        <v>3.8849999999999996E-4</v>
      </c>
      <c r="I93" s="58">
        <v>9.5549999999999986E-4</v>
      </c>
      <c r="J93" s="58">
        <v>1.7219999999999998E-3</v>
      </c>
      <c r="K93" s="58">
        <v>2.2365000000000002E-3</v>
      </c>
      <c r="L93" s="58">
        <v>2.5619999999999996E-3</v>
      </c>
      <c r="M93" s="58">
        <v>3.3179999999999989E-3</v>
      </c>
      <c r="N93" s="58">
        <v>4.2735000000000004E-3</v>
      </c>
      <c r="O93" s="58">
        <v>5.4075E-3</v>
      </c>
      <c r="P93" s="58">
        <v>6.5730000000000007E-3</v>
      </c>
      <c r="Q93" s="58">
        <v>7.7909999999999976E-3</v>
      </c>
      <c r="R93" s="58">
        <v>8.9774999999999976E-3</v>
      </c>
      <c r="S93" s="58">
        <v>1.0163999999999996E-2</v>
      </c>
      <c r="T93" s="58">
        <v>1.1549999999999998E-2</v>
      </c>
      <c r="U93" s="58">
        <v>1.2704999999999996E-2</v>
      </c>
      <c r="V93" s="58">
        <v>1.3712999999999996E-2</v>
      </c>
      <c r="W93" s="58">
        <v>1.4773499999999997E-2</v>
      </c>
      <c r="X93" s="58">
        <v>1.5802499999999997E-2</v>
      </c>
      <c r="Y93" s="58">
        <v>1.6831499999999996E-2</v>
      </c>
      <c r="Z93" s="58">
        <v>1.7860499999999998E-2</v>
      </c>
      <c r="AA93" s="58">
        <v>1.9120499999999992E-2</v>
      </c>
      <c r="AB93" s="58">
        <v>2.0485499999999997E-2</v>
      </c>
      <c r="AC93" s="58">
        <v>2.1850499999999991E-2</v>
      </c>
      <c r="AD93" s="58">
        <v>2.3393999999999998E-2</v>
      </c>
      <c r="AE93" s="58">
        <v>2.4811499999999993E-2</v>
      </c>
      <c r="AF93" s="58">
        <v>2.6228999999999995E-2</v>
      </c>
      <c r="AG93" s="58">
        <v>2.7877499999999996E-2</v>
      </c>
      <c r="AH93" s="58">
        <v>2.9578499999999997E-2</v>
      </c>
      <c r="AI93" s="58">
        <v>3.1279499999999988E-2</v>
      </c>
      <c r="AJ93" s="58">
        <v>3.3033E-2</v>
      </c>
      <c r="AK93" s="58">
        <v>3.4839000000000002E-2</v>
      </c>
      <c r="AL93" s="58">
        <v>3.6697499999999994E-2</v>
      </c>
      <c r="AM93" s="58">
        <v>3.8839499999999992E-2</v>
      </c>
      <c r="AN93" s="58">
        <v>4.1065499999999998E-2</v>
      </c>
    </row>
    <row r="94" spans="1:40" ht="15">
      <c r="A94" s="617">
        <v>2</v>
      </c>
      <c r="B94" s="58">
        <v>0</v>
      </c>
      <c r="C94" s="58">
        <v>0</v>
      </c>
      <c r="D94" s="58">
        <v>0</v>
      </c>
      <c r="E94" s="58">
        <v>0</v>
      </c>
      <c r="F94" s="58">
        <v>0</v>
      </c>
      <c r="G94" s="58">
        <v>1.2000000000000003E-4</v>
      </c>
      <c r="H94" s="58">
        <v>9.8999999999999999E-4</v>
      </c>
      <c r="I94" s="58">
        <v>3.0599999999999998E-3</v>
      </c>
      <c r="J94" s="58">
        <v>5.4599999999999996E-3</v>
      </c>
      <c r="K94" s="58">
        <v>7.2599999999999982E-3</v>
      </c>
      <c r="L94" s="58">
        <v>9.2849999999999999E-3</v>
      </c>
      <c r="M94" s="58">
        <v>1.2179999999999998E-2</v>
      </c>
      <c r="N94" s="58">
        <v>1.5869999999999992E-2</v>
      </c>
      <c r="O94" s="58">
        <v>1.9859999999999992E-2</v>
      </c>
      <c r="P94" s="58">
        <v>2.3970000000000002E-2</v>
      </c>
      <c r="Q94" s="58">
        <v>2.8289999999999996E-2</v>
      </c>
      <c r="R94" s="58">
        <v>3.2819999999999995E-2</v>
      </c>
      <c r="S94" s="58">
        <v>3.7425E-2</v>
      </c>
      <c r="T94" s="58">
        <v>4.1985000000000001E-2</v>
      </c>
      <c r="U94" s="58">
        <v>4.6035E-2</v>
      </c>
      <c r="V94" s="58">
        <v>4.9499999999999982E-2</v>
      </c>
      <c r="W94" s="58">
        <v>5.3009999999999995E-2</v>
      </c>
      <c r="X94" s="58">
        <v>5.6670000000000012E-2</v>
      </c>
      <c r="Y94" s="58">
        <v>6.0539999999999976E-2</v>
      </c>
      <c r="Z94" s="58">
        <v>6.4619999999999997E-2</v>
      </c>
      <c r="AA94" s="58">
        <v>6.9059999999999983E-2</v>
      </c>
      <c r="AB94" s="58">
        <v>7.3544999999999999E-2</v>
      </c>
      <c r="AC94" s="58">
        <v>7.8074999999999992E-2</v>
      </c>
      <c r="AD94" s="58">
        <v>8.2964999999999983E-2</v>
      </c>
      <c r="AE94" s="58">
        <v>8.7809999999999999E-2</v>
      </c>
      <c r="AF94" s="58">
        <v>9.2700000000000005E-2</v>
      </c>
      <c r="AG94" s="58">
        <v>9.787499999999999E-2</v>
      </c>
      <c r="AH94" s="58">
        <v>0.10304999999999997</v>
      </c>
      <c r="AI94" s="58">
        <v>0.10839</v>
      </c>
      <c r="AJ94" s="58">
        <v>0.11408999999999998</v>
      </c>
      <c r="AK94" s="58">
        <v>0.120285</v>
      </c>
      <c r="AL94" s="58">
        <v>0.12680999999999998</v>
      </c>
      <c r="AM94" s="58">
        <v>0.13348500000000002</v>
      </c>
      <c r="AN94" s="58">
        <v>0.14048999999999998</v>
      </c>
    </row>
    <row r="95" spans="1:40" ht="15">
      <c r="A95" s="617">
        <v>3</v>
      </c>
      <c r="B95" s="58">
        <v>0</v>
      </c>
      <c r="C95" s="58">
        <v>0</v>
      </c>
      <c r="D95" s="58">
        <v>0</v>
      </c>
      <c r="E95" s="58">
        <v>1.3500000000000003E-4</v>
      </c>
      <c r="F95" s="58">
        <v>2.0789999999999999E-2</v>
      </c>
      <c r="G95" s="58">
        <v>0.22221000000000005</v>
      </c>
      <c r="H95" s="58">
        <v>0.79483500000000029</v>
      </c>
      <c r="I95" s="58">
        <v>1.8601650000000003</v>
      </c>
      <c r="J95" s="58">
        <v>3.7426949999999994</v>
      </c>
      <c r="K95" s="58">
        <v>4.9566600000000012</v>
      </c>
      <c r="L95" s="58">
        <v>4.9764150000000003</v>
      </c>
      <c r="M95" s="58">
        <v>5.0143500000000021</v>
      </c>
      <c r="N95" s="58">
        <v>5.0840550000000011</v>
      </c>
      <c r="O95" s="58">
        <v>5.2084350000000006</v>
      </c>
      <c r="P95" s="58">
        <v>5.4339299999999993</v>
      </c>
      <c r="Q95" s="58">
        <v>5.8189949999999993</v>
      </c>
      <c r="R95" s="58">
        <v>6.4227600000000011</v>
      </c>
      <c r="S95" s="58">
        <v>7.3034549999999987</v>
      </c>
      <c r="T95" s="58">
        <v>8.5302900000000008</v>
      </c>
      <c r="U95" s="58">
        <v>9.7728750000000009</v>
      </c>
      <c r="V95" s="58">
        <v>10.912185000000001</v>
      </c>
      <c r="W95" s="58">
        <v>12.209220000000006</v>
      </c>
      <c r="X95" s="58">
        <v>13.686030000000001</v>
      </c>
      <c r="Y95" s="58">
        <v>15.352740000000002</v>
      </c>
      <c r="Z95" s="58">
        <v>17.258040000000001</v>
      </c>
      <c r="AA95" s="58">
        <v>19.462815000000003</v>
      </c>
      <c r="AB95" s="58">
        <v>22.768290000000004</v>
      </c>
      <c r="AC95" s="58">
        <v>27.412830000000003</v>
      </c>
      <c r="AD95" s="58">
        <v>32.039774999999999</v>
      </c>
      <c r="AE95" s="58">
        <v>36.279855000000005</v>
      </c>
      <c r="AF95" s="58">
        <v>40.589055000000002</v>
      </c>
      <c r="AG95" s="58">
        <v>45.17766000000001</v>
      </c>
      <c r="AH95" s="58">
        <v>50.273729999999993</v>
      </c>
      <c r="AI95" s="58">
        <v>55.975635000000018</v>
      </c>
      <c r="AJ95" s="58">
        <v>62.323605000000008</v>
      </c>
      <c r="AK95" s="58">
        <v>69.269220000000004</v>
      </c>
      <c r="AL95" s="58">
        <v>76.871295000000032</v>
      </c>
      <c r="AM95" s="58">
        <v>85.278420000000011</v>
      </c>
      <c r="AN95" s="58">
        <v>94.698585000000023</v>
      </c>
    </row>
    <row r="96" spans="1:40" ht="15">
      <c r="A96" s="617">
        <v>4</v>
      </c>
      <c r="B96" s="58">
        <v>0</v>
      </c>
      <c r="C96" s="58">
        <v>0</v>
      </c>
      <c r="D96" s="58">
        <v>0</v>
      </c>
      <c r="E96" s="58">
        <v>0</v>
      </c>
      <c r="F96" s="58">
        <v>0</v>
      </c>
      <c r="G96" s="58">
        <v>0</v>
      </c>
      <c r="H96" s="58">
        <v>0</v>
      </c>
      <c r="I96" s="58">
        <v>0</v>
      </c>
      <c r="J96" s="58">
        <v>0</v>
      </c>
      <c r="K96" s="58">
        <v>0</v>
      </c>
      <c r="L96" s="58">
        <v>0</v>
      </c>
      <c r="M96" s="58">
        <v>0</v>
      </c>
      <c r="N96" s="58">
        <v>0</v>
      </c>
      <c r="O96" s="58">
        <v>0</v>
      </c>
      <c r="P96" s="58">
        <v>0</v>
      </c>
      <c r="Q96" s="58">
        <v>0</v>
      </c>
      <c r="R96" s="58">
        <v>0</v>
      </c>
      <c r="S96" s="58">
        <v>0</v>
      </c>
      <c r="T96" s="58">
        <v>0</v>
      </c>
      <c r="U96" s="58">
        <v>0</v>
      </c>
      <c r="V96" s="58">
        <v>0</v>
      </c>
      <c r="W96" s="58">
        <v>0</v>
      </c>
      <c r="X96" s="58">
        <v>0</v>
      </c>
      <c r="Y96" s="58">
        <v>0</v>
      </c>
      <c r="Z96" s="58">
        <v>0</v>
      </c>
      <c r="AA96" s="58">
        <v>0</v>
      </c>
      <c r="AB96" s="58">
        <v>0</v>
      </c>
      <c r="AC96" s="58">
        <v>0</v>
      </c>
      <c r="AD96" s="58">
        <v>0</v>
      </c>
      <c r="AE96" s="58">
        <v>0</v>
      </c>
      <c r="AF96" s="58">
        <v>0</v>
      </c>
      <c r="AG96" s="58">
        <v>0</v>
      </c>
      <c r="AH96" s="58">
        <v>0</v>
      </c>
      <c r="AI96" s="58">
        <v>0</v>
      </c>
      <c r="AJ96" s="58">
        <v>0</v>
      </c>
      <c r="AK96" s="58">
        <v>0</v>
      </c>
      <c r="AL96" s="58">
        <v>0</v>
      </c>
      <c r="AM96" s="58">
        <v>0</v>
      </c>
      <c r="AN96" s="58">
        <v>0</v>
      </c>
    </row>
    <row r="97" spans="1:40" ht="15">
      <c r="A97" s="617">
        <v>5</v>
      </c>
      <c r="B97" s="58">
        <v>0</v>
      </c>
      <c r="C97" s="58">
        <v>0</v>
      </c>
      <c r="D97" s="58">
        <v>0</v>
      </c>
      <c r="E97" s="639">
        <f t="shared" ref="E97:AN97" si="12">MIN(E85:E96)</f>
        <v>0</v>
      </c>
      <c r="F97" s="639">
        <f t="shared" si="12"/>
        <v>0</v>
      </c>
      <c r="G97" s="639">
        <f t="shared" si="12"/>
        <v>0</v>
      </c>
      <c r="H97" s="639">
        <f t="shared" si="12"/>
        <v>0</v>
      </c>
      <c r="I97" s="639">
        <f t="shared" si="12"/>
        <v>0</v>
      </c>
      <c r="J97" s="639">
        <f t="shared" si="12"/>
        <v>0</v>
      </c>
      <c r="K97" s="639">
        <f t="shared" si="12"/>
        <v>0</v>
      </c>
      <c r="L97" s="639">
        <f t="shared" si="12"/>
        <v>0</v>
      </c>
      <c r="M97" s="639">
        <f t="shared" si="12"/>
        <v>0</v>
      </c>
      <c r="N97" s="639">
        <f t="shared" si="12"/>
        <v>0</v>
      </c>
      <c r="O97" s="639">
        <f t="shared" si="12"/>
        <v>0</v>
      </c>
      <c r="P97" s="639">
        <f t="shared" si="12"/>
        <v>0</v>
      </c>
      <c r="Q97" s="639">
        <f t="shared" si="12"/>
        <v>0</v>
      </c>
      <c r="R97" s="639">
        <f t="shared" si="12"/>
        <v>0</v>
      </c>
      <c r="S97" s="639">
        <f t="shared" si="12"/>
        <v>0</v>
      </c>
      <c r="T97" s="639">
        <f t="shared" si="12"/>
        <v>0</v>
      </c>
      <c r="U97" s="639">
        <f t="shared" si="12"/>
        <v>0</v>
      </c>
      <c r="V97" s="639">
        <f t="shared" si="12"/>
        <v>0</v>
      </c>
      <c r="W97" s="639">
        <f t="shared" si="12"/>
        <v>0</v>
      </c>
      <c r="X97" s="639">
        <f t="shared" si="12"/>
        <v>0</v>
      </c>
      <c r="Y97" s="639">
        <f t="shared" si="12"/>
        <v>0</v>
      </c>
      <c r="Z97" s="639">
        <f t="shared" si="12"/>
        <v>0</v>
      </c>
      <c r="AA97" s="639">
        <f t="shared" si="12"/>
        <v>0</v>
      </c>
      <c r="AB97" s="639">
        <f t="shared" si="12"/>
        <v>0</v>
      </c>
      <c r="AC97" s="639">
        <f t="shared" si="12"/>
        <v>0</v>
      </c>
      <c r="AD97" s="639">
        <f t="shared" si="12"/>
        <v>0</v>
      </c>
      <c r="AE97" s="639">
        <f t="shared" si="12"/>
        <v>0</v>
      </c>
      <c r="AF97" s="639">
        <f t="shared" si="12"/>
        <v>0</v>
      </c>
      <c r="AG97" s="639">
        <f t="shared" si="12"/>
        <v>0</v>
      </c>
      <c r="AH97" s="639">
        <f t="shared" si="12"/>
        <v>0</v>
      </c>
      <c r="AI97" s="639">
        <f t="shared" si="12"/>
        <v>0</v>
      </c>
      <c r="AJ97" s="639">
        <f t="shared" si="12"/>
        <v>0</v>
      </c>
      <c r="AK97" s="639">
        <f t="shared" si="12"/>
        <v>0</v>
      </c>
      <c r="AL97" s="639">
        <f t="shared" si="12"/>
        <v>0</v>
      </c>
      <c r="AM97" s="639">
        <f t="shared" si="12"/>
        <v>0</v>
      </c>
      <c r="AN97" s="639">
        <f t="shared" si="12"/>
        <v>0</v>
      </c>
    </row>
    <row r="98" spans="1:40" ht="15">
      <c r="A98" s="617">
        <v>6</v>
      </c>
      <c r="B98" s="58">
        <v>0</v>
      </c>
      <c r="C98" s="58">
        <v>0</v>
      </c>
      <c r="D98" s="58">
        <v>0</v>
      </c>
      <c r="E98" s="58">
        <v>0</v>
      </c>
      <c r="F98" s="58">
        <v>0</v>
      </c>
      <c r="G98" s="58">
        <v>0</v>
      </c>
      <c r="H98" s="58">
        <v>0</v>
      </c>
      <c r="I98" s="58">
        <v>0</v>
      </c>
      <c r="J98" s="58">
        <v>0</v>
      </c>
      <c r="K98" s="58">
        <v>0</v>
      </c>
      <c r="L98" s="58">
        <v>0</v>
      </c>
      <c r="M98" s="58">
        <v>0</v>
      </c>
      <c r="N98" s="58">
        <v>0</v>
      </c>
      <c r="O98" s="58">
        <v>0</v>
      </c>
      <c r="P98" s="58">
        <v>0</v>
      </c>
      <c r="Q98" s="58">
        <v>0</v>
      </c>
      <c r="R98" s="58">
        <v>0</v>
      </c>
      <c r="S98" s="58">
        <v>0</v>
      </c>
      <c r="T98" s="58">
        <v>0</v>
      </c>
      <c r="U98" s="58">
        <v>0</v>
      </c>
      <c r="V98" s="58">
        <v>0</v>
      </c>
      <c r="W98" s="58">
        <v>0</v>
      </c>
      <c r="X98" s="58">
        <v>0</v>
      </c>
      <c r="Y98" s="58">
        <v>0</v>
      </c>
      <c r="Z98" s="58">
        <v>0</v>
      </c>
      <c r="AA98" s="58">
        <v>0</v>
      </c>
      <c r="AB98" s="58">
        <v>0</v>
      </c>
      <c r="AC98" s="58">
        <v>0</v>
      </c>
      <c r="AD98" s="58">
        <v>0</v>
      </c>
      <c r="AE98" s="58">
        <v>0</v>
      </c>
      <c r="AF98" s="58">
        <v>0</v>
      </c>
      <c r="AG98" s="58">
        <v>0</v>
      </c>
      <c r="AH98" s="58">
        <v>0</v>
      </c>
      <c r="AI98" s="58">
        <v>0</v>
      </c>
      <c r="AJ98" s="58">
        <v>0</v>
      </c>
      <c r="AK98" s="58">
        <v>0</v>
      </c>
      <c r="AL98" s="58">
        <v>0</v>
      </c>
      <c r="AM98" s="58">
        <v>0</v>
      </c>
      <c r="AN98" s="58">
        <v>0</v>
      </c>
    </row>
    <row r="99" spans="1:40" ht="15">
      <c r="A99" s="617">
        <v>7</v>
      </c>
      <c r="B99" s="58">
        <v>0</v>
      </c>
      <c r="C99" s="58">
        <v>0</v>
      </c>
      <c r="D99" s="58">
        <v>0</v>
      </c>
      <c r="E99" s="58">
        <v>0</v>
      </c>
      <c r="F99" s="58">
        <v>0</v>
      </c>
      <c r="G99" s="58">
        <v>0</v>
      </c>
      <c r="H99" s="58">
        <v>0</v>
      </c>
      <c r="I99" s="58">
        <v>0</v>
      </c>
      <c r="J99" s="58">
        <v>0</v>
      </c>
      <c r="K99" s="58">
        <v>0</v>
      </c>
      <c r="L99" s="58">
        <v>0</v>
      </c>
      <c r="M99" s="58">
        <v>0</v>
      </c>
      <c r="N99" s="58">
        <v>0</v>
      </c>
      <c r="O99" s="58">
        <v>0</v>
      </c>
      <c r="P99" s="58">
        <v>0</v>
      </c>
      <c r="Q99" s="58">
        <v>0</v>
      </c>
      <c r="R99" s="58">
        <v>0</v>
      </c>
      <c r="S99" s="58">
        <v>0</v>
      </c>
      <c r="T99" s="58">
        <v>0</v>
      </c>
      <c r="U99" s="58">
        <v>0</v>
      </c>
      <c r="V99" s="58">
        <v>0</v>
      </c>
      <c r="W99" s="58">
        <v>0</v>
      </c>
      <c r="X99" s="58">
        <v>0</v>
      </c>
      <c r="Y99" s="58">
        <v>0</v>
      </c>
      <c r="Z99" s="58">
        <v>0</v>
      </c>
      <c r="AA99" s="58">
        <v>0</v>
      </c>
      <c r="AB99" s="58">
        <v>0</v>
      </c>
      <c r="AC99" s="58">
        <v>0</v>
      </c>
      <c r="AD99" s="58">
        <v>0</v>
      </c>
      <c r="AE99" s="58">
        <v>0</v>
      </c>
      <c r="AF99" s="58">
        <v>0</v>
      </c>
      <c r="AG99" s="58">
        <v>0</v>
      </c>
      <c r="AH99" s="58">
        <v>0</v>
      </c>
      <c r="AI99" s="58">
        <v>0</v>
      </c>
      <c r="AJ99" s="58">
        <v>0</v>
      </c>
      <c r="AK99" s="58">
        <v>0</v>
      </c>
      <c r="AL99" s="58">
        <v>0</v>
      </c>
      <c r="AM99" s="58">
        <v>0</v>
      </c>
      <c r="AN99" s="58">
        <v>0</v>
      </c>
    </row>
    <row r="100" spans="1:40" ht="15">
      <c r="A100" s="618" t="s">
        <v>95</v>
      </c>
      <c r="B100" s="619">
        <f>SUM(B93:B99)</f>
        <v>0</v>
      </c>
      <c r="C100" s="619">
        <f t="shared" ref="C100:AN100" si="13">SUM(C93:C99)</f>
        <v>0</v>
      </c>
      <c r="D100" s="619">
        <f t="shared" si="13"/>
        <v>0</v>
      </c>
      <c r="E100" s="619">
        <f t="shared" si="13"/>
        <v>1.3500000000000003E-4</v>
      </c>
      <c r="F100" s="619">
        <f t="shared" si="13"/>
        <v>2.0789999999999999E-2</v>
      </c>
      <c r="G100" s="619">
        <f t="shared" si="13"/>
        <v>0.22238250000000004</v>
      </c>
      <c r="H100" s="619">
        <f t="shared" si="13"/>
        <v>0.79621350000000024</v>
      </c>
      <c r="I100" s="619">
        <f t="shared" si="13"/>
        <v>1.8641805000000002</v>
      </c>
      <c r="J100" s="619">
        <f t="shared" si="13"/>
        <v>3.7498769999999992</v>
      </c>
      <c r="K100" s="619">
        <f t="shared" si="13"/>
        <v>4.9661565000000012</v>
      </c>
      <c r="L100" s="619">
        <f t="shared" si="13"/>
        <v>4.9882620000000006</v>
      </c>
      <c r="M100" s="619">
        <f t="shared" si="13"/>
        <v>5.0298480000000021</v>
      </c>
      <c r="N100" s="619">
        <f t="shared" si="13"/>
        <v>5.1041985000000007</v>
      </c>
      <c r="O100" s="619">
        <f t="shared" si="13"/>
        <v>5.2337025000000006</v>
      </c>
      <c r="P100" s="619">
        <f t="shared" si="13"/>
        <v>5.464472999999999</v>
      </c>
      <c r="Q100" s="619">
        <f t="shared" si="13"/>
        <v>5.8550759999999995</v>
      </c>
      <c r="R100" s="619">
        <f t="shared" si="13"/>
        <v>6.4645575000000015</v>
      </c>
      <c r="S100" s="619">
        <f t="shared" si="13"/>
        <v>7.351043999999999</v>
      </c>
      <c r="T100" s="619">
        <f t="shared" si="13"/>
        <v>8.5838250000000009</v>
      </c>
      <c r="U100" s="619">
        <f t="shared" si="13"/>
        <v>9.8316150000000011</v>
      </c>
      <c r="V100" s="619">
        <f t="shared" si="13"/>
        <v>10.975398</v>
      </c>
      <c r="W100" s="619">
        <f t="shared" si="13"/>
        <v>12.277003500000006</v>
      </c>
      <c r="X100" s="619">
        <f t="shared" si="13"/>
        <v>13.758502500000001</v>
      </c>
      <c r="Y100" s="619">
        <f t="shared" si="13"/>
        <v>15.430111500000002</v>
      </c>
      <c r="Z100" s="619">
        <f t="shared" si="13"/>
        <v>17.3405205</v>
      </c>
      <c r="AA100" s="619">
        <f t="shared" si="13"/>
        <v>19.550995500000003</v>
      </c>
      <c r="AB100" s="619">
        <f t="shared" si="13"/>
        <v>22.862320500000003</v>
      </c>
      <c r="AC100" s="619">
        <f t="shared" si="13"/>
        <v>27.512755500000004</v>
      </c>
      <c r="AD100" s="619">
        <f t="shared" si="13"/>
        <v>32.146133999999996</v>
      </c>
      <c r="AE100" s="619">
        <f t="shared" si="13"/>
        <v>36.392476500000008</v>
      </c>
      <c r="AF100" s="619">
        <f t="shared" si="13"/>
        <v>40.707984000000003</v>
      </c>
      <c r="AG100" s="619">
        <f t="shared" si="13"/>
        <v>45.303412500000007</v>
      </c>
      <c r="AH100" s="619">
        <f t="shared" si="13"/>
        <v>50.406358499999996</v>
      </c>
      <c r="AI100" s="619">
        <f t="shared" si="13"/>
        <v>56.115304500000015</v>
      </c>
      <c r="AJ100" s="619">
        <f t="shared" si="13"/>
        <v>62.470728000000008</v>
      </c>
      <c r="AK100" s="619">
        <f t="shared" si="13"/>
        <v>69.424344000000005</v>
      </c>
      <c r="AL100" s="619">
        <f t="shared" si="13"/>
        <v>77.034802500000026</v>
      </c>
      <c r="AM100" s="619">
        <f t="shared" si="13"/>
        <v>85.450744500000013</v>
      </c>
      <c r="AN100" s="619">
        <f t="shared" si="13"/>
        <v>94.880140500000024</v>
      </c>
    </row>
    <row r="101" spans="1:40" ht="15">
      <c r="A101" s="617"/>
    </row>
    <row r="102" spans="1:40" ht="15">
      <c r="A102" s="620" t="s">
        <v>2558</v>
      </c>
      <c r="B102" s="349"/>
      <c r="C102" s="349"/>
      <c r="D102" s="349"/>
      <c r="E102" s="349"/>
      <c r="F102" s="349"/>
      <c r="G102" s="349"/>
      <c r="H102" s="349"/>
      <c r="I102" s="349"/>
      <c r="J102" s="349"/>
      <c r="K102" s="349"/>
      <c r="L102" s="349"/>
      <c r="M102" s="349"/>
      <c r="N102" s="349"/>
      <c r="O102" s="349"/>
      <c r="P102" s="349"/>
      <c r="Q102" s="349"/>
      <c r="R102" s="349"/>
      <c r="S102" s="349"/>
      <c r="T102" s="349"/>
      <c r="U102" s="349"/>
      <c r="V102" s="349"/>
      <c r="W102" s="349"/>
      <c r="X102" s="349"/>
      <c r="Y102" s="349"/>
      <c r="Z102" s="349"/>
      <c r="AA102" s="349"/>
      <c r="AB102" s="349"/>
      <c r="AC102" s="349"/>
      <c r="AD102" s="349"/>
      <c r="AE102" s="349"/>
      <c r="AF102" s="349"/>
      <c r="AG102" s="349"/>
      <c r="AH102" s="349"/>
      <c r="AI102" s="349"/>
      <c r="AJ102" s="349"/>
      <c r="AK102" s="349"/>
      <c r="AL102" s="349"/>
      <c r="AM102" s="349"/>
      <c r="AN102" s="349"/>
    </row>
    <row r="103" spans="1:40" ht="15">
      <c r="A103" s="617" t="s">
        <v>2553</v>
      </c>
    </row>
    <row r="104" spans="1:40" ht="15">
      <c r="A104" s="617"/>
      <c r="B104" s="274">
        <v>2012</v>
      </c>
      <c r="C104" s="274">
        <v>2013</v>
      </c>
      <c r="D104" s="274">
        <v>2014</v>
      </c>
      <c r="E104" s="274">
        <v>2015</v>
      </c>
      <c r="F104" s="274">
        <v>2016</v>
      </c>
      <c r="G104" s="274">
        <v>2017</v>
      </c>
      <c r="H104" s="274">
        <v>2018</v>
      </c>
      <c r="I104" s="274">
        <v>2019</v>
      </c>
      <c r="J104" s="274">
        <v>2020</v>
      </c>
      <c r="K104" s="274">
        <v>2021</v>
      </c>
      <c r="L104" s="274">
        <v>2022</v>
      </c>
      <c r="M104" s="274">
        <v>2023</v>
      </c>
      <c r="N104" s="274">
        <v>2024</v>
      </c>
      <c r="O104" s="274">
        <v>2025</v>
      </c>
      <c r="P104" s="274">
        <v>2026</v>
      </c>
      <c r="Q104" s="274">
        <v>2027</v>
      </c>
      <c r="R104" s="274">
        <v>2028</v>
      </c>
      <c r="S104" s="274">
        <v>2029</v>
      </c>
      <c r="T104" s="274">
        <v>2030</v>
      </c>
      <c r="U104" s="274">
        <v>2031</v>
      </c>
      <c r="V104" s="274">
        <v>2032</v>
      </c>
      <c r="W104" s="274">
        <v>2033</v>
      </c>
      <c r="X104" s="274">
        <v>2034</v>
      </c>
      <c r="Y104" s="274">
        <v>2035</v>
      </c>
      <c r="Z104" s="274">
        <v>2036</v>
      </c>
      <c r="AA104" s="274">
        <v>2037</v>
      </c>
      <c r="AB104" s="274">
        <v>2038</v>
      </c>
      <c r="AC104" s="274">
        <v>2039</v>
      </c>
      <c r="AD104" s="274">
        <v>2040</v>
      </c>
      <c r="AE104" s="274">
        <v>2041</v>
      </c>
      <c r="AF104" s="274">
        <v>2042</v>
      </c>
      <c r="AG104" s="274">
        <v>2043</v>
      </c>
      <c r="AH104" s="274">
        <v>2044</v>
      </c>
      <c r="AI104" s="274">
        <v>2045</v>
      </c>
      <c r="AJ104" s="274">
        <v>2046</v>
      </c>
      <c r="AK104" s="274">
        <v>2047</v>
      </c>
      <c r="AL104" s="274">
        <v>2048</v>
      </c>
      <c r="AM104" s="274">
        <v>2049</v>
      </c>
      <c r="AN104" s="274">
        <v>2050</v>
      </c>
    </row>
    <row r="105" spans="1:40" ht="15">
      <c r="A105" s="617">
        <v>1</v>
      </c>
      <c r="B105" s="58">
        <v>0</v>
      </c>
      <c r="C105" s="58">
        <v>0</v>
      </c>
      <c r="D105" s="58">
        <v>0</v>
      </c>
      <c r="E105" s="58">
        <v>1.5135074999999996E-3</v>
      </c>
      <c r="F105" s="58">
        <v>0.23198706624999998</v>
      </c>
      <c r="G105" s="58">
        <v>5.9230275175000004</v>
      </c>
      <c r="H105" s="58">
        <v>13.863910320899999</v>
      </c>
      <c r="I105" s="58">
        <v>16.880210113540503</v>
      </c>
      <c r="J105" s="58">
        <v>20.317034972222825</v>
      </c>
      <c r="K105" s="58">
        <v>25.270184874106892</v>
      </c>
      <c r="L105" s="58">
        <v>30.725181999675179</v>
      </c>
      <c r="M105" s="58">
        <v>37.150325628120321</v>
      </c>
      <c r="N105" s="58">
        <v>45.664941854564034</v>
      </c>
      <c r="O105" s="58">
        <v>57.158867032646512</v>
      </c>
      <c r="P105" s="58">
        <v>71.063868660974308</v>
      </c>
      <c r="Q105" s="58">
        <v>87.852828000231128</v>
      </c>
      <c r="R105" s="58">
        <v>105.23439941751828</v>
      </c>
      <c r="S105" s="58">
        <v>124.16794604356346</v>
      </c>
      <c r="T105" s="58">
        <v>146.02110054609398</v>
      </c>
      <c r="U105" s="58">
        <v>166.88874319210743</v>
      </c>
      <c r="V105" s="58">
        <v>186.24874194600352</v>
      </c>
      <c r="W105" s="58">
        <v>204.66965797621535</v>
      </c>
      <c r="X105" s="58">
        <v>221.10136329766911</v>
      </c>
      <c r="Y105" s="58">
        <v>235.37898429744016</v>
      </c>
      <c r="Z105" s="58">
        <v>246.79292799332578</v>
      </c>
      <c r="AA105" s="58">
        <v>256.32202203928699</v>
      </c>
      <c r="AB105" s="58">
        <v>264.73637637649011</v>
      </c>
      <c r="AC105" s="58">
        <v>270.22702366761467</v>
      </c>
      <c r="AD105" s="58">
        <v>274.1656957499813</v>
      </c>
      <c r="AE105" s="58">
        <v>277.56687044310723</v>
      </c>
      <c r="AF105" s="58">
        <v>279.62069287554959</v>
      </c>
      <c r="AG105" s="58">
        <v>281.1726680843077</v>
      </c>
      <c r="AH105" s="58">
        <v>282.22279606938145</v>
      </c>
      <c r="AI105" s="58">
        <v>283.26214068230615</v>
      </c>
      <c r="AJ105" s="58">
        <v>283.7639879059904</v>
      </c>
      <c r="AK105" s="58">
        <v>283.7639879059904</v>
      </c>
      <c r="AL105" s="58">
        <v>283.7639879059904</v>
      </c>
      <c r="AM105" s="58">
        <v>283.7639879059904</v>
      </c>
      <c r="AN105" s="58">
        <v>283.7639879059904</v>
      </c>
    </row>
    <row r="106" spans="1:40" ht="15">
      <c r="A106" s="617">
        <v>2</v>
      </c>
      <c r="B106" s="58">
        <v>0</v>
      </c>
      <c r="C106" s="58">
        <v>0</v>
      </c>
      <c r="D106" s="58">
        <v>0</v>
      </c>
      <c r="E106" s="58">
        <v>0.38103532499999987</v>
      </c>
      <c r="F106" s="58">
        <v>0.74960040299999986</v>
      </c>
      <c r="G106" s="58">
        <v>1.3860910471000003</v>
      </c>
      <c r="H106" s="58">
        <v>2.2866045318499997</v>
      </c>
      <c r="I106" s="58">
        <v>4.8087333246178599</v>
      </c>
      <c r="J106" s="58">
        <v>9.9106880277406706</v>
      </c>
      <c r="K106" s="58">
        <v>16.902183604981342</v>
      </c>
      <c r="L106" s="58">
        <v>26.388500925031384</v>
      </c>
      <c r="M106" s="58">
        <v>38.331027038430051</v>
      </c>
      <c r="N106" s="58">
        <v>52.805224028659751</v>
      </c>
      <c r="O106" s="58">
        <v>72.419988671472993</v>
      </c>
      <c r="P106" s="58">
        <v>95.813835062522003</v>
      </c>
      <c r="Q106" s="58">
        <v>122.30602024963277</v>
      </c>
      <c r="R106" s="58">
        <v>152.61590013443998</v>
      </c>
      <c r="S106" s="58">
        <v>185.49606384553897</v>
      </c>
      <c r="T106" s="58">
        <v>220.22715548129509</v>
      </c>
      <c r="U106" s="58">
        <v>254.95824711705123</v>
      </c>
      <c r="V106" s="58">
        <v>289.04720875009417</v>
      </c>
      <c r="W106" s="58">
        <v>319.35708863490146</v>
      </c>
      <c r="X106" s="58">
        <v>345.88788677147295</v>
      </c>
      <c r="Y106" s="58">
        <v>369.84840108175268</v>
      </c>
      <c r="Z106" s="58">
        <v>389.42455277510521</v>
      </c>
      <c r="AA106" s="58">
        <v>405.22162272022189</v>
      </c>
      <c r="AB106" s="58">
        <v>417.16414883362057</v>
      </c>
      <c r="AC106" s="58">
        <v>426.65046615367078</v>
      </c>
      <c r="AD106" s="58">
        <v>434.32270468308525</v>
      </c>
      <c r="AE106" s="58">
        <v>439.99132730543886</v>
      </c>
      <c r="AF106" s="58">
        <v>444.33707697290532</v>
      </c>
      <c r="AG106" s="58">
        <v>447.54949080191028</v>
      </c>
      <c r="AH106" s="58">
        <v>450.11977462820209</v>
      </c>
      <c r="AI106" s="58">
        <v>451.36718549960671</v>
      </c>
      <c r="AJ106" s="58">
        <v>453.25672637372452</v>
      </c>
      <c r="AK106" s="58">
        <v>455.14626724784262</v>
      </c>
      <c r="AL106" s="58">
        <v>455.14626724784262</v>
      </c>
      <c r="AM106" s="58">
        <v>455.14626724784262</v>
      </c>
      <c r="AN106" s="58">
        <v>455.14626724784262</v>
      </c>
    </row>
    <row r="107" spans="1:40" ht="15">
      <c r="A107" s="617">
        <v>3</v>
      </c>
      <c r="B107" s="58">
        <v>0</v>
      </c>
      <c r="C107" s="58">
        <v>0</v>
      </c>
      <c r="D107" s="58">
        <v>0</v>
      </c>
      <c r="E107" s="58">
        <v>0</v>
      </c>
      <c r="F107" s="58">
        <v>0</v>
      </c>
      <c r="G107" s="58">
        <v>0</v>
      </c>
      <c r="H107" s="58">
        <v>7.0938500000000002E-2</v>
      </c>
      <c r="I107" s="58">
        <v>0.50741891764705871</v>
      </c>
      <c r="J107" s="58">
        <v>0.87296083529411705</v>
      </c>
      <c r="K107" s="58">
        <v>0.87296083529411705</v>
      </c>
      <c r="L107" s="58">
        <v>1.2385027529411763</v>
      </c>
      <c r="M107" s="58">
        <v>1.9695865882352936</v>
      </c>
      <c r="N107" s="58">
        <v>2.7006704235294108</v>
      </c>
      <c r="O107" s="58">
        <v>3.4317542588235286</v>
      </c>
      <c r="P107" s="58">
        <v>4.5283800117647042</v>
      </c>
      <c r="Q107" s="58">
        <v>5.9905476823529407</v>
      </c>
      <c r="R107" s="58">
        <v>7.4527153529411754</v>
      </c>
      <c r="S107" s="58">
        <v>8.9148830235294092</v>
      </c>
      <c r="T107" s="58">
        <v>11.455315894117641</v>
      </c>
      <c r="U107" s="58">
        <v>13.99574876470588</v>
      </c>
      <c r="V107" s="58">
        <v>15.457916435294116</v>
      </c>
      <c r="W107" s="58">
        <v>16.920084105882353</v>
      </c>
      <c r="X107" s="58">
        <v>18.016709858823528</v>
      </c>
      <c r="Y107" s="58">
        <v>19.113335611764708</v>
      </c>
      <c r="Z107" s="58">
        <v>20.20996136470589</v>
      </c>
      <c r="AA107" s="58">
        <v>20.941045199999998</v>
      </c>
      <c r="AB107" s="58">
        <v>21.306587117647059</v>
      </c>
      <c r="AC107" s="58">
        <v>21.67212903529412</v>
      </c>
      <c r="AD107" s="58">
        <v>22.037670952941181</v>
      </c>
      <c r="AE107" s="58">
        <v>22.403212870588238</v>
      </c>
      <c r="AF107" s="58">
        <v>22.768754788235299</v>
      </c>
      <c r="AG107" s="58">
        <v>22.768754788235299</v>
      </c>
      <c r="AH107" s="58">
        <v>22.768754788235299</v>
      </c>
      <c r="AI107" s="58">
        <v>22.768754788235299</v>
      </c>
      <c r="AJ107" s="58">
        <v>22.768754788235299</v>
      </c>
      <c r="AK107" s="58">
        <v>22.768754788235299</v>
      </c>
      <c r="AL107" s="58">
        <v>22.768754788235299</v>
      </c>
      <c r="AM107" s="58">
        <v>22.768754788235299</v>
      </c>
      <c r="AN107" s="58">
        <v>22.768754788235299</v>
      </c>
    </row>
    <row r="108" spans="1:40" ht="15">
      <c r="A108" s="617">
        <v>4</v>
      </c>
      <c r="B108" s="58">
        <v>0</v>
      </c>
      <c r="C108" s="58">
        <v>0</v>
      </c>
      <c r="D108" s="58">
        <v>0</v>
      </c>
      <c r="E108" s="58">
        <v>0</v>
      </c>
      <c r="F108" s="58">
        <v>0.33228000000000002</v>
      </c>
      <c r="G108" s="58">
        <v>1.0327837499999999</v>
      </c>
      <c r="H108" s="58">
        <v>1.4010075</v>
      </c>
      <c r="I108" s="58">
        <v>1.4010075</v>
      </c>
      <c r="J108" s="58">
        <v>1.4010075</v>
      </c>
      <c r="K108" s="58">
        <v>1.9443676973684207</v>
      </c>
      <c r="L108" s="58">
        <v>2.4877278947368415</v>
      </c>
      <c r="M108" s="58">
        <v>2.4877278947368415</v>
      </c>
      <c r="N108" s="58">
        <v>3.5627560608552629</v>
      </c>
      <c r="O108" s="58">
        <v>5.6337694243421046</v>
      </c>
      <c r="P108" s="58">
        <v>7.173114819078946</v>
      </c>
      <c r="Q108" s="58">
        <v>8.7915031825657906</v>
      </c>
      <c r="R108" s="58">
        <v>11.468235296052628</v>
      </c>
      <c r="S108" s="58">
        <v>14.144967409539474</v>
      </c>
      <c r="T108" s="58">
        <v>17.288512845394738</v>
      </c>
      <c r="U108" s="58">
        <v>20.432058281250001</v>
      </c>
      <c r="V108" s="58">
        <v>23.10879039473684</v>
      </c>
      <c r="W108" s="58">
        <v>25.785522508223679</v>
      </c>
      <c r="X108" s="58">
        <v>27.403910871710522</v>
      </c>
      <c r="Y108" s="58">
        <v>28.943256266447364</v>
      </c>
      <c r="Z108" s="58">
        <v>30.47090943256579</v>
      </c>
      <c r="AA108" s="58">
        <v>31.545937598684208</v>
      </c>
      <c r="AB108" s="58">
        <v>32.089297796052627</v>
      </c>
      <c r="AC108" s="58">
        <v>32.632657993421049</v>
      </c>
      <c r="AD108" s="58">
        <v>33.17601819078947</v>
      </c>
      <c r="AE108" s="58">
        <v>33.17601819078947</v>
      </c>
      <c r="AF108" s="58">
        <v>33.17601819078947</v>
      </c>
      <c r="AG108" s="58">
        <v>33.17601819078947</v>
      </c>
      <c r="AH108" s="58">
        <v>33.17601819078947</v>
      </c>
      <c r="AI108" s="58">
        <v>33.17601819078947</v>
      </c>
      <c r="AJ108" s="58">
        <v>33.17601819078947</v>
      </c>
      <c r="AK108" s="58">
        <v>33.17601819078947</v>
      </c>
      <c r="AL108" s="58">
        <v>33.17601819078947</v>
      </c>
      <c r="AM108" s="58">
        <v>33.17601819078947</v>
      </c>
      <c r="AN108" s="58">
        <v>33.17601819078947</v>
      </c>
    </row>
    <row r="109" spans="1:40" ht="15">
      <c r="A109" s="617">
        <v>5</v>
      </c>
      <c r="B109" s="58">
        <v>0</v>
      </c>
      <c r="C109" s="58">
        <v>0</v>
      </c>
      <c r="D109" s="58">
        <v>0</v>
      </c>
      <c r="E109" s="58">
        <v>0</v>
      </c>
      <c r="F109" s="58">
        <v>0</v>
      </c>
      <c r="G109" s="58">
        <v>0</v>
      </c>
      <c r="H109" s="58">
        <v>0</v>
      </c>
      <c r="I109" s="58">
        <v>0</v>
      </c>
      <c r="J109" s="58">
        <v>0</v>
      </c>
      <c r="K109" s="58">
        <v>0</v>
      </c>
      <c r="L109" s="58">
        <v>0</v>
      </c>
      <c r="M109" s="58">
        <v>0</v>
      </c>
      <c r="N109" s="58">
        <v>0</v>
      </c>
      <c r="O109" s="58">
        <v>0</v>
      </c>
      <c r="P109" s="58">
        <v>0</v>
      </c>
      <c r="Q109" s="58">
        <v>0</v>
      </c>
      <c r="R109" s="58">
        <v>0</v>
      </c>
      <c r="S109" s="58">
        <v>0</v>
      </c>
      <c r="T109" s="58">
        <v>0</v>
      </c>
      <c r="U109" s="58">
        <v>0</v>
      </c>
      <c r="V109" s="58">
        <v>0</v>
      </c>
      <c r="W109" s="58">
        <v>0</v>
      </c>
      <c r="X109" s="58">
        <v>0</v>
      </c>
      <c r="Y109" s="58">
        <v>0</v>
      </c>
      <c r="Z109" s="58">
        <v>0</v>
      </c>
      <c r="AA109" s="58">
        <v>0</v>
      </c>
      <c r="AB109" s="58">
        <v>0</v>
      </c>
      <c r="AC109" s="58">
        <v>0</v>
      </c>
      <c r="AD109" s="58">
        <v>0</v>
      </c>
      <c r="AE109" s="58">
        <v>0</v>
      </c>
      <c r="AF109" s="58">
        <v>0</v>
      </c>
      <c r="AG109" s="58">
        <v>0</v>
      </c>
      <c r="AH109" s="58">
        <v>0</v>
      </c>
      <c r="AI109" s="58">
        <v>0</v>
      </c>
      <c r="AJ109" s="58">
        <v>0</v>
      </c>
      <c r="AK109" s="58">
        <v>0</v>
      </c>
      <c r="AL109" s="58">
        <v>0</v>
      </c>
      <c r="AM109" s="58">
        <v>0</v>
      </c>
      <c r="AN109" s="58">
        <v>0</v>
      </c>
    </row>
    <row r="110" spans="1:40" ht="15">
      <c r="A110" s="617">
        <v>6</v>
      </c>
      <c r="B110" s="58">
        <v>0</v>
      </c>
      <c r="C110" s="58">
        <v>0</v>
      </c>
      <c r="D110" s="58">
        <v>0</v>
      </c>
      <c r="E110" s="58">
        <v>0</v>
      </c>
      <c r="F110" s="58">
        <v>0</v>
      </c>
      <c r="G110" s="58">
        <v>0</v>
      </c>
      <c r="H110" s="58">
        <v>0</v>
      </c>
      <c r="I110" s="58">
        <v>0</v>
      </c>
      <c r="J110" s="58">
        <v>0</v>
      </c>
      <c r="K110" s="58">
        <v>0</v>
      </c>
      <c r="L110" s="58">
        <v>0</v>
      </c>
      <c r="M110" s="58">
        <v>0</v>
      </c>
      <c r="N110" s="58">
        <v>0</v>
      </c>
      <c r="O110" s="58">
        <v>0</v>
      </c>
      <c r="P110" s="58">
        <v>0</v>
      </c>
      <c r="Q110" s="58">
        <v>0</v>
      </c>
      <c r="R110" s="58">
        <v>0</v>
      </c>
      <c r="S110" s="58">
        <v>0</v>
      </c>
      <c r="T110" s="58">
        <v>0</v>
      </c>
      <c r="U110" s="58">
        <v>0</v>
      </c>
      <c r="V110" s="58">
        <v>0</v>
      </c>
      <c r="W110" s="58">
        <v>0</v>
      </c>
      <c r="X110" s="58">
        <v>0</v>
      </c>
      <c r="Y110" s="58">
        <v>0</v>
      </c>
      <c r="Z110" s="58">
        <v>0</v>
      </c>
      <c r="AA110" s="58">
        <v>0</v>
      </c>
      <c r="AB110" s="58">
        <v>0</v>
      </c>
      <c r="AC110" s="58">
        <v>0</v>
      </c>
      <c r="AD110" s="58">
        <v>0</v>
      </c>
      <c r="AE110" s="58">
        <v>0</v>
      </c>
      <c r="AF110" s="58">
        <v>0</v>
      </c>
      <c r="AG110" s="58">
        <v>0</v>
      </c>
      <c r="AH110" s="58">
        <v>0</v>
      </c>
      <c r="AI110" s="58">
        <v>0</v>
      </c>
      <c r="AJ110" s="58">
        <v>0</v>
      </c>
      <c r="AK110" s="58">
        <v>0</v>
      </c>
      <c r="AL110" s="58">
        <v>0</v>
      </c>
      <c r="AM110" s="58">
        <v>0</v>
      </c>
      <c r="AN110" s="58">
        <v>0</v>
      </c>
    </row>
    <row r="111" spans="1:40" ht="15">
      <c r="A111" s="617">
        <v>7</v>
      </c>
      <c r="B111" s="58">
        <v>0</v>
      </c>
      <c r="C111" s="58">
        <v>0</v>
      </c>
      <c r="D111" s="58">
        <v>0</v>
      </c>
      <c r="E111" s="58">
        <v>0</v>
      </c>
      <c r="F111" s="58">
        <v>0</v>
      </c>
      <c r="G111" s="58">
        <v>0</v>
      </c>
      <c r="H111" s="58">
        <v>0</v>
      </c>
      <c r="I111" s="58">
        <v>0</v>
      </c>
      <c r="J111" s="58">
        <v>0</v>
      </c>
      <c r="K111" s="58">
        <v>0</v>
      </c>
      <c r="L111" s="58">
        <v>0</v>
      </c>
      <c r="M111" s="58">
        <v>0</v>
      </c>
      <c r="N111" s="58">
        <v>0</v>
      </c>
      <c r="O111" s="58">
        <v>0</v>
      </c>
      <c r="P111" s="58">
        <v>0</v>
      </c>
      <c r="Q111" s="58">
        <v>0</v>
      </c>
      <c r="R111" s="58">
        <v>0</v>
      </c>
      <c r="S111" s="58">
        <v>0</v>
      </c>
      <c r="T111" s="58">
        <v>0</v>
      </c>
      <c r="U111" s="58">
        <v>0</v>
      </c>
      <c r="V111" s="58">
        <v>0</v>
      </c>
      <c r="W111" s="58">
        <v>0</v>
      </c>
      <c r="X111" s="58">
        <v>0</v>
      </c>
      <c r="Y111" s="58">
        <v>0</v>
      </c>
      <c r="Z111" s="58">
        <v>0</v>
      </c>
      <c r="AA111" s="58">
        <v>0</v>
      </c>
      <c r="AB111" s="58">
        <v>0</v>
      </c>
      <c r="AC111" s="58">
        <v>0</v>
      </c>
      <c r="AD111" s="58">
        <v>0</v>
      </c>
      <c r="AE111" s="58">
        <v>0</v>
      </c>
      <c r="AF111" s="58">
        <v>0</v>
      </c>
      <c r="AG111" s="58">
        <v>0</v>
      </c>
      <c r="AH111" s="58">
        <v>0</v>
      </c>
      <c r="AI111" s="58">
        <v>0</v>
      </c>
      <c r="AJ111" s="58">
        <v>0</v>
      </c>
      <c r="AK111" s="58">
        <v>0</v>
      </c>
      <c r="AL111" s="58">
        <v>0</v>
      </c>
      <c r="AM111" s="58">
        <v>0</v>
      </c>
      <c r="AN111" s="58">
        <v>0</v>
      </c>
    </row>
    <row r="112" spans="1:40" ht="15">
      <c r="A112" s="618" t="s">
        <v>95</v>
      </c>
      <c r="B112" s="619">
        <f>SUM(B105:B111)</f>
        <v>0</v>
      </c>
      <c r="C112" s="619">
        <f t="shared" ref="C112:AN112" si="14">SUM(C105:C111)</f>
        <v>0</v>
      </c>
      <c r="D112" s="619">
        <f t="shared" si="14"/>
        <v>0</v>
      </c>
      <c r="E112" s="619">
        <f t="shared" si="14"/>
        <v>0.38254883249999988</v>
      </c>
      <c r="F112" s="619">
        <f t="shared" si="14"/>
        <v>1.3138674692499999</v>
      </c>
      <c r="G112" s="619">
        <f t="shared" si="14"/>
        <v>8.3419023146000004</v>
      </c>
      <c r="H112" s="619">
        <f t="shared" si="14"/>
        <v>17.622460852749999</v>
      </c>
      <c r="I112" s="619">
        <f t="shared" si="14"/>
        <v>23.597369855805418</v>
      </c>
      <c r="J112" s="619">
        <f t="shared" si="14"/>
        <v>32.501691335257611</v>
      </c>
      <c r="K112" s="619">
        <f t="shared" si="14"/>
        <v>44.989697011750771</v>
      </c>
      <c r="L112" s="619">
        <f t="shared" si="14"/>
        <v>60.839913572384582</v>
      </c>
      <c r="M112" s="619">
        <f t="shared" si="14"/>
        <v>79.938667149522502</v>
      </c>
      <c r="N112" s="619">
        <f t="shared" si="14"/>
        <v>104.73359236760847</v>
      </c>
      <c r="O112" s="619">
        <f t="shared" si="14"/>
        <v>138.64437938728514</v>
      </c>
      <c r="P112" s="619">
        <f t="shared" si="14"/>
        <v>178.57919855433997</v>
      </c>
      <c r="Q112" s="619">
        <f t="shared" si="14"/>
        <v>224.94089911478261</v>
      </c>
      <c r="R112" s="619">
        <f t="shared" si="14"/>
        <v>276.77125020095207</v>
      </c>
      <c r="S112" s="619">
        <f t="shared" si="14"/>
        <v>332.72386032217128</v>
      </c>
      <c r="T112" s="619">
        <f t="shared" si="14"/>
        <v>394.99208476690143</v>
      </c>
      <c r="U112" s="619">
        <f t="shared" si="14"/>
        <v>456.27479735511452</v>
      </c>
      <c r="V112" s="619">
        <f t="shared" si="14"/>
        <v>513.8626575261286</v>
      </c>
      <c r="W112" s="619">
        <f t="shared" si="14"/>
        <v>566.73235322522282</v>
      </c>
      <c r="X112" s="619">
        <f t="shared" si="14"/>
        <v>612.40987079967613</v>
      </c>
      <c r="Y112" s="619">
        <f t="shared" si="14"/>
        <v>653.2839772574049</v>
      </c>
      <c r="Z112" s="619">
        <f t="shared" si="14"/>
        <v>686.89835156570268</v>
      </c>
      <c r="AA112" s="619">
        <f t="shared" si="14"/>
        <v>714.03062755819303</v>
      </c>
      <c r="AB112" s="619">
        <f t="shared" si="14"/>
        <v>735.29641012381035</v>
      </c>
      <c r="AC112" s="619">
        <f t="shared" si="14"/>
        <v>751.18227685000068</v>
      </c>
      <c r="AD112" s="619">
        <f t="shared" si="14"/>
        <v>763.70208957679722</v>
      </c>
      <c r="AE112" s="619">
        <f t="shared" si="14"/>
        <v>773.13742880992379</v>
      </c>
      <c r="AF112" s="619">
        <f t="shared" si="14"/>
        <v>779.90254282747981</v>
      </c>
      <c r="AG112" s="619">
        <f t="shared" si="14"/>
        <v>784.66693186524287</v>
      </c>
      <c r="AH112" s="619">
        <f t="shared" si="14"/>
        <v>788.28734367660843</v>
      </c>
      <c r="AI112" s="619">
        <f t="shared" si="14"/>
        <v>790.57409916093764</v>
      </c>
      <c r="AJ112" s="619">
        <f t="shared" si="14"/>
        <v>792.9654872587397</v>
      </c>
      <c r="AK112" s="619">
        <f t="shared" si="14"/>
        <v>794.85502813285791</v>
      </c>
      <c r="AL112" s="619">
        <f t="shared" si="14"/>
        <v>794.85502813285791</v>
      </c>
      <c r="AM112" s="619">
        <f t="shared" si="14"/>
        <v>794.85502813285791</v>
      </c>
      <c r="AN112" s="619">
        <f t="shared" si="14"/>
        <v>794.85502813285791</v>
      </c>
    </row>
  </sheetData>
  <sortState xmlns:xlrd2="http://schemas.microsoft.com/office/spreadsheetml/2017/richdata2" ref="A87:AN92">
    <sortCondition ref="A87:A92"/>
  </sortState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Plan18"/>
  <dimension ref="A1:K446"/>
  <sheetViews>
    <sheetView workbookViewId="0">
      <selection activeCell="F2" sqref="F2"/>
    </sheetView>
  </sheetViews>
  <sheetFormatPr defaultRowHeight="12.75"/>
  <cols>
    <col min="1" max="1" width="15.42578125" bestFit="1" customWidth="1"/>
    <col min="3" max="3" width="17" bestFit="1" customWidth="1"/>
    <col min="4" max="4" width="20" bestFit="1" customWidth="1"/>
    <col min="5" max="5" width="12.28515625" bestFit="1" customWidth="1"/>
    <col min="6" max="6" width="15.28515625" bestFit="1" customWidth="1"/>
    <col min="7" max="7" width="11.5703125" customWidth="1"/>
    <col min="8" max="8" width="12.85546875" bestFit="1" customWidth="1"/>
    <col min="9" max="9" width="12" customWidth="1"/>
    <col min="10" max="11" width="9.140625" customWidth="1"/>
  </cols>
  <sheetData>
    <row r="1" spans="1:11" ht="13.5" thickBot="1">
      <c r="A1" s="61" t="s">
        <v>136</v>
      </c>
      <c r="B1" s="11" t="s">
        <v>2532</v>
      </c>
      <c r="C1" s="111" t="s">
        <v>2559</v>
      </c>
      <c r="D1" s="11" t="s">
        <v>2560</v>
      </c>
      <c r="E1" s="11" t="s">
        <v>2561</v>
      </c>
      <c r="F1" s="11" t="s">
        <v>2562</v>
      </c>
      <c r="G1" s="11" t="s">
        <v>2563</v>
      </c>
      <c r="H1" s="11" t="s">
        <v>2564</v>
      </c>
      <c r="I1" s="11" t="s">
        <v>2565</v>
      </c>
    </row>
    <row r="2" spans="1:11" ht="13.5" thickTop="1">
      <c r="A2" s="17">
        <v>1</v>
      </c>
      <c r="B2" s="17">
        <v>2012</v>
      </c>
      <c r="C2" s="18">
        <f ca="1">OFFSET(Mercado!$A$1,MATCH(A2,Mercado!$A$2:$A$11,0),MATCH(B2,Mercado!$B$1:$AN$1,0),1,1)</f>
        <v>36632.607682862734</v>
      </c>
      <c r="D2" s="18">
        <f ca="1">OFFSET(CompPerdasIntercambio!$A$1,MATCH(A2,CompPerdasIntercambio!$A$2:$A$11,0),MATCH(B2,CompPerdasIntercambio!$B$1:$AN$1,0),1,1)</f>
        <v>0</v>
      </c>
      <c r="E2" s="18">
        <f ca="1">OFFSET(GerNaoDesp!$A$1,MATCH(A2,GerNaoDesp!$A$2:$A$9,0),MATCH(B2,GerNaoDesp!$B$1:$AN$1,0),1,1)</f>
        <v>0</v>
      </c>
      <c r="F2" s="58">
        <f ca="1">OFFSET(MercadoPonta!$A$1,MATCH(A2,MercadoPonta!$A$2:$A$11,0),MATCH(B2,MercadoPonta!$B$1:$AN$1,0),1,1)</f>
        <v>48238.909479892376</v>
      </c>
      <c r="G2" s="432">
        <f ca="1">OFFSET(GerNaoDesp!$A$18,MATCH(A2,GerNaoDesp!$A$19:$A$25,0),MATCH(B2,GerNaoDesp!$B$18:$AN$18,0),1,1)</f>
        <v>0</v>
      </c>
      <c r="H2" s="24">
        <f ca="1">OFFSET(GerNaoDesp!$A$30,MATCH(A2,GerNaoDesp!$A$31:$A$37,0),MATCH(B2,GerNaoDesp!$B$30:$AN$30,0),1,1)</f>
        <v>0</v>
      </c>
      <c r="I2" s="24">
        <f ca="1">OFFSET(GerNaoDesp!$A$42,MATCH(A2,GerNaoDesp!$A$43:$A$49,0),MATCH(B2,GerNaoDesp!$B$42:$AN$42,0),1,1)</f>
        <v>0</v>
      </c>
      <c r="K2" s="431"/>
    </row>
    <row r="3" spans="1:11">
      <c r="A3" s="17">
        <v>1</v>
      </c>
      <c r="B3" s="17">
        <v>2013</v>
      </c>
      <c r="C3" s="18">
        <f ca="1">OFFSET(Mercado!$A$1,MATCH(A3,Mercado!$A$2:$A$11,0),MATCH(B3,Mercado!$B$1:$AN$1,0),1,1)</f>
        <v>37285.875877570135</v>
      </c>
      <c r="D3" s="18">
        <f ca="1">OFFSET(CompPerdasIntercambio!$A$1,MATCH(A3,CompPerdasIntercambio!$A$2:$A$11,0),MATCH(B3,CompPerdasIntercambio!$B$1:$AN$1,0),1,1)</f>
        <v>0</v>
      </c>
      <c r="E3" s="18">
        <f ca="1">OFFSET(GerNaoDesp!$A$1,MATCH(A3,GerNaoDesp!$A$2:$A$9,0),MATCH(B3,GerNaoDesp!$B$1:$AN$1,0),1,1)</f>
        <v>0</v>
      </c>
      <c r="F3" s="58">
        <f ca="1">OFFSET(MercadoPonta!$A$1,MATCH(A3,MercadoPonta!$A$2:$A$11,0),MATCH(B3,MercadoPonta!$B$1:$AN$1,0),1,1)</f>
        <v>48558.122887775178</v>
      </c>
      <c r="G3" s="432">
        <f ca="1">OFFSET(GerNaoDesp!$A$18,MATCH(A3,GerNaoDesp!$A$19:$A$25,0),MATCH(B3,GerNaoDesp!$B$18:$AN$18,0),1,1)</f>
        <v>0</v>
      </c>
      <c r="H3" s="24">
        <f ca="1">OFFSET(GerNaoDesp!$A$30,MATCH(A3,GerNaoDesp!$A$31:$A$37,0),MATCH(B3,GerNaoDesp!$B$30:$AN$30,0),1,1)</f>
        <v>0</v>
      </c>
      <c r="I3" s="24">
        <f ca="1">OFFSET(GerNaoDesp!$A$42,MATCH(A3,GerNaoDesp!$A$43:$A$49,0),MATCH(B3,GerNaoDesp!$B$42:$AN$42,0),1,1)</f>
        <v>0</v>
      </c>
    </row>
    <row r="4" spans="1:11">
      <c r="A4" s="17">
        <v>1</v>
      </c>
      <c r="B4" s="17">
        <v>2014</v>
      </c>
      <c r="C4" s="18">
        <f ca="1">OFFSET(Mercado!$A$1,MATCH(A4,Mercado!$A$2:$A$11,0),MATCH(B4,Mercado!$B$1:$AN$1,0),1,1)</f>
        <v>36217.813905744384</v>
      </c>
      <c r="D4" s="18">
        <f ca="1">OFFSET(CompPerdasIntercambio!$A$1,MATCH(A4,CompPerdasIntercambio!$A$2:$A$11,0),MATCH(B4,CompPerdasIntercambio!$B$1:$AN$1,0),1,1)</f>
        <v>0</v>
      </c>
      <c r="E4" s="18">
        <f ca="1">OFFSET(GerNaoDesp!$A$1,MATCH(A4,GerNaoDesp!$A$2:$A$9,0),MATCH(B4,GerNaoDesp!$B$1:$AN$1,0),1,1)</f>
        <v>0</v>
      </c>
      <c r="F4" s="58">
        <f ca="1">OFFSET(MercadoPonta!$A$1,MATCH(A4,MercadoPonta!$A$2:$A$11,0),MATCH(B4,MercadoPonta!$B$1:$AN$1,0),1,1)</f>
        <v>51086.193587443093</v>
      </c>
      <c r="G4" s="432">
        <f ca="1">OFFSET(GerNaoDesp!$A$18,MATCH(A4,GerNaoDesp!$A$19:$A$25,0),MATCH(B4,GerNaoDesp!$B$18:$AN$18,0),1,1)</f>
        <v>0</v>
      </c>
      <c r="H4" s="24">
        <f ca="1">OFFSET(GerNaoDesp!$A$30,MATCH(A4,GerNaoDesp!$A$31:$A$37,0),MATCH(B4,GerNaoDesp!$B$30:$AN$30,0),1,1)</f>
        <v>0</v>
      </c>
      <c r="I4" s="24">
        <f ca="1">OFFSET(GerNaoDesp!$A$42,MATCH(A4,GerNaoDesp!$A$43:$A$49,0),MATCH(B4,GerNaoDesp!$B$42:$AN$42,0),1,1)</f>
        <v>0</v>
      </c>
    </row>
    <row r="5" spans="1:11">
      <c r="A5" s="17">
        <v>1</v>
      </c>
      <c r="B5" s="17">
        <v>2015</v>
      </c>
      <c r="C5" s="18">
        <f ca="1">OFFSET(Mercado!$A$1,MATCH(A5,Mercado!$A$2:$A$11,0),MATCH(B5,Mercado!$B$1:$AN$1,0),1,1)</f>
        <v>37570.329722758615</v>
      </c>
      <c r="D5" s="18">
        <f ca="1">OFFSET(CompPerdasIntercambio!$A$1,MATCH(A5,CompPerdasIntercambio!$A$2:$A$11,0),MATCH(B5,CompPerdasIntercambio!$B$1:$AN$1,0),1,1)</f>
        <v>0</v>
      </c>
      <c r="E5" s="18">
        <f ca="1">OFFSET(GerNaoDesp!$A$1,MATCH(A5,GerNaoDesp!$A$2:$A$9,0),MATCH(B5,GerNaoDesp!$B$1:$AN$1,0),1,1)</f>
        <v>0.70983861065819132</v>
      </c>
      <c r="F5" s="58">
        <f ca="1">OFFSET(MercadoPonta!$A$1,MATCH(A5,MercadoPonta!$A$2:$A$11,0),MATCH(B5,MercadoPonta!$B$1:$AN$1,0),1,1)</f>
        <v>51367.917537897403</v>
      </c>
      <c r="G5" s="432">
        <f ca="1">OFFSET(GerNaoDesp!$A$18,MATCH(A5,GerNaoDesp!$A$19:$A$25,0),MATCH(B5,GerNaoDesp!$B$18:$AN$18,0),1,1)</f>
        <v>0.68263551015819135</v>
      </c>
      <c r="H5" s="24">
        <f ca="1">OFFSET(GerNaoDesp!$A$30,MATCH(A5,GerNaoDesp!$A$31:$A$37,0),MATCH(B5,GerNaoDesp!$B$30:$AN$30,0),1,1)</f>
        <v>2.4500000000000001E-2</v>
      </c>
      <c r="I5" s="24">
        <f ca="1">OFFSET(GerNaoDesp!$A$42,MATCH(A5,GerNaoDesp!$A$43:$A$49,0),MATCH(B5,GerNaoDesp!$B$42:$AN$42,0),1,1)</f>
        <v>0</v>
      </c>
    </row>
    <row r="6" spans="1:11">
      <c r="A6" s="17">
        <v>1</v>
      </c>
      <c r="B6" s="17">
        <v>2016</v>
      </c>
      <c r="C6" s="18">
        <f ca="1">OFFSET(Mercado!$A$1,MATCH(A6,Mercado!$A$2:$A$11,0),MATCH(B6,Mercado!$B$1:$AN$1,0),1,1)</f>
        <v>37257.89272578065</v>
      </c>
      <c r="D6" s="18">
        <f ca="1">OFFSET(CompPerdasIntercambio!$A$1,MATCH(A6,CompPerdasIntercambio!$A$2:$A$11,0),MATCH(B6,CompPerdasIntercambio!$B$1:$AN$1,0),1,1)</f>
        <v>0</v>
      </c>
      <c r="E6" s="18">
        <f ca="1">OFFSET(GerNaoDesp!$A$1,MATCH(A6,GerNaoDesp!$A$2:$A$9,0),MATCH(B6,GerNaoDesp!$B$1:$AN$1,0),1,1)</f>
        <v>4.4388450636569177</v>
      </c>
      <c r="F6" s="58">
        <f ca="1">OFFSET(MercadoPonta!$A$1,MATCH(A6,MercadoPonta!$A$2:$A$11,0),MATCH(B6,MercadoPonta!$B$1:$AN$1,0),1,1)</f>
        <v>49973.09127850752</v>
      </c>
      <c r="G6" s="432">
        <f ca="1">OFFSET(GerNaoDesp!$A$18,MATCH(A6,GerNaoDesp!$A$19:$A$25,0),MATCH(B6,GerNaoDesp!$B$18:$AN$18,0),1,1)</f>
        <v>3.5758198259069176</v>
      </c>
      <c r="H6" s="24">
        <f ca="1">OFFSET(GerNaoDesp!$A$30,MATCH(A6,GerNaoDesp!$A$31:$A$37,0),MATCH(B6,GerNaoDesp!$B$30:$AN$30,0),1,1)</f>
        <v>0.44869999999999999</v>
      </c>
      <c r="I6" s="24">
        <f ca="1">OFFSET(GerNaoDesp!$A$42,MATCH(A6,GerNaoDesp!$A$43:$A$49,0),MATCH(B6,GerNaoDesp!$B$42:$AN$42,0),1,1)</f>
        <v>0</v>
      </c>
    </row>
    <row r="7" spans="1:11">
      <c r="A7" s="17">
        <v>1</v>
      </c>
      <c r="B7" s="17">
        <v>2017</v>
      </c>
      <c r="C7" s="18">
        <f ca="1">OFFSET(Mercado!$A$1,MATCH(A7,Mercado!$A$2:$A$11,0),MATCH(B7,Mercado!$B$1:$AN$1,0),1,1)</f>
        <v>37693.741716178396</v>
      </c>
      <c r="D7" s="18">
        <f ca="1">OFFSET(CompPerdasIntercambio!$A$1,MATCH(A7,CompPerdasIntercambio!$A$2:$A$11,0),MATCH(B7,CompPerdasIntercambio!$B$1:$AN$1,0),1,1)</f>
        <v>0</v>
      </c>
      <c r="E7" s="18">
        <f ca="1">OFFSET(GerNaoDesp!$A$1,MATCH(A7,GerNaoDesp!$A$2:$A$9,0),MATCH(B7,GerNaoDesp!$B$1:$AN$1,0),1,1)</f>
        <v>24.431809736596122</v>
      </c>
      <c r="F7" s="58">
        <f ca="1">OFFSET(MercadoPonta!$A$1,MATCH(A7,MercadoPonta!$A$2:$A$11,0),MATCH(B7,MercadoPonta!$B$1:$AN$1,0),1,1)</f>
        <v>52216.407187441349</v>
      </c>
      <c r="G7" s="432">
        <f ca="1">OFFSET(GerNaoDesp!$A$18,MATCH(A7,GerNaoDesp!$A$19:$A$25,0),MATCH(B7,GerNaoDesp!$B$18:$AN$18,0),1,1)</f>
        <v>11.73577110209612</v>
      </c>
      <c r="H7" s="24">
        <f ca="1">OFFSET(GerNaoDesp!$A$30,MATCH(A7,GerNaoDesp!$A$31:$A$37,0),MATCH(B7,GerNaoDesp!$B$30:$AN$30,0),1,1)</f>
        <v>2.1168</v>
      </c>
      <c r="I7" s="24">
        <f ca="1">OFFSET(GerNaoDesp!$A$42,MATCH(A7,GerNaoDesp!$A$43:$A$49,0),MATCH(B7,GerNaoDesp!$B$42:$AN$42,0),1,1)</f>
        <v>8.0500000000000005E-4</v>
      </c>
    </row>
    <row r="8" spans="1:11">
      <c r="A8" s="17">
        <v>1</v>
      </c>
      <c r="B8" s="17">
        <v>2018</v>
      </c>
      <c r="C8" s="18">
        <f ca="1">OFFSET(Mercado!$A$1,MATCH(A8,Mercado!$A$2:$A$11,0),MATCH(B8,Mercado!$B$1:$AN$1,0),1,1)</f>
        <v>38368.085867323694</v>
      </c>
      <c r="D8" s="18">
        <f ca="1">OFFSET(CompPerdasIntercambio!$A$1,MATCH(A8,CompPerdasIntercambio!$A$2:$A$11,0),MATCH(B8,CompPerdasIntercambio!$B$1:$AN$1,0),1,1)</f>
        <v>0</v>
      </c>
      <c r="E8" s="18">
        <f ca="1">OFFSET(GerNaoDesp!$A$1,MATCH(A8,GerNaoDesp!$A$2:$A$9,0),MATCH(B8,GerNaoDesp!$B$1:$AN$1,0),1,1)</f>
        <v>70.953679247562974</v>
      </c>
      <c r="F8" s="58">
        <f ca="1">OFFSET(MercadoPonta!$A$1,MATCH(A8,MercadoPonta!$A$2:$A$11,0),MATCH(B8,MercadoPonta!$B$1:$AN$1,0),1,1)</f>
        <v>53737.302967535492</v>
      </c>
      <c r="G8" s="432">
        <f ca="1">OFFSET(GerNaoDesp!$A$18,MATCH(A8,GerNaoDesp!$A$19:$A$25,0),MATCH(B8,GerNaoDesp!$B$18:$AN$18,0),1,1)</f>
        <v>36.200797295502966</v>
      </c>
      <c r="H8" s="24">
        <f ca="1">OFFSET(GerNaoDesp!$A$30,MATCH(A8,GerNaoDesp!$A$31:$A$37,0),MATCH(B8,GerNaoDesp!$B$30:$AN$30,0),1,1)</f>
        <v>9.9862000000000002</v>
      </c>
      <c r="I8" s="24">
        <f ca="1">OFFSET(GerNaoDesp!$A$42,MATCH(A8,GerNaoDesp!$A$43:$A$49,0),MATCH(B8,GerNaoDesp!$B$42:$AN$42,0),1,1)</f>
        <v>5.9570000000000005E-3</v>
      </c>
    </row>
    <row r="9" spans="1:11">
      <c r="A9" s="17">
        <v>1</v>
      </c>
      <c r="B9" s="17">
        <v>2019</v>
      </c>
      <c r="C9" s="18">
        <f ca="1">OFFSET(Mercado!$A$1,MATCH(A9,Mercado!$A$2:$A$11,0),MATCH(B9,Mercado!$B$1:$AN$1,0),1,1)</f>
        <v>41505.238760912776</v>
      </c>
      <c r="D9" s="18">
        <f ca="1">OFFSET(CompPerdasIntercambio!$A$1,MATCH(A9,CompPerdasIntercambio!$A$2:$A$11,0),MATCH(B9,CompPerdasIntercambio!$B$1:$AN$1,0),1,1)</f>
        <v>0</v>
      </c>
      <c r="E9" s="18">
        <f ca="1">OFFSET(GerNaoDesp!$A$1,MATCH(A9,GerNaoDesp!$A$2:$A$9,0),MATCH(B9,GerNaoDesp!$B$1:$AN$1,0),1,1)</f>
        <v>138.15150094079453</v>
      </c>
      <c r="F9" s="58">
        <f ca="1">OFFSET(MercadoPonta!$A$1,MATCH(A9,MercadoPonta!$A$2:$A$11,0),MATCH(B9,MercadoPonta!$B$1:$AN$1,0),1,1)</f>
        <v>55917.775129259004</v>
      </c>
      <c r="G9" s="432">
        <f ca="1">OFFSET(GerNaoDesp!$A$18,MATCH(A9,GerNaoDesp!$A$19:$A$25,0),MATCH(B9,GerNaoDesp!$B$18:$AN$18,0),1,1)</f>
        <v>82.437661179908716</v>
      </c>
      <c r="H9" s="24">
        <f ca="1">OFFSET(GerNaoDesp!$A$30,MATCH(A9,GerNaoDesp!$A$31:$A$37,0),MATCH(B9,GerNaoDesp!$B$30:$AN$30,0),1,1)</f>
        <v>25.551400000000001</v>
      </c>
      <c r="I9" s="24">
        <f ca="1">OFFSET(GerNaoDesp!$A$42,MATCH(A9,GerNaoDesp!$A$43:$A$49,0),MATCH(B9,GerNaoDesp!$B$42:$AN$42,0),1,1)</f>
        <v>1.4651000000000001E-2</v>
      </c>
    </row>
    <row r="10" spans="1:11">
      <c r="A10" s="17">
        <v>1</v>
      </c>
      <c r="B10" s="17">
        <v>2020</v>
      </c>
      <c r="C10" s="18">
        <f ca="1">OFFSET(Mercado!$A$1,MATCH(A10,Mercado!$A$2:$A$11,0),MATCH(B10,Mercado!$B$1:$AN$1,0),1,1)</f>
        <v>43491.022178047802</v>
      </c>
      <c r="D10" s="18">
        <f ca="1">OFFSET(CompPerdasIntercambio!$A$1,MATCH(A10,CompPerdasIntercambio!$A$2:$A$11,0),MATCH(B10,CompPerdasIntercambio!$B$1:$AN$1,0),1,1)</f>
        <v>0</v>
      </c>
      <c r="E10" s="18">
        <f ca="1">OFFSET(GerNaoDesp!$A$1,MATCH(A10,GerNaoDesp!$A$2:$A$9,0),MATCH(B10,GerNaoDesp!$B$1:$AN$1,0),1,1)</f>
        <v>225.73867317468006</v>
      </c>
      <c r="F10" s="58">
        <f ca="1">OFFSET(MercadoPonta!$A$1,MATCH(A10,MercadoPonta!$A$2:$A$11,0),MATCH(B10,MercadoPonta!$B$1:$AN$1,0),1,1)</f>
        <v>58561.548905791817</v>
      </c>
      <c r="G10" s="432">
        <f ca="1">OFFSET(GerNaoDesp!$A$18,MATCH(A10,GerNaoDesp!$A$19:$A$25,0),MATCH(B10,GerNaoDesp!$B$18:$AN$18,0),1,1)</f>
        <v>144.87766547619623</v>
      </c>
      <c r="H10" s="24">
        <f ca="1">OFFSET(GerNaoDesp!$A$30,MATCH(A10,GerNaoDesp!$A$31:$A$37,0),MATCH(B10,GerNaoDesp!$B$30:$AN$30,0),1,1)</f>
        <v>44.548700000000004</v>
      </c>
      <c r="I10" s="24">
        <f ca="1">OFFSET(GerNaoDesp!$A$42,MATCH(A10,GerNaoDesp!$A$43:$A$49,0),MATCH(B10,GerNaoDesp!$B$42:$AN$42,0),1,1)</f>
        <v>2.6404000000000004E-2</v>
      </c>
    </row>
    <row r="11" spans="1:11">
      <c r="A11" s="17">
        <v>1</v>
      </c>
      <c r="B11" s="17">
        <v>2021</v>
      </c>
      <c r="C11" s="18">
        <f ca="1">OFFSET(Mercado!$A$1,MATCH(A11,Mercado!$A$2:$A$11,0),MATCH(B11,Mercado!$B$1:$AN$1,0),1,1)</f>
        <v>45414.357045603974</v>
      </c>
      <c r="D11" s="18">
        <f ca="1">OFFSET(CompPerdasIntercambio!$A$1,MATCH(A11,CompPerdasIntercambio!$A$2:$A$11,0),MATCH(B11,CompPerdasIntercambio!$B$1:$AN$1,0),1,1)</f>
        <v>0</v>
      </c>
      <c r="E11" s="18">
        <f ca="1">OFFSET(GerNaoDesp!$A$1,MATCH(A11,GerNaoDesp!$A$2:$A$9,0),MATCH(B11,GerNaoDesp!$B$1:$AN$1,0),1,1)</f>
        <v>296.547914215677</v>
      </c>
      <c r="F11" s="58">
        <f ca="1">OFFSET(MercadoPonta!$A$1,MATCH(A11,MercadoPonta!$A$2:$A$11,0),MATCH(B11,MercadoPonta!$B$1:$AN$1,0),1,1)</f>
        <v>61125.11999436788</v>
      </c>
      <c r="G11" s="432">
        <f ca="1">OFFSET(GerNaoDesp!$A$18,MATCH(A11,GerNaoDesp!$A$19:$A$25,0),MATCH(B11,GerNaoDesp!$B$18:$AN$18,0),1,1)</f>
        <v>191.82266999191972</v>
      </c>
      <c r="H11" s="24">
        <f ca="1">OFFSET(GerNaoDesp!$A$30,MATCH(A11,GerNaoDesp!$A$31:$A$37,0),MATCH(B11,GerNaoDesp!$B$30:$AN$30,0),1,1)</f>
        <v>59.558800000000005</v>
      </c>
      <c r="I11" s="24">
        <f ca="1">OFFSET(GerNaoDesp!$A$42,MATCH(A11,GerNaoDesp!$A$43:$A$49,0),MATCH(B11,GerNaoDesp!$B$42:$AN$42,0),1,1)</f>
        <v>3.4293000000000011E-2</v>
      </c>
    </row>
    <row r="12" spans="1:11">
      <c r="A12" s="17">
        <v>1</v>
      </c>
      <c r="B12" s="17">
        <v>2022</v>
      </c>
      <c r="C12" s="18">
        <f ca="1">OFFSET(Mercado!$A$1,MATCH(A12,Mercado!$A$2:$A$11,0),MATCH(B12,Mercado!$B$1:$AN$1,0),1,1)</f>
        <v>47223.242404641249</v>
      </c>
      <c r="D12" s="18">
        <f ca="1">OFFSET(CompPerdasIntercambio!$A$1,MATCH(A12,CompPerdasIntercambio!$A$2:$A$11,0),MATCH(B12,CompPerdasIntercambio!$B$1:$AN$1,0),1,1)</f>
        <v>0</v>
      </c>
      <c r="E12" s="18">
        <f ca="1">OFFSET(GerNaoDesp!$A$1,MATCH(A12,GerNaoDesp!$A$2:$A$9,0),MATCH(B12,GerNaoDesp!$B$1:$AN$1,0),1,1)</f>
        <v>346.17028585053765</v>
      </c>
      <c r="F12" s="58">
        <f ca="1">OFFSET(MercadoPonta!$A$1,MATCH(A12,MercadoPonta!$A$2:$A$11,0),MATCH(B12,MercadoPonta!$B$1:$AN$1,0),1,1)</f>
        <v>63541.684816001289</v>
      </c>
      <c r="G12" s="432">
        <f ca="1">OFFSET(GerNaoDesp!$A$18,MATCH(A12,GerNaoDesp!$A$19:$A$25,0),MATCH(B12,GerNaoDesp!$B$18:$AN$18,0),1,1)</f>
        <v>217.41121188308585</v>
      </c>
      <c r="H12" s="24">
        <f ca="1">OFFSET(GerNaoDesp!$A$30,MATCH(A12,GerNaoDesp!$A$31:$A$37,0),MATCH(B12,GerNaoDesp!$B$30:$AN$30,0),1,1)</f>
        <v>73.845099999999988</v>
      </c>
      <c r="I12" s="24">
        <f ca="1">OFFSET(GerNaoDesp!$A$42,MATCH(A12,GerNaoDesp!$A$43:$A$49,0),MATCH(B12,GerNaoDesp!$B$42:$AN$42,0),1,1)</f>
        <v>3.9284000000000006E-2</v>
      </c>
    </row>
    <row r="13" spans="1:11">
      <c r="A13" s="17">
        <v>1</v>
      </c>
      <c r="B13" s="17">
        <v>2023</v>
      </c>
      <c r="C13" s="18">
        <f ca="1">OFFSET(Mercado!$A$1,MATCH(A13,Mercado!$A$2:$A$11,0),MATCH(B13,Mercado!$B$1:$AN$1,0),1,1)</f>
        <v>49198.795180520014</v>
      </c>
      <c r="D13" s="18">
        <f ca="1">OFFSET(CompPerdasIntercambio!$A$1,MATCH(A13,CompPerdasIntercambio!$A$2:$A$11,0),MATCH(B13,CompPerdasIntercambio!$B$1:$AN$1,0),1,1)</f>
        <v>0</v>
      </c>
      <c r="E13" s="18">
        <f ca="1">OFFSET(GerNaoDesp!$A$1,MATCH(A13,GerNaoDesp!$A$2:$A$9,0),MATCH(B13,GerNaoDesp!$B$1:$AN$1,0),1,1)</f>
        <v>433.01779386993707</v>
      </c>
      <c r="F13" s="58">
        <f ca="1">OFFSET(MercadoPonta!$A$1,MATCH(A13,MercadoPonta!$A$2:$A$11,0),MATCH(B13,MercadoPonta!$B$1:$AN$1,0),1,1)</f>
        <v>66175.497356918597</v>
      </c>
      <c r="G13" s="432">
        <f ca="1">OFFSET(GerNaoDesp!$A$18,MATCH(A13,GerNaoDesp!$A$19:$A$25,0),MATCH(B13,GerNaoDesp!$B$18:$AN$18,0),1,1)</f>
        <v>271.81042282116135</v>
      </c>
      <c r="H13" s="24">
        <f ca="1">OFFSET(GerNaoDesp!$A$30,MATCH(A13,GerNaoDesp!$A$31:$A$37,0),MATCH(B13,GerNaoDesp!$B$30:$AN$30,0),1,1)</f>
        <v>94.806599999999989</v>
      </c>
      <c r="I13" s="24">
        <f ca="1">OFFSET(GerNaoDesp!$A$42,MATCH(A13,GerNaoDesp!$A$43:$A$49,0),MATCH(B13,GerNaoDesp!$B$42:$AN$42,0),1,1)</f>
        <v>5.0876000000000005E-2</v>
      </c>
    </row>
    <row r="14" spans="1:11">
      <c r="A14" s="17">
        <v>1</v>
      </c>
      <c r="B14" s="17">
        <v>2024</v>
      </c>
      <c r="C14" s="18">
        <f ca="1">OFFSET(Mercado!$A$1,MATCH(A14,Mercado!$A$2:$A$11,0),MATCH(B14,Mercado!$B$1:$AN$1,0),1,1)</f>
        <v>51136.530335030642</v>
      </c>
      <c r="D14" s="18">
        <f ca="1">OFFSET(CompPerdasIntercambio!$A$1,MATCH(A14,CompPerdasIntercambio!$A$2:$A$11,0),MATCH(B14,CompPerdasIntercambio!$B$1:$AN$1,0),1,1)</f>
        <v>0</v>
      </c>
      <c r="E14" s="18">
        <f ca="1">OFFSET(GerNaoDesp!$A$1,MATCH(A14,GerNaoDesp!$A$2:$A$9,0),MATCH(B14,GerNaoDesp!$B$1:$AN$1,0),1,1)</f>
        <v>562.7132136644052</v>
      </c>
      <c r="F14" s="58">
        <f ca="1">OFFSET(MercadoPonta!$A$1,MATCH(A14,MercadoPonta!$A$2:$A$11,0),MATCH(B14,MercadoPonta!$B$1:$AN$1,0),1,1)</f>
        <v>68751.764217663484</v>
      </c>
      <c r="G14" s="432">
        <f ca="1">OFFSET(GerNaoDesp!$A$18,MATCH(A14,GerNaoDesp!$A$19:$A$25,0),MATCH(B14,GerNaoDesp!$B$18:$AN$18,0),1,1)</f>
        <v>361.85842146251957</v>
      </c>
      <c r="H14" s="24">
        <f ca="1">OFFSET(GerNaoDesp!$A$30,MATCH(A14,GerNaoDesp!$A$31:$A$37,0),MATCH(B14,GerNaoDesp!$B$30:$AN$30,0),1,1)</f>
        <v>119.23239999999998</v>
      </c>
      <c r="I14" s="24">
        <f ca="1">OFFSET(GerNaoDesp!$A$42,MATCH(A14,GerNaoDesp!$A$43:$A$49,0),MATCH(B14,GerNaoDesp!$B$42:$AN$42,0),1,1)</f>
        <v>6.5527000000000016E-2</v>
      </c>
    </row>
    <row r="15" spans="1:11">
      <c r="A15" s="17">
        <v>1</v>
      </c>
      <c r="B15" s="17">
        <v>2025</v>
      </c>
      <c r="C15" s="18">
        <f ca="1">OFFSET(Mercado!$A$1,MATCH(A15,Mercado!$A$2:$A$11,0),MATCH(B15,Mercado!$B$1:$AN$1,0),1,1)</f>
        <v>53181.444195292373</v>
      </c>
      <c r="D15" s="18">
        <f ca="1">OFFSET(CompPerdasIntercambio!$A$1,MATCH(A15,CompPerdasIntercambio!$A$2:$A$11,0),MATCH(B15,CompPerdasIntercambio!$B$1:$AN$1,0),1,1)</f>
        <v>0</v>
      </c>
      <c r="E15" s="18">
        <f ca="1">OFFSET(GerNaoDesp!$A$1,MATCH(A15,GerNaoDesp!$A$2:$A$9,0),MATCH(B15,GerNaoDesp!$B$1:$AN$1,0),1,1)</f>
        <v>714.05546329887261</v>
      </c>
      <c r="F15" s="58">
        <f ca="1">OFFSET(MercadoPonta!$A$1,MATCH(A15,MercadoPonta!$A$2:$A$11,0),MATCH(B15,MercadoPonta!$B$1:$AN$1,0),1,1)</f>
        <v>71467.995757484925</v>
      </c>
      <c r="G15" s="432">
        <f ca="1">OFFSET(GerNaoDesp!$A$18,MATCH(A15,GerNaoDesp!$A$19:$A$25,0),MATCH(B15,GerNaoDesp!$B$18:$AN$18,0),1,1)</f>
        <v>466.37941419307515</v>
      </c>
      <c r="H15" s="24">
        <f ca="1">OFFSET(GerNaoDesp!$A$30,MATCH(A15,GerNaoDesp!$A$31:$A$37,0),MATCH(B15,GerNaoDesp!$B$30:$AN$30,0),1,1)</f>
        <v>145.50829999999999</v>
      </c>
      <c r="I15" s="24">
        <f ca="1">OFFSET(GerNaoDesp!$A$42,MATCH(A15,GerNaoDesp!$A$43:$A$49,0),MATCH(B15,GerNaoDesp!$B$42:$AN$42,0),1,1)</f>
        <v>8.2915000000000003E-2</v>
      </c>
    </row>
    <row r="16" spans="1:11">
      <c r="A16" s="17">
        <v>1</v>
      </c>
      <c r="B16" s="17">
        <v>2026</v>
      </c>
      <c r="C16" s="18">
        <f ca="1">OFFSET(Mercado!$A$1,MATCH(A16,Mercado!$A$2:$A$11,0),MATCH(B16,Mercado!$B$1:$AN$1,0),1,1)</f>
        <v>54820.009763885493</v>
      </c>
      <c r="D16" s="18">
        <f ca="1">OFFSET(CompPerdasIntercambio!$A$1,MATCH(A16,CompPerdasIntercambio!$A$2:$A$11,0),MATCH(B16,CompPerdasIntercambio!$B$1:$AN$1,0),1,1)</f>
        <v>0</v>
      </c>
      <c r="E16" s="18">
        <f ca="1">OFFSET(GerNaoDesp!$A$1,MATCH(A16,GerNaoDesp!$A$2:$A$9,0),MATCH(B16,GerNaoDesp!$B$1:$AN$1,0),1,1)</f>
        <v>880.32877823056401</v>
      </c>
      <c r="F16" s="58">
        <f ca="1">OFFSET(MercadoPonta!$A$1,MATCH(A16,MercadoPonta!$A$2:$A$11,0),MATCH(B16,MercadoPonta!$B$1:$AN$1,0),1,1)</f>
        <v>73629.447386332453</v>
      </c>
      <c r="G16" s="432">
        <f ca="1">OFFSET(GerNaoDesp!$A$18,MATCH(A16,GerNaoDesp!$A$19:$A$25,0),MATCH(B16,GerNaoDesp!$B$18:$AN$18,0),1,1)</f>
        <v>580.06184474638303</v>
      </c>
      <c r="H16" s="24">
        <f ca="1">OFFSET(GerNaoDesp!$A$30,MATCH(A16,GerNaoDesp!$A$31:$A$37,0),MATCH(B16,GerNaoDesp!$B$30:$AN$30,0),1,1)</f>
        <v>173.24719999999996</v>
      </c>
      <c r="I16" s="24">
        <f ca="1">OFFSET(GerNaoDesp!$A$42,MATCH(A16,GerNaoDesp!$A$43:$A$49,0),MATCH(B16,GerNaoDesp!$B$42:$AN$42,0),1,1)</f>
        <v>0.100786</v>
      </c>
    </row>
    <row r="17" spans="1:9">
      <c r="A17" s="17">
        <v>1</v>
      </c>
      <c r="B17" s="17">
        <v>2027</v>
      </c>
      <c r="C17" s="18">
        <f ca="1">OFFSET(Mercado!$A$1,MATCH(A17,Mercado!$A$2:$A$11,0),MATCH(B17,Mercado!$B$1:$AN$1,0),1,1)</f>
        <v>56506.148247180761</v>
      </c>
      <c r="D17" s="18">
        <f ca="1">OFFSET(CompPerdasIntercambio!$A$1,MATCH(A17,CompPerdasIntercambio!$A$2:$A$11,0),MATCH(B17,CompPerdasIntercambio!$B$1:$AN$1,0),1,1)</f>
        <v>0</v>
      </c>
      <c r="E17" s="18">
        <f ca="1">OFFSET(GerNaoDesp!$A$1,MATCH(A17,GerNaoDesp!$A$2:$A$9,0),MATCH(B17,GerNaoDesp!$B$1:$AN$1,0),1,1)</f>
        <v>1059.2932661405478</v>
      </c>
      <c r="F17" s="58">
        <f ca="1">OFFSET(MercadoPonta!$A$1,MATCH(A17,MercadoPonta!$A$2:$A$11,0),MATCH(B17,MercadoPonta!$B$1:$AN$1,0),1,1)</f>
        <v>75849.324732289388</v>
      </c>
      <c r="G17" s="432">
        <f ca="1">OFFSET(GerNaoDesp!$A$18,MATCH(A17,GerNaoDesp!$A$19:$A$25,0),MATCH(B17,GerNaoDesp!$B$18:$AN$18,0),1,1)</f>
        <v>698.64004033769982</v>
      </c>
      <c r="H17" s="24">
        <f ca="1">OFFSET(GerNaoDesp!$A$30,MATCH(A17,GerNaoDesp!$A$31:$A$37,0),MATCH(B17,GerNaoDesp!$B$30:$AN$30,0),1,1)</f>
        <v>203.62999999999997</v>
      </c>
      <c r="I17" s="24">
        <f ca="1">OFFSET(GerNaoDesp!$A$42,MATCH(A17,GerNaoDesp!$A$43:$A$49,0),MATCH(B17,GerNaoDesp!$B$42:$AN$42,0),1,1)</f>
        <v>0.11946200000000001</v>
      </c>
    </row>
    <row r="18" spans="1:9">
      <c r="A18" s="17">
        <v>1</v>
      </c>
      <c r="B18" s="17">
        <v>2028</v>
      </c>
      <c r="C18" s="18">
        <f ca="1">OFFSET(Mercado!$A$1,MATCH(A18,Mercado!$A$2:$A$11,0),MATCH(B18,Mercado!$B$1:$AN$1,0),1,1)</f>
        <v>58196.527079791442</v>
      </c>
      <c r="D18" s="18">
        <f ca="1">OFFSET(CompPerdasIntercambio!$A$1,MATCH(A18,CompPerdasIntercambio!$A$2:$A$11,0),MATCH(B18,CompPerdasIntercambio!$B$1:$AN$1,0),1,1)</f>
        <v>0</v>
      </c>
      <c r="E18" s="18">
        <f ca="1">OFFSET(GerNaoDesp!$A$1,MATCH(A18,GerNaoDesp!$A$2:$A$9,0),MATCH(B18,GerNaoDesp!$B$1:$AN$1,0),1,1)</f>
        <v>1241.4809004905339</v>
      </c>
      <c r="F18" s="58">
        <f ca="1">OFFSET(MercadoPonta!$A$1,MATCH(A18,MercadoPonta!$A$2:$A$11,0),MATCH(B18,MercadoPonta!$B$1:$AN$1,0),1,1)</f>
        <v>78072.311588689947</v>
      </c>
      <c r="G18" s="432">
        <f ca="1">OFFSET(GerNaoDesp!$A$18,MATCH(A18,GerNaoDesp!$A$19:$A$25,0),MATCH(B18,GerNaoDesp!$B$18:$AN$18,0),1,1)</f>
        <v>817.66216955371613</v>
      </c>
      <c r="H18" s="24">
        <f ca="1">OFFSET(GerNaoDesp!$A$30,MATCH(A18,GerNaoDesp!$A$31:$A$37,0),MATCH(B18,GerNaoDesp!$B$30:$AN$30,0),1,1)</f>
        <v>235.73409999999993</v>
      </c>
      <c r="I18" s="24">
        <f ca="1">OFFSET(GerNaoDesp!$A$42,MATCH(A18,GerNaoDesp!$A$43:$A$49,0),MATCH(B18,GerNaoDesp!$B$42:$AN$42,0),1,1)</f>
        <v>0.137655</v>
      </c>
    </row>
    <row r="19" spans="1:9">
      <c r="A19" s="17">
        <v>1</v>
      </c>
      <c r="B19" s="17">
        <v>2029</v>
      </c>
      <c r="C19" s="18">
        <f ca="1">OFFSET(Mercado!$A$1,MATCH(A19,Mercado!$A$2:$A$11,0),MATCH(B19,Mercado!$B$1:$AN$1,0),1,1)</f>
        <v>59936.293883143502</v>
      </c>
      <c r="D19" s="18">
        <f ca="1">OFFSET(CompPerdasIntercambio!$A$1,MATCH(A19,CompPerdasIntercambio!$A$2:$A$11,0),MATCH(B19,CompPerdasIntercambio!$B$1:$AN$1,0),1,1)</f>
        <v>0</v>
      </c>
      <c r="E19" s="18">
        <f ca="1">OFFSET(GerNaoDesp!$A$1,MATCH(A19,GerNaoDesp!$A$2:$A$9,0),MATCH(B19,GerNaoDesp!$B$1:$AN$1,0),1,1)</f>
        <v>1425.7169772148327</v>
      </c>
      <c r="F19" s="58">
        <f ca="1">OFFSET(MercadoPonta!$A$1,MATCH(A19,MercadoPonta!$A$2:$A$11,0),MATCH(B19,MercadoPonta!$B$1:$AN$1,0),1,1)</f>
        <v>80360.172318840298</v>
      </c>
      <c r="G19" s="432">
        <f ca="1">OFFSET(GerNaoDesp!$A$18,MATCH(A19,GerNaoDesp!$A$19:$A$25,0),MATCH(B19,GerNaoDesp!$B$18:$AN$18,0),1,1)</f>
        <v>935.48493792352463</v>
      </c>
      <c r="H19" s="24">
        <f ca="1">OFFSET(GerNaoDesp!$A$30,MATCH(A19,GerNaoDesp!$A$31:$A$37,0),MATCH(B19,GerNaoDesp!$B$30:$AN$30,0),1,1)</f>
        <v>268.31419999999997</v>
      </c>
      <c r="I19" s="24">
        <f ca="1">OFFSET(GerNaoDesp!$A$42,MATCH(A19,GerNaoDesp!$A$43:$A$49,0),MATCH(B19,GerNaoDesp!$B$42:$AN$42,0),1,1)</f>
        <v>0.15584799999999999</v>
      </c>
    </row>
    <row r="20" spans="1:9">
      <c r="A20" s="17">
        <v>1</v>
      </c>
      <c r="B20" s="17">
        <v>2030</v>
      </c>
      <c r="C20" s="18">
        <f ca="1">OFFSET(Mercado!$A$1,MATCH(A20,Mercado!$A$2:$A$11,0),MATCH(B20,Mercado!$B$1:$AN$1,0),1,1)</f>
        <v>61758.26651402736</v>
      </c>
      <c r="D20" s="18">
        <f ca="1">OFFSET(CompPerdasIntercambio!$A$1,MATCH(A20,CompPerdasIntercambio!$A$2:$A$11,0),MATCH(B20,CompPerdasIntercambio!$B$1:$AN$1,0),1,1)</f>
        <v>0</v>
      </c>
      <c r="E20" s="18">
        <f ca="1">OFFSET(GerNaoDesp!$A$1,MATCH(A20,GerNaoDesp!$A$2:$A$9,0),MATCH(B20,GerNaoDesp!$B$1:$AN$1,0),1,1)</f>
        <v>1618.4974558003214</v>
      </c>
      <c r="F20" s="58">
        <f ca="1">OFFSET(MercadoPonta!$A$1,MATCH(A20,MercadoPonta!$A$2:$A$11,0),MATCH(B20,MercadoPonta!$B$1:$AN$1,0),1,1)</f>
        <v>82754.347334515085</v>
      </c>
      <c r="G20" s="432">
        <f ca="1">OFFSET(GerNaoDesp!$A$18,MATCH(A20,GerNaoDesp!$A$19:$A$25,0),MATCH(B20,GerNaoDesp!$B$18:$AN$18,0),1,1)</f>
        <v>1054.7943755813947</v>
      </c>
      <c r="H20" s="24">
        <f ca="1">OFFSET(GerNaoDesp!$A$30,MATCH(A20,GerNaoDesp!$A$31:$A$37,0),MATCH(B20,GerNaoDesp!$B$30:$AN$30,0),1,1)</f>
        <v>302.7346</v>
      </c>
      <c r="I20" s="24">
        <f ca="1">OFFSET(GerNaoDesp!$A$42,MATCH(A20,GerNaoDesp!$A$43:$A$49,0),MATCH(B20,GerNaoDesp!$B$42:$AN$42,0),1,1)</f>
        <v>0.17710000000000004</v>
      </c>
    </row>
    <row r="21" spans="1:9">
      <c r="A21" s="17">
        <v>1</v>
      </c>
      <c r="B21" s="17">
        <v>2031</v>
      </c>
      <c r="C21" s="18">
        <f ca="1">OFFSET(Mercado!$A$1,MATCH(A21,Mercado!$A$2:$A$11,0),MATCH(B21,Mercado!$B$1:$AN$1,0),1,1)</f>
        <v>63702.589885373833</v>
      </c>
      <c r="D21" s="18">
        <f ca="1">OFFSET(CompPerdasIntercambio!$A$1,MATCH(A21,CompPerdasIntercambio!$A$2:$A$11,0),MATCH(B21,CompPerdasIntercambio!$B$1:$AN$1,0),1,1)</f>
        <v>0</v>
      </c>
      <c r="E21" s="18">
        <f ca="1">OFFSET(GerNaoDesp!$A$1,MATCH(A21,GerNaoDesp!$A$2:$A$9,0),MATCH(B21,GerNaoDesp!$B$1:$AN$1,0),1,1)</f>
        <v>1791.8202489519444</v>
      </c>
      <c r="F21" s="58">
        <f ca="1">OFFSET(MercadoPonta!$A$1,MATCH(A21,MercadoPonta!$A$2:$A$11,0),MATCH(B21,MercadoPonta!$B$1:$AN$1,0),1,1)</f>
        <v>85319.040848313598</v>
      </c>
      <c r="G21" s="432">
        <f ca="1">OFFSET(GerNaoDesp!$A$18,MATCH(A21,GerNaoDesp!$A$19:$A$25,0),MATCH(B21,GerNaoDesp!$B$18:$AN$18,0),1,1)</f>
        <v>1159.7781784220449</v>
      </c>
      <c r="H21" s="24">
        <f ca="1">OFFSET(GerNaoDesp!$A$30,MATCH(A21,GerNaoDesp!$A$31:$A$37,0),MATCH(B21,GerNaoDesp!$B$30:$AN$30,0),1,1)</f>
        <v>333.78659999999996</v>
      </c>
      <c r="I21" s="24">
        <f ca="1">OFFSET(GerNaoDesp!$A$42,MATCH(A21,GerNaoDesp!$A$43:$A$49,0),MATCH(B21,GerNaoDesp!$B$42:$AN$42,0),1,1)</f>
        <v>0.19481000000000001</v>
      </c>
    </row>
    <row r="22" spans="1:9">
      <c r="A22" s="17">
        <v>1</v>
      </c>
      <c r="B22" s="17">
        <v>2032</v>
      </c>
      <c r="C22" s="18">
        <f ca="1">OFFSET(Mercado!$A$1,MATCH(A22,Mercado!$A$2:$A$11,0),MATCH(B22,Mercado!$B$1:$AN$1,0),1,1)</f>
        <v>65604.808656298497</v>
      </c>
      <c r="D22" s="18">
        <f ca="1">OFFSET(CompPerdasIntercambio!$A$1,MATCH(A22,CompPerdasIntercambio!$A$2:$A$11,0),MATCH(B22,CompPerdasIntercambio!$B$1:$AN$1,0),1,1)</f>
        <v>0</v>
      </c>
      <c r="E22" s="18">
        <f ca="1">OFFSET(GerNaoDesp!$A$1,MATCH(A22,GerNaoDesp!$A$2:$A$9,0),MATCH(B22,GerNaoDesp!$B$1:$AN$1,0),1,1)</f>
        <v>1943.0730434696768</v>
      </c>
      <c r="F22" s="58">
        <f ca="1">OFFSET(MercadoPonta!$A$1,MATCH(A22,MercadoPonta!$A$2:$A$11,0),MATCH(B22,MercadoPonta!$B$1:$AN$1,0),1,1)</f>
        <v>87832.763142267257</v>
      </c>
      <c r="G22" s="432">
        <f ca="1">OFFSET(GerNaoDesp!$A$18,MATCH(A22,GerNaoDesp!$A$19:$A$25,0),MATCH(B22,GerNaoDesp!$B$18:$AN$18,0),1,1)</f>
        <v>1249.3964648176991</v>
      </c>
      <c r="H22" s="24">
        <f ca="1">OFFSET(GerNaoDesp!$A$30,MATCH(A22,GerNaoDesp!$A$31:$A$37,0),MATCH(B22,GerNaoDesp!$B$30:$AN$30,0),1,1)</f>
        <v>360.82900000000001</v>
      </c>
      <c r="I22" s="24">
        <f ca="1">OFFSET(GerNaoDesp!$A$42,MATCH(A22,GerNaoDesp!$A$43:$A$49,0),MATCH(B22,GerNaoDesp!$B$42:$AN$42,0),1,1)</f>
        <v>0.21026600000000004</v>
      </c>
    </row>
    <row r="23" spans="1:9">
      <c r="A23" s="17">
        <v>1</v>
      </c>
      <c r="B23" s="17">
        <v>2033</v>
      </c>
      <c r="C23" s="18">
        <f ca="1">OFFSET(Mercado!$A$1,MATCH(A23,Mercado!$A$2:$A$11,0),MATCH(B23,Mercado!$B$1:$AN$1,0),1,1)</f>
        <v>67441.235586179158</v>
      </c>
      <c r="D23" s="18">
        <f ca="1">OFFSET(CompPerdasIntercambio!$A$1,MATCH(A23,CompPerdasIntercambio!$A$2:$A$11,0),MATCH(B23,CompPerdasIntercambio!$B$1:$AN$1,0),1,1)</f>
        <v>0</v>
      </c>
      <c r="E23" s="18">
        <f ca="1">OFFSET(GerNaoDesp!$A$1,MATCH(A23,GerNaoDesp!$A$2:$A$9,0),MATCH(B23,GerNaoDesp!$B$1:$AN$1,0),1,1)</f>
        <v>2095.139858280002</v>
      </c>
      <c r="F23" s="58">
        <f ca="1">OFFSET(MercadoPonta!$A$1,MATCH(A23,MercadoPonta!$A$2:$A$11,0),MATCH(B23,MercadoPonta!$B$1:$AN$1,0),1,1)</f>
        <v>90256.973728760291</v>
      </c>
      <c r="G23" s="432">
        <f ca="1">OFFSET(GerNaoDesp!$A$18,MATCH(A23,GerNaoDesp!$A$19:$A$25,0),MATCH(B23,GerNaoDesp!$B$18:$AN$18,0),1,1)</f>
        <v>1340.4488534243674</v>
      </c>
      <c r="H23" s="24">
        <f ca="1">OFFSET(GerNaoDesp!$A$30,MATCH(A23,GerNaoDesp!$A$31:$A$37,0),MATCH(B23,GerNaoDesp!$B$30:$AN$30,0),1,1)</f>
        <v>388.92769999999996</v>
      </c>
      <c r="I23" s="24">
        <f ca="1">OFFSET(GerNaoDesp!$A$42,MATCH(A23,GerNaoDesp!$A$43:$A$49,0),MATCH(B23,GerNaoDesp!$B$42:$AN$42,0),1,1)</f>
        <v>0.22652700000000003</v>
      </c>
    </row>
    <row r="24" spans="1:9">
      <c r="A24" s="17">
        <v>1</v>
      </c>
      <c r="B24" s="17">
        <v>2034</v>
      </c>
      <c r="C24" s="18">
        <f ca="1">OFFSET(Mercado!$A$1,MATCH(A24,Mercado!$A$2:$A$11,0),MATCH(B24,Mercado!$B$1:$AN$1,0),1,1)</f>
        <v>69341.440837321948</v>
      </c>
      <c r="D24" s="18">
        <f ca="1">OFFSET(CompPerdasIntercambio!$A$1,MATCH(A24,CompPerdasIntercambio!$A$2:$A$11,0),MATCH(B24,CompPerdasIntercambio!$B$1:$AN$1,0),1,1)</f>
        <v>0</v>
      </c>
      <c r="E24" s="18">
        <f ca="1">OFFSET(GerNaoDesp!$A$1,MATCH(A24,GerNaoDesp!$A$2:$A$9,0),MATCH(B24,GerNaoDesp!$B$1:$AN$1,0),1,1)</f>
        <v>2247.9842456453043</v>
      </c>
      <c r="F24" s="58">
        <f ca="1">OFFSET(MercadoPonta!$A$1,MATCH(A24,MercadoPonta!$A$2:$A$11,0),MATCH(B24,MercadoPonta!$B$1:$AN$1,0),1,1)</f>
        <v>92767.972771865432</v>
      </c>
      <c r="G24" s="432">
        <f ca="1">OFFSET(GerNaoDesp!$A$18,MATCH(A24,GerNaoDesp!$A$19:$A$25,0),MATCH(B24,GerNaoDesp!$B$18:$AN$18,0),1,1)</f>
        <v>1434.5096965065331</v>
      </c>
      <c r="H24" s="24">
        <f ca="1">OFFSET(GerNaoDesp!$A$30,MATCH(A24,GerNaoDesp!$A$31:$A$37,0),MATCH(B24,GerNaoDesp!$B$30:$AN$30,0),1,1)</f>
        <v>418.34870000000001</v>
      </c>
      <c r="I24" s="24">
        <f ca="1">OFFSET(GerNaoDesp!$A$42,MATCH(A24,GerNaoDesp!$A$43:$A$49,0),MATCH(B24,GerNaoDesp!$B$42:$AN$42,0),1,1)</f>
        <v>0.24230499999999999</v>
      </c>
    </row>
    <row r="25" spans="1:9">
      <c r="A25" s="17">
        <v>1</v>
      </c>
      <c r="B25" s="17">
        <v>2035</v>
      </c>
      <c r="C25" s="18">
        <f ca="1">OFFSET(Mercado!$A$1,MATCH(A25,Mercado!$A$2:$A$11,0),MATCH(B25,Mercado!$B$1:$AN$1,0),1,1)</f>
        <v>71349.387358385953</v>
      </c>
      <c r="D25" s="18">
        <f ca="1">OFFSET(CompPerdasIntercambio!$A$1,MATCH(A25,CompPerdasIntercambio!$A$2:$A$11,0),MATCH(B25,CompPerdasIntercambio!$B$1:$AN$1,0),1,1)</f>
        <v>0</v>
      </c>
      <c r="E25" s="18">
        <f ca="1">OFFSET(GerNaoDesp!$A$1,MATCH(A25,GerNaoDesp!$A$2:$A$9,0),MATCH(B25,GerNaoDesp!$B$1:$AN$1,0),1,1)</f>
        <v>2406.0781751769409</v>
      </c>
      <c r="F25" s="58">
        <f ca="1">OFFSET(MercadoPonta!$A$1,MATCH(A25,MercadoPonta!$A$2:$A$11,0),MATCH(B25,MercadoPonta!$B$1:$AN$1,0),1,1)</f>
        <v>95424.121103572426</v>
      </c>
      <c r="G25" s="432">
        <f ca="1">OFFSET(GerNaoDesp!$A$18,MATCH(A25,GerNaoDesp!$A$19:$A$25,0),MATCH(B25,GerNaoDesp!$B$18:$AN$18,0),1,1)</f>
        <v>1535.1276423452402</v>
      </c>
      <c r="H25" s="24">
        <f ca="1">OFFSET(GerNaoDesp!$A$30,MATCH(A25,GerNaoDesp!$A$31:$A$37,0),MATCH(B25,GerNaoDesp!$B$30:$AN$30,0),1,1)</f>
        <v>450.30929999999995</v>
      </c>
      <c r="I25" s="24">
        <f ca="1">OFFSET(GerNaoDesp!$A$42,MATCH(A25,GerNaoDesp!$A$43:$A$49,0),MATCH(B25,GerNaoDesp!$B$42:$AN$42,0),1,1)</f>
        <v>0.25808300000000001</v>
      </c>
    </row>
    <row r="26" spans="1:9">
      <c r="A26" s="17">
        <v>1</v>
      </c>
      <c r="B26" s="17">
        <v>2036</v>
      </c>
      <c r="C26" s="18">
        <f ca="1">OFFSET(Mercado!$A$1,MATCH(A26,Mercado!$A$2:$A$11,0),MATCH(B26,Mercado!$B$1:$AN$1,0),1,1)</f>
        <v>73388.900367434893</v>
      </c>
      <c r="D26" s="18">
        <f ca="1">OFFSET(CompPerdasIntercambio!$A$1,MATCH(A26,CompPerdasIntercambio!$A$2:$A$11,0),MATCH(B26,CompPerdasIntercambio!$B$1:$AN$1,0),1,1)</f>
        <v>0</v>
      </c>
      <c r="E26" s="18">
        <f ca="1">OFFSET(GerNaoDesp!$A$1,MATCH(A26,GerNaoDesp!$A$2:$A$9,0),MATCH(B26,GerNaoDesp!$B$1:$AN$1,0),1,1)</f>
        <v>2571.0608041143764</v>
      </c>
      <c r="F26" s="58">
        <f ca="1">OFFSET(MercadoPonta!$A$1,MATCH(A26,MercadoPonta!$A$2:$A$11,0),MATCH(B26,MercadoPonta!$B$1:$AN$1,0),1,1)</f>
        <v>98122.446451719647</v>
      </c>
      <c r="G26" s="432">
        <f ca="1">OFFSET(GerNaoDesp!$A$18,MATCH(A26,GerNaoDesp!$A$19:$A$25,0),MATCH(B26,GerNaoDesp!$B$18:$AN$18,0),1,1)</f>
        <v>1644.692570043233</v>
      </c>
      <c r="H26" s="24">
        <f ca="1">OFFSET(GerNaoDesp!$A$30,MATCH(A26,GerNaoDesp!$A$31:$A$37,0),MATCH(B26,GerNaoDesp!$B$30:$AN$30,0),1,1)</f>
        <v>485.32610000000011</v>
      </c>
      <c r="I26" s="24">
        <f ca="1">OFFSET(GerNaoDesp!$A$42,MATCH(A26,GerNaoDesp!$A$43:$A$49,0),MATCH(B26,GerNaoDesp!$B$42:$AN$42,0),1,1)</f>
        <v>0.27386100000000002</v>
      </c>
    </row>
    <row r="27" spans="1:9">
      <c r="A27" s="17">
        <v>1</v>
      </c>
      <c r="B27" s="17">
        <v>2037</v>
      </c>
      <c r="C27" s="18">
        <f ca="1">OFFSET(Mercado!$A$1,MATCH(A27,Mercado!$A$2:$A$11,0),MATCH(B27,Mercado!$B$1:$AN$1,0),1,1)</f>
        <v>75448.03360076352</v>
      </c>
      <c r="D27" s="18">
        <f ca="1">OFFSET(CompPerdasIntercambio!$A$1,MATCH(A27,CompPerdasIntercambio!$A$2:$A$11,0),MATCH(B27,CompPerdasIntercambio!$B$1:$AN$1,0),1,1)</f>
        <v>0</v>
      </c>
      <c r="E27" s="18">
        <f ca="1">OFFSET(GerNaoDesp!$A$1,MATCH(A27,GerNaoDesp!$A$2:$A$9,0),MATCH(B27,GerNaoDesp!$B$1:$AN$1,0),1,1)</f>
        <v>2739.2522541082167</v>
      </c>
      <c r="F27" s="58">
        <f ca="1">OFFSET(MercadoPonta!$A$1,MATCH(A27,MercadoPonta!$A$2:$A$11,0),MATCH(B27,MercadoPonta!$B$1:$AN$1,0),1,1)</f>
        <v>100847.85984761575</v>
      </c>
      <c r="G27" s="432">
        <f ca="1">OFFSET(GerNaoDesp!$A$18,MATCH(A27,GerNaoDesp!$A$19:$A$25,0),MATCH(B27,GerNaoDesp!$B$18:$AN$18,0),1,1)</f>
        <v>1759.5704885147093</v>
      </c>
      <c r="H27" s="24">
        <f ca="1">OFFSET(GerNaoDesp!$A$30,MATCH(A27,GerNaoDesp!$A$31:$A$37,0),MATCH(B27,GerNaoDesp!$B$30:$AN$30,0),1,1)</f>
        <v>521.60149999999999</v>
      </c>
      <c r="I27" s="24">
        <f ca="1">OFFSET(GerNaoDesp!$A$42,MATCH(A27,GerNaoDesp!$A$43:$A$49,0),MATCH(B27,GerNaoDesp!$B$42:$AN$42,0),1,1)</f>
        <v>0.29318100000000002</v>
      </c>
    </row>
    <row r="28" spans="1:9">
      <c r="A28" s="17">
        <v>1</v>
      </c>
      <c r="B28" s="17">
        <v>2038</v>
      </c>
      <c r="C28" s="18">
        <f ca="1">OFFSET(Mercado!$A$1,MATCH(A28,Mercado!$A$2:$A$11,0),MATCH(B28,Mercado!$B$1:$AN$1,0),1,1)</f>
        <v>77725.900300875437</v>
      </c>
      <c r="D28" s="18">
        <f ca="1">OFFSET(CompPerdasIntercambio!$A$1,MATCH(A28,CompPerdasIntercambio!$A$2:$A$11,0),MATCH(B28,CompPerdasIntercambio!$B$1:$AN$1,0),1,1)</f>
        <v>0</v>
      </c>
      <c r="E28" s="18">
        <f ca="1">OFFSET(GerNaoDesp!$A$1,MATCH(A28,GerNaoDesp!$A$2:$A$9,0),MATCH(B28,GerNaoDesp!$B$1:$AN$1,0),1,1)</f>
        <v>2914.0386665633555</v>
      </c>
      <c r="F28" s="58">
        <f ca="1">OFFSET(MercadoPonta!$A$1,MATCH(A28,MercadoPonta!$A$2:$A$11,0),MATCH(B28,MercadoPonta!$B$1:$AN$1,0),1,1)</f>
        <v>103869.34915400474</v>
      </c>
      <c r="G28" s="432">
        <f ca="1">OFFSET(GerNaoDesp!$A$18,MATCH(A28,GerNaoDesp!$A$19:$A$25,0),MATCH(B28,GerNaoDesp!$B$18:$AN$18,0),1,1)</f>
        <v>1881.6928669680042</v>
      </c>
      <c r="H28" s="24">
        <f ca="1">OFFSET(GerNaoDesp!$A$30,MATCH(A28,GerNaoDesp!$A$31:$A$37,0),MATCH(B28,GerNaoDesp!$B$30:$AN$30,0),1,1)</f>
        <v>559.21669999999995</v>
      </c>
      <c r="I28" s="24">
        <f ca="1">OFFSET(GerNaoDesp!$A$42,MATCH(A28,GerNaoDesp!$A$43:$A$49,0),MATCH(B28,GerNaoDesp!$B$42:$AN$42,0),1,1)</f>
        <v>0.31411100000000003</v>
      </c>
    </row>
    <row r="29" spans="1:9">
      <c r="A29" s="17">
        <v>1</v>
      </c>
      <c r="B29" s="17">
        <v>2039</v>
      </c>
      <c r="C29" s="18">
        <f ca="1">OFFSET(Mercado!$A$1,MATCH(A29,Mercado!$A$2:$A$11,0),MATCH(B29,Mercado!$B$1:$AN$1,0),1,1)</f>
        <v>79927.074241578477</v>
      </c>
      <c r="D29" s="18">
        <f ca="1">OFFSET(CompPerdasIntercambio!$A$1,MATCH(A29,CompPerdasIntercambio!$A$2:$A$11,0),MATCH(B29,CompPerdasIntercambio!$B$1:$AN$1,0),1,1)</f>
        <v>0</v>
      </c>
      <c r="E29" s="18">
        <f ca="1">OFFSET(GerNaoDesp!$A$1,MATCH(A29,GerNaoDesp!$A$2:$A$9,0),MATCH(B29,GerNaoDesp!$B$1:$AN$1,0),1,1)</f>
        <v>3096.7253063360549</v>
      </c>
      <c r="F29" s="58">
        <f ca="1">OFFSET(MercadoPonta!$A$1,MATCH(A29,MercadoPonta!$A$2:$A$11,0),MATCH(B29,MercadoPonta!$B$1:$AN$1,0),1,1)</f>
        <v>106786.69970758552</v>
      </c>
      <c r="G29" s="432">
        <f ca="1">OFFSET(GerNaoDesp!$A$18,MATCH(A29,GerNaoDesp!$A$19:$A$25,0),MATCH(B29,GerNaoDesp!$B$18:$AN$18,0),1,1)</f>
        <v>2014.1042673641648</v>
      </c>
      <c r="H29" s="24">
        <f ca="1">OFFSET(GerNaoDesp!$A$30,MATCH(A29,GerNaoDesp!$A$31:$A$37,0),MATCH(B29,GerNaoDesp!$B$30:$AN$30,0),1,1)</f>
        <v>599.6647999999999</v>
      </c>
      <c r="I29" s="24">
        <f ca="1">OFFSET(GerNaoDesp!$A$42,MATCH(A29,GerNaoDesp!$A$43:$A$49,0),MATCH(B29,GerNaoDesp!$B$42:$AN$42,0),1,1)</f>
        <v>0.33504100000000003</v>
      </c>
    </row>
    <row r="30" spans="1:9">
      <c r="A30" s="17">
        <v>1</v>
      </c>
      <c r="B30" s="17">
        <v>2040</v>
      </c>
      <c r="C30" s="18">
        <f ca="1">OFFSET(Mercado!$A$1,MATCH(A30,Mercado!$A$2:$A$11,0),MATCH(B30,Mercado!$B$1:$AN$1,0),1,1)</f>
        <v>82078.708841922373</v>
      </c>
      <c r="D30" s="18">
        <f ca="1">OFFSET(CompPerdasIntercambio!$A$1,MATCH(A30,CompPerdasIntercambio!$A$2:$A$11,0),MATCH(B30,CompPerdasIntercambio!$B$1:$AN$1,0),1,1)</f>
        <v>0</v>
      </c>
      <c r="E30" s="18">
        <f ca="1">OFFSET(GerNaoDesp!$A$1,MATCH(A30,GerNaoDesp!$A$2:$A$9,0),MATCH(B30,GerNaoDesp!$B$1:$AN$1,0),1,1)</f>
        <v>3296.4508203223113</v>
      </c>
      <c r="F30" s="58">
        <f ca="1">OFFSET(MercadoPonta!$A$1,MATCH(A30,MercadoPonta!$A$2:$A$11,0),MATCH(B30,MercadoPonta!$B$1:$AN$1,0),1,1)</f>
        <v>109633.25407061205</v>
      </c>
      <c r="G30" s="432">
        <f ca="1">OFFSET(GerNaoDesp!$A$18,MATCH(A30,GerNaoDesp!$A$19:$A$25,0),MATCH(B30,GerNaoDesp!$B$18:$AN$18,0),1,1)</f>
        <v>2161.6462081944014</v>
      </c>
      <c r="H30" s="24">
        <f ca="1">OFFSET(GerNaoDesp!$A$30,MATCH(A30,GerNaoDesp!$A$31:$A$37,0),MATCH(B30,GerNaoDesp!$B$30:$AN$30,0),1,1)</f>
        <v>644.7903</v>
      </c>
      <c r="I30" s="24">
        <f ca="1">OFFSET(GerNaoDesp!$A$42,MATCH(A30,GerNaoDesp!$A$43:$A$49,0),MATCH(B30,GerNaoDesp!$B$42:$AN$42,0),1,1)</f>
        <v>0.35870800000000008</v>
      </c>
    </row>
    <row r="31" spans="1:9">
      <c r="A31" s="17">
        <v>1</v>
      </c>
      <c r="B31" s="17">
        <v>2041</v>
      </c>
      <c r="C31" s="18">
        <f ca="1">OFFSET(Mercado!$A$1,MATCH(A31,Mercado!$A$2:$A$11,0),MATCH(B31,Mercado!$B$1:$AN$1,0),1,1)</f>
        <v>83941.980687250136</v>
      </c>
      <c r="D31" s="18">
        <f ca="1">OFFSET(CompPerdasIntercambio!$A$1,MATCH(A31,CompPerdasIntercambio!$A$2:$A$11,0),MATCH(B31,CompPerdasIntercambio!$B$1:$AN$1,0),1,1)</f>
        <v>0</v>
      </c>
      <c r="E31" s="18">
        <f ca="1">OFFSET(GerNaoDesp!$A$1,MATCH(A31,GerNaoDesp!$A$2:$A$9,0),MATCH(B31,GerNaoDesp!$B$1:$AN$1,0),1,1)</f>
        <v>3493.0358189086223</v>
      </c>
      <c r="F31" s="58">
        <f ca="1">OFFSET(MercadoPonta!$A$1,MATCH(A31,MercadoPonta!$A$2:$A$11,0),MATCH(B31,MercadoPonta!$B$1:$AN$1,0),1,1)</f>
        <v>112088.76675252938</v>
      </c>
      <c r="G31" s="432">
        <f ca="1">OFFSET(GerNaoDesp!$A$18,MATCH(A31,GerNaoDesp!$A$19:$A$25,0),MATCH(B31,GerNaoDesp!$B$18:$AN$18,0),1,1)</f>
        <v>2306.1653274759592</v>
      </c>
      <c r="H31" s="24">
        <f ca="1">OFFSET(GerNaoDesp!$A$30,MATCH(A31,GerNaoDesp!$A$31:$A$37,0),MATCH(B31,GerNaoDesp!$B$30:$AN$30,0),1,1)</f>
        <v>690.7600000000001</v>
      </c>
      <c r="I31" s="24">
        <f ca="1">OFFSET(GerNaoDesp!$A$42,MATCH(A31,GerNaoDesp!$A$43:$A$49,0),MATCH(B31,GerNaoDesp!$B$42:$AN$42,0),1,1)</f>
        <v>0.38044300000000003</v>
      </c>
    </row>
    <row r="32" spans="1:9">
      <c r="A32" s="17">
        <v>1</v>
      </c>
      <c r="B32" s="17">
        <v>2042</v>
      </c>
      <c r="C32" s="18">
        <f ca="1">OFFSET(Mercado!$A$1,MATCH(A32,Mercado!$A$2:$A$11,0),MATCH(B32,Mercado!$B$1:$AN$1,0),1,1)</f>
        <v>85808.279096704806</v>
      </c>
      <c r="D32" s="18">
        <f ca="1">OFFSET(CompPerdasIntercambio!$A$1,MATCH(A32,CompPerdasIntercambio!$A$2:$A$11,0),MATCH(B32,CompPerdasIntercambio!$B$1:$AN$1,0),1,1)</f>
        <v>0</v>
      </c>
      <c r="E32" s="18">
        <f ca="1">OFFSET(GerNaoDesp!$A$1,MATCH(A32,GerNaoDesp!$A$2:$A$9,0),MATCH(B32,GerNaoDesp!$B$1:$AN$1,0),1,1)</f>
        <v>3683.5384841537184</v>
      </c>
      <c r="F32" s="58">
        <f ca="1">OFFSET(MercadoPonta!$A$1,MATCH(A32,MercadoPonta!$A$2:$A$11,0),MATCH(B32,MercadoPonta!$B$1:$AN$1,0),1,1)</f>
        <v>114550.91336833498</v>
      </c>
      <c r="G32" s="432">
        <f ca="1">OFFSET(GerNaoDesp!$A$18,MATCH(A32,GerNaoDesp!$A$19:$A$25,0),MATCH(B32,GerNaoDesp!$B$18:$AN$18,0),1,1)</f>
        <v>2447.8855632821142</v>
      </c>
      <c r="H32" s="24">
        <f ca="1">OFFSET(GerNaoDesp!$A$30,MATCH(A32,GerNaoDesp!$A$31:$A$37,0),MATCH(B32,GerNaoDesp!$B$30:$AN$30,0),1,1)</f>
        <v>735.85260000000005</v>
      </c>
      <c r="I32" s="24">
        <f ca="1">OFFSET(GerNaoDesp!$A$42,MATCH(A32,GerNaoDesp!$A$43:$A$49,0),MATCH(B32,GerNaoDesp!$B$42:$AN$42,0),1,1)</f>
        <v>0.40217799999999998</v>
      </c>
    </row>
    <row r="33" spans="1:9">
      <c r="A33" s="17">
        <v>1</v>
      </c>
      <c r="B33" s="17">
        <v>2043</v>
      </c>
      <c r="C33" s="18">
        <f ca="1">OFFSET(Mercado!$A$1,MATCH(A33,Mercado!$A$2:$A$11,0),MATCH(B33,Mercado!$B$1:$AN$1,0),1,1)</f>
        <v>87687.56123382457</v>
      </c>
      <c r="D33" s="18">
        <f ca="1">OFFSET(CompPerdasIntercambio!$A$1,MATCH(A33,CompPerdasIntercambio!$A$2:$A$11,0),MATCH(B33,CompPerdasIntercambio!$B$1:$AN$1,0),1,1)</f>
        <v>0</v>
      </c>
      <c r="E33" s="18">
        <f ca="1">OFFSET(GerNaoDesp!$A$1,MATCH(A33,GerNaoDesp!$A$2:$A$9,0),MATCH(B33,GerNaoDesp!$B$1:$AN$1,0),1,1)</f>
        <v>3893.1982837823398</v>
      </c>
      <c r="F33" s="58">
        <f ca="1">OFFSET(MercadoPonta!$A$1,MATCH(A33,MercadoPonta!$A$2:$A$11,0),MATCH(B33,MercadoPonta!$B$1:$AN$1,0),1,1)</f>
        <v>117026.92723833109</v>
      </c>
      <c r="G33" s="432">
        <f ca="1">OFFSET(GerNaoDesp!$A$18,MATCH(A33,GerNaoDesp!$A$19:$A$25,0),MATCH(B33,GerNaoDesp!$B$18:$AN$18,0),1,1)</f>
        <v>2605.772082690215</v>
      </c>
      <c r="H33" s="24">
        <f ca="1">OFFSET(GerNaoDesp!$A$30,MATCH(A33,GerNaoDesp!$A$31:$A$37,0),MATCH(B33,GerNaoDesp!$B$30:$AN$30,0),1,1)</f>
        <v>784.82880000000011</v>
      </c>
      <c r="I33" s="24">
        <f ca="1">OFFSET(GerNaoDesp!$A$42,MATCH(A33,GerNaoDesp!$A$43:$A$49,0),MATCH(B33,GerNaoDesp!$B$42:$AN$42,0),1,1)</f>
        <v>0.42745500000000008</v>
      </c>
    </row>
    <row r="34" spans="1:9">
      <c r="A34" s="17">
        <v>1</v>
      </c>
      <c r="B34" s="17">
        <v>2044</v>
      </c>
      <c r="C34" s="18">
        <f ca="1">OFFSET(Mercado!$A$1,MATCH(A34,Mercado!$A$2:$A$11,0),MATCH(B34,Mercado!$B$1:$AN$1,0),1,1)</f>
        <v>89648.096584988074</v>
      </c>
      <c r="D34" s="18">
        <f ca="1">OFFSET(CompPerdasIntercambio!$A$1,MATCH(A34,CompPerdasIntercambio!$A$2:$A$11,0),MATCH(B34,CompPerdasIntercambio!$B$1:$AN$1,0),1,1)</f>
        <v>0</v>
      </c>
      <c r="E34" s="18">
        <f ca="1">OFFSET(GerNaoDesp!$A$1,MATCH(A34,GerNaoDesp!$A$2:$A$9,0),MATCH(B34,GerNaoDesp!$B$1:$AN$1,0),1,1)</f>
        <v>4115.5397986007865</v>
      </c>
      <c r="F34" s="58">
        <f ca="1">OFFSET(MercadoPonta!$A$1,MATCH(A34,MercadoPonta!$A$2:$A$11,0),MATCH(B34,MercadoPonta!$B$1:$AN$1,0),1,1)</f>
        <v>119610.46799335832</v>
      </c>
      <c r="G34" s="432">
        <f ca="1">OFFSET(GerNaoDesp!$A$18,MATCH(A34,GerNaoDesp!$A$19:$A$25,0),MATCH(B34,GerNaoDesp!$B$18:$AN$18,0),1,1)</f>
        <v>2774.3308035065629</v>
      </c>
      <c r="H34" s="24">
        <f ca="1">OFFSET(GerNaoDesp!$A$30,MATCH(A34,GerNaoDesp!$A$31:$A$37,0),MATCH(B34,GerNaoDesp!$B$30:$AN$30,0),1,1)</f>
        <v>836.70999999999992</v>
      </c>
      <c r="I34" s="24">
        <f ca="1">OFFSET(GerNaoDesp!$A$42,MATCH(A34,GerNaoDesp!$A$43:$A$49,0),MATCH(B34,GerNaoDesp!$B$42:$AN$42,0),1,1)</f>
        <v>0.45353700000000013</v>
      </c>
    </row>
    <row r="35" spans="1:9">
      <c r="A35" s="17">
        <v>1</v>
      </c>
      <c r="B35" s="17">
        <v>2045</v>
      </c>
      <c r="C35" s="18">
        <f ca="1">OFFSET(Mercado!$A$1,MATCH(A35,Mercado!$A$2:$A$11,0),MATCH(B35,Mercado!$B$1:$AN$1,0),1,1)</f>
        <v>91633.158385165545</v>
      </c>
      <c r="D35" s="18">
        <f ca="1">OFFSET(CompPerdasIntercambio!$A$1,MATCH(A35,CompPerdasIntercambio!$A$2:$A$11,0),MATCH(B35,CompPerdasIntercambio!$B$1:$AN$1,0),1,1)</f>
        <v>0</v>
      </c>
      <c r="E35" s="18">
        <f ca="1">OFFSET(GerNaoDesp!$A$1,MATCH(A35,GerNaoDesp!$A$2:$A$9,0),MATCH(B35,GerNaoDesp!$B$1:$AN$1,0),1,1)</f>
        <v>4346.3583728102749</v>
      </c>
      <c r="F35" s="58">
        <f ca="1">OFFSET(MercadoPonta!$A$1,MATCH(A35,MercadoPonta!$A$2:$A$11,0),MATCH(B35,MercadoPonta!$B$1:$AN$1,0),1,1)</f>
        <v>122225.81465496533</v>
      </c>
      <c r="G35" s="432">
        <f ca="1">OFFSET(GerNaoDesp!$A$18,MATCH(A35,GerNaoDesp!$A$19:$A$25,0),MATCH(B35,GerNaoDesp!$B$18:$AN$18,0),1,1)</f>
        <v>2949.8948426463639</v>
      </c>
      <c r="H35" s="24">
        <f ca="1">OFFSET(GerNaoDesp!$A$30,MATCH(A35,GerNaoDesp!$A$31:$A$37,0),MATCH(B35,GerNaoDesp!$B$30:$AN$30,0),1,1)</f>
        <v>890.08219999999983</v>
      </c>
      <c r="I35" s="24">
        <f ca="1">OFFSET(GerNaoDesp!$A$42,MATCH(A35,GerNaoDesp!$A$43:$A$49,0),MATCH(B35,GerNaoDesp!$B$42:$AN$42,0),1,1)</f>
        <v>0.47961900000000007</v>
      </c>
    </row>
    <row r="36" spans="1:9">
      <c r="A36" s="17">
        <v>1</v>
      </c>
      <c r="B36" s="17">
        <v>2046</v>
      </c>
      <c r="C36" s="18">
        <f ca="1">OFFSET(Mercado!$A$1,MATCH(A36,Mercado!$A$2:$A$11,0),MATCH(B36,Mercado!$B$1:$AN$1,0),1,1)</f>
        <v>93629.861691804108</v>
      </c>
      <c r="D36" s="18">
        <f ca="1">OFFSET(CompPerdasIntercambio!$A$1,MATCH(A36,CompPerdasIntercambio!$A$2:$A$11,0),MATCH(B36,CompPerdasIntercambio!$B$1:$AN$1,0),1,1)</f>
        <v>0</v>
      </c>
      <c r="E36" s="18">
        <f ca="1">OFFSET(GerNaoDesp!$A$1,MATCH(A36,GerNaoDesp!$A$2:$A$9,0),MATCH(B36,GerNaoDesp!$B$1:$AN$1,0),1,1)</f>
        <v>4588.1506508394677</v>
      </c>
      <c r="F36" s="58">
        <f ca="1">OFFSET(MercadoPonta!$A$1,MATCH(A36,MercadoPonta!$A$2:$A$11,0),MATCH(B36,MercadoPonta!$B$1:$AN$1,0),1,1)</f>
        <v>124854.8458277865</v>
      </c>
      <c r="G36" s="432">
        <f ca="1">OFFSET(GerNaoDesp!$A$18,MATCH(A36,GerNaoDesp!$A$19:$A$25,0),MATCH(B36,GerNaoDesp!$B$18:$AN$18,0),1,1)</f>
        <v>3134.8388424571363</v>
      </c>
      <c r="H36" s="24">
        <f ca="1">OFFSET(GerNaoDesp!$A$30,MATCH(A36,GerNaoDesp!$A$31:$A$37,0),MATCH(B36,GerNaoDesp!$B$30:$AN$30,0),1,1)</f>
        <v>946.00729999999987</v>
      </c>
      <c r="I36" s="24">
        <f ca="1">OFFSET(GerNaoDesp!$A$42,MATCH(A36,GerNaoDesp!$A$43:$A$49,0),MATCH(B36,GerNaoDesp!$B$42:$AN$42,0),1,1)</f>
        <v>0.50650600000000001</v>
      </c>
    </row>
    <row r="37" spans="1:9">
      <c r="A37" s="17">
        <v>1</v>
      </c>
      <c r="B37" s="17">
        <v>2047</v>
      </c>
      <c r="C37" s="18">
        <f ca="1">OFFSET(Mercado!$A$1,MATCH(A37,Mercado!$A$2:$A$11,0),MATCH(B37,Mercado!$B$1:$AN$1,0),1,1)</f>
        <v>95629.981954285802</v>
      </c>
      <c r="D37" s="18">
        <f ca="1">OFFSET(CompPerdasIntercambio!$A$1,MATCH(A37,CompPerdasIntercambio!$A$2:$A$11,0),MATCH(B37,CompPerdasIntercambio!$B$1:$AN$1,0),1,1)</f>
        <v>0</v>
      </c>
      <c r="E37" s="18">
        <f ca="1">OFFSET(GerNaoDesp!$A$1,MATCH(A37,GerNaoDesp!$A$2:$A$9,0),MATCH(B37,GerNaoDesp!$B$1:$AN$1,0),1,1)</f>
        <v>4843.8211309287781</v>
      </c>
      <c r="F37" s="58">
        <f ca="1">OFFSET(MercadoPonta!$A$1,MATCH(A37,MercadoPonta!$A$2:$A$11,0),MATCH(B37,MercadoPonta!$B$1:$AN$1,0),1,1)</f>
        <v>127485.27143786217</v>
      </c>
      <c r="G37" s="432">
        <f ca="1">OFFSET(GerNaoDesp!$A$18,MATCH(A37,GerNaoDesp!$A$19:$A$25,0),MATCH(B37,GerNaoDesp!$B$18:$AN$18,0),1,1)</f>
        <v>3331.0103305464468</v>
      </c>
      <c r="H37" s="24">
        <f ca="1">OFFSET(GerNaoDesp!$A$30,MATCH(A37,GerNaoDesp!$A$31:$A$37,0),MATCH(B37,GerNaoDesp!$B$30:$AN$30,0),1,1)</f>
        <v>1005.4786</v>
      </c>
      <c r="I37" s="24">
        <f ca="1">OFFSET(GerNaoDesp!$A$42,MATCH(A37,GerNaoDesp!$A$43:$A$49,0),MATCH(B37,GerNaoDesp!$B$42:$AN$42,0),1,1)</f>
        <v>0.53419800000000017</v>
      </c>
    </row>
    <row r="38" spans="1:9">
      <c r="A38" s="17">
        <v>1</v>
      </c>
      <c r="B38" s="17">
        <v>2048</v>
      </c>
      <c r="C38" s="18">
        <f ca="1">OFFSET(Mercado!$A$1,MATCH(A38,Mercado!$A$2:$A$11,0),MATCH(B38,Mercado!$B$1:$AN$1,0),1,1)</f>
        <v>97856.458006043089</v>
      </c>
      <c r="D38" s="18">
        <f ca="1">OFFSET(CompPerdasIntercambio!$A$1,MATCH(A38,CompPerdasIntercambio!$A$2:$A$11,0),MATCH(B38,CompPerdasIntercambio!$B$1:$AN$1,0),1,1)</f>
        <v>0</v>
      </c>
      <c r="E38" s="18">
        <f ca="1">OFFSET(GerNaoDesp!$A$1,MATCH(A38,GerNaoDesp!$A$2:$A$9,0),MATCH(B38,GerNaoDesp!$B$1:$AN$1,0),1,1)</f>
        <v>5114.8087263267207</v>
      </c>
      <c r="F38" s="58">
        <f ca="1">OFFSET(MercadoPonta!$A$1,MATCH(A38,MercadoPonta!$A$2:$A$11,0),MATCH(B38,MercadoPonta!$B$1:$AN$1,0),1,1)</f>
        <v>130418.42000583433</v>
      </c>
      <c r="G38" s="432">
        <f ca="1">OFFSET(GerNaoDesp!$A$18,MATCH(A38,GerNaoDesp!$A$19:$A$25,0),MATCH(B38,GerNaoDesp!$B$18:$AN$18,0),1,1)</f>
        <v>3538.6824289443889</v>
      </c>
      <c r="H38" s="24">
        <f ca="1">OFFSET(GerNaoDesp!$A$30,MATCH(A38,GerNaoDesp!$A$31:$A$37,0),MATCH(B38,GerNaoDesp!$B$30:$AN$30,0),1,1)</f>
        <v>1068.7655999999999</v>
      </c>
      <c r="I38" s="24">
        <f ca="1">OFFSET(GerNaoDesp!$A$42,MATCH(A38,GerNaoDesp!$A$43:$A$49,0),MATCH(B38,GerNaoDesp!$B$42:$AN$42,0),1,1)</f>
        <v>0.56269500000000006</v>
      </c>
    </row>
    <row r="39" spans="1:9">
      <c r="A39" s="17">
        <v>1</v>
      </c>
      <c r="B39" s="17">
        <v>2049</v>
      </c>
      <c r="C39" s="18">
        <f ca="1">OFFSET(Mercado!$A$1,MATCH(A39,Mercado!$A$2:$A$11,0),MATCH(B39,Mercado!$B$1:$AN$1,0),1,1)</f>
        <v>100041.29466092351</v>
      </c>
      <c r="D39" s="18">
        <f ca="1">OFFSET(CompPerdasIntercambio!$A$1,MATCH(A39,CompPerdasIntercambio!$A$2:$A$11,0),MATCH(B39,CompPerdasIntercambio!$B$1:$AN$1,0),1,1)</f>
        <v>0</v>
      </c>
      <c r="E39" s="18">
        <f ca="1">OFFSET(GerNaoDesp!$A$1,MATCH(A39,GerNaoDesp!$A$2:$A$9,0),MATCH(B39,GerNaoDesp!$B$1:$AN$1,0),1,1)</f>
        <v>5402.0456529379444</v>
      </c>
      <c r="F39" s="58">
        <f ca="1">OFFSET(MercadoPonta!$A$1,MATCH(A39,MercadoPonta!$A$2:$A$11,0),MATCH(B39,MercadoPonta!$B$1:$AN$1,0),1,1)</f>
        <v>133291.24907815733</v>
      </c>
      <c r="G39" s="432">
        <f ca="1">OFFSET(GerNaoDesp!$A$18,MATCH(A39,GerNaoDesp!$A$19:$A$25,0),MATCH(B39,GerNaoDesp!$B$18:$AN$18,0),1,1)</f>
        <v>3758.8734115556131</v>
      </c>
      <c r="H39" s="24">
        <f ca="1">OFFSET(GerNaoDesp!$A$30,MATCH(A39,GerNaoDesp!$A$31:$A$37,0),MATCH(B39,GerNaoDesp!$B$30:$AN$30,0),1,1)</f>
        <v>1135.7787000000001</v>
      </c>
      <c r="I39" s="24">
        <f ca="1">OFFSET(GerNaoDesp!$A$42,MATCH(A39,GerNaoDesp!$A$43:$A$49,0),MATCH(B39,GerNaoDesp!$B$42:$AN$42,0),1,1)</f>
        <v>0.59553900000000015</v>
      </c>
    </row>
    <row r="40" spans="1:9">
      <c r="A40" s="17">
        <v>1</v>
      </c>
      <c r="B40" s="17">
        <v>2050</v>
      </c>
      <c r="C40" s="18">
        <f ca="1">OFFSET(Mercado!$A$1,MATCH(A40,Mercado!$A$2:$A$11,0),MATCH(B40,Mercado!$B$1:$AN$1,0),1,1)</f>
        <v>102168.62909803692</v>
      </c>
      <c r="D40" s="18">
        <f ca="1">OFFSET(CompPerdasIntercambio!$A$1,MATCH(A40,CompPerdasIntercambio!$A$2:$A$11,0),MATCH(B40,CompPerdasIntercambio!$B$1:$AN$1,0),1,1)</f>
        <v>0</v>
      </c>
      <c r="E40" s="18">
        <f ca="1">OFFSET(GerNaoDesp!$A$1,MATCH(A40,GerNaoDesp!$A$2:$A$9,0),MATCH(B40,GerNaoDesp!$B$1:$AN$1,0),1,1)</f>
        <v>5706.8958398461109</v>
      </c>
      <c r="F40" s="58">
        <f ca="1">OFFSET(MercadoPonta!$A$1,MATCH(A40,MercadoPonta!$A$2:$A$11,0),MATCH(B40,MercadoPonta!$B$1:$AN$1,0),1,1)</f>
        <v>136081.91866488633</v>
      </c>
      <c r="G40" s="432">
        <f ca="1">OFFSET(GerNaoDesp!$A$18,MATCH(A40,GerNaoDesp!$A$19:$A$25,0),MATCH(B40,GerNaoDesp!$B$18:$AN$18,0),1,1)</f>
        <v>3992.6275664637792</v>
      </c>
      <c r="H40" s="24">
        <f ca="1">OFFSET(GerNaoDesp!$A$30,MATCH(A40,GerNaoDesp!$A$31:$A$37,0),MATCH(B40,GerNaoDesp!$B$30:$AN$30,0),1,1)</f>
        <v>1206.8406</v>
      </c>
      <c r="I40" s="24">
        <f ca="1">OFFSET(GerNaoDesp!$A$42,MATCH(A40,GerNaoDesp!$A$43:$A$49,0),MATCH(B40,GerNaoDesp!$B$42:$AN$42,0),1,1)</f>
        <v>0.62967100000000009</v>
      </c>
    </row>
    <row r="41" spans="1:9">
      <c r="A41" s="59">
        <f>A2+1</f>
        <v>2</v>
      </c>
      <c r="B41" s="59">
        <f>B2</f>
        <v>2012</v>
      </c>
      <c r="C41" s="18">
        <f ca="1">OFFSET(Mercado!$A$1,MATCH(A41,Mercado!$A$2:$A$11,0),MATCH(B41,Mercado!$B$1:$AN$1,0),1,1)</f>
        <v>10256.068306010928</v>
      </c>
      <c r="D41" s="18">
        <f ca="1">OFFSET(CompPerdasIntercambio!$A$1,MATCH(A41,CompPerdasIntercambio!$A$2:$A$11,0),MATCH(B41,CompPerdasIntercambio!$B$1:$AN$1,0),1,1)</f>
        <v>0</v>
      </c>
      <c r="E41" s="18">
        <f ca="1">OFFSET(GerNaoDesp!$A$1,MATCH(A41,GerNaoDesp!$A$2:$A$9,0),MATCH(B41,GerNaoDesp!$B$1:$AN$1,0),1,1)</f>
        <v>0</v>
      </c>
      <c r="F41" s="58">
        <f ca="1">OFFSET(MercadoPonta!$A$1,MATCH(A41,MercadoPonta!$A$2:$A$11,0),MATCH(B41,MercadoPonta!$B$1:$AN$1,0),1,1)</f>
        <v>15486.640441939053</v>
      </c>
      <c r="G41" s="432">
        <f ca="1">OFFSET(GerNaoDesp!$A$18,MATCH(A41,GerNaoDesp!$A$19:$A$25,0),MATCH(B41,GerNaoDesp!$B$18:$AN$18,0),1,1)</f>
        <v>0</v>
      </c>
      <c r="H41" s="24">
        <f ca="1">OFFSET(GerNaoDesp!$A$30,MATCH(A41,GerNaoDesp!$A$31:$A$37,0),MATCH(B41,GerNaoDesp!$B$30:$AN$30,0),1,1)</f>
        <v>0</v>
      </c>
      <c r="I41" s="24">
        <f ca="1">OFFSET(GerNaoDesp!$A$42,MATCH(A41,GerNaoDesp!$A$43:$A$49,0),MATCH(B41,GerNaoDesp!$B$42:$AN$42,0),1,1)</f>
        <v>0</v>
      </c>
    </row>
    <row r="42" spans="1:9">
      <c r="A42" s="59">
        <f t="shared" ref="A42:A105" si="0">A3+1</f>
        <v>2</v>
      </c>
      <c r="B42" s="59">
        <f t="shared" ref="B42:B105" si="1">B3</f>
        <v>2013</v>
      </c>
      <c r="C42" s="18">
        <f ca="1">OFFSET(Mercado!$A$1,MATCH(A42,Mercado!$A$2:$A$11,0),MATCH(B42,Mercado!$B$1:$AN$1,0),1,1)</f>
        <v>10719.242790329081</v>
      </c>
      <c r="D42" s="18">
        <f ca="1">OFFSET(CompPerdasIntercambio!$A$1,MATCH(A42,CompPerdasIntercambio!$A$2:$A$11,0),MATCH(B42,CompPerdasIntercambio!$B$1:$AN$1,0),1,1)</f>
        <v>0</v>
      </c>
      <c r="E42" s="18">
        <f ca="1">OFFSET(GerNaoDesp!$A$1,MATCH(A42,GerNaoDesp!$A$2:$A$9,0),MATCH(B42,GerNaoDesp!$B$1:$AN$1,0),1,1)</f>
        <v>0</v>
      </c>
      <c r="F42" s="58">
        <f ca="1">OFFSET(MercadoPonta!$A$1,MATCH(A42,MercadoPonta!$A$2:$A$11,0),MATCH(B42,MercadoPonta!$B$1:$AN$1,0),1,1)</f>
        <v>15879.632519420109</v>
      </c>
      <c r="G42" s="432">
        <f ca="1">OFFSET(GerNaoDesp!$A$18,MATCH(A42,GerNaoDesp!$A$19:$A$25,0),MATCH(B42,GerNaoDesp!$B$18:$AN$18,0),1,1)</f>
        <v>0</v>
      </c>
      <c r="H42" s="24">
        <f ca="1">OFFSET(GerNaoDesp!$A$30,MATCH(A42,GerNaoDesp!$A$31:$A$37,0),MATCH(B42,GerNaoDesp!$B$30:$AN$30,0),1,1)</f>
        <v>0</v>
      </c>
      <c r="I42" s="24">
        <f ca="1">OFFSET(GerNaoDesp!$A$42,MATCH(A42,GerNaoDesp!$A$43:$A$49,0),MATCH(B42,GerNaoDesp!$B$42:$AN$42,0),1,1)</f>
        <v>0</v>
      </c>
    </row>
    <row r="43" spans="1:9">
      <c r="A43" s="59">
        <f t="shared" si="0"/>
        <v>2</v>
      </c>
      <c r="B43" s="59">
        <f t="shared" si="1"/>
        <v>2014</v>
      </c>
      <c r="C43" s="18">
        <f ca="1">OFFSET(Mercado!$A$1,MATCH(A43,Mercado!$A$2:$A$11,0),MATCH(B43,Mercado!$B$1:$AN$1,0),1,1)</f>
        <v>10601.72726</v>
      </c>
      <c r="D43" s="18">
        <f ca="1">OFFSET(CompPerdasIntercambio!$A$1,MATCH(A43,CompPerdasIntercambio!$A$2:$A$11,0),MATCH(B43,CompPerdasIntercambio!$B$1:$AN$1,0),1,1)</f>
        <v>0</v>
      </c>
      <c r="E43" s="18">
        <f ca="1">OFFSET(GerNaoDesp!$A$1,MATCH(A43,GerNaoDesp!$A$2:$A$9,0),MATCH(B43,GerNaoDesp!$B$1:$AN$1,0),1,1)</f>
        <v>0</v>
      </c>
      <c r="F43" s="58">
        <f ca="1">OFFSET(MercadoPonta!$A$1,MATCH(A43,MercadoPonta!$A$2:$A$11,0),MATCH(B43,MercadoPonta!$B$1:$AN$1,0),1,1)</f>
        <v>17971.47</v>
      </c>
      <c r="G43" s="432">
        <f ca="1">OFFSET(GerNaoDesp!$A$18,MATCH(A43,GerNaoDesp!$A$19:$A$25,0),MATCH(B43,GerNaoDesp!$B$18:$AN$18,0),1,1)</f>
        <v>0</v>
      </c>
      <c r="H43" s="24">
        <f ca="1">OFFSET(GerNaoDesp!$A$30,MATCH(A43,GerNaoDesp!$A$31:$A$37,0),MATCH(B43,GerNaoDesp!$B$30:$AN$30,0),1,1)</f>
        <v>0</v>
      </c>
      <c r="I43" s="24">
        <f ca="1">OFFSET(GerNaoDesp!$A$42,MATCH(A43,GerNaoDesp!$A$43:$A$49,0),MATCH(B43,GerNaoDesp!$B$42:$AN$42,0),1,1)</f>
        <v>0</v>
      </c>
    </row>
    <row r="44" spans="1:9">
      <c r="A44" s="59">
        <f t="shared" si="0"/>
        <v>2</v>
      </c>
      <c r="B44" s="59">
        <f t="shared" si="1"/>
        <v>2015</v>
      </c>
      <c r="C44" s="18">
        <f ca="1">OFFSET(Mercado!$A$1,MATCH(A44,Mercado!$A$2:$A$11,0),MATCH(B44,Mercado!$B$1:$AN$1,0),1,1)</f>
        <v>10937.29674</v>
      </c>
      <c r="D44" s="18">
        <f ca="1">OFFSET(CompPerdasIntercambio!$A$1,MATCH(A44,CompPerdasIntercambio!$A$2:$A$11,0),MATCH(B44,CompPerdasIntercambio!$B$1:$AN$1,0),1,1)</f>
        <v>0</v>
      </c>
      <c r="E44" s="18">
        <f ca="1">OFFSET(GerNaoDesp!$A$1,MATCH(A44,GerNaoDesp!$A$2:$A$9,0),MATCH(B44,GerNaoDesp!$B$1:$AN$1,0),1,1)</f>
        <v>0.70012744047599773</v>
      </c>
      <c r="F44" s="58">
        <f ca="1">OFFSET(MercadoPonta!$A$1,MATCH(A44,MercadoPonta!$A$2:$A$11,0),MATCH(B44,MercadoPonta!$B$1:$AN$1,0),1,1)</f>
        <v>17020.454964674998</v>
      </c>
      <c r="G44" s="432">
        <f ca="1">OFFSET(GerNaoDesp!$A$18,MATCH(A44,GerNaoDesp!$A$19:$A$25,0),MATCH(B44,GerNaoDesp!$B$18:$AN$18,0),1,1)</f>
        <v>0.17459006547599779</v>
      </c>
      <c r="H44" s="24">
        <f ca="1">OFFSET(GerNaoDesp!$A$30,MATCH(A44,GerNaoDesp!$A$31:$A$37,0),MATCH(B44,GerNaoDesp!$B$30:$AN$30,0),1,1)</f>
        <v>0</v>
      </c>
      <c r="I44" s="24">
        <f ca="1">OFFSET(GerNaoDesp!$A$42,MATCH(A44,GerNaoDesp!$A$43:$A$49,0),MATCH(B44,GerNaoDesp!$B$42:$AN$42,0),1,1)</f>
        <v>0</v>
      </c>
    </row>
    <row r="45" spans="1:9">
      <c r="A45" s="59">
        <f t="shared" si="0"/>
        <v>2</v>
      </c>
      <c r="B45" s="59">
        <f t="shared" si="1"/>
        <v>2016</v>
      </c>
      <c r="C45" s="18">
        <f ca="1">OFFSET(Mercado!$A$1,MATCH(A45,Mercado!$A$2:$A$11,0),MATCH(B45,Mercado!$B$1:$AN$1,0),1,1)</f>
        <v>10980.90603</v>
      </c>
      <c r="D45" s="18">
        <f ca="1">OFFSET(CompPerdasIntercambio!$A$1,MATCH(A45,CompPerdasIntercambio!$A$2:$A$11,0),MATCH(B45,CompPerdasIntercambio!$B$1:$AN$1,0),1,1)</f>
        <v>0</v>
      </c>
      <c r="E45" s="18">
        <f ca="1">OFFSET(GerNaoDesp!$A$1,MATCH(A45,GerNaoDesp!$A$2:$A$9,0),MATCH(B45,GerNaoDesp!$B$1:$AN$1,0),1,1)</f>
        <v>1.780773436612709</v>
      </c>
      <c r="F45" s="58">
        <f ca="1">OFFSET(MercadoPonta!$A$1,MATCH(A45,MercadoPonta!$A$2:$A$11,0),MATCH(B45,MercadoPonta!$B$1:$AN$1,0),1,1)</f>
        <v>16424.068999596999</v>
      </c>
      <c r="G45" s="432">
        <f ca="1">OFFSET(GerNaoDesp!$A$18,MATCH(A45,GerNaoDesp!$A$19:$A$25,0),MATCH(B45,GerNaoDesp!$B$18:$AN$18,0),1,1)</f>
        <v>0.69579809161270889</v>
      </c>
      <c r="H45" s="24">
        <f ca="1">OFFSET(GerNaoDesp!$A$30,MATCH(A45,GerNaoDesp!$A$31:$A$37,0),MATCH(B45,GerNaoDesp!$B$30:$AN$30,0),1,1)</f>
        <v>5.1100000000000007E-2</v>
      </c>
      <c r="I45" s="24">
        <f ca="1">OFFSET(GerNaoDesp!$A$42,MATCH(A45,GerNaoDesp!$A$43:$A$49,0),MATCH(B45,GerNaoDesp!$B$42:$AN$42,0),1,1)</f>
        <v>0</v>
      </c>
    </row>
    <row r="46" spans="1:9">
      <c r="A46" s="59">
        <f t="shared" si="0"/>
        <v>2</v>
      </c>
      <c r="B46" s="59">
        <f t="shared" si="1"/>
        <v>2017</v>
      </c>
      <c r="C46" s="18">
        <f ca="1">OFFSET(Mercado!$A$1,MATCH(A46,Mercado!$A$2:$A$11,0),MATCH(B46,Mercado!$B$1:$AN$1,0),1,1)</f>
        <v>11281.72912</v>
      </c>
      <c r="D46" s="18">
        <f ca="1">OFFSET(CompPerdasIntercambio!$A$1,MATCH(A46,CompPerdasIntercambio!$A$2:$A$11,0),MATCH(B46,CompPerdasIntercambio!$B$1:$AN$1,0),1,1)</f>
        <v>0</v>
      </c>
      <c r="E46" s="18">
        <f ca="1">OFFSET(GerNaoDesp!$A$1,MATCH(A46,GerNaoDesp!$A$2:$A$9,0),MATCH(B46,GerNaoDesp!$B$1:$AN$1,0),1,1)</f>
        <v>5.5780095062822674</v>
      </c>
      <c r="F46" s="58">
        <f ca="1">OFFSET(MercadoPonta!$A$1,MATCH(A46,MercadoPonta!$A$2:$A$11,0),MATCH(B46,MercadoPonta!$B$1:$AN$1,0),1,1)</f>
        <v>17620.766988952902</v>
      </c>
      <c r="G46" s="432">
        <f ca="1">OFFSET(GerNaoDesp!$A$18,MATCH(A46,GerNaoDesp!$A$19:$A$25,0),MATCH(B46,GerNaoDesp!$B$18:$AN$18,0),1,1)</f>
        <v>2.841223789782267</v>
      </c>
      <c r="H46" s="24">
        <f ca="1">OFFSET(GerNaoDesp!$A$30,MATCH(A46,GerNaoDesp!$A$31:$A$37,0),MATCH(B46,GerNaoDesp!$B$30:$AN$30,0),1,1)</f>
        <v>0.82320000000000004</v>
      </c>
      <c r="I46" s="24">
        <f ca="1">OFFSET(GerNaoDesp!$A$42,MATCH(A46,GerNaoDesp!$A$43:$A$49,0),MATCH(B46,GerNaoDesp!$B$42:$AN$42,0),1,1)</f>
        <v>1.8400000000000001E-3</v>
      </c>
    </row>
    <row r="47" spans="1:9">
      <c r="A47" s="59">
        <f t="shared" si="0"/>
        <v>2</v>
      </c>
      <c r="B47" s="59">
        <f t="shared" si="1"/>
        <v>2018</v>
      </c>
      <c r="C47" s="18">
        <f ca="1">OFFSET(Mercado!$A$1,MATCH(A47,Mercado!$A$2:$A$11,0),MATCH(B47,Mercado!$B$1:$AN$1,0),1,1)</f>
        <v>11485.670169999999</v>
      </c>
      <c r="D47" s="18">
        <f ca="1">OFFSET(CompPerdasIntercambio!$A$1,MATCH(A47,CompPerdasIntercambio!$A$2:$A$11,0),MATCH(B47,CompPerdasIntercambio!$B$1:$AN$1,0),1,1)</f>
        <v>0</v>
      </c>
      <c r="E47" s="18">
        <f ca="1">OFFSET(GerNaoDesp!$A$1,MATCH(A47,GerNaoDesp!$A$2:$A$9,0),MATCH(B47,GerNaoDesp!$B$1:$AN$1,0),1,1)</f>
        <v>18.55700339175479</v>
      </c>
      <c r="F47" s="58">
        <f ca="1">OFFSET(MercadoPonta!$A$1,MATCH(A47,MercadoPonta!$A$2:$A$11,0),MATCH(B47,MercadoPonta!$B$1:$AN$1,0),1,1)</f>
        <v>17338.203805468151</v>
      </c>
      <c r="G47" s="432">
        <f ca="1">OFFSET(GerNaoDesp!$A$18,MATCH(A47,GerNaoDesp!$A$19:$A$25,0),MATCH(B47,GerNaoDesp!$B$18:$AN$18,0),1,1)</f>
        <v>10.54965767900479</v>
      </c>
      <c r="H47" s="24">
        <f ca="1">OFFSET(GerNaoDesp!$A$30,MATCH(A47,GerNaoDesp!$A$31:$A$37,0),MATCH(B47,GerNaoDesp!$B$30:$AN$30,0),1,1)</f>
        <v>4.8384</v>
      </c>
      <c r="I47" s="24">
        <f ca="1">OFFSET(GerNaoDesp!$A$42,MATCH(A47,GerNaoDesp!$A$43:$A$49,0),MATCH(B47,GerNaoDesp!$B$42:$AN$42,0),1,1)</f>
        <v>1.5180000000000001E-2</v>
      </c>
    </row>
    <row r="48" spans="1:9">
      <c r="A48" s="59">
        <f t="shared" si="0"/>
        <v>2</v>
      </c>
      <c r="B48" s="59">
        <f t="shared" si="1"/>
        <v>2019</v>
      </c>
      <c r="C48" s="18">
        <f ca="1">OFFSET(Mercado!$A$1,MATCH(A48,Mercado!$A$2:$A$11,0),MATCH(B48,Mercado!$B$1:$AN$1,0),1,1)</f>
        <v>12096.368654684919</v>
      </c>
      <c r="D48" s="18">
        <f ca="1">OFFSET(CompPerdasIntercambio!$A$1,MATCH(A48,CompPerdasIntercambio!$A$2:$A$11,0),MATCH(B48,CompPerdasIntercambio!$B$1:$AN$1,0),1,1)</f>
        <v>0</v>
      </c>
      <c r="E48" s="18">
        <f ca="1">OFFSET(GerNaoDesp!$A$1,MATCH(A48,GerNaoDesp!$A$2:$A$9,0),MATCH(B48,GerNaoDesp!$B$1:$AN$1,0),1,1)</f>
        <v>46.167958278118299</v>
      </c>
      <c r="F48" s="58">
        <f ca="1">OFFSET(MercadoPonta!$A$1,MATCH(A48,MercadoPonta!$A$2:$A$11,0),MATCH(B48,MercadoPonta!$B$1:$AN$1,0),1,1)</f>
        <v>18307.209101652526</v>
      </c>
      <c r="G48" s="432">
        <f ca="1">OFFSET(GerNaoDesp!$A$18,MATCH(A48,GerNaoDesp!$A$19:$A$25,0),MATCH(B48,GerNaoDesp!$B$18:$AN$18,0),1,1)</f>
        <v>25.654563475349828</v>
      </c>
      <c r="H48" s="24">
        <f ca="1">OFFSET(GerNaoDesp!$A$30,MATCH(A48,GerNaoDesp!$A$31:$A$37,0),MATCH(B48,GerNaoDesp!$B$30:$AN$30,0),1,1)</f>
        <v>13.834100000000001</v>
      </c>
      <c r="I48" s="24">
        <f ca="1">OFFSET(GerNaoDesp!$A$42,MATCH(A48,GerNaoDesp!$A$43:$A$49,0),MATCH(B48,GerNaoDesp!$B$42:$AN$42,0),1,1)</f>
        <v>4.6920000000000003E-2</v>
      </c>
    </row>
    <row r="49" spans="1:9">
      <c r="A49" s="59">
        <f t="shared" si="0"/>
        <v>2</v>
      </c>
      <c r="B49" s="59">
        <f t="shared" si="1"/>
        <v>2020</v>
      </c>
      <c r="C49" s="18">
        <f ca="1">OFFSET(Mercado!$A$1,MATCH(A49,Mercado!$A$2:$A$11,0),MATCH(B49,Mercado!$B$1:$AN$1,0),1,1)</f>
        <v>12626.317359427154</v>
      </c>
      <c r="D49" s="18">
        <f ca="1">OFFSET(CompPerdasIntercambio!$A$1,MATCH(A49,CompPerdasIntercambio!$A$2:$A$11,0),MATCH(B49,CompPerdasIntercambio!$B$1:$AN$1,0),1,1)</f>
        <v>0</v>
      </c>
      <c r="E49" s="18">
        <f ca="1">OFFSET(GerNaoDesp!$A$1,MATCH(A49,GerNaoDesp!$A$2:$A$9,0),MATCH(B49,GerNaoDesp!$B$1:$AN$1,0),1,1)</f>
        <v>86.152023624688553</v>
      </c>
      <c r="F49" s="58">
        <f ca="1">OFFSET(MercadoPonta!$A$1,MATCH(A49,MercadoPonta!$A$2:$A$11,0),MATCH(B49,MercadoPonta!$B$1:$AN$1,0),1,1)</f>
        <v>19089.784529892186</v>
      </c>
      <c r="G49" s="432">
        <f ca="1">OFFSET(GerNaoDesp!$A$18,MATCH(A49,GerNaoDesp!$A$19:$A$25,0),MATCH(B49,GerNaoDesp!$B$18:$AN$18,0),1,1)</f>
        <v>45.201332739960854</v>
      </c>
      <c r="H49" s="24">
        <f ca="1">OFFSET(GerNaoDesp!$A$30,MATCH(A49,GerNaoDesp!$A$31:$A$37,0),MATCH(B49,GerNaoDesp!$B$30:$AN$30,0),1,1)</f>
        <v>27.197799999999997</v>
      </c>
      <c r="I49" s="24">
        <f ca="1">OFFSET(GerNaoDesp!$A$42,MATCH(A49,GerNaoDesp!$A$43:$A$49,0),MATCH(B49,GerNaoDesp!$B$42:$AN$42,0),1,1)</f>
        <v>8.3720000000000017E-2</v>
      </c>
    </row>
    <row r="50" spans="1:9">
      <c r="A50" s="59">
        <f t="shared" si="0"/>
        <v>2</v>
      </c>
      <c r="B50" s="59">
        <f t="shared" si="1"/>
        <v>2021</v>
      </c>
      <c r="C50" s="18">
        <f ca="1">OFFSET(Mercado!$A$1,MATCH(A50,Mercado!$A$2:$A$11,0),MATCH(B50,Mercado!$B$1:$AN$1,0),1,1)</f>
        <v>13192.039395337921</v>
      </c>
      <c r="D50" s="18">
        <f ca="1">OFFSET(CompPerdasIntercambio!$A$1,MATCH(A50,CompPerdasIntercambio!$A$2:$A$11,0),MATCH(B50,CompPerdasIntercambio!$B$1:$AN$1,0),1,1)</f>
        <v>0</v>
      </c>
      <c r="E50" s="18">
        <f ca="1">OFFSET(GerNaoDesp!$A$1,MATCH(A50,GerNaoDesp!$A$2:$A$9,0),MATCH(B50,GerNaoDesp!$B$1:$AN$1,0),1,1)</f>
        <v>119.76098430932448</v>
      </c>
      <c r="F50" s="58">
        <f ca="1">OFFSET(MercadoPonta!$A$1,MATCH(A50,MercadoPonta!$A$2:$A$11,0),MATCH(B50,MercadoPonta!$B$1:$AN$1,0),1,1)</f>
        <v>19929.52503417974</v>
      </c>
      <c r="G50" s="432">
        <f ca="1">OFFSET(GerNaoDesp!$A$18,MATCH(A50,GerNaoDesp!$A$19:$A$25,0),MATCH(B50,GerNaoDesp!$B$18:$AN$18,0),1,1)</f>
        <v>60.021575847369064</v>
      </c>
      <c r="H50" s="24">
        <f ca="1">OFFSET(GerNaoDesp!$A$30,MATCH(A50,GerNaoDesp!$A$31:$A$37,0),MATCH(B50,GerNaoDesp!$B$30:$AN$30,0),1,1)</f>
        <v>36.315999999999995</v>
      </c>
      <c r="I50" s="24">
        <f ca="1">OFFSET(GerNaoDesp!$A$42,MATCH(A50,GerNaoDesp!$A$43:$A$49,0),MATCH(B50,GerNaoDesp!$B$42:$AN$42,0),1,1)</f>
        <v>0.11132000000000002</v>
      </c>
    </row>
    <row r="51" spans="1:9">
      <c r="A51" s="59">
        <f t="shared" si="0"/>
        <v>2</v>
      </c>
      <c r="B51" s="59">
        <f t="shared" si="1"/>
        <v>2022</v>
      </c>
      <c r="C51" s="18">
        <f ca="1">OFFSET(Mercado!$A$1,MATCH(A51,Mercado!$A$2:$A$11,0),MATCH(B51,Mercado!$B$1:$AN$1,0),1,1)</f>
        <v>13797.865811148409</v>
      </c>
      <c r="D51" s="18">
        <f ca="1">OFFSET(CompPerdasIntercambio!$A$1,MATCH(A51,CompPerdasIntercambio!$A$2:$A$11,0),MATCH(B51,CompPerdasIntercambio!$B$1:$AN$1,0),1,1)</f>
        <v>0</v>
      </c>
      <c r="E51" s="18">
        <f ca="1">OFFSET(GerNaoDesp!$A$1,MATCH(A51,GerNaoDesp!$A$2:$A$9,0),MATCH(B51,GerNaoDesp!$B$1:$AN$1,0),1,1)</f>
        <v>147.31321053277</v>
      </c>
      <c r="F51" s="58">
        <f ca="1">OFFSET(MercadoPonta!$A$1,MATCH(A51,MercadoPonta!$A$2:$A$11,0),MATCH(B51,MercadoPonta!$B$1:$AN$1,0),1,1)</f>
        <v>20833.347503693767</v>
      </c>
      <c r="G51" s="432">
        <f ca="1">OFFSET(GerNaoDesp!$A$18,MATCH(A51,GerNaoDesp!$A$19:$A$25,0),MATCH(B51,GerNaoDesp!$B$18:$AN$18,0),1,1)</f>
        <v>70.426888251111947</v>
      </c>
      <c r="H51" s="24">
        <f ca="1">OFFSET(GerNaoDesp!$A$30,MATCH(A51,GerNaoDesp!$A$31:$A$37,0),MATCH(B51,GerNaoDesp!$B$30:$AN$30,0),1,1)</f>
        <v>40.347999999999999</v>
      </c>
      <c r="I51" s="24">
        <f ca="1">OFFSET(GerNaoDesp!$A$42,MATCH(A51,GerNaoDesp!$A$43:$A$49,0),MATCH(B51,GerNaoDesp!$B$42:$AN$42,0),1,1)</f>
        <v>0.14237000000000002</v>
      </c>
    </row>
    <row r="52" spans="1:9">
      <c r="A52" s="59">
        <f t="shared" si="0"/>
        <v>2</v>
      </c>
      <c r="B52" s="59">
        <f t="shared" si="1"/>
        <v>2023</v>
      </c>
      <c r="C52" s="18">
        <f ca="1">OFFSET(Mercado!$A$1,MATCH(A52,Mercado!$A$2:$A$11,0),MATCH(B52,Mercado!$B$1:$AN$1,0),1,1)</f>
        <v>14416.273482162562</v>
      </c>
      <c r="D52" s="18">
        <f ca="1">OFFSET(CompPerdasIntercambio!$A$1,MATCH(A52,CompPerdasIntercambio!$A$2:$A$11,0),MATCH(B52,CompPerdasIntercambio!$B$1:$AN$1,0),1,1)</f>
        <v>0</v>
      </c>
      <c r="E52" s="18">
        <f ca="1">OFFSET(GerNaoDesp!$A$1,MATCH(A52,GerNaoDesp!$A$2:$A$9,0),MATCH(B52,GerNaoDesp!$B$1:$AN$1,0),1,1)</f>
        <v>190.29587416015164</v>
      </c>
      <c r="F52" s="58">
        <f ca="1">OFFSET(MercadoPonta!$A$1,MATCH(A52,MercadoPonta!$A$2:$A$11,0),MATCH(B52,MercadoPonta!$B$1:$AN$1,0),1,1)</f>
        <v>21751.56180229878</v>
      </c>
      <c r="G52" s="432">
        <f ca="1">OFFSET(GerNaoDesp!$A$18,MATCH(A52,GerNaoDesp!$A$19:$A$25,0),MATCH(B52,GerNaoDesp!$B$18:$AN$18,0),1,1)</f>
        <v>90.924708159676371</v>
      </c>
      <c r="H52" s="24">
        <f ca="1">OFFSET(GerNaoDesp!$A$30,MATCH(A52,GerNaoDesp!$A$31:$A$37,0),MATCH(B52,GerNaoDesp!$B$30:$AN$30,0),1,1)</f>
        <v>46.316899999999997</v>
      </c>
      <c r="I52" s="24">
        <f ca="1">OFFSET(GerNaoDesp!$A$42,MATCH(A52,GerNaoDesp!$A$43:$A$49,0),MATCH(B52,GerNaoDesp!$B$42:$AN$42,0),1,1)</f>
        <v>0.18675999999999998</v>
      </c>
    </row>
    <row r="53" spans="1:9">
      <c r="A53" s="59">
        <f t="shared" si="0"/>
        <v>2</v>
      </c>
      <c r="B53" s="59">
        <f t="shared" si="1"/>
        <v>2024</v>
      </c>
      <c r="C53" s="18">
        <f ca="1">OFFSET(Mercado!$A$1,MATCH(A53,Mercado!$A$2:$A$11,0),MATCH(B53,Mercado!$B$1:$AN$1,0),1,1)</f>
        <v>15069.915879977259</v>
      </c>
      <c r="D53" s="18">
        <f ca="1">OFFSET(CompPerdasIntercambio!$A$1,MATCH(A53,CompPerdasIntercambio!$A$2:$A$11,0),MATCH(B53,CompPerdasIntercambio!$B$1:$AN$1,0),1,1)</f>
        <v>0</v>
      </c>
      <c r="E53" s="18">
        <f ca="1">OFFSET(GerNaoDesp!$A$1,MATCH(A53,GerNaoDesp!$A$2:$A$9,0),MATCH(B53,GerNaoDesp!$B$1:$AN$1,0),1,1)</f>
        <v>249.04328536407291</v>
      </c>
      <c r="F53" s="58">
        <f ca="1">OFFSET(MercadoPonta!$A$1,MATCH(A53,MercadoPonta!$A$2:$A$11,0),MATCH(B53,MercadoPonta!$B$1:$AN$1,0),1,1)</f>
        <v>22719.04478472476</v>
      </c>
      <c r="G53" s="432">
        <f ca="1">OFFSET(GerNaoDesp!$A$18,MATCH(A53,GerNaoDesp!$A$19:$A$25,0),MATCH(B53,GerNaoDesp!$B$18:$AN$18,0),1,1)</f>
        <v>122.29661577548089</v>
      </c>
      <c r="H53" s="24">
        <f ca="1">OFFSET(GerNaoDesp!$A$30,MATCH(A53,GerNaoDesp!$A$31:$A$37,0),MATCH(B53,GerNaoDesp!$B$30:$AN$30,0),1,1)</f>
        <v>53.672500000000007</v>
      </c>
      <c r="I53" s="24">
        <f ca="1">OFFSET(GerNaoDesp!$A$42,MATCH(A53,GerNaoDesp!$A$43:$A$49,0),MATCH(B53,GerNaoDesp!$B$42:$AN$42,0),1,1)</f>
        <v>0.24333999999999997</v>
      </c>
    </row>
    <row r="54" spans="1:9">
      <c r="A54" s="59">
        <f t="shared" si="0"/>
        <v>2</v>
      </c>
      <c r="B54" s="59">
        <f t="shared" si="1"/>
        <v>2025</v>
      </c>
      <c r="C54" s="18">
        <f ca="1">OFFSET(Mercado!$A$1,MATCH(A54,Mercado!$A$2:$A$11,0),MATCH(B54,Mercado!$B$1:$AN$1,0),1,1)</f>
        <v>15748.6690236797</v>
      </c>
      <c r="D54" s="18">
        <f ca="1">OFFSET(CompPerdasIntercambio!$A$1,MATCH(A54,CompPerdasIntercambio!$A$2:$A$11,0),MATCH(B54,CompPerdasIntercambio!$B$1:$AN$1,0),1,1)</f>
        <v>0</v>
      </c>
      <c r="E54" s="18">
        <f ca="1">OFFSET(GerNaoDesp!$A$1,MATCH(A54,GerNaoDesp!$A$2:$A$9,0),MATCH(B54,GerNaoDesp!$B$1:$AN$1,0),1,1)</f>
        <v>320.0590139243472</v>
      </c>
      <c r="F54" s="58">
        <f ca="1">OFFSET(MercadoPonta!$A$1,MATCH(A54,MercadoPonta!$A$2:$A$11,0),MATCH(B54,MercadoPonta!$B$1:$AN$1,0),1,1)</f>
        <v>23718.495884176555</v>
      </c>
      <c r="G54" s="432">
        <f ca="1">OFFSET(GerNaoDesp!$A$18,MATCH(A54,GerNaoDesp!$A$19:$A$25,0),MATCH(B54,GerNaoDesp!$B$18:$AN$18,0),1,1)</f>
        <v>158.02178832231894</v>
      </c>
      <c r="H54" s="24">
        <f ca="1">OFFSET(GerNaoDesp!$A$30,MATCH(A54,GerNaoDesp!$A$31:$A$37,0),MATCH(B54,GerNaoDesp!$B$30:$AN$30,0),1,1)</f>
        <v>61.848499999999987</v>
      </c>
      <c r="I54" s="24">
        <f ca="1">OFFSET(GerNaoDesp!$A$42,MATCH(A54,GerNaoDesp!$A$43:$A$49,0),MATCH(B54,GerNaoDesp!$B$42:$AN$42,0),1,1)</f>
        <v>0.30452000000000001</v>
      </c>
    </row>
    <row r="55" spans="1:9">
      <c r="A55" s="59">
        <f t="shared" si="0"/>
        <v>2</v>
      </c>
      <c r="B55" s="59">
        <f t="shared" si="1"/>
        <v>2026</v>
      </c>
      <c r="C55" s="18">
        <f ca="1">OFFSET(Mercado!$A$1,MATCH(A55,Mercado!$A$2:$A$11,0),MATCH(B55,Mercado!$B$1:$AN$1,0),1,1)</f>
        <v>16297.836632358432</v>
      </c>
      <c r="D55" s="18">
        <f ca="1">OFFSET(CompPerdasIntercambio!$A$1,MATCH(A55,CompPerdasIntercambio!$A$2:$A$11,0),MATCH(B55,CompPerdasIntercambio!$B$1:$AN$1,0),1,1)</f>
        <v>0</v>
      </c>
      <c r="E55" s="18">
        <f ca="1">OFFSET(GerNaoDesp!$A$1,MATCH(A55,GerNaoDesp!$A$2:$A$9,0),MATCH(B55,GerNaoDesp!$B$1:$AN$1,0),1,1)</f>
        <v>400.20978334682479</v>
      </c>
      <c r="F55" s="58">
        <f ca="1">OFFSET(MercadoPonta!$A$1,MATCH(A55,MercadoPonta!$A$2:$A$11,0),MATCH(B55,MercadoPonta!$B$1:$AN$1,0),1,1)</f>
        <v>24516.680462147218</v>
      </c>
      <c r="G55" s="432">
        <f ca="1">OFFSET(GerNaoDesp!$A$18,MATCH(A55,GerNaoDesp!$A$19:$A$25,0),MATCH(B55,GerNaoDesp!$B$18:$AN$18,0),1,1)</f>
        <v>196.66551874082333</v>
      </c>
      <c r="H55" s="24">
        <f ca="1">OFFSET(GerNaoDesp!$A$30,MATCH(A55,GerNaoDesp!$A$31:$A$37,0),MATCH(B55,GerNaoDesp!$B$30:$AN$30,0),1,1)</f>
        <v>71.026899999999983</v>
      </c>
      <c r="I55" s="24">
        <f ca="1">OFFSET(GerNaoDesp!$A$42,MATCH(A55,GerNaoDesp!$A$43:$A$49,0),MATCH(B55,GerNaoDesp!$B$42:$AN$42,0),1,1)</f>
        <v>0.36753999999999998</v>
      </c>
    </row>
    <row r="56" spans="1:9">
      <c r="A56" s="59">
        <f t="shared" si="0"/>
        <v>2</v>
      </c>
      <c r="B56" s="59">
        <f t="shared" si="1"/>
        <v>2027</v>
      </c>
      <c r="C56" s="18">
        <f ca="1">OFFSET(Mercado!$A$1,MATCH(A56,Mercado!$A$2:$A$11,0),MATCH(B56,Mercado!$B$1:$AN$1,0),1,1)</f>
        <v>16860.161400565823</v>
      </c>
      <c r="D56" s="18">
        <f ca="1">OFFSET(CompPerdasIntercambio!$A$1,MATCH(A56,CompPerdasIntercambio!$A$2:$A$11,0),MATCH(B56,CompPerdasIntercambio!$B$1:$AN$1,0),1,1)</f>
        <v>0</v>
      </c>
      <c r="E56" s="18">
        <f ca="1">OFFSET(GerNaoDesp!$A$1,MATCH(A56,GerNaoDesp!$A$2:$A$9,0),MATCH(B56,GerNaoDesp!$B$1:$AN$1,0),1,1)</f>
        <v>487.54445087768283</v>
      </c>
      <c r="F56" s="58">
        <f ca="1">OFFSET(MercadoPonta!$A$1,MATCH(A56,MercadoPonta!$A$2:$A$11,0),MATCH(B56,MercadoPonta!$B$1:$AN$1,0),1,1)</f>
        <v>25329.746381516761</v>
      </c>
      <c r="G56" s="432">
        <f ca="1">OFFSET(GerNaoDesp!$A$18,MATCH(A56,GerNaoDesp!$A$19:$A$25,0),MATCH(B56,GerNaoDesp!$B$18:$AN$18,0),1,1)</f>
        <v>236.50578899456258</v>
      </c>
      <c r="H56" s="24">
        <f ca="1">OFFSET(GerNaoDesp!$A$30,MATCH(A56,GerNaoDesp!$A$31:$A$37,0),MATCH(B56,GerNaoDesp!$B$30:$AN$30,0),1,1)</f>
        <v>81.916099999999986</v>
      </c>
      <c r="I56" s="24">
        <f ca="1">OFFSET(GerNaoDesp!$A$42,MATCH(A56,GerNaoDesp!$A$43:$A$49,0),MATCH(B56,GerNaoDesp!$B$42:$AN$42,0),1,1)</f>
        <v>0.43378000000000005</v>
      </c>
    </row>
    <row r="57" spans="1:9">
      <c r="A57" s="59">
        <f t="shared" si="0"/>
        <v>2</v>
      </c>
      <c r="B57" s="59">
        <f t="shared" si="1"/>
        <v>2028</v>
      </c>
      <c r="C57" s="18">
        <f ca="1">OFFSET(Mercado!$A$1,MATCH(A57,Mercado!$A$2:$A$11,0),MATCH(B57,Mercado!$B$1:$AN$1,0),1,1)</f>
        <v>17489.391426263905</v>
      </c>
      <c r="D57" s="18">
        <f ca="1">OFFSET(CompPerdasIntercambio!$A$1,MATCH(A57,CompPerdasIntercambio!$A$2:$A$11,0),MATCH(B57,CompPerdasIntercambio!$B$1:$AN$1,0),1,1)</f>
        <v>0</v>
      </c>
      <c r="E57" s="18">
        <f ca="1">OFFSET(GerNaoDesp!$A$1,MATCH(A57,GerNaoDesp!$A$2:$A$9,0),MATCH(B57,GerNaoDesp!$B$1:$AN$1,0),1,1)</f>
        <v>582.44356110083379</v>
      </c>
      <c r="F57" s="58">
        <f ca="1">OFFSET(MercadoPonta!$A$1,MATCH(A57,MercadoPonta!$A$2:$A$11,0),MATCH(B57,MercadoPonta!$B$1:$AN$1,0),1,1)</f>
        <v>26237.86119844723</v>
      </c>
      <c r="G57" s="432">
        <f ca="1">OFFSET(GerNaoDesp!$A$18,MATCH(A57,GerNaoDesp!$A$19:$A$25,0),MATCH(B57,GerNaoDesp!$B$18:$AN$18,0),1,1)</f>
        <v>276.45008260669744</v>
      </c>
      <c r="H57" s="24">
        <f ca="1">OFFSET(GerNaoDesp!$A$30,MATCH(A57,GerNaoDesp!$A$31:$A$37,0),MATCH(B57,GerNaoDesp!$B$30:$AN$30,0),1,1)</f>
        <v>94.996999999999986</v>
      </c>
      <c r="I57" s="24">
        <f ca="1">OFFSET(GerNaoDesp!$A$42,MATCH(A57,GerNaoDesp!$A$43:$A$49,0),MATCH(B57,GerNaoDesp!$B$42:$AN$42,0),1,1)</f>
        <v>0.50323999999999991</v>
      </c>
    </row>
    <row r="58" spans="1:9">
      <c r="A58" s="59">
        <f t="shared" si="0"/>
        <v>2</v>
      </c>
      <c r="B58" s="59">
        <f t="shared" si="1"/>
        <v>2029</v>
      </c>
      <c r="C58" s="18">
        <f ca="1">OFFSET(Mercado!$A$1,MATCH(A58,Mercado!$A$2:$A$11,0),MATCH(B58,Mercado!$B$1:$AN$1,0),1,1)</f>
        <v>18121.745771083723</v>
      </c>
      <c r="D58" s="18">
        <f ca="1">OFFSET(CompPerdasIntercambio!$A$1,MATCH(A58,CompPerdasIntercambio!$A$2:$A$11,0),MATCH(B58,CompPerdasIntercambio!$B$1:$AN$1,0),1,1)</f>
        <v>0</v>
      </c>
      <c r="E58" s="18">
        <f ca="1">OFFSET(GerNaoDesp!$A$1,MATCH(A58,GerNaoDesp!$A$2:$A$9,0),MATCH(B58,GerNaoDesp!$B$1:$AN$1,0),1,1)</f>
        <v>683.53312262617897</v>
      </c>
      <c r="F58" s="58">
        <f ca="1">OFFSET(MercadoPonta!$A$1,MATCH(A58,MercadoPonta!$A$2:$A$11,0),MATCH(B58,MercadoPonta!$B$1:$AN$1,0),1,1)</f>
        <v>27144.97227340252</v>
      </c>
      <c r="G58" s="432">
        <f ca="1">OFFSET(GerNaoDesp!$A$18,MATCH(A58,GerNaoDesp!$A$19:$A$25,0),MATCH(B58,GerNaoDesp!$B$18:$AN$18,0),1,1)</f>
        <v>316.26735130836687</v>
      </c>
      <c r="H58" s="24">
        <f ca="1">OFFSET(GerNaoDesp!$A$30,MATCH(A58,GerNaoDesp!$A$31:$A$37,0),MATCH(B58,GerNaoDesp!$B$30:$AN$30,0),1,1)</f>
        <v>110.8492</v>
      </c>
      <c r="I58" s="24">
        <f ca="1">OFFSET(GerNaoDesp!$A$42,MATCH(A58,GerNaoDesp!$A$43:$A$49,0),MATCH(B58,GerNaoDesp!$B$42:$AN$42,0),1,1)</f>
        <v>0.57384999999999997</v>
      </c>
    </row>
    <row r="59" spans="1:9">
      <c r="A59" s="59">
        <f t="shared" si="0"/>
        <v>2</v>
      </c>
      <c r="B59" s="59">
        <f t="shared" si="1"/>
        <v>2030</v>
      </c>
      <c r="C59" s="18">
        <f ca="1">OFFSET(Mercado!$A$1,MATCH(A59,Mercado!$A$2:$A$11,0),MATCH(B59,Mercado!$B$1:$AN$1,0),1,1)</f>
        <v>18718.889079853063</v>
      </c>
      <c r="D59" s="18">
        <f ca="1">OFFSET(CompPerdasIntercambio!$A$1,MATCH(A59,CompPerdasIntercambio!$A$2:$A$11,0),MATCH(B59,CompPerdasIntercambio!$B$1:$AN$1,0),1,1)</f>
        <v>0</v>
      </c>
      <c r="E59" s="18">
        <f ca="1">OFFSET(GerNaoDesp!$A$1,MATCH(A59,GerNaoDesp!$A$2:$A$9,0),MATCH(B59,GerNaoDesp!$B$1:$AN$1,0),1,1)</f>
        <v>791.19223822629567</v>
      </c>
      <c r="F59" s="58">
        <f ca="1">OFFSET(MercadoPonta!$A$1,MATCH(A59,MercadoPonta!$A$2:$A$11,0),MATCH(B59,MercadoPonta!$B$1:$AN$1,0),1,1)</f>
        <v>27992.58001081122</v>
      </c>
      <c r="G59" s="432">
        <f ca="1">OFFSET(GerNaoDesp!$A$18,MATCH(A59,GerNaoDesp!$A$19:$A$25,0),MATCH(B59,GerNaoDesp!$B$18:$AN$18,0),1,1)</f>
        <v>356.33739893289953</v>
      </c>
      <c r="H59" s="24">
        <f ca="1">OFFSET(GerNaoDesp!$A$30,MATCH(A59,GerNaoDesp!$A$31:$A$37,0),MATCH(B59,GerNaoDesp!$B$30:$AN$30,0),1,1)</f>
        <v>130.46600000000001</v>
      </c>
      <c r="I59" s="24">
        <f ca="1">OFFSET(GerNaoDesp!$A$42,MATCH(A59,GerNaoDesp!$A$43:$A$49,0),MATCH(B59,GerNaoDesp!$B$42:$AN$42,0),1,1)</f>
        <v>0.64377000000000006</v>
      </c>
    </row>
    <row r="60" spans="1:9">
      <c r="A60" s="59">
        <f t="shared" si="0"/>
        <v>2</v>
      </c>
      <c r="B60" s="59">
        <f t="shared" si="1"/>
        <v>2031</v>
      </c>
      <c r="C60" s="18">
        <f ca="1">OFFSET(Mercado!$A$1,MATCH(A60,Mercado!$A$2:$A$11,0),MATCH(B60,Mercado!$B$1:$AN$1,0),1,1)</f>
        <v>19354.693093210321</v>
      </c>
      <c r="D60" s="18">
        <f ca="1">OFFSET(CompPerdasIntercambio!$A$1,MATCH(A60,CompPerdasIntercambio!$A$2:$A$11,0),MATCH(B60,CompPerdasIntercambio!$B$1:$AN$1,0),1,1)</f>
        <v>0</v>
      </c>
      <c r="E60" s="18">
        <f ca="1">OFFSET(GerNaoDesp!$A$1,MATCH(A60,GerNaoDesp!$A$2:$A$9,0),MATCH(B60,GerNaoDesp!$B$1:$AN$1,0),1,1)</f>
        <v>893.55790609832923</v>
      </c>
      <c r="F60" s="58">
        <f ca="1">OFFSET(MercadoPonta!$A$1,MATCH(A60,MercadoPonta!$A$2:$A$11,0),MATCH(B60,MercadoPonta!$B$1:$AN$1,0),1,1)</f>
        <v>28899.106683353126</v>
      </c>
      <c r="G60" s="432">
        <f ca="1">OFFSET(GerNaoDesp!$A$18,MATCH(A60,GerNaoDesp!$A$19:$A$25,0),MATCH(B60,GerNaoDesp!$B$18:$AN$18,0),1,1)</f>
        <v>391.42071882934914</v>
      </c>
      <c r="H60" s="24">
        <f ca="1">OFFSET(GerNaoDesp!$A$30,MATCH(A60,GerNaoDesp!$A$31:$A$37,0),MATCH(B60,GerNaoDesp!$B$30:$AN$30,0),1,1)</f>
        <v>149.78389999999999</v>
      </c>
      <c r="I60" s="24">
        <f ca="1">OFFSET(GerNaoDesp!$A$42,MATCH(A60,GerNaoDesp!$A$43:$A$49,0),MATCH(B60,GerNaoDesp!$B$42:$AN$42,0),1,1)</f>
        <v>0.70587</v>
      </c>
    </row>
    <row r="61" spans="1:9">
      <c r="A61" s="59">
        <f t="shared" si="0"/>
        <v>2</v>
      </c>
      <c r="B61" s="59">
        <f t="shared" si="1"/>
        <v>2032</v>
      </c>
      <c r="C61" s="18">
        <f ca="1">OFFSET(Mercado!$A$1,MATCH(A61,Mercado!$A$2:$A$11,0),MATCH(B61,Mercado!$B$1:$AN$1,0),1,1)</f>
        <v>20010.716410390938</v>
      </c>
      <c r="D61" s="18">
        <f ca="1">OFFSET(CompPerdasIntercambio!$A$1,MATCH(A61,CompPerdasIntercambio!$A$2:$A$11,0),MATCH(B61,CompPerdasIntercambio!$B$1:$AN$1,0),1,1)</f>
        <v>0</v>
      </c>
      <c r="E61" s="18">
        <f ca="1">OFFSET(GerNaoDesp!$A$1,MATCH(A61,GerNaoDesp!$A$2:$A$9,0),MATCH(B61,GerNaoDesp!$B$1:$AN$1,0),1,1)</f>
        <v>988.18923328513677</v>
      </c>
      <c r="F61" s="58">
        <f ca="1">OFFSET(MercadoPonta!$A$1,MATCH(A61,MercadoPonta!$A$2:$A$11,0),MATCH(B61,MercadoPonta!$B$1:$AN$1,0),1,1)</f>
        <v>29838.887379721014</v>
      </c>
      <c r="G61" s="432">
        <f ca="1">OFFSET(GerNaoDesp!$A$18,MATCH(A61,GerNaoDesp!$A$19:$A$25,0),MATCH(B61,GerNaoDesp!$B$18:$AN$18,0),1,1)</f>
        <v>421.39331641460359</v>
      </c>
      <c r="H61" s="24">
        <f ca="1">OFFSET(GerNaoDesp!$A$30,MATCH(A61,GerNaoDesp!$A$31:$A$37,0),MATCH(B61,GerNaoDesp!$B$30:$AN$30,0),1,1)</f>
        <v>167.37279999999998</v>
      </c>
      <c r="I61" s="24">
        <f ca="1">OFFSET(GerNaoDesp!$A$42,MATCH(A61,GerNaoDesp!$A$43:$A$49,0),MATCH(B61,GerNaoDesp!$B$42:$AN$42,0),1,1)</f>
        <v>0.75900000000000001</v>
      </c>
    </row>
    <row r="62" spans="1:9">
      <c r="A62" s="59">
        <f t="shared" si="0"/>
        <v>2</v>
      </c>
      <c r="B62" s="59">
        <f t="shared" si="1"/>
        <v>2033</v>
      </c>
      <c r="C62" s="18">
        <f ca="1">OFFSET(Mercado!$A$1,MATCH(A62,Mercado!$A$2:$A$11,0),MATCH(B62,Mercado!$B$1:$AN$1,0),1,1)</f>
        <v>20669.196666587686</v>
      </c>
      <c r="D62" s="18">
        <f ca="1">OFFSET(CompPerdasIntercambio!$A$1,MATCH(A62,CompPerdasIntercambio!$A$2:$A$11,0),MATCH(B62,CompPerdasIntercambio!$B$1:$AN$1,0),1,1)</f>
        <v>0</v>
      </c>
      <c r="E62" s="18">
        <f ca="1">OFFSET(GerNaoDesp!$A$1,MATCH(A62,GerNaoDesp!$A$2:$A$9,0),MATCH(B62,GerNaoDesp!$B$1:$AN$1,0),1,1)</f>
        <v>1079.7482931196714</v>
      </c>
      <c r="F62" s="58">
        <f ca="1">OFFSET(MercadoPonta!$A$1,MATCH(A62,MercadoPonta!$A$2:$A$11,0),MATCH(B62,MercadoPonta!$B$1:$AN$1,0),1,1)</f>
        <v>30784.26414771007</v>
      </c>
      <c r="G62" s="432">
        <f ca="1">OFFSET(GerNaoDesp!$A$18,MATCH(A62,GerNaoDesp!$A$19:$A$25,0),MATCH(B62,GerNaoDesp!$B$18:$AN$18,0),1,1)</f>
        <v>451.83779963812225</v>
      </c>
      <c r="H62" s="24">
        <f ca="1">OFFSET(GerNaoDesp!$A$30,MATCH(A62,GerNaoDesp!$A$31:$A$37,0),MATCH(B62,GerNaoDesp!$B$30:$AN$30,0),1,1)</f>
        <v>186.62909999999999</v>
      </c>
      <c r="I62" s="24">
        <f ca="1">OFFSET(GerNaoDesp!$A$42,MATCH(A62,GerNaoDesp!$A$43:$A$49,0),MATCH(B62,GerNaoDesp!$B$42:$AN$42,0),1,1)</f>
        <v>0.81281999999999999</v>
      </c>
    </row>
    <row r="63" spans="1:9">
      <c r="A63" s="59">
        <f t="shared" si="0"/>
        <v>2</v>
      </c>
      <c r="B63" s="59">
        <f t="shared" si="1"/>
        <v>2034</v>
      </c>
      <c r="C63" s="18">
        <f ca="1">OFFSET(Mercado!$A$1,MATCH(A63,Mercado!$A$2:$A$11,0),MATCH(B63,Mercado!$B$1:$AN$1,0),1,1)</f>
        <v>21425.223088526967</v>
      </c>
      <c r="D63" s="18">
        <f ca="1">OFFSET(CompPerdasIntercambio!$A$1,MATCH(A63,CompPerdasIntercambio!$A$2:$A$11,0),MATCH(B63,CompPerdasIntercambio!$B$1:$AN$1,0),1,1)</f>
        <v>0</v>
      </c>
      <c r="E63" s="18">
        <f ca="1">OFFSET(GerNaoDesp!$A$1,MATCH(A63,GerNaoDesp!$A$2:$A$9,0),MATCH(B63,GerNaoDesp!$B$1:$AN$1,0),1,1)</f>
        <v>1169.2058379870762</v>
      </c>
      <c r="F63" s="58">
        <f ca="1">OFFSET(MercadoPonta!$A$1,MATCH(A63,MercadoPonta!$A$2:$A$11,0),MATCH(B63,MercadoPonta!$B$1:$AN$1,0),1,1)</f>
        <v>31878.784268269381</v>
      </c>
      <c r="G63" s="432">
        <f ca="1">OFFSET(GerNaoDesp!$A$18,MATCH(A63,GerNaoDesp!$A$19:$A$25,0),MATCH(B63,GerNaoDesp!$B$18:$AN$18,0),1,1)</f>
        <v>483.26201088504791</v>
      </c>
      <c r="H63" s="24">
        <f ca="1">OFFSET(GerNaoDesp!$A$30,MATCH(A63,GerNaoDesp!$A$31:$A$37,0),MATCH(B63,GerNaoDesp!$B$30:$AN$30,0),1,1)</f>
        <v>208.01409999999998</v>
      </c>
      <c r="I63" s="24">
        <f ca="1">OFFSET(GerNaoDesp!$A$42,MATCH(A63,GerNaoDesp!$A$43:$A$49,0),MATCH(B63,GerNaoDesp!$B$42:$AN$42,0),1,1)</f>
        <v>0.86894000000000005</v>
      </c>
    </row>
    <row r="64" spans="1:9">
      <c r="A64" s="59">
        <f t="shared" si="0"/>
        <v>2</v>
      </c>
      <c r="B64" s="59">
        <f t="shared" si="1"/>
        <v>2035</v>
      </c>
      <c r="C64" s="18">
        <f ca="1">OFFSET(Mercado!$A$1,MATCH(A64,Mercado!$A$2:$A$11,0),MATCH(B64,Mercado!$B$1:$AN$1,0),1,1)</f>
        <v>22128.538065666089</v>
      </c>
      <c r="D64" s="18">
        <f ca="1">OFFSET(CompPerdasIntercambio!$A$1,MATCH(A64,CompPerdasIntercambio!$A$2:$A$11,0),MATCH(B64,CompPerdasIntercambio!$B$1:$AN$1,0),1,1)</f>
        <v>0</v>
      </c>
      <c r="E64" s="18">
        <f ca="1">OFFSET(GerNaoDesp!$A$1,MATCH(A64,GerNaoDesp!$A$2:$A$9,0),MATCH(B64,GerNaoDesp!$B$1:$AN$1,0),1,1)</f>
        <v>1259.0200273979513</v>
      </c>
      <c r="F64" s="58">
        <f ca="1">OFFSET(MercadoPonta!$A$1,MATCH(A64,MercadoPonta!$A$2:$A$11,0),MATCH(B64,MercadoPonta!$B$1:$AN$1,0),1,1)</f>
        <v>32893.165437200194</v>
      </c>
      <c r="G64" s="432">
        <f ca="1">OFFSET(GerNaoDesp!$A$18,MATCH(A64,GerNaoDesp!$A$19:$A$25,0),MATCH(B64,GerNaoDesp!$B$18:$AN$18,0),1,1)</f>
        <v>516.0968728881038</v>
      </c>
      <c r="H64" s="24">
        <f ca="1">OFFSET(GerNaoDesp!$A$30,MATCH(A64,GerNaoDesp!$A$31:$A$37,0),MATCH(B64,GerNaoDesp!$B$30:$AN$30,0),1,1)</f>
        <v>231.88689999999997</v>
      </c>
      <c r="I64" s="24">
        <f ca="1">OFFSET(GerNaoDesp!$A$42,MATCH(A64,GerNaoDesp!$A$43:$A$49,0),MATCH(B64,GerNaoDesp!$B$42:$AN$42,0),1,1)</f>
        <v>0.92827999999999999</v>
      </c>
    </row>
    <row r="65" spans="1:9">
      <c r="A65" s="59">
        <f t="shared" si="0"/>
        <v>2</v>
      </c>
      <c r="B65" s="59">
        <f t="shared" si="1"/>
        <v>2036</v>
      </c>
      <c r="C65" s="18">
        <f ca="1">OFFSET(Mercado!$A$1,MATCH(A65,Mercado!$A$2:$A$11,0),MATCH(B65,Mercado!$B$1:$AN$1,0),1,1)</f>
        <v>22890.62118350216</v>
      </c>
      <c r="D65" s="18">
        <f ca="1">OFFSET(CompPerdasIntercambio!$A$1,MATCH(A65,CompPerdasIntercambio!$A$2:$A$11,0),MATCH(B65,CompPerdasIntercambio!$B$1:$AN$1,0),1,1)</f>
        <v>0</v>
      </c>
      <c r="E65" s="18">
        <f ca="1">OFFSET(GerNaoDesp!$A$1,MATCH(A65,GerNaoDesp!$A$2:$A$9,0),MATCH(B65,GerNaoDesp!$B$1:$AN$1,0),1,1)</f>
        <v>1347.4050969712393</v>
      </c>
      <c r="F65" s="58">
        <f ca="1">OFFSET(MercadoPonta!$A$1,MATCH(A65,MercadoPonta!$A$2:$A$11,0),MATCH(B65,MercadoPonta!$B$1:$AN$1,0),1,1)</f>
        <v>33997.737396167555</v>
      </c>
      <c r="G65" s="432">
        <f ca="1">OFFSET(GerNaoDesp!$A$18,MATCH(A65,GerNaoDesp!$A$19:$A$25,0),MATCH(B65,GerNaoDesp!$B$18:$AN$18,0),1,1)</f>
        <v>550.71496279131577</v>
      </c>
      <c r="H65" s="24">
        <f ca="1">OFFSET(GerNaoDesp!$A$30,MATCH(A65,GerNaoDesp!$A$31:$A$37,0),MATCH(B65,GerNaoDesp!$B$30:$AN$30,0),1,1)</f>
        <v>258.59119999999996</v>
      </c>
      <c r="I65" s="24">
        <f ca="1">OFFSET(GerNaoDesp!$A$42,MATCH(A65,GerNaoDesp!$A$43:$A$49,0),MATCH(B65,GerNaoDesp!$B$42:$AN$42,0),1,1)</f>
        <v>0.99083999999999994</v>
      </c>
    </row>
    <row r="66" spans="1:9">
      <c r="A66" s="59">
        <f t="shared" si="0"/>
        <v>2</v>
      </c>
      <c r="B66" s="59">
        <f t="shared" si="1"/>
        <v>2037</v>
      </c>
      <c r="C66" s="18">
        <f ca="1">OFFSET(Mercado!$A$1,MATCH(A66,Mercado!$A$2:$A$11,0),MATCH(B66,Mercado!$B$1:$AN$1,0),1,1)</f>
        <v>23666.943875667766</v>
      </c>
      <c r="D66" s="18">
        <f ca="1">OFFSET(CompPerdasIntercambio!$A$1,MATCH(A66,CompPerdasIntercambio!$A$2:$A$11,0),MATCH(B66,CompPerdasIntercambio!$B$1:$AN$1,0),1,1)</f>
        <v>0</v>
      </c>
      <c r="E66" s="18">
        <f ca="1">OFFSET(GerNaoDesp!$A$1,MATCH(A66,GerNaoDesp!$A$2:$A$9,0),MATCH(B66,GerNaoDesp!$B$1:$AN$1,0),1,1)</f>
        <v>1435.9851557557824</v>
      </c>
      <c r="F66" s="58">
        <f ca="1">OFFSET(MercadoPonta!$A$1,MATCH(A66,MercadoPonta!$A$2:$A$11,0),MATCH(B66,MercadoPonta!$B$1:$AN$1,0),1,1)</f>
        <v>35124.038389503658</v>
      </c>
      <c r="G66" s="432">
        <f ca="1">OFFSET(GerNaoDesp!$A$18,MATCH(A66,GerNaoDesp!$A$19:$A$25,0),MATCH(B66,GerNaoDesp!$B$18:$AN$18,0),1,1)</f>
        <v>587.56306489632004</v>
      </c>
      <c r="H66" s="24">
        <f ca="1">OFFSET(GerNaoDesp!$A$30,MATCH(A66,GerNaoDesp!$A$31:$A$37,0),MATCH(B66,GerNaoDesp!$B$30:$AN$30,0),1,1)</f>
        <v>288.46719999999999</v>
      </c>
      <c r="I66" s="24">
        <f ca="1">OFFSET(GerNaoDesp!$A$42,MATCH(A66,GerNaoDesp!$A$43:$A$49,0),MATCH(B66,GerNaoDesp!$B$42:$AN$42,0),1,1)</f>
        <v>1.0589200000000001</v>
      </c>
    </row>
    <row r="67" spans="1:9">
      <c r="A67" s="59">
        <f t="shared" si="0"/>
        <v>2</v>
      </c>
      <c r="B67" s="59">
        <f t="shared" si="1"/>
        <v>2038</v>
      </c>
      <c r="C67" s="18">
        <f ca="1">OFFSET(Mercado!$A$1,MATCH(A67,Mercado!$A$2:$A$11,0),MATCH(B67,Mercado!$B$1:$AN$1,0),1,1)</f>
        <v>24449.940902077557</v>
      </c>
      <c r="D67" s="18">
        <f ca="1">OFFSET(CompPerdasIntercambio!$A$1,MATCH(A67,CompPerdasIntercambio!$A$2:$A$11,0),MATCH(B67,CompPerdasIntercambio!$B$1:$AN$1,0),1,1)</f>
        <v>0</v>
      </c>
      <c r="E67" s="18">
        <f ca="1">OFFSET(GerNaoDesp!$A$1,MATCH(A67,GerNaoDesp!$A$2:$A$9,0),MATCH(B67,GerNaoDesp!$B$1:$AN$1,0),1,1)</f>
        <v>1526.1286009933576</v>
      </c>
      <c r="F67" s="58">
        <f ca="1">OFFSET(MercadoPonta!$A$1,MATCH(A67,MercadoPonta!$A$2:$A$11,0),MATCH(B67,MercadoPonta!$B$1:$AN$1,0),1,1)</f>
        <v>36259.98730931418</v>
      </c>
      <c r="G67" s="432">
        <f ca="1">OFFSET(GerNaoDesp!$A$18,MATCH(A67,GerNaoDesp!$A$19:$A$25,0),MATCH(B67,GerNaoDesp!$B$18:$AN$18,0),1,1)</f>
        <v>627.51088641507783</v>
      </c>
      <c r="H67" s="24">
        <f ca="1">OFFSET(GerNaoDesp!$A$30,MATCH(A67,GerNaoDesp!$A$31:$A$37,0),MATCH(B67,GerNaoDesp!$B$30:$AN$30,0),1,1)</f>
        <v>322.12249999999995</v>
      </c>
      <c r="I67" s="24">
        <f ca="1">OFFSET(GerNaoDesp!$A$42,MATCH(A67,GerNaoDesp!$A$43:$A$49,0),MATCH(B67,GerNaoDesp!$B$42:$AN$42,0),1,1)</f>
        <v>1.1276900000000001</v>
      </c>
    </row>
    <row r="68" spans="1:9">
      <c r="A68" s="59">
        <f t="shared" si="0"/>
        <v>2</v>
      </c>
      <c r="B68" s="59">
        <f t="shared" si="1"/>
        <v>2039</v>
      </c>
      <c r="C68" s="18">
        <f ca="1">OFFSET(Mercado!$A$1,MATCH(A68,Mercado!$A$2:$A$11,0),MATCH(B68,Mercado!$B$1:$AN$1,0),1,1)</f>
        <v>25214.347948564591</v>
      </c>
      <c r="D68" s="18">
        <f ca="1">OFFSET(CompPerdasIntercambio!$A$1,MATCH(A68,CompPerdasIntercambio!$A$2:$A$11,0),MATCH(B68,CompPerdasIntercambio!$B$1:$AN$1,0),1,1)</f>
        <v>0</v>
      </c>
      <c r="E68" s="18">
        <f ca="1">OFFSET(GerNaoDesp!$A$1,MATCH(A68,GerNaoDesp!$A$2:$A$9,0),MATCH(B68,GerNaoDesp!$B$1:$AN$1,0),1,1)</f>
        <v>1620.0398691318287</v>
      </c>
      <c r="F68" s="58">
        <f ca="1">OFFSET(MercadoPonta!$A$1,MATCH(A68,MercadoPonta!$A$2:$A$11,0),MATCH(B68,MercadoPonta!$B$1:$AN$1,0),1,1)</f>
        <v>37365.483356671459</v>
      </c>
      <c r="G68" s="432">
        <f ca="1">OFFSET(GerNaoDesp!$A$18,MATCH(A68,GerNaoDesp!$A$19:$A$25,0),MATCH(B68,GerNaoDesp!$B$18:$AN$18,0),1,1)</f>
        <v>670.46393073384615</v>
      </c>
      <c r="H68" s="24">
        <f ca="1">OFFSET(GerNaoDesp!$A$30,MATCH(A68,GerNaoDesp!$A$31:$A$37,0),MATCH(B68,GerNaoDesp!$B$30:$AN$30,0),1,1)</f>
        <v>359.92739999999998</v>
      </c>
      <c r="I68" s="24">
        <f ca="1">OFFSET(GerNaoDesp!$A$42,MATCH(A68,GerNaoDesp!$A$43:$A$49,0),MATCH(B68,GerNaoDesp!$B$42:$AN$42,0),1,1)</f>
        <v>1.1971500000000002</v>
      </c>
    </row>
    <row r="69" spans="1:9">
      <c r="A69" s="59">
        <f t="shared" si="0"/>
        <v>2</v>
      </c>
      <c r="B69" s="59">
        <f t="shared" si="1"/>
        <v>2040</v>
      </c>
      <c r="C69" s="18">
        <f ca="1">OFFSET(Mercado!$A$1,MATCH(A69,Mercado!$A$2:$A$11,0),MATCH(B69,Mercado!$B$1:$AN$1,0),1,1)</f>
        <v>25978.044064409289</v>
      </c>
      <c r="D69" s="18">
        <f ca="1">OFFSET(CompPerdasIntercambio!$A$1,MATCH(A69,CompPerdasIntercambio!$A$2:$A$11,0),MATCH(B69,CompPerdasIntercambio!$B$1:$AN$1,0),1,1)</f>
        <v>0</v>
      </c>
      <c r="E69" s="18">
        <f ca="1">OFFSET(GerNaoDesp!$A$1,MATCH(A69,GerNaoDesp!$A$2:$A$9,0),MATCH(B69,GerNaoDesp!$B$1:$AN$1,0),1,1)</f>
        <v>1718.5948196926911</v>
      </c>
      <c r="F69" s="58">
        <f ca="1">OFFSET(MercadoPonta!$A$1,MATCH(A69,MercadoPonta!$A$2:$A$11,0),MATCH(B69,MercadoPonta!$B$1:$AN$1,0),1,1)</f>
        <v>38466.743155179465</v>
      </c>
      <c r="G69" s="432">
        <f ca="1">OFFSET(GerNaoDesp!$A$18,MATCH(A69,GerNaoDesp!$A$19:$A$25,0),MATCH(B69,GerNaoDesp!$B$18:$AN$18,0),1,1)</f>
        <v>716.20597900008943</v>
      </c>
      <c r="H69" s="24">
        <f ca="1">OFFSET(GerNaoDesp!$A$30,MATCH(A69,GerNaoDesp!$A$31:$A$37,0),MATCH(B69,GerNaoDesp!$B$30:$AN$30,0),1,1)</f>
        <v>402.08349999999996</v>
      </c>
      <c r="I69" s="24">
        <f ca="1">OFFSET(GerNaoDesp!$A$42,MATCH(A69,GerNaoDesp!$A$43:$A$49,0),MATCH(B69,GerNaoDesp!$B$42:$AN$42,0),1,1)</f>
        <v>1.27213</v>
      </c>
    </row>
    <row r="70" spans="1:9">
      <c r="A70" s="59">
        <f t="shared" si="0"/>
        <v>2</v>
      </c>
      <c r="B70" s="59">
        <f t="shared" si="1"/>
        <v>2041</v>
      </c>
      <c r="C70" s="18">
        <f ca="1">OFFSET(Mercado!$A$1,MATCH(A70,Mercado!$A$2:$A$11,0),MATCH(B70,Mercado!$B$1:$AN$1,0),1,1)</f>
        <v>26695.131895319115</v>
      </c>
      <c r="D70" s="18">
        <f ca="1">OFFSET(CompPerdasIntercambio!$A$1,MATCH(A70,CompPerdasIntercambio!$A$2:$A$11,0),MATCH(B70,CompPerdasIntercambio!$B$1:$AN$1,0),1,1)</f>
        <v>0</v>
      </c>
      <c r="E70" s="18">
        <f ca="1">OFFSET(GerNaoDesp!$A$1,MATCH(A70,GerNaoDesp!$A$2:$A$9,0),MATCH(B70,GerNaoDesp!$B$1:$AN$1,0),1,1)</f>
        <v>1814.8700944441837</v>
      </c>
      <c r="F70" s="58">
        <f ca="1">OFFSET(MercadoPonta!$A$1,MATCH(A70,MercadoPonta!$A$2:$A$11,0),MATCH(B70,MercadoPonta!$B$1:$AN$1,0),1,1)</f>
        <v>39496.84320105685</v>
      </c>
      <c r="G70" s="432">
        <f ca="1">OFFSET(GerNaoDesp!$A$18,MATCH(A70,GerNaoDesp!$A$19:$A$25,0),MATCH(B70,GerNaoDesp!$B$18:$AN$18,0),1,1)</f>
        <v>760.20579926577682</v>
      </c>
      <c r="H70" s="24">
        <f ca="1">OFFSET(GerNaoDesp!$A$30,MATCH(A70,GerNaoDesp!$A$31:$A$37,0),MATCH(B70,GerNaoDesp!$B$30:$AN$30,0),1,1)</f>
        <v>446.46629999999993</v>
      </c>
      <c r="I70" s="24">
        <f ca="1">OFFSET(GerNaoDesp!$A$42,MATCH(A70,GerNaoDesp!$A$43:$A$49,0),MATCH(B70,GerNaoDesp!$B$42:$AN$42,0),1,1)</f>
        <v>1.34642</v>
      </c>
    </row>
    <row r="71" spans="1:9">
      <c r="A71" s="59">
        <f t="shared" si="0"/>
        <v>2</v>
      </c>
      <c r="B71" s="59">
        <f t="shared" si="1"/>
        <v>2042</v>
      </c>
      <c r="C71" s="18">
        <f ca="1">OFFSET(Mercado!$A$1,MATCH(A71,Mercado!$A$2:$A$11,0),MATCH(B71,Mercado!$B$1:$AN$1,0),1,1)</f>
        <v>27428.38748112426</v>
      </c>
      <c r="D71" s="18">
        <f ca="1">OFFSET(CompPerdasIntercambio!$A$1,MATCH(A71,CompPerdasIntercambio!$A$2:$A$11,0),MATCH(B71,CompPerdasIntercambio!$B$1:$AN$1,0),1,1)</f>
        <v>0</v>
      </c>
      <c r="E71" s="18">
        <f ca="1">OFFSET(GerNaoDesp!$A$1,MATCH(A71,GerNaoDesp!$A$2:$A$9,0),MATCH(B71,GerNaoDesp!$B$1:$AN$1,0),1,1)</f>
        <v>1913.4380856851967</v>
      </c>
      <c r="F71" s="58">
        <f ca="1">OFFSET(MercadoPonta!$A$1,MATCH(A71,MercadoPonta!$A$2:$A$11,0),MATCH(B71,MercadoPonta!$B$1:$AN$1,0),1,1)</f>
        <v>40547.729073215363</v>
      </c>
      <c r="G71" s="432">
        <f ca="1">OFFSET(GerNaoDesp!$A$18,MATCH(A71,GerNaoDesp!$A$19:$A$25,0),MATCH(B71,GerNaoDesp!$B$18:$AN$18,0),1,1)</f>
        <v>803.91779911240678</v>
      </c>
      <c r="H71" s="24">
        <f ca="1">OFFSET(GerNaoDesp!$A$30,MATCH(A71,GerNaoDesp!$A$31:$A$37,0),MATCH(B71,GerNaoDesp!$B$30:$AN$30,0),1,1)</f>
        <v>495.25349999999997</v>
      </c>
      <c r="I71" s="24">
        <f ca="1">OFFSET(GerNaoDesp!$A$42,MATCH(A71,GerNaoDesp!$A$43:$A$49,0),MATCH(B71,GerNaoDesp!$B$42:$AN$42,0),1,1)</f>
        <v>1.4214000000000002</v>
      </c>
    </row>
    <row r="72" spans="1:9">
      <c r="A72" s="59">
        <f t="shared" si="0"/>
        <v>2</v>
      </c>
      <c r="B72" s="59">
        <f t="shared" si="1"/>
        <v>2043</v>
      </c>
      <c r="C72" s="18">
        <f ca="1">OFFSET(Mercado!$A$1,MATCH(A72,Mercado!$A$2:$A$11,0),MATCH(B72,Mercado!$B$1:$AN$1,0),1,1)</f>
        <v>28173.39093147454</v>
      </c>
      <c r="D72" s="18">
        <f ca="1">OFFSET(CompPerdasIntercambio!$A$1,MATCH(A72,CompPerdasIntercambio!$A$2:$A$11,0),MATCH(B72,CompPerdasIntercambio!$B$1:$AN$1,0),1,1)</f>
        <v>0</v>
      </c>
      <c r="E72" s="18">
        <f ca="1">OFFSET(GerNaoDesp!$A$1,MATCH(A72,GerNaoDesp!$A$2:$A$9,0),MATCH(B72,GerNaoDesp!$B$1:$AN$1,0),1,1)</f>
        <v>2031.1207104656983</v>
      </c>
      <c r="F72" s="58">
        <f ca="1">OFFSET(MercadoPonta!$A$1,MATCH(A72,MercadoPonta!$A$2:$A$11,0),MATCH(B72,MercadoPonta!$B$1:$AN$1,0),1,1)</f>
        <v>41599.329390977684</v>
      </c>
      <c r="G72" s="432">
        <f ca="1">OFFSET(GerNaoDesp!$A$18,MATCH(A72,GerNaoDesp!$A$19:$A$25,0),MATCH(B72,GerNaoDesp!$B$18:$AN$18,0),1,1)</f>
        <v>852.36209930621794</v>
      </c>
      <c r="H72" s="24">
        <f ca="1">OFFSET(GerNaoDesp!$A$30,MATCH(A72,GerNaoDesp!$A$31:$A$37,0),MATCH(B72,GerNaoDesp!$B$30:$AN$30,0),1,1)</f>
        <v>559.98179999999991</v>
      </c>
      <c r="I72" s="24">
        <f ca="1">OFFSET(GerNaoDesp!$A$42,MATCH(A72,GerNaoDesp!$A$43:$A$49,0),MATCH(B72,GerNaoDesp!$B$42:$AN$42,0),1,1)</f>
        <v>1.5007500000000003</v>
      </c>
    </row>
    <row r="73" spans="1:9">
      <c r="A73" s="59">
        <f t="shared" si="0"/>
        <v>2</v>
      </c>
      <c r="B73" s="59">
        <f t="shared" si="1"/>
        <v>2044</v>
      </c>
      <c r="C73" s="18">
        <f ca="1">OFFSET(Mercado!$A$1,MATCH(A73,Mercado!$A$2:$A$11,0),MATCH(B73,Mercado!$B$1:$AN$1,0),1,1)</f>
        <v>28929.112316731436</v>
      </c>
      <c r="D73" s="18">
        <f ca="1">OFFSET(CompPerdasIntercambio!$A$1,MATCH(A73,CompPerdasIntercambio!$A$2:$A$11,0),MATCH(B73,CompPerdasIntercambio!$B$1:$AN$1,0),1,1)</f>
        <v>0</v>
      </c>
      <c r="E73" s="18">
        <f ca="1">OFFSET(GerNaoDesp!$A$1,MATCH(A73,GerNaoDesp!$A$2:$A$9,0),MATCH(B73,GerNaoDesp!$B$1:$AN$1,0),1,1)</f>
        <v>2160.5105725145672</v>
      </c>
      <c r="F73" s="58">
        <f ca="1">OFFSET(MercadoPonta!$A$1,MATCH(A73,MercadoPonta!$A$2:$A$11,0),MATCH(B73,MercadoPonta!$B$1:$AN$1,0),1,1)</f>
        <v>42657.203934055782</v>
      </c>
      <c r="G73" s="432">
        <f ca="1">OFFSET(GerNaoDesp!$A$18,MATCH(A73,GerNaoDesp!$A$19:$A$25,0),MATCH(B73,GerNaoDesp!$B$18:$AN$18,0),1,1)</f>
        <v>904.11798514242685</v>
      </c>
      <c r="H73" s="24">
        <f ca="1">OFFSET(GerNaoDesp!$A$30,MATCH(A73,GerNaoDesp!$A$31:$A$37,0),MATCH(B73,GerNaoDesp!$B$30:$AN$30,0),1,1)</f>
        <v>633.9914</v>
      </c>
      <c r="I73" s="24">
        <f ca="1">OFFSET(GerNaoDesp!$A$42,MATCH(A73,GerNaoDesp!$A$43:$A$49,0),MATCH(B73,GerNaoDesp!$B$42:$AN$42,0),1,1)</f>
        <v>1.5800999999999998</v>
      </c>
    </row>
    <row r="74" spans="1:9">
      <c r="A74" s="59">
        <f t="shared" si="0"/>
        <v>2</v>
      </c>
      <c r="B74" s="59">
        <f t="shared" si="1"/>
        <v>2045</v>
      </c>
      <c r="C74" s="18">
        <f ca="1">OFFSET(Mercado!$A$1,MATCH(A74,Mercado!$A$2:$A$11,0),MATCH(B74,Mercado!$B$1:$AN$1,0),1,1)</f>
        <v>29705.65695938349</v>
      </c>
      <c r="D74" s="18">
        <f ca="1">OFFSET(CompPerdasIntercambio!$A$1,MATCH(A74,CompPerdasIntercambio!$A$2:$A$11,0),MATCH(B74,CompPerdasIntercambio!$B$1:$AN$1,0),1,1)</f>
        <v>0</v>
      </c>
      <c r="E74" s="18">
        <f ca="1">OFFSET(GerNaoDesp!$A$1,MATCH(A74,GerNaoDesp!$A$2:$A$9,0),MATCH(B74,GerNaoDesp!$B$1:$AN$1,0),1,1)</f>
        <v>2286.9462862129371</v>
      </c>
      <c r="F74" s="58">
        <f ca="1">OFFSET(MercadoPonta!$A$1,MATCH(A74,MercadoPonta!$A$2:$A$11,0),MATCH(B74,MercadoPonta!$B$1:$AN$1,0),1,1)</f>
        <v>43752.253175081431</v>
      </c>
      <c r="G74" s="432">
        <f ca="1">OFFSET(GerNaoDesp!$A$18,MATCH(A74,GerNaoDesp!$A$19:$A$25,0),MATCH(B74,GerNaoDesp!$B$18:$AN$18,0),1,1)</f>
        <v>958.50564571955908</v>
      </c>
      <c r="H74" s="24">
        <f ca="1">OFFSET(GerNaoDesp!$A$30,MATCH(A74,GerNaoDesp!$A$31:$A$37,0),MATCH(B74,GerNaoDesp!$B$30:$AN$30,0),1,1)</f>
        <v>704.23709999999994</v>
      </c>
      <c r="I74" s="24">
        <f ca="1">OFFSET(GerNaoDesp!$A$42,MATCH(A74,GerNaoDesp!$A$43:$A$49,0),MATCH(B74,GerNaoDesp!$B$42:$AN$42,0),1,1)</f>
        <v>1.66198</v>
      </c>
    </row>
    <row r="75" spans="1:9">
      <c r="A75" s="59">
        <f t="shared" si="0"/>
        <v>2</v>
      </c>
      <c r="B75" s="59">
        <f t="shared" si="1"/>
        <v>2046</v>
      </c>
      <c r="C75" s="18">
        <f ca="1">OFFSET(Mercado!$A$1,MATCH(A75,Mercado!$A$2:$A$11,0),MATCH(B75,Mercado!$B$1:$AN$1,0),1,1)</f>
        <v>30492.117362116616</v>
      </c>
      <c r="D75" s="18">
        <f ca="1">OFFSET(CompPerdasIntercambio!$A$1,MATCH(A75,CompPerdasIntercambio!$A$2:$A$11,0),MATCH(B75,CompPerdasIntercambio!$B$1:$AN$1,0),1,1)</f>
        <v>0</v>
      </c>
      <c r="E75" s="18">
        <f ca="1">OFFSET(GerNaoDesp!$A$1,MATCH(A75,GerNaoDesp!$A$2:$A$9,0),MATCH(B75,GerNaoDesp!$B$1:$AN$1,0),1,1)</f>
        <v>2419.1932621946162</v>
      </c>
      <c r="F75" s="58">
        <f ca="1">OFFSET(MercadoPonta!$A$1,MATCH(A75,MercadoPonta!$A$2:$A$11,0),MATCH(B75,MercadoPonta!$B$1:$AN$1,0),1,1)</f>
        <v>44859.299805015078</v>
      </c>
      <c r="G75" s="432">
        <f ca="1">OFFSET(GerNaoDesp!$A$18,MATCH(A75,GerNaoDesp!$A$19:$A$25,0),MATCH(B75,GerNaoDesp!$B$18:$AN$18,0),1,1)</f>
        <v>1015.7274002059696</v>
      </c>
      <c r="H75" s="24">
        <f ca="1">OFFSET(GerNaoDesp!$A$30,MATCH(A75,GerNaoDesp!$A$31:$A$37,0),MATCH(B75,GerNaoDesp!$B$30:$AN$30,0),1,1)</f>
        <v>776.56880000000001</v>
      </c>
      <c r="I75" s="24">
        <f ca="1">OFFSET(GerNaoDesp!$A$42,MATCH(A75,GerNaoDesp!$A$43:$A$49,0),MATCH(B75,GerNaoDesp!$B$42:$AN$42,0),1,1)</f>
        <v>1.7493799999999999</v>
      </c>
    </row>
    <row r="76" spans="1:9">
      <c r="A76" s="59">
        <f t="shared" si="0"/>
        <v>2</v>
      </c>
      <c r="B76" s="59">
        <f t="shared" si="1"/>
        <v>2047</v>
      </c>
      <c r="C76" s="18">
        <f ca="1">OFFSET(Mercado!$A$1,MATCH(A76,Mercado!$A$2:$A$11,0),MATCH(B76,Mercado!$B$1:$AN$1,0),1,1)</f>
        <v>31293.455243722874</v>
      </c>
      <c r="D76" s="18">
        <f ca="1">OFFSET(CompPerdasIntercambio!$A$1,MATCH(A76,CompPerdasIntercambio!$A$2:$A$11,0),MATCH(B76,CompPerdasIntercambio!$B$1:$AN$1,0),1,1)</f>
        <v>0</v>
      </c>
      <c r="E76" s="18">
        <f ca="1">OFFSET(GerNaoDesp!$A$1,MATCH(A76,GerNaoDesp!$A$2:$A$9,0),MATCH(B76,GerNaoDesp!$B$1:$AN$1,0),1,1)</f>
        <v>2574.2433954709513</v>
      </c>
      <c r="F76" s="58">
        <f ca="1">OFFSET(MercadoPonta!$A$1,MATCH(A76,MercadoPonta!$A$2:$A$11,0),MATCH(B76,MercadoPonta!$B$1:$AN$1,0),1,1)</f>
        <v>45967.234774604985</v>
      </c>
      <c r="G76" s="432">
        <f ca="1">OFFSET(GerNaoDesp!$A$18,MATCH(A76,GerNaoDesp!$A$19:$A$25,0),MATCH(B76,GerNaoDesp!$B$18:$AN$18,0),1,1)</f>
        <v>1076.7985219870366</v>
      </c>
      <c r="H76" s="24">
        <f ca="1">OFFSET(GerNaoDesp!$A$30,MATCH(A76,GerNaoDesp!$A$31:$A$37,0),MATCH(B76,GerNaoDesp!$B$30:$AN$30,0),1,1)</f>
        <v>867.84669999999994</v>
      </c>
      <c r="I76" s="24">
        <f ca="1">OFFSET(GerNaoDesp!$A$42,MATCH(A76,GerNaoDesp!$A$43:$A$49,0),MATCH(B76,GerNaoDesp!$B$42:$AN$42,0),1,1)</f>
        <v>1.8443700000000001</v>
      </c>
    </row>
    <row r="77" spans="1:9">
      <c r="A77" s="59">
        <f t="shared" si="0"/>
        <v>2</v>
      </c>
      <c r="B77" s="59">
        <f t="shared" si="1"/>
        <v>2048</v>
      </c>
      <c r="C77" s="18">
        <f ca="1">OFFSET(Mercado!$A$1,MATCH(A77,Mercado!$A$2:$A$11,0),MATCH(B77,Mercado!$B$1:$AN$1,0),1,1)</f>
        <v>32246.459845272253</v>
      </c>
      <c r="D77" s="18">
        <f ca="1">OFFSET(CompPerdasIntercambio!$A$1,MATCH(A77,CompPerdasIntercambio!$A$2:$A$11,0),MATCH(B77,CompPerdasIntercambio!$B$1:$AN$1,0),1,1)</f>
        <v>0</v>
      </c>
      <c r="E77" s="18">
        <f ca="1">OFFSET(GerNaoDesp!$A$1,MATCH(A77,GerNaoDesp!$A$2:$A$9,0),MATCH(B77,GerNaoDesp!$B$1:$AN$1,0),1,1)</f>
        <v>2768.2955006816592</v>
      </c>
      <c r="F77" s="58">
        <f ca="1">OFFSET(MercadoPonta!$A$1,MATCH(A77,MercadoPonta!$A$2:$A$11,0),MATCH(B77,MercadoPonta!$B$1:$AN$1,0),1,1)</f>
        <v>47265.125015588899</v>
      </c>
      <c r="G77" s="432">
        <f ca="1">OFFSET(GerNaoDesp!$A$18,MATCH(A77,GerNaoDesp!$A$19:$A$25,0),MATCH(B77,GerNaoDesp!$B$18:$AN$18,0),1,1)</f>
        <v>1142.9571771977446</v>
      </c>
      <c r="H77" s="24">
        <f ca="1">OFFSET(GerNaoDesp!$A$30,MATCH(A77,GerNaoDesp!$A$31:$A$37,0),MATCH(B77,GerNaoDesp!$B$30:$AN$30,0),1,1)</f>
        <v>995.64009999999973</v>
      </c>
      <c r="I77" s="24">
        <f ca="1">OFFSET(GerNaoDesp!$A$42,MATCH(A77,GerNaoDesp!$A$43:$A$49,0),MATCH(B77,GerNaoDesp!$B$42:$AN$42,0),1,1)</f>
        <v>1.9444200000000003</v>
      </c>
    </row>
    <row r="78" spans="1:9">
      <c r="A78" s="59">
        <f t="shared" si="0"/>
        <v>2</v>
      </c>
      <c r="B78" s="59">
        <f t="shared" si="1"/>
        <v>2049</v>
      </c>
      <c r="C78" s="18">
        <f ca="1">OFFSET(Mercado!$A$1,MATCH(A78,Mercado!$A$2:$A$11,0),MATCH(B78,Mercado!$B$1:$AN$1,0),1,1)</f>
        <v>33132.349539314986</v>
      </c>
      <c r="D78" s="18">
        <f ca="1">OFFSET(CompPerdasIntercambio!$A$1,MATCH(A78,CompPerdasIntercambio!$A$2:$A$11,0),MATCH(B78,CompPerdasIntercambio!$B$1:$AN$1,0),1,1)</f>
        <v>0</v>
      </c>
      <c r="E78" s="18">
        <f ca="1">OFFSET(GerNaoDesp!$A$1,MATCH(A78,GerNaoDesp!$A$2:$A$9,0),MATCH(B78,GerNaoDesp!$B$1:$AN$1,0),1,1)</f>
        <v>2977.5594244474419</v>
      </c>
      <c r="F78" s="58">
        <f ca="1">OFFSET(MercadoPonta!$A$1,MATCH(A78,MercadoPonta!$A$2:$A$11,0),MATCH(B78,MercadoPonta!$B$1:$AN$1,0),1,1)</f>
        <v>48448.174652774855</v>
      </c>
      <c r="G78" s="432">
        <f ca="1">OFFSET(GerNaoDesp!$A$18,MATCH(A78,GerNaoDesp!$A$19:$A$25,0),MATCH(B78,GerNaoDesp!$B$18:$AN$18,0),1,1)</f>
        <v>1212.8180509635274</v>
      </c>
      <c r="H78" s="24">
        <f ca="1">OFFSET(GerNaoDesp!$A$30,MATCH(A78,GerNaoDesp!$A$31:$A$37,0),MATCH(B78,GerNaoDesp!$B$30:$AN$30,0),1,1)</f>
        <v>1134.9407999999999</v>
      </c>
      <c r="I78" s="24">
        <f ca="1">OFFSET(GerNaoDesp!$A$42,MATCH(A78,GerNaoDesp!$A$43:$A$49,0),MATCH(B78,GerNaoDesp!$B$42:$AN$42,0),1,1)</f>
        <v>2.0467700000000004</v>
      </c>
    </row>
    <row r="79" spans="1:9">
      <c r="A79" s="59">
        <f t="shared" si="0"/>
        <v>2</v>
      </c>
      <c r="B79" s="59">
        <f t="shared" si="1"/>
        <v>2050</v>
      </c>
      <c r="C79" s="18">
        <f ca="1">OFFSET(Mercado!$A$1,MATCH(A79,Mercado!$A$2:$A$11,0),MATCH(B79,Mercado!$B$1:$AN$1,0),1,1)</f>
        <v>34008.124717700433</v>
      </c>
      <c r="D79" s="18">
        <f ca="1">OFFSET(CompPerdasIntercambio!$A$1,MATCH(A79,CompPerdasIntercambio!$A$2:$A$11,0),MATCH(B79,CompPerdasIntercambio!$B$1:$AN$1,0),1,1)</f>
        <v>0</v>
      </c>
      <c r="E79" s="18">
        <f ca="1">OFFSET(GerNaoDesp!$A$1,MATCH(A79,GerNaoDesp!$A$2:$A$9,0),MATCH(B79,GerNaoDesp!$B$1:$AN$1,0),1,1)</f>
        <v>3173.1480537846055</v>
      </c>
      <c r="F79" s="58">
        <f ca="1">OFFSET(MercadoPonta!$A$1,MATCH(A79,MercadoPonta!$A$2:$A$11,0),MATCH(B79,MercadoPonta!$B$1:$AN$1,0),1,1)</f>
        <v>49634.08133623765</v>
      </c>
      <c r="G79" s="432">
        <f ca="1">OFFSET(GerNaoDesp!$A$18,MATCH(A79,GerNaoDesp!$A$19:$A$25,0),MATCH(B79,GerNaoDesp!$B$18:$AN$18,0),1,1)</f>
        <v>1284.9081703006907</v>
      </c>
      <c r="H79" s="24">
        <f ca="1">OFFSET(GerNaoDesp!$A$30,MATCH(A79,GerNaoDesp!$A$31:$A$37,0),MATCH(B79,GerNaoDesp!$B$30:$AN$30,0),1,1)</f>
        <v>1258.3318999999999</v>
      </c>
      <c r="I79" s="24">
        <f ca="1">OFFSET(GerNaoDesp!$A$42,MATCH(A79,GerNaoDesp!$A$43:$A$49,0),MATCH(B79,GerNaoDesp!$B$42:$AN$42,0),1,1)</f>
        <v>2.1541799999999998</v>
      </c>
    </row>
    <row r="80" spans="1:9">
      <c r="A80" s="59">
        <f t="shared" si="0"/>
        <v>3</v>
      </c>
      <c r="B80" s="59">
        <f t="shared" si="1"/>
        <v>2012</v>
      </c>
      <c r="C80" s="18">
        <f ca="1">OFFSET(Mercado!$A$1,MATCH(A80,Mercado!$A$2:$A$11,0),MATCH(B80,Mercado!$B$1:$AN$1,0),1,1)</f>
        <v>9067.636612021859</v>
      </c>
      <c r="D80" s="18">
        <f ca="1">OFFSET(CompPerdasIntercambio!$A$1,MATCH(A80,CompPerdasIntercambio!$A$2:$A$11,0),MATCH(B80,CompPerdasIntercambio!$B$1:$AN$1,0),1,1)</f>
        <v>0</v>
      </c>
      <c r="E80" s="18">
        <f ca="1">OFFSET(GerNaoDesp!$A$1,MATCH(A80,GerNaoDesp!$A$2:$A$9,0),MATCH(B80,GerNaoDesp!$B$1:$AN$1,0),1,1)</f>
        <v>0</v>
      </c>
      <c r="F80" s="58">
        <f ca="1">OFFSET(MercadoPonta!$A$1,MATCH(A80,MercadoPonta!$A$2:$A$11,0),MATCH(B80,MercadoPonta!$B$1:$AN$1,0),1,1)</f>
        <v>11583.07</v>
      </c>
      <c r="G80" s="432">
        <f ca="1">OFFSET(GerNaoDesp!$A$18,MATCH(A80,GerNaoDesp!$A$19:$A$25,0),MATCH(B80,GerNaoDesp!$B$18:$AN$18,0),1,1)</f>
        <v>0</v>
      </c>
      <c r="H80" s="24">
        <f ca="1">OFFSET(GerNaoDesp!$A$30,MATCH(A80,GerNaoDesp!$A$31:$A$37,0),MATCH(B80,GerNaoDesp!$B$30:$AN$30,0),1,1)</f>
        <v>0</v>
      </c>
      <c r="I80" s="24">
        <f ca="1">OFFSET(GerNaoDesp!$A$42,MATCH(A80,GerNaoDesp!$A$43:$A$49,0),MATCH(B80,GerNaoDesp!$B$42:$AN$42,0),1,1)</f>
        <v>0</v>
      </c>
    </row>
    <row r="81" spans="1:9">
      <c r="A81" s="59">
        <f t="shared" si="0"/>
        <v>3</v>
      </c>
      <c r="B81" s="59">
        <f t="shared" si="1"/>
        <v>2013</v>
      </c>
      <c r="C81" s="18">
        <f ca="1">OFFSET(Mercado!$A$1,MATCH(A81,Mercado!$A$2:$A$11,0),MATCH(B81,Mercado!$B$1:$AN$1,0),1,1)</f>
        <v>9676.7722901656653</v>
      </c>
      <c r="D81" s="18">
        <f ca="1">OFFSET(CompPerdasIntercambio!$A$1,MATCH(A81,CompPerdasIntercambio!$A$2:$A$11,0),MATCH(B81,CompPerdasIntercambio!$B$1:$AN$1,0),1,1)</f>
        <v>0</v>
      </c>
      <c r="E81" s="18">
        <f ca="1">OFFSET(GerNaoDesp!$A$1,MATCH(A81,GerNaoDesp!$A$2:$A$9,0),MATCH(B81,GerNaoDesp!$B$1:$AN$1,0),1,1)</f>
        <v>0</v>
      </c>
      <c r="F81" s="58">
        <f ca="1">OFFSET(MercadoPonta!$A$1,MATCH(A81,MercadoPonta!$A$2:$A$11,0),MATCH(B81,MercadoPonta!$B$1:$AN$1,0),1,1)</f>
        <v>11941.392097126802</v>
      </c>
      <c r="G81" s="432">
        <f ca="1">OFFSET(GerNaoDesp!$A$18,MATCH(A81,GerNaoDesp!$A$19:$A$25,0),MATCH(B81,GerNaoDesp!$B$18:$AN$18,0),1,1)</f>
        <v>0</v>
      </c>
      <c r="H81" s="24">
        <f ca="1">OFFSET(GerNaoDesp!$A$30,MATCH(A81,GerNaoDesp!$A$31:$A$37,0),MATCH(B81,GerNaoDesp!$B$30:$AN$30,0),1,1)</f>
        <v>0</v>
      </c>
      <c r="I81" s="24">
        <f ca="1">OFFSET(GerNaoDesp!$A$42,MATCH(A81,GerNaoDesp!$A$43:$A$49,0),MATCH(B81,GerNaoDesp!$B$42:$AN$42,0),1,1)</f>
        <v>0</v>
      </c>
    </row>
    <row r="82" spans="1:9">
      <c r="A82" s="59">
        <f t="shared" si="0"/>
        <v>3</v>
      </c>
      <c r="B82" s="59">
        <f t="shared" si="1"/>
        <v>2014</v>
      </c>
      <c r="C82" s="18">
        <f ca="1">OFFSET(Mercado!$A$1,MATCH(A82,Mercado!$A$2:$A$11,0),MATCH(B82,Mercado!$B$1:$AN$1,0),1,1)</f>
        <v>9583.0543539999999</v>
      </c>
      <c r="D82" s="18">
        <f ca="1">OFFSET(CompPerdasIntercambio!$A$1,MATCH(A82,CompPerdasIntercambio!$A$2:$A$11,0),MATCH(B82,CompPerdasIntercambio!$B$1:$AN$1,0),1,1)</f>
        <v>0</v>
      </c>
      <c r="E82" s="18">
        <f ca="1">OFFSET(GerNaoDesp!$A$1,MATCH(A82,GerNaoDesp!$A$2:$A$9,0),MATCH(B82,GerNaoDesp!$B$1:$AN$1,0),1,1)</f>
        <v>0</v>
      </c>
      <c r="F82" s="58">
        <f ca="1">OFFSET(MercadoPonta!$A$1,MATCH(A82,MercadoPonta!$A$2:$A$11,0),MATCH(B82,MercadoPonta!$B$1:$AN$1,0),1,1)</f>
        <v>11837.717000000001</v>
      </c>
      <c r="G82" s="432">
        <f ca="1">OFFSET(GerNaoDesp!$A$18,MATCH(A82,GerNaoDesp!$A$19:$A$25,0),MATCH(B82,GerNaoDesp!$B$18:$AN$18,0),1,1)</f>
        <v>0</v>
      </c>
      <c r="H82" s="24">
        <f ca="1">OFFSET(GerNaoDesp!$A$30,MATCH(A82,GerNaoDesp!$A$31:$A$37,0),MATCH(B82,GerNaoDesp!$B$30:$AN$30,0),1,1)</f>
        <v>0</v>
      </c>
      <c r="I82" s="24">
        <f ca="1">OFFSET(GerNaoDesp!$A$42,MATCH(A82,GerNaoDesp!$A$43:$A$49,0),MATCH(B82,GerNaoDesp!$B$42:$AN$42,0),1,1)</f>
        <v>0</v>
      </c>
    </row>
    <row r="83" spans="1:9">
      <c r="A83" s="59">
        <f t="shared" si="0"/>
        <v>3</v>
      </c>
      <c r="B83" s="59">
        <f t="shared" si="1"/>
        <v>2015</v>
      </c>
      <c r="C83" s="18">
        <f ca="1">OFFSET(Mercado!$A$1,MATCH(A83,Mercado!$A$2:$A$11,0),MATCH(B83,Mercado!$B$1:$AN$1,0),1,1)</f>
        <v>10261.03637</v>
      </c>
      <c r="D83" s="18">
        <f ca="1">OFFSET(CompPerdasIntercambio!$A$1,MATCH(A83,CompPerdasIntercambio!$A$2:$A$11,0),MATCH(B83,CompPerdasIntercambio!$B$1:$AN$1,0),1,1)</f>
        <v>0</v>
      </c>
      <c r="E83" s="18">
        <f ca="1">OFFSET(GerNaoDesp!$A$1,MATCH(A83,GerNaoDesp!$A$2:$A$9,0),MATCH(B83,GerNaoDesp!$B$1:$AN$1,0),1,1)</f>
        <v>0.14720892604048189</v>
      </c>
      <c r="F83" s="58">
        <f ca="1">OFFSET(MercadoPonta!$A$1,MATCH(A83,MercadoPonta!$A$2:$A$11,0),MATCH(B83,MercadoPonta!$B$1:$AN$1,0),1,1)</f>
        <v>12473.307865000001</v>
      </c>
      <c r="G83" s="432">
        <f ca="1">OFFSET(GerNaoDesp!$A$18,MATCH(A83,GerNaoDesp!$A$19:$A$25,0),MATCH(B83,GerNaoDesp!$B$18:$AN$18,0),1,1)</f>
        <v>0.14629947604048188</v>
      </c>
      <c r="H83" s="24">
        <f ca="1">OFFSET(GerNaoDesp!$A$30,MATCH(A83,GerNaoDesp!$A$31:$A$37,0),MATCH(B83,GerNaoDesp!$B$30:$AN$30,0),1,1)</f>
        <v>0</v>
      </c>
      <c r="I83" s="24">
        <f ca="1">OFFSET(GerNaoDesp!$A$42,MATCH(A83,GerNaoDesp!$A$43:$A$49,0),MATCH(B83,GerNaoDesp!$B$42:$AN$42,0),1,1)</f>
        <v>9.0944999999999991E-4</v>
      </c>
    </row>
    <row r="84" spans="1:9">
      <c r="A84" s="59">
        <f t="shared" si="0"/>
        <v>3</v>
      </c>
      <c r="B84" s="59">
        <f t="shared" si="1"/>
        <v>2016</v>
      </c>
      <c r="C84" s="18">
        <f ca="1">OFFSET(Mercado!$A$1,MATCH(A84,Mercado!$A$2:$A$11,0),MATCH(B84,Mercado!$B$1:$AN$1,0),1,1)</f>
        <v>10420.44838</v>
      </c>
      <c r="D84" s="18">
        <f ca="1">OFFSET(CompPerdasIntercambio!$A$1,MATCH(A84,CompPerdasIntercambio!$A$2:$A$11,0),MATCH(B84,CompPerdasIntercambio!$B$1:$AN$1,0),1,1)</f>
        <v>0</v>
      </c>
      <c r="E84" s="18">
        <f ca="1">OFFSET(GerNaoDesp!$A$1,MATCH(A84,GerNaoDesp!$A$2:$A$9,0),MATCH(B84,GerNaoDesp!$B$1:$AN$1,0),1,1)</f>
        <v>1.3339766745905934</v>
      </c>
      <c r="F84" s="58">
        <f ca="1">OFFSET(MercadoPonta!$A$1,MATCH(A84,MercadoPonta!$A$2:$A$11,0),MATCH(B84,MercadoPonta!$B$1:$AN$1,0),1,1)</f>
        <v>12503.788209999999</v>
      </c>
      <c r="G84" s="432">
        <f ca="1">OFFSET(GerNaoDesp!$A$18,MATCH(A84,GerNaoDesp!$A$19:$A$25,0),MATCH(B84,GerNaoDesp!$B$18:$AN$18,0),1,1)</f>
        <v>1.1939213745905934</v>
      </c>
      <c r="H84" s="24">
        <f ca="1">OFFSET(GerNaoDesp!$A$30,MATCH(A84,GerNaoDesp!$A$31:$A$37,0),MATCH(B84,GerNaoDesp!$B$30:$AN$30,0),1,1)</f>
        <v>0</v>
      </c>
      <c r="I84" s="24">
        <f ca="1">OFFSET(GerNaoDesp!$A$42,MATCH(A84,GerNaoDesp!$A$43:$A$49,0),MATCH(B84,GerNaoDesp!$B$42:$AN$42,0),1,1)</f>
        <v>0.14005529999999999</v>
      </c>
    </row>
    <row r="85" spans="1:9">
      <c r="A85" s="59">
        <f t="shared" si="0"/>
        <v>3</v>
      </c>
      <c r="B85" s="59">
        <f t="shared" si="1"/>
        <v>2017</v>
      </c>
      <c r="C85" s="18">
        <f ca="1">OFFSET(Mercado!$A$1,MATCH(A85,Mercado!$A$2:$A$11,0),MATCH(B85,Mercado!$B$1:$AN$1,0),1,1)</f>
        <v>10602.301160000001</v>
      </c>
      <c r="D85" s="18">
        <f ca="1">OFFSET(CompPerdasIntercambio!$A$1,MATCH(A85,CompPerdasIntercambio!$A$2:$A$11,0),MATCH(B85,CompPerdasIntercambio!$B$1:$AN$1,0),1,1)</f>
        <v>0</v>
      </c>
      <c r="E85" s="18">
        <f ca="1">OFFSET(GerNaoDesp!$A$1,MATCH(A85,GerNaoDesp!$A$2:$A$9,0),MATCH(B85,GerNaoDesp!$B$1:$AN$1,0),1,1)</f>
        <v>6.8878423362633212</v>
      </c>
      <c r="F85" s="58">
        <f ca="1">OFFSET(MercadoPonta!$A$1,MATCH(A85,MercadoPonta!$A$2:$A$11,0),MATCH(B85,MercadoPonta!$B$1:$AN$1,0),1,1)</f>
        <v>12904.58779</v>
      </c>
      <c r="G85" s="432">
        <f ca="1">OFFSET(GerNaoDesp!$A$18,MATCH(A85,GerNaoDesp!$A$19:$A$25,0),MATCH(B85,GerNaoDesp!$B$18:$AN$18,0),1,1)</f>
        <v>5.3663876362633216</v>
      </c>
      <c r="H85" s="24">
        <f ca="1">OFFSET(GerNaoDesp!$A$30,MATCH(A85,GerNaoDesp!$A$31:$A$37,0),MATCH(B85,GerNaoDesp!$B$30:$AN$30,0),1,1)</f>
        <v>2.4500000000000001E-2</v>
      </c>
      <c r="I85" s="24">
        <f ca="1">OFFSET(GerNaoDesp!$A$42,MATCH(A85,GerNaoDesp!$A$43:$A$49,0),MATCH(B85,GerNaoDesp!$B$42:$AN$42,0),1,1)</f>
        <v>1.4969546999999999</v>
      </c>
    </row>
    <row r="86" spans="1:9">
      <c r="A86" s="59">
        <f t="shared" si="0"/>
        <v>3</v>
      </c>
      <c r="B86" s="59">
        <f t="shared" si="1"/>
        <v>2018</v>
      </c>
      <c r="C86" s="18">
        <f ca="1">OFFSET(Mercado!$A$1,MATCH(A86,Mercado!$A$2:$A$11,0),MATCH(B86,Mercado!$B$1:$AN$1,0),1,1)</f>
        <v>10803.4548</v>
      </c>
      <c r="D86" s="18">
        <f ca="1">OFFSET(CompPerdasIntercambio!$A$1,MATCH(A86,CompPerdasIntercambio!$A$2:$A$11,0),MATCH(B86,CompPerdasIntercambio!$B$1:$AN$1,0),1,1)</f>
        <v>0</v>
      </c>
      <c r="E86" s="18">
        <f ca="1">OFFSET(GerNaoDesp!$A$1,MATCH(A86,GerNaoDesp!$A$2:$A$9,0),MATCH(B86,GerNaoDesp!$B$1:$AN$1,0),1,1)</f>
        <v>21.287798314906794</v>
      </c>
      <c r="F86" s="58">
        <f ca="1">OFFSET(MercadoPonta!$A$1,MATCH(A86,MercadoPonta!$A$2:$A$11,0),MATCH(B86,MercadoPonta!$B$1:$AN$1,0),1,1)</f>
        <v>12940.3042265</v>
      </c>
      <c r="G86" s="432">
        <f ca="1">OFFSET(GerNaoDesp!$A$18,MATCH(A86,GerNaoDesp!$A$19:$A$25,0),MATCH(B86,GerNaoDesp!$B$18:$AN$18,0),1,1)</f>
        <v>15.761764864906795</v>
      </c>
      <c r="H86" s="24">
        <f ca="1">OFFSET(GerNaoDesp!$A$30,MATCH(A86,GerNaoDesp!$A$31:$A$37,0),MATCH(B86,GerNaoDesp!$B$30:$AN$30,0),1,1)</f>
        <v>7.3499999999999996E-2</v>
      </c>
      <c r="I86" s="24">
        <f ca="1">OFFSET(GerNaoDesp!$A$42,MATCH(A86,GerNaoDesp!$A$43:$A$49,0),MATCH(B86,GerNaoDesp!$B$42:$AN$42,0),1,1)</f>
        <v>5.3545384499999997</v>
      </c>
    </row>
    <row r="87" spans="1:9">
      <c r="A87" s="59">
        <f t="shared" si="0"/>
        <v>3</v>
      </c>
      <c r="B87" s="59">
        <f t="shared" si="1"/>
        <v>2019</v>
      </c>
      <c r="C87" s="18">
        <f ca="1">OFFSET(Mercado!$A$1,MATCH(A87,Mercado!$A$2:$A$11,0),MATCH(B87,Mercado!$B$1:$AN$1,0),1,1)</f>
        <v>11470.204606008609</v>
      </c>
      <c r="D87" s="18">
        <f ca="1">OFFSET(CompPerdasIntercambio!$A$1,MATCH(A87,CompPerdasIntercambio!$A$2:$A$11,0),MATCH(B87,CompPerdasIntercambio!$B$1:$AN$1,0),1,1)</f>
        <v>0</v>
      </c>
      <c r="E87" s="18">
        <f ca="1">OFFSET(GerNaoDesp!$A$1,MATCH(A87,GerNaoDesp!$A$2:$A$9,0),MATCH(B87,GerNaoDesp!$B$1:$AN$1,0),1,1)</f>
        <v>47.868390859078005</v>
      </c>
      <c r="F87" s="58">
        <f ca="1">OFFSET(MercadoPonta!$A$1,MATCH(A87,MercadoPonta!$A$2:$A$11,0),MATCH(B87,MercadoPonta!$B$1:$AN$1,0),1,1)</f>
        <v>14516.738752802112</v>
      </c>
      <c r="G87" s="432">
        <f ca="1">OFFSET(GerNaoDesp!$A$18,MATCH(A87,GerNaoDesp!$A$19:$A$25,0),MATCH(B87,GerNaoDesp!$B$18:$AN$18,0),1,1)</f>
        <v>34.51362683848977</v>
      </c>
      <c r="H87" s="24">
        <f ca="1">OFFSET(GerNaoDesp!$A$30,MATCH(A87,GerNaoDesp!$A$31:$A$37,0),MATCH(B87,GerNaoDesp!$B$30:$AN$30,0),1,1)</f>
        <v>0.1225</v>
      </c>
      <c r="I87" s="24">
        <f ca="1">OFFSET(GerNaoDesp!$A$42,MATCH(A87,GerNaoDesp!$A$43:$A$49,0),MATCH(B87,GerNaoDesp!$B$42:$AN$42,0),1,1)</f>
        <v>12.531311549999998</v>
      </c>
    </row>
    <row r="88" spans="1:9">
      <c r="A88" s="59">
        <f t="shared" si="0"/>
        <v>3</v>
      </c>
      <c r="B88" s="59">
        <f t="shared" si="1"/>
        <v>2020</v>
      </c>
      <c r="C88" s="18">
        <f ca="1">OFFSET(Mercado!$A$1,MATCH(A88,Mercado!$A$2:$A$11,0),MATCH(B88,Mercado!$B$1:$AN$1,0),1,1)</f>
        <v>12054.133279161812</v>
      </c>
      <c r="D88" s="18">
        <f ca="1">OFFSET(CompPerdasIntercambio!$A$1,MATCH(A88,CompPerdasIntercambio!$A$2:$A$11,0),MATCH(B88,CompPerdasIntercambio!$B$1:$AN$1,0),1,1)</f>
        <v>0</v>
      </c>
      <c r="E88" s="18">
        <f ca="1">OFFSET(GerNaoDesp!$A$1,MATCH(A88,GerNaoDesp!$A$2:$A$9,0),MATCH(B88,GerNaoDesp!$B$1:$AN$1,0),1,1)</f>
        <v>86.345267983997545</v>
      </c>
      <c r="F88" s="58">
        <f ca="1">OFFSET(MercadoPonta!$A$1,MATCH(A88,MercadoPonta!$A$2:$A$11,0),MATCH(B88,MercadoPonta!$B$1:$AN$1,0),1,1)</f>
        <v>15253.556900065727</v>
      </c>
      <c r="G88" s="432">
        <f ca="1">OFFSET(GerNaoDesp!$A$18,MATCH(A88,GerNaoDesp!$A$19:$A$25,0),MATCH(B88,GerNaoDesp!$B$18:$AN$18,0),1,1)</f>
        <v>59.730064392821077</v>
      </c>
      <c r="H88" s="24">
        <f ca="1">OFFSET(GerNaoDesp!$A$30,MATCH(A88,GerNaoDesp!$A$31:$A$37,0),MATCH(B88,GerNaoDesp!$B$30:$AN$30,0),1,1)</f>
        <v>0.19599999999999998</v>
      </c>
      <c r="I88" s="24">
        <f ca="1">OFFSET(GerNaoDesp!$A$42,MATCH(A88,GerNaoDesp!$A$43:$A$49,0),MATCH(B88,GerNaoDesp!$B$42:$AN$42,0),1,1)</f>
        <v>25.213288649999992</v>
      </c>
    </row>
    <row r="89" spans="1:9">
      <c r="A89" s="59">
        <f t="shared" si="0"/>
        <v>3</v>
      </c>
      <c r="B89" s="59">
        <f t="shared" si="1"/>
        <v>2021</v>
      </c>
      <c r="C89" s="18">
        <f ca="1">OFFSET(Mercado!$A$1,MATCH(A89,Mercado!$A$2:$A$11,0),MATCH(B89,Mercado!$B$1:$AN$1,0),1,1)</f>
        <v>12607.534799314715</v>
      </c>
      <c r="D89" s="18">
        <f ca="1">OFFSET(CompPerdasIntercambio!$A$1,MATCH(A89,CompPerdasIntercambio!$A$2:$A$11,0),MATCH(B89,CompPerdasIntercambio!$B$1:$AN$1,0),1,1)</f>
        <v>0</v>
      </c>
      <c r="E89" s="18">
        <f ca="1">OFFSET(GerNaoDesp!$A$1,MATCH(A89,GerNaoDesp!$A$2:$A$9,0),MATCH(B89,GerNaoDesp!$B$1:$AN$1,0),1,1)</f>
        <v>112.25136441045886</v>
      </c>
      <c r="F89" s="58">
        <f ca="1">OFFSET(MercadoPonta!$A$1,MATCH(A89,MercadoPonta!$A$2:$A$11,0),MATCH(B89,MercadoPonta!$B$1:$AN$1,0),1,1)</f>
        <v>15952.79518842385</v>
      </c>
      <c r="G89" s="432">
        <f ca="1">OFFSET(GerNaoDesp!$A$18,MATCH(A89,GerNaoDesp!$A$19:$A$25,0),MATCH(B89,GerNaoDesp!$B$18:$AN$18,0),1,1)</f>
        <v>77.409083269282391</v>
      </c>
      <c r="H89" s="24">
        <f ca="1">OFFSET(GerNaoDesp!$A$30,MATCH(A89,GerNaoDesp!$A$31:$A$37,0),MATCH(B89,GerNaoDesp!$B$30:$AN$30,0),1,1)</f>
        <v>0.245</v>
      </c>
      <c r="I89" s="24">
        <f ca="1">OFFSET(GerNaoDesp!$A$42,MATCH(A89,GerNaoDesp!$A$43:$A$49,0),MATCH(B89,GerNaoDesp!$B$42:$AN$42,0),1,1)</f>
        <v>33.391366199999993</v>
      </c>
    </row>
    <row r="90" spans="1:9">
      <c r="A90" s="59">
        <f t="shared" si="0"/>
        <v>3</v>
      </c>
      <c r="B90" s="59">
        <f t="shared" si="1"/>
        <v>2022</v>
      </c>
      <c r="C90" s="18">
        <f ca="1">OFFSET(Mercado!$A$1,MATCH(A90,Mercado!$A$2:$A$11,0),MATCH(B90,Mercado!$B$1:$AN$1,0),1,1)</f>
        <v>13195.353226360772</v>
      </c>
      <c r="D90" s="18">
        <f ca="1">OFFSET(CompPerdasIntercambio!$A$1,MATCH(A90,CompPerdasIntercambio!$A$2:$A$11,0),MATCH(B90,CompPerdasIntercambio!$B$1:$AN$1,0),1,1)</f>
        <v>0</v>
      </c>
      <c r="E90" s="18">
        <f ca="1">OFFSET(GerNaoDesp!$A$1,MATCH(A90,GerNaoDesp!$A$2:$A$9,0),MATCH(B90,GerNaoDesp!$B$1:$AN$1,0),1,1)</f>
        <v>120.84446603703057</v>
      </c>
      <c r="F90" s="58">
        <f ca="1">OFFSET(MercadoPonta!$A$1,MATCH(A90,MercadoPonta!$A$2:$A$11,0),MATCH(B90,MercadoPonta!$B$1:$AN$1,0),1,1)</f>
        <v>16696.483849792352</v>
      </c>
      <c r="G90" s="432">
        <f ca="1">OFFSET(GerNaoDesp!$A$18,MATCH(A90,GerNaoDesp!$A$19:$A$25,0),MATCH(B90,GerNaoDesp!$B$18:$AN$18,0),1,1)</f>
        <v>85.364139575265881</v>
      </c>
      <c r="H90" s="24">
        <f ca="1">OFFSET(GerNaoDesp!$A$30,MATCH(A90,GerNaoDesp!$A$31:$A$37,0),MATCH(B90,GerNaoDesp!$B$30:$AN$30,0),1,1)</f>
        <v>0.245</v>
      </c>
      <c r="I90" s="24">
        <f ca="1">OFFSET(GerNaoDesp!$A$42,MATCH(A90,GerNaoDesp!$A$43:$A$49,0),MATCH(B90,GerNaoDesp!$B$42:$AN$42,0),1,1)</f>
        <v>33.524449049999994</v>
      </c>
    </row>
    <row r="91" spans="1:9">
      <c r="A91" s="59">
        <f t="shared" si="0"/>
        <v>3</v>
      </c>
      <c r="B91" s="59">
        <f t="shared" si="1"/>
        <v>2023</v>
      </c>
      <c r="C91" s="18">
        <f ca="1">OFFSET(Mercado!$A$1,MATCH(A91,Mercado!$A$2:$A$11,0),MATCH(B91,Mercado!$B$1:$AN$1,0),1,1)</f>
        <v>13813.342926862912</v>
      </c>
      <c r="D91" s="18">
        <f ca="1">OFFSET(CompPerdasIntercambio!$A$1,MATCH(A91,CompPerdasIntercambio!$A$2:$A$11,0),MATCH(B91,CompPerdasIntercambio!$B$1:$AN$1,0),1,1)</f>
        <v>0</v>
      </c>
      <c r="E91" s="18">
        <f ca="1">OFFSET(GerNaoDesp!$A$1,MATCH(A91,GerNaoDesp!$A$2:$A$9,0),MATCH(B91,GerNaoDesp!$B$1:$AN$1,0),1,1)</f>
        <v>139.2084149646935</v>
      </c>
      <c r="F91" s="58">
        <f ca="1">OFFSET(MercadoPonta!$A$1,MATCH(A91,MercadoPonta!$A$2:$A$11,0),MATCH(B91,MercadoPonta!$B$1:$AN$1,0),1,1)</f>
        <v>17477.952274630654</v>
      </c>
      <c r="G91" s="432">
        <f ca="1">OFFSET(GerNaoDesp!$A$18,MATCH(A91,GerNaoDesp!$A$19:$A$25,0),MATCH(B91,GerNaoDesp!$B$18:$AN$18,0),1,1)</f>
        <v>102.43810811175233</v>
      </c>
      <c r="H91" s="24">
        <f ca="1">OFFSET(GerNaoDesp!$A$30,MATCH(A91,GerNaoDesp!$A$31:$A$37,0),MATCH(B91,GerNaoDesp!$B$30:$AN$30,0),1,1)</f>
        <v>0.26949999999999996</v>
      </c>
      <c r="I91" s="24">
        <f ca="1">OFFSET(GerNaoDesp!$A$42,MATCH(A91,GerNaoDesp!$A$43:$A$49,0),MATCH(B91,GerNaoDesp!$B$42:$AN$42,0),1,1)</f>
        <v>33.780004499999997</v>
      </c>
    </row>
    <row r="92" spans="1:9">
      <c r="A92" s="59">
        <f t="shared" si="0"/>
        <v>3</v>
      </c>
      <c r="B92" s="59">
        <f t="shared" si="1"/>
        <v>2024</v>
      </c>
      <c r="C92" s="18">
        <f ca="1">OFFSET(Mercado!$A$1,MATCH(A92,Mercado!$A$2:$A$11,0),MATCH(B92,Mercado!$B$1:$AN$1,0),1,1)</f>
        <v>14454.516807188518</v>
      </c>
      <c r="D92" s="18">
        <f ca="1">OFFSET(CompPerdasIntercambio!$A$1,MATCH(A92,CompPerdasIntercambio!$A$2:$A$11,0),MATCH(B92,CompPerdasIntercambio!$B$1:$AN$1,0),1,1)</f>
        <v>0</v>
      </c>
      <c r="E92" s="18">
        <f ca="1">OFFSET(GerNaoDesp!$A$1,MATCH(A92,GerNaoDesp!$A$2:$A$9,0),MATCH(B92,GerNaoDesp!$B$1:$AN$1,0),1,1)</f>
        <v>170.08099709231755</v>
      </c>
      <c r="F92" s="58">
        <f ca="1">OFFSET(MercadoPonta!$A$1,MATCH(A92,MercadoPonta!$A$2:$A$11,0),MATCH(B92,MercadoPonta!$B$1:$AN$1,0),1,1)</f>
        <v>18288.707992536634</v>
      </c>
      <c r="G92" s="432">
        <f ca="1">OFFSET(GerNaoDesp!$A$18,MATCH(A92,GerNaoDesp!$A$19:$A$25,0),MATCH(B92,GerNaoDesp!$B$18:$AN$18,0),1,1)</f>
        <v>131.7821859481999</v>
      </c>
      <c r="H92" s="24">
        <f ca="1">OFFSET(GerNaoDesp!$A$30,MATCH(A92,GerNaoDesp!$A$31:$A$37,0),MATCH(B92,GerNaoDesp!$B$30:$AN$30,0),1,1)</f>
        <v>0.31849999999999995</v>
      </c>
      <c r="I92" s="24">
        <f ca="1">OFFSET(GerNaoDesp!$A$42,MATCH(A92,GerNaoDesp!$A$43:$A$49,0),MATCH(B92,GerNaoDesp!$B$42:$AN$42,0),1,1)</f>
        <v>34.249583849999993</v>
      </c>
    </row>
    <row r="93" spans="1:9">
      <c r="A93" s="59">
        <f t="shared" si="0"/>
        <v>3</v>
      </c>
      <c r="B93" s="59">
        <f t="shared" si="1"/>
        <v>2025</v>
      </c>
      <c r="C93" s="18">
        <f ca="1">OFFSET(Mercado!$A$1,MATCH(A93,Mercado!$A$2:$A$11,0),MATCH(B93,Mercado!$B$1:$AN$1,0),1,1)</f>
        <v>15155.509906758005</v>
      </c>
      <c r="D93" s="18">
        <f ca="1">OFFSET(CompPerdasIntercambio!$A$1,MATCH(A93,CompPerdasIntercambio!$A$2:$A$11,0),MATCH(B93,CompPerdasIntercambio!$B$1:$AN$1,0),1,1)</f>
        <v>0</v>
      </c>
      <c r="E93" s="18">
        <f ca="1">OFFSET(GerNaoDesp!$A$1,MATCH(A93,GerNaoDesp!$A$2:$A$9,0),MATCH(B93,GerNaoDesp!$B$1:$AN$1,0),1,1)</f>
        <v>205.72198965384135</v>
      </c>
      <c r="F93" s="58">
        <f ca="1">OFFSET(MercadoPonta!$A$1,MATCH(A93,MercadoPonta!$A$2:$A$11,0),MATCH(B93,MercadoPonta!$B$1:$AN$1,0),1,1)</f>
        <v>19175.129566131069</v>
      </c>
      <c r="G93" s="432">
        <f ca="1">OFFSET(GerNaoDesp!$A$18,MATCH(A93,GerNaoDesp!$A$19:$A$25,0),MATCH(B93,GerNaoDesp!$B$18:$AN$18,0),1,1)</f>
        <v>165.52634696854724</v>
      </c>
      <c r="H93" s="24">
        <f ca="1">OFFSET(GerNaoDesp!$A$30,MATCH(A93,GerNaoDesp!$A$31:$A$37,0),MATCH(B93,GerNaoDesp!$B$30:$AN$30,0),1,1)</f>
        <v>0.36749999999999999</v>
      </c>
      <c r="I93" s="24">
        <f ca="1">OFFSET(GerNaoDesp!$A$42,MATCH(A93,GerNaoDesp!$A$43:$A$49,0),MATCH(B93,GerNaoDesp!$B$42:$AN$42,0),1,1)</f>
        <v>35.08749044999999</v>
      </c>
    </row>
    <row r="94" spans="1:9">
      <c r="A94" s="59">
        <f t="shared" si="0"/>
        <v>3</v>
      </c>
      <c r="B94" s="59">
        <f t="shared" si="1"/>
        <v>2026</v>
      </c>
      <c r="C94" s="18">
        <f ca="1">OFFSET(Mercado!$A$1,MATCH(A94,Mercado!$A$2:$A$11,0),MATCH(B94,Mercado!$B$1:$AN$1,0),1,1)</f>
        <v>15868.562496292911</v>
      </c>
      <c r="D94" s="18">
        <f ca="1">OFFSET(CompPerdasIntercambio!$A$1,MATCH(A94,CompPerdasIntercambio!$A$2:$A$11,0),MATCH(B94,CompPerdasIntercambio!$B$1:$AN$1,0),1,1)</f>
        <v>0</v>
      </c>
      <c r="E94" s="18">
        <f ca="1">OFFSET(GerNaoDesp!$A$1,MATCH(A94,GerNaoDesp!$A$2:$A$9,0),MATCH(B94,GerNaoDesp!$B$1:$AN$1,0),1,1)</f>
        <v>244.87008537748503</v>
      </c>
      <c r="F94" s="58">
        <f ca="1">OFFSET(MercadoPonta!$A$1,MATCH(A94,MercadoPonta!$A$2:$A$11,0),MATCH(B94,MercadoPonta!$B$1:$AN$1,0),1,1)</f>
        <v>20076.349659979278</v>
      </c>
      <c r="G94" s="432">
        <f ca="1">OFFSET(GerNaoDesp!$A$18,MATCH(A94,GerNaoDesp!$A$19:$A$25,0),MATCH(B94,GerNaoDesp!$B$18:$AN$18,0),1,1)</f>
        <v>201.59147063042622</v>
      </c>
      <c r="H94" s="24">
        <f ca="1">OFFSET(GerNaoDesp!$A$30,MATCH(A94,GerNaoDesp!$A$31:$A$37,0),MATCH(B94,GerNaoDesp!$B$30:$AN$30,0),1,1)</f>
        <v>0.41649999999999998</v>
      </c>
      <c r="I94" s="24">
        <f ca="1">OFFSET(GerNaoDesp!$A$42,MATCH(A94,GerNaoDesp!$A$43:$A$49,0),MATCH(B94,GerNaoDesp!$B$42:$AN$42,0),1,1)</f>
        <v>36.606575099999993</v>
      </c>
    </row>
    <row r="95" spans="1:9">
      <c r="A95" s="59">
        <f t="shared" si="0"/>
        <v>3</v>
      </c>
      <c r="B95" s="59">
        <f t="shared" si="1"/>
        <v>2027</v>
      </c>
      <c r="C95" s="18">
        <f ca="1">OFFSET(Mercado!$A$1,MATCH(A95,Mercado!$A$2:$A$11,0),MATCH(B95,Mercado!$B$1:$AN$1,0),1,1)</f>
        <v>16420.351031338694</v>
      </c>
      <c r="D95" s="18">
        <f ca="1">OFFSET(CompPerdasIntercambio!$A$1,MATCH(A95,CompPerdasIntercambio!$A$2:$A$11,0),MATCH(B95,CompPerdasIntercambio!$B$1:$AN$1,0),1,1)</f>
        <v>0</v>
      </c>
      <c r="E95" s="18">
        <f ca="1">OFFSET(GerNaoDesp!$A$1,MATCH(A95,GerNaoDesp!$A$2:$A$9,0),MATCH(B95,GerNaoDesp!$B$1:$AN$1,0),1,1)</f>
        <v>286.88312716298356</v>
      </c>
      <c r="F95" s="58">
        <f ca="1">OFFSET(MercadoPonta!$A$1,MATCH(A95,MercadoPonta!$A$2:$A$11,0),MATCH(B95,MercadoPonta!$B$1:$AN$1,0),1,1)</f>
        <v>20772.91292736664</v>
      </c>
      <c r="G95" s="432">
        <f ca="1">OFFSET(GerNaoDesp!$A$18,MATCH(A95,GerNaoDesp!$A$19:$A$25,0),MATCH(B95,GerNaoDesp!$B$18:$AN$18,0),1,1)</f>
        <v>238.9416079835718</v>
      </c>
      <c r="H95" s="24">
        <f ca="1">OFFSET(GerNaoDesp!$A$30,MATCH(A95,GerNaoDesp!$A$31:$A$37,0),MATCH(B95,GerNaoDesp!$B$30:$AN$30,0),1,1)</f>
        <v>0.46549999999999997</v>
      </c>
      <c r="I95" s="24">
        <f ca="1">OFFSET(GerNaoDesp!$A$42,MATCH(A95,GerNaoDesp!$A$43:$A$49,0),MATCH(B95,GerNaoDesp!$B$42:$AN$42,0),1,1)</f>
        <v>39.200629649999989</v>
      </c>
    </row>
    <row r="96" spans="1:9">
      <c r="A96" s="59">
        <f t="shared" si="0"/>
        <v>3</v>
      </c>
      <c r="B96" s="59">
        <f t="shared" si="1"/>
        <v>2028</v>
      </c>
      <c r="C96" s="18">
        <f ca="1">OFFSET(Mercado!$A$1,MATCH(A96,Mercado!$A$2:$A$11,0),MATCH(B96,Mercado!$B$1:$AN$1,0),1,1)</f>
        <v>16989.893615740111</v>
      </c>
      <c r="D96" s="18">
        <f ca="1">OFFSET(CompPerdasIntercambio!$A$1,MATCH(A96,CompPerdasIntercambio!$A$2:$A$11,0),MATCH(B96,CompPerdasIntercambio!$B$1:$AN$1,0),1,1)</f>
        <v>0</v>
      </c>
      <c r="E96" s="18">
        <f ca="1">OFFSET(GerNaoDesp!$A$1,MATCH(A96,GerNaoDesp!$A$2:$A$9,0),MATCH(B96,GerNaoDesp!$B$1:$AN$1,0),1,1)</f>
        <v>330.96018524453621</v>
      </c>
      <c r="F96" s="58">
        <f ca="1">OFFSET(MercadoPonta!$A$1,MATCH(A96,MercadoPonta!$A$2:$A$11,0),MATCH(B96,MercadoPonta!$B$1:$AN$1,0),1,1)</f>
        <v>21491.73097495101</v>
      </c>
      <c r="G96" s="432">
        <f ca="1">OFFSET(GerNaoDesp!$A$18,MATCH(A96,GerNaoDesp!$A$19:$A$25,0),MATCH(B96,GerNaoDesp!$B$18:$AN$18,0),1,1)</f>
        <v>276.8824526327715</v>
      </c>
      <c r="H96" s="24">
        <f ca="1">OFFSET(GerNaoDesp!$A$30,MATCH(A96,GerNaoDesp!$A$31:$A$37,0),MATCH(B96,GerNaoDesp!$B$30:$AN$30,0),1,1)</f>
        <v>0.51449999999999996</v>
      </c>
      <c r="I96" s="24">
        <f ca="1">OFFSET(GerNaoDesp!$A$42,MATCH(A96,GerNaoDesp!$A$43:$A$49,0),MATCH(B96,GerNaoDesp!$B$42:$AN$42,0),1,1)</f>
        <v>43.267993199999992</v>
      </c>
    </row>
    <row r="97" spans="1:9">
      <c r="A97" s="59">
        <f t="shared" si="0"/>
        <v>3</v>
      </c>
      <c r="B97" s="59">
        <f t="shared" si="1"/>
        <v>2029</v>
      </c>
      <c r="C97" s="18">
        <f ca="1">OFFSET(Mercado!$A$1,MATCH(A97,Mercado!$A$2:$A$11,0),MATCH(B97,Mercado!$B$1:$AN$1,0),1,1)</f>
        <v>17550.46609733683</v>
      </c>
      <c r="D97" s="18">
        <f ca="1">OFFSET(CompPerdasIntercambio!$A$1,MATCH(A97,CompPerdasIntercambio!$A$2:$A$11,0),MATCH(B97,CompPerdasIntercambio!$B$1:$AN$1,0),1,1)</f>
        <v>0</v>
      </c>
      <c r="E97" s="18">
        <f ca="1">OFFSET(GerNaoDesp!$A$1,MATCH(A97,GerNaoDesp!$A$2:$A$9,0),MATCH(B97,GerNaoDesp!$B$1:$AN$1,0),1,1)</f>
        <v>377.43279032900108</v>
      </c>
      <c r="F97" s="58">
        <f ca="1">OFFSET(MercadoPonta!$A$1,MATCH(A97,MercadoPonta!$A$2:$A$11,0),MATCH(B97,MercadoPonta!$B$1:$AN$1,0),1,1)</f>
        <v>22198.889532023106</v>
      </c>
      <c r="G97" s="432">
        <f ca="1">OFFSET(GerNaoDesp!$A$18,MATCH(A97,GerNaoDesp!$A$19:$A$25,0),MATCH(B97,GerNaoDesp!$B$18:$AN$18,0),1,1)</f>
        <v>315.32875918488344</v>
      </c>
      <c r="H97" s="24">
        <f ca="1">OFFSET(GerNaoDesp!$A$30,MATCH(A97,GerNaoDesp!$A$31:$A$37,0),MATCH(B97,GerNaoDesp!$B$30:$AN$30,0),1,1)</f>
        <v>0.58799999999999997</v>
      </c>
      <c r="I97" s="24">
        <f ca="1">OFFSET(GerNaoDesp!$A$42,MATCH(A97,GerNaoDesp!$A$43:$A$49,0),MATCH(B97,GerNaoDesp!$B$42:$AN$42,0),1,1)</f>
        <v>49.200941849999992</v>
      </c>
    </row>
    <row r="98" spans="1:9">
      <c r="A98" s="59">
        <f t="shared" si="0"/>
        <v>3</v>
      </c>
      <c r="B98" s="59">
        <f t="shared" si="1"/>
        <v>2030</v>
      </c>
      <c r="C98" s="18">
        <f ca="1">OFFSET(Mercado!$A$1,MATCH(A98,Mercado!$A$2:$A$11,0),MATCH(B98,Mercado!$B$1:$AN$1,0),1,1)</f>
        <v>18106.504694346579</v>
      </c>
      <c r="D98" s="18">
        <f ca="1">OFFSET(CompPerdasIntercambio!$A$1,MATCH(A98,CompPerdasIntercambio!$A$2:$A$11,0),MATCH(B98,CompPerdasIntercambio!$B$1:$AN$1,0),1,1)</f>
        <v>0</v>
      </c>
      <c r="E98" s="18">
        <f ca="1">OFFSET(GerNaoDesp!$A$1,MATCH(A98,GerNaoDesp!$A$2:$A$9,0),MATCH(B98,GerNaoDesp!$B$1:$AN$1,0),1,1)</f>
        <v>428.38557598007475</v>
      </c>
      <c r="F98" s="58">
        <f ca="1">OFFSET(MercadoPonta!$A$1,MATCH(A98,MercadoPonta!$A$2:$A$11,0),MATCH(B98,MercadoPonta!$B$1:$AN$1,0),1,1)</f>
        <v>22898.884589481313</v>
      </c>
      <c r="G98" s="432">
        <f ca="1">OFFSET(GerNaoDesp!$A$18,MATCH(A98,GerNaoDesp!$A$19:$A$25,0),MATCH(B98,GerNaoDesp!$B$18:$AN$18,0),1,1)</f>
        <v>354.43389250360417</v>
      </c>
      <c r="H98" s="24">
        <f ca="1">OFFSET(GerNaoDesp!$A$30,MATCH(A98,GerNaoDesp!$A$31:$A$37,0),MATCH(B98,GerNaoDesp!$B$30:$AN$30,0),1,1)</f>
        <v>0.66149999999999998</v>
      </c>
      <c r="I98" s="24">
        <f ca="1">OFFSET(GerNaoDesp!$A$42,MATCH(A98,GerNaoDesp!$A$43:$A$49,0),MATCH(B98,GerNaoDesp!$B$42:$AN$42,0),1,1)</f>
        <v>57.465720299999994</v>
      </c>
    </row>
    <row r="99" spans="1:9">
      <c r="A99" s="59">
        <f t="shared" si="0"/>
        <v>3</v>
      </c>
      <c r="B99" s="59">
        <f t="shared" si="1"/>
        <v>2031</v>
      </c>
      <c r="C99" s="18">
        <f ca="1">OFFSET(Mercado!$A$1,MATCH(A99,Mercado!$A$2:$A$11,0),MATCH(B99,Mercado!$B$1:$AN$1,0),1,1)</f>
        <v>18715.900086075322</v>
      </c>
      <c r="D99" s="18">
        <f ca="1">OFFSET(CompPerdasIntercambio!$A$1,MATCH(A99,CompPerdasIntercambio!$A$2:$A$11,0),MATCH(B99,CompPerdasIntercambio!$B$1:$AN$1,0),1,1)</f>
        <v>0</v>
      </c>
      <c r="E99" s="18">
        <f ca="1">OFFSET(GerNaoDesp!$A$1,MATCH(A99,GerNaoDesp!$A$2:$A$9,0),MATCH(B99,GerNaoDesp!$B$1:$AN$1,0),1,1)</f>
        <v>474.7061867928374</v>
      </c>
      <c r="F99" s="58">
        <f ca="1">OFFSET(MercadoPonta!$A$1,MATCH(A99,MercadoPonta!$A$2:$A$11,0),MATCH(B99,MercadoPonta!$B$1:$AN$1,0),1,1)</f>
        <v>23666.404143419262</v>
      </c>
      <c r="G99" s="432">
        <f ca="1">OFFSET(GerNaoDesp!$A$18,MATCH(A99,GerNaoDesp!$A$19:$A$25,0),MATCH(B99,GerNaoDesp!$B$18:$AN$18,0),1,1)</f>
        <v>388.80074848401387</v>
      </c>
      <c r="H99" s="24">
        <f ca="1">OFFSET(GerNaoDesp!$A$30,MATCH(A99,GerNaoDesp!$A$31:$A$37,0),MATCH(B99,GerNaoDesp!$B$30:$AN$30,0),1,1)</f>
        <v>0.73499999999999999</v>
      </c>
      <c r="I99" s="24">
        <f ca="1">OFFSET(GerNaoDesp!$A$42,MATCH(A99,GerNaoDesp!$A$43:$A$49,0),MATCH(B99,GerNaoDesp!$B$42:$AN$42,0),1,1)</f>
        <v>65.836601250000001</v>
      </c>
    </row>
    <row r="100" spans="1:9">
      <c r="A100" s="59">
        <f t="shared" si="0"/>
        <v>3</v>
      </c>
      <c r="B100" s="59">
        <f t="shared" si="1"/>
        <v>2032</v>
      </c>
      <c r="C100" s="18">
        <f ca="1">OFFSET(Mercado!$A$1,MATCH(A100,Mercado!$A$2:$A$11,0),MATCH(B100,Mercado!$B$1:$AN$1,0),1,1)</f>
        <v>19334.076389837504</v>
      </c>
      <c r="D100" s="18">
        <f ca="1">OFFSET(CompPerdasIntercambio!$A$1,MATCH(A100,CompPerdasIntercambio!$A$2:$A$11,0),MATCH(B100,CompPerdasIntercambio!$B$1:$AN$1,0),1,1)</f>
        <v>0</v>
      </c>
      <c r="E100" s="18">
        <f ca="1">OFFSET(GerNaoDesp!$A$1,MATCH(A100,GerNaoDesp!$A$2:$A$9,0),MATCH(B100,GerNaoDesp!$B$1:$AN$1,0),1,1)</f>
        <v>514.01452206351814</v>
      </c>
      <c r="F100" s="58">
        <f ca="1">OFFSET(MercadoPonta!$A$1,MATCH(A100,MercadoPonta!$A$2:$A$11,0),MATCH(B100,MercadoPonta!$B$1:$AN$1,0),1,1)</f>
        <v>24446.220316080551</v>
      </c>
      <c r="G100" s="432">
        <f ca="1">OFFSET(GerNaoDesp!$A$18,MATCH(A100,GerNaoDesp!$A$19:$A$25,0),MATCH(B100,GerNaoDesp!$B$18:$AN$18,0),1,1)</f>
        <v>418.34058217234178</v>
      </c>
      <c r="H100" s="24">
        <f ca="1">OFFSET(GerNaoDesp!$A$30,MATCH(A100,GerNaoDesp!$A$31:$A$37,0),MATCH(B100,GerNaoDesp!$B$30:$AN$30,0),1,1)</f>
        <v>0.8085</v>
      </c>
      <c r="I100" s="24">
        <f ca="1">OFFSET(GerNaoDesp!$A$42,MATCH(A100,GerNaoDesp!$A$43:$A$49,0),MATCH(B100,GerNaoDesp!$B$42:$AN$42,0),1,1)</f>
        <v>73.511752949999988</v>
      </c>
    </row>
    <row r="101" spans="1:9">
      <c r="A101" s="59">
        <f t="shared" si="0"/>
        <v>3</v>
      </c>
      <c r="B101" s="59">
        <f t="shared" si="1"/>
        <v>2033</v>
      </c>
      <c r="C101" s="18">
        <f ca="1">OFFSET(Mercado!$A$1,MATCH(A101,Mercado!$A$2:$A$11,0),MATCH(B101,Mercado!$B$1:$AN$1,0),1,1)</f>
        <v>19956.090882794175</v>
      </c>
      <c r="D101" s="18">
        <f ca="1">OFFSET(CompPerdasIntercambio!$A$1,MATCH(A101,CompPerdasIntercambio!$A$2:$A$11,0),MATCH(B101,CompPerdasIntercambio!$B$1:$AN$1,0),1,1)</f>
        <v>0</v>
      </c>
      <c r="E101" s="18">
        <f ca="1">OFFSET(GerNaoDesp!$A$1,MATCH(A101,GerNaoDesp!$A$2:$A$9,0),MATCH(B101,GerNaoDesp!$B$1:$AN$1,0),1,1)</f>
        <v>555.20186598252326</v>
      </c>
      <c r="F101" s="58">
        <f ca="1">OFFSET(MercadoPonta!$A$1,MATCH(A101,MercadoPonta!$A$2:$A$11,0),MATCH(B101,MercadoPonta!$B$1:$AN$1,0),1,1)</f>
        <v>25230.765231076635</v>
      </c>
      <c r="G101" s="432">
        <f ca="1">OFFSET(GerNaoDesp!$A$18,MATCH(A101,GerNaoDesp!$A$19:$A$25,0),MATCH(B101,GerNaoDesp!$B$18:$AN$18,0),1,1)</f>
        <v>448.7213837589938</v>
      </c>
      <c r="H101" s="24">
        <f ca="1">OFFSET(GerNaoDesp!$A$30,MATCH(A101,GerNaoDesp!$A$31:$A$37,0),MATCH(B101,GerNaoDesp!$B$30:$AN$30,0),1,1)</f>
        <v>0.85750000000000004</v>
      </c>
      <c r="I101" s="24">
        <f ca="1">OFFSET(GerNaoDesp!$A$42,MATCH(A101,GerNaoDesp!$A$43:$A$49,0),MATCH(B101,GerNaoDesp!$B$42:$AN$42,0),1,1)</f>
        <v>82.249445399999999</v>
      </c>
    </row>
    <row r="102" spans="1:9">
      <c r="A102" s="59">
        <f t="shared" si="0"/>
        <v>3</v>
      </c>
      <c r="B102" s="59">
        <f t="shared" si="1"/>
        <v>2034</v>
      </c>
      <c r="C102" s="18">
        <f ca="1">OFFSET(Mercado!$A$1,MATCH(A102,Mercado!$A$2:$A$11,0),MATCH(B102,Mercado!$B$1:$AN$1,0),1,1)</f>
        <v>20568.547366299932</v>
      </c>
      <c r="D102" s="18">
        <f ca="1">OFFSET(CompPerdasIntercambio!$A$1,MATCH(A102,CompPerdasIntercambio!$A$2:$A$11,0),MATCH(B102,CompPerdasIntercambio!$B$1:$AN$1,0),1,1)</f>
        <v>0</v>
      </c>
      <c r="E102" s="18">
        <f ca="1">OFFSET(GerNaoDesp!$A$1,MATCH(A102,GerNaoDesp!$A$2:$A$9,0),MATCH(B102,GerNaoDesp!$B$1:$AN$1,0),1,1)</f>
        <v>598.4571529330741</v>
      </c>
      <c r="F102" s="58">
        <f ca="1">OFFSET(MercadoPonta!$A$1,MATCH(A102,MercadoPonta!$A$2:$A$11,0),MATCH(B102,MercadoPonta!$B$1:$AN$1,0),1,1)</f>
        <v>26003.369166849967</v>
      </c>
      <c r="G102" s="432">
        <f ca="1">OFFSET(GerNaoDesp!$A$18,MATCH(A102,GerNaoDesp!$A$19:$A$25,0),MATCH(B102,GerNaoDesp!$B$18:$AN$18,0),1,1)</f>
        <v>480.43950659778005</v>
      </c>
      <c r="H102" s="24">
        <f ca="1">OFFSET(GerNaoDesp!$A$30,MATCH(A102,GerNaoDesp!$A$31:$A$37,0),MATCH(B102,GerNaoDesp!$B$30:$AN$30,0),1,1)</f>
        <v>0.93099999999999994</v>
      </c>
      <c r="I102" s="24">
        <f ca="1">OFFSET(GerNaoDesp!$A$42,MATCH(A102,GerNaoDesp!$A$43:$A$49,0),MATCH(B102,GerNaoDesp!$B$42:$AN$42,0),1,1)</f>
        <v>92.198222099999995</v>
      </c>
    </row>
    <row r="103" spans="1:9">
      <c r="A103" s="59">
        <f t="shared" si="0"/>
        <v>3</v>
      </c>
      <c r="B103" s="59">
        <f t="shared" si="1"/>
        <v>2035</v>
      </c>
      <c r="C103" s="18">
        <f ca="1">OFFSET(Mercado!$A$1,MATCH(A103,Mercado!$A$2:$A$11,0),MATCH(B103,Mercado!$B$1:$AN$1,0),1,1)</f>
        <v>21210.635236064227</v>
      </c>
      <c r="D103" s="18">
        <f ca="1">OFFSET(CompPerdasIntercambio!$A$1,MATCH(A103,CompPerdasIntercambio!$A$2:$A$11,0),MATCH(B103,CompPerdasIntercambio!$B$1:$AN$1,0),1,1)</f>
        <v>0</v>
      </c>
      <c r="E103" s="18">
        <f ca="1">OFFSET(GerNaoDesp!$A$1,MATCH(A103,GerNaoDesp!$A$2:$A$9,0),MATCH(B103,GerNaoDesp!$B$1:$AN$1,0),1,1)</f>
        <v>644.67887163056173</v>
      </c>
      <c r="F103" s="58">
        <f ca="1">OFFSET(MercadoPonta!$A$1,MATCH(A103,MercadoPonta!$A$2:$A$11,0),MATCH(B103,MercadoPonta!$B$1:$AN$1,0),1,1)</f>
        <v>26813.263286494868</v>
      </c>
      <c r="G103" s="432">
        <f ca="1">OFFSET(GerNaoDesp!$A$18,MATCH(A103,GerNaoDesp!$A$19:$A$25,0),MATCH(B103,GerNaoDesp!$B$18:$AN$18,0),1,1)</f>
        <v>513.820268183503</v>
      </c>
      <c r="H103" s="24">
        <f ca="1">OFFSET(GerNaoDesp!$A$30,MATCH(A103,GerNaoDesp!$A$31:$A$37,0),MATCH(B103,GerNaoDesp!$B$30:$AN$30,0),1,1)</f>
        <v>1.0289999999999999</v>
      </c>
      <c r="I103" s="24">
        <f ca="1">OFFSET(GerNaoDesp!$A$42,MATCH(A103,GerNaoDesp!$A$43:$A$49,0),MATCH(B103,GerNaoDesp!$B$42:$AN$42,0),1,1)</f>
        <v>103.42629179999999</v>
      </c>
    </row>
    <row r="104" spans="1:9">
      <c r="A104" s="59">
        <f t="shared" si="0"/>
        <v>3</v>
      </c>
      <c r="B104" s="59">
        <f t="shared" si="1"/>
        <v>2036</v>
      </c>
      <c r="C104" s="18">
        <f ca="1">OFFSET(Mercado!$A$1,MATCH(A104,Mercado!$A$2:$A$11,0),MATCH(B104,Mercado!$B$1:$AN$1,0),1,1)</f>
        <v>21870.929598046299</v>
      </c>
      <c r="D104" s="18">
        <f ca="1">OFFSET(CompPerdasIntercambio!$A$1,MATCH(A104,CompPerdasIntercambio!$A$2:$A$11,0),MATCH(B104,CompPerdasIntercambio!$B$1:$AN$1,0),1,1)</f>
        <v>0</v>
      </c>
      <c r="E104" s="18">
        <f ca="1">OFFSET(GerNaoDesp!$A$1,MATCH(A104,GerNaoDesp!$A$2:$A$9,0),MATCH(B104,GerNaoDesp!$B$1:$AN$1,0),1,1)</f>
        <v>694.55285081954651</v>
      </c>
      <c r="F104" s="58">
        <f ca="1">OFFSET(MercadoPonta!$A$1,MATCH(A104,MercadoPonta!$A$2:$A$11,0),MATCH(B104,MercadoPonta!$B$1:$AN$1,0),1,1)</f>
        <v>27645.9930088205</v>
      </c>
      <c r="G104" s="432">
        <f ca="1">OFFSET(GerNaoDesp!$A$18,MATCH(A104,GerNaoDesp!$A$19:$A$25,0),MATCH(B104,GerNaoDesp!$B$18:$AN$18,0),1,1)</f>
        <v>549.27048896072301</v>
      </c>
      <c r="H104" s="24">
        <f ca="1">OFFSET(GerNaoDesp!$A$30,MATCH(A104,GerNaoDesp!$A$31:$A$37,0),MATCH(B104,GerNaoDesp!$B$30:$AN$30,0),1,1)</f>
        <v>1.1025</v>
      </c>
      <c r="I104" s="24">
        <f ca="1">OFFSET(GerNaoDesp!$A$42,MATCH(A104,GerNaoDesp!$A$43:$A$49,0),MATCH(B104,GerNaoDesp!$B$42:$AN$42,0),1,1)</f>
        <v>116.2616628</v>
      </c>
    </row>
    <row r="105" spans="1:9">
      <c r="A105" s="59">
        <f t="shared" si="0"/>
        <v>3</v>
      </c>
      <c r="B105" s="59">
        <f t="shared" si="1"/>
        <v>2037</v>
      </c>
      <c r="C105" s="18">
        <f ca="1">OFFSET(Mercado!$A$1,MATCH(A105,Mercado!$A$2:$A$11,0),MATCH(B105,Mercado!$B$1:$AN$1,0),1,1)</f>
        <v>22585.705649336338</v>
      </c>
      <c r="D105" s="18">
        <f ca="1">OFFSET(CompPerdasIntercambio!$A$1,MATCH(A105,CompPerdasIntercambio!$A$2:$A$11,0),MATCH(B105,CompPerdasIntercambio!$B$1:$AN$1,0),1,1)</f>
        <v>0</v>
      </c>
      <c r="E105" s="18">
        <f ca="1">OFFSET(GerNaoDesp!$A$1,MATCH(A105,GerNaoDesp!$A$2:$A$9,0),MATCH(B105,GerNaoDesp!$B$1:$AN$1,0),1,1)</f>
        <v>748.56200894897017</v>
      </c>
      <c r="F105" s="58">
        <f ca="1">OFFSET(MercadoPonta!$A$1,MATCH(A105,MercadoPonta!$A$2:$A$11,0),MATCH(B105,MercadoPonta!$B$1:$AN$1,0),1,1)</f>
        <v>28547.752961744751</v>
      </c>
      <c r="G105" s="432">
        <f ca="1">OFFSET(GerNaoDesp!$A$18,MATCH(A105,GerNaoDesp!$A$19:$A$25,0),MATCH(B105,GerNaoDesp!$B$18:$AN$18,0),1,1)</f>
        <v>587.34338789897015</v>
      </c>
      <c r="H105" s="24">
        <f ca="1">OFFSET(GerNaoDesp!$A$30,MATCH(A105,GerNaoDesp!$A$31:$A$37,0),MATCH(B105,GerNaoDesp!$B$30:$AN$30,0),1,1)</f>
        <v>1.1759999999999999</v>
      </c>
      <c r="I105" s="24">
        <f ca="1">OFFSET(GerNaoDesp!$A$42,MATCH(A105,GerNaoDesp!$A$43:$A$49,0),MATCH(B105,GerNaoDesp!$B$42:$AN$42,0),1,1)</f>
        <v>131.11449704999995</v>
      </c>
    </row>
    <row r="106" spans="1:9">
      <c r="A106" s="59">
        <f t="shared" ref="A106:A169" si="2">A67+1</f>
        <v>3</v>
      </c>
      <c r="B106" s="59">
        <f t="shared" ref="B106:B169" si="3">B67</f>
        <v>2038</v>
      </c>
      <c r="C106" s="18">
        <f ca="1">OFFSET(Mercado!$A$1,MATCH(A106,Mercado!$A$2:$A$11,0),MATCH(B106,Mercado!$B$1:$AN$1,0),1,1)</f>
        <v>23333.374890746931</v>
      </c>
      <c r="D106" s="18">
        <f ca="1">OFFSET(CompPerdasIntercambio!$A$1,MATCH(A106,CompPerdasIntercambio!$A$2:$A$11,0),MATCH(B106,CompPerdasIntercambio!$B$1:$AN$1,0),1,1)</f>
        <v>0</v>
      </c>
      <c r="E106" s="18">
        <f ca="1">OFFSET(GerNaoDesp!$A$1,MATCH(A106,GerNaoDesp!$A$2:$A$9,0),MATCH(B106,GerNaoDesp!$B$1:$AN$1,0),1,1)</f>
        <v>813.495868339759</v>
      </c>
      <c r="F106" s="58">
        <f ca="1">OFFSET(MercadoPonta!$A$1,MATCH(A106,MercadoPonta!$A$2:$A$11,0),MATCH(B106,MercadoPonta!$B$1:$AN$1,0),1,1)</f>
        <v>29490.358706106334</v>
      </c>
      <c r="G106" s="432">
        <f ca="1">OFFSET(GerNaoDesp!$A$18,MATCH(A106,GerNaoDesp!$A$19:$A$25,0),MATCH(B106,GerNaoDesp!$B$18:$AN$18,0),1,1)</f>
        <v>629.38190156917074</v>
      </c>
      <c r="H106" s="24">
        <f ca="1">OFFSET(GerNaoDesp!$A$30,MATCH(A106,GerNaoDesp!$A$31:$A$37,0),MATCH(B106,GerNaoDesp!$B$30:$AN$30,0),1,1)</f>
        <v>1.2985</v>
      </c>
      <c r="I106" s="24">
        <f ca="1">OFFSET(GerNaoDesp!$A$42,MATCH(A106,GerNaoDesp!$A$43:$A$49,0),MATCH(B106,GerNaoDesp!$B$42:$AN$42,0),1,1)</f>
        <v>153.38238029999999</v>
      </c>
    </row>
    <row r="107" spans="1:9">
      <c r="A107" s="59">
        <f t="shared" si="2"/>
        <v>3</v>
      </c>
      <c r="B107" s="59">
        <f t="shared" si="3"/>
        <v>2039</v>
      </c>
      <c r="C107" s="18">
        <f ca="1">OFFSET(Mercado!$A$1,MATCH(A107,Mercado!$A$2:$A$11,0),MATCH(B107,Mercado!$B$1:$AN$1,0),1,1)</f>
        <v>24069.005314966002</v>
      </c>
      <c r="D107" s="18">
        <f ca="1">OFFSET(CompPerdasIntercambio!$A$1,MATCH(A107,CompPerdasIntercambio!$A$2:$A$11,0),MATCH(B107,CompPerdasIntercambio!$B$1:$AN$1,0),1,1)</f>
        <v>0</v>
      </c>
      <c r="E107" s="18">
        <f ca="1">OFFSET(GerNaoDesp!$A$1,MATCH(A107,GerNaoDesp!$A$2:$A$9,0),MATCH(B107,GerNaoDesp!$B$1:$AN$1,0),1,1)</f>
        <v>891.95674214081907</v>
      </c>
      <c r="F107" s="58">
        <f ca="1">OFFSET(MercadoPonta!$A$1,MATCH(A107,MercadoPonta!$A$2:$A$11,0),MATCH(B107,MercadoPonta!$B$1:$AN$1,0),1,1)</f>
        <v>30416.386376364728</v>
      </c>
      <c r="G107" s="432">
        <f ca="1">OFFSET(GerNaoDesp!$A$18,MATCH(A107,GerNaoDesp!$A$19:$A$25,0),MATCH(B107,GerNaoDesp!$B$18:$AN$18,0),1,1)</f>
        <v>675.92659509964255</v>
      </c>
      <c r="H107" s="24">
        <f ca="1">OFFSET(GerNaoDesp!$A$30,MATCH(A107,GerNaoDesp!$A$31:$A$37,0),MATCH(B107,GerNaoDesp!$B$30:$AN$30,0),1,1)</f>
        <v>1.421</v>
      </c>
      <c r="I107" s="24">
        <f ca="1">OFFSET(GerNaoDesp!$A$42,MATCH(A107,GerNaoDesp!$A$43:$A$49,0),MATCH(B107,GerNaoDesp!$B$42:$AN$42,0),1,1)</f>
        <v>184.67109809999997</v>
      </c>
    </row>
    <row r="108" spans="1:9">
      <c r="A108" s="59">
        <f t="shared" si="2"/>
        <v>3</v>
      </c>
      <c r="B108" s="59">
        <f t="shared" si="3"/>
        <v>2040</v>
      </c>
      <c r="C108" s="18">
        <f ca="1">OFFSET(Mercado!$A$1,MATCH(A108,Mercado!$A$2:$A$11,0),MATCH(B108,Mercado!$B$1:$AN$1,0),1,1)</f>
        <v>24804.101839266008</v>
      </c>
      <c r="D108" s="18">
        <f ca="1">OFFSET(CompPerdasIntercambio!$A$1,MATCH(A108,CompPerdasIntercambio!$A$2:$A$11,0),MATCH(B108,CompPerdasIntercambio!$B$1:$AN$1,0),1,1)</f>
        <v>0</v>
      </c>
      <c r="E108" s="18">
        <f ca="1">OFFSET(GerNaoDesp!$A$1,MATCH(A108,GerNaoDesp!$A$2:$A$9,0),MATCH(B108,GerNaoDesp!$B$1:$AN$1,0),1,1)</f>
        <v>973.31917506002753</v>
      </c>
      <c r="F108" s="58">
        <f ca="1">OFFSET(MercadoPonta!$A$1,MATCH(A108,MercadoPonta!$A$2:$A$11,0),MATCH(B108,MercadoPonta!$B$1:$AN$1,0),1,1)</f>
        <v>31341.755818940761</v>
      </c>
      <c r="G108" s="432">
        <f ca="1">OFFSET(GerNaoDesp!$A$18,MATCH(A108,GerNaoDesp!$A$19:$A$25,0),MATCH(B108,GerNaoDesp!$B$18:$AN$18,0),1,1)</f>
        <v>725.49137939826289</v>
      </c>
      <c r="H108" s="24">
        <f ca="1">OFFSET(GerNaoDesp!$A$30,MATCH(A108,GerNaoDesp!$A$31:$A$37,0),MATCH(B108,GerNaoDesp!$B$30:$AN$30,0),1,1)</f>
        <v>1.5434999999999999</v>
      </c>
      <c r="I108" s="24">
        <f ca="1">OFFSET(GerNaoDesp!$A$42,MATCH(A108,GerNaoDesp!$A$43:$A$49,0),MATCH(B108,GerNaoDesp!$B$42:$AN$42,0),1,1)</f>
        <v>215.84128424999997</v>
      </c>
    </row>
    <row r="109" spans="1:9">
      <c r="A109" s="59">
        <f t="shared" si="2"/>
        <v>3</v>
      </c>
      <c r="B109" s="59">
        <f t="shared" si="3"/>
        <v>2041</v>
      </c>
      <c r="C109" s="18">
        <f ca="1">OFFSET(Mercado!$A$1,MATCH(A109,Mercado!$A$2:$A$11,0),MATCH(B109,Mercado!$B$1:$AN$1,0),1,1)</f>
        <v>25470.867137493406</v>
      </c>
      <c r="D109" s="18">
        <f ca="1">OFFSET(CompPerdasIntercambio!$A$1,MATCH(A109,CompPerdasIntercambio!$A$2:$A$11,0),MATCH(B109,CompPerdasIntercambio!$B$1:$AN$1,0),1,1)</f>
        <v>0</v>
      </c>
      <c r="E109" s="18">
        <f ca="1">OFFSET(GerNaoDesp!$A$1,MATCH(A109,GerNaoDesp!$A$2:$A$9,0),MATCH(B109,GerNaoDesp!$B$1:$AN$1,0),1,1)</f>
        <v>1049.3678836320357</v>
      </c>
      <c r="F109" s="58">
        <f ca="1">OFFSET(MercadoPonta!$A$1,MATCH(A109,MercadoPonta!$A$2:$A$11,0),MATCH(B109,MercadoPonta!$B$1:$AN$1,0),1,1)</f>
        <v>32181.016903640073</v>
      </c>
      <c r="G109" s="432">
        <f ca="1">OFFSET(GerNaoDesp!$A$18,MATCH(A109,GerNaoDesp!$A$19:$A$25,0),MATCH(B109,GerNaoDesp!$B$18:$AN$18,0),1,1)</f>
        <v>772.3486198996826</v>
      </c>
      <c r="H109" s="24">
        <f ca="1">OFFSET(GerNaoDesp!$A$30,MATCH(A109,GerNaoDesp!$A$31:$A$37,0),MATCH(B109,GerNaoDesp!$B$30:$AN$30,0),1,1)</f>
        <v>1.6659999999999999</v>
      </c>
      <c r="I109" s="24">
        <f ca="1">OFFSET(GerNaoDesp!$A$42,MATCH(A109,GerNaoDesp!$A$43:$A$49,0),MATCH(B109,GerNaoDesp!$B$42:$AN$42,0),1,1)</f>
        <v>244.40528985</v>
      </c>
    </row>
    <row r="110" spans="1:9">
      <c r="A110" s="59">
        <f t="shared" si="2"/>
        <v>3</v>
      </c>
      <c r="B110" s="59">
        <f t="shared" si="3"/>
        <v>2042</v>
      </c>
      <c r="C110" s="18">
        <f ca="1">OFFSET(Mercado!$A$1,MATCH(A110,Mercado!$A$2:$A$11,0),MATCH(B110,Mercado!$B$1:$AN$1,0),1,1)</f>
        <v>26151.519470108087</v>
      </c>
      <c r="D110" s="18">
        <f ca="1">OFFSET(CompPerdasIntercambio!$A$1,MATCH(A110,CompPerdasIntercambio!$A$2:$A$11,0),MATCH(B110,CompPerdasIntercambio!$B$1:$AN$1,0),1,1)</f>
        <v>0</v>
      </c>
      <c r="E110" s="18">
        <f ca="1">OFFSET(GerNaoDesp!$A$1,MATCH(A110,GerNaoDesp!$A$2:$A$9,0),MATCH(B110,GerNaoDesp!$B$1:$AN$1,0),1,1)</f>
        <v>1125.1658918012999</v>
      </c>
      <c r="F110" s="58">
        <f ca="1">OFFSET(MercadoPonta!$A$1,MATCH(A110,MercadoPonta!$A$2:$A$11,0),MATCH(B110,MercadoPonta!$B$1:$AN$1,0),1,1)</f>
        <v>33037.787392880251</v>
      </c>
      <c r="G110" s="432">
        <f ca="1">OFFSET(GerNaoDesp!$A$18,MATCH(A110,GerNaoDesp!$A$19:$A$25,0),MATCH(B110,GerNaoDesp!$B$18:$AN$18,0),1,1)</f>
        <v>818.48952159835881</v>
      </c>
      <c r="H110" s="24">
        <f ca="1">OFFSET(GerNaoDesp!$A$30,MATCH(A110,GerNaoDesp!$A$31:$A$37,0),MATCH(B110,GerNaoDesp!$B$30:$AN$30,0),1,1)</f>
        <v>1.7885</v>
      </c>
      <c r="I110" s="24">
        <f ca="1">OFFSET(GerNaoDesp!$A$42,MATCH(A110,GerNaoDesp!$A$43:$A$49,0),MATCH(B110,GerNaoDesp!$B$42:$AN$42,0),1,1)</f>
        <v>273.43493384999999</v>
      </c>
    </row>
    <row r="111" spans="1:9">
      <c r="A111" s="59">
        <f t="shared" si="2"/>
        <v>3</v>
      </c>
      <c r="B111" s="59">
        <f t="shared" si="3"/>
        <v>2043</v>
      </c>
      <c r="C111" s="18">
        <f ca="1">OFFSET(Mercado!$A$1,MATCH(A111,Mercado!$A$2:$A$11,0),MATCH(B111,Mercado!$B$1:$AN$1,0),1,1)</f>
        <v>26840.737157970929</v>
      </c>
      <c r="D111" s="18">
        <f ca="1">OFFSET(CompPerdasIntercambio!$A$1,MATCH(A111,CompPerdasIntercambio!$A$2:$A$11,0),MATCH(B111,CompPerdasIntercambio!$B$1:$AN$1,0),1,1)</f>
        <v>0</v>
      </c>
      <c r="E111" s="18">
        <f ca="1">OFFSET(GerNaoDesp!$A$1,MATCH(A111,GerNaoDesp!$A$2:$A$9,0),MATCH(B111,GerNaoDesp!$B$1:$AN$1,0),1,1)</f>
        <v>1206.7732923632366</v>
      </c>
      <c r="F111" s="58">
        <f ca="1">OFFSET(MercadoPonta!$A$1,MATCH(A111,MercadoPonta!$A$2:$A$11,0),MATCH(B111,MercadoPonta!$B$1:$AN$1,0),1,1)</f>
        <v>33905.458240871187</v>
      </c>
      <c r="G111" s="432">
        <f ca="1">OFFSET(GerNaoDesp!$A$18,MATCH(A111,GerNaoDesp!$A$19:$A$25,0),MATCH(B111,GerNaoDesp!$B$18:$AN$18,0),1,1)</f>
        <v>869.0380198102954</v>
      </c>
      <c r="H111" s="24">
        <f ca="1">OFFSET(GerNaoDesp!$A$30,MATCH(A111,GerNaoDesp!$A$31:$A$37,0),MATCH(B111,GerNaoDesp!$B$30:$AN$30,0),1,1)</f>
        <v>1.9355</v>
      </c>
      <c r="I111" s="24">
        <f ca="1">OFFSET(GerNaoDesp!$A$42,MATCH(A111,GerNaoDesp!$A$43:$A$49,0),MATCH(B111,GerNaoDesp!$B$42:$AN$42,0),1,1)</f>
        <v>304.34683619999998</v>
      </c>
    </row>
    <row r="112" spans="1:9">
      <c r="A112" s="59">
        <f t="shared" si="2"/>
        <v>3</v>
      </c>
      <c r="B112" s="59">
        <f t="shared" si="3"/>
        <v>2044</v>
      </c>
      <c r="C112" s="18">
        <f ca="1">OFFSET(Mercado!$A$1,MATCH(A112,Mercado!$A$2:$A$11,0),MATCH(B112,Mercado!$B$1:$AN$1,0),1,1)</f>
        <v>27552.969854740371</v>
      </c>
      <c r="D112" s="18">
        <f ca="1">OFFSET(CompPerdasIntercambio!$A$1,MATCH(A112,CompPerdasIntercambio!$A$2:$A$11,0),MATCH(B112,CompPerdasIntercambio!$B$1:$AN$1,0),1,1)</f>
        <v>0</v>
      </c>
      <c r="E112" s="18">
        <f ca="1">OFFSET(GerNaoDesp!$A$1,MATCH(A112,GerNaoDesp!$A$2:$A$9,0),MATCH(B112,GerNaoDesp!$B$1:$AN$1,0),1,1)</f>
        <v>1295.3674936672116</v>
      </c>
      <c r="F112" s="58">
        <f ca="1">OFFSET(MercadoPonta!$A$1,MATCH(A112,MercadoPonta!$A$2:$A$11,0),MATCH(B112,MercadoPonta!$B$1:$AN$1,0),1,1)</f>
        <v>34801.754546528711</v>
      </c>
      <c r="G112" s="432">
        <f ca="1">OFFSET(GerNaoDesp!$A$18,MATCH(A112,GerNaoDesp!$A$19:$A$25,0),MATCH(B112,GerNaoDesp!$B$18:$AN$18,0),1,1)</f>
        <v>923.15469621427053</v>
      </c>
      <c r="H112" s="24">
        <f ca="1">OFFSET(GerNaoDesp!$A$30,MATCH(A112,GerNaoDesp!$A$31:$A$37,0),MATCH(B112,GerNaoDesp!$B$30:$AN$30,0),1,1)</f>
        <v>2.0825</v>
      </c>
      <c r="I112" s="24">
        <f ca="1">OFFSET(GerNaoDesp!$A$42,MATCH(A112,GerNaoDesp!$A$43:$A$49,0),MATCH(B112,GerNaoDesp!$B$42:$AN$42,0),1,1)</f>
        <v>338.67736109999993</v>
      </c>
    </row>
    <row r="113" spans="1:9">
      <c r="A113" s="59">
        <f t="shared" si="2"/>
        <v>3</v>
      </c>
      <c r="B113" s="59">
        <f t="shared" si="3"/>
        <v>2045</v>
      </c>
      <c r="C113" s="18">
        <f ca="1">OFFSET(Mercado!$A$1,MATCH(A113,Mercado!$A$2:$A$11,0),MATCH(B113,Mercado!$B$1:$AN$1,0),1,1)</f>
        <v>28300.105766795368</v>
      </c>
      <c r="D113" s="18">
        <f ca="1">OFFSET(CompPerdasIntercambio!$A$1,MATCH(A113,CompPerdasIntercambio!$A$2:$A$11,0),MATCH(B113,CompPerdasIntercambio!$B$1:$AN$1,0),1,1)</f>
        <v>0</v>
      </c>
      <c r="E113" s="18">
        <f ca="1">OFFSET(GerNaoDesp!$A$1,MATCH(A113,GerNaoDesp!$A$2:$A$9,0),MATCH(B113,GerNaoDesp!$B$1:$AN$1,0),1,1)</f>
        <v>1391.5260191021098</v>
      </c>
      <c r="F113" s="58">
        <f ca="1">OFFSET(MercadoPonta!$A$1,MATCH(A113,MercadoPonta!$A$2:$A$11,0),MATCH(B113,MercadoPonta!$B$1:$AN$1,0),1,1)</f>
        <v>35741.626302357821</v>
      </c>
      <c r="G113" s="432">
        <f ca="1">OFFSET(GerNaoDesp!$A$18,MATCH(A113,GerNaoDesp!$A$19:$A$25,0),MATCH(B113,GerNaoDesp!$B$18:$AN$18,0),1,1)</f>
        <v>980.75438829916857</v>
      </c>
      <c r="H113" s="24">
        <f ca="1">OFFSET(GerNaoDesp!$A$30,MATCH(A113,GerNaoDesp!$A$31:$A$37,0),MATCH(B113,GerNaoDesp!$B$30:$AN$30,0),1,1)</f>
        <v>2.2294999999999998</v>
      </c>
      <c r="I113" s="24">
        <f ca="1">OFFSET(GerNaoDesp!$A$42,MATCH(A113,GerNaoDesp!$A$43:$A$49,0),MATCH(B113,GerNaoDesp!$B$42:$AN$42,0),1,1)</f>
        <v>377.08919445000004</v>
      </c>
    </row>
    <row r="114" spans="1:9">
      <c r="A114" s="59">
        <f t="shared" si="2"/>
        <v>3</v>
      </c>
      <c r="B114" s="59">
        <f t="shared" si="3"/>
        <v>2046</v>
      </c>
      <c r="C114" s="18">
        <f ca="1">OFFSET(Mercado!$A$1,MATCH(A114,Mercado!$A$2:$A$11,0),MATCH(B114,Mercado!$B$1:$AN$1,0),1,1)</f>
        <v>29076.597735254491</v>
      </c>
      <c r="D114" s="18">
        <f ca="1">OFFSET(CompPerdasIntercambio!$A$1,MATCH(A114,CompPerdasIntercambio!$A$2:$A$11,0),MATCH(B114,CompPerdasIntercambio!$B$1:$AN$1,0),1,1)</f>
        <v>0</v>
      </c>
      <c r="E114" s="18">
        <f ca="1">OFFSET(GerNaoDesp!$A$1,MATCH(A114,GerNaoDesp!$A$2:$A$9,0),MATCH(B114,GerNaoDesp!$B$1:$AN$1,0),1,1)</f>
        <v>1495.6913351540577</v>
      </c>
      <c r="F114" s="58">
        <f ca="1">OFFSET(MercadoPonta!$A$1,MATCH(A114,MercadoPonta!$A$2:$A$11,0),MATCH(B114,MercadoPonta!$B$1:$AN$1,0),1,1)</f>
        <v>36717.983558255451</v>
      </c>
      <c r="G114" s="432">
        <f ca="1">OFFSET(GerNaoDesp!$A$18,MATCH(A114,GerNaoDesp!$A$19:$A$25,0),MATCH(B114,GerNaoDesp!$B$18:$AN$18,0),1,1)</f>
        <v>1041.9840464511165</v>
      </c>
      <c r="H114" s="24">
        <f ca="1">OFFSET(GerNaoDesp!$A$30,MATCH(A114,GerNaoDesp!$A$31:$A$37,0),MATCH(B114,GerNaoDesp!$B$30:$AN$30,0),1,1)</f>
        <v>2.4009999999999998</v>
      </c>
      <c r="I114" s="24">
        <f ca="1">OFFSET(GerNaoDesp!$A$42,MATCH(A114,GerNaoDesp!$A$43:$A$49,0),MATCH(B114,GerNaoDesp!$B$42:$AN$42,0),1,1)</f>
        <v>419.85335234999997</v>
      </c>
    </row>
    <row r="115" spans="1:9">
      <c r="A115" s="59">
        <f t="shared" si="2"/>
        <v>3</v>
      </c>
      <c r="B115" s="59">
        <f t="shared" si="3"/>
        <v>2047</v>
      </c>
      <c r="C115" s="18">
        <f ca="1">OFFSET(Mercado!$A$1,MATCH(A115,Mercado!$A$2:$A$11,0),MATCH(B115,Mercado!$B$1:$AN$1,0),1,1)</f>
        <v>29837.820487232166</v>
      </c>
      <c r="D115" s="18">
        <f ca="1">OFFSET(CompPerdasIntercambio!$A$1,MATCH(A115,CompPerdasIntercambio!$A$2:$A$11,0),MATCH(B115,CompPerdasIntercambio!$B$1:$AN$1,0),1,1)</f>
        <v>0</v>
      </c>
      <c r="E115" s="18">
        <f ca="1">OFFSET(GerNaoDesp!$A$1,MATCH(A115,GerNaoDesp!$A$2:$A$9,0),MATCH(B115,GerNaoDesp!$B$1:$AN$1,0),1,1)</f>
        <v>1607.5447909854745</v>
      </c>
      <c r="F115" s="58">
        <f ca="1">OFFSET(MercadoPonta!$A$1,MATCH(A115,MercadoPonta!$A$2:$A$11,0),MATCH(B115,MercadoPonta!$B$1:$AN$1,0),1,1)</f>
        <v>37674.387047024662</v>
      </c>
      <c r="G115" s="432">
        <f ca="1">OFFSET(GerNaoDesp!$A$18,MATCH(A115,GerNaoDesp!$A$19:$A$25,0),MATCH(B115,GerNaoDesp!$B$18:$AN$18,0),1,1)</f>
        <v>1106.8512092325334</v>
      </c>
      <c r="H115" s="24">
        <f ca="1">OFFSET(GerNaoDesp!$A$30,MATCH(A115,GerNaoDesp!$A$31:$A$37,0),MATCH(B115,GerNaoDesp!$B$30:$AN$30,0),1,1)</f>
        <v>2.597</v>
      </c>
      <c r="I115" s="24">
        <f ca="1">OFFSET(GerNaoDesp!$A$42,MATCH(A115,GerNaoDesp!$A$43:$A$49,0),MATCH(B115,GerNaoDesp!$B$42:$AN$42,0),1,1)</f>
        <v>466.64364539999997</v>
      </c>
    </row>
    <row r="116" spans="1:9">
      <c r="A116" s="59">
        <f t="shared" si="2"/>
        <v>3</v>
      </c>
      <c r="B116" s="59">
        <f t="shared" si="3"/>
        <v>2048</v>
      </c>
      <c r="C116" s="18">
        <f ca="1">OFFSET(Mercado!$A$1,MATCH(A116,Mercado!$A$2:$A$11,0),MATCH(B116,Mercado!$B$1:$AN$1,0),1,1)</f>
        <v>30627.850412087326</v>
      </c>
      <c r="D116" s="18">
        <f ca="1">OFFSET(CompPerdasIntercambio!$A$1,MATCH(A116,CompPerdasIntercambio!$A$2:$A$11,0),MATCH(B116,CompPerdasIntercambio!$B$1:$AN$1,0),1,1)</f>
        <v>0</v>
      </c>
      <c r="E116" s="18">
        <f ca="1">OFFSET(GerNaoDesp!$A$1,MATCH(A116,GerNaoDesp!$A$2:$A$9,0),MATCH(B116,GerNaoDesp!$B$1:$AN$1,0),1,1)</f>
        <v>1727.7520641726899</v>
      </c>
      <c r="F116" s="58">
        <f ca="1">OFFSET(MercadoPonta!$A$1,MATCH(A116,MercadoPonta!$A$2:$A$11,0),MATCH(B116,MercadoPonta!$B$1:$AN$1,0),1,1)</f>
        <v>38666.598851588147</v>
      </c>
      <c r="G116" s="432">
        <f ca="1">OFFSET(GerNaoDesp!$A$18,MATCH(A116,GerNaoDesp!$A$19:$A$25,0),MATCH(B116,GerNaoDesp!$B$18:$AN$18,0),1,1)</f>
        <v>1175.6498371697487</v>
      </c>
      <c r="H116" s="24">
        <f ca="1">OFFSET(GerNaoDesp!$A$30,MATCH(A116,GerNaoDesp!$A$31:$A$37,0),MATCH(B116,GerNaoDesp!$B$30:$AN$30,0),1,1)</f>
        <v>2.7930000000000001</v>
      </c>
      <c r="I116" s="24">
        <f ca="1">OFFSET(GerNaoDesp!$A$42,MATCH(A116,GerNaoDesp!$A$43:$A$49,0),MATCH(B116,GerNaoDesp!$B$42:$AN$42,0),1,1)</f>
        <v>517.85629065000001</v>
      </c>
    </row>
    <row r="117" spans="1:9">
      <c r="A117" s="59">
        <f t="shared" si="2"/>
        <v>3</v>
      </c>
      <c r="B117" s="59">
        <f t="shared" si="3"/>
        <v>2049</v>
      </c>
      <c r="C117" s="18">
        <f ca="1">OFFSET(Mercado!$A$1,MATCH(A117,Mercado!$A$2:$A$11,0),MATCH(B117,Mercado!$B$1:$AN$1,0),1,1)</f>
        <v>31422.378262736376</v>
      </c>
      <c r="D117" s="18">
        <f ca="1">OFFSET(CompPerdasIntercambio!$A$1,MATCH(A117,CompPerdasIntercambio!$A$2:$A$11,0),MATCH(B117,CompPerdasIntercambio!$B$1:$AN$1,0),1,1)</f>
        <v>0</v>
      </c>
      <c r="E117" s="18">
        <f ca="1">OFFSET(GerNaoDesp!$A$1,MATCH(A117,GerNaoDesp!$A$2:$A$9,0),MATCH(B117,GerNaoDesp!$B$1:$AN$1,0),1,1)</f>
        <v>1857.7546760854573</v>
      </c>
      <c r="F117" s="58">
        <f ca="1">OFFSET(MercadoPonta!$A$1,MATCH(A117,MercadoPonta!$A$2:$A$11,0),MATCH(B117,MercadoPonta!$B$1:$AN$1,0),1,1)</f>
        <v>39663.671183105937</v>
      </c>
      <c r="G117" s="432">
        <f ca="1">OFFSET(GerNaoDesp!$A$18,MATCH(A117,GerNaoDesp!$A$19:$A$25,0),MATCH(B117,GerNaoDesp!$B$18:$AN$18,0),1,1)</f>
        <v>1248.7959503325162</v>
      </c>
      <c r="H117" s="24">
        <f ca="1">OFFSET(GerNaoDesp!$A$30,MATCH(A117,GerNaoDesp!$A$31:$A$37,0),MATCH(B117,GerNaoDesp!$B$30:$AN$30,0),1,1)</f>
        <v>3.0134999999999996</v>
      </c>
      <c r="I117" s="24">
        <f ca="1">OFFSET(GerNaoDesp!$A$42,MATCH(A117,GerNaoDesp!$A$43:$A$49,0),MATCH(B117,GerNaoDesp!$B$42:$AN$42,0),1,1)</f>
        <v>574.49228939999989</v>
      </c>
    </row>
    <row r="118" spans="1:9">
      <c r="A118" s="59">
        <f t="shared" si="2"/>
        <v>3</v>
      </c>
      <c r="B118" s="59">
        <f t="shared" si="3"/>
        <v>2050</v>
      </c>
      <c r="C118" s="18">
        <f ca="1">OFFSET(Mercado!$A$1,MATCH(A118,Mercado!$A$2:$A$11,0),MATCH(B118,Mercado!$B$1:$AN$1,0),1,1)</f>
        <v>32235.252968644054</v>
      </c>
      <c r="D118" s="18">
        <f ca="1">OFFSET(CompPerdasIntercambio!$A$1,MATCH(A118,CompPerdasIntercambio!$A$2:$A$11,0),MATCH(B118,CompPerdasIntercambio!$B$1:$AN$1,0),1,1)</f>
        <v>0</v>
      </c>
      <c r="E118" s="18">
        <f ca="1">OFFSET(GerNaoDesp!$A$1,MATCH(A118,GerNaoDesp!$A$2:$A$9,0),MATCH(B118,GerNaoDesp!$B$1:$AN$1,0),1,1)</f>
        <v>1999.3438292368371</v>
      </c>
      <c r="F118" s="58">
        <f ca="1">OFFSET(MercadoPonta!$A$1,MATCH(A118,MercadoPonta!$A$2:$A$11,0),MATCH(B118,MercadoPonta!$B$1:$AN$1,0),1,1)</f>
        <v>40682.954342039709</v>
      </c>
      <c r="G118" s="432">
        <f ca="1">OFFSET(GerNaoDesp!$A$18,MATCH(A118,GerNaoDesp!$A$19:$A$25,0),MATCH(B118,GerNaoDesp!$B$18:$AN$18,0),1,1)</f>
        <v>1326.7040919338961</v>
      </c>
      <c r="H118" s="24">
        <f ca="1">OFFSET(GerNaoDesp!$A$30,MATCH(A118,GerNaoDesp!$A$31:$A$37,0),MATCH(B118,GerNaoDesp!$B$30:$AN$30,0),1,1)</f>
        <v>3.234</v>
      </c>
      <c r="I118" s="24">
        <f ca="1">OFFSET(GerNaoDesp!$A$42,MATCH(A118,GerNaoDesp!$A$43:$A$49,0),MATCH(B118,GerNaoDesp!$B$42:$AN$42,0),1,1)</f>
        <v>637.95280094999998</v>
      </c>
    </row>
    <row r="119" spans="1:9">
      <c r="A119" s="59">
        <f t="shared" si="2"/>
        <v>4</v>
      </c>
      <c r="B119" s="59">
        <f t="shared" si="3"/>
        <v>2012</v>
      </c>
      <c r="C119" s="18">
        <f ca="1">OFFSET(Mercado!$A$1,MATCH(A119,Mercado!$A$2:$A$11,0),MATCH(B119,Mercado!$B$1:$AN$1,0),1,1)</f>
        <v>4117.7322404371598</v>
      </c>
      <c r="D119" s="18">
        <f ca="1">OFFSET(CompPerdasIntercambio!$A$1,MATCH(A119,CompPerdasIntercambio!$A$2:$A$11,0),MATCH(B119,CompPerdasIntercambio!$B$1:$AN$1,0),1,1)</f>
        <v>0</v>
      </c>
      <c r="E119" s="18">
        <f ca="1">OFFSET(GerNaoDesp!$A$1,MATCH(A119,GerNaoDesp!$A$2:$A$9,0),MATCH(B119,GerNaoDesp!$B$1:$AN$1,0),1,1)</f>
        <v>0</v>
      </c>
      <c r="F119" s="58">
        <f ca="1">OFFSET(MercadoPonta!$A$1,MATCH(A119,MercadoPonta!$A$2:$A$11,0),MATCH(B119,MercadoPonta!$B$1:$AN$1,0),1,1)</f>
        <v>4708.8805344847715</v>
      </c>
      <c r="G119" s="432">
        <f ca="1">OFFSET(GerNaoDesp!$A$18,MATCH(A119,GerNaoDesp!$A$19:$A$25,0),MATCH(B119,GerNaoDesp!$B$18:$AN$18,0),1,1)</f>
        <v>0</v>
      </c>
      <c r="H119" s="24">
        <f ca="1">OFFSET(GerNaoDesp!$A$30,MATCH(A119,GerNaoDesp!$A$31:$A$37,0),MATCH(B119,GerNaoDesp!$B$30:$AN$30,0),1,1)</f>
        <v>0</v>
      </c>
      <c r="I119" s="24">
        <f ca="1">OFFSET(GerNaoDesp!$A$42,MATCH(A119,GerNaoDesp!$A$43:$A$49,0),MATCH(B119,GerNaoDesp!$B$42:$AN$42,0),1,1)</f>
        <v>0</v>
      </c>
    </row>
    <row r="120" spans="1:9">
      <c r="A120" s="59">
        <f t="shared" si="2"/>
        <v>4</v>
      </c>
      <c r="B120" s="59">
        <f t="shared" si="3"/>
        <v>2013</v>
      </c>
      <c r="C120" s="18">
        <f ca="1">OFFSET(Mercado!$A$1,MATCH(A120,Mercado!$A$2:$A$11,0),MATCH(B120,Mercado!$B$1:$AN$1,0),1,1)</f>
        <v>4654.0969167976</v>
      </c>
      <c r="D120" s="18">
        <f ca="1">OFFSET(CompPerdasIntercambio!$A$1,MATCH(A120,CompPerdasIntercambio!$A$2:$A$11,0),MATCH(B120,CompPerdasIntercambio!$B$1:$AN$1,0),1,1)</f>
        <v>0</v>
      </c>
      <c r="E120" s="18">
        <f ca="1">OFFSET(GerNaoDesp!$A$1,MATCH(A120,GerNaoDesp!$A$2:$A$9,0),MATCH(B120,GerNaoDesp!$B$1:$AN$1,0),1,1)</f>
        <v>0</v>
      </c>
      <c r="F120" s="58">
        <f ca="1">OFFSET(MercadoPonta!$A$1,MATCH(A120,MercadoPonta!$A$2:$A$11,0),MATCH(B120,MercadoPonta!$B$1:$AN$1,0),1,1)</f>
        <v>4839.7</v>
      </c>
      <c r="G120" s="432">
        <f ca="1">OFFSET(GerNaoDesp!$A$18,MATCH(A120,GerNaoDesp!$A$19:$A$25,0),MATCH(B120,GerNaoDesp!$B$18:$AN$18,0),1,1)</f>
        <v>0</v>
      </c>
      <c r="H120" s="24">
        <f ca="1">OFFSET(GerNaoDesp!$A$30,MATCH(A120,GerNaoDesp!$A$31:$A$37,0),MATCH(B120,GerNaoDesp!$B$30:$AN$30,0),1,1)</f>
        <v>0</v>
      </c>
      <c r="I120" s="24">
        <f ca="1">OFFSET(GerNaoDesp!$A$42,MATCH(A120,GerNaoDesp!$A$43:$A$49,0),MATCH(B120,GerNaoDesp!$B$42:$AN$42,0),1,1)</f>
        <v>0</v>
      </c>
    </row>
    <row r="121" spans="1:9">
      <c r="A121" s="59">
        <f t="shared" si="2"/>
        <v>4</v>
      </c>
      <c r="B121" s="59">
        <f t="shared" si="3"/>
        <v>2014</v>
      </c>
      <c r="C121" s="18">
        <f ca="1">OFFSET(Mercado!$A$1,MATCH(A121,Mercado!$A$2:$A$11,0),MATCH(B121,Mercado!$B$1:$AN$1,0),1,1)</f>
        <v>4091.2993824882797</v>
      </c>
      <c r="D121" s="18">
        <f ca="1">OFFSET(CompPerdasIntercambio!$A$1,MATCH(A121,CompPerdasIntercambio!$A$2:$A$11,0),MATCH(B121,CompPerdasIntercambio!$B$1:$AN$1,0),1,1)</f>
        <v>0</v>
      </c>
      <c r="E121" s="18">
        <f ca="1">OFFSET(GerNaoDesp!$A$1,MATCH(A121,GerNaoDesp!$A$2:$A$9,0),MATCH(B121,GerNaoDesp!$B$1:$AN$1,0),1,1)</f>
        <v>0</v>
      </c>
      <c r="F121" s="58">
        <f ca="1">OFFSET(MercadoPonta!$A$1,MATCH(A121,MercadoPonta!$A$2:$A$11,0),MATCH(B121,MercadoPonta!$B$1:$AN$1,0),1,1)</f>
        <v>4922.1350694333478</v>
      </c>
      <c r="G121" s="432">
        <f ca="1">OFFSET(GerNaoDesp!$A$18,MATCH(A121,GerNaoDesp!$A$19:$A$25,0),MATCH(B121,GerNaoDesp!$B$18:$AN$18,0),1,1)</f>
        <v>0</v>
      </c>
      <c r="H121" s="24">
        <f ca="1">OFFSET(GerNaoDesp!$A$30,MATCH(A121,GerNaoDesp!$A$31:$A$37,0),MATCH(B121,GerNaoDesp!$B$30:$AN$30,0),1,1)</f>
        <v>0</v>
      </c>
      <c r="I121" s="24">
        <f ca="1">OFFSET(GerNaoDesp!$A$42,MATCH(A121,GerNaoDesp!$A$43:$A$49,0),MATCH(B121,GerNaoDesp!$B$42:$AN$42,0),1,1)</f>
        <v>0</v>
      </c>
    </row>
    <row r="122" spans="1:9">
      <c r="A122" s="59">
        <f t="shared" si="2"/>
        <v>4</v>
      </c>
      <c r="B122" s="59">
        <f t="shared" si="3"/>
        <v>2015</v>
      </c>
      <c r="C122" s="18">
        <f ca="1">OFFSET(Mercado!$A$1,MATCH(A122,Mercado!$A$2:$A$11,0),MATCH(B122,Mercado!$B$1:$AN$1,0),1,1)</f>
        <v>4385.8445955693096</v>
      </c>
      <c r="D122" s="18">
        <f ca="1">OFFSET(CompPerdasIntercambio!$A$1,MATCH(A122,CompPerdasIntercambio!$A$2:$A$11,0),MATCH(B122,CompPerdasIntercambio!$B$1:$AN$1,0),1,1)</f>
        <v>0</v>
      </c>
      <c r="E122" s="18">
        <f ca="1">OFFSET(GerNaoDesp!$A$1,MATCH(A122,GerNaoDesp!$A$2:$A$9,0),MATCH(B122,GerNaoDesp!$B$1:$AN$1,0),1,1)</f>
        <v>5.39056002371366E-2</v>
      </c>
      <c r="F122" s="58">
        <f ca="1">OFFSET(MercadoPonta!$A$1,MATCH(A122,MercadoPonta!$A$2:$A$11,0),MATCH(B122,MercadoPonta!$B$1:$AN$1,0),1,1)</f>
        <v>4623.0210333312516</v>
      </c>
      <c r="G122" s="432">
        <f ca="1">OFFSET(GerNaoDesp!$A$18,MATCH(A122,GerNaoDesp!$A$19:$A$25,0),MATCH(B122,GerNaoDesp!$B$18:$AN$18,0),1,1)</f>
        <v>5.39056002371366E-2</v>
      </c>
      <c r="H122" s="24">
        <f ca="1">OFFSET(GerNaoDesp!$A$30,MATCH(A122,GerNaoDesp!$A$31:$A$37,0),MATCH(B122,GerNaoDesp!$B$30:$AN$30,0),1,1)</f>
        <v>0</v>
      </c>
      <c r="I122" s="24">
        <f ca="1">OFFSET(GerNaoDesp!$A$42,MATCH(A122,GerNaoDesp!$A$43:$A$49,0),MATCH(B122,GerNaoDesp!$B$42:$AN$42,0),1,1)</f>
        <v>0</v>
      </c>
    </row>
    <row r="123" spans="1:9">
      <c r="A123" s="59">
        <f t="shared" si="2"/>
        <v>4</v>
      </c>
      <c r="B123" s="59">
        <f t="shared" si="3"/>
        <v>2016</v>
      </c>
      <c r="C123" s="18">
        <f ca="1">OFFSET(Mercado!$A$1,MATCH(A123,Mercado!$A$2:$A$11,0),MATCH(B123,Mercado!$B$1:$AN$1,0),1,1)</f>
        <v>4348.4903569271855</v>
      </c>
      <c r="D123" s="18">
        <f ca="1">OFFSET(CompPerdasIntercambio!$A$1,MATCH(A123,CompPerdasIntercambio!$A$2:$A$11,0),MATCH(B123,CompPerdasIntercambio!$B$1:$AN$1,0),1,1)</f>
        <v>0</v>
      </c>
      <c r="E123" s="18">
        <f ca="1">OFFSET(GerNaoDesp!$A$1,MATCH(A123,GerNaoDesp!$A$2:$A$9,0),MATCH(B123,GerNaoDesp!$B$1:$AN$1,0),1,1)</f>
        <v>0.95431470540109065</v>
      </c>
      <c r="F123" s="58">
        <f ca="1">OFFSET(MercadoPonta!$A$1,MATCH(A123,MercadoPonta!$A$2:$A$11,0),MATCH(B123,MercadoPonta!$B$1:$AN$1,0),1,1)</f>
        <v>5023.9730533333332</v>
      </c>
      <c r="G123" s="432">
        <f ca="1">OFFSET(GerNaoDesp!$A$18,MATCH(A123,GerNaoDesp!$A$19:$A$25,0),MATCH(B123,GerNaoDesp!$B$18:$AN$18,0),1,1)</f>
        <v>0.38803876940109067</v>
      </c>
      <c r="H123" s="24">
        <f ca="1">OFFSET(GerNaoDesp!$A$30,MATCH(A123,GerNaoDesp!$A$31:$A$37,0),MATCH(B123,GerNaoDesp!$B$30:$AN$30,0),1,1)</f>
        <v>2.4500000000000001E-2</v>
      </c>
      <c r="I123" s="24">
        <f ca="1">OFFSET(GerNaoDesp!$A$42,MATCH(A123,GerNaoDesp!$A$43:$A$49,0),MATCH(B123,GerNaoDesp!$B$42:$AN$42,0),1,1)</f>
        <v>0</v>
      </c>
    </row>
    <row r="124" spans="1:9">
      <c r="A124" s="59">
        <f t="shared" si="2"/>
        <v>4</v>
      </c>
      <c r="B124" s="59">
        <f t="shared" si="3"/>
        <v>2017</v>
      </c>
      <c r="C124" s="18">
        <f ca="1">OFFSET(Mercado!$A$1,MATCH(A124,Mercado!$A$2:$A$11,0),MATCH(B124,Mercado!$B$1:$AN$1,0),1,1)</f>
        <v>4366.7751684251243</v>
      </c>
      <c r="D124" s="18">
        <f ca="1">OFFSET(CompPerdasIntercambio!$A$1,MATCH(A124,CompPerdasIntercambio!$A$2:$A$11,0),MATCH(B124,CompPerdasIntercambio!$B$1:$AN$1,0),1,1)</f>
        <v>0</v>
      </c>
      <c r="E124" s="18">
        <f ca="1">OFFSET(GerNaoDesp!$A$1,MATCH(A124,GerNaoDesp!$A$2:$A$9,0),MATCH(B124,GerNaoDesp!$B$1:$AN$1,0),1,1)</f>
        <v>3.4785753815268867</v>
      </c>
      <c r="F124" s="58">
        <f ca="1">OFFSET(MercadoPonta!$A$1,MATCH(A124,MercadoPonta!$A$2:$A$11,0),MATCH(B124,MercadoPonta!$B$1:$AN$1,0),1,1)</f>
        <v>4835.4275175976791</v>
      </c>
      <c r="G124" s="432">
        <f ca="1">OFFSET(GerNaoDesp!$A$18,MATCH(A124,GerNaoDesp!$A$19:$A$25,0),MATCH(B124,GerNaoDesp!$B$18:$AN$18,0),1,1)</f>
        <v>1.6721420035268868</v>
      </c>
      <c r="H124" s="24">
        <f ca="1">OFFSET(GerNaoDesp!$A$30,MATCH(A124,GerNaoDesp!$A$31:$A$37,0),MATCH(B124,GerNaoDesp!$B$30:$AN$30,0),1,1)</f>
        <v>0.1225</v>
      </c>
      <c r="I124" s="24">
        <f ca="1">OFFSET(GerNaoDesp!$A$42,MATCH(A124,GerNaoDesp!$A$43:$A$49,0),MATCH(B124,GerNaoDesp!$B$42:$AN$42,0),1,1)</f>
        <v>0</v>
      </c>
    </row>
    <row r="125" spans="1:9">
      <c r="A125" s="59">
        <f t="shared" si="2"/>
        <v>4</v>
      </c>
      <c r="B125" s="59">
        <f t="shared" si="3"/>
        <v>2018</v>
      </c>
      <c r="C125" s="18">
        <f ca="1">OFFSET(Mercado!$A$1,MATCH(A125,Mercado!$A$2:$A$11,0),MATCH(B125,Mercado!$B$1:$AN$1,0),1,1)</f>
        <v>4150.9205023716113</v>
      </c>
      <c r="D125" s="18">
        <f ca="1">OFFSET(CompPerdasIntercambio!$A$1,MATCH(A125,CompPerdasIntercambio!$A$2:$A$11,0),MATCH(B125,CompPerdasIntercambio!$B$1:$AN$1,0),1,1)</f>
        <v>0</v>
      </c>
      <c r="E125" s="18">
        <f ca="1">OFFSET(GerNaoDesp!$A$1,MATCH(A125,GerNaoDesp!$A$2:$A$9,0),MATCH(B125,GerNaoDesp!$B$1:$AN$1,0),1,1)</f>
        <v>7.5994956607932309</v>
      </c>
      <c r="F125" s="58">
        <f ca="1">OFFSET(MercadoPonta!$A$1,MATCH(A125,MercadoPonta!$A$2:$A$11,0),MATCH(B125,MercadoPonta!$B$1:$AN$1,0),1,1)</f>
        <v>4987.55314227283</v>
      </c>
      <c r="G125" s="432">
        <f ca="1">OFFSET(GerNaoDesp!$A$18,MATCH(A125,GerNaoDesp!$A$19:$A$25,0),MATCH(B125,GerNaoDesp!$B$18:$AN$18,0),1,1)</f>
        <v>4.9476807767932316</v>
      </c>
      <c r="H125" s="24">
        <f ca="1">OFFSET(GerNaoDesp!$A$30,MATCH(A125,GerNaoDesp!$A$31:$A$37,0),MATCH(B125,GerNaoDesp!$B$30:$AN$30,0),1,1)</f>
        <v>0.36749999999999999</v>
      </c>
      <c r="I125" s="24">
        <f ca="1">OFFSET(GerNaoDesp!$A$42,MATCH(A125,GerNaoDesp!$A$43:$A$49,0),MATCH(B125,GerNaoDesp!$B$42:$AN$42,0),1,1)</f>
        <v>0</v>
      </c>
    </row>
    <row r="126" spans="1:9">
      <c r="A126" s="59">
        <f t="shared" si="2"/>
        <v>4</v>
      </c>
      <c r="B126" s="59">
        <f t="shared" si="3"/>
        <v>2019</v>
      </c>
      <c r="C126" s="18">
        <f ca="1">OFFSET(Mercado!$A$1,MATCH(A126,Mercado!$A$2:$A$11,0),MATCH(B126,Mercado!$B$1:$AN$1,0),1,1)</f>
        <v>4715.1338327100848</v>
      </c>
      <c r="D126" s="18">
        <f ca="1">OFFSET(CompPerdasIntercambio!$A$1,MATCH(A126,CompPerdasIntercambio!$A$2:$A$11,0),MATCH(B126,CompPerdasIntercambio!$B$1:$AN$1,0),1,1)</f>
        <v>0</v>
      </c>
      <c r="E126" s="18">
        <f ca="1">OFFSET(GerNaoDesp!$A$1,MATCH(A126,GerNaoDesp!$A$2:$A$9,0),MATCH(B126,GerNaoDesp!$B$1:$AN$1,0),1,1)</f>
        <v>13.98044788414993</v>
      </c>
      <c r="F126" s="58">
        <f ca="1">OFFSET(MercadoPonta!$A$1,MATCH(A126,MercadoPonta!$A$2:$A$11,0),MATCH(B126,MercadoPonta!$B$1:$AN$1,0),1,1)</f>
        <v>5111.9911158893874</v>
      </c>
      <c r="G126" s="432">
        <f ca="1">OFFSET(GerNaoDesp!$A$18,MATCH(A126,GerNaoDesp!$A$19:$A$25,0),MATCH(B126,GerNaoDesp!$B$18:$AN$18,0),1,1)</f>
        <v>10.93663300014993</v>
      </c>
      <c r="H126" s="24">
        <f ca="1">OFFSET(GerNaoDesp!$A$30,MATCH(A126,GerNaoDesp!$A$31:$A$37,0),MATCH(B126,GerNaoDesp!$B$30:$AN$30,0),1,1)</f>
        <v>0.75949999999999995</v>
      </c>
      <c r="I126" s="24">
        <f ca="1">OFFSET(GerNaoDesp!$A$42,MATCH(A126,GerNaoDesp!$A$43:$A$49,0),MATCH(B126,GerNaoDesp!$B$42:$AN$42,0),1,1)</f>
        <v>0</v>
      </c>
    </row>
    <row r="127" spans="1:9">
      <c r="A127" s="59">
        <f t="shared" si="2"/>
        <v>4</v>
      </c>
      <c r="B127" s="59">
        <f t="shared" si="3"/>
        <v>2020</v>
      </c>
      <c r="C127" s="18">
        <f ca="1">OFFSET(Mercado!$A$1,MATCH(A127,Mercado!$A$2:$A$11,0),MATCH(B127,Mercado!$B$1:$AN$1,0),1,1)</f>
        <v>5356.860896961789</v>
      </c>
      <c r="D127" s="18">
        <f ca="1">OFFSET(CompPerdasIntercambio!$A$1,MATCH(A127,CompPerdasIntercambio!$A$2:$A$11,0),MATCH(B127,CompPerdasIntercambio!$B$1:$AN$1,0),1,1)</f>
        <v>0</v>
      </c>
      <c r="E127" s="18">
        <f ca="1">OFFSET(GerNaoDesp!$A$1,MATCH(A127,GerNaoDesp!$A$2:$A$9,0),MATCH(B127,GerNaoDesp!$B$1:$AN$1,0),1,1)</f>
        <v>22.510358338060136</v>
      </c>
      <c r="F127" s="58">
        <f ca="1">OFFSET(MercadoPonta!$A$1,MATCH(A127,MercadoPonta!$A$2:$A$11,0),MATCH(B127,MercadoPonta!$B$1:$AN$1,0),1,1)</f>
        <v>5847.3632056970428</v>
      </c>
      <c r="G127" s="432">
        <f ca="1">OFFSET(GerNaoDesp!$A$18,MATCH(A127,GerNaoDesp!$A$19:$A$25,0),MATCH(B127,GerNaoDesp!$B$18:$AN$18,0),1,1)</f>
        <v>18.976543454060135</v>
      </c>
      <c r="H127" s="24">
        <f ca="1">OFFSET(GerNaoDesp!$A$30,MATCH(A127,GerNaoDesp!$A$31:$A$37,0),MATCH(B127,GerNaoDesp!$B$30:$AN$30,0),1,1)</f>
        <v>1.2494999999999998</v>
      </c>
      <c r="I127" s="24">
        <f ca="1">OFFSET(GerNaoDesp!$A$42,MATCH(A127,GerNaoDesp!$A$43:$A$49,0),MATCH(B127,GerNaoDesp!$B$42:$AN$42,0),1,1)</f>
        <v>0</v>
      </c>
    </row>
    <row r="128" spans="1:9">
      <c r="A128" s="59">
        <f t="shared" si="2"/>
        <v>4</v>
      </c>
      <c r="B128" s="59">
        <f t="shared" si="3"/>
        <v>2021</v>
      </c>
      <c r="C128" s="18">
        <f ca="1">OFFSET(Mercado!$A$1,MATCH(A128,Mercado!$A$2:$A$11,0),MATCH(B128,Mercado!$B$1:$AN$1,0),1,1)</f>
        <v>6043.535248254494</v>
      </c>
      <c r="D128" s="18">
        <f ca="1">OFFSET(CompPerdasIntercambio!$A$1,MATCH(A128,CompPerdasIntercambio!$A$2:$A$11,0),MATCH(B128,CompPerdasIntercambio!$B$1:$AN$1,0),1,1)</f>
        <v>0</v>
      </c>
      <c r="E128" s="18">
        <f ca="1">OFFSET(GerNaoDesp!$A$1,MATCH(A128,GerNaoDesp!$A$2:$A$9,0),MATCH(B128,GerNaoDesp!$B$1:$AN$1,0),1,1)</f>
        <v>28.975285930671564</v>
      </c>
      <c r="F128" s="58">
        <f ca="1">OFFSET(MercadoPonta!$A$1,MATCH(A128,MercadoPonta!$A$2:$A$11,0),MATCH(B128,MercadoPonta!$B$1:$AN$1,0),1,1)</f>
        <v>6597.8128388610885</v>
      </c>
      <c r="G128" s="432">
        <f ca="1">OFFSET(GerNaoDesp!$A$18,MATCH(A128,GerNaoDesp!$A$19:$A$25,0),MATCH(B128,GerNaoDesp!$B$18:$AN$18,0),1,1)</f>
        <v>24.286033044039986</v>
      </c>
      <c r="H128" s="24">
        <f ca="1">OFFSET(GerNaoDesp!$A$30,MATCH(A128,GerNaoDesp!$A$31:$A$37,0),MATCH(B128,GerNaoDesp!$B$30:$AN$30,0),1,1)</f>
        <v>1.5189999999999999</v>
      </c>
      <c r="I128" s="24">
        <f ca="1">OFFSET(GerNaoDesp!$A$42,MATCH(A128,GerNaoDesp!$A$43:$A$49,0),MATCH(B128,GerNaoDesp!$B$42:$AN$42,0),1,1)</f>
        <v>0</v>
      </c>
    </row>
    <row r="129" spans="1:9">
      <c r="A129" s="59">
        <f t="shared" si="2"/>
        <v>4</v>
      </c>
      <c r="B129" s="59">
        <f t="shared" si="3"/>
        <v>2022</v>
      </c>
      <c r="C129" s="18">
        <f ca="1">OFFSET(Mercado!$A$1,MATCH(A129,Mercado!$A$2:$A$11,0),MATCH(B129,Mercado!$B$1:$AN$1,0),1,1)</f>
        <v>6237.5229814176591</v>
      </c>
      <c r="D129" s="18">
        <f ca="1">OFFSET(CompPerdasIntercambio!$A$1,MATCH(A129,CompPerdasIntercambio!$A$2:$A$11,0),MATCH(B129,CompPerdasIntercambio!$B$1:$AN$1,0),1,1)</f>
        <v>0</v>
      </c>
      <c r="E129" s="18">
        <f ca="1">OFFSET(GerNaoDesp!$A$1,MATCH(A129,GerNaoDesp!$A$2:$A$9,0),MATCH(B129,GerNaoDesp!$B$1:$AN$1,0),1,1)</f>
        <v>31.77476521808504</v>
      </c>
      <c r="F129" s="58">
        <f ca="1">OFFSET(MercadoPonta!$A$1,MATCH(A129,MercadoPonta!$A$2:$A$11,0),MATCH(B129,MercadoPonta!$B$1:$AN$1,0),1,1)</f>
        <v>6807.6797858416403</v>
      </c>
      <c r="G129" s="432">
        <f ca="1">OFFSET(GerNaoDesp!$A$18,MATCH(A129,GerNaoDesp!$A$19:$A$25,0),MATCH(B129,GerNaoDesp!$B$18:$AN$18,0),1,1)</f>
        <v>26.199574328821885</v>
      </c>
      <c r="H129" s="24">
        <f ca="1">OFFSET(GerNaoDesp!$A$30,MATCH(A129,GerNaoDesp!$A$31:$A$37,0),MATCH(B129,GerNaoDesp!$B$30:$AN$30,0),1,1)</f>
        <v>1.5189999999999999</v>
      </c>
      <c r="I129" s="24">
        <f ca="1">OFFSET(GerNaoDesp!$A$42,MATCH(A129,GerNaoDesp!$A$43:$A$49,0),MATCH(B129,GerNaoDesp!$B$42:$AN$42,0),1,1)</f>
        <v>0</v>
      </c>
    </row>
    <row r="130" spans="1:9">
      <c r="A130" s="59">
        <f t="shared" si="2"/>
        <v>4</v>
      </c>
      <c r="B130" s="59">
        <f t="shared" si="3"/>
        <v>2023</v>
      </c>
      <c r="C130" s="18">
        <f ca="1">OFFSET(Mercado!$A$1,MATCH(A130,Mercado!$A$2:$A$11,0),MATCH(B130,Mercado!$B$1:$AN$1,0),1,1)</f>
        <v>6413.4863421437203</v>
      </c>
      <c r="D130" s="18">
        <f ca="1">OFFSET(CompPerdasIntercambio!$A$1,MATCH(A130,CompPerdasIntercambio!$A$2:$A$11,0),MATCH(B130,CompPerdasIntercambio!$B$1:$AN$1,0),1,1)</f>
        <v>0</v>
      </c>
      <c r="E130" s="18">
        <f ca="1">OFFSET(GerNaoDesp!$A$1,MATCH(A130,GerNaoDesp!$A$2:$A$9,0),MATCH(B130,GerNaoDesp!$B$1:$AN$1,0),1,1)</f>
        <v>37.02239458958995</v>
      </c>
      <c r="F130" s="58">
        <f ca="1">OFFSET(MercadoPonta!$A$1,MATCH(A130,MercadoPonta!$A$2:$A$11,0),MATCH(B130,MercadoPonta!$B$1:$AN$1,0),1,1)</f>
        <v>6997.1183081090521</v>
      </c>
      <c r="G130" s="432">
        <f ca="1">OFFSET(GerNaoDesp!$A$18,MATCH(A130,GerNaoDesp!$A$19:$A$25,0),MATCH(B130,GerNaoDesp!$B$18:$AN$18,0),1,1)</f>
        <v>31.324703700326793</v>
      </c>
      <c r="H130" s="24">
        <f ca="1">OFFSET(GerNaoDesp!$A$30,MATCH(A130,GerNaoDesp!$A$31:$A$37,0),MATCH(B130,GerNaoDesp!$B$30:$AN$30,0),1,1)</f>
        <v>1.6414999999999997</v>
      </c>
      <c r="I130" s="24">
        <f ca="1">OFFSET(GerNaoDesp!$A$42,MATCH(A130,GerNaoDesp!$A$43:$A$49,0),MATCH(B130,GerNaoDesp!$B$42:$AN$42,0),1,1)</f>
        <v>0</v>
      </c>
    </row>
    <row r="131" spans="1:9">
      <c r="A131" s="59">
        <f t="shared" si="2"/>
        <v>4</v>
      </c>
      <c r="B131" s="59">
        <f t="shared" si="3"/>
        <v>2024</v>
      </c>
      <c r="C131" s="18">
        <f ca="1">OFFSET(Mercado!$A$1,MATCH(A131,Mercado!$A$2:$A$11,0),MATCH(B131,Mercado!$B$1:$AN$1,0),1,1)</f>
        <v>6674.347218177887</v>
      </c>
      <c r="D131" s="18">
        <f ca="1">OFFSET(CompPerdasIntercambio!$A$1,MATCH(A131,CompPerdasIntercambio!$A$2:$A$11,0),MATCH(B131,CompPerdasIntercambio!$B$1:$AN$1,0),1,1)</f>
        <v>0</v>
      </c>
      <c r="E131" s="18">
        <f ca="1">OFFSET(GerNaoDesp!$A$1,MATCH(A131,GerNaoDesp!$A$2:$A$9,0),MATCH(B131,GerNaoDesp!$B$1:$AN$1,0),1,1)</f>
        <v>47.96308453461355</v>
      </c>
      <c r="F131" s="58">
        <f ca="1">OFFSET(MercadoPonta!$A$1,MATCH(A131,MercadoPonta!$A$2:$A$11,0),MATCH(B131,MercadoPonta!$B$1:$AN$1,0),1,1)</f>
        <v>7281.76109628841</v>
      </c>
      <c r="G131" s="432">
        <f ca="1">OFFSET(GerNaoDesp!$A$18,MATCH(A131,GerNaoDesp!$A$19:$A$25,0),MATCH(B131,GerNaoDesp!$B$18:$AN$18,0),1,1)</f>
        <v>40.267581586468815</v>
      </c>
      <c r="H131" s="24">
        <f ca="1">OFFSET(GerNaoDesp!$A$30,MATCH(A131,GerNaoDesp!$A$31:$A$37,0),MATCH(B131,GerNaoDesp!$B$30:$AN$30,0),1,1)</f>
        <v>1.8864999999999998</v>
      </c>
      <c r="I131" s="24">
        <f ca="1">OFFSET(GerNaoDesp!$A$42,MATCH(A131,GerNaoDesp!$A$43:$A$49,0),MATCH(B131,GerNaoDesp!$B$42:$AN$42,0),1,1)</f>
        <v>0</v>
      </c>
    </row>
    <row r="132" spans="1:9">
      <c r="A132" s="59">
        <f t="shared" si="2"/>
        <v>4</v>
      </c>
      <c r="B132" s="59">
        <f t="shared" si="3"/>
        <v>2025</v>
      </c>
      <c r="C132" s="18">
        <f ca="1">OFFSET(Mercado!$A$1,MATCH(A132,Mercado!$A$2:$A$11,0),MATCH(B132,Mercado!$B$1:$AN$1,0),1,1)</f>
        <v>6894.9565830470001</v>
      </c>
      <c r="D132" s="18">
        <f ca="1">OFFSET(CompPerdasIntercambio!$A$1,MATCH(A132,CompPerdasIntercambio!$A$2:$A$11,0),MATCH(B132,CompPerdasIntercambio!$B$1:$AN$1,0),1,1)</f>
        <v>0</v>
      </c>
      <c r="E132" s="18">
        <f ca="1">OFFSET(GerNaoDesp!$A$1,MATCH(A132,GerNaoDesp!$A$2:$A$9,0),MATCH(B132,GerNaoDesp!$B$1:$AN$1,0),1,1)</f>
        <v>62.079964671563218</v>
      </c>
      <c r="F132" s="58">
        <f ca="1">OFFSET(MercadoPonta!$A$1,MATCH(A132,MercadoPonta!$A$2:$A$11,0),MATCH(B132,MercadoPonta!$B$1:$AN$1,0),1,1)</f>
        <v>7519.1318301794217</v>
      </c>
      <c r="G132" s="432">
        <f ca="1">OFFSET(GerNaoDesp!$A$18,MATCH(A132,GerNaoDesp!$A$19:$A$25,0),MATCH(B132,GerNaoDesp!$B$18:$AN$18,0),1,1)</f>
        <v>50.713715595238654</v>
      </c>
      <c r="H132" s="24">
        <f ca="1">OFFSET(GerNaoDesp!$A$30,MATCH(A132,GerNaoDesp!$A$31:$A$37,0),MATCH(B132,GerNaoDesp!$B$30:$AN$30,0),1,1)</f>
        <v>2.1804999999999999</v>
      </c>
      <c r="I132" s="24">
        <f ca="1">OFFSET(GerNaoDesp!$A$42,MATCH(A132,GerNaoDesp!$A$43:$A$49,0),MATCH(B132,GerNaoDesp!$B$42:$AN$42,0),1,1)</f>
        <v>0</v>
      </c>
    </row>
    <row r="133" spans="1:9">
      <c r="A133" s="59">
        <f t="shared" si="2"/>
        <v>4</v>
      </c>
      <c r="B133" s="59">
        <f t="shared" si="3"/>
        <v>2026</v>
      </c>
      <c r="C133" s="18">
        <f ca="1">OFFSET(Mercado!$A$1,MATCH(A133,Mercado!$A$2:$A$11,0),MATCH(B133,Mercado!$B$1:$AN$1,0),1,1)</f>
        <v>7155.2613027652733</v>
      </c>
      <c r="D133" s="18">
        <f ca="1">OFFSET(CompPerdasIntercambio!$A$1,MATCH(A133,CompPerdasIntercambio!$A$2:$A$11,0),MATCH(B133,CompPerdasIntercambio!$B$1:$AN$1,0),1,1)</f>
        <v>0</v>
      </c>
      <c r="E133" s="18">
        <f ca="1">OFFSET(GerNaoDesp!$A$1,MATCH(A133,GerNaoDesp!$A$2:$A$9,0),MATCH(B133,GerNaoDesp!$B$1:$AN$1,0),1,1)</f>
        <v>76.302587072470374</v>
      </c>
      <c r="F133" s="58">
        <f ca="1">OFFSET(MercadoPonta!$A$1,MATCH(A133,MercadoPonta!$A$2:$A$11,0),MATCH(B133,MercadoPonta!$B$1:$AN$1,0),1,1)</f>
        <v>7801.8173790435649</v>
      </c>
      <c r="G133" s="432">
        <f ca="1">OFFSET(GerNaoDesp!$A$18,MATCH(A133,GerNaoDesp!$A$19:$A$25,0),MATCH(B133,GerNaoDesp!$B$18:$AN$18,0),1,1)</f>
        <v>62.107965924215982</v>
      </c>
      <c r="H133" s="24">
        <f ca="1">OFFSET(GerNaoDesp!$A$30,MATCH(A133,GerNaoDesp!$A$31:$A$37,0),MATCH(B133,GerNaoDesp!$B$30:$AN$30,0),1,1)</f>
        <v>2.4989999999999997</v>
      </c>
      <c r="I133" s="24">
        <f ca="1">OFFSET(GerNaoDesp!$A$42,MATCH(A133,GerNaoDesp!$A$43:$A$49,0),MATCH(B133,GerNaoDesp!$B$42:$AN$42,0),1,1)</f>
        <v>0</v>
      </c>
    </row>
    <row r="134" spans="1:9">
      <c r="A134" s="59">
        <f t="shared" si="2"/>
        <v>4</v>
      </c>
      <c r="B134" s="59">
        <f t="shared" si="3"/>
        <v>2027</v>
      </c>
      <c r="C134" s="18">
        <f ca="1">OFFSET(Mercado!$A$1,MATCH(A134,Mercado!$A$2:$A$11,0),MATCH(B134,Mercado!$B$1:$AN$1,0),1,1)</f>
        <v>7335.189806953983</v>
      </c>
      <c r="D134" s="18">
        <f ca="1">OFFSET(CompPerdasIntercambio!$A$1,MATCH(A134,CompPerdasIntercambio!$A$2:$A$11,0),MATCH(B134,CompPerdasIntercambio!$B$1:$AN$1,0),1,1)</f>
        <v>0</v>
      </c>
      <c r="E134" s="18">
        <f ca="1">OFFSET(GerNaoDesp!$A$1,MATCH(A134,GerNaoDesp!$A$2:$A$9,0),MATCH(B134,GerNaoDesp!$B$1:$AN$1,0),1,1)</f>
        <v>90.848606053779505</v>
      </c>
      <c r="F134" s="58">
        <f ca="1">OFFSET(MercadoPonta!$A$1,MATCH(A134,MercadoPonta!$A$2:$A$11,0),MATCH(B134,MercadoPonta!$B$1:$AN$1,0),1,1)</f>
        <v>7992.4473464898747</v>
      </c>
      <c r="G134" s="432">
        <f ca="1">OFFSET(GerNaoDesp!$A$18,MATCH(A134,GerNaoDesp!$A$19:$A$25,0),MATCH(B134,GerNaoDesp!$B$18:$AN$18,0),1,1)</f>
        <v>73.696734844011971</v>
      </c>
      <c r="H134" s="24">
        <f ca="1">OFFSET(GerNaoDesp!$A$30,MATCH(A134,GerNaoDesp!$A$31:$A$37,0),MATCH(B134,GerNaoDesp!$B$30:$AN$30,0),1,1)</f>
        <v>2.8174999999999994</v>
      </c>
      <c r="I134" s="24">
        <f ca="1">OFFSET(GerNaoDesp!$A$42,MATCH(A134,GerNaoDesp!$A$43:$A$49,0),MATCH(B134,GerNaoDesp!$B$42:$AN$42,0),1,1)</f>
        <v>0</v>
      </c>
    </row>
    <row r="135" spans="1:9">
      <c r="A135" s="59">
        <f t="shared" si="2"/>
        <v>4</v>
      </c>
      <c r="B135" s="59">
        <f t="shared" si="3"/>
        <v>2028</v>
      </c>
      <c r="C135" s="18">
        <f ca="1">OFFSET(Mercado!$A$1,MATCH(A135,Mercado!$A$2:$A$11,0),MATCH(B135,Mercado!$B$1:$AN$1,0),1,1)</f>
        <v>7539.2646270793757</v>
      </c>
      <c r="D135" s="18">
        <f ca="1">OFFSET(CompPerdasIntercambio!$A$1,MATCH(A135,CompPerdasIntercambio!$A$2:$A$11,0),MATCH(B135,CompPerdasIntercambio!$B$1:$AN$1,0),1,1)</f>
        <v>0</v>
      </c>
      <c r="E135" s="18">
        <f ca="1">OFFSET(GerNaoDesp!$A$1,MATCH(A135,GerNaoDesp!$A$2:$A$9,0),MATCH(B135,GerNaoDesp!$B$1:$AN$1,0),1,1)</f>
        <v>107.37700982712364</v>
      </c>
      <c r="F135" s="58">
        <f ca="1">OFFSET(MercadoPonta!$A$1,MATCH(A135,MercadoPonta!$A$2:$A$11,0),MATCH(B135,MercadoPonta!$B$1:$AN$1,0),1,1)</f>
        <v>8209.1710197924258</v>
      </c>
      <c r="G135" s="432">
        <f ca="1">OFFSET(GerNaoDesp!$A$18,MATCH(A135,GerNaoDesp!$A$19:$A$25,0),MATCH(B135,GerNaoDesp!$B$18:$AN$18,0),1,1)</f>
        <v>85.517780105842945</v>
      </c>
      <c r="H135" s="24">
        <f ca="1">OFFSET(GerNaoDesp!$A$30,MATCH(A135,GerNaoDesp!$A$31:$A$37,0),MATCH(B135,GerNaoDesp!$B$30:$AN$30,0),1,1)</f>
        <v>3.1604999999999994</v>
      </c>
      <c r="I135" s="24">
        <f ca="1">OFFSET(GerNaoDesp!$A$42,MATCH(A135,GerNaoDesp!$A$43:$A$49,0),MATCH(B135,GerNaoDesp!$B$42:$AN$42,0),1,1)</f>
        <v>0</v>
      </c>
    </row>
    <row r="136" spans="1:9">
      <c r="A136" s="59">
        <f t="shared" si="2"/>
        <v>4</v>
      </c>
      <c r="B136" s="59">
        <f t="shared" si="3"/>
        <v>2029</v>
      </c>
      <c r="C136" s="18">
        <f ca="1">OFFSET(Mercado!$A$1,MATCH(A136,Mercado!$A$2:$A$11,0),MATCH(B136,Mercado!$B$1:$AN$1,0),1,1)</f>
        <v>7785.3401923268884</v>
      </c>
      <c r="D136" s="18">
        <f ca="1">OFFSET(CompPerdasIntercambio!$A$1,MATCH(A136,CompPerdasIntercambio!$A$2:$A$11,0),MATCH(B136,CompPerdasIntercambio!$B$1:$AN$1,0),1,1)</f>
        <v>0</v>
      </c>
      <c r="E136" s="18">
        <f ca="1">OFFSET(GerNaoDesp!$A$1,MATCH(A136,GerNaoDesp!$A$2:$A$9,0),MATCH(B136,GerNaoDesp!$B$1:$AN$1,0),1,1)</f>
        <v>124.09775654819579</v>
      </c>
      <c r="F136" s="58">
        <f ca="1">OFFSET(MercadoPonta!$A$1,MATCH(A136,MercadoPonta!$A$2:$A$11,0),MATCH(B136,MercadoPonta!$B$1:$AN$1,0),1,1)</f>
        <v>8473.26528822197</v>
      </c>
      <c r="G136" s="432">
        <f ca="1">OFFSET(GerNaoDesp!$A$18,MATCH(A136,GerNaoDesp!$A$19:$A$25,0),MATCH(B136,GerNaoDesp!$B$18:$AN$18,0),1,1)</f>
        <v>97.482168315401935</v>
      </c>
      <c r="H136" s="24">
        <f ca="1">OFFSET(GerNaoDesp!$A$30,MATCH(A136,GerNaoDesp!$A$31:$A$37,0),MATCH(B136,GerNaoDesp!$B$30:$AN$30,0),1,1)</f>
        <v>3.5524999999999993</v>
      </c>
      <c r="I136" s="24">
        <f ca="1">OFFSET(GerNaoDesp!$A$42,MATCH(A136,GerNaoDesp!$A$43:$A$49,0),MATCH(B136,GerNaoDesp!$B$42:$AN$42,0),1,1)</f>
        <v>0</v>
      </c>
    </row>
    <row r="137" spans="1:9">
      <c r="A137" s="59">
        <f t="shared" si="2"/>
        <v>4</v>
      </c>
      <c r="B137" s="59">
        <f t="shared" si="3"/>
        <v>2030</v>
      </c>
      <c r="C137" s="18">
        <f ca="1">OFFSET(Mercado!$A$1,MATCH(A137,Mercado!$A$2:$A$11,0),MATCH(B137,Mercado!$B$1:$AN$1,0),1,1)</f>
        <v>8096.2191359312365</v>
      </c>
      <c r="D137" s="18">
        <f ca="1">OFFSET(CompPerdasIntercambio!$A$1,MATCH(A137,CompPerdasIntercambio!$A$2:$A$11,0),MATCH(B137,CompPerdasIntercambio!$B$1:$AN$1,0),1,1)</f>
        <v>0</v>
      </c>
      <c r="E137" s="18">
        <f ca="1">OFFSET(GerNaoDesp!$A$1,MATCH(A137,GerNaoDesp!$A$2:$A$9,0),MATCH(B137,GerNaoDesp!$B$1:$AN$1,0),1,1)</f>
        <v>141.81162746510577</v>
      </c>
      <c r="F137" s="58">
        <f ca="1">OFFSET(MercadoPonta!$A$1,MATCH(A137,MercadoPonta!$A$2:$A$11,0),MATCH(B137,MercadoPonta!$B$1:$AN$1,0),1,1)</f>
        <v>8810.2437143555635</v>
      </c>
      <c r="G137" s="432">
        <f ca="1">OFFSET(GerNaoDesp!$A$18,MATCH(A137,GerNaoDesp!$A$19:$A$25,0),MATCH(B137,GerNaoDesp!$B$18:$AN$18,0),1,1)</f>
        <v>109.6295508765005</v>
      </c>
      <c r="H137" s="24">
        <f ca="1">OFFSET(GerNaoDesp!$A$30,MATCH(A137,GerNaoDesp!$A$31:$A$37,0),MATCH(B137,GerNaoDesp!$B$30:$AN$30,0),1,1)</f>
        <v>3.9934999999999996</v>
      </c>
      <c r="I137" s="24">
        <f ca="1">OFFSET(GerNaoDesp!$A$42,MATCH(A137,GerNaoDesp!$A$43:$A$49,0),MATCH(B137,GerNaoDesp!$B$42:$AN$42,0),1,1)</f>
        <v>0</v>
      </c>
    </row>
    <row r="138" spans="1:9">
      <c r="A138" s="59">
        <f t="shared" si="2"/>
        <v>4</v>
      </c>
      <c r="B138" s="59">
        <f t="shared" si="3"/>
        <v>2031</v>
      </c>
      <c r="C138" s="18">
        <f ca="1">OFFSET(Mercado!$A$1,MATCH(A138,Mercado!$A$2:$A$11,0),MATCH(B138,Mercado!$B$1:$AN$1,0),1,1)</f>
        <v>8298.0187562730353</v>
      </c>
      <c r="D138" s="18">
        <f ca="1">OFFSET(CompPerdasIntercambio!$A$1,MATCH(A138,CompPerdasIntercambio!$A$2:$A$11,0),MATCH(B138,CompPerdasIntercambio!$B$1:$AN$1,0),1,1)</f>
        <v>0</v>
      </c>
      <c r="E138" s="18">
        <f ca="1">OFFSET(GerNaoDesp!$A$1,MATCH(A138,GerNaoDesp!$A$2:$A$9,0),MATCH(B138,GerNaoDesp!$B$1:$AN$1,0),1,1)</f>
        <v>157.98364005509984</v>
      </c>
      <c r="F138" s="58">
        <f ca="1">OFFSET(MercadoPonta!$A$1,MATCH(A138,MercadoPonta!$A$2:$A$11,0),MATCH(B138,MercadoPonta!$B$1:$AN$1,0),1,1)</f>
        <v>9021.6565363937971</v>
      </c>
      <c r="G138" s="432">
        <f ca="1">OFFSET(GerNaoDesp!$A$18,MATCH(A138,GerNaoDesp!$A$19:$A$25,0),MATCH(B138,GerNaoDesp!$B$18:$AN$18,0),1,1)</f>
        <v>120.28407511068316</v>
      </c>
      <c r="H138" s="24">
        <f ca="1">OFFSET(GerNaoDesp!$A$30,MATCH(A138,GerNaoDesp!$A$31:$A$37,0),MATCH(B138,GerNaoDesp!$B$30:$AN$30,0),1,1)</f>
        <v>4.3854999999999995</v>
      </c>
      <c r="I138" s="24">
        <f ca="1">OFFSET(GerNaoDesp!$A$42,MATCH(A138,GerNaoDesp!$A$43:$A$49,0),MATCH(B138,GerNaoDesp!$B$42:$AN$42,0),1,1)</f>
        <v>0</v>
      </c>
    </row>
    <row r="139" spans="1:9">
      <c r="A139" s="59">
        <f t="shared" si="2"/>
        <v>4</v>
      </c>
      <c r="B139" s="59">
        <f t="shared" si="3"/>
        <v>2032</v>
      </c>
      <c r="C139" s="18">
        <f ca="1">OFFSET(Mercado!$A$1,MATCH(A139,Mercado!$A$2:$A$11,0),MATCH(B139,Mercado!$B$1:$AN$1,0),1,1)</f>
        <v>8517.4743637269003</v>
      </c>
      <c r="D139" s="18">
        <f ca="1">OFFSET(CompPerdasIntercambio!$A$1,MATCH(A139,CompPerdasIntercambio!$A$2:$A$11,0),MATCH(B139,CompPerdasIntercambio!$B$1:$AN$1,0),1,1)</f>
        <v>0</v>
      </c>
      <c r="E139" s="18">
        <f ca="1">OFFSET(GerNaoDesp!$A$1,MATCH(A139,GerNaoDesp!$A$2:$A$9,0),MATCH(B139,GerNaoDesp!$B$1:$AN$1,0),1,1)</f>
        <v>171.86889509358144</v>
      </c>
      <c r="F139" s="58">
        <f ca="1">OFFSET(MercadoPonta!$A$1,MATCH(A139,MercadoPonta!$A$2:$A$11,0),MATCH(B139,MercadoPonta!$B$1:$AN$1,0),1,1)</f>
        <v>9253.1396589755932</v>
      </c>
      <c r="G139" s="432">
        <f ca="1">OFFSET(GerNaoDesp!$A$18,MATCH(A139,GerNaoDesp!$A$19:$A$25,0),MATCH(B139,GerNaoDesp!$B$18:$AN$18,0),1,1)</f>
        <v>129.43747163765161</v>
      </c>
      <c r="H139" s="24">
        <f ca="1">OFFSET(GerNaoDesp!$A$30,MATCH(A139,GerNaoDesp!$A$31:$A$37,0),MATCH(B139,GerNaoDesp!$B$30:$AN$30,0),1,1)</f>
        <v>4.7530000000000001</v>
      </c>
      <c r="I139" s="24">
        <f ca="1">OFFSET(GerNaoDesp!$A$42,MATCH(A139,GerNaoDesp!$A$43:$A$49,0),MATCH(B139,GerNaoDesp!$B$42:$AN$42,0),1,1)</f>
        <v>0</v>
      </c>
    </row>
    <row r="140" spans="1:9">
      <c r="A140" s="59">
        <f t="shared" si="2"/>
        <v>4</v>
      </c>
      <c r="B140" s="59">
        <f t="shared" si="3"/>
        <v>2033</v>
      </c>
      <c r="C140" s="18">
        <f ca="1">OFFSET(Mercado!$A$1,MATCH(A140,Mercado!$A$2:$A$11,0),MATCH(B140,Mercado!$B$1:$AN$1,0),1,1)</f>
        <v>8777.7444181226256</v>
      </c>
      <c r="D140" s="18">
        <f ca="1">OFFSET(CompPerdasIntercambio!$A$1,MATCH(A140,CompPerdasIntercambio!$A$2:$A$11,0),MATCH(B140,CompPerdasIntercambio!$B$1:$AN$1,0),1,1)</f>
        <v>0</v>
      </c>
      <c r="E140" s="18">
        <f ca="1">OFFSET(GerNaoDesp!$A$1,MATCH(A140,GerNaoDesp!$A$2:$A$9,0),MATCH(B140,GerNaoDesp!$B$1:$AN$1,0),1,1)</f>
        <v>185.99345796864162</v>
      </c>
      <c r="F140" s="58">
        <f ca="1">OFFSET(MercadoPonta!$A$1,MATCH(A140,MercadoPonta!$A$2:$A$11,0),MATCH(B140,MercadoPonta!$B$1:$AN$1,0),1,1)</f>
        <v>9530.5221117107976</v>
      </c>
      <c r="G140" s="432">
        <f ca="1">OFFSET(GerNaoDesp!$A$18,MATCH(A140,GerNaoDesp!$A$19:$A$25,0),MATCH(B140,GerNaoDesp!$B$18:$AN$18,0),1,1)</f>
        <v>138.78117600119865</v>
      </c>
      <c r="H140" s="24">
        <f ca="1">OFFSET(GerNaoDesp!$A$30,MATCH(A140,GerNaoDesp!$A$31:$A$37,0),MATCH(B140,GerNaoDesp!$B$30:$AN$30,0),1,1)</f>
        <v>5.1694999999999993</v>
      </c>
      <c r="I140" s="24">
        <f ca="1">OFFSET(GerNaoDesp!$A$42,MATCH(A140,GerNaoDesp!$A$43:$A$49,0),MATCH(B140,GerNaoDesp!$B$42:$AN$42,0),1,1)</f>
        <v>0</v>
      </c>
    </row>
    <row r="141" spans="1:9">
      <c r="A141" s="59">
        <f t="shared" si="2"/>
        <v>4</v>
      </c>
      <c r="B141" s="59">
        <f t="shared" si="3"/>
        <v>2034</v>
      </c>
      <c r="C141" s="18">
        <f ca="1">OFFSET(Mercado!$A$1,MATCH(A141,Mercado!$A$2:$A$11,0),MATCH(B141,Mercado!$B$1:$AN$1,0),1,1)</f>
        <v>8972.1032822316811</v>
      </c>
      <c r="D141" s="18">
        <f ca="1">OFFSET(CompPerdasIntercambio!$A$1,MATCH(A141,CompPerdasIntercambio!$A$2:$A$11,0),MATCH(B141,CompPerdasIntercambio!$B$1:$AN$1,0),1,1)</f>
        <v>0</v>
      </c>
      <c r="E141" s="18">
        <f ca="1">OFFSET(GerNaoDesp!$A$1,MATCH(A141,GerNaoDesp!$A$2:$A$9,0),MATCH(B141,GerNaoDesp!$B$1:$AN$1,0),1,1)</f>
        <v>198.75796403406673</v>
      </c>
      <c r="F141" s="58">
        <f ca="1">OFFSET(MercadoPonta!$A$1,MATCH(A141,MercadoPonta!$A$2:$A$11,0),MATCH(B141,MercadoPonta!$B$1:$AN$1,0),1,1)</f>
        <v>9733.256947233991</v>
      </c>
      <c r="G141" s="432">
        <f ca="1">OFFSET(GerNaoDesp!$A$18,MATCH(A141,GerNaoDesp!$A$19:$A$25,0),MATCH(B141,GerNaoDesp!$B$18:$AN$18,0),1,1)</f>
        <v>148.46593200511057</v>
      </c>
      <c r="H141" s="24">
        <f ca="1">OFFSET(GerNaoDesp!$A$30,MATCH(A141,GerNaoDesp!$A$31:$A$37,0),MATCH(B141,GerNaoDesp!$B$30:$AN$30,0),1,1)</f>
        <v>5.6105</v>
      </c>
      <c r="I141" s="24">
        <f ca="1">OFFSET(GerNaoDesp!$A$42,MATCH(A141,GerNaoDesp!$A$43:$A$49,0),MATCH(B141,GerNaoDesp!$B$42:$AN$42,0),1,1)</f>
        <v>0</v>
      </c>
    </row>
    <row r="142" spans="1:9">
      <c r="A142" s="59">
        <f t="shared" si="2"/>
        <v>4</v>
      </c>
      <c r="B142" s="59">
        <f t="shared" si="3"/>
        <v>2035</v>
      </c>
      <c r="C142" s="18">
        <f ca="1">OFFSET(Mercado!$A$1,MATCH(A142,Mercado!$A$2:$A$11,0),MATCH(B142,Mercado!$B$1:$AN$1,0),1,1)</f>
        <v>9194.1833242970824</v>
      </c>
      <c r="D142" s="18">
        <f ca="1">OFFSET(CompPerdasIntercambio!$A$1,MATCH(A142,CompPerdasIntercambio!$A$2:$A$11,0),MATCH(B142,CompPerdasIntercambio!$B$1:$AN$1,0),1,1)</f>
        <v>0</v>
      </c>
      <c r="E142" s="18">
        <f ca="1">OFFSET(GerNaoDesp!$A$1,MATCH(A142,GerNaoDesp!$A$2:$A$9,0),MATCH(B142,GerNaoDesp!$B$1:$AN$1,0),1,1)</f>
        <v>211.98486795230471</v>
      </c>
      <c r="F142" s="58">
        <f ca="1">OFFSET(MercadoPonta!$A$1,MATCH(A142,MercadoPonta!$A$2:$A$11,0),MATCH(B142,MercadoPonta!$B$1:$AN$1,0),1,1)</f>
        <v>9967.065427935584</v>
      </c>
      <c r="G142" s="432">
        <f ca="1">OFFSET(GerNaoDesp!$A$18,MATCH(A142,GerNaoDesp!$A$19:$A$25,0),MATCH(B142,GerNaoDesp!$B$18:$AN$18,0),1,1)</f>
        <v>158.69296385141874</v>
      </c>
      <c r="H142" s="24">
        <f ca="1">OFFSET(GerNaoDesp!$A$30,MATCH(A142,GerNaoDesp!$A$31:$A$37,0),MATCH(B142,GerNaoDesp!$B$30:$AN$30,0),1,1)</f>
        <v>6.1004999999999994</v>
      </c>
      <c r="I142" s="24">
        <f ca="1">OFFSET(GerNaoDesp!$A$42,MATCH(A142,GerNaoDesp!$A$43:$A$49,0),MATCH(B142,GerNaoDesp!$B$42:$AN$42,0),1,1)</f>
        <v>0</v>
      </c>
    </row>
    <row r="143" spans="1:9">
      <c r="A143" s="59">
        <f t="shared" si="2"/>
        <v>4</v>
      </c>
      <c r="B143" s="59">
        <f t="shared" si="3"/>
        <v>2036</v>
      </c>
      <c r="C143" s="18">
        <f ca="1">OFFSET(Mercado!$A$1,MATCH(A143,Mercado!$A$2:$A$11,0),MATCH(B143,Mercado!$B$1:$AN$1,0),1,1)</f>
        <v>9541.1592129932233</v>
      </c>
      <c r="D143" s="18">
        <f ca="1">OFFSET(CompPerdasIntercambio!$A$1,MATCH(A143,CompPerdasIntercambio!$A$2:$A$11,0),MATCH(B143,CompPerdasIntercambio!$B$1:$AN$1,0),1,1)</f>
        <v>0</v>
      </c>
      <c r="E143" s="18">
        <f ca="1">OFFSET(GerNaoDesp!$A$1,MATCH(A143,GerNaoDesp!$A$2:$A$9,0),MATCH(B143,GerNaoDesp!$B$1:$AN$1,0),1,1)</f>
        <v>225.85316318105384</v>
      </c>
      <c r="F143" s="58">
        <f ca="1">OFFSET(MercadoPonta!$A$1,MATCH(A143,MercadoPonta!$A$2:$A$11,0),MATCH(B143,MercadoPonta!$B$1:$AN$1,0),1,1)</f>
        <v>10343.020246718217</v>
      </c>
      <c r="G143" s="432">
        <f ca="1">OFFSET(GerNaoDesp!$A$18,MATCH(A143,GerNaoDesp!$A$19:$A$25,0),MATCH(B143,GerNaoDesp!$B$18:$AN$18,0),1,1)</f>
        <v>169.53145095461963</v>
      </c>
      <c r="H143" s="24">
        <f ca="1">OFFSET(GerNaoDesp!$A$30,MATCH(A143,GerNaoDesp!$A$31:$A$37,0),MATCH(B143,GerNaoDesp!$B$30:$AN$30,0),1,1)</f>
        <v>6.6394999999999991</v>
      </c>
      <c r="I143" s="24">
        <f ca="1">OFFSET(GerNaoDesp!$A$42,MATCH(A143,GerNaoDesp!$A$43:$A$49,0),MATCH(B143,GerNaoDesp!$B$42:$AN$42,0),1,1)</f>
        <v>0</v>
      </c>
    </row>
    <row r="144" spans="1:9">
      <c r="A144" s="59">
        <f t="shared" si="2"/>
        <v>4</v>
      </c>
      <c r="B144" s="59">
        <f t="shared" si="3"/>
        <v>2037</v>
      </c>
      <c r="C144" s="18">
        <f ca="1">OFFSET(Mercado!$A$1,MATCH(A144,Mercado!$A$2:$A$11,0),MATCH(B144,Mercado!$B$1:$AN$1,0),1,1)</f>
        <v>9792.9796128575144</v>
      </c>
      <c r="D144" s="18">
        <f ca="1">OFFSET(CompPerdasIntercambio!$A$1,MATCH(A144,CompPerdasIntercambio!$A$2:$A$11,0),MATCH(B144,CompPerdasIntercambio!$B$1:$AN$1,0),1,1)</f>
        <v>0</v>
      </c>
      <c r="E144" s="18">
        <f ca="1">OFFSET(GerNaoDesp!$A$1,MATCH(A144,GerNaoDesp!$A$2:$A$9,0),MATCH(B144,GerNaoDesp!$B$1:$AN$1,0),1,1)</f>
        <v>239.74792106947331</v>
      </c>
      <c r="F144" s="58">
        <f ca="1">OFFSET(MercadoPonta!$A$1,MATCH(A144,MercadoPonta!$A$2:$A$11,0),MATCH(B144,MercadoPonta!$B$1:$AN$1,0),1,1)</f>
        <v>10610.754117462688</v>
      </c>
      <c r="G144" s="432">
        <f ca="1">OFFSET(GerNaoDesp!$A$18,MATCH(A144,GerNaoDesp!$A$19:$A$25,0),MATCH(B144,GerNaoDesp!$B$18:$AN$18,0),1,1)</f>
        <v>181.10989678415751</v>
      </c>
      <c r="H144" s="24">
        <f ca="1">OFFSET(GerNaoDesp!$A$30,MATCH(A144,GerNaoDesp!$A$31:$A$37,0),MATCH(B144,GerNaoDesp!$B$30:$AN$30,0),1,1)</f>
        <v>7.2029999999999985</v>
      </c>
      <c r="I144" s="24">
        <f ca="1">OFFSET(GerNaoDesp!$A$42,MATCH(A144,GerNaoDesp!$A$43:$A$49,0),MATCH(B144,GerNaoDesp!$B$42:$AN$42,0),1,1)</f>
        <v>0</v>
      </c>
    </row>
    <row r="145" spans="1:9">
      <c r="A145" s="59">
        <f t="shared" si="2"/>
        <v>4</v>
      </c>
      <c r="B145" s="59">
        <f t="shared" si="3"/>
        <v>2038</v>
      </c>
      <c r="C145" s="18">
        <f ca="1">OFFSET(Mercado!$A$1,MATCH(A145,Mercado!$A$2:$A$11,0),MATCH(B145,Mercado!$B$1:$AN$1,0),1,1)</f>
        <v>10070.166674511345</v>
      </c>
      <c r="D145" s="18">
        <f ca="1">OFFSET(CompPerdasIntercambio!$A$1,MATCH(A145,CompPerdasIntercambio!$A$2:$A$11,0),MATCH(B145,CompPerdasIntercambio!$B$1:$AN$1,0),1,1)</f>
        <v>0</v>
      </c>
      <c r="E145" s="18">
        <f ca="1">OFFSET(GerNaoDesp!$A$1,MATCH(A145,GerNaoDesp!$A$2:$A$9,0),MATCH(B145,GerNaoDesp!$B$1:$AN$1,0),1,1)</f>
        <v>253.83129104664516</v>
      </c>
      <c r="F145" s="58">
        <f ca="1">OFFSET(MercadoPonta!$A$1,MATCH(A145,MercadoPonta!$A$2:$A$11,0),MATCH(B145,MercadoPonta!$B$1:$AN$1,0),1,1)</f>
        <v>10907.754558588644</v>
      </c>
      <c r="G145" s="432">
        <f ca="1">OFFSET(GerNaoDesp!$A$18,MATCH(A145,GerNaoDesp!$A$19:$A$25,0),MATCH(B145,GerNaoDesp!$B$18:$AN$18,0),1,1)</f>
        <v>193.69482875869781</v>
      </c>
      <c r="H145" s="24">
        <f ca="1">OFFSET(GerNaoDesp!$A$30,MATCH(A145,GerNaoDesp!$A$31:$A$37,0),MATCH(B145,GerNaoDesp!$B$30:$AN$30,0),1,1)</f>
        <v>7.8154999999999983</v>
      </c>
      <c r="I145" s="24">
        <f ca="1">OFFSET(GerNaoDesp!$A$42,MATCH(A145,GerNaoDesp!$A$43:$A$49,0),MATCH(B145,GerNaoDesp!$B$42:$AN$42,0),1,1)</f>
        <v>0</v>
      </c>
    </row>
    <row r="146" spans="1:9">
      <c r="A146" s="59">
        <f t="shared" si="2"/>
        <v>4</v>
      </c>
      <c r="B146" s="59">
        <f t="shared" si="3"/>
        <v>2039</v>
      </c>
      <c r="C146" s="18">
        <f ca="1">OFFSET(Mercado!$A$1,MATCH(A146,Mercado!$A$2:$A$11,0),MATCH(B146,Mercado!$B$1:$AN$1,0),1,1)</f>
        <v>10332.784905932011</v>
      </c>
      <c r="D146" s="18">
        <f ca="1">OFFSET(CompPerdasIntercambio!$A$1,MATCH(A146,CompPerdasIntercambio!$A$2:$A$11,0),MATCH(B146,CompPerdasIntercambio!$B$1:$AN$1,0),1,1)</f>
        <v>0</v>
      </c>
      <c r="E146" s="18">
        <f ca="1">OFFSET(GerNaoDesp!$A$1,MATCH(A146,GerNaoDesp!$A$2:$A$9,0),MATCH(B146,GerNaoDesp!$B$1:$AN$1,0),1,1)</f>
        <v>269.10433715221558</v>
      </c>
      <c r="F146" s="58">
        <f ca="1">OFFSET(MercadoPonta!$A$1,MATCH(A146,MercadoPonta!$A$2:$A$11,0),MATCH(B146,MercadoPonta!$B$1:$AN$1,0),1,1)</f>
        <v>11187.970548188885</v>
      </c>
      <c r="G146" s="432">
        <f ca="1">OFFSET(GerNaoDesp!$A$18,MATCH(A146,GerNaoDesp!$A$19:$A$25,0),MATCH(B146,GerNaoDesp!$B$18:$AN$18,0),1,1)</f>
        <v>207.39593686163661</v>
      </c>
      <c r="H146" s="24">
        <f ca="1">OFFSET(GerNaoDesp!$A$30,MATCH(A146,GerNaoDesp!$A$31:$A$37,0),MATCH(B146,GerNaoDesp!$B$30:$AN$30,0),1,1)</f>
        <v>8.5014999999999983</v>
      </c>
      <c r="I146" s="24">
        <f ca="1">OFFSET(GerNaoDesp!$A$42,MATCH(A146,GerNaoDesp!$A$43:$A$49,0),MATCH(B146,GerNaoDesp!$B$42:$AN$42,0),1,1)</f>
        <v>0</v>
      </c>
    </row>
    <row r="147" spans="1:9">
      <c r="A147" s="59">
        <f t="shared" si="2"/>
        <v>4</v>
      </c>
      <c r="B147" s="59">
        <f t="shared" si="3"/>
        <v>2040</v>
      </c>
      <c r="C147" s="18">
        <f ca="1">OFFSET(Mercado!$A$1,MATCH(A147,Mercado!$A$2:$A$11,0),MATCH(B147,Mercado!$B$1:$AN$1,0),1,1)</f>
        <v>10641.732190033263</v>
      </c>
      <c r="D147" s="18">
        <f ca="1">OFFSET(CompPerdasIntercambio!$A$1,MATCH(A147,CompPerdasIntercambio!$A$2:$A$11,0),MATCH(B147,CompPerdasIntercambio!$B$1:$AN$1,0),1,1)</f>
        <v>0</v>
      </c>
      <c r="E147" s="18">
        <f ca="1">OFFSET(GerNaoDesp!$A$1,MATCH(A147,GerNaoDesp!$A$2:$A$9,0),MATCH(B147,GerNaoDesp!$B$1:$AN$1,0),1,1)</f>
        <v>285.44926964476178</v>
      </c>
      <c r="F147" s="58">
        <f ca="1">OFFSET(MercadoPonta!$A$1,MATCH(A147,MercadoPonta!$A$2:$A$11,0),MATCH(B147,MercadoPonta!$B$1:$AN$1,0),1,1)</f>
        <v>11520.867510350483</v>
      </c>
      <c r="G147" s="432">
        <f ca="1">OFFSET(GerNaoDesp!$A$18,MATCH(A147,GerNaoDesp!$A$19:$A$25,0),MATCH(B147,GerNaoDesp!$B$18:$AN$18,0),1,1)</f>
        <v>222.09543135155124</v>
      </c>
      <c r="H147" s="24">
        <f ca="1">OFFSET(GerNaoDesp!$A$30,MATCH(A147,GerNaoDesp!$A$31:$A$37,0),MATCH(B147,GerNaoDesp!$B$30:$AN$30,0),1,1)</f>
        <v>9.2609999999999992</v>
      </c>
      <c r="I147" s="24">
        <f ca="1">OFFSET(GerNaoDesp!$A$42,MATCH(A147,GerNaoDesp!$A$43:$A$49,0),MATCH(B147,GerNaoDesp!$B$42:$AN$42,0),1,1)</f>
        <v>0</v>
      </c>
    </row>
    <row r="148" spans="1:9">
      <c r="A148" s="59">
        <f t="shared" si="2"/>
        <v>4</v>
      </c>
      <c r="B148" s="59">
        <f t="shared" si="3"/>
        <v>2041</v>
      </c>
      <c r="C148" s="18">
        <f ca="1">OFFSET(Mercado!$A$1,MATCH(A148,Mercado!$A$2:$A$11,0),MATCH(B148,Mercado!$B$1:$AN$1,0),1,1)</f>
        <v>10911.037010225466</v>
      </c>
      <c r="D148" s="18">
        <f ca="1">OFFSET(CompPerdasIntercambio!$A$1,MATCH(A148,CompPerdasIntercambio!$A$2:$A$11,0),MATCH(B148,CompPerdasIntercambio!$B$1:$AN$1,0),1,1)</f>
        <v>0</v>
      </c>
      <c r="E148" s="18">
        <f ca="1">OFFSET(GerNaoDesp!$A$1,MATCH(A148,GerNaoDesp!$A$2:$A$9,0),MATCH(B148,GerNaoDesp!$B$1:$AN$1,0),1,1)</f>
        <v>300.1294487042785</v>
      </c>
      <c r="F148" s="58">
        <f ca="1">OFFSET(MercadoPonta!$A$1,MATCH(A148,MercadoPonta!$A$2:$A$11,0),MATCH(B148,MercadoPonta!$B$1:$AN$1,0),1,1)</f>
        <v>11809.101360964734</v>
      </c>
      <c r="G148" s="432">
        <f ca="1">OFFSET(GerNaoDesp!$A$18,MATCH(A148,GerNaoDesp!$A$19:$A$25,0),MATCH(B148,GerNaoDesp!$B$18:$AN$18,0),1,1)</f>
        <v>236.01611041106798</v>
      </c>
      <c r="H148" s="24">
        <f ca="1">OFFSET(GerNaoDesp!$A$30,MATCH(A148,GerNaoDesp!$A$31:$A$37,0),MATCH(B148,GerNaoDesp!$B$30:$AN$30,0),1,1)</f>
        <v>10.020499999999998</v>
      </c>
      <c r="I148" s="24">
        <f ca="1">OFFSET(GerNaoDesp!$A$42,MATCH(A148,GerNaoDesp!$A$43:$A$49,0),MATCH(B148,GerNaoDesp!$B$42:$AN$42,0),1,1)</f>
        <v>0</v>
      </c>
    </row>
    <row r="149" spans="1:9">
      <c r="A149" s="59">
        <f t="shared" si="2"/>
        <v>4</v>
      </c>
      <c r="B149" s="59">
        <f t="shared" si="3"/>
        <v>2042</v>
      </c>
      <c r="C149" s="18">
        <f ca="1">OFFSET(Mercado!$A$1,MATCH(A149,Mercado!$A$2:$A$11,0),MATCH(B149,Mercado!$B$1:$AN$1,0),1,1)</f>
        <v>11152.567567163725</v>
      </c>
      <c r="D149" s="18">
        <f ca="1">OFFSET(CompPerdasIntercambio!$A$1,MATCH(A149,CompPerdasIntercambio!$A$2:$A$11,0),MATCH(B149,CompPerdasIntercambio!$B$1:$AN$1,0),1,1)</f>
        <v>0</v>
      </c>
      <c r="E149" s="18">
        <f ca="1">OFFSET(GerNaoDesp!$A$1,MATCH(A149,GerNaoDesp!$A$2:$A$9,0),MATCH(B149,GerNaoDesp!$B$1:$AN$1,0),1,1)</f>
        <v>314.61116859734045</v>
      </c>
      <c r="F149" s="58">
        <f ca="1">OFFSET(MercadoPonta!$A$1,MATCH(A149,MercadoPonta!$A$2:$A$11,0),MATCH(B149,MercadoPonta!$B$1:$AN$1,0),1,1)</f>
        <v>12065.700800654449</v>
      </c>
      <c r="G149" s="432">
        <f ca="1">OFFSET(GerNaoDesp!$A$18,MATCH(A149,GerNaoDesp!$A$19:$A$25,0),MATCH(B149,GerNaoDesp!$B$18:$AN$18,0),1,1)</f>
        <v>249.7383303041299</v>
      </c>
      <c r="H149" s="24">
        <f ca="1">OFFSET(GerNaoDesp!$A$30,MATCH(A149,GerNaoDesp!$A$31:$A$37,0),MATCH(B149,GerNaoDesp!$B$30:$AN$30,0),1,1)</f>
        <v>10.78</v>
      </c>
      <c r="I149" s="24">
        <f ca="1">OFFSET(GerNaoDesp!$A$42,MATCH(A149,GerNaoDesp!$A$43:$A$49,0),MATCH(B149,GerNaoDesp!$B$42:$AN$42,0),1,1)</f>
        <v>0</v>
      </c>
    </row>
    <row r="150" spans="1:9">
      <c r="A150" s="59">
        <f t="shared" si="2"/>
        <v>4</v>
      </c>
      <c r="B150" s="59">
        <f t="shared" si="3"/>
        <v>2043</v>
      </c>
      <c r="C150" s="18">
        <f ca="1">OFFSET(Mercado!$A$1,MATCH(A150,Mercado!$A$2:$A$11,0),MATCH(B150,Mercado!$B$1:$AN$1,0),1,1)</f>
        <v>11419.549460895325</v>
      </c>
      <c r="D150" s="18">
        <f ca="1">OFFSET(CompPerdasIntercambio!$A$1,MATCH(A150,CompPerdasIntercambio!$A$2:$A$11,0),MATCH(B150,CompPerdasIntercambio!$B$1:$AN$1,0),1,1)</f>
        <v>0</v>
      </c>
      <c r="E150" s="18">
        <f ca="1">OFFSET(GerNaoDesp!$A$1,MATCH(A150,GerNaoDesp!$A$2:$A$9,0),MATCH(B150,GerNaoDesp!$B$1:$AN$1,0),1,1)</f>
        <v>330.59888722371937</v>
      </c>
      <c r="F150" s="58">
        <f ca="1">OFFSET(MercadoPonta!$A$1,MATCH(A150,MercadoPonta!$A$2:$A$11,0),MATCH(B150,MercadoPonta!$B$1:$AN$1,0),1,1)</f>
        <v>12351.304536701722</v>
      </c>
      <c r="G150" s="432">
        <f ca="1">OFFSET(GerNaoDesp!$A$18,MATCH(A150,GerNaoDesp!$A$19:$A$25,0),MATCH(B150,GerNaoDesp!$B$18:$AN$18,0),1,1)</f>
        <v>264.89304893050883</v>
      </c>
      <c r="H150" s="24">
        <f ca="1">OFFSET(GerNaoDesp!$A$30,MATCH(A150,GerNaoDesp!$A$31:$A$37,0),MATCH(B150,GerNaoDesp!$B$30:$AN$30,0),1,1)</f>
        <v>11.613</v>
      </c>
      <c r="I150" s="24">
        <f ca="1">OFFSET(GerNaoDesp!$A$42,MATCH(A150,GerNaoDesp!$A$43:$A$49,0),MATCH(B150,GerNaoDesp!$B$42:$AN$42,0),1,1)</f>
        <v>0</v>
      </c>
    </row>
    <row r="151" spans="1:9">
      <c r="A151" s="59">
        <f t="shared" si="2"/>
        <v>4</v>
      </c>
      <c r="B151" s="59">
        <f t="shared" si="3"/>
        <v>2044</v>
      </c>
      <c r="C151" s="18">
        <f ca="1">OFFSET(Mercado!$A$1,MATCH(A151,Mercado!$A$2:$A$11,0),MATCH(B151,Mercado!$B$1:$AN$1,0),1,1)</f>
        <v>11667.690365678938</v>
      </c>
      <c r="D151" s="18">
        <f ca="1">OFFSET(CompPerdasIntercambio!$A$1,MATCH(A151,CompPerdasIntercambio!$A$2:$A$11,0),MATCH(B151,CompPerdasIntercambio!$B$1:$AN$1,0),1,1)</f>
        <v>0</v>
      </c>
      <c r="E151" s="18">
        <f ca="1">OFFSET(GerNaoDesp!$A$1,MATCH(A151,GerNaoDesp!$A$2:$A$9,0),MATCH(B151,GerNaoDesp!$B$1:$AN$1,0),1,1)</f>
        <v>347.62449235640406</v>
      </c>
      <c r="F151" s="58">
        <f ca="1">OFFSET(MercadoPonta!$A$1,MATCH(A151,MercadoPonta!$A$2:$A$11,0),MATCH(B151,MercadoPonta!$B$1:$AN$1,0),1,1)</f>
        <v>12615.46091981194</v>
      </c>
      <c r="G151" s="432">
        <f ca="1">OFFSET(GerNaoDesp!$A$18,MATCH(A151,GerNaoDesp!$A$19:$A$25,0),MATCH(B151,GerNaoDesp!$B$18:$AN$18,0),1,1)</f>
        <v>281.01215406319352</v>
      </c>
      <c r="H151" s="24">
        <f ca="1">OFFSET(GerNaoDesp!$A$30,MATCH(A151,GerNaoDesp!$A$31:$A$37,0),MATCH(B151,GerNaoDesp!$B$30:$AN$30,0),1,1)</f>
        <v>12.519499999999997</v>
      </c>
      <c r="I151" s="24">
        <f ca="1">OFFSET(GerNaoDesp!$A$42,MATCH(A151,GerNaoDesp!$A$43:$A$49,0),MATCH(B151,GerNaoDesp!$B$42:$AN$42,0),1,1)</f>
        <v>0</v>
      </c>
    </row>
    <row r="152" spans="1:9">
      <c r="A152" s="59">
        <f t="shared" si="2"/>
        <v>4</v>
      </c>
      <c r="B152" s="59">
        <f t="shared" si="3"/>
        <v>2045</v>
      </c>
      <c r="C152" s="18">
        <f ca="1">OFFSET(Mercado!$A$1,MATCH(A152,Mercado!$A$2:$A$11,0),MATCH(B152,Mercado!$B$1:$AN$1,0),1,1)</f>
        <v>11917.321900141191</v>
      </c>
      <c r="D152" s="18">
        <f ca="1">OFFSET(CompPerdasIntercambio!$A$1,MATCH(A152,CompPerdasIntercambio!$A$2:$A$11,0),MATCH(B152,CompPerdasIntercambio!$B$1:$AN$1,0),1,1)</f>
        <v>0</v>
      </c>
      <c r="E152" s="18">
        <f ca="1">OFFSET(GerNaoDesp!$A$1,MATCH(A152,GerNaoDesp!$A$2:$A$9,0),MATCH(B152,GerNaoDesp!$B$1:$AN$1,0),1,1)</f>
        <v>365.73853594515816</v>
      </c>
      <c r="F152" s="58">
        <f ca="1">OFFSET(MercadoPonta!$A$1,MATCH(A152,MercadoPonta!$A$2:$A$11,0),MATCH(B152,MercadoPonta!$B$1:$AN$1,0),1,1)</f>
        <v>12881.421493971256</v>
      </c>
      <c r="G152" s="432">
        <f ca="1">OFFSET(GerNaoDesp!$A$18,MATCH(A152,GerNaoDesp!$A$19:$A$25,0),MATCH(B152,GerNaoDesp!$B$18:$AN$18,0),1,1)</f>
        <v>298.17069765194759</v>
      </c>
      <c r="H152" s="24">
        <f ca="1">OFFSET(GerNaoDesp!$A$30,MATCH(A152,GerNaoDesp!$A$31:$A$37,0),MATCH(B152,GerNaoDesp!$B$30:$AN$30,0),1,1)</f>
        <v>13.475</v>
      </c>
      <c r="I152" s="24">
        <f ca="1">OFFSET(GerNaoDesp!$A$42,MATCH(A152,GerNaoDesp!$A$43:$A$49,0),MATCH(B152,GerNaoDesp!$B$42:$AN$42,0),1,1)</f>
        <v>0</v>
      </c>
    </row>
    <row r="153" spans="1:9">
      <c r="A153" s="59">
        <f t="shared" si="2"/>
        <v>4</v>
      </c>
      <c r="B153" s="59">
        <f t="shared" si="3"/>
        <v>2046</v>
      </c>
      <c r="C153" s="18">
        <f ca="1">OFFSET(Mercado!$A$1,MATCH(A153,Mercado!$A$2:$A$11,0),MATCH(B153,Mercado!$B$1:$AN$1,0),1,1)</f>
        <v>12165.822518042238</v>
      </c>
      <c r="D153" s="18">
        <f ca="1">OFFSET(CompPerdasIntercambio!$A$1,MATCH(A153,CompPerdasIntercambio!$A$2:$A$11,0),MATCH(B153,CompPerdasIntercambio!$B$1:$AN$1,0),1,1)</f>
        <v>0</v>
      </c>
      <c r="E153" s="18">
        <f ca="1">OFFSET(GerNaoDesp!$A$1,MATCH(A153,GerNaoDesp!$A$2:$A$9,0),MATCH(B153,GerNaoDesp!$B$1:$AN$1,0),1,1)</f>
        <v>384.88494611654346</v>
      </c>
      <c r="F153" s="58">
        <f ca="1">OFFSET(MercadoPonta!$A$1,MATCH(A153,MercadoPonta!$A$2:$A$11,0),MATCH(B153,MercadoPonta!$B$1:$AN$1,0),1,1)</f>
        <v>13146.214476555993</v>
      </c>
      <c r="G153" s="432">
        <f ca="1">OFFSET(GerNaoDesp!$A$18,MATCH(A153,GerNaoDesp!$A$19:$A$25,0),MATCH(B153,GerNaoDesp!$B$18:$AN$18,0),1,1)</f>
        <v>316.28810782333289</v>
      </c>
      <c r="H153" s="24">
        <f ca="1">OFFSET(GerNaoDesp!$A$30,MATCH(A153,GerNaoDesp!$A$31:$A$37,0),MATCH(B153,GerNaoDesp!$B$30:$AN$30,0),1,1)</f>
        <v>14.503999999999998</v>
      </c>
      <c r="I153" s="24">
        <f ca="1">OFFSET(GerNaoDesp!$A$42,MATCH(A153,GerNaoDesp!$A$43:$A$49,0),MATCH(B153,GerNaoDesp!$B$42:$AN$42,0),1,1)</f>
        <v>0</v>
      </c>
    </row>
    <row r="154" spans="1:9">
      <c r="A154" s="59">
        <f t="shared" si="2"/>
        <v>4</v>
      </c>
      <c r="B154" s="59">
        <f t="shared" si="3"/>
        <v>2047</v>
      </c>
      <c r="C154" s="18">
        <f ca="1">OFFSET(Mercado!$A$1,MATCH(A154,Mercado!$A$2:$A$11,0),MATCH(B154,Mercado!$B$1:$AN$1,0),1,1)</f>
        <v>12426.991000332891</v>
      </c>
      <c r="D154" s="18">
        <f ca="1">OFFSET(CompPerdasIntercambio!$A$1,MATCH(A154,CompPerdasIntercambio!$A$2:$A$11,0),MATCH(B154,CompPerdasIntercambio!$B$1:$AN$1,0),1,1)</f>
        <v>0</v>
      </c>
      <c r="E154" s="18">
        <f ca="1">OFFSET(GerNaoDesp!$A$1,MATCH(A154,GerNaoDesp!$A$2:$A$9,0),MATCH(B154,GerNaoDesp!$B$1:$AN$1,0),1,1)</f>
        <v>405.19569226442655</v>
      </c>
      <c r="F154" s="58">
        <f ca="1">OFFSET(MercadoPonta!$A$1,MATCH(A154,MercadoPonta!$A$2:$A$11,0),MATCH(B154,MercadoPonta!$B$1:$AN$1,0),1,1)</f>
        <v>13425.588222256554</v>
      </c>
      <c r="G154" s="432">
        <f ca="1">OFFSET(GerNaoDesp!$A$18,MATCH(A154,GerNaoDesp!$A$19:$A$25,0),MATCH(B154,GerNaoDesp!$B$18:$AN$18,0),1,1)</f>
        <v>335.47185397121604</v>
      </c>
      <c r="H154" s="24">
        <f ca="1">OFFSET(GerNaoDesp!$A$30,MATCH(A154,GerNaoDesp!$A$31:$A$37,0),MATCH(B154,GerNaoDesp!$B$30:$AN$30,0),1,1)</f>
        <v>15.630999999999997</v>
      </c>
      <c r="I154" s="24">
        <f ca="1">OFFSET(GerNaoDesp!$A$42,MATCH(A154,GerNaoDesp!$A$43:$A$49,0),MATCH(B154,GerNaoDesp!$B$42:$AN$42,0),1,1)</f>
        <v>0</v>
      </c>
    </row>
    <row r="155" spans="1:9">
      <c r="A155" s="59">
        <f t="shared" si="2"/>
        <v>4</v>
      </c>
      <c r="B155" s="59">
        <f t="shared" si="3"/>
        <v>2048</v>
      </c>
      <c r="C155" s="18">
        <f ca="1">OFFSET(Mercado!$A$1,MATCH(A155,Mercado!$A$2:$A$11,0),MATCH(B155,Mercado!$B$1:$AN$1,0),1,1)</f>
        <v>12675.550617625408</v>
      </c>
      <c r="D155" s="18">
        <f ca="1">OFFSET(CompPerdasIntercambio!$A$1,MATCH(A155,CompPerdasIntercambio!$A$2:$A$11,0),MATCH(B155,CompPerdasIntercambio!$B$1:$AN$1,0),1,1)</f>
        <v>0</v>
      </c>
      <c r="E155" s="18">
        <f ca="1">OFFSET(GerNaoDesp!$A$1,MATCH(A155,GerNaoDesp!$A$2:$A$9,0),MATCH(B155,GerNaoDesp!$B$1:$AN$1,0),1,1)</f>
        <v>426.70326625268211</v>
      </c>
      <c r="F155" s="58">
        <f ca="1">OFFSET(MercadoPonta!$A$1,MATCH(A155,MercadoPonta!$A$2:$A$11,0),MATCH(B155,MercadoPonta!$B$1:$AN$1,0),1,1)</f>
        <v>13690.79892185334</v>
      </c>
      <c r="G155" s="432">
        <f ca="1">OFFSET(GerNaoDesp!$A$18,MATCH(A155,GerNaoDesp!$A$19:$A$25,0),MATCH(B155,GerNaoDesp!$B$18:$AN$18,0),1,1)</f>
        <v>355.77892795947156</v>
      </c>
      <c r="H155" s="24">
        <f ca="1">OFFSET(GerNaoDesp!$A$30,MATCH(A155,GerNaoDesp!$A$31:$A$37,0),MATCH(B155,GerNaoDesp!$B$30:$AN$30,0),1,1)</f>
        <v>16.831499999999998</v>
      </c>
      <c r="I155" s="24">
        <f ca="1">OFFSET(GerNaoDesp!$A$42,MATCH(A155,GerNaoDesp!$A$43:$A$49,0),MATCH(B155,GerNaoDesp!$B$42:$AN$42,0),1,1)</f>
        <v>0</v>
      </c>
    </row>
    <row r="156" spans="1:9">
      <c r="A156" s="59">
        <f t="shared" si="2"/>
        <v>4</v>
      </c>
      <c r="B156" s="59">
        <f t="shared" si="3"/>
        <v>2049</v>
      </c>
      <c r="C156" s="18">
        <f ca="1">OFFSET(Mercado!$A$1,MATCH(A156,Mercado!$A$2:$A$11,0),MATCH(B156,Mercado!$B$1:$AN$1,0),1,1)</f>
        <v>12928.556385569793</v>
      </c>
      <c r="D156" s="18">
        <f ca="1">OFFSET(CompPerdasIntercambio!$A$1,MATCH(A156,CompPerdasIntercambio!$A$2:$A$11,0),MATCH(B156,CompPerdasIntercambio!$B$1:$AN$1,0),1,1)</f>
        <v>0</v>
      </c>
      <c r="E156" s="18">
        <f ca="1">OFFSET(GerNaoDesp!$A$1,MATCH(A156,GerNaoDesp!$A$2:$A$9,0),MATCH(B156,GerNaoDesp!$B$1:$AN$1,0),1,1)</f>
        <v>449.53080624422529</v>
      </c>
      <c r="F156" s="58">
        <f ca="1">OFFSET(MercadoPonta!$A$1,MATCH(A156,MercadoPonta!$A$2:$A$11,0),MATCH(B156,MercadoPonta!$B$1:$AN$1,0),1,1)</f>
        <v>13961.306624593577</v>
      </c>
      <c r="G156" s="432">
        <f ca="1">OFFSET(GerNaoDesp!$A$18,MATCH(A156,GerNaoDesp!$A$19:$A$25,0),MATCH(B156,GerNaoDesp!$B$18:$AN$18,0),1,1)</f>
        <v>377.30796795101475</v>
      </c>
      <c r="H156" s="24">
        <f ca="1">OFFSET(GerNaoDesp!$A$30,MATCH(A156,GerNaoDesp!$A$31:$A$37,0),MATCH(B156,GerNaoDesp!$B$30:$AN$30,0),1,1)</f>
        <v>18.13</v>
      </c>
      <c r="I156" s="24">
        <f ca="1">OFFSET(GerNaoDesp!$A$42,MATCH(A156,GerNaoDesp!$A$43:$A$49,0),MATCH(B156,GerNaoDesp!$B$42:$AN$42,0),1,1)</f>
        <v>0</v>
      </c>
    </row>
    <row r="157" spans="1:9">
      <c r="A157" s="59">
        <f t="shared" si="2"/>
        <v>4</v>
      </c>
      <c r="B157" s="59">
        <f t="shared" si="3"/>
        <v>2050</v>
      </c>
      <c r="C157" s="18">
        <f ca="1">OFFSET(Mercado!$A$1,MATCH(A157,Mercado!$A$2:$A$11,0),MATCH(B157,Mercado!$B$1:$AN$1,0),1,1)</f>
        <v>13210.140661921552</v>
      </c>
      <c r="D157" s="18">
        <f ca="1">OFFSET(CompPerdasIntercambio!$A$1,MATCH(A157,CompPerdasIntercambio!$A$2:$A$11,0),MATCH(B157,CompPerdasIntercambio!$B$1:$AN$1,0),1,1)</f>
        <v>0</v>
      </c>
      <c r="E157" s="18">
        <f ca="1">OFFSET(GerNaoDesp!$A$1,MATCH(A157,GerNaoDesp!$A$2:$A$9,0),MATCH(B157,GerNaoDesp!$B$1:$AN$1,0),1,1)</f>
        <v>473.81544571957829</v>
      </c>
      <c r="F157" s="58">
        <f ca="1">OFFSET(MercadoPonta!$A$1,MATCH(A157,MercadoPonta!$A$2:$A$11,0),MATCH(B157,MercadoPonta!$B$1:$AN$1,0),1,1)</f>
        <v>14264.63916194296</v>
      </c>
      <c r="G157" s="432">
        <f ca="1">OFFSET(GerNaoDesp!$A$18,MATCH(A157,GerNaoDesp!$A$19:$A$25,0),MATCH(B157,GerNaoDesp!$B$18:$AN$18,0),1,1)</f>
        <v>400.17160742636776</v>
      </c>
      <c r="H157" s="24">
        <f ca="1">OFFSET(GerNaoDesp!$A$30,MATCH(A157,GerNaoDesp!$A$31:$A$37,0),MATCH(B157,GerNaoDesp!$B$30:$AN$30,0),1,1)</f>
        <v>19.550999999999998</v>
      </c>
      <c r="I157" s="24">
        <f ca="1">OFFSET(GerNaoDesp!$A$42,MATCH(A157,GerNaoDesp!$A$43:$A$49,0),MATCH(B157,GerNaoDesp!$B$42:$AN$42,0),1,1)</f>
        <v>0</v>
      </c>
    </row>
    <row r="158" spans="1:9">
      <c r="A158" s="59">
        <f t="shared" si="2"/>
        <v>5</v>
      </c>
      <c r="B158" s="59">
        <f t="shared" si="3"/>
        <v>2012</v>
      </c>
      <c r="C158" s="18">
        <f ca="1">OFFSET(Mercado!$A$1,MATCH(A158,Mercado!$A$2:$A$11,0),MATCH(B158,Mercado!$B$1:$AN$1,0),1,1)</f>
        <v>996</v>
      </c>
      <c r="D158" s="18">
        <f ca="1">OFFSET(CompPerdasIntercambio!$A$1,MATCH(A158,CompPerdasIntercambio!$A$2:$A$11,0),MATCH(B158,CompPerdasIntercambio!$B$1:$AN$1,0),1,1)</f>
        <v>0</v>
      </c>
      <c r="E158" s="18">
        <f ca="1">OFFSET(GerNaoDesp!$A$1,MATCH(A158,GerNaoDesp!$A$2:$A$9,0),MATCH(B158,GerNaoDesp!$B$1:$AN$1,0),1,1)</f>
        <v>0</v>
      </c>
      <c r="F158" s="58">
        <f ca="1">OFFSET(MercadoPonta!$A$1,MATCH(A158,MercadoPonta!$A$2:$A$11,0),MATCH(B158,MercadoPonta!$B$1:$AN$1,0),1,1)</f>
        <v>1047</v>
      </c>
      <c r="G158" s="432">
        <f ca="1">OFFSET(GerNaoDesp!$A$18,MATCH(A158,GerNaoDesp!$A$19:$A$25,0),MATCH(B158,GerNaoDesp!$B$18:$AN$18,0),1,1)</f>
        <v>0</v>
      </c>
      <c r="H158" s="24">
        <f ca="1">OFFSET(GerNaoDesp!$A$30,MATCH(A158,GerNaoDesp!$A$31:$A$37,0),MATCH(B158,GerNaoDesp!$B$30:$AN$30,0),1,1)</f>
        <v>0</v>
      </c>
      <c r="I158" s="24">
        <f ca="1">OFFSET(GerNaoDesp!$A$42,MATCH(A158,GerNaoDesp!$A$43:$A$49,0),MATCH(B158,GerNaoDesp!$B$42:$AN$42,0),1,1)</f>
        <v>0</v>
      </c>
    </row>
    <row r="159" spans="1:9">
      <c r="A159" s="59">
        <f t="shared" si="2"/>
        <v>5</v>
      </c>
      <c r="B159" s="59">
        <f t="shared" si="3"/>
        <v>2013</v>
      </c>
      <c r="C159" s="18">
        <f ca="1">OFFSET(Mercado!$A$1,MATCH(A159,Mercado!$A$2:$A$11,0),MATCH(B159,Mercado!$B$1:$AN$1,0),1,1)</f>
        <v>1074</v>
      </c>
      <c r="D159" s="18">
        <f ca="1">OFFSET(CompPerdasIntercambio!$A$1,MATCH(A159,CompPerdasIntercambio!$A$2:$A$11,0),MATCH(B159,CompPerdasIntercambio!$B$1:$AN$1,0),1,1)</f>
        <v>0</v>
      </c>
      <c r="E159" s="18">
        <f ca="1">OFFSET(GerNaoDesp!$A$1,MATCH(A159,GerNaoDesp!$A$2:$A$9,0),MATCH(B159,GerNaoDesp!$B$1:$AN$1,0),1,1)</f>
        <v>0</v>
      </c>
      <c r="F159" s="58">
        <f ca="1">OFFSET(MercadoPonta!$A$1,MATCH(A159,MercadoPonta!$A$2:$A$11,0),MATCH(B159,MercadoPonta!$B$1:$AN$1,0),1,1)</f>
        <v>1047</v>
      </c>
      <c r="G159" s="432">
        <f ca="1">OFFSET(GerNaoDesp!$A$18,MATCH(A159,GerNaoDesp!$A$19:$A$25,0),MATCH(B159,GerNaoDesp!$B$18:$AN$18,0),1,1)</f>
        <v>0</v>
      </c>
      <c r="H159" s="24">
        <f ca="1">OFFSET(GerNaoDesp!$A$30,MATCH(A159,GerNaoDesp!$A$31:$A$37,0),MATCH(B159,GerNaoDesp!$B$30:$AN$30,0),1,1)</f>
        <v>0</v>
      </c>
      <c r="I159" s="24">
        <f ca="1">OFFSET(GerNaoDesp!$A$42,MATCH(A159,GerNaoDesp!$A$43:$A$49,0),MATCH(B159,GerNaoDesp!$B$42:$AN$42,0),1,1)</f>
        <v>0</v>
      </c>
    </row>
    <row r="160" spans="1:9">
      <c r="A160" s="59">
        <f t="shared" si="2"/>
        <v>5</v>
      </c>
      <c r="B160" s="59">
        <f t="shared" si="3"/>
        <v>2014</v>
      </c>
      <c r="C160" s="18">
        <f ca="1">OFFSET(Mercado!$A$1,MATCH(A160,Mercado!$A$2:$A$11,0),MATCH(B160,Mercado!$B$1:$AN$1,0),1,1)</f>
        <v>1215</v>
      </c>
      <c r="D160" s="18">
        <f ca="1">OFFSET(CompPerdasIntercambio!$A$1,MATCH(A160,CompPerdasIntercambio!$A$2:$A$11,0),MATCH(B160,CompPerdasIntercambio!$B$1:$AN$1,0),1,1)</f>
        <v>0</v>
      </c>
      <c r="E160" s="18">
        <f ca="1">OFFSET(GerNaoDesp!$A$1,MATCH(A160,GerNaoDesp!$A$2:$A$9,0),MATCH(B160,GerNaoDesp!$B$1:$AN$1,0),1,1)</f>
        <v>0</v>
      </c>
      <c r="F160" s="58">
        <f ca="1">OFFSET(MercadoPonta!$A$1,MATCH(A160,MercadoPonta!$A$2:$A$11,0),MATCH(B160,MercadoPonta!$B$1:$AN$1,0),1,1)</f>
        <v>1047</v>
      </c>
      <c r="G160" s="432">
        <f ca="1">OFFSET(GerNaoDesp!$A$18,MATCH(A160,GerNaoDesp!$A$19:$A$25,0),MATCH(B160,GerNaoDesp!$B$18:$AN$18,0),1,1)</f>
        <v>0</v>
      </c>
      <c r="H160" s="24">
        <f ca="1">OFFSET(GerNaoDesp!$A$30,MATCH(A160,GerNaoDesp!$A$31:$A$37,0),MATCH(B160,GerNaoDesp!$B$30:$AN$30,0),1,1)</f>
        <v>0</v>
      </c>
      <c r="I160" s="24">
        <f ca="1">OFFSET(GerNaoDesp!$A$42,MATCH(A160,GerNaoDesp!$A$43:$A$49,0),MATCH(B160,GerNaoDesp!$B$42:$AN$42,0),1,1)</f>
        <v>0</v>
      </c>
    </row>
    <row r="161" spans="1:9">
      <c r="A161" s="59">
        <f t="shared" si="2"/>
        <v>5</v>
      </c>
      <c r="B161" s="59">
        <f t="shared" si="3"/>
        <v>2015</v>
      </c>
      <c r="C161" s="18">
        <f ca="1">OFFSET(Mercado!$A$1,MATCH(A161,Mercado!$A$2:$A$11,0),MATCH(B161,Mercado!$B$1:$AN$1,0),1,1)</f>
        <v>1214</v>
      </c>
      <c r="D161" s="18">
        <f ca="1">OFFSET(CompPerdasIntercambio!$A$1,MATCH(A161,CompPerdasIntercambio!$A$2:$A$11,0),MATCH(B161,CompPerdasIntercambio!$B$1:$AN$1,0),1,1)</f>
        <v>0</v>
      </c>
      <c r="E161" s="18">
        <f ca="1">OFFSET(GerNaoDesp!$A$1,MATCH(A161,GerNaoDesp!$A$2:$A$9,0),MATCH(B161,GerNaoDesp!$B$1:$AN$1,0),1,1)</f>
        <v>0</v>
      </c>
      <c r="F161" s="58">
        <f ca="1">OFFSET(MercadoPonta!$A$1,MATCH(A161,MercadoPonta!$A$2:$A$11,0),MATCH(B161,MercadoPonta!$B$1:$AN$1,0),1,1)</f>
        <v>1047</v>
      </c>
      <c r="G161" s="432">
        <f ca="1">OFFSET(GerNaoDesp!$A$18,MATCH(A161,GerNaoDesp!$A$19:$A$25,0),MATCH(B161,GerNaoDesp!$B$18:$AN$18,0),1,1)</f>
        <v>0</v>
      </c>
      <c r="H161" s="24">
        <f ca="1">OFFSET(GerNaoDesp!$A$30,MATCH(A161,GerNaoDesp!$A$31:$A$37,0),MATCH(B161,GerNaoDesp!$B$30:$AN$30,0),1,1)</f>
        <v>0</v>
      </c>
      <c r="I161" s="24">
        <f ca="1">OFFSET(GerNaoDesp!$A$42,MATCH(A161,GerNaoDesp!$A$43:$A$49,0),MATCH(B161,GerNaoDesp!$B$42:$AN$42,0),1,1)</f>
        <v>0</v>
      </c>
    </row>
    <row r="162" spans="1:9">
      <c r="A162" s="59">
        <f t="shared" si="2"/>
        <v>5</v>
      </c>
      <c r="B162" s="59">
        <f t="shared" si="3"/>
        <v>2016</v>
      </c>
      <c r="C162" s="18">
        <f ca="1">OFFSET(Mercado!$A$1,MATCH(A162,Mercado!$A$2:$A$11,0),MATCH(B162,Mercado!$B$1:$AN$1,0),1,1)</f>
        <v>1278</v>
      </c>
      <c r="D162" s="18">
        <f ca="1">OFFSET(CompPerdasIntercambio!$A$1,MATCH(A162,CompPerdasIntercambio!$A$2:$A$11,0),MATCH(B162,CompPerdasIntercambio!$B$1:$AN$1,0),1,1)</f>
        <v>0</v>
      </c>
      <c r="E162" s="18">
        <f ca="1">OFFSET(GerNaoDesp!$A$1,MATCH(A162,GerNaoDesp!$A$2:$A$9,0),MATCH(B162,GerNaoDesp!$B$1:$AN$1,0),1,1)</f>
        <v>0</v>
      </c>
      <c r="F162" s="58">
        <f ca="1">OFFSET(MercadoPonta!$A$1,MATCH(A162,MercadoPonta!$A$2:$A$11,0),MATCH(B162,MercadoPonta!$B$1:$AN$1,0),1,1)</f>
        <v>1047</v>
      </c>
      <c r="G162" s="432">
        <f ca="1">OFFSET(GerNaoDesp!$A$18,MATCH(A162,GerNaoDesp!$A$19:$A$25,0),MATCH(B162,GerNaoDesp!$B$18:$AN$18,0),1,1)</f>
        <v>0</v>
      </c>
      <c r="H162" s="24">
        <f ca="1">OFFSET(GerNaoDesp!$A$30,MATCH(A162,GerNaoDesp!$A$31:$A$37,0),MATCH(B162,GerNaoDesp!$B$30:$AN$30,0),1,1)</f>
        <v>0</v>
      </c>
      <c r="I162" s="24">
        <f ca="1">OFFSET(GerNaoDesp!$A$42,MATCH(A162,GerNaoDesp!$A$43:$A$49,0),MATCH(B162,GerNaoDesp!$B$42:$AN$42,0),1,1)</f>
        <v>0</v>
      </c>
    </row>
    <row r="163" spans="1:9">
      <c r="A163" s="59">
        <f t="shared" si="2"/>
        <v>5</v>
      </c>
      <c r="B163" s="59">
        <f t="shared" si="3"/>
        <v>2017</v>
      </c>
      <c r="C163" s="18">
        <f ca="1">OFFSET(Mercado!$A$1,MATCH(A163,Mercado!$A$2:$A$11,0),MATCH(B163,Mercado!$B$1:$AN$1,0),1,1)</f>
        <v>1536</v>
      </c>
      <c r="D163" s="18">
        <f ca="1">OFFSET(CompPerdasIntercambio!$A$1,MATCH(A163,CompPerdasIntercambio!$A$2:$A$11,0),MATCH(B163,CompPerdasIntercambio!$B$1:$AN$1,0),1,1)</f>
        <v>0</v>
      </c>
      <c r="E163" s="18">
        <f ca="1">OFFSET(GerNaoDesp!$A$1,MATCH(A163,GerNaoDesp!$A$2:$A$9,0),MATCH(B163,GerNaoDesp!$B$1:$AN$1,0),1,1)</f>
        <v>0</v>
      </c>
      <c r="F163" s="58">
        <f ca="1">OFFSET(MercadoPonta!$A$1,MATCH(A163,MercadoPonta!$A$2:$A$11,0),MATCH(B163,MercadoPonta!$B$1:$AN$1,0),1,1)</f>
        <v>1047</v>
      </c>
      <c r="G163" s="432">
        <f ca="1">OFFSET(GerNaoDesp!$A$18,MATCH(A163,GerNaoDesp!$A$19:$A$25,0),MATCH(B163,GerNaoDesp!$B$18:$AN$18,0),1,1)</f>
        <v>0</v>
      </c>
      <c r="H163" s="24">
        <f ca="1">OFFSET(GerNaoDesp!$A$30,MATCH(A163,GerNaoDesp!$A$31:$A$37,0),MATCH(B163,GerNaoDesp!$B$30:$AN$30,0),1,1)</f>
        <v>0</v>
      </c>
      <c r="I163" s="24">
        <f ca="1">OFFSET(GerNaoDesp!$A$42,MATCH(A163,GerNaoDesp!$A$43:$A$49,0),MATCH(B163,GerNaoDesp!$B$42:$AN$42,0),1,1)</f>
        <v>0</v>
      </c>
    </row>
    <row r="164" spans="1:9">
      <c r="A164" s="59">
        <f t="shared" si="2"/>
        <v>5</v>
      </c>
      <c r="B164" s="59">
        <f t="shared" si="3"/>
        <v>2018</v>
      </c>
      <c r="C164" s="18">
        <f ca="1">OFFSET(Mercado!$A$1,MATCH(A164,Mercado!$A$2:$A$11,0),MATCH(B164,Mercado!$B$1:$AN$1,0),1,1)</f>
        <v>1717</v>
      </c>
      <c r="D164" s="18">
        <f ca="1">OFFSET(CompPerdasIntercambio!$A$1,MATCH(A164,CompPerdasIntercambio!$A$2:$A$11,0),MATCH(B164,CompPerdasIntercambio!$B$1:$AN$1,0),1,1)</f>
        <v>0</v>
      </c>
      <c r="E164" s="18">
        <f ca="1">OFFSET(GerNaoDesp!$A$1,MATCH(A164,GerNaoDesp!$A$2:$A$9,0),MATCH(B164,GerNaoDesp!$B$1:$AN$1,0),1,1)</f>
        <v>0</v>
      </c>
      <c r="F164" s="58">
        <f ca="1">OFFSET(MercadoPonta!$A$1,MATCH(A164,MercadoPonta!$A$2:$A$11,0),MATCH(B164,MercadoPonta!$B$1:$AN$1,0),1,1)</f>
        <v>1588</v>
      </c>
      <c r="G164" s="432">
        <f ca="1">OFFSET(GerNaoDesp!$A$18,MATCH(A164,GerNaoDesp!$A$19:$A$25,0),MATCH(B164,GerNaoDesp!$B$18:$AN$18,0),1,1)</f>
        <v>0</v>
      </c>
      <c r="H164" s="24">
        <f ca="1">OFFSET(GerNaoDesp!$A$30,MATCH(A164,GerNaoDesp!$A$31:$A$37,0),MATCH(B164,GerNaoDesp!$B$30:$AN$30,0),1,1)</f>
        <v>0</v>
      </c>
      <c r="I164" s="24">
        <f ca="1">OFFSET(GerNaoDesp!$A$42,MATCH(A164,GerNaoDesp!$A$43:$A$49,0),MATCH(B164,GerNaoDesp!$B$42:$AN$42,0),1,1)</f>
        <v>0</v>
      </c>
    </row>
    <row r="165" spans="1:9">
      <c r="A165" s="59">
        <f t="shared" si="2"/>
        <v>5</v>
      </c>
      <c r="B165" s="59">
        <f t="shared" si="3"/>
        <v>2019</v>
      </c>
      <c r="C165" s="18">
        <f ca="1">OFFSET(Mercado!$A$1,MATCH(A165,Mercado!$A$2:$A$11,0),MATCH(B165,Mercado!$B$1:$AN$1,0),1,1)</f>
        <v>1743</v>
      </c>
      <c r="D165" s="18">
        <f ca="1">OFFSET(CompPerdasIntercambio!$A$1,MATCH(A165,CompPerdasIntercambio!$A$2:$A$11,0),MATCH(B165,CompPerdasIntercambio!$B$1:$AN$1,0),1,1)</f>
        <v>0</v>
      </c>
      <c r="E165" s="18">
        <f ca="1">OFFSET(GerNaoDesp!$A$1,MATCH(A165,GerNaoDesp!$A$2:$A$9,0),MATCH(B165,GerNaoDesp!$B$1:$AN$1,0),1,1)</f>
        <v>0</v>
      </c>
      <c r="F165" s="58">
        <f ca="1">OFFSET(MercadoPonta!$A$1,MATCH(A165,MercadoPonta!$A$2:$A$11,0),MATCH(B165,MercadoPonta!$B$1:$AN$1,0),1,1)</f>
        <v>1683</v>
      </c>
      <c r="G165" s="432">
        <f ca="1">OFFSET(GerNaoDesp!$A$18,MATCH(A165,GerNaoDesp!$A$19:$A$25,0),MATCH(B165,GerNaoDesp!$B$18:$AN$18,0),1,1)</f>
        <v>0</v>
      </c>
      <c r="H165" s="24">
        <f ca="1">OFFSET(GerNaoDesp!$A$30,MATCH(A165,GerNaoDesp!$A$31:$A$37,0),MATCH(B165,GerNaoDesp!$B$30:$AN$30,0),1,1)</f>
        <v>0</v>
      </c>
      <c r="I165" s="24">
        <f ca="1">OFFSET(GerNaoDesp!$A$42,MATCH(A165,GerNaoDesp!$A$43:$A$49,0),MATCH(B165,GerNaoDesp!$B$42:$AN$42,0),1,1)</f>
        <v>0</v>
      </c>
    </row>
    <row r="166" spans="1:9">
      <c r="A166" s="59">
        <f t="shared" si="2"/>
        <v>5</v>
      </c>
      <c r="B166" s="59">
        <f t="shared" si="3"/>
        <v>2020</v>
      </c>
      <c r="C166" s="18">
        <f ca="1">OFFSET(Mercado!$A$1,MATCH(A166,Mercado!$A$2:$A$11,0),MATCH(B166,Mercado!$B$1:$AN$1,0),1,1)</f>
        <v>1784</v>
      </c>
      <c r="D166" s="18">
        <f ca="1">OFFSET(CompPerdasIntercambio!$A$1,MATCH(A166,CompPerdasIntercambio!$A$2:$A$11,0),MATCH(B166,CompPerdasIntercambio!$B$1:$AN$1,0),1,1)</f>
        <v>0</v>
      </c>
      <c r="E166" s="18">
        <f ca="1">OFFSET(GerNaoDesp!$A$1,MATCH(A166,GerNaoDesp!$A$2:$A$9,0),MATCH(B166,GerNaoDesp!$B$1:$AN$1,0),1,1)</f>
        <v>0</v>
      </c>
      <c r="F166" s="58">
        <f ca="1">OFFSET(MercadoPonta!$A$1,MATCH(A166,MercadoPonta!$A$2:$A$11,0),MATCH(B166,MercadoPonta!$B$1:$AN$1,0),1,1)</f>
        <v>1784</v>
      </c>
      <c r="G166" s="432">
        <f ca="1">OFFSET(GerNaoDesp!$A$18,MATCH(A166,GerNaoDesp!$A$19:$A$25,0),MATCH(B166,GerNaoDesp!$B$18:$AN$18,0),1,1)</f>
        <v>0</v>
      </c>
      <c r="H166" s="24">
        <f ca="1">OFFSET(GerNaoDesp!$A$30,MATCH(A166,GerNaoDesp!$A$31:$A$37,0),MATCH(B166,GerNaoDesp!$B$30:$AN$30,0),1,1)</f>
        <v>0</v>
      </c>
      <c r="I166" s="24">
        <f ca="1">OFFSET(GerNaoDesp!$A$42,MATCH(A166,GerNaoDesp!$A$43:$A$49,0),MATCH(B166,GerNaoDesp!$B$42:$AN$42,0),1,1)</f>
        <v>0</v>
      </c>
    </row>
    <row r="167" spans="1:9">
      <c r="A167" s="59">
        <f t="shared" si="2"/>
        <v>5</v>
      </c>
      <c r="B167" s="59">
        <f t="shared" si="3"/>
        <v>2021</v>
      </c>
      <c r="C167" s="18">
        <f ca="1">OFFSET(Mercado!$A$1,MATCH(A167,Mercado!$A$2:$A$11,0),MATCH(B167,Mercado!$B$1:$AN$1,0),1,1)</f>
        <v>1890</v>
      </c>
      <c r="D167" s="18">
        <f ca="1">OFFSET(CompPerdasIntercambio!$A$1,MATCH(A167,CompPerdasIntercambio!$A$2:$A$11,0),MATCH(B167,CompPerdasIntercambio!$B$1:$AN$1,0),1,1)</f>
        <v>0</v>
      </c>
      <c r="E167" s="18">
        <f ca="1">OFFSET(GerNaoDesp!$A$1,MATCH(A167,GerNaoDesp!$A$2:$A$9,0),MATCH(B167,GerNaoDesp!$B$1:$AN$1,0),1,1)</f>
        <v>0</v>
      </c>
      <c r="F167" s="58">
        <f ca="1">OFFSET(MercadoPonta!$A$1,MATCH(A167,MercadoPonta!$A$2:$A$11,0),MATCH(B167,MercadoPonta!$B$1:$AN$1,0),1,1)</f>
        <v>1890</v>
      </c>
      <c r="G167" s="432">
        <f ca="1">OFFSET(GerNaoDesp!$A$18,MATCH(A167,GerNaoDesp!$A$19:$A$25,0),MATCH(B167,GerNaoDesp!$B$18:$AN$18,0),1,1)</f>
        <v>0</v>
      </c>
      <c r="H167" s="24">
        <f ca="1">OFFSET(GerNaoDesp!$A$30,MATCH(A167,GerNaoDesp!$A$31:$A$37,0),MATCH(B167,GerNaoDesp!$B$30:$AN$30,0),1,1)</f>
        <v>0</v>
      </c>
      <c r="I167" s="24">
        <f ca="1">OFFSET(GerNaoDesp!$A$42,MATCH(A167,GerNaoDesp!$A$43:$A$49,0),MATCH(B167,GerNaoDesp!$B$42:$AN$42,0),1,1)</f>
        <v>0</v>
      </c>
    </row>
    <row r="168" spans="1:9">
      <c r="A168" s="59">
        <f t="shared" si="2"/>
        <v>5</v>
      </c>
      <c r="B168" s="59">
        <f t="shared" si="3"/>
        <v>2022</v>
      </c>
      <c r="C168" s="18">
        <f ca="1">OFFSET(Mercado!$A$1,MATCH(A168,Mercado!$A$2:$A$11,0),MATCH(B168,Mercado!$B$1:$AN$1,0),1,1)</f>
        <v>2003</v>
      </c>
      <c r="D168" s="18">
        <f ca="1">OFFSET(CompPerdasIntercambio!$A$1,MATCH(A168,CompPerdasIntercambio!$A$2:$A$11,0),MATCH(B168,CompPerdasIntercambio!$B$1:$AN$1,0),1,1)</f>
        <v>0</v>
      </c>
      <c r="E168" s="18">
        <f ca="1">OFFSET(GerNaoDesp!$A$1,MATCH(A168,GerNaoDesp!$A$2:$A$9,0),MATCH(B168,GerNaoDesp!$B$1:$AN$1,0),1,1)</f>
        <v>0</v>
      </c>
      <c r="F168" s="58">
        <f ca="1">OFFSET(MercadoPonta!$A$1,MATCH(A168,MercadoPonta!$A$2:$A$11,0),MATCH(B168,MercadoPonta!$B$1:$AN$1,0),1,1)</f>
        <v>2003</v>
      </c>
      <c r="G168" s="432">
        <f ca="1">OFFSET(GerNaoDesp!$A$18,MATCH(A168,GerNaoDesp!$A$19:$A$25,0),MATCH(B168,GerNaoDesp!$B$18:$AN$18,0),1,1)</f>
        <v>0</v>
      </c>
      <c r="H168" s="24">
        <f ca="1">OFFSET(GerNaoDesp!$A$30,MATCH(A168,GerNaoDesp!$A$31:$A$37,0),MATCH(B168,GerNaoDesp!$B$30:$AN$30,0),1,1)</f>
        <v>0</v>
      </c>
      <c r="I168" s="24">
        <f ca="1">OFFSET(GerNaoDesp!$A$42,MATCH(A168,GerNaoDesp!$A$43:$A$49,0),MATCH(B168,GerNaoDesp!$B$42:$AN$42,0),1,1)</f>
        <v>0</v>
      </c>
    </row>
    <row r="169" spans="1:9">
      <c r="A169" s="59">
        <f t="shared" si="2"/>
        <v>5</v>
      </c>
      <c r="B169" s="59">
        <f t="shared" si="3"/>
        <v>2023</v>
      </c>
      <c r="C169" s="18">
        <f ca="1">OFFSET(Mercado!$A$1,MATCH(A169,Mercado!$A$2:$A$11,0),MATCH(B169,Mercado!$B$1:$AN$1,0),1,1)</f>
        <v>2125</v>
      </c>
      <c r="D169" s="18">
        <f ca="1">OFFSET(CompPerdasIntercambio!$A$1,MATCH(A169,CompPerdasIntercambio!$A$2:$A$11,0),MATCH(B169,CompPerdasIntercambio!$B$1:$AN$1,0),1,1)</f>
        <v>0</v>
      </c>
      <c r="E169" s="18">
        <f ca="1">OFFSET(GerNaoDesp!$A$1,MATCH(A169,GerNaoDesp!$A$2:$A$9,0),MATCH(B169,GerNaoDesp!$B$1:$AN$1,0),1,1)</f>
        <v>0</v>
      </c>
      <c r="F169" s="58">
        <f ca="1">OFFSET(MercadoPonta!$A$1,MATCH(A169,MercadoPonta!$A$2:$A$11,0),MATCH(B169,MercadoPonta!$B$1:$AN$1,0),1,1)</f>
        <v>2125</v>
      </c>
      <c r="G169" s="432">
        <f ca="1">OFFSET(GerNaoDesp!$A$18,MATCH(A169,GerNaoDesp!$A$19:$A$25,0),MATCH(B169,GerNaoDesp!$B$18:$AN$18,0),1,1)</f>
        <v>0</v>
      </c>
      <c r="H169" s="24">
        <f ca="1">OFFSET(GerNaoDesp!$A$30,MATCH(A169,GerNaoDesp!$A$31:$A$37,0),MATCH(B169,GerNaoDesp!$B$30:$AN$30,0),1,1)</f>
        <v>0</v>
      </c>
      <c r="I169" s="24">
        <f ca="1">OFFSET(GerNaoDesp!$A$42,MATCH(A169,GerNaoDesp!$A$43:$A$49,0),MATCH(B169,GerNaoDesp!$B$42:$AN$42,0),1,1)</f>
        <v>0</v>
      </c>
    </row>
    <row r="170" spans="1:9">
      <c r="A170" s="59">
        <f t="shared" ref="A170:A233" si="4">A131+1</f>
        <v>5</v>
      </c>
      <c r="B170" s="59">
        <f t="shared" ref="B170:B233" si="5">B131</f>
        <v>2024</v>
      </c>
      <c r="C170" s="18">
        <f ca="1">OFFSET(Mercado!$A$1,MATCH(A170,Mercado!$A$2:$A$11,0),MATCH(B170,Mercado!$B$1:$AN$1,0),1,1)</f>
        <v>2254</v>
      </c>
      <c r="D170" s="18">
        <f ca="1">OFFSET(CompPerdasIntercambio!$A$1,MATCH(A170,CompPerdasIntercambio!$A$2:$A$11,0),MATCH(B170,CompPerdasIntercambio!$B$1:$AN$1,0),1,1)</f>
        <v>0</v>
      </c>
      <c r="E170" s="18">
        <f ca="1">OFFSET(GerNaoDesp!$A$1,MATCH(A170,GerNaoDesp!$A$2:$A$9,0),MATCH(B170,GerNaoDesp!$B$1:$AN$1,0),1,1)</f>
        <v>0</v>
      </c>
      <c r="F170" s="58">
        <f ca="1">OFFSET(MercadoPonta!$A$1,MATCH(A170,MercadoPonta!$A$2:$A$11,0),MATCH(B170,MercadoPonta!$B$1:$AN$1,0),1,1)</f>
        <v>2254</v>
      </c>
      <c r="G170" s="432">
        <f ca="1">OFFSET(GerNaoDesp!$A$18,MATCH(A170,GerNaoDesp!$A$19:$A$25,0),MATCH(B170,GerNaoDesp!$B$18:$AN$18,0),1,1)</f>
        <v>0</v>
      </c>
      <c r="H170" s="24">
        <f ca="1">OFFSET(GerNaoDesp!$A$30,MATCH(A170,GerNaoDesp!$A$31:$A$37,0),MATCH(B170,GerNaoDesp!$B$30:$AN$30,0),1,1)</f>
        <v>0</v>
      </c>
      <c r="I170" s="24">
        <f ca="1">OFFSET(GerNaoDesp!$A$42,MATCH(A170,GerNaoDesp!$A$43:$A$49,0),MATCH(B170,GerNaoDesp!$B$42:$AN$42,0),1,1)</f>
        <v>0</v>
      </c>
    </row>
    <row r="171" spans="1:9">
      <c r="A171" s="59">
        <f t="shared" si="4"/>
        <v>5</v>
      </c>
      <c r="B171" s="59">
        <f t="shared" si="5"/>
        <v>2025</v>
      </c>
      <c r="C171" s="18">
        <f ca="1">OFFSET(Mercado!$A$1,MATCH(A171,Mercado!$A$2:$A$11,0),MATCH(B171,Mercado!$B$1:$AN$1,0),1,1)</f>
        <v>2391</v>
      </c>
      <c r="D171" s="18">
        <f ca="1">OFFSET(CompPerdasIntercambio!$A$1,MATCH(A171,CompPerdasIntercambio!$A$2:$A$11,0),MATCH(B171,CompPerdasIntercambio!$B$1:$AN$1,0),1,1)</f>
        <v>0</v>
      </c>
      <c r="E171" s="18">
        <f ca="1">OFFSET(GerNaoDesp!$A$1,MATCH(A171,GerNaoDesp!$A$2:$A$9,0),MATCH(B171,GerNaoDesp!$B$1:$AN$1,0),1,1)</f>
        <v>0</v>
      </c>
      <c r="F171" s="58">
        <f ca="1">OFFSET(MercadoPonta!$A$1,MATCH(A171,MercadoPonta!$A$2:$A$11,0),MATCH(B171,MercadoPonta!$B$1:$AN$1,0),1,1)</f>
        <v>2391</v>
      </c>
      <c r="G171" s="432">
        <f ca="1">OFFSET(GerNaoDesp!$A$18,MATCH(A171,GerNaoDesp!$A$19:$A$25,0),MATCH(B171,GerNaoDesp!$B$18:$AN$18,0),1,1)</f>
        <v>0</v>
      </c>
      <c r="H171" s="24">
        <f ca="1">OFFSET(GerNaoDesp!$A$30,MATCH(A171,GerNaoDesp!$A$31:$A$37,0),MATCH(B171,GerNaoDesp!$B$30:$AN$30,0),1,1)</f>
        <v>0</v>
      </c>
      <c r="I171" s="24">
        <f ca="1">OFFSET(GerNaoDesp!$A$42,MATCH(A171,GerNaoDesp!$A$43:$A$49,0),MATCH(B171,GerNaoDesp!$B$42:$AN$42,0),1,1)</f>
        <v>0</v>
      </c>
    </row>
    <row r="172" spans="1:9">
      <c r="A172" s="59">
        <f t="shared" si="4"/>
        <v>5</v>
      </c>
      <c r="B172" s="59">
        <f t="shared" si="5"/>
        <v>2026</v>
      </c>
      <c r="C172" s="18">
        <f ca="1">OFFSET(Mercado!$A$1,MATCH(A172,Mercado!$A$2:$A$11,0),MATCH(B172,Mercado!$B$1:$AN$1,0),1,1)</f>
        <v>2537</v>
      </c>
      <c r="D172" s="18">
        <f ca="1">OFFSET(CompPerdasIntercambio!$A$1,MATCH(A172,CompPerdasIntercambio!$A$2:$A$11,0),MATCH(B172,CompPerdasIntercambio!$B$1:$AN$1,0),1,1)</f>
        <v>0</v>
      </c>
      <c r="E172" s="18">
        <f ca="1">OFFSET(GerNaoDesp!$A$1,MATCH(A172,GerNaoDesp!$A$2:$A$9,0),MATCH(B172,GerNaoDesp!$B$1:$AN$1,0),1,1)</f>
        <v>0</v>
      </c>
      <c r="F172" s="58">
        <f ca="1">OFFSET(MercadoPonta!$A$1,MATCH(A172,MercadoPonta!$A$2:$A$11,0),MATCH(B172,MercadoPonta!$B$1:$AN$1,0),1,1)</f>
        <v>2537</v>
      </c>
      <c r="G172" s="432">
        <f ca="1">OFFSET(GerNaoDesp!$A$18,MATCH(A172,GerNaoDesp!$A$19:$A$25,0),MATCH(B172,GerNaoDesp!$B$18:$AN$18,0),1,1)</f>
        <v>0</v>
      </c>
      <c r="H172" s="24">
        <f ca="1">OFFSET(GerNaoDesp!$A$30,MATCH(A172,GerNaoDesp!$A$31:$A$37,0),MATCH(B172,GerNaoDesp!$B$30:$AN$30,0),1,1)</f>
        <v>0</v>
      </c>
      <c r="I172" s="24">
        <f ca="1">OFFSET(GerNaoDesp!$A$42,MATCH(A172,GerNaoDesp!$A$43:$A$49,0),MATCH(B172,GerNaoDesp!$B$42:$AN$42,0),1,1)</f>
        <v>0</v>
      </c>
    </row>
    <row r="173" spans="1:9">
      <c r="A173" s="59">
        <f t="shared" si="4"/>
        <v>5</v>
      </c>
      <c r="B173" s="59">
        <f t="shared" si="5"/>
        <v>2027</v>
      </c>
      <c r="C173" s="18">
        <f ca="1">OFFSET(Mercado!$A$1,MATCH(A173,Mercado!$A$2:$A$11,0),MATCH(B173,Mercado!$B$1:$AN$1,0),1,1)</f>
        <v>2693</v>
      </c>
      <c r="D173" s="18">
        <f ca="1">OFFSET(CompPerdasIntercambio!$A$1,MATCH(A173,CompPerdasIntercambio!$A$2:$A$11,0),MATCH(B173,CompPerdasIntercambio!$B$1:$AN$1,0),1,1)</f>
        <v>0</v>
      </c>
      <c r="E173" s="18">
        <f ca="1">OFFSET(GerNaoDesp!$A$1,MATCH(A173,GerNaoDesp!$A$2:$A$9,0),MATCH(B173,GerNaoDesp!$B$1:$AN$1,0),1,1)</f>
        <v>0</v>
      </c>
      <c r="F173" s="58">
        <f ca="1">OFFSET(MercadoPonta!$A$1,MATCH(A173,MercadoPonta!$A$2:$A$11,0),MATCH(B173,MercadoPonta!$B$1:$AN$1,0),1,1)</f>
        <v>2693</v>
      </c>
      <c r="G173" s="432">
        <f ca="1">OFFSET(GerNaoDesp!$A$18,MATCH(A173,GerNaoDesp!$A$19:$A$25,0),MATCH(B173,GerNaoDesp!$B$18:$AN$18,0),1,1)</f>
        <v>0</v>
      </c>
      <c r="H173" s="24">
        <f ca="1">OFFSET(GerNaoDesp!$A$30,MATCH(A173,GerNaoDesp!$A$31:$A$37,0),MATCH(B173,GerNaoDesp!$B$30:$AN$30,0),1,1)</f>
        <v>0</v>
      </c>
      <c r="I173" s="24">
        <f ca="1">OFFSET(GerNaoDesp!$A$42,MATCH(A173,GerNaoDesp!$A$43:$A$49,0),MATCH(B173,GerNaoDesp!$B$42:$AN$42,0),1,1)</f>
        <v>0</v>
      </c>
    </row>
    <row r="174" spans="1:9">
      <c r="A174" s="59">
        <f t="shared" si="4"/>
        <v>5</v>
      </c>
      <c r="B174" s="59">
        <f t="shared" si="5"/>
        <v>2028</v>
      </c>
      <c r="C174" s="18">
        <f ca="1">OFFSET(Mercado!$A$1,MATCH(A174,Mercado!$A$2:$A$11,0),MATCH(B174,Mercado!$B$1:$AN$1,0),1,1)</f>
        <v>2859</v>
      </c>
      <c r="D174" s="18">
        <f ca="1">OFFSET(CompPerdasIntercambio!$A$1,MATCH(A174,CompPerdasIntercambio!$A$2:$A$11,0),MATCH(B174,CompPerdasIntercambio!$B$1:$AN$1,0),1,1)</f>
        <v>0</v>
      </c>
      <c r="E174" s="18">
        <f ca="1">OFFSET(GerNaoDesp!$A$1,MATCH(A174,GerNaoDesp!$A$2:$A$9,0),MATCH(B174,GerNaoDesp!$B$1:$AN$1,0),1,1)</f>
        <v>0</v>
      </c>
      <c r="F174" s="58">
        <f ca="1">OFFSET(MercadoPonta!$A$1,MATCH(A174,MercadoPonta!$A$2:$A$11,0),MATCH(B174,MercadoPonta!$B$1:$AN$1,0),1,1)</f>
        <v>2859</v>
      </c>
      <c r="G174" s="432">
        <f ca="1">OFFSET(GerNaoDesp!$A$18,MATCH(A174,GerNaoDesp!$A$19:$A$25,0),MATCH(B174,GerNaoDesp!$B$18:$AN$18,0),1,1)</f>
        <v>0</v>
      </c>
      <c r="H174" s="24">
        <f ca="1">OFFSET(GerNaoDesp!$A$30,MATCH(A174,GerNaoDesp!$A$31:$A$37,0),MATCH(B174,GerNaoDesp!$B$30:$AN$30,0),1,1)</f>
        <v>0</v>
      </c>
      <c r="I174" s="24">
        <f ca="1">OFFSET(GerNaoDesp!$A$42,MATCH(A174,GerNaoDesp!$A$43:$A$49,0),MATCH(B174,GerNaoDesp!$B$42:$AN$42,0),1,1)</f>
        <v>0</v>
      </c>
    </row>
    <row r="175" spans="1:9">
      <c r="A175" s="59">
        <f t="shared" si="4"/>
        <v>5</v>
      </c>
      <c r="B175" s="59">
        <f t="shared" si="5"/>
        <v>2029</v>
      </c>
      <c r="C175" s="18">
        <f ca="1">OFFSET(Mercado!$A$1,MATCH(A175,Mercado!$A$2:$A$11,0),MATCH(B175,Mercado!$B$1:$AN$1,0),1,1)</f>
        <v>3035</v>
      </c>
      <c r="D175" s="18">
        <f ca="1">OFFSET(CompPerdasIntercambio!$A$1,MATCH(A175,CompPerdasIntercambio!$A$2:$A$11,0),MATCH(B175,CompPerdasIntercambio!$B$1:$AN$1,0),1,1)</f>
        <v>0</v>
      </c>
      <c r="E175" s="18">
        <f ca="1">OFFSET(GerNaoDesp!$A$1,MATCH(A175,GerNaoDesp!$A$2:$A$9,0),MATCH(B175,GerNaoDesp!$B$1:$AN$1,0),1,1)</f>
        <v>0</v>
      </c>
      <c r="F175" s="58">
        <f ca="1">OFFSET(MercadoPonta!$A$1,MATCH(A175,MercadoPonta!$A$2:$A$11,0),MATCH(B175,MercadoPonta!$B$1:$AN$1,0),1,1)</f>
        <v>3035</v>
      </c>
      <c r="G175" s="432">
        <f ca="1">OFFSET(GerNaoDesp!$A$18,MATCH(A175,GerNaoDesp!$A$19:$A$25,0),MATCH(B175,GerNaoDesp!$B$18:$AN$18,0),1,1)</f>
        <v>0</v>
      </c>
      <c r="H175" s="24">
        <f ca="1">OFFSET(GerNaoDesp!$A$30,MATCH(A175,GerNaoDesp!$A$31:$A$37,0),MATCH(B175,GerNaoDesp!$B$30:$AN$30,0),1,1)</f>
        <v>0</v>
      </c>
      <c r="I175" s="24">
        <f ca="1">OFFSET(GerNaoDesp!$A$42,MATCH(A175,GerNaoDesp!$A$43:$A$49,0),MATCH(B175,GerNaoDesp!$B$42:$AN$42,0),1,1)</f>
        <v>0</v>
      </c>
    </row>
    <row r="176" spans="1:9">
      <c r="A176" s="59">
        <f t="shared" si="4"/>
        <v>5</v>
      </c>
      <c r="B176" s="59">
        <f t="shared" si="5"/>
        <v>2030</v>
      </c>
      <c r="C176" s="18">
        <f ca="1">OFFSET(Mercado!$A$1,MATCH(A176,Mercado!$A$2:$A$11,0),MATCH(B176,Mercado!$B$1:$AN$1,0),1,1)</f>
        <v>3223</v>
      </c>
      <c r="D176" s="18">
        <f ca="1">OFFSET(CompPerdasIntercambio!$A$1,MATCH(A176,CompPerdasIntercambio!$A$2:$A$11,0),MATCH(B176,CompPerdasIntercambio!$B$1:$AN$1,0),1,1)</f>
        <v>0</v>
      </c>
      <c r="E176" s="18">
        <f ca="1">OFFSET(GerNaoDesp!$A$1,MATCH(A176,GerNaoDesp!$A$2:$A$9,0),MATCH(B176,GerNaoDesp!$B$1:$AN$1,0),1,1)</f>
        <v>0</v>
      </c>
      <c r="F176" s="58">
        <f ca="1">OFFSET(MercadoPonta!$A$1,MATCH(A176,MercadoPonta!$A$2:$A$11,0),MATCH(B176,MercadoPonta!$B$1:$AN$1,0),1,1)</f>
        <v>3223</v>
      </c>
      <c r="G176" s="432">
        <f ca="1">OFFSET(GerNaoDesp!$A$18,MATCH(A176,GerNaoDesp!$A$19:$A$25,0),MATCH(B176,GerNaoDesp!$B$18:$AN$18,0),1,1)</f>
        <v>0</v>
      </c>
      <c r="H176" s="24">
        <f ca="1">OFFSET(GerNaoDesp!$A$30,MATCH(A176,GerNaoDesp!$A$31:$A$37,0),MATCH(B176,GerNaoDesp!$B$30:$AN$30,0),1,1)</f>
        <v>0</v>
      </c>
      <c r="I176" s="24">
        <f ca="1">OFFSET(GerNaoDesp!$A$42,MATCH(A176,GerNaoDesp!$A$43:$A$49,0),MATCH(B176,GerNaoDesp!$B$42:$AN$42,0),1,1)</f>
        <v>0</v>
      </c>
    </row>
    <row r="177" spans="1:9">
      <c r="A177" s="59">
        <f t="shared" si="4"/>
        <v>5</v>
      </c>
      <c r="B177" s="59">
        <f t="shared" si="5"/>
        <v>2031</v>
      </c>
      <c r="C177" s="18">
        <f ca="1">OFFSET(Mercado!$A$1,MATCH(A177,Mercado!$A$2:$A$11,0),MATCH(B177,Mercado!$B$1:$AN$1,0),1,1)</f>
        <v>3423</v>
      </c>
      <c r="D177" s="18">
        <f ca="1">OFFSET(CompPerdasIntercambio!$A$1,MATCH(A177,CompPerdasIntercambio!$A$2:$A$11,0),MATCH(B177,CompPerdasIntercambio!$B$1:$AN$1,0),1,1)</f>
        <v>0</v>
      </c>
      <c r="E177" s="18">
        <f ca="1">OFFSET(GerNaoDesp!$A$1,MATCH(A177,GerNaoDesp!$A$2:$A$9,0),MATCH(B177,GerNaoDesp!$B$1:$AN$1,0),1,1)</f>
        <v>0</v>
      </c>
      <c r="F177" s="58">
        <f ca="1">OFFSET(MercadoPonta!$A$1,MATCH(A177,MercadoPonta!$A$2:$A$11,0),MATCH(B177,MercadoPonta!$B$1:$AN$1,0),1,1)</f>
        <v>3423</v>
      </c>
      <c r="G177" s="432">
        <f ca="1">OFFSET(GerNaoDesp!$A$18,MATCH(A177,GerNaoDesp!$A$19:$A$25,0),MATCH(B177,GerNaoDesp!$B$18:$AN$18,0),1,1)</f>
        <v>0</v>
      </c>
      <c r="H177" s="24">
        <f ca="1">OFFSET(GerNaoDesp!$A$30,MATCH(A177,GerNaoDesp!$A$31:$A$37,0),MATCH(B177,GerNaoDesp!$B$30:$AN$30,0),1,1)</f>
        <v>0</v>
      </c>
      <c r="I177" s="24">
        <f ca="1">OFFSET(GerNaoDesp!$A$42,MATCH(A177,GerNaoDesp!$A$43:$A$49,0),MATCH(B177,GerNaoDesp!$B$42:$AN$42,0),1,1)</f>
        <v>0</v>
      </c>
    </row>
    <row r="178" spans="1:9">
      <c r="A178" s="59">
        <f t="shared" si="4"/>
        <v>5</v>
      </c>
      <c r="B178" s="59">
        <f t="shared" si="5"/>
        <v>2032</v>
      </c>
      <c r="C178" s="18">
        <f ca="1">OFFSET(Mercado!$A$1,MATCH(A178,Mercado!$A$2:$A$11,0),MATCH(B178,Mercado!$B$1:$AN$1,0),1,1)</f>
        <v>3635</v>
      </c>
      <c r="D178" s="18">
        <f ca="1">OFFSET(CompPerdasIntercambio!$A$1,MATCH(A178,CompPerdasIntercambio!$A$2:$A$11,0),MATCH(B178,CompPerdasIntercambio!$B$1:$AN$1,0),1,1)</f>
        <v>0</v>
      </c>
      <c r="E178" s="18">
        <f ca="1">OFFSET(GerNaoDesp!$A$1,MATCH(A178,GerNaoDesp!$A$2:$A$9,0),MATCH(B178,GerNaoDesp!$B$1:$AN$1,0),1,1)</f>
        <v>0</v>
      </c>
      <c r="F178" s="58">
        <f ca="1">OFFSET(MercadoPonta!$A$1,MATCH(A178,MercadoPonta!$A$2:$A$11,0),MATCH(B178,MercadoPonta!$B$1:$AN$1,0),1,1)</f>
        <v>3635</v>
      </c>
      <c r="G178" s="432">
        <f ca="1">OFFSET(GerNaoDesp!$A$18,MATCH(A178,GerNaoDesp!$A$19:$A$25,0),MATCH(B178,GerNaoDesp!$B$18:$AN$18,0),1,1)</f>
        <v>0</v>
      </c>
      <c r="H178" s="24">
        <f ca="1">OFFSET(GerNaoDesp!$A$30,MATCH(A178,GerNaoDesp!$A$31:$A$37,0),MATCH(B178,GerNaoDesp!$B$30:$AN$30,0),1,1)</f>
        <v>0</v>
      </c>
      <c r="I178" s="24">
        <f ca="1">OFFSET(GerNaoDesp!$A$42,MATCH(A178,GerNaoDesp!$A$43:$A$49,0),MATCH(B178,GerNaoDesp!$B$42:$AN$42,0),1,1)</f>
        <v>0</v>
      </c>
    </row>
    <row r="179" spans="1:9">
      <c r="A179" s="59">
        <f t="shared" si="4"/>
        <v>5</v>
      </c>
      <c r="B179" s="59">
        <f t="shared" si="5"/>
        <v>2033</v>
      </c>
      <c r="C179" s="18">
        <f ca="1">OFFSET(Mercado!$A$1,MATCH(A179,Mercado!$A$2:$A$11,0),MATCH(B179,Mercado!$B$1:$AN$1,0),1,1)</f>
        <v>3862</v>
      </c>
      <c r="D179" s="18">
        <f ca="1">OFFSET(CompPerdasIntercambio!$A$1,MATCH(A179,CompPerdasIntercambio!$A$2:$A$11,0),MATCH(B179,CompPerdasIntercambio!$B$1:$AN$1,0),1,1)</f>
        <v>0</v>
      </c>
      <c r="E179" s="18">
        <f ca="1">OFFSET(GerNaoDesp!$A$1,MATCH(A179,GerNaoDesp!$A$2:$A$9,0),MATCH(B179,GerNaoDesp!$B$1:$AN$1,0),1,1)</f>
        <v>0</v>
      </c>
      <c r="F179" s="58">
        <f ca="1">OFFSET(MercadoPonta!$A$1,MATCH(A179,MercadoPonta!$A$2:$A$11,0),MATCH(B179,MercadoPonta!$B$1:$AN$1,0),1,1)</f>
        <v>3862</v>
      </c>
      <c r="G179" s="432">
        <f ca="1">OFFSET(GerNaoDesp!$A$18,MATCH(A179,GerNaoDesp!$A$19:$A$25,0),MATCH(B179,GerNaoDesp!$B$18:$AN$18,0),1,1)</f>
        <v>0</v>
      </c>
      <c r="H179" s="24">
        <f ca="1">OFFSET(GerNaoDesp!$A$30,MATCH(A179,GerNaoDesp!$A$31:$A$37,0),MATCH(B179,GerNaoDesp!$B$30:$AN$30,0),1,1)</f>
        <v>0</v>
      </c>
      <c r="I179" s="24">
        <f ca="1">OFFSET(GerNaoDesp!$A$42,MATCH(A179,GerNaoDesp!$A$43:$A$49,0),MATCH(B179,GerNaoDesp!$B$42:$AN$42,0),1,1)</f>
        <v>0</v>
      </c>
    </row>
    <row r="180" spans="1:9">
      <c r="A180" s="59">
        <f t="shared" si="4"/>
        <v>5</v>
      </c>
      <c r="B180" s="59">
        <f t="shared" si="5"/>
        <v>2034</v>
      </c>
      <c r="C180" s="18">
        <f ca="1">OFFSET(Mercado!$A$1,MATCH(A180,Mercado!$A$2:$A$11,0),MATCH(B180,Mercado!$B$1:$AN$1,0),1,1)</f>
        <v>4104</v>
      </c>
      <c r="D180" s="18">
        <f ca="1">OFFSET(CompPerdasIntercambio!$A$1,MATCH(A180,CompPerdasIntercambio!$A$2:$A$11,0),MATCH(B180,CompPerdasIntercambio!$B$1:$AN$1,0),1,1)</f>
        <v>0</v>
      </c>
      <c r="E180" s="18">
        <f ca="1">OFFSET(GerNaoDesp!$A$1,MATCH(A180,GerNaoDesp!$A$2:$A$9,0),MATCH(B180,GerNaoDesp!$B$1:$AN$1,0),1,1)</f>
        <v>0</v>
      </c>
      <c r="F180" s="58">
        <f ca="1">OFFSET(MercadoPonta!$A$1,MATCH(A180,MercadoPonta!$A$2:$A$11,0),MATCH(B180,MercadoPonta!$B$1:$AN$1,0),1,1)</f>
        <v>4104</v>
      </c>
      <c r="G180" s="432">
        <f ca="1">OFFSET(GerNaoDesp!$A$18,MATCH(A180,GerNaoDesp!$A$19:$A$25,0),MATCH(B180,GerNaoDesp!$B$18:$AN$18,0),1,1)</f>
        <v>0</v>
      </c>
      <c r="H180" s="24">
        <f ca="1">OFFSET(GerNaoDesp!$A$30,MATCH(A180,GerNaoDesp!$A$31:$A$37,0),MATCH(B180,GerNaoDesp!$B$30:$AN$30,0),1,1)</f>
        <v>0</v>
      </c>
      <c r="I180" s="24">
        <f ca="1">OFFSET(GerNaoDesp!$A$42,MATCH(A180,GerNaoDesp!$A$43:$A$49,0),MATCH(B180,GerNaoDesp!$B$42:$AN$42,0),1,1)</f>
        <v>0</v>
      </c>
    </row>
    <row r="181" spans="1:9">
      <c r="A181" s="59">
        <f t="shared" si="4"/>
        <v>5</v>
      </c>
      <c r="B181" s="59">
        <f t="shared" si="5"/>
        <v>2035</v>
      </c>
      <c r="C181" s="18">
        <f ca="1">OFFSET(Mercado!$A$1,MATCH(A181,Mercado!$A$2:$A$11,0),MATCH(B181,Mercado!$B$1:$AN$1,0),1,1)</f>
        <v>4361</v>
      </c>
      <c r="D181" s="18">
        <f ca="1">OFFSET(CompPerdasIntercambio!$A$1,MATCH(A181,CompPerdasIntercambio!$A$2:$A$11,0),MATCH(B181,CompPerdasIntercambio!$B$1:$AN$1,0),1,1)</f>
        <v>0</v>
      </c>
      <c r="E181" s="18">
        <f ca="1">OFFSET(GerNaoDesp!$A$1,MATCH(A181,GerNaoDesp!$A$2:$A$9,0),MATCH(B181,GerNaoDesp!$B$1:$AN$1,0),1,1)</f>
        <v>0</v>
      </c>
      <c r="F181" s="58">
        <f ca="1">OFFSET(MercadoPonta!$A$1,MATCH(A181,MercadoPonta!$A$2:$A$11,0),MATCH(B181,MercadoPonta!$B$1:$AN$1,0),1,1)</f>
        <v>4361</v>
      </c>
      <c r="G181" s="432">
        <f ca="1">OFFSET(GerNaoDesp!$A$18,MATCH(A181,GerNaoDesp!$A$19:$A$25,0),MATCH(B181,GerNaoDesp!$B$18:$AN$18,0),1,1)</f>
        <v>0</v>
      </c>
      <c r="H181" s="24">
        <f ca="1">OFFSET(GerNaoDesp!$A$30,MATCH(A181,GerNaoDesp!$A$31:$A$37,0),MATCH(B181,GerNaoDesp!$B$30:$AN$30,0),1,1)</f>
        <v>0</v>
      </c>
      <c r="I181" s="24">
        <f ca="1">OFFSET(GerNaoDesp!$A$42,MATCH(A181,GerNaoDesp!$A$43:$A$49,0),MATCH(B181,GerNaoDesp!$B$42:$AN$42,0),1,1)</f>
        <v>0</v>
      </c>
    </row>
    <row r="182" spans="1:9">
      <c r="A182" s="59">
        <f t="shared" si="4"/>
        <v>5</v>
      </c>
      <c r="B182" s="59">
        <f t="shared" si="5"/>
        <v>2036</v>
      </c>
      <c r="C182" s="18">
        <f ca="1">OFFSET(Mercado!$A$1,MATCH(A182,Mercado!$A$2:$A$11,0),MATCH(B182,Mercado!$B$1:$AN$1,0),1,1)</f>
        <v>4635</v>
      </c>
      <c r="D182" s="18">
        <f ca="1">OFFSET(CompPerdasIntercambio!$A$1,MATCH(A182,CompPerdasIntercambio!$A$2:$A$11,0),MATCH(B182,CompPerdasIntercambio!$B$1:$AN$1,0),1,1)</f>
        <v>0</v>
      </c>
      <c r="E182" s="18">
        <f ca="1">OFFSET(GerNaoDesp!$A$1,MATCH(A182,GerNaoDesp!$A$2:$A$9,0),MATCH(B182,GerNaoDesp!$B$1:$AN$1,0),1,1)</f>
        <v>0</v>
      </c>
      <c r="F182" s="58">
        <f ca="1">OFFSET(MercadoPonta!$A$1,MATCH(A182,MercadoPonta!$A$2:$A$11,0),MATCH(B182,MercadoPonta!$B$1:$AN$1,0),1,1)</f>
        <v>4635</v>
      </c>
      <c r="G182" s="432">
        <f ca="1">OFFSET(GerNaoDesp!$A$18,MATCH(A182,GerNaoDesp!$A$19:$A$25,0),MATCH(B182,GerNaoDesp!$B$18:$AN$18,0),1,1)</f>
        <v>0</v>
      </c>
      <c r="H182" s="24">
        <f ca="1">OFFSET(GerNaoDesp!$A$30,MATCH(A182,GerNaoDesp!$A$31:$A$37,0),MATCH(B182,GerNaoDesp!$B$30:$AN$30,0),1,1)</f>
        <v>0</v>
      </c>
      <c r="I182" s="24">
        <f ca="1">OFFSET(GerNaoDesp!$A$42,MATCH(A182,GerNaoDesp!$A$43:$A$49,0),MATCH(B182,GerNaoDesp!$B$42:$AN$42,0),1,1)</f>
        <v>0</v>
      </c>
    </row>
    <row r="183" spans="1:9">
      <c r="A183" s="59">
        <f t="shared" si="4"/>
        <v>5</v>
      </c>
      <c r="B183" s="59">
        <f t="shared" si="5"/>
        <v>2037</v>
      </c>
      <c r="C183" s="18">
        <f ca="1">OFFSET(Mercado!$A$1,MATCH(A183,Mercado!$A$2:$A$11,0),MATCH(B183,Mercado!$B$1:$AN$1,0),1,1)</f>
        <v>4871</v>
      </c>
      <c r="D183" s="18">
        <f ca="1">OFFSET(CompPerdasIntercambio!$A$1,MATCH(A183,CompPerdasIntercambio!$A$2:$A$11,0),MATCH(B183,CompPerdasIntercambio!$B$1:$AN$1,0),1,1)</f>
        <v>0</v>
      </c>
      <c r="E183" s="18">
        <f ca="1">OFFSET(GerNaoDesp!$A$1,MATCH(A183,GerNaoDesp!$A$2:$A$9,0),MATCH(B183,GerNaoDesp!$B$1:$AN$1,0),1,1)</f>
        <v>0</v>
      </c>
      <c r="F183" s="58">
        <f ca="1">OFFSET(MercadoPonta!$A$1,MATCH(A183,MercadoPonta!$A$2:$A$11,0),MATCH(B183,MercadoPonta!$B$1:$AN$1,0),1,1)</f>
        <v>4871</v>
      </c>
      <c r="G183" s="432">
        <f ca="1">OFFSET(GerNaoDesp!$A$18,MATCH(A183,GerNaoDesp!$A$19:$A$25,0),MATCH(B183,GerNaoDesp!$B$18:$AN$18,0),1,1)</f>
        <v>0</v>
      </c>
      <c r="H183" s="24">
        <f ca="1">OFFSET(GerNaoDesp!$A$30,MATCH(A183,GerNaoDesp!$A$31:$A$37,0),MATCH(B183,GerNaoDesp!$B$30:$AN$30,0),1,1)</f>
        <v>0</v>
      </c>
      <c r="I183" s="24">
        <f ca="1">OFFSET(GerNaoDesp!$A$42,MATCH(A183,GerNaoDesp!$A$43:$A$49,0),MATCH(B183,GerNaoDesp!$B$42:$AN$42,0),1,1)</f>
        <v>0</v>
      </c>
    </row>
    <row r="184" spans="1:9">
      <c r="A184" s="59">
        <f t="shared" si="4"/>
        <v>5</v>
      </c>
      <c r="B184" s="59">
        <f t="shared" si="5"/>
        <v>2038</v>
      </c>
      <c r="C184" s="18">
        <f ca="1">OFFSET(Mercado!$A$1,MATCH(A184,Mercado!$A$2:$A$11,0),MATCH(B184,Mercado!$B$1:$AN$1,0),1,1)</f>
        <v>4871</v>
      </c>
      <c r="D184" s="18">
        <f ca="1">OFFSET(CompPerdasIntercambio!$A$1,MATCH(A184,CompPerdasIntercambio!$A$2:$A$11,0),MATCH(B184,CompPerdasIntercambio!$B$1:$AN$1,0),1,1)</f>
        <v>0</v>
      </c>
      <c r="E184" s="18">
        <f ca="1">OFFSET(GerNaoDesp!$A$1,MATCH(A184,GerNaoDesp!$A$2:$A$9,0),MATCH(B184,GerNaoDesp!$B$1:$AN$1,0),1,1)</f>
        <v>0</v>
      </c>
      <c r="F184" s="58">
        <f ca="1">OFFSET(MercadoPonta!$A$1,MATCH(A184,MercadoPonta!$A$2:$A$11,0),MATCH(B184,MercadoPonta!$B$1:$AN$1,0),1,1)</f>
        <v>4871</v>
      </c>
      <c r="G184" s="432">
        <f ca="1">OFFSET(GerNaoDesp!$A$18,MATCH(A184,GerNaoDesp!$A$19:$A$25,0),MATCH(B184,GerNaoDesp!$B$18:$AN$18,0),1,1)</f>
        <v>0</v>
      </c>
      <c r="H184" s="24">
        <f ca="1">OFFSET(GerNaoDesp!$A$30,MATCH(A184,GerNaoDesp!$A$31:$A$37,0),MATCH(B184,GerNaoDesp!$B$30:$AN$30,0),1,1)</f>
        <v>0</v>
      </c>
      <c r="I184" s="24">
        <f ca="1">OFFSET(GerNaoDesp!$A$42,MATCH(A184,GerNaoDesp!$A$43:$A$49,0),MATCH(B184,GerNaoDesp!$B$42:$AN$42,0),1,1)</f>
        <v>0</v>
      </c>
    </row>
    <row r="185" spans="1:9">
      <c r="A185" s="59">
        <f t="shared" si="4"/>
        <v>5</v>
      </c>
      <c r="B185" s="59">
        <f t="shared" si="5"/>
        <v>2039</v>
      </c>
      <c r="C185" s="18">
        <f ca="1">OFFSET(Mercado!$A$1,MATCH(A185,Mercado!$A$2:$A$11,0),MATCH(B185,Mercado!$B$1:$AN$1,0),1,1)</f>
        <v>4871</v>
      </c>
      <c r="D185" s="18">
        <f ca="1">OFFSET(CompPerdasIntercambio!$A$1,MATCH(A185,CompPerdasIntercambio!$A$2:$A$11,0),MATCH(B185,CompPerdasIntercambio!$B$1:$AN$1,0),1,1)</f>
        <v>0</v>
      </c>
      <c r="E185" s="18">
        <f ca="1">OFFSET(GerNaoDesp!$A$1,MATCH(A185,GerNaoDesp!$A$2:$A$9,0),MATCH(B185,GerNaoDesp!$B$1:$AN$1,0),1,1)</f>
        <v>0</v>
      </c>
      <c r="F185" s="58">
        <f ca="1">OFFSET(MercadoPonta!$A$1,MATCH(A185,MercadoPonta!$A$2:$A$11,0),MATCH(B185,MercadoPonta!$B$1:$AN$1,0),1,1)</f>
        <v>4871</v>
      </c>
      <c r="G185" s="432">
        <f ca="1">OFFSET(GerNaoDesp!$A$18,MATCH(A185,GerNaoDesp!$A$19:$A$25,0),MATCH(B185,GerNaoDesp!$B$18:$AN$18,0),1,1)</f>
        <v>0</v>
      </c>
      <c r="H185" s="24">
        <f ca="1">OFFSET(GerNaoDesp!$A$30,MATCH(A185,GerNaoDesp!$A$31:$A$37,0),MATCH(B185,GerNaoDesp!$B$30:$AN$30,0),1,1)</f>
        <v>0</v>
      </c>
      <c r="I185" s="24">
        <f ca="1">OFFSET(GerNaoDesp!$A$42,MATCH(A185,GerNaoDesp!$A$43:$A$49,0),MATCH(B185,GerNaoDesp!$B$42:$AN$42,0),1,1)</f>
        <v>0</v>
      </c>
    </row>
    <row r="186" spans="1:9">
      <c r="A186" s="59">
        <f t="shared" si="4"/>
        <v>5</v>
      </c>
      <c r="B186" s="59">
        <f t="shared" si="5"/>
        <v>2040</v>
      </c>
      <c r="C186" s="18">
        <f ca="1">OFFSET(Mercado!$A$1,MATCH(A186,Mercado!$A$2:$A$11,0),MATCH(B186,Mercado!$B$1:$AN$1,0),1,1)</f>
        <v>4871</v>
      </c>
      <c r="D186" s="18">
        <f ca="1">OFFSET(CompPerdasIntercambio!$A$1,MATCH(A186,CompPerdasIntercambio!$A$2:$A$11,0),MATCH(B186,CompPerdasIntercambio!$B$1:$AN$1,0),1,1)</f>
        <v>0</v>
      </c>
      <c r="E186" s="18">
        <f ca="1">OFFSET(GerNaoDesp!$A$1,MATCH(A186,GerNaoDesp!$A$2:$A$9,0),MATCH(B186,GerNaoDesp!$B$1:$AN$1,0),1,1)</f>
        <v>0</v>
      </c>
      <c r="F186" s="58">
        <f ca="1">OFFSET(MercadoPonta!$A$1,MATCH(A186,MercadoPonta!$A$2:$A$11,0),MATCH(B186,MercadoPonta!$B$1:$AN$1,0),1,1)</f>
        <v>4871</v>
      </c>
      <c r="G186" s="432">
        <f ca="1">OFFSET(GerNaoDesp!$A$18,MATCH(A186,GerNaoDesp!$A$19:$A$25,0),MATCH(B186,GerNaoDesp!$B$18:$AN$18,0),1,1)</f>
        <v>0</v>
      </c>
      <c r="H186" s="24">
        <f ca="1">OFFSET(GerNaoDesp!$A$30,MATCH(A186,GerNaoDesp!$A$31:$A$37,0),MATCH(B186,GerNaoDesp!$B$30:$AN$30,0),1,1)</f>
        <v>0</v>
      </c>
      <c r="I186" s="24">
        <f ca="1">OFFSET(GerNaoDesp!$A$42,MATCH(A186,GerNaoDesp!$A$43:$A$49,0),MATCH(B186,GerNaoDesp!$B$42:$AN$42,0),1,1)</f>
        <v>0</v>
      </c>
    </row>
    <row r="187" spans="1:9">
      <c r="A187" s="59">
        <f t="shared" si="4"/>
        <v>5</v>
      </c>
      <c r="B187" s="59">
        <f t="shared" si="5"/>
        <v>2041</v>
      </c>
      <c r="C187" s="18">
        <f ca="1">OFFSET(Mercado!$A$1,MATCH(A187,Mercado!$A$2:$A$11,0),MATCH(B187,Mercado!$B$1:$AN$1,0),1,1)</f>
        <v>4871</v>
      </c>
      <c r="D187" s="18">
        <f ca="1">OFFSET(CompPerdasIntercambio!$A$1,MATCH(A187,CompPerdasIntercambio!$A$2:$A$11,0),MATCH(B187,CompPerdasIntercambio!$B$1:$AN$1,0),1,1)</f>
        <v>0</v>
      </c>
      <c r="E187" s="18">
        <f ca="1">OFFSET(GerNaoDesp!$A$1,MATCH(A187,GerNaoDesp!$A$2:$A$9,0),MATCH(B187,GerNaoDesp!$B$1:$AN$1,0),1,1)</f>
        <v>0</v>
      </c>
      <c r="F187" s="58">
        <f ca="1">OFFSET(MercadoPonta!$A$1,MATCH(A187,MercadoPonta!$A$2:$A$11,0),MATCH(B187,MercadoPonta!$B$1:$AN$1,0),1,1)</f>
        <v>4871</v>
      </c>
      <c r="G187" s="432">
        <f ca="1">OFFSET(GerNaoDesp!$A$18,MATCH(A187,GerNaoDesp!$A$19:$A$25,0),MATCH(B187,GerNaoDesp!$B$18:$AN$18,0),1,1)</f>
        <v>0</v>
      </c>
      <c r="H187" s="24">
        <f ca="1">OFFSET(GerNaoDesp!$A$30,MATCH(A187,GerNaoDesp!$A$31:$A$37,0),MATCH(B187,GerNaoDesp!$B$30:$AN$30,0),1,1)</f>
        <v>0</v>
      </c>
      <c r="I187" s="24">
        <f ca="1">OFFSET(GerNaoDesp!$A$42,MATCH(A187,GerNaoDesp!$A$43:$A$49,0),MATCH(B187,GerNaoDesp!$B$42:$AN$42,0),1,1)</f>
        <v>0</v>
      </c>
    </row>
    <row r="188" spans="1:9">
      <c r="A188" s="59">
        <f t="shared" si="4"/>
        <v>5</v>
      </c>
      <c r="B188" s="59">
        <f t="shared" si="5"/>
        <v>2042</v>
      </c>
      <c r="C188" s="18">
        <f ca="1">OFFSET(Mercado!$A$1,MATCH(A188,Mercado!$A$2:$A$11,0),MATCH(B188,Mercado!$B$1:$AN$1,0),1,1)</f>
        <v>4871</v>
      </c>
      <c r="D188" s="18">
        <f ca="1">OFFSET(CompPerdasIntercambio!$A$1,MATCH(A188,CompPerdasIntercambio!$A$2:$A$11,0),MATCH(B188,CompPerdasIntercambio!$B$1:$AN$1,0),1,1)</f>
        <v>0</v>
      </c>
      <c r="E188" s="18">
        <f ca="1">OFFSET(GerNaoDesp!$A$1,MATCH(A188,GerNaoDesp!$A$2:$A$9,0),MATCH(B188,GerNaoDesp!$B$1:$AN$1,0),1,1)</f>
        <v>0</v>
      </c>
      <c r="F188" s="58">
        <f ca="1">OFFSET(MercadoPonta!$A$1,MATCH(A188,MercadoPonta!$A$2:$A$11,0),MATCH(B188,MercadoPonta!$B$1:$AN$1,0),1,1)</f>
        <v>4871</v>
      </c>
      <c r="G188" s="432">
        <f ca="1">OFFSET(GerNaoDesp!$A$18,MATCH(A188,GerNaoDesp!$A$19:$A$25,0),MATCH(B188,GerNaoDesp!$B$18:$AN$18,0),1,1)</f>
        <v>0</v>
      </c>
      <c r="H188" s="24">
        <f ca="1">OFFSET(GerNaoDesp!$A$30,MATCH(A188,GerNaoDesp!$A$31:$A$37,0),MATCH(B188,GerNaoDesp!$B$30:$AN$30,0),1,1)</f>
        <v>0</v>
      </c>
      <c r="I188" s="24">
        <f ca="1">OFFSET(GerNaoDesp!$A$42,MATCH(A188,GerNaoDesp!$A$43:$A$49,0),MATCH(B188,GerNaoDesp!$B$42:$AN$42,0),1,1)</f>
        <v>0</v>
      </c>
    </row>
    <row r="189" spans="1:9">
      <c r="A189" s="59">
        <f t="shared" si="4"/>
        <v>5</v>
      </c>
      <c r="B189" s="59">
        <f t="shared" si="5"/>
        <v>2043</v>
      </c>
      <c r="C189" s="18">
        <f ca="1">OFFSET(Mercado!$A$1,MATCH(A189,Mercado!$A$2:$A$11,0),MATCH(B189,Mercado!$B$1:$AN$1,0),1,1)</f>
        <v>4871</v>
      </c>
      <c r="D189" s="18">
        <f ca="1">OFFSET(CompPerdasIntercambio!$A$1,MATCH(A189,CompPerdasIntercambio!$A$2:$A$11,0),MATCH(B189,CompPerdasIntercambio!$B$1:$AN$1,0),1,1)</f>
        <v>0</v>
      </c>
      <c r="E189" s="18">
        <f ca="1">OFFSET(GerNaoDesp!$A$1,MATCH(A189,GerNaoDesp!$A$2:$A$9,0),MATCH(B189,GerNaoDesp!$B$1:$AN$1,0),1,1)</f>
        <v>0</v>
      </c>
      <c r="F189" s="58">
        <f ca="1">OFFSET(MercadoPonta!$A$1,MATCH(A189,MercadoPonta!$A$2:$A$11,0),MATCH(B189,MercadoPonta!$B$1:$AN$1,0),1,1)</f>
        <v>4871</v>
      </c>
      <c r="G189" s="432">
        <f ca="1">OFFSET(GerNaoDesp!$A$18,MATCH(A189,GerNaoDesp!$A$19:$A$25,0),MATCH(B189,GerNaoDesp!$B$18:$AN$18,0),1,1)</f>
        <v>0</v>
      </c>
      <c r="H189" s="24">
        <f ca="1">OFFSET(GerNaoDesp!$A$30,MATCH(A189,GerNaoDesp!$A$31:$A$37,0),MATCH(B189,GerNaoDesp!$B$30:$AN$30,0),1,1)</f>
        <v>0</v>
      </c>
      <c r="I189" s="24">
        <f ca="1">OFFSET(GerNaoDesp!$A$42,MATCH(A189,GerNaoDesp!$A$43:$A$49,0),MATCH(B189,GerNaoDesp!$B$42:$AN$42,0),1,1)</f>
        <v>0</v>
      </c>
    </row>
    <row r="190" spans="1:9">
      <c r="A190" s="59">
        <f t="shared" si="4"/>
        <v>5</v>
      </c>
      <c r="B190" s="59">
        <f t="shared" si="5"/>
        <v>2044</v>
      </c>
      <c r="C190" s="18">
        <f ca="1">OFFSET(Mercado!$A$1,MATCH(A190,Mercado!$A$2:$A$11,0),MATCH(B190,Mercado!$B$1:$AN$1,0),1,1)</f>
        <v>4871</v>
      </c>
      <c r="D190" s="18">
        <f ca="1">OFFSET(CompPerdasIntercambio!$A$1,MATCH(A190,CompPerdasIntercambio!$A$2:$A$11,0),MATCH(B190,CompPerdasIntercambio!$B$1:$AN$1,0),1,1)</f>
        <v>0</v>
      </c>
      <c r="E190" s="18">
        <f ca="1">OFFSET(GerNaoDesp!$A$1,MATCH(A190,GerNaoDesp!$A$2:$A$9,0),MATCH(B190,GerNaoDesp!$B$1:$AN$1,0),1,1)</f>
        <v>0</v>
      </c>
      <c r="F190" s="58">
        <f ca="1">OFFSET(MercadoPonta!$A$1,MATCH(A190,MercadoPonta!$A$2:$A$11,0),MATCH(B190,MercadoPonta!$B$1:$AN$1,0),1,1)</f>
        <v>4871</v>
      </c>
      <c r="G190" s="432">
        <f ca="1">OFFSET(GerNaoDesp!$A$18,MATCH(A190,GerNaoDesp!$A$19:$A$25,0),MATCH(B190,GerNaoDesp!$B$18:$AN$18,0),1,1)</f>
        <v>0</v>
      </c>
      <c r="H190" s="24">
        <f ca="1">OFFSET(GerNaoDesp!$A$30,MATCH(A190,GerNaoDesp!$A$31:$A$37,0),MATCH(B190,GerNaoDesp!$B$30:$AN$30,0),1,1)</f>
        <v>0</v>
      </c>
      <c r="I190" s="24">
        <f ca="1">OFFSET(GerNaoDesp!$A$42,MATCH(A190,GerNaoDesp!$A$43:$A$49,0),MATCH(B190,GerNaoDesp!$B$42:$AN$42,0),1,1)</f>
        <v>0</v>
      </c>
    </row>
    <row r="191" spans="1:9">
      <c r="A191" s="59">
        <f t="shared" si="4"/>
        <v>5</v>
      </c>
      <c r="B191" s="59">
        <f t="shared" si="5"/>
        <v>2045</v>
      </c>
      <c r="C191" s="18">
        <f ca="1">OFFSET(Mercado!$A$1,MATCH(A191,Mercado!$A$2:$A$11,0),MATCH(B191,Mercado!$B$1:$AN$1,0),1,1)</f>
        <v>4871</v>
      </c>
      <c r="D191" s="18">
        <f ca="1">OFFSET(CompPerdasIntercambio!$A$1,MATCH(A191,CompPerdasIntercambio!$A$2:$A$11,0),MATCH(B191,CompPerdasIntercambio!$B$1:$AN$1,0),1,1)</f>
        <v>0</v>
      </c>
      <c r="E191" s="18">
        <f ca="1">OFFSET(GerNaoDesp!$A$1,MATCH(A191,GerNaoDesp!$A$2:$A$9,0),MATCH(B191,GerNaoDesp!$B$1:$AN$1,0),1,1)</f>
        <v>0</v>
      </c>
      <c r="F191" s="58">
        <f ca="1">OFFSET(MercadoPonta!$A$1,MATCH(A191,MercadoPonta!$A$2:$A$11,0),MATCH(B191,MercadoPonta!$B$1:$AN$1,0),1,1)</f>
        <v>4871</v>
      </c>
      <c r="G191" s="432">
        <f ca="1">OFFSET(GerNaoDesp!$A$18,MATCH(A191,GerNaoDesp!$A$19:$A$25,0),MATCH(B191,GerNaoDesp!$B$18:$AN$18,0),1,1)</f>
        <v>0</v>
      </c>
      <c r="H191" s="24">
        <f ca="1">OFFSET(GerNaoDesp!$A$30,MATCH(A191,GerNaoDesp!$A$31:$A$37,0),MATCH(B191,GerNaoDesp!$B$30:$AN$30,0),1,1)</f>
        <v>0</v>
      </c>
      <c r="I191" s="24">
        <f ca="1">OFFSET(GerNaoDesp!$A$42,MATCH(A191,GerNaoDesp!$A$43:$A$49,0),MATCH(B191,GerNaoDesp!$B$42:$AN$42,0),1,1)</f>
        <v>0</v>
      </c>
    </row>
    <row r="192" spans="1:9">
      <c r="A192" s="59">
        <f t="shared" si="4"/>
        <v>5</v>
      </c>
      <c r="B192" s="59">
        <f t="shared" si="5"/>
        <v>2046</v>
      </c>
      <c r="C192" s="18">
        <f ca="1">OFFSET(Mercado!$A$1,MATCH(A192,Mercado!$A$2:$A$11,0),MATCH(B192,Mercado!$B$1:$AN$1,0),1,1)</f>
        <v>4871</v>
      </c>
      <c r="D192" s="18">
        <f ca="1">OFFSET(CompPerdasIntercambio!$A$1,MATCH(A192,CompPerdasIntercambio!$A$2:$A$11,0),MATCH(B192,CompPerdasIntercambio!$B$1:$AN$1,0),1,1)</f>
        <v>0</v>
      </c>
      <c r="E192" s="18">
        <f ca="1">OFFSET(GerNaoDesp!$A$1,MATCH(A192,GerNaoDesp!$A$2:$A$9,0),MATCH(B192,GerNaoDesp!$B$1:$AN$1,0),1,1)</f>
        <v>0</v>
      </c>
      <c r="F192" s="58">
        <f ca="1">OFFSET(MercadoPonta!$A$1,MATCH(A192,MercadoPonta!$A$2:$A$11,0),MATCH(B192,MercadoPonta!$B$1:$AN$1,0),1,1)</f>
        <v>4871</v>
      </c>
      <c r="G192" s="432">
        <f ca="1">OFFSET(GerNaoDesp!$A$18,MATCH(A192,GerNaoDesp!$A$19:$A$25,0),MATCH(B192,GerNaoDesp!$B$18:$AN$18,0),1,1)</f>
        <v>0</v>
      </c>
      <c r="H192" s="24">
        <f ca="1">OFFSET(GerNaoDesp!$A$30,MATCH(A192,GerNaoDesp!$A$31:$A$37,0),MATCH(B192,GerNaoDesp!$B$30:$AN$30,0),1,1)</f>
        <v>0</v>
      </c>
      <c r="I192" s="24">
        <f ca="1">OFFSET(GerNaoDesp!$A$42,MATCH(A192,GerNaoDesp!$A$43:$A$49,0),MATCH(B192,GerNaoDesp!$B$42:$AN$42,0),1,1)</f>
        <v>0</v>
      </c>
    </row>
    <row r="193" spans="1:9">
      <c r="A193" s="59">
        <f t="shared" si="4"/>
        <v>5</v>
      </c>
      <c r="B193" s="59">
        <f t="shared" si="5"/>
        <v>2047</v>
      </c>
      <c r="C193" s="18">
        <f ca="1">OFFSET(Mercado!$A$1,MATCH(A193,Mercado!$A$2:$A$11,0),MATCH(B193,Mercado!$B$1:$AN$1,0),1,1)</f>
        <v>4871</v>
      </c>
      <c r="D193" s="18">
        <f ca="1">OFFSET(CompPerdasIntercambio!$A$1,MATCH(A193,CompPerdasIntercambio!$A$2:$A$11,0),MATCH(B193,CompPerdasIntercambio!$B$1:$AN$1,0),1,1)</f>
        <v>0</v>
      </c>
      <c r="E193" s="18">
        <f ca="1">OFFSET(GerNaoDesp!$A$1,MATCH(A193,GerNaoDesp!$A$2:$A$9,0),MATCH(B193,GerNaoDesp!$B$1:$AN$1,0),1,1)</f>
        <v>0</v>
      </c>
      <c r="F193" s="58">
        <f ca="1">OFFSET(MercadoPonta!$A$1,MATCH(A193,MercadoPonta!$A$2:$A$11,0),MATCH(B193,MercadoPonta!$B$1:$AN$1,0),1,1)</f>
        <v>4871</v>
      </c>
      <c r="G193" s="432">
        <f ca="1">OFFSET(GerNaoDesp!$A$18,MATCH(A193,GerNaoDesp!$A$19:$A$25,0),MATCH(B193,GerNaoDesp!$B$18:$AN$18,0),1,1)</f>
        <v>0</v>
      </c>
      <c r="H193" s="24">
        <f ca="1">OFFSET(GerNaoDesp!$A$30,MATCH(A193,GerNaoDesp!$A$31:$A$37,0),MATCH(B193,GerNaoDesp!$B$30:$AN$30,0),1,1)</f>
        <v>0</v>
      </c>
      <c r="I193" s="24">
        <f ca="1">OFFSET(GerNaoDesp!$A$42,MATCH(A193,GerNaoDesp!$A$43:$A$49,0),MATCH(B193,GerNaoDesp!$B$42:$AN$42,0),1,1)</f>
        <v>0</v>
      </c>
    </row>
    <row r="194" spans="1:9">
      <c r="A194" s="59">
        <f t="shared" si="4"/>
        <v>5</v>
      </c>
      <c r="B194" s="59">
        <f t="shared" si="5"/>
        <v>2048</v>
      </c>
      <c r="C194" s="18">
        <f ca="1">OFFSET(Mercado!$A$1,MATCH(A194,Mercado!$A$2:$A$11,0),MATCH(B194,Mercado!$B$1:$AN$1,0),1,1)</f>
        <v>4871</v>
      </c>
      <c r="D194" s="18">
        <f ca="1">OFFSET(CompPerdasIntercambio!$A$1,MATCH(A194,CompPerdasIntercambio!$A$2:$A$11,0),MATCH(B194,CompPerdasIntercambio!$B$1:$AN$1,0),1,1)</f>
        <v>0</v>
      </c>
      <c r="E194" s="18">
        <f ca="1">OFFSET(GerNaoDesp!$A$1,MATCH(A194,GerNaoDesp!$A$2:$A$9,0),MATCH(B194,GerNaoDesp!$B$1:$AN$1,0),1,1)</f>
        <v>0</v>
      </c>
      <c r="F194" s="58">
        <f ca="1">OFFSET(MercadoPonta!$A$1,MATCH(A194,MercadoPonta!$A$2:$A$11,0),MATCH(B194,MercadoPonta!$B$1:$AN$1,0),1,1)</f>
        <v>4871</v>
      </c>
      <c r="G194" s="432">
        <f ca="1">OFFSET(GerNaoDesp!$A$18,MATCH(A194,GerNaoDesp!$A$19:$A$25,0),MATCH(B194,GerNaoDesp!$B$18:$AN$18,0),1,1)</f>
        <v>0</v>
      </c>
      <c r="H194" s="24">
        <f ca="1">OFFSET(GerNaoDesp!$A$30,MATCH(A194,GerNaoDesp!$A$31:$A$37,0),MATCH(B194,GerNaoDesp!$B$30:$AN$30,0),1,1)</f>
        <v>0</v>
      </c>
      <c r="I194" s="24">
        <f ca="1">OFFSET(GerNaoDesp!$A$42,MATCH(A194,GerNaoDesp!$A$43:$A$49,0),MATCH(B194,GerNaoDesp!$B$42:$AN$42,0),1,1)</f>
        <v>0</v>
      </c>
    </row>
    <row r="195" spans="1:9">
      <c r="A195" s="59">
        <f t="shared" si="4"/>
        <v>5</v>
      </c>
      <c r="B195" s="59">
        <f t="shared" si="5"/>
        <v>2049</v>
      </c>
      <c r="C195" s="18">
        <f ca="1">OFFSET(Mercado!$A$1,MATCH(A195,Mercado!$A$2:$A$11,0),MATCH(B195,Mercado!$B$1:$AN$1,0),1,1)</f>
        <v>4871</v>
      </c>
      <c r="D195" s="18">
        <f ca="1">OFFSET(CompPerdasIntercambio!$A$1,MATCH(A195,CompPerdasIntercambio!$A$2:$A$11,0),MATCH(B195,CompPerdasIntercambio!$B$1:$AN$1,0),1,1)</f>
        <v>0</v>
      </c>
      <c r="E195" s="18">
        <f ca="1">OFFSET(GerNaoDesp!$A$1,MATCH(A195,GerNaoDesp!$A$2:$A$9,0),MATCH(B195,GerNaoDesp!$B$1:$AN$1,0),1,1)</f>
        <v>0</v>
      </c>
      <c r="F195" s="58">
        <f ca="1">OFFSET(MercadoPonta!$A$1,MATCH(A195,MercadoPonta!$A$2:$A$11,0),MATCH(B195,MercadoPonta!$B$1:$AN$1,0),1,1)</f>
        <v>4871</v>
      </c>
      <c r="G195" s="432">
        <f ca="1">OFFSET(GerNaoDesp!$A$18,MATCH(A195,GerNaoDesp!$A$19:$A$25,0),MATCH(B195,GerNaoDesp!$B$18:$AN$18,0),1,1)</f>
        <v>0</v>
      </c>
      <c r="H195" s="24">
        <f ca="1">OFFSET(GerNaoDesp!$A$30,MATCH(A195,GerNaoDesp!$A$31:$A$37,0),MATCH(B195,GerNaoDesp!$B$30:$AN$30,0),1,1)</f>
        <v>0</v>
      </c>
      <c r="I195" s="24">
        <f ca="1">OFFSET(GerNaoDesp!$A$42,MATCH(A195,GerNaoDesp!$A$43:$A$49,0),MATCH(B195,GerNaoDesp!$B$42:$AN$42,0),1,1)</f>
        <v>0</v>
      </c>
    </row>
    <row r="196" spans="1:9">
      <c r="A196" s="59">
        <f t="shared" si="4"/>
        <v>5</v>
      </c>
      <c r="B196" s="59">
        <f t="shared" si="5"/>
        <v>2050</v>
      </c>
      <c r="C196" s="18">
        <f ca="1">OFFSET(Mercado!$A$1,MATCH(A196,Mercado!$A$2:$A$11,0),MATCH(B196,Mercado!$B$1:$AN$1,0),1,1)</f>
        <v>4871</v>
      </c>
      <c r="D196" s="18">
        <f ca="1">OFFSET(CompPerdasIntercambio!$A$1,MATCH(A196,CompPerdasIntercambio!$A$2:$A$11,0),MATCH(B196,CompPerdasIntercambio!$B$1:$AN$1,0),1,1)</f>
        <v>0</v>
      </c>
      <c r="E196" s="18">
        <f ca="1">OFFSET(GerNaoDesp!$A$1,MATCH(A196,GerNaoDesp!$A$2:$A$9,0),MATCH(B196,GerNaoDesp!$B$1:$AN$1,0),1,1)</f>
        <v>0</v>
      </c>
      <c r="F196" s="58">
        <f ca="1">OFFSET(MercadoPonta!$A$1,MATCH(A196,MercadoPonta!$A$2:$A$11,0),MATCH(B196,MercadoPonta!$B$1:$AN$1,0),1,1)</f>
        <v>4871</v>
      </c>
      <c r="G196" s="432">
        <f ca="1">OFFSET(GerNaoDesp!$A$18,MATCH(A196,GerNaoDesp!$A$19:$A$25,0),MATCH(B196,GerNaoDesp!$B$18:$AN$18,0),1,1)</f>
        <v>0</v>
      </c>
      <c r="H196" s="24">
        <f ca="1">OFFSET(GerNaoDesp!$A$30,MATCH(A196,GerNaoDesp!$A$31:$A$37,0),MATCH(B196,GerNaoDesp!$B$30:$AN$30,0),1,1)</f>
        <v>0</v>
      </c>
      <c r="I196" s="24">
        <f ca="1">OFFSET(GerNaoDesp!$A$42,MATCH(A196,GerNaoDesp!$A$43:$A$49,0),MATCH(B196,GerNaoDesp!$B$42:$AN$42,0),1,1)</f>
        <v>0</v>
      </c>
    </row>
    <row r="197" spans="1:9">
      <c r="A197" s="59">
        <f t="shared" si="4"/>
        <v>6</v>
      </c>
      <c r="B197" s="59">
        <f t="shared" si="5"/>
        <v>2012</v>
      </c>
      <c r="C197" s="18">
        <f ca="1">OFFSET(Mercado!$A$1,MATCH(A197,Mercado!$A$2:$A$11,0),MATCH(B197,Mercado!$B$1:$AN$1,0),1,1)</f>
        <v>475.1502732240437</v>
      </c>
      <c r="D197" s="18">
        <f ca="1">OFFSET(CompPerdasIntercambio!$A$1,MATCH(A197,CompPerdasIntercambio!$A$2:$A$11,0),MATCH(B197,CompPerdasIntercambio!$B$1:$AN$1,0),1,1)</f>
        <v>0</v>
      </c>
      <c r="E197" s="18">
        <f ca="1">OFFSET(GerNaoDesp!$A$1,MATCH(A197,GerNaoDesp!$A$2:$A$9,0),MATCH(B197,GerNaoDesp!$B$1:$AN$1,0),1,1)</f>
        <v>0</v>
      </c>
      <c r="F197" s="58">
        <f ca="1">OFFSET(MercadoPonta!$A$1,MATCH(A197,MercadoPonta!$A$2:$A$11,0),MATCH(B197,MercadoPonta!$B$1:$AN$1,0),1,1)</f>
        <v>688.62358438267211</v>
      </c>
      <c r="G197" s="432">
        <f ca="1">OFFSET(GerNaoDesp!$A$18,MATCH(A197,GerNaoDesp!$A$19:$A$25,0),MATCH(B197,GerNaoDesp!$B$18:$AN$18,0),1,1)</f>
        <v>0</v>
      </c>
      <c r="H197" s="24">
        <f ca="1">OFFSET(GerNaoDesp!$A$30,MATCH(A197,GerNaoDesp!$A$31:$A$37,0),MATCH(B197,GerNaoDesp!$B$30:$AN$30,0),1,1)</f>
        <v>0</v>
      </c>
      <c r="I197" s="24">
        <f ca="1">OFFSET(GerNaoDesp!$A$42,MATCH(A197,GerNaoDesp!$A$43:$A$49,0),MATCH(B197,GerNaoDesp!$B$42:$AN$42,0),1,1)</f>
        <v>0</v>
      </c>
    </row>
    <row r="198" spans="1:9">
      <c r="A198" s="59">
        <f t="shared" si="4"/>
        <v>6</v>
      </c>
      <c r="B198" s="59">
        <f t="shared" si="5"/>
        <v>2013</v>
      </c>
      <c r="C198" s="18">
        <f ca="1">OFFSET(Mercado!$A$1,MATCH(A198,Mercado!$A$2:$A$11,0),MATCH(B198,Mercado!$B$1:$AN$1,0),1,1)</f>
        <v>508.74794520547943</v>
      </c>
      <c r="D198" s="18">
        <f ca="1">OFFSET(CompPerdasIntercambio!$A$1,MATCH(A198,CompPerdasIntercambio!$A$2:$A$11,0),MATCH(B198,CompPerdasIntercambio!$B$1:$AN$1,0),1,1)</f>
        <v>0</v>
      </c>
      <c r="E198" s="18">
        <f ca="1">OFFSET(GerNaoDesp!$A$1,MATCH(A198,GerNaoDesp!$A$2:$A$9,0),MATCH(B198,GerNaoDesp!$B$1:$AN$1,0),1,1)</f>
        <v>0</v>
      </c>
      <c r="F198" s="58">
        <f ca="1">OFFSET(MercadoPonta!$A$1,MATCH(A198,MercadoPonta!$A$2:$A$11,0),MATCH(B198,MercadoPonta!$B$1:$AN$1,0),1,1)</f>
        <v>715.18527929416064</v>
      </c>
      <c r="G198" s="432">
        <f ca="1">OFFSET(GerNaoDesp!$A$18,MATCH(A198,GerNaoDesp!$A$19:$A$25,0),MATCH(B198,GerNaoDesp!$B$18:$AN$18,0),1,1)</f>
        <v>0</v>
      </c>
      <c r="H198" s="24">
        <f ca="1">OFFSET(GerNaoDesp!$A$30,MATCH(A198,GerNaoDesp!$A$31:$A$37,0),MATCH(B198,GerNaoDesp!$B$30:$AN$30,0),1,1)</f>
        <v>0</v>
      </c>
      <c r="I198" s="24">
        <f ca="1">OFFSET(GerNaoDesp!$A$42,MATCH(A198,GerNaoDesp!$A$43:$A$49,0),MATCH(B198,GerNaoDesp!$B$42:$AN$42,0),1,1)</f>
        <v>0</v>
      </c>
    </row>
    <row r="199" spans="1:9">
      <c r="A199" s="59">
        <f t="shared" si="4"/>
        <v>6</v>
      </c>
      <c r="B199" s="59">
        <f t="shared" si="5"/>
        <v>2014</v>
      </c>
      <c r="C199" s="18">
        <f ca="1">OFFSET(Mercado!$A$1,MATCH(A199,Mercado!$A$2:$A$11,0),MATCH(B199,Mercado!$B$1:$AN$1,0),1,1)</f>
        <v>536.07262425561873</v>
      </c>
      <c r="D199" s="18">
        <f ca="1">OFFSET(CompPerdasIntercambio!$A$1,MATCH(A199,CompPerdasIntercambio!$A$2:$A$11,0),MATCH(B199,CompPerdasIntercambio!$B$1:$AN$1,0),1,1)</f>
        <v>0</v>
      </c>
      <c r="E199" s="18">
        <f ca="1">OFFSET(GerNaoDesp!$A$1,MATCH(A199,GerNaoDesp!$A$2:$A$9,0),MATCH(B199,GerNaoDesp!$B$1:$AN$1,0),1,1)</f>
        <v>0</v>
      </c>
      <c r="F199" s="58">
        <f ca="1">OFFSET(MercadoPonta!$A$1,MATCH(A199,MercadoPonta!$A$2:$A$11,0),MATCH(B199,MercadoPonta!$B$1:$AN$1,0),1,1)</f>
        <v>718.77254252373928</v>
      </c>
      <c r="G199" s="432">
        <f ca="1">OFFSET(GerNaoDesp!$A$18,MATCH(A199,GerNaoDesp!$A$19:$A$25,0),MATCH(B199,GerNaoDesp!$B$18:$AN$18,0),1,1)</f>
        <v>0</v>
      </c>
      <c r="H199" s="24">
        <f ca="1">OFFSET(GerNaoDesp!$A$30,MATCH(A199,GerNaoDesp!$A$31:$A$37,0),MATCH(B199,GerNaoDesp!$B$30:$AN$30,0),1,1)</f>
        <v>0</v>
      </c>
      <c r="I199" s="24">
        <f ca="1">OFFSET(GerNaoDesp!$A$42,MATCH(A199,GerNaoDesp!$A$43:$A$49,0),MATCH(B199,GerNaoDesp!$B$42:$AN$42,0),1,1)</f>
        <v>0</v>
      </c>
    </row>
    <row r="200" spans="1:9">
      <c r="A200" s="59">
        <f t="shared" si="4"/>
        <v>6</v>
      </c>
      <c r="B200" s="59">
        <f t="shared" si="5"/>
        <v>2015</v>
      </c>
      <c r="C200" s="18">
        <f ca="1">OFFSET(Mercado!$A$1,MATCH(A200,Mercado!$A$2:$A$11,0),MATCH(B200,Mercado!$B$1:$AN$1,0),1,1)</f>
        <v>493.55031724138286</v>
      </c>
      <c r="D200" s="18">
        <f ca="1">OFFSET(CompPerdasIntercambio!$A$1,MATCH(A200,CompPerdasIntercambio!$A$2:$A$11,0),MATCH(B200,CompPerdasIntercambio!$B$1:$AN$1,0),1,1)</f>
        <v>0</v>
      </c>
      <c r="E200" s="18">
        <f ca="1">OFFSET(GerNaoDesp!$A$1,MATCH(A200,GerNaoDesp!$A$2:$A$9,0),MATCH(B200,GerNaoDesp!$B$1:$AN$1,0),1,1)</f>
        <v>1.3776506037335768E-3</v>
      </c>
      <c r="F200" s="58">
        <f ca="1">OFFSET(MercadoPonta!$A$1,MATCH(A200,MercadoPonta!$A$2:$A$11,0),MATCH(B200,MercadoPonta!$B$1:$AN$1,0),1,1)</f>
        <v>807.39917937395808</v>
      </c>
      <c r="G200" s="432">
        <f ca="1">OFFSET(GerNaoDesp!$A$18,MATCH(A200,GerNaoDesp!$A$19:$A$25,0),MATCH(B200,GerNaoDesp!$B$18:$AN$18,0),1,1)</f>
        <v>1.3776506037335768E-3</v>
      </c>
      <c r="H200" s="24">
        <f ca="1">OFFSET(GerNaoDesp!$A$30,MATCH(A200,GerNaoDesp!$A$31:$A$37,0),MATCH(B200,GerNaoDesp!$B$30:$AN$30,0),1,1)</f>
        <v>0</v>
      </c>
      <c r="I200" s="24">
        <f ca="1">OFFSET(GerNaoDesp!$A$42,MATCH(A200,GerNaoDesp!$A$43:$A$49,0),MATCH(B200,GerNaoDesp!$B$42:$AN$42,0),1,1)</f>
        <v>0</v>
      </c>
    </row>
    <row r="201" spans="1:9">
      <c r="A201" s="59">
        <f t="shared" si="4"/>
        <v>6</v>
      </c>
      <c r="B201" s="59">
        <f t="shared" si="5"/>
        <v>2016</v>
      </c>
      <c r="C201" s="18">
        <f ca="1">OFFSET(Mercado!$A$1,MATCH(A201,Mercado!$A$2:$A$11,0),MATCH(B201,Mercado!$B$1:$AN$1,0),1,1)</f>
        <v>492.91981421934872</v>
      </c>
      <c r="D201" s="18">
        <f ca="1">OFFSET(CompPerdasIntercambio!$A$1,MATCH(A201,CompPerdasIntercambio!$A$2:$A$11,0),MATCH(B201,CompPerdasIntercambio!$B$1:$AN$1,0),1,1)</f>
        <v>0</v>
      </c>
      <c r="E201" s="18">
        <f ca="1">OFFSET(GerNaoDesp!$A$1,MATCH(A201,GerNaoDesp!$A$2:$A$9,0),MATCH(B201,GerNaoDesp!$B$1:$AN$1,0),1,1)</f>
        <v>9.9992056056778383E-3</v>
      </c>
      <c r="F201" s="58">
        <f ca="1">OFFSET(MercadoPonta!$A$1,MATCH(A201,MercadoPonta!$A$2:$A$11,0),MATCH(B201,MercadoPonta!$B$1:$AN$1,0),1,1)</f>
        <v>798</v>
      </c>
      <c r="G201" s="432">
        <f ca="1">OFFSET(GerNaoDesp!$A$18,MATCH(A201,GerNaoDesp!$A$19:$A$25,0),MATCH(B201,GerNaoDesp!$B$18:$AN$18,0),1,1)</f>
        <v>9.9992056056778383E-3</v>
      </c>
      <c r="H201" s="24">
        <f ca="1">OFFSET(GerNaoDesp!$A$30,MATCH(A201,GerNaoDesp!$A$31:$A$37,0),MATCH(B201,GerNaoDesp!$B$30:$AN$30,0),1,1)</f>
        <v>0</v>
      </c>
      <c r="I201" s="24">
        <f ca="1">OFFSET(GerNaoDesp!$A$42,MATCH(A201,GerNaoDesp!$A$43:$A$49,0),MATCH(B201,GerNaoDesp!$B$42:$AN$42,0),1,1)</f>
        <v>0</v>
      </c>
    </row>
    <row r="202" spans="1:9">
      <c r="A202" s="59">
        <f t="shared" si="4"/>
        <v>6</v>
      </c>
      <c r="B202" s="59">
        <f t="shared" si="5"/>
        <v>2017</v>
      </c>
      <c r="C202" s="18">
        <f ca="1">OFFSET(Mercado!$A$1,MATCH(A202,Mercado!$A$2:$A$11,0),MATCH(B202,Mercado!$B$1:$AN$1,0),1,1)</f>
        <v>505.68509382159959</v>
      </c>
      <c r="D202" s="18">
        <f ca="1">OFFSET(CompPerdasIntercambio!$A$1,MATCH(A202,CompPerdasIntercambio!$A$2:$A$11,0),MATCH(B202,CompPerdasIntercambio!$B$1:$AN$1,0),1,1)</f>
        <v>0</v>
      </c>
      <c r="E202" s="18">
        <f ca="1">OFFSET(GerNaoDesp!$A$1,MATCH(A202,GerNaoDesp!$A$2:$A$9,0),MATCH(B202,GerNaoDesp!$B$1:$AN$1,0),1,1)</f>
        <v>5.6286076865589438E-2</v>
      </c>
      <c r="F202" s="58">
        <f ca="1">OFFSET(MercadoPonta!$A$1,MATCH(A202,MercadoPonta!$A$2:$A$11,0),MATCH(B202,MercadoPonta!$B$1:$AN$1,0),1,1)</f>
        <v>861.87909852043731</v>
      </c>
      <c r="G202" s="432">
        <f ca="1">OFFSET(GerNaoDesp!$A$18,MATCH(A202,GerNaoDesp!$A$19:$A$25,0),MATCH(B202,GerNaoDesp!$B$18:$AN$18,0),1,1)</f>
        <v>5.6286076865589438E-2</v>
      </c>
      <c r="H202" s="24">
        <f ca="1">OFFSET(GerNaoDesp!$A$30,MATCH(A202,GerNaoDesp!$A$31:$A$37,0),MATCH(B202,GerNaoDesp!$B$30:$AN$30,0),1,1)</f>
        <v>0</v>
      </c>
      <c r="I202" s="24">
        <f ca="1">OFFSET(GerNaoDesp!$A$42,MATCH(A202,GerNaoDesp!$A$43:$A$49,0),MATCH(B202,GerNaoDesp!$B$42:$AN$42,0),1,1)</f>
        <v>0</v>
      </c>
    </row>
    <row r="203" spans="1:9">
      <c r="A203" s="59">
        <f t="shared" si="4"/>
        <v>6</v>
      </c>
      <c r="B203" s="59">
        <f t="shared" si="5"/>
        <v>2018</v>
      </c>
      <c r="C203" s="18">
        <f ca="1">OFFSET(Mercado!$A$1,MATCH(A203,Mercado!$A$2:$A$11,0),MATCH(B203,Mercado!$B$1:$AN$1,0),1,1)</f>
        <v>524.86979267630602</v>
      </c>
      <c r="D203" s="18">
        <f ca="1">OFFSET(CompPerdasIntercambio!$A$1,MATCH(A203,CompPerdasIntercambio!$A$2:$A$11,0),MATCH(B203,CompPerdasIntercambio!$B$1:$AN$1,0),1,1)</f>
        <v>0</v>
      </c>
      <c r="E203" s="18">
        <f ca="1">OFFSET(GerNaoDesp!$A$1,MATCH(A203,GerNaoDesp!$A$2:$A$9,0),MATCH(B203,GerNaoDesp!$B$1:$AN$1,0),1,1)</f>
        <v>0.1977263213615468</v>
      </c>
      <c r="F203" s="58">
        <f ca="1">OFFSET(MercadoPonta!$A$1,MATCH(A203,MercadoPonta!$A$2:$A$11,0),MATCH(B203,MercadoPonta!$B$1:$AN$1,0),1,1)</f>
        <v>969.22078604005287</v>
      </c>
      <c r="G203" s="432">
        <f ca="1">OFFSET(GerNaoDesp!$A$18,MATCH(A203,GerNaoDesp!$A$19:$A$25,0),MATCH(B203,GerNaoDesp!$B$18:$AN$18,0),1,1)</f>
        <v>0.1977263213615468</v>
      </c>
      <c r="H203" s="24">
        <f ca="1">OFFSET(GerNaoDesp!$A$30,MATCH(A203,GerNaoDesp!$A$31:$A$37,0),MATCH(B203,GerNaoDesp!$B$30:$AN$30,0),1,1)</f>
        <v>0</v>
      </c>
      <c r="I203" s="24">
        <f ca="1">OFFSET(GerNaoDesp!$A$42,MATCH(A203,GerNaoDesp!$A$43:$A$49,0),MATCH(B203,GerNaoDesp!$B$42:$AN$42,0),1,1)</f>
        <v>0</v>
      </c>
    </row>
    <row r="204" spans="1:9">
      <c r="A204" s="59">
        <f t="shared" si="4"/>
        <v>6</v>
      </c>
      <c r="B204" s="59">
        <f t="shared" si="5"/>
        <v>2019</v>
      </c>
      <c r="C204" s="18">
        <f ca="1">OFFSET(Mercado!$A$1,MATCH(A204,Mercado!$A$2:$A$11,0),MATCH(B204,Mercado!$B$1:$AN$1,0),1,1)</f>
        <v>546.46208549314554</v>
      </c>
      <c r="D204" s="18">
        <f ca="1">OFFSET(CompPerdasIntercambio!$A$1,MATCH(A204,CompPerdasIntercambio!$A$2:$A$11,0),MATCH(B204,CompPerdasIntercambio!$B$1:$AN$1,0),1,1)</f>
        <v>0</v>
      </c>
      <c r="E204" s="18">
        <f ca="1">OFFSET(GerNaoDesp!$A$1,MATCH(A204,GerNaoDesp!$A$2:$A$9,0),MATCH(B204,GerNaoDesp!$B$1:$AN$1,0),1,1)</f>
        <v>0.45925472030867881</v>
      </c>
      <c r="F204" s="58">
        <f ca="1">OFFSET(MercadoPonta!$A$1,MATCH(A204,MercadoPonta!$A$2:$A$11,0),MATCH(B204,MercadoPonta!$B$1:$AN$1,0),1,1)</f>
        <v>1016.1702431277995</v>
      </c>
      <c r="G204" s="432">
        <f ca="1">OFFSET(GerNaoDesp!$A$18,MATCH(A204,GerNaoDesp!$A$19:$A$25,0),MATCH(B204,GerNaoDesp!$B$18:$AN$18,0),1,1)</f>
        <v>0.45925472030867881</v>
      </c>
      <c r="H204" s="24">
        <f ca="1">OFFSET(GerNaoDesp!$A$30,MATCH(A204,GerNaoDesp!$A$31:$A$37,0),MATCH(B204,GerNaoDesp!$B$30:$AN$30,0),1,1)</f>
        <v>0</v>
      </c>
      <c r="I204" s="24">
        <f ca="1">OFFSET(GerNaoDesp!$A$42,MATCH(A204,GerNaoDesp!$A$43:$A$49,0),MATCH(B204,GerNaoDesp!$B$42:$AN$42,0),1,1)</f>
        <v>0</v>
      </c>
    </row>
    <row r="205" spans="1:9">
      <c r="A205" s="59">
        <f t="shared" si="4"/>
        <v>6</v>
      </c>
      <c r="B205" s="59">
        <f t="shared" si="5"/>
        <v>2020</v>
      </c>
      <c r="C205" s="18">
        <f ca="1">OFFSET(Mercado!$A$1,MATCH(A205,Mercado!$A$2:$A$11,0),MATCH(B205,Mercado!$B$1:$AN$1,0),1,1)</f>
        <v>568.07391194113768</v>
      </c>
      <c r="D205" s="18">
        <f ca="1">OFFSET(CompPerdasIntercambio!$A$1,MATCH(A205,CompPerdasIntercambio!$A$2:$A$11,0),MATCH(B205,CompPerdasIntercambio!$B$1:$AN$1,0),1,1)</f>
        <v>0</v>
      </c>
      <c r="E205" s="18">
        <f ca="1">OFFSET(GerNaoDesp!$A$1,MATCH(A205,GerNaoDesp!$A$2:$A$9,0),MATCH(B205,GerNaoDesp!$B$1:$AN$1,0),1,1)</f>
        <v>0.81230447635381775</v>
      </c>
      <c r="F205" s="58">
        <f ca="1">OFFSET(MercadoPonta!$A$1,MATCH(A205,MercadoPonta!$A$2:$A$11,0),MATCH(B205,MercadoPonta!$B$1:$AN$1,0),1,1)</f>
        <v>1067.0194914386193</v>
      </c>
      <c r="G205" s="432">
        <f ca="1">OFFSET(GerNaoDesp!$A$18,MATCH(A205,GerNaoDesp!$A$19:$A$25,0),MATCH(B205,GerNaoDesp!$B$18:$AN$18,0),1,1)</f>
        <v>0.81230447635381775</v>
      </c>
      <c r="H205" s="24">
        <f ca="1">OFFSET(GerNaoDesp!$A$30,MATCH(A205,GerNaoDesp!$A$31:$A$37,0),MATCH(B205,GerNaoDesp!$B$30:$AN$30,0),1,1)</f>
        <v>0</v>
      </c>
      <c r="I205" s="24">
        <f ca="1">OFFSET(GerNaoDesp!$A$42,MATCH(A205,GerNaoDesp!$A$43:$A$49,0),MATCH(B205,GerNaoDesp!$B$42:$AN$42,0),1,1)</f>
        <v>0</v>
      </c>
    </row>
    <row r="206" spans="1:9">
      <c r="A206" s="59">
        <f t="shared" si="4"/>
        <v>6</v>
      </c>
      <c r="B206" s="59">
        <f t="shared" si="5"/>
        <v>2021</v>
      </c>
      <c r="C206" s="18">
        <f ca="1">OFFSET(Mercado!$A$1,MATCH(A206,Mercado!$A$2:$A$11,0),MATCH(B206,Mercado!$B$1:$AN$1,0),1,1)</f>
        <v>591.20665084889049</v>
      </c>
      <c r="D206" s="18">
        <f ca="1">OFFSET(CompPerdasIntercambio!$A$1,MATCH(A206,CompPerdasIntercambio!$A$2:$A$11,0),MATCH(B206,CompPerdasIntercambio!$B$1:$AN$1,0),1,1)</f>
        <v>0</v>
      </c>
      <c r="E206" s="18">
        <f ca="1">OFFSET(GerNaoDesp!$A$1,MATCH(A206,GerNaoDesp!$A$2:$A$9,0),MATCH(B206,GerNaoDesp!$B$1:$AN$1,0),1,1)</f>
        <v>1.0062649511729489</v>
      </c>
      <c r="F206" s="58">
        <f ca="1">OFFSET(MercadoPonta!$A$1,MATCH(A206,MercadoPonta!$A$2:$A$11,0),MATCH(B206,MercadoPonta!$B$1:$AN$1,0),1,1)</f>
        <v>1119.0088230114286</v>
      </c>
      <c r="G206" s="432">
        <f ca="1">OFFSET(GerNaoDesp!$A$18,MATCH(A206,GerNaoDesp!$A$19:$A$25,0),MATCH(B206,GerNaoDesp!$B$18:$AN$18,0),1,1)</f>
        <v>1.0062649511729489</v>
      </c>
      <c r="H206" s="24">
        <f ca="1">OFFSET(GerNaoDesp!$A$30,MATCH(A206,GerNaoDesp!$A$31:$A$37,0),MATCH(B206,GerNaoDesp!$B$30:$AN$30,0),1,1)</f>
        <v>0</v>
      </c>
      <c r="I206" s="24">
        <f ca="1">OFFSET(GerNaoDesp!$A$42,MATCH(A206,GerNaoDesp!$A$43:$A$49,0),MATCH(B206,GerNaoDesp!$B$42:$AN$42,0),1,1)</f>
        <v>0</v>
      </c>
    </row>
    <row r="207" spans="1:9">
      <c r="A207" s="59">
        <f t="shared" si="4"/>
        <v>6</v>
      </c>
      <c r="B207" s="59">
        <f t="shared" si="5"/>
        <v>2022</v>
      </c>
      <c r="C207" s="18">
        <f ca="1">OFFSET(Mercado!$A$1,MATCH(A207,Mercado!$A$2:$A$11,0),MATCH(B207,Mercado!$B$1:$AN$1,0),1,1)</f>
        <v>614.80294499081947</v>
      </c>
      <c r="D207" s="18">
        <f ca="1">OFFSET(CompPerdasIntercambio!$A$1,MATCH(A207,CompPerdasIntercambio!$A$2:$A$11,0),MATCH(B207,CompPerdasIntercambio!$B$1:$AN$1,0),1,1)</f>
        <v>0</v>
      </c>
      <c r="E207" s="18">
        <f ca="1">OFFSET(GerNaoDesp!$A$1,MATCH(A207,GerNaoDesp!$A$2:$A$9,0),MATCH(B207,GerNaoDesp!$B$1:$AN$1,0),1,1)</f>
        <v>1.025834776680784</v>
      </c>
      <c r="F207" s="58">
        <f ca="1">OFFSET(MercadoPonta!$A$1,MATCH(A207,MercadoPonta!$A$2:$A$11,0),MATCH(B207,MercadoPonta!$B$1:$AN$1,0),1,1)</f>
        <v>1163.6708059192297</v>
      </c>
      <c r="G207" s="432">
        <f ca="1">OFFSET(GerNaoDesp!$A$18,MATCH(A207,GerNaoDesp!$A$19:$A$25,0),MATCH(B207,GerNaoDesp!$B$18:$AN$18,0),1,1)</f>
        <v>1.025834776680784</v>
      </c>
      <c r="H207" s="24">
        <f ca="1">OFFSET(GerNaoDesp!$A$30,MATCH(A207,GerNaoDesp!$A$31:$A$37,0),MATCH(B207,GerNaoDesp!$B$30:$AN$30,0),1,1)</f>
        <v>0</v>
      </c>
      <c r="I207" s="24">
        <f ca="1">OFFSET(GerNaoDesp!$A$42,MATCH(A207,GerNaoDesp!$A$43:$A$49,0),MATCH(B207,GerNaoDesp!$B$42:$AN$42,0),1,1)</f>
        <v>0</v>
      </c>
    </row>
    <row r="208" spans="1:9">
      <c r="A208" s="59">
        <f t="shared" si="4"/>
        <v>6</v>
      </c>
      <c r="B208" s="59">
        <f t="shared" si="5"/>
        <v>2023</v>
      </c>
      <c r="C208" s="18">
        <f ca="1">OFFSET(Mercado!$A$1,MATCH(A208,Mercado!$A$2:$A$11,0),MATCH(B208,Mercado!$B$1:$AN$1,0),1,1)</f>
        <v>638.41745669282273</v>
      </c>
      <c r="D208" s="18">
        <f ca="1">OFFSET(CompPerdasIntercambio!$A$1,MATCH(A208,CompPerdasIntercambio!$A$2:$A$11,0),MATCH(B208,CompPerdasIntercambio!$B$1:$AN$1,0),1,1)</f>
        <v>0</v>
      </c>
      <c r="E208" s="18">
        <f ca="1">OFFSET(GerNaoDesp!$A$1,MATCH(A208,GerNaoDesp!$A$2:$A$9,0),MATCH(B208,GerNaoDesp!$B$1:$AN$1,0),1,1)</f>
        <v>1.1649199226207259</v>
      </c>
      <c r="F208" s="58">
        <f ca="1">OFFSET(MercadoPonta!$A$1,MATCH(A208,MercadoPonta!$A$2:$A$11,0),MATCH(B208,MercadoPonta!$B$1:$AN$1,0),1,1)</f>
        <v>1208.367270188882</v>
      </c>
      <c r="G208" s="432">
        <f ca="1">OFFSET(GerNaoDesp!$A$18,MATCH(A208,GerNaoDesp!$A$19:$A$25,0),MATCH(B208,GerNaoDesp!$B$18:$AN$18,0),1,1)</f>
        <v>1.1649199226207259</v>
      </c>
      <c r="H208" s="24">
        <f ca="1">OFFSET(GerNaoDesp!$A$30,MATCH(A208,GerNaoDesp!$A$31:$A$37,0),MATCH(B208,GerNaoDesp!$B$30:$AN$30,0),1,1)</f>
        <v>0</v>
      </c>
      <c r="I208" s="24">
        <f ca="1">OFFSET(GerNaoDesp!$A$42,MATCH(A208,GerNaoDesp!$A$43:$A$49,0),MATCH(B208,GerNaoDesp!$B$42:$AN$42,0),1,1)</f>
        <v>0</v>
      </c>
    </row>
    <row r="209" spans="1:9">
      <c r="A209" s="59">
        <f t="shared" si="4"/>
        <v>6</v>
      </c>
      <c r="B209" s="59">
        <f t="shared" si="5"/>
        <v>2024</v>
      </c>
      <c r="C209" s="18">
        <f ca="1">OFFSET(Mercado!$A$1,MATCH(A209,Mercado!$A$2:$A$11,0),MATCH(B209,Mercado!$B$1:$AN$1,0),1,1)</f>
        <v>662.4856407299394</v>
      </c>
      <c r="D209" s="18">
        <f ca="1">OFFSET(CompPerdasIntercambio!$A$1,MATCH(A209,CompPerdasIntercambio!$A$2:$A$11,0),MATCH(B209,CompPerdasIntercambio!$B$1:$AN$1,0),1,1)</f>
        <v>0</v>
      </c>
      <c r="E209" s="18">
        <f ca="1">OFFSET(GerNaoDesp!$A$1,MATCH(A209,GerNaoDesp!$A$2:$A$9,0),MATCH(B209,GerNaoDesp!$B$1:$AN$1,0),1,1)</f>
        <v>1.4379936917872875</v>
      </c>
      <c r="F209" s="58">
        <f ca="1">OFFSET(MercadoPonta!$A$1,MATCH(A209,MercadoPonta!$A$2:$A$11,0),MATCH(B209,MercadoPonta!$B$1:$AN$1,0),1,1)</f>
        <v>1254.8267037880471</v>
      </c>
      <c r="G209" s="432">
        <f ca="1">OFFSET(GerNaoDesp!$A$18,MATCH(A209,GerNaoDesp!$A$19:$A$25,0),MATCH(B209,GerNaoDesp!$B$18:$AN$18,0),1,1)</f>
        <v>1.4379936917872875</v>
      </c>
      <c r="H209" s="24">
        <f ca="1">OFFSET(GerNaoDesp!$A$30,MATCH(A209,GerNaoDesp!$A$31:$A$37,0),MATCH(B209,GerNaoDesp!$B$30:$AN$30,0),1,1)</f>
        <v>0</v>
      </c>
      <c r="I209" s="24">
        <f ca="1">OFFSET(GerNaoDesp!$A$42,MATCH(A209,GerNaoDesp!$A$43:$A$49,0),MATCH(B209,GerNaoDesp!$B$42:$AN$42,0),1,1)</f>
        <v>0</v>
      </c>
    </row>
    <row r="210" spans="1:9">
      <c r="A210" s="59">
        <f t="shared" si="4"/>
        <v>6</v>
      </c>
      <c r="B210" s="59">
        <f t="shared" si="5"/>
        <v>2025</v>
      </c>
      <c r="C210" s="18">
        <f ca="1">OFFSET(Mercado!$A$1,MATCH(A210,Mercado!$A$2:$A$11,0),MATCH(B210,Mercado!$B$1:$AN$1,0),1,1)</f>
        <v>686.88791785438343</v>
      </c>
      <c r="D210" s="18">
        <f ca="1">OFFSET(CompPerdasIntercambio!$A$1,MATCH(A210,CompPerdasIntercambio!$A$2:$A$11,0),MATCH(B210,CompPerdasIntercambio!$B$1:$AN$1,0),1,1)</f>
        <v>0</v>
      </c>
      <c r="E210" s="18">
        <f ca="1">OFFSET(GerNaoDesp!$A$1,MATCH(A210,GerNaoDesp!$A$2:$A$9,0),MATCH(B210,GerNaoDesp!$B$1:$AN$1,0),1,1)</f>
        <v>1.7674499696886508</v>
      </c>
      <c r="F210" s="58">
        <f ca="1">OFFSET(MercadoPonta!$A$1,MATCH(A210,MercadoPonta!$A$2:$A$11,0),MATCH(B210,MercadoPonta!$B$1:$AN$1,0),1,1)</f>
        <v>1300.1099351560974</v>
      </c>
      <c r="G210" s="432">
        <f ca="1">OFFSET(GerNaoDesp!$A$18,MATCH(A210,GerNaoDesp!$A$19:$A$25,0),MATCH(B210,GerNaoDesp!$B$18:$AN$18,0),1,1)</f>
        <v>1.7674499696886508</v>
      </c>
      <c r="H210" s="24">
        <f ca="1">OFFSET(GerNaoDesp!$A$30,MATCH(A210,GerNaoDesp!$A$31:$A$37,0),MATCH(B210,GerNaoDesp!$B$30:$AN$30,0),1,1)</f>
        <v>0</v>
      </c>
      <c r="I210" s="24">
        <f ca="1">OFFSET(GerNaoDesp!$A$42,MATCH(A210,GerNaoDesp!$A$43:$A$49,0),MATCH(B210,GerNaoDesp!$B$42:$AN$42,0),1,1)</f>
        <v>0</v>
      </c>
    </row>
    <row r="211" spans="1:9">
      <c r="A211" s="59">
        <f t="shared" si="4"/>
        <v>6</v>
      </c>
      <c r="B211" s="59">
        <f t="shared" si="5"/>
        <v>2026</v>
      </c>
      <c r="C211" s="18">
        <f ca="1">OFFSET(Mercado!$A$1,MATCH(A211,Mercado!$A$2:$A$11,0),MATCH(B211,Mercado!$B$1:$AN$1,0),1,1)</f>
        <v>711.36211117429355</v>
      </c>
      <c r="D211" s="18">
        <f ca="1">OFFSET(CompPerdasIntercambio!$A$1,MATCH(A211,CompPerdasIntercambio!$A$2:$A$11,0),MATCH(B211,CompPerdasIntercambio!$B$1:$AN$1,0),1,1)</f>
        <v>0</v>
      </c>
      <c r="E211" s="18">
        <f ca="1">OFFSET(GerNaoDesp!$A$1,MATCH(A211,GerNaoDesp!$A$2:$A$9,0),MATCH(B211,GerNaoDesp!$B$1:$AN$1,0),1,1)</f>
        <v>2.1751016202766933</v>
      </c>
      <c r="F211" s="58">
        <f ca="1">OFFSET(MercadoPonta!$A$1,MATCH(A211,MercadoPonta!$A$2:$A$11,0),MATCH(B211,MercadoPonta!$B$1:$AN$1,0),1,1)</f>
        <v>1346.4335653482528</v>
      </c>
      <c r="G211" s="432">
        <f ca="1">OFFSET(GerNaoDesp!$A$18,MATCH(A211,GerNaoDesp!$A$19:$A$25,0),MATCH(B211,GerNaoDesp!$B$18:$AN$18,0),1,1)</f>
        <v>2.1751016202766933</v>
      </c>
      <c r="H211" s="24">
        <f ca="1">OFFSET(GerNaoDesp!$A$30,MATCH(A211,GerNaoDesp!$A$31:$A$37,0),MATCH(B211,GerNaoDesp!$B$30:$AN$30,0),1,1)</f>
        <v>0</v>
      </c>
      <c r="I211" s="24">
        <f ca="1">OFFSET(GerNaoDesp!$A$42,MATCH(A211,GerNaoDesp!$A$43:$A$49,0),MATCH(B211,GerNaoDesp!$B$42:$AN$42,0),1,1)</f>
        <v>0</v>
      </c>
    </row>
    <row r="212" spans="1:9">
      <c r="A212" s="59">
        <f t="shared" si="4"/>
        <v>6</v>
      </c>
      <c r="B212" s="59">
        <f t="shared" si="5"/>
        <v>2027</v>
      </c>
      <c r="C212" s="18">
        <f ca="1">OFFSET(Mercado!$A$1,MATCH(A212,Mercado!$A$2:$A$11,0),MATCH(B212,Mercado!$B$1:$AN$1,0),1,1)</f>
        <v>736.08516248314049</v>
      </c>
      <c r="D212" s="18">
        <f ca="1">OFFSET(CompPerdasIntercambio!$A$1,MATCH(A212,CompPerdasIntercambio!$A$2:$A$11,0),MATCH(B212,CompPerdasIntercambio!$B$1:$AN$1,0),1,1)</f>
        <v>0</v>
      </c>
      <c r="E212" s="18">
        <f ca="1">OFFSET(GerNaoDesp!$A$1,MATCH(A212,GerNaoDesp!$A$2:$A$9,0),MATCH(B212,GerNaoDesp!$B$1:$AN$1,0),1,1)</f>
        <v>2.6240320042287477</v>
      </c>
      <c r="F212" s="58">
        <f ca="1">OFFSET(MercadoPonta!$A$1,MATCH(A212,MercadoPonta!$A$2:$A$11,0),MATCH(B212,MercadoPonta!$B$1:$AN$1,0),1,1)</f>
        <v>1393.2282225237775</v>
      </c>
      <c r="G212" s="432">
        <f ca="1">OFFSET(GerNaoDesp!$A$18,MATCH(A212,GerNaoDesp!$A$19:$A$25,0),MATCH(B212,GerNaoDesp!$B$18:$AN$18,0),1,1)</f>
        <v>2.6240320042287477</v>
      </c>
      <c r="H212" s="24">
        <f ca="1">OFFSET(GerNaoDesp!$A$30,MATCH(A212,GerNaoDesp!$A$31:$A$37,0),MATCH(B212,GerNaoDesp!$B$30:$AN$30,0),1,1)</f>
        <v>0</v>
      </c>
      <c r="I212" s="24">
        <f ca="1">OFFSET(GerNaoDesp!$A$42,MATCH(A212,GerNaoDesp!$A$43:$A$49,0),MATCH(B212,GerNaoDesp!$B$42:$AN$42,0),1,1)</f>
        <v>0</v>
      </c>
    </row>
    <row r="213" spans="1:9">
      <c r="A213" s="59">
        <f t="shared" si="4"/>
        <v>6</v>
      </c>
      <c r="B213" s="59">
        <f t="shared" si="5"/>
        <v>2028</v>
      </c>
      <c r="C213" s="18">
        <f ca="1">OFFSET(Mercado!$A$1,MATCH(A213,Mercado!$A$2:$A$11,0),MATCH(B213,Mercado!$B$1:$AN$1,0),1,1)</f>
        <v>760.94856293621933</v>
      </c>
      <c r="D213" s="18">
        <f ca="1">OFFSET(CompPerdasIntercambio!$A$1,MATCH(A213,CompPerdasIntercambio!$A$2:$A$11,0),MATCH(B213,CompPerdasIntercambio!$B$1:$AN$1,0),1,1)</f>
        <v>0</v>
      </c>
      <c r="E213" s="18">
        <f ca="1">OFFSET(GerNaoDesp!$A$1,MATCH(A213,GerNaoDesp!$A$2:$A$9,0),MATCH(B213,GerNaoDesp!$B$1:$AN$1,0),1,1)</f>
        <v>3.0792042875872516</v>
      </c>
      <c r="F213" s="58">
        <f ca="1">OFFSET(MercadoPonta!$A$1,MATCH(A213,MercadoPonta!$A$2:$A$11,0),MATCH(B213,MercadoPonta!$B$1:$AN$1,0),1,1)</f>
        <v>1441.3272051141</v>
      </c>
      <c r="G213" s="432">
        <f ca="1">OFFSET(GerNaoDesp!$A$18,MATCH(A213,GerNaoDesp!$A$19:$A$25,0),MATCH(B213,GerNaoDesp!$B$18:$AN$18,0),1,1)</f>
        <v>3.0792042875872516</v>
      </c>
      <c r="H213" s="24">
        <f ca="1">OFFSET(GerNaoDesp!$A$30,MATCH(A213,GerNaoDesp!$A$31:$A$37,0),MATCH(B213,GerNaoDesp!$B$30:$AN$30,0),1,1)</f>
        <v>0</v>
      </c>
      <c r="I213" s="24">
        <f ca="1">OFFSET(GerNaoDesp!$A$42,MATCH(A213,GerNaoDesp!$A$43:$A$49,0),MATCH(B213,GerNaoDesp!$B$42:$AN$42,0),1,1)</f>
        <v>0</v>
      </c>
    </row>
    <row r="214" spans="1:9">
      <c r="A214" s="59">
        <f t="shared" si="4"/>
        <v>6</v>
      </c>
      <c r="B214" s="59">
        <f t="shared" si="5"/>
        <v>2029</v>
      </c>
      <c r="C214" s="18">
        <f ca="1">OFFSET(Mercado!$A$1,MATCH(A214,Mercado!$A$2:$A$11,0),MATCH(B214,Mercado!$B$1:$AN$1,0),1,1)</f>
        <v>785.73462021588557</v>
      </c>
      <c r="D214" s="18">
        <f ca="1">OFFSET(CompPerdasIntercambio!$A$1,MATCH(A214,CompPerdasIntercambio!$A$2:$A$11,0),MATCH(B214,CompPerdasIntercambio!$B$1:$AN$1,0),1,1)</f>
        <v>0</v>
      </c>
      <c r="E214" s="18">
        <f ca="1">OFFSET(GerNaoDesp!$A$1,MATCH(A214,GerNaoDesp!$A$2:$A$9,0),MATCH(B214,GerNaoDesp!$B$1:$AN$1,0),1,1)</f>
        <v>3.5878098154797735</v>
      </c>
      <c r="F214" s="58">
        <f ca="1">OFFSET(MercadoPonta!$A$1,MATCH(A214,MercadoPonta!$A$2:$A$11,0),MATCH(B214,MercadoPonta!$B$1:$AN$1,0),1,1)</f>
        <v>1487.2024381062661</v>
      </c>
      <c r="G214" s="432">
        <f ca="1">OFFSET(GerNaoDesp!$A$18,MATCH(A214,GerNaoDesp!$A$19:$A$25,0),MATCH(B214,GerNaoDesp!$B$18:$AN$18,0),1,1)</f>
        <v>3.5878098154797735</v>
      </c>
      <c r="H214" s="24">
        <f ca="1">OFFSET(GerNaoDesp!$A$30,MATCH(A214,GerNaoDesp!$A$31:$A$37,0),MATCH(B214,GerNaoDesp!$B$30:$AN$30,0),1,1)</f>
        <v>0</v>
      </c>
      <c r="I214" s="24">
        <f ca="1">OFFSET(GerNaoDesp!$A$42,MATCH(A214,GerNaoDesp!$A$43:$A$49,0),MATCH(B214,GerNaoDesp!$B$42:$AN$42,0),1,1)</f>
        <v>0</v>
      </c>
    </row>
    <row r="215" spans="1:9">
      <c r="A215" s="59">
        <f t="shared" si="4"/>
        <v>6</v>
      </c>
      <c r="B215" s="59">
        <f t="shared" si="5"/>
        <v>2030</v>
      </c>
      <c r="C215" s="18">
        <f ca="1">OFFSET(Mercado!$A$1,MATCH(A215,Mercado!$A$2:$A$11,0),MATCH(B215,Mercado!$B$1:$AN$1,0),1,1)</f>
        <v>810.63523453358221</v>
      </c>
      <c r="D215" s="18">
        <f ca="1">OFFSET(CompPerdasIntercambio!$A$1,MATCH(A215,CompPerdasIntercambio!$A$2:$A$11,0),MATCH(B215,CompPerdasIntercambio!$B$1:$AN$1,0),1,1)</f>
        <v>0</v>
      </c>
      <c r="E215" s="18">
        <f ca="1">OFFSET(GerNaoDesp!$A$1,MATCH(A215,GerNaoDesp!$A$2:$A$9,0),MATCH(B215,GerNaoDesp!$B$1:$AN$1,0),1,1)</f>
        <v>4.1113785407247452</v>
      </c>
      <c r="F215" s="58">
        <f ca="1">OFFSET(MercadoPonta!$A$1,MATCH(A215,MercadoPonta!$A$2:$A$11,0),MATCH(B215,MercadoPonta!$B$1:$AN$1,0),1,1)</f>
        <v>1534.3331783980041</v>
      </c>
      <c r="G215" s="432">
        <f ca="1">OFFSET(GerNaoDesp!$A$18,MATCH(A215,GerNaoDesp!$A$19:$A$25,0),MATCH(B215,GerNaoDesp!$B$18:$AN$18,0),1,1)</f>
        <v>4.1113785407247452</v>
      </c>
      <c r="H215" s="24">
        <f ca="1">OFFSET(GerNaoDesp!$A$30,MATCH(A215,GerNaoDesp!$A$31:$A$37,0),MATCH(B215,GerNaoDesp!$B$30:$AN$30,0),1,1)</f>
        <v>0</v>
      </c>
      <c r="I215" s="24">
        <f ca="1">OFFSET(GerNaoDesp!$A$42,MATCH(A215,GerNaoDesp!$A$43:$A$49,0),MATCH(B215,GerNaoDesp!$B$42:$AN$42,0),1,1)</f>
        <v>0</v>
      </c>
    </row>
    <row r="216" spans="1:9">
      <c r="A216" s="59">
        <f t="shared" si="4"/>
        <v>6</v>
      </c>
      <c r="B216" s="59">
        <f t="shared" si="5"/>
        <v>2031</v>
      </c>
      <c r="C216" s="18">
        <f ca="1">OFFSET(Mercado!$A$1,MATCH(A216,Mercado!$A$2:$A$11,0),MATCH(B216,Mercado!$B$1:$AN$1,0),1,1)</f>
        <v>835.75247727882413</v>
      </c>
      <c r="D216" s="18">
        <f ca="1">OFFSET(CompPerdasIntercambio!$A$1,MATCH(A216,CompPerdasIntercambio!$A$2:$A$11,0),MATCH(B216,CompPerdasIntercambio!$B$1:$AN$1,0),1,1)</f>
        <v>0</v>
      </c>
      <c r="E216" s="18">
        <f ca="1">OFFSET(GerNaoDesp!$A$1,MATCH(A216,GerNaoDesp!$A$2:$A$9,0),MATCH(B216,GerNaoDesp!$B$1:$AN$1,0),1,1)</f>
        <v>4.5391194141010027</v>
      </c>
      <c r="F216" s="58">
        <f ca="1">OFFSET(MercadoPonta!$A$1,MATCH(A216,MercadoPonta!$A$2:$A$11,0),MATCH(B216,MercadoPonta!$B$1:$AN$1,0),1,1)</f>
        <v>1581.8739430380645</v>
      </c>
      <c r="G216" s="432">
        <f ca="1">OFFSET(GerNaoDesp!$A$18,MATCH(A216,GerNaoDesp!$A$19:$A$25,0),MATCH(B216,GerNaoDesp!$B$18:$AN$18,0),1,1)</f>
        <v>4.5391194141010027</v>
      </c>
      <c r="H216" s="24">
        <f ca="1">OFFSET(GerNaoDesp!$A$30,MATCH(A216,GerNaoDesp!$A$31:$A$37,0),MATCH(B216,GerNaoDesp!$B$30:$AN$30,0),1,1)</f>
        <v>0</v>
      </c>
      <c r="I216" s="24">
        <f ca="1">OFFSET(GerNaoDesp!$A$42,MATCH(A216,GerNaoDesp!$A$43:$A$49,0),MATCH(B216,GerNaoDesp!$B$42:$AN$42,0),1,1)</f>
        <v>0</v>
      </c>
    </row>
    <row r="217" spans="1:9">
      <c r="A217" s="59">
        <f t="shared" si="4"/>
        <v>6</v>
      </c>
      <c r="B217" s="59">
        <f t="shared" si="5"/>
        <v>2032</v>
      </c>
      <c r="C217" s="18">
        <f ca="1">OFFSET(Mercado!$A$1,MATCH(A217,Mercado!$A$2:$A$11,0),MATCH(B217,Mercado!$B$1:$AN$1,0),1,1)</f>
        <v>860.87689319531444</v>
      </c>
      <c r="D217" s="18">
        <f ca="1">OFFSET(CompPerdasIntercambio!$A$1,MATCH(A217,CompPerdasIntercambio!$A$2:$A$11,0),MATCH(B217,CompPerdasIntercambio!$B$1:$AN$1,0),1,1)</f>
        <v>0</v>
      </c>
      <c r="E217" s="18">
        <f ca="1">OFFSET(GerNaoDesp!$A$1,MATCH(A217,GerNaoDesp!$A$2:$A$9,0),MATCH(B217,GerNaoDesp!$B$1:$AN$1,0),1,1)</f>
        <v>4.8918928789005234</v>
      </c>
      <c r="F217" s="58">
        <f ca="1">OFFSET(MercadoPonta!$A$1,MATCH(A217,MercadoPonta!$A$2:$A$11,0),MATCH(B217,MercadoPonta!$B$1:$AN$1,0),1,1)</f>
        <v>1630.6033638183146</v>
      </c>
      <c r="G217" s="432">
        <f ca="1">OFFSET(GerNaoDesp!$A$18,MATCH(A217,GerNaoDesp!$A$19:$A$25,0),MATCH(B217,GerNaoDesp!$B$18:$AN$18,0),1,1)</f>
        <v>4.8918928789005234</v>
      </c>
      <c r="H217" s="24">
        <f ca="1">OFFSET(GerNaoDesp!$A$30,MATCH(A217,GerNaoDesp!$A$31:$A$37,0),MATCH(B217,GerNaoDesp!$B$30:$AN$30,0),1,1)</f>
        <v>0</v>
      </c>
      <c r="I217" s="24">
        <f ca="1">OFFSET(GerNaoDesp!$A$42,MATCH(A217,GerNaoDesp!$A$43:$A$49,0),MATCH(B217,GerNaoDesp!$B$42:$AN$42,0),1,1)</f>
        <v>0</v>
      </c>
    </row>
    <row r="218" spans="1:9">
      <c r="A218" s="59">
        <f t="shared" si="4"/>
        <v>6</v>
      </c>
      <c r="B218" s="59">
        <f t="shared" si="5"/>
        <v>2033</v>
      </c>
      <c r="C218" s="18">
        <f ca="1">OFFSET(Mercado!$A$1,MATCH(A218,Mercado!$A$2:$A$11,0),MATCH(B218,Mercado!$B$1:$AN$1,0),1,1)</f>
        <v>886.15926967083544</v>
      </c>
      <c r="D218" s="18">
        <f ca="1">OFFSET(CompPerdasIntercambio!$A$1,MATCH(A218,CompPerdasIntercambio!$A$2:$A$11,0),MATCH(B218,CompPerdasIntercambio!$B$1:$AN$1,0),1,1)</f>
        <v>0</v>
      </c>
      <c r="E218" s="18">
        <f ca="1">OFFSET(GerNaoDesp!$A$1,MATCH(A218,GerNaoDesp!$A$2:$A$9,0),MATCH(B218,GerNaoDesp!$B$1:$AN$1,0),1,1)</f>
        <v>5.259833734884932</v>
      </c>
      <c r="F218" s="58">
        <f ca="1">OFFSET(MercadoPonta!$A$1,MATCH(A218,MercadoPonta!$A$2:$A$11,0),MATCH(B218,MercadoPonta!$B$1:$AN$1,0),1,1)</f>
        <v>1677.2816069156195</v>
      </c>
      <c r="G218" s="432">
        <f ca="1">OFFSET(GerNaoDesp!$A$18,MATCH(A218,GerNaoDesp!$A$19:$A$25,0),MATCH(B218,GerNaoDesp!$B$18:$AN$18,0),1,1)</f>
        <v>5.259833734884932</v>
      </c>
      <c r="H218" s="24">
        <f ca="1">OFFSET(GerNaoDesp!$A$30,MATCH(A218,GerNaoDesp!$A$31:$A$37,0),MATCH(B218,GerNaoDesp!$B$30:$AN$30,0),1,1)</f>
        <v>0</v>
      </c>
      <c r="I218" s="24">
        <f ca="1">OFFSET(GerNaoDesp!$A$42,MATCH(A218,GerNaoDesp!$A$43:$A$49,0),MATCH(B218,GerNaoDesp!$B$42:$AN$42,0),1,1)</f>
        <v>0</v>
      </c>
    </row>
    <row r="219" spans="1:9">
      <c r="A219" s="59">
        <f t="shared" si="4"/>
        <v>6</v>
      </c>
      <c r="B219" s="59">
        <f t="shared" si="5"/>
        <v>2034</v>
      </c>
      <c r="C219" s="18">
        <f ca="1">OFFSET(Mercado!$A$1,MATCH(A219,Mercado!$A$2:$A$11,0),MATCH(B219,Mercado!$B$1:$AN$1,0),1,1)</f>
        <v>911.656674564333</v>
      </c>
      <c r="D219" s="18">
        <f ca="1">OFFSET(CompPerdasIntercambio!$A$1,MATCH(A219,CompPerdasIntercambio!$A$2:$A$11,0),MATCH(B219,CompPerdasIntercambio!$B$1:$AN$1,0),1,1)</f>
        <v>0</v>
      </c>
      <c r="E219" s="18">
        <f ca="1">OFFSET(GerNaoDesp!$A$1,MATCH(A219,GerNaoDesp!$A$2:$A$9,0),MATCH(B219,GerNaoDesp!$B$1:$AN$1,0),1,1)</f>
        <v>5.6412433710056975</v>
      </c>
      <c r="F219" s="58">
        <f ca="1">OFFSET(MercadoPonta!$A$1,MATCH(A219,MercadoPonta!$A$2:$A$11,0),MATCH(B219,MercadoPonta!$B$1:$AN$1,0),1,1)</f>
        <v>1725.5419250273162</v>
      </c>
      <c r="G219" s="432">
        <f ca="1">OFFSET(GerNaoDesp!$A$18,MATCH(A219,GerNaoDesp!$A$19:$A$25,0),MATCH(B219,GerNaoDesp!$B$18:$AN$18,0),1,1)</f>
        <v>5.6412433710056975</v>
      </c>
      <c r="H219" s="24">
        <f ca="1">OFFSET(GerNaoDesp!$A$30,MATCH(A219,GerNaoDesp!$A$31:$A$37,0),MATCH(B219,GerNaoDesp!$B$30:$AN$30,0),1,1)</f>
        <v>0</v>
      </c>
      <c r="I219" s="24">
        <f ca="1">OFFSET(GerNaoDesp!$A$42,MATCH(A219,GerNaoDesp!$A$43:$A$49,0),MATCH(B219,GerNaoDesp!$B$42:$AN$42,0),1,1)</f>
        <v>0</v>
      </c>
    </row>
    <row r="220" spans="1:9">
      <c r="A220" s="59">
        <f t="shared" si="4"/>
        <v>6</v>
      </c>
      <c r="B220" s="59">
        <f t="shared" si="5"/>
        <v>2035</v>
      </c>
      <c r="C220" s="18">
        <f ca="1">OFFSET(Mercado!$A$1,MATCH(A220,Mercado!$A$2:$A$11,0),MATCH(B220,Mercado!$B$1:$AN$1,0),1,1)</f>
        <v>937.3483234327523</v>
      </c>
      <c r="D220" s="18">
        <f ca="1">OFFSET(CompPerdasIntercambio!$A$1,MATCH(A220,CompPerdasIntercambio!$A$2:$A$11,0),MATCH(B220,CompPerdasIntercambio!$B$1:$AN$1,0),1,1)</f>
        <v>0</v>
      </c>
      <c r="E220" s="18">
        <f ca="1">OFFSET(GerNaoDesp!$A$1,MATCH(A220,GerNaoDesp!$A$2:$A$9,0),MATCH(B220,GerNaoDesp!$B$1:$AN$1,0),1,1)</f>
        <v>6.0420919202680166</v>
      </c>
      <c r="F220" s="58">
        <f ca="1">OFFSET(MercadoPonta!$A$1,MATCH(A220,MercadoPonta!$A$2:$A$11,0),MATCH(B220,MercadoPonta!$B$1:$AN$1,0),1,1)</f>
        <v>1774.1698992224524</v>
      </c>
      <c r="G220" s="432">
        <f ca="1">OFFSET(GerNaoDesp!$A$18,MATCH(A220,GerNaoDesp!$A$19:$A$25,0),MATCH(B220,GerNaoDesp!$B$18:$AN$18,0),1,1)</f>
        <v>6.0420919202680166</v>
      </c>
      <c r="H220" s="24">
        <f ca="1">OFFSET(GerNaoDesp!$A$30,MATCH(A220,GerNaoDesp!$A$31:$A$37,0),MATCH(B220,GerNaoDesp!$B$30:$AN$30,0),1,1)</f>
        <v>0</v>
      </c>
      <c r="I220" s="24">
        <f ca="1">OFFSET(GerNaoDesp!$A$42,MATCH(A220,GerNaoDesp!$A$43:$A$49,0),MATCH(B220,GerNaoDesp!$B$42:$AN$42,0),1,1)</f>
        <v>0</v>
      </c>
    </row>
    <row r="221" spans="1:9">
      <c r="A221" s="59">
        <f t="shared" si="4"/>
        <v>6</v>
      </c>
      <c r="B221" s="59">
        <f t="shared" si="5"/>
        <v>2036</v>
      </c>
      <c r="C221" s="18">
        <f ca="1">OFFSET(Mercado!$A$1,MATCH(A221,Mercado!$A$2:$A$11,0),MATCH(B221,Mercado!$B$1:$AN$1,0),1,1)</f>
        <v>962.98664572381892</v>
      </c>
      <c r="D221" s="18">
        <f ca="1">OFFSET(CompPerdasIntercambio!$A$1,MATCH(A221,CompPerdasIntercambio!$A$2:$A$11,0),MATCH(B221,CompPerdasIntercambio!$B$1:$AN$1,0),1,1)</f>
        <v>0</v>
      </c>
      <c r="E221" s="18">
        <f ca="1">OFFSET(GerNaoDesp!$A$1,MATCH(A221,GerNaoDesp!$A$2:$A$9,0),MATCH(B221,GerNaoDesp!$B$1:$AN$1,0),1,1)</f>
        <v>6.4826880263971356</v>
      </c>
      <c r="F221" s="58">
        <f ca="1">OFFSET(MercadoPonta!$A$1,MATCH(A221,MercadoPonta!$A$2:$A$11,0),MATCH(B221,MercadoPonta!$B$1:$AN$1,0),1,1)</f>
        <v>1824.0113961022751</v>
      </c>
      <c r="G221" s="432">
        <f ca="1">OFFSET(GerNaoDesp!$A$18,MATCH(A221,GerNaoDesp!$A$19:$A$25,0),MATCH(B221,GerNaoDesp!$B$18:$AN$18,0),1,1)</f>
        <v>6.4826880263971356</v>
      </c>
      <c r="H221" s="24">
        <f ca="1">OFFSET(GerNaoDesp!$A$30,MATCH(A221,GerNaoDesp!$A$31:$A$37,0),MATCH(B221,GerNaoDesp!$B$30:$AN$30,0),1,1)</f>
        <v>0</v>
      </c>
      <c r="I221" s="24">
        <f ca="1">OFFSET(GerNaoDesp!$A$42,MATCH(A221,GerNaoDesp!$A$43:$A$49,0),MATCH(B221,GerNaoDesp!$B$42:$AN$42,0),1,1)</f>
        <v>0</v>
      </c>
    </row>
    <row r="222" spans="1:9">
      <c r="A222" s="59">
        <f t="shared" si="4"/>
        <v>6</v>
      </c>
      <c r="B222" s="59">
        <f t="shared" si="5"/>
        <v>2037</v>
      </c>
      <c r="C222" s="18">
        <f ca="1">OFFSET(Mercado!$A$1,MATCH(A222,Mercado!$A$2:$A$11,0),MATCH(B222,Mercado!$B$1:$AN$1,0),1,1)</f>
        <v>988.52694945299288</v>
      </c>
      <c r="D222" s="18">
        <f ca="1">OFFSET(CompPerdasIntercambio!$A$1,MATCH(A222,CompPerdasIntercambio!$A$2:$A$11,0),MATCH(B222,CompPerdasIntercambio!$B$1:$AN$1,0),1,1)</f>
        <v>0</v>
      </c>
      <c r="E222" s="18">
        <f ca="1">OFFSET(GerNaoDesp!$A$1,MATCH(A222,GerNaoDesp!$A$2:$A$9,0),MATCH(B222,GerNaoDesp!$B$1:$AN$1,0),1,1)</f>
        <v>6.9600854268150467</v>
      </c>
      <c r="F222" s="58">
        <f ca="1">OFFSET(MercadoPonta!$A$1,MATCH(A222,MercadoPonta!$A$2:$A$11,0),MATCH(B222,MercadoPonta!$B$1:$AN$1,0),1,1)</f>
        <v>1871.0384543782864</v>
      </c>
      <c r="G222" s="432">
        <f ca="1">OFFSET(GerNaoDesp!$A$18,MATCH(A222,GerNaoDesp!$A$19:$A$25,0),MATCH(B222,GerNaoDesp!$B$18:$AN$18,0),1,1)</f>
        <v>6.9600854268150467</v>
      </c>
      <c r="H222" s="24">
        <f ca="1">OFFSET(GerNaoDesp!$A$30,MATCH(A222,GerNaoDesp!$A$31:$A$37,0),MATCH(B222,GerNaoDesp!$B$30:$AN$30,0),1,1)</f>
        <v>0</v>
      </c>
      <c r="I222" s="24">
        <f ca="1">OFFSET(GerNaoDesp!$A$42,MATCH(A222,GerNaoDesp!$A$43:$A$49,0),MATCH(B222,GerNaoDesp!$B$42:$AN$42,0),1,1)</f>
        <v>0</v>
      </c>
    </row>
    <row r="223" spans="1:9">
      <c r="A223" s="59">
        <f t="shared" si="4"/>
        <v>6</v>
      </c>
      <c r="B223" s="59">
        <f t="shared" si="5"/>
        <v>2038</v>
      </c>
      <c r="C223" s="18">
        <f ca="1">OFFSET(Mercado!$A$1,MATCH(A223,Mercado!$A$2:$A$11,0),MATCH(B223,Mercado!$B$1:$AN$1,0),1,1)</f>
        <v>1013.9235689671686</v>
      </c>
      <c r="D223" s="18">
        <f ca="1">OFFSET(CompPerdasIntercambio!$A$1,MATCH(A223,CompPerdasIntercambio!$A$2:$A$11,0),MATCH(B223,CompPerdasIntercambio!$B$1:$AN$1,0),1,1)</f>
        <v>0</v>
      </c>
      <c r="E223" s="18">
        <f ca="1">OFFSET(GerNaoDesp!$A$1,MATCH(A223,GerNaoDesp!$A$2:$A$9,0),MATCH(B223,GerNaoDesp!$B$1:$AN$1,0),1,1)</f>
        <v>7.4732266552174353</v>
      </c>
      <c r="F223" s="58">
        <f ca="1">OFFSET(MercadoPonta!$A$1,MATCH(A223,MercadoPonta!$A$2:$A$11,0),MATCH(B223,MercadoPonta!$B$1:$AN$1,0),1,1)</f>
        <v>1919.1080105482333</v>
      </c>
      <c r="G223" s="432">
        <f ca="1">OFFSET(GerNaoDesp!$A$18,MATCH(A223,GerNaoDesp!$A$19:$A$25,0),MATCH(B223,GerNaoDesp!$B$18:$AN$18,0),1,1)</f>
        <v>7.4732266552174353</v>
      </c>
      <c r="H223" s="24">
        <f ca="1">OFFSET(GerNaoDesp!$A$30,MATCH(A223,GerNaoDesp!$A$31:$A$37,0),MATCH(B223,GerNaoDesp!$B$30:$AN$30,0),1,1)</f>
        <v>0</v>
      </c>
      <c r="I223" s="24">
        <f ca="1">OFFSET(GerNaoDesp!$A$42,MATCH(A223,GerNaoDesp!$A$43:$A$49,0),MATCH(B223,GerNaoDesp!$B$42:$AN$42,0),1,1)</f>
        <v>0</v>
      </c>
    </row>
    <row r="224" spans="1:9">
      <c r="A224" s="59">
        <f t="shared" si="4"/>
        <v>6</v>
      </c>
      <c r="B224" s="59">
        <f t="shared" si="5"/>
        <v>2039</v>
      </c>
      <c r="C224" s="18">
        <f ca="1">OFFSET(Mercado!$A$1,MATCH(A224,Mercado!$A$2:$A$11,0),MATCH(B224,Mercado!$B$1:$AN$1,0),1,1)</f>
        <v>1039.1299981650327</v>
      </c>
      <c r="D224" s="18">
        <f ca="1">OFFSET(CompPerdasIntercambio!$A$1,MATCH(A224,CompPerdasIntercambio!$A$2:$A$11,0),MATCH(B224,CompPerdasIntercambio!$B$1:$AN$1,0),1,1)</f>
        <v>0</v>
      </c>
      <c r="E224" s="18">
        <f ca="1">OFFSET(GerNaoDesp!$A$1,MATCH(A224,GerNaoDesp!$A$2:$A$9,0),MATCH(B224,GerNaoDesp!$B$1:$AN$1,0),1,1)</f>
        <v>8.0406479596200793</v>
      </c>
      <c r="F224" s="58">
        <f ca="1">OFFSET(MercadoPonta!$A$1,MATCH(A224,MercadoPonta!$A$2:$A$11,0),MATCH(B224,MercadoPonta!$B$1:$AN$1,0),1,1)</f>
        <v>1966.8175832137686</v>
      </c>
      <c r="G224" s="432">
        <f ca="1">OFFSET(GerNaoDesp!$A$18,MATCH(A224,GerNaoDesp!$A$19:$A$25,0),MATCH(B224,GerNaoDesp!$B$18:$AN$18,0),1,1)</f>
        <v>8.0406479596200793</v>
      </c>
      <c r="H224" s="24">
        <f ca="1">OFFSET(GerNaoDesp!$A$30,MATCH(A224,GerNaoDesp!$A$31:$A$37,0),MATCH(B224,GerNaoDesp!$B$30:$AN$30,0),1,1)</f>
        <v>0</v>
      </c>
      <c r="I224" s="24">
        <f ca="1">OFFSET(GerNaoDesp!$A$42,MATCH(A224,GerNaoDesp!$A$43:$A$49,0),MATCH(B224,GerNaoDesp!$B$42:$AN$42,0),1,1)</f>
        <v>0</v>
      </c>
    </row>
    <row r="225" spans="1:9">
      <c r="A225" s="59">
        <f t="shared" si="4"/>
        <v>6</v>
      </c>
      <c r="B225" s="59">
        <f t="shared" si="5"/>
        <v>2040</v>
      </c>
      <c r="C225" s="18">
        <f ca="1">OFFSET(Mercado!$A$1,MATCH(A225,Mercado!$A$2:$A$11,0),MATCH(B225,Mercado!$B$1:$AN$1,0),1,1)</f>
        <v>1064.0990308512958</v>
      </c>
      <c r="D225" s="18">
        <f ca="1">OFFSET(CompPerdasIntercambio!$A$1,MATCH(A225,CompPerdasIntercambio!$A$2:$A$11,0),MATCH(B225,CompPerdasIntercambio!$B$1:$AN$1,0),1,1)</f>
        <v>0</v>
      </c>
      <c r="E225" s="18">
        <f ca="1">OFFSET(GerNaoDesp!$A$1,MATCH(A225,GerNaoDesp!$A$2:$A$9,0),MATCH(B225,GerNaoDesp!$B$1:$AN$1,0),1,1)</f>
        <v>8.6562493427711296</v>
      </c>
      <c r="F225" s="58">
        <f ca="1">OFFSET(MercadoPonta!$A$1,MATCH(A225,MercadoPonta!$A$2:$A$11,0),MATCH(B225,MercadoPonta!$B$1:$AN$1,0),1,1)</f>
        <v>2015.5302957449337</v>
      </c>
      <c r="G225" s="432">
        <f ca="1">OFFSET(GerNaoDesp!$A$18,MATCH(A225,GerNaoDesp!$A$19:$A$25,0),MATCH(B225,GerNaoDesp!$B$18:$AN$18,0),1,1)</f>
        <v>8.6562493427711296</v>
      </c>
      <c r="H225" s="24">
        <f ca="1">OFFSET(GerNaoDesp!$A$30,MATCH(A225,GerNaoDesp!$A$31:$A$37,0),MATCH(B225,GerNaoDesp!$B$30:$AN$30,0),1,1)</f>
        <v>0</v>
      </c>
      <c r="I225" s="24">
        <f ca="1">OFFSET(GerNaoDesp!$A$42,MATCH(A225,GerNaoDesp!$A$43:$A$49,0),MATCH(B225,GerNaoDesp!$B$42:$AN$42,0),1,1)</f>
        <v>0</v>
      </c>
    </row>
    <row r="226" spans="1:9">
      <c r="A226" s="59">
        <f t="shared" si="4"/>
        <v>6</v>
      </c>
      <c r="B226" s="59">
        <f t="shared" si="5"/>
        <v>2041</v>
      </c>
      <c r="C226" s="18">
        <f ca="1">OFFSET(Mercado!$A$1,MATCH(A226,Mercado!$A$2:$A$11,0),MATCH(B226,Mercado!$B$1:$AN$1,0),1,1)</f>
        <v>1088.7829076368707</v>
      </c>
      <c r="D226" s="18">
        <f ca="1">OFFSET(CompPerdasIntercambio!$A$1,MATCH(A226,CompPerdasIntercambio!$A$2:$A$11,0),MATCH(B226,CompPerdasIntercambio!$B$1:$AN$1,0),1,1)</f>
        <v>0</v>
      </c>
      <c r="E226" s="18">
        <f ca="1">OFFSET(GerNaoDesp!$A$1,MATCH(A226,GerNaoDesp!$A$2:$A$9,0),MATCH(B226,GerNaoDesp!$B$1:$AN$1,0),1,1)</f>
        <v>9.2203244867271952</v>
      </c>
      <c r="F226" s="58">
        <f ca="1">OFFSET(MercadoPonta!$A$1,MATCH(A226,MercadoPonta!$A$2:$A$11,0),MATCH(B226,MercadoPonta!$B$1:$AN$1,0),1,1)</f>
        <v>2060.7983320896396</v>
      </c>
      <c r="G226" s="432">
        <f ca="1">OFFSET(GerNaoDesp!$A$18,MATCH(A226,GerNaoDesp!$A$19:$A$25,0),MATCH(B226,GerNaoDesp!$B$18:$AN$18,0),1,1)</f>
        <v>9.2203244867271952</v>
      </c>
      <c r="H226" s="24">
        <f ca="1">OFFSET(GerNaoDesp!$A$30,MATCH(A226,GerNaoDesp!$A$31:$A$37,0),MATCH(B226,GerNaoDesp!$B$30:$AN$30,0),1,1)</f>
        <v>0</v>
      </c>
      <c r="I226" s="24">
        <f ca="1">OFFSET(GerNaoDesp!$A$42,MATCH(A226,GerNaoDesp!$A$43:$A$49,0),MATCH(B226,GerNaoDesp!$B$42:$AN$42,0),1,1)</f>
        <v>0</v>
      </c>
    </row>
    <row r="227" spans="1:9">
      <c r="A227" s="59">
        <f t="shared" si="4"/>
        <v>6</v>
      </c>
      <c r="B227" s="59">
        <f t="shared" si="5"/>
        <v>2042</v>
      </c>
      <c r="C227" s="18">
        <f ca="1">OFFSET(Mercado!$A$1,MATCH(A227,Mercado!$A$2:$A$11,0),MATCH(B227,Mercado!$B$1:$AN$1,0),1,1)</f>
        <v>1113.133468741489</v>
      </c>
      <c r="D227" s="18">
        <f ca="1">OFFSET(CompPerdasIntercambio!$A$1,MATCH(A227,CompPerdasIntercambio!$A$2:$A$11,0),MATCH(B227,CompPerdasIntercambio!$B$1:$AN$1,0),1,1)</f>
        <v>0</v>
      </c>
      <c r="E227" s="18">
        <f ca="1">OFFSET(GerNaoDesp!$A$1,MATCH(A227,GerNaoDesp!$A$2:$A$9,0),MATCH(B227,GerNaoDesp!$B$1:$AN$1,0),1,1)</f>
        <v>9.7933282878563173</v>
      </c>
      <c r="F227" s="58">
        <f ca="1">OFFSET(MercadoPonta!$A$1,MATCH(A227,MercadoPonta!$A$2:$A$11,0),MATCH(B227,MercadoPonta!$B$1:$AN$1,0),1,1)</f>
        <v>2106.8879568971784</v>
      </c>
      <c r="G227" s="432">
        <f ca="1">OFFSET(GerNaoDesp!$A$18,MATCH(A227,GerNaoDesp!$A$19:$A$25,0),MATCH(B227,GerNaoDesp!$B$18:$AN$18,0),1,1)</f>
        <v>9.7933282878563173</v>
      </c>
      <c r="H227" s="24">
        <f ca="1">OFFSET(GerNaoDesp!$A$30,MATCH(A227,GerNaoDesp!$A$31:$A$37,0),MATCH(B227,GerNaoDesp!$B$30:$AN$30,0),1,1)</f>
        <v>0</v>
      </c>
      <c r="I227" s="24">
        <f ca="1">OFFSET(GerNaoDesp!$A$42,MATCH(A227,GerNaoDesp!$A$43:$A$49,0),MATCH(B227,GerNaoDesp!$B$42:$AN$42,0),1,1)</f>
        <v>0</v>
      </c>
    </row>
    <row r="228" spans="1:9">
      <c r="A228" s="59">
        <f t="shared" si="4"/>
        <v>6</v>
      </c>
      <c r="B228" s="59">
        <f t="shared" si="5"/>
        <v>2043</v>
      </c>
      <c r="C228" s="18">
        <f ca="1">OFFSET(Mercado!$A$1,MATCH(A228,Mercado!$A$2:$A$11,0),MATCH(B228,Mercado!$B$1:$AN$1,0),1,1)</f>
        <v>1137.102312003324</v>
      </c>
      <c r="D228" s="18">
        <f ca="1">OFFSET(CompPerdasIntercambio!$A$1,MATCH(A228,CompPerdasIntercambio!$A$2:$A$11,0),MATCH(B228,CompPerdasIntercambio!$B$1:$AN$1,0),1,1)</f>
        <v>0</v>
      </c>
      <c r="E228" s="18">
        <f ca="1">OFFSET(GerNaoDesp!$A$1,MATCH(A228,GerNaoDesp!$A$2:$A$9,0),MATCH(B228,GerNaoDesp!$B$1:$AN$1,0),1,1)</f>
        <v>10.423957506474501</v>
      </c>
      <c r="F228" s="58">
        <f ca="1">OFFSET(MercadoPonta!$A$1,MATCH(A228,MercadoPonta!$A$2:$A$11,0),MATCH(B228,MercadoPonta!$B$1:$AN$1,0),1,1)</f>
        <v>2152.2550836858563</v>
      </c>
      <c r="G228" s="432">
        <f ca="1">OFFSET(GerNaoDesp!$A$18,MATCH(A228,GerNaoDesp!$A$19:$A$25,0),MATCH(B228,GerNaoDesp!$B$18:$AN$18,0),1,1)</f>
        <v>10.423957506474501</v>
      </c>
      <c r="H228" s="24">
        <f ca="1">OFFSET(GerNaoDesp!$A$30,MATCH(A228,GerNaoDesp!$A$31:$A$37,0),MATCH(B228,GerNaoDesp!$B$30:$AN$30,0),1,1)</f>
        <v>0</v>
      </c>
      <c r="I228" s="24">
        <f ca="1">OFFSET(GerNaoDesp!$A$42,MATCH(A228,GerNaoDesp!$A$43:$A$49,0),MATCH(B228,GerNaoDesp!$B$42:$AN$42,0),1,1)</f>
        <v>0</v>
      </c>
    </row>
    <row r="229" spans="1:9">
      <c r="A229" s="59">
        <f t="shared" si="4"/>
        <v>6</v>
      </c>
      <c r="B229" s="59">
        <f t="shared" si="5"/>
        <v>2044</v>
      </c>
      <c r="C229" s="18">
        <f ca="1">OFFSET(Mercado!$A$1,MATCH(A229,Mercado!$A$2:$A$11,0),MATCH(B229,Mercado!$B$1:$AN$1,0),1,1)</f>
        <v>1160.6409553524923</v>
      </c>
      <c r="D229" s="18">
        <f ca="1">OFFSET(CompPerdasIntercambio!$A$1,MATCH(A229,CompPerdasIntercambio!$A$2:$A$11,0),MATCH(B229,CompPerdasIntercambio!$B$1:$AN$1,0),1,1)</f>
        <v>0</v>
      </c>
      <c r="E229" s="18">
        <f ca="1">OFFSET(GerNaoDesp!$A$1,MATCH(A229,GerNaoDesp!$A$2:$A$9,0),MATCH(B229,GerNaoDesp!$B$1:$AN$1,0),1,1)</f>
        <v>11.092403932313335</v>
      </c>
      <c r="F229" s="58">
        <f ca="1">OFFSET(MercadoPonta!$A$1,MATCH(A229,MercadoPonta!$A$2:$A$11,0),MATCH(B229,MercadoPonta!$B$1:$AN$1,0),1,1)</f>
        <v>2198.3921986319351</v>
      </c>
      <c r="G229" s="432">
        <f ca="1">OFFSET(GerNaoDesp!$A$18,MATCH(A229,GerNaoDesp!$A$19:$A$25,0),MATCH(B229,GerNaoDesp!$B$18:$AN$18,0),1,1)</f>
        <v>11.092403932313335</v>
      </c>
      <c r="H229" s="24">
        <f ca="1">OFFSET(GerNaoDesp!$A$30,MATCH(A229,GerNaoDesp!$A$31:$A$37,0),MATCH(B229,GerNaoDesp!$B$30:$AN$30,0),1,1)</f>
        <v>0</v>
      </c>
      <c r="I229" s="24">
        <f ca="1">OFFSET(GerNaoDesp!$A$42,MATCH(A229,GerNaoDesp!$A$43:$A$49,0),MATCH(B229,GerNaoDesp!$B$42:$AN$42,0),1,1)</f>
        <v>0</v>
      </c>
    </row>
    <row r="230" spans="1:9">
      <c r="A230" s="59">
        <f t="shared" si="4"/>
        <v>6</v>
      </c>
      <c r="B230" s="59">
        <f t="shared" si="5"/>
        <v>2045</v>
      </c>
      <c r="C230" s="18">
        <f ca="1">OFFSET(Mercado!$A$1,MATCH(A230,Mercado!$A$2:$A$11,0),MATCH(B230,Mercado!$B$1:$AN$1,0),1,1)</f>
        <v>1183.7010029622677</v>
      </c>
      <c r="D230" s="18">
        <f ca="1">OFFSET(CompPerdasIntercambio!$A$1,MATCH(A230,CompPerdasIntercambio!$A$2:$A$11,0),MATCH(B230,CompPerdasIntercambio!$B$1:$AN$1,0),1,1)</f>
        <v>0</v>
      </c>
      <c r="E230" s="18">
        <f ca="1">OFFSET(GerNaoDesp!$A$1,MATCH(A230,GerNaoDesp!$A$2:$A$9,0),MATCH(B230,GerNaoDesp!$B$1:$AN$1,0),1,1)</f>
        <v>11.813341355274522</v>
      </c>
      <c r="F230" s="58">
        <f ca="1">OFFSET(MercadoPonta!$A$1,MATCH(A230,MercadoPonta!$A$2:$A$11,0),MATCH(B230,MercadoPonta!$B$1:$AN$1,0),1,1)</f>
        <v>2240.4549478940298</v>
      </c>
      <c r="G230" s="432">
        <f ca="1">OFFSET(GerNaoDesp!$A$18,MATCH(A230,GerNaoDesp!$A$19:$A$25,0),MATCH(B230,GerNaoDesp!$B$18:$AN$18,0),1,1)</f>
        <v>11.813341355274522</v>
      </c>
      <c r="H230" s="24">
        <f ca="1">OFFSET(GerNaoDesp!$A$30,MATCH(A230,GerNaoDesp!$A$31:$A$37,0),MATCH(B230,GerNaoDesp!$B$30:$AN$30,0),1,1)</f>
        <v>0</v>
      </c>
      <c r="I230" s="24">
        <f ca="1">OFFSET(GerNaoDesp!$A$42,MATCH(A230,GerNaoDesp!$A$43:$A$49,0),MATCH(B230,GerNaoDesp!$B$42:$AN$42,0),1,1)</f>
        <v>0</v>
      </c>
    </row>
    <row r="231" spans="1:9">
      <c r="A231" s="59">
        <f t="shared" si="4"/>
        <v>6</v>
      </c>
      <c r="B231" s="59">
        <f t="shared" si="5"/>
        <v>2046</v>
      </c>
      <c r="C231" s="18">
        <f ca="1">OFFSET(Mercado!$A$1,MATCH(A231,Mercado!$A$2:$A$11,0),MATCH(B231,Mercado!$B$1:$AN$1,0),1,1)</f>
        <v>1206.2343142539685</v>
      </c>
      <c r="D231" s="18">
        <f ca="1">OFFSET(CompPerdasIntercambio!$A$1,MATCH(A231,CompPerdasIntercambio!$A$2:$A$11,0),MATCH(B231,CompPerdasIntercambio!$B$1:$AN$1,0),1,1)</f>
        <v>0</v>
      </c>
      <c r="E231" s="18">
        <f ca="1">OFFSET(GerNaoDesp!$A$1,MATCH(A231,GerNaoDesp!$A$2:$A$9,0),MATCH(B231,GerNaoDesp!$B$1:$AN$1,0),1,1)</f>
        <v>12.591561499004454</v>
      </c>
      <c r="F231" s="58">
        <f ca="1">OFFSET(MercadoPonta!$A$1,MATCH(A231,MercadoPonta!$A$2:$A$11,0),MATCH(B231,MercadoPonta!$B$1:$AN$1,0),1,1)</f>
        <v>2283.1049656346472</v>
      </c>
      <c r="G231" s="432">
        <f ca="1">OFFSET(GerNaoDesp!$A$18,MATCH(A231,GerNaoDesp!$A$19:$A$25,0),MATCH(B231,GerNaoDesp!$B$18:$AN$18,0),1,1)</f>
        <v>12.591561499004454</v>
      </c>
      <c r="H231" s="24">
        <f ca="1">OFFSET(GerNaoDesp!$A$30,MATCH(A231,GerNaoDesp!$A$31:$A$37,0),MATCH(B231,GerNaoDesp!$B$30:$AN$30,0),1,1)</f>
        <v>0</v>
      </c>
      <c r="I231" s="24">
        <f ca="1">OFFSET(GerNaoDesp!$A$42,MATCH(A231,GerNaoDesp!$A$43:$A$49,0),MATCH(B231,GerNaoDesp!$B$42:$AN$42,0),1,1)</f>
        <v>0</v>
      </c>
    </row>
    <row r="232" spans="1:9">
      <c r="A232" s="59">
        <f t="shared" si="4"/>
        <v>6</v>
      </c>
      <c r="B232" s="59">
        <f t="shared" si="5"/>
        <v>2047</v>
      </c>
      <c r="C232" s="18">
        <f ca="1">OFFSET(Mercado!$A$1,MATCH(A232,Mercado!$A$2:$A$11,0),MATCH(B232,Mercado!$B$1:$AN$1,0),1,1)</f>
        <v>1228.1931748991281</v>
      </c>
      <c r="D232" s="18">
        <f ca="1">OFFSET(CompPerdasIntercambio!$A$1,MATCH(A232,CompPerdasIntercambio!$A$2:$A$11,0),MATCH(B232,CompPerdasIntercambio!$B$1:$AN$1,0),1,1)</f>
        <v>0</v>
      </c>
      <c r="E232" s="18">
        <f ca="1">OFFSET(GerNaoDesp!$A$1,MATCH(A232,GerNaoDesp!$A$2:$A$9,0),MATCH(B232,GerNaoDesp!$B$1:$AN$1,0),1,1)</f>
        <v>13.415223584350542</v>
      </c>
      <c r="F232" s="58">
        <f ca="1">OFFSET(MercadoPonta!$A$1,MATCH(A232,MercadoPonta!$A$2:$A$11,0),MATCH(B232,MercadoPonta!$B$1:$AN$1,0),1,1)</f>
        <v>2324.6676895484088</v>
      </c>
      <c r="G232" s="432">
        <f ca="1">OFFSET(GerNaoDesp!$A$18,MATCH(A232,GerNaoDesp!$A$19:$A$25,0),MATCH(B232,GerNaoDesp!$B$18:$AN$18,0),1,1)</f>
        <v>13.415223584350542</v>
      </c>
      <c r="H232" s="24">
        <f ca="1">OFFSET(GerNaoDesp!$A$30,MATCH(A232,GerNaoDesp!$A$31:$A$37,0),MATCH(B232,GerNaoDesp!$B$30:$AN$30,0),1,1)</f>
        <v>0</v>
      </c>
      <c r="I232" s="24">
        <f ca="1">OFFSET(GerNaoDesp!$A$42,MATCH(A232,GerNaoDesp!$A$43:$A$49,0),MATCH(B232,GerNaoDesp!$B$42:$AN$42,0),1,1)</f>
        <v>0</v>
      </c>
    </row>
    <row r="233" spans="1:9">
      <c r="A233" s="59">
        <f t="shared" si="4"/>
        <v>6</v>
      </c>
      <c r="B233" s="59">
        <f t="shared" si="5"/>
        <v>2048</v>
      </c>
      <c r="C233" s="18">
        <f ca="1">OFFSET(Mercado!$A$1,MATCH(A233,Mercado!$A$2:$A$11,0),MATCH(B233,Mercado!$B$1:$AN$1,0),1,1)</f>
        <v>1249.530468936133</v>
      </c>
      <c r="D233" s="18">
        <f ca="1">OFFSET(CompPerdasIntercambio!$A$1,MATCH(A233,CompPerdasIntercambio!$A$2:$A$11,0),MATCH(B233,CompPerdasIntercambio!$B$1:$AN$1,0),1,1)</f>
        <v>0</v>
      </c>
      <c r="E233" s="18">
        <f ca="1">OFFSET(GerNaoDesp!$A$1,MATCH(A233,GerNaoDesp!$A$2:$A$9,0),MATCH(B233,GerNaoDesp!$B$1:$AN$1,0),1,1)</f>
        <v>14.295032248880089</v>
      </c>
      <c r="F233" s="58">
        <f ca="1">OFFSET(MercadoPonta!$A$1,MATCH(A233,MercadoPonta!$A$2:$A$11,0),MATCH(B233,MercadoPonta!$B$1:$AN$1,0),1,1)</f>
        <v>2366.7595238596709</v>
      </c>
      <c r="G233" s="432">
        <f ca="1">OFFSET(GerNaoDesp!$A$18,MATCH(A233,GerNaoDesp!$A$19:$A$25,0),MATCH(B233,GerNaoDesp!$B$18:$AN$18,0),1,1)</f>
        <v>14.295032248880089</v>
      </c>
      <c r="H233" s="24">
        <f ca="1">OFFSET(GerNaoDesp!$A$30,MATCH(A233,GerNaoDesp!$A$31:$A$37,0),MATCH(B233,GerNaoDesp!$B$30:$AN$30,0),1,1)</f>
        <v>0</v>
      </c>
      <c r="I233" s="24">
        <f ca="1">OFFSET(GerNaoDesp!$A$42,MATCH(A233,GerNaoDesp!$A$43:$A$49,0),MATCH(B233,GerNaoDesp!$B$42:$AN$42,0),1,1)</f>
        <v>0</v>
      </c>
    </row>
    <row r="234" spans="1:9">
      <c r="A234" s="59">
        <f t="shared" ref="A234:A274" si="6">A195+1</f>
        <v>6</v>
      </c>
      <c r="B234" s="59">
        <f t="shared" ref="B234:B274" si="7">B195</f>
        <v>2049</v>
      </c>
      <c r="C234" s="18">
        <f ca="1">OFFSET(Mercado!$A$1,MATCH(A234,Mercado!$A$2:$A$11,0),MATCH(B234,Mercado!$B$1:$AN$1,0),1,1)</f>
        <v>1270.1998510982733</v>
      </c>
      <c r="D234" s="18">
        <f ca="1">OFFSET(CompPerdasIntercambio!$A$1,MATCH(A234,CompPerdasIntercambio!$A$2:$A$11,0),MATCH(B234,CompPerdasIntercambio!$B$1:$AN$1,0),1,1)</f>
        <v>0</v>
      </c>
      <c r="E234" s="18">
        <f ca="1">OFFSET(GerNaoDesp!$A$1,MATCH(A234,GerNaoDesp!$A$2:$A$9,0),MATCH(B234,GerNaoDesp!$B$1:$AN$1,0),1,1)</f>
        <v>15.229685249299569</v>
      </c>
      <c r="F234" s="58">
        <f ca="1">OFFSET(MercadoPonta!$A$1,MATCH(A234,MercadoPonta!$A$2:$A$11,0),MATCH(B234,MercadoPonta!$B$1:$AN$1,0),1,1)</f>
        <v>2404.1759989098373</v>
      </c>
      <c r="G234" s="432">
        <f ca="1">OFFSET(GerNaoDesp!$A$18,MATCH(A234,GerNaoDesp!$A$19:$A$25,0),MATCH(B234,GerNaoDesp!$B$18:$AN$18,0),1,1)</f>
        <v>15.229685249299569</v>
      </c>
      <c r="H234" s="24">
        <f ca="1">OFFSET(GerNaoDesp!$A$30,MATCH(A234,GerNaoDesp!$A$31:$A$37,0),MATCH(B234,GerNaoDesp!$B$30:$AN$30,0),1,1)</f>
        <v>0</v>
      </c>
      <c r="I234" s="24">
        <f ca="1">OFFSET(GerNaoDesp!$A$42,MATCH(A234,GerNaoDesp!$A$43:$A$49,0),MATCH(B234,GerNaoDesp!$B$42:$AN$42,0),1,1)</f>
        <v>0</v>
      </c>
    </row>
    <row r="235" spans="1:9">
      <c r="A235" s="59">
        <f t="shared" si="6"/>
        <v>6</v>
      </c>
      <c r="B235" s="59">
        <f t="shared" si="7"/>
        <v>2050</v>
      </c>
      <c r="C235" s="18">
        <f ca="1">OFFSET(Mercado!$A$1,MATCH(A235,Mercado!$A$2:$A$11,0),MATCH(B235,Mercado!$B$1:$AN$1,0),1,1)</f>
        <v>1290.1559184363809</v>
      </c>
      <c r="D235" s="18">
        <f ca="1">OFFSET(CompPerdasIntercambio!$A$1,MATCH(A235,CompPerdasIntercambio!$A$2:$A$11,0),MATCH(B235,CompPerdasIntercambio!$B$1:$AN$1,0),1,1)</f>
        <v>0</v>
      </c>
      <c r="E235" s="18">
        <f ca="1">OFFSET(GerNaoDesp!$A$1,MATCH(A235,GerNaoDesp!$A$2:$A$9,0),MATCH(B235,GerNaoDesp!$B$1:$AN$1,0),1,1)</f>
        <v>16.228694114490292</v>
      </c>
      <c r="F235" s="58">
        <f ca="1">OFFSET(MercadoPonta!$A$1,MATCH(A235,MercadoPonta!$A$2:$A$11,0),MATCH(B235,MercadoPonta!$B$1:$AN$1,0),1,1)</f>
        <v>2441.9479275440776</v>
      </c>
      <c r="G235" s="432">
        <f ca="1">OFFSET(GerNaoDesp!$A$18,MATCH(A235,GerNaoDesp!$A$19:$A$25,0),MATCH(B235,GerNaoDesp!$B$18:$AN$18,0),1,1)</f>
        <v>16.228694114490292</v>
      </c>
      <c r="H235" s="24">
        <f ca="1">OFFSET(GerNaoDesp!$A$30,MATCH(A235,GerNaoDesp!$A$31:$A$37,0),MATCH(B235,GerNaoDesp!$B$30:$AN$30,0),1,1)</f>
        <v>0</v>
      </c>
      <c r="I235" s="24">
        <f ca="1">OFFSET(GerNaoDesp!$A$42,MATCH(A235,GerNaoDesp!$A$43:$A$49,0),MATCH(B235,GerNaoDesp!$B$42:$AN$42,0),1,1)</f>
        <v>0</v>
      </c>
    </row>
    <row r="236" spans="1:9">
      <c r="A236" s="59">
        <f t="shared" si="6"/>
        <v>7</v>
      </c>
      <c r="B236" s="59">
        <f t="shared" si="7"/>
        <v>2012</v>
      </c>
      <c r="C236" s="18">
        <f ca="1">OFFSET(Mercado!$A$1,MATCH(A236,Mercado!$A$2:$A$11,0),MATCH(B236,Mercado!$B$1:$AN$1,0),1,1)</f>
        <v>0</v>
      </c>
      <c r="D236" s="18">
        <f ca="1">OFFSET(CompPerdasIntercambio!$A$1,MATCH(A236,CompPerdasIntercambio!$A$2:$A$11,0),MATCH(B236,CompPerdasIntercambio!$B$1:$AN$1,0),1,1)</f>
        <v>0</v>
      </c>
      <c r="E236" s="18">
        <f ca="1">OFFSET(GerNaoDesp!$A$1,MATCH(A236,GerNaoDesp!$A$2:$A$9,0),MATCH(B236,GerNaoDesp!$B$1:$AN$1,0),1,1)</f>
        <v>0</v>
      </c>
      <c r="F236" s="58">
        <f ca="1">OFFSET(MercadoPonta!$A$1,MATCH(A236,MercadoPonta!$A$2:$A$11,0),MATCH(B236,MercadoPonta!$B$1:$AN$1,0),1,1)</f>
        <v>0</v>
      </c>
      <c r="G236" s="432">
        <f ca="1">OFFSET(GerNaoDesp!$A$18,MATCH(A236,GerNaoDesp!$A$19:$A$25,0),MATCH(B236,GerNaoDesp!$B$18:$AN$18,0),1,1)</f>
        <v>0</v>
      </c>
      <c r="H236" s="24">
        <f ca="1">OFFSET(GerNaoDesp!$A$30,MATCH(A236,GerNaoDesp!$A$31:$A$37,0),MATCH(B236,GerNaoDesp!$B$30:$AN$30,0),1,1)</f>
        <v>0</v>
      </c>
      <c r="I236" s="24">
        <f ca="1">OFFSET(GerNaoDesp!$A$42,MATCH(A236,GerNaoDesp!$A$43:$A$49,0),MATCH(B236,GerNaoDesp!$B$42:$AN$42,0),1,1)</f>
        <v>0</v>
      </c>
    </row>
    <row r="237" spans="1:9">
      <c r="A237" s="59">
        <f t="shared" si="6"/>
        <v>7</v>
      </c>
      <c r="B237" s="59">
        <f t="shared" si="7"/>
        <v>2013</v>
      </c>
      <c r="C237" s="18">
        <f ca="1">OFFSET(Mercado!$A$1,MATCH(A237,Mercado!$A$2:$A$11,0),MATCH(B237,Mercado!$B$1:$AN$1,0),1,1)</f>
        <v>259.1192517053222</v>
      </c>
      <c r="D237" s="18">
        <f ca="1">OFFSET(CompPerdasIntercambio!$A$1,MATCH(A237,CompPerdasIntercambio!$A$2:$A$11,0),MATCH(B237,CompPerdasIntercambio!$B$1:$AN$1,0),1,1)</f>
        <v>0</v>
      </c>
      <c r="E237" s="18">
        <f ca="1">OFFSET(GerNaoDesp!$A$1,MATCH(A237,GerNaoDesp!$A$2:$A$9,0),MATCH(B237,GerNaoDesp!$B$1:$AN$1,0),1,1)</f>
        <v>0</v>
      </c>
      <c r="F237" s="58">
        <f ca="1">OFFSET(MercadoPonta!$A$1,MATCH(A237,MercadoPonta!$A$2:$A$11,0),MATCH(B237,MercadoPonta!$B$1:$AN$1,0),1,1)</f>
        <v>1356</v>
      </c>
      <c r="G237" s="432">
        <f ca="1">OFFSET(GerNaoDesp!$A$18,MATCH(A237,GerNaoDesp!$A$19:$A$25,0),MATCH(B237,GerNaoDesp!$B$18:$AN$18,0),1,1)</f>
        <v>0</v>
      </c>
      <c r="H237" s="24">
        <f ca="1">OFFSET(GerNaoDesp!$A$30,MATCH(A237,GerNaoDesp!$A$31:$A$37,0),MATCH(B237,GerNaoDesp!$B$30:$AN$30,0),1,1)</f>
        <v>0</v>
      </c>
      <c r="I237" s="24">
        <f ca="1">OFFSET(GerNaoDesp!$A$42,MATCH(A237,GerNaoDesp!$A$43:$A$49,0),MATCH(B237,GerNaoDesp!$B$42:$AN$42,0),1,1)</f>
        <v>0</v>
      </c>
    </row>
    <row r="238" spans="1:9">
      <c r="A238" s="59">
        <f t="shared" si="6"/>
        <v>7</v>
      </c>
      <c r="B238" s="59">
        <f t="shared" si="7"/>
        <v>2014</v>
      </c>
      <c r="C238" s="18">
        <f ca="1">OFFSET(Mercado!$A$1,MATCH(A238,Mercado!$A$2:$A$11,0),MATCH(B238,Mercado!$B$1:$AN$1,0),1,1)</f>
        <v>1045.8892105117202</v>
      </c>
      <c r="D238" s="18">
        <f ca="1">OFFSET(CompPerdasIntercambio!$A$1,MATCH(A238,CompPerdasIntercambio!$A$2:$A$11,0),MATCH(B238,CompPerdasIntercambio!$B$1:$AN$1,0),1,1)</f>
        <v>0</v>
      </c>
      <c r="E238" s="18">
        <f ca="1">OFFSET(GerNaoDesp!$A$1,MATCH(A238,GerNaoDesp!$A$2:$A$9,0),MATCH(B238,GerNaoDesp!$B$1:$AN$1,0),1,1)</f>
        <v>0</v>
      </c>
      <c r="F238" s="58">
        <f ca="1">OFFSET(MercadoPonta!$A$1,MATCH(A238,MercadoPonta!$A$2:$A$11,0),MATCH(B238,MercadoPonta!$B$1:$AN$1,0),1,1)</f>
        <v>1572.0887103567179</v>
      </c>
      <c r="G238" s="432">
        <f ca="1">OFFSET(GerNaoDesp!$A$18,MATCH(A238,GerNaoDesp!$A$19:$A$25,0),MATCH(B238,GerNaoDesp!$B$18:$AN$18,0),1,1)</f>
        <v>0</v>
      </c>
      <c r="H238" s="24">
        <f ca="1">OFFSET(GerNaoDesp!$A$30,MATCH(A238,GerNaoDesp!$A$31:$A$37,0),MATCH(B238,GerNaoDesp!$B$30:$AN$30,0),1,1)</f>
        <v>0</v>
      </c>
      <c r="I238" s="24">
        <f ca="1">OFFSET(GerNaoDesp!$A$42,MATCH(A238,GerNaoDesp!$A$43:$A$49,0),MATCH(B238,GerNaoDesp!$B$42:$AN$42,0),1,1)</f>
        <v>0</v>
      </c>
    </row>
    <row r="239" spans="1:9">
      <c r="A239" s="59">
        <f t="shared" si="6"/>
        <v>7</v>
      </c>
      <c r="B239" s="59">
        <f t="shared" si="7"/>
        <v>2015</v>
      </c>
      <c r="C239" s="18">
        <f ca="1">OFFSET(Mercado!$A$1,MATCH(A239,Mercado!$A$2:$A$11,0),MATCH(B239,Mercado!$B$1:$AN$1,0),1,1)</f>
        <v>977.10792243069079</v>
      </c>
      <c r="D239" s="18">
        <f ca="1">OFFSET(CompPerdasIntercambio!$A$1,MATCH(A239,CompPerdasIntercambio!$A$2:$A$11,0),MATCH(B239,CompPerdasIntercambio!$B$1:$AN$1,0),1,1)</f>
        <v>0</v>
      </c>
      <c r="E239" s="18">
        <f ca="1">OFFSET(GerNaoDesp!$A$1,MATCH(A239,GerNaoDesp!$A$2:$A$9,0),MATCH(B239,GerNaoDesp!$B$1:$AN$1,0),1,1)</f>
        <v>3.795360056026582E-3</v>
      </c>
      <c r="F239" s="58">
        <f ca="1">OFFSET(MercadoPonta!$A$1,MATCH(A239,MercadoPonta!$A$2:$A$11,0),MATCH(B239,MercadoPonta!$B$1:$AN$1,0),1,1)</f>
        <v>1587.2587592727532</v>
      </c>
      <c r="G239" s="432">
        <f ca="1">OFFSET(GerNaoDesp!$A$18,MATCH(A239,GerNaoDesp!$A$19:$A$25,0),MATCH(B239,GerNaoDesp!$B$18:$AN$18,0),1,1)</f>
        <v>3.795360056026582E-3</v>
      </c>
      <c r="H239" s="24">
        <f ca="1">OFFSET(GerNaoDesp!$A$30,MATCH(A239,GerNaoDesp!$A$31:$A$37,0),MATCH(B239,GerNaoDesp!$B$30:$AN$30,0),1,1)</f>
        <v>0</v>
      </c>
      <c r="I239" s="24">
        <f ca="1">OFFSET(GerNaoDesp!$A$42,MATCH(A239,GerNaoDesp!$A$43:$A$49,0),MATCH(B239,GerNaoDesp!$B$42:$AN$42,0),1,1)</f>
        <v>0</v>
      </c>
    </row>
    <row r="240" spans="1:9">
      <c r="A240" s="59">
        <f t="shared" si="6"/>
        <v>7</v>
      </c>
      <c r="B240" s="59">
        <f t="shared" si="7"/>
        <v>2016</v>
      </c>
      <c r="C240" s="18">
        <f ca="1">OFFSET(Mercado!$A$1,MATCH(A240,Mercado!$A$2:$A$11,0),MATCH(B240,Mercado!$B$1:$AN$1,0),1,1)</f>
        <v>1112.006096072814</v>
      </c>
      <c r="D240" s="18">
        <f ca="1">OFFSET(CompPerdasIntercambio!$A$1,MATCH(A240,CompPerdasIntercambio!$A$2:$A$11,0),MATCH(B240,CompPerdasIntercambio!$B$1:$AN$1,0),1,1)</f>
        <v>0</v>
      </c>
      <c r="E240" s="18">
        <f ca="1">OFFSET(GerNaoDesp!$A$1,MATCH(A240,GerNaoDesp!$A$2:$A$9,0),MATCH(B240,GerNaoDesp!$B$1:$AN$1,0),1,1)</f>
        <v>2.5517683740473789E-2</v>
      </c>
      <c r="F240" s="58">
        <f ca="1">OFFSET(MercadoPonta!$A$1,MATCH(A240,MercadoPonta!$A$2:$A$11,0),MATCH(B240,MercadoPonta!$B$1:$AN$1,0),1,1)</f>
        <v>1938.0977901271897</v>
      </c>
      <c r="G240" s="432">
        <f ca="1">OFFSET(GerNaoDesp!$A$18,MATCH(A240,GerNaoDesp!$A$19:$A$25,0),MATCH(B240,GerNaoDesp!$B$18:$AN$18,0),1,1)</f>
        <v>2.5517683740473789E-2</v>
      </c>
      <c r="H240" s="24">
        <f ca="1">OFFSET(GerNaoDesp!$A$30,MATCH(A240,GerNaoDesp!$A$31:$A$37,0),MATCH(B240,GerNaoDesp!$B$30:$AN$30,0),1,1)</f>
        <v>0</v>
      </c>
      <c r="I240" s="24">
        <f ca="1">OFFSET(GerNaoDesp!$A$42,MATCH(A240,GerNaoDesp!$A$43:$A$49,0),MATCH(B240,GerNaoDesp!$B$42:$AN$42,0),1,1)</f>
        <v>0</v>
      </c>
    </row>
    <row r="241" spans="1:9">
      <c r="A241" s="59">
        <f t="shared" si="6"/>
        <v>7</v>
      </c>
      <c r="B241" s="59">
        <f t="shared" si="7"/>
        <v>2017</v>
      </c>
      <c r="C241" s="18">
        <f ca="1">OFFSET(Mercado!$A$1,MATCH(A241,Mercado!$A$2:$A$11,0),MATCH(B241,Mercado!$B$1:$AN$1,0),1,1)</f>
        <v>1134.9225025748756</v>
      </c>
      <c r="D241" s="18">
        <f ca="1">OFFSET(CompPerdasIntercambio!$A$1,MATCH(A241,CompPerdasIntercambio!$A$2:$A$11,0),MATCH(B241,CompPerdasIntercambio!$B$1:$AN$1,0),1,1)</f>
        <v>0</v>
      </c>
      <c r="E241" s="18">
        <f ca="1">OFFSET(GerNaoDesp!$A$1,MATCH(A241,GerNaoDesp!$A$2:$A$9,0),MATCH(B241,GerNaoDesp!$B$1:$AN$1,0),1,1)</f>
        <v>0.24437820994921824</v>
      </c>
      <c r="F241" s="58">
        <f ca="1">OFFSET(MercadoPonta!$A$1,MATCH(A241,MercadoPonta!$A$2:$A$11,0),MATCH(B241,MercadoPonta!$B$1:$AN$1,0),1,1)</f>
        <v>2169</v>
      </c>
      <c r="G241" s="432">
        <f ca="1">OFFSET(GerNaoDesp!$A$18,MATCH(A241,GerNaoDesp!$A$19:$A$25,0),MATCH(B241,GerNaoDesp!$B$18:$AN$18,0),1,1)</f>
        <v>0.24437820994921824</v>
      </c>
      <c r="H241" s="24">
        <f ca="1">OFFSET(GerNaoDesp!$A$30,MATCH(A241,GerNaoDesp!$A$31:$A$37,0),MATCH(B241,GerNaoDesp!$B$30:$AN$30,0),1,1)</f>
        <v>0</v>
      </c>
      <c r="I241" s="24">
        <f ca="1">OFFSET(GerNaoDesp!$A$42,MATCH(A241,GerNaoDesp!$A$43:$A$49,0),MATCH(B241,GerNaoDesp!$B$42:$AN$42,0),1,1)</f>
        <v>0</v>
      </c>
    </row>
    <row r="242" spans="1:9">
      <c r="A242" s="59">
        <f t="shared" si="6"/>
        <v>7</v>
      </c>
      <c r="B242" s="59">
        <f t="shared" si="7"/>
        <v>2018</v>
      </c>
      <c r="C242" s="18">
        <f ca="1">OFFSET(Mercado!$A$1,MATCH(A242,Mercado!$A$2:$A$11,0),MATCH(B242,Mercado!$B$1:$AN$1,0),1,1)</f>
        <v>1225.993663628388</v>
      </c>
      <c r="D242" s="18">
        <f ca="1">OFFSET(CompPerdasIntercambio!$A$1,MATCH(A242,CompPerdasIntercambio!$A$2:$A$11,0),MATCH(B242,CompPerdasIntercambio!$B$1:$AN$1,0),1,1)</f>
        <v>0</v>
      </c>
      <c r="E242" s="18">
        <f ca="1">OFFSET(GerNaoDesp!$A$1,MATCH(A242,GerNaoDesp!$A$2:$A$9,0),MATCH(B242,GerNaoDesp!$B$1:$AN$1,0),1,1)</f>
        <v>0.86271473820866007</v>
      </c>
      <c r="F242" s="58">
        <f ca="1">OFFSET(MercadoPonta!$A$1,MATCH(A242,MercadoPonta!$A$2:$A$11,0),MATCH(B242,MercadoPonta!$B$1:$AN$1,0),1,1)</f>
        <v>2246</v>
      </c>
      <c r="G242" s="432">
        <f ca="1">OFFSET(GerNaoDesp!$A$18,MATCH(A242,GerNaoDesp!$A$19:$A$25,0),MATCH(B242,GerNaoDesp!$B$18:$AN$18,0),1,1)</f>
        <v>0.86271473820866007</v>
      </c>
      <c r="H242" s="24">
        <f ca="1">OFFSET(GerNaoDesp!$A$30,MATCH(A242,GerNaoDesp!$A$31:$A$37,0),MATCH(B242,GerNaoDesp!$B$30:$AN$30,0),1,1)</f>
        <v>0</v>
      </c>
      <c r="I242" s="24">
        <f ca="1">OFFSET(GerNaoDesp!$A$42,MATCH(A242,GerNaoDesp!$A$43:$A$49,0),MATCH(B242,GerNaoDesp!$B$42:$AN$42,0),1,1)</f>
        <v>0</v>
      </c>
    </row>
    <row r="243" spans="1:9">
      <c r="A243" s="59">
        <f t="shared" si="6"/>
        <v>7</v>
      </c>
      <c r="B243" s="59">
        <f t="shared" si="7"/>
        <v>2019</v>
      </c>
      <c r="C243" s="18">
        <f ca="1">OFFSET(Mercado!$A$1,MATCH(A243,Mercado!$A$2:$A$11,0),MATCH(B243,Mercado!$B$1:$AN$1,0),1,1)</f>
        <v>1327.5348207313752</v>
      </c>
      <c r="D243" s="18">
        <f ca="1">OFFSET(CompPerdasIntercambio!$A$1,MATCH(A243,CompPerdasIntercambio!$A$2:$A$11,0),MATCH(B243,CompPerdasIntercambio!$B$1:$AN$1,0),1,1)</f>
        <v>0</v>
      </c>
      <c r="E243" s="18">
        <f ca="1">OFFSET(GerNaoDesp!$A$1,MATCH(A243,GerNaoDesp!$A$2:$A$9,0),MATCH(B243,GerNaoDesp!$B$1:$AN$1,0),1,1)</f>
        <v>1.9054418236967514</v>
      </c>
      <c r="F243" s="58">
        <f ca="1">OFFSET(MercadoPonta!$A$1,MATCH(A243,MercadoPonta!$A$2:$A$11,0),MATCH(B243,MercadoPonta!$B$1:$AN$1,0),1,1)</f>
        <v>2336</v>
      </c>
      <c r="G243" s="432">
        <f ca="1">OFFSET(GerNaoDesp!$A$18,MATCH(A243,GerNaoDesp!$A$19:$A$25,0),MATCH(B243,GerNaoDesp!$B$18:$AN$18,0),1,1)</f>
        <v>1.9054418236967514</v>
      </c>
      <c r="H243" s="24">
        <f ca="1">OFFSET(GerNaoDesp!$A$30,MATCH(A243,GerNaoDesp!$A$31:$A$37,0),MATCH(B243,GerNaoDesp!$B$30:$AN$30,0),1,1)</f>
        <v>0</v>
      </c>
      <c r="I243" s="24">
        <f ca="1">OFFSET(GerNaoDesp!$A$42,MATCH(A243,GerNaoDesp!$A$43:$A$49,0),MATCH(B243,GerNaoDesp!$B$42:$AN$42,0),1,1)</f>
        <v>0</v>
      </c>
    </row>
    <row r="244" spans="1:9">
      <c r="A244" s="59">
        <f t="shared" si="6"/>
        <v>7</v>
      </c>
      <c r="B244" s="59">
        <f t="shared" si="7"/>
        <v>2020</v>
      </c>
      <c r="C244" s="18">
        <f ca="1">OFFSET(Mercado!$A$1,MATCH(A244,Mercado!$A$2:$A$11,0),MATCH(B244,Mercado!$B$1:$AN$1,0),1,1)</f>
        <v>1375.1157880561218</v>
      </c>
      <c r="D244" s="18">
        <f ca="1">OFFSET(CompPerdasIntercambio!$A$1,MATCH(A244,CompPerdasIntercambio!$A$2:$A$11,0),MATCH(B244,CompPerdasIntercambio!$B$1:$AN$1,0),1,1)</f>
        <v>0</v>
      </c>
      <c r="E244" s="18">
        <f ca="1">OFFSET(GerNaoDesp!$A$1,MATCH(A244,GerNaoDesp!$A$2:$A$9,0),MATCH(B244,GerNaoDesp!$B$1:$AN$1,0),1,1)</f>
        <v>3.3202737699309051</v>
      </c>
      <c r="F244" s="58">
        <f ca="1">OFFSET(MercadoPonta!$A$1,MATCH(A244,MercadoPonta!$A$2:$A$11,0),MATCH(B244,MercadoPonta!$B$1:$AN$1,0),1,1)</f>
        <v>2424.8902575915795</v>
      </c>
      <c r="G244" s="432">
        <f ca="1">OFFSET(GerNaoDesp!$A$18,MATCH(A244,GerNaoDesp!$A$19:$A$25,0),MATCH(B244,GerNaoDesp!$B$18:$AN$18,0),1,1)</f>
        <v>3.3202737699309051</v>
      </c>
      <c r="H244" s="24">
        <f ca="1">OFFSET(GerNaoDesp!$A$30,MATCH(A244,GerNaoDesp!$A$31:$A$37,0),MATCH(B244,GerNaoDesp!$B$30:$AN$30,0),1,1)</f>
        <v>0</v>
      </c>
      <c r="I244" s="24">
        <f ca="1">OFFSET(GerNaoDesp!$A$42,MATCH(A244,GerNaoDesp!$A$43:$A$49,0),MATCH(B244,GerNaoDesp!$B$42:$AN$42,0),1,1)</f>
        <v>0</v>
      </c>
    </row>
    <row r="245" spans="1:9">
      <c r="A245" s="59">
        <f t="shared" si="6"/>
        <v>7</v>
      </c>
      <c r="B245" s="59">
        <f t="shared" si="7"/>
        <v>2021</v>
      </c>
      <c r="C245" s="18">
        <f ca="1">OFFSET(Mercado!$A$1,MATCH(A245,Mercado!$A$2:$A$11,0),MATCH(B245,Mercado!$B$1:$AN$1,0),1,1)</f>
        <v>1426.8763792966981</v>
      </c>
      <c r="D245" s="18">
        <f ca="1">OFFSET(CompPerdasIntercambio!$A$1,MATCH(A245,CompPerdasIntercambio!$A$2:$A$11,0),MATCH(B245,CompPerdasIntercambio!$B$1:$AN$1,0),1,1)</f>
        <v>0</v>
      </c>
      <c r="E245" s="18">
        <f ca="1">OFFSET(GerNaoDesp!$A$1,MATCH(A245,GerNaoDesp!$A$2:$A$9,0),MATCH(B245,GerNaoDesp!$B$1:$AN$1,0),1,1)</f>
        <v>4.7455971769748322</v>
      </c>
      <c r="F245" s="58">
        <f ca="1">OFFSET(MercadoPonta!$A$1,MATCH(A245,MercadoPonta!$A$2:$A$11,0),MATCH(B245,MercadoPonta!$B$1:$AN$1,0),1,1)</f>
        <v>2514.7726465140222</v>
      </c>
      <c r="G245" s="432">
        <f ca="1">OFFSET(GerNaoDesp!$A$18,MATCH(A245,GerNaoDesp!$A$19:$A$25,0),MATCH(B245,GerNaoDesp!$B$18:$AN$18,0),1,1)</f>
        <v>4.7455971769748322</v>
      </c>
      <c r="H245" s="24">
        <f ca="1">OFFSET(GerNaoDesp!$A$30,MATCH(A245,GerNaoDesp!$A$31:$A$37,0),MATCH(B245,GerNaoDesp!$B$30:$AN$30,0),1,1)</f>
        <v>0</v>
      </c>
      <c r="I245" s="24">
        <f ca="1">OFFSET(GerNaoDesp!$A$42,MATCH(A245,GerNaoDesp!$A$43:$A$49,0),MATCH(B245,GerNaoDesp!$B$42:$AN$42,0),1,1)</f>
        <v>0</v>
      </c>
    </row>
    <row r="246" spans="1:9">
      <c r="A246" s="59">
        <f t="shared" si="6"/>
        <v>7</v>
      </c>
      <c r="B246" s="59">
        <f t="shared" si="7"/>
        <v>2022</v>
      </c>
      <c r="C246" s="18">
        <f ca="1">OFFSET(Mercado!$A$1,MATCH(A246,Mercado!$A$2:$A$11,0),MATCH(B246,Mercado!$B$1:$AN$1,0),1,1)</f>
        <v>1480.2156203166567</v>
      </c>
      <c r="D246" s="18">
        <f ca="1">OFFSET(CompPerdasIntercambio!$A$1,MATCH(A246,CompPerdasIntercambio!$A$2:$A$11,0),MATCH(B246,CompPerdasIntercambio!$B$1:$AN$1,0),1,1)</f>
        <v>0</v>
      </c>
      <c r="E246" s="18">
        <f ca="1">OFFSET(GerNaoDesp!$A$1,MATCH(A246,GerNaoDesp!$A$2:$A$9,0),MATCH(B246,GerNaoDesp!$B$1:$AN$1,0),1,1)</f>
        <v>6.1657333352898211</v>
      </c>
      <c r="F246" s="58">
        <f ca="1">OFFSET(MercadoPonta!$A$1,MATCH(A246,MercadoPonta!$A$2:$A$11,0),MATCH(B246,MercadoPonta!$B$1:$AN$1,0),1,1)</f>
        <v>2608.5622117421053</v>
      </c>
      <c r="G246" s="432">
        <f ca="1">OFFSET(GerNaoDesp!$A$18,MATCH(A246,GerNaoDesp!$A$19:$A$25,0),MATCH(B246,GerNaoDesp!$B$18:$AN$18,0),1,1)</f>
        <v>6.1657333352898211</v>
      </c>
      <c r="H246" s="24">
        <f ca="1">OFFSET(GerNaoDesp!$A$30,MATCH(A246,GerNaoDesp!$A$31:$A$37,0),MATCH(B246,GerNaoDesp!$B$30:$AN$30,0),1,1)</f>
        <v>0</v>
      </c>
      <c r="I246" s="24">
        <f ca="1">OFFSET(GerNaoDesp!$A$42,MATCH(A246,GerNaoDesp!$A$43:$A$49,0),MATCH(B246,GerNaoDesp!$B$42:$AN$42,0),1,1)</f>
        <v>0</v>
      </c>
    </row>
    <row r="247" spans="1:9">
      <c r="A247" s="59">
        <f t="shared" si="6"/>
        <v>7</v>
      </c>
      <c r="B247" s="59">
        <f t="shared" si="7"/>
        <v>2023</v>
      </c>
      <c r="C247" s="18">
        <f ca="1">OFFSET(Mercado!$A$1,MATCH(A247,Mercado!$A$2:$A$11,0),MATCH(B247,Mercado!$B$1:$AN$1,0),1,1)</f>
        <v>1535.0262131403188</v>
      </c>
      <c r="D247" s="18">
        <f ca="1">OFFSET(CompPerdasIntercambio!$A$1,MATCH(A247,CompPerdasIntercambio!$A$2:$A$11,0),MATCH(B247,CompPerdasIntercambio!$B$1:$AN$1,0),1,1)</f>
        <v>0</v>
      </c>
      <c r="E247" s="18">
        <f ca="1">OFFSET(GerNaoDesp!$A$1,MATCH(A247,GerNaoDesp!$A$2:$A$9,0),MATCH(B247,GerNaoDesp!$B$1:$AN$1,0),1,1)</f>
        <v>8.2358436676344251</v>
      </c>
      <c r="F247" s="58">
        <f ca="1">OFFSET(MercadoPonta!$A$1,MATCH(A247,MercadoPonta!$A$2:$A$11,0),MATCH(B247,MercadoPonta!$B$1:$AN$1,0),1,1)</f>
        <v>2705.048277699093</v>
      </c>
      <c r="G247" s="432">
        <f ca="1">OFFSET(GerNaoDesp!$A$18,MATCH(A247,GerNaoDesp!$A$19:$A$25,0),MATCH(B247,GerNaoDesp!$B$18:$AN$18,0),1,1)</f>
        <v>8.2358436676344251</v>
      </c>
      <c r="H247" s="24">
        <f ca="1">OFFSET(GerNaoDesp!$A$30,MATCH(A247,GerNaoDesp!$A$31:$A$37,0),MATCH(B247,GerNaoDesp!$B$30:$AN$30,0),1,1)</f>
        <v>0</v>
      </c>
      <c r="I247" s="24">
        <f ca="1">OFFSET(GerNaoDesp!$A$42,MATCH(A247,GerNaoDesp!$A$43:$A$49,0),MATCH(B247,GerNaoDesp!$B$42:$AN$42,0),1,1)</f>
        <v>0</v>
      </c>
    </row>
    <row r="248" spans="1:9">
      <c r="A248" s="59">
        <f t="shared" si="6"/>
        <v>7</v>
      </c>
      <c r="B248" s="59">
        <f t="shared" si="7"/>
        <v>2024</v>
      </c>
      <c r="C248" s="18">
        <f ca="1">OFFSET(Mercado!$A$1,MATCH(A248,Mercado!$A$2:$A$11,0),MATCH(B248,Mercado!$B$1:$AN$1,0),1,1)</f>
        <v>1591.7318891835114</v>
      </c>
      <c r="D248" s="18">
        <f ca="1">OFFSET(CompPerdasIntercambio!$A$1,MATCH(A248,CompPerdasIntercambio!$A$2:$A$11,0),MATCH(B248,CompPerdasIntercambio!$B$1:$AN$1,0),1,1)</f>
        <v>0</v>
      </c>
      <c r="E248" s="18">
        <f ca="1">OFFSET(GerNaoDesp!$A$1,MATCH(A248,GerNaoDesp!$A$2:$A$9,0),MATCH(B248,GerNaoDesp!$B$1:$AN$1,0),1,1)</f>
        <v>11.055946335319359</v>
      </c>
      <c r="F248" s="58">
        <f ca="1">OFFSET(MercadoPonta!$A$1,MATCH(A248,MercadoPonta!$A$2:$A$11,0),MATCH(B248,MercadoPonta!$B$1:$AN$1,0),1,1)</f>
        <v>2810.1025308347216</v>
      </c>
      <c r="G248" s="432">
        <f ca="1">OFFSET(GerNaoDesp!$A$18,MATCH(A248,GerNaoDesp!$A$19:$A$25,0),MATCH(B248,GerNaoDesp!$B$18:$AN$18,0),1,1)</f>
        <v>11.055946335319359</v>
      </c>
      <c r="H248" s="24">
        <f ca="1">OFFSET(GerNaoDesp!$A$30,MATCH(A248,GerNaoDesp!$A$31:$A$37,0),MATCH(B248,GerNaoDesp!$B$30:$AN$30,0),1,1)</f>
        <v>0</v>
      </c>
      <c r="I248" s="24">
        <f ca="1">OFFSET(GerNaoDesp!$A$42,MATCH(A248,GerNaoDesp!$A$43:$A$49,0),MATCH(B248,GerNaoDesp!$B$42:$AN$42,0),1,1)</f>
        <v>0</v>
      </c>
    </row>
    <row r="249" spans="1:9">
      <c r="A249" s="59">
        <f t="shared" si="6"/>
        <v>7</v>
      </c>
      <c r="B249" s="59">
        <f t="shared" si="7"/>
        <v>2025</v>
      </c>
      <c r="C249" s="18">
        <f ca="1">OFFSET(Mercado!$A$1,MATCH(A249,Mercado!$A$2:$A$11,0),MATCH(B249,Mercado!$B$1:$AN$1,0),1,1)</f>
        <v>1650.1437807800139</v>
      </c>
      <c r="D249" s="18">
        <f ca="1">OFFSET(CompPerdasIntercambio!$A$1,MATCH(A249,CompPerdasIntercambio!$A$2:$A$11,0),MATCH(B249,CompPerdasIntercambio!$B$1:$AN$1,0),1,1)</f>
        <v>0</v>
      </c>
      <c r="E249" s="18">
        <f ca="1">OFFSET(GerNaoDesp!$A$1,MATCH(A249,GerNaoDesp!$A$2:$A$9,0),MATCH(B249,GerNaoDesp!$B$1:$AN$1,0),1,1)</f>
        <v>14.262793619045977</v>
      </c>
      <c r="F249" s="58">
        <f ca="1">OFFSET(MercadoPonta!$A$1,MATCH(A249,MercadoPonta!$A$2:$A$11,0),MATCH(B249,MercadoPonta!$B$1:$AN$1,0),1,1)</f>
        <v>2907.4623419426762</v>
      </c>
      <c r="G249" s="432">
        <f ca="1">OFFSET(GerNaoDesp!$A$18,MATCH(A249,GerNaoDesp!$A$19:$A$25,0),MATCH(B249,GerNaoDesp!$B$18:$AN$18,0),1,1)</f>
        <v>14.262793619045977</v>
      </c>
      <c r="H249" s="24">
        <f ca="1">OFFSET(GerNaoDesp!$A$30,MATCH(A249,GerNaoDesp!$A$31:$A$37,0),MATCH(B249,GerNaoDesp!$B$30:$AN$30,0),1,1)</f>
        <v>0</v>
      </c>
      <c r="I249" s="24">
        <f ca="1">OFFSET(GerNaoDesp!$A$42,MATCH(A249,GerNaoDesp!$A$43:$A$49,0),MATCH(B249,GerNaoDesp!$B$42:$AN$42,0),1,1)</f>
        <v>0</v>
      </c>
    </row>
    <row r="250" spans="1:9">
      <c r="A250" s="59">
        <f t="shared" si="6"/>
        <v>7</v>
      </c>
      <c r="B250" s="59">
        <f t="shared" si="7"/>
        <v>2026</v>
      </c>
      <c r="C250" s="18">
        <f ca="1">OFFSET(Mercado!$A$1,MATCH(A250,Mercado!$A$2:$A$11,0),MATCH(B250,Mercado!$B$1:$AN$1,0),1,1)</f>
        <v>1710.8561486601725</v>
      </c>
      <c r="D250" s="18">
        <f ca="1">OFFSET(CompPerdasIntercambio!$A$1,MATCH(A250,CompPerdasIntercambio!$A$2:$A$11,0),MATCH(B250,CompPerdasIntercambio!$B$1:$AN$1,0),1,1)</f>
        <v>0</v>
      </c>
      <c r="E250" s="18">
        <f ca="1">OFFSET(GerNaoDesp!$A$1,MATCH(A250,GerNaoDesp!$A$2:$A$9,0),MATCH(B250,GerNaoDesp!$B$1:$AN$1,0),1,1)</f>
        <v>17.668954333580736</v>
      </c>
      <c r="F250" s="58">
        <f ca="1">OFFSET(MercadoPonta!$A$1,MATCH(A250,MercadoPonta!$A$2:$A$11,0),MATCH(B250,MercadoPonta!$B$1:$AN$1,0),1,1)</f>
        <v>3014.1669236496764</v>
      </c>
      <c r="G250" s="432">
        <f ca="1">OFFSET(GerNaoDesp!$A$18,MATCH(A250,GerNaoDesp!$A$19:$A$25,0),MATCH(B250,GerNaoDesp!$B$18:$AN$18,0),1,1)</f>
        <v>17.668954333580736</v>
      </c>
      <c r="H250" s="24">
        <f ca="1">OFFSET(GerNaoDesp!$A$30,MATCH(A250,GerNaoDesp!$A$31:$A$37,0),MATCH(B250,GerNaoDesp!$B$30:$AN$30,0),1,1)</f>
        <v>0</v>
      </c>
      <c r="I250" s="24">
        <f ca="1">OFFSET(GerNaoDesp!$A$42,MATCH(A250,GerNaoDesp!$A$43:$A$49,0),MATCH(B250,GerNaoDesp!$B$42:$AN$42,0),1,1)</f>
        <v>0</v>
      </c>
    </row>
    <row r="251" spans="1:9">
      <c r="A251" s="59">
        <f t="shared" si="6"/>
        <v>7</v>
      </c>
      <c r="B251" s="59">
        <f t="shared" si="7"/>
        <v>2027</v>
      </c>
      <c r="C251" s="18">
        <f ca="1">OFFSET(Mercado!$A$1,MATCH(A251,Mercado!$A$2:$A$11,0),MATCH(B251,Mercado!$B$1:$AN$1,0),1,1)</f>
        <v>1773.3485471506165</v>
      </c>
      <c r="D251" s="18">
        <f ca="1">OFFSET(CompPerdasIntercambio!$A$1,MATCH(A251,CompPerdasIntercambio!$A$2:$A$11,0),MATCH(B251,CompPerdasIntercambio!$B$1:$AN$1,0),1,1)</f>
        <v>0</v>
      </c>
      <c r="E251" s="18">
        <f ca="1">OFFSET(GerNaoDesp!$A$1,MATCH(A251,GerNaoDesp!$A$2:$A$9,0),MATCH(B251,GerNaoDesp!$B$1:$AN$1,0),1,1)</f>
        <v>21.086507016656139</v>
      </c>
      <c r="F251" s="58">
        <f ca="1">OFFSET(MercadoPonta!$A$1,MATCH(A251,MercadoPonta!$A$2:$A$11,0),MATCH(B251,MercadoPonta!$B$1:$AN$1,0),1,1)</f>
        <v>3124.0394786546767</v>
      </c>
      <c r="G251" s="432">
        <f ca="1">OFFSET(GerNaoDesp!$A$18,MATCH(A251,GerNaoDesp!$A$19:$A$25,0),MATCH(B251,GerNaoDesp!$B$18:$AN$18,0),1,1)</f>
        <v>21.086507016656139</v>
      </c>
      <c r="H251" s="24">
        <f ca="1">OFFSET(GerNaoDesp!$A$30,MATCH(A251,GerNaoDesp!$A$31:$A$37,0),MATCH(B251,GerNaoDesp!$B$30:$AN$30,0),1,1)</f>
        <v>0</v>
      </c>
      <c r="I251" s="24">
        <f ca="1">OFFSET(GerNaoDesp!$A$42,MATCH(A251,GerNaoDesp!$A$43:$A$49,0),MATCH(B251,GerNaoDesp!$B$42:$AN$42,0),1,1)</f>
        <v>0</v>
      </c>
    </row>
    <row r="252" spans="1:9">
      <c r="A252" s="59">
        <f t="shared" si="6"/>
        <v>7</v>
      </c>
      <c r="B252" s="59">
        <f t="shared" si="7"/>
        <v>2028</v>
      </c>
      <c r="C252" s="18">
        <f ca="1">OFFSET(Mercado!$A$1,MATCH(A252,Mercado!$A$2:$A$11,0),MATCH(B252,Mercado!$B$1:$AN$1,0),1,1)</f>
        <v>1837.6477786231956</v>
      </c>
      <c r="D252" s="18">
        <f ca="1">OFFSET(CompPerdasIntercambio!$A$1,MATCH(A252,CompPerdasIntercambio!$A$2:$A$11,0),MATCH(B252,CompPerdasIntercambio!$B$1:$AN$1,0),1,1)</f>
        <v>0</v>
      </c>
      <c r="E252" s="18">
        <f ca="1">OFFSET(GerNaoDesp!$A$1,MATCH(A252,GerNaoDesp!$A$2:$A$9,0),MATCH(B252,GerNaoDesp!$B$1:$AN$1,0),1,1)</f>
        <v>24.408850761458716</v>
      </c>
      <c r="F252" s="58">
        <f ca="1">OFFSET(MercadoPonta!$A$1,MATCH(A252,MercadoPonta!$A$2:$A$11,0),MATCH(B252,MercadoPonta!$B$1:$AN$1,0),1,1)</f>
        <v>3243.1693984775443</v>
      </c>
      <c r="G252" s="432">
        <f ca="1">OFFSET(GerNaoDesp!$A$18,MATCH(A252,GerNaoDesp!$A$19:$A$25,0),MATCH(B252,GerNaoDesp!$B$18:$AN$18,0),1,1)</f>
        <v>24.408850761458716</v>
      </c>
      <c r="H252" s="24">
        <f ca="1">OFFSET(GerNaoDesp!$A$30,MATCH(A252,GerNaoDesp!$A$31:$A$37,0),MATCH(B252,GerNaoDesp!$B$30:$AN$30,0),1,1)</f>
        <v>0</v>
      </c>
      <c r="I252" s="24">
        <f ca="1">OFFSET(GerNaoDesp!$A$42,MATCH(A252,GerNaoDesp!$A$43:$A$49,0),MATCH(B252,GerNaoDesp!$B$42:$AN$42,0),1,1)</f>
        <v>0</v>
      </c>
    </row>
    <row r="253" spans="1:9">
      <c r="A253" s="59">
        <f t="shared" si="6"/>
        <v>7</v>
      </c>
      <c r="B253" s="59">
        <f t="shared" si="7"/>
        <v>2029</v>
      </c>
      <c r="C253" s="18">
        <f ca="1">OFFSET(Mercado!$A$1,MATCH(A253,Mercado!$A$2:$A$11,0),MATCH(B253,Mercado!$B$1:$AN$1,0),1,1)</f>
        <v>1904.3899682025933</v>
      </c>
      <c r="D253" s="18">
        <f ca="1">OFFSET(CompPerdasIntercambio!$A$1,MATCH(A253,CompPerdasIntercambio!$A$2:$A$11,0),MATCH(B253,CompPerdasIntercambio!$B$1:$AN$1,0),1,1)</f>
        <v>0</v>
      </c>
      <c r="E253" s="18">
        <f ca="1">OFFSET(GerNaoDesp!$A$1,MATCH(A253,GerNaoDesp!$A$2:$A$9,0),MATCH(B253,GerNaoDesp!$B$1:$AN$1,0),1,1)</f>
        <v>27.625766938499691</v>
      </c>
      <c r="F253" s="58">
        <f ca="1">OFFSET(MercadoPonta!$A$1,MATCH(A253,MercadoPonta!$A$2:$A$11,0),MATCH(B253,MercadoPonta!$B$1:$AN$1,0),1,1)</f>
        <v>3354.1372927911652</v>
      </c>
      <c r="G253" s="432">
        <f ca="1">OFFSET(GerNaoDesp!$A$18,MATCH(A253,GerNaoDesp!$A$19:$A$25,0),MATCH(B253,GerNaoDesp!$B$18:$AN$18,0),1,1)</f>
        <v>27.625766938499691</v>
      </c>
      <c r="H253" s="24">
        <f ca="1">OFFSET(GerNaoDesp!$A$30,MATCH(A253,GerNaoDesp!$A$31:$A$37,0),MATCH(B253,GerNaoDesp!$B$30:$AN$30,0),1,1)</f>
        <v>0</v>
      </c>
      <c r="I253" s="24">
        <f ca="1">OFFSET(GerNaoDesp!$A$42,MATCH(A253,GerNaoDesp!$A$43:$A$49,0),MATCH(B253,GerNaoDesp!$B$42:$AN$42,0),1,1)</f>
        <v>0</v>
      </c>
    </row>
    <row r="254" spans="1:9">
      <c r="A254" s="59">
        <f t="shared" si="6"/>
        <v>7</v>
      </c>
      <c r="B254" s="59">
        <f t="shared" si="7"/>
        <v>2030</v>
      </c>
      <c r="C254" s="18">
        <f ca="1">OFFSET(Mercado!$A$1,MATCH(A254,Mercado!$A$2:$A$11,0),MATCH(B254,Mercado!$B$1:$AN$1,0),1,1)</f>
        <v>1973.6691583736085</v>
      </c>
      <c r="D254" s="18">
        <f ca="1">OFFSET(CompPerdasIntercambio!$A$1,MATCH(A254,CompPerdasIntercambio!$A$2:$A$11,0),MATCH(B254,CompPerdasIntercambio!$B$1:$AN$1,0),1,1)</f>
        <v>0</v>
      </c>
      <c r="E254" s="18">
        <f ca="1">OFFSET(GerNaoDesp!$A$1,MATCH(A254,GerNaoDesp!$A$2:$A$9,0),MATCH(B254,GerNaoDesp!$B$1:$AN$1,0),1,1)</f>
        <v>30.757065665882585</v>
      </c>
      <c r="F254" s="58">
        <f ca="1">OFFSET(MercadoPonta!$A$1,MATCH(A254,MercadoPonta!$A$2:$A$11,0),MATCH(B254,MercadoPonta!$B$1:$AN$1,0),1,1)</f>
        <v>3476.8535358654644</v>
      </c>
      <c r="G254" s="432">
        <f ca="1">OFFSET(GerNaoDesp!$A$18,MATCH(A254,GerNaoDesp!$A$19:$A$25,0),MATCH(B254,GerNaoDesp!$B$18:$AN$18,0),1,1)</f>
        <v>30.757065665882585</v>
      </c>
      <c r="H254" s="24">
        <f ca="1">OFFSET(GerNaoDesp!$A$30,MATCH(A254,GerNaoDesp!$A$31:$A$37,0),MATCH(B254,GerNaoDesp!$B$30:$AN$30,0),1,1)</f>
        <v>0</v>
      </c>
      <c r="I254" s="24">
        <f ca="1">OFFSET(GerNaoDesp!$A$42,MATCH(A254,GerNaoDesp!$A$43:$A$49,0),MATCH(B254,GerNaoDesp!$B$42:$AN$42,0),1,1)</f>
        <v>0</v>
      </c>
    </row>
    <row r="255" spans="1:9">
      <c r="A255" s="59">
        <f t="shared" si="6"/>
        <v>7</v>
      </c>
      <c r="B255" s="59">
        <f t="shared" si="7"/>
        <v>2031</v>
      </c>
      <c r="C255" s="18">
        <f ca="1">OFFSET(Mercado!$A$1,MATCH(A255,Mercado!$A$2:$A$11,0),MATCH(B255,Mercado!$B$1:$AN$1,0),1,1)</f>
        <v>2049.0362806437097</v>
      </c>
      <c r="D255" s="18">
        <f ca="1">OFFSET(CompPerdasIntercambio!$A$1,MATCH(A255,CompPerdasIntercambio!$A$2:$A$11,0),MATCH(B255,CompPerdasIntercambio!$B$1:$AN$1,0),1,1)</f>
        <v>0</v>
      </c>
      <c r="E255" s="18">
        <f ca="1">OFFSET(GerNaoDesp!$A$1,MATCH(A255,GerNaoDesp!$A$2:$A$9,0),MATCH(B255,GerNaoDesp!$B$1:$AN$1,0),1,1)</f>
        <v>33.463056703893756</v>
      </c>
      <c r="F255" s="58">
        <f ca="1">OFFSET(MercadoPonta!$A$1,MATCH(A255,MercadoPonta!$A$2:$A$11,0),MATCH(B255,MercadoPonta!$B$1:$AN$1,0),1,1)</f>
        <v>3609.3977477783474</v>
      </c>
      <c r="G255" s="432">
        <f ca="1">OFFSET(GerNaoDesp!$A$18,MATCH(A255,GerNaoDesp!$A$19:$A$25,0),MATCH(B255,GerNaoDesp!$B$18:$AN$18,0),1,1)</f>
        <v>33.463056703893756</v>
      </c>
      <c r="H255" s="24">
        <f ca="1">OFFSET(GerNaoDesp!$A$30,MATCH(A255,GerNaoDesp!$A$31:$A$37,0),MATCH(B255,GerNaoDesp!$B$30:$AN$30,0),1,1)</f>
        <v>0</v>
      </c>
      <c r="I255" s="24">
        <f ca="1">OFFSET(GerNaoDesp!$A$42,MATCH(A255,GerNaoDesp!$A$43:$A$49,0),MATCH(B255,GerNaoDesp!$B$42:$AN$42,0),1,1)</f>
        <v>0</v>
      </c>
    </row>
    <row r="256" spans="1:9">
      <c r="A256" s="59">
        <f t="shared" si="6"/>
        <v>7</v>
      </c>
      <c r="B256" s="59">
        <f t="shared" si="7"/>
        <v>2032</v>
      </c>
      <c r="C256" s="18">
        <f ca="1">OFFSET(Mercado!$A$1,MATCH(A256,Mercado!$A$2:$A$11,0),MATCH(B256,Mercado!$B$1:$AN$1,0),1,1)</f>
        <v>2127.2833206782493</v>
      </c>
      <c r="D256" s="18">
        <f ca="1">OFFSET(CompPerdasIntercambio!$A$1,MATCH(A256,CompPerdasIntercambio!$A$2:$A$11,0),MATCH(B256,CompPerdasIntercambio!$B$1:$AN$1,0),1,1)</f>
        <v>0</v>
      </c>
      <c r="E256" s="18">
        <f ca="1">OFFSET(GerNaoDesp!$A$1,MATCH(A256,GerNaoDesp!$A$2:$A$9,0),MATCH(B256,GerNaoDesp!$B$1:$AN$1,0),1,1)</f>
        <v>35.746103838670209</v>
      </c>
      <c r="F256" s="58">
        <f ca="1">OFFSET(MercadoPonta!$A$1,MATCH(A256,MercadoPonta!$A$2:$A$11,0),MATCH(B256,MercadoPonta!$B$1:$AN$1,0),1,1)</f>
        <v>3754.0514496055966</v>
      </c>
      <c r="G256" s="432">
        <f ca="1">OFFSET(GerNaoDesp!$A$18,MATCH(A256,GerNaoDesp!$A$19:$A$25,0),MATCH(B256,GerNaoDesp!$B$18:$AN$18,0),1,1)</f>
        <v>35.746103838670209</v>
      </c>
      <c r="H256" s="24">
        <f ca="1">OFFSET(GerNaoDesp!$A$30,MATCH(A256,GerNaoDesp!$A$31:$A$37,0),MATCH(B256,GerNaoDesp!$B$30:$AN$30,0),1,1)</f>
        <v>0</v>
      </c>
      <c r="I256" s="24">
        <f ca="1">OFFSET(GerNaoDesp!$A$42,MATCH(A256,GerNaoDesp!$A$43:$A$49,0),MATCH(B256,GerNaoDesp!$B$42:$AN$42,0),1,1)</f>
        <v>0</v>
      </c>
    </row>
    <row r="257" spans="1:9">
      <c r="A257" s="59">
        <f t="shared" si="6"/>
        <v>7</v>
      </c>
      <c r="B257" s="59">
        <f t="shared" si="7"/>
        <v>2033</v>
      </c>
      <c r="C257" s="18">
        <f ca="1">OFFSET(Mercado!$A$1,MATCH(A257,Mercado!$A$2:$A$11,0),MATCH(B257,Mercado!$B$1:$AN$1,0),1,1)</f>
        <v>2208.5294364177857</v>
      </c>
      <c r="D257" s="18">
        <f ca="1">OFFSET(CompPerdasIntercambio!$A$1,MATCH(A257,CompPerdasIntercambio!$A$2:$A$11,0),MATCH(B257,CompPerdasIntercambio!$B$1:$AN$1,0),1,1)</f>
        <v>0</v>
      </c>
      <c r="E257" s="18">
        <f ca="1">OFFSET(GerNaoDesp!$A$1,MATCH(A257,GerNaoDesp!$A$2:$A$9,0),MATCH(B257,GerNaoDesp!$B$1:$AN$1,0),1,1)</f>
        <v>37.998893650107831</v>
      </c>
      <c r="F257" s="58">
        <f ca="1">OFFSET(MercadoPonta!$A$1,MATCH(A257,MercadoPonta!$A$2:$A$11,0),MATCH(B257,MercadoPonta!$B$1:$AN$1,0),1,1)</f>
        <v>3889.5689504621369</v>
      </c>
      <c r="G257" s="432">
        <f ca="1">OFFSET(GerNaoDesp!$A$18,MATCH(A257,GerNaoDesp!$A$19:$A$25,0),MATCH(B257,GerNaoDesp!$B$18:$AN$18,0),1,1)</f>
        <v>37.998893650107831</v>
      </c>
      <c r="H257" s="24">
        <f ca="1">OFFSET(GerNaoDesp!$A$30,MATCH(A257,GerNaoDesp!$A$31:$A$37,0),MATCH(B257,GerNaoDesp!$B$30:$AN$30,0),1,1)</f>
        <v>0</v>
      </c>
      <c r="I257" s="24">
        <f ca="1">OFFSET(GerNaoDesp!$A$42,MATCH(A257,GerNaoDesp!$A$43:$A$49,0),MATCH(B257,GerNaoDesp!$B$42:$AN$42,0),1,1)</f>
        <v>0</v>
      </c>
    </row>
    <row r="258" spans="1:9">
      <c r="A258" s="59">
        <f t="shared" si="6"/>
        <v>7</v>
      </c>
      <c r="B258" s="59">
        <f t="shared" si="7"/>
        <v>2034</v>
      </c>
      <c r="C258" s="18">
        <f ca="1">OFFSET(Mercado!$A$1,MATCH(A258,Mercado!$A$2:$A$11,0),MATCH(B258,Mercado!$B$1:$AN$1,0),1,1)</f>
        <v>2292.5350202695108</v>
      </c>
      <c r="D258" s="18">
        <f ca="1">OFFSET(CompPerdasIntercambio!$A$1,MATCH(A258,CompPerdasIntercambio!$A$2:$A$11,0),MATCH(B258,CompPerdasIntercambio!$B$1:$AN$1,0),1,1)</f>
        <v>0</v>
      </c>
      <c r="E258" s="18">
        <f ca="1">OFFSET(GerNaoDesp!$A$1,MATCH(A258,GerNaoDesp!$A$2:$A$9,0),MATCH(B258,GerNaoDesp!$B$1:$AN$1,0),1,1)</f>
        <v>40.276908755837432</v>
      </c>
      <c r="F258" s="58">
        <f ca="1">OFFSET(MercadoPonta!$A$1,MATCH(A258,MercadoPonta!$A$2:$A$11,0),MATCH(B258,MercadoPonta!$B$1:$AN$1,0),1,1)</f>
        <v>4037.1391293989454</v>
      </c>
      <c r="G258" s="432">
        <f ca="1">OFFSET(GerNaoDesp!$A$18,MATCH(A258,GerNaoDesp!$A$19:$A$25,0),MATCH(B258,GerNaoDesp!$B$18:$AN$18,0),1,1)</f>
        <v>40.276908755837432</v>
      </c>
      <c r="H258" s="24">
        <f ca="1">OFFSET(GerNaoDesp!$A$30,MATCH(A258,GerNaoDesp!$A$31:$A$37,0),MATCH(B258,GerNaoDesp!$B$30:$AN$30,0),1,1)</f>
        <v>0</v>
      </c>
      <c r="I258" s="24">
        <f ca="1">OFFSET(GerNaoDesp!$A$42,MATCH(A258,GerNaoDesp!$A$43:$A$49,0),MATCH(B258,GerNaoDesp!$B$42:$AN$42,0),1,1)</f>
        <v>0</v>
      </c>
    </row>
    <row r="259" spans="1:9">
      <c r="A259" s="59">
        <f t="shared" si="6"/>
        <v>7</v>
      </c>
      <c r="B259" s="59">
        <f t="shared" si="7"/>
        <v>2035</v>
      </c>
      <c r="C259" s="18">
        <f ca="1">OFFSET(Mercado!$A$1,MATCH(A259,Mercado!$A$2:$A$11,0),MATCH(B259,Mercado!$B$1:$AN$1,0),1,1)</f>
        <v>2379.3896489460044</v>
      </c>
      <c r="D259" s="18">
        <f ca="1">OFFSET(CompPerdasIntercambio!$A$1,MATCH(A259,CompPerdasIntercambio!$A$2:$A$11,0),MATCH(B259,CompPerdasIntercambio!$B$1:$AN$1,0),1,1)</f>
        <v>0</v>
      </c>
      <c r="E259" s="18">
        <f ca="1">OFFSET(GerNaoDesp!$A$1,MATCH(A259,GerNaoDesp!$A$2:$A$9,0),MATCH(B259,GerNaoDesp!$B$1:$AN$1,0),1,1)</f>
        <v>42.624544375933532</v>
      </c>
      <c r="F259" s="58">
        <f ca="1">OFFSET(MercadoPonta!$A$1,MATCH(A259,MercadoPonta!$A$2:$A$11,0),MATCH(B259,MercadoPonta!$B$1:$AN$1,0),1,1)</f>
        <v>4189.5661025914487</v>
      </c>
      <c r="G259" s="432">
        <f ca="1">OFFSET(GerNaoDesp!$A$18,MATCH(A259,GerNaoDesp!$A$19:$A$25,0),MATCH(B259,GerNaoDesp!$B$18:$AN$18,0),1,1)</f>
        <v>42.624544375933532</v>
      </c>
      <c r="H259" s="24">
        <f ca="1">OFFSET(GerNaoDesp!$A$30,MATCH(A259,GerNaoDesp!$A$31:$A$37,0),MATCH(B259,GerNaoDesp!$B$30:$AN$30,0),1,1)</f>
        <v>0</v>
      </c>
      <c r="I259" s="24">
        <f ca="1">OFFSET(GerNaoDesp!$A$42,MATCH(A259,GerNaoDesp!$A$43:$A$49,0),MATCH(B259,GerNaoDesp!$B$42:$AN$42,0),1,1)</f>
        <v>0</v>
      </c>
    </row>
    <row r="260" spans="1:9">
      <c r="A260" s="59">
        <f t="shared" si="6"/>
        <v>7</v>
      </c>
      <c r="B260" s="59">
        <f t="shared" si="7"/>
        <v>2036</v>
      </c>
      <c r="C260" s="18">
        <f ca="1">OFFSET(Mercado!$A$1,MATCH(A260,Mercado!$A$2:$A$11,0),MATCH(B260,Mercado!$B$1:$AN$1,0),1,1)</f>
        <v>2467.2076573479062</v>
      </c>
      <c r="D260" s="18">
        <f ca="1">OFFSET(CompPerdasIntercambio!$A$1,MATCH(A260,CompPerdasIntercambio!$A$2:$A$11,0),MATCH(B260,CompPerdasIntercambio!$B$1:$AN$1,0),1,1)</f>
        <v>0</v>
      </c>
      <c r="E260" s="18">
        <f ca="1">OFFSET(GerNaoDesp!$A$1,MATCH(A260,GerNaoDesp!$A$2:$A$9,0),MATCH(B260,GerNaoDesp!$B$1:$AN$1,0),1,1)</f>
        <v>45.047814767829969</v>
      </c>
      <c r="F260" s="58">
        <f ca="1">OFFSET(MercadoPonta!$A$1,MATCH(A260,MercadoPonta!$A$2:$A$11,0),MATCH(B260,MercadoPonta!$B$1:$AN$1,0),1,1)</f>
        <v>4351.8884550575285</v>
      </c>
      <c r="G260" s="432">
        <f ca="1">OFFSET(GerNaoDesp!$A$18,MATCH(A260,GerNaoDesp!$A$19:$A$25,0),MATCH(B260,GerNaoDesp!$B$18:$AN$18,0),1,1)</f>
        <v>45.047814767829969</v>
      </c>
      <c r="H260" s="24">
        <f ca="1">OFFSET(GerNaoDesp!$A$30,MATCH(A260,GerNaoDesp!$A$31:$A$37,0),MATCH(B260,GerNaoDesp!$B$30:$AN$30,0),1,1)</f>
        <v>0</v>
      </c>
      <c r="I260" s="24">
        <f ca="1">OFFSET(GerNaoDesp!$A$42,MATCH(A260,GerNaoDesp!$A$43:$A$49,0),MATCH(B260,GerNaoDesp!$B$42:$AN$42,0),1,1)</f>
        <v>0</v>
      </c>
    </row>
    <row r="261" spans="1:9">
      <c r="A261" s="59">
        <f t="shared" si="6"/>
        <v>7</v>
      </c>
      <c r="B261" s="59">
        <f t="shared" si="7"/>
        <v>2037</v>
      </c>
      <c r="C261" s="18">
        <f ca="1">OFFSET(Mercado!$A$1,MATCH(A261,Mercado!$A$2:$A$11,0),MATCH(B261,Mercado!$B$1:$AN$1,0),1,1)</f>
        <v>2555.812204245161</v>
      </c>
      <c r="D261" s="18">
        <f ca="1">OFFSET(CompPerdasIntercambio!$A$1,MATCH(A261,CompPerdasIntercambio!$A$2:$A$11,0),MATCH(B261,CompPerdasIntercambio!$B$1:$AN$1,0),1,1)</f>
        <v>0</v>
      </c>
      <c r="E261" s="18">
        <f ca="1">OFFSET(GerNaoDesp!$A$1,MATCH(A261,GerNaoDesp!$A$2:$A$9,0),MATCH(B261,GerNaoDesp!$B$1:$AN$1,0),1,1)</f>
        <v>47.614540579222265</v>
      </c>
      <c r="F261" s="58">
        <f ca="1">OFFSET(MercadoPonta!$A$1,MATCH(A261,MercadoPonta!$A$2:$A$11,0),MATCH(B261,MercadoPonta!$B$1:$AN$1,0),1,1)</f>
        <v>4498.8877597399451</v>
      </c>
      <c r="G261" s="432">
        <f ca="1">OFFSET(GerNaoDesp!$A$18,MATCH(A261,GerNaoDesp!$A$19:$A$25,0),MATCH(B261,GerNaoDesp!$B$18:$AN$18,0),1,1)</f>
        <v>47.614540579222265</v>
      </c>
      <c r="H261" s="24">
        <f ca="1">OFFSET(GerNaoDesp!$A$30,MATCH(A261,GerNaoDesp!$A$31:$A$37,0),MATCH(B261,GerNaoDesp!$B$30:$AN$30,0),1,1)</f>
        <v>0</v>
      </c>
      <c r="I261" s="24">
        <f ca="1">OFFSET(GerNaoDesp!$A$42,MATCH(A261,GerNaoDesp!$A$43:$A$49,0),MATCH(B261,GerNaoDesp!$B$42:$AN$42,0),1,1)</f>
        <v>0</v>
      </c>
    </row>
    <row r="262" spans="1:9">
      <c r="A262" s="59">
        <f t="shared" si="6"/>
        <v>7</v>
      </c>
      <c r="B262" s="59">
        <f t="shared" si="7"/>
        <v>2038</v>
      </c>
      <c r="C262" s="18">
        <f ca="1">OFFSET(Mercado!$A$1,MATCH(A262,Mercado!$A$2:$A$11,0),MATCH(B262,Mercado!$B$1:$AN$1,0),1,1)</f>
        <v>2645.0161690746286</v>
      </c>
      <c r="D262" s="18">
        <f ca="1">OFFSET(CompPerdasIntercambio!$A$1,MATCH(A262,CompPerdasIntercambio!$A$2:$A$11,0),MATCH(B262,CompPerdasIntercambio!$B$1:$AN$1,0),1,1)</f>
        <v>0</v>
      </c>
      <c r="E262" s="18">
        <f ca="1">OFFSET(GerNaoDesp!$A$1,MATCH(A262,GerNaoDesp!$A$2:$A$9,0),MATCH(B262,GerNaoDesp!$B$1:$AN$1,0),1,1)</f>
        <v>50.364112564262129</v>
      </c>
      <c r="F262" s="58">
        <f ca="1">OFFSET(MercadoPonta!$A$1,MATCH(A262,MercadoPonta!$A$2:$A$11,0),MATCH(B262,MercadoPonta!$B$1:$AN$1,0),1,1)</f>
        <v>4655.3139520005125</v>
      </c>
      <c r="G262" s="432">
        <f ca="1">OFFSET(GerNaoDesp!$A$18,MATCH(A262,GerNaoDesp!$A$19:$A$25,0),MATCH(B262,GerNaoDesp!$B$18:$AN$18,0),1,1)</f>
        <v>50.364112564262129</v>
      </c>
      <c r="H262" s="24">
        <f ca="1">OFFSET(GerNaoDesp!$A$30,MATCH(A262,GerNaoDesp!$A$31:$A$37,0),MATCH(B262,GerNaoDesp!$B$30:$AN$30,0),1,1)</f>
        <v>0</v>
      </c>
      <c r="I262" s="24">
        <f ca="1">OFFSET(GerNaoDesp!$A$42,MATCH(A262,GerNaoDesp!$A$43:$A$49,0),MATCH(B262,GerNaoDesp!$B$42:$AN$42,0),1,1)</f>
        <v>0</v>
      </c>
    </row>
    <row r="263" spans="1:9">
      <c r="A263" s="59">
        <f t="shared" si="6"/>
        <v>7</v>
      </c>
      <c r="B263" s="59">
        <f t="shared" si="7"/>
        <v>2039</v>
      </c>
      <c r="C263" s="18">
        <f ca="1">OFFSET(Mercado!$A$1,MATCH(A263,Mercado!$A$2:$A$11,0),MATCH(B263,Mercado!$B$1:$AN$1,0),1,1)</f>
        <v>2734.6228687791158</v>
      </c>
      <c r="D263" s="18">
        <f ca="1">OFFSET(CompPerdasIntercambio!$A$1,MATCH(A263,CompPerdasIntercambio!$A$2:$A$11,0),MATCH(B263,CompPerdasIntercambio!$B$1:$AN$1,0),1,1)</f>
        <v>0</v>
      </c>
      <c r="E263" s="18">
        <f ca="1">OFFSET(GerNaoDesp!$A$1,MATCH(A263,GerNaoDesp!$A$2:$A$9,0),MATCH(B263,GerNaoDesp!$B$1:$AN$1,0),1,1)</f>
        <v>53.279436307790313</v>
      </c>
      <c r="F263" s="58">
        <f ca="1">OFFSET(MercadoPonta!$A$1,MATCH(A263,MercadoPonta!$A$2:$A$11,0),MATCH(B263,MercadoPonta!$B$1:$AN$1,0),1,1)</f>
        <v>4812.5316716410098</v>
      </c>
      <c r="G263" s="432">
        <f ca="1">OFFSET(GerNaoDesp!$A$18,MATCH(A263,GerNaoDesp!$A$19:$A$25,0),MATCH(B263,GerNaoDesp!$B$18:$AN$18,0),1,1)</f>
        <v>53.279436307790313</v>
      </c>
      <c r="H263" s="24">
        <f ca="1">OFFSET(GerNaoDesp!$A$30,MATCH(A263,GerNaoDesp!$A$31:$A$37,0),MATCH(B263,GerNaoDesp!$B$30:$AN$30,0),1,1)</f>
        <v>0</v>
      </c>
      <c r="I263" s="24">
        <f ca="1">OFFSET(GerNaoDesp!$A$42,MATCH(A263,GerNaoDesp!$A$43:$A$49,0),MATCH(B263,GerNaoDesp!$B$42:$AN$42,0),1,1)</f>
        <v>0</v>
      </c>
    </row>
    <row r="264" spans="1:9">
      <c r="A264" s="59">
        <f t="shared" si="6"/>
        <v>7</v>
      </c>
      <c r="B264" s="59">
        <f t="shared" si="7"/>
        <v>2040</v>
      </c>
      <c r="C264" s="18">
        <f ca="1">OFFSET(Mercado!$A$1,MATCH(A264,Mercado!$A$2:$A$11,0),MATCH(B264,Mercado!$B$1:$AN$1,0),1,1)</f>
        <v>2824.4268938944338</v>
      </c>
      <c r="D264" s="18">
        <f ca="1">OFFSET(CompPerdasIntercambio!$A$1,MATCH(A264,CompPerdasIntercambio!$A$2:$A$11,0),MATCH(B264,CompPerdasIntercambio!$B$1:$AN$1,0),1,1)</f>
        <v>0</v>
      </c>
      <c r="E264" s="18">
        <f ca="1">OFFSET(GerNaoDesp!$A$1,MATCH(A264,GerNaoDesp!$A$2:$A$9,0),MATCH(B264,GerNaoDesp!$B$1:$AN$1,0),1,1)</f>
        <v>56.374603422769646</v>
      </c>
      <c r="F264" s="58">
        <f ca="1">OFFSET(MercadoPonta!$A$1,MATCH(A264,MercadoPonta!$A$2:$A$11,0),MATCH(B264,MercadoPonta!$B$1:$AN$1,0),1,1)</f>
        <v>4979.5056567056199</v>
      </c>
      <c r="G264" s="432">
        <f ca="1">OFFSET(GerNaoDesp!$A$18,MATCH(A264,GerNaoDesp!$A$19:$A$25,0),MATCH(B264,GerNaoDesp!$B$18:$AN$18,0),1,1)</f>
        <v>56.374603422769646</v>
      </c>
      <c r="H264" s="24">
        <f ca="1">OFFSET(GerNaoDesp!$A$30,MATCH(A264,GerNaoDesp!$A$31:$A$37,0),MATCH(B264,GerNaoDesp!$B$30:$AN$30,0),1,1)</f>
        <v>0</v>
      </c>
      <c r="I264" s="24">
        <f ca="1">OFFSET(GerNaoDesp!$A$42,MATCH(A264,GerNaoDesp!$A$43:$A$49,0),MATCH(B264,GerNaoDesp!$B$42:$AN$42,0),1,1)</f>
        <v>0</v>
      </c>
    </row>
    <row r="265" spans="1:9">
      <c r="A265" s="59">
        <f t="shared" si="6"/>
        <v>7</v>
      </c>
      <c r="B265" s="59">
        <f t="shared" si="7"/>
        <v>2041</v>
      </c>
      <c r="C265" s="18">
        <f ca="1">OFFSET(Mercado!$A$1,MATCH(A265,Mercado!$A$2:$A$11,0),MATCH(B265,Mercado!$B$1:$AN$1,0),1,1)</f>
        <v>2914.2150619414583</v>
      </c>
      <c r="D265" s="18">
        <f ca="1">OFFSET(CompPerdasIntercambio!$A$1,MATCH(A265,CompPerdasIntercambio!$A$2:$A$11,0),MATCH(B265,CompPerdasIntercambio!$B$1:$AN$1,0),1,1)</f>
        <v>0</v>
      </c>
      <c r="E265" s="18">
        <f ca="1">OFFSET(GerNaoDesp!$A$1,MATCH(A265,GerNaoDesp!$A$2:$A$9,0),MATCH(B265,GerNaoDesp!$B$1:$AN$1,0),1,1)</f>
        <v>59.405368073790001</v>
      </c>
      <c r="F265" s="58">
        <f ca="1">OFFSET(MercadoPonta!$A$1,MATCH(A265,MercadoPonta!$A$2:$A$11,0),MATCH(B265,MercadoPonta!$B$1:$AN$1,0),1,1)</f>
        <v>5127.3236094638887</v>
      </c>
      <c r="G265" s="432">
        <f ca="1">OFFSET(GerNaoDesp!$A$18,MATCH(A265,GerNaoDesp!$A$19:$A$25,0),MATCH(B265,GerNaoDesp!$B$18:$AN$18,0),1,1)</f>
        <v>59.405368073790001</v>
      </c>
      <c r="H265" s="24">
        <f ca="1">OFFSET(GerNaoDesp!$A$30,MATCH(A265,GerNaoDesp!$A$31:$A$37,0),MATCH(B265,GerNaoDesp!$B$30:$AN$30,0),1,1)</f>
        <v>0</v>
      </c>
      <c r="I265" s="24">
        <f ca="1">OFFSET(GerNaoDesp!$A$42,MATCH(A265,GerNaoDesp!$A$43:$A$49,0),MATCH(B265,GerNaoDesp!$B$42:$AN$42,0),1,1)</f>
        <v>0</v>
      </c>
    </row>
    <row r="266" spans="1:9">
      <c r="A266" s="59">
        <f t="shared" si="6"/>
        <v>7</v>
      </c>
      <c r="B266" s="59">
        <f t="shared" si="7"/>
        <v>2042</v>
      </c>
      <c r="C266" s="18">
        <f ca="1">OFFSET(Mercado!$A$1,MATCH(A266,Mercado!$A$2:$A$11,0),MATCH(B266,Mercado!$B$1:$AN$1,0),1,1)</f>
        <v>3003.767484650617</v>
      </c>
      <c r="D266" s="18">
        <f ca="1">OFFSET(CompPerdasIntercambio!$A$1,MATCH(A266,CompPerdasIntercambio!$A$2:$A$11,0),MATCH(B266,CompPerdasIntercambio!$B$1:$AN$1,0),1,1)</f>
        <v>0</v>
      </c>
      <c r="E266" s="18">
        <f ca="1">OFFSET(GerNaoDesp!$A$1,MATCH(A266,GerNaoDesp!$A$2:$A$9,0),MATCH(B266,GerNaoDesp!$B$1:$AN$1,0),1,1)</f>
        <v>62.399016864469523</v>
      </c>
      <c r="F266" s="58">
        <f ca="1">OFFSET(MercadoPonta!$A$1,MATCH(A266,MercadoPonta!$A$2:$A$11,0),MATCH(B266,MercadoPonta!$B$1:$AN$1,0),1,1)</f>
        <v>5284.3312657028982</v>
      </c>
      <c r="G266" s="432">
        <f ca="1">OFFSET(GerNaoDesp!$A$18,MATCH(A266,GerNaoDesp!$A$19:$A$25,0),MATCH(B266,GerNaoDesp!$B$18:$AN$18,0),1,1)</f>
        <v>62.399016864469523</v>
      </c>
      <c r="H266" s="24">
        <f ca="1">OFFSET(GerNaoDesp!$A$30,MATCH(A266,GerNaoDesp!$A$31:$A$37,0),MATCH(B266,GerNaoDesp!$B$30:$AN$30,0),1,1)</f>
        <v>0</v>
      </c>
      <c r="I266" s="24">
        <f ca="1">OFFSET(GerNaoDesp!$A$42,MATCH(A266,GerNaoDesp!$A$43:$A$49,0),MATCH(B266,GerNaoDesp!$B$42:$AN$42,0),1,1)</f>
        <v>0</v>
      </c>
    </row>
    <row r="267" spans="1:9">
      <c r="A267" s="59">
        <f t="shared" si="6"/>
        <v>7</v>
      </c>
      <c r="B267" s="59">
        <f t="shared" si="7"/>
        <v>2043</v>
      </c>
      <c r="C267" s="18">
        <f ca="1">OFFSET(Mercado!$A$1,MATCH(A267,Mercado!$A$2:$A$11,0),MATCH(B267,Mercado!$B$1:$AN$1,0),1,1)</f>
        <v>3092.8587439853709</v>
      </c>
      <c r="D267" s="18">
        <f ca="1">OFFSET(CompPerdasIntercambio!$A$1,MATCH(A267,CompPerdasIntercambio!$A$2:$A$11,0),MATCH(B267,CompPerdasIntercambio!$B$1:$AN$1,0),1,1)</f>
        <v>0</v>
      </c>
      <c r="E267" s="18">
        <f ca="1">OFFSET(GerNaoDesp!$A$1,MATCH(A267,GerNaoDesp!$A$2:$A$9,0),MATCH(B267,GerNaoDesp!$B$1:$AN$1,0),1,1)</f>
        <v>65.617757853418965</v>
      </c>
      <c r="F267" s="58">
        <f ca="1">OFFSET(MercadoPonta!$A$1,MATCH(A267,MercadoPonta!$A$2:$A$11,0),MATCH(B267,MercadoPonta!$B$1:$AN$1,0),1,1)</f>
        <v>5440.6331120809755</v>
      </c>
      <c r="G267" s="432">
        <f ca="1">OFFSET(GerNaoDesp!$A$18,MATCH(A267,GerNaoDesp!$A$19:$A$25,0),MATCH(B267,GerNaoDesp!$B$18:$AN$18,0),1,1)</f>
        <v>65.617757853418965</v>
      </c>
      <c r="H267" s="24">
        <f ca="1">OFFSET(GerNaoDesp!$A$30,MATCH(A267,GerNaoDesp!$A$31:$A$37,0),MATCH(B267,GerNaoDesp!$B$30:$AN$30,0),1,1)</f>
        <v>0</v>
      </c>
      <c r="I267" s="24">
        <f ca="1">OFFSET(GerNaoDesp!$A$42,MATCH(A267,GerNaoDesp!$A$43:$A$49,0),MATCH(B267,GerNaoDesp!$B$42:$AN$42,0),1,1)</f>
        <v>0</v>
      </c>
    </row>
    <row r="268" spans="1:9">
      <c r="A268" s="59">
        <f t="shared" si="6"/>
        <v>7</v>
      </c>
      <c r="B268" s="59">
        <f t="shared" si="7"/>
        <v>2044</v>
      </c>
      <c r="C268" s="18">
        <f ca="1">OFFSET(Mercado!$A$1,MATCH(A268,Mercado!$A$2:$A$11,0),MATCH(B268,Mercado!$B$1:$AN$1,0),1,1)</f>
        <v>3181.2591703635376</v>
      </c>
      <c r="D268" s="18">
        <f ca="1">OFFSET(CompPerdasIntercambio!$A$1,MATCH(A268,CompPerdasIntercambio!$A$2:$A$11,0),MATCH(B268,CompPerdasIntercambio!$B$1:$AN$1,0),1,1)</f>
        <v>0</v>
      </c>
      <c r="E268" s="18">
        <f ca="1">OFFSET(GerNaoDesp!$A$1,MATCH(A268,GerNaoDesp!$A$2:$A$9,0),MATCH(B268,GerNaoDesp!$B$1:$AN$1,0),1,1)</f>
        <v>69.033838976741109</v>
      </c>
      <c r="F268" s="58">
        <f ca="1">OFFSET(MercadoPonta!$A$1,MATCH(A268,MercadoPonta!$A$2:$A$11,0),MATCH(B268,MercadoPonta!$B$1:$AN$1,0),1,1)</f>
        <v>5606.3342731642479</v>
      </c>
      <c r="G268" s="432">
        <f ca="1">OFFSET(GerNaoDesp!$A$18,MATCH(A268,GerNaoDesp!$A$19:$A$25,0),MATCH(B268,GerNaoDesp!$B$18:$AN$18,0),1,1)</f>
        <v>69.033838976741109</v>
      </c>
      <c r="H268" s="24">
        <f ca="1">OFFSET(GerNaoDesp!$A$30,MATCH(A268,GerNaoDesp!$A$31:$A$37,0),MATCH(B268,GerNaoDesp!$B$30:$AN$30,0),1,1)</f>
        <v>0</v>
      </c>
      <c r="I268" s="24">
        <f ca="1">OFFSET(GerNaoDesp!$A$42,MATCH(A268,GerNaoDesp!$A$43:$A$49,0),MATCH(B268,GerNaoDesp!$B$42:$AN$42,0),1,1)</f>
        <v>0</v>
      </c>
    </row>
    <row r="269" spans="1:9">
      <c r="A269" s="59">
        <f t="shared" si="6"/>
        <v>7</v>
      </c>
      <c r="B269" s="59">
        <f t="shared" si="7"/>
        <v>2045</v>
      </c>
      <c r="C269" s="18">
        <f ca="1">OFFSET(Mercado!$A$1,MATCH(A269,Mercado!$A$2:$A$11,0),MATCH(B269,Mercado!$B$1:$AN$1,0),1,1)</f>
        <v>3268.7362149270011</v>
      </c>
      <c r="D269" s="18">
        <f ca="1">OFFSET(CompPerdasIntercambio!$A$1,MATCH(A269,CompPerdasIntercambio!$A$2:$A$11,0),MATCH(B269,CompPerdasIntercambio!$B$1:$AN$1,0),1,1)</f>
        <v>0</v>
      </c>
      <c r="E269" s="18">
        <f ca="1">OFFSET(GerNaoDesp!$A$1,MATCH(A269,GerNaoDesp!$A$2:$A$9,0),MATCH(B269,GerNaoDesp!$B$1:$AN$1,0),1,1)</f>
        <v>72.629102628705624</v>
      </c>
      <c r="F269" s="58">
        <f ca="1">OFFSET(MercadoPonta!$A$1,MATCH(A269,MercadoPonta!$A$2:$A$11,0),MATCH(B269,MercadoPonta!$B$1:$AN$1,0),1,1)</f>
        <v>5748.8702216638767</v>
      </c>
      <c r="G269" s="432">
        <f ca="1">OFFSET(GerNaoDesp!$A$18,MATCH(A269,GerNaoDesp!$A$19:$A$25,0),MATCH(B269,GerNaoDesp!$B$18:$AN$18,0),1,1)</f>
        <v>72.629102628705624</v>
      </c>
      <c r="H269" s="24">
        <f ca="1">OFFSET(GerNaoDesp!$A$30,MATCH(A269,GerNaoDesp!$A$31:$A$37,0),MATCH(B269,GerNaoDesp!$B$30:$AN$30,0),1,1)</f>
        <v>0</v>
      </c>
      <c r="I269" s="24">
        <f ca="1">OFFSET(GerNaoDesp!$A$42,MATCH(A269,GerNaoDesp!$A$43:$A$49,0),MATCH(B269,GerNaoDesp!$B$42:$AN$42,0),1,1)</f>
        <v>0</v>
      </c>
    </row>
    <row r="270" spans="1:9">
      <c r="A270" s="59">
        <f t="shared" si="6"/>
        <v>7</v>
      </c>
      <c r="B270" s="59">
        <f t="shared" si="7"/>
        <v>2046</v>
      </c>
      <c r="C270" s="18">
        <f ca="1">OFFSET(Mercado!$A$1,MATCH(A270,Mercado!$A$2:$A$11,0),MATCH(B270,Mercado!$B$1:$AN$1,0),1,1)</f>
        <v>3355.0559062085135</v>
      </c>
      <c r="D270" s="18">
        <f ca="1">OFFSET(CompPerdasIntercambio!$A$1,MATCH(A270,CompPerdasIntercambio!$A$2:$A$11,0),MATCH(B270,CompPerdasIntercambio!$B$1:$AN$1,0),1,1)</f>
        <v>0</v>
      </c>
      <c r="E270" s="18">
        <f ca="1">OFFSET(GerNaoDesp!$A$1,MATCH(A270,GerNaoDesp!$A$2:$A$9,0),MATCH(B270,GerNaoDesp!$B$1:$AN$1,0),1,1)</f>
        <v>76.457563330336711</v>
      </c>
      <c r="F270" s="58">
        <f ca="1">OFFSET(MercadoPonta!$A$1,MATCH(A270,MercadoPonta!$A$2:$A$11,0),MATCH(B270,MercadoPonta!$B$1:$AN$1,0),1,1)</f>
        <v>5900.2031895568134</v>
      </c>
      <c r="G270" s="432">
        <f ca="1">OFFSET(GerNaoDesp!$A$18,MATCH(A270,GerNaoDesp!$A$19:$A$25,0),MATCH(B270,GerNaoDesp!$B$18:$AN$18,0),1,1)</f>
        <v>76.457563330336711</v>
      </c>
      <c r="H270" s="24">
        <f ca="1">OFFSET(GerNaoDesp!$A$30,MATCH(A270,GerNaoDesp!$A$31:$A$37,0),MATCH(B270,GerNaoDesp!$B$30:$AN$30,0),1,1)</f>
        <v>0</v>
      </c>
      <c r="I270" s="24">
        <f ca="1">OFFSET(GerNaoDesp!$A$42,MATCH(A270,GerNaoDesp!$A$43:$A$49,0),MATCH(B270,GerNaoDesp!$B$42:$AN$42,0),1,1)</f>
        <v>0</v>
      </c>
    </row>
    <row r="271" spans="1:9">
      <c r="A271" s="59">
        <f t="shared" si="6"/>
        <v>7</v>
      </c>
      <c r="B271" s="59">
        <f t="shared" si="7"/>
        <v>2047</v>
      </c>
      <c r="C271" s="18">
        <f ca="1">OFFSET(Mercado!$A$1,MATCH(A271,Mercado!$A$2:$A$11,0),MATCH(B271,Mercado!$B$1:$AN$1,0),1,1)</f>
        <v>3439.9843801166812</v>
      </c>
      <c r="D271" s="18">
        <f ca="1">OFFSET(CompPerdasIntercambio!$A$1,MATCH(A271,CompPerdasIntercambio!$A$2:$A$11,0),MATCH(B271,CompPerdasIntercambio!$B$1:$AN$1,0),1,1)</f>
        <v>0</v>
      </c>
      <c r="E271" s="18">
        <f ca="1">OFFSET(GerNaoDesp!$A$1,MATCH(A271,GerNaoDesp!$A$2:$A$9,0),MATCH(B271,GerNaoDesp!$B$1:$AN$1,0),1,1)</f>
        <v>80.567021450979141</v>
      </c>
      <c r="F271" s="58">
        <f ca="1">OFFSET(MercadoPonta!$A$1,MATCH(A271,MercadoPonta!$A$2:$A$11,0),MATCH(B271,MercadoPonta!$B$1:$AN$1,0),1,1)</f>
        <v>6049.2164507697807</v>
      </c>
      <c r="G271" s="432">
        <f ca="1">OFFSET(GerNaoDesp!$A$18,MATCH(A271,GerNaoDesp!$A$19:$A$25,0),MATCH(B271,GerNaoDesp!$B$18:$AN$18,0),1,1)</f>
        <v>80.567021450979141</v>
      </c>
      <c r="H271" s="24">
        <f ca="1">OFFSET(GerNaoDesp!$A$30,MATCH(A271,GerNaoDesp!$A$31:$A$37,0),MATCH(B271,GerNaoDesp!$B$30:$AN$30,0),1,1)</f>
        <v>0</v>
      </c>
      <c r="I271" s="24">
        <f ca="1">OFFSET(GerNaoDesp!$A$42,MATCH(A271,GerNaoDesp!$A$43:$A$49,0),MATCH(B271,GerNaoDesp!$B$42:$AN$42,0),1,1)</f>
        <v>0</v>
      </c>
    </row>
    <row r="272" spans="1:9">
      <c r="A272" s="59">
        <f t="shared" si="6"/>
        <v>7</v>
      </c>
      <c r="B272" s="59">
        <f t="shared" si="7"/>
        <v>2048</v>
      </c>
      <c r="C272" s="18">
        <f ca="1">OFFSET(Mercado!$A$1,MATCH(A272,Mercado!$A$2:$A$11,0),MATCH(B272,Mercado!$B$1:$AN$1,0),1,1)</f>
        <v>3523.2894708344334</v>
      </c>
      <c r="D272" s="18">
        <f ca="1">OFFSET(CompPerdasIntercambio!$A$1,MATCH(A272,CompPerdasIntercambio!$A$2:$A$11,0),MATCH(B272,CompPerdasIntercambio!$B$1:$AN$1,0),1,1)</f>
        <v>0</v>
      </c>
      <c r="E272" s="18">
        <f ca="1">OFFSET(GerNaoDesp!$A$1,MATCH(A272,GerNaoDesp!$A$2:$A$9,0),MATCH(B272,GerNaoDesp!$B$1:$AN$1,0),1,1)</f>
        <v>84.822218406604378</v>
      </c>
      <c r="F272" s="58">
        <f ca="1">OFFSET(MercadoPonta!$A$1,MATCH(A272,MercadoPonta!$A$2:$A$11,0),MATCH(B272,MercadoPonta!$B$1:$AN$1,0),1,1)</f>
        <v>6207.139076901125</v>
      </c>
      <c r="G272" s="432">
        <f ca="1">OFFSET(GerNaoDesp!$A$18,MATCH(A272,GerNaoDesp!$A$19:$A$25,0),MATCH(B272,GerNaoDesp!$B$18:$AN$18,0),1,1)</f>
        <v>84.822218406604378</v>
      </c>
      <c r="H272" s="24">
        <f ca="1">OFFSET(GerNaoDesp!$A$30,MATCH(A272,GerNaoDesp!$A$31:$A$37,0),MATCH(B272,GerNaoDesp!$B$30:$AN$30,0),1,1)</f>
        <v>0</v>
      </c>
      <c r="I272" s="24">
        <f ca="1">OFFSET(GerNaoDesp!$A$42,MATCH(A272,GerNaoDesp!$A$43:$A$49,0),MATCH(B272,GerNaoDesp!$B$42:$AN$42,0),1,1)</f>
        <v>0</v>
      </c>
    </row>
    <row r="273" spans="1:9">
      <c r="A273" s="59">
        <f t="shared" si="6"/>
        <v>7</v>
      </c>
      <c r="B273" s="59">
        <f t="shared" si="7"/>
        <v>2049</v>
      </c>
      <c r="C273" s="18">
        <f ca="1">OFFSET(Mercado!$A$1,MATCH(A273,Mercado!$A$2:$A$11,0),MATCH(B273,Mercado!$B$1:$AN$1,0),1,1)</f>
        <v>3604.7423490292731</v>
      </c>
      <c r="D273" s="18">
        <f ca="1">OFFSET(CompPerdasIntercambio!$A$1,MATCH(A273,CompPerdasIntercambio!$A$2:$A$11,0),MATCH(B273,CompPerdasIntercambio!$B$1:$AN$1,0),1,1)</f>
        <v>0</v>
      </c>
      <c r="E273" s="18">
        <f ca="1">OFFSET(GerNaoDesp!$A$1,MATCH(A273,GerNaoDesp!$A$2:$A$9,0),MATCH(B273,GerNaoDesp!$B$1:$AN$1,0),1,1)</f>
        <v>89.171322186333029</v>
      </c>
      <c r="F273" s="58">
        <f ca="1">OFFSET(MercadoPonta!$A$1,MATCH(A273,MercadoPonta!$A$2:$A$11,0),MATCH(B273,MercadoPonta!$B$1:$AN$1,0),1,1)</f>
        <v>6337.9573083786654</v>
      </c>
      <c r="G273" s="432">
        <f ca="1">OFFSET(GerNaoDesp!$A$18,MATCH(A273,GerNaoDesp!$A$19:$A$25,0),MATCH(B273,GerNaoDesp!$B$18:$AN$18,0),1,1)</f>
        <v>89.171322186333029</v>
      </c>
      <c r="H273" s="24">
        <f ca="1">OFFSET(GerNaoDesp!$A$30,MATCH(A273,GerNaoDesp!$A$31:$A$37,0),MATCH(B273,GerNaoDesp!$B$30:$AN$30,0),1,1)</f>
        <v>0</v>
      </c>
      <c r="I273" s="24">
        <f ca="1">OFFSET(GerNaoDesp!$A$42,MATCH(A273,GerNaoDesp!$A$43:$A$49,0),MATCH(B273,GerNaoDesp!$B$42:$AN$42,0),1,1)</f>
        <v>0</v>
      </c>
    </row>
    <row r="274" spans="1:9">
      <c r="A274" s="59">
        <f t="shared" si="6"/>
        <v>7</v>
      </c>
      <c r="B274" s="59">
        <f t="shared" si="7"/>
        <v>2050</v>
      </c>
      <c r="C274" s="18">
        <f ca="1">OFFSET(Mercado!$A$1,MATCH(A274,Mercado!$A$2:$A$11,0),MATCH(B274,Mercado!$B$1:$AN$1,0),1,1)</f>
        <v>3684.1191927312716</v>
      </c>
      <c r="D274" s="18">
        <f ca="1">OFFSET(CompPerdasIntercambio!$A$1,MATCH(A274,CompPerdasIntercambio!$A$2:$A$11,0),MATCH(B274,CompPerdasIntercambio!$B$1:$AN$1,0),1,1)</f>
        <v>0</v>
      </c>
      <c r="E274" s="18">
        <f ca="1">OFFSET(GerNaoDesp!$A$1,MATCH(A274,GerNaoDesp!$A$2:$A$9,0),MATCH(B274,GerNaoDesp!$B$1:$AN$1,0),1,1)</f>
        <v>94.109610532102536</v>
      </c>
      <c r="F274" s="58">
        <f ca="1">OFFSET(MercadoPonta!$A$1,MATCH(A274,MercadoPonta!$A$2:$A$11,0),MATCH(B274,MercadoPonta!$B$1:$AN$1,0),1,1)</f>
        <v>5806.2132112593008</v>
      </c>
      <c r="G274" s="432">
        <f ca="1">OFFSET(GerNaoDesp!$A$18,MATCH(A274,GerNaoDesp!$A$19:$A$25,0),MATCH(B274,GerNaoDesp!$B$18:$AN$18,0),1,1)</f>
        <v>94.109610532102536</v>
      </c>
      <c r="H274" s="24">
        <f ca="1">OFFSET(GerNaoDesp!$A$30,MATCH(A274,GerNaoDesp!$A$31:$A$37,0),MATCH(B274,GerNaoDesp!$B$30:$AN$30,0),1,1)</f>
        <v>0</v>
      </c>
      <c r="I274" s="24">
        <f ca="1">OFFSET(GerNaoDesp!$A$42,MATCH(A274,GerNaoDesp!$A$43:$A$49,0),MATCH(B274,GerNaoDesp!$B$42:$AN$42,0),1,1)</f>
        <v>0</v>
      </c>
    </row>
    <row r="275" spans="1:9">
      <c r="A275" s="59"/>
      <c r="B275" s="59"/>
      <c r="C275" s="18"/>
      <c r="D275" s="18"/>
      <c r="E275" s="18"/>
      <c r="F275" s="58"/>
    </row>
    <row r="276" spans="1:9">
      <c r="A276" s="59"/>
      <c r="B276" s="59"/>
      <c r="C276" s="18"/>
      <c r="D276" s="18"/>
      <c r="E276" s="18"/>
      <c r="F276" s="58"/>
    </row>
    <row r="277" spans="1:9">
      <c r="A277" s="59"/>
      <c r="B277" s="59"/>
      <c r="C277" s="18"/>
      <c r="D277" s="18"/>
      <c r="E277" s="18"/>
      <c r="F277" s="58"/>
    </row>
    <row r="278" spans="1:9">
      <c r="A278" s="59"/>
      <c r="B278" s="59"/>
      <c r="C278" s="18"/>
      <c r="D278" s="18"/>
      <c r="E278" s="18"/>
      <c r="F278" s="58"/>
    </row>
    <row r="279" spans="1:9">
      <c r="A279" s="59"/>
      <c r="B279" s="59"/>
      <c r="C279" s="18"/>
      <c r="D279" s="18"/>
      <c r="E279" s="18"/>
      <c r="F279" s="58"/>
    </row>
    <row r="280" spans="1:9">
      <c r="A280" s="59"/>
      <c r="B280" s="59"/>
      <c r="C280" s="18"/>
      <c r="D280" s="18"/>
      <c r="E280" s="18"/>
      <c r="F280" s="58"/>
    </row>
    <row r="281" spans="1:9">
      <c r="A281" s="59"/>
      <c r="B281" s="59"/>
      <c r="C281" s="18"/>
      <c r="D281" s="18"/>
      <c r="E281" s="18"/>
      <c r="F281" s="58"/>
    </row>
    <row r="282" spans="1:9">
      <c r="A282" s="59"/>
      <c r="B282" s="59"/>
      <c r="C282" s="18"/>
      <c r="D282" s="18"/>
      <c r="E282" s="18"/>
      <c r="F282" s="58"/>
    </row>
    <row r="283" spans="1:9">
      <c r="A283" s="59"/>
      <c r="B283" s="59"/>
      <c r="C283" s="18"/>
      <c r="D283" s="18"/>
      <c r="E283" s="18"/>
      <c r="F283" s="58"/>
    </row>
    <row r="284" spans="1:9">
      <c r="A284" s="59"/>
      <c r="B284" s="59"/>
      <c r="C284" s="18"/>
      <c r="D284" s="18"/>
      <c r="E284" s="18"/>
      <c r="F284" s="58"/>
    </row>
    <row r="285" spans="1:9">
      <c r="A285" s="59"/>
      <c r="B285" s="59"/>
      <c r="C285" s="18"/>
      <c r="D285" s="18"/>
      <c r="E285" s="18"/>
      <c r="F285" s="58"/>
    </row>
    <row r="286" spans="1:9">
      <c r="A286" s="59"/>
      <c r="B286" s="59"/>
      <c r="C286" s="18"/>
      <c r="D286" s="18"/>
      <c r="E286" s="18"/>
      <c r="F286" s="58"/>
    </row>
    <row r="287" spans="1:9">
      <c r="A287" s="59"/>
      <c r="B287" s="59"/>
      <c r="C287" s="18"/>
      <c r="D287" s="18"/>
      <c r="E287" s="18"/>
      <c r="F287" s="58"/>
    </row>
    <row r="288" spans="1:9">
      <c r="A288" s="59"/>
      <c r="B288" s="59"/>
      <c r="C288" s="18"/>
      <c r="D288" s="18"/>
      <c r="E288" s="18"/>
      <c r="F288" s="58"/>
    </row>
    <row r="289" spans="1:6">
      <c r="A289" s="59"/>
      <c r="B289" s="59"/>
      <c r="C289" s="18"/>
      <c r="D289" s="18"/>
      <c r="E289" s="18"/>
      <c r="F289" s="58"/>
    </row>
    <row r="290" spans="1:6">
      <c r="A290" s="59"/>
      <c r="B290" s="59"/>
      <c r="C290" s="18"/>
      <c r="D290" s="18"/>
      <c r="E290" s="18"/>
      <c r="F290" s="58"/>
    </row>
    <row r="291" spans="1:6">
      <c r="A291" s="59"/>
      <c r="B291" s="59"/>
      <c r="C291" s="18"/>
      <c r="D291" s="18"/>
      <c r="E291" s="18"/>
      <c r="F291" s="58"/>
    </row>
    <row r="292" spans="1:6">
      <c r="A292" s="59"/>
      <c r="B292" s="59"/>
      <c r="C292" s="18"/>
      <c r="D292" s="18"/>
      <c r="E292" s="18"/>
      <c r="F292" s="58"/>
    </row>
    <row r="293" spans="1:6">
      <c r="A293" s="59"/>
      <c r="B293" s="59"/>
      <c r="C293" s="18"/>
      <c r="D293" s="18"/>
      <c r="E293" s="18"/>
      <c r="F293" s="58"/>
    </row>
    <row r="294" spans="1:6">
      <c r="A294" s="59"/>
      <c r="B294" s="59"/>
      <c r="C294" s="18"/>
      <c r="D294" s="18"/>
      <c r="E294" s="18"/>
      <c r="F294" s="58"/>
    </row>
    <row r="295" spans="1:6">
      <c r="A295" s="59"/>
      <c r="B295" s="59"/>
      <c r="C295" s="18"/>
      <c r="D295" s="18"/>
      <c r="E295" s="18"/>
      <c r="F295" s="58"/>
    </row>
    <row r="296" spans="1:6">
      <c r="A296" s="59"/>
      <c r="B296" s="59"/>
      <c r="C296" s="18"/>
      <c r="D296" s="18"/>
      <c r="E296" s="18"/>
      <c r="F296" s="58"/>
    </row>
    <row r="297" spans="1:6">
      <c r="A297" s="59"/>
      <c r="B297" s="59"/>
      <c r="C297" s="18"/>
      <c r="D297" s="18"/>
      <c r="E297" s="18"/>
      <c r="F297" s="58"/>
    </row>
    <row r="298" spans="1:6">
      <c r="A298" s="59"/>
      <c r="B298" s="59"/>
      <c r="C298" s="18"/>
      <c r="D298" s="18"/>
      <c r="E298" s="18"/>
      <c r="F298" s="58"/>
    </row>
    <row r="299" spans="1:6">
      <c r="A299" s="59"/>
      <c r="B299" s="59"/>
      <c r="C299" s="18"/>
      <c r="D299" s="18"/>
      <c r="E299" s="18"/>
      <c r="F299" s="58"/>
    </row>
    <row r="300" spans="1:6">
      <c r="A300" s="59"/>
      <c r="B300" s="59"/>
      <c r="C300" s="18"/>
      <c r="D300" s="18"/>
      <c r="E300" s="18"/>
      <c r="F300" s="58"/>
    </row>
    <row r="301" spans="1:6">
      <c r="A301" s="59"/>
      <c r="B301" s="59"/>
      <c r="C301" s="18"/>
      <c r="D301" s="18"/>
      <c r="E301" s="18"/>
      <c r="F301" s="58"/>
    </row>
    <row r="302" spans="1:6">
      <c r="A302" s="59"/>
      <c r="B302" s="59"/>
      <c r="C302" s="18"/>
      <c r="D302" s="18"/>
      <c r="E302" s="18"/>
      <c r="F302" s="58"/>
    </row>
    <row r="303" spans="1:6">
      <c r="A303" s="59"/>
      <c r="B303" s="59"/>
      <c r="C303" s="18"/>
      <c r="D303" s="18"/>
      <c r="E303" s="18"/>
      <c r="F303" s="58"/>
    </row>
    <row r="304" spans="1:6">
      <c r="A304" s="59"/>
      <c r="B304" s="59"/>
      <c r="C304" s="18"/>
      <c r="D304" s="18"/>
      <c r="E304" s="18"/>
      <c r="F304" s="58"/>
    </row>
    <row r="305" spans="1:6">
      <c r="A305" s="59"/>
      <c r="B305" s="59"/>
      <c r="C305" s="18"/>
      <c r="D305" s="18"/>
      <c r="E305" s="18"/>
      <c r="F305" s="58"/>
    </row>
    <row r="306" spans="1:6">
      <c r="A306" s="59"/>
      <c r="B306" s="59"/>
      <c r="C306" s="18"/>
      <c r="D306" s="18"/>
      <c r="E306" s="18"/>
      <c r="F306" s="58"/>
    </row>
    <row r="307" spans="1:6">
      <c r="A307" s="59"/>
      <c r="B307" s="59"/>
      <c r="C307" s="18"/>
      <c r="D307" s="18"/>
      <c r="E307" s="18"/>
      <c r="F307" s="58"/>
    </row>
    <row r="308" spans="1:6">
      <c r="A308" s="59"/>
      <c r="B308" s="59"/>
      <c r="C308" s="18"/>
      <c r="D308" s="18"/>
      <c r="E308" s="18"/>
      <c r="F308" s="58"/>
    </row>
    <row r="309" spans="1:6">
      <c r="A309" s="59"/>
      <c r="B309" s="59"/>
      <c r="C309" s="18"/>
      <c r="D309" s="18"/>
      <c r="E309" s="18"/>
      <c r="F309" s="58"/>
    </row>
    <row r="310" spans="1:6">
      <c r="A310" s="59"/>
      <c r="B310" s="59"/>
      <c r="C310" s="18"/>
      <c r="D310" s="18"/>
      <c r="E310" s="18"/>
      <c r="F310" s="58"/>
    </row>
    <row r="311" spans="1:6">
      <c r="A311" s="59"/>
      <c r="B311" s="59"/>
      <c r="C311" s="18"/>
      <c r="D311" s="18"/>
      <c r="E311" s="18"/>
      <c r="F311" s="58"/>
    </row>
    <row r="312" spans="1:6">
      <c r="A312" s="59"/>
      <c r="B312" s="59"/>
      <c r="C312" s="18"/>
      <c r="D312" s="18"/>
      <c r="E312" s="18"/>
      <c r="F312" s="58"/>
    </row>
    <row r="313" spans="1:6">
      <c r="A313" s="59"/>
      <c r="B313" s="59"/>
      <c r="C313" s="18"/>
      <c r="D313" s="18"/>
      <c r="E313" s="18"/>
      <c r="F313" s="58"/>
    </row>
    <row r="314" spans="1:6">
      <c r="A314" s="59"/>
      <c r="B314" s="59"/>
      <c r="C314" s="18"/>
      <c r="D314" s="18"/>
      <c r="E314" s="18"/>
      <c r="F314" s="58"/>
    </row>
    <row r="315" spans="1:6">
      <c r="A315" s="59"/>
      <c r="B315" s="59"/>
      <c r="C315" s="18"/>
      <c r="D315" s="18"/>
      <c r="E315" s="18"/>
      <c r="F315" s="58"/>
    </row>
    <row r="316" spans="1:6">
      <c r="A316" s="59"/>
      <c r="B316" s="59"/>
      <c r="C316" s="18"/>
      <c r="D316" s="18"/>
      <c r="E316" s="18"/>
      <c r="F316" s="58"/>
    </row>
    <row r="317" spans="1:6">
      <c r="A317" s="59"/>
      <c r="B317" s="59"/>
      <c r="C317" s="18"/>
      <c r="D317" s="18"/>
      <c r="E317" s="18"/>
      <c r="F317" s="58"/>
    </row>
    <row r="318" spans="1:6">
      <c r="A318" s="59"/>
      <c r="B318" s="59"/>
      <c r="C318" s="18"/>
      <c r="D318" s="18"/>
      <c r="E318" s="18"/>
      <c r="F318" s="58"/>
    </row>
    <row r="319" spans="1:6">
      <c r="A319" s="59"/>
      <c r="B319" s="59"/>
      <c r="C319" s="18"/>
      <c r="D319" s="18"/>
      <c r="E319" s="18"/>
      <c r="F319" s="58"/>
    </row>
    <row r="320" spans="1:6">
      <c r="A320" s="59"/>
      <c r="B320" s="59"/>
      <c r="C320" s="18"/>
      <c r="D320" s="18"/>
      <c r="E320" s="18"/>
      <c r="F320" s="58"/>
    </row>
    <row r="321" spans="1:6">
      <c r="A321" s="59"/>
      <c r="B321" s="59"/>
      <c r="C321" s="18"/>
      <c r="D321" s="18"/>
      <c r="E321" s="18"/>
      <c r="F321" s="58"/>
    </row>
    <row r="322" spans="1:6">
      <c r="A322" s="59"/>
      <c r="B322" s="59"/>
      <c r="C322" s="18"/>
      <c r="D322" s="18"/>
      <c r="E322" s="18"/>
      <c r="F322" s="58"/>
    </row>
    <row r="323" spans="1:6">
      <c r="A323" s="59"/>
      <c r="B323" s="59"/>
      <c r="C323" s="18"/>
      <c r="D323" s="18"/>
      <c r="E323" s="18"/>
      <c r="F323" s="58"/>
    </row>
    <row r="324" spans="1:6">
      <c r="A324" s="59"/>
      <c r="B324" s="59"/>
      <c r="C324" s="18"/>
      <c r="D324" s="18"/>
      <c r="E324" s="18"/>
      <c r="F324" s="58"/>
    </row>
    <row r="325" spans="1:6">
      <c r="A325" s="59"/>
      <c r="B325" s="59"/>
      <c r="C325" s="18"/>
      <c r="D325" s="18"/>
      <c r="E325" s="18"/>
      <c r="F325" s="58"/>
    </row>
    <row r="326" spans="1:6">
      <c r="A326" s="59"/>
      <c r="B326" s="59"/>
      <c r="C326" s="18"/>
      <c r="D326" s="18"/>
      <c r="E326" s="18"/>
      <c r="F326" s="58"/>
    </row>
    <row r="327" spans="1:6">
      <c r="A327" s="59"/>
      <c r="B327" s="59"/>
      <c r="C327" s="18"/>
      <c r="D327" s="18"/>
      <c r="E327" s="18"/>
      <c r="F327" s="58"/>
    </row>
    <row r="328" spans="1:6">
      <c r="A328" s="59"/>
      <c r="B328" s="59"/>
      <c r="C328" s="18"/>
      <c r="D328" s="18"/>
      <c r="E328" s="18"/>
      <c r="F328" s="58"/>
    </row>
    <row r="329" spans="1:6">
      <c r="A329" s="59"/>
      <c r="B329" s="59"/>
      <c r="C329" s="18"/>
      <c r="D329" s="18"/>
      <c r="E329" s="18"/>
      <c r="F329" s="58"/>
    </row>
    <row r="330" spans="1:6">
      <c r="A330" s="59"/>
      <c r="B330" s="59"/>
      <c r="C330" s="18"/>
      <c r="D330" s="18"/>
      <c r="E330" s="18"/>
      <c r="F330" s="58"/>
    </row>
    <row r="331" spans="1:6">
      <c r="A331" s="59"/>
      <c r="B331" s="59"/>
      <c r="C331" s="18"/>
      <c r="D331" s="18"/>
      <c r="E331" s="18"/>
      <c r="F331" s="58"/>
    </row>
    <row r="332" spans="1:6">
      <c r="A332" s="59"/>
      <c r="B332" s="59"/>
      <c r="C332" s="18"/>
      <c r="D332" s="18"/>
      <c r="E332" s="18"/>
      <c r="F332" s="58"/>
    </row>
    <row r="333" spans="1:6">
      <c r="A333" s="59"/>
      <c r="B333" s="59"/>
      <c r="C333" s="18"/>
      <c r="D333" s="18"/>
      <c r="E333" s="18"/>
      <c r="F333" s="58"/>
    </row>
    <row r="334" spans="1:6">
      <c r="A334" s="59"/>
      <c r="B334" s="59"/>
      <c r="C334" s="18"/>
      <c r="D334" s="18"/>
      <c r="E334" s="18"/>
      <c r="F334" s="58"/>
    </row>
    <row r="335" spans="1:6">
      <c r="A335" s="59"/>
      <c r="B335" s="59"/>
      <c r="C335" s="18"/>
      <c r="D335" s="18"/>
      <c r="E335" s="18"/>
      <c r="F335" s="58"/>
    </row>
    <row r="336" spans="1:6">
      <c r="A336" s="59"/>
      <c r="B336" s="59"/>
      <c r="C336" s="18"/>
      <c r="D336" s="18"/>
      <c r="E336" s="18"/>
      <c r="F336" s="58"/>
    </row>
    <row r="337" spans="1:6">
      <c r="A337" s="59"/>
      <c r="B337" s="59"/>
      <c r="C337" s="18"/>
      <c r="D337" s="18"/>
      <c r="E337" s="18"/>
      <c r="F337" s="58"/>
    </row>
    <row r="338" spans="1:6">
      <c r="A338" s="59"/>
      <c r="B338" s="59"/>
      <c r="C338" s="18"/>
      <c r="D338" s="18"/>
      <c r="E338" s="18"/>
      <c r="F338" s="58"/>
    </row>
    <row r="339" spans="1:6">
      <c r="A339" s="59"/>
      <c r="B339" s="59"/>
      <c r="C339" s="18"/>
      <c r="D339" s="18"/>
      <c r="E339" s="18"/>
      <c r="F339" s="58"/>
    </row>
    <row r="340" spans="1:6">
      <c r="A340" s="59"/>
      <c r="B340" s="59"/>
      <c r="C340" s="18"/>
      <c r="D340" s="18"/>
      <c r="E340" s="18"/>
      <c r="F340" s="58"/>
    </row>
    <row r="341" spans="1:6">
      <c r="A341" s="59"/>
      <c r="B341" s="59"/>
      <c r="C341" s="18"/>
      <c r="D341" s="18"/>
      <c r="E341" s="18"/>
      <c r="F341" s="58"/>
    </row>
    <row r="342" spans="1:6">
      <c r="A342" s="59"/>
      <c r="B342" s="59"/>
      <c r="C342" s="18"/>
      <c r="D342" s="18"/>
      <c r="E342" s="18"/>
      <c r="F342" s="58"/>
    </row>
    <row r="343" spans="1:6">
      <c r="A343" s="59"/>
      <c r="B343" s="59"/>
      <c r="C343" s="18"/>
      <c r="D343" s="18"/>
      <c r="E343" s="18"/>
      <c r="F343" s="58"/>
    </row>
    <row r="344" spans="1:6">
      <c r="A344" s="59"/>
      <c r="B344" s="59"/>
      <c r="C344" s="18"/>
      <c r="D344" s="18"/>
      <c r="E344" s="18"/>
      <c r="F344" s="58"/>
    </row>
    <row r="345" spans="1:6">
      <c r="A345" s="59"/>
      <c r="B345" s="59"/>
      <c r="C345" s="18"/>
      <c r="D345" s="18"/>
      <c r="E345" s="18"/>
      <c r="F345" s="58"/>
    </row>
    <row r="346" spans="1:6">
      <c r="A346" s="59"/>
      <c r="B346" s="59"/>
      <c r="C346" s="18"/>
      <c r="D346" s="18"/>
      <c r="E346" s="18"/>
      <c r="F346" s="58"/>
    </row>
    <row r="347" spans="1:6">
      <c r="A347" s="59"/>
      <c r="B347" s="59"/>
      <c r="C347" s="18"/>
      <c r="D347" s="18"/>
      <c r="E347" s="18"/>
      <c r="F347" s="58"/>
    </row>
    <row r="348" spans="1:6">
      <c r="A348" s="59"/>
      <c r="B348" s="59"/>
      <c r="C348" s="18"/>
      <c r="D348" s="18"/>
      <c r="E348" s="18"/>
      <c r="F348" s="58"/>
    </row>
    <row r="349" spans="1:6">
      <c r="A349" s="59"/>
      <c r="B349" s="59"/>
      <c r="C349" s="18"/>
      <c r="D349" s="18"/>
      <c r="E349" s="18"/>
      <c r="F349" s="58"/>
    </row>
    <row r="350" spans="1:6">
      <c r="A350" s="59"/>
      <c r="B350" s="59"/>
      <c r="C350" s="18"/>
      <c r="D350" s="18"/>
      <c r="E350" s="18"/>
      <c r="F350" s="58"/>
    </row>
    <row r="351" spans="1:6">
      <c r="A351" s="59"/>
      <c r="B351" s="59"/>
      <c r="C351" s="18"/>
      <c r="D351" s="18"/>
      <c r="E351" s="18"/>
      <c r="F351" s="58"/>
    </row>
    <row r="352" spans="1:6">
      <c r="A352" s="59"/>
      <c r="B352" s="59"/>
      <c r="C352" s="18"/>
      <c r="D352" s="18"/>
      <c r="E352" s="18"/>
      <c r="F352" s="58"/>
    </row>
    <row r="353" spans="1:6">
      <c r="A353" s="59"/>
      <c r="B353" s="59"/>
      <c r="C353" s="18"/>
      <c r="D353" s="18"/>
      <c r="E353" s="18"/>
      <c r="F353" s="58"/>
    </row>
    <row r="354" spans="1:6">
      <c r="A354" s="59"/>
      <c r="B354" s="59"/>
      <c r="C354" s="18"/>
      <c r="D354" s="18"/>
      <c r="E354" s="18"/>
      <c r="F354" s="58"/>
    </row>
    <row r="355" spans="1:6">
      <c r="A355" s="59"/>
      <c r="B355" s="59"/>
      <c r="C355" s="18"/>
      <c r="D355" s="18"/>
      <c r="E355" s="18"/>
      <c r="F355" s="58"/>
    </row>
    <row r="356" spans="1:6">
      <c r="A356" s="59"/>
      <c r="B356" s="59"/>
      <c r="C356" s="18"/>
      <c r="D356" s="18"/>
      <c r="E356" s="18"/>
      <c r="F356" s="58"/>
    </row>
    <row r="357" spans="1:6">
      <c r="A357" s="59"/>
      <c r="B357" s="59"/>
      <c r="C357" s="18"/>
      <c r="D357" s="18"/>
      <c r="E357" s="18"/>
      <c r="F357" s="58"/>
    </row>
    <row r="358" spans="1:6">
      <c r="A358" s="59"/>
      <c r="B358" s="59"/>
      <c r="C358" s="18"/>
      <c r="D358" s="18"/>
      <c r="E358" s="18"/>
      <c r="F358" s="58"/>
    </row>
    <row r="359" spans="1:6">
      <c r="A359" s="59"/>
      <c r="B359" s="59"/>
      <c r="C359" s="18"/>
      <c r="D359" s="18"/>
      <c r="E359" s="18"/>
      <c r="F359" s="58"/>
    </row>
    <row r="360" spans="1:6">
      <c r="A360" s="59"/>
      <c r="B360" s="59"/>
      <c r="C360" s="18"/>
      <c r="D360" s="18"/>
      <c r="E360" s="18"/>
      <c r="F360" s="58"/>
    </row>
    <row r="361" spans="1:6">
      <c r="A361" s="59"/>
      <c r="B361" s="59"/>
      <c r="C361" s="18"/>
      <c r="D361" s="18"/>
      <c r="E361" s="18"/>
      <c r="F361" s="58"/>
    </row>
    <row r="362" spans="1:6">
      <c r="A362" s="59"/>
      <c r="B362" s="59"/>
      <c r="C362" s="18"/>
      <c r="D362" s="18"/>
      <c r="E362" s="18"/>
      <c r="F362" s="58"/>
    </row>
    <row r="363" spans="1:6">
      <c r="A363" s="59"/>
      <c r="B363" s="59"/>
      <c r="C363" s="18"/>
      <c r="D363" s="18"/>
      <c r="E363" s="18"/>
      <c r="F363" s="58"/>
    </row>
    <row r="364" spans="1:6">
      <c r="A364" s="59"/>
      <c r="B364" s="59"/>
      <c r="C364" s="18"/>
      <c r="D364" s="18"/>
      <c r="E364" s="18"/>
      <c r="F364" s="58"/>
    </row>
    <row r="365" spans="1:6">
      <c r="A365" s="59"/>
      <c r="B365" s="59"/>
      <c r="C365" s="18"/>
      <c r="D365" s="18"/>
      <c r="E365" s="18"/>
      <c r="F365" s="58"/>
    </row>
    <row r="366" spans="1:6">
      <c r="A366" s="59"/>
      <c r="B366" s="59"/>
      <c r="C366" s="18"/>
      <c r="D366" s="18"/>
      <c r="E366" s="18"/>
      <c r="F366" s="58"/>
    </row>
    <row r="367" spans="1:6">
      <c r="A367" s="59"/>
      <c r="B367" s="59"/>
      <c r="C367" s="18"/>
      <c r="D367" s="18"/>
      <c r="E367" s="18"/>
      <c r="F367" s="58"/>
    </row>
    <row r="368" spans="1:6">
      <c r="A368" s="59"/>
      <c r="B368" s="59"/>
      <c r="C368" s="18"/>
      <c r="D368" s="18"/>
      <c r="E368" s="18"/>
      <c r="F368" s="58"/>
    </row>
    <row r="369" spans="1:6">
      <c r="A369" s="59"/>
      <c r="B369" s="59"/>
      <c r="C369" s="18"/>
      <c r="D369" s="18"/>
      <c r="E369" s="18"/>
      <c r="F369" s="58"/>
    </row>
    <row r="370" spans="1:6">
      <c r="A370" s="59"/>
      <c r="B370" s="59"/>
      <c r="C370" s="18"/>
      <c r="D370" s="18"/>
      <c r="E370" s="18"/>
      <c r="F370" s="58"/>
    </row>
    <row r="371" spans="1:6">
      <c r="A371" s="59"/>
      <c r="B371" s="59"/>
      <c r="C371" s="18"/>
      <c r="D371" s="18"/>
      <c r="E371" s="18"/>
      <c r="F371" s="58"/>
    </row>
    <row r="372" spans="1:6">
      <c r="A372" s="59"/>
      <c r="B372" s="59"/>
      <c r="C372" s="18"/>
      <c r="D372" s="18"/>
      <c r="E372" s="18"/>
      <c r="F372" s="58"/>
    </row>
    <row r="373" spans="1:6">
      <c r="A373" s="59"/>
      <c r="B373" s="59"/>
      <c r="C373" s="18"/>
      <c r="D373" s="18"/>
      <c r="E373" s="18"/>
      <c r="F373" s="58"/>
    </row>
    <row r="374" spans="1:6">
      <c r="A374" s="59"/>
      <c r="B374" s="59"/>
      <c r="C374" s="18"/>
      <c r="D374" s="18"/>
      <c r="E374" s="18"/>
      <c r="F374" s="58"/>
    </row>
    <row r="375" spans="1:6">
      <c r="A375" s="59"/>
      <c r="B375" s="59"/>
      <c r="C375" s="18"/>
      <c r="D375" s="18"/>
      <c r="E375" s="18"/>
      <c r="F375" s="58"/>
    </row>
    <row r="376" spans="1:6">
      <c r="A376" s="59"/>
      <c r="B376" s="59"/>
      <c r="C376" s="18"/>
      <c r="D376" s="18"/>
      <c r="E376" s="18"/>
      <c r="F376" s="58"/>
    </row>
    <row r="377" spans="1:6">
      <c r="A377" s="59"/>
      <c r="B377" s="59"/>
      <c r="C377" s="18"/>
      <c r="D377" s="18"/>
      <c r="E377" s="18"/>
      <c r="F377" s="58"/>
    </row>
    <row r="378" spans="1:6">
      <c r="A378" s="59"/>
      <c r="B378" s="59"/>
      <c r="C378" s="18"/>
      <c r="D378" s="18"/>
      <c r="E378" s="18"/>
      <c r="F378" s="58"/>
    </row>
    <row r="379" spans="1:6">
      <c r="A379" s="59"/>
      <c r="B379" s="59"/>
      <c r="C379" s="18"/>
      <c r="D379" s="18"/>
      <c r="E379" s="18"/>
      <c r="F379" s="58"/>
    </row>
    <row r="380" spans="1:6">
      <c r="A380" s="59"/>
      <c r="B380" s="59"/>
      <c r="C380" s="18"/>
      <c r="D380" s="18"/>
      <c r="E380" s="18"/>
      <c r="F380" s="58"/>
    </row>
    <row r="381" spans="1:6">
      <c r="A381" s="59"/>
      <c r="B381" s="59"/>
      <c r="C381" s="18"/>
      <c r="D381" s="18"/>
      <c r="E381" s="18"/>
      <c r="F381" s="58"/>
    </row>
    <row r="382" spans="1:6">
      <c r="A382" s="59"/>
      <c r="B382" s="59"/>
      <c r="C382" s="18"/>
      <c r="D382" s="18"/>
      <c r="E382" s="18"/>
      <c r="F382" s="58"/>
    </row>
    <row r="383" spans="1:6">
      <c r="A383" s="59"/>
      <c r="B383" s="59"/>
      <c r="C383" s="18"/>
      <c r="D383" s="18"/>
      <c r="E383" s="18"/>
      <c r="F383" s="58"/>
    </row>
    <row r="384" spans="1:6">
      <c r="A384" s="59"/>
      <c r="B384" s="59"/>
      <c r="C384" s="18"/>
      <c r="D384" s="18"/>
      <c r="E384" s="18"/>
      <c r="F384" s="58"/>
    </row>
    <row r="385" spans="1:6">
      <c r="A385" s="59"/>
      <c r="B385" s="59"/>
      <c r="C385" s="18"/>
      <c r="D385" s="18"/>
      <c r="E385" s="18"/>
      <c r="F385" s="58"/>
    </row>
    <row r="386" spans="1:6">
      <c r="A386" s="59"/>
      <c r="B386" s="59"/>
      <c r="C386" s="18"/>
      <c r="D386" s="18"/>
      <c r="E386" s="18"/>
      <c r="F386" s="58"/>
    </row>
    <row r="387" spans="1:6">
      <c r="A387" s="59"/>
      <c r="B387" s="59"/>
      <c r="C387" s="18"/>
      <c r="D387" s="18"/>
      <c r="E387" s="18"/>
      <c r="F387" s="58"/>
    </row>
    <row r="388" spans="1:6">
      <c r="A388" s="59"/>
      <c r="B388" s="59"/>
      <c r="C388" s="18"/>
      <c r="D388" s="18"/>
      <c r="E388" s="18"/>
      <c r="F388" s="58"/>
    </row>
    <row r="389" spans="1:6">
      <c r="A389" s="59"/>
      <c r="B389" s="59"/>
      <c r="C389" s="18"/>
      <c r="D389" s="18"/>
      <c r="E389" s="18"/>
      <c r="F389" s="58"/>
    </row>
    <row r="390" spans="1:6">
      <c r="A390" s="59"/>
      <c r="B390" s="59"/>
      <c r="C390" s="18"/>
      <c r="D390" s="18"/>
      <c r="E390" s="18"/>
      <c r="F390" s="58"/>
    </row>
    <row r="391" spans="1:6">
      <c r="A391" s="59"/>
      <c r="B391" s="59"/>
      <c r="C391" s="18"/>
      <c r="D391" s="18"/>
      <c r="E391" s="18"/>
      <c r="F391" s="58"/>
    </row>
    <row r="392" spans="1:6">
      <c r="A392" s="59"/>
      <c r="B392" s="59"/>
      <c r="C392" s="18"/>
      <c r="D392" s="18"/>
      <c r="E392" s="18"/>
      <c r="F392" s="58"/>
    </row>
    <row r="393" spans="1:6">
      <c r="A393" s="59"/>
      <c r="B393" s="59"/>
      <c r="C393" s="18"/>
      <c r="D393" s="18"/>
      <c r="E393" s="18"/>
      <c r="F393" s="58"/>
    </row>
    <row r="394" spans="1:6">
      <c r="A394" s="59"/>
      <c r="B394" s="59"/>
      <c r="C394" s="18"/>
      <c r="D394" s="18"/>
      <c r="E394" s="18"/>
      <c r="F394" s="58"/>
    </row>
    <row r="395" spans="1:6">
      <c r="A395" s="59"/>
      <c r="B395" s="59"/>
      <c r="C395" s="18"/>
      <c r="D395" s="18"/>
      <c r="E395" s="18"/>
      <c r="F395" s="58"/>
    </row>
    <row r="396" spans="1:6">
      <c r="A396" s="59"/>
      <c r="B396" s="59"/>
      <c r="C396" s="18"/>
      <c r="D396" s="18"/>
      <c r="E396" s="18"/>
      <c r="F396" s="58"/>
    </row>
    <row r="397" spans="1:6">
      <c r="A397" s="59"/>
      <c r="B397" s="59"/>
      <c r="C397" s="18"/>
      <c r="D397" s="18"/>
      <c r="E397" s="18"/>
      <c r="F397" s="58"/>
    </row>
    <row r="398" spans="1:6">
      <c r="A398" s="59"/>
      <c r="B398" s="59"/>
      <c r="C398" s="18"/>
      <c r="D398" s="18"/>
      <c r="E398" s="18"/>
      <c r="F398" s="58"/>
    </row>
    <row r="399" spans="1:6">
      <c r="A399" s="59"/>
      <c r="B399" s="59"/>
      <c r="C399" s="18"/>
      <c r="D399" s="18"/>
      <c r="E399" s="18"/>
      <c r="F399" s="58"/>
    </row>
    <row r="400" spans="1:6">
      <c r="A400" s="59"/>
      <c r="B400" s="59"/>
      <c r="C400" s="18"/>
      <c r="D400" s="18"/>
      <c r="E400" s="18"/>
      <c r="F400" s="58"/>
    </row>
    <row r="401" spans="1:6">
      <c r="A401" s="59"/>
      <c r="B401" s="59"/>
      <c r="C401" s="18"/>
      <c r="D401" s="18"/>
      <c r="E401" s="18"/>
      <c r="F401" s="58"/>
    </row>
    <row r="402" spans="1:6">
      <c r="A402" s="59"/>
      <c r="B402" s="59"/>
      <c r="C402" s="18"/>
      <c r="D402" s="18"/>
      <c r="E402" s="18"/>
      <c r="F402" s="58"/>
    </row>
    <row r="403" spans="1:6">
      <c r="A403" s="59"/>
      <c r="B403" s="59"/>
      <c r="C403" s="18"/>
      <c r="D403" s="18"/>
      <c r="E403" s="18"/>
      <c r="F403" s="58"/>
    </row>
    <row r="404" spans="1:6">
      <c r="A404" s="59"/>
      <c r="B404" s="59"/>
      <c r="C404" s="18"/>
      <c r="D404" s="18"/>
      <c r="E404" s="18"/>
      <c r="F404" s="58"/>
    </row>
    <row r="405" spans="1:6">
      <c r="A405" s="59"/>
      <c r="B405" s="59"/>
      <c r="C405" s="18"/>
      <c r="D405" s="18"/>
      <c r="E405" s="18"/>
      <c r="F405" s="58"/>
    </row>
    <row r="406" spans="1:6">
      <c r="A406" s="59"/>
      <c r="B406" s="59"/>
      <c r="C406" s="18"/>
      <c r="D406" s="18"/>
      <c r="E406" s="18"/>
      <c r="F406" s="58"/>
    </row>
    <row r="407" spans="1:6">
      <c r="A407" s="59"/>
      <c r="B407" s="59"/>
      <c r="C407" s="18"/>
      <c r="D407" s="18"/>
      <c r="E407" s="18"/>
      <c r="F407" s="58"/>
    </row>
    <row r="408" spans="1:6">
      <c r="A408" s="59"/>
      <c r="B408" s="59"/>
      <c r="C408" s="18"/>
      <c r="D408" s="18"/>
      <c r="E408" s="18"/>
      <c r="F408" s="58"/>
    </row>
    <row r="409" spans="1:6">
      <c r="A409" s="59"/>
      <c r="B409" s="59"/>
      <c r="C409" s="18"/>
      <c r="D409" s="18"/>
      <c r="E409" s="18"/>
      <c r="F409" s="58"/>
    </row>
    <row r="410" spans="1:6">
      <c r="A410" s="59"/>
      <c r="B410" s="59"/>
      <c r="C410" s="18"/>
      <c r="D410" s="18"/>
      <c r="E410" s="18"/>
      <c r="F410" s="58"/>
    </row>
    <row r="411" spans="1:6">
      <c r="A411" s="59"/>
      <c r="B411" s="59"/>
      <c r="C411" s="18"/>
      <c r="D411" s="18"/>
      <c r="E411" s="18"/>
      <c r="F411" s="58"/>
    </row>
    <row r="412" spans="1:6">
      <c r="A412" s="59"/>
      <c r="B412" s="59"/>
      <c r="C412" s="18"/>
      <c r="D412" s="18"/>
      <c r="E412" s="18"/>
      <c r="F412" s="58"/>
    </row>
    <row r="413" spans="1:6">
      <c r="A413" s="59"/>
      <c r="B413" s="59"/>
      <c r="C413" s="18"/>
      <c r="D413" s="18"/>
      <c r="E413" s="18"/>
      <c r="F413" s="58"/>
    </row>
    <row r="414" spans="1:6">
      <c r="A414" s="59"/>
      <c r="B414" s="59"/>
      <c r="C414" s="18"/>
      <c r="D414" s="18"/>
      <c r="E414" s="18"/>
      <c r="F414" s="58"/>
    </row>
    <row r="415" spans="1:6">
      <c r="A415" s="59"/>
      <c r="B415" s="59"/>
      <c r="C415" s="18"/>
      <c r="D415" s="18"/>
      <c r="E415" s="18"/>
      <c r="F415" s="58"/>
    </row>
    <row r="416" spans="1:6">
      <c r="A416" s="59"/>
      <c r="B416" s="59"/>
      <c r="C416" s="18"/>
      <c r="D416" s="18"/>
      <c r="E416" s="18"/>
      <c r="F416" s="58"/>
    </row>
    <row r="417" spans="1:6">
      <c r="A417" s="59"/>
      <c r="B417" s="59"/>
      <c r="C417" s="18"/>
      <c r="D417" s="18"/>
      <c r="E417" s="18"/>
      <c r="F417" s="58"/>
    </row>
    <row r="418" spans="1:6">
      <c r="A418" s="59"/>
      <c r="B418" s="59"/>
      <c r="C418" s="18"/>
      <c r="D418" s="18"/>
      <c r="E418" s="18"/>
      <c r="F418" s="58"/>
    </row>
    <row r="419" spans="1:6">
      <c r="A419" s="59"/>
      <c r="B419" s="59"/>
      <c r="C419" s="18"/>
      <c r="D419" s="18"/>
      <c r="E419" s="18"/>
      <c r="F419" s="58"/>
    </row>
    <row r="420" spans="1:6">
      <c r="A420" s="59"/>
      <c r="B420" s="59"/>
      <c r="C420" s="18"/>
      <c r="D420" s="18"/>
      <c r="E420" s="18"/>
      <c r="F420" s="58"/>
    </row>
    <row r="421" spans="1:6">
      <c r="A421" s="59"/>
      <c r="B421" s="59"/>
      <c r="C421" s="18"/>
      <c r="D421" s="18"/>
      <c r="E421" s="18"/>
      <c r="F421" s="58"/>
    </row>
    <row r="422" spans="1:6">
      <c r="A422" s="59"/>
      <c r="B422" s="59"/>
      <c r="C422" s="18"/>
      <c r="D422" s="18"/>
      <c r="E422" s="18"/>
      <c r="F422" s="58"/>
    </row>
    <row r="423" spans="1:6">
      <c r="A423" s="59"/>
      <c r="B423" s="59"/>
      <c r="C423" s="18"/>
      <c r="D423" s="18"/>
      <c r="E423" s="18"/>
      <c r="F423" s="58"/>
    </row>
    <row r="424" spans="1:6">
      <c r="A424" s="59"/>
      <c r="B424" s="59"/>
      <c r="C424" s="18"/>
      <c r="D424" s="18"/>
      <c r="E424" s="18"/>
      <c r="F424" s="58"/>
    </row>
    <row r="425" spans="1:6">
      <c r="A425" s="59"/>
      <c r="B425" s="59"/>
      <c r="C425" s="18"/>
      <c r="D425" s="18"/>
      <c r="E425" s="18"/>
      <c r="F425" s="58"/>
    </row>
    <row r="426" spans="1:6">
      <c r="A426" s="59"/>
      <c r="B426" s="59"/>
      <c r="C426" s="18"/>
      <c r="D426" s="18"/>
      <c r="E426" s="18"/>
      <c r="F426" s="58"/>
    </row>
    <row r="427" spans="1:6">
      <c r="A427" s="59"/>
      <c r="B427" s="59"/>
      <c r="C427" s="18"/>
      <c r="D427" s="18"/>
      <c r="E427" s="18"/>
      <c r="F427" s="58"/>
    </row>
    <row r="428" spans="1:6">
      <c r="A428" s="59"/>
      <c r="B428" s="59"/>
      <c r="C428" s="18"/>
      <c r="D428" s="18"/>
      <c r="E428" s="18"/>
      <c r="F428" s="58"/>
    </row>
    <row r="429" spans="1:6">
      <c r="A429" s="59"/>
      <c r="B429" s="59"/>
      <c r="C429" s="18"/>
      <c r="D429" s="18"/>
      <c r="E429" s="18"/>
      <c r="F429" s="58"/>
    </row>
    <row r="430" spans="1:6">
      <c r="A430" s="59"/>
      <c r="B430" s="59"/>
      <c r="C430" s="18"/>
      <c r="D430" s="18"/>
      <c r="E430" s="18"/>
      <c r="F430" s="58"/>
    </row>
    <row r="431" spans="1:6">
      <c r="A431" s="59"/>
      <c r="B431" s="59"/>
      <c r="C431" s="18"/>
      <c r="D431" s="18"/>
      <c r="E431" s="18"/>
      <c r="F431" s="58"/>
    </row>
    <row r="432" spans="1:6">
      <c r="A432" s="59"/>
      <c r="B432" s="59"/>
      <c r="C432" s="18"/>
      <c r="D432" s="18"/>
      <c r="E432" s="18"/>
      <c r="F432" s="58"/>
    </row>
    <row r="433" spans="1:6">
      <c r="A433" s="59"/>
      <c r="B433" s="59"/>
      <c r="C433" s="18"/>
      <c r="D433" s="18"/>
      <c r="E433" s="18"/>
      <c r="F433" s="58"/>
    </row>
    <row r="434" spans="1:6">
      <c r="A434" s="59"/>
      <c r="B434" s="59"/>
      <c r="C434" s="18"/>
      <c r="D434" s="18"/>
      <c r="E434" s="18"/>
      <c r="F434" s="58"/>
    </row>
    <row r="435" spans="1:6">
      <c r="A435" s="59"/>
      <c r="B435" s="59"/>
      <c r="C435" s="18"/>
      <c r="D435" s="18"/>
      <c r="E435" s="18"/>
      <c r="F435" s="58"/>
    </row>
    <row r="436" spans="1:6">
      <c r="A436" s="59"/>
      <c r="B436" s="59"/>
      <c r="C436" s="18"/>
      <c r="D436" s="18"/>
      <c r="E436" s="18"/>
      <c r="F436" s="58"/>
    </row>
    <row r="437" spans="1:6">
      <c r="A437" s="59"/>
      <c r="B437" s="59"/>
      <c r="C437" s="18"/>
      <c r="D437" s="18"/>
      <c r="E437" s="18"/>
      <c r="F437" s="58"/>
    </row>
    <row r="438" spans="1:6">
      <c r="A438" s="59"/>
      <c r="B438" s="59"/>
      <c r="C438" s="18"/>
      <c r="D438" s="18"/>
      <c r="E438" s="18"/>
      <c r="F438" s="58"/>
    </row>
    <row r="439" spans="1:6">
      <c r="A439" s="59"/>
      <c r="B439" s="59"/>
      <c r="C439" s="18"/>
      <c r="D439" s="18"/>
      <c r="E439" s="18"/>
      <c r="F439" s="58"/>
    </row>
    <row r="440" spans="1:6">
      <c r="A440" s="59"/>
      <c r="B440" s="59"/>
      <c r="C440" s="18"/>
      <c r="D440" s="18"/>
      <c r="E440" s="18"/>
      <c r="F440" s="58"/>
    </row>
    <row r="441" spans="1:6">
      <c r="A441" s="59"/>
      <c r="B441" s="59"/>
      <c r="C441" s="18"/>
      <c r="D441" s="18"/>
      <c r="E441" s="18"/>
      <c r="F441" s="58"/>
    </row>
    <row r="442" spans="1:6">
      <c r="A442" s="59"/>
      <c r="B442" s="59"/>
      <c r="C442" s="18"/>
      <c r="D442" s="18"/>
      <c r="E442" s="18"/>
      <c r="F442" s="58"/>
    </row>
    <row r="443" spans="1:6">
      <c r="A443" s="59"/>
      <c r="B443" s="59"/>
      <c r="C443" s="18"/>
      <c r="D443" s="18"/>
      <c r="E443" s="18"/>
      <c r="F443" s="58"/>
    </row>
    <row r="444" spans="1:6">
      <c r="A444" s="59"/>
      <c r="B444" s="59"/>
      <c r="C444" s="18"/>
      <c r="D444" s="18"/>
      <c r="E444" s="18"/>
      <c r="F444" s="58"/>
    </row>
    <row r="445" spans="1:6">
      <c r="A445" s="59"/>
      <c r="B445" s="59"/>
      <c r="C445" s="18"/>
      <c r="D445" s="18"/>
      <c r="E445" s="18"/>
      <c r="F445" s="58"/>
    </row>
    <row r="446" spans="1:6">
      <c r="A446" s="59"/>
      <c r="B446" s="59"/>
      <c r="C446" s="18"/>
      <c r="D446" s="18"/>
      <c r="E446" s="18"/>
      <c r="F446" s="58"/>
    </row>
  </sheetData>
  <pageMargins left="0.511811024" right="0.511811024" top="0.78740157499999996" bottom="0.78740157499999996" header="0.31496062000000002" footer="0.3149606200000000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Plan21"/>
  <dimension ref="A1:AO84"/>
  <sheetViews>
    <sheetView workbookViewId="0">
      <selection activeCell="K11" sqref="K11"/>
    </sheetView>
  </sheetViews>
  <sheetFormatPr defaultRowHeight="12.75"/>
  <cols>
    <col min="1" max="1" width="15.42578125" bestFit="1" customWidth="1"/>
  </cols>
  <sheetData>
    <row r="1" spans="1:40" s="157" customFormat="1" ht="13.5" thickBot="1">
      <c r="A1" s="253" t="s">
        <v>136</v>
      </c>
      <c r="B1" s="254">
        <f>tab_PeriodoEstudo!B2</f>
        <v>2012</v>
      </c>
      <c r="C1" s="254">
        <f>tab_PeriodoEstudo!B3</f>
        <v>2013</v>
      </c>
      <c r="D1" s="254">
        <f>tab_PeriodoEstudo!B4</f>
        <v>2014</v>
      </c>
      <c r="E1" s="254">
        <f>tab_PeriodoEstudo!B5</f>
        <v>2015</v>
      </c>
      <c r="F1" s="254">
        <f>tab_PeriodoEstudo!B6</f>
        <v>2016</v>
      </c>
      <c r="G1" s="254">
        <f>tab_PeriodoEstudo!B7</f>
        <v>2017</v>
      </c>
      <c r="H1" s="254">
        <f>tab_PeriodoEstudo!B8</f>
        <v>2018</v>
      </c>
      <c r="I1" s="254">
        <f>tab_PeriodoEstudo!B9</f>
        <v>2019</v>
      </c>
      <c r="J1" s="254">
        <f>tab_PeriodoEstudo!B10</f>
        <v>2020</v>
      </c>
      <c r="K1" s="254">
        <f>tab_PeriodoEstudo!B11</f>
        <v>2021</v>
      </c>
      <c r="L1" s="254">
        <f>tab_PeriodoEstudo!B12</f>
        <v>2022</v>
      </c>
      <c r="M1" s="254">
        <f>tab_PeriodoEstudo!B13</f>
        <v>2023</v>
      </c>
      <c r="N1" s="254">
        <f>tab_PeriodoEstudo!B14</f>
        <v>2024</v>
      </c>
      <c r="O1" s="254">
        <f>tab_PeriodoEstudo!B15</f>
        <v>2025</v>
      </c>
      <c r="P1" s="254">
        <f>tab_PeriodoEstudo!B16</f>
        <v>2026</v>
      </c>
      <c r="Q1" s="254">
        <f>tab_PeriodoEstudo!B17</f>
        <v>2027</v>
      </c>
      <c r="R1" s="254">
        <f>tab_PeriodoEstudo!B18</f>
        <v>2028</v>
      </c>
      <c r="S1" s="254">
        <f>tab_PeriodoEstudo!B19</f>
        <v>2029</v>
      </c>
      <c r="T1" s="254">
        <f>tab_PeriodoEstudo!B20</f>
        <v>2030</v>
      </c>
      <c r="U1" s="254">
        <f>tab_PeriodoEstudo!B21</f>
        <v>2031</v>
      </c>
      <c r="V1" s="254">
        <f>tab_PeriodoEstudo!B22</f>
        <v>2032</v>
      </c>
      <c r="W1" s="254">
        <f>tab_PeriodoEstudo!B23</f>
        <v>2033</v>
      </c>
      <c r="X1" s="254">
        <f>tab_PeriodoEstudo!B24</f>
        <v>2034</v>
      </c>
      <c r="Y1" s="254">
        <f>tab_PeriodoEstudo!B25</f>
        <v>2035</v>
      </c>
      <c r="Z1" s="254">
        <f>tab_PeriodoEstudo!B26</f>
        <v>2036</v>
      </c>
      <c r="AA1" s="254">
        <f>tab_PeriodoEstudo!B27</f>
        <v>2037</v>
      </c>
      <c r="AB1" s="254">
        <f>tab_PeriodoEstudo!B28</f>
        <v>2038</v>
      </c>
      <c r="AC1" s="254">
        <f>tab_PeriodoEstudo!B29</f>
        <v>2039</v>
      </c>
      <c r="AD1" s="254">
        <f>tab_PeriodoEstudo!B30</f>
        <v>2040</v>
      </c>
      <c r="AE1" s="254">
        <f>tab_PeriodoEstudo!B31</f>
        <v>2041</v>
      </c>
      <c r="AF1" s="254">
        <f>tab_PeriodoEstudo!B32</f>
        <v>2042</v>
      </c>
      <c r="AG1" s="254">
        <f>tab_PeriodoEstudo!B33</f>
        <v>2043</v>
      </c>
      <c r="AH1" s="254">
        <f>tab_PeriodoEstudo!B34</f>
        <v>2044</v>
      </c>
      <c r="AI1" s="254">
        <f>tab_PeriodoEstudo!B35</f>
        <v>2045</v>
      </c>
      <c r="AJ1" s="254">
        <f>tab_PeriodoEstudo!B36</f>
        <v>2046</v>
      </c>
      <c r="AK1" s="254">
        <f>tab_PeriodoEstudo!B37</f>
        <v>2047</v>
      </c>
      <c r="AL1" s="254">
        <f>tab_PeriodoEstudo!B38</f>
        <v>2048</v>
      </c>
      <c r="AM1" s="254">
        <f>tab_PeriodoEstudo!B39</f>
        <v>2049</v>
      </c>
      <c r="AN1" s="254">
        <f>tab_PeriodoEstudo!B40</f>
        <v>2050</v>
      </c>
    </row>
    <row r="2" spans="1:40" ht="13.5" thickTop="1">
      <c r="A2" s="17">
        <v>1</v>
      </c>
      <c r="B2" s="58">
        <v>0</v>
      </c>
      <c r="C2" s="58">
        <v>0</v>
      </c>
      <c r="D2" s="58">
        <v>0</v>
      </c>
      <c r="E2" s="58">
        <v>0</v>
      </c>
      <c r="F2" s="58">
        <v>0</v>
      </c>
      <c r="G2" s="58">
        <v>0</v>
      </c>
      <c r="H2" s="58">
        <v>0</v>
      </c>
      <c r="I2" s="58">
        <v>0</v>
      </c>
      <c r="J2" s="58">
        <v>0</v>
      </c>
      <c r="K2" s="58">
        <v>0</v>
      </c>
      <c r="L2" s="58">
        <v>0</v>
      </c>
      <c r="M2" s="58">
        <v>0</v>
      </c>
      <c r="N2" s="58">
        <v>0</v>
      </c>
      <c r="O2" s="58">
        <v>0</v>
      </c>
      <c r="P2" s="58">
        <v>0</v>
      </c>
      <c r="Q2" s="58">
        <v>0</v>
      </c>
      <c r="R2" s="58">
        <v>0</v>
      </c>
      <c r="S2" s="58">
        <v>0</v>
      </c>
      <c r="T2" s="58">
        <v>0</v>
      </c>
      <c r="U2" s="58">
        <v>0</v>
      </c>
      <c r="V2" s="58">
        <v>0</v>
      </c>
      <c r="W2" s="58">
        <v>0</v>
      </c>
      <c r="X2" s="58">
        <v>0</v>
      </c>
      <c r="Y2" s="58">
        <v>0</v>
      </c>
      <c r="Z2" s="58">
        <v>0</v>
      </c>
      <c r="AA2" s="58">
        <v>0</v>
      </c>
      <c r="AB2" s="58">
        <v>0</v>
      </c>
      <c r="AC2" s="58">
        <v>0</v>
      </c>
      <c r="AD2" s="58">
        <v>0</v>
      </c>
      <c r="AE2" s="58">
        <v>0</v>
      </c>
      <c r="AF2" s="58">
        <v>0</v>
      </c>
      <c r="AG2" s="58">
        <v>0</v>
      </c>
      <c r="AH2" s="58">
        <v>0</v>
      </c>
      <c r="AI2" s="58">
        <v>0</v>
      </c>
      <c r="AJ2" s="58">
        <v>0</v>
      </c>
      <c r="AK2" s="58">
        <v>0</v>
      </c>
      <c r="AL2" s="58">
        <v>0</v>
      </c>
      <c r="AM2" s="58">
        <v>0</v>
      </c>
      <c r="AN2" s="58">
        <v>0</v>
      </c>
    </row>
    <row r="3" spans="1:40">
      <c r="A3" s="17">
        <v>2</v>
      </c>
      <c r="B3" s="58">
        <v>0</v>
      </c>
      <c r="C3" s="58">
        <v>0</v>
      </c>
      <c r="D3" s="58">
        <v>0</v>
      </c>
      <c r="E3" s="58">
        <v>0</v>
      </c>
      <c r="F3" s="58">
        <v>0</v>
      </c>
      <c r="G3" s="58">
        <v>0</v>
      </c>
      <c r="H3" s="58">
        <v>0</v>
      </c>
      <c r="I3" s="58">
        <v>0</v>
      </c>
      <c r="J3" s="58">
        <v>0</v>
      </c>
      <c r="K3" s="58">
        <v>0</v>
      </c>
      <c r="L3" s="58">
        <v>0</v>
      </c>
      <c r="M3" s="58">
        <v>0</v>
      </c>
      <c r="N3" s="58">
        <v>0</v>
      </c>
      <c r="O3" s="58">
        <v>0</v>
      </c>
      <c r="P3" s="58">
        <v>0</v>
      </c>
      <c r="Q3" s="58">
        <v>0</v>
      </c>
      <c r="R3" s="58">
        <v>0</v>
      </c>
      <c r="S3" s="58">
        <v>0</v>
      </c>
      <c r="T3" s="58">
        <v>0</v>
      </c>
      <c r="U3" s="58">
        <v>0</v>
      </c>
      <c r="V3" s="58">
        <v>0</v>
      </c>
      <c r="W3" s="58">
        <v>0</v>
      </c>
      <c r="X3" s="58">
        <v>0</v>
      </c>
      <c r="Y3" s="58">
        <v>0</v>
      </c>
      <c r="Z3" s="58">
        <v>0</v>
      </c>
      <c r="AA3" s="58">
        <v>0</v>
      </c>
      <c r="AB3" s="58">
        <v>0</v>
      </c>
      <c r="AC3" s="58">
        <v>0</v>
      </c>
      <c r="AD3" s="58">
        <v>0</v>
      </c>
      <c r="AE3" s="58">
        <v>0</v>
      </c>
      <c r="AF3" s="58">
        <v>0</v>
      </c>
      <c r="AG3" s="58">
        <v>0</v>
      </c>
      <c r="AH3" s="58">
        <v>0</v>
      </c>
      <c r="AI3" s="58">
        <v>0</v>
      </c>
      <c r="AJ3" s="58">
        <v>0</v>
      </c>
      <c r="AK3" s="58">
        <v>0</v>
      </c>
      <c r="AL3" s="58">
        <v>0</v>
      </c>
      <c r="AM3" s="58">
        <v>0</v>
      </c>
      <c r="AN3" s="58">
        <v>0</v>
      </c>
    </row>
    <row r="4" spans="1:40">
      <c r="A4" s="17">
        <v>3</v>
      </c>
      <c r="B4" s="58">
        <v>0</v>
      </c>
      <c r="C4" s="58">
        <v>0</v>
      </c>
      <c r="D4" s="58">
        <v>0</v>
      </c>
      <c r="E4" s="58">
        <v>0</v>
      </c>
      <c r="F4" s="58">
        <v>0</v>
      </c>
      <c r="G4" s="58">
        <v>0</v>
      </c>
      <c r="H4" s="58">
        <v>0</v>
      </c>
      <c r="I4" s="58">
        <v>0</v>
      </c>
      <c r="J4" s="58">
        <v>0</v>
      </c>
      <c r="K4" s="58">
        <v>0</v>
      </c>
      <c r="L4" s="58">
        <v>0</v>
      </c>
      <c r="M4" s="58">
        <v>0</v>
      </c>
      <c r="N4" s="58">
        <v>0</v>
      </c>
      <c r="O4" s="58">
        <v>0</v>
      </c>
      <c r="P4" s="58">
        <v>0</v>
      </c>
      <c r="Q4" s="58">
        <v>0</v>
      </c>
      <c r="R4" s="58">
        <v>0</v>
      </c>
      <c r="S4" s="58">
        <v>0</v>
      </c>
      <c r="T4" s="58">
        <v>0</v>
      </c>
      <c r="U4" s="58">
        <v>0</v>
      </c>
      <c r="V4" s="58">
        <v>0</v>
      </c>
      <c r="W4" s="58">
        <v>0</v>
      </c>
      <c r="X4" s="58">
        <v>0</v>
      </c>
      <c r="Y4" s="58">
        <v>0</v>
      </c>
      <c r="Z4" s="58">
        <v>0</v>
      </c>
      <c r="AA4" s="58">
        <v>0</v>
      </c>
      <c r="AB4" s="58">
        <v>0</v>
      </c>
      <c r="AC4" s="58">
        <v>0</v>
      </c>
      <c r="AD4" s="58">
        <v>0</v>
      </c>
      <c r="AE4" s="58">
        <v>0</v>
      </c>
      <c r="AF4" s="58">
        <v>0</v>
      </c>
      <c r="AG4" s="58">
        <v>0</v>
      </c>
      <c r="AH4" s="58">
        <v>0</v>
      </c>
      <c r="AI4" s="58">
        <v>0</v>
      </c>
      <c r="AJ4" s="58">
        <v>0</v>
      </c>
      <c r="AK4" s="58">
        <v>0</v>
      </c>
      <c r="AL4" s="58">
        <v>0</v>
      </c>
      <c r="AM4" s="58">
        <v>0</v>
      </c>
      <c r="AN4" s="58">
        <v>0</v>
      </c>
    </row>
    <row r="5" spans="1:40">
      <c r="A5" s="17">
        <v>4</v>
      </c>
      <c r="B5" s="58">
        <v>0</v>
      </c>
      <c r="C5" s="58">
        <v>0</v>
      </c>
      <c r="D5" s="58">
        <v>0</v>
      </c>
      <c r="E5" s="58">
        <v>0</v>
      </c>
      <c r="F5" s="58">
        <v>0</v>
      </c>
      <c r="G5" s="58">
        <v>0</v>
      </c>
      <c r="H5" s="58">
        <v>0</v>
      </c>
      <c r="I5" s="58">
        <v>0</v>
      </c>
      <c r="J5" s="58">
        <v>0</v>
      </c>
      <c r="K5" s="58">
        <v>0</v>
      </c>
      <c r="L5" s="58">
        <v>0</v>
      </c>
      <c r="M5" s="58">
        <v>0</v>
      </c>
      <c r="N5" s="58">
        <v>0</v>
      </c>
      <c r="O5" s="58">
        <v>0</v>
      </c>
      <c r="P5" s="58">
        <v>0</v>
      </c>
      <c r="Q5" s="58">
        <v>0</v>
      </c>
      <c r="R5" s="58">
        <v>0</v>
      </c>
      <c r="S5" s="58">
        <v>0</v>
      </c>
      <c r="T5" s="58">
        <v>0</v>
      </c>
      <c r="U5" s="58">
        <v>0</v>
      </c>
      <c r="V5" s="58">
        <v>0</v>
      </c>
      <c r="W5" s="58">
        <v>0</v>
      </c>
      <c r="X5" s="58">
        <v>0</v>
      </c>
      <c r="Y5" s="58">
        <v>0</v>
      </c>
      <c r="Z5" s="58">
        <v>0</v>
      </c>
      <c r="AA5" s="58">
        <v>0</v>
      </c>
      <c r="AB5" s="58">
        <v>0</v>
      </c>
      <c r="AC5" s="58">
        <v>0</v>
      </c>
      <c r="AD5" s="58">
        <v>0</v>
      </c>
      <c r="AE5" s="58">
        <v>0</v>
      </c>
      <c r="AF5" s="58">
        <v>0</v>
      </c>
      <c r="AG5" s="58">
        <v>0</v>
      </c>
      <c r="AH5" s="58">
        <v>0</v>
      </c>
      <c r="AI5" s="58">
        <v>0</v>
      </c>
      <c r="AJ5" s="58">
        <v>0</v>
      </c>
      <c r="AK5" s="58">
        <v>0</v>
      </c>
      <c r="AL5" s="58">
        <v>0</v>
      </c>
      <c r="AM5" s="58">
        <v>0</v>
      </c>
      <c r="AN5" s="58">
        <v>0</v>
      </c>
    </row>
    <row r="6" spans="1:40">
      <c r="A6" s="17">
        <v>5</v>
      </c>
      <c r="B6" s="58">
        <v>0</v>
      </c>
      <c r="C6" s="58">
        <v>0</v>
      </c>
      <c r="D6" s="58">
        <v>0</v>
      </c>
      <c r="E6" s="58">
        <v>0</v>
      </c>
      <c r="F6" s="58">
        <v>0</v>
      </c>
      <c r="G6" s="58">
        <v>0</v>
      </c>
      <c r="H6" s="58">
        <v>0</v>
      </c>
      <c r="I6" s="58">
        <v>0</v>
      </c>
      <c r="J6" s="58">
        <v>0</v>
      </c>
      <c r="K6" s="58">
        <v>0</v>
      </c>
      <c r="L6" s="58">
        <v>0</v>
      </c>
      <c r="M6" s="58">
        <v>0</v>
      </c>
      <c r="N6" s="58">
        <v>0</v>
      </c>
      <c r="O6" s="58">
        <v>0</v>
      </c>
      <c r="P6" s="58">
        <v>0</v>
      </c>
      <c r="Q6" s="58">
        <v>0</v>
      </c>
      <c r="R6" s="58">
        <v>0</v>
      </c>
      <c r="S6" s="58">
        <v>0</v>
      </c>
      <c r="T6" s="58">
        <v>0</v>
      </c>
      <c r="U6" s="58">
        <v>0</v>
      </c>
      <c r="V6" s="58">
        <v>0</v>
      </c>
      <c r="W6" s="58">
        <v>0</v>
      </c>
      <c r="X6" s="58">
        <v>0</v>
      </c>
      <c r="Y6" s="58">
        <v>0</v>
      </c>
      <c r="Z6" s="58">
        <v>0</v>
      </c>
      <c r="AA6" s="58">
        <v>0</v>
      </c>
      <c r="AB6" s="58">
        <v>0</v>
      </c>
      <c r="AC6" s="58">
        <v>0</v>
      </c>
      <c r="AD6" s="58">
        <v>0</v>
      </c>
      <c r="AE6" s="58">
        <v>0</v>
      </c>
      <c r="AF6" s="58">
        <v>0</v>
      </c>
      <c r="AG6" s="58">
        <v>0</v>
      </c>
      <c r="AH6" s="58">
        <v>0</v>
      </c>
      <c r="AI6" s="58">
        <v>0</v>
      </c>
      <c r="AJ6" s="58">
        <v>0</v>
      </c>
      <c r="AK6" s="58">
        <v>0</v>
      </c>
      <c r="AL6" s="58">
        <v>0</v>
      </c>
      <c r="AM6" s="58">
        <v>0</v>
      </c>
      <c r="AN6" s="58">
        <v>0</v>
      </c>
    </row>
    <row r="7" spans="1:40">
      <c r="A7" s="17">
        <v>6</v>
      </c>
      <c r="B7" s="58">
        <v>0</v>
      </c>
      <c r="C7" s="58">
        <v>0</v>
      </c>
      <c r="D7" s="58">
        <v>0</v>
      </c>
      <c r="E7" s="58">
        <v>0</v>
      </c>
      <c r="F7" s="58">
        <v>0</v>
      </c>
      <c r="G7" s="58">
        <v>0</v>
      </c>
      <c r="H7" s="58">
        <v>0</v>
      </c>
      <c r="I7" s="58">
        <v>0</v>
      </c>
      <c r="J7" s="58">
        <v>0</v>
      </c>
      <c r="K7" s="58">
        <v>0</v>
      </c>
      <c r="L7" s="58">
        <v>0</v>
      </c>
      <c r="M7" s="58">
        <v>0</v>
      </c>
      <c r="N7" s="58">
        <v>0</v>
      </c>
      <c r="O7" s="58">
        <v>0</v>
      </c>
      <c r="P7" s="58">
        <v>0</v>
      </c>
      <c r="Q7" s="58">
        <v>0</v>
      </c>
      <c r="R7" s="58">
        <v>0</v>
      </c>
      <c r="S7" s="58">
        <v>0</v>
      </c>
      <c r="T7" s="58">
        <v>0</v>
      </c>
      <c r="U7" s="58">
        <v>0</v>
      </c>
      <c r="V7" s="58">
        <v>0</v>
      </c>
      <c r="W7" s="58">
        <v>0</v>
      </c>
      <c r="X7" s="58">
        <v>0</v>
      </c>
      <c r="Y7" s="58">
        <v>0</v>
      </c>
      <c r="Z7" s="58">
        <v>0</v>
      </c>
      <c r="AA7" s="58">
        <v>0</v>
      </c>
      <c r="AB7" s="58">
        <v>0</v>
      </c>
      <c r="AC7" s="58">
        <v>0</v>
      </c>
      <c r="AD7" s="58">
        <v>0</v>
      </c>
      <c r="AE7" s="58">
        <v>0</v>
      </c>
      <c r="AF7" s="58">
        <v>0</v>
      </c>
      <c r="AG7" s="58">
        <v>0</v>
      </c>
      <c r="AH7" s="58">
        <v>0</v>
      </c>
      <c r="AI7" s="58">
        <v>0</v>
      </c>
      <c r="AJ7" s="58">
        <v>0</v>
      </c>
      <c r="AK7" s="58">
        <v>0</v>
      </c>
      <c r="AL7" s="58">
        <v>0</v>
      </c>
      <c r="AM7" s="58">
        <v>0</v>
      </c>
      <c r="AN7" s="58">
        <v>0</v>
      </c>
    </row>
    <row r="8" spans="1:40">
      <c r="A8" s="17">
        <v>7</v>
      </c>
      <c r="B8" s="58">
        <v>0</v>
      </c>
      <c r="C8" s="58">
        <v>0</v>
      </c>
      <c r="D8" s="58">
        <v>0</v>
      </c>
      <c r="E8" s="58">
        <v>0</v>
      </c>
      <c r="F8" s="58">
        <v>0</v>
      </c>
      <c r="G8" s="58">
        <v>0</v>
      </c>
      <c r="H8" s="58">
        <v>0</v>
      </c>
      <c r="I8" s="58">
        <v>0</v>
      </c>
      <c r="J8" s="58">
        <v>0</v>
      </c>
      <c r="K8" s="58">
        <v>0</v>
      </c>
      <c r="L8" s="58">
        <v>0</v>
      </c>
      <c r="M8" s="58">
        <v>0</v>
      </c>
      <c r="N8" s="58">
        <v>0</v>
      </c>
      <c r="O8" s="58">
        <v>0</v>
      </c>
      <c r="P8" s="58">
        <v>0</v>
      </c>
      <c r="Q8" s="58">
        <v>0</v>
      </c>
      <c r="R8" s="58">
        <v>0</v>
      </c>
      <c r="S8" s="58">
        <v>0</v>
      </c>
      <c r="T8" s="58">
        <v>0</v>
      </c>
      <c r="U8" s="58">
        <v>0</v>
      </c>
      <c r="V8" s="58">
        <v>0</v>
      </c>
      <c r="W8" s="58">
        <v>0</v>
      </c>
      <c r="X8" s="58">
        <v>0</v>
      </c>
      <c r="Y8" s="58">
        <v>0</v>
      </c>
      <c r="Z8" s="58">
        <v>0</v>
      </c>
      <c r="AA8" s="58">
        <v>0</v>
      </c>
      <c r="AB8" s="58">
        <v>0</v>
      </c>
      <c r="AC8" s="58">
        <v>0</v>
      </c>
      <c r="AD8" s="58">
        <v>0</v>
      </c>
      <c r="AE8" s="58">
        <v>0</v>
      </c>
      <c r="AF8" s="58">
        <v>0</v>
      </c>
      <c r="AG8" s="58">
        <v>0</v>
      </c>
      <c r="AH8" s="58">
        <v>0</v>
      </c>
      <c r="AI8" s="58">
        <v>0</v>
      </c>
      <c r="AJ8" s="58">
        <v>0</v>
      </c>
      <c r="AK8" s="58">
        <v>0</v>
      </c>
      <c r="AL8" s="58">
        <v>0</v>
      </c>
      <c r="AM8" s="58">
        <v>0</v>
      </c>
      <c r="AN8" s="58">
        <v>0</v>
      </c>
    </row>
    <row r="9" spans="1:40">
      <c r="A9" s="17"/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</row>
    <row r="10" spans="1:40">
      <c r="A10" s="17"/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</row>
    <row r="11" spans="1:40">
      <c r="A11" s="17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</row>
    <row r="12" spans="1:40">
      <c r="A12" s="17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</row>
    <row r="13" spans="1:40">
      <c r="A13" s="17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</row>
    <row r="14" spans="1:40">
      <c r="A14" s="17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</row>
    <row r="15" spans="1:40">
      <c r="A15" s="17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</row>
    <row r="16" spans="1:40">
      <c r="A16" s="17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</row>
    <row r="17" spans="1:41">
      <c r="A17" s="119" t="s">
        <v>2566</v>
      </c>
      <c r="B17" s="252">
        <f t="shared" ref="B17:U17" si="0">SUM(B2:B13)</f>
        <v>0</v>
      </c>
      <c r="C17" s="252">
        <f t="shared" si="0"/>
        <v>0</v>
      </c>
      <c r="D17" s="252">
        <f t="shared" si="0"/>
        <v>0</v>
      </c>
      <c r="E17" s="252">
        <f t="shared" si="0"/>
        <v>0</v>
      </c>
      <c r="F17" s="252">
        <f t="shared" si="0"/>
        <v>0</v>
      </c>
      <c r="G17" s="252">
        <f t="shared" si="0"/>
        <v>0</v>
      </c>
      <c r="H17" s="252">
        <f t="shared" si="0"/>
        <v>0</v>
      </c>
      <c r="I17" s="252">
        <f t="shared" si="0"/>
        <v>0</v>
      </c>
      <c r="J17" s="252">
        <f t="shared" si="0"/>
        <v>0</v>
      </c>
      <c r="K17" s="252">
        <f t="shared" si="0"/>
        <v>0</v>
      </c>
      <c r="L17" s="252">
        <f t="shared" si="0"/>
        <v>0</v>
      </c>
      <c r="M17" s="252">
        <f t="shared" si="0"/>
        <v>0</v>
      </c>
      <c r="N17" s="252">
        <f t="shared" si="0"/>
        <v>0</v>
      </c>
      <c r="O17" s="252">
        <f t="shared" si="0"/>
        <v>0</v>
      </c>
      <c r="P17" s="252">
        <f t="shared" si="0"/>
        <v>0</v>
      </c>
      <c r="Q17" s="252">
        <f t="shared" si="0"/>
        <v>0</v>
      </c>
      <c r="R17" s="252">
        <f t="shared" si="0"/>
        <v>0</v>
      </c>
      <c r="S17" s="252">
        <f t="shared" si="0"/>
        <v>0</v>
      </c>
      <c r="T17" s="252">
        <f t="shared" si="0"/>
        <v>0</v>
      </c>
      <c r="U17" s="252">
        <f t="shared" si="0"/>
        <v>0</v>
      </c>
      <c r="V17" s="252">
        <f t="shared" ref="V17:Z17" si="1">SUM(V2:V13)</f>
        <v>0</v>
      </c>
      <c r="W17" s="252">
        <f t="shared" si="1"/>
        <v>0</v>
      </c>
      <c r="X17" s="252">
        <f t="shared" si="1"/>
        <v>0</v>
      </c>
      <c r="Y17" s="252">
        <f t="shared" si="1"/>
        <v>0</v>
      </c>
      <c r="Z17" s="252">
        <f t="shared" si="1"/>
        <v>0</v>
      </c>
      <c r="AA17" s="252">
        <f t="shared" ref="AA17:AI17" si="2">SUM(AA2:AA13)</f>
        <v>0</v>
      </c>
      <c r="AB17" s="252">
        <f t="shared" si="2"/>
        <v>0</v>
      </c>
      <c r="AC17" s="252">
        <f t="shared" si="2"/>
        <v>0</v>
      </c>
      <c r="AD17" s="252">
        <f t="shared" si="2"/>
        <v>0</v>
      </c>
      <c r="AE17" s="252">
        <f t="shared" si="2"/>
        <v>0</v>
      </c>
      <c r="AF17" s="252">
        <f t="shared" si="2"/>
        <v>0</v>
      </c>
      <c r="AG17" s="252">
        <f t="shared" si="2"/>
        <v>0</v>
      </c>
      <c r="AH17" s="252">
        <f t="shared" si="2"/>
        <v>0</v>
      </c>
      <c r="AI17" s="252">
        <f t="shared" si="2"/>
        <v>0</v>
      </c>
      <c r="AJ17" s="252">
        <f t="shared" ref="AJ17:AN17" si="3">SUM(AJ2:AJ13)</f>
        <v>0</v>
      </c>
      <c r="AK17" s="252">
        <f t="shared" si="3"/>
        <v>0</v>
      </c>
      <c r="AL17" s="252">
        <f t="shared" si="3"/>
        <v>0</v>
      </c>
      <c r="AM17" s="252">
        <f t="shared" si="3"/>
        <v>0</v>
      </c>
      <c r="AN17" s="252">
        <f t="shared" si="3"/>
        <v>0</v>
      </c>
    </row>
    <row r="18" spans="1:41">
      <c r="A18" s="17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</row>
    <row r="19" spans="1:41">
      <c r="A19" s="17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</row>
    <row r="20" spans="1:41">
      <c r="A20" s="17" t="s">
        <v>2567</v>
      </c>
      <c r="B20" s="8">
        <v>0</v>
      </c>
      <c r="C20" s="8">
        <v>0</v>
      </c>
      <c r="D20" s="8">
        <v>0</v>
      </c>
      <c r="E20" s="8">
        <v>0</v>
      </c>
      <c r="F20" s="8">
        <v>0</v>
      </c>
      <c r="G20" s="8">
        <v>0</v>
      </c>
      <c r="H20" s="8">
        <v>0</v>
      </c>
      <c r="I20" s="8">
        <v>0</v>
      </c>
      <c r="J20" s="8">
        <v>0</v>
      </c>
      <c r="K20" s="8">
        <v>0</v>
      </c>
      <c r="L20" s="8">
        <v>0</v>
      </c>
      <c r="M20" s="8">
        <v>0</v>
      </c>
      <c r="N20" s="8">
        <v>0</v>
      </c>
      <c r="O20" s="8">
        <v>0</v>
      </c>
      <c r="P20" s="8">
        <v>0</v>
      </c>
      <c r="Q20" s="8">
        <v>0</v>
      </c>
      <c r="R20" s="8">
        <v>0</v>
      </c>
      <c r="S20" s="8">
        <v>0</v>
      </c>
      <c r="T20" s="8">
        <v>0</v>
      </c>
      <c r="U20" s="8">
        <v>0</v>
      </c>
      <c r="V20" s="8">
        <v>0</v>
      </c>
      <c r="W20" s="8">
        <v>0</v>
      </c>
      <c r="X20" s="8">
        <v>0</v>
      </c>
      <c r="Y20" s="8">
        <v>0</v>
      </c>
      <c r="Z20" s="8">
        <v>0</v>
      </c>
      <c r="AA20" s="8">
        <v>0</v>
      </c>
      <c r="AB20" s="8">
        <v>0</v>
      </c>
      <c r="AC20" s="8">
        <v>0</v>
      </c>
      <c r="AD20" s="8">
        <v>0</v>
      </c>
      <c r="AE20" s="8">
        <v>0</v>
      </c>
      <c r="AF20" s="8">
        <v>0</v>
      </c>
      <c r="AG20" s="8">
        <v>0</v>
      </c>
      <c r="AH20" s="8">
        <v>0</v>
      </c>
      <c r="AI20" s="8">
        <v>0</v>
      </c>
      <c r="AJ20" s="8">
        <v>0</v>
      </c>
      <c r="AK20" s="8">
        <v>0</v>
      </c>
      <c r="AL20" s="8">
        <v>0</v>
      </c>
      <c r="AM20" s="8">
        <v>0</v>
      </c>
      <c r="AN20" s="8">
        <v>0</v>
      </c>
    </row>
    <row r="21" spans="1:41">
      <c r="A21" s="17"/>
      <c r="B21" s="5">
        <v>2.9000000000000001E-2</v>
      </c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</row>
    <row r="26" spans="1:41" s="350" customFormat="1">
      <c r="A26" s="427" t="s">
        <v>2568</v>
      </c>
    </row>
    <row r="27" spans="1:41" ht="13.5" thickBot="1">
      <c r="A27" s="11" t="s">
        <v>136</v>
      </c>
      <c r="B27" s="61">
        <v>2012</v>
      </c>
      <c r="C27" s="61">
        <v>2013</v>
      </c>
      <c r="D27" s="61">
        <v>2014</v>
      </c>
      <c r="E27" s="61">
        <v>2015</v>
      </c>
      <c r="F27" s="61">
        <v>2016</v>
      </c>
      <c r="G27" s="61">
        <v>2017</v>
      </c>
      <c r="H27" s="61">
        <v>2018</v>
      </c>
      <c r="I27" s="61">
        <v>2019</v>
      </c>
      <c r="J27" s="61">
        <v>2020</v>
      </c>
      <c r="K27" s="61">
        <v>2021</v>
      </c>
      <c r="L27" s="61">
        <v>2022</v>
      </c>
      <c r="M27" s="61">
        <v>2023</v>
      </c>
      <c r="N27" s="61">
        <v>2024</v>
      </c>
      <c r="O27" s="61">
        <v>2025</v>
      </c>
      <c r="P27" s="61">
        <v>2026</v>
      </c>
      <c r="Q27" s="61">
        <v>2027</v>
      </c>
      <c r="R27" s="61">
        <v>2028</v>
      </c>
      <c r="S27" s="61">
        <v>2029</v>
      </c>
      <c r="T27" s="61">
        <v>2030</v>
      </c>
      <c r="U27" s="61">
        <v>2031</v>
      </c>
      <c r="V27" s="61">
        <v>2032</v>
      </c>
      <c r="W27" s="61">
        <v>2033</v>
      </c>
      <c r="X27" s="61">
        <v>2034</v>
      </c>
      <c r="Y27" s="14">
        <v>2035</v>
      </c>
      <c r="Z27" s="14">
        <v>2036</v>
      </c>
      <c r="AA27" s="14">
        <v>2037</v>
      </c>
      <c r="AB27" s="14">
        <v>2038</v>
      </c>
      <c r="AC27" s="14">
        <v>2039</v>
      </c>
      <c r="AD27" s="14">
        <v>2040</v>
      </c>
      <c r="AE27" s="14">
        <v>2041</v>
      </c>
      <c r="AF27" s="14">
        <v>2042</v>
      </c>
      <c r="AG27" s="14">
        <v>2043</v>
      </c>
      <c r="AH27" s="14">
        <v>2044</v>
      </c>
      <c r="AI27" s="14">
        <v>2045</v>
      </c>
      <c r="AJ27" s="14">
        <v>2046</v>
      </c>
      <c r="AK27" s="14">
        <v>2047</v>
      </c>
      <c r="AL27" s="14">
        <v>2048</v>
      </c>
      <c r="AM27" s="14">
        <v>2049</v>
      </c>
      <c r="AN27" s="14">
        <v>2050</v>
      </c>
    </row>
    <row r="28" spans="1:41" ht="13.5" thickTop="1">
      <c r="A28" s="17">
        <v>1</v>
      </c>
      <c r="B28" s="24">
        <v>36716.675641811526</v>
      </c>
      <c r="C28" s="24">
        <v>37306.898630136988</v>
      </c>
      <c r="D28" s="24">
        <v>38240.102399868832</v>
      </c>
      <c r="E28" s="24">
        <v>38022.099867245866</v>
      </c>
      <c r="F28" s="24">
        <v>38698.169157306067</v>
      </c>
      <c r="G28" s="24">
        <v>39839.624147851413</v>
      </c>
      <c r="H28" s="24">
        <v>41320.663370008457</v>
      </c>
      <c r="I28" s="24">
        <v>42820.260487705767</v>
      </c>
      <c r="J28" s="24">
        <v>44798.52344952686</v>
      </c>
      <c r="K28" s="24">
        <v>46860.745396541934</v>
      </c>
      <c r="L28" s="24">
        <v>49028.688093965429</v>
      </c>
      <c r="M28" s="24">
        <v>51530.47554488873</v>
      </c>
      <c r="N28" s="24">
        <v>54086.436193190282</v>
      </c>
      <c r="O28" s="24">
        <v>55893.268944318006</v>
      </c>
      <c r="P28" s="24">
        <v>58084.429907192985</v>
      </c>
      <c r="Q28" s="24">
        <v>60366.174807036026</v>
      </c>
      <c r="R28" s="24">
        <v>62741.964687792839</v>
      </c>
      <c r="S28" s="24">
        <v>65216.548421258325</v>
      </c>
      <c r="T28" s="24">
        <v>67793.894994088798</v>
      </c>
      <c r="U28" s="24">
        <v>69715.339854249396</v>
      </c>
      <c r="V28" s="24">
        <v>71709.104515265033</v>
      </c>
      <c r="W28" s="24">
        <v>73764.954575853975</v>
      </c>
      <c r="X28" s="24">
        <v>76075.643457212354</v>
      </c>
      <c r="Y28" s="24">
        <v>78292.077962443116</v>
      </c>
      <c r="Z28" s="24">
        <v>80472.411007615025</v>
      </c>
      <c r="AA28" s="24">
        <v>82746.209608980891</v>
      </c>
      <c r="AB28" s="24">
        <v>85188.899588515429</v>
      </c>
      <c r="AC28" s="24">
        <v>87577.131287272234</v>
      </c>
      <c r="AD28" s="24">
        <v>89992.607952045379</v>
      </c>
      <c r="AE28" s="24">
        <v>92025.01414573181</v>
      </c>
      <c r="AF28" s="24">
        <v>94211.297987903512</v>
      </c>
      <c r="AG28" s="24">
        <v>96351.636526041868</v>
      </c>
      <c r="AH28" s="24">
        <v>98566.498369369467</v>
      </c>
      <c r="AI28" s="24">
        <v>100781.35607326297</v>
      </c>
      <c r="AJ28" s="24">
        <v>103131.64674502573</v>
      </c>
      <c r="AK28" s="24">
        <v>105387.94105638369</v>
      </c>
      <c r="AL28" s="24">
        <v>107883.05127114459</v>
      </c>
      <c r="AM28" s="24">
        <v>110344.72231440073</v>
      </c>
      <c r="AN28" s="24">
        <v>112745.39573279292</v>
      </c>
      <c r="AO28" s="335">
        <v>0.5471918381554427</v>
      </c>
    </row>
    <row r="29" spans="1:41">
      <c r="A29" s="17">
        <v>2</v>
      </c>
      <c r="B29" s="24">
        <v>10255.534940235324</v>
      </c>
      <c r="C29" s="24">
        <v>10664.882191780822</v>
      </c>
      <c r="D29" s="24">
        <v>11195.214659300993</v>
      </c>
      <c r="E29" s="24">
        <v>11283</v>
      </c>
      <c r="F29" s="24">
        <v>11482.533791055248</v>
      </c>
      <c r="G29" s="24">
        <v>11843.259031391131</v>
      </c>
      <c r="H29" s="24">
        <v>12273.230887533842</v>
      </c>
      <c r="I29" s="24">
        <v>12731.653791679786</v>
      </c>
      <c r="J29" s="24">
        <v>13230.885564324466</v>
      </c>
      <c r="K29" s="24">
        <v>13780.816110585924</v>
      </c>
      <c r="L29" s="24">
        <v>14394.955607630016</v>
      </c>
      <c r="M29" s="24">
        <v>15033.605752900972</v>
      </c>
      <c r="N29" s="24">
        <v>15714.556590272552</v>
      </c>
      <c r="O29" s="24">
        <v>16215.526582727291</v>
      </c>
      <c r="P29" s="24">
        <v>16875.466140498283</v>
      </c>
      <c r="Q29" s="24">
        <v>17563.859281427704</v>
      </c>
      <c r="R29" s="24">
        <v>18280.968250521611</v>
      </c>
      <c r="S29" s="24">
        <v>19028.628762822471</v>
      </c>
      <c r="T29" s="24">
        <v>19807.758675851524</v>
      </c>
      <c r="U29" s="24">
        <v>20367.4590578102</v>
      </c>
      <c r="V29" s="24">
        <v>20972.188115574401</v>
      </c>
      <c r="W29" s="24">
        <v>21598.051655565003</v>
      </c>
      <c r="X29" s="24">
        <v>22245.461324561111</v>
      </c>
      <c r="Y29" s="24">
        <v>22929.054678113749</v>
      </c>
      <c r="Z29" s="24">
        <v>23655.093203273249</v>
      </c>
      <c r="AA29" s="24">
        <v>24391.832967397248</v>
      </c>
      <c r="AB29" s="24">
        <v>25096.630973958476</v>
      </c>
      <c r="AC29" s="24">
        <v>25815.761023373616</v>
      </c>
      <c r="AD29" s="24">
        <v>26556.261842547981</v>
      </c>
      <c r="AE29" s="24">
        <v>27232.095594024908</v>
      </c>
      <c r="AF29" s="24">
        <v>27957.831337559088</v>
      </c>
      <c r="AG29" s="24">
        <v>28681.193055879332</v>
      </c>
      <c r="AH29" s="24">
        <v>29396.133080470525</v>
      </c>
      <c r="AI29" s="24">
        <v>30120.755321152523</v>
      </c>
      <c r="AJ29" s="24">
        <v>30854.800490814414</v>
      </c>
      <c r="AK29" s="24">
        <v>31598.019184817895</v>
      </c>
      <c r="AL29" s="24">
        <v>32351.382531344283</v>
      </c>
      <c r="AM29" s="24">
        <v>33171.205027296295</v>
      </c>
      <c r="AN29" s="24">
        <v>33966.688981248328</v>
      </c>
      <c r="AO29" s="335">
        <v>0.16484353077059868</v>
      </c>
    </row>
    <row r="30" spans="1:41">
      <c r="A30" s="17">
        <v>3</v>
      </c>
      <c r="B30" s="24">
        <v>9065.7553551912551</v>
      </c>
      <c r="C30" s="24">
        <v>9651.3835616438355</v>
      </c>
      <c r="D30" s="24">
        <v>9982.9103065574654</v>
      </c>
      <c r="E30" s="24">
        <v>10159.000000000002</v>
      </c>
      <c r="F30" s="24">
        <v>10408.45111796534</v>
      </c>
      <c r="G30" s="24">
        <v>10847.146673902325</v>
      </c>
      <c r="H30" s="24">
        <v>11332.061154288447</v>
      </c>
      <c r="I30" s="24">
        <v>11795.423343117203</v>
      </c>
      <c r="J30" s="24">
        <v>12321.225514517197</v>
      </c>
      <c r="K30" s="24">
        <v>13011.149029680661</v>
      </c>
      <c r="L30" s="24">
        <v>13692.20446378507</v>
      </c>
      <c r="M30" s="24">
        <v>14401.147226446801</v>
      </c>
      <c r="N30" s="24">
        <v>15215.775100858174</v>
      </c>
      <c r="O30" s="24">
        <v>15738.792920113827</v>
      </c>
      <c r="P30" s="24">
        <v>16358.530117934823</v>
      </c>
      <c r="Q30" s="24">
        <v>17005.001531169033</v>
      </c>
      <c r="R30" s="24">
        <v>17679.274186628605</v>
      </c>
      <c r="S30" s="24">
        <v>18382.448932906991</v>
      </c>
      <c r="T30" s="24">
        <v>19116.352549826996</v>
      </c>
      <c r="U30" s="24">
        <v>19690.902259462557</v>
      </c>
      <c r="V30" s="24">
        <v>20298.296876608754</v>
      </c>
      <c r="W30" s="24">
        <v>20905.79742945699</v>
      </c>
      <c r="X30" s="24">
        <v>21529.829607562435</v>
      </c>
      <c r="Y30" s="24">
        <v>22159.241698048067</v>
      </c>
      <c r="Z30" s="24">
        <v>22812.562795192163</v>
      </c>
      <c r="AA30" s="24">
        <v>23517.648459729167</v>
      </c>
      <c r="AB30" s="24">
        <v>24231.595072822252</v>
      </c>
      <c r="AC30" s="24">
        <v>24943.089972761845</v>
      </c>
      <c r="AD30" s="24">
        <v>25672.177346999284</v>
      </c>
      <c r="AE30" s="24">
        <v>26375.251992949285</v>
      </c>
      <c r="AF30" s="24">
        <v>27128.911536678508</v>
      </c>
      <c r="AG30" s="24">
        <v>27827.298297921105</v>
      </c>
      <c r="AH30" s="24">
        <v>28541.442929843211</v>
      </c>
      <c r="AI30" s="24">
        <v>29308.032971363155</v>
      </c>
      <c r="AJ30" s="24">
        <v>30089.303001026015</v>
      </c>
      <c r="AK30" s="24">
        <v>30849.616503663368</v>
      </c>
      <c r="AL30" s="24">
        <v>31626.789358680042</v>
      </c>
      <c r="AM30" s="24">
        <v>32440.540208762104</v>
      </c>
      <c r="AN30" s="24">
        <v>33262.824682568527</v>
      </c>
      <c r="AO30" s="335">
        <v>0.15872793711361019</v>
      </c>
    </row>
    <row r="31" spans="1:41">
      <c r="A31" s="17">
        <v>4</v>
      </c>
      <c r="B31" s="24">
        <v>4117.8368599258911</v>
      </c>
      <c r="C31" s="24">
        <v>4220.1035408466396</v>
      </c>
      <c r="D31" s="24">
        <v>4241.5357484126353</v>
      </c>
      <c r="E31" s="24">
        <v>4175.7615212743995</v>
      </c>
      <c r="F31" s="24">
        <v>4242.1019379308909</v>
      </c>
      <c r="G31" s="24">
        <v>4435.2648123274539</v>
      </c>
      <c r="H31" s="24">
        <v>4728.3212082776081</v>
      </c>
      <c r="I31" s="24">
        <v>5023.2615916038085</v>
      </c>
      <c r="J31" s="24">
        <v>5715.5659619149246</v>
      </c>
      <c r="K31" s="24">
        <v>6422.5215554047118</v>
      </c>
      <c r="L31" s="24">
        <v>6649.3240092844699</v>
      </c>
      <c r="M31" s="24">
        <v>6814.8782579135377</v>
      </c>
      <c r="N31" s="24">
        <v>6996.4010079979043</v>
      </c>
      <c r="O31" s="24">
        <v>7265.3502482233935</v>
      </c>
      <c r="P31" s="24">
        <v>7534.7075560329176</v>
      </c>
      <c r="Q31" s="24">
        <v>7815.6304807961924</v>
      </c>
      <c r="R31" s="24">
        <v>8108.505251762811</v>
      </c>
      <c r="S31" s="24">
        <v>8415.2672395854843</v>
      </c>
      <c r="T31" s="24">
        <v>8736.4319640776248</v>
      </c>
      <c r="U31" s="24">
        <v>8956.6359662256982</v>
      </c>
      <c r="V31" s="24">
        <v>9160.6017730609274</v>
      </c>
      <c r="W31" s="24">
        <v>9478.5218298270374</v>
      </c>
      <c r="X31" s="24">
        <v>9676.1183218772367</v>
      </c>
      <c r="Y31" s="24">
        <v>9885.5961948616186</v>
      </c>
      <c r="Z31" s="24">
        <v>10126.647966564993</v>
      </c>
      <c r="AA31" s="24">
        <v>10382.741897928432</v>
      </c>
      <c r="AB31" s="24">
        <v>10643.703058564504</v>
      </c>
      <c r="AC31" s="24">
        <v>10895.328660222151</v>
      </c>
      <c r="AD31" s="24">
        <v>11224.530665737304</v>
      </c>
      <c r="AE31" s="24">
        <v>11433.774037609128</v>
      </c>
      <c r="AF31" s="24">
        <v>11669.013528153318</v>
      </c>
      <c r="AG31" s="24">
        <v>11951.460675945737</v>
      </c>
      <c r="AH31" s="24">
        <v>12177.023277820639</v>
      </c>
      <c r="AI31" s="24">
        <v>12407.283744726648</v>
      </c>
      <c r="AJ31" s="24">
        <v>12639.830686134523</v>
      </c>
      <c r="AK31" s="24">
        <v>12872.291805395083</v>
      </c>
      <c r="AL31" s="24">
        <v>13121.243843288794</v>
      </c>
      <c r="AM31" s="24">
        <v>13373.607855974278</v>
      </c>
      <c r="AN31" s="24">
        <v>13613.512337938751</v>
      </c>
      <c r="AO31" s="335">
        <v>8.2560361357235074E-2</v>
      </c>
    </row>
    <row r="32" spans="1:41">
      <c r="A32" s="113">
        <v>5</v>
      </c>
      <c r="B32" s="24">
        <v>996.12841530054641</v>
      </c>
      <c r="C32" s="24">
        <v>1066.8486575342465</v>
      </c>
      <c r="D32" s="24">
        <v>1162.8650367123287</v>
      </c>
      <c r="E32" s="24">
        <v>1267.5228900164384</v>
      </c>
      <c r="F32" s="24">
        <v>1381.5999501179178</v>
      </c>
      <c r="G32" s="24">
        <v>1505.9439456285306</v>
      </c>
      <c r="H32" s="24">
        <v>1641.4789007350985</v>
      </c>
      <c r="I32" s="24">
        <v>1789.2120018012574</v>
      </c>
      <c r="J32" s="24">
        <v>1950.2410819633708</v>
      </c>
      <c r="K32" s="24">
        <v>2125.7627793400743</v>
      </c>
      <c r="L32" s="24">
        <v>2317.081429480681</v>
      </c>
      <c r="M32" s="24">
        <v>2525.6187581339423</v>
      </c>
      <c r="N32" s="24">
        <v>2752.9244463659975</v>
      </c>
      <c r="O32" s="24">
        <v>3000.6876465389373</v>
      </c>
      <c r="P32" s="24">
        <v>3270.7495347274421</v>
      </c>
      <c r="Q32" s="24">
        <v>3565.1169928529121</v>
      </c>
      <c r="R32" s="24">
        <v>3885.9775222096746</v>
      </c>
      <c r="S32" s="24">
        <v>4235.7154992085452</v>
      </c>
      <c r="T32" s="24">
        <v>4235.7154992085452</v>
      </c>
      <c r="U32" s="24">
        <v>4235.7154992085452</v>
      </c>
      <c r="V32" s="24">
        <v>4235.7154992085452</v>
      </c>
      <c r="W32" s="24">
        <v>4235.7154992085452</v>
      </c>
      <c r="X32" s="24">
        <v>4235.7154992085452</v>
      </c>
      <c r="Y32" s="24">
        <v>4235.7154992085452</v>
      </c>
      <c r="Z32" s="24">
        <v>4235.7154992085452</v>
      </c>
      <c r="AA32" s="24">
        <v>4235.7154992085452</v>
      </c>
      <c r="AB32" s="24">
        <v>4235.7154992085452</v>
      </c>
      <c r="AC32" s="24">
        <v>4235.7154992085452</v>
      </c>
      <c r="AD32" s="24">
        <v>4235.7154992085452</v>
      </c>
      <c r="AE32" s="24">
        <v>4235.7154992085452</v>
      </c>
      <c r="AF32" s="24">
        <v>4235.7154992085452</v>
      </c>
      <c r="AG32" s="24">
        <v>4235.7154992085452</v>
      </c>
      <c r="AH32" s="24">
        <v>4235.7154992085452</v>
      </c>
      <c r="AI32" s="24">
        <v>4235.7154992085452</v>
      </c>
      <c r="AJ32" s="24">
        <v>4235.7154992085452</v>
      </c>
      <c r="AK32" s="24">
        <v>4235.7154992085452</v>
      </c>
      <c r="AL32" s="24">
        <v>4235.7154992085452</v>
      </c>
      <c r="AM32" s="24">
        <v>4235.7154992085452</v>
      </c>
      <c r="AN32" s="24">
        <v>4235.7154992085452</v>
      </c>
      <c r="AO32" s="335">
        <v>2.0547672752850091E-2</v>
      </c>
    </row>
    <row r="33" spans="1:41">
      <c r="A33" s="17">
        <v>6</v>
      </c>
      <c r="B33" s="24">
        <v>475.1502732240437</v>
      </c>
      <c r="C33" s="24">
        <v>508.74794520547943</v>
      </c>
      <c r="D33" s="24">
        <v>508.12178755619641</v>
      </c>
      <c r="E33" s="24">
        <v>514.90013275413014</v>
      </c>
      <c r="F33" s="24">
        <v>530.64508138485257</v>
      </c>
      <c r="G33" s="24">
        <v>552.25578757525341</v>
      </c>
      <c r="H33" s="24">
        <v>575.368390849962</v>
      </c>
      <c r="I33" s="24">
        <v>599.26291739062458</v>
      </c>
      <c r="J33" s="24">
        <v>625.70695549372795</v>
      </c>
      <c r="K33" s="24">
        <v>654.94322988768056</v>
      </c>
      <c r="L33" s="24">
        <v>687.15683699941439</v>
      </c>
      <c r="M33" s="24">
        <v>720.57569403940386</v>
      </c>
      <c r="N33" s="24">
        <v>754.98109313229372</v>
      </c>
      <c r="O33" s="24">
        <v>786.26253223219044</v>
      </c>
      <c r="P33" s="24">
        <v>817.83834636917481</v>
      </c>
      <c r="Q33" s="24">
        <v>849.91979823829365</v>
      </c>
      <c r="R33" s="24">
        <v>882.36600265185041</v>
      </c>
      <c r="S33" s="24">
        <v>914.91203952746787</v>
      </c>
      <c r="T33" s="24">
        <v>947.78759212767307</v>
      </c>
      <c r="U33" s="24">
        <v>977.58304893331547</v>
      </c>
      <c r="V33" s="24">
        <v>1007.3730200263302</v>
      </c>
      <c r="W33" s="24">
        <v>1037.335340379313</v>
      </c>
      <c r="X33" s="24">
        <v>1067.5472016741369</v>
      </c>
      <c r="Y33" s="24">
        <v>1097.9823093420659</v>
      </c>
      <c r="Z33" s="24">
        <v>1128.3372941687619</v>
      </c>
      <c r="AA33" s="24">
        <v>1158.5576062777175</v>
      </c>
      <c r="AB33" s="24">
        <v>1188.5875938366805</v>
      </c>
      <c r="AC33" s="24">
        <v>1218.3706722127065</v>
      </c>
      <c r="AD33" s="24">
        <v>1247.8495014643852</v>
      </c>
      <c r="AE33" s="24">
        <v>1276.9661713861469</v>
      </c>
      <c r="AF33" s="24">
        <v>1305.6623932531706</v>
      </c>
      <c r="AG33" s="24">
        <v>1333.879697354233</v>
      </c>
      <c r="AH33" s="24">
        <v>1361.5596353444669</v>
      </c>
      <c r="AI33" s="24">
        <v>1388.6439864010399</v>
      </c>
      <c r="AJ33" s="24">
        <v>1415.0749661227646</v>
      </c>
      <c r="AK33" s="24">
        <v>1440.7954370800537</v>
      </c>
      <c r="AL33" s="24">
        <v>1465.7491198948528</v>
      </c>
      <c r="AM33" s="24">
        <v>1489.8808037115525</v>
      </c>
      <c r="AN33" s="24">
        <v>1513.1365549096461</v>
      </c>
      <c r="AO33" s="335">
        <v>7.3403028995851841E-3</v>
      </c>
    </row>
    <row r="34" spans="1:41">
      <c r="A34" s="113">
        <v>7</v>
      </c>
      <c r="B34" s="24">
        <v>0</v>
      </c>
      <c r="C34" s="24">
        <v>446.81974682459321</v>
      </c>
      <c r="D34" s="24">
        <v>946.34313478185436</v>
      </c>
      <c r="E34" s="24">
        <v>1024.2384787255996</v>
      </c>
      <c r="F34" s="24">
        <v>1112.5719439376339</v>
      </c>
      <c r="G34" s="24">
        <v>1151.1322394053886</v>
      </c>
      <c r="H34" s="24">
        <v>1193.1393626592373</v>
      </c>
      <c r="I34" s="24">
        <v>1238.1032916198039</v>
      </c>
      <c r="J34" s="24">
        <v>1289.6885443235574</v>
      </c>
      <c r="K34" s="24">
        <v>1348.2042418432898</v>
      </c>
      <c r="L34" s="24">
        <v>1414.287824682574</v>
      </c>
      <c r="M34" s="24">
        <v>1484.9228376980254</v>
      </c>
      <c r="N34" s="24">
        <v>1559.0763456900543</v>
      </c>
      <c r="O34" s="24">
        <v>1627.1995383408328</v>
      </c>
      <c r="P34" s="24">
        <v>1698.6265218450119</v>
      </c>
      <c r="Q34" s="24">
        <v>1772.8938711325691</v>
      </c>
      <c r="R34" s="24">
        <v>1850.0923995922051</v>
      </c>
      <c r="S34" s="24">
        <v>1930.9903283391709</v>
      </c>
      <c r="T34" s="24">
        <v>2015.7742829659321</v>
      </c>
      <c r="U34" s="24">
        <v>2097.6624442294706</v>
      </c>
      <c r="V34" s="24">
        <v>2182.9148439176033</v>
      </c>
      <c r="W34" s="24">
        <v>2271.6773131796244</v>
      </c>
      <c r="X34" s="24">
        <v>2363.6915438915235</v>
      </c>
      <c r="Y34" s="24">
        <v>2459.0685006035797</v>
      </c>
      <c r="Z34" s="24">
        <v>2555.4763251940685</v>
      </c>
      <c r="AA34" s="24">
        <v>2652.6957744217802</v>
      </c>
      <c r="AB34" s="24">
        <v>2750.4950563639932</v>
      </c>
      <c r="AC34" s="24">
        <v>2848.6307727537019</v>
      </c>
      <c r="AD34" s="24">
        <v>2946.8490088567</v>
      </c>
      <c r="AE34" s="24">
        <v>3044.8865676808691</v>
      </c>
      <c r="AF34" s="24">
        <v>3142.4723434088464</v>
      </c>
      <c r="AG34" s="24">
        <v>3239.3288270165317</v>
      </c>
      <c r="AH34" s="24">
        <v>3335.1737351138459</v>
      </c>
      <c r="AI34" s="24">
        <v>3429.7217511524309</v>
      </c>
      <c r="AJ34" s="24">
        <v>3522.6863663203267</v>
      </c>
      <c r="AK34" s="24">
        <v>3613.7818057193272</v>
      </c>
      <c r="AL34" s="24">
        <v>3702.7250238295865</v>
      </c>
      <c r="AM34" s="24">
        <v>3789.2377518403182</v>
      </c>
      <c r="AN34" s="24">
        <v>3873.0485781953607</v>
      </c>
      <c r="AO34" s="335">
        <v>1.8788356950678046E-2</v>
      </c>
    </row>
    <row r="35" spans="1:41">
      <c r="A35" s="17"/>
      <c r="B35" s="114"/>
      <c r="C35" s="114"/>
      <c r="D35" s="114"/>
      <c r="E35" s="114"/>
      <c r="F35" s="114"/>
      <c r="G35" s="114"/>
      <c r="H35" s="114"/>
      <c r="I35" s="114"/>
      <c r="J35" s="114"/>
      <c r="K35" s="114"/>
      <c r="L35" s="114"/>
      <c r="M35" s="114"/>
      <c r="N35" s="114"/>
      <c r="O35" s="114"/>
      <c r="P35" s="114"/>
      <c r="Q35" s="114"/>
      <c r="R35" s="114"/>
      <c r="S35" s="114"/>
      <c r="T35" s="114"/>
      <c r="U35" s="114"/>
      <c r="V35" s="114"/>
      <c r="W35" s="114"/>
      <c r="X35" s="114"/>
      <c r="Y35" s="114"/>
      <c r="Z35" s="114"/>
      <c r="AA35" s="114"/>
    </row>
    <row r="36" spans="1:41">
      <c r="A36" s="17"/>
      <c r="B36" s="114"/>
      <c r="C36" s="114"/>
      <c r="D36" s="114"/>
      <c r="E36" s="114"/>
      <c r="F36" s="114"/>
      <c r="G36" s="114"/>
      <c r="H36" s="114"/>
      <c r="I36" s="114"/>
      <c r="J36" s="114"/>
      <c r="K36" s="114"/>
      <c r="L36" s="114"/>
      <c r="M36" s="114"/>
      <c r="N36" s="114"/>
      <c r="O36" s="114"/>
      <c r="P36" s="114"/>
      <c r="Q36" s="114"/>
      <c r="R36" s="114"/>
      <c r="S36" s="114"/>
      <c r="T36" s="114"/>
      <c r="U36" s="114"/>
      <c r="V36" s="114"/>
      <c r="W36" s="114"/>
      <c r="X36" s="114"/>
      <c r="Y36" s="114"/>
      <c r="Z36" s="114"/>
      <c r="AA36" s="114"/>
    </row>
    <row r="37" spans="1:41">
      <c r="A37" s="17"/>
      <c r="B37" s="114"/>
    </row>
    <row r="38" spans="1:41">
      <c r="A38" s="17"/>
      <c r="B38" s="114"/>
    </row>
    <row r="39" spans="1:41">
      <c r="A39" s="113"/>
      <c r="B39" s="115"/>
    </row>
    <row r="40" spans="1:41" ht="15.75">
      <c r="A40" s="17"/>
      <c r="B40" s="116"/>
      <c r="C40" s="116"/>
      <c r="D40" s="116"/>
      <c r="E40" s="116"/>
      <c r="F40" s="116"/>
      <c r="G40" s="116"/>
      <c r="H40" s="116"/>
      <c r="I40" s="116"/>
      <c r="J40" s="116"/>
      <c r="K40" s="116"/>
      <c r="L40" s="116"/>
      <c r="M40" s="116"/>
      <c r="N40" s="116"/>
      <c r="O40" s="116"/>
      <c r="P40" s="116"/>
      <c r="Q40" s="116"/>
      <c r="R40" s="116"/>
      <c r="S40" s="116"/>
      <c r="T40" s="116"/>
      <c r="U40" s="116"/>
      <c r="V40" s="116"/>
      <c r="W40" s="116"/>
      <c r="X40" s="116"/>
      <c r="Y40" s="116"/>
      <c r="Z40" s="116"/>
      <c r="AA40" s="116"/>
    </row>
    <row r="41" spans="1:41">
      <c r="A41" s="17"/>
      <c r="B41" s="17"/>
      <c r="C41" s="17"/>
      <c r="D41" s="17"/>
      <c r="E41" s="17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</row>
    <row r="42" spans="1:41">
      <c r="A42" s="117" t="s">
        <v>2543</v>
      </c>
      <c r="B42" s="17"/>
      <c r="C42" s="17"/>
      <c r="D42" s="17"/>
      <c r="E42" s="17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</row>
    <row r="43" spans="1:41">
      <c r="A43" s="118" t="s">
        <v>40</v>
      </c>
      <c r="B43" s="251">
        <f t="shared" ref="B43:AN43" si="4">SUM(B28:B39)</f>
        <v>61627.081485688585</v>
      </c>
      <c r="C43" s="251">
        <f t="shared" si="4"/>
        <v>63865.684273972605</v>
      </c>
      <c r="D43" s="251">
        <f t="shared" si="4"/>
        <v>66277.093073190306</v>
      </c>
      <c r="E43" s="251">
        <f t="shared" si="4"/>
        <v>66446.522890016437</v>
      </c>
      <c r="F43" s="251">
        <f t="shared" si="4"/>
        <v>67856.072979697958</v>
      </c>
      <c r="G43" s="251">
        <f t="shared" si="4"/>
        <v>70174.626638081492</v>
      </c>
      <c r="H43" s="251">
        <f t="shared" si="4"/>
        <v>73064.263274352634</v>
      </c>
      <c r="I43" s="251">
        <f t="shared" si="4"/>
        <v>75997.177424918264</v>
      </c>
      <c r="J43" s="251">
        <f t="shared" si="4"/>
        <v>79931.837072064096</v>
      </c>
      <c r="K43" s="251">
        <f t="shared" si="4"/>
        <v>84204.142343284271</v>
      </c>
      <c r="L43" s="251">
        <f t="shared" si="4"/>
        <v>88183.698265827639</v>
      </c>
      <c r="M43" s="251">
        <f t="shared" si="4"/>
        <v>92511.224072021432</v>
      </c>
      <c r="N43" s="251">
        <f t="shared" si="4"/>
        <v>97080.150777507268</v>
      </c>
      <c r="O43" s="251">
        <f t="shared" si="4"/>
        <v>100527.08841249447</v>
      </c>
      <c r="P43" s="251">
        <f t="shared" si="4"/>
        <v>104640.34812460061</v>
      </c>
      <c r="Q43" s="251">
        <f t="shared" si="4"/>
        <v>108938.59676265273</v>
      </c>
      <c r="R43" s="251">
        <f t="shared" si="4"/>
        <v>113429.1483011596</v>
      </c>
      <c r="S43" s="251">
        <f t="shared" si="4"/>
        <v>118124.51122364846</v>
      </c>
      <c r="T43" s="251">
        <f t="shared" si="4"/>
        <v>122653.71555814709</v>
      </c>
      <c r="U43" s="251">
        <f t="shared" si="4"/>
        <v>126041.29813011919</v>
      </c>
      <c r="V43" s="251">
        <f t="shared" si="4"/>
        <v>129566.1946436616</v>
      </c>
      <c r="W43" s="251">
        <f t="shared" si="4"/>
        <v>133292.05364347048</v>
      </c>
      <c r="X43" s="251">
        <f t="shared" si="4"/>
        <v>137194.00695598737</v>
      </c>
      <c r="Y43" s="251">
        <f t="shared" si="4"/>
        <v>141058.73684262074</v>
      </c>
      <c r="Z43" s="251">
        <f t="shared" si="4"/>
        <v>144986.24409121679</v>
      </c>
      <c r="AA43" s="251">
        <f t="shared" si="4"/>
        <v>149085.40181394381</v>
      </c>
      <c r="AB43" s="251">
        <f t="shared" si="4"/>
        <v>153335.62684326989</v>
      </c>
      <c r="AC43" s="251">
        <f t="shared" si="4"/>
        <v>157534.02788780481</v>
      </c>
      <c r="AD43" s="251">
        <f t="shared" si="4"/>
        <v>161875.99181685961</v>
      </c>
      <c r="AE43" s="251">
        <f t="shared" si="4"/>
        <v>165623.70400859072</v>
      </c>
      <c r="AF43" s="251">
        <f t="shared" si="4"/>
        <v>169650.90462616499</v>
      </c>
      <c r="AG43" s="251">
        <f t="shared" si="4"/>
        <v>173620.51257936732</v>
      </c>
      <c r="AH43" s="251">
        <f t="shared" si="4"/>
        <v>177613.54652717069</v>
      </c>
      <c r="AI43" s="251">
        <f t="shared" si="4"/>
        <v>181671.5093472673</v>
      </c>
      <c r="AJ43" s="251">
        <f t="shared" si="4"/>
        <v>185889.05775465231</v>
      </c>
      <c r="AK43" s="251">
        <f t="shared" si="4"/>
        <v>189998.16129226793</v>
      </c>
      <c r="AL43" s="251">
        <f t="shared" si="4"/>
        <v>194386.65664739069</v>
      </c>
      <c r="AM43" s="251">
        <f t="shared" si="4"/>
        <v>198844.90946119386</v>
      </c>
      <c r="AN43" s="251">
        <f t="shared" si="4"/>
        <v>203210.32236686206</v>
      </c>
    </row>
    <row r="46" spans="1:41" s="425" customFormat="1">
      <c r="A46" s="426" t="s">
        <v>2569</v>
      </c>
    </row>
    <row r="47" spans="1:41" ht="13.5" thickBot="1">
      <c r="A47" s="11" t="s">
        <v>136</v>
      </c>
      <c r="B47" s="61">
        <v>2012</v>
      </c>
      <c r="C47" s="61">
        <v>2013</v>
      </c>
      <c r="D47" s="61">
        <v>2014</v>
      </c>
      <c r="E47" s="61">
        <v>2015</v>
      </c>
      <c r="F47" s="61">
        <v>2016</v>
      </c>
      <c r="G47" s="61">
        <v>2017</v>
      </c>
      <c r="H47" s="61">
        <v>2018</v>
      </c>
      <c r="I47" s="61">
        <v>2019</v>
      </c>
      <c r="J47" s="61">
        <v>2020</v>
      </c>
      <c r="K47" s="61">
        <v>2021</v>
      </c>
      <c r="L47" s="61">
        <v>2022</v>
      </c>
      <c r="M47" s="61">
        <v>2023</v>
      </c>
      <c r="N47" s="61">
        <v>2024</v>
      </c>
      <c r="O47" s="61">
        <v>2025</v>
      </c>
      <c r="P47" s="61">
        <v>2026</v>
      </c>
      <c r="Q47" s="61">
        <v>2027</v>
      </c>
      <c r="R47" s="61">
        <v>2028</v>
      </c>
      <c r="S47" s="61">
        <v>2029</v>
      </c>
      <c r="T47" s="61">
        <v>2030</v>
      </c>
      <c r="U47" s="61">
        <v>2031</v>
      </c>
      <c r="V47" s="61">
        <v>2032</v>
      </c>
      <c r="W47" s="61">
        <v>2033</v>
      </c>
      <c r="X47" s="61">
        <v>2034</v>
      </c>
      <c r="Y47" s="14">
        <v>2035</v>
      </c>
      <c r="Z47" s="14">
        <v>2036</v>
      </c>
      <c r="AA47" s="14">
        <v>2037</v>
      </c>
      <c r="AB47" s="14">
        <v>2038</v>
      </c>
      <c r="AC47" s="14">
        <v>2039</v>
      </c>
      <c r="AD47" s="14">
        <v>2040</v>
      </c>
      <c r="AE47" s="14">
        <v>2041</v>
      </c>
      <c r="AF47" s="14">
        <v>2042</v>
      </c>
      <c r="AG47" s="14">
        <v>2043</v>
      </c>
      <c r="AH47" s="14">
        <v>2044</v>
      </c>
      <c r="AI47" s="14">
        <v>2045</v>
      </c>
      <c r="AJ47" s="14">
        <v>2046</v>
      </c>
      <c r="AK47" s="14">
        <v>2047</v>
      </c>
      <c r="AL47" s="14">
        <v>2048</v>
      </c>
      <c r="AM47" s="14">
        <v>2049</v>
      </c>
      <c r="AN47" s="14">
        <v>2050</v>
      </c>
    </row>
    <row r="48" spans="1:41" ht="13.5" thickTop="1">
      <c r="A48" s="17">
        <v>1</v>
      </c>
      <c r="B48" s="24">
        <v>36716.675641811526</v>
      </c>
      <c r="C48" s="24">
        <v>37306.898630136988</v>
      </c>
      <c r="D48" s="24">
        <v>38240.102399868832</v>
      </c>
      <c r="E48" s="24">
        <v>38022.099867245866</v>
      </c>
      <c r="F48" s="24">
        <v>38698.169157306067</v>
      </c>
      <c r="G48" s="24">
        <v>39839.624147851413</v>
      </c>
      <c r="H48" s="24">
        <v>41320.663370008457</v>
      </c>
      <c r="I48" s="24">
        <v>42820.260487705767</v>
      </c>
      <c r="J48" s="24">
        <v>44798.52344952686</v>
      </c>
      <c r="K48" s="24">
        <v>46860.745396541934</v>
      </c>
      <c r="L48" s="24">
        <v>49028.688093965429</v>
      </c>
      <c r="M48" s="24">
        <v>51530.47554488873</v>
      </c>
      <c r="N48" s="24">
        <v>54086.436193190282</v>
      </c>
      <c r="O48" s="24">
        <v>55865.3071875311</v>
      </c>
      <c r="P48" s="24">
        <v>57526.76240592137</v>
      </c>
      <c r="Q48" s="24">
        <v>59415.151827880967</v>
      </c>
      <c r="R48" s="24">
        <v>61329.16032666355</v>
      </c>
      <c r="S48" s="24">
        <v>63242.336125146132</v>
      </c>
      <c r="T48" s="24">
        <v>65253.094148329241</v>
      </c>
      <c r="U48" s="24">
        <v>67159.47667536285</v>
      </c>
      <c r="V48" s="24">
        <v>69129.945219477173</v>
      </c>
      <c r="W48" s="24">
        <v>71125.287349154722</v>
      </c>
      <c r="X48" s="24">
        <v>73395.117372780005</v>
      </c>
      <c r="Y48" s="24">
        <v>75610.955826791935</v>
      </c>
      <c r="Z48" s="24">
        <v>77772.310534224453</v>
      </c>
      <c r="AA48" s="24">
        <v>79990.986674539585</v>
      </c>
      <c r="AB48" s="24">
        <v>82379.157253888203</v>
      </c>
      <c r="AC48" s="24">
        <v>84752.61070592243</v>
      </c>
      <c r="AD48" s="24">
        <v>87155.189662676319</v>
      </c>
      <c r="AE48" s="24">
        <v>89187.508400878869</v>
      </c>
      <c r="AF48" s="24">
        <v>91373.130770961987</v>
      </c>
      <c r="AG48" s="24">
        <v>93515.161138892465</v>
      </c>
      <c r="AH48" s="24">
        <v>95733.488561709833</v>
      </c>
      <c r="AI48" s="24">
        <v>97953.988435587817</v>
      </c>
      <c r="AJ48" s="24">
        <v>100311.73451301272</v>
      </c>
      <c r="AK48" s="24">
        <v>102578.03496271612</v>
      </c>
      <c r="AL48" s="24">
        <v>105085.06371661177</v>
      </c>
      <c r="AM48" s="24">
        <v>107544.78059812976</v>
      </c>
      <c r="AN48" s="24">
        <v>109946.03008475507</v>
      </c>
      <c r="AO48" s="335">
        <v>0.5471918381554427</v>
      </c>
    </row>
    <row r="49" spans="1:41">
      <c r="A49" s="17">
        <v>2</v>
      </c>
      <c r="B49" s="24">
        <v>10255.534940235324</v>
      </c>
      <c r="C49" s="24">
        <v>10664.882191780822</v>
      </c>
      <c r="D49" s="24">
        <v>11195.214659300993</v>
      </c>
      <c r="E49" s="24">
        <v>11283</v>
      </c>
      <c r="F49" s="24">
        <v>11482.533791055248</v>
      </c>
      <c r="G49" s="24">
        <v>11843.259031391131</v>
      </c>
      <c r="H49" s="24">
        <v>12273.230887533842</v>
      </c>
      <c r="I49" s="24">
        <v>12731.653791679786</v>
      </c>
      <c r="J49" s="24">
        <v>13230.885564324466</v>
      </c>
      <c r="K49" s="24">
        <v>13780.816110585924</v>
      </c>
      <c r="L49" s="24">
        <v>14394.955607630016</v>
      </c>
      <c r="M49" s="24">
        <v>15033.605752900972</v>
      </c>
      <c r="N49" s="24">
        <v>15714.556590272552</v>
      </c>
      <c r="O49" s="24">
        <v>16209.084578298811</v>
      </c>
      <c r="P49" s="24">
        <v>16735.82672738285</v>
      </c>
      <c r="Q49" s="24">
        <v>17277.110434700444</v>
      </c>
      <c r="R49" s="24">
        <v>17877.260088688305</v>
      </c>
      <c r="S49" s="24">
        <v>18495.86928769077</v>
      </c>
      <c r="T49" s="24">
        <v>19091.938037521923</v>
      </c>
      <c r="U49" s="24">
        <v>19639.176716408139</v>
      </c>
      <c r="V49" s="24">
        <v>20230.26388884004</v>
      </c>
      <c r="W49" s="24">
        <v>20842.356802222937</v>
      </c>
      <c r="X49" s="24">
        <v>21475.886386995691</v>
      </c>
      <c r="Y49" s="24">
        <v>22145.424669281918</v>
      </c>
      <c r="Z49" s="24">
        <v>22857.311061431148</v>
      </c>
      <c r="AA49" s="24">
        <v>23579.994702535623</v>
      </c>
      <c r="AB49" s="24">
        <v>24271.050842095723</v>
      </c>
      <c r="AC49" s="24">
        <v>24976.508891667068</v>
      </c>
      <c r="AD49" s="24">
        <v>25703.39663178441</v>
      </c>
      <c r="AE49" s="24">
        <v>26368.859768911669</v>
      </c>
      <c r="AF49" s="24">
        <v>27083.084661862064</v>
      </c>
      <c r="AG49" s="24">
        <v>27795.193360633501</v>
      </c>
      <c r="AH49" s="24">
        <v>28499.152392889297</v>
      </c>
      <c r="AI49" s="24">
        <v>29213.021938919741</v>
      </c>
      <c r="AJ49" s="24">
        <v>29936.557689770987</v>
      </c>
      <c r="AK49" s="24">
        <v>30669.524476436669</v>
      </c>
      <c r="AL49" s="24">
        <v>31412.906006158442</v>
      </c>
      <c r="AM49" s="24">
        <v>32223.008941167744</v>
      </c>
      <c r="AN49" s="24">
        <v>33009.117512955949</v>
      </c>
      <c r="AO49" s="335">
        <v>0.16484353077059868</v>
      </c>
    </row>
    <row r="50" spans="1:41">
      <c r="A50" s="17">
        <v>3</v>
      </c>
      <c r="B50" s="24">
        <v>9065.7553551912551</v>
      </c>
      <c r="C50" s="24">
        <v>9651.3835616438355</v>
      </c>
      <c r="D50" s="24">
        <v>9982.9103065574654</v>
      </c>
      <c r="E50" s="24">
        <v>10159.000000000002</v>
      </c>
      <c r="F50" s="24">
        <v>10408.45111796534</v>
      </c>
      <c r="G50" s="24">
        <v>10847.146673902325</v>
      </c>
      <c r="H50" s="24">
        <v>11332.061154288447</v>
      </c>
      <c r="I50" s="24">
        <v>11795.423343117203</v>
      </c>
      <c r="J50" s="24">
        <v>12321.225514517197</v>
      </c>
      <c r="K50" s="24">
        <v>13011.149029680661</v>
      </c>
      <c r="L50" s="24">
        <v>13692.20446378507</v>
      </c>
      <c r="M50" s="24">
        <v>14401.147226446801</v>
      </c>
      <c r="N50" s="24">
        <v>15215.775100858174</v>
      </c>
      <c r="O50" s="24">
        <v>15722.66281113152</v>
      </c>
      <c r="P50" s="24">
        <v>16273.969128192897</v>
      </c>
      <c r="Q50" s="24">
        <v>16776.502131843539</v>
      </c>
      <c r="R50" s="24">
        <v>17289.68015889396</v>
      </c>
      <c r="S50" s="24">
        <v>17817.475848840586</v>
      </c>
      <c r="T50" s="24">
        <v>18384.795686000685</v>
      </c>
      <c r="U50" s="24">
        <v>18927.143905353547</v>
      </c>
      <c r="V50" s="24">
        <v>19525.961743828666</v>
      </c>
      <c r="W50" s="24">
        <v>20125.34537954683</v>
      </c>
      <c r="X50" s="24">
        <v>20741.532405849484</v>
      </c>
      <c r="Y50" s="24">
        <v>21363.511038416687</v>
      </c>
      <c r="Z50" s="24">
        <v>22009.640142722154</v>
      </c>
      <c r="AA50" s="24">
        <v>22707.553368349745</v>
      </c>
      <c r="AB50" s="24">
        <v>23414.793289279878</v>
      </c>
      <c r="AC50" s="24">
        <v>24120.137183791358</v>
      </c>
      <c r="AD50" s="24">
        <v>24843.473687799677</v>
      </c>
      <c r="AE50" s="24">
        <v>25527.644596944523</v>
      </c>
      <c r="AF50" s="24">
        <v>26261.754009875316</v>
      </c>
      <c r="AG50" s="24">
        <v>26957.918898863441</v>
      </c>
      <c r="AH50" s="24">
        <v>27670.325811786493</v>
      </c>
      <c r="AI50" s="24">
        <v>28398.480563753092</v>
      </c>
      <c r="AJ50" s="24">
        <v>29141.897652845153</v>
      </c>
      <c r="AK50" s="24">
        <v>29902.101199422646</v>
      </c>
      <c r="AL50" s="24">
        <v>30679.70990267265</v>
      </c>
      <c r="AM50" s="24">
        <v>31494.444539255746</v>
      </c>
      <c r="AN50" s="24">
        <v>32318.315545049751</v>
      </c>
      <c r="AO50" s="335">
        <v>0.15872793711361019</v>
      </c>
    </row>
    <row r="51" spans="1:41">
      <c r="A51" s="17">
        <v>4</v>
      </c>
      <c r="B51" s="24">
        <v>4117.8368599258911</v>
      </c>
      <c r="C51" s="24">
        <v>4220.1035408466396</v>
      </c>
      <c r="D51" s="24">
        <v>4241.5357484126353</v>
      </c>
      <c r="E51" s="24">
        <v>4175.7615212743995</v>
      </c>
      <c r="F51" s="24">
        <v>4242.1019379308909</v>
      </c>
      <c r="G51" s="24">
        <v>4435.2648123274539</v>
      </c>
      <c r="H51" s="24">
        <v>4728.3212082776081</v>
      </c>
      <c r="I51" s="24">
        <v>5023.2615916038085</v>
      </c>
      <c r="J51" s="24">
        <v>5715.5659619149246</v>
      </c>
      <c r="K51" s="24">
        <v>6422.5215554047118</v>
      </c>
      <c r="L51" s="24">
        <v>6649.3240092844699</v>
      </c>
      <c r="M51" s="24">
        <v>6814.8782579135377</v>
      </c>
      <c r="N51" s="24">
        <v>6996.4010079979043</v>
      </c>
      <c r="O51" s="24">
        <v>7261.2629940432498</v>
      </c>
      <c r="P51" s="24">
        <v>7274.1333478083016</v>
      </c>
      <c r="Q51" s="24">
        <v>7474.6933199192072</v>
      </c>
      <c r="R51" s="24">
        <v>7735.2880520639692</v>
      </c>
      <c r="S51" s="24">
        <v>8034.0259675842299</v>
      </c>
      <c r="T51" s="24">
        <v>8398.0297945353723</v>
      </c>
      <c r="U51" s="24">
        <v>8611.5301330902221</v>
      </c>
      <c r="V51" s="24">
        <v>8808.4641430021729</v>
      </c>
      <c r="W51" s="24">
        <v>9118.3737623179732</v>
      </c>
      <c r="X51" s="24">
        <v>9308.8727992953609</v>
      </c>
      <c r="Y51" s="24">
        <v>9511.0741334328686</v>
      </c>
      <c r="Z51" s="24">
        <v>9744.5491770067601</v>
      </c>
      <c r="AA51" s="24">
        <v>9992.8897504948036</v>
      </c>
      <c r="AB51" s="24">
        <v>10245.991141345945</v>
      </c>
      <c r="AC51" s="24">
        <v>10489.722107165751</v>
      </c>
      <c r="AD51" s="24">
        <v>10810.570787816718</v>
      </c>
      <c r="AE51" s="24">
        <v>11013.706472906026</v>
      </c>
      <c r="AF51" s="24">
        <v>11242.135829116611</v>
      </c>
      <c r="AG51" s="24">
        <v>11517.561485823513</v>
      </c>
      <c r="AH51" s="24">
        <v>11736.243006480525</v>
      </c>
      <c r="AI51" s="24">
        <v>11959.533558897785</v>
      </c>
      <c r="AJ51" s="24">
        <v>12185.026527360158</v>
      </c>
      <c r="AK51" s="24">
        <v>12410.349629951264</v>
      </c>
      <c r="AL51" s="24">
        <v>12652.055689057735</v>
      </c>
      <c r="AM51" s="24">
        <v>12897.088277959938</v>
      </c>
      <c r="AN51" s="24">
        <v>13129.575143646947</v>
      </c>
      <c r="AO51" s="335">
        <v>8.2560361357235074E-2</v>
      </c>
    </row>
    <row r="52" spans="1:41">
      <c r="A52" s="113">
        <v>5</v>
      </c>
      <c r="B52" s="24">
        <v>996.12841530054641</v>
      </c>
      <c r="C52" s="24">
        <v>1066.8486575342465</v>
      </c>
      <c r="D52" s="24">
        <v>1162.8650367123287</v>
      </c>
      <c r="E52" s="24">
        <v>1267.5228900164384</v>
      </c>
      <c r="F52" s="24">
        <v>1381.5999501179178</v>
      </c>
      <c r="G52" s="24">
        <v>1505.9439456285306</v>
      </c>
      <c r="H52" s="24">
        <v>1641.4789007350985</v>
      </c>
      <c r="I52" s="24">
        <v>1789.2120018012574</v>
      </c>
      <c r="J52" s="24">
        <v>1950.2410819633708</v>
      </c>
      <c r="K52" s="24">
        <v>2125.7627793400743</v>
      </c>
      <c r="L52" s="24">
        <v>2317.081429480681</v>
      </c>
      <c r="M52" s="24">
        <v>2525.6187581339423</v>
      </c>
      <c r="N52" s="24">
        <v>2752.9244463659975</v>
      </c>
      <c r="O52" s="24">
        <v>3000.6876465389373</v>
      </c>
      <c r="P52" s="24">
        <v>3270.7495347274421</v>
      </c>
      <c r="Q52" s="24">
        <v>3565.1169928529121</v>
      </c>
      <c r="R52" s="24">
        <v>3885.9775222096746</v>
      </c>
      <c r="S52" s="24">
        <v>4235.7154992085452</v>
      </c>
      <c r="T52" s="24">
        <v>4235.7154992085452</v>
      </c>
      <c r="U52" s="24">
        <v>4235.7154992085452</v>
      </c>
      <c r="V52" s="24">
        <v>4235.7154992085452</v>
      </c>
      <c r="W52" s="24">
        <v>4235.7154992085452</v>
      </c>
      <c r="X52" s="24">
        <v>4235.7154992085452</v>
      </c>
      <c r="Y52" s="24">
        <v>4235.7154992085452</v>
      </c>
      <c r="Z52" s="24">
        <v>4235.7154992085452</v>
      </c>
      <c r="AA52" s="24">
        <v>4235.7154992085452</v>
      </c>
      <c r="AB52" s="24">
        <v>4235.7154992085452</v>
      </c>
      <c r="AC52" s="24">
        <v>4235.7154992085452</v>
      </c>
      <c r="AD52" s="24">
        <v>4235.7154992085452</v>
      </c>
      <c r="AE52" s="24">
        <v>4235.7154992085452</v>
      </c>
      <c r="AF52" s="24">
        <v>4235.7154992085452</v>
      </c>
      <c r="AG52" s="24">
        <v>4235.7154992085452</v>
      </c>
      <c r="AH52" s="24">
        <v>4235.7154992085452</v>
      </c>
      <c r="AI52" s="24">
        <v>4235.7154992085452</v>
      </c>
      <c r="AJ52" s="24">
        <v>4235.7154992085452</v>
      </c>
      <c r="AK52" s="24">
        <v>4235.7154992085452</v>
      </c>
      <c r="AL52" s="24">
        <v>4235.7154992085452</v>
      </c>
      <c r="AM52" s="24">
        <v>4235.7154992085452</v>
      </c>
      <c r="AN52" s="24">
        <v>4235.7154992085452</v>
      </c>
      <c r="AO52" s="335">
        <v>2.0547672752850091E-2</v>
      </c>
    </row>
    <row r="53" spans="1:41">
      <c r="A53" s="17">
        <v>6</v>
      </c>
      <c r="B53" s="24">
        <v>475.1502732240437</v>
      </c>
      <c r="C53" s="24">
        <v>508.74794520547943</v>
      </c>
      <c r="D53" s="24">
        <v>508.12178755619641</v>
      </c>
      <c r="E53" s="24">
        <v>514.90013275413014</v>
      </c>
      <c r="F53" s="24">
        <v>530.64508138485257</v>
      </c>
      <c r="G53" s="24">
        <v>552.25578757525341</v>
      </c>
      <c r="H53" s="24">
        <v>575.368390849962</v>
      </c>
      <c r="I53" s="24">
        <v>599.26291739062458</v>
      </c>
      <c r="J53" s="24">
        <v>625.70695549372795</v>
      </c>
      <c r="K53" s="24">
        <v>654.94322988768056</v>
      </c>
      <c r="L53" s="24">
        <v>687.15683699941439</v>
      </c>
      <c r="M53" s="24">
        <v>720.57569403940386</v>
      </c>
      <c r="N53" s="24">
        <v>754.98109313229372</v>
      </c>
      <c r="O53" s="24">
        <v>786.26253223219044</v>
      </c>
      <c r="P53" s="24">
        <v>817.83834636917481</v>
      </c>
      <c r="Q53" s="24">
        <v>849.91979823829365</v>
      </c>
      <c r="R53" s="24">
        <v>882.36600265185041</v>
      </c>
      <c r="S53" s="24">
        <v>914.91203952746787</v>
      </c>
      <c r="T53" s="24">
        <v>947.78759212767307</v>
      </c>
      <c r="U53" s="24">
        <v>977.58304893331547</v>
      </c>
      <c r="V53" s="24">
        <v>1007.3730200263302</v>
      </c>
      <c r="W53" s="24">
        <v>1037.335340379313</v>
      </c>
      <c r="X53" s="24">
        <v>1067.5472016741369</v>
      </c>
      <c r="Y53" s="24">
        <v>1097.9823093420659</v>
      </c>
      <c r="Z53" s="24">
        <v>1128.3372941687619</v>
      </c>
      <c r="AA53" s="24">
        <v>1158.5576062777175</v>
      </c>
      <c r="AB53" s="24">
        <v>1188.5875938366805</v>
      </c>
      <c r="AC53" s="24">
        <v>1218.3706722127065</v>
      </c>
      <c r="AD53" s="24">
        <v>1247.8495014643852</v>
      </c>
      <c r="AE53" s="24">
        <v>1276.9661713861469</v>
      </c>
      <c r="AF53" s="24">
        <v>1305.6623932531706</v>
      </c>
      <c r="AG53" s="24">
        <v>1333.879697354233</v>
      </c>
      <c r="AH53" s="24">
        <v>1361.5596353444669</v>
      </c>
      <c r="AI53" s="24">
        <v>1388.6439864010399</v>
      </c>
      <c r="AJ53" s="24">
        <v>1415.0749661227646</v>
      </c>
      <c r="AK53" s="24">
        <v>1440.7954370800537</v>
      </c>
      <c r="AL53" s="24">
        <v>1465.7491198948528</v>
      </c>
      <c r="AM53" s="24">
        <v>1489.8808037115525</v>
      </c>
      <c r="AN53" s="24">
        <v>1513.1365549096461</v>
      </c>
      <c r="AO53" s="335">
        <v>7.3403028995851841E-3</v>
      </c>
    </row>
    <row r="54" spans="1:41">
      <c r="A54" s="113">
        <v>7</v>
      </c>
      <c r="B54" s="24">
        <v>0</v>
      </c>
      <c r="C54" s="24">
        <v>446.81974682459321</v>
      </c>
      <c r="D54" s="24">
        <v>946.34313478185436</v>
      </c>
      <c r="E54" s="24">
        <v>1024.2384787255996</v>
      </c>
      <c r="F54" s="24">
        <v>1112.5719439376339</v>
      </c>
      <c r="G54" s="24">
        <v>1151.1322394053886</v>
      </c>
      <c r="H54" s="24">
        <v>1193.1393626592373</v>
      </c>
      <c r="I54" s="24">
        <v>1238.1032916198039</v>
      </c>
      <c r="J54" s="24">
        <v>1289.6885443235574</v>
      </c>
      <c r="K54" s="24">
        <v>1348.2042418432898</v>
      </c>
      <c r="L54" s="24">
        <v>1414.287824682574</v>
      </c>
      <c r="M54" s="24">
        <v>1484.9228376980254</v>
      </c>
      <c r="N54" s="24">
        <v>1559.0763456900543</v>
      </c>
      <c r="O54" s="24">
        <v>1627.1995383408328</v>
      </c>
      <c r="P54" s="24">
        <v>1698.6265218450119</v>
      </c>
      <c r="Q54" s="24">
        <v>1772.8938711325691</v>
      </c>
      <c r="R54" s="24">
        <v>1850.0923995922051</v>
      </c>
      <c r="S54" s="24">
        <v>1930.9903283391709</v>
      </c>
      <c r="T54" s="24">
        <v>2015.7742829659321</v>
      </c>
      <c r="U54" s="24">
        <v>2097.6624442294706</v>
      </c>
      <c r="V54" s="24">
        <v>2182.9148439176033</v>
      </c>
      <c r="W54" s="24">
        <v>2271.6773131796244</v>
      </c>
      <c r="X54" s="24">
        <v>2363.6915438915235</v>
      </c>
      <c r="Y54" s="24">
        <v>2459.0685006035797</v>
      </c>
      <c r="Z54" s="24">
        <v>2555.4763251940685</v>
      </c>
      <c r="AA54" s="24">
        <v>2652.6957744217802</v>
      </c>
      <c r="AB54" s="24">
        <v>2750.4950563639932</v>
      </c>
      <c r="AC54" s="24">
        <v>2848.6307727537019</v>
      </c>
      <c r="AD54" s="24">
        <v>2946.8490088567</v>
      </c>
      <c r="AE54" s="24">
        <v>3044.8865676808691</v>
      </c>
      <c r="AF54" s="24">
        <v>3142.4723434088464</v>
      </c>
      <c r="AG54" s="24">
        <v>3239.3288270165317</v>
      </c>
      <c r="AH54" s="24">
        <v>3335.1737351138459</v>
      </c>
      <c r="AI54" s="24">
        <v>3429.7217511524309</v>
      </c>
      <c r="AJ54" s="24">
        <v>3522.6863663203267</v>
      </c>
      <c r="AK54" s="24">
        <v>3613.7818057193272</v>
      </c>
      <c r="AL54" s="24">
        <v>3702.7250238295865</v>
      </c>
      <c r="AM54" s="24">
        <v>3789.2377518403182</v>
      </c>
      <c r="AN54" s="24">
        <v>3873.0485781953607</v>
      </c>
      <c r="AO54" s="335">
        <v>1.8788356950678046E-2</v>
      </c>
    </row>
    <row r="55" spans="1:41">
      <c r="A55" s="17"/>
      <c r="B55" s="114"/>
      <c r="C55" s="114"/>
      <c r="D55" s="114"/>
      <c r="E55" s="114"/>
      <c r="F55" s="114"/>
      <c r="G55" s="114"/>
      <c r="H55" s="114"/>
      <c r="I55" s="114"/>
      <c r="J55" s="114"/>
      <c r="K55" s="114"/>
      <c r="L55" s="114"/>
      <c r="M55" s="114"/>
      <c r="N55" s="114"/>
      <c r="O55" s="114"/>
      <c r="P55" s="114"/>
      <c r="Q55" s="114"/>
      <c r="R55" s="114"/>
      <c r="S55" s="114"/>
      <c r="T55" s="114"/>
      <c r="U55" s="114"/>
      <c r="V55" s="114"/>
      <c r="W55" s="114"/>
      <c r="X55" s="114"/>
      <c r="Y55" s="114"/>
      <c r="Z55" s="114"/>
      <c r="AA55" s="114"/>
    </row>
    <row r="56" spans="1:41">
      <c r="A56" s="17"/>
      <c r="B56" s="114"/>
      <c r="C56" s="114"/>
      <c r="D56" s="114"/>
      <c r="E56" s="114"/>
      <c r="F56" s="114"/>
      <c r="G56" s="114"/>
      <c r="H56" s="114"/>
      <c r="I56" s="114"/>
      <c r="J56" s="114"/>
      <c r="K56" s="114"/>
      <c r="L56" s="114"/>
      <c r="M56" s="114"/>
      <c r="N56" s="114"/>
      <c r="O56" s="114"/>
      <c r="P56" s="114"/>
      <c r="Q56" s="114"/>
      <c r="R56" s="114"/>
      <c r="S56" s="114"/>
      <c r="T56" s="114"/>
      <c r="U56" s="114"/>
      <c r="V56" s="114"/>
      <c r="W56" s="114"/>
      <c r="X56" s="114"/>
      <c r="Y56" s="114"/>
      <c r="Z56" s="114"/>
      <c r="AA56" s="114"/>
    </row>
    <row r="57" spans="1:41">
      <c r="A57" s="17"/>
      <c r="B57" s="114"/>
    </row>
    <row r="58" spans="1:41">
      <c r="A58" s="17"/>
      <c r="B58" s="114"/>
    </row>
    <row r="59" spans="1:41">
      <c r="A59" s="113"/>
      <c r="B59" s="115"/>
    </row>
    <row r="60" spans="1:41" ht="15.75">
      <c r="A60" s="17"/>
      <c r="B60" s="116"/>
      <c r="C60" s="116"/>
      <c r="D60" s="116"/>
      <c r="E60" s="116"/>
      <c r="F60" s="116"/>
      <c r="G60" s="116"/>
      <c r="H60" s="116"/>
      <c r="I60" s="116"/>
      <c r="J60" s="116"/>
      <c r="K60" s="116"/>
      <c r="L60" s="116"/>
      <c r="M60" s="116"/>
      <c r="N60" s="116"/>
      <c r="O60" s="116"/>
      <c r="P60" s="116"/>
      <c r="Q60" s="116"/>
      <c r="R60" s="116"/>
      <c r="S60" s="116"/>
      <c r="T60" s="116"/>
      <c r="U60" s="116"/>
      <c r="V60" s="116"/>
      <c r="W60" s="116"/>
      <c r="X60" s="116"/>
      <c r="Y60" s="116"/>
      <c r="Z60" s="116"/>
      <c r="AA60" s="116"/>
    </row>
    <row r="61" spans="1:41">
      <c r="A61" s="17"/>
      <c r="B61" s="17"/>
      <c r="C61" s="17"/>
      <c r="D61" s="17"/>
      <c r="E61" s="17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</row>
    <row r="62" spans="1:41">
      <c r="A62" s="117" t="s">
        <v>2543</v>
      </c>
      <c r="B62" s="17"/>
      <c r="C62" s="17"/>
      <c r="D62" s="17"/>
      <c r="E62" s="17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</row>
    <row r="63" spans="1:41">
      <c r="A63" s="118" t="s">
        <v>40</v>
      </c>
      <c r="B63" s="251">
        <f t="shared" ref="B63:AN63" si="5">SUM(B48:B59)</f>
        <v>61627.081485688585</v>
      </c>
      <c r="C63" s="251">
        <f t="shared" si="5"/>
        <v>63865.684273972605</v>
      </c>
      <c r="D63" s="251">
        <f t="shared" si="5"/>
        <v>66277.093073190306</v>
      </c>
      <c r="E63" s="251">
        <f t="shared" si="5"/>
        <v>66446.522890016437</v>
      </c>
      <c r="F63" s="251">
        <f t="shared" si="5"/>
        <v>67856.072979697958</v>
      </c>
      <c r="G63" s="251">
        <f t="shared" si="5"/>
        <v>70174.626638081492</v>
      </c>
      <c r="H63" s="251">
        <f t="shared" si="5"/>
        <v>73064.263274352634</v>
      </c>
      <c r="I63" s="251">
        <f t="shared" si="5"/>
        <v>75997.177424918264</v>
      </c>
      <c r="J63" s="251">
        <f t="shared" si="5"/>
        <v>79931.837072064096</v>
      </c>
      <c r="K63" s="251">
        <f t="shared" si="5"/>
        <v>84204.142343284271</v>
      </c>
      <c r="L63" s="251">
        <f t="shared" si="5"/>
        <v>88183.698265827639</v>
      </c>
      <c r="M63" s="251">
        <f t="shared" si="5"/>
        <v>92511.224072021432</v>
      </c>
      <c r="N63" s="251">
        <f t="shared" si="5"/>
        <v>97080.150777507268</v>
      </c>
      <c r="O63" s="251">
        <f t="shared" si="5"/>
        <v>100472.46728811663</v>
      </c>
      <c r="P63" s="251">
        <f t="shared" si="5"/>
        <v>103597.90601224704</v>
      </c>
      <c r="Q63" s="251">
        <f t="shared" si="5"/>
        <v>107131.38837656793</v>
      </c>
      <c r="R63" s="251">
        <f t="shared" si="5"/>
        <v>110849.82455076351</v>
      </c>
      <c r="S63" s="251">
        <f t="shared" si="5"/>
        <v>114671.32509633691</v>
      </c>
      <c r="T63" s="251">
        <f t="shared" si="5"/>
        <v>118327.13504068935</v>
      </c>
      <c r="U63" s="251">
        <f t="shared" si="5"/>
        <v>121648.28842258609</v>
      </c>
      <c r="V63" s="251">
        <f t="shared" si="5"/>
        <v>125120.63835830052</v>
      </c>
      <c r="W63" s="251">
        <f t="shared" si="5"/>
        <v>128756.09144600996</v>
      </c>
      <c r="X63" s="251">
        <f t="shared" si="5"/>
        <v>132588.36320969474</v>
      </c>
      <c r="Y63" s="251">
        <f t="shared" si="5"/>
        <v>136423.73197707761</v>
      </c>
      <c r="Z63" s="251">
        <f t="shared" si="5"/>
        <v>140303.34003395587</v>
      </c>
      <c r="AA63" s="251">
        <f t="shared" si="5"/>
        <v>144318.39337582781</v>
      </c>
      <c r="AB63" s="251">
        <f t="shared" si="5"/>
        <v>148485.79067601895</v>
      </c>
      <c r="AC63" s="251">
        <f t="shared" si="5"/>
        <v>152641.69583272157</v>
      </c>
      <c r="AD63" s="251">
        <f t="shared" si="5"/>
        <v>156943.04477960675</v>
      </c>
      <c r="AE63" s="251">
        <f t="shared" si="5"/>
        <v>160655.28747791666</v>
      </c>
      <c r="AF63" s="251">
        <f t="shared" si="5"/>
        <v>164643.95550768654</v>
      </c>
      <c r="AG63" s="251">
        <f t="shared" si="5"/>
        <v>168594.75890779219</v>
      </c>
      <c r="AH63" s="251">
        <f t="shared" si="5"/>
        <v>172571.658642533</v>
      </c>
      <c r="AI63" s="251">
        <f t="shared" si="5"/>
        <v>176579.10573392044</v>
      </c>
      <c r="AJ63" s="251">
        <f t="shared" si="5"/>
        <v>180748.69321464066</v>
      </c>
      <c r="AK63" s="251">
        <f t="shared" si="5"/>
        <v>184850.30301053464</v>
      </c>
      <c r="AL63" s="251">
        <f t="shared" si="5"/>
        <v>189233.92495743357</v>
      </c>
      <c r="AM63" s="251">
        <f t="shared" si="5"/>
        <v>193674.15641127361</v>
      </c>
      <c r="AN63" s="251">
        <f t="shared" si="5"/>
        <v>198024.93891872125</v>
      </c>
    </row>
    <row r="67" spans="1:41" s="425" customFormat="1">
      <c r="A67" s="426" t="s">
        <v>2570</v>
      </c>
    </row>
    <row r="68" spans="1:41" ht="13.5" thickBot="1">
      <c r="A68" s="11" t="s">
        <v>136</v>
      </c>
      <c r="B68" s="61">
        <v>2012</v>
      </c>
      <c r="C68" s="61">
        <v>2013</v>
      </c>
      <c r="D68" s="61">
        <v>2014</v>
      </c>
      <c r="E68" s="61">
        <v>2015</v>
      </c>
      <c r="F68" s="61">
        <v>2016</v>
      </c>
      <c r="G68" s="61">
        <v>2017</v>
      </c>
      <c r="H68" s="61">
        <v>2018</v>
      </c>
      <c r="I68" s="61">
        <v>2019</v>
      </c>
      <c r="J68" s="61">
        <v>2020</v>
      </c>
      <c r="K68" s="61">
        <v>2021</v>
      </c>
      <c r="L68" s="61">
        <v>2022</v>
      </c>
      <c r="M68" s="61">
        <v>2023</v>
      </c>
      <c r="N68" s="61">
        <v>2024</v>
      </c>
      <c r="O68" s="61">
        <v>2025</v>
      </c>
      <c r="P68" s="61">
        <v>2026</v>
      </c>
      <c r="Q68" s="61">
        <v>2027</v>
      </c>
      <c r="R68" s="61">
        <v>2028</v>
      </c>
      <c r="S68" s="61">
        <v>2029</v>
      </c>
      <c r="T68" s="61">
        <v>2030</v>
      </c>
      <c r="U68" s="61">
        <v>2031</v>
      </c>
      <c r="V68" s="61">
        <v>2032</v>
      </c>
      <c r="W68" s="61">
        <v>2033</v>
      </c>
      <c r="X68" s="61">
        <v>2034</v>
      </c>
      <c r="Y68" s="14">
        <v>2035</v>
      </c>
      <c r="Z68" s="14">
        <v>2036</v>
      </c>
      <c r="AA68" s="14">
        <v>2037</v>
      </c>
      <c r="AB68" s="14">
        <v>2038</v>
      </c>
      <c r="AC68" s="14">
        <v>2039</v>
      </c>
      <c r="AD68" s="14">
        <v>2040</v>
      </c>
      <c r="AE68" s="14">
        <v>2041</v>
      </c>
      <c r="AF68" s="14">
        <v>2042</v>
      </c>
      <c r="AG68" s="14">
        <v>2043</v>
      </c>
      <c r="AH68" s="14">
        <v>2044</v>
      </c>
      <c r="AI68" s="14">
        <v>2045</v>
      </c>
      <c r="AJ68" s="14">
        <v>2046</v>
      </c>
      <c r="AK68" s="14">
        <v>2047</v>
      </c>
      <c r="AL68" s="14">
        <v>2048</v>
      </c>
      <c r="AM68" s="14">
        <v>2049</v>
      </c>
      <c r="AN68" s="14">
        <v>2050</v>
      </c>
    </row>
    <row r="69" spans="1:41" ht="13.5" thickTop="1">
      <c r="A69" s="17">
        <v>1</v>
      </c>
      <c r="B69" s="24">
        <f>B28-B48</f>
        <v>0</v>
      </c>
      <c r="C69" s="24">
        <f t="shared" ref="C69:AN75" si="6">C28-C48</f>
        <v>0</v>
      </c>
      <c r="D69" s="24">
        <f t="shared" si="6"/>
        <v>0</v>
      </c>
      <c r="E69" s="24">
        <f t="shared" si="6"/>
        <v>0</v>
      </c>
      <c r="F69" s="24">
        <f t="shared" si="6"/>
        <v>0</v>
      </c>
      <c r="G69" s="24">
        <f t="shared" si="6"/>
        <v>0</v>
      </c>
      <c r="H69" s="24">
        <f t="shared" si="6"/>
        <v>0</v>
      </c>
      <c r="I69" s="24">
        <f t="shared" si="6"/>
        <v>0</v>
      </c>
      <c r="J69" s="24">
        <f t="shared" si="6"/>
        <v>0</v>
      </c>
      <c r="K69" s="24">
        <f t="shared" si="6"/>
        <v>0</v>
      </c>
      <c r="L69" s="24">
        <f t="shared" si="6"/>
        <v>0</v>
      </c>
      <c r="M69" s="24">
        <f t="shared" si="6"/>
        <v>0</v>
      </c>
      <c r="N69" s="24">
        <f t="shared" si="6"/>
        <v>0</v>
      </c>
      <c r="O69" s="24">
        <f t="shared" si="6"/>
        <v>27.961756786906335</v>
      </c>
      <c r="P69" s="24">
        <f t="shared" si="6"/>
        <v>557.66750127161504</v>
      </c>
      <c r="Q69" s="24">
        <f t="shared" si="6"/>
        <v>951.02297915505915</v>
      </c>
      <c r="R69" s="24">
        <f t="shared" si="6"/>
        <v>1412.8043611292887</v>
      </c>
      <c r="S69" s="24">
        <f t="shared" si="6"/>
        <v>1974.2122961121931</v>
      </c>
      <c r="T69" s="24">
        <f t="shared" si="6"/>
        <v>2540.800845759557</v>
      </c>
      <c r="U69" s="24">
        <f t="shared" si="6"/>
        <v>2555.8631788865459</v>
      </c>
      <c r="V69" s="24">
        <f t="shared" si="6"/>
        <v>2579.1592957878602</v>
      </c>
      <c r="W69" s="24">
        <f t="shared" si="6"/>
        <v>2639.6672266992537</v>
      </c>
      <c r="X69" s="24">
        <f t="shared" si="6"/>
        <v>2680.5260844323493</v>
      </c>
      <c r="Y69" s="24">
        <f t="shared" si="6"/>
        <v>2681.1221356511815</v>
      </c>
      <c r="Z69" s="24">
        <f t="shared" si="6"/>
        <v>2700.100473390572</v>
      </c>
      <c r="AA69" s="24">
        <f t="shared" si="6"/>
        <v>2755.2229344413063</v>
      </c>
      <c r="AB69" s="24">
        <f t="shared" si="6"/>
        <v>2809.7423346272262</v>
      </c>
      <c r="AC69" s="24">
        <f t="shared" si="6"/>
        <v>2824.5205813498033</v>
      </c>
      <c r="AD69" s="24">
        <f t="shared" si="6"/>
        <v>2837.4182893690595</v>
      </c>
      <c r="AE69" s="24">
        <f t="shared" si="6"/>
        <v>2837.5057448529406</v>
      </c>
      <c r="AF69" s="24">
        <f t="shared" si="6"/>
        <v>2838.1672169415251</v>
      </c>
      <c r="AG69" s="24">
        <f t="shared" si="6"/>
        <v>2836.4753871494031</v>
      </c>
      <c r="AH69" s="24">
        <f t="shared" si="6"/>
        <v>2833.0098076596332</v>
      </c>
      <c r="AI69" s="24">
        <f t="shared" si="6"/>
        <v>2827.3676376751537</v>
      </c>
      <c r="AJ69" s="24">
        <f t="shared" si="6"/>
        <v>2819.9122320130118</v>
      </c>
      <c r="AK69" s="24">
        <f t="shared" si="6"/>
        <v>2809.9060936675669</v>
      </c>
      <c r="AL69" s="24">
        <f t="shared" si="6"/>
        <v>2797.987554532825</v>
      </c>
      <c r="AM69" s="24">
        <f t="shared" si="6"/>
        <v>2799.9417162709724</v>
      </c>
      <c r="AN69" s="24">
        <f t="shared" si="6"/>
        <v>2799.3656480378559</v>
      </c>
      <c r="AO69" s="335"/>
    </row>
    <row r="70" spans="1:41">
      <c r="A70" s="17">
        <v>2</v>
      </c>
      <c r="B70" s="24">
        <f t="shared" ref="B70:Q75" si="7">B29-B49</f>
        <v>0</v>
      </c>
      <c r="C70" s="24">
        <f t="shared" si="7"/>
        <v>0</v>
      </c>
      <c r="D70" s="24">
        <f t="shared" si="7"/>
        <v>0</v>
      </c>
      <c r="E70" s="24">
        <f t="shared" si="7"/>
        <v>0</v>
      </c>
      <c r="F70" s="24">
        <f t="shared" si="7"/>
        <v>0</v>
      </c>
      <c r="G70" s="24">
        <f t="shared" si="7"/>
        <v>0</v>
      </c>
      <c r="H70" s="24">
        <f t="shared" si="7"/>
        <v>0</v>
      </c>
      <c r="I70" s="24">
        <f t="shared" si="7"/>
        <v>0</v>
      </c>
      <c r="J70" s="24">
        <f t="shared" si="7"/>
        <v>0</v>
      </c>
      <c r="K70" s="24">
        <f t="shared" si="7"/>
        <v>0</v>
      </c>
      <c r="L70" s="24">
        <f t="shared" si="7"/>
        <v>0</v>
      </c>
      <c r="M70" s="24">
        <f t="shared" si="7"/>
        <v>0</v>
      </c>
      <c r="N70" s="24">
        <f t="shared" si="7"/>
        <v>0</v>
      </c>
      <c r="O70" s="24">
        <f t="shared" si="7"/>
        <v>6.4420044284797768</v>
      </c>
      <c r="P70" s="24">
        <f t="shared" si="7"/>
        <v>139.63941311543385</v>
      </c>
      <c r="Q70" s="24">
        <f t="shared" si="7"/>
        <v>286.74884672725966</v>
      </c>
      <c r="R70" s="24">
        <f t="shared" si="6"/>
        <v>403.7081618333068</v>
      </c>
      <c r="S70" s="24">
        <f t="shared" si="6"/>
        <v>532.75947513170104</v>
      </c>
      <c r="T70" s="24">
        <f t="shared" si="6"/>
        <v>715.82063832960193</v>
      </c>
      <c r="U70" s="24">
        <f t="shared" si="6"/>
        <v>728.28234140206041</v>
      </c>
      <c r="V70" s="24">
        <f t="shared" si="6"/>
        <v>741.92422673436158</v>
      </c>
      <c r="W70" s="24">
        <f t="shared" si="6"/>
        <v>755.69485334206547</v>
      </c>
      <c r="X70" s="24">
        <f t="shared" si="6"/>
        <v>769.57493756541953</v>
      </c>
      <c r="Y70" s="24">
        <f t="shared" si="6"/>
        <v>783.63000883183122</v>
      </c>
      <c r="Z70" s="24">
        <f t="shared" si="6"/>
        <v>797.78214184210083</v>
      </c>
      <c r="AA70" s="24">
        <f t="shared" si="6"/>
        <v>811.83826486162434</v>
      </c>
      <c r="AB70" s="24">
        <f t="shared" si="6"/>
        <v>825.58013186275275</v>
      </c>
      <c r="AC70" s="24">
        <f t="shared" si="6"/>
        <v>839.25213170654752</v>
      </c>
      <c r="AD70" s="24">
        <f t="shared" si="6"/>
        <v>852.86521076357167</v>
      </c>
      <c r="AE70" s="24">
        <f t="shared" si="6"/>
        <v>863.23582511323912</v>
      </c>
      <c r="AF70" s="24">
        <f t="shared" si="6"/>
        <v>874.74667569702433</v>
      </c>
      <c r="AG70" s="24">
        <f t="shared" si="6"/>
        <v>885.99969524583139</v>
      </c>
      <c r="AH70" s="24">
        <f t="shared" si="6"/>
        <v>896.98068758122827</v>
      </c>
      <c r="AI70" s="24">
        <f t="shared" si="6"/>
        <v>907.73338223278188</v>
      </c>
      <c r="AJ70" s="24">
        <f t="shared" si="6"/>
        <v>918.24280104342688</v>
      </c>
      <c r="AK70" s="24">
        <f t="shared" si="6"/>
        <v>928.49470838122579</v>
      </c>
      <c r="AL70" s="24">
        <f t="shared" si="6"/>
        <v>938.47652518584073</v>
      </c>
      <c r="AM70" s="24">
        <f t="shared" si="6"/>
        <v>948.19608612855154</v>
      </c>
      <c r="AN70" s="24">
        <f t="shared" si="6"/>
        <v>957.571468292379</v>
      </c>
      <c r="AO70" s="335"/>
    </row>
    <row r="71" spans="1:41">
      <c r="A71" s="17">
        <v>3</v>
      </c>
      <c r="B71" s="24">
        <f t="shared" si="7"/>
        <v>0</v>
      </c>
      <c r="C71" s="24">
        <f t="shared" si="6"/>
        <v>0</v>
      </c>
      <c r="D71" s="24">
        <f t="shared" si="6"/>
        <v>0</v>
      </c>
      <c r="E71" s="24">
        <f t="shared" si="6"/>
        <v>0</v>
      </c>
      <c r="F71" s="24">
        <f t="shared" si="6"/>
        <v>0</v>
      </c>
      <c r="G71" s="24">
        <f t="shared" si="6"/>
        <v>0</v>
      </c>
      <c r="H71" s="24">
        <f t="shared" si="6"/>
        <v>0</v>
      </c>
      <c r="I71" s="24">
        <f t="shared" si="6"/>
        <v>0</v>
      </c>
      <c r="J71" s="24">
        <f t="shared" si="6"/>
        <v>0</v>
      </c>
      <c r="K71" s="24">
        <f t="shared" si="6"/>
        <v>0</v>
      </c>
      <c r="L71" s="24">
        <f t="shared" si="6"/>
        <v>0</v>
      </c>
      <c r="M71" s="24">
        <f t="shared" si="6"/>
        <v>0</v>
      </c>
      <c r="N71" s="24">
        <f t="shared" si="6"/>
        <v>0</v>
      </c>
      <c r="O71" s="24">
        <f t="shared" si="6"/>
        <v>16.13010898230641</v>
      </c>
      <c r="P71" s="24">
        <f t="shared" si="6"/>
        <v>84.560989741925368</v>
      </c>
      <c r="Q71" s="24">
        <f t="shared" si="6"/>
        <v>228.49939932549387</v>
      </c>
      <c r="R71" s="24">
        <f t="shared" si="6"/>
        <v>389.59402773464535</v>
      </c>
      <c r="S71" s="24">
        <f t="shared" si="6"/>
        <v>564.97308406640514</v>
      </c>
      <c r="T71" s="24">
        <f t="shared" si="6"/>
        <v>731.55686382631029</v>
      </c>
      <c r="U71" s="24">
        <f t="shared" si="6"/>
        <v>763.75835410900982</v>
      </c>
      <c r="V71" s="24">
        <f t="shared" si="6"/>
        <v>772.33513278008832</v>
      </c>
      <c r="W71" s="24">
        <f t="shared" si="6"/>
        <v>780.45204991015999</v>
      </c>
      <c r="X71" s="24">
        <f t="shared" si="6"/>
        <v>788.29720171295048</v>
      </c>
      <c r="Y71" s="24">
        <f t="shared" si="6"/>
        <v>795.73065963137924</v>
      </c>
      <c r="Z71" s="24">
        <f t="shared" si="6"/>
        <v>802.92265247000978</v>
      </c>
      <c r="AA71" s="24">
        <f t="shared" si="6"/>
        <v>810.09509137942223</v>
      </c>
      <c r="AB71" s="24">
        <f t="shared" si="6"/>
        <v>816.80178354237432</v>
      </c>
      <c r="AC71" s="24">
        <f t="shared" si="6"/>
        <v>822.95278897048775</v>
      </c>
      <c r="AD71" s="24">
        <f t="shared" si="6"/>
        <v>828.7036591996075</v>
      </c>
      <c r="AE71" s="24">
        <f t="shared" si="6"/>
        <v>847.60739600476154</v>
      </c>
      <c r="AF71" s="24">
        <f t="shared" si="6"/>
        <v>867.15752680319201</v>
      </c>
      <c r="AG71" s="24">
        <f t="shared" si="6"/>
        <v>869.37939905766325</v>
      </c>
      <c r="AH71" s="24">
        <f t="shared" si="6"/>
        <v>871.11711805671803</v>
      </c>
      <c r="AI71" s="24">
        <f t="shared" si="6"/>
        <v>909.5524076100628</v>
      </c>
      <c r="AJ71" s="24">
        <f t="shared" si="6"/>
        <v>947.40534818086235</v>
      </c>
      <c r="AK71" s="24">
        <f t="shared" si="6"/>
        <v>947.51530424072189</v>
      </c>
      <c r="AL71" s="24">
        <f t="shared" si="6"/>
        <v>947.07945600739185</v>
      </c>
      <c r="AM71" s="24">
        <f t="shared" si="6"/>
        <v>946.09566950635781</v>
      </c>
      <c r="AN71" s="24">
        <f t="shared" si="6"/>
        <v>944.5091375187767</v>
      </c>
      <c r="AO71" s="335"/>
    </row>
    <row r="72" spans="1:41">
      <c r="A72" s="17">
        <v>4</v>
      </c>
      <c r="B72" s="24">
        <f t="shared" si="7"/>
        <v>0</v>
      </c>
      <c r="C72" s="24">
        <f t="shared" si="6"/>
        <v>0</v>
      </c>
      <c r="D72" s="24">
        <f t="shared" si="6"/>
        <v>0</v>
      </c>
      <c r="E72" s="24">
        <f t="shared" si="6"/>
        <v>0</v>
      </c>
      <c r="F72" s="24">
        <f t="shared" si="6"/>
        <v>0</v>
      </c>
      <c r="G72" s="24">
        <f t="shared" si="6"/>
        <v>0</v>
      </c>
      <c r="H72" s="24">
        <f t="shared" si="6"/>
        <v>0</v>
      </c>
      <c r="I72" s="24">
        <f t="shared" si="6"/>
        <v>0</v>
      </c>
      <c r="J72" s="24">
        <f t="shared" si="6"/>
        <v>0</v>
      </c>
      <c r="K72" s="24">
        <f t="shared" si="6"/>
        <v>0</v>
      </c>
      <c r="L72" s="24">
        <f t="shared" si="6"/>
        <v>0</v>
      </c>
      <c r="M72" s="24">
        <f t="shared" si="6"/>
        <v>0</v>
      </c>
      <c r="N72" s="24">
        <f t="shared" si="6"/>
        <v>0</v>
      </c>
      <c r="O72" s="24">
        <f t="shared" si="6"/>
        <v>4.0872541801436455</v>
      </c>
      <c r="P72" s="24">
        <f t="shared" si="6"/>
        <v>260.57420822461609</v>
      </c>
      <c r="Q72" s="24">
        <f t="shared" si="6"/>
        <v>340.93716087698522</v>
      </c>
      <c r="R72" s="24">
        <f t="shared" si="6"/>
        <v>373.2171996988418</v>
      </c>
      <c r="S72" s="24">
        <f t="shared" si="6"/>
        <v>381.2412720012544</v>
      </c>
      <c r="T72" s="24">
        <f t="shared" si="6"/>
        <v>338.40216954225252</v>
      </c>
      <c r="U72" s="24">
        <f t="shared" si="6"/>
        <v>345.10583313547613</v>
      </c>
      <c r="V72" s="24">
        <f t="shared" si="6"/>
        <v>352.13763005875444</v>
      </c>
      <c r="W72" s="24">
        <f t="shared" si="6"/>
        <v>360.14806750906428</v>
      </c>
      <c r="X72" s="24">
        <f t="shared" si="6"/>
        <v>367.24552258187578</v>
      </c>
      <c r="Y72" s="24">
        <f t="shared" si="6"/>
        <v>374.52206142875002</v>
      </c>
      <c r="Z72" s="24">
        <f t="shared" si="6"/>
        <v>382.09878955823297</v>
      </c>
      <c r="AA72" s="24">
        <f t="shared" si="6"/>
        <v>389.85214743362849</v>
      </c>
      <c r="AB72" s="24">
        <f t="shared" si="6"/>
        <v>397.71191721855939</v>
      </c>
      <c r="AC72" s="24">
        <f t="shared" si="6"/>
        <v>405.60655305639921</v>
      </c>
      <c r="AD72" s="24">
        <f t="shared" si="6"/>
        <v>413.95987792058622</v>
      </c>
      <c r="AE72" s="24">
        <f t="shared" si="6"/>
        <v>420.06756470310211</v>
      </c>
      <c r="AF72" s="24">
        <f t="shared" si="6"/>
        <v>426.87769903670778</v>
      </c>
      <c r="AG72" s="24">
        <f t="shared" si="6"/>
        <v>433.89919012222344</v>
      </c>
      <c r="AH72" s="24">
        <f t="shared" si="6"/>
        <v>440.78027134011427</v>
      </c>
      <c r="AI72" s="24">
        <f t="shared" si="6"/>
        <v>447.75018582886332</v>
      </c>
      <c r="AJ72" s="24">
        <f t="shared" si="6"/>
        <v>454.80415877436462</v>
      </c>
      <c r="AK72" s="24">
        <f t="shared" si="6"/>
        <v>461.942175443819</v>
      </c>
      <c r="AL72" s="24">
        <f t="shared" si="6"/>
        <v>469.18815423105843</v>
      </c>
      <c r="AM72" s="24">
        <f t="shared" si="6"/>
        <v>476.51957801434037</v>
      </c>
      <c r="AN72" s="24">
        <f t="shared" si="6"/>
        <v>483.93719429180419</v>
      </c>
      <c r="AO72" s="335"/>
    </row>
    <row r="73" spans="1:41">
      <c r="A73" s="113">
        <v>5</v>
      </c>
      <c r="B73" s="24">
        <f t="shared" si="7"/>
        <v>0</v>
      </c>
      <c r="C73" s="24">
        <f t="shared" si="6"/>
        <v>0</v>
      </c>
      <c r="D73" s="24">
        <f t="shared" si="6"/>
        <v>0</v>
      </c>
      <c r="E73" s="24">
        <f t="shared" si="6"/>
        <v>0</v>
      </c>
      <c r="F73" s="24">
        <f t="shared" si="6"/>
        <v>0</v>
      </c>
      <c r="G73" s="24">
        <f t="shared" si="6"/>
        <v>0</v>
      </c>
      <c r="H73" s="24">
        <f t="shared" si="6"/>
        <v>0</v>
      </c>
      <c r="I73" s="24">
        <f t="shared" si="6"/>
        <v>0</v>
      </c>
      <c r="J73" s="24">
        <f t="shared" si="6"/>
        <v>0</v>
      </c>
      <c r="K73" s="24">
        <f t="shared" si="6"/>
        <v>0</v>
      </c>
      <c r="L73" s="24">
        <f t="shared" si="6"/>
        <v>0</v>
      </c>
      <c r="M73" s="24">
        <f t="shared" si="6"/>
        <v>0</v>
      </c>
      <c r="N73" s="24">
        <f t="shared" si="6"/>
        <v>0</v>
      </c>
      <c r="O73" s="24">
        <f t="shared" si="6"/>
        <v>0</v>
      </c>
      <c r="P73" s="24">
        <f t="shared" si="6"/>
        <v>0</v>
      </c>
      <c r="Q73" s="24">
        <f t="shared" si="6"/>
        <v>0</v>
      </c>
      <c r="R73" s="24">
        <f t="shared" si="6"/>
        <v>0</v>
      </c>
      <c r="S73" s="24">
        <f t="shared" si="6"/>
        <v>0</v>
      </c>
      <c r="T73" s="24">
        <f t="shared" si="6"/>
        <v>0</v>
      </c>
      <c r="U73" s="24">
        <f t="shared" si="6"/>
        <v>0</v>
      </c>
      <c r="V73" s="24">
        <f t="shared" si="6"/>
        <v>0</v>
      </c>
      <c r="W73" s="24">
        <f t="shared" si="6"/>
        <v>0</v>
      </c>
      <c r="X73" s="24">
        <f t="shared" si="6"/>
        <v>0</v>
      </c>
      <c r="Y73" s="24">
        <f t="shared" si="6"/>
        <v>0</v>
      </c>
      <c r="Z73" s="24">
        <f t="shared" si="6"/>
        <v>0</v>
      </c>
      <c r="AA73" s="24">
        <f t="shared" si="6"/>
        <v>0</v>
      </c>
      <c r="AB73" s="24">
        <f t="shared" si="6"/>
        <v>0</v>
      </c>
      <c r="AC73" s="24">
        <f t="shared" si="6"/>
        <v>0</v>
      </c>
      <c r="AD73" s="24">
        <f t="shared" si="6"/>
        <v>0</v>
      </c>
      <c r="AE73" s="24">
        <f t="shared" si="6"/>
        <v>0</v>
      </c>
      <c r="AF73" s="24">
        <f t="shared" si="6"/>
        <v>0</v>
      </c>
      <c r="AG73" s="24">
        <f t="shared" si="6"/>
        <v>0</v>
      </c>
      <c r="AH73" s="24">
        <f t="shared" si="6"/>
        <v>0</v>
      </c>
      <c r="AI73" s="24">
        <f t="shared" si="6"/>
        <v>0</v>
      </c>
      <c r="AJ73" s="24">
        <f t="shared" si="6"/>
        <v>0</v>
      </c>
      <c r="AK73" s="24">
        <f t="shared" si="6"/>
        <v>0</v>
      </c>
      <c r="AL73" s="24">
        <f t="shared" si="6"/>
        <v>0</v>
      </c>
      <c r="AM73" s="24">
        <f t="shared" si="6"/>
        <v>0</v>
      </c>
      <c r="AN73" s="24">
        <f t="shared" si="6"/>
        <v>0</v>
      </c>
      <c r="AO73" s="335"/>
    </row>
    <row r="74" spans="1:41">
      <c r="A74" s="17">
        <v>6</v>
      </c>
      <c r="B74" s="24">
        <f t="shared" si="7"/>
        <v>0</v>
      </c>
      <c r="C74" s="24">
        <f t="shared" si="6"/>
        <v>0</v>
      </c>
      <c r="D74" s="24">
        <f t="shared" si="6"/>
        <v>0</v>
      </c>
      <c r="E74" s="24">
        <f t="shared" si="6"/>
        <v>0</v>
      </c>
      <c r="F74" s="24">
        <f t="shared" si="6"/>
        <v>0</v>
      </c>
      <c r="G74" s="24">
        <f t="shared" si="6"/>
        <v>0</v>
      </c>
      <c r="H74" s="24">
        <f t="shared" si="6"/>
        <v>0</v>
      </c>
      <c r="I74" s="24">
        <f t="shared" si="6"/>
        <v>0</v>
      </c>
      <c r="J74" s="24">
        <f t="shared" si="6"/>
        <v>0</v>
      </c>
      <c r="K74" s="24">
        <f t="shared" si="6"/>
        <v>0</v>
      </c>
      <c r="L74" s="24">
        <f t="shared" si="6"/>
        <v>0</v>
      </c>
      <c r="M74" s="24">
        <f t="shared" si="6"/>
        <v>0</v>
      </c>
      <c r="N74" s="24">
        <f t="shared" si="6"/>
        <v>0</v>
      </c>
      <c r="O74" s="24">
        <f t="shared" si="6"/>
        <v>0</v>
      </c>
      <c r="P74" s="24">
        <f t="shared" si="6"/>
        <v>0</v>
      </c>
      <c r="Q74" s="24">
        <f t="shared" si="6"/>
        <v>0</v>
      </c>
      <c r="R74" s="24">
        <f t="shared" si="6"/>
        <v>0</v>
      </c>
      <c r="S74" s="24">
        <f t="shared" si="6"/>
        <v>0</v>
      </c>
      <c r="T74" s="24">
        <f t="shared" si="6"/>
        <v>0</v>
      </c>
      <c r="U74" s="24">
        <f t="shared" si="6"/>
        <v>0</v>
      </c>
      <c r="V74" s="24">
        <f t="shared" si="6"/>
        <v>0</v>
      </c>
      <c r="W74" s="24">
        <f t="shared" si="6"/>
        <v>0</v>
      </c>
      <c r="X74" s="24">
        <f t="shared" si="6"/>
        <v>0</v>
      </c>
      <c r="Y74" s="24">
        <f t="shared" si="6"/>
        <v>0</v>
      </c>
      <c r="Z74" s="24">
        <f t="shared" si="6"/>
        <v>0</v>
      </c>
      <c r="AA74" s="24">
        <f t="shared" si="6"/>
        <v>0</v>
      </c>
      <c r="AB74" s="24">
        <f t="shared" si="6"/>
        <v>0</v>
      </c>
      <c r="AC74" s="24">
        <f t="shared" si="6"/>
        <v>0</v>
      </c>
      <c r="AD74" s="24">
        <f t="shared" si="6"/>
        <v>0</v>
      </c>
      <c r="AE74" s="24">
        <f t="shared" si="6"/>
        <v>0</v>
      </c>
      <c r="AF74" s="24">
        <f t="shared" si="6"/>
        <v>0</v>
      </c>
      <c r="AG74" s="24">
        <f t="shared" si="6"/>
        <v>0</v>
      </c>
      <c r="AH74" s="24">
        <f t="shared" si="6"/>
        <v>0</v>
      </c>
      <c r="AI74" s="24">
        <f t="shared" si="6"/>
        <v>0</v>
      </c>
      <c r="AJ74" s="24">
        <f t="shared" si="6"/>
        <v>0</v>
      </c>
      <c r="AK74" s="24">
        <f t="shared" si="6"/>
        <v>0</v>
      </c>
      <c r="AL74" s="24">
        <f t="shared" si="6"/>
        <v>0</v>
      </c>
      <c r="AM74" s="24">
        <f t="shared" si="6"/>
        <v>0</v>
      </c>
      <c r="AN74" s="24">
        <f t="shared" si="6"/>
        <v>0</v>
      </c>
      <c r="AO74" s="335"/>
    </row>
    <row r="75" spans="1:41">
      <c r="A75" s="113">
        <v>7</v>
      </c>
      <c r="B75" s="24">
        <f t="shared" si="7"/>
        <v>0</v>
      </c>
      <c r="C75" s="24">
        <f t="shared" si="6"/>
        <v>0</v>
      </c>
      <c r="D75" s="24">
        <f t="shared" si="6"/>
        <v>0</v>
      </c>
      <c r="E75" s="24">
        <f t="shared" si="6"/>
        <v>0</v>
      </c>
      <c r="F75" s="24">
        <f t="shared" si="6"/>
        <v>0</v>
      </c>
      <c r="G75" s="24">
        <f t="shared" si="6"/>
        <v>0</v>
      </c>
      <c r="H75" s="24">
        <f t="shared" si="6"/>
        <v>0</v>
      </c>
      <c r="I75" s="24">
        <f t="shared" si="6"/>
        <v>0</v>
      </c>
      <c r="J75" s="24">
        <f t="shared" si="6"/>
        <v>0</v>
      </c>
      <c r="K75" s="24">
        <f t="shared" si="6"/>
        <v>0</v>
      </c>
      <c r="L75" s="24">
        <f t="shared" si="6"/>
        <v>0</v>
      </c>
      <c r="M75" s="24">
        <f t="shared" si="6"/>
        <v>0</v>
      </c>
      <c r="N75" s="24">
        <f t="shared" si="6"/>
        <v>0</v>
      </c>
      <c r="O75" s="24">
        <f t="shared" si="6"/>
        <v>0</v>
      </c>
      <c r="P75" s="24">
        <f t="shared" si="6"/>
        <v>0</v>
      </c>
      <c r="Q75" s="24">
        <f t="shared" si="6"/>
        <v>0</v>
      </c>
      <c r="R75" s="24">
        <f t="shared" si="6"/>
        <v>0</v>
      </c>
      <c r="S75" s="24">
        <f t="shared" si="6"/>
        <v>0</v>
      </c>
      <c r="T75" s="24">
        <f t="shared" si="6"/>
        <v>0</v>
      </c>
      <c r="U75" s="24">
        <f t="shared" si="6"/>
        <v>0</v>
      </c>
      <c r="V75" s="24">
        <f t="shared" si="6"/>
        <v>0</v>
      </c>
      <c r="W75" s="24">
        <f t="shared" si="6"/>
        <v>0</v>
      </c>
      <c r="X75" s="24">
        <f t="shared" si="6"/>
        <v>0</v>
      </c>
      <c r="Y75" s="24">
        <f t="shared" si="6"/>
        <v>0</v>
      </c>
      <c r="Z75" s="24">
        <f t="shared" si="6"/>
        <v>0</v>
      </c>
      <c r="AA75" s="24">
        <f t="shared" si="6"/>
        <v>0</v>
      </c>
      <c r="AB75" s="24">
        <f t="shared" si="6"/>
        <v>0</v>
      </c>
      <c r="AC75" s="24">
        <f t="shared" si="6"/>
        <v>0</v>
      </c>
      <c r="AD75" s="24">
        <f t="shared" si="6"/>
        <v>0</v>
      </c>
      <c r="AE75" s="24">
        <f t="shared" si="6"/>
        <v>0</v>
      </c>
      <c r="AF75" s="24">
        <f t="shared" si="6"/>
        <v>0</v>
      </c>
      <c r="AG75" s="24">
        <f t="shared" si="6"/>
        <v>0</v>
      </c>
      <c r="AH75" s="24">
        <f t="shared" si="6"/>
        <v>0</v>
      </c>
      <c r="AI75" s="24">
        <f t="shared" si="6"/>
        <v>0</v>
      </c>
      <c r="AJ75" s="24">
        <f t="shared" si="6"/>
        <v>0</v>
      </c>
      <c r="AK75" s="24">
        <f t="shared" si="6"/>
        <v>0</v>
      </c>
      <c r="AL75" s="24">
        <f t="shared" si="6"/>
        <v>0</v>
      </c>
      <c r="AM75" s="24">
        <f t="shared" si="6"/>
        <v>0</v>
      </c>
      <c r="AN75" s="24">
        <f t="shared" si="6"/>
        <v>0</v>
      </c>
      <c r="AO75" s="335"/>
    </row>
    <row r="76" spans="1:41">
      <c r="A76" s="17"/>
      <c r="B76" s="114"/>
      <c r="C76" s="114"/>
      <c r="D76" s="114"/>
      <c r="E76" s="114"/>
      <c r="F76" s="114"/>
      <c r="G76" s="114"/>
      <c r="H76" s="114"/>
      <c r="I76" s="114"/>
      <c r="J76" s="114"/>
      <c r="K76" s="114"/>
      <c r="L76" s="114"/>
      <c r="M76" s="114"/>
      <c r="N76" s="114"/>
      <c r="O76" s="114"/>
      <c r="P76" s="114"/>
      <c r="Q76" s="114"/>
      <c r="R76" s="114"/>
      <c r="S76" s="114"/>
      <c r="T76" s="114"/>
      <c r="U76" s="114"/>
      <c r="V76" s="114"/>
      <c r="W76" s="114"/>
      <c r="X76" s="114"/>
      <c r="Y76" s="114"/>
      <c r="Z76" s="114"/>
      <c r="AA76" s="114"/>
    </row>
    <row r="77" spans="1:41">
      <c r="A77" s="17"/>
      <c r="B77" s="114"/>
      <c r="C77" s="114"/>
      <c r="D77" s="114"/>
      <c r="E77" s="114"/>
      <c r="F77" s="114"/>
      <c r="G77" s="114"/>
      <c r="H77" s="114"/>
      <c r="I77" s="114"/>
      <c r="J77" s="114"/>
      <c r="K77" s="114"/>
      <c r="L77" s="114"/>
      <c r="M77" s="114"/>
      <c r="N77" s="114"/>
      <c r="O77" s="114"/>
      <c r="P77" s="114"/>
      <c r="Q77" s="114"/>
      <c r="R77" s="114"/>
      <c r="S77" s="114"/>
      <c r="T77" s="114"/>
      <c r="U77" s="114"/>
      <c r="V77" s="114"/>
      <c r="W77" s="114"/>
      <c r="X77" s="114"/>
      <c r="Y77" s="114"/>
      <c r="Z77" s="114"/>
      <c r="AA77" s="114"/>
    </row>
    <row r="78" spans="1:41">
      <c r="A78" s="17"/>
      <c r="B78" s="114"/>
    </row>
    <row r="79" spans="1:41">
      <c r="A79" s="17"/>
      <c r="B79" s="114"/>
    </row>
    <row r="80" spans="1:41">
      <c r="A80" s="113"/>
      <c r="B80" s="115"/>
    </row>
    <row r="81" spans="1:40" ht="15.75">
      <c r="A81" s="17"/>
      <c r="B81" s="116"/>
      <c r="C81" s="116"/>
      <c r="D81" s="116"/>
      <c r="E81" s="116"/>
      <c r="F81" s="116"/>
      <c r="G81" s="116"/>
      <c r="H81" s="116"/>
      <c r="I81" s="116"/>
      <c r="J81" s="116"/>
      <c r="K81" s="116"/>
      <c r="L81" s="116"/>
      <c r="M81" s="116"/>
      <c r="N81" s="116"/>
      <c r="O81" s="116"/>
      <c r="P81" s="116"/>
      <c r="Q81" s="116"/>
      <c r="R81" s="116"/>
      <c r="S81" s="116"/>
      <c r="T81" s="116"/>
      <c r="U81" s="116"/>
      <c r="V81" s="116"/>
      <c r="W81" s="116"/>
      <c r="X81" s="116"/>
      <c r="Y81" s="116"/>
      <c r="Z81" s="116"/>
      <c r="AA81" s="116"/>
    </row>
    <row r="82" spans="1:40">
      <c r="A82" s="17"/>
      <c r="B82" s="17"/>
      <c r="C82" s="17"/>
      <c r="D82" s="17"/>
      <c r="E82" s="17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</row>
    <row r="83" spans="1:40">
      <c r="A83" s="117" t="s">
        <v>2543</v>
      </c>
      <c r="B83" s="17"/>
      <c r="C83" s="17"/>
      <c r="D83" s="17"/>
      <c r="E83" s="17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</row>
    <row r="84" spans="1:40">
      <c r="A84" s="118" t="s">
        <v>40</v>
      </c>
      <c r="B84" s="251">
        <f t="shared" ref="B84:AN84" si="8">SUM(B69:B80)</f>
        <v>0</v>
      </c>
      <c r="C84" s="251">
        <f t="shared" si="8"/>
        <v>0</v>
      </c>
      <c r="D84" s="251">
        <f t="shared" si="8"/>
        <v>0</v>
      </c>
      <c r="E84" s="251">
        <f t="shared" si="8"/>
        <v>0</v>
      </c>
      <c r="F84" s="251">
        <f t="shared" si="8"/>
        <v>0</v>
      </c>
      <c r="G84" s="251">
        <f t="shared" si="8"/>
        <v>0</v>
      </c>
      <c r="H84" s="251">
        <f t="shared" si="8"/>
        <v>0</v>
      </c>
      <c r="I84" s="251">
        <f t="shared" si="8"/>
        <v>0</v>
      </c>
      <c r="J84" s="251">
        <f t="shared" si="8"/>
        <v>0</v>
      </c>
      <c r="K84" s="251">
        <f t="shared" si="8"/>
        <v>0</v>
      </c>
      <c r="L84" s="251">
        <f t="shared" si="8"/>
        <v>0</v>
      </c>
      <c r="M84" s="251">
        <f t="shared" si="8"/>
        <v>0</v>
      </c>
      <c r="N84" s="251">
        <f t="shared" si="8"/>
        <v>0</v>
      </c>
      <c r="O84" s="251">
        <f t="shared" si="8"/>
        <v>54.621124377836168</v>
      </c>
      <c r="P84" s="251">
        <f t="shared" si="8"/>
        <v>1042.4421123535903</v>
      </c>
      <c r="Q84" s="251">
        <f t="shared" si="8"/>
        <v>1807.2083860847979</v>
      </c>
      <c r="R84" s="251">
        <f t="shared" si="8"/>
        <v>2579.3237503960827</v>
      </c>
      <c r="S84" s="251">
        <f t="shared" si="8"/>
        <v>3453.1861273115537</v>
      </c>
      <c r="T84" s="251">
        <f t="shared" si="8"/>
        <v>4326.5805174577217</v>
      </c>
      <c r="U84" s="251">
        <f t="shared" si="8"/>
        <v>4393.0097075330923</v>
      </c>
      <c r="V84" s="251">
        <f t="shared" si="8"/>
        <v>4445.5562853610645</v>
      </c>
      <c r="W84" s="251">
        <f t="shared" si="8"/>
        <v>4535.9621974605434</v>
      </c>
      <c r="X84" s="251">
        <f t="shared" si="8"/>
        <v>4605.6437462925951</v>
      </c>
      <c r="Y84" s="251">
        <f t="shared" si="8"/>
        <v>4635.0048655431419</v>
      </c>
      <c r="Z84" s="251">
        <f t="shared" si="8"/>
        <v>4682.9040572609156</v>
      </c>
      <c r="AA84" s="251">
        <f t="shared" si="8"/>
        <v>4767.0084381159813</v>
      </c>
      <c r="AB84" s="251">
        <f t="shared" si="8"/>
        <v>4849.8361672509127</v>
      </c>
      <c r="AC84" s="251">
        <f t="shared" si="8"/>
        <v>4892.3320550832377</v>
      </c>
      <c r="AD84" s="251">
        <f t="shared" si="8"/>
        <v>4932.9470372528249</v>
      </c>
      <c r="AE84" s="251">
        <f t="shared" si="8"/>
        <v>4968.4165306740433</v>
      </c>
      <c r="AF84" s="251">
        <f t="shared" si="8"/>
        <v>5006.9491184784492</v>
      </c>
      <c r="AG84" s="251">
        <f t="shared" si="8"/>
        <v>5025.7536715751212</v>
      </c>
      <c r="AH84" s="251">
        <f t="shared" si="8"/>
        <v>5041.8878846376938</v>
      </c>
      <c r="AI84" s="251">
        <f t="shared" si="8"/>
        <v>5092.4036133468617</v>
      </c>
      <c r="AJ84" s="251">
        <f t="shared" si="8"/>
        <v>5140.3645400116657</v>
      </c>
      <c r="AK84" s="251">
        <f t="shared" si="8"/>
        <v>5147.8582817333336</v>
      </c>
      <c r="AL84" s="251">
        <f t="shared" si="8"/>
        <v>5152.731689957116</v>
      </c>
      <c r="AM84" s="251">
        <f t="shared" si="8"/>
        <v>5170.7530499202221</v>
      </c>
      <c r="AN84" s="251">
        <f t="shared" si="8"/>
        <v>5185.3834481408157</v>
      </c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Plan23"/>
  <dimension ref="A1:B12"/>
  <sheetViews>
    <sheetView workbookViewId="0">
      <selection activeCell="B7" sqref="B7"/>
    </sheetView>
  </sheetViews>
  <sheetFormatPr defaultRowHeight="12.75"/>
  <cols>
    <col min="2" max="2" width="17.42578125" bestFit="1" customWidth="1"/>
  </cols>
  <sheetData>
    <row r="1" spans="1:2">
      <c r="A1" s="4" t="s">
        <v>136</v>
      </c>
      <c r="B1" s="126" t="s">
        <v>2571</v>
      </c>
    </row>
    <row r="2" spans="1:2">
      <c r="A2" s="127">
        <v>1</v>
      </c>
      <c r="B2" s="124" t="s">
        <v>2572</v>
      </c>
    </row>
    <row r="3" spans="1:2">
      <c r="A3" s="127">
        <v>2</v>
      </c>
      <c r="B3" s="124" t="s">
        <v>64</v>
      </c>
    </row>
    <row r="4" spans="1:2">
      <c r="A4" s="127">
        <v>3</v>
      </c>
      <c r="B4" s="124" t="s">
        <v>65</v>
      </c>
    </row>
    <row r="5" spans="1:2">
      <c r="A5" s="127">
        <v>4</v>
      </c>
      <c r="B5" s="124" t="s">
        <v>66</v>
      </c>
    </row>
    <row r="6" spans="1:2">
      <c r="A6" s="127">
        <v>5</v>
      </c>
      <c r="B6" s="124" t="s">
        <v>2573</v>
      </c>
    </row>
    <row r="7" spans="1:2">
      <c r="A7" s="127">
        <v>6</v>
      </c>
      <c r="B7" s="124" t="s">
        <v>2574</v>
      </c>
    </row>
    <row r="8" spans="1:2">
      <c r="A8" s="127">
        <v>7</v>
      </c>
      <c r="B8" s="124" t="s">
        <v>67</v>
      </c>
    </row>
    <row r="9" spans="1:2">
      <c r="A9" s="127">
        <v>9</v>
      </c>
      <c r="B9" s="124" t="s">
        <v>2262</v>
      </c>
    </row>
    <row r="10" spans="1:2">
      <c r="A10" s="127">
        <v>10</v>
      </c>
      <c r="B10" s="128" t="s">
        <v>2152</v>
      </c>
    </row>
    <row r="11" spans="1:2">
      <c r="A11" s="127">
        <v>100</v>
      </c>
      <c r="B11" s="124" t="s">
        <v>2575</v>
      </c>
    </row>
    <row r="12" spans="1:2">
      <c r="A12" s="127">
        <v>200</v>
      </c>
      <c r="B12" s="124" t="s">
        <v>2576</v>
      </c>
    </row>
  </sheetData>
  <pageMargins left="0.511811024" right="0.511811024" top="0.78740157499999996" bottom="0.78740157499999996" header="0.31496062000000002" footer="0.3149606200000000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Plan24"/>
  <dimension ref="A1:D28"/>
  <sheetViews>
    <sheetView workbookViewId="0">
      <selection activeCell="S32" sqref="S32"/>
    </sheetView>
  </sheetViews>
  <sheetFormatPr defaultRowHeight="12.75"/>
  <cols>
    <col min="3" max="3" width="19.28515625" bestFit="1" customWidth="1"/>
    <col min="4" max="4" width="12" bestFit="1" customWidth="1"/>
  </cols>
  <sheetData>
    <row r="1" spans="1:4">
      <c r="A1" s="121" t="s">
        <v>2577</v>
      </c>
      <c r="B1" s="121" t="s">
        <v>135</v>
      </c>
      <c r="C1" s="121" t="s">
        <v>1</v>
      </c>
      <c r="D1" s="121" t="s">
        <v>2578</v>
      </c>
    </row>
    <row r="2" spans="1:4" ht="15">
      <c r="A2">
        <v>1</v>
      </c>
      <c r="B2" s="122" t="s">
        <v>155</v>
      </c>
      <c r="C2" s="123" t="s">
        <v>2579</v>
      </c>
      <c r="D2" s="124" t="s">
        <v>66</v>
      </c>
    </row>
    <row r="3" spans="1:4" ht="15">
      <c r="A3">
        <v>2</v>
      </c>
      <c r="B3" s="122" t="s">
        <v>2580</v>
      </c>
      <c r="C3" s="123" t="s">
        <v>2581</v>
      </c>
      <c r="D3" s="124" t="s">
        <v>65</v>
      </c>
    </row>
    <row r="4" spans="1:4" ht="15">
      <c r="A4">
        <v>3</v>
      </c>
      <c r="B4" s="122" t="s">
        <v>154</v>
      </c>
      <c r="C4" s="123" t="s">
        <v>2582</v>
      </c>
      <c r="D4" s="124" t="s">
        <v>66</v>
      </c>
    </row>
    <row r="5" spans="1:4" ht="15">
      <c r="A5">
        <v>4</v>
      </c>
      <c r="B5" s="122" t="s">
        <v>1999</v>
      </c>
      <c r="C5" s="123" t="s">
        <v>2583</v>
      </c>
      <c r="D5" s="124" t="s">
        <v>66</v>
      </c>
    </row>
    <row r="6" spans="1:4" ht="15">
      <c r="A6">
        <v>5</v>
      </c>
      <c r="B6" s="122" t="s">
        <v>152</v>
      </c>
      <c r="C6" s="123" t="s">
        <v>2584</v>
      </c>
      <c r="D6" s="124" t="s">
        <v>65</v>
      </c>
    </row>
    <row r="7" spans="1:4" ht="15">
      <c r="A7">
        <v>6</v>
      </c>
      <c r="B7" s="122" t="s">
        <v>2585</v>
      </c>
      <c r="C7" s="123" t="s">
        <v>2586</v>
      </c>
      <c r="D7" s="124" t="s">
        <v>65</v>
      </c>
    </row>
    <row r="8" spans="1:4" ht="15">
      <c r="A8">
        <v>7</v>
      </c>
      <c r="B8" s="122" t="s">
        <v>2587</v>
      </c>
      <c r="C8" s="123" t="s">
        <v>2588</v>
      </c>
      <c r="D8" s="125" t="s">
        <v>2589</v>
      </c>
    </row>
    <row r="9" spans="1:4" ht="15">
      <c r="A9">
        <v>8</v>
      </c>
      <c r="B9" s="122" t="s">
        <v>156</v>
      </c>
      <c r="C9" s="123" t="s">
        <v>2590</v>
      </c>
      <c r="D9" s="124" t="s">
        <v>2572</v>
      </c>
    </row>
    <row r="10" spans="1:4" ht="15">
      <c r="A10">
        <v>9</v>
      </c>
      <c r="B10" s="122" t="s">
        <v>2003</v>
      </c>
      <c r="C10" s="123" t="s">
        <v>2591</v>
      </c>
      <c r="D10" s="125" t="s">
        <v>2589</v>
      </c>
    </row>
    <row r="11" spans="1:4" ht="15">
      <c r="A11">
        <v>10</v>
      </c>
      <c r="B11" s="122" t="s">
        <v>147</v>
      </c>
      <c r="C11" s="123" t="s">
        <v>2337</v>
      </c>
      <c r="D11" s="124" t="s">
        <v>65</v>
      </c>
    </row>
    <row r="12" spans="1:4" ht="15">
      <c r="A12">
        <v>11</v>
      </c>
      <c r="B12" s="122" t="s">
        <v>150</v>
      </c>
      <c r="C12" s="123" t="s">
        <v>2592</v>
      </c>
      <c r="D12" s="124" t="s">
        <v>2572</v>
      </c>
    </row>
    <row r="13" spans="1:4" ht="15">
      <c r="A13">
        <v>12</v>
      </c>
      <c r="B13" s="122" t="s">
        <v>2090</v>
      </c>
      <c r="C13" s="123" t="s">
        <v>2593</v>
      </c>
      <c r="D13" s="125" t="s">
        <v>2589</v>
      </c>
    </row>
    <row r="14" spans="1:4" ht="15">
      <c r="A14">
        <v>13</v>
      </c>
      <c r="B14" s="122" t="s">
        <v>158</v>
      </c>
      <c r="C14" s="123" t="s">
        <v>2594</v>
      </c>
      <c r="D14" s="125" t="s">
        <v>2589</v>
      </c>
    </row>
    <row r="15" spans="1:4" ht="15">
      <c r="A15">
        <v>14</v>
      </c>
      <c r="B15" s="122" t="s">
        <v>153</v>
      </c>
      <c r="C15" s="123" t="s">
        <v>2595</v>
      </c>
      <c r="D15" s="124" t="s">
        <v>66</v>
      </c>
    </row>
    <row r="16" spans="1:4" ht="15">
      <c r="A16">
        <v>15</v>
      </c>
      <c r="B16" s="122" t="s">
        <v>2596</v>
      </c>
      <c r="C16" s="123" t="s">
        <v>2597</v>
      </c>
      <c r="D16" s="124" t="s">
        <v>65</v>
      </c>
    </row>
    <row r="17" spans="1:4" ht="15">
      <c r="A17">
        <v>16</v>
      </c>
      <c r="B17" s="122" t="s">
        <v>148</v>
      </c>
      <c r="C17" s="123" t="s">
        <v>2598</v>
      </c>
      <c r="D17" s="124" t="s">
        <v>65</v>
      </c>
    </row>
    <row r="18" spans="1:4" ht="15">
      <c r="A18">
        <v>17</v>
      </c>
      <c r="B18" s="122" t="s">
        <v>1983</v>
      </c>
      <c r="C18" s="123" t="s">
        <v>2599</v>
      </c>
      <c r="D18" s="124" t="s">
        <v>65</v>
      </c>
    </row>
    <row r="19" spans="1:4" ht="15">
      <c r="A19">
        <v>18</v>
      </c>
      <c r="B19" s="122" t="s">
        <v>151</v>
      </c>
      <c r="C19" s="123" t="s">
        <v>2194</v>
      </c>
      <c r="D19" s="124" t="s">
        <v>64</v>
      </c>
    </row>
    <row r="20" spans="1:4" ht="15">
      <c r="A20">
        <v>19</v>
      </c>
      <c r="B20" s="122" t="s">
        <v>282</v>
      </c>
      <c r="C20" s="123" t="s">
        <v>2600</v>
      </c>
      <c r="D20" s="124" t="s">
        <v>2572</v>
      </c>
    </row>
    <row r="21" spans="1:4" ht="15">
      <c r="A21">
        <v>20</v>
      </c>
      <c r="B21" s="122" t="s">
        <v>1864</v>
      </c>
      <c r="C21" s="123" t="s">
        <v>2601</v>
      </c>
      <c r="D21" s="124" t="s">
        <v>65</v>
      </c>
    </row>
    <row r="22" spans="1:4" ht="15">
      <c r="A22">
        <v>21</v>
      </c>
      <c r="B22" s="122" t="s">
        <v>2066</v>
      </c>
      <c r="C22" s="123" t="s">
        <v>2602</v>
      </c>
      <c r="D22" s="124" t="s">
        <v>66</v>
      </c>
    </row>
    <row r="23" spans="1:4" ht="15">
      <c r="A23">
        <v>22</v>
      </c>
      <c r="B23" s="122" t="s">
        <v>157</v>
      </c>
      <c r="C23" s="123" t="s">
        <v>2603</v>
      </c>
      <c r="D23" s="124" t="s">
        <v>66</v>
      </c>
    </row>
    <row r="24" spans="1:4" ht="15">
      <c r="A24">
        <v>23</v>
      </c>
      <c r="B24" s="122" t="s">
        <v>149</v>
      </c>
      <c r="C24" s="123" t="s">
        <v>2604</v>
      </c>
      <c r="D24" s="124" t="s">
        <v>64</v>
      </c>
    </row>
    <row r="25" spans="1:4" ht="15">
      <c r="A25">
        <v>24</v>
      </c>
      <c r="B25" s="122" t="s">
        <v>1989</v>
      </c>
      <c r="C25" s="123" t="s">
        <v>2605</v>
      </c>
      <c r="D25" s="124" t="s">
        <v>64</v>
      </c>
    </row>
    <row r="26" spans="1:4" ht="15">
      <c r="A26">
        <v>25</v>
      </c>
      <c r="B26" s="122" t="s">
        <v>2157</v>
      </c>
      <c r="C26" s="123" t="s">
        <v>2606</v>
      </c>
      <c r="D26" s="124" t="s">
        <v>65</v>
      </c>
    </row>
    <row r="27" spans="1:4" ht="15">
      <c r="A27">
        <v>26</v>
      </c>
      <c r="B27" s="122" t="s">
        <v>146</v>
      </c>
      <c r="C27" s="123" t="s">
        <v>2607</v>
      </c>
      <c r="D27" s="124" t="s">
        <v>2572</v>
      </c>
    </row>
    <row r="28" spans="1:4" ht="15">
      <c r="A28">
        <v>27</v>
      </c>
      <c r="B28" s="122" t="s">
        <v>1981</v>
      </c>
      <c r="C28" s="123" t="s">
        <v>2316</v>
      </c>
      <c r="D28" s="124" t="s">
        <v>66</v>
      </c>
    </row>
  </sheetData>
  <pageMargins left="0.511811024" right="0.511811024" top="0.78740157499999996" bottom="0.78740157499999996" header="0.31496062000000002" footer="0.3149606200000000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Plan25"/>
  <dimension ref="A1:C45"/>
  <sheetViews>
    <sheetView topLeftCell="A16" workbookViewId="0">
      <selection activeCell="D45" sqref="D45"/>
    </sheetView>
  </sheetViews>
  <sheetFormatPr defaultRowHeight="12.75"/>
  <sheetData>
    <row r="1" spans="1:3" ht="13.5" thickBot="1">
      <c r="A1" s="129" t="s">
        <v>136</v>
      </c>
      <c r="B1" s="2" t="s">
        <v>2608</v>
      </c>
      <c r="C1" s="2" t="s">
        <v>2609</v>
      </c>
    </row>
    <row r="2" spans="1:3" ht="13.5" thickTop="1">
      <c r="A2">
        <v>1</v>
      </c>
      <c r="B2">
        <v>1</v>
      </c>
      <c r="C2" s="9">
        <v>1</v>
      </c>
    </row>
    <row r="3" spans="1:3">
      <c r="A3">
        <v>1</v>
      </c>
      <c r="B3">
        <v>2</v>
      </c>
      <c r="C3" s="9">
        <v>1</v>
      </c>
    </row>
    <row r="4" spans="1:3">
      <c r="A4">
        <v>1</v>
      </c>
      <c r="B4">
        <v>3</v>
      </c>
      <c r="C4" s="9">
        <v>1</v>
      </c>
    </row>
    <row r="5" spans="1:3">
      <c r="A5">
        <v>1</v>
      </c>
      <c r="B5">
        <v>4</v>
      </c>
      <c r="C5" s="9">
        <v>1</v>
      </c>
    </row>
    <row r="6" spans="1:3">
      <c r="A6">
        <v>2</v>
      </c>
      <c r="B6">
        <v>1</v>
      </c>
      <c r="C6" s="9">
        <v>1</v>
      </c>
    </row>
    <row r="7" spans="1:3">
      <c r="A7">
        <v>2</v>
      </c>
      <c r="B7">
        <v>2</v>
      </c>
      <c r="C7" s="9">
        <v>1</v>
      </c>
    </row>
    <row r="8" spans="1:3">
      <c r="A8">
        <v>2</v>
      </c>
      <c r="B8">
        <v>3</v>
      </c>
      <c r="C8" s="9">
        <v>1</v>
      </c>
    </row>
    <row r="9" spans="1:3">
      <c r="A9">
        <v>2</v>
      </c>
      <c r="B9">
        <v>4</v>
      </c>
      <c r="C9" s="9">
        <v>1</v>
      </c>
    </row>
    <row r="10" spans="1:3">
      <c r="A10">
        <v>3</v>
      </c>
      <c r="B10">
        <v>1</v>
      </c>
      <c r="C10" s="9">
        <v>1</v>
      </c>
    </row>
    <row r="11" spans="1:3">
      <c r="A11">
        <v>3</v>
      </c>
      <c r="B11">
        <v>2</v>
      </c>
      <c r="C11" s="9">
        <v>1</v>
      </c>
    </row>
    <row r="12" spans="1:3">
      <c r="A12">
        <v>3</v>
      </c>
      <c r="B12">
        <v>3</v>
      </c>
      <c r="C12" s="9">
        <v>1</v>
      </c>
    </row>
    <row r="13" spans="1:3">
      <c r="A13">
        <v>3</v>
      </c>
      <c r="B13">
        <v>4</v>
      </c>
      <c r="C13" s="9">
        <v>1</v>
      </c>
    </row>
    <row r="14" spans="1:3">
      <c r="A14">
        <v>4</v>
      </c>
      <c r="B14">
        <v>1</v>
      </c>
      <c r="C14" s="9">
        <v>1</v>
      </c>
    </row>
    <row r="15" spans="1:3">
      <c r="A15">
        <v>4</v>
      </c>
      <c r="B15">
        <v>2</v>
      </c>
      <c r="C15" s="9">
        <v>1</v>
      </c>
    </row>
    <row r="16" spans="1:3">
      <c r="A16">
        <v>4</v>
      </c>
      <c r="B16">
        <v>3</v>
      </c>
      <c r="C16" s="9">
        <v>1</v>
      </c>
    </row>
    <row r="17" spans="1:3">
      <c r="A17">
        <v>4</v>
      </c>
      <c r="B17">
        <v>4</v>
      </c>
      <c r="C17" s="9">
        <v>1</v>
      </c>
    </row>
    <row r="18" spans="1:3">
      <c r="A18">
        <v>5</v>
      </c>
      <c r="B18">
        <v>1</v>
      </c>
      <c r="C18" s="9">
        <v>1</v>
      </c>
    </row>
    <row r="19" spans="1:3">
      <c r="A19">
        <v>5</v>
      </c>
      <c r="B19">
        <v>2</v>
      </c>
      <c r="C19" s="9">
        <v>1</v>
      </c>
    </row>
    <row r="20" spans="1:3">
      <c r="A20">
        <v>5</v>
      </c>
      <c r="B20">
        <v>3</v>
      </c>
      <c r="C20" s="9">
        <v>1</v>
      </c>
    </row>
    <row r="21" spans="1:3">
      <c r="A21">
        <v>5</v>
      </c>
      <c r="B21">
        <v>4</v>
      </c>
      <c r="C21" s="9">
        <v>1</v>
      </c>
    </row>
    <row r="22" spans="1:3">
      <c r="A22">
        <v>6</v>
      </c>
      <c r="B22">
        <v>1</v>
      </c>
      <c r="C22" s="9">
        <v>1</v>
      </c>
    </row>
    <row r="23" spans="1:3">
      <c r="A23">
        <v>6</v>
      </c>
      <c r="B23">
        <v>2</v>
      </c>
      <c r="C23" s="9">
        <v>1</v>
      </c>
    </row>
    <row r="24" spans="1:3">
      <c r="A24">
        <v>6</v>
      </c>
      <c r="B24">
        <v>3</v>
      </c>
      <c r="C24" s="9">
        <v>1</v>
      </c>
    </row>
    <row r="25" spans="1:3">
      <c r="A25">
        <v>6</v>
      </c>
      <c r="B25">
        <v>4</v>
      </c>
      <c r="C25" s="9">
        <v>1</v>
      </c>
    </row>
    <row r="26" spans="1:3">
      <c r="A26">
        <v>7</v>
      </c>
      <c r="B26">
        <v>1</v>
      </c>
      <c r="C26" s="9">
        <v>1</v>
      </c>
    </row>
    <row r="27" spans="1:3">
      <c r="A27">
        <v>7</v>
      </c>
      <c r="B27">
        <v>2</v>
      </c>
      <c r="C27" s="9">
        <v>1</v>
      </c>
    </row>
    <row r="28" spans="1:3">
      <c r="A28">
        <v>7</v>
      </c>
      <c r="B28">
        <v>3</v>
      </c>
      <c r="C28" s="9">
        <v>1</v>
      </c>
    </row>
    <row r="29" spans="1:3">
      <c r="A29">
        <v>7</v>
      </c>
      <c r="B29">
        <v>4</v>
      </c>
      <c r="C29" s="9">
        <v>1</v>
      </c>
    </row>
    <row r="30" spans="1:3">
      <c r="A30">
        <v>9</v>
      </c>
      <c r="B30">
        <v>1</v>
      </c>
      <c r="C30" s="9">
        <v>1</v>
      </c>
    </row>
    <row r="31" spans="1:3">
      <c r="A31">
        <v>9</v>
      </c>
      <c r="B31">
        <v>2</v>
      </c>
      <c r="C31" s="9">
        <v>1</v>
      </c>
    </row>
    <row r="32" spans="1:3">
      <c r="A32">
        <v>9</v>
      </c>
      <c r="B32">
        <v>3</v>
      </c>
      <c r="C32" s="9">
        <v>1</v>
      </c>
    </row>
    <row r="33" spans="1:3">
      <c r="A33">
        <v>9</v>
      </c>
      <c r="B33">
        <v>4</v>
      </c>
      <c r="C33" s="9">
        <v>1</v>
      </c>
    </row>
    <row r="34" spans="1:3">
      <c r="A34">
        <v>10</v>
      </c>
      <c r="B34">
        <v>1</v>
      </c>
      <c r="C34" s="9">
        <v>1</v>
      </c>
    </row>
    <row r="35" spans="1:3">
      <c r="A35">
        <v>10</v>
      </c>
      <c r="B35">
        <v>2</v>
      </c>
      <c r="C35" s="9">
        <v>1</v>
      </c>
    </row>
    <row r="36" spans="1:3">
      <c r="A36">
        <v>10</v>
      </c>
      <c r="B36">
        <v>3</v>
      </c>
      <c r="C36" s="9">
        <v>1</v>
      </c>
    </row>
    <row r="37" spans="1:3">
      <c r="A37">
        <v>10</v>
      </c>
      <c r="B37">
        <v>4</v>
      </c>
      <c r="C37" s="9">
        <v>1</v>
      </c>
    </row>
    <row r="38" spans="1:3">
      <c r="A38">
        <v>100</v>
      </c>
      <c r="B38">
        <v>1</v>
      </c>
      <c r="C38" s="9">
        <v>1</v>
      </c>
    </row>
    <row r="39" spans="1:3">
      <c r="A39">
        <v>100</v>
      </c>
      <c r="B39">
        <v>2</v>
      </c>
      <c r="C39" s="9">
        <v>1</v>
      </c>
    </row>
    <row r="40" spans="1:3">
      <c r="A40">
        <v>100</v>
      </c>
      <c r="B40">
        <v>3</v>
      </c>
      <c r="C40" s="9">
        <v>1</v>
      </c>
    </row>
    <row r="41" spans="1:3">
      <c r="A41">
        <v>100</v>
      </c>
      <c r="B41">
        <v>4</v>
      </c>
      <c r="C41" s="9">
        <v>1</v>
      </c>
    </row>
    <row r="42" spans="1:3">
      <c r="A42">
        <v>200</v>
      </c>
      <c r="B42">
        <v>1</v>
      </c>
      <c r="C42" s="9">
        <v>1</v>
      </c>
    </row>
    <row r="43" spans="1:3">
      <c r="A43">
        <v>200</v>
      </c>
      <c r="B43">
        <v>2</v>
      </c>
      <c r="C43" s="9">
        <v>1</v>
      </c>
    </row>
    <row r="44" spans="1:3">
      <c r="A44">
        <v>200</v>
      </c>
      <c r="B44">
        <v>3</v>
      </c>
      <c r="C44" s="9">
        <v>1</v>
      </c>
    </row>
    <row r="45" spans="1:3">
      <c r="A45">
        <v>200</v>
      </c>
      <c r="B45">
        <v>4</v>
      </c>
      <c r="C45" s="9">
        <v>1</v>
      </c>
    </row>
  </sheetData>
  <pageMargins left="0.511811024" right="0.511811024" top="0.78740157499999996" bottom="0.78740157499999996" header="0.31496062000000002" footer="0.3149606200000000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Plan26"/>
  <dimension ref="A1:J18"/>
  <sheetViews>
    <sheetView workbookViewId="0">
      <selection activeCell="F10" sqref="F10"/>
    </sheetView>
  </sheetViews>
  <sheetFormatPr defaultRowHeight="12.75"/>
  <cols>
    <col min="2" max="2" width="17.42578125" customWidth="1"/>
  </cols>
  <sheetData>
    <row r="1" spans="1:10">
      <c r="A1" s="4" t="s">
        <v>136</v>
      </c>
      <c r="B1" s="126" t="s">
        <v>2571</v>
      </c>
      <c r="C1" s="126" t="s">
        <v>2610</v>
      </c>
      <c r="D1" s="126" t="s">
        <v>2611</v>
      </c>
      <c r="E1" s="126" t="s">
        <v>2612</v>
      </c>
      <c r="F1" s="126" t="s">
        <v>2613</v>
      </c>
      <c r="G1" s="126" t="s">
        <v>2614</v>
      </c>
      <c r="H1" s="126" t="s">
        <v>2615</v>
      </c>
      <c r="I1" s="126" t="s">
        <v>2616</v>
      </c>
      <c r="J1" s="126" t="s">
        <v>2617</v>
      </c>
    </row>
    <row r="2" spans="1:10">
      <c r="A2" s="127">
        <v>1</v>
      </c>
      <c r="B2" s="124" t="s">
        <v>2572</v>
      </c>
      <c r="C2" s="130">
        <v>1.0406246391514045</v>
      </c>
      <c r="D2" s="130">
        <v>0.97274374267159869</v>
      </c>
      <c r="E2" s="130">
        <v>0.97799798462702447</v>
      </c>
      <c r="F2" s="130">
        <f>4-SUM(C2:E2)</f>
        <v>1.0086336335499722</v>
      </c>
      <c r="G2" s="130">
        <v>1</v>
      </c>
      <c r="H2" s="130">
        <v>0.95736110921846385</v>
      </c>
      <c r="I2" s="130">
        <v>0.95749874920597422</v>
      </c>
      <c r="J2" s="130">
        <v>0.98317224087685506</v>
      </c>
    </row>
    <row r="3" spans="1:10">
      <c r="A3" s="127">
        <v>2</v>
      </c>
      <c r="B3" s="124" t="s">
        <v>64</v>
      </c>
      <c r="C3" s="130">
        <v>1.0708232142343492</v>
      </c>
      <c r="D3" s="130">
        <v>0.9601240644953194</v>
      </c>
      <c r="E3" s="130">
        <v>0.96855441682861221</v>
      </c>
      <c r="F3" s="130">
        <f t="shared" ref="F3:F8" si="0">4-SUM(C3:E3)</f>
        <v>1.0004983044417193</v>
      </c>
      <c r="G3" s="130">
        <v>1</v>
      </c>
      <c r="H3" s="130">
        <v>0.90131198612173291</v>
      </c>
      <c r="I3" s="130">
        <v>0.87823533681105137</v>
      </c>
      <c r="J3" s="130">
        <v>0.99745572812362004</v>
      </c>
    </row>
    <row r="4" spans="1:10">
      <c r="A4" s="127">
        <v>3</v>
      </c>
      <c r="B4" s="124" t="s">
        <v>65</v>
      </c>
      <c r="C4" s="130">
        <v>1.02020825548195</v>
      </c>
      <c r="D4" s="130">
        <v>0.98824464136329671</v>
      </c>
      <c r="E4" s="130">
        <v>0.96983739759564258</v>
      </c>
      <c r="F4" s="130">
        <f t="shared" si="0"/>
        <v>1.0217097055591107</v>
      </c>
      <c r="G4" s="130">
        <v>0.97979887490764106</v>
      </c>
      <c r="H4" s="130">
        <v>0.97850533677699014</v>
      </c>
      <c r="I4" s="130">
        <v>0.97606882361775749</v>
      </c>
      <c r="J4" s="130">
        <v>1</v>
      </c>
    </row>
    <row r="5" spans="1:10">
      <c r="A5" s="127">
        <v>4</v>
      </c>
      <c r="B5" s="124" t="s">
        <v>66</v>
      </c>
      <c r="C5" s="130">
        <v>0.98848322900461105</v>
      </c>
      <c r="D5" s="130">
        <v>0.98929159728350025</v>
      </c>
      <c r="E5" s="130">
        <v>1.0137127235800203</v>
      </c>
      <c r="F5" s="130">
        <f t="shared" si="0"/>
        <v>1.0085124501318683</v>
      </c>
      <c r="G5" s="130">
        <v>0.98586293375366585</v>
      </c>
      <c r="H5" s="130">
        <v>0.99687273540450505</v>
      </c>
      <c r="I5" s="130">
        <v>1</v>
      </c>
      <c r="J5" s="130">
        <v>0.99729458626123935</v>
      </c>
    </row>
    <row r="6" spans="1:10">
      <c r="A6" s="127">
        <v>5</v>
      </c>
      <c r="B6" s="124" t="s">
        <v>2573</v>
      </c>
      <c r="C6" s="130">
        <v>1</v>
      </c>
      <c r="D6" s="130">
        <v>1</v>
      </c>
      <c r="E6" s="130">
        <v>1</v>
      </c>
      <c r="F6" s="130">
        <f t="shared" si="0"/>
        <v>1</v>
      </c>
      <c r="G6" s="130">
        <v>1</v>
      </c>
      <c r="H6" s="130">
        <v>1</v>
      </c>
      <c r="I6" s="130">
        <v>1</v>
      </c>
      <c r="J6" s="130">
        <v>1</v>
      </c>
    </row>
    <row r="7" spans="1:10">
      <c r="A7" s="127">
        <v>6</v>
      </c>
      <c r="B7" s="124" t="s">
        <v>2574</v>
      </c>
      <c r="C7" s="130">
        <v>0.98848322900461105</v>
      </c>
      <c r="D7" s="130">
        <v>0.98929159728350025</v>
      </c>
      <c r="E7" s="130">
        <v>1.0137127235800203</v>
      </c>
      <c r="F7" s="130">
        <f t="shared" si="0"/>
        <v>1.0085124501318683</v>
      </c>
      <c r="G7" s="130">
        <v>0.98586293375366585</v>
      </c>
      <c r="H7" s="130">
        <v>0.99687273540450505</v>
      </c>
      <c r="I7" s="130">
        <v>1</v>
      </c>
      <c r="J7" s="130">
        <v>0.99729458626123935</v>
      </c>
    </row>
    <row r="8" spans="1:10">
      <c r="A8" s="127">
        <v>7</v>
      </c>
      <c r="B8" s="124" t="s">
        <v>67</v>
      </c>
      <c r="C8" s="130">
        <v>0.98848322900461105</v>
      </c>
      <c r="D8" s="130">
        <v>0.98929159728350025</v>
      </c>
      <c r="E8" s="130">
        <v>1.0137127235800203</v>
      </c>
      <c r="F8" s="130">
        <f t="shared" si="0"/>
        <v>1.0085124501318683</v>
      </c>
      <c r="G8" s="130">
        <v>0.98586293375366585</v>
      </c>
      <c r="H8" s="130">
        <v>0.99687273540450505</v>
      </c>
      <c r="I8" s="130">
        <v>1</v>
      </c>
      <c r="J8" s="130">
        <v>0.99729458626123935</v>
      </c>
    </row>
    <row r="11" spans="1:10">
      <c r="A11" s="4"/>
      <c r="B11" s="126"/>
      <c r="C11" s="126"/>
      <c r="D11" s="126"/>
      <c r="E11" s="126"/>
      <c r="F11" s="126"/>
      <c r="G11" s="126"/>
      <c r="H11" s="126"/>
      <c r="I11" s="126"/>
      <c r="J11" s="126"/>
    </row>
    <row r="12" spans="1:10">
      <c r="A12" s="127"/>
      <c r="B12" s="124"/>
      <c r="C12" s="130"/>
      <c r="D12" s="130"/>
      <c r="E12" s="130"/>
      <c r="F12" s="130"/>
      <c r="G12" s="130"/>
      <c r="H12" s="130"/>
      <c r="I12" s="130"/>
      <c r="J12" s="130"/>
    </row>
    <row r="13" spans="1:10">
      <c r="A13" s="127"/>
      <c r="B13" s="124"/>
      <c r="C13" s="130"/>
      <c r="D13" s="130"/>
      <c r="E13" s="130"/>
      <c r="F13" s="130"/>
      <c r="G13" s="130"/>
      <c r="H13" s="130"/>
      <c r="I13" s="130"/>
      <c r="J13" s="130"/>
    </row>
    <row r="14" spans="1:10">
      <c r="A14" s="127"/>
      <c r="B14" s="124"/>
      <c r="C14" s="130"/>
      <c r="D14" s="130"/>
      <c r="E14" s="130"/>
      <c r="F14" s="130"/>
      <c r="G14" s="130"/>
      <c r="H14" s="130"/>
      <c r="I14" s="130"/>
      <c r="J14" s="130"/>
    </row>
    <row r="15" spans="1:10">
      <c r="A15" s="127"/>
      <c r="B15" s="124"/>
      <c r="C15" s="130"/>
      <c r="D15" s="130"/>
      <c r="E15" s="130"/>
      <c r="F15" s="130"/>
      <c r="G15" s="130"/>
      <c r="H15" s="130"/>
      <c r="I15" s="130"/>
      <c r="J15" s="130"/>
    </row>
    <row r="16" spans="1:10">
      <c r="A16" s="127"/>
      <c r="B16" s="124"/>
      <c r="C16" s="130"/>
      <c r="D16" s="130"/>
      <c r="E16" s="130"/>
      <c r="F16" s="130"/>
      <c r="G16" s="130"/>
      <c r="H16" s="130"/>
      <c r="I16" s="130"/>
      <c r="J16" s="130"/>
    </row>
    <row r="17" spans="1:10">
      <c r="A17" s="127"/>
      <c r="B17" s="124"/>
      <c r="C17" s="130"/>
      <c r="D17" s="130"/>
      <c r="E17" s="130"/>
      <c r="F17" s="130"/>
      <c r="G17" s="130"/>
      <c r="H17" s="130"/>
      <c r="I17" s="130"/>
      <c r="J17" s="130"/>
    </row>
    <row r="18" spans="1:10">
      <c r="A18" s="127"/>
      <c r="B18" s="124"/>
      <c r="C18" s="130"/>
      <c r="D18" s="130"/>
      <c r="E18" s="130"/>
      <c r="F18" s="130"/>
      <c r="G18" s="130"/>
      <c r="H18" s="130"/>
      <c r="I18" s="130"/>
      <c r="J18" s="130"/>
    </row>
  </sheetData>
  <pageMargins left="0.511811024" right="0.511811024" top="0.78740157499999996" bottom="0.78740157499999996" header="0.31496062000000002" footer="0.3149606200000000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Plan27"/>
  <dimension ref="A1:B5"/>
  <sheetViews>
    <sheetView workbookViewId="0">
      <selection activeCell="I49" sqref="I49"/>
    </sheetView>
  </sheetViews>
  <sheetFormatPr defaultRowHeight="12.75"/>
  <cols>
    <col min="2" max="2" width="16.140625" bestFit="1" customWidth="1"/>
  </cols>
  <sheetData>
    <row r="1" spans="1:2">
      <c r="A1" s="4" t="s">
        <v>139</v>
      </c>
      <c r="B1" s="4" t="s">
        <v>2618</v>
      </c>
    </row>
    <row r="2" spans="1:2">
      <c r="A2" s="17">
        <v>1</v>
      </c>
      <c r="B2" s="17" t="s">
        <v>2619</v>
      </c>
    </row>
    <row r="3" spans="1:2">
      <c r="A3" s="17">
        <v>2</v>
      </c>
      <c r="B3" s="17" t="s">
        <v>2620</v>
      </c>
    </row>
    <row r="4" spans="1:2">
      <c r="A4" s="17">
        <v>3</v>
      </c>
      <c r="B4" s="17" t="s">
        <v>2621</v>
      </c>
    </row>
    <row r="5" spans="1:2">
      <c r="B5" s="125"/>
    </row>
  </sheetData>
  <pageMargins left="0.511811024" right="0.511811024" top="0.78740157499999996" bottom="0.78740157499999996" header="0.31496062000000002" footer="0.3149606200000000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Plan31"/>
  <dimension ref="A1:B5"/>
  <sheetViews>
    <sheetView workbookViewId="0">
      <selection activeCell="I17" sqref="I17"/>
    </sheetView>
  </sheetViews>
  <sheetFormatPr defaultRowHeight="12.75"/>
  <sheetData>
    <row r="1" spans="1:2">
      <c r="A1" s="143" t="s">
        <v>2608</v>
      </c>
      <c r="B1" s="143" t="s">
        <v>2622</v>
      </c>
    </row>
    <row r="2" spans="1:2">
      <c r="A2">
        <v>1</v>
      </c>
      <c r="B2" s="125" t="s">
        <v>2623</v>
      </c>
    </row>
    <row r="3" spans="1:2">
      <c r="A3">
        <v>2</v>
      </c>
      <c r="B3" s="125" t="s">
        <v>2624</v>
      </c>
    </row>
    <row r="4" spans="1:2">
      <c r="A4">
        <v>3</v>
      </c>
      <c r="B4" s="125" t="s">
        <v>2625</v>
      </c>
    </row>
    <row r="5" spans="1:2">
      <c r="A5">
        <v>4</v>
      </c>
      <c r="B5" s="125" t="s">
        <v>2626</v>
      </c>
    </row>
  </sheetData>
  <pageMargins left="0.511811024" right="0.511811024" top="0.78740157499999996" bottom="0.78740157499999996" header="0.31496062000000002" footer="0.3149606200000000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Plan28"/>
  <dimension ref="A1:B40"/>
  <sheetViews>
    <sheetView topLeftCell="A4" workbookViewId="0">
      <selection activeCell="R13" sqref="R13"/>
    </sheetView>
  </sheetViews>
  <sheetFormatPr defaultRowHeight="12.75"/>
  <sheetData>
    <row r="1" spans="1:2">
      <c r="A1" s="131" t="s">
        <v>2627</v>
      </c>
      <c r="B1" s="132" t="s">
        <v>96</v>
      </c>
    </row>
    <row r="2" spans="1:2">
      <c r="A2" s="133">
        <v>1</v>
      </c>
      <c r="B2" s="134">
        <v>2012</v>
      </c>
    </row>
    <row r="3" spans="1:2">
      <c r="A3" s="133">
        <v>2</v>
      </c>
      <c r="B3" s="134">
        <v>2013</v>
      </c>
    </row>
    <row r="4" spans="1:2">
      <c r="A4" s="133">
        <v>3</v>
      </c>
      <c r="B4" s="134">
        <v>2014</v>
      </c>
    </row>
    <row r="5" spans="1:2">
      <c r="A5" s="133">
        <v>4</v>
      </c>
      <c r="B5" s="134">
        <v>2015</v>
      </c>
    </row>
    <row r="6" spans="1:2">
      <c r="A6" s="133">
        <v>5</v>
      </c>
      <c r="B6" s="134">
        <v>2016</v>
      </c>
    </row>
    <row r="7" spans="1:2">
      <c r="A7" s="133">
        <v>6</v>
      </c>
      <c r="B7" s="134">
        <v>2017</v>
      </c>
    </row>
    <row r="8" spans="1:2">
      <c r="A8" s="133">
        <v>7</v>
      </c>
      <c r="B8" s="134">
        <v>2018</v>
      </c>
    </row>
    <row r="9" spans="1:2">
      <c r="A9" s="133">
        <v>8</v>
      </c>
      <c r="B9" s="134">
        <v>2019</v>
      </c>
    </row>
    <row r="10" spans="1:2">
      <c r="A10" s="133">
        <v>9</v>
      </c>
      <c r="B10" s="134">
        <v>2020</v>
      </c>
    </row>
    <row r="11" spans="1:2">
      <c r="A11" s="133">
        <v>10</v>
      </c>
      <c r="B11" s="134">
        <v>2021</v>
      </c>
    </row>
    <row r="12" spans="1:2">
      <c r="A12" s="133">
        <v>11</v>
      </c>
      <c r="B12" s="134">
        <v>2022</v>
      </c>
    </row>
    <row r="13" spans="1:2">
      <c r="A13" s="133">
        <v>12</v>
      </c>
      <c r="B13" s="134">
        <v>2023</v>
      </c>
    </row>
    <row r="14" spans="1:2">
      <c r="A14" s="133">
        <v>13</v>
      </c>
      <c r="B14" s="134">
        <v>2024</v>
      </c>
    </row>
    <row r="15" spans="1:2">
      <c r="A15" s="133">
        <v>14</v>
      </c>
      <c r="B15" s="134">
        <v>2025</v>
      </c>
    </row>
    <row r="16" spans="1:2">
      <c r="A16" s="133">
        <v>15</v>
      </c>
      <c r="B16" s="134">
        <v>2026</v>
      </c>
    </row>
    <row r="17" spans="1:2">
      <c r="A17" s="133">
        <v>16</v>
      </c>
      <c r="B17" s="134">
        <v>2027</v>
      </c>
    </row>
    <row r="18" spans="1:2">
      <c r="A18" s="133">
        <v>17</v>
      </c>
      <c r="B18" s="134">
        <v>2028</v>
      </c>
    </row>
    <row r="19" spans="1:2">
      <c r="A19" s="133">
        <v>18</v>
      </c>
      <c r="B19" s="134">
        <v>2029</v>
      </c>
    </row>
    <row r="20" spans="1:2">
      <c r="A20" s="133">
        <v>19</v>
      </c>
      <c r="B20" s="134">
        <v>2030</v>
      </c>
    </row>
    <row r="21" spans="1:2">
      <c r="A21" s="133">
        <v>20</v>
      </c>
      <c r="B21" s="134">
        <v>2031</v>
      </c>
    </row>
    <row r="22" spans="1:2">
      <c r="A22" s="133">
        <v>21</v>
      </c>
      <c r="B22" s="134">
        <v>2032</v>
      </c>
    </row>
    <row r="23" spans="1:2">
      <c r="A23" s="133">
        <v>22</v>
      </c>
      <c r="B23" s="134">
        <v>2033</v>
      </c>
    </row>
    <row r="24" spans="1:2">
      <c r="A24" s="133">
        <v>23</v>
      </c>
      <c r="B24" s="134">
        <v>2034</v>
      </c>
    </row>
    <row r="25" spans="1:2">
      <c r="A25" s="133">
        <v>24</v>
      </c>
      <c r="B25" s="134">
        <v>2035</v>
      </c>
    </row>
    <row r="26" spans="1:2">
      <c r="A26" s="133">
        <v>25</v>
      </c>
      <c r="B26" s="134">
        <v>2036</v>
      </c>
    </row>
    <row r="27" spans="1:2">
      <c r="A27" s="133">
        <v>26</v>
      </c>
      <c r="B27" s="134">
        <v>2037</v>
      </c>
    </row>
    <row r="28" spans="1:2">
      <c r="A28" s="133">
        <v>27</v>
      </c>
      <c r="B28" s="134">
        <v>2038</v>
      </c>
    </row>
    <row r="29" spans="1:2">
      <c r="A29" s="133">
        <v>28</v>
      </c>
      <c r="B29" s="134">
        <v>2039</v>
      </c>
    </row>
    <row r="30" spans="1:2">
      <c r="A30" s="133">
        <v>29</v>
      </c>
      <c r="B30" s="134">
        <v>2040</v>
      </c>
    </row>
    <row r="31" spans="1:2">
      <c r="A31" s="133">
        <v>30</v>
      </c>
      <c r="B31" s="134">
        <v>2041</v>
      </c>
    </row>
    <row r="32" spans="1:2">
      <c r="A32" s="133">
        <v>31</v>
      </c>
      <c r="B32" s="134">
        <v>2042</v>
      </c>
    </row>
    <row r="33" spans="1:2">
      <c r="A33" s="133">
        <v>32</v>
      </c>
      <c r="B33" s="134">
        <v>2043</v>
      </c>
    </row>
    <row r="34" spans="1:2">
      <c r="A34" s="133">
        <v>33</v>
      </c>
      <c r="B34" s="134">
        <v>2044</v>
      </c>
    </row>
    <row r="35" spans="1:2">
      <c r="A35" s="133">
        <v>34</v>
      </c>
      <c r="B35" s="134">
        <v>2045</v>
      </c>
    </row>
    <row r="36" spans="1:2">
      <c r="A36" s="133">
        <v>35</v>
      </c>
      <c r="B36" s="134">
        <v>2046</v>
      </c>
    </row>
    <row r="37" spans="1:2">
      <c r="A37" s="133">
        <v>36</v>
      </c>
      <c r="B37" s="134">
        <v>2047</v>
      </c>
    </row>
    <row r="38" spans="1:2">
      <c r="A38" s="133">
        <v>37</v>
      </c>
      <c r="B38" s="134">
        <v>2048</v>
      </c>
    </row>
    <row r="39" spans="1:2">
      <c r="A39" s="133">
        <v>38</v>
      </c>
      <c r="B39" s="134">
        <v>2049</v>
      </c>
    </row>
    <row r="40" spans="1:2">
      <c r="A40" s="133">
        <v>39</v>
      </c>
      <c r="B40" s="134">
        <v>2050</v>
      </c>
    </row>
  </sheetData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Plan4">
    <tabColor theme="7" tint="-0.249977111117893"/>
  </sheetPr>
  <dimension ref="A1:BL123"/>
  <sheetViews>
    <sheetView showGridLines="0" zoomScale="90" zoomScaleNormal="90" workbookViewId="0">
      <pane xSplit="1" ySplit="16" topLeftCell="B65" activePane="bottomRight" state="frozen"/>
      <selection pane="bottomRight" activeCell="F92" sqref="F92:AN92"/>
      <selection pane="bottomLeft" activeCell="A17" sqref="A17"/>
      <selection pane="topRight" activeCell="B1" sqref="B1"/>
    </sheetView>
  </sheetViews>
  <sheetFormatPr defaultRowHeight="12.75"/>
  <cols>
    <col min="1" max="1" width="44.28515625" bestFit="1" customWidth="1"/>
    <col min="2" max="2" width="16.5703125" customWidth="1"/>
    <col min="3" max="3" width="12.7109375" customWidth="1"/>
    <col min="4" max="4" width="12" customWidth="1"/>
    <col min="5" max="8" width="12.7109375" customWidth="1"/>
    <col min="9" max="9" width="13.7109375" customWidth="1"/>
    <col min="10" max="10" width="12" customWidth="1"/>
    <col min="11" max="11" width="12.7109375" customWidth="1"/>
    <col min="12" max="19" width="11.7109375" customWidth="1"/>
    <col min="20" max="20" width="10.28515625" customWidth="1"/>
    <col min="21" max="40" width="11.7109375" customWidth="1"/>
  </cols>
  <sheetData>
    <row r="1" spans="1:64" ht="13.5" thickBot="1">
      <c r="A1" s="5"/>
      <c r="B1" s="5"/>
      <c r="C1" s="5"/>
      <c r="D1" s="5" t="s">
        <v>34</v>
      </c>
      <c r="E1" s="5"/>
      <c r="F1" s="5"/>
      <c r="G1" s="6"/>
      <c r="H1" s="5"/>
      <c r="I1" s="6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  <c r="BI1" s="5"/>
      <c r="BJ1" s="5"/>
      <c r="BK1" s="5"/>
      <c r="BL1" s="5"/>
    </row>
    <row r="2" spans="1:64" ht="13.5" thickBot="1">
      <c r="A2" s="303" t="s">
        <v>35</v>
      </c>
      <c r="B2" s="304" t="s">
        <v>36</v>
      </c>
      <c r="C2" s="304" t="s">
        <v>37</v>
      </c>
      <c r="D2" s="305"/>
      <c r="E2" s="303" t="s">
        <v>37</v>
      </c>
      <c r="F2" s="306" t="s">
        <v>38</v>
      </c>
      <c r="J2" s="6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</row>
    <row r="3" spans="1:64">
      <c r="A3" s="307" t="s">
        <v>39</v>
      </c>
      <c r="B3" s="307">
        <v>0.08</v>
      </c>
      <c r="C3" s="308"/>
      <c r="D3" s="309"/>
      <c r="E3" s="308"/>
      <c r="F3" s="310"/>
      <c r="G3" s="6"/>
      <c r="H3" s="6"/>
      <c r="J3" s="380" t="s">
        <v>40</v>
      </c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</row>
    <row r="4" spans="1:64">
      <c r="A4" s="7" t="s">
        <v>41</v>
      </c>
      <c r="B4" s="511">
        <v>3.9</v>
      </c>
      <c r="C4" s="311"/>
      <c r="D4" s="312"/>
      <c r="E4" s="311"/>
      <c r="F4" s="17"/>
      <c r="G4" s="6"/>
      <c r="H4" s="6"/>
      <c r="J4" s="381" t="s">
        <v>42</v>
      </c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  <c r="BK4" s="5"/>
      <c r="BL4" s="5"/>
    </row>
    <row r="5" spans="1:64">
      <c r="A5" s="313" t="s">
        <v>43</v>
      </c>
      <c r="B5" s="313">
        <v>2012</v>
      </c>
      <c r="C5" s="314"/>
      <c r="D5" s="315"/>
      <c r="E5" s="314"/>
      <c r="F5" s="316"/>
      <c r="G5" s="6"/>
      <c r="H5" s="6"/>
      <c r="J5" s="380" t="s">
        <v>44</v>
      </c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  <c r="BI5" s="5"/>
      <c r="BJ5" s="5"/>
      <c r="BK5" s="5"/>
      <c r="BL5" s="5"/>
    </row>
    <row r="6" spans="1:64">
      <c r="A6" s="317" t="s">
        <v>45</v>
      </c>
      <c r="B6" s="353">
        <v>2050</v>
      </c>
      <c r="C6" s="318"/>
      <c r="D6" s="319"/>
      <c r="E6" s="318"/>
      <c r="F6" s="320"/>
      <c r="G6" s="6"/>
      <c r="H6" s="6"/>
      <c r="I6" s="6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  <c r="BK6" s="5"/>
      <c r="BL6" s="5"/>
    </row>
    <row r="7" spans="1:64">
      <c r="A7" s="313" t="s">
        <v>46</v>
      </c>
      <c r="B7" s="354">
        <v>4650</v>
      </c>
      <c r="C7" s="314" t="s">
        <v>47</v>
      </c>
      <c r="D7" s="315"/>
      <c r="E7" s="314"/>
      <c r="F7" s="352"/>
      <c r="H7" s="6"/>
      <c r="J7" s="6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</row>
    <row r="8" spans="1:64">
      <c r="A8" s="317" t="s">
        <v>48</v>
      </c>
      <c r="B8" s="512">
        <f>B7*5</f>
        <v>23250</v>
      </c>
      <c r="C8" s="321" t="s">
        <v>47</v>
      </c>
      <c r="D8" s="317"/>
      <c r="E8" s="317"/>
      <c r="F8" s="317">
        <v>6200</v>
      </c>
      <c r="G8" s="351"/>
      <c r="H8" s="6"/>
      <c r="I8" s="6"/>
      <c r="J8" s="6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  <c r="BK8" s="5"/>
      <c r="BL8" s="5"/>
    </row>
    <row r="9" spans="1:64">
      <c r="A9" s="322" t="s">
        <v>49</v>
      </c>
      <c r="B9" s="513">
        <v>0.05</v>
      </c>
      <c r="C9" s="323"/>
      <c r="D9" s="322"/>
      <c r="E9" s="322"/>
      <c r="F9" s="322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  <c r="BK9" s="5"/>
      <c r="BL9" s="5"/>
    </row>
    <row r="10" spans="1:64">
      <c r="A10" s="7" t="s">
        <v>50</v>
      </c>
      <c r="B10" s="514">
        <v>50</v>
      </c>
      <c r="C10" s="324" t="s">
        <v>51</v>
      </c>
      <c r="D10" s="555">
        <f>B10/B4</f>
        <v>12.820512820512821</v>
      </c>
      <c r="E10" s="7" t="s">
        <v>52</v>
      </c>
      <c r="F10" s="7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  <c r="BK10" s="5"/>
      <c r="BL10" s="5"/>
    </row>
    <row r="11" spans="1:64">
      <c r="A11" s="325" t="s">
        <v>53</v>
      </c>
      <c r="B11" s="515">
        <f>D11*B4</f>
        <v>5.85</v>
      </c>
      <c r="C11" s="326" t="s">
        <v>51</v>
      </c>
      <c r="D11" s="327">
        <v>1.5</v>
      </c>
      <c r="E11" s="326" t="s">
        <v>52</v>
      </c>
      <c r="F11" s="328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</row>
    <row r="12" spans="1:64" ht="13.5" thickBot="1">
      <c r="A12" s="329" t="s">
        <v>54</v>
      </c>
      <c r="B12" s="516">
        <v>0</v>
      </c>
      <c r="C12" s="330" t="s">
        <v>47</v>
      </c>
      <c r="D12" s="331"/>
      <c r="E12" s="330" t="s">
        <v>55</v>
      </c>
      <c r="F12" s="332"/>
      <c r="G12" s="5"/>
      <c r="H12" s="5"/>
      <c r="I12" s="5"/>
      <c r="J12" s="5"/>
      <c r="K12" s="5"/>
      <c r="L12" s="263"/>
      <c r="M12" s="263"/>
      <c r="N12" s="263"/>
      <c r="O12" s="263"/>
      <c r="P12" s="263"/>
      <c r="Q12" s="263"/>
      <c r="R12" s="263"/>
      <c r="S12" s="263"/>
      <c r="T12" s="263"/>
      <c r="U12" s="263"/>
      <c r="V12" s="263"/>
      <c r="W12" s="263"/>
      <c r="X12" s="263"/>
      <c r="Y12" s="263"/>
      <c r="Z12" s="263"/>
      <c r="AA12" s="263"/>
      <c r="AB12" s="263"/>
      <c r="AC12" s="263"/>
      <c r="AD12" s="263"/>
      <c r="AE12" s="263"/>
      <c r="AF12" s="263"/>
      <c r="AG12" s="263"/>
      <c r="AH12" s="263"/>
      <c r="AI12" s="263"/>
      <c r="AJ12" s="263"/>
      <c r="AK12" s="263"/>
      <c r="AL12" s="263"/>
      <c r="AM12" s="263"/>
      <c r="AN12" s="263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</row>
    <row r="13" spans="1:64">
      <c r="A13" s="5" t="s">
        <v>56</v>
      </c>
      <c r="B13" s="6">
        <f>(19.47+107.31)/B4</f>
        <v>32.507692307692309</v>
      </c>
      <c r="C13" s="5" t="s">
        <v>57</v>
      </c>
      <c r="D13" s="5"/>
      <c r="E13" s="5"/>
      <c r="F13" s="5"/>
      <c r="G13" s="5"/>
      <c r="H13" s="5"/>
      <c r="I13" s="5"/>
      <c r="J13" s="5"/>
      <c r="K13" s="5"/>
      <c r="L13" s="263"/>
      <c r="M13" s="263"/>
      <c r="N13" s="263"/>
      <c r="O13" s="263"/>
      <c r="P13" s="263"/>
      <c r="Q13" s="263"/>
      <c r="R13" s="263"/>
      <c r="S13" s="263"/>
      <c r="T13" s="263"/>
      <c r="U13" s="263"/>
      <c r="V13" s="263"/>
      <c r="W13" s="263"/>
      <c r="X13" s="263"/>
      <c r="Y13" s="263"/>
      <c r="Z13" s="263"/>
      <c r="AA13" s="263"/>
      <c r="AB13" s="263"/>
      <c r="AC13" s="263"/>
      <c r="AD13" s="263"/>
      <c r="AE13" s="263"/>
      <c r="AF13" s="263"/>
      <c r="AG13" s="263"/>
      <c r="AH13" s="263"/>
      <c r="AI13" s="263"/>
      <c r="AJ13" s="263"/>
      <c r="AK13" s="263"/>
      <c r="AL13" s="263"/>
      <c r="AM13" s="263"/>
      <c r="AN13" s="263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</row>
    <row r="14" spans="1:64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</row>
    <row r="15" spans="1:64" ht="13.5" thickBot="1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M15" s="58"/>
      <c r="N15" s="58"/>
      <c r="O15" s="58"/>
      <c r="P15" s="58"/>
      <c r="Q15" s="58">
        <v>1000</v>
      </c>
      <c r="R15" s="58"/>
      <c r="S15" s="58"/>
      <c r="T15" s="58"/>
      <c r="U15" s="58"/>
      <c r="V15" s="58"/>
      <c r="W15" s="58"/>
      <c r="X15" s="58"/>
      <c r="Y15" s="58"/>
      <c r="Z15" s="58"/>
      <c r="AA15" s="58"/>
      <c r="AB15" s="58"/>
      <c r="AC15" s="58"/>
      <c r="AD15" s="58"/>
      <c r="AE15" s="58"/>
      <c r="AF15" s="58"/>
      <c r="AG15" s="58"/>
      <c r="AH15" s="58"/>
      <c r="AI15" s="58"/>
      <c r="AJ15" s="58"/>
      <c r="AK15" s="58"/>
      <c r="AL15" s="58"/>
      <c r="AM15" s="58"/>
      <c r="AN15" s="58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</row>
    <row r="16" spans="1:64" ht="13.5" thickBot="1">
      <c r="A16" s="369" t="s">
        <v>58</v>
      </c>
      <c r="B16" s="370">
        <f>tab_PeriodoEstudo!B2</f>
        <v>2012</v>
      </c>
      <c r="C16" s="370">
        <f>tab_PeriodoEstudo!B3</f>
        <v>2013</v>
      </c>
      <c r="D16" s="370">
        <f>tab_PeriodoEstudo!B4</f>
        <v>2014</v>
      </c>
      <c r="E16" s="370">
        <f>tab_PeriodoEstudo!B5</f>
        <v>2015</v>
      </c>
      <c r="F16" s="370">
        <f>tab_PeriodoEstudo!B6</f>
        <v>2016</v>
      </c>
      <c r="G16" s="370">
        <f>tab_PeriodoEstudo!B7</f>
        <v>2017</v>
      </c>
      <c r="H16" s="370">
        <f>tab_PeriodoEstudo!B8</f>
        <v>2018</v>
      </c>
      <c r="I16" s="370">
        <f>tab_PeriodoEstudo!B9</f>
        <v>2019</v>
      </c>
      <c r="J16" s="370">
        <f>tab_PeriodoEstudo!B10</f>
        <v>2020</v>
      </c>
      <c r="K16" s="370">
        <f>tab_PeriodoEstudo!B11</f>
        <v>2021</v>
      </c>
      <c r="L16" s="370">
        <f>tab_PeriodoEstudo!B12</f>
        <v>2022</v>
      </c>
      <c r="M16" s="370">
        <f>tab_PeriodoEstudo!B13</f>
        <v>2023</v>
      </c>
      <c r="N16" s="370">
        <f>tab_PeriodoEstudo!B14</f>
        <v>2024</v>
      </c>
      <c r="O16" s="370">
        <f>tab_PeriodoEstudo!B15</f>
        <v>2025</v>
      </c>
      <c r="P16" s="370">
        <f>tab_PeriodoEstudo!B16</f>
        <v>2026</v>
      </c>
      <c r="Q16" s="370">
        <f>tab_PeriodoEstudo!B17</f>
        <v>2027</v>
      </c>
      <c r="R16" s="370">
        <f>tab_PeriodoEstudo!B18</f>
        <v>2028</v>
      </c>
      <c r="S16" s="370">
        <f>tab_PeriodoEstudo!B19</f>
        <v>2029</v>
      </c>
      <c r="T16" s="370">
        <f>tab_PeriodoEstudo!B20</f>
        <v>2030</v>
      </c>
      <c r="U16" s="370">
        <f>tab_PeriodoEstudo!B21</f>
        <v>2031</v>
      </c>
      <c r="V16" s="370">
        <f>tab_PeriodoEstudo!B22</f>
        <v>2032</v>
      </c>
      <c r="W16" s="370">
        <f>tab_PeriodoEstudo!B23</f>
        <v>2033</v>
      </c>
      <c r="X16" s="370">
        <f>tab_PeriodoEstudo!B24</f>
        <v>2034</v>
      </c>
      <c r="Y16" s="370">
        <f>tab_PeriodoEstudo!B25</f>
        <v>2035</v>
      </c>
      <c r="Z16" s="370">
        <f>tab_PeriodoEstudo!B26</f>
        <v>2036</v>
      </c>
      <c r="AA16" s="370">
        <f>tab_PeriodoEstudo!B27</f>
        <v>2037</v>
      </c>
      <c r="AB16" s="370">
        <f>tab_PeriodoEstudo!B28</f>
        <v>2038</v>
      </c>
      <c r="AC16" s="370">
        <f>tab_PeriodoEstudo!B29</f>
        <v>2039</v>
      </c>
      <c r="AD16" s="370">
        <f>tab_PeriodoEstudo!B30</f>
        <v>2040</v>
      </c>
      <c r="AE16" s="370">
        <f>tab_PeriodoEstudo!B31</f>
        <v>2041</v>
      </c>
      <c r="AF16" s="370">
        <f>tab_PeriodoEstudo!B32</f>
        <v>2042</v>
      </c>
      <c r="AG16" s="370">
        <f>tab_PeriodoEstudo!B33</f>
        <v>2043</v>
      </c>
      <c r="AH16" s="370">
        <f>tab_PeriodoEstudo!B34</f>
        <v>2044</v>
      </c>
      <c r="AI16" s="370">
        <f>tab_PeriodoEstudo!B35</f>
        <v>2045</v>
      </c>
      <c r="AJ16" s="370">
        <f>tab_PeriodoEstudo!B36</f>
        <v>2046</v>
      </c>
      <c r="AK16" s="370">
        <f>tab_PeriodoEstudo!B37</f>
        <v>2047</v>
      </c>
      <c r="AL16" s="370">
        <f>tab_PeriodoEstudo!B38</f>
        <v>2048</v>
      </c>
      <c r="AM16" s="370">
        <f>tab_PeriodoEstudo!B39</f>
        <v>2049</v>
      </c>
      <c r="AN16" s="370">
        <f>tab_PeriodoEstudo!B40</f>
        <v>2050</v>
      </c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</row>
    <row r="17" spans="1:64" ht="13.5" thickBot="1">
      <c r="A17" s="259" t="s">
        <v>59</v>
      </c>
      <c r="B17" s="517">
        <v>10000000</v>
      </c>
      <c r="C17" s="517">
        <v>10000000</v>
      </c>
      <c r="D17" s="517">
        <v>10000000</v>
      </c>
      <c r="E17" s="517">
        <v>10000000</v>
      </c>
      <c r="F17" s="517">
        <v>10000000</v>
      </c>
      <c r="G17" s="517">
        <v>10000000</v>
      </c>
      <c r="H17" s="517">
        <v>10000000</v>
      </c>
      <c r="I17" s="517">
        <v>10000000</v>
      </c>
      <c r="J17" s="517">
        <v>10000000</v>
      </c>
      <c r="K17" s="517">
        <v>10000000</v>
      </c>
      <c r="L17" s="517">
        <v>10000000</v>
      </c>
      <c r="M17" s="517">
        <v>10000000</v>
      </c>
      <c r="N17" s="517">
        <v>10000000</v>
      </c>
      <c r="O17" s="517">
        <v>10000000</v>
      </c>
      <c r="P17" s="517">
        <v>10000000</v>
      </c>
      <c r="Q17" s="517">
        <v>10000000</v>
      </c>
      <c r="R17" s="517">
        <v>10000000</v>
      </c>
      <c r="S17" s="517">
        <v>10000000</v>
      </c>
      <c r="T17" s="517">
        <v>10000000</v>
      </c>
      <c r="U17" s="517">
        <v>10000000</v>
      </c>
      <c r="V17" s="517">
        <v>10000000</v>
      </c>
      <c r="W17" s="517">
        <v>10000000</v>
      </c>
      <c r="X17" s="517">
        <v>10000000</v>
      </c>
      <c r="Y17" s="517">
        <v>10000000</v>
      </c>
      <c r="Z17" s="517">
        <v>10000000</v>
      </c>
      <c r="AA17" s="517">
        <v>10000000</v>
      </c>
      <c r="AB17" s="517">
        <v>10000000</v>
      </c>
      <c r="AC17" s="517">
        <v>10000000</v>
      </c>
      <c r="AD17" s="517">
        <v>10000000</v>
      </c>
      <c r="AE17" s="517">
        <v>10000000</v>
      </c>
      <c r="AF17" s="517">
        <v>10000000</v>
      </c>
      <c r="AG17" s="517">
        <v>10000000</v>
      </c>
      <c r="AH17" s="517">
        <v>10000000</v>
      </c>
      <c r="AI17" s="517">
        <v>10000000</v>
      </c>
      <c r="AJ17" s="517">
        <v>10000000</v>
      </c>
      <c r="AK17" s="517">
        <v>10000000</v>
      </c>
      <c r="AL17" s="517">
        <v>10000000</v>
      </c>
      <c r="AM17" s="517">
        <v>10000000</v>
      </c>
      <c r="AN17" s="517">
        <v>10000000</v>
      </c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</row>
    <row r="18" spans="1:64" ht="13.5" thickBot="1">
      <c r="A18" s="168" t="s">
        <v>60</v>
      </c>
      <c r="B18" s="517">
        <v>45</v>
      </c>
      <c r="C18" s="517">
        <v>45</v>
      </c>
      <c r="D18" s="518">
        <v>45</v>
      </c>
      <c r="E18" s="517">
        <v>46.574999999999996</v>
      </c>
      <c r="F18" s="517">
        <v>48.437999999999995</v>
      </c>
      <c r="G18" s="517">
        <v>50.375519999999995</v>
      </c>
      <c r="H18" s="517">
        <v>52.390540799999997</v>
      </c>
      <c r="I18" s="517">
        <v>54.486162432</v>
      </c>
      <c r="J18" s="517">
        <v>56.665608929280005</v>
      </c>
      <c r="K18" s="517">
        <v>58.98889889538048</v>
      </c>
      <c r="L18" s="517">
        <v>61.407443750091076</v>
      </c>
      <c r="M18" s="517">
        <v>63.925148943844803</v>
      </c>
      <c r="N18" s="517">
        <v>66.546080050542429</v>
      </c>
      <c r="O18" s="517">
        <v>69.274469332614657</v>
      </c>
      <c r="P18" s="517">
        <v>72.114722575251847</v>
      </c>
      <c r="Q18" s="58">
        <v>75.07142620083718</v>
      </c>
      <c r="R18" s="58">
        <v>78.149354675071478</v>
      </c>
      <c r="S18" s="58">
        <v>81.353478216749409</v>
      </c>
      <c r="T18" s="58">
        <v>84.68897082363614</v>
      </c>
      <c r="U18" s="58">
        <v>87.653084802463383</v>
      </c>
      <c r="V18" s="58">
        <v>90.720942770549613</v>
      </c>
      <c r="W18" s="58">
        <v>93.896175767518827</v>
      </c>
      <c r="X18" s="58">
        <v>97.182541919381976</v>
      </c>
      <c r="Y18" s="58">
        <v>100.58393088656034</v>
      </c>
      <c r="Z18" s="58">
        <v>104.10436846758994</v>
      </c>
      <c r="AA18" s="58">
        <v>107.74802136395557</v>
      </c>
      <c r="AB18" s="58">
        <v>111.51920211169401</v>
      </c>
      <c r="AC18" s="58">
        <v>115.42237418560329</v>
      </c>
      <c r="AD18" s="58">
        <v>119.4621572820994</v>
      </c>
      <c r="AE18" s="58">
        <v>123.04602200056239</v>
      </c>
      <c r="AF18" s="58">
        <v>126.73740266057926</v>
      </c>
      <c r="AG18" s="58">
        <v>130.53952474039664</v>
      </c>
      <c r="AH18" s="58">
        <v>134.45571048260854</v>
      </c>
      <c r="AI18" s="58">
        <v>138.48938179708679</v>
      </c>
      <c r="AJ18" s="58">
        <v>142.64406325099941</v>
      </c>
      <c r="AK18" s="58">
        <v>146.92338514852941</v>
      </c>
      <c r="AL18" s="58">
        <v>151.33108670298529</v>
      </c>
      <c r="AM18" s="58">
        <v>155.87101930407485</v>
      </c>
      <c r="AN18" s="58">
        <v>160.54714988319711</v>
      </c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</row>
    <row r="19" spans="1:64" ht="13.5" thickBot="1">
      <c r="A19" s="5"/>
      <c r="B19" s="5"/>
      <c r="C19" s="346"/>
      <c r="D19" s="346"/>
      <c r="E19" s="346"/>
      <c r="F19" s="346"/>
      <c r="G19" s="346"/>
      <c r="H19" s="346"/>
      <c r="I19" s="346"/>
      <c r="J19" s="346"/>
      <c r="K19" s="346"/>
      <c r="L19" s="346"/>
      <c r="M19" s="346"/>
      <c r="N19" s="346"/>
      <c r="O19" s="346"/>
      <c r="P19" s="346"/>
      <c r="Q19" s="346"/>
      <c r="R19" s="346"/>
      <c r="S19" s="346"/>
      <c r="T19" s="346"/>
      <c r="U19" s="346"/>
      <c r="V19" s="346"/>
      <c r="W19" s="346"/>
      <c r="X19" s="346"/>
      <c r="Y19" s="346"/>
      <c r="Z19" s="346"/>
      <c r="AA19" s="346"/>
      <c r="AB19" s="346"/>
      <c r="AC19" s="346"/>
      <c r="AD19" s="346"/>
      <c r="AE19" s="346"/>
      <c r="AF19" s="346"/>
      <c r="AG19" s="346"/>
      <c r="AH19" s="346"/>
      <c r="AI19" s="346"/>
      <c r="AJ19" s="346"/>
      <c r="AK19" s="346"/>
      <c r="AL19" s="346"/>
      <c r="AM19" s="346"/>
      <c r="AN19" s="346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</row>
    <row r="20" spans="1:64">
      <c r="A20" s="268" t="s">
        <v>61</v>
      </c>
      <c r="B20" s="267"/>
      <c r="C20" s="267"/>
      <c r="D20" s="267"/>
      <c r="E20" s="267"/>
      <c r="F20" s="267"/>
      <c r="G20" s="267"/>
      <c r="H20" s="267"/>
      <c r="I20" s="267"/>
      <c r="J20" s="267"/>
      <c r="K20" s="267"/>
      <c r="L20" s="267"/>
      <c r="M20" s="267"/>
      <c r="N20" s="267"/>
      <c r="O20" s="267"/>
      <c r="P20" s="267"/>
      <c r="Q20" s="267"/>
      <c r="R20" s="267"/>
      <c r="S20" s="267"/>
      <c r="T20" s="267"/>
      <c r="U20" s="267"/>
      <c r="V20" s="267"/>
      <c r="W20" s="267"/>
      <c r="X20" s="267"/>
      <c r="Y20" s="267"/>
      <c r="Z20" s="267"/>
      <c r="AA20" s="267"/>
      <c r="AB20" s="267"/>
      <c r="AC20" s="267"/>
      <c r="AD20" s="267"/>
      <c r="AE20" s="267"/>
      <c r="AF20" s="267"/>
      <c r="AG20" s="267"/>
      <c r="AH20" s="267"/>
      <c r="AI20" s="267"/>
      <c r="AJ20" s="267"/>
      <c r="AK20" s="267"/>
      <c r="AL20" s="267"/>
      <c r="AM20" s="267"/>
      <c r="AN20" s="267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</row>
    <row r="21" spans="1:64" ht="13.5" thickBot="1">
      <c r="A21" s="266" t="s">
        <v>62</v>
      </c>
      <c r="B21" s="265">
        <f t="shared" ref="B21:AN21" si="0">B16</f>
        <v>2012</v>
      </c>
      <c r="C21" s="265">
        <f t="shared" si="0"/>
        <v>2013</v>
      </c>
      <c r="D21" s="265">
        <f t="shared" si="0"/>
        <v>2014</v>
      </c>
      <c r="E21" s="265">
        <f t="shared" si="0"/>
        <v>2015</v>
      </c>
      <c r="F21" s="265">
        <f t="shared" si="0"/>
        <v>2016</v>
      </c>
      <c r="G21" s="265">
        <f t="shared" si="0"/>
        <v>2017</v>
      </c>
      <c r="H21" s="265">
        <f t="shared" si="0"/>
        <v>2018</v>
      </c>
      <c r="I21" s="265">
        <f t="shared" si="0"/>
        <v>2019</v>
      </c>
      <c r="J21" s="265">
        <f t="shared" si="0"/>
        <v>2020</v>
      </c>
      <c r="K21" s="265">
        <f t="shared" si="0"/>
        <v>2021</v>
      </c>
      <c r="L21" s="265">
        <f t="shared" si="0"/>
        <v>2022</v>
      </c>
      <c r="M21" s="265">
        <f t="shared" si="0"/>
        <v>2023</v>
      </c>
      <c r="N21" s="265">
        <f t="shared" si="0"/>
        <v>2024</v>
      </c>
      <c r="O21" s="265">
        <f t="shared" si="0"/>
        <v>2025</v>
      </c>
      <c r="P21" s="265">
        <f t="shared" si="0"/>
        <v>2026</v>
      </c>
      <c r="Q21" s="265">
        <f t="shared" si="0"/>
        <v>2027</v>
      </c>
      <c r="R21" s="265">
        <f t="shared" si="0"/>
        <v>2028</v>
      </c>
      <c r="S21" s="265">
        <f t="shared" si="0"/>
        <v>2029</v>
      </c>
      <c r="T21" s="265">
        <f t="shared" si="0"/>
        <v>2030</v>
      </c>
      <c r="U21" s="265">
        <f t="shared" si="0"/>
        <v>2031</v>
      </c>
      <c r="V21" s="265">
        <f t="shared" si="0"/>
        <v>2032</v>
      </c>
      <c r="W21" s="265">
        <f t="shared" si="0"/>
        <v>2033</v>
      </c>
      <c r="X21" s="265">
        <f t="shared" si="0"/>
        <v>2034</v>
      </c>
      <c r="Y21" s="265">
        <f t="shared" si="0"/>
        <v>2035</v>
      </c>
      <c r="Z21" s="265">
        <f t="shared" si="0"/>
        <v>2036</v>
      </c>
      <c r="AA21" s="265">
        <f t="shared" si="0"/>
        <v>2037</v>
      </c>
      <c r="AB21" s="265">
        <f t="shared" si="0"/>
        <v>2038</v>
      </c>
      <c r="AC21" s="265">
        <f t="shared" si="0"/>
        <v>2039</v>
      </c>
      <c r="AD21" s="265">
        <f t="shared" si="0"/>
        <v>2040</v>
      </c>
      <c r="AE21" s="265">
        <f t="shared" si="0"/>
        <v>2041</v>
      </c>
      <c r="AF21" s="265">
        <f t="shared" si="0"/>
        <v>2042</v>
      </c>
      <c r="AG21" s="265">
        <f t="shared" si="0"/>
        <v>2043</v>
      </c>
      <c r="AH21" s="265">
        <f t="shared" si="0"/>
        <v>2044</v>
      </c>
      <c r="AI21" s="265">
        <f t="shared" si="0"/>
        <v>2045</v>
      </c>
      <c r="AJ21" s="265">
        <f t="shared" si="0"/>
        <v>2046</v>
      </c>
      <c r="AK21" s="265">
        <f t="shared" si="0"/>
        <v>2047</v>
      </c>
      <c r="AL21" s="265">
        <f t="shared" si="0"/>
        <v>2048</v>
      </c>
      <c r="AM21" s="265">
        <f t="shared" si="0"/>
        <v>2049</v>
      </c>
      <c r="AN21" s="265">
        <f t="shared" si="0"/>
        <v>2050</v>
      </c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</row>
    <row r="22" spans="1:64">
      <c r="A22" s="7" t="s">
        <v>63</v>
      </c>
      <c r="B22" s="263">
        <v>0</v>
      </c>
      <c r="C22" s="263">
        <v>0</v>
      </c>
      <c r="D22" s="263">
        <v>0</v>
      </c>
      <c r="E22" s="263">
        <v>0</v>
      </c>
      <c r="F22" s="263">
        <v>0</v>
      </c>
      <c r="G22" s="263">
        <v>0</v>
      </c>
      <c r="H22" s="263">
        <v>0</v>
      </c>
      <c r="I22" s="263">
        <v>0</v>
      </c>
      <c r="J22" s="263">
        <v>0</v>
      </c>
      <c r="K22" s="263">
        <v>0</v>
      </c>
      <c r="L22" s="263">
        <v>0</v>
      </c>
      <c r="M22" s="263">
        <v>0</v>
      </c>
      <c r="N22" s="263">
        <v>0</v>
      </c>
      <c r="O22" s="263">
        <v>0</v>
      </c>
      <c r="P22" s="263">
        <v>0</v>
      </c>
      <c r="Q22" s="263">
        <v>0</v>
      </c>
      <c r="R22" s="263">
        <v>0</v>
      </c>
      <c r="S22" s="263">
        <v>0</v>
      </c>
      <c r="T22" s="263">
        <v>0</v>
      </c>
      <c r="U22" s="263">
        <v>0</v>
      </c>
      <c r="V22" s="263">
        <v>0</v>
      </c>
      <c r="W22" s="263">
        <v>0</v>
      </c>
      <c r="X22" s="263">
        <v>0</v>
      </c>
      <c r="Y22" s="263">
        <v>0</v>
      </c>
      <c r="Z22" s="263">
        <v>0</v>
      </c>
      <c r="AA22" s="263">
        <v>0</v>
      </c>
      <c r="AB22" s="263">
        <v>0</v>
      </c>
      <c r="AC22" s="263">
        <v>0</v>
      </c>
      <c r="AD22" s="263">
        <v>0</v>
      </c>
      <c r="AE22" s="263">
        <v>0</v>
      </c>
      <c r="AF22" s="263">
        <v>0</v>
      </c>
      <c r="AG22" s="263">
        <v>0</v>
      </c>
      <c r="AH22" s="263">
        <v>0</v>
      </c>
      <c r="AI22" s="263">
        <v>0</v>
      </c>
      <c r="AJ22" s="263">
        <v>0</v>
      </c>
      <c r="AK22" s="263">
        <v>0</v>
      </c>
      <c r="AL22" s="263">
        <v>0</v>
      </c>
      <c r="AM22" s="263">
        <v>0</v>
      </c>
      <c r="AN22" s="263">
        <v>0</v>
      </c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</row>
    <row r="23" spans="1:64">
      <c r="A23" s="255" t="s">
        <v>64</v>
      </c>
      <c r="B23" s="264">
        <v>0</v>
      </c>
      <c r="C23" s="264">
        <v>0</v>
      </c>
      <c r="D23" s="264">
        <v>0</v>
      </c>
      <c r="E23" s="264">
        <v>0</v>
      </c>
      <c r="F23" s="264">
        <v>0</v>
      </c>
      <c r="G23" s="264">
        <v>0</v>
      </c>
      <c r="H23" s="264">
        <v>0</v>
      </c>
      <c r="I23" s="264">
        <v>0</v>
      </c>
      <c r="J23" s="264">
        <v>0</v>
      </c>
      <c r="K23" s="264">
        <v>0</v>
      </c>
      <c r="L23" s="264">
        <v>0</v>
      </c>
      <c r="M23" s="264">
        <v>0</v>
      </c>
      <c r="N23" s="264">
        <v>0</v>
      </c>
      <c r="O23" s="264">
        <v>0</v>
      </c>
      <c r="P23" s="264">
        <v>0</v>
      </c>
      <c r="Q23" s="264">
        <v>0</v>
      </c>
      <c r="R23" s="264">
        <v>0</v>
      </c>
      <c r="S23" s="264">
        <v>0</v>
      </c>
      <c r="T23" s="264">
        <v>0</v>
      </c>
      <c r="U23" s="264">
        <v>0</v>
      </c>
      <c r="V23" s="264">
        <v>0</v>
      </c>
      <c r="W23" s="264">
        <v>0</v>
      </c>
      <c r="X23" s="264">
        <v>0</v>
      </c>
      <c r="Y23" s="264">
        <v>0</v>
      </c>
      <c r="Z23" s="264">
        <v>0</v>
      </c>
      <c r="AA23" s="264">
        <v>0</v>
      </c>
      <c r="AB23" s="264">
        <v>0</v>
      </c>
      <c r="AC23" s="264">
        <v>0</v>
      </c>
      <c r="AD23" s="264">
        <v>0</v>
      </c>
      <c r="AE23" s="264">
        <v>0</v>
      </c>
      <c r="AF23" s="264">
        <v>0</v>
      </c>
      <c r="AG23" s="264">
        <v>0</v>
      </c>
      <c r="AH23" s="264">
        <v>0</v>
      </c>
      <c r="AI23" s="264">
        <v>0</v>
      </c>
      <c r="AJ23" s="264">
        <v>0</v>
      </c>
      <c r="AK23" s="264">
        <v>0</v>
      </c>
      <c r="AL23" s="264">
        <v>0</v>
      </c>
      <c r="AM23" s="264">
        <v>0</v>
      </c>
      <c r="AN23" s="264">
        <v>0</v>
      </c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</row>
    <row r="24" spans="1:64">
      <c r="A24" s="7" t="s">
        <v>65</v>
      </c>
      <c r="B24" s="263">
        <v>0</v>
      </c>
      <c r="C24" s="263">
        <v>0</v>
      </c>
      <c r="D24" s="263">
        <v>0</v>
      </c>
      <c r="E24" s="263">
        <v>0</v>
      </c>
      <c r="F24" s="263">
        <v>0</v>
      </c>
      <c r="G24" s="263">
        <v>0</v>
      </c>
      <c r="H24" s="263">
        <v>0</v>
      </c>
      <c r="I24" s="263">
        <v>0</v>
      </c>
      <c r="J24" s="263">
        <v>0</v>
      </c>
      <c r="K24" s="263">
        <v>0</v>
      </c>
      <c r="L24" s="263">
        <v>0</v>
      </c>
      <c r="M24" s="263">
        <v>0</v>
      </c>
      <c r="N24" s="263">
        <v>0</v>
      </c>
      <c r="O24" s="263">
        <v>0</v>
      </c>
      <c r="P24" s="263">
        <v>0</v>
      </c>
      <c r="Q24" s="263">
        <v>0</v>
      </c>
      <c r="R24" s="263">
        <v>0</v>
      </c>
      <c r="S24" s="263">
        <v>0</v>
      </c>
      <c r="T24" s="263">
        <v>0</v>
      </c>
      <c r="U24" s="263">
        <v>0</v>
      </c>
      <c r="V24" s="263">
        <v>0</v>
      </c>
      <c r="W24" s="263">
        <v>0</v>
      </c>
      <c r="X24" s="263">
        <v>0</v>
      </c>
      <c r="Y24" s="263">
        <v>0</v>
      </c>
      <c r="Z24" s="263">
        <v>0</v>
      </c>
      <c r="AA24" s="263">
        <v>0</v>
      </c>
      <c r="AB24" s="263">
        <v>0</v>
      </c>
      <c r="AC24" s="263">
        <v>0</v>
      </c>
      <c r="AD24" s="263">
        <v>0</v>
      </c>
      <c r="AE24" s="263">
        <v>0</v>
      </c>
      <c r="AF24" s="263">
        <v>0</v>
      </c>
      <c r="AG24" s="263">
        <v>0</v>
      </c>
      <c r="AH24" s="263">
        <v>0</v>
      </c>
      <c r="AI24" s="263">
        <v>0</v>
      </c>
      <c r="AJ24" s="263">
        <v>0</v>
      </c>
      <c r="AK24" s="263">
        <v>0</v>
      </c>
      <c r="AL24" s="263">
        <v>0</v>
      </c>
      <c r="AM24" s="263">
        <v>0</v>
      </c>
      <c r="AN24" s="263">
        <v>0</v>
      </c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</row>
    <row r="25" spans="1:64">
      <c r="A25" s="255" t="s">
        <v>66</v>
      </c>
      <c r="B25" s="264">
        <v>0</v>
      </c>
      <c r="C25" s="264">
        <v>0</v>
      </c>
      <c r="D25" s="264">
        <v>0</v>
      </c>
      <c r="E25" s="264">
        <v>0</v>
      </c>
      <c r="F25" s="264">
        <v>0</v>
      </c>
      <c r="G25" s="264">
        <v>0</v>
      </c>
      <c r="H25" s="264">
        <v>0</v>
      </c>
      <c r="I25" s="264">
        <v>0</v>
      </c>
      <c r="J25" s="264">
        <v>0</v>
      </c>
      <c r="K25" s="264">
        <v>0</v>
      </c>
      <c r="L25" s="264">
        <v>0</v>
      </c>
      <c r="M25" s="264">
        <v>0</v>
      </c>
      <c r="N25" s="264">
        <v>0</v>
      </c>
      <c r="O25" s="264">
        <v>0</v>
      </c>
      <c r="P25" s="264">
        <v>0</v>
      </c>
      <c r="Q25" s="264">
        <v>0</v>
      </c>
      <c r="R25" s="264">
        <v>0</v>
      </c>
      <c r="S25" s="264">
        <v>0</v>
      </c>
      <c r="T25" s="264">
        <v>0</v>
      </c>
      <c r="U25" s="264">
        <v>0</v>
      </c>
      <c r="V25" s="264">
        <v>0</v>
      </c>
      <c r="W25" s="264">
        <v>0</v>
      </c>
      <c r="X25" s="264">
        <v>0</v>
      </c>
      <c r="Y25" s="264">
        <v>0</v>
      </c>
      <c r="Z25" s="264">
        <v>0</v>
      </c>
      <c r="AA25" s="264">
        <v>0</v>
      </c>
      <c r="AB25" s="264">
        <v>0</v>
      </c>
      <c r="AC25" s="264">
        <v>0</v>
      </c>
      <c r="AD25" s="264">
        <v>0</v>
      </c>
      <c r="AE25" s="264">
        <v>0</v>
      </c>
      <c r="AF25" s="264">
        <v>0</v>
      </c>
      <c r="AG25" s="264">
        <v>0</v>
      </c>
      <c r="AH25" s="264">
        <v>0</v>
      </c>
      <c r="AI25" s="264">
        <v>0</v>
      </c>
      <c r="AJ25" s="264">
        <v>0</v>
      </c>
      <c r="AK25" s="264">
        <v>0</v>
      </c>
      <c r="AL25" s="264">
        <v>0</v>
      </c>
      <c r="AM25" s="264">
        <v>0</v>
      </c>
      <c r="AN25" s="264">
        <v>0</v>
      </c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</row>
    <row r="26" spans="1:64">
      <c r="A26" s="7" t="s">
        <v>67</v>
      </c>
      <c r="B26" s="263">
        <v>0</v>
      </c>
      <c r="C26" s="263">
        <v>0</v>
      </c>
      <c r="D26" s="263">
        <v>0</v>
      </c>
      <c r="E26" s="263">
        <v>0</v>
      </c>
      <c r="F26" s="263">
        <v>0</v>
      </c>
      <c r="G26" s="263">
        <v>0</v>
      </c>
      <c r="H26" s="263">
        <v>0</v>
      </c>
      <c r="I26" s="263">
        <v>0</v>
      </c>
      <c r="J26" s="263">
        <v>0</v>
      </c>
      <c r="K26" s="263">
        <v>0</v>
      </c>
      <c r="L26" s="263">
        <v>0</v>
      </c>
      <c r="M26" s="263">
        <v>0</v>
      </c>
      <c r="N26" s="263">
        <v>0</v>
      </c>
      <c r="O26" s="263">
        <v>0</v>
      </c>
      <c r="P26" s="263">
        <v>0</v>
      </c>
      <c r="Q26" s="263">
        <v>0</v>
      </c>
      <c r="R26" s="263">
        <v>0</v>
      </c>
      <c r="S26" s="263">
        <v>0</v>
      </c>
      <c r="T26" s="263">
        <v>0</v>
      </c>
      <c r="U26" s="263">
        <v>0</v>
      </c>
      <c r="V26" s="263">
        <v>0</v>
      </c>
      <c r="W26" s="263">
        <v>0</v>
      </c>
      <c r="X26" s="263">
        <v>0</v>
      </c>
      <c r="Y26" s="263">
        <v>0</v>
      </c>
      <c r="Z26" s="263">
        <v>0</v>
      </c>
      <c r="AA26" s="263">
        <v>0</v>
      </c>
      <c r="AB26" s="263">
        <v>0</v>
      </c>
      <c r="AC26" s="263">
        <v>0</v>
      </c>
      <c r="AD26" s="263">
        <v>0</v>
      </c>
      <c r="AE26" s="263">
        <v>0</v>
      </c>
      <c r="AF26" s="263">
        <v>0</v>
      </c>
      <c r="AG26" s="263">
        <v>0</v>
      </c>
      <c r="AH26" s="263">
        <v>0</v>
      </c>
      <c r="AI26" s="263">
        <v>0</v>
      </c>
      <c r="AJ26" s="263">
        <v>0</v>
      </c>
      <c r="AK26" s="263">
        <v>0</v>
      </c>
      <c r="AL26" s="263">
        <v>0</v>
      </c>
      <c r="AM26" s="263">
        <v>0</v>
      </c>
      <c r="AN26" s="263">
        <v>0</v>
      </c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</row>
    <row r="27" spans="1:64" ht="13.5" thickBot="1">
      <c r="A27" s="262" t="s">
        <v>68</v>
      </c>
      <c r="B27" s="371">
        <f t="shared" ref="B27:AN27" si="1">SUM(B22:B26)</f>
        <v>0</v>
      </c>
      <c r="C27" s="371">
        <f t="shared" si="1"/>
        <v>0</v>
      </c>
      <c r="D27" s="371">
        <f t="shared" si="1"/>
        <v>0</v>
      </c>
      <c r="E27" s="371">
        <f t="shared" si="1"/>
        <v>0</v>
      </c>
      <c r="F27" s="371">
        <f t="shared" si="1"/>
        <v>0</v>
      </c>
      <c r="G27" s="371">
        <f t="shared" si="1"/>
        <v>0</v>
      </c>
      <c r="H27" s="371">
        <f t="shared" si="1"/>
        <v>0</v>
      </c>
      <c r="I27" s="371">
        <f t="shared" si="1"/>
        <v>0</v>
      </c>
      <c r="J27" s="371">
        <f t="shared" si="1"/>
        <v>0</v>
      </c>
      <c r="K27" s="371">
        <f t="shared" si="1"/>
        <v>0</v>
      </c>
      <c r="L27" s="371">
        <f t="shared" si="1"/>
        <v>0</v>
      </c>
      <c r="M27" s="371">
        <f t="shared" si="1"/>
        <v>0</v>
      </c>
      <c r="N27" s="371">
        <f t="shared" si="1"/>
        <v>0</v>
      </c>
      <c r="O27" s="371">
        <f t="shared" si="1"/>
        <v>0</v>
      </c>
      <c r="P27" s="371">
        <f t="shared" si="1"/>
        <v>0</v>
      </c>
      <c r="Q27" s="371">
        <f t="shared" si="1"/>
        <v>0</v>
      </c>
      <c r="R27" s="371">
        <f t="shared" si="1"/>
        <v>0</v>
      </c>
      <c r="S27" s="371">
        <f t="shared" si="1"/>
        <v>0</v>
      </c>
      <c r="T27" s="371">
        <f t="shared" si="1"/>
        <v>0</v>
      </c>
      <c r="U27" s="371">
        <f t="shared" si="1"/>
        <v>0</v>
      </c>
      <c r="V27" s="371">
        <f t="shared" si="1"/>
        <v>0</v>
      </c>
      <c r="W27" s="371">
        <f t="shared" si="1"/>
        <v>0</v>
      </c>
      <c r="X27" s="371">
        <f t="shared" si="1"/>
        <v>0</v>
      </c>
      <c r="Y27" s="371">
        <f t="shared" si="1"/>
        <v>0</v>
      </c>
      <c r="Z27" s="371">
        <f t="shared" si="1"/>
        <v>0</v>
      </c>
      <c r="AA27" s="371">
        <f t="shared" si="1"/>
        <v>0</v>
      </c>
      <c r="AB27" s="371">
        <f t="shared" si="1"/>
        <v>0</v>
      </c>
      <c r="AC27" s="371">
        <f t="shared" si="1"/>
        <v>0</v>
      </c>
      <c r="AD27" s="371">
        <f t="shared" si="1"/>
        <v>0</v>
      </c>
      <c r="AE27" s="371">
        <f t="shared" si="1"/>
        <v>0</v>
      </c>
      <c r="AF27" s="371">
        <f t="shared" si="1"/>
        <v>0</v>
      </c>
      <c r="AG27" s="371">
        <f t="shared" si="1"/>
        <v>0</v>
      </c>
      <c r="AH27" s="371">
        <f t="shared" si="1"/>
        <v>0</v>
      </c>
      <c r="AI27" s="371">
        <f t="shared" si="1"/>
        <v>0</v>
      </c>
      <c r="AJ27" s="371">
        <f t="shared" si="1"/>
        <v>0</v>
      </c>
      <c r="AK27" s="371">
        <f t="shared" si="1"/>
        <v>0</v>
      </c>
      <c r="AL27" s="371">
        <f t="shared" si="1"/>
        <v>0</v>
      </c>
      <c r="AM27" s="371">
        <f t="shared" si="1"/>
        <v>0</v>
      </c>
      <c r="AN27" s="371">
        <f t="shared" si="1"/>
        <v>0</v>
      </c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</row>
    <row r="28" spans="1:64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</row>
    <row r="29" spans="1:64" ht="13.5" thickBot="1"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8"/>
      <c r="AE29" s="58"/>
      <c r="AF29" s="58"/>
      <c r="AG29" s="58"/>
      <c r="AH29" s="58"/>
      <c r="AI29" s="58"/>
      <c r="AJ29" s="58"/>
      <c r="AK29" s="58"/>
      <c r="AL29" s="58"/>
      <c r="AM29" s="58"/>
      <c r="AN29" s="58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</row>
    <row r="30" spans="1:64" ht="13.5" thickBot="1">
      <c r="A30" s="261" t="s">
        <v>69</v>
      </c>
      <c r="B30" s="260">
        <f t="shared" ref="B30:AN30" si="2">B16</f>
        <v>2012</v>
      </c>
      <c r="C30" s="260">
        <f t="shared" si="2"/>
        <v>2013</v>
      </c>
      <c r="D30" s="260">
        <f t="shared" si="2"/>
        <v>2014</v>
      </c>
      <c r="E30" s="260">
        <f t="shared" si="2"/>
        <v>2015</v>
      </c>
      <c r="F30" s="260">
        <f t="shared" si="2"/>
        <v>2016</v>
      </c>
      <c r="G30" s="260">
        <f t="shared" si="2"/>
        <v>2017</v>
      </c>
      <c r="H30" s="260">
        <f t="shared" si="2"/>
        <v>2018</v>
      </c>
      <c r="I30" s="260">
        <f t="shared" si="2"/>
        <v>2019</v>
      </c>
      <c r="J30" s="260">
        <f t="shared" si="2"/>
        <v>2020</v>
      </c>
      <c r="K30" s="260">
        <f t="shared" si="2"/>
        <v>2021</v>
      </c>
      <c r="L30" s="260">
        <f t="shared" si="2"/>
        <v>2022</v>
      </c>
      <c r="M30" s="260">
        <f t="shared" si="2"/>
        <v>2023</v>
      </c>
      <c r="N30" s="260">
        <f t="shared" si="2"/>
        <v>2024</v>
      </c>
      <c r="O30" s="260">
        <f t="shared" si="2"/>
        <v>2025</v>
      </c>
      <c r="P30" s="260">
        <f t="shared" si="2"/>
        <v>2026</v>
      </c>
      <c r="Q30" s="260">
        <f t="shared" si="2"/>
        <v>2027</v>
      </c>
      <c r="R30" s="260">
        <f t="shared" si="2"/>
        <v>2028</v>
      </c>
      <c r="S30" s="260">
        <f t="shared" si="2"/>
        <v>2029</v>
      </c>
      <c r="T30" s="260">
        <f t="shared" si="2"/>
        <v>2030</v>
      </c>
      <c r="U30" s="260">
        <f t="shared" si="2"/>
        <v>2031</v>
      </c>
      <c r="V30" s="260">
        <f t="shared" si="2"/>
        <v>2032</v>
      </c>
      <c r="W30" s="260">
        <f t="shared" si="2"/>
        <v>2033</v>
      </c>
      <c r="X30" s="260">
        <f t="shared" si="2"/>
        <v>2034</v>
      </c>
      <c r="Y30" s="260">
        <f t="shared" si="2"/>
        <v>2035</v>
      </c>
      <c r="Z30" s="260">
        <f t="shared" si="2"/>
        <v>2036</v>
      </c>
      <c r="AA30" s="260">
        <f t="shared" si="2"/>
        <v>2037</v>
      </c>
      <c r="AB30" s="260">
        <f t="shared" si="2"/>
        <v>2038</v>
      </c>
      <c r="AC30" s="260">
        <f t="shared" si="2"/>
        <v>2039</v>
      </c>
      <c r="AD30" s="260">
        <f t="shared" si="2"/>
        <v>2040</v>
      </c>
      <c r="AE30" s="260">
        <f t="shared" si="2"/>
        <v>2041</v>
      </c>
      <c r="AF30" s="260">
        <f t="shared" si="2"/>
        <v>2042</v>
      </c>
      <c r="AG30" s="260">
        <f t="shared" si="2"/>
        <v>2043</v>
      </c>
      <c r="AH30" s="260">
        <f t="shared" si="2"/>
        <v>2044</v>
      </c>
      <c r="AI30" s="260">
        <f t="shared" si="2"/>
        <v>2045</v>
      </c>
      <c r="AJ30" s="260">
        <f t="shared" si="2"/>
        <v>2046</v>
      </c>
      <c r="AK30" s="260">
        <f t="shared" si="2"/>
        <v>2047</v>
      </c>
      <c r="AL30" s="260">
        <f t="shared" si="2"/>
        <v>2048</v>
      </c>
      <c r="AM30" s="260">
        <f t="shared" si="2"/>
        <v>2049</v>
      </c>
      <c r="AN30" s="260">
        <f t="shared" si="2"/>
        <v>2050</v>
      </c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</row>
    <row r="31" spans="1:64" ht="13.5" thickBot="1">
      <c r="A31" s="259" t="s">
        <v>70</v>
      </c>
      <c r="B31" s="258">
        <v>50000</v>
      </c>
      <c r="C31" s="258">
        <v>50000</v>
      </c>
      <c r="D31" s="258">
        <v>50000</v>
      </c>
      <c r="E31" s="258">
        <v>50000</v>
      </c>
      <c r="F31" s="258">
        <v>50000</v>
      </c>
      <c r="G31" s="258">
        <v>50000</v>
      </c>
      <c r="H31" s="258">
        <v>50000</v>
      </c>
      <c r="I31" s="258">
        <v>50000</v>
      </c>
      <c r="J31" s="258">
        <v>50000</v>
      </c>
      <c r="K31" s="258">
        <v>50000</v>
      </c>
      <c r="L31" s="258">
        <v>50000</v>
      </c>
      <c r="M31" s="258">
        <v>50000</v>
      </c>
      <c r="N31" s="258">
        <v>50000</v>
      </c>
      <c r="O31" s="258">
        <v>50000</v>
      </c>
      <c r="P31" s="258">
        <v>50000</v>
      </c>
      <c r="Q31" s="258">
        <v>50000</v>
      </c>
      <c r="R31" s="258">
        <v>50000</v>
      </c>
      <c r="S31" s="258">
        <v>50000</v>
      </c>
      <c r="T31" s="258">
        <v>50000</v>
      </c>
      <c r="U31" s="258">
        <v>50000</v>
      </c>
      <c r="V31" s="258">
        <v>50000</v>
      </c>
      <c r="W31" s="258">
        <v>50000</v>
      </c>
      <c r="X31" s="258">
        <v>50000</v>
      </c>
      <c r="Y31" s="258">
        <v>50000</v>
      </c>
      <c r="Z31" s="258">
        <v>50000</v>
      </c>
      <c r="AA31" s="258">
        <v>50000</v>
      </c>
      <c r="AB31" s="258">
        <v>50000</v>
      </c>
      <c r="AC31" s="258">
        <v>50000</v>
      </c>
      <c r="AD31" s="258">
        <v>50000</v>
      </c>
      <c r="AE31" s="258">
        <v>50000</v>
      </c>
      <c r="AF31" s="258">
        <v>50000</v>
      </c>
      <c r="AG31" s="258">
        <v>50000</v>
      </c>
      <c r="AH31" s="258">
        <v>50000</v>
      </c>
      <c r="AI31" s="258">
        <v>50000</v>
      </c>
      <c r="AJ31" s="258">
        <v>50000</v>
      </c>
      <c r="AK31" s="258">
        <v>50000</v>
      </c>
      <c r="AL31" s="258">
        <v>50000</v>
      </c>
      <c r="AM31" s="258">
        <v>50000</v>
      </c>
      <c r="AN31" s="258">
        <v>50000</v>
      </c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</row>
    <row r="32" spans="1:64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</row>
    <row r="33" spans="1:64" ht="13.5" thickBot="1">
      <c r="A33" s="361" t="s">
        <v>71</v>
      </c>
      <c r="B33" s="363"/>
      <c r="C33" s="363"/>
      <c r="D33" s="363"/>
      <c r="E33" s="363"/>
      <c r="F33" s="363"/>
      <c r="G33" s="363"/>
      <c r="H33" s="363"/>
      <c r="I33" s="363"/>
      <c r="J33" s="363"/>
      <c r="K33" s="363"/>
      <c r="L33" s="363"/>
      <c r="M33" s="363"/>
      <c r="N33" s="363"/>
      <c r="O33" s="363"/>
      <c r="P33" s="363"/>
      <c r="Q33" s="363"/>
      <c r="R33" s="363"/>
      <c r="S33" s="363"/>
      <c r="T33" s="363"/>
      <c r="U33" s="363"/>
      <c r="V33" s="363"/>
      <c r="W33" s="363"/>
      <c r="X33" s="363"/>
      <c r="Y33" s="363"/>
      <c r="Z33" s="363"/>
      <c r="AA33" s="363"/>
      <c r="AB33" s="363"/>
      <c r="AC33" s="363"/>
      <c r="AD33" s="363"/>
      <c r="AE33" s="363"/>
      <c r="AF33" s="363"/>
      <c r="AG33" s="363"/>
      <c r="AH33" s="363"/>
      <c r="AI33" s="363"/>
      <c r="AJ33" s="363"/>
      <c r="AK33" s="363"/>
      <c r="AL33" s="363"/>
      <c r="AM33" s="363"/>
      <c r="AN33" s="363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</row>
    <row r="34" spans="1:64">
      <c r="A34" s="355" t="s">
        <v>72</v>
      </c>
      <c r="B34" s="355"/>
      <c r="C34" s="355"/>
      <c r="D34" s="355"/>
      <c r="E34" s="355"/>
      <c r="F34" s="355"/>
      <c r="G34" s="355"/>
      <c r="H34" s="355"/>
      <c r="I34" s="355"/>
      <c r="J34" s="355"/>
      <c r="K34" s="355"/>
      <c r="L34" s="355"/>
      <c r="M34" s="355"/>
      <c r="N34" s="355"/>
      <c r="O34" s="355"/>
      <c r="P34" s="355"/>
      <c r="Q34" s="355"/>
      <c r="R34" s="355"/>
      <c r="S34" s="355"/>
      <c r="T34" s="355"/>
      <c r="U34" s="355"/>
      <c r="V34" s="355"/>
      <c r="W34" s="355"/>
      <c r="X34" s="355"/>
      <c r="Y34" s="355"/>
      <c r="Z34" s="355"/>
      <c r="AA34" s="355"/>
      <c r="AB34" s="355"/>
      <c r="AC34" s="355"/>
      <c r="AD34" s="355"/>
      <c r="AE34" s="355"/>
      <c r="AF34" s="355"/>
      <c r="AG34" s="355"/>
      <c r="AH34" s="355"/>
      <c r="AI34" s="355"/>
      <c r="AJ34" s="355"/>
      <c r="AK34" s="355"/>
      <c r="AL34" s="355"/>
      <c r="AM34" s="355"/>
      <c r="AN34" s="35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</row>
    <row r="35" spans="1:64" ht="13.5" thickBot="1">
      <c r="A35" s="356" t="s">
        <v>73</v>
      </c>
      <c r="B35" s="357">
        <f>B$16</f>
        <v>2012</v>
      </c>
      <c r="C35" s="357">
        <f t="shared" ref="C35:AN35" si="3">C$16</f>
        <v>2013</v>
      </c>
      <c r="D35" s="357">
        <f t="shared" si="3"/>
        <v>2014</v>
      </c>
      <c r="E35" s="357">
        <f t="shared" si="3"/>
        <v>2015</v>
      </c>
      <c r="F35" s="357">
        <f t="shared" si="3"/>
        <v>2016</v>
      </c>
      <c r="G35" s="357">
        <f t="shared" si="3"/>
        <v>2017</v>
      </c>
      <c r="H35" s="357">
        <f t="shared" si="3"/>
        <v>2018</v>
      </c>
      <c r="I35" s="357">
        <f t="shared" si="3"/>
        <v>2019</v>
      </c>
      <c r="J35" s="357">
        <f t="shared" si="3"/>
        <v>2020</v>
      </c>
      <c r="K35" s="357">
        <f t="shared" si="3"/>
        <v>2021</v>
      </c>
      <c r="L35" s="357">
        <f t="shared" si="3"/>
        <v>2022</v>
      </c>
      <c r="M35" s="357">
        <f t="shared" si="3"/>
        <v>2023</v>
      </c>
      <c r="N35" s="357">
        <f t="shared" si="3"/>
        <v>2024</v>
      </c>
      <c r="O35" s="357">
        <f t="shared" si="3"/>
        <v>2025</v>
      </c>
      <c r="P35" s="357">
        <f t="shared" si="3"/>
        <v>2026</v>
      </c>
      <c r="Q35" s="357">
        <f t="shared" si="3"/>
        <v>2027</v>
      </c>
      <c r="R35" s="357">
        <f t="shared" si="3"/>
        <v>2028</v>
      </c>
      <c r="S35" s="357">
        <f t="shared" si="3"/>
        <v>2029</v>
      </c>
      <c r="T35" s="357">
        <f t="shared" si="3"/>
        <v>2030</v>
      </c>
      <c r="U35" s="357">
        <f t="shared" si="3"/>
        <v>2031</v>
      </c>
      <c r="V35" s="357">
        <f t="shared" si="3"/>
        <v>2032</v>
      </c>
      <c r="W35" s="357">
        <f t="shared" si="3"/>
        <v>2033</v>
      </c>
      <c r="X35" s="357">
        <f t="shared" si="3"/>
        <v>2034</v>
      </c>
      <c r="Y35" s="357">
        <f t="shared" si="3"/>
        <v>2035</v>
      </c>
      <c r="Z35" s="357">
        <f t="shared" si="3"/>
        <v>2036</v>
      </c>
      <c r="AA35" s="357">
        <f t="shared" si="3"/>
        <v>2037</v>
      </c>
      <c r="AB35" s="357">
        <f t="shared" si="3"/>
        <v>2038</v>
      </c>
      <c r="AC35" s="357">
        <f t="shared" si="3"/>
        <v>2039</v>
      </c>
      <c r="AD35" s="357">
        <f t="shared" si="3"/>
        <v>2040</v>
      </c>
      <c r="AE35" s="357">
        <f t="shared" si="3"/>
        <v>2041</v>
      </c>
      <c r="AF35" s="357">
        <f t="shared" si="3"/>
        <v>2042</v>
      </c>
      <c r="AG35" s="357">
        <f t="shared" si="3"/>
        <v>2043</v>
      </c>
      <c r="AH35" s="357">
        <f t="shared" si="3"/>
        <v>2044</v>
      </c>
      <c r="AI35" s="357">
        <f t="shared" si="3"/>
        <v>2045</v>
      </c>
      <c r="AJ35" s="357">
        <f t="shared" si="3"/>
        <v>2046</v>
      </c>
      <c r="AK35" s="357">
        <f t="shared" si="3"/>
        <v>2047</v>
      </c>
      <c r="AL35" s="357">
        <f t="shared" si="3"/>
        <v>2048</v>
      </c>
      <c r="AM35" s="357">
        <f t="shared" si="3"/>
        <v>2049</v>
      </c>
      <c r="AN35" s="357">
        <f t="shared" si="3"/>
        <v>2050</v>
      </c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</row>
    <row r="36" spans="1:64">
      <c r="A36" s="7" t="s">
        <v>63</v>
      </c>
      <c r="B36" s="263">
        <v>30.838875708231104</v>
      </c>
      <c r="C36" s="263">
        <v>30.838875708231104</v>
      </c>
      <c r="D36" s="263">
        <v>33.064884544755401</v>
      </c>
      <c r="E36" s="263">
        <v>33.064884544755401</v>
      </c>
      <c r="F36" s="263">
        <v>33.064884544755401</v>
      </c>
      <c r="G36" s="263">
        <v>33.064884544755401</v>
      </c>
      <c r="H36" s="263">
        <v>33.064884544755401</v>
      </c>
      <c r="I36" s="263">
        <v>33.064884544755401</v>
      </c>
      <c r="J36" s="263">
        <v>35.206621082287896</v>
      </c>
      <c r="K36" s="263">
        <v>37.348357619820391</v>
      </c>
      <c r="L36" s="263">
        <v>39.490094157352885</v>
      </c>
      <c r="M36" s="263">
        <v>50.198776845015367</v>
      </c>
      <c r="N36" s="263">
        <v>112.19877684501537</v>
      </c>
      <c r="O36" s="263">
        <v>112.19877684501537</v>
      </c>
      <c r="P36" s="263">
        <v>112.19877684501537</v>
      </c>
      <c r="Q36" s="263">
        <v>112.19877684501537</v>
      </c>
      <c r="R36" s="263">
        <v>112.19877684501537</v>
      </c>
      <c r="S36" s="263">
        <v>112.19877684501537</v>
      </c>
      <c r="T36" s="263">
        <v>112.19877684501537</v>
      </c>
      <c r="U36" s="263">
        <v>112.19877684501537</v>
      </c>
      <c r="V36" s="263">
        <v>112.19877684501537</v>
      </c>
      <c r="W36" s="263">
        <v>112.19877684501537</v>
      </c>
      <c r="X36" s="263">
        <v>112.19877684501537</v>
      </c>
      <c r="Y36" s="263">
        <v>112.19877684501537</v>
      </c>
      <c r="Z36" s="263">
        <v>112.19877684501537</v>
      </c>
      <c r="AA36" s="263">
        <v>112.19877684501537</v>
      </c>
      <c r="AB36" s="263">
        <v>112.19877684501537</v>
      </c>
      <c r="AC36" s="263">
        <v>112.19877684501537</v>
      </c>
      <c r="AD36" s="263">
        <v>112.19877684501537</v>
      </c>
      <c r="AE36" s="263">
        <v>112.19877684501537</v>
      </c>
      <c r="AF36" s="263">
        <v>112.19877684501537</v>
      </c>
      <c r="AG36" s="263">
        <v>112.19877684501537</v>
      </c>
      <c r="AH36" s="263">
        <v>112.19877684501537</v>
      </c>
      <c r="AI36" s="263">
        <v>112.19877684501537</v>
      </c>
      <c r="AJ36" s="263">
        <v>112.19877684501537</v>
      </c>
      <c r="AK36" s="263">
        <v>112.19877684501537</v>
      </c>
      <c r="AL36" s="263">
        <v>112.19877684501537</v>
      </c>
      <c r="AM36" s="263">
        <v>112.19877684501537</v>
      </c>
      <c r="AN36" s="263">
        <v>112.19877684501537</v>
      </c>
      <c r="AO36" s="5"/>
      <c r="AP36" s="5"/>
      <c r="AQ36" s="5"/>
      <c r="AR36" s="5"/>
      <c r="AS36" s="58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</row>
    <row r="37" spans="1:64">
      <c r="A37" s="255" t="s">
        <v>64</v>
      </c>
      <c r="B37" s="264">
        <v>3.0021601764785366</v>
      </c>
      <c r="C37" s="264">
        <v>3.0021601764785366</v>
      </c>
      <c r="D37" s="264">
        <v>3.3276339572763627</v>
      </c>
      <c r="E37" s="264">
        <v>3.3518713726801312</v>
      </c>
      <c r="F37" s="264">
        <v>3.3518713726801312</v>
      </c>
      <c r="G37" s="264">
        <v>3.3518713726801312</v>
      </c>
      <c r="H37" s="264">
        <v>3.3518713726801312</v>
      </c>
      <c r="I37" s="264">
        <v>5.4936079102126278</v>
      </c>
      <c r="J37" s="264">
        <v>5.4936079102126278</v>
      </c>
      <c r="K37" s="264">
        <v>5.4936079102126278</v>
      </c>
      <c r="L37" s="264">
        <v>5.4936079102126278</v>
      </c>
      <c r="M37" s="264">
        <v>5.4936079102126278</v>
      </c>
      <c r="N37" s="264">
        <v>72.373607910212627</v>
      </c>
      <c r="O37" s="264">
        <v>72.373607910212627</v>
      </c>
      <c r="P37" s="264">
        <v>72.373607910212627</v>
      </c>
      <c r="Q37" s="264">
        <v>72.373607910212627</v>
      </c>
      <c r="R37" s="264">
        <v>72.373607910212627</v>
      </c>
      <c r="S37" s="264">
        <v>72.373607910212627</v>
      </c>
      <c r="T37" s="264">
        <v>72.373607910212627</v>
      </c>
      <c r="U37" s="264">
        <v>72.373607910212627</v>
      </c>
      <c r="V37" s="264">
        <v>72.833905603395635</v>
      </c>
      <c r="W37" s="264">
        <v>74.465340862706299</v>
      </c>
      <c r="X37" s="264">
        <v>76.074166018131208</v>
      </c>
      <c r="Y37" s="264">
        <v>77.672025093672531</v>
      </c>
      <c r="Z37" s="264">
        <v>83.594264776845549</v>
      </c>
      <c r="AA37" s="264">
        <v>89.543089986228665</v>
      </c>
      <c r="AB37" s="264">
        <v>95.405902517804151</v>
      </c>
      <c r="AC37" s="264">
        <v>101.26591915638852</v>
      </c>
      <c r="AD37" s="264">
        <v>107.21796173605873</v>
      </c>
      <c r="AE37" s="264">
        <v>108.39361542500035</v>
      </c>
      <c r="AF37" s="264">
        <v>109.55377747778138</v>
      </c>
      <c r="AG37" s="264">
        <v>110.65987610039778</v>
      </c>
      <c r="AH37" s="264">
        <v>111.76110910964849</v>
      </c>
      <c r="AI37" s="264">
        <v>112.85107277817394</v>
      </c>
      <c r="AJ37" s="264">
        <v>112.69105865578959</v>
      </c>
      <c r="AK37" s="264">
        <v>112.54377642659838</v>
      </c>
      <c r="AL37" s="264">
        <v>112.38522461956987</v>
      </c>
      <c r="AM37" s="264">
        <v>112.22196876849006</v>
      </c>
      <c r="AN37" s="264">
        <v>112.02233242388093</v>
      </c>
      <c r="AO37" s="5"/>
      <c r="AP37" s="5"/>
      <c r="AQ37" s="5"/>
      <c r="AR37" s="5"/>
      <c r="AS37" s="58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  <c r="BK37" s="5"/>
      <c r="BL37" s="5"/>
    </row>
    <row r="38" spans="1:64">
      <c r="A38" s="7" t="s">
        <v>65</v>
      </c>
      <c r="B38" s="263">
        <v>9.3348550724470964</v>
      </c>
      <c r="C38" s="263">
        <v>9.3348550724470964</v>
      </c>
      <c r="D38" s="263">
        <v>9.3348550724470964</v>
      </c>
      <c r="E38" s="263">
        <v>9.3348550724470964</v>
      </c>
      <c r="F38" s="263">
        <v>9.3348550724470964</v>
      </c>
      <c r="G38" s="263">
        <v>11.786953368879697</v>
      </c>
      <c r="H38" s="263">
        <v>11.786953368879697</v>
      </c>
      <c r="I38" s="263">
        <v>11.786953368879697</v>
      </c>
      <c r="J38" s="263">
        <v>11.786953368879697</v>
      </c>
      <c r="K38" s="263">
        <v>11.786953368879697</v>
      </c>
      <c r="L38" s="263">
        <v>11.786953368879697</v>
      </c>
      <c r="M38" s="263">
        <v>11.786953368879697</v>
      </c>
      <c r="N38" s="263">
        <v>64.356953368879701</v>
      </c>
      <c r="O38" s="263">
        <v>66.686248230949801</v>
      </c>
      <c r="P38" s="263">
        <v>66.686248230949801</v>
      </c>
      <c r="Q38" s="263">
        <v>66.686248230949801</v>
      </c>
      <c r="R38" s="263">
        <v>66.686248230949801</v>
      </c>
      <c r="S38" s="263">
        <v>66.686248230949801</v>
      </c>
      <c r="T38" s="263">
        <v>66.686248230949801</v>
      </c>
      <c r="U38" s="263">
        <v>66.686248230949801</v>
      </c>
      <c r="V38" s="263">
        <v>68.229243703671955</v>
      </c>
      <c r="W38" s="263">
        <v>69.845069509415026</v>
      </c>
      <c r="X38" s="263">
        <v>71.431897810576032</v>
      </c>
      <c r="Y38" s="263">
        <v>73.003862091806837</v>
      </c>
      <c r="Z38" s="263">
        <v>73.525303263146526</v>
      </c>
      <c r="AA38" s="263">
        <v>74.275191426348556</v>
      </c>
      <c r="AB38" s="263">
        <v>74.922057153944237</v>
      </c>
      <c r="AC38" s="263">
        <v>75.558469143047532</v>
      </c>
      <c r="AD38" s="263">
        <v>76.308489590238011</v>
      </c>
      <c r="AE38" s="263">
        <v>77.316702416075373</v>
      </c>
      <c r="AF38" s="263">
        <v>78.304623186780361</v>
      </c>
      <c r="AG38" s="263">
        <v>79.221395497474163</v>
      </c>
      <c r="AH38" s="263">
        <v>80.12958864905238</v>
      </c>
      <c r="AI38" s="263">
        <v>81.049238848049328</v>
      </c>
      <c r="AJ38" s="263">
        <v>78.465171823785184</v>
      </c>
      <c r="AK38" s="263">
        <v>75.897433478640437</v>
      </c>
      <c r="AL38" s="263">
        <v>73.315241876817723</v>
      </c>
      <c r="AM38" s="263">
        <v>70.727017328856348</v>
      </c>
      <c r="AN38" s="263">
        <v>68.092134723367025</v>
      </c>
      <c r="AO38" s="5"/>
      <c r="AP38" s="5"/>
      <c r="AQ38" s="5"/>
      <c r="AR38" s="5"/>
      <c r="AS38" s="58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  <c r="BK38" s="5"/>
      <c r="BL38" s="5"/>
    </row>
    <row r="39" spans="1:64">
      <c r="A39" s="255" t="s">
        <v>66</v>
      </c>
      <c r="B39" s="264">
        <v>4.2102716256046095</v>
      </c>
      <c r="C39" s="264">
        <v>4.2102716256046095</v>
      </c>
      <c r="D39" s="264">
        <v>6.4660607164092285</v>
      </c>
      <c r="E39" s="264">
        <v>6.4660607164092285</v>
      </c>
      <c r="F39" s="264">
        <v>6.4660607164092285</v>
      </c>
      <c r="G39" s="264">
        <v>6.4660607164092285</v>
      </c>
      <c r="H39" s="264">
        <v>6.4660607164092285</v>
      </c>
      <c r="I39" s="264">
        <v>6.4660607164092285</v>
      </c>
      <c r="J39" s="264">
        <v>6.4660607164092285</v>
      </c>
      <c r="K39" s="264">
        <v>6.4660607164092285</v>
      </c>
      <c r="L39" s="264">
        <v>6.4660607164092285</v>
      </c>
      <c r="M39" s="264">
        <v>6.4660607164092285</v>
      </c>
      <c r="N39" s="264">
        <v>23.881187840360482</v>
      </c>
      <c r="O39" s="264">
        <v>46.128740107146697</v>
      </c>
      <c r="P39" s="264">
        <v>46.128740107146697</v>
      </c>
      <c r="Q39" s="264">
        <v>46.128740107146697</v>
      </c>
      <c r="R39" s="264">
        <v>46.128740107146697</v>
      </c>
      <c r="S39" s="264">
        <v>46.128740107146697</v>
      </c>
      <c r="T39" s="264">
        <v>46.128740107146697</v>
      </c>
      <c r="U39" s="264">
        <v>46.128740107146697</v>
      </c>
      <c r="V39" s="264">
        <v>46.558971309630522</v>
      </c>
      <c r="W39" s="264">
        <v>46.389202512114345</v>
      </c>
      <c r="X39" s="264">
        <v>46.819433714598169</v>
      </c>
      <c r="Y39" s="264">
        <v>48.368664917081979</v>
      </c>
      <c r="Z39" s="264">
        <v>53.92743493266547</v>
      </c>
      <c r="AA39" s="264">
        <v>59.034204948248963</v>
      </c>
      <c r="AB39" s="264">
        <v>64.037974963832454</v>
      </c>
      <c r="AC39" s="264">
        <v>69.20074497941593</v>
      </c>
      <c r="AD39" s="264">
        <v>74.769514994999426</v>
      </c>
      <c r="AE39" s="264">
        <v>78.697494539668298</v>
      </c>
      <c r="AF39" s="264">
        <v>82.642474084337181</v>
      </c>
      <c r="AG39" s="264">
        <v>86.627453629006069</v>
      </c>
      <c r="AH39" s="264">
        <v>90.581433173674938</v>
      </c>
      <c r="AI39" s="264">
        <v>94.623412718343801</v>
      </c>
      <c r="AJ39" s="264">
        <v>95.615587102648405</v>
      </c>
      <c r="AK39" s="264">
        <v>96.607761486953024</v>
      </c>
      <c r="AL39" s="264">
        <v>97.599935871257642</v>
      </c>
      <c r="AM39" s="264">
        <v>98.592110255562247</v>
      </c>
      <c r="AN39" s="264">
        <v>99.584284639866894</v>
      </c>
      <c r="AO39" s="5"/>
      <c r="AP39" s="5"/>
      <c r="AQ39" s="5"/>
      <c r="AR39" s="5"/>
      <c r="AS39" s="58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  <c r="BK39" s="5"/>
      <c r="BL39" s="5"/>
    </row>
    <row r="40" spans="1:64">
      <c r="A40" s="7" t="s">
        <v>67</v>
      </c>
      <c r="B40" s="263">
        <v>3.6495059333171662</v>
      </c>
      <c r="C40" s="263">
        <v>3.6495059333171662</v>
      </c>
      <c r="D40" s="263">
        <v>6.1561470782765824</v>
      </c>
      <c r="E40" s="263">
        <v>6.5</v>
      </c>
      <c r="F40" s="263">
        <v>6.5</v>
      </c>
      <c r="G40" s="263">
        <v>6.5</v>
      </c>
      <c r="H40" s="263">
        <v>6.5</v>
      </c>
      <c r="I40" s="263">
        <v>6.5</v>
      </c>
      <c r="J40" s="263">
        <v>6.5</v>
      </c>
      <c r="K40" s="263">
        <v>6.5</v>
      </c>
      <c r="L40" s="263">
        <v>6.5</v>
      </c>
      <c r="M40" s="263">
        <v>6.5</v>
      </c>
      <c r="N40" s="263">
        <v>31.60619943512809</v>
      </c>
      <c r="O40" s="263">
        <v>31.266920206494341</v>
      </c>
      <c r="P40" s="263">
        <v>31.266920206494341</v>
      </c>
      <c r="Q40" s="263">
        <v>31.266920206494341</v>
      </c>
      <c r="R40" s="263">
        <v>31.266920206494341</v>
      </c>
      <c r="S40" s="263">
        <v>31.266920206494341</v>
      </c>
      <c r="T40" s="263">
        <v>31.266920206494341</v>
      </c>
      <c r="U40" s="263">
        <v>31.266920206494341</v>
      </c>
      <c r="V40" s="263">
        <v>34.034533985011066</v>
      </c>
      <c r="W40" s="263">
        <v>36.80486273844933</v>
      </c>
      <c r="X40" s="263">
        <v>39.574110520615562</v>
      </c>
      <c r="Y40" s="263">
        <v>42.342834023133165</v>
      </c>
      <c r="Z40" s="263">
        <v>43.413034811945707</v>
      </c>
      <c r="AA40" s="263">
        <v>44.484506633842841</v>
      </c>
      <c r="AB40" s="263">
        <v>45.551866257308248</v>
      </c>
      <c r="AC40" s="263">
        <v>46.619092211330198</v>
      </c>
      <c r="AD40" s="263">
        <v>47.6907178531686</v>
      </c>
      <c r="AE40" s="263">
        <v>48.19196440060162</v>
      </c>
      <c r="AF40" s="263">
        <v>48.69247030510212</v>
      </c>
      <c r="AG40" s="263">
        <v>49.190391479555814</v>
      </c>
      <c r="AH40" s="263">
        <v>49.688080032863859</v>
      </c>
      <c r="AI40" s="263">
        <v>50.185229807861091</v>
      </c>
      <c r="AJ40" s="263">
        <v>50.363951649285546</v>
      </c>
      <c r="AK40" s="263">
        <v>50.543282192503234</v>
      </c>
      <c r="AL40" s="263">
        <v>50.722073946073976</v>
      </c>
      <c r="AM40" s="263">
        <v>50.900640803000826</v>
      </c>
      <c r="AN40" s="263">
        <v>51.077468337164468</v>
      </c>
      <c r="AO40" s="5"/>
      <c r="AP40" s="58"/>
      <c r="AQ40" s="58"/>
      <c r="AR40" s="58"/>
      <c r="AS40" s="58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</row>
    <row r="41" spans="1:64">
      <c r="A41" s="255" t="s">
        <v>74</v>
      </c>
      <c r="B41" s="264">
        <v>0</v>
      </c>
      <c r="C41" s="264">
        <v>0</v>
      </c>
      <c r="D41" s="264">
        <v>0</v>
      </c>
      <c r="E41" s="264">
        <v>0</v>
      </c>
      <c r="F41" s="264">
        <v>0</v>
      </c>
      <c r="G41" s="264">
        <v>0</v>
      </c>
      <c r="H41" s="264">
        <v>0</v>
      </c>
      <c r="I41" s="264">
        <v>0</v>
      </c>
      <c r="J41" s="264">
        <v>0</v>
      </c>
      <c r="K41" s="264">
        <v>0</v>
      </c>
      <c r="L41" s="264">
        <v>0</v>
      </c>
      <c r="M41" s="264">
        <v>0</v>
      </c>
      <c r="N41" s="264">
        <v>0.64218281249833953</v>
      </c>
      <c r="O41" s="264">
        <v>1.7664259372694027</v>
      </c>
      <c r="P41" s="264">
        <v>1.7664259372694027</v>
      </c>
      <c r="Q41" s="264">
        <v>1.7664259372694027</v>
      </c>
      <c r="R41" s="264">
        <v>1.7664259372694027</v>
      </c>
      <c r="S41" s="264">
        <v>1.7664259372694027</v>
      </c>
      <c r="T41" s="264">
        <v>1.7664259372694027</v>
      </c>
      <c r="U41" s="264">
        <v>1.7664259372694027</v>
      </c>
      <c r="V41" s="264">
        <v>1.9743721629312017</v>
      </c>
      <c r="W41" s="264">
        <v>2.1823183885930009</v>
      </c>
      <c r="X41" s="264">
        <v>2.3902646142547996</v>
      </c>
      <c r="Y41" s="264">
        <v>2.598210839916598</v>
      </c>
      <c r="Z41" s="264">
        <v>2.8291333022314697</v>
      </c>
      <c r="AA41" s="264">
        <v>3.0600557645463415</v>
      </c>
      <c r="AB41" s="264">
        <v>3.2909782268612129</v>
      </c>
      <c r="AC41" s="264">
        <v>3.5219006891760847</v>
      </c>
      <c r="AD41" s="264">
        <v>3.7528231514909556</v>
      </c>
      <c r="AE41" s="264">
        <v>3.9404721982758106</v>
      </c>
      <c r="AF41" s="264">
        <v>4.1281212450606652</v>
      </c>
      <c r="AG41" s="264">
        <v>4.3157702918455199</v>
      </c>
      <c r="AH41" s="264">
        <v>4.5034193386303745</v>
      </c>
      <c r="AI41" s="264">
        <v>4.6910683854152291</v>
      </c>
      <c r="AJ41" s="264">
        <v>4.723560493593447</v>
      </c>
      <c r="AK41" s="264">
        <v>4.7560526017716649</v>
      </c>
      <c r="AL41" s="264">
        <v>4.7885447099498828</v>
      </c>
      <c r="AM41" s="264">
        <v>4.8210368181280998</v>
      </c>
      <c r="AN41" s="264">
        <v>4.8535289263063186</v>
      </c>
      <c r="AO41" s="5"/>
      <c r="AP41" s="5"/>
      <c r="AQ41" s="5"/>
      <c r="AR41" s="5"/>
      <c r="AS41" s="58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</row>
    <row r="42" spans="1:64" ht="13.5" thickBot="1">
      <c r="A42" s="358" t="s">
        <v>68</v>
      </c>
      <c r="B42" s="362">
        <f t="shared" ref="B42:AM42" si="4">SUM(B36:B41)</f>
        <v>51.035668516078516</v>
      </c>
      <c r="C42" s="362">
        <f t="shared" si="4"/>
        <v>51.035668516078516</v>
      </c>
      <c r="D42" s="362">
        <f t="shared" si="4"/>
        <v>58.349581369164675</v>
      </c>
      <c r="E42" s="362">
        <f t="shared" si="4"/>
        <v>58.71767170629186</v>
      </c>
      <c r="F42" s="362">
        <f t="shared" si="4"/>
        <v>58.71767170629186</v>
      </c>
      <c r="G42" s="362">
        <f t="shared" si="4"/>
        <v>61.169770002724462</v>
      </c>
      <c r="H42" s="362">
        <f t="shared" si="4"/>
        <v>61.169770002724462</v>
      </c>
      <c r="I42" s="362">
        <f t="shared" si="4"/>
        <v>63.311506540256957</v>
      </c>
      <c r="J42" s="362">
        <f t="shared" si="4"/>
        <v>65.453243077789452</v>
      </c>
      <c r="K42" s="362">
        <f t="shared" si="4"/>
        <v>67.594979615321947</v>
      </c>
      <c r="L42" s="362">
        <f t="shared" si="4"/>
        <v>69.736716152854441</v>
      </c>
      <c r="M42" s="362">
        <f t="shared" si="4"/>
        <v>80.445398840516916</v>
      </c>
      <c r="N42" s="362">
        <f t="shared" si="4"/>
        <v>305.05890821209459</v>
      </c>
      <c r="O42" s="362">
        <f t="shared" ref="O42:T42" si="5">SUM(O36:O41)</f>
        <v>330.42071923708824</v>
      </c>
      <c r="P42" s="362">
        <f t="shared" si="5"/>
        <v>330.42071923708824</v>
      </c>
      <c r="Q42" s="362">
        <f t="shared" si="5"/>
        <v>330.42071923708824</v>
      </c>
      <c r="R42" s="362">
        <f t="shared" si="5"/>
        <v>330.42071923708824</v>
      </c>
      <c r="S42" s="362">
        <f t="shared" si="5"/>
        <v>330.42071923708824</v>
      </c>
      <c r="T42" s="362">
        <f t="shared" si="5"/>
        <v>330.42071923708824</v>
      </c>
      <c r="U42" s="362">
        <f t="shared" si="4"/>
        <v>330.42071923708824</v>
      </c>
      <c r="V42" s="362">
        <f t="shared" si="4"/>
        <v>335.82980360965576</v>
      </c>
      <c r="W42" s="362">
        <f t="shared" si="4"/>
        <v>341.88557085629344</v>
      </c>
      <c r="X42" s="362">
        <f t="shared" si="4"/>
        <v>348.48864952319121</v>
      </c>
      <c r="Y42" s="362">
        <f t="shared" si="4"/>
        <v>356.18437381062643</v>
      </c>
      <c r="Z42" s="362">
        <f t="shared" si="4"/>
        <v>369.4879479318501</v>
      </c>
      <c r="AA42" s="362">
        <f t="shared" si="4"/>
        <v>382.5958256042307</v>
      </c>
      <c r="AB42" s="362">
        <f t="shared" si="4"/>
        <v>395.40755596476566</v>
      </c>
      <c r="AC42" s="362">
        <f t="shared" si="4"/>
        <v>408.36490302437363</v>
      </c>
      <c r="AD42" s="362">
        <f t="shared" si="4"/>
        <v>421.93828417097109</v>
      </c>
      <c r="AE42" s="362">
        <f t="shared" si="4"/>
        <v>428.73902582463683</v>
      </c>
      <c r="AF42" s="362">
        <f t="shared" si="4"/>
        <v>435.52024314407703</v>
      </c>
      <c r="AG42" s="362">
        <f t="shared" si="4"/>
        <v>442.21366384329474</v>
      </c>
      <c r="AH42" s="362">
        <f t="shared" si="4"/>
        <v>448.86240714888538</v>
      </c>
      <c r="AI42" s="362">
        <f t="shared" si="4"/>
        <v>455.59879938285877</v>
      </c>
      <c r="AJ42" s="362">
        <f t="shared" si="4"/>
        <v>454.0581065701175</v>
      </c>
      <c r="AK42" s="362">
        <f t="shared" si="4"/>
        <v>452.54708303148215</v>
      </c>
      <c r="AL42" s="362">
        <f t="shared" si="4"/>
        <v>451.00979786868442</v>
      </c>
      <c r="AM42" s="362">
        <f t="shared" si="4"/>
        <v>449.461550819053</v>
      </c>
      <c r="AN42" s="362">
        <f>SUM(AN36:AN41)</f>
        <v>447.82852589560099</v>
      </c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</row>
    <row r="43" spans="1:64">
      <c r="B43" s="360"/>
      <c r="C43" s="360"/>
      <c r="D43" s="360"/>
      <c r="E43" s="360"/>
      <c r="F43" s="360"/>
      <c r="G43" s="360"/>
      <c r="H43" s="360"/>
      <c r="I43" s="360"/>
      <c r="J43" s="360"/>
      <c r="K43" s="360"/>
      <c r="L43" s="360"/>
      <c r="M43" s="360"/>
      <c r="N43" s="360"/>
      <c r="O43" s="360"/>
      <c r="P43" s="360"/>
      <c r="Q43" s="360"/>
      <c r="R43" s="360"/>
      <c r="S43" s="360"/>
      <c r="T43" s="360"/>
      <c r="U43" s="360"/>
      <c r="V43" s="360"/>
      <c r="W43" s="360"/>
      <c r="X43" s="360"/>
      <c r="Y43" s="360"/>
      <c r="Z43" s="360"/>
      <c r="AA43" s="360"/>
      <c r="AB43" s="360"/>
      <c r="AC43" s="360"/>
      <c r="AD43" s="360"/>
      <c r="AE43" s="360"/>
      <c r="AF43" s="360"/>
      <c r="AG43" s="360"/>
      <c r="AH43" s="360"/>
      <c r="AI43" s="360"/>
      <c r="AJ43" s="360"/>
      <c r="AK43" s="360"/>
      <c r="AL43" s="360"/>
      <c r="AM43" s="360"/>
      <c r="AN43" s="360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</row>
    <row r="44" spans="1:64" ht="13.5" thickBot="1">
      <c r="A44" s="357" t="s">
        <v>75</v>
      </c>
      <c r="B44" s="368">
        <f>B$16</f>
        <v>2012</v>
      </c>
      <c r="C44" s="368">
        <f t="shared" ref="C44:AN44" si="6">C$16</f>
        <v>2013</v>
      </c>
      <c r="D44" s="368">
        <f t="shared" si="6"/>
        <v>2014</v>
      </c>
      <c r="E44" s="368">
        <f t="shared" si="6"/>
        <v>2015</v>
      </c>
      <c r="F44" s="368">
        <f t="shared" si="6"/>
        <v>2016</v>
      </c>
      <c r="G44" s="368">
        <f t="shared" si="6"/>
        <v>2017</v>
      </c>
      <c r="H44" s="368">
        <f t="shared" si="6"/>
        <v>2018</v>
      </c>
      <c r="I44" s="368">
        <f t="shared" si="6"/>
        <v>2019</v>
      </c>
      <c r="J44" s="368">
        <f t="shared" si="6"/>
        <v>2020</v>
      </c>
      <c r="K44" s="368">
        <f t="shared" si="6"/>
        <v>2021</v>
      </c>
      <c r="L44" s="368">
        <f t="shared" si="6"/>
        <v>2022</v>
      </c>
      <c r="M44" s="368">
        <f t="shared" si="6"/>
        <v>2023</v>
      </c>
      <c r="N44" s="368">
        <f t="shared" si="6"/>
        <v>2024</v>
      </c>
      <c r="O44" s="368">
        <f t="shared" si="6"/>
        <v>2025</v>
      </c>
      <c r="P44" s="368">
        <f t="shared" si="6"/>
        <v>2026</v>
      </c>
      <c r="Q44" s="368">
        <f t="shared" si="6"/>
        <v>2027</v>
      </c>
      <c r="R44" s="368">
        <f t="shared" si="6"/>
        <v>2028</v>
      </c>
      <c r="S44" s="368">
        <f t="shared" si="6"/>
        <v>2029</v>
      </c>
      <c r="T44" s="368">
        <f t="shared" si="6"/>
        <v>2030</v>
      </c>
      <c r="U44" s="368">
        <f t="shared" si="6"/>
        <v>2031</v>
      </c>
      <c r="V44" s="368">
        <f t="shared" si="6"/>
        <v>2032</v>
      </c>
      <c r="W44" s="368">
        <f t="shared" si="6"/>
        <v>2033</v>
      </c>
      <c r="X44" s="368">
        <f t="shared" si="6"/>
        <v>2034</v>
      </c>
      <c r="Y44" s="368">
        <f t="shared" si="6"/>
        <v>2035</v>
      </c>
      <c r="Z44" s="368">
        <f t="shared" si="6"/>
        <v>2036</v>
      </c>
      <c r="AA44" s="368">
        <f t="shared" si="6"/>
        <v>2037</v>
      </c>
      <c r="AB44" s="368">
        <f t="shared" si="6"/>
        <v>2038</v>
      </c>
      <c r="AC44" s="368">
        <f t="shared" si="6"/>
        <v>2039</v>
      </c>
      <c r="AD44" s="368">
        <f t="shared" si="6"/>
        <v>2040</v>
      </c>
      <c r="AE44" s="368">
        <f t="shared" si="6"/>
        <v>2041</v>
      </c>
      <c r="AF44" s="368">
        <f t="shared" si="6"/>
        <v>2042</v>
      </c>
      <c r="AG44" s="368">
        <f t="shared" si="6"/>
        <v>2043</v>
      </c>
      <c r="AH44" s="368">
        <f t="shared" si="6"/>
        <v>2044</v>
      </c>
      <c r="AI44" s="368">
        <f t="shared" si="6"/>
        <v>2045</v>
      </c>
      <c r="AJ44" s="368">
        <f t="shared" si="6"/>
        <v>2046</v>
      </c>
      <c r="AK44" s="368">
        <f t="shared" si="6"/>
        <v>2047</v>
      </c>
      <c r="AL44" s="368">
        <f t="shared" si="6"/>
        <v>2048</v>
      </c>
      <c r="AM44" s="368">
        <f t="shared" si="6"/>
        <v>2049</v>
      </c>
      <c r="AN44" s="368">
        <f t="shared" si="6"/>
        <v>2050</v>
      </c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</row>
    <row r="45" spans="1:64">
      <c r="A45" s="7" t="s">
        <v>63</v>
      </c>
      <c r="B45" s="263">
        <v>62</v>
      </c>
      <c r="C45" s="263">
        <v>62</v>
      </c>
      <c r="D45" s="263">
        <v>62</v>
      </c>
      <c r="E45" s="263">
        <v>62</v>
      </c>
      <c r="F45" s="263">
        <v>62</v>
      </c>
      <c r="G45" s="263">
        <v>62</v>
      </c>
      <c r="H45" s="263">
        <v>62</v>
      </c>
      <c r="I45" s="263">
        <v>62</v>
      </c>
      <c r="J45" s="263">
        <v>62</v>
      </c>
      <c r="K45" s="263">
        <v>62</v>
      </c>
      <c r="L45" s="263">
        <v>62</v>
      </c>
      <c r="M45" s="263">
        <v>62</v>
      </c>
      <c r="N45" s="263">
        <v>62</v>
      </c>
      <c r="O45" s="263">
        <v>62</v>
      </c>
      <c r="P45" s="263">
        <v>62</v>
      </c>
      <c r="Q45" s="263">
        <v>62</v>
      </c>
      <c r="R45" s="263">
        <v>62</v>
      </c>
      <c r="S45" s="263">
        <v>62</v>
      </c>
      <c r="T45" s="263">
        <v>62</v>
      </c>
      <c r="U45" s="263">
        <v>62</v>
      </c>
      <c r="V45" s="263">
        <v>62</v>
      </c>
      <c r="W45" s="263">
        <v>62</v>
      </c>
      <c r="X45" s="263">
        <v>62</v>
      </c>
      <c r="Y45" s="263">
        <v>62</v>
      </c>
      <c r="Z45" s="263">
        <v>62</v>
      </c>
      <c r="AA45" s="263">
        <v>62</v>
      </c>
      <c r="AB45" s="263">
        <v>62</v>
      </c>
      <c r="AC45" s="263">
        <v>62</v>
      </c>
      <c r="AD45" s="263">
        <v>62</v>
      </c>
      <c r="AE45" s="263">
        <v>62</v>
      </c>
      <c r="AF45" s="263">
        <v>62</v>
      </c>
      <c r="AG45" s="263">
        <v>62</v>
      </c>
      <c r="AH45" s="263">
        <v>62</v>
      </c>
      <c r="AI45" s="263">
        <v>62</v>
      </c>
      <c r="AJ45" s="263">
        <v>62</v>
      </c>
      <c r="AK45" s="263">
        <v>62</v>
      </c>
      <c r="AL45" s="263">
        <v>62</v>
      </c>
      <c r="AM45" s="263">
        <v>62</v>
      </c>
      <c r="AN45" s="263">
        <v>62</v>
      </c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  <c r="BK45" s="5"/>
      <c r="BL45" s="5"/>
    </row>
    <row r="46" spans="1:64">
      <c r="A46" s="255" t="s">
        <v>64</v>
      </c>
      <c r="B46" s="264">
        <v>14</v>
      </c>
      <c r="C46" s="264">
        <v>14</v>
      </c>
      <c r="D46" s="264">
        <v>14</v>
      </c>
      <c r="E46" s="264">
        <v>14</v>
      </c>
      <c r="F46" s="264">
        <v>14</v>
      </c>
      <c r="G46" s="264">
        <v>14</v>
      </c>
      <c r="H46" s="264">
        <v>14</v>
      </c>
      <c r="I46" s="264">
        <v>14</v>
      </c>
      <c r="J46" s="264">
        <v>14</v>
      </c>
      <c r="K46" s="264">
        <v>14</v>
      </c>
      <c r="L46" s="264">
        <v>14</v>
      </c>
      <c r="M46" s="264">
        <v>14</v>
      </c>
      <c r="N46" s="264">
        <v>66.88</v>
      </c>
      <c r="O46" s="264">
        <v>66.88</v>
      </c>
      <c r="P46" s="264">
        <v>66.88</v>
      </c>
      <c r="Q46" s="264">
        <v>66.88</v>
      </c>
      <c r="R46" s="264">
        <v>66.88</v>
      </c>
      <c r="S46" s="264">
        <v>66.88</v>
      </c>
      <c r="T46" s="264">
        <v>66.88</v>
      </c>
      <c r="U46" s="264">
        <v>66.88</v>
      </c>
      <c r="V46" s="264">
        <v>66.88</v>
      </c>
      <c r="W46" s="264">
        <v>66.88</v>
      </c>
      <c r="X46" s="264">
        <v>66.88</v>
      </c>
      <c r="Y46" s="264">
        <v>66.88</v>
      </c>
      <c r="Z46" s="264">
        <v>66.88</v>
      </c>
      <c r="AA46" s="264">
        <v>66.88</v>
      </c>
      <c r="AB46" s="264">
        <v>66.88</v>
      </c>
      <c r="AC46" s="264">
        <v>66.88</v>
      </c>
      <c r="AD46" s="264">
        <v>66.88</v>
      </c>
      <c r="AE46" s="264">
        <v>66.88</v>
      </c>
      <c r="AF46" s="264">
        <v>66.88</v>
      </c>
      <c r="AG46" s="264">
        <v>66.88</v>
      </c>
      <c r="AH46" s="264">
        <v>66.88</v>
      </c>
      <c r="AI46" s="264">
        <v>66.88</v>
      </c>
      <c r="AJ46" s="264">
        <v>66.88</v>
      </c>
      <c r="AK46" s="264">
        <v>66.88</v>
      </c>
      <c r="AL46" s="264">
        <v>66.88</v>
      </c>
      <c r="AM46" s="264">
        <v>66.88</v>
      </c>
      <c r="AN46" s="264">
        <v>66.88</v>
      </c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  <c r="BK46" s="5"/>
      <c r="BL46" s="5"/>
    </row>
    <row r="47" spans="1:64">
      <c r="A47" s="7" t="s">
        <v>65</v>
      </c>
      <c r="B47" s="263">
        <v>28</v>
      </c>
      <c r="C47" s="263">
        <v>28</v>
      </c>
      <c r="D47" s="263">
        <v>28</v>
      </c>
      <c r="E47" s="263">
        <v>28</v>
      </c>
      <c r="F47" s="263">
        <v>28</v>
      </c>
      <c r="G47" s="263">
        <v>28</v>
      </c>
      <c r="H47" s="263">
        <v>28</v>
      </c>
      <c r="I47" s="263">
        <v>28</v>
      </c>
      <c r="J47" s="263">
        <v>28</v>
      </c>
      <c r="K47" s="263">
        <v>28</v>
      </c>
      <c r="L47" s="263">
        <v>28</v>
      </c>
      <c r="M47" s="263">
        <v>28</v>
      </c>
      <c r="N47" s="263">
        <v>52.57</v>
      </c>
      <c r="O47" s="263">
        <v>52.57</v>
      </c>
      <c r="P47" s="263">
        <v>52.57</v>
      </c>
      <c r="Q47" s="263">
        <v>52.57</v>
      </c>
      <c r="R47" s="263">
        <v>52.57</v>
      </c>
      <c r="S47" s="263">
        <v>52.57</v>
      </c>
      <c r="T47" s="263">
        <v>52.57</v>
      </c>
      <c r="U47" s="263">
        <v>52.57</v>
      </c>
      <c r="V47" s="263">
        <v>52.57</v>
      </c>
      <c r="W47" s="263">
        <v>52.57</v>
      </c>
      <c r="X47" s="263">
        <v>52.57</v>
      </c>
      <c r="Y47" s="263">
        <v>52.57</v>
      </c>
      <c r="Z47" s="263">
        <v>52.57</v>
      </c>
      <c r="AA47" s="263">
        <v>52.57</v>
      </c>
      <c r="AB47" s="263">
        <v>52.57</v>
      </c>
      <c r="AC47" s="263">
        <v>52.57</v>
      </c>
      <c r="AD47" s="263">
        <v>52.57</v>
      </c>
      <c r="AE47" s="263">
        <v>52.57</v>
      </c>
      <c r="AF47" s="263">
        <v>52.57</v>
      </c>
      <c r="AG47" s="263">
        <v>52.57</v>
      </c>
      <c r="AH47" s="263">
        <v>52.57</v>
      </c>
      <c r="AI47" s="263">
        <v>52.57</v>
      </c>
      <c r="AJ47" s="263">
        <v>52.57</v>
      </c>
      <c r="AK47" s="263">
        <v>52.57</v>
      </c>
      <c r="AL47" s="263">
        <v>52.57</v>
      </c>
      <c r="AM47" s="263">
        <v>52.57</v>
      </c>
      <c r="AN47" s="263">
        <v>52.57</v>
      </c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  <c r="BK47" s="5"/>
      <c r="BL47" s="5"/>
    </row>
    <row r="48" spans="1:64">
      <c r="A48" s="255" t="s">
        <v>66</v>
      </c>
      <c r="B48" s="264">
        <v>28</v>
      </c>
      <c r="C48" s="264">
        <v>28</v>
      </c>
      <c r="D48" s="264">
        <v>28</v>
      </c>
      <c r="E48" s="264">
        <v>28</v>
      </c>
      <c r="F48" s="264">
        <v>28</v>
      </c>
      <c r="G48" s="264">
        <v>28</v>
      </c>
      <c r="H48" s="264">
        <v>28</v>
      </c>
      <c r="I48" s="264">
        <v>28</v>
      </c>
      <c r="J48" s="264">
        <v>28</v>
      </c>
      <c r="K48" s="264">
        <v>28</v>
      </c>
      <c r="L48" s="264">
        <v>28</v>
      </c>
      <c r="M48" s="264">
        <v>28</v>
      </c>
      <c r="N48" s="264">
        <v>14</v>
      </c>
      <c r="O48" s="264">
        <v>14</v>
      </c>
      <c r="P48" s="264">
        <v>14</v>
      </c>
      <c r="Q48" s="264">
        <v>14</v>
      </c>
      <c r="R48" s="264">
        <v>14</v>
      </c>
      <c r="S48" s="264">
        <v>14</v>
      </c>
      <c r="T48" s="264">
        <v>14</v>
      </c>
      <c r="U48" s="264">
        <v>14</v>
      </c>
      <c r="V48" s="264">
        <v>14</v>
      </c>
      <c r="W48" s="264">
        <v>14</v>
      </c>
      <c r="X48" s="264">
        <v>14</v>
      </c>
      <c r="Y48" s="264">
        <v>14</v>
      </c>
      <c r="Z48" s="264">
        <v>14</v>
      </c>
      <c r="AA48" s="264">
        <v>14</v>
      </c>
      <c r="AB48" s="264">
        <v>14</v>
      </c>
      <c r="AC48" s="264">
        <v>14</v>
      </c>
      <c r="AD48" s="264">
        <v>14</v>
      </c>
      <c r="AE48" s="264">
        <v>14</v>
      </c>
      <c r="AF48" s="264">
        <v>14</v>
      </c>
      <c r="AG48" s="264">
        <v>14</v>
      </c>
      <c r="AH48" s="264">
        <v>14</v>
      </c>
      <c r="AI48" s="264">
        <v>14</v>
      </c>
      <c r="AJ48" s="264">
        <v>14</v>
      </c>
      <c r="AK48" s="264">
        <v>14</v>
      </c>
      <c r="AL48" s="264">
        <v>14</v>
      </c>
      <c r="AM48" s="264">
        <v>14</v>
      </c>
      <c r="AN48" s="264">
        <v>14</v>
      </c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  <c r="BK48" s="5"/>
      <c r="BL48" s="5"/>
    </row>
    <row r="49" spans="1:64">
      <c r="A49" s="7" t="s">
        <v>67</v>
      </c>
      <c r="B49" s="263">
        <v>21</v>
      </c>
      <c r="C49" s="263">
        <v>21</v>
      </c>
      <c r="D49" s="263">
        <v>21</v>
      </c>
      <c r="E49" s="263">
        <v>21</v>
      </c>
      <c r="F49" s="263">
        <v>21</v>
      </c>
      <c r="G49" s="263">
        <v>21</v>
      </c>
      <c r="H49" s="263">
        <v>21</v>
      </c>
      <c r="I49" s="263">
        <v>21</v>
      </c>
      <c r="J49" s="263">
        <v>21</v>
      </c>
      <c r="K49" s="263">
        <v>21</v>
      </c>
      <c r="L49" s="263">
        <v>21</v>
      </c>
      <c r="M49" s="263">
        <v>21</v>
      </c>
      <c r="N49" s="263">
        <v>21</v>
      </c>
      <c r="O49" s="263">
        <v>21</v>
      </c>
      <c r="P49" s="263">
        <v>21</v>
      </c>
      <c r="Q49" s="263">
        <v>21</v>
      </c>
      <c r="R49" s="263">
        <v>21</v>
      </c>
      <c r="S49" s="263">
        <v>21</v>
      </c>
      <c r="T49" s="263">
        <v>21</v>
      </c>
      <c r="U49" s="263">
        <v>21</v>
      </c>
      <c r="V49" s="263">
        <v>21</v>
      </c>
      <c r="W49" s="263">
        <v>21</v>
      </c>
      <c r="X49" s="263">
        <v>21</v>
      </c>
      <c r="Y49" s="263">
        <v>21</v>
      </c>
      <c r="Z49" s="263">
        <v>21</v>
      </c>
      <c r="AA49" s="263">
        <v>21</v>
      </c>
      <c r="AB49" s="263">
        <v>21</v>
      </c>
      <c r="AC49" s="263">
        <v>21</v>
      </c>
      <c r="AD49" s="263">
        <v>21</v>
      </c>
      <c r="AE49" s="263">
        <v>21</v>
      </c>
      <c r="AF49" s="263">
        <v>21</v>
      </c>
      <c r="AG49" s="263">
        <v>21</v>
      </c>
      <c r="AH49" s="263">
        <v>21</v>
      </c>
      <c r="AI49" s="263">
        <v>21</v>
      </c>
      <c r="AJ49" s="263">
        <v>21</v>
      </c>
      <c r="AK49" s="263">
        <v>21</v>
      </c>
      <c r="AL49" s="263">
        <v>21</v>
      </c>
      <c r="AM49" s="263">
        <v>21</v>
      </c>
      <c r="AN49" s="263">
        <v>21</v>
      </c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  <c r="BK49" s="5"/>
      <c r="BL49" s="5"/>
    </row>
    <row r="50" spans="1:64">
      <c r="A50" s="255" t="s">
        <v>74</v>
      </c>
      <c r="B50" s="264">
        <v>0</v>
      </c>
      <c r="C50" s="264"/>
      <c r="D50" s="264"/>
      <c r="E50" s="264"/>
      <c r="F50" s="264"/>
      <c r="G50" s="264"/>
      <c r="H50" s="264"/>
      <c r="I50" s="264"/>
      <c r="J50" s="264"/>
      <c r="K50" s="264"/>
      <c r="L50" s="264"/>
      <c r="M50" s="264"/>
      <c r="N50" s="264"/>
      <c r="O50" s="264"/>
      <c r="P50" s="264"/>
      <c r="Q50" s="264"/>
      <c r="R50" s="264"/>
      <c r="S50" s="264"/>
      <c r="T50" s="264"/>
      <c r="U50" s="264"/>
      <c r="V50" s="264"/>
      <c r="W50" s="264"/>
      <c r="X50" s="264"/>
      <c r="Y50" s="264"/>
      <c r="Z50" s="264"/>
      <c r="AA50" s="264"/>
      <c r="AB50" s="264"/>
      <c r="AC50" s="264"/>
      <c r="AD50" s="264"/>
      <c r="AE50" s="264"/>
      <c r="AF50" s="264"/>
      <c r="AG50" s="264"/>
      <c r="AH50" s="264"/>
      <c r="AI50" s="264"/>
      <c r="AJ50" s="264"/>
      <c r="AK50" s="264"/>
      <c r="AL50" s="264"/>
      <c r="AM50" s="264"/>
      <c r="AN50" s="264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5"/>
      <c r="BK50" s="5"/>
      <c r="BL50" s="5"/>
    </row>
    <row r="51" spans="1:64" ht="13.5" thickBot="1">
      <c r="A51" s="358" t="s">
        <v>68</v>
      </c>
      <c r="B51" s="362">
        <f t="shared" ref="B51:AM51" si="7">SUM(B45:B50)</f>
        <v>153</v>
      </c>
      <c r="C51" s="362">
        <f t="shared" si="7"/>
        <v>153</v>
      </c>
      <c r="D51" s="362">
        <f t="shared" si="7"/>
        <v>153</v>
      </c>
      <c r="E51" s="362">
        <f t="shared" si="7"/>
        <v>153</v>
      </c>
      <c r="F51" s="362">
        <f t="shared" si="7"/>
        <v>153</v>
      </c>
      <c r="G51" s="362">
        <f t="shared" si="7"/>
        <v>153</v>
      </c>
      <c r="H51" s="362">
        <f t="shared" si="7"/>
        <v>153</v>
      </c>
      <c r="I51" s="362">
        <f t="shared" si="7"/>
        <v>153</v>
      </c>
      <c r="J51" s="362">
        <f t="shared" si="7"/>
        <v>153</v>
      </c>
      <c r="K51" s="362">
        <f t="shared" si="7"/>
        <v>153</v>
      </c>
      <c r="L51" s="362">
        <f t="shared" si="7"/>
        <v>153</v>
      </c>
      <c r="M51" s="362">
        <f t="shared" si="7"/>
        <v>153</v>
      </c>
      <c r="N51" s="362">
        <f t="shared" si="7"/>
        <v>216.45</v>
      </c>
      <c r="O51" s="362">
        <f t="shared" ref="O51:T51" si="8">SUM(O45:O50)</f>
        <v>216.45</v>
      </c>
      <c r="P51" s="362">
        <f t="shared" si="8"/>
        <v>216.45</v>
      </c>
      <c r="Q51" s="362">
        <f t="shared" si="8"/>
        <v>216.45</v>
      </c>
      <c r="R51" s="362">
        <f t="shared" si="8"/>
        <v>216.45</v>
      </c>
      <c r="S51" s="362">
        <f t="shared" si="8"/>
        <v>216.45</v>
      </c>
      <c r="T51" s="362">
        <f t="shared" si="8"/>
        <v>216.45</v>
      </c>
      <c r="U51" s="362">
        <f t="shared" si="7"/>
        <v>216.45</v>
      </c>
      <c r="V51" s="362">
        <f t="shared" si="7"/>
        <v>216.45</v>
      </c>
      <c r="W51" s="362">
        <f t="shared" si="7"/>
        <v>216.45</v>
      </c>
      <c r="X51" s="362">
        <f t="shared" si="7"/>
        <v>216.45</v>
      </c>
      <c r="Y51" s="362">
        <f t="shared" si="7"/>
        <v>216.45</v>
      </c>
      <c r="Z51" s="362">
        <f t="shared" si="7"/>
        <v>216.45</v>
      </c>
      <c r="AA51" s="362">
        <f t="shared" si="7"/>
        <v>216.45</v>
      </c>
      <c r="AB51" s="362">
        <f t="shared" si="7"/>
        <v>216.45</v>
      </c>
      <c r="AC51" s="362">
        <f t="shared" si="7"/>
        <v>216.45</v>
      </c>
      <c r="AD51" s="362">
        <f t="shared" si="7"/>
        <v>216.45</v>
      </c>
      <c r="AE51" s="362">
        <f t="shared" si="7"/>
        <v>216.45</v>
      </c>
      <c r="AF51" s="362">
        <f t="shared" si="7"/>
        <v>216.45</v>
      </c>
      <c r="AG51" s="362">
        <f t="shared" si="7"/>
        <v>216.45</v>
      </c>
      <c r="AH51" s="362">
        <f t="shared" si="7"/>
        <v>216.45</v>
      </c>
      <c r="AI51" s="362">
        <f t="shared" si="7"/>
        <v>216.45</v>
      </c>
      <c r="AJ51" s="362">
        <f t="shared" si="7"/>
        <v>216.45</v>
      </c>
      <c r="AK51" s="362">
        <f t="shared" si="7"/>
        <v>216.45</v>
      </c>
      <c r="AL51" s="362">
        <f t="shared" si="7"/>
        <v>216.45</v>
      </c>
      <c r="AM51" s="362">
        <f t="shared" si="7"/>
        <v>216.45</v>
      </c>
      <c r="AN51" s="362">
        <f>SUM(AN45:AN50)</f>
        <v>216.45</v>
      </c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  <c r="BK51" s="5"/>
      <c r="BL51" s="5"/>
    </row>
    <row r="52" spans="1:64">
      <c r="B52" s="360"/>
      <c r="C52" s="360"/>
      <c r="D52" s="360"/>
      <c r="E52" s="360"/>
      <c r="F52" s="360"/>
      <c r="G52" s="360"/>
      <c r="H52" s="360"/>
      <c r="I52" s="360"/>
      <c r="J52" s="360"/>
      <c r="K52" s="360"/>
      <c r="L52" s="360"/>
      <c r="M52" s="360"/>
      <c r="N52" s="360"/>
      <c r="O52" s="360"/>
      <c r="P52" s="360"/>
      <c r="Q52" s="360"/>
      <c r="R52" s="360"/>
      <c r="S52" s="360"/>
      <c r="T52" s="360"/>
      <c r="U52" s="360"/>
      <c r="V52" s="360"/>
      <c r="W52" s="360"/>
      <c r="X52" s="360"/>
      <c r="Y52" s="360"/>
      <c r="Z52" s="360"/>
      <c r="AA52" s="360"/>
      <c r="AB52" s="360"/>
      <c r="AC52" s="360"/>
      <c r="AD52" s="360"/>
      <c r="AE52" s="360"/>
      <c r="AF52" s="360"/>
      <c r="AG52" s="360"/>
      <c r="AH52" s="360"/>
      <c r="AI52" s="360"/>
      <c r="AJ52" s="360"/>
      <c r="AK52" s="360"/>
      <c r="AL52" s="360"/>
      <c r="AM52" s="360"/>
      <c r="AN52" s="360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  <c r="BK52" s="5"/>
      <c r="BL52" s="5"/>
    </row>
    <row r="53" spans="1:64">
      <c r="A53" s="359" t="s">
        <v>76</v>
      </c>
      <c r="B53" s="360"/>
      <c r="C53" s="360"/>
      <c r="D53" s="360"/>
      <c r="E53" s="360"/>
      <c r="F53" s="360"/>
      <c r="G53" s="360"/>
      <c r="H53" s="360"/>
      <c r="I53" s="360"/>
      <c r="J53" s="360"/>
      <c r="K53" s="360"/>
      <c r="L53" s="360"/>
      <c r="M53" s="360"/>
      <c r="N53" s="360"/>
      <c r="O53" s="360"/>
      <c r="P53" s="360"/>
      <c r="Q53" s="360"/>
      <c r="R53" s="360"/>
      <c r="S53" s="360"/>
      <c r="T53" s="360"/>
      <c r="U53" s="360"/>
      <c r="V53" s="360"/>
      <c r="W53" s="360"/>
      <c r="X53" s="360"/>
      <c r="Y53" s="360"/>
      <c r="Z53" s="360"/>
      <c r="AA53" s="360"/>
      <c r="AB53" s="360"/>
      <c r="AC53" s="360"/>
      <c r="AD53" s="360"/>
      <c r="AE53" s="360"/>
      <c r="AF53" s="360"/>
      <c r="AG53" s="360"/>
      <c r="AH53" s="360"/>
      <c r="AI53" s="360"/>
      <c r="AJ53" s="360"/>
      <c r="AK53" s="360"/>
      <c r="AL53" s="360"/>
      <c r="AM53" s="360"/>
      <c r="AN53" s="360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  <c r="BK53" s="5"/>
      <c r="BL53" s="5"/>
    </row>
    <row r="54" spans="1:64" ht="13.5" thickBot="1">
      <c r="A54" s="357" t="s">
        <v>77</v>
      </c>
      <c r="B54" s="368">
        <f>B$16</f>
        <v>2012</v>
      </c>
      <c r="C54" s="368">
        <f t="shared" ref="C54:AN54" si="9">C$16</f>
        <v>2013</v>
      </c>
      <c r="D54" s="368">
        <f t="shared" si="9"/>
        <v>2014</v>
      </c>
      <c r="E54" s="368">
        <f t="shared" si="9"/>
        <v>2015</v>
      </c>
      <c r="F54" s="368">
        <f t="shared" si="9"/>
        <v>2016</v>
      </c>
      <c r="G54" s="368">
        <f t="shared" si="9"/>
        <v>2017</v>
      </c>
      <c r="H54" s="368">
        <f t="shared" si="9"/>
        <v>2018</v>
      </c>
      <c r="I54" s="368">
        <f t="shared" si="9"/>
        <v>2019</v>
      </c>
      <c r="J54" s="368">
        <f t="shared" si="9"/>
        <v>2020</v>
      </c>
      <c r="K54" s="368">
        <f t="shared" si="9"/>
        <v>2021</v>
      </c>
      <c r="L54" s="368">
        <f t="shared" si="9"/>
        <v>2022</v>
      </c>
      <c r="M54" s="368">
        <f t="shared" si="9"/>
        <v>2023</v>
      </c>
      <c r="N54" s="368">
        <f t="shared" si="9"/>
        <v>2024</v>
      </c>
      <c r="O54" s="368">
        <f t="shared" si="9"/>
        <v>2025</v>
      </c>
      <c r="P54" s="368">
        <f t="shared" si="9"/>
        <v>2026</v>
      </c>
      <c r="Q54" s="368">
        <f t="shared" si="9"/>
        <v>2027</v>
      </c>
      <c r="R54" s="368">
        <f t="shared" si="9"/>
        <v>2028</v>
      </c>
      <c r="S54" s="368">
        <f t="shared" si="9"/>
        <v>2029</v>
      </c>
      <c r="T54" s="368">
        <f t="shared" si="9"/>
        <v>2030</v>
      </c>
      <c r="U54" s="368">
        <f t="shared" si="9"/>
        <v>2031</v>
      </c>
      <c r="V54" s="368">
        <f t="shared" si="9"/>
        <v>2032</v>
      </c>
      <c r="W54" s="368">
        <f t="shared" si="9"/>
        <v>2033</v>
      </c>
      <c r="X54" s="368">
        <f t="shared" si="9"/>
        <v>2034</v>
      </c>
      <c r="Y54" s="368">
        <f t="shared" si="9"/>
        <v>2035</v>
      </c>
      <c r="Z54" s="368">
        <f t="shared" si="9"/>
        <v>2036</v>
      </c>
      <c r="AA54" s="368">
        <f t="shared" si="9"/>
        <v>2037</v>
      </c>
      <c r="AB54" s="368">
        <f t="shared" si="9"/>
        <v>2038</v>
      </c>
      <c r="AC54" s="368">
        <f t="shared" si="9"/>
        <v>2039</v>
      </c>
      <c r="AD54" s="368">
        <f t="shared" si="9"/>
        <v>2040</v>
      </c>
      <c r="AE54" s="368">
        <f t="shared" si="9"/>
        <v>2041</v>
      </c>
      <c r="AF54" s="368">
        <f t="shared" si="9"/>
        <v>2042</v>
      </c>
      <c r="AG54" s="368">
        <f t="shared" si="9"/>
        <v>2043</v>
      </c>
      <c r="AH54" s="368">
        <f t="shared" si="9"/>
        <v>2044</v>
      </c>
      <c r="AI54" s="368">
        <f t="shared" si="9"/>
        <v>2045</v>
      </c>
      <c r="AJ54" s="368">
        <f t="shared" si="9"/>
        <v>2046</v>
      </c>
      <c r="AK54" s="368">
        <f t="shared" si="9"/>
        <v>2047</v>
      </c>
      <c r="AL54" s="368">
        <f t="shared" si="9"/>
        <v>2048</v>
      </c>
      <c r="AM54" s="368">
        <f t="shared" si="9"/>
        <v>2049</v>
      </c>
      <c r="AN54" s="368">
        <f t="shared" si="9"/>
        <v>2050</v>
      </c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  <c r="BK54" s="5"/>
      <c r="BL54" s="5"/>
    </row>
    <row r="55" spans="1:64">
      <c r="A55" s="7" t="s">
        <v>63</v>
      </c>
      <c r="B55" s="263">
        <v>30.838875708231104</v>
      </c>
      <c r="C55" s="263">
        <v>30.838875708231104</v>
      </c>
      <c r="D55" s="263">
        <v>33.064884544755401</v>
      </c>
      <c r="E55" s="263">
        <v>33.064884544755401</v>
      </c>
      <c r="F55" s="263">
        <v>33.064884544755401</v>
      </c>
      <c r="G55" s="263">
        <v>33.064884544755401</v>
      </c>
      <c r="H55" s="263">
        <v>33.064884544755401</v>
      </c>
      <c r="I55" s="263">
        <v>33.064884544755401</v>
      </c>
      <c r="J55" s="263">
        <v>35.206621082287896</v>
      </c>
      <c r="K55" s="263">
        <v>37.348357619820391</v>
      </c>
      <c r="L55" s="263">
        <v>39.490094157352885</v>
      </c>
      <c r="M55" s="263">
        <v>50.198776845015367</v>
      </c>
      <c r="N55" s="263">
        <v>50.198776845015367</v>
      </c>
      <c r="O55" s="263">
        <v>50.198776845015367</v>
      </c>
      <c r="P55" s="263">
        <v>50.198776845015367</v>
      </c>
      <c r="Q55" s="263">
        <v>50.198776845015367</v>
      </c>
      <c r="R55" s="263">
        <v>50.198776845015367</v>
      </c>
      <c r="S55" s="263">
        <v>50.198776845015367</v>
      </c>
      <c r="T55" s="263">
        <v>50.198776845015367</v>
      </c>
      <c r="U55" s="263">
        <v>50.198776845015367</v>
      </c>
      <c r="V55" s="263">
        <v>50.198776845015367</v>
      </c>
      <c r="W55" s="263">
        <v>50.198776845015367</v>
      </c>
      <c r="X55" s="263">
        <v>50.198776845015367</v>
      </c>
      <c r="Y55" s="263">
        <v>50.198776845015367</v>
      </c>
      <c r="Z55" s="263">
        <v>50.198776845015367</v>
      </c>
      <c r="AA55" s="263">
        <v>50.198776845015367</v>
      </c>
      <c r="AB55" s="263">
        <v>50.198776845015367</v>
      </c>
      <c r="AC55" s="263">
        <v>50.198776845015367</v>
      </c>
      <c r="AD55" s="263">
        <v>50.198776845015367</v>
      </c>
      <c r="AE55" s="263">
        <v>50.198776845015367</v>
      </c>
      <c r="AF55" s="263">
        <v>50.198776845015367</v>
      </c>
      <c r="AG55" s="263">
        <v>50.198776845015367</v>
      </c>
      <c r="AH55" s="263">
        <v>50.198776845015367</v>
      </c>
      <c r="AI55" s="263">
        <v>50.198776845015367</v>
      </c>
      <c r="AJ55" s="263">
        <v>50.198776845015367</v>
      </c>
      <c r="AK55" s="263">
        <v>50.198776845015367</v>
      </c>
      <c r="AL55" s="263">
        <v>50.198776845015367</v>
      </c>
      <c r="AM55" s="263">
        <v>50.198776845015367</v>
      </c>
      <c r="AN55" s="263">
        <v>50.198776845015367</v>
      </c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  <c r="BK55" s="5"/>
      <c r="BL55" s="5"/>
    </row>
    <row r="56" spans="1:64">
      <c r="A56" s="255" t="s">
        <v>64</v>
      </c>
      <c r="B56" s="264">
        <v>3.0021601764785366</v>
      </c>
      <c r="C56" s="264">
        <v>3.0021601764785366</v>
      </c>
      <c r="D56" s="264">
        <v>3.3276339572763627</v>
      </c>
      <c r="E56" s="264">
        <v>3.3518713726801312</v>
      </c>
      <c r="F56" s="264">
        <v>3.3518713726801312</v>
      </c>
      <c r="G56" s="264">
        <v>3.3518713726801312</v>
      </c>
      <c r="H56" s="264">
        <v>3.3518713726801312</v>
      </c>
      <c r="I56" s="264">
        <v>5.4936079102126278</v>
      </c>
      <c r="J56" s="264">
        <v>5.4936079102126278</v>
      </c>
      <c r="K56" s="264">
        <v>5.4936079102126278</v>
      </c>
      <c r="L56" s="264">
        <v>5.4936079102126278</v>
      </c>
      <c r="M56" s="264">
        <v>5.4936079102126278</v>
      </c>
      <c r="N56" s="264">
        <v>5.4936079102126278</v>
      </c>
      <c r="O56" s="264">
        <v>5.4936079102126278</v>
      </c>
      <c r="P56" s="264">
        <v>5.4936079102126278</v>
      </c>
      <c r="Q56" s="264">
        <v>5.4936079102126278</v>
      </c>
      <c r="R56" s="264">
        <v>5.4936079102126278</v>
      </c>
      <c r="S56" s="264">
        <v>5.4936079102126278</v>
      </c>
      <c r="T56" s="264">
        <v>5.4936079102126278</v>
      </c>
      <c r="U56" s="264">
        <v>5.4936079102126278</v>
      </c>
      <c r="V56" s="264">
        <v>5.9539056033956408</v>
      </c>
      <c r="W56" s="264">
        <v>7.5853408627063033</v>
      </c>
      <c r="X56" s="264">
        <v>9.1941660181312184</v>
      </c>
      <c r="Y56" s="264">
        <v>10.792025093672535</v>
      </c>
      <c r="Z56" s="264">
        <v>16.71426477684555</v>
      </c>
      <c r="AA56" s="264">
        <v>22.663089986228677</v>
      </c>
      <c r="AB56" s="264">
        <v>28.525902517804152</v>
      </c>
      <c r="AC56" s="264">
        <v>34.385919156388532</v>
      </c>
      <c r="AD56" s="264">
        <v>40.337961736058723</v>
      </c>
      <c r="AE56" s="264">
        <v>41.513615425000346</v>
      </c>
      <c r="AF56" s="264">
        <v>42.673777477781393</v>
      </c>
      <c r="AG56" s="264">
        <v>43.779876100397779</v>
      </c>
      <c r="AH56" s="264">
        <v>44.881109109648499</v>
      </c>
      <c r="AI56" s="264">
        <v>45.971072778173941</v>
      </c>
      <c r="AJ56" s="264">
        <v>45.811058655789594</v>
      </c>
      <c r="AK56" s="264">
        <v>45.663776426598389</v>
      </c>
      <c r="AL56" s="264">
        <v>45.50522461956988</v>
      </c>
      <c r="AM56" s="264">
        <v>45.341968768490055</v>
      </c>
      <c r="AN56" s="264">
        <v>45.14233242388093</v>
      </c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5"/>
      <c r="BF56" s="5"/>
      <c r="BG56" s="5"/>
      <c r="BH56" s="5"/>
      <c r="BI56" s="5"/>
      <c r="BJ56" s="5"/>
      <c r="BK56" s="5"/>
      <c r="BL56" s="5"/>
    </row>
    <row r="57" spans="1:64">
      <c r="A57" s="7" t="s">
        <v>65</v>
      </c>
      <c r="B57" s="263">
        <v>9.3348550724470964</v>
      </c>
      <c r="C57" s="263">
        <v>9.3348550724470964</v>
      </c>
      <c r="D57" s="263">
        <v>9.3348550724470964</v>
      </c>
      <c r="E57" s="263">
        <v>9.3348550724470964</v>
      </c>
      <c r="F57" s="263">
        <v>9.3348550724470964</v>
      </c>
      <c r="G57" s="263">
        <v>11.786953368879697</v>
      </c>
      <c r="H57" s="263">
        <v>11.786953368879697</v>
      </c>
      <c r="I57" s="263">
        <v>11.786953368879697</v>
      </c>
      <c r="J57" s="263">
        <v>11.786953368879697</v>
      </c>
      <c r="K57" s="263">
        <v>11.786953368879697</v>
      </c>
      <c r="L57" s="263">
        <v>11.786953368879697</v>
      </c>
      <c r="M57" s="263">
        <v>11.786953368879697</v>
      </c>
      <c r="N57" s="263">
        <v>11.786953368879697</v>
      </c>
      <c r="O57" s="263">
        <v>14.1162482309498</v>
      </c>
      <c r="P57" s="263">
        <v>14.1162482309498</v>
      </c>
      <c r="Q57" s="263">
        <v>14.1162482309498</v>
      </c>
      <c r="R57" s="263">
        <v>14.1162482309498</v>
      </c>
      <c r="S57" s="263">
        <v>14.1162482309498</v>
      </c>
      <c r="T57" s="263">
        <v>14.1162482309498</v>
      </c>
      <c r="U57" s="263">
        <v>14.1162482309498</v>
      </c>
      <c r="V57" s="263">
        <v>15.65924370367196</v>
      </c>
      <c r="W57" s="263">
        <v>17.27506950941503</v>
      </c>
      <c r="X57" s="263">
        <v>18.861897810576025</v>
      </c>
      <c r="Y57" s="263">
        <v>20.433862091806837</v>
      </c>
      <c r="Z57" s="263">
        <v>20.955303263146526</v>
      </c>
      <c r="AA57" s="263">
        <v>21.705191426348563</v>
      </c>
      <c r="AB57" s="263">
        <v>22.352057153944237</v>
      </c>
      <c r="AC57" s="263">
        <v>22.988469143047535</v>
      </c>
      <c r="AD57" s="263">
        <v>23.738489590238014</v>
      </c>
      <c r="AE57" s="263">
        <v>24.746702416075372</v>
      </c>
      <c r="AF57" s="263">
        <v>25.734623186780357</v>
      </c>
      <c r="AG57" s="263">
        <v>26.651395497474159</v>
      </c>
      <c r="AH57" s="263">
        <v>27.559588649052376</v>
      </c>
      <c r="AI57" s="263">
        <v>28.479238848049324</v>
      </c>
      <c r="AJ57" s="263">
        <v>25.895171823785184</v>
      </c>
      <c r="AK57" s="263">
        <v>23.32743347864043</v>
      </c>
      <c r="AL57" s="263">
        <v>20.745241876817722</v>
      </c>
      <c r="AM57" s="263">
        <v>18.157017328856352</v>
      </c>
      <c r="AN57" s="263">
        <v>15.522134723367031</v>
      </c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  <c r="BK57" s="5"/>
      <c r="BL57" s="5"/>
    </row>
    <row r="58" spans="1:64">
      <c r="A58" s="255" t="s">
        <v>66</v>
      </c>
      <c r="B58" s="264">
        <v>4.2102716256046095</v>
      </c>
      <c r="C58" s="264">
        <v>4.2102716256046095</v>
      </c>
      <c r="D58" s="264">
        <v>6.4660607164092285</v>
      </c>
      <c r="E58" s="264">
        <v>6.4660607164092285</v>
      </c>
      <c r="F58" s="264">
        <v>6.4660607164092285</v>
      </c>
      <c r="G58" s="264">
        <v>6.4660607164092285</v>
      </c>
      <c r="H58" s="264">
        <v>6.4660607164092285</v>
      </c>
      <c r="I58" s="264">
        <v>6.4660607164092285</v>
      </c>
      <c r="J58" s="264">
        <v>6.4660607164092285</v>
      </c>
      <c r="K58" s="264">
        <v>6.4660607164092285</v>
      </c>
      <c r="L58" s="264">
        <v>6.4660607164092285</v>
      </c>
      <c r="M58" s="264">
        <v>6.4660607164092285</v>
      </c>
      <c r="N58" s="264">
        <v>9.8811878403604805</v>
      </c>
      <c r="O58" s="264">
        <v>32.128740107146697</v>
      </c>
      <c r="P58" s="264">
        <v>32.128740107146697</v>
      </c>
      <c r="Q58" s="264">
        <v>32.128740107146697</v>
      </c>
      <c r="R58" s="264">
        <v>32.128740107146697</v>
      </c>
      <c r="S58" s="264">
        <v>32.128740107146697</v>
      </c>
      <c r="T58" s="264">
        <v>32.128740107146697</v>
      </c>
      <c r="U58" s="264">
        <v>32.128740107146697</v>
      </c>
      <c r="V58" s="264">
        <v>32.558971309630522</v>
      </c>
      <c r="W58" s="264">
        <v>32.389202512114345</v>
      </c>
      <c r="X58" s="264">
        <v>32.819433714598169</v>
      </c>
      <c r="Y58" s="264">
        <v>34.368664917081979</v>
      </c>
      <c r="Z58" s="264">
        <v>39.92743493266547</v>
      </c>
      <c r="AA58" s="264">
        <v>45.034204948248963</v>
      </c>
      <c r="AB58" s="264">
        <v>50.037974963832447</v>
      </c>
      <c r="AC58" s="264">
        <v>55.200744979415937</v>
      </c>
      <c r="AD58" s="264">
        <v>60.769514994999426</v>
      </c>
      <c r="AE58" s="264">
        <v>64.697494539668298</v>
      </c>
      <c r="AF58" s="264">
        <v>68.642474084337181</v>
      </c>
      <c r="AG58" s="264">
        <v>72.627453629006069</v>
      </c>
      <c r="AH58" s="264">
        <v>76.581433173674938</v>
      </c>
      <c r="AI58" s="264">
        <v>80.623412718343801</v>
      </c>
      <c r="AJ58" s="264">
        <v>81.615587102648405</v>
      </c>
      <c r="AK58" s="264">
        <v>82.607761486953024</v>
      </c>
      <c r="AL58" s="264">
        <v>83.599935871257642</v>
      </c>
      <c r="AM58" s="264">
        <v>84.592110255562247</v>
      </c>
      <c r="AN58" s="264">
        <v>85.584284639866894</v>
      </c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  <c r="BK58" s="5"/>
      <c r="BL58" s="5"/>
    </row>
    <row r="59" spans="1:64">
      <c r="A59" s="7" t="s">
        <v>67</v>
      </c>
      <c r="B59" s="263">
        <v>3.6495059333171662</v>
      </c>
      <c r="C59" s="263">
        <v>3.6495059333171662</v>
      </c>
      <c r="D59" s="263">
        <v>6.1561470782765824</v>
      </c>
      <c r="E59" s="263">
        <v>5.5804944076545411</v>
      </c>
      <c r="F59" s="263">
        <v>5.6756842715820319</v>
      </c>
      <c r="G59" s="263">
        <v>5.6756842715820319</v>
      </c>
      <c r="H59" s="263">
        <v>5.6756842715820319</v>
      </c>
      <c r="I59" s="263">
        <v>5.6756842715820319</v>
      </c>
      <c r="J59" s="263">
        <v>5.6756842715820319</v>
      </c>
      <c r="K59" s="263">
        <v>5.6756842715820319</v>
      </c>
      <c r="L59" s="263">
        <v>5.6756842715820319</v>
      </c>
      <c r="M59" s="263">
        <v>5.6756842715820319</v>
      </c>
      <c r="N59" s="263">
        <v>10.606199435128088</v>
      </c>
      <c r="O59" s="263">
        <v>10.266920206494342</v>
      </c>
      <c r="P59" s="263">
        <v>10.266920206494342</v>
      </c>
      <c r="Q59" s="263">
        <v>10.266920206494342</v>
      </c>
      <c r="R59" s="263">
        <v>10.266920206494342</v>
      </c>
      <c r="S59" s="263">
        <v>10.266920206494342</v>
      </c>
      <c r="T59" s="263">
        <v>10.266920206494342</v>
      </c>
      <c r="U59" s="263">
        <v>10.266920206494342</v>
      </c>
      <c r="V59" s="263">
        <v>13.034533985011063</v>
      </c>
      <c r="W59" s="263">
        <v>15.804862738449327</v>
      </c>
      <c r="X59" s="263">
        <v>18.574110520615566</v>
      </c>
      <c r="Y59" s="263">
        <v>21.342834023133165</v>
      </c>
      <c r="Z59" s="263">
        <v>22.413034811945707</v>
      </c>
      <c r="AA59" s="263">
        <v>23.484506633842845</v>
      </c>
      <c r="AB59" s="263">
        <v>24.551866257308252</v>
      </c>
      <c r="AC59" s="263">
        <v>25.619092211330198</v>
      </c>
      <c r="AD59" s="263">
        <v>26.6907178531686</v>
      </c>
      <c r="AE59" s="263">
        <v>27.191964400601616</v>
      </c>
      <c r="AF59" s="263">
        <v>27.692470305102123</v>
      </c>
      <c r="AG59" s="263">
        <v>28.190391479555817</v>
      </c>
      <c r="AH59" s="263">
        <v>28.688080032863859</v>
      </c>
      <c r="AI59" s="263">
        <v>29.185229807861088</v>
      </c>
      <c r="AJ59" s="263">
        <v>29.363951649285546</v>
      </c>
      <c r="AK59" s="263">
        <v>29.543282192503234</v>
      </c>
      <c r="AL59" s="263">
        <v>29.722073946073976</v>
      </c>
      <c r="AM59" s="263">
        <v>29.900640803000829</v>
      </c>
      <c r="AN59" s="263">
        <v>30.077468337164468</v>
      </c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5"/>
      <c r="BF59" s="5"/>
      <c r="BG59" s="5"/>
      <c r="BH59" s="5"/>
      <c r="BI59" s="5"/>
      <c r="BJ59" s="5"/>
      <c r="BK59" s="5"/>
      <c r="BL59" s="5"/>
    </row>
    <row r="60" spans="1:64">
      <c r="A60" s="255" t="s">
        <v>74</v>
      </c>
      <c r="B60" s="264">
        <v>0</v>
      </c>
      <c r="C60" s="264">
        <v>0</v>
      </c>
      <c r="D60" s="264">
        <v>0</v>
      </c>
      <c r="E60" s="264">
        <v>0</v>
      </c>
      <c r="F60" s="264">
        <v>0</v>
      </c>
      <c r="G60" s="264">
        <v>0</v>
      </c>
      <c r="H60" s="264">
        <v>0</v>
      </c>
      <c r="I60" s="264">
        <v>0</v>
      </c>
      <c r="J60" s="264">
        <v>0</v>
      </c>
      <c r="K60" s="264">
        <v>0</v>
      </c>
      <c r="L60" s="264">
        <v>0</v>
      </c>
      <c r="M60" s="264">
        <v>0</v>
      </c>
      <c r="N60" s="264">
        <v>0.64218281249833953</v>
      </c>
      <c r="O60" s="264">
        <v>1.7664259372694027</v>
      </c>
      <c r="P60" s="264">
        <v>1.7664259372694027</v>
      </c>
      <c r="Q60" s="264">
        <v>1.7664259372694027</v>
      </c>
      <c r="R60" s="264">
        <v>1.7664259372694027</v>
      </c>
      <c r="S60" s="264">
        <v>1.7664259372694027</v>
      </c>
      <c r="T60" s="264">
        <v>1.7664259372694027</v>
      </c>
      <c r="U60" s="264">
        <v>1.7664259372694027</v>
      </c>
      <c r="V60" s="264">
        <v>1.9743721629312017</v>
      </c>
      <c r="W60" s="264">
        <v>2.1823183885930009</v>
      </c>
      <c r="X60" s="264">
        <v>2.3902646142547996</v>
      </c>
      <c r="Y60" s="264">
        <v>2.598210839916598</v>
      </c>
      <c r="Z60" s="264">
        <v>2.8291333022314697</v>
      </c>
      <c r="AA60" s="264">
        <v>3.0600557645463415</v>
      </c>
      <c r="AB60" s="264">
        <v>3.2909782268612129</v>
      </c>
      <c r="AC60" s="264">
        <v>3.5219006891760847</v>
      </c>
      <c r="AD60" s="264">
        <v>3.7528231514909556</v>
      </c>
      <c r="AE60" s="264">
        <v>3.9404721982758106</v>
      </c>
      <c r="AF60" s="264">
        <v>4.1281212450606652</v>
      </c>
      <c r="AG60" s="264">
        <v>4.3157702918455199</v>
      </c>
      <c r="AH60" s="264">
        <v>4.5034193386303745</v>
      </c>
      <c r="AI60" s="264">
        <v>4.6910683854152291</v>
      </c>
      <c r="AJ60" s="264">
        <v>4.723560493593447</v>
      </c>
      <c r="AK60" s="264">
        <v>4.7560526017716649</v>
      </c>
      <c r="AL60" s="264">
        <v>4.7885447099498828</v>
      </c>
      <c r="AM60" s="264">
        <v>4.8210368181280998</v>
      </c>
      <c r="AN60" s="264">
        <v>4.8535289263063186</v>
      </c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5"/>
      <c r="BF60" s="5"/>
      <c r="BG60" s="5"/>
      <c r="BH60" s="5"/>
      <c r="BI60" s="5"/>
      <c r="BJ60" s="5"/>
      <c r="BK60" s="5"/>
      <c r="BL60" s="5"/>
    </row>
    <row r="61" spans="1:64" ht="13.5" thickBot="1">
      <c r="A61" s="358" t="s">
        <v>68</v>
      </c>
      <c r="B61" s="362">
        <f t="shared" ref="B61" si="10">SUM(B55:B60)</f>
        <v>51.035668516078516</v>
      </c>
      <c r="C61" s="362">
        <f t="shared" ref="C61" si="11">SUM(C55:C60)</f>
        <v>51.035668516078516</v>
      </c>
      <c r="D61" s="362">
        <f t="shared" ref="D61" si="12">SUM(D55:D60)</f>
        <v>58.349581369164675</v>
      </c>
      <c r="E61" s="362">
        <f t="shared" ref="E61" si="13">SUM(E55:E60)</f>
        <v>57.798166113946401</v>
      </c>
      <c r="F61" s="362">
        <f t="shared" ref="F61" si="14">SUM(F55:F60)</f>
        <v>57.893355977873895</v>
      </c>
      <c r="G61" s="362">
        <f t="shared" ref="G61" si="15">SUM(G55:G60)</f>
        <v>60.345454274306491</v>
      </c>
      <c r="H61" s="362">
        <f t="shared" ref="H61" si="16">SUM(H55:H60)</f>
        <v>60.345454274306491</v>
      </c>
      <c r="I61" s="362">
        <f t="shared" ref="I61" si="17">SUM(I55:I60)</f>
        <v>62.487190811838985</v>
      </c>
      <c r="J61" s="362">
        <f t="shared" ref="J61" si="18">SUM(J55:J60)</f>
        <v>64.62892734937148</v>
      </c>
      <c r="K61" s="362">
        <f t="shared" ref="K61" si="19">SUM(K55:K60)</f>
        <v>66.770663886903975</v>
      </c>
      <c r="L61" s="362">
        <f t="shared" ref="L61" si="20">SUM(L55:L60)</f>
        <v>68.91240042443647</v>
      </c>
      <c r="M61" s="362">
        <f t="shared" ref="M61" si="21">SUM(M55:M60)</f>
        <v>79.621083112098944</v>
      </c>
      <c r="N61" s="362">
        <f t="shared" ref="N61:T61" si="22">SUM(N55:N60)</f>
        <v>88.60890821209459</v>
      </c>
      <c r="O61" s="362">
        <f t="shared" si="22"/>
        <v>113.97071923708825</v>
      </c>
      <c r="P61" s="362">
        <f t="shared" si="22"/>
        <v>113.97071923708825</v>
      </c>
      <c r="Q61" s="362">
        <f t="shared" si="22"/>
        <v>113.97071923708825</v>
      </c>
      <c r="R61" s="362">
        <f t="shared" si="22"/>
        <v>113.97071923708825</v>
      </c>
      <c r="S61" s="362">
        <f t="shared" si="22"/>
        <v>113.97071923708825</v>
      </c>
      <c r="T61" s="362">
        <f t="shared" si="22"/>
        <v>113.97071923708825</v>
      </c>
      <c r="U61" s="362">
        <f t="shared" ref="U61" si="23">SUM(U55:U60)</f>
        <v>113.97071923708825</v>
      </c>
      <c r="V61" s="362">
        <f t="shared" ref="V61" si="24">SUM(V55:V60)</f>
        <v>119.37980360965575</v>
      </c>
      <c r="W61" s="362">
        <f t="shared" ref="W61" si="25">SUM(W55:W60)</f>
        <v>125.43557085629337</v>
      </c>
      <c r="X61" s="362">
        <f t="shared" ref="X61" si="26">SUM(X55:X60)</f>
        <v>132.03864952319114</v>
      </c>
      <c r="Y61" s="362">
        <f t="shared" ref="Y61" si="27">SUM(Y55:Y60)</f>
        <v>139.73437381062649</v>
      </c>
      <c r="Z61" s="362">
        <f t="shared" ref="Z61" si="28">SUM(Z55:Z60)</f>
        <v>153.03794793185011</v>
      </c>
      <c r="AA61" s="362">
        <f t="shared" ref="AA61" si="29">SUM(AA55:AA60)</f>
        <v>166.14582560423077</v>
      </c>
      <c r="AB61" s="362">
        <f t="shared" ref="AB61" si="30">SUM(AB55:AB60)</f>
        <v>178.95755596476567</v>
      </c>
      <c r="AC61" s="362">
        <f t="shared" ref="AC61" si="31">SUM(AC55:AC60)</f>
        <v>191.91490302437367</v>
      </c>
      <c r="AD61" s="362">
        <f t="shared" ref="AD61" si="32">SUM(AD55:AD60)</f>
        <v>205.4882841709711</v>
      </c>
      <c r="AE61" s="362">
        <f t="shared" ref="AE61" si="33">SUM(AE55:AE60)</f>
        <v>212.28902582463681</v>
      </c>
      <c r="AF61" s="362">
        <f t="shared" ref="AF61" si="34">SUM(AF55:AF60)</f>
        <v>219.07024314407707</v>
      </c>
      <c r="AG61" s="362">
        <f t="shared" ref="AG61" si="35">SUM(AG55:AG60)</f>
        <v>225.76366384329472</v>
      </c>
      <c r="AH61" s="362">
        <f t="shared" ref="AH61" si="36">SUM(AH55:AH60)</f>
        <v>232.41240714888542</v>
      </c>
      <c r="AI61" s="362">
        <f t="shared" ref="AI61" si="37">SUM(AI55:AI60)</f>
        <v>239.14879938285875</v>
      </c>
      <c r="AJ61" s="362">
        <f t="shared" ref="AJ61" si="38">SUM(AJ55:AJ60)</f>
        <v>237.60810657011757</v>
      </c>
      <c r="AK61" s="362">
        <f t="shared" ref="AK61" si="39">SUM(AK55:AK60)</f>
        <v>236.0970830314821</v>
      </c>
      <c r="AL61" s="362">
        <f t="shared" ref="AL61" si="40">SUM(AL55:AL60)</f>
        <v>234.55979786868446</v>
      </c>
      <c r="AM61" s="362">
        <f t="shared" ref="AM61" si="41">SUM(AM55:AM60)</f>
        <v>233.01155081905296</v>
      </c>
      <c r="AN61" s="362">
        <f>SUM(AN55:AN60)</f>
        <v>231.37852589560103</v>
      </c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  <c r="BK61" s="5"/>
      <c r="BL61" s="5"/>
    </row>
    <row r="62" spans="1:64">
      <c r="A62" s="359"/>
      <c r="B62" s="360"/>
      <c r="C62" s="360"/>
      <c r="D62" s="360"/>
      <c r="E62" s="360"/>
      <c r="F62" s="360"/>
      <c r="G62" s="360"/>
      <c r="H62" s="360"/>
      <c r="I62" s="360"/>
      <c r="J62" s="360"/>
      <c r="K62" s="360"/>
      <c r="L62" s="360"/>
      <c r="M62" s="360"/>
      <c r="N62" s="360"/>
      <c r="O62" s="360"/>
      <c r="P62" s="360"/>
      <c r="Q62" s="360"/>
      <c r="R62" s="360"/>
      <c r="S62" s="360"/>
      <c r="T62" s="360"/>
      <c r="U62" s="360"/>
      <c r="V62" s="360"/>
      <c r="W62" s="360"/>
      <c r="X62" s="360"/>
      <c r="Y62" s="360"/>
      <c r="Z62" s="360"/>
      <c r="AA62" s="360"/>
      <c r="AB62" s="360"/>
      <c r="AC62" s="360"/>
      <c r="AD62" s="360"/>
      <c r="AE62" s="360"/>
      <c r="AF62" s="360"/>
      <c r="AG62" s="360"/>
      <c r="AH62" s="360"/>
      <c r="AI62" s="360"/>
      <c r="AJ62" s="360"/>
      <c r="AK62" s="360"/>
      <c r="AL62" s="360"/>
      <c r="AM62" s="360"/>
      <c r="AN62" s="360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  <c r="BK62" s="5"/>
      <c r="BL62" s="5"/>
    </row>
    <row r="63" spans="1:64" ht="13.5" thickBot="1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  <c r="BK63" s="5"/>
      <c r="BL63" s="5"/>
    </row>
    <row r="64" spans="1:64">
      <c r="A64" s="355" t="s">
        <v>78</v>
      </c>
      <c r="B64" s="355"/>
      <c r="C64" s="355"/>
      <c r="D64" s="355"/>
      <c r="E64" s="355"/>
      <c r="F64" s="355"/>
      <c r="G64" s="355"/>
      <c r="H64" s="355"/>
      <c r="I64" s="355"/>
      <c r="J64" s="355"/>
      <c r="K64" s="355"/>
      <c r="L64" s="355"/>
      <c r="M64" s="355"/>
      <c r="N64" s="355"/>
      <c r="O64" s="355"/>
      <c r="P64" s="355"/>
      <c r="Q64" s="355"/>
      <c r="R64" s="355"/>
      <c r="S64" s="355"/>
      <c r="T64" s="355"/>
      <c r="U64" s="355"/>
      <c r="V64" s="355"/>
      <c r="W64" s="355"/>
      <c r="X64" s="355"/>
      <c r="Y64" s="355"/>
      <c r="Z64" s="355"/>
      <c r="AA64" s="355"/>
      <c r="AB64" s="355"/>
      <c r="AC64" s="355"/>
      <c r="AD64" s="355"/>
      <c r="AE64" s="355"/>
      <c r="AF64" s="355"/>
      <c r="AG64" s="355"/>
      <c r="AH64" s="355"/>
      <c r="AI64" s="355"/>
      <c r="AJ64" s="355"/>
      <c r="AK64" s="355"/>
      <c r="AL64" s="355"/>
      <c r="AM64" s="355"/>
      <c r="AN64" s="35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  <c r="BK64" s="5"/>
      <c r="BL64" s="5"/>
    </row>
    <row r="65" spans="1:64" ht="13.5" thickBot="1">
      <c r="A65" s="356" t="s">
        <v>73</v>
      </c>
      <c r="B65" s="357">
        <f>B$16</f>
        <v>2012</v>
      </c>
      <c r="C65" s="357">
        <f t="shared" ref="C65:AN65" si="42">C$16</f>
        <v>2013</v>
      </c>
      <c r="D65" s="357">
        <f t="shared" si="42"/>
        <v>2014</v>
      </c>
      <c r="E65" s="357">
        <f t="shared" si="42"/>
        <v>2015</v>
      </c>
      <c r="F65" s="357">
        <f t="shared" si="42"/>
        <v>2016</v>
      </c>
      <c r="G65" s="357">
        <f t="shared" si="42"/>
        <v>2017</v>
      </c>
      <c r="H65" s="357">
        <f t="shared" si="42"/>
        <v>2018</v>
      </c>
      <c r="I65" s="357">
        <f t="shared" si="42"/>
        <v>2019</v>
      </c>
      <c r="J65" s="357">
        <f t="shared" si="42"/>
        <v>2020</v>
      </c>
      <c r="K65" s="357">
        <f t="shared" si="42"/>
        <v>2021</v>
      </c>
      <c r="L65" s="357">
        <f t="shared" si="42"/>
        <v>2022</v>
      </c>
      <c r="M65" s="357">
        <f t="shared" si="42"/>
        <v>2023</v>
      </c>
      <c r="N65" s="357">
        <f t="shared" si="42"/>
        <v>2024</v>
      </c>
      <c r="O65" s="357">
        <f t="shared" si="42"/>
        <v>2025</v>
      </c>
      <c r="P65" s="357">
        <f t="shared" si="42"/>
        <v>2026</v>
      </c>
      <c r="Q65" s="357">
        <f t="shared" si="42"/>
        <v>2027</v>
      </c>
      <c r="R65" s="357">
        <f t="shared" si="42"/>
        <v>2028</v>
      </c>
      <c r="S65" s="357">
        <f t="shared" si="42"/>
        <v>2029</v>
      </c>
      <c r="T65" s="357">
        <f t="shared" si="42"/>
        <v>2030</v>
      </c>
      <c r="U65" s="357">
        <f t="shared" si="42"/>
        <v>2031</v>
      </c>
      <c r="V65" s="357">
        <f t="shared" si="42"/>
        <v>2032</v>
      </c>
      <c r="W65" s="357">
        <f t="shared" si="42"/>
        <v>2033</v>
      </c>
      <c r="X65" s="357">
        <f t="shared" si="42"/>
        <v>2034</v>
      </c>
      <c r="Y65" s="357">
        <f t="shared" si="42"/>
        <v>2035</v>
      </c>
      <c r="Z65" s="357">
        <f t="shared" si="42"/>
        <v>2036</v>
      </c>
      <c r="AA65" s="357">
        <f t="shared" si="42"/>
        <v>2037</v>
      </c>
      <c r="AB65" s="357">
        <f t="shared" si="42"/>
        <v>2038</v>
      </c>
      <c r="AC65" s="357">
        <f t="shared" si="42"/>
        <v>2039</v>
      </c>
      <c r="AD65" s="357">
        <f t="shared" si="42"/>
        <v>2040</v>
      </c>
      <c r="AE65" s="357">
        <f t="shared" si="42"/>
        <v>2041</v>
      </c>
      <c r="AF65" s="357">
        <f t="shared" si="42"/>
        <v>2042</v>
      </c>
      <c r="AG65" s="357">
        <f t="shared" si="42"/>
        <v>2043</v>
      </c>
      <c r="AH65" s="357">
        <f t="shared" si="42"/>
        <v>2044</v>
      </c>
      <c r="AI65" s="357">
        <f t="shared" si="42"/>
        <v>2045</v>
      </c>
      <c r="AJ65" s="357">
        <f t="shared" si="42"/>
        <v>2046</v>
      </c>
      <c r="AK65" s="357">
        <f t="shared" si="42"/>
        <v>2047</v>
      </c>
      <c r="AL65" s="357">
        <f t="shared" si="42"/>
        <v>2048</v>
      </c>
      <c r="AM65" s="357">
        <f t="shared" si="42"/>
        <v>2049</v>
      </c>
      <c r="AN65" s="357">
        <f t="shared" si="42"/>
        <v>2050</v>
      </c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  <c r="BK65" s="5"/>
      <c r="BL65" s="5"/>
    </row>
    <row r="66" spans="1:64">
      <c r="A66" s="7" t="s">
        <v>63</v>
      </c>
      <c r="B66" s="263">
        <v>30.838875708231104</v>
      </c>
      <c r="C66" s="263">
        <v>30.838875708231104</v>
      </c>
      <c r="D66" s="263">
        <v>33.064884544755401</v>
      </c>
      <c r="E66" s="263">
        <v>33.064884544755401</v>
      </c>
      <c r="F66" s="263">
        <v>33.064884544755401</v>
      </c>
      <c r="G66" s="263">
        <v>33.064884544755401</v>
      </c>
      <c r="H66" s="263">
        <v>33.064884544755401</v>
      </c>
      <c r="I66" s="263">
        <v>33.064884544755401</v>
      </c>
      <c r="J66" s="263">
        <v>35.206621082287896</v>
      </c>
      <c r="K66" s="263">
        <v>37.348357619820391</v>
      </c>
      <c r="L66" s="263">
        <v>39.490094157352885</v>
      </c>
      <c r="M66" s="263">
        <v>50.198776845015367</v>
      </c>
      <c r="N66" s="263">
        <v>112.19877684501537</v>
      </c>
      <c r="O66" s="263">
        <v>112.19877684501537</v>
      </c>
      <c r="P66" s="263">
        <v>112.19877684501537</v>
      </c>
      <c r="Q66" s="263">
        <v>112.19877684501537</v>
      </c>
      <c r="R66" s="263">
        <v>112.19877684501537</v>
      </c>
      <c r="S66" s="263">
        <v>112.19877684501537</v>
      </c>
      <c r="T66" s="263">
        <v>112.19877684501537</v>
      </c>
      <c r="U66" s="263">
        <v>112.19877684501537</v>
      </c>
      <c r="V66" s="263">
        <v>112.19877684501537</v>
      </c>
      <c r="W66" s="263">
        <v>112.19877684501537</v>
      </c>
      <c r="X66" s="263">
        <v>112.19877684501537</v>
      </c>
      <c r="Y66" s="263">
        <v>112.19877684501537</v>
      </c>
      <c r="Z66" s="263">
        <v>112.19877684501537</v>
      </c>
      <c r="AA66" s="263">
        <v>112.19877684501537</v>
      </c>
      <c r="AB66" s="263">
        <v>112.19877684501537</v>
      </c>
      <c r="AC66" s="263">
        <v>112.19877684501537</v>
      </c>
      <c r="AD66" s="263">
        <v>112.19877684501537</v>
      </c>
      <c r="AE66" s="263">
        <v>112.19877684501537</v>
      </c>
      <c r="AF66" s="263">
        <v>112.19877684501537</v>
      </c>
      <c r="AG66" s="263">
        <v>112.19877684501537</v>
      </c>
      <c r="AH66" s="263">
        <v>112.19877684501537</v>
      </c>
      <c r="AI66" s="263">
        <v>112.19877684501537</v>
      </c>
      <c r="AJ66" s="263">
        <v>112.19877684501537</v>
      </c>
      <c r="AK66" s="263">
        <v>112.19877684501537</v>
      </c>
      <c r="AL66" s="263">
        <v>112.19877684501537</v>
      </c>
      <c r="AM66" s="263">
        <v>112.19877684501537</v>
      </c>
      <c r="AN66" s="263">
        <v>112.19877684501537</v>
      </c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  <c r="BE66" s="5"/>
      <c r="BF66" s="5"/>
      <c r="BG66" s="5"/>
      <c r="BH66" s="5"/>
      <c r="BI66" s="5"/>
      <c r="BJ66" s="5"/>
      <c r="BK66" s="5"/>
      <c r="BL66" s="5"/>
    </row>
    <row r="67" spans="1:64">
      <c r="A67" s="255" t="s">
        <v>64</v>
      </c>
      <c r="B67" s="264">
        <v>3.0021601764785366</v>
      </c>
      <c r="C67" s="264">
        <v>3.0021601764785366</v>
      </c>
      <c r="D67" s="264">
        <v>3.3276339572763627</v>
      </c>
      <c r="E67" s="264">
        <v>3.3518713726801312</v>
      </c>
      <c r="F67" s="264">
        <v>3.3518713726801312</v>
      </c>
      <c r="G67" s="264">
        <v>3.3518713726801312</v>
      </c>
      <c r="H67" s="264">
        <v>3.3518713726801312</v>
      </c>
      <c r="I67" s="264">
        <v>5.4936079102126278</v>
      </c>
      <c r="J67" s="264">
        <v>5.4936079102126278</v>
      </c>
      <c r="K67" s="264">
        <v>5.4936079102126278</v>
      </c>
      <c r="L67" s="264">
        <v>5.4936079102126278</v>
      </c>
      <c r="M67" s="264">
        <v>5.4936079102126278</v>
      </c>
      <c r="N67" s="264">
        <v>72.373607910212627</v>
      </c>
      <c r="O67" s="264">
        <v>72.373607910212627</v>
      </c>
      <c r="P67" s="264">
        <v>72.373607910212627</v>
      </c>
      <c r="Q67" s="264">
        <v>72.373607910212627</v>
      </c>
      <c r="R67" s="264">
        <v>72.373607910212627</v>
      </c>
      <c r="S67" s="264">
        <v>72.373607910212627</v>
      </c>
      <c r="T67" s="264">
        <v>72.373607910212627</v>
      </c>
      <c r="U67" s="264">
        <v>72.373607910212627</v>
      </c>
      <c r="V67" s="264">
        <v>72.833905603395635</v>
      </c>
      <c r="W67" s="264">
        <v>74.465340862706299</v>
      </c>
      <c r="X67" s="264">
        <v>76.074166018131208</v>
      </c>
      <c r="Y67" s="264">
        <v>77.672025093672531</v>
      </c>
      <c r="Z67" s="264">
        <v>83.594264776845549</v>
      </c>
      <c r="AA67" s="264">
        <v>89.543089986228665</v>
      </c>
      <c r="AB67" s="264">
        <v>95.405902517804151</v>
      </c>
      <c r="AC67" s="264">
        <v>101.26591915638852</v>
      </c>
      <c r="AD67" s="264">
        <v>107.21796173605873</v>
      </c>
      <c r="AE67" s="264">
        <v>108.39361542500035</v>
      </c>
      <c r="AF67" s="264">
        <v>109.55377747778138</v>
      </c>
      <c r="AG67" s="264">
        <v>110.65987610039778</v>
      </c>
      <c r="AH67" s="264">
        <v>111.76110910964849</v>
      </c>
      <c r="AI67" s="264">
        <v>112.85107277817394</v>
      </c>
      <c r="AJ67" s="264">
        <v>112.69105865578959</v>
      </c>
      <c r="AK67" s="264">
        <v>112.54377642659838</v>
      </c>
      <c r="AL67" s="264">
        <v>112.38522461956987</v>
      </c>
      <c r="AM67" s="264">
        <v>112.22196876849006</v>
      </c>
      <c r="AN67" s="264">
        <v>112.02233242388093</v>
      </c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  <c r="BE67" s="5"/>
      <c r="BF67" s="5"/>
      <c r="BG67" s="5"/>
      <c r="BH67" s="5"/>
      <c r="BI67" s="5"/>
      <c r="BJ67" s="5"/>
      <c r="BK67" s="5"/>
      <c r="BL67" s="5"/>
    </row>
    <row r="68" spans="1:64">
      <c r="A68" s="7" t="s">
        <v>65</v>
      </c>
      <c r="B68" s="263">
        <v>9.3348550724470964</v>
      </c>
      <c r="C68" s="263">
        <v>9.3348550724470964</v>
      </c>
      <c r="D68" s="263">
        <v>9.3348550724470964</v>
      </c>
      <c r="E68" s="263">
        <v>9.3348550724470964</v>
      </c>
      <c r="F68" s="263">
        <v>9.3348550724470964</v>
      </c>
      <c r="G68" s="263">
        <v>11.786953368879697</v>
      </c>
      <c r="H68" s="263">
        <v>11.786953368879697</v>
      </c>
      <c r="I68" s="263">
        <v>11.786953368879697</v>
      </c>
      <c r="J68" s="263">
        <v>11.786953368879697</v>
      </c>
      <c r="K68" s="263">
        <v>11.786953368879697</v>
      </c>
      <c r="L68" s="263">
        <v>11.786953368879697</v>
      </c>
      <c r="M68" s="263">
        <v>11.786953368879697</v>
      </c>
      <c r="N68" s="263">
        <v>64.356953368879701</v>
      </c>
      <c r="O68" s="263">
        <v>66.686248230949801</v>
      </c>
      <c r="P68" s="263">
        <v>66.686248230949801</v>
      </c>
      <c r="Q68" s="263">
        <v>66.686248230949801</v>
      </c>
      <c r="R68" s="263">
        <v>66.686248230949801</v>
      </c>
      <c r="S68" s="263">
        <v>66.686248230949801</v>
      </c>
      <c r="T68" s="263">
        <v>66.686248230949801</v>
      </c>
      <c r="U68" s="263">
        <v>66.686248230949801</v>
      </c>
      <c r="V68" s="263">
        <v>68.229243703671955</v>
      </c>
      <c r="W68" s="263">
        <v>69.845069509415026</v>
      </c>
      <c r="X68" s="263">
        <v>71.431897810576032</v>
      </c>
      <c r="Y68" s="263">
        <v>73.003862091806837</v>
      </c>
      <c r="Z68" s="263">
        <v>73.525303263146526</v>
      </c>
      <c r="AA68" s="263">
        <v>74.275191426348556</v>
      </c>
      <c r="AB68" s="263">
        <v>74.922057153944237</v>
      </c>
      <c r="AC68" s="263">
        <v>75.558469143047532</v>
      </c>
      <c r="AD68" s="263">
        <v>76.308489590238011</v>
      </c>
      <c r="AE68" s="263">
        <v>77.316702416075373</v>
      </c>
      <c r="AF68" s="263">
        <v>78.304623186780361</v>
      </c>
      <c r="AG68" s="263">
        <v>79.221395497474163</v>
      </c>
      <c r="AH68" s="263">
        <v>80.12958864905238</v>
      </c>
      <c r="AI68" s="263">
        <v>81.049238848049328</v>
      </c>
      <c r="AJ68" s="263">
        <v>78.465171823785184</v>
      </c>
      <c r="AK68" s="263">
        <v>75.897433478640437</v>
      </c>
      <c r="AL68" s="263">
        <v>73.315241876817723</v>
      </c>
      <c r="AM68" s="263">
        <v>70.727017328856348</v>
      </c>
      <c r="AN68" s="263">
        <v>68.092134723367025</v>
      </c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  <c r="BE68" s="5"/>
      <c r="BF68" s="5"/>
      <c r="BG68" s="5"/>
      <c r="BH68" s="5"/>
      <c r="BI68" s="5"/>
      <c r="BJ68" s="5"/>
      <c r="BK68" s="5"/>
      <c r="BL68" s="5"/>
    </row>
    <row r="69" spans="1:64">
      <c r="A69" s="255" t="s">
        <v>66</v>
      </c>
      <c r="B69" s="264">
        <v>4.2102716256046095</v>
      </c>
      <c r="C69" s="264">
        <v>4.2102716256046095</v>
      </c>
      <c r="D69" s="264">
        <v>6.4660607164092285</v>
      </c>
      <c r="E69" s="264">
        <v>6.4660607164092285</v>
      </c>
      <c r="F69" s="264">
        <v>6.4660607164092285</v>
      </c>
      <c r="G69" s="264">
        <v>6.4660607164092285</v>
      </c>
      <c r="H69" s="264">
        <v>6.4660607164092285</v>
      </c>
      <c r="I69" s="264">
        <v>6.4660607164092285</v>
      </c>
      <c r="J69" s="264">
        <v>6.4660607164092285</v>
      </c>
      <c r="K69" s="264">
        <v>6.4660607164092285</v>
      </c>
      <c r="L69" s="264">
        <v>6.4660607164092285</v>
      </c>
      <c r="M69" s="264">
        <v>6.4660607164092285</v>
      </c>
      <c r="N69" s="264">
        <v>23.881187840360482</v>
      </c>
      <c r="O69" s="264">
        <v>46.128740107146697</v>
      </c>
      <c r="P69" s="264">
        <v>46.128740107146697</v>
      </c>
      <c r="Q69" s="264">
        <v>46.128740107146697</v>
      </c>
      <c r="R69" s="264">
        <v>46.128740107146697</v>
      </c>
      <c r="S69" s="264">
        <v>46.128740107146697</v>
      </c>
      <c r="T69" s="264">
        <v>46.128740107146697</v>
      </c>
      <c r="U69" s="264">
        <v>46.128740107146697</v>
      </c>
      <c r="V69" s="264">
        <v>46.558971309630522</v>
      </c>
      <c r="W69" s="264">
        <v>46.389202512114345</v>
      </c>
      <c r="X69" s="264">
        <v>46.819433714598169</v>
      </c>
      <c r="Y69" s="264">
        <v>48.368664917081979</v>
      </c>
      <c r="Z69" s="264">
        <v>53.92743493266547</v>
      </c>
      <c r="AA69" s="264">
        <v>59.034204948248963</v>
      </c>
      <c r="AB69" s="264">
        <v>64.037974963832454</v>
      </c>
      <c r="AC69" s="264">
        <v>69.20074497941593</v>
      </c>
      <c r="AD69" s="264">
        <v>74.769514994999426</v>
      </c>
      <c r="AE69" s="264">
        <v>78.697494539668298</v>
      </c>
      <c r="AF69" s="264">
        <v>82.642474084337181</v>
      </c>
      <c r="AG69" s="264">
        <v>86.627453629006069</v>
      </c>
      <c r="AH69" s="264">
        <v>90.581433173674938</v>
      </c>
      <c r="AI69" s="264">
        <v>94.623412718343801</v>
      </c>
      <c r="AJ69" s="264">
        <v>95.615587102648405</v>
      </c>
      <c r="AK69" s="264">
        <v>96.607761486953024</v>
      </c>
      <c r="AL69" s="264">
        <v>97.599935871257642</v>
      </c>
      <c r="AM69" s="264">
        <v>98.592110255562247</v>
      </c>
      <c r="AN69" s="264">
        <v>99.584284639866894</v>
      </c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  <c r="BE69" s="5"/>
      <c r="BF69" s="5"/>
      <c r="BG69" s="5"/>
      <c r="BH69" s="5"/>
      <c r="BI69" s="5"/>
      <c r="BJ69" s="5"/>
      <c r="BK69" s="5"/>
      <c r="BL69" s="5"/>
    </row>
    <row r="70" spans="1:64">
      <c r="A70" s="7" t="s">
        <v>67</v>
      </c>
      <c r="B70" s="263">
        <v>3.6495059333171662</v>
      </c>
      <c r="C70" s="263">
        <v>3.6495059333171662</v>
      </c>
      <c r="D70" s="263">
        <v>6.1561470782765824</v>
      </c>
      <c r="E70" s="263">
        <v>6.5</v>
      </c>
      <c r="F70" s="263">
        <v>6.5</v>
      </c>
      <c r="G70" s="263">
        <v>6.5</v>
      </c>
      <c r="H70" s="263">
        <v>6.5</v>
      </c>
      <c r="I70" s="263">
        <v>6.5</v>
      </c>
      <c r="J70" s="263">
        <v>6.5</v>
      </c>
      <c r="K70" s="263">
        <v>6.5</v>
      </c>
      <c r="L70" s="263">
        <v>6.5</v>
      </c>
      <c r="M70" s="263">
        <v>6.5</v>
      </c>
      <c r="N70" s="263">
        <v>31.60619943512809</v>
      </c>
      <c r="O70" s="263">
        <v>31.266920206494341</v>
      </c>
      <c r="P70" s="263">
        <v>31.266920206494341</v>
      </c>
      <c r="Q70" s="263">
        <v>31.266920206494341</v>
      </c>
      <c r="R70" s="263">
        <v>31.266920206494341</v>
      </c>
      <c r="S70" s="263">
        <v>31.266920206494341</v>
      </c>
      <c r="T70" s="263">
        <v>31.266920206494341</v>
      </c>
      <c r="U70" s="263">
        <v>31.266920206494341</v>
      </c>
      <c r="V70" s="263">
        <v>34.034533985011066</v>
      </c>
      <c r="W70" s="263">
        <v>36.80486273844933</v>
      </c>
      <c r="X70" s="263">
        <v>39.574110520615562</v>
      </c>
      <c r="Y70" s="263">
        <v>42.342834023133165</v>
      </c>
      <c r="Z70" s="263">
        <v>43.413034811945707</v>
      </c>
      <c r="AA70" s="263">
        <v>44.484506633842841</v>
      </c>
      <c r="AB70" s="263">
        <v>45.551866257308248</v>
      </c>
      <c r="AC70" s="263">
        <v>46.619092211330198</v>
      </c>
      <c r="AD70" s="263">
        <v>47.6907178531686</v>
      </c>
      <c r="AE70" s="263">
        <v>48.19196440060162</v>
      </c>
      <c r="AF70" s="263">
        <v>48.69247030510212</v>
      </c>
      <c r="AG70" s="263">
        <v>49.190391479555814</v>
      </c>
      <c r="AH70" s="263">
        <v>49.688080032863859</v>
      </c>
      <c r="AI70" s="263">
        <v>50.185229807861091</v>
      </c>
      <c r="AJ70" s="263">
        <v>50.363951649285546</v>
      </c>
      <c r="AK70" s="263">
        <v>50.543282192503234</v>
      </c>
      <c r="AL70" s="263">
        <v>50.722073946073976</v>
      </c>
      <c r="AM70" s="263">
        <v>50.900640803000826</v>
      </c>
      <c r="AN70" s="263">
        <v>51.077468337164468</v>
      </c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  <c r="BE70" s="5"/>
      <c r="BF70" s="5"/>
      <c r="BG70" s="5"/>
      <c r="BH70" s="5"/>
      <c r="BI70" s="5"/>
      <c r="BJ70" s="5"/>
      <c r="BK70" s="5"/>
      <c r="BL70" s="5"/>
    </row>
    <row r="71" spans="1:64">
      <c r="A71" s="255" t="s">
        <v>74</v>
      </c>
      <c r="B71" s="264">
        <v>0</v>
      </c>
      <c r="C71" s="264">
        <v>0</v>
      </c>
      <c r="D71" s="264">
        <v>0</v>
      </c>
      <c r="E71" s="264">
        <v>0</v>
      </c>
      <c r="F71" s="264">
        <v>0</v>
      </c>
      <c r="G71" s="264">
        <v>0</v>
      </c>
      <c r="H71" s="264">
        <v>0</v>
      </c>
      <c r="I71" s="264">
        <v>0</v>
      </c>
      <c r="J71" s="264">
        <v>0</v>
      </c>
      <c r="K71" s="264">
        <v>0</v>
      </c>
      <c r="L71" s="264">
        <v>0</v>
      </c>
      <c r="M71" s="264">
        <v>0</v>
      </c>
      <c r="N71" s="264">
        <v>0.64218281249833953</v>
      </c>
      <c r="O71" s="264">
        <v>1.7664259372694027</v>
      </c>
      <c r="P71" s="264">
        <v>1.7664259372694027</v>
      </c>
      <c r="Q71" s="264">
        <v>1.7664259372694027</v>
      </c>
      <c r="R71" s="264">
        <v>1.7664259372694027</v>
      </c>
      <c r="S71" s="264">
        <v>1.7664259372694027</v>
      </c>
      <c r="T71" s="264">
        <v>1.7664259372694027</v>
      </c>
      <c r="U71" s="264">
        <v>1.7664259372694027</v>
      </c>
      <c r="V71" s="264">
        <v>1.9743721629312017</v>
      </c>
      <c r="W71" s="264">
        <v>2.1823183885930009</v>
      </c>
      <c r="X71" s="264">
        <v>2.3902646142547996</v>
      </c>
      <c r="Y71" s="264">
        <v>2.598210839916598</v>
      </c>
      <c r="Z71" s="264">
        <v>2.8291333022314697</v>
      </c>
      <c r="AA71" s="264">
        <v>3.0600557645463415</v>
      </c>
      <c r="AB71" s="264">
        <v>3.2909782268612129</v>
      </c>
      <c r="AC71" s="264">
        <v>3.5219006891760847</v>
      </c>
      <c r="AD71" s="264">
        <v>3.7528231514909556</v>
      </c>
      <c r="AE71" s="264">
        <v>3.9404721982758106</v>
      </c>
      <c r="AF71" s="264">
        <v>4.1281212450606652</v>
      </c>
      <c r="AG71" s="264">
        <v>4.3157702918455199</v>
      </c>
      <c r="AH71" s="264">
        <v>4.5034193386303745</v>
      </c>
      <c r="AI71" s="264">
        <v>4.6910683854152291</v>
      </c>
      <c r="AJ71" s="264">
        <v>4.723560493593447</v>
      </c>
      <c r="AK71" s="264">
        <v>4.7560526017716649</v>
      </c>
      <c r="AL71" s="264">
        <v>4.7885447099498828</v>
      </c>
      <c r="AM71" s="264">
        <v>4.8210368181280998</v>
      </c>
      <c r="AN71" s="264">
        <v>4.8535289263063186</v>
      </c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  <c r="BE71" s="5"/>
      <c r="BF71" s="5"/>
      <c r="BG71" s="5"/>
      <c r="BH71" s="5"/>
      <c r="BI71" s="5"/>
      <c r="BJ71" s="5"/>
      <c r="BK71" s="5"/>
      <c r="BL71" s="5"/>
    </row>
    <row r="72" spans="1:64" ht="13.5" thickBot="1">
      <c r="A72" s="358" t="s">
        <v>68</v>
      </c>
      <c r="B72" s="362">
        <f>SUM(B66:B71)</f>
        <v>51.035668516078516</v>
      </c>
      <c r="C72" s="362">
        <f t="shared" ref="C72:AN72" si="43">SUM(C66:C71)</f>
        <v>51.035668516078516</v>
      </c>
      <c r="D72" s="362">
        <f t="shared" si="43"/>
        <v>58.349581369164675</v>
      </c>
      <c r="E72" s="362">
        <f t="shared" si="43"/>
        <v>58.71767170629186</v>
      </c>
      <c r="F72" s="362">
        <f t="shared" si="43"/>
        <v>58.71767170629186</v>
      </c>
      <c r="G72" s="362">
        <f t="shared" si="43"/>
        <v>61.169770002724462</v>
      </c>
      <c r="H72" s="362">
        <f t="shared" si="43"/>
        <v>61.169770002724462</v>
      </c>
      <c r="I72" s="362">
        <f t="shared" si="43"/>
        <v>63.311506540256957</v>
      </c>
      <c r="J72" s="362">
        <f t="shared" si="43"/>
        <v>65.453243077789452</v>
      </c>
      <c r="K72" s="362">
        <f t="shared" si="43"/>
        <v>67.594979615321947</v>
      </c>
      <c r="L72" s="362">
        <f t="shared" si="43"/>
        <v>69.736716152854441</v>
      </c>
      <c r="M72" s="362">
        <f t="shared" si="43"/>
        <v>80.445398840516916</v>
      </c>
      <c r="N72" s="362">
        <f t="shared" si="43"/>
        <v>305.05890821209459</v>
      </c>
      <c r="O72" s="362">
        <f t="shared" ref="O72:T72" si="44">SUM(O66:O71)</f>
        <v>330.42071923708824</v>
      </c>
      <c r="P72" s="362">
        <f t="shared" si="44"/>
        <v>330.42071923708824</v>
      </c>
      <c r="Q72" s="362">
        <f t="shared" si="44"/>
        <v>330.42071923708824</v>
      </c>
      <c r="R72" s="362">
        <f t="shared" si="44"/>
        <v>330.42071923708824</v>
      </c>
      <c r="S72" s="362">
        <f t="shared" si="44"/>
        <v>330.42071923708824</v>
      </c>
      <c r="T72" s="362">
        <f t="shared" si="44"/>
        <v>330.42071923708824</v>
      </c>
      <c r="U72" s="362">
        <f t="shared" si="43"/>
        <v>330.42071923708824</v>
      </c>
      <c r="V72" s="362">
        <f t="shared" si="43"/>
        <v>335.82980360965576</v>
      </c>
      <c r="W72" s="362">
        <f t="shared" si="43"/>
        <v>341.88557085629344</v>
      </c>
      <c r="X72" s="362">
        <f t="shared" si="43"/>
        <v>348.48864952319121</v>
      </c>
      <c r="Y72" s="362">
        <f t="shared" si="43"/>
        <v>356.18437381062643</v>
      </c>
      <c r="Z72" s="362">
        <f t="shared" si="43"/>
        <v>369.4879479318501</v>
      </c>
      <c r="AA72" s="362">
        <f t="shared" si="43"/>
        <v>382.5958256042307</v>
      </c>
      <c r="AB72" s="362">
        <f t="shared" si="43"/>
        <v>395.40755596476566</v>
      </c>
      <c r="AC72" s="362">
        <f t="shared" si="43"/>
        <v>408.36490302437363</v>
      </c>
      <c r="AD72" s="362">
        <f t="shared" si="43"/>
        <v>421.93828417097109</v>
      </c>
      <c r="AE72" s="362">
        <f t="shared" si="43"/>
        <v>428.73902582463683</v>
      </c>
      <c r="AF72" s="362">
        <f t="shared" si="43"/>
        <v>435.52024314407703</v>
      </c>
      <c r="AG72" s="362">
        <f t="shared" si="43"/>
        <v>442.21366384329474</v>
      </c>
      <c r="AH72" s="362">
        <f t="shared" si="43"/>
        <v>448.86240714888538</v>
      </c>
      <c r="AI72" s="362">
        <f t="shared" si="43"/>
        <v>455.59879938285877</v>
      </c>
      <c r="AJ72" s="362">
        <f t="shared" si="43"/>
        <v>454.0581065701175</v>
      </c>
      <c r="AK72" s="362">
        <f t="shared" si="43"/>
        <v>452.54708303148215</v>
      </c>
      <c r="AL72" s="362">
        <f t="shared" si="43"/>
        <v>451.00979786868442</v>
      </c>
      <c r="AM72" s="362">
        <f t="shared" si="43"/>
        <v>449.461550819053</v>
      </c>
      <c r="AN72" s="362">
        <f t="shared" si="43"/>
        <v>447.82852589560099</v>
      </c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  <c r="BE72" s="5"/>
      <c r="BF72" s="5"/>
      <c r="BG72" s="5"/>
      <c r="BH72" s="5"/>
      <c r="BI72" s="5"/>
      <c r="BJ72" s="5"/>
      <c r="BK72" s="5"/>
      <c r="BL72" s="5"/>
    </row>
    <row r="73" spans="1:64" ht="13.5" thickBot="1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  <c r="BE73" s="5"/>
      <c r="BF73" s="5"/>
      <c r="BG73" s="5"/>
      <c r="BH73" s="5"/>
      <c r="BI73" s="5"/>
      <c r="BJ73" s="5"/>
      <c r="BK73" s="5"/>
      <c r="BL73" s="5"/>
    </row>
    <row r="74" spans="1:64">
      <c r="A74" s="355" t="s">
        <v>79</v>
      </c>
      <c r="B74" s="355"/>
      <c r="C74" s="355"/>
      <c r="D74" s="355"/>
      <c r="E74" s="355"/>
      <c r="F74" s="355"/>
      <c r="G74" s="355"/>
      <c r="H74" s="355"/>
      <c r="I74" s="355"/>
      <c r="J74" s="355"/>
      <c r="K74" s="355"/>
      <c r="L74" s="355"/>
      <c r="M74" s="355"/>
      <c r="N74" s="355"/>
      <c r="O74" s="355"/>
      <c r="P74" s="355"/>
      <c r="Q74" s="355"/>
      <c r="R74" s="355"/>
      <c r="S74" s="355"/>
      <c r="T74" s="355"/>
      <c r="U74" s="355"/>
      <c r="V74" s="355"/>
      <c r="W74" s="355"/>
      <c r="X74" s="355"/>
      <c r="Y74" s="355"/>
      <c r="Z74" s="355"/>
      <c r="AA74" s="355"/>
      <c r="AB74" s="355"/>
      <c r="AC74" s="355"/>
      <c r="AD74" s="355"/>
      <c r="AE74" s="355"/>
      <c r="AF74" s="355"/>
      <c r="AG74" s="355"/>
      <c r="AH74" s="355"/>
      <c r="AI74" s="355"/>
      <c r="AJ74" s="355"/>
      <c r="AK74" s="355"/>
      <c r="AL74" s="355"/>
      <c r="AM74" s="355"/>
      <c r="AN74" s="35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  <c r="BE74" s="5"/>
      <c r="BF74" s="5"/>
      <c r="BG74" s="5"/>
      <c r="BH74" s="5"/>
      <c r="BI74" s="5"/>
      <c r="BJ74" s="5"/>
      <c r="BK74" s="5"/>
      <c r="BL74" s="5"/>
    </row>
    <row r="75" spans="1:64" ht="13.5" thickBot="1">
      <c r="A75" s="356" t="s">
        <v>73</v>
      </c>
      <c r="B75" s="357">
        <f>B$16</f>
        <v>2012</v>
      </c>
      <c r="C75" s="357">
        <f t="shared" ref="C75:AN75" si="45">C$16</f>
        <v>2013</v>
      </c>
      <c r="D75" s="357">
        <f t="shared" si="45"/>
        <v>2014</v>
      </c>
      <c r="E75" s="357">
        <f t="shared" si="45"/>
        <v>2015</v>
      </c>
      <c r="F75" s="357">
        <f t="shared" si="45"/>
        <v>2016</v>
      </c>
      <c r="G75" s="357">
        <f t="shared" si="45"/>
        <v>2017</v>
      </c>
      <c r="H75" s="357">
        <f t="shared" si="45"/>
        <v>2018</v>
      </c>
      <c r="I75" s="357">
        <f t="shared" si="45"/>
        <v>2019</v>
      </c>
      <c r="J75" s="357">
        <f t="shared" si="45"/>
        <v>2020</v>
      </c>
      <c r="K75" s="357">
        <f t="shared" si="45"/>
        <v>2021</v>
      </c>
      <c r="L75" s="357">
        <f t="shared" si="45"/>
        <v>2022</v>
      </c>
      <c r="M75" s="357">
        <f t="shared" si="45"/>
        <v>2023</v>
      </c>
      <c r="N75" s="357">
        <f t="shared" si="45"/>
        <v>2024</v>
      </c>
      <c r="O75" s="357">
        <f t="shared" si="45"/>
        <v>2025</v>
      </c>
      <c r="P75" s="357">
        <f t="shared" si="45"/>
        <v>2026</v>
      </c>
      <c r="Q75" s="357">
        <f t="shared" si="45"/>
        <v>2027</v>
      </c>
      <c r="R75" s="357">
        <f t="shared" si="45"/>
        <v>2028</v>
      </c>
      <c r="S75" s="357">
        <f t="shared" si="45"/>
        <v>2029</v>
      </c>
      <c r="T75" s="357">
        <f t="shared" si="45"/>
        <v>2030</v>
      </c>
      <c r="U75" s="357">
        <f t="shared" si="45"/>
        <v>2031</v>
      </c>
      <c r="V75" s="357">
        <f t="shared" si="45"/>
        <v>2032</v>
      </c>
      <c r="W75" s="357">
        <f t="shared" si="45"/>
        <v>2033</v>
      </c>
      <c r="X75" s="357">
        <f t="shared" si="45"/>
        <v>2034</v>
      </c>
      <c r="Y75" s="357">
        <f t="shared" si="45"/>
        <v>2035</v>
      </c>
      <c r="Z75" s="357">
        <f t="shared" si="45"/>
        <v>2036</v>
      </c>
      <c r="AA75" s="357">
        <f t="shared" si="45"/>
        <v>2037</v>
      </c>
      <c r="AB75" s="357">
        <f t="shared" si="45"/>
        <v>2038</v>
      </c>
      <c r="AC75" s="357">
        <f t="shared" si="45"/>
        <v>2039</v>
      </c>
      <c r="AD75" s="357">
        <f t="shared" si="45"/>
        <v>2040</v>
      </c>
      <c r="AE75" s="357">
        <f t="shared" si="45"/>
        <v>2041</v>
      </c>
      <c r="AF75" s="357">
        <f t="shared" si="45"/>
        <v>2042</v>
      </c>
      <c r="AG75" s="357">
        <f t="shared" si="45"/>
        <v>2043</v>
      </c>
      <c r="AH75" s="357">
        <f t="shared" si="45"/>
        <v>2044</v>
      </c>
      <c r="AI75" s="357">
        <f t="shared" si="45"/>
        <v>2045</v>
      </c>
      <c r="AJ75" s="357">
        <f t="shared" si="45"/>
        <v>2046</v>
      </c>
      <c r="AK75" s="357">
        <f t="shared" si="45"/>
        <v>2047</v>
      </c>
      <c r="AL75" s="357">
        <f t="shared" si="45"/>
        <v>2048</v>
      </c>
      <c r="AM75" s="357">
        <f t="shared" si="45"/>
        <v>2049</v>
      </c>
      <c r="AN75" s="357">
        <f t="shared" si="45"/>
        <v>2050</v>
      </c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  <c r="BE75" s="5"/>
      <c r="BF75" s="5"/>
      <c r="BG75" s="5"/>
      <c r="BH75" s="5"/>
      <c r="BI75" s="5"/>
      <c r="BJ75" s="5"/>
      <c r="BK75" s="5"/>
      <c r="BL75" s="5"/>
    </row>
    <row r="76" spans="1:64">
      <c r="A76" s="7" t="s">
        <v>63</v>
      </c>
      <c r="B76" s="263">
        <v>112.19877684501537</v>
      </c>
      <c r="C76" s="263">
        <v>112.19877684501537</v>
      </c>
      <c r="D76" s="263">
        <v>112.19877684501537</v>
      </c>
      <c r="E76" s="263">
        <v>112.19877684501537</v>
      </c>
      <c r="F76" s="263">
        <v>112.19877684501537</v>
      </c>
      <c r="G76" s="263">
        <v>112.19877684501537</v>
      </c>
      <c r="H76" s="263">
        <v>112.19877684501537</v>
      </c>
      <c r="I76" s="263">
        <v>112.19877684501537</v>
      </c>
      <c r="J76" s="263">
        <v>112.19877684501537</v>
      </c>
      <c r="K76" s="263">
        <v>112.19877684501537</v>
      </c>
      <c r="L76" s="263">
        <v>112.19877684501537</v>
      </c>
      <c r="M76" s="263">
        <v>112.19877684501537</v>
      </c>
      <c r="N76" s="263">
        <v>112.19877684501537</v>
      </c>
      <c r="O76" s="263">
        <v>112.19877684501537</v>
      </c>
      <c r="P76" s="263">
        <v>112.19877684501537</v>
      </c>
      <c r="Q76" s="263">
        <f t="shared" ref="Q76:T76" si="46">Q36</f>
        <v>112.19877684501537</v>
      </c>
      <c r="R76" s="263">
        <f t="shared" si="46"/>
        <v>112.19877684501537</v>
      </c>
      <c r="S76" s="263">
        <f t="shared" si="46"/>
        <v>112.19877684501537</v>
      </c>
      <c r="T76" s="263">
        <f t="shared" si="46"/>
        <v>112.19877684501537</v>
      </c>
      <c r="U76" s="263">
        <f t="shared" ref="U76:AN76" si="47">U36</f>
        <v>112.19877684501537</v>
      </c>
      <c r="V76" s="263">
        <f t="shared" si="47"/>
        <v>112.19877684501537</v>
      </c>
      <c r="W76" s="263">
        <f t="shared" si="47"/>
        <v>112.19877684501537</v>
      </c>
      <c r="X76" s="263">
        <f t="shared" si="47"/>
        <v>112.19877684501537</v>
      </c>
      <c r="Y76" s="263">
        <f t="shared" si="47"/>
        <v>112.19877684501537</v>
      </c>
      <c r="Z76" s="263">
        <f t="shared" si="47"/>
        <v>112.19877684501537</v>
      </c>
      <c r="AA76" s="263">
        <f t="shared" si="47"/>
        <v>112.19877684501537</v>
      </c>
      <c r="AB76" s="263">
        <f t="shared" si="47"/>
        <v>112.19877684501537</v>
      </c>
      <c r="AC76" s="263">
        <f t="shared" si="47"/>
        <v>112.19877684501537</v>
      </c>
      <c r="AD76" s="263">
        <f t="shared" si="47"/>
        <v>112.19877684501537</v>
      </c>
      <c r="AE76" s="263">
        <f t="shared" si="47"/>
        <v>112.19877684501537</v>
      </c>
      <c r="AF76" s="263">
        <f t="shared" si="47"/>
        <v>112.19877684501537</v>
      </c>
      <c r="AG76" s="263">
        <f t="shared" si="47"/>
        <v>112.19877684501537</v>
      </c>
      <c r="AH76" s="263">
        <f t="shared" si="47"/>
        <v>112.19877684501537</v>
      </c>
      <c r="AI76" s="263">
        <f t="shared" si="47"/>
        <v>112.19877684501537</v>
      </c>
      <c r="AJ76" s="263">
        <f t="shared" si="47"/>
        <v>112.19877684501537</v>
      </c>
      <c r="AK76" s="263">
        <f t="shared" si="47"/>
        <v>112.19877684501537</v>
      </c>
      <c r="AL76" s="263">
        <f t="shared" si="47"/>
        <v>112.19877684501537</v>
      </c>
      <c r="AM76" s="263">
        <f t="shared" si="47"/>
        <v>112.19877684501537</v>
      </c>
      <c r="AN76" s="263">
        <f t="shared" si="47"/>
        <v>112.19877684501537</v>
      </c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  <c r="BE76" s="5"/>
      <c r="BF76" s="5"/>
      <c r="BG76" s="5"/>
      <c r="BH76" s="5"/>
      <c r="BI76" s="5"/>
      <c r="BJ76" s="5"/>
      <c r="BK76" s="5"/>
      <c r="BL76" s="5"/>
    </row>
    <row r="77" spans="1:64">
      <c r="A77" s="255" t="s">
        <v>64</v>
      </c>
      <c r="B77" s="264">
        <v>83.594264776845549</v>
      </c>
      <c r="C77" s="264">
        <v>89.543089986228665</v>
      </c>
      <c r="D77" s="264">
        <v>95.405902517804151</v>
      </c>
      <c r="E77" s="264">
        <v>101.26591915638852</v>
      </c>
      <c r="F77" s="264">
        <v>107.21796173605873</v>
      </c>
      <c r="G77" s="264">
        <v>108.39361542500035</v>
      </c>
      <c r="H77" s="264">
        <v>109.55377747778138</v>
      </c>
      <c r="I77" s="264">
        <v>110.65987610039778</v>
      </c>
      <c r="J77" s="264">
        <v>111.76110910964849</v>
      </c>
      <c r="K77" s="264">
        <v>112.85107277817394</v>
      </c>
      <c r="L77" s="264">
        <v>112.69105865578959</v>
      </c>
      <c r="M77" s="264">
        <v>112.54377642659838</v>
      </c>
      <c r="N77" s="264">
        <v>112.38522461956987</v>
      </c>
      <c r="O77" s="264">
        <v>112.22196876849006</v>
      </c>
      <c r="P77" s="264">
        <v>112.02233242388093</v>
      </c>
      <c r="Q77" s="264">
        <f t="shared" ref="Q77:T77" si="48">Q37</f>
        <v>72.373607910212627</v>
      </c>
      <c r="R77" s="264">
        <f t="shared" si="48"/>
        <v>72.373607910212627</v>
      </c>
      <c r="S77" s="264">
        <f t="shared" si="48"/>
        <v>72.373607910212627</v>
      </c>
      <c r="T77" s="264">
        <f t="shared" si="48"/>
        <v>72.373607910212627</v>
      </c>
      <c r="U77" s="264">
        <f t="shared" ref="U77:AN77" si="49">U37</f>
        <v>72.373607910212627</v>
      </c>
      <c r="V77" s="264">
        <f t="shared" si="49"/>
        <v>72.833905603395635</v>
      </c>
      <c r="W77" s="264">
        <f t="shared" si="49"/>
        <v>74.465340862706299</v>
      </c>
      <c r="X77" s="264">
        <f t="shared" si="49"/>
        <v>76.074166018131208</v>
      </c>
      <c r="Y77" s="264">
        <f t="shared" si="49"/>
        <v>77.672025093672531</v>
      </c>
      <c r="Z77" s="264">
        <f t="shared" si="49"/>
        <v>83.594264776845549</v>
      </c>
      <c r="AA77" s="264">
        <f t="shared" si="49"/>
        <v>89.543089986228665</v>
      </c>
      <c r="AB77" s="264">
        <f t="shared" si="49"/>
        <v>95.405902517804151</v>
      </c>
      <c r="AC77" s="264">
        <f t="shared" si="49"/>
        <v>101.26591915638852</v>
      </c>
      <c r="AD77" s="264">
        <f t="shared" si="49"/>
        <v>107.21796173605873</v>
      </c>
      <c r="AE77" s="264">
        <f t="shared" si="49"/>
        <v>108.39361542500035</v>
      </c>
      <c r="AF77" s="264">
        <f t="shared" si="49"/>
        <v>109.55377747778138</v>
      </c>
      <c r="AG77" s="264">
        <f t="shared" si="49"/>
        <v>110.65987610039778</v>
      </c>
      <c r="AH77" s="264">
        <f t="shared" si="49"/>
        <v>111.76110910964849</v>
      </c>
      <c r="AI77" s="264">
        <f t="shared" si="49"/>
        <v>112.85107277817394</v>
      </c>
      <c r="AJ77" s="264">
        <f t="shared" si="49"/>
        <v>112.69105865578959</v>
      </c>
      <c r="AK77" s="264">
        <f t="shared" si="49"/>
        <v>112.54377642659838</v>
      </c>
      <c r="AL77" s="264">
        <f t="shared" si="49"/>
        <v>112.38522461956987</v>
      </c>
      <c r="AM77" s="264">
        <f t="shared" si="49"/>
        <v>112.22196876849006</v>
      </c>
      <c r="AN77" s="264">
        <f t="shared" si="49"/>
        <v>112.02233242388093</v>
      </c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  <c r="BE77" s="5"/>
      <c r="BF77" s="5"/>
      <c r="BG77" s="5"/>
      <c r="BH77" s="5"/>
      <c r="BI77" s="5"/>
      <c r="BJ77" s="5"/>
      <c r="BK77" s="5"/>
      <c r="BL77" s="5"/>
    </row>
    <row r="78" spans="1:64">
      <c r="A78" s="7" t="s">
        <v>65</v>
      </c>
      <c r="B78" s="263">
        <v>73.525303263146526</v>
      </c>
      <c r="C78" s="263">
        <v>74.275191426348556</v>
      </c>
      <c r="D78" s="263">
        <v>74.922057153944237</v>
      </c>
      <c r="E78" s="263">
        <v>75.558469143047532</v>
      </c>
      <c r="F78" s="263">
        <v>76.308489590238011</v>
      </c>
      <c r="G78" s="263">
        <v>77.316702416075373</v>
      </c>
      <c r="H78" s="263">
        <v>78.304623186780361</v>
      </c>
      <c r="I78" s="263">
        <v>79.221395497474163</v>
      </c>
      <c r="J78" s="263">
        <v>80.12958864905238</v>
      </c>
      <c r="K78" s="263">
        <v>81.049238848049328</v>
      </c>
      <c r="L78" s="263">
        <v>78.465171823785184</v>
      </c>
      <c r="M78" s="263">
        <v>75.897433478640437</v>
      </c>
      <c r="N78" s="263">
        <v>73.315241876817723</v>
      </c>
      <c r="O78" s="263">
        <v>70.727017328856348</v>
      </c>
      <c r="P78" s="263">
        <v>68.092134723367025</v>
      </c>
      <c r="Q78" s="263">
        <f t="shared" ref="Q78:T78" si="50">Q38</f>
        <v>66.686248230949801</v>
      </c>
      <c r="R78" s="263">
        <f t="shared" si="50"/>
        <v>66.686248230949801</v>
      </c>
      <c r="S78" s="263">
        <f t="shared" si="50"/>
        <v>66.686248230949801</v>
      </c>
      <c r="T78" s="263">
        <f t="shared" si="50"/>
        <v>66.686248230949801</v>
      </c>
      <c r="U78" s="263">
        <f t="shared" ref="U78:AN78" si="51">U38</f>
        <v>66.686248230949801</v>
      </c>
      <c r="V78" s="263">
        <f t="shared" si="51"/>
        <v>68.229243703671955</v>
      </c>
      <c r="W78" s="263">
        <f t="shared" si="51"/>
        <v>69.845069509415026</v>
      </c>
      <c r="X78" s="263">
        <f t="shared" si="51"/>
        <v>71.431897810576032</v>
      </c>
      <c r="Y78" s="263">
        <f t="shared" si="51"/>
        <v>73.003862091806837</v>
      </c>
      <c r="Z78" s="263">
        <f t="shared" si="51"/>
        <v>73.525303263146526</v>
      </c>
      <c r="AA78" s="263">
        <f t="shared" si="51"/>
        <v>74.275191426348556</v>
      </c>
      <c r="AB78" s="263">
        <f t="shared" si="51"/>
        <v>74.922057153944237</v>
      </c>
      <c r="AC78" s="263">
        <f t="shared" si="51"/>
        <v>75.558469143047532</v>
      </c>
      <c r="AD78" s="263">
        <f t="shared" si="51"/>
        <v>76.308489590238011</v>
      </c>
      <c r="AE78" s="263">
        <f t="shared" si="51"/>
        <v>77.316702416075373</v>
      </c>
      <c r="AF78" s="263">
        <f t="shared" si="51"/>
        <v>78.304623186780361</v>
      </c>
      <c r="AG78" s="263">
        <f t="shared" si="51"/>
        <v>79.221395497474163</v>
      </c>
      <c r="AH78" s="263">
        <f t="shared" si="51"/>
        <v>80.12958864905238</v>
      </c>
      <c r="AI78" s="263">
        <f t="shared" si="51"/>
        <v>81.049238848049328</v>
      </c>
      <c r="AJ78" s="263">
        <f t="shared" si="51"/>
        <v>78.465171823785184</v>
      </c>
      <c r="AK78" s="263">
        <f t="shared" si="51"/>
        <v>75.897433478640437</v>
      </c>
      <c r="AL78" s="263">
        <f t="shared" si="51"/>
        <v>73.315241876817723</v>
      </c>
      <c r="AM78" s="263">
        <f t="shared" si="51"/>
        <v>70.727017328856348</v>
      </c>
      <c r="AN78" s="263">
        <f t="shared" si="51"/>
        <v>68.092134723367025</v>
      </c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  <c r="BE78" s="5"/>
      <c r="BF78" s="5"/>
      <c r="BG78" s="5"/>
      <c r="BH78" s="5"/>
      <c r="BI78" s="5"/>
      <c r="BJ78" s="5"/>
      <c r="BK78" s="5"/>
      <c r="BL78" s="5"/>
    </row>
    <row r="79" spans="1:64">
      <c r="A79" s="255" t="s">
        <v>66</v>
      </c>
      <c r="B79" s="264">
        <v>53.92743493266547</v>
      </c>
      <c r="C79" s="264">
        <v>59.034204948248963</v>
      </c>
      <c r="D79" s="264">
        <v>64.037974963832454</v>
      </c>
      <c r="E79" s="264">
        <v>69.20074497941593</v>
      </c>
      <c r="F79" s="264">
        <v>74.769514994999426</v>
      </c>
      <c r="G79" s="264">
        <v>78.697494539668298</v>
      </c>
      <c r="H79" s="264">
        <v>82.642474084337181</v>
      </c>
      <c r="I79" s="264">
        <v>86.627453629006069</v>
      </c>
      <c r="J79" s="264">
        <v>90.581433173674938</v>
      </c>
      <c r="K79" s="264">
        <v>94.623412718343801</v>
      </c>
      <c r="L79" s="264">
        <v>95.615587102648405</v>
      </c>
      <c r="M79" s="264">
        <v>96.607761486953024</v>
      </c>
      <c r="N79" s="264">
        <v>97.599935871257642</v>
      </c>
      <c r="O79" s="264">
        <v>98.592110255562247</v>
      </c>
      <c r="P79" s="264">
        <v>99.584284639866894</v>
      </c>
      <c r="Q79" s="264">
        <f t="shared" ref="Q79:T79" si="52">Q39</f>
        <v>46.128740107146697</v>
      </c>
      <c r="R79" s="264">
        <f t="shared" si="52"/>
        <v>46.128740107146697</v>
      </c>
      <c r="S79" s="264">
        <f t="shared" si="52"/>
        <v>46.128740107146697</v>
      </c>
      <c r="T79" s="264">
        <f t="shared" si="52"/>
        <v>46.128740107146697</v>
      </c>
      <c r="U79" s="264">
        <f t="shared" ref="U79:AN79" si="53">U39</f>
        <v>46.128740107146697</v>
      </c>
      <c r="V79" s="264">
        <f t="shared" si="53"/>
        <v>46.558971309630522</v>
      </c>
      <c r="W79" s="264">
        <f t="shared" si="53"/>
        <v>46.389202512114345</v>
      </c>
      <c r="X79" s="264">
        <f t="shared" si="53"/>
        <v>46.819433714598169</v>
      </c>
      <c r="Y79" s="264">
        <f t="shared" si="53"/>
        <v>48.368664917081979</v>
      </c>
      <c r="Z79" s="264">
        <f t="shared" si="53"/>
        <v>53.92743493266547</v>
      </c>
      <c r="AA79" s="264">
        <f t="shared" si="53"/>
        <v>59.034204948248963</v>
      </c>
      <c r="AB79" s="264">
        <f t="shared" si="53"/>
        <v>64.037974963832454</v>
      </c>
      <c r="AC79" s="264">
        <f t="shared" si="53"/>
        <v>69.20074497941593</v>
      </c>
      <c r="AD79" s="264">
        <f t="shared" si="53"/>
        <v>74.769514994999426</v>
      </c>
      <c r="AE79" s="264">
        <f t="shared" si="53"/>
        <v>78.697494539668298</v>
      </c>
      <c r="AF79" s="264">
        <f t="shared" si="53"/>
        <v>82.642474084337181</v>
      </c>
      <c r="AG79" s="264">
        <f t="shared" si="53"/>
        <v>86.627453629006069</v>
      </c>
      <c r="AH79" s="264">
        <f t="shared" si="53"/>
        <v>90.581433173674938</v>
      </c>
      <c r="AI79" s="264">
        <f t="shared" si="53"/>
        <v>94.623412718343801</v>
      </c>
      <c r="AJ79" s="264">
        <f t="shared" si="53"/>
        <v>95.615587102648405</v>
      </c>
      <c r="AK79" s="264">
        <f t="shared" si="53"/>
        <v>96.607761486953024</v>
      </c>
      <c r="AL79" s="264">
        <f t="shared" si="53"/>
        <v>97.599935871257642</v>
      </c>
      <c r="AM79" s="264">
        <f t="shared" si="53"/>
        <v>98.592110255562247</v>
      </c>
      <c r="AN79" s="264">
        <f t="shared" si="53"/>
        <v>99.584284639866894</v>
      </c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  <c r="BE79" s="5"/>
      <c r="BF79" s="5"/>
      <c r="BG79" s="5"/>
      <c r="BH79" s="5"/>
      <c r="BI79" s="5"/>
      <c r="BJ79" s="5"/>
      <c r="BK79" s="5"/>
      <c r="BL79" s="5"/>
    </row>
    <row r="80" spans="1:64">
      <c r="A80" s="7" t="s">
        <v>67</v>
      </c>
      <c r="B80" s="263">
        <v>43.413034811945707</v>
      </c>
      <c r="C80" s="263">
        <v>44.484506633842841</v>
      </c>
      <c r="D80" s="263">
        <v>45.551866257308248</v>
      </c>
      <c r="E80" s="263">
        <v>46.619092211330198</v>
      </c>
      <c r="F80" s="263">
        <v>47.6907178531686</v>
      </c>
      <c r="G80" s="263">
        <v>48.19196440060162</v>
      </c>
      <c r="H80" s="263">
        <v>48.69247030510212</v>
      </c>
      <c r="I80" s="263">
        <v>49.190391479555814</v>
      </c>
      <c r="J80" s="263">
        <v>49.688080032863859</v>
      </c>
      <c r="K80" s="263">
        <v>50.185229807861091</v>
      </c>
      <c r="L80" s="263">
        <v>50.363951649285546</v>
      </c>
      <c r="M80" s="263">
        <v>50.543282192503234</v>
      </c>
      <c r="N80" s="263">
        <v>50.722073946073976</v>
      </c>
      <c r="O80" s="263">
        <v>50.900640803000826</v>
      </c>
      <c r="P80" s="263">
        <v>51.077468337164468</v>
      </c>
      <c r="Q80" s="263">
        <f t="shared" ref="Q80:T80" si="54">Q40</f>
        <v>31.266920206494341</v>
      </c>
      <c r="R80" s="263">
        <f t="shared" si="54"/>
        <v>31.266920206494341</v>
      </c>
      <c r="S80" s="263">
        <f t="shared" si="54"/>
        <v>31.266920206494341</v>
      </c>
      <c r="T80" s="263">
        <f t="shared" si="54"/>
        <v>31.266920206494341</v>
      </c>
      <c r="U80" s="263">
        <f t="shared" ref="U80:AN80" si="55">U40</f>
        <v>31.266920206494341</v>
      </c>
      <c r="V80" s="263">
        <f t="shared" si="55"/>
        <v>34.034533985011066</v>
      </c>
      <c r="W80" s="263">
        <f t="shared" si="55"/>
        <v>36.80486273844933</v>
      </c>
      <c r="X80" s="263">
        <f t="shared" si="55"/>
        <v>39.574110520615562</v>
      </c>
      <c r="Y80" s="263">
        <f t="shared" si="55"/>
        <v>42.342834023133165</v>
      </c>
      <c r="Z80" s="263">
        <f t="shared" si="55"/>
        <v>43.413034811945707</v>
      </c>
      <c r="AA80" s="263">
        <f t="shared" si="55"/>
        <v>44.484506633842841</v>
      </c>
      <c r="AB80" s="263">
        <f t="shared" si="55"/>
        <v>45.551866257308248</v>
      </c>
      <c r="AC80" s="263">
        <f t="shared" si="55"/>
        <v>46.619092211330198</v>
      </c>
      <c r="AD80" s="263">
        <f t="shared" si="55"/>
        <v>47.6907178531686</v>
      </c>
      <c r="AE80" s="263">
        <f t="shared" si="55"/>
        <v>48.19196440060162</v>
      </c>
      <c r="AF80" s="263">
        <f t="shared" si="55"/>
        <v>48.69247030510212</v>
      </c>
      <c r="AG80" s="263">
        <f t="shared" si="55"/>
        <v>49.190391479555814</v>
      </c>
      <c r="AH80" s="263">
        <f t="shared" si="55"/>
        <v>49.688080032863859</v>
      </c>
      <c r="AI80" s="263">
        <f t="shared" si="55"/>
        <v>50.185229807861091</v>
      </c>
      <c r="AJ80" s="263">
        <f t="shared" si="55"/>
        <v>50.363951649285546</v>
      </c>
      <c r="AK80" s="263">
        <f t="shared" si="55"/>
        <v>50.543282192503234</v>
      </c>
      <c r="AL80" s="263">
        <f t="shared" si="55"/>
        <v>50.722073946073976</v>
      </c>
      <c r="AM80" s="263">
        <f t="shared" si="55"/>
        <v>50.900640803000826</v>
      </c>
      <c r="AN80" s="263">
        <f t="shared" si="55"/>
        <v>51.077468337164468</v>
      </c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  <c r="BE80" s="5"/>
      <c r="BF80" s="5"/>
      <c r="BG80" s="5"/>
      <c r="BH80" s="5"/>
      <c r="BI80" s="5"/>
      <c r="BJ80" s="5"/>
      <c r="BK80" s="5"/>
      <c r="BL80" s="5"/>
    </row>
    <row r="81" spans="1:64">
      <c r="A81" s="255" t="s">
        <v>74</v>
      </c>
      <c r="B81" s="264">
        <v>2.8291333022314697</v>
      </c>
      <c r="C81" s="264">
        <v>3.0600557645463415</v>
      </c>
      <c r="D81" s="264">
        <v>3.2909782268612129</v>
      </c>
      <c r="E81" s="264">
        <v>3.5219006891760847</v>
      </c>
      <c r="F81" s="264">
        <v>3.7528231514909556</v>
      </c>
      <c r="G81" s="264">
        <v>3.9404721982758106</v>
      </c>
      <c r="H81" s="264">
        <v>4.1281212450606652</v>
      </c>
      <c r="I81" s="264">
        <v>4.3157702918455199</v>
      </c>
      <c r="J81" s="264">
        <v>4.5034193386303745</v>
      </c>
      <c r="K81" s="264">
        <v>4.6910683854152291</v>
      </c>
      <c r="L81" s="264">
        <v>4.723560493593447</v>
      </c>
      <c r="M81" s="264">
        <v>4.7560526017716649</v>
      </c>
      <c r="N81" s="264">
        <v>4.7885447099498828</v>
      </c>
      <c r="O81" s="264">
        <v>4.8210368181280998</v>
      </c>
      <c r="P81" s="264">
        <v>4.8535289263063186</v>
      </c>
      <c r="Q81" s="264">
        <f t="shared" ref="Q81:T81" si="56">Q41</f>
        <v>1.7664259372694027</v>
      </c>
      <c r="R81" s="264">
        <f t="shared" si="56"/>
        <v>1.7664259372694027</v>
      </c>
      <c r="S81" s="264">
        <f t="shared" si="56"/>
        <v>1.7664259372694027</v>
      </c>
      <c r="T81" s="264">
        <f t="shared" si="56"/>
        <v>1.7664259372694027</v>
      </c>
      <c r="U81" s="264">
        <f t="shared" ref="U81:AN81" si="57">U41</f>
        <v>1.7664259372694027</v>
      </c>
      <c r="V81" s="264">
        <f t="shared" si="57"/>
        <v>1.9743721629312017</v>
      </c>
      <c r="W81" s="264">
        <f t="shared" si="57"/>
        <v>2.1823183885930009</v>
      </c>
      <c r="X81" s="264">
        <f t="shared" si="57"/>
        <v>2.3902646142547996</v>
      </c>
      <c r="Y81" s="264">
        <f t="shared" si="57"/>
        <v>2.598210839916598</v>
      </c>
      <c r="Z81" s="264">
        <f t="shared" si="57"/>
        <v>2.8291333022314697</v>
      </c>
      <c r="AA81" s="264">
        <f t="shared" si="57"/>
        <v>3.0600557645463415</v>
      </c>
      <c r="AB81" s="264">
        <f t="shared" si="57"/>
        <v>3.2909782268612129</v>
      </c>
      <c r="AC81" s="264">
        <f t="shared" si="57"/>
        <v>3.5219006891760847</v>
      </c>
      <c r="AD81" s="264">
        <f t="shared" si="57"/>
        <v>3.7528231514909556</v>
      </c>
      <c r="AE81" s="264">
        <f t="shared" si="57"/>
        <v>3.9404721982758106</v>
      </c>
      <c r="AF81" s="264">
        <f t="shared" si="57"/>
        <v>4.1281212450606652</v>
      </c>
      <c r="AG81" s="264">
        <f t="shared" si="57"/>
        <v>4.3157702918455199</v>
      </c>
      <c r="AH81" s="264">
        <f t="shared" si="57"/>
        <v>4.5034193386303745</v>
      </c>
      <c r="AI81" s="264">
        <f t="shared" si="57"/>
        <v>4.6910683854152291</v>
      </c>
      <c r="AJ81" s="264">
        <f t="shared" si="57"/>
        <v>4.723560493593447</v>
      </c>
      <c r="AK81" s="264">
        <f t="shared" si="57"/>
        <v>4.7560526017716649</v>
      </c>
      <c r="AL81" s="264">
        <f t="shared" si="57"/>
        <v>4.7885447099498828</v>
      </c>
      <c r="AM81" s="264">
        <f t="shared" si="57"/>
        <v>4.8210368181280998</v>
      </c>
      <c r="AN81" s="264">
        <f t="shared" si="57"/>
        <v>4.8535289263063186</v>
      </c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  <c r="BE81" s="5"/>
      <c r="BF81" s="5"/>
      <c r="BG81" s="5"/>
      <c r="BH81" s="5"/>
      <c r="BI81" s="5"/>
      <c r="BJ81" s="5"/>
      <c r="BK81" s="5"/>
      <c r="BL81" s="5"/>
    </row>
    <row r="82" spans="1:64" ht="13.5" thickBot="1">
      <c r="A82" s="358" t="s">
        <v>68</v>
      </c>
      <c r="B82" s="362">
        <f>SUM(B76:B81)</f>
        <v>369.4879479318501</v>
      </c>
      <c r="C82" s="362">
        <f t="shared" ref="C82:AN82" si="58">SUM(C76:C81)</f>
        <v>382.5958256042307</v>
      </c>
      <c r="D82" s="362">
        <f t="shared" si="58"/>
        <v>395.40755596476566</v>
      </c>
      <c r="E82" s="362">
        <f t="shared" si="58"/>
        <v>408.36490302437363</v>
      </c>
      <c r="F82" s="362">
        <f t="shared" si="58"/>
        <v>421.93828417097109</v>
      </c>
      <c r="G82" s="362">
        <f t="shared" si="58"/>
        <v>428.73902582463683</v>
      </c>
      <c r="H82" s="362">
        <f t="shared" si="58"/>
        <v>435.52024314407703</v>
      </c>
      <c r="I82" s="362">
        <f t="shared" si="58"/>
        <v>442.21366384329474</v>
      </c>
      <c r="J82" s="362">
        <f t="shared" si="58"/>
        <v>448.86240714888538</v>
      </c>
      <c r="K82" s="362">
        <f t="shared" si="58"/>
        <v>455.59879938285877</v>
      </c>
      <c r="L82" s="362">
        <f t="shared" si="58"/>
        <v>454.0581065701175</v>
      </c>
      <c r="M82" s="362">
        <f t="shared" si="58"/>
        <v>452.54708303148215</v>
      </c>
      <c r="N82" s="362">
        <f t="shared" si="58"/>
        <v>451.00979786868442</v>
      </c>
      <c r="O82" s="362">
        <f t="shared" ref="O82:T82" si="59">SUM(O76:O81)</f>
        <v>449.461550819053</v>
      </c>
      <c r="P82" s="362">
        <f t="shared" si="59"/>
        <v>447.82852589560099</v>
      </c>
      <c r="Q82" s="362">
        <f t="shared" si="59"/>
        <v>330.42071923708824</v>
      </c>
      <c r="R82" s="362">
        <f t="shared" si="59"/>
        <v>330.42071923708824</v>
      </c>
      <c r="S82" s="362">
        <f t="shared" si="59"/>
        <v>330.42071923708824</v>
      </c>
      <c r="T82" s="362">
        <f t="shared" si="59"/>
        <v>330.42071923708824</v>
      </c>
      <c r="U82" s="362">
        <f t="shared" si="58"/>
        <v>330.42071923708824</v>
      </c>
      <c r="V82" s="362">
        <f t="shared" si="58"/>
        <v>335.82980360965576</v>
      </c>
      <c r="W82" s="362">
        <f t="shared" si="58"/>
        <v>341.88557085629344</v>
      </c>
      <c r="X82" s="362">
        <f t="shared" si="58"/>
        <v>348.48864952319121</v>
      </c>
      <c r="Y82" s="362">
        <f t="shared" si="58"/>
        <v>356.18437381062643</v>
      </c>
      <c r="Z82" s="362">
        <f t="shared" si="58"/>
        <v>369.4879479318501</v>
      </c>
      <c r="AA82" s="362">
        <f t="shared" si="58"/>
        <v>382.5958256042307</v>
      </c>
      <c r="AB82" s="362">
        <f t="shared" si="58"/>
        <v>395.40755596476566</v>
      </c>
      <c r="AC82" s="362">
        <f t="shared" si="58"/>
        <v>408.36490302437363</v>
      </c>
      <c r="AD82" s="362">
        <f t="shared" si="58"/>
        <v>421.93828417097109</v>
      </c>
      <c r="AE82" s="362">
        <f t="shared" si="58"/>
        <v>428.73902582463683</v>
      </c>
      <c r="AF82" s="362">
        <f t="shared" si="58"/>
        <v>435.52024314407703</v>
      </c>
      <c r="AG82" s="362">
        <f t="shared" si="58"/>
        <v>442.21366384329474</v>
      </c>
      <c r="AH82" s="362">
        <f t="shared" si="58"/>
        <v>448.86240714888538</v>
      </c>
      <c r="AI82" s="362">
        <f t="shared" si="58"/>
        <v>455.59879938285877</v>
      </c>
      <c r="AJ82" s="362">
        <f t="shared" si="58"/>
        <v>454.0581065701175</v>
      </c>
      <c r="AK82" s="362">
        <f t="shared" si="58"/>
        <v>452.54708303148215</v>
      </c>
      <c r="AL82" s="362">
        <f t="shared" si="58"/>
        <v>451.00979786868442</v>
      </c>
      <c r="AM82" s="362">
        <f t="shared" si="58"/>
        <v>449.461550819053</v>
      </c>
      <c r="AN82" s="362">
        <f t="shared" si="58"/>
        <v>447.82852589560099</v>
      </c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  <c r="BE82" s="5"/>
      <c r="BF82" s="5"/>
      <c r="BG82" s="5"/>
      <c r="BH82" s="5"/>
      <c r="BI82" s="5"/>
      <c r="BJ82" s="5"/>
      <c r="BK82" s="5"/>
      <c r="BL82" s="5"/>
    </row>
    <row r="83" spans="1:64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>
        <f>5500/6</f>
        <v>916.66666666666663</v>
      </c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  <c r="BE83" s="5"/>
      <c r="BF83" s="5"/>
      <c r="BG83" s="5"/>
      <c r="BH83" s="5"/>
      <c r="BI83" s="5"/>
      <c r="BJ83" s="5"/>
      <c r="BK83" s="5"/>
      <c r="BL83" s="5"/>
    </row>
    <row r="84" spans="1:64" ht="13.5" thickBot="1">
      <c r="A84" s="5"/>
      <c r="B84" s="5"/>
      <c r="C84" s="5"/>
      <c r="D84" s="5"/>
      <c r="E84" s="5"/>
      <c r="F84" s="155"/>
      <c r="G84" s="5"/>
      <c r="H84" s="5"/>
      <c r="I84" s="5"/>
      <c r="J84" s="5"/>
      <c r="K84" s="5"/>
      <c r="L84" s="5"/>
      <c r="M84" s="5"/>
      <c r="N84" s="5"/>
      <c r="O84" s="5">
        <v>1000</v>
      </c>
      <c r="P84" s="5">
        <v>1200</v>
      </c>
      <c r="Q84" s="5">
        <v>1500</v>
      </c>
      <c r="R84" s="5">
        <v>2000</v>
      </c>
      <c r="S84" s="5">
        <v>2000</v>
      </c>
      <c r="T84" s="5">
        <v>2500</v>
      </c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  <c r="BE84" s="5"/>
      <c r="BF84" s="5"/>
      <c r="BG84" s="5"/>
      <c r="BH84" s="5"/>
      <c r="BI84" s="5"/>
      <c r="BJ84" s="5"/>
      <c r="BK84" s="5"/>
      <c r="BL84" s="5"/>
    </row>
    <row r="85" spans="1:64" ht="13.5" thickBot="1">
      <c r="A85" s="257" t="s">
        <v>80</v>
      </c>
      <c r="B85" s="256">
        <f t="shared" ref="B85:AN85" si="60">B16</f>
        <v>2012</v>
      </c>
      <c r="C85" s="256">
        <f t="shared" si="60"/>
        <v>2013</v>
      </c>
      <c r="D85" s="256">
        <f t="shared" si="60"/>
        <v>2014</v>
      </c>
      <c r="E85" s="256">
        <f t="shared" si="60"/>
        <v>2015</v>
      </c>
      <c r="F85" s="256">
        <f t="shared" si="60"/>
        <v>2016</v>
      </c>
      <c r="G85" s="256">
        <f t="shared" si="60"/>
        <v>2017</v>
      </c>
      <c r="H85" s="256">
        <f t="shared" si="60"/>
        <v>2018</v>
      </c>
      <c r="I85" s="256">
        <f t="shared" si="60"/>
        <v>2019</v>
      </c>
      <c r="J85" s="256">
        <f t="shared" si="60"/>
        <v>2020</v>
      </c>
      <c r="K85" s="256">
        <f t="shared" si="60"/>
        <v>2021</v>
      </c>
      <c r="L85" s="256">
        <f t="shared" si="60"/>
        <v>2022</v>
      </c>
      <c r="M85" s="256">
        <f t="shared" si="60"/>
        <v>2023</v>
      </c>
      <c r="N85" s="256">
        <f t="shared" si="60"/>
        <v>2024</v>
      </c>
      <c r="O85" s="256">
        <f t="shared" si="60"/>
        <v>2025</v>
      </c>
      <c r="P85" s="256">
        <f t="shared" si="60"/>
        <v>2026</v>
      </c>
      <c r="Q85" s="256">
        <f t="shared" si="60"/>
        <v>2027</v>
      </c>
      <c r="R85" s="256">
        <f t="shared" si="60"/>
        <v>2028</v>
      </c>
      <c r="S85" s="256">
        <f t="shared" si="60"/>
        <v>2029</v>
      </c>
      <c r="T85" s="256">
        <f t="shared" si="60"/>
        <v>2030</v>
      </c>
      <c r="U85" s="256">
        <f t="shared" si="60"/>
        <v>2031</v>
      </c>
      <c r="V85" s="256">
        <f t="shared" si="60"/>
        <v>2032</v>
      </c>
      <c r="W85" s="256">
        <f t="shared" si="60"/>
        <v>2033</v>
      </c>
      <c r="X85" s="256">
        <f t="shared" si="60"/>
        <v>2034</v>
      </c>
      <c r="Y85" s="256">
        <f t="shared" si="60"/>
        <v>2035</v>
      </c>
      <c r="Z85" s="256">
        <f t="shared" si="60"/>
        <v>2036</v>
      </c>
      <c r="AA85" s="256">
        <f t="shared" si="60"/>
        <v>2037</v>
      </c>
      <c r="AB85" s="256">
        <f t="shared" si="60"/>
        <v>2038</v>
      </c>
      <c r="AC85" s="256">
        <f t="shared" si="60"/>
        <v>2039</v>
      </c>
      <c r="AD85" s="256">
        <f t="shared" si="60"/>
        <v>2040</v>
      </c>
      <c r="AE85" s="256">
        <f t="shared" si="60"/>
        <v>2041</v>
      </c>
      <c r="AF85" s="256">
        <f t="shared" si="60"/>
        <v>2042</v>
      </c>
      <c r="AG85" s="256">
        <f t="shared" si="60"/>
        <v>2043</v>
      </c>
      <c r="AH85" s="256">
        <f t="shared" si="60"/>
        <v>2044</v>
      </c>
      <c r="AI85" s="256">
        <f t="shared" si="60"/>
        <v>2045</v>
      </c>
      <c r="AJ85" s="256">
        <f t="shared" si="60"/>
        <v>2046</v>
      </c>
      <c r="AK85" s="256">
        <f t="shared" si="60"/>
        <v>2047</v>
      </c>
      <c r="AL85" s="256">
        <f t="shared" si="60"/>
        <v>2048</v>
      </c>
      <c r="AM85" s="256">
        <f t="shared" si="60"/>
        <v>2049</v>
      </c>
      <c r="AN85" s="256">
        <f t="shared" si="60"/>
        <v>2050</v>
      </c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  <c r="BE85" s="5"/>
      <c r="BF85" s="5"/>
      <c r="BG85" s="5"/>
      <c r="BH85" s="5"/>
      <c r="BI85" s="5"/>
      <c r="BJ85" s="5"/>
      <c r="BK85" s="5"/>
      <c r="BL85" s="5"/>
    </row>
    <row r="86" spans="1:64">
      <c r="A86" s="510" t="s">
        <v>21</v>
      </c>
      <c r="B86" s="594">
        <v>1000000000000000</v>
      </c>
      <c r="C86" s="594">
        <v>1000000000000000</v>
      </c>
      <c r="D86" s="594">
        <v>1000000000000000</v>
      </c>
      <c r="E86" s="594">
        <v>1000000000000000</v>
      </c>
      <c r="F86" s="594">
        <v>1000000000000000</v>
      </c>
      <c r="G86" s="594">
        <v>1000000000000000</v>
      </c>
      <c r="H86" s="594">
        <v>1000000000000000</v>
      </c>
      <c r="I86" s="594">
        <v>1000000000000000</v>
      </c>
      <c r="J86" s="594">
        <v>1000000000000000</v>
      </c>
      <c r="K86" s="594">
        <v>1000000000000000</v>
      </c>
      <c r="L86" s="594">
        <v>1000000000000000</v>
      </c>
      <c r="M86" s="594">
        <v>1000000000000000</v>
      </c>
      <c r="N86" s="594">
        <v>1000000000000000</v>
      </c>
      <c r="O86" s="594">
        <v>1000000000000000</v>
      </c>
      <c r="P86" s="594">
        <v>1000000000000000</v>
      </c>
      <c r="Q86" s="594">
        <v>1000000000000000</v>
      </c>
      <c r="R86" s="594">
        <v>1000000000000000</v>
      </c>
      <c r="S86" s="594">
        <v>1000000000000000</v>
      </c>
      <c r="T86" s="594">
        <v>1000000000000000</v>
      </c>
      <c r="U86" s="594">
        <v>1000000000000000</v>
      </c>
      <c r="V86" s="594">
        <v>1000000000000000</v>
      </c>
      <c r="W86" s="594">
        <v>1000000000000000</v>
      </c>
      <c r="X86" s="594">
        <v>1000000000000000</v>
      </c>
      <c r="Y86" s="594">
        <v>1000000000000000</v>
      </c>
      <c r="Z86" s="594">
        <v>1000000000000000</v>
      </c>
      <c r="AA86" s="594">
        <v>1000000000000000</v>
      </c>
      <c r="AB86" s="594">
        <v>1000000000000000</v>
      </c>
      <c r="AC86" s="594">
        <v>1000000000000000</v>
      </c>
      <c r="AD86" s="594">
        <v>1000000000000000</v>
      </c>
      <c r="AE86" s="594">
        <v>1000000000000000</v>
      </c>
      <c r="AF86" s="594">
        <v>1000000000000000</v>
      </c>
      <c r="AG86" s="594">
        <v>1000000000000000</v>
      </c>
      <c r="AH86" s="594">
        <v>1000000000000000</v>
      </c>
      <c r="AI86" s="594">
        <v>1000000000000000</v>
      </c>
      <c r="AJ86" s="594">
        <v>1000000000000000</v>
      </c>
      <c r="AK86" s="594">
        <v>1000000000000000</v>
      </c>
      <c r="AL86" s="594">
        <v>1000000000000000</v>
      </c>
      <c r="AM86" s="594">
        <v>1000000000000000</v>
      </c>
      <c r="AN86" s="594">
        <v>1000000000000000</v>
      </c>
      <c r="AO86" s="5">
        <f>SUM(B86:AN86)</f>
        <v>3.9E+16</v>
      </c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  <c r="BE86" s="5"/>
      <c r="BF86" s="5"/>
      <c r="BG86" s="5"/>
      <c r="BH86" s="5"/>
      <c r="BI86" s="5"/>
      <c r="BJ86" s="5"/>
      <c r="BK86" s="5"/>
      <c r="BL86" s="5"/>
    </row>
    <row r="87" spans="1:64">
      <c r="A87" s="255" t="s">
        <v>22</v>
      </c>
      <c r="B87" s="595">
        <v>300</v>
      </c>
      <c r="C87" s="595">
        <v>300</v>
      </c>
      <c r="D87" s="595">
        <v>300</v>
      </c>
      <c r="E87" s="595">
        <v>300</v>
      </c>
      <c r="F87" s="595">
        <v>300</v>
      </c>
      <c r="G87" s="595">
        <v>233</v>
      </c>
      <c r="H87" s="595">
        <v>219</v>
      </c>
      <c r="I87" s="595">
        <v>124</v>
      </c>
      <c r="J87" s="595">
        <v>266</v>
      </c>
      <c r="K87" s="596">
        <v>1000000000000000</v>
      </c>
      <c r="L87" s="596">
        <v>1000000000000000</v>
      </c>
      <c r="M87" s="596">
        <v>1000000000000000</v>
      </c>
      <c r="N87" s="596">
        <v>1000000000000000</v>
      </c>
      <c r="O87" s="596">
        <v>1000000000000000</v>
      </c>
      <c r="P87" s="596">
        <v>1000000000000000</v>
      </c>
      <c r="Q87" s="596">
        <v>1000000000000000</v>
      </c>
      <c r="R87" s="596">
        <v>1000000000000000</v>
      </c>
      <c r="S87" s="596">
        <v>1000000000000000</v>
      </c>
      <c r="T87" s="596">
        <v>1000000000000000</v>
      </c>
      <c r="U87" s="596">
        <v>1000000000000000</v>
      </c>
      <c r="V87" s="596">
        <v>1000000000000000</v>
      </c>
      <c r="W87" s="596">
        <v>1000000000000000</v>
      </c>
      <c r="X87" s="596">
        <v>1000000000000000</v>
      </c>
      <c r="Y87" s="596">
        <v>1000000000000000</v>
      </c>
      <c r="Z87" s="596">
        <v>1000000000000000</v>
      </c>
      <c r="AA87" s="596">
        <v>1000000000000000</v>
      </c>
      <c r="AB87" s="596">
        <v>1000000000000000</v>
      </c>
      <c r="AC87" s="596">
        <v>1000000000000000</v>
      </c>
      <c r="AD87" s="596">
        <v>1000000000000000</v>
      </c>
      <c r="AE87" s="596">
        <v>1000000000000000</v>
      </c>
      <c r="AF87" s="596">
        <v>1000000000000000</v>
      </c>
      <c r="AG87" s="596">
        <v>1000000000000000</v>
      </c>
      <c r="AH87" s="596">
        <v>1000000000000000</v>
      </c>
      <c r="AI87" s="596">
        <v>1000000000000000</v>
      </c>
      <c r="AJ87" s="596">
        <v>1000000000000000</v>
      </c>
      <c r="AK87" s="596">
        <v>1000000000000000</v>
      </c>
      <c r="AL87" s="596">
        <v>1000000000000000</v>
      </c>
      <c r="AM87" s="596">
        <v>1000000000000000</v>
      </c>
      <c r="AN87" s="596">
        <v>1000000000000000</v>
      </c>
      <c r="AO87" s="58">
        <f>SUM(E87:AN87)</f>
        <v>3.000000000000144E+16</v>
      </c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  <c r="BE87" s="5"/>
      <c r="BF87" s="5"/>
      <c r="BG87" s="5"/>
      <c r="BH87" s="5"/>
      <c r="BI87" s="5"/>
      <c r="BJ87" s="5"/>
      <c r="BK87" s="5"/>
      <c r="BL87" s="5"/>
    </row>
    <row r="88" spans="1:64">
      <c r="A88" s="7" t="s">
        <v>24</v>
      </c>
      <c r="B88" s="156">
        <v>1000000000000000</v>
      </c>
      <c r="C88" s="156">
        <v>1000000000000000</v>
      </c>
      <c r="D88" s="156">
        <v>1000000000000000</v>
      </c>
      <c r="E88" s="156">
        <v>1000000000000000</v>
      </c>
      <c r="F88" s="156">
        <v>1000000000000000</v>
      </c>
      <c r="G88" s="156">
        <v>1000000000000000</v>
      </c>
      <c r="H88" s="156">
        <v>1000000000000000</v>
      </c>
      <c r="I88" s="156">
        <v>1000000000000000</v>
      </c>
      <c r="J88" s="156">
        <v>1000000000000000</v>
      </c>
      <c r="K88" s="156">
        <v>1000000000000000</v>
      </c>
      <c r="L88" s="156">
        <v>1000000000000000</v>
      </c>
      <c r="M88" s="156">
        <v>1000000000000000</v>
      </c>
      <c r="N88" s="156">
        <v>1000000000000000</v>
      </c>
      <c r="O88" s="156">
        <v>1000000000000000</v>
      </c>
      <c r="P88" s="156">
        <v>1000000000000000</v>
      </c>
      <c r="Q88" s="156">
        <v>1000000000000000</v>
      </c>
      <c r="R88" s="156">
        <v>1000000000000000</v>
      </c>
      <c r="S88" s="156">
        <v>1000000000000000</v>
      </c>
      <c r="T88" s="156">
        <v>1000000000000000</v>
      </c>
      <c r="U88" s="156">
        <v>1000000000000000</v>
      </c>
      <c r="V88" s="156">
        <v>1000000000000000</v>
      </c>
      <c r="W88" s="156">
        <v>1000000000000000</v>
      </c>
      <c r="X88" s="156">
        <v>1000000000000000</v>
      </c>
      <c r="Y88" s="156">
        <v>1000000000000000</v>
      </c>
      <c r="Z88" s="156">
        <v>1000000000000000</v>
      </c>
      <c r="AA88" s="156">
        <v>1000000000000000</v>
      </c>
      <c r="AB88" s="156">
        <v>1000000000000000</v>
      </c>
      <c r="AC88" s="156">
        <v>1000000000000000</v>
      </c>
      <c r="AD88" s="156">
        <v>1000000000000000</v>
      </c>
      <c r="AE88" s="156">
        <v>1000000000000000</v>
      </c>
      <c r="AF88" s="156">
        <v>1000000000000000</v>
      </c>
      <c r="AG88" s="156">
        <v>1000000000000000</v>
      </c>
      <c r="AH88" s="156">
        <v>1000000000000000</v>
      </c>
      <c r="AI88" s="156">
        <v>1000000000000000</v>
      </c>
      <c r="AJ88" s="156">
        <v>1000000000000000</v>
      </c>
      <c r="AK88" s="156">
        <v>1000000000000000</v>
      </c>
      <c r="AL88" s="156">
        <v>1000000000000000</v>
      </c>
      <c r="AM88" s="156">
        <v>1000000000000000</v>
      </c>
      <c r="AN88" s="156">
        <v>1000000000000000</v>
      </c>
      <c r="AO88" s="5">
        <f t="shared" ref="AO88:AO93" si="61">SUM(B88:AN88)</f>
        <v>3.9E+16</v>
      </c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  <c r="BE88" s="5"/>
      <c r="BF88" s="5"/>
      <c r="BG88" s="5"/>
      <c r="BH88" s="5"/>
      <c r="BI88" s="5"/>
      <c r="BJ88" s="5"/>
      <c r="BK88" s="5"/>
      <c r="BL88" s="5"/>
    </row>
    <row r="89" spans="1:64">
      <c r="A89" s="255" t="s">
        <v>23</v>
      </c>
      <c r="B89" s="596">
        <v>1000000000000000</v>
      </c>
      <c r="C89" s="596">
        <v>1000000000000000</v>
      </c>
      <c r="D89" s="596">
        <v>1000000000000000</v>
      </c>
      <c r="E89" s="596">
        <v>1000000000000000</v>
      </c>
      <c r="F89" s="596">
        <v>1000000000000000</v>
      </c>
      <c r="G89" s="596">
        <v>1000000000000000</v>
      </c>
      <c r="H89" s="596">
        <v>1000000000000000</v>
      </c>
      <c r="I89" s="596">
        <v>1000000000000000</v>
      </c>
      <c r="J89" s="596">
        <v>1000000000000000</v>
      </c>
      <c r="K89" s="596">
        <v>1000000000000000</v>
      </c>
      <c r="L89" s="596">
        <v>1000000000000000</v>
      </c>
      <c r="M89" s="596">
        <v>1000000000000000</v>
      </c>
      <c r="N89" s="596">
        <v>1000000000000000</v>
      </c>
      <c r="O89" s="596">
        <v>1000000000000000</v>
      </c>
      <c r="P89" s="596">
        <v>1000000000000000</v>
      </c>
      <c r="Q89" s="596">
        <v>1000000000000000</v>
      </c>
      <c r="R89" s="596">
        <v>1000000000000000</v>
      </c>
      <c r="S89" s="596">
        <v>1000000000000000</v>
      </c>
      <c r="T89" s="596">
        <v>1000000000000000</v>
      </c>
      <c r="U89" s="596">
        <v>1000000000000000</v>
      </c>
      <c r="V89" s="596">
        <v>1000000000000000</v>
      </c>
      <c r="W89" s="596">
        <v>1000000000000000</v>
      </c>
      <c r="X89" s="596">
        <v>1000000000000000</v>
      </c>
      <c r="Y89" s="596">
        <v>1000000000000000</v>
      </c>
      <c r="Z89" s="596">
        <v>1000000000000000</v>
      </c>
      <c r="AA89" s="596">
        <v>1000000000000000</v>
      </c>
      <c r="AB89" s="596">
        <v>1000000000000000</v>
      </c>
      <c r="AC89" s="596">
        <v>1000000000000000</v>
      </c>
      <c r="AD89" s="596">
        <v>1000000000000000</v>
      </c>
      <c r="AE89" s="596">
        <v>1000000000000000</v>
      </c>
      <c r="AF89" s="596">
        <v>1000000000000000</v>
      </c>
      <c r="AG89" s="596">
        <v>1000000000000000</v>
      </c>
      <c r="AH89" s="596">
        <v>1000000000000000</v>
      </c>
      <c r="AI89" s="596">
        <v>1000000000000000</v>
      </c>
      <c r="AJ89" s="596">
        <v>1000000000000000</v>
      </c>
      <c r="AK89" s="596">
        <v>1000000000000000</v>
      </c>
      <c r="AL89" s="596">
        <v>1000000000000000</v>
      </c>
      <c r="AM89" s="596">
        <v>1000000000000000</v>
      </c>
      <c r="AN89" s="596">
        <v>1000000000000000</v>
      </c>
      <c r="AO89" s="5">
        <f t="shared" si="61"/>
        <v>3.9E+16</v>
      </c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  <c r="BE89" s="5"/>
      <c r="BF89" s="5"/>
      <c r="BG89" s="5"/>
      <c r="BH89" s="5"/>
      <c r="BI89" s="5"/>
      <c r="BJ89" s="5"/>
      <c r="BK89" s="5"/>
      <c r="BL89" s="5"/>
    </row>
    <row r="90" spans="1:64">
      <c r="A90" s="7" t="s">
        <v>27</v>
      </c>
      <c r="B90" s="156">
        <v>0</v>
      </c>
      <c r="C90" s="156">
        <v>0</v>
      </c>
      <c r="D90" s="156">
        <v>0</v>
      </c>
      <c r="E90" s="156">
        <v>0</v>
      </c>
      <c r="F90" s="156">
        <v>0</v>
      </c>
      <c r="G90" s="156">
        <v>0</v>
      </c>
      <c r="H90" s="156">
        <v>0</v>
      </c>
      <c r="I90" s="156">
        <v>340</v>
      </c>
      <c r="J90" s="156">
        <v>1000000000000000</v>
      </c>
      <c r="K90" s="156">
        <v>1000000000000000</v>
      </c>
      <c r="L90" s="156">
        <v>1000000000000000</v>
      </c>
      <c r="M90" s="156">
        <v>1000000000000000</v>
      </c>
      <c r="N90" s="156">
        <v>1000000000000000</v>
      </c>
      <c r="O90" s="156">
        <v>1000000000000000</v>
      </c>
      <c r="P90" s="156">
        <v>1000000000000000</v>
      </c>
      <c r="Q90" s="156">
        <v>1000000000000000</v>
      </c>
      <c r="R90" s="156">
        <v>1000000000000000</v>
      </c>
      <c r="S90" s="156">
        <v>1000000000000000</v>
      </c>
      <c r="T90" s="156">
        <v>1000000000000000</v>
      </c>
      <c r="U90" s="156">
        <v>1000000000000000</v>
      </c>
      <c r="V90" s="156">
        <v>1000000000000000</v>
      </c>
      <c r="W90" s="156">
        <v>1000000000000000</v>
      </c>
      <c r="X90" s="156">
        <v>1000000000000000</v>
      </c>
      <c r="Y90" s="156">
        <v>1000000000000000</v>
      </c>
      <c r="Z90" s="156">
        <v>1000000000000000</v>
      </c>
      <c r="AA90" s="156">
        <v>1000000000000000</v>
      </c>
      <c r="AB90" s="156">
        <v>1000000000000000</v>
      </c>
      <c r="AC90" s="156">
        <v>1000000000000000</v>
      </c>
      <c r="AD90" s="156">
        <v>1000000000000000</v>
      </c>
      <c r="AE90" s="156">
        <v>1000000000000000</v>
      </c>
      <c r="AF90" s="156">
        <v>1000000000000000</v>
      </c>
      <c r="AG90" s="156">
        <v>1000000000000000</v>
      </c>
      <c r="AH90" s="156">
        <v>1000000000000000</v>
      </c>
      <c r="AI90" s="156">
        <v>1000000000000000</v>
      </c>
      <c r="AJ90" s="156">
        <v>1000000000000000</v>
      </c>
      <c r="AK90" s="156">
        <v>1000000000000000</v>
      </c>
      <c r="AL90" s="156">
        <v>1000000000000000</v>
      </c>
      <c r="AM90" s="156">
        <v>1000000000000000</v>
      </c>
      <c r="AN90" s="156">
        <v>1000000000000000</v>
      </c>
      <c r="AO90" s="5">
        <f>SUM(O90:AN90)</f>
        <v>2.6E+16</v>
      </c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  <c r="BE90" s="5"/>
      <c r="BF90" s="5"/>
      <c r="BG90" s="5"/>
      <c r="BH90" s="5"/>
      <c r="BI90" s="5"/>
      <c r="BJ90" s="5"/>
      <c r="BK90" s="5"/>
      <c r="BL90" s="5"/>
    </row>
    <row r="91" spans="1:64">
      <c r="A91" s="255" t="s">
        <v>28</v>
      </c>
      <c r="B91" s="596">
        <v>1000000000000000</v>
      </c>
      <c r="C91" s="596">
        <v>1000000000000000</v>
      </c>
      <c r="D91" s="596">
        <v>1000000000000000</v>
      </c>
      <c r="E91" s="596">
        <v>1000000000000000</v>
      </c>
      <c r="F91" s="596">
        <v>1000000000000000</v>
      </c>
      <c r="G91" s="596">
        <v>1000000000000000</v>
      </c>
      <c r="H91" s="596">
        <v>1000000000000000</v>
      </c>
      <c r="I91" s="596">
        <v>1000000000000000</v>
      </c>
      <c r="J91" s="596">
        <v>1000000000000000</v>
      </c>
      <c r="K91" s="596">
        <v>1000000000000000</v>
      </c>
      <c r="L91" s="596">
        <v>1000000000000000</v>
      </c>
      <c r="M91" s="596">
        <v>1000000000000000</v>
      </c>
      <c r="N91" s="596">
        <v>1000000000000000</v>
      </c>
      <c r="O91" s="596">
        <v>1000000000000000</v>
      </c>
      <c r="P91" s="596">
        <v>1000000000000000</v>
      </c>
      <c r="Q91" s="596">
        <v>1000000000000000</v>
      </c>
      <c r="R91" s="596">
        <v>1000000000000000</v>
      </c>
      <c r="S91" s="596">
        <v>1000000000000000</v>
      </c>
      <c r="T91" s="596">
        <v>1000000000000000</v>
      </c>
      <c r="U91" s="596">
        <v>1000000000000000</v>
      </c>
      <c r="V91" s="596">
        <v>1000000000000000</v>
      </c>
      <c r="W91" s="596">
        <v>1000000000000000</v>
      </c>
      <c r="X91" s="596">
        <v>1000000000000000</v>
      </c>
      <c r="Y91" s="596">
        <v>1000000000000000</v>
      </c>
      <c r="Z91" s="596">
        <v>1000000000000000</v>
      </c>
      <c r="AA91" s="596">
        <v>1000000000000000</v>
      </c>
      <c r="AB91" s="596">
        <v>1000000000000000</v>
      </c>
      <c r="AC91" s="596">
        <v>1000000000000000</v>
      </c>
      <c r="AD91" s="596">
        <v>1000000000000000</v>
      </c>
      <c r="AE91" s="596">
        <v>1000000000000000</v>
      </c>
      <c r="AF91" s="596">
        <v>1000000000000000</v>
      </c>
      <c r="AG91" s="596">
        <v>1000000000000000</v>
      </c>
      <c r="AH91" s="596">
        <v>1000000000000000</v>
      </c>
      <c r="AI91" s="596">
        <v>1000000000000000</v>
      </c>
      <c r="AJ91" s="596">
        <v>1000000000000000</v>
      </c>
      <c r="AK91" s="596">
        <v>1000000000000000</v>
      </c>
      <c r="AL91" s="596">
        <v>1000000000000000</v>
      </c>
      <c r="AM91" s="596">
        <v>1000000000000000</v>
      </c>
      <c r="AN91" s="596">
        <v>1000000000000000</v>
      </c>
      <c r="AO91" s="5">
        <f t="shared" si="61"/>
        <v>3.9E+16</v>
      </c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  <c r="BE91" s="5"/>
      <c r="BF91" s="5"/>
      <c r="BG91" s="5"/>
      <c r="BH91" s="5"/>
      <c r="BI91" s="5"/>
      <c r="BJ91" s="5"/>
      <c r="BK91" s="5"/>
      <c r="BL91" s="5"/>
    </row>
    <row r="92" spans="1:64">
      <c r="A92" s="7" t="s">
        <v>81</v>
      </c>
      <c r="B92" s="156">
        <v>1000000000000000</v>
      </c>
      <c r="C92" s="156">
        <v>1000000000000000</v>
      </c>
      <c r="D92" s="156">
        <v>1000000000000000</v>
      </c>
      <c r="E92" s="156">
        <v>1000000000000000</v>
      </c>
      <c r="F92" s="647">
        <v>54.388285212803396</v>
      </c>
      <c r="G92" s="647">
        <v>1641.9636183874959</v>
      </c>
      <c r="H92" s="647">
        <v>1432.1788315265721</v>
      </c>
      <c r="I92" s="647">
        <v>6771.6977463939338</v>
      </c>
      <c r="J92" s="647">
        <v>4909.0388205191084</v>
      </c>
      <c r="K92" s="647">
        <v>5095.3013863893702</v>
      </c>
      <c r="L92" s="647">
        <v>4507.8594145450015</v>
      </c>
      <c r="M92" s="647">
        <v>4607.0004166406788</v>
      </c>
      <c r="N92" s="647">
        <v>4546.4635485846993</v>
      </c>
      <c r="O92" s="647">
        <v>4682.9678999356729</v>
      </c>
      <c r="P92" s="647">
        <v>3976.9361095250001</v>
      </c>
      <c r="Q92" s="647">
        <v>3717.7049690674307</v>
      </c>
      <c r="R92" s="647">
        <v>3885.6887211625804</v>
      </c>
      <c r="S92" s="647">
        <v>4023.2507696964817</v>
      </c>
      <c r="T92" s="647">
        <v>4182.7532596122619</v>
      </c>
      <c r="U92" s="647">
        <v>4443.1050684578158</v>
      </c>
      <c r="V92" s="647">
        <v>4564.0629217695378</v>
      </c>
      <c r="W92" s="647">
        <v>4553.2620062418546</v>
      </c>
      <c r="X92" s="647">
        <v>4676.8022271144846</v>
      </c>
      <c r="Y92" s="647">
        <v>4821.3144468549544</v>
      </c>
      <c r="Z92" s="647">
        <v>5121.3568666304354</v>
      </c>
      <c r="AA92" s="647">
        <v>5022.2669046687042</v>
      </c>
      <c r="AB92" s="647">
        <v>5035.0754715230069</v>
      </c>
      <c r="AC92" s="647">
        <v>4801.2555768848351</v>
      </c>
      <c r="AD92" s="647">
        <v>4718.6206778394298</v>
      </c>
      <c r="AE92" s="647">
        <v>4136.1001272163203</v>
      </c>
      <c r="AF92" s="647">
        <v>4156.5308193596493</v>
      </c>
      <c r="AG92" s="647">
        <v>4143.2231104021903</v>
      </c>
      <c r="AH92" s="647">
        <v>4209.6305080756556</v>
      </c>
      <c r="AI92" s="647">
        <v>4270.8215729051244</v>
      </c>
      <c r="AJ92" s="647">
        <v>4278.2214339867478</v>
      </c>
      <c r="AK92" s="647">
        <v>4227.820848821284</v>
      </c>
      <c r="AL92" s="647">
        <v>4693.1502445840551</v>
      </c>
      <c r="AM92" s="647">
        <v>4476.3521546136335</v>
      </c>
      <c r="AN92" s="647">
        <v>4366.2318999529116</v>
      </c>
      <c r="AO92" s="5">
        <f t="shared" si="61"/>
        <v>4000000000148751</v>
      </c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  <c r="BE92" s="5"/>
      <c r="BF92" s="5"/>
      <c r="BG92" s="5"/>
      <c r="BH92" s="5"/>
      <c r="BI92" s="5"/>
      <c r="BJ92" s="5"/>
      <c r="BK92" s="5"/>
      <c r="BL92" s="5"/>
    </row>
    <row r="93" spans="1:64">
      <c r="A93" s="367" t="s">
        <v>82</v>
      </c>
      <c r="B93" s="597">
        <v>1000000000000000</v>
      </c>
      <c r="C93" s="597">
        <v>1000000000000000</v>
      </c>
      <c r="D93" s="597">
        <v>1000000000000000</v>
      </c>
      <c r="E93" s="597">
        <v>1000000000000000</v>
      </c>
      <c r="F93" s="597">
        <v>1000000000000000</v>
      </c>
      <c r="G93" s="597">
        <v>1000000000000000</v>
      </c>
      <c r="H93" s="597">
        <v>1000000000000000</v>
      </c>
      <c r="I93" s="597">
        <v>1000000000000000</v>
      </c>
      <c r="J93" s="597">
        <v>1000000000000000</v>
      </c>
      <c r="K93" s="597">
        <v>1000000000000000</v>
      </c>
      <c r="L93" s="597">
        <v>1000000000000000</v>
      </c>
      <c r="M93" s="597">
        <v>1000000000000000</v>
      </c>
      <c r="N93" s="597">
        <v>1000000000000000</v>
      </c>
      <c r="O93" s="597">
        <v>1000000000000000</v>
      </c>
      <c r="P93" s="597">
        <v>1000000000000000</v>
      </c>
      <c r="Q93" s="597">
        <v>1000000000000000</v>
      </c>
      <c r="R93" s="597">
        <v>1000000000000000</v>
      </c>
      <c r="S93" s="597">
        <v>1000000000000000</v>
      </c>
      <c r="T93" s="597">
        <v>1000000000000000</v>
      </c>
      <c r="U93" s="597">
        <v>1000000000000000</v>
      </c>
      <c r="V93" s="597">
        <v>1000000000000000</v>
      </c>
      <c r="W93" s="597">
        <v>1000000000000000</v>
      </c>
      <c r="X93" s="597">
        <v>1000000000000000</v>
      </c>
      <c r="Y93" s="597">
        <v>1000000000000000</v>
      </c>
      <c r="Z93" s="597">
        <v>1000000000000000</v>
      </c>
      <c r="AA93" s="597">
        <v>1000000000000000</v>
      </c>
      <c r="AB93" s="597">
        <v>1000000000000000</v>
      </c>
      <c r="AC93" s="597">
        <v>1000000000000000</v>
      </c>
      <c r="AD93" s="597">
        <v>1000000000000000</v>
      </c>
      <c r="AE93" s="597">
        <v>1000000000000000</v>
      </c>
      <c r="AF93" s="597">
        <v>1000000000000000</v>
      </c>
      <c r="AG93" s="597">
        <v>1000000000000000</v>
      </c>
      <c r="AH93" s="597">
        <v>1000000000000000</v>
      </c>
      <c r="AI93" s="597">
        <v>1000000000000000</v>
      </c>
      <c r="AJ93" s="597">
        <v>1000000000000000</v>
      </c>
      <c r="AK93" s="597">
        <v>1000000000000000</v>
      </c>
      <c r="AL93" s="597">
        <v>1000000000000000</v>
      </c>
      <c r="AM93" s="597">
        <v>1000000000000000</v>
      </c>
      <c r="AN93" s="597">
        <v>1000000000000000</v>
      </c>
      <c r="AO93" s="5">
        <f t="shared" si="61"/>
        <v>3.9E+16</v>
      </c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  <c r="BE93" s="5"/>
      <c r="BF93" s="5"/>
      <c r="BG93" s="5"/>
      <c r="BH93" s="5"/>
      <c r="BI93" s="5"/>
      <c r="BJ93" s="5"/>
      <c r="BK93" s="5"/>
      <c r="BL93" s="5"/>
    </row>
    <row r="94" spans="1:64"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  <c r="BE94" s="5"/>
      <c r="BF94" s="5"/>
      <c r="BG94" s="5"/>
      <c r="BH94" s="5"/>
      <c r="BI94" s="5"/>
      <c r="BJ94" s="5"/>
      <c r="BK94" s="5"/>
      <c r="BL94" s="5"/>
    </row>
    <row r="95" spans="1:64">
      <c r="O95">
        <f>2050-2027</f>
        <v>23</v>
      </c>
      <c r="P95">
        <f>9/O95</f>
        <v>0.39130434782608697</v>
      </c>
      <c r="V95" s="5"/>
      <c r="W95" s="5"/>
      <c r="X95" s="5"/>
      <c r="Z95" s="5"/>
      <c r="AD95" s="5"/>
      <c r="AE95" s="5"/>
      <c r="AH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  <c r="BE95" s="5"/>
      <c r="BF95" s="5"/>
      <c r="BG95" s="5"/>
      <c r="BH95" s="5"/>
      <c r="BI95" s="5"/>
      <c r="BJ95" s="5"/>
      <c r="BK95" s="5"/>
      <c r="BL95" s="5"/>
    </row>
    <row r="96" spans="1:64" ht="13.5" thickBot="1"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  <c r="BE96" s="5"/>
      <c r="BF96" s="5"/>
      <c r="BG96" s="5"/>
      <c r="BH96" s="5"/>
      <c r="BI96" s="5"/>
      <c r="BJ96" s="5"/>
      <c r="BK96" s="5"/>
      <c r="BL96" s="5"/>
    </row>
    <row r="97" spans="1:64">
      <c r="A97" s="257" t="s">
        <v>83</v>
      </c>
      <c r="B97" s="256">
        <f>B16</f>
        <v>2012</v>
      </c>
      <c r="C97" s="256">
        <f t="shared" ref="C97:AN97" si="62">C16</f>
        <v>2013</v>
      </c>
      <c r="D97" s="256">
        <f t="shared" si="62"/>
        <v>2014</v>
      </c>
      <c r="E97" s="256">
        <f t="shared" si="62"/>
        <v>2015</v>
      </c>
      <c r="F97" s="256">
        <f t="shared" si="62"/>
        <v>2016</v>
      </c>
      <c r="G97" s="256">
        <f t="shared" si="62"/>
        <v>2017</v>
      </c>
      <c r="H97" s="256">
        <f t="shared" si="62"/>
        <v>2018</v>
      </c>
      <c r="I97" s="256">
        <f t="shared" si="62"/>
        <v>2019</v>
      </c>
      <c r="J97" s="256">
        <f t="shared" si="62"/>
        <v>2020</v>
      </c>
      <c r="K97" s="256">
        <f t="shared" si="62"/>
        <v>2021</v>
      </c>
      <c r="L97" s="256">
        <f t="shared" si="62"/>
        <v>2022</v>
      </c>
      <c r="M97" s="256">
        <f t="shared" si="62"/>
        <v>2023</v>
      </c>
      <c r="N97" s="256">
        <f t="shared" si="62"/>
        <v>2024</v>
      </c>
      <c r="O97" s="256">
        <f t="shared" si="62"/>
        <v>2025</v>
      </c>
      <c r="P97" s="256">
        <f t="shared" si="62"/>
        <v>2026</v>
      </c>
      <c r="Q97" s="256">
        <f t="shared" si="62"/>
        <v>2027</v>
      </c>
      <c r="R97" s="256">
        <f t="shared" si="62"/>
        <v>2028</v>
      </c>
      <c r="S97" s="256">
        <f t="shared" si="62"/>
        <v>2029</v>
      </c>
      <c r="T97" s="256">
        <f t="shared" si="62"/>
        <v>2030</v>
      </c>
      <c r="U97" s="256">
        <f t="shared" si="62"/>
        <v>2031</v>
      </c>
      <c r="V97" s="256">
        <f t="shared" si="62"/>
        <v>2032</v>
      </c>
      <c r="W97" s="256">
        <f t="shared" si="62"/>
        <v>2033</v>
      </c>
      <c r="X97" s="256">
        <f t="shared" si="62"/>
        <v>2034</v>
      </c>
      <c r="Y97" s="256">
        <f t="shared" si="62"/>
        <v>2035</v>
      </c>
      <c r="Z97" s="256">
        <f t="shared" si="62"/>
        <v>2036</v>
      </c>
      <c r="AA97" s="256">
        <f t="shared" si="62"/>
        <v>2037</v>
      </c>
      <c r="AB97" s="256">
        <f t="shared" si="62"/>
        <v>2038</v>
      </c>
      <c r="AC97" s="256">
        <f t="shared" si="62"/>
        <v>2039</v>
      </c>
      <c r="AD97" s="256">
        <f t="shared" si="62"/>
        <v>2040</v>
      </c>
      <c r="AE97" s="256">
        <f t="shared" si="62"/>
        <v>2041</v>
      </c>
      <c r="AF97" s="256">
        <f t="shared" si="62"/>
        <v>2042</v>
      </c>
      <c r="AG97" s="256">
        <f t="shared" si="62"/>
        <v>2043</v>
      </c>
      <c r="AH97" s="256">
        <f t="shared" si="62"/>
        <v>2044</v>
      </c>
      <c r="AI97" s="256">
        <f t="shared" si="62"/>
        <v>2045</v>
      </c>
      <c r="AJ97" s="256">
        <f t="shared" si="62"/>
        <v>2046</v>
      </c>
      <c r="AK97" s="256">
        <f t="shared" si="62"/>
        <v>2047</v>
      </c>
      <c r="AL97" s="256">
        <f t="shared" si="62"/>
        <v>2048</v>
      </c>
      <c r="AM97" s="256">
        <f t="shared" si="62"/>
        <v>2049</v>
      </c>
      <c r="AN97" s="256">
        <f t="shared" si="62"/>
        <v>2050</v>
      </c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  <c r="BE97" s="5"/>
      <c r="BF97" s="5"/>
      <c r="BG97" s="5"/>
      <c r="BH97" s="5"/>
      <c r="BI97" s="5"/>
      <c r="BJ97" s="5"/>
      <c r="BK97" s="5"/>
      <c r="BL97" s="5"/>
    </row>
    <row r="98" spans="1:64">
      <c r="A98" s="54" t="s">
        <v>84</v>
      </c>
      <c r="B98" s="54">
        <v>10000</v>
      </c>
      <c r="C98" s="54">
        <v>10000</v>
      </c>
      <c r="D98" s="54">
        <v>10000</v>
      </c>
      <c r="E98" s="54">
        <v>10000</v>
      </c>
      <c r="F98" s="54">
        <v>10000</v>
      </c>
      <c r="G98" s="54">
        <v>10000</v>
      </c>
      <c r="H98" s="54">
        <v>10000</v>
      </c>
      <c r="I98" s="54">
        <v>10000</v>
      </c>
      <c r="J98" s="54">
        <v>10000</v>
      </c>
      <c r="K98" s="54">
        <v>10000</v>
      </c>
      <c r="L98" s="54">
        <v>10000</v>
      </c>
      <c r="M98" s="54">
        <v>10000</v>
      </c>
      <c r="N98" s="54">
        <v>10000</v>
      </c>
      <c r="O98" s="54">
        <v>10000</v>
      </c>
      <c r="P98" s="54">
        <v>10000</v>
      </c>
      <c r="Q98" s="54">
        <v>10000</v>
      </c>
      <c r="R98" s="54">
        <v>10000</v>
      </c>
      <c r="S98" s="54">
        <v>10000</v>
      </c>
      <c r="T98" s="54">
        <v>10000</v>
      </c>
      <c r="U98" s="54">
        <v>10000</v>
      </c>
      <c r="V98" s="54">
        <v>10000</v>
      </c>
      <c r="W98" s="54">
        <v>10000</v>
      </c>
      <c r="X98" s="54">
        <v>10000</v>
      </c>
      <c r="Y98" s="54">
        <v>10000</v>
      </c>
      <c r="Z98" s="54">
        <v>10000</v>
      </c>
      <c r="AA98" s="54">
        <v>10000</v>
      </c>
      <c r="AB98" s="54">
        <v>10000</v>
      </c>
      <c r="AC98" s="54">
        <v>10000</v>
      </c>
      <c r="AD98" s="54">
        <v>10000</v>
      </c>
      <c r="AE98" s="54">
        <v>10000</v>
      </c>
      <c r="AF98" s="54">
        <v>10000</v>
      </c>
      <c r="AG98" s="54">
        <v>10000</v>
      </c>
      <c r="AH98" s="54">
        <v>10000</v>
      </c>
      <c r="AI98" s="54">
        <v>10000</v>
      </c>
      <c r="AJ98" s="54">
        <v>10000</v>
      </c>
      <c r="AK98" s="54">
        <v>10000</v>
      </c>
      <c r="AL98" s="54">
        <v>10000</v>
      </c>
      <c r="AM98" s="54">
        <v>10000</v>
      </c>
      <c r="AN98" s="54">
        <v>10000</v>
      </c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  <c r="BE98" s="5"/>
      <c r="BF98" s="5"/>
      <c r="BG98" s="5"/>
      <c r="BH98" s="5"/>
      <c r="BI98" s="5"/>
      <c r="BJ98" s="5"/>
      <c r="BK98" s="5"/>
      <c r="BL98" s="5"/>
    </row>
    <row r="99" spans="1:64"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  <c r="BE99" s="5"/>
      <c r="BF99" s="5"/>
      <c r="BG99" s="5"/>
      <c r="BH99" s="5"/>
      <c r="BI99" s="5"/>
      <c r="BJ99" s="5"/>
      <c r="BK99" s="5"/>
      <c r="BL99" s="5"/>
    </row>
    <row r="100" spans="1:64">
      <c r="A100" s="7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  <c r="BE100" s="5"/>
      <c r="BF100" s="5"/>
      <c r="BG100" s="5"/>
      <c r="BH100" s="5"/>
      <c r="BI100" s="5"/>
      <c r="BJ100" s="5"/>
      <c r="BK100" s="5"/>
      <c r="BL100" s="5"/>
    </row>
    <row r="101" spans="1:64">
      <c r="A101" s="5"/>
      <c r="B101" s="7"/>
      <c r="C101" s="7"/>
      <c r="D101" s="7"/>
      <c r="E101" s="7"/>
      <c r="F101" s="7"/>
      <c r="G101" s="7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  <c r="BE101" s="5"/>
      <c r="BF101" s="5"/>
      <c r="BG101" s="5"/>
      <c r="BH101" s="5"/>
      <c r="BI101" s="5"/>
      <c r="BJ101" s="5"/>
      <c r="BK101" s="5"/>
      <c r="BL101" s="5"/>
    </row>
    <row r="102" spans="1:64" s="349" customFormat="1">
      <c r="A102" s="347"/>
      <c r="B102" s="348"/>
      <c r="C102" s="348"/>
      <c r="D102" s="348"/>
      <c r="E102" s="348"/>
      <c r="F102" s="348"/>
      <c r="G102" s="348"/>
      <c r="H102" s="348"/>
      <c r="I102" s="348"/>
      <c r="J102" s="348"/>
      <c r="K102" s="348"/>
      <c r="L102" s="348"/>
      <c r="M102" s="348"/>
      <c r="N102" s="348"/>
      <c r="O102" s="348"/>
      <c r="P102" s="348"/>
      <c r="Q102" s="348"/>
      <c r="R102" s="348"/>
      <c r="S102" s="348"/>
      <c r="T102" s="348"/>
      <c r="U102" s="348"/>
      <c r="V102" s="348"/>
      <c r="W102" s="348"/>
      <c r="X102" s="348"/>
      <c r="Y102" s="348"/>
      <c r="Z102" s="348"/>
      <c r="AA102" s="348"/>
      <c r="AB102" s="348"/>
      <c r="AC102" s="348"/>
      <c r="AD102" s="348"/>
      <c r="AE102" s="348"/>
      <c r="AF102" s="348"/>
      <c r="AG102" s="348"/>
      <c r="AH102" s="348"/>
      <c r="AI102" s="348"/>
      <c r="AJ102" s="348"/>
      <c r="AK102" s="348"/>
      <c r="AL102" s="348"/>
      <c r="AM102" s="348"/>
      <c r="AN102" s="348"/>
      <c r="AO102" s="348"/>
      <c r="AP102" s="348"/>
      <c r="AQ102" s="348"/>
      <c r="AR102" s="348"/>
      <c r="AS102" s="348"/>
      <c r="AT102" s="348"/>
      <c r="AU102" s="348"/>
      <c r="AV102" s="348"/>
      <c r="AW102" s="348"/>
      <c r="AX102" s="348"/>
      <c r="AY102" s="348"/>
      <c r="AZ102" s="348"/>
      <c r="BA102" s="348"/>
      <c r="BB102" s="348"/>
      <c r="BC102" s="348"/>
      <c r="BD102" s="348"/>
      <c r="BE102" s="348"/>
      <c r="BF102" s="348"/>
      <c r="BG102" s="348"/>
      <c r="BH102" s="348"/>
      <c r="BI102" s="348"/>
      <c r="BJ102" s="348"/>
      <c r="BK102" s="348"/>
      <c r="BL102" s="348"/>
    </row>
    <row r="103" spans="1:64" ht="27" thickBot="1">
      <c r="A103" s="375" t="s">
        <v>85</v>
      </c>
      <c r="B103" s="58"/>
      <c r="C103" s="58"/>
      <c r="D103" s="58"/>
      <c r="E103" s="58"/>
      <c r="F103" s="58"/>
      <c r="G103" s="58"/>
      <c r="H103" s="58"/>
      <c r="I103" s="58"/>
      <c r="J103" s="58"/>
      <c r="K103" s="58"/>
      <c r="L103" s="58"/>
      <c r="M103" s="58"/>
      <c r="N103" s="58"/>
      <c r="O103" s="58"/>
      <c r="P103" s="58"/>
      <c r="Q103" s="58"/>
      <c r="R103" s="58"/>
      <c r="S103" s="58"/>
      <c r="T103" s="58"/>
      <c r="U103" s="58"/>
      <c r="V103" s="58"/>
      <c r="W103" s="58"/>
      <c r="X103" s="58"/>
      <c r="Y103" s="58"/>
      <c r="Z103" s="58"/>
      <c r="AA103" s="58"/>
      <c r="AB103" s="58"/>
      <c r="AC103" s="58"/>
      <c r="AD103" s="58"/>
      <c r="AE103" s="58"/>
      <c r="AF103" s="58"/>
      <c r="AG103" s="58"/>
      <c r="AH103" s="58"/>
      <c r="AI103" s="58"/>
      <c r="AJ103" s="58"/>
      <c r="AK103" s="58"/>
      <c r="AL103" s="58"/>
      <c r="AM103" s="58"/>
      <c r="AN103" s="58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  <c r="BE103" s="5"/>
      <c r="BF103" s="5"/>
      <c r="BG103" s="5"/>
      <c r="BH103" s="5"/>
      <c r="BI103" s="5"/>
      <c r="BJ103" s="5"/>
      <c r="BK103" s="5"/>
      <c r="BL103" s="5"/>
    </row>
    <row r="104" spans="1:64" s="283" customFormat="1">
      <c r="A104" s="281" t="s">
        <v>86</v>
      </c>
      <c r="B104" s="281"/>
      <c r="C104" s="281"/>
      <c r="D104" s="281"/>
      <c r="E104" s="281"/>
      <c r="F104" s="281"/>
      <c r="G104" s="281"/>
      <c r="H104" s="281"/>
      <c r="I104" s="281"/>
      <c r="J104" s="281"/>
      <c r="K104" s="281"/>
      <c r="L104" s="281"/>
      <c r="M104" s="281"/>
      <c r="N104" s="281"/>
      <c r="O104" s="281"/>
      <c r="P104" s="281"/>
      <c r="Q104" s="281"/>
      <c r="R104" s="281"/>
      <c r="S104" s="281"/>
      <c r="T104" s="281"/>
      <c r="U104" s="281"/>
      <c r="V104" s="281"/>
      <c r="W104" s="281"/>
      <c r="X104" s="281"/>
      <c r="Y104" s="281"/>
      <c r="Z104" s="281"/>
      <c r="AA104" s="281"/>
      <c r="AB104" s="281"/>
      <c r="AC104" s="281"/>
      <c r="AD104" s="281"/>
      <c r="AE104" s="281"/>
      <c r="AF104" s="281"/>
      <c r="AG104" s="281"/>
      <c r="AH104" s="281"/>
      <c r="AI104" s="281"/>
      <c r="AJ104" s="281"/>
      <c r="AK104" s="281"/>
      <c r="AL104" s="281"/>
      <c r="AM104" s="281"/>
      <c r="AN104" s="281"/>
      <c r="AO104" s="282"/>
      <c r="AP104" s="282"/>
      <c r="AQ104" s="282"/>
      <c r="AR104" s="282"/>
      <c r="AS104" s="282"/>
      <c r="AT104" s="282"/>
      <c r="AU104" s="282"/>
      <c r="AV104" s="282"/>
      <c r="AW104" s="282"/>
      <c r="AX104" s="282"/>
      <c r="AY104" s="282"/>
      <c r="AZ104" s="282"/>
      <c r="BA104" s="282"/>
      <c r="BB104" s="282"/>
      <c r="BC104" s="282"/>
      <c r="BD104" s="282"/>
      <c r="BE104" s="282"/>
      <c r="BF104" s="282"/>
      <c r="BG104" s="282"/>
      <c r="BH104" s="282"/>
      <c r="BI104" s="282"/>
      <c r="BJ104" s="282"/>
      <c r="BK104" s="282"/>
      <c r="BL104" s="282"/>
    </row>
    <row r="105" spans="1:64" s="283" customFormat="1" ht="13.5" thickBot="1">
      <c r="A105" s="284" t="s">
        <v>87</v>
      </c>
      <c r="B105" s="285">
        <v>2012</v>
      </c>
      <c r="C105" s="285">
        <v>2013</v>
      </c>
      <c r="D105" s="285">
        <v>2014</v>
      </c>
      <c r="E105" s="285">
        <v>2015</v>
      </c>
      <c r="F105" s="285">
        <v>2016</v>
      </c>
      <c r="G105" s="285">
        <v>2017</v>
      </c>
      <c r="H105" s="285">
        <v>2018</v>
      </c>
      <c r="I105" s="285">
        <v>2019</v>
      </c>
      <c r="J105" s="285">
        <v>2020</v>
      </c>
      <c r="K105" s="285">
        <v>2021</v>
      </c>
      <c r="L105" s="285">
        <v>2022</v>
      </c>
      <c r="M105" s="285">
        <v>2023</v>
      </c>
      <c r="N105" s="285">
        <v>2024</v>
      </c>
      <c r="O105" s="285">
        <v>2025</v>
      </c>
      <c r="P105" s="285">
        <v>2026</v>
      </c>
      <c r="Q105" s="285">
        <v>2027</v>
      </c>
      <c r="R105" s="285">
        <v>2028</v>
      </c>
      <c r="S105" s="285">
        <v>2029</v>
      </c>
      <c r="T105" s="285">
        <v>2030</v>
      </c>
      <c r="U105" s="285">
        <v>2031</v>
      </c>
      <c r="V105" s="285">
        <v>2032</v>
      </c>
      <c r="W105" s="285">
        <v>2033</v>
      </c>
      <c r="X105" s="285">
        <v>2034</v>
      </c>
      <c r="Y105" s="285">
        <v>2035</v>
      </c>
      <c r="Z105" s="285">
        <v>2036</v>
      </c>
      <c r="AA105" s="285">
        <v>2037</v>
      </c>
      <c r="AB105" s="285">
        <v>2038</v>
      </c>
      <c r="AC105" s="285">
        <v>2039</v>
      </c>
      <c r="AD105" s="285">
        <v>2040</v>
      </c>
      <c r="AE105" s="285">
        <v>2041</v>
      </c>
      <c r="AF105" s="285">
        <v>2042</v>
      </c>
      <c r="AG105" s="285">
        <v>2043</v>
      </c>
      <c r="AH105" s="285">
        <v>2044</v>
      </c>
      <c r="AI105" s="285">
        <v>2045</v>
      </c>
      <c r="AJ105" s="285">
        <v>2046</v>
      </c>
      <c r="AK105" s="285">
        <v>2047</v>
      </c>
      <c r="AL105" s="285">
        <v>2048</v>
      </c>
      <c r="AM105" s="285">
        <v>2049</v>
      </c>
      <c r="AN105" s="285">
        <v>2050</v>
      </c>
      <c r="AO105" s="282"/>
      <c r="AP105" s="282"/>
      <c r="AQ105" s="282"/>
      <c r="AR105" s="282"/>
      <c r="AS105" s="282"/>
      <c r="AT105" s="282"/>
      <c r="AU105" s="282"/>
      <c r="AV105" s="282"/>
      <c r="AW105" s="282"/>
      <c r="AX105" s="282"/>
      <c r="AY105" s="282"/>
      <c r="AZ105" s="282"/>
      <c r="BA105" s="282"/>
      <c r="BB105" s="282"/>
      <c r="BC105" s="282"/>
      <c r="BD105" s="282"/>
      <c r="BE105" s="282"/>
      <c r="BF105" s="282"/>
      <c r="BG105" s="282"/>
      <c r="BH105" s="282"/>
      <c r="BI105" s="282"/>
      <c r="BJ105" s="282"/>
      <c r="BK105" s="282"/>
      <c r="BL105" s="282"/>
    </row>
    <row r="106" spans="1:64" s="283" customFormat="1">
      <c r="A106" s="561" t="s">
        <v>88</v>
      </c>
      <c r="B106" s="563">
        <v>1250000</v>
      </c>
      <c r="C106" s="563">
        <v>1250000</v>
      </c>
      <c r="D106" s="563">
        <v>1250000</v>
      </c>
      <c r="E106" s="563">
        <v>1250000</v>
      </c>
      <c r="F106" s="563">
        <v>1250000</v>
      </c>
      <c r="G106" s="563">
        <v>1250000</v>
      </c>
      <c r="H106" s="563">
        <v>1250000</v>
      </c>
      <c r="I106" s="563">
        <v>1250000</v>
      </c>
      <c r="J106" s="563">
        <v>1250000</v>
      </c>
      <c r="K106" s="563">
        <v>1250000</v>
      </c>
      <c r="L106" s="563">
        <v>1250000</v>
      </c>
      <c r="M106" s="563">
        <v>1250000</v>
      </c>
      <c r="N106" s="563">
        <v>1250000</v>
      </c>
      <c r="O106" s="563">
        <v>1250000</v>
      </c>
      <c r="P106" s="563">
        <v>1250000</v>
      </c>
      <c r="Q106" s="563">
        <v>1250000</v>
      </c>
      <c r="R106" s="563">
        <v>1250000</v>
      </c>
      <c r="S106" s="563">
        <v>1250000</v>
      </c>
      <c r="T106" s="563">
        <v>1250000</v>
      </c>
      <c r="U106" s="563">
        <v>1450000</v>
      </c>
      <c r="V106" s="563">
        <v>1450000</v>
      </c>
      <c r="W106" s="563">
        <v>1450000</v>
      </c>
      <c r="X106" s="563">
        <v>1450000</v>
      </c>
      <c r="Y106" s="563">
        <v>1450000</v>
      </c>
      <c r="Z106" s="563">
        <v>1950000</v>
      </c>
      <c r="AA106" s="563">
        <v>1950000</v>
      </c>
      <c r="AB106" s="563">
        <v>1950000</v>
      </c>
      <c r="AC106" s="563">
        <v>1950000</v>
      </c>
      <c r="AD106" s="563">
        <v>1950000</v>
      </c>
      <c r="AE106" s="563">
        <v>2600000</v>
      </c>
      <c r="AF106" s="563">
        <v>2600000</v>
      </c>
      <c r="AG106" s="563">
        <v>2600000</v>
      </c>
      <c r="AH106" s="563">
        <v>2600000</v>
      </c>
      <c r="AI106" s="563">
        <v>2600000</v>
      </c>
      <c r="AJ106" s="563">
        <v>2750000</v>
      </c>
      <c r="AK106" s="563">
        <v>2750000</v>
      </c>
      <c r="AL106" s="563">
        <v>2750000</v>
      </c>
      <c r="AM106" s="563">
        <v>2750000</v>
      </c>
      <c r="AN106" s="563">
        <v>2750000</v>
      </c>
      <c r="AO106" s="282"/>
      <c r="AP106" s="282"/>
      <c r="AQ106" s="282"/>
      <c r="AR106" s="282"/>
      <c r="AS106" s="282"/>
      <c r="AT106" s="282"/>
      <c r="AU106" s="282"/>
      <c r="AV106" s="282"/>
      <c r="AW106" s="282"/>
      <c r="AX106" s="282"/>
      <c r="AY106" s="282"/>
      <c r="AZ106" s="282"/>
      <c r="BA106" s="282"/>
      <c r="BB106" s="282"/>
      <c r="BC106" s="282"/>
      <c r="BD106" s="282"/>
      <c r="BE106" s="282"/>
      <c r="BF106" s="282"/>
      <c r="BG106" s="282"/>
      <c r="BH106" s="282"/>
      <c r="BI106" s="282"/>
      <c r="BJ106" s="282"/>
      <c r="BK106" s="282"/>
      <c r="BL106" s="282"/>
    </row>
    <row r="107" spans="1:64" s="283" customFormat="1">
      <c r="A107" s="286" t="s">
        <v>89</v>
      </c>
      <c r="B107">
        <v>1250000</v>
      </c>
      <c r="C107">
        <v>1250000</v>
      </c>
      <c r="D107">
        <v>1250000</v>
      </c>
      <c r="E107">
        <v>1250000</v>
      </c>
      <c r="F107">
        <v>1250000</v>
      </c>
      <c r="G107">
        <v>1250000</v>
      </c>
      <c r="H107">
        <v>1250000</v>
      </c>
      <c r="I107">
        <v>1250000</v>
      </c>
      <c r="J107">
        <v>1250000</v>
      </c>
      <c r="K107">
        <v>1250000</v>
      </c>
      <c r="L107">
        <v>1250000</v>
      </c>
      <c r="M107">
        <v>1250000</v>
      </c>
      <c r="N107">
        <v>1250000</v>
      </c>
      <c r="O107">
        <v>1250000</v>
      </c>
      <c r="P107">
        <v>1250000</v>
      </c>
      <c r="Q107">
        <v>1250000</v>
      </c>
      <c r="R107">
        <v>1250000</v>
      </c>
      <c r="S107">
        <v>1250000</v>
      </c>
      <c r="T107">
        <v>1250000</v>
      </c>
      <c r="U107">
        <v>1450000</v>
      </c>
      <c r="V107">
        <v>1450000</v>
      </c>
      <c r="W107">
        <v>1450000</v>
      </c>
      <c r="X107">
        <v>1450000</v>
      </c>
      <c r="Y107">
        <v>1450000</v>
      </c>
      <c r="Z107">
        <v>1950000</v>
      </c>
      <c r="AA107">
        <v>1950000</v>
      </c>
      <c r="AB107">
        <v>1950000</v>
      </c>
      <c r="AC107">
        <v>1950000</v>
      </c>
      <c r="AD107">
        <v>1950000</v>
      </c>
      <c r="AE107">
        <v>2600000</v>
      </c>
      <c r="AF107">
        <v>2600000</v>
      </c>
      <c r="AG107">
        <v>2600000</v>
      </c>
      <c r="AH107">
        <v>2600000</v>
      </c>
      <c r="AI107">
        <v>2600000</v>
      </c>
      <c r="AJ107">
        <v>2750000</v>
      </c>
      <c r="AK107">
        <v>2750000</v>
      </c>
      <c r="AL107">
        <v>2750000</v>
      </c>
      <c r="AM107">
        <v>2750000</v>
      </c>
      <c r="AN107">
        <v>2750000</v>
      </c>
      <c r="AO107" s="282"/>
      <c r="AP107" s="282"/>
      <c r="AQ107" s="282"/>
      <c r="AR107" s="282"/>
      <c r="AS107" s="282"/>
      <c r="AT107" s="282"/>
      <c r="AU107" s="282"/>
      <c r="AV107" s="282"/>
      <c r="AW107" s="282"/>
      <c r="AX107" s="282"/>
      <c r="AY107" s="282"/>
      <c r="AZ107" s="282"/>
      <c r="BA107" s="282"/>
      <c r="BB107" s="282"/>
      <c r="BC107" s="282"/>
      <c r="BD107" s="282"/>
      <c r="BE107" s="282"/>
      <c r="BF107" s="282"/>
      <c r="BG107" s="282"/>
      <c r="BH107" s="282"/>
      <c r="BI107" s="282"/>
      <c r="BJ107" s="282"/>
      <c r="BK107" s="282"/>
      <c r="BL107" s="282"/>
    </row>
    <row r="108" spans="1:64" s="283" customFormat="1">
      <c r="A108" s="562" t="s">
        <v>90</v>
      </c>
      <c r="B108" s="54" t="s">
        <v>91</v>
      </c>
      <c r="C108" s="54">
        <f t="shared" ref="C108:AN108" si="63">(C106*1000)*10</f>
        <v>12500000000</v>
      </c>
      <c r="D108" s="54">
        <f t="shared" si="63"/>
        <v>12500000000</v>
      </c>
      <c r="E108" s="54">
        <f t="shared" si="63"/>
        <v>12500000000</v>
      </c>
      <c r="F108" s="54">
        <f t="shared" si="63"/>
        <v>12500000000</v>
      </c>
      <c r="G108" s="54">
        <f t="shared" si="63"/>
        <v>12500000000</v>
      </c>
      <c r="H108" s="54">
        <f t="shared" si="63"/>
        <v>12500000000</v>
      </c>
      <c r="I108" s="54">
        <f t="shared" si="63"/>
        <v>12500000000</v>
      </c>
      <c r="J108" s="54">
        <f t="shared" si="63"/>
        <v>12500000000</v>
      </c>
      <c r="K108" s="54">
        <f t="shared" si="63"/>
        <v>12500000000</v>
      </c>
      <c r="L108" s="54">
        <f t="shared" si="63"/>
        <v>12500000000</v>
      </c>
      <c r="M108" s="54">
        <f t="shared" si="63"/>
        <v>12500000000</v>
      </c>
      <c r="N108" s="54">
        <f t="shared" si="63"/>
        <v>12500000000</v>
      </c>
      <c r="O108" s="54">
        <f t="shared" si="63"/>
        <v>12500000000</v>
      </c>
      <c r="P108" s="54">
        <f t="shared" si="63"/>
        <v>12500000000</v>
      </c>
      <c r="Q108" s="54">
        <f t="shared" si="63"/>
        <v>12500000000</v>
      </c>
      <c r="R108" s="54">
        <f t="shared" si="63"/>
        <v>12500000000</v>
      </c>
      <c r="S108" s="54">
        <f t="shared" si="63"/>
        <v>12500000000</v>
      </c>
      <c r="T108" s="54">
        <f t="shared" si="63"/>
        <v>12500000000</v>
      </c>
      <c r="U108" s="54">
        <f t="shared" si="63"/>
        <v>14500000000</v>
      </c>
      <c r="V108" s="54">
        <f t="shared" si="63"/>
        <v>14500000000</v>
      </c>
      <c r="W108" s="54">
        <f t="shared" si="63"/>
        <v>14500000000</v>
      </c>
      <c r="X108" s="54">
        <f t="shared" si="63"/>
        <v>14500000000</v>
      </c>
      <c r="Y108" s="54">
        <f t="shared" si="63"/>
        <v>14500000000</v>
      </c>
      <c r="Z108" s="54">
        <f t="shared" si="63"/>
        <v>19500000000</v>
      </c>
      <c r="AA108" s="54">
        <f t="shared" si="63"/>
        <v>19500000000</v>
      </c>
      <c r="AB108" s="54">
        <f t="shared" si="63"/>
        <v>19500000000</v>
      </c>
      <c r="AC108" s="54">
        <f t="shared" si="63"/>
        <v>19500000000</v>
      </c>
      <c r="AD108" s="54">
        <f t="shared" si="63"/>
        <v>19500000000</v>
      </c>
      <c r="AE108" s="54">
        <f t="shared" si="63"/>
        <v>26000000000</v>
      </c>
      <c r="AF108" s="54">
        <f t="shared" si="63"/>
        <v>26000000000</v>
      </c>
      <c r="AG108" s="54">
        <f t="shared" si="63"/>
        <v>26000000000</v>
      </c>
      <c r="AH108" s="54">
        <f t="shared" si="63"/>
        <v>26000000000</v>
      </c>
      <c r="AI108" s="54">
        <f t="shared" si="63"/>
        <v>26000000000</v>
      </c>
      <c r="AJ108" s="54">
        <f t="shared" si="63"/>
        <v>27500000000</v>
      </c>
      <c r="AK108" s="54">
        <f t="shared" si="63"/>
        <v>27500000000</v>
      </c>
      <c r="AL108" s="54">
        <f t="shared" si="63"/>
        <v>27500000000</v>
      </c>
      <c r="AM108" s="54">
        <f t="shared" si="63"/>
        <v>27500000000</v>
      </c>
      <c r="AN108" s="54">
        <f t="shared" si="63"/>
        <v>27500000000</v>
      </c>
      <c r="AO108" s="282"/>
      <c r="AP108" s="282"/>
      <c r="AQ108" s="282"/>
      <c r="AR108" s="282"/>
      <c r="AS108" s="282"/>
      <c r="AT108" s="282"/>
      <c r="AU108" s="282"/>
      <c r="AV108" s="282"/>
      <c r="AW108" s="282"/>
      <c r="AX108" s="282"/>
      <c r="AY108" s="282"/>
      <c r="AZ108" s="282"/>
      <c r="BA108" s="282"/>
      <c r="BB108" s="282"/>
      <c r="BC108" s="282"/>
      <c r="BD108" s="282"/>
      <c r="BE108" s="282"/>
      <c r="BF108" s="282"/>
      <c r="BG108" s="282"/>
      <c r="BH108" s="282"/>
      <c r="BI108" s="282"/>
      <c r="BJ108" s="282"/>
      <c r="BK108" s="282"/>
      <c r="BL108" s="282"/>
    </row>
    <row r="109" spans="1:64">
      <c r="A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  <c r="BE109" s="5"/>
      <c r="BF109" s="5"/>
      <c r="BG109" s="5"/>
      <c r="BH109" s="5"/>
      <c r="BI109" s="5"/>
      <c r="BJ109" s="5"/>
      <c r="BK109" s="5"/>
      <c r="BL109" s="5"/>
    </row>
    <row r="110" spans="1:64">
      <c r="A110" s="5"/>
      <c r="B110">
        <v>10</v>
      </c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  <c r="BE110" s="5"/>
      <c r="BF110" s="5"/>
      <c r="BG110" s="5"/>
      <c r="BH110" s="5"/>
      <c r="BI110" s="5"/>
      <c r="BJ110" s="5"/>
      <c r="BK110" s="5"/>
      <c r="BL110" s="5"/>
    </row>
    <row r="111" spans="1:64">
      <c r="A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  <c r="BE111" s="5"/>
      <c r="BF111" s="5"/>
      <c r="BG111" s="5"/>
      <c r="BH111" s="5"/>
      <c r="BI111" s="5"/>
      <c r="BJ111" s="5"/>
      <c r="BK111" s="5"/>
      <c r="BL111" s="5"/>
    </row>
    <row r="112" spans="1:64">
      <c r="A112" s="481" t="s">
        <v>92</v>
      </c>
      <c r="B112" s="481">
        <v>2012</v>
      </c>
      <c r="C112" s="481">
        <v>2013</v>
      </c>
      <c r="D112" s="481">
        <v>2014</v>
      </c>
      <c r="E112" s="481">
        <v>2015</v>
      </c>
      <c r="F112" s="481">
        <v>2016</v>
      </c>
      <c r="G112" s="481">
        <v>2017</v>
      </c>
      <c r="H112" s="481">
        <v>2018</v>
      </c>
      <c r="I112" s="481">
        <v>2019</v>
      </c>
      <c r="J112" s="481">
        <v>2020</v>
      </c>
      <c r="K112" s="481">
        <v>2021</v>
      </c>
      <c r="L112" s="481">
        <v>2022</v>
      </c>
      <c r="M112" s="481">
        <v>2023</v>
      </c>
      <c r="N112" s="481">
        <v>2024</v>
      </c>
      <c r="O112" s="481">
        <v>2025</v>
      </c>
      <c r="P112" s="481">
        <v>2026</v>
      </c>
      <c r="Q112" s="481">
        <v>2027</v>
      </c>
      <c r="R112" s="481">
        <v>2028</v>
      </c>
      <c r="S112" s="481">
        <v>2029</v>
      </c>
      <c r="T112" s="481">
        <v>2030</v>
      </c>
      <c r="U112" s="481">
        <v>2031</v>
      </c>
      <c r="V112" s="481">
        <v>2032</v>
      </c>
      <c r="W112" s="481">
        <v>2033</v>
      </c>
      <c r="X112" s="481">
        <v>2034</v>
      </c>
      <c r="Y112" s="481">
        <v>2035</v>
      </c>
      <c r="Z112" s="481">
        <v>2036</v>
      </c>
      <c r="AA112" s="481">
        <v>2037</v>
      </c>
      <c r="AB112" s="481">
        <v>2038</v>
      </c>
      <c r="AC112" s="481">
        <v>2039</v>
      </c>
      <c r="AD112" s="481">
        <v>2040</v>
      </c>
      <c r="AE112" s="481">
        <v>2041</v>
      </c>
      <c r="AF112" s="481">
        <v>2042</v>
      </c>
      <c r="AG112" s="481">
        <v>2043</v>
      </c>
      <c r="AH112" s="481">
        <v>2044</v>
      </c>
      <c r="AI112" s="481">
        <v>2045</v>
      </c>
      <c r="AJ112" s="481">
        <v>2046</v>
      </c>
      <c r="AK112" s="481">
        <v>2047</v>
      </c>
      <c r="AL112" s="481">
        <v>2048</v>
      </c>
      <c r="AM112" s="481">
        <v>2049</v>
      </c>
      <c r="AN112" s="481">
        <v>2050</v>
      </c>
    </row>
    <row r="113" spans="1:40">
      <c r="A113" s="482" t="s">
        <v>93</v>
      </c>
      <c r="B113" s="482"/>
      <c r="C113" s="482"/>
      <c r="D113" s="482"/>
      <c r="E113" s="482"/>
      <c r="F113" s="482"/>
      <c r="G113" s="482"/>
      <c r="H113" s="482"/>
      <c r="I113" s="482"/>
      <c r="J113" s="482"/>
      <c r="K113" s="482"/>
      <c r="L113" s="482"/>
      <c r="M113" s="482"/>
      <c r="N113" s="482"/>
      <c r="O113" s="482"/>
      <c r="P113" s="482"/>
      <c r="Q113" s="482"/>
      <c r="R113" s="482"/>
      <c r="S113" s="482"/>
      <c r="T113" s="482"/>
      <c r="U113" s="482"/>
      <c r="V113" s="482"/>
      <c r="W113" s="482"/>
      <c r="X113" s="482"/>
      <c r="Y113" s="482"/>
      <c r="Z113" s="482"/>
      <c r="AA113" s="482"/>
      <c r="AB113" s="482"/>
      <c r="AC113" s="482"/>
      <c r="AD113" s="482"/>
      <c r="AE113" s="482"/>
      <c r="AF113" s="482"/>
      <c r="AG113" s="482"/>
      <c r="AH113" s="482"/>
      <c r="AI113" s="482"/>
      <c r="AJ113" s="482"/>
      <c r="AK113" s="482"/>
      <c r="AL113" s="482"/>
      <c r="AM113" s="482"/>
      <c r="AN113" s="482"/>
    </row>
    <row r="114" spans="1:40">
      <c r="A114" t="s">
        <v>94</v>
      </c>
      <c r="B114">
        <v>3195</v>
      </c>
      <c r="C114">
        <v>3195</v>
      </c>
      <c r="D114">
        <v>3195</v>
      </c>
      <c r="E114">
        <v>3195</v>
      </c>
      <c r="F114">
        <v>3195</v>
      </c>
      <c r="G114">
        <v>3195</v>
      </c>
      <c r="H114">
        <v>3367</v>
      </c>
      <c r="I114">
        <v>3582</v>
      </c>
      <c r="J114">
        <v>3632</v>
      </c>
      <c r="K114">
        <v>3787</v>
      </c>
      <c r="L114">
        <v>3787</v>
      </c>
      <c r="M114">
        <v>3888</v>
      </c>
      <c r="N114">
        <v>3989</v>
      </c>
      <c r="O114">
        <v>4088</v>
      </c>
      <c r="P114">
        <v>4189</v>
      </c>
      <c r="Q114">
        <v>4300</v>
      </c>
      <c r="R114">
        <v>4400</v>
      </c>
      <c r="S114">
        <v>4500</v>
      </c>
      <c r="T114">
        <v>4600</v>
      </c>
      <c r="U114">
        <v>4700</v>
      </c>
      <c r="V114">
        <v>4800</v>
      </c>
      <c r="W114">
        <v>4900</v>
      </c>
      <c r="X114">
        <v>5000</v>
      </c>
      <c r="Y114">
        <v>5100</v>
      </c>
      <c r="Z114">
        <v>5200</v>
      </c>
      <c r="AA114">
        <v>5300</v>
      </c>
      <c r="AB114">
        <v>5400</v>
      </c>
      <c r="AC114">
        <v>5500</v>
      </c>
      <c r="AD114">
        <v>5600</v>
      </c>
      <c r="AE114">
        <v>5700</v>
      </c>
      <c r="AF114">
        <v>5800</v>
      </c>
      <c r="AG114">
        <v>5900</v>
      </c>
      <c r="AH114">
        <v>6000</v>
      </c>
      <c r="AI114">
        <v>6100</v>
      </c>
      <c r="AJ114">
        <v>6200</v>
      </c>
      <c r="AK114">
        <v>6300</v>
      </c>
      <c r="AL114">
        <v>6400</v>
      </c>
      <c r="AM114">
        <v>6500</v>
      </c>
      <c r="AN114">
        <v>6600</v>
      </c>
    </row>
    <row r="115" spans="1:40">
      <c r="A115" s="483" t="s">
        <v>95</v>
      </c>
      <c r="B115" s="483"/>
      <c r="C115" s="483"/>
      <c r="D115" s="483"/>
      <c r="E115" s="483"/>
      <c r="F115" s="483"/>
      <c r="G115" s="483"/>
      <c r="H115" s="483"/>
      <c r="I115" s="483"/>
      <c r="J115" s="483"/>
      <c r="K115" s="483"/>
      <c r="L115" s="483"/>
      <c r="M115" s="483"/>
      <c r="N115" s="483"/>
      <c r="O115" s="483"/>
      <c r="P115" s="483"/>
      <c r="Q115" s="483"/>
      <c r="R115" s="483"/>
      <c r="S115" s="483"/>
      <c r="T115" s="483"/>
      <c r="U115" s="483"/>
      <c r="V115" s="483"/>
      <c r="W115" s="483"/>
      <c r="X115" s="483"/>
      <c r="Y115" s="483"/>
      <c r="Z115" s="483"/>
      <c r="AA115" s="483"/>
      <c r="AB115" s="483"/>
      <c r="AC115" s="483"/>
      <c r="AD115" s="483"/>
      <c r="AE115" s="483"/>
      <c r="AF115" s="483"/>
      <c r="AG115" s="483"/>
      <c r="AH115" s="483"/>
      <c r="AI115" s="483"/>
      <c r="AJ115" s="483"/>
      <c r="AK115" s="483"/>
      <c r="AL115" s="483"/>
      <c r="AM115" s="483"/>
      <c r="AN115" s="483"/>
    </row>
    <row r="120" spans="1:40" ht="15">
      <c r="B120" s="480"/>
      <c r="C120" s="479"/>
      <c r="D120" s="479"/>
      <c r="E120" s="479"/>
      <c r="F120" s="479"/>
      <c r="G120" s="479"/>
      <c r="H120" s="479"/>
      <c r="I120" s="479"/>
      <c r="J120" s="479"/>
      <c r="K120" s="479"/>
      <c r="L120" s="479"/>
      <c r="M120" s="480"/>
      <c r="N120" s="480"/>
      <c r="O120" s="480"/>
      <c r="P120" s="480"/>
    </row>
    <row r="123" spans="1:40">
      <c r="B123" t="s">
        <v>91</v>
      </c>
    </row>
  </sheetData>
  <sortState xmlns:xlrd2="http://schemas.microsoft.com/office/spreadsheetml/2017/richdata2" ref="I117:J137">
    <sortCondition ref="I118"/>
  </sortState>
  <hyperlinks>
    <hyperlink ref="J3" location="Mercado!A1" display="Mercado" xr:uid="{00000000-0004-0000-0200-000000000000}"/>
    <hyperlink ref="J4" location="MercadoPonta!A1" display="Mercado Ponta" xr:uid="{00000000-0004-0000-0200-000001000000}"/>
    <hyperlink ref="J5" location="tab_Tecnologias_TE_RE!A1" display="Tecnologias" xr:uid="{00000000-0004-0000-0200-000002000000}"/>
  </hyperlink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Plan33"/>
  <dimension ref="A1:F12"/>
  <sheetViews>
    <sheetView workbookViewId="0">
      <selection activeCell="F24" sqref="F24"/>
    </sheetView>
  </sheetViews>
  <sheetFormatPr defaultRowHeight="12.75"/>
  <cols>
    <col min="1" max="1" width="15.42578125" bestFit="1" customWidth="1"/>
    <col min="2" max="2" width="17.42578125" bestFit="1" customWidth="1"/>
    <col min="3" max="6" width="18" bestFit="1" customWidth="1"/>
  </cols>
  <sheetData>
    <row r="1" spans="1:6" ht="13.5" thickBot="1">
      <c r="A1" s="428" t="s">
        <v>136</v>
      </c>
      <c r="B1" s="428" t="s">
        <v>2571</v>
      </c>
      <c r="C1" s="386" t="s">
        <v>2628</v>
      </c>
      <c r="D1" s="386" t="s">
        <v>2629</v>
      </c>
      <c r="E1" s="386" t="s">
        <v>2630</v>
      </c>
      <c r="F1" s="386" t="s">
        <v>2631</v>
      </c>
    </row>
    <row r="2" spans="1:6" ht="13.5" thickTop="1">
      <c r="A2" s="127">
        <v>1</v>
      </c>
      <c r="B2" s="124" t="s">
        <v>2572</v>
      </c>
      <c r="C2" s="153">
        <v>0.85799999999999998</v>
      </c>
      <c r="D2" s="153">
        <v>0.90100000000000002</v>
      </c>
      <c r="E2" s="153">
        <v>0.87</v>
      </c>
      <c r="F2" s="153">
        <v>0.85699999999999998</v>
      </c>
    </row>
    <row r="3" spans="1:6">
      <c r="A3" s="127">
        <v>2</v>
      </c>
      <c r="B3" s="124" t="s">
        <v>64</v>
      </c>
      <c r="C3" s="153">
        <v>0.88400000000000001</v>
      </c>
      <c r="D3" s="153">
        <v>0.88100000000000001</v>
      </c>
      <c r="E3" s="153">
        <v>0.89400000000000002</v>
      </c>
      <c r="F3" s="153">
        <v>0.89700000000000002</v>
      </c>
    </row>
    <row r="4" spans="1:6">
      <c r="A4" s="127">
        <v>3</v>
      </c>
      <c r="B4" s="124" t="s">
        <v>65</v>
      </c>
      <c r="C4" s="153">
        <v>0.86</v>
      </c>
      <c r="D4" s="153">
        <v>0.86399999999999999</v>
      </c>
      <c r="E4" s="153">
        <v>0.85499999999999998</v>
      </c>
      <c r="F4" s="153">
        <v>0.85</v>
      </c>
    </row>
    <row r="5" spans="1:6">
      <c r="A5" s="127">
        <v>4</v>
      </c>
      <c r="B5" s="124" t="s">
        <v>66</v>
      </c>
      <c r="C5" s="504">
        <v>0.33670199969929338</v>
      </c>
      <c r="D5" s="504">
        <v>0.42373169448203279</v>
      </c>
      <c r="E5" s="504">
        <v>0.22911907983761839</v>
      </c>
      <c r="F5" s="504">
        <v>0.25607502631183282</v>
      </c>
    </row>
    <row r="6" spans="1:6">
      <c r="A6" s="127">
        <v>5</v>
      </c>
      <c r="B6" s="124" t="s">
        <v>2573</v>
      </c>
      <c r="C6" s="153">
        <v>0.69399999999999995</v>
      </c>
      <c r="D6" s="153">
        <v>0.746</v>
      </c>
      <c r="E6" s="153">
        <v>0.74299999999999999</v>
      </c>
      <c r="F6" s="153">
        <v>0.73699999999999999</v>
      </c>
    </row>
    <row r="7" spans="1:6">
      <c r="A7" s="127">
        <v>6</v>
      </c>
      <c r="B7" s="124" t="s">
        <v>2574</v>
      </c>
      <c r="C7" s="153">
        <v>0.76900000000000002</v>
      </c>
      <c r="D7" s="153">
        <v>0.13600000000000001</v>
      </c>
      <c r="E7" s="153">
        <v>0.14699999999999999</v>
      </c>
      <c r="F7" s="153">
        <v>0.17499999999999999</v>
      </c>
    </row>
    <row r="8" spans="1:6">
      <c r="A8" s="127">
        <v>7</v>
      </c>
      <c r="B8" s="124" t="s">
        <v>67</v>
      </c>
      <c r="C8" s="153">
        <v>0.88500000000000001</v>
      </c>
      <c r="D8" s="153">
        <v>0.89300000000000002</v>
      </c>
      <c r="E8" s="153">
        <v>0.90700000000000003</v>
      </c>
      <c r="F8" s="153">
        <v>0.89</v>
      </c>
    </row>
    <row r="9" spans="1:6">
      <c r="A9" s="127">
        <v>9</v>
      </c>
      <c r="B9" s="124" t="s">
        <v>2262</v>
      </c>
      <c r="C9" s="153">
        <v>0.89600000000000002</v>
      </c>
      <c r="D9" s="153">
        <v>0.218</v>
      </c>
      <c r="E9" s="153">
        <v>8.1000000000000003E-2</v>
      </c>
      <c r="F9" s="153">
        <v>0.46899999999999997</v>
      </c>
    </row>
    <row r="10" spans="1:6">
      <c r="A10" s="127">
        <v>10</v>
      </c>
      <c r="B10" s="128" t="s">
        <v>2152</v>
      </c>
      <c r="C10" s="153">
        <v>0.89600000000000002</v>
      </c>
      <c r="D10" s="153">
        <v>0.218</v>
      </c>
      <c r="E10" s="153">
        <v>8.1000000000000003E-2</v>
      </c>
      <c r="F10" s="153">
        <v>0.46899999999999997</v>
      </c>
    </row>
    <row r="11" spans="1:6">
      <c r="A11" s="127">
        <v>100</v>
      </c>
      <c r="B11" s="124" t="s">
        <v>2575</v>
      </c>
      <c r="C11" s="153">
        <v>0.85599999999999998</v>
      </c>
      <c r="D11" s="153">
        <v>0.90200000000000002</v>
      </c>
      <c r="E11" s="153">
        <v>0.86799999999999999</v>
      </c>
      <c r="F11" s="153">
        <v>0.85299999999999998</v>
      </c>
    </row>
    <row r="12" spans="1:6">
      <c r="A12" s="127">
        <v>200</v>
      </c>
      <c r="B12" s="124" t="s">
        <v>2576</v>
      </c>
      <c r="C12" s="153">
        <v>0.85599999999999998</v>
      </c>
      <c r="D12" s="153">
        <v>0.90200000000000002</v>
      </c>
      <c r="E12" s="153">
        <v>0.86799999999999999</v>
      </c>
      <c r="F12" s="153">
        <v>0.85299999999999998</v>
      </c>
    </row>
  </sheetData>
  <pageMargins left="0.511811024" right="0.511811024" top="0.78740157499999996" bottom="0.78740157499999996" header="0.31496062000000002" footer="0.31496062000000002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Plan29"/>
  <dimension ref="A1:D18"/>
  <sheetViews>
    <sheetView workbookViewId="0">
      <selection activeCell="G23" sqref="G23"/>
    </sheetView>
  </sheetViews>
  <sheetFormatPr defaultRowHeight="12.75"/>
  <cols>
    <col min="2" max="2" width="18.42578125" bestFit="1" customWidth="1"/>
    <col min="3" max="3" width="14.42578125" bestFit="1" customWidth="1"/>
    <col min="4" max="4" width="16.28515625" bestFit="1" customWidth="1"/>
  </cols>
  <sheetData>
    <row r="1" spans="1:4">
      <c r="A1" s="121" t="s">
        <v>2632</v>
      </c>
      <c r="B1" s="121" t="s">
        <v>1959</v>
      </c>
      <c r="C1" s="121" t="s">
        <v>2633</v>
      </c>
      <c r="D1" s="121" t="s">
        <v>2634</v>
      </c>
    </row>
    <row r="2" spans="1:4">
      <c r="A2" s="135">
        <v>801</v>
      </c>
      <c r="B2" s="95" t="s">
        <v>2635</v>
      </c>
      <c r="C2" s="136">
        <v>1</v>
      </c>
      <c r="D2" s="136">
        <v>2</v>
      </c>
    </row>
    <row r="3" spans="1:4">
      <c r="A3" s="135">
        <v>802</v>
      </c>
      <c r="B3" s="95" t="s">
        <v>2636</v>
      </c>
      <c r="C3" s="136">
        <v>1</v>
      </c>
      <c r="D3" s="136">
        <v>3</v>
      </c>
    </row>
    <row r="4" spans="1:4">
      <c r="A4" s="135">
        <v>803</v>
      </c>
      <c r="B4" s="95" t="s">
        <v>2637</v>
      </c>
      <c r="C4" s="137">
        <v>1</v>
      </c>
      <c r="D4" s="137">
        <v>5</v>
      </c>
    </row>
    <row r="5" spans="1:4">
      <c r="A5" s="135">
        <v>804</v>
      </c>
      <c r="B5" s="95" t="s">
        <v>2638</v>
      </c>
      <c r="C5" s="136">
        <v>1</v>
      </c>
      <c r="D5" s="136">
        <v>100</v>
      </c>
    </row>
    <row r="6" spans="1:4">
      <c r="A6" s="135">
        <v>805</v>
      </c>
      <c r="B6" s="95" t="s">
        <v>2639</v>
      </c>
      <c r="C6" s="136">
        <v>1</v>
      </c>
      <c r="D6" s="136">
        <v>200</v>
      </c>
    </row>
    <row r="7" spans="1:4">
      <c r="A7" s="135">
        <v>806</v>
      </c>
      <c r="B7" s="95" t="s">
        <v>2640</v>
      </c>
      <c r="C7" s="137">
        <v>2</v>
      </c>
      <c r="D7" s="137">
        <v>5</v>
      </c>
    </row>
    <row r="8" spans="1:4">
      <c r="A8" s="135">
        <v>807</v>
      </c>
      <c r="B8" s="95" t="s">
        <v>2641</v>
      </c>
      <c r="C8" s="137">
        <v>2</v>
      </c>
      <c r="D8" s="137">
        <v>100</v>
      </c>
    </row>
    <row r="9" spans="1:4">
      <c r="A9" s="135">
        <v>808</v>
      </c>
      <c r="B9" s="95" t="s">
        <v>2642</v>
      </c>
      <c r="C9" s="137">
        <v>3</v>
      </c>
      <c r="D9" s="137">
        <v>200</v>
      </c>
    </row>
    <row r="10" spans="1:4">
      <c r="A10" s="135">
        <v>809</v>
      </c>
      <c r="B10" s="95" t="s">
        <v>2643</v>
      </c>
      <c r="C10" s="136">
        <v>4</v>
      </c>
      <c r="D10" s="136">
        <v>7</v>
      </c>
    </row>
    <row r="11" spans="1:4">
      <c r="A11" s="135">
        <v>810</v>
      </c>
      <c r="B11" s="95" t="s">
        <v>2644</v>
      </c>
      <c r="C11" s="136">
        <v>4</v>
      </c>
      <c r="D11" s="136">
        <v>200</v>
      </c>
    </row>
    <row r="12" spans="1:4">
      <c r="A12" s="135">
        <v>811</v>
      </c>
      <c r="B12" s="95" t="s">
        <v>2645</v>
      </c>
      <c r="C12" s="137">
        <v>5</v>
      </c>
      <c r="D12" s="137">
        <v>100</v>
      </c>
    </row>
    <row r="13" spans="1:4">
      <c r="A13" s="135">
        <v>812</v>
      </c>
      <c r="B13" s="95" t="s">
        <v>2646</v>
      </c>
      <c r="C13" s="136">
        <v>6</v>
      </c>
      <c r="D13" s="136">
        <v>1</v>
      </c>
    </row>
    <row r="14" spans="1:4">
      <c r="A14" s="135">
        <v>813</v>
      </c>
      <c r="B14" s="95" t="s">
        <v>2647</v>
      </c>
      <c r="C14" s="136">
        <v>7</v>
      </c>
      <c r="D14" s="136">
        <v>6</v>
      </c>
    </row>
    <row r="15" spans="1:4">
      <c r="A15" s="135">
        <v>814</v>
      </c>
      <c r="B15" s="95" t="s">
        <v>2648</v>
      </c>
      <c r="C15" s="136">
        <v>9</v>
      </c>
      <c r="D15" s="136">
        <v>4</v>
      </c>
    </row>
    <row r="16" spans="1:4">
      <c r="A16" s="135">
        <v>815</v>
      </c>
      <c r="B16" s="95" t="s">
        <v>2649</v>
      </c>
      <c r="C16" s="136">
        <v>9</v>
      </c>
      <c r="D16" s="136">
        <v>1</v>
      </c>
    </row>
    <row r="17" spans="1:4">
      <c r="A17" s="135">
        <v>816</v>
      </c>
      <c r="B17" s="95" t="s">
        <v>2650</v>
      </c>
      <c r="C17" s="136">
        <v>10</v>
      </c>
      <c r="D17" s="136">
        <v>1</v>
      </c>
    </row>
    <row r="18" spans="1:4">
      <c r="A18" s="135">
        <v>817</v>
      </c>
      <c r="B18" s="95" t="s">
        <v>2651</v>
      </c>
      <c r="C18" s="136">
        <v>4</v>
      </c>
      <c r="D18" s="136">
        <v>1</v>
      </c>
    </row>
  </sheetData>
  <pageMargins left="0.511811024" right="0.511811024" top="0.78740157499999996" bottom="0.78740157499999996" header="0.31496062000000002" footer="0.31496062000000002"/>
  <legacy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Plan30"/>
  <dimension ref="A1:M35"/>
  <sheetViews>
    <sheetView workbookViewId="0">
      <pane xSplit="3" ySplit="1" topLeftCell="D2" activePane="bottomRight" state="frozen"/>
      <selection pane="bottomRight" activeCell="C16" sqref="C16:D16"/>
      <selection pane="bottomLeft" activeCell="A2" sqref="A2"/>
      <selection pane="topRight" activeCell="D1" sqref="D1"/>
    </sheetView>
  </sheetViews>
  <sheetFormatPr defaultRowHeight="12.75"/>
  <cols>
    <col min="1" max="1" width="15.28515625" customWidth="1"/>
    <col min="2" max="2" width="23.7109375" bestFit="1" customWidth="1"/>
    <col min="3" max="3" width="13.42578125" style="135" customWidth="1"/>
    <col min="7" max="10" width="16" customWidth="1"/>
    <col min="11" max="11" width="12.5703125" bestFit="1" customWidth="1"/>
  </cols>
  <sheetData>
    <row r="1" spans="1:13" ht="13.5" thickBot="1">
      <c r="A1" s="11" t="s">
        <v>2652</v>
      </c>
      <c r="B1" s="2" t="s">
        <v>2653</v>
      </c>
      <c r="C1" s="11" t="s">
        <v>2632</v>
      </c>
      <c r="D1" s="138" t="s">
        <v>2633</v>
      </c>
      <c r="E1" s="138" t="s">
        <v>2634</v>
      </c>
      <c r="F1" s="139" t="s">
        <v>160</v>
      </c>
      <c r="G1" s="11" t="s">
        <v>2654</v>
      </c>
      <c r="H1" s="11" t="s">
        <v>2655</v>
      </c>
      <c r="I1" s="11" t="s">
        <v>2656</v>
      </c>
      <c r="J1" s="11" t="s">
        <v>2657</v>
      </c>
      <c r="K1" s="429" t="s">
        <v>273</v>
      </c>
      <c r="L1" s="61" t="s">
        <v>274</v>
      </c>
      <c r="M1" s="140" t="s">
        <v>145</v>
      </c>
    </row>
    <row r="2" spans="1:13" ht="13.5" customHeight="1" thickTop="1">
      <c r="A2" s="141">
        <v>6001</v>
      </c>
      <c r="B2" s="379" t="str">
        <f>VLOOKUP(C2,[6]tab_corredor!$A$2:$B$50,2,0)&amp;"_"&amp;K2</f>
        <v>SE-Sul_2012</v>
      </c>
      <c r="C2" s="135">
        <v>801</v>
      </c>
      <c r="D2" s="142">
        <f>IF(C2="","",VLOOKUP(C2,[6]tab_corredor!$A$2:$D$30,3,0))</f>
        <v>1</v>
      </c>
      <c r="E2" s="142">
        <f>IF(C2="","",VLOOKUP(C2,[6]tab_corredor!$A$2:$D$30,4,0))</f>
        <v>2</v>
      </c>
      <c r="F2">
        <f t="shared" ref="F2:F35" si="0">MAX(G2:H2)</f>
        <v>3919</v>
      </c>
      <c r="G2">
        <v>3665</v>
      </c>
      <c r="H2">
        <v>3919</v>
      </c>
      <c r="I2" s="24">
        <v>5.0000000000000004E-6</v>
      </c>
      <c r="J2" s="24">
        <v>5.0000000000000004E-6</v>
      </c>
      <c r="K2">
        <v>2012</v>
      </c>
      <c r="L2">
        <v>2050</v>
      </c>
    </row>
    <row r="3" spans="1:13" ht="13.5" customHeight="1">
      <c r="A3" s="141">
        <v>6002</v>
      </c>
      <c r="B3" s="379" t="str">
        <f>VLOOKUP(C3,[6]tab_corredor!$A$2:$B$50,2,0)&amp;"_"&amp;K3</f>
        <v>SE-Sul_2017</v>
      </c>
      <c r="C3" s="135">
        <v>801</v>
      </c>
      <c r="D3" s="142">
        <f>IF(C3="","",VLOOKUP(C3,[6]tab_corredor!$A$2:$D$30,3,0))</f>
        <v>1</v>
      </c>
      <c r="E3" s="142">
        <f>IF(C3="","",VLOOKUP(C3,[6]tab_corredor!$A$2:$D$30,4,0))</f>
        <v>2</v>
      </c>
      <c r="F3">
        <f t="shared" si="0"/>
        <v>642</v>
      </c>
      <c r="G3">
        <v>642</v>
      </c>
      <c r="H3">
        <v>0</v>
      </c>
      <c r="I3" s="24">
        <v>5.0000000000000004E-6</v>
      </c>
      <c r="J3" s="24">
        <v>5.0000000000000004E-6</v>
      </c>
      <c r="K3">
        <v>2017</v>
      </c>
      <c r="L3">
        <v>2050</v>
      </c>
    </row>
    <row r="4" spans="1:13" ht="13.5" customHeight="1">
      <c r="A4" s="141">
        <v>6003</v>
      </c>
      <c r="B4" s="379" t="str">
        <f>VLOOKUP(C4,[6]tab_corredor!$A$2:$B$50,2,0)&amp;"_"&amp;K4</f>
        <v>SE-Sul_2020</v>
      </c>
      <c r="C4" s="135">
        <v>801</v>
      </c>
      <c r="D4" s="142">
        <f>IF(C4="","",VLOOKUP(C4,[6]tab_corredor!$A$2:$D$30,3,0))</f>
        <v>1</v>
      </c>
      <c r="E4" s="142">
        <f>IF(C4="","",VLOOKUP(C4,[6]tab_corredor!$A$2:$D$30,4,0))</f>
        <v>2</v>
      </c>
      <c r="F4">
        <f t="shared" si="0"/>
        <v>1587</v>
      </c>
      <c r="G4">
        <v>1587</v>
      </c>
      <c r="H4">
        <v>291</v>
      </c>
      <c r="I4" s="24">
        <v>5.0000000000000004E-6</v>
      </c>
      <c r="J4" s="24">
        <v>5.0000000000000004E-6</v>
      </c>
      <c r="K4">
        <v>2020</v>
      </c>
      <c r="L4">
        <v>2050</v>
      </c>
    </row>
    <row r="5" spans="1:13" ht="13.5" customHeight="1">
      <c r="A5" s="141">
        <v>6004</v>
      </c>
      <c r="B5" s="379" t="str">
        <f>VLOOKUP(C5,[6]tab_corredor!$A$2:$B$50,2,0)&amp;"_"&amp;K5</f>
        <v>SE-NE_2012</v>
      </c>
      <c r="C5" s="135">
        <v>802</v>
      </c>
      <c r="D5" s="142">
        <f>IF(C5="","",VLOOKUP(C5,[6]tab_corredor!$A$2:$D$30,3,0))</f>
        <v>1</v>
      </c>
      <c r="E5" s="142">
        <f>IF(C5="","",VLOOKUP(C5,[6]tab_corredor!$A$2:$D$30,4,0))</f>
        <v>3</v>
      </c>
      <c r="F5">
        <f t="shared" si="0"/>
        <v>1000</v>
      </c>
      <c r="G5">
        <v>1000</v>
      </c>
      <c r="H5">
        <v>600</v>
      </c>
      <c r="I5" s="24">
        <v>5.0000000000000004E-6</v>
      </c>
      <c r="J5" s="24">
        <v>5.0000000000000004E-6</v>
      </c>
      <c r="K5">
        <v>2012</v>
      </c>
      <c r="L5">
        <v>2050</v>
      </c>
    </row>
    <row r="6" spans="1:13" ht="13.5" customHeight="1">
      <c r="A6" s="141">
        <v>6005</v>
      </c>
      <c r="B6" s="379" t="str">
        <f>VLOOKUP(C6,[6]tab_corredor!$A$2:$B$50,2,0)&amp;"_"&amp;K6</f>
        <v>SE-NE_2016</v>
      </c>
      <c r="C6" s="135">
        <v>802</v>
      </c>
      <c r="D6" s="142">
        <f>IF(C6="","",VLOOKUP(C6,[6]tab_corredor!$A$2:$D$30,3,0))</f>
        <v>1</v>
      </c>
      <c r="E6" s="142">
        <f>IF(C6="","",VLOOKUP(C6,[6]tab_corredor!$A$2:$D$30,4,0))</f>
        <v>3</v>
      </c>
      <c r="F6">
        <f t="shared" si="0"/>
        <v>1338</v>
      </c>
      <c r="G6">
        <v>0</v>
      </c>
      <c r="H6">
        <v>1338</v>
      </c>
      <c r="I6" s="24">
        <v>5.0000000000000004E-6</v>
      </c>
      <c r="J6" s="24">
        <v>5.0000000000000004E-6</v>
      </c>
      <c r="K6">
        <v>2016</v>
      </c>
      <c r="L6">
        <v>2050</v>
      </c>
    </row>
    <row r="7" spans="1:13" ht="13.5" customHeight="1">
      <c r="A7" s="141">
        <v>6006</v>
      </c>
      <c r="B7" s="379" t="str">
        <f>VLOOKUP(C7,[6]tab_corredor!$A$2:$B$50,2,0)&amp;"_"&amp;K7</f>
        <v>SE-NE_2023</v>
      </c>
      <c r="C7" s="135">
        <v>802</v>
      </c>
      <c r="D7" s="142">
        <f>IF(C7="","",VLOOKUP(C7,[6]tab_corredor!$A$2:$D$30,3,0))</f>
        <v>1</v>
      </c>
      <c r="E7" s="142">
        <f>IF(C7="","",VLOOKUP(C7,[6]tab_corredor!$A$2:$D$30,4,0))</f>
        <v>3</v>
      </c>
      <c r="F7">
        <f t="shared" si="0"/>
        <v>7374</v>
      </c>
      <c r="G7">
        <v>5000</v>
      </c>
      <c r="H7">
        <v>7374</v>
      </c>
      <c r="I7" s="24">
        <v>5.0000000000000004E-6</v>
      </c>
      <c r="J7" s="24">
        <v>5.0000000000000004E-6</v>
      </c>
      <c r="K7">
        <v>2023</v>
      </c>
      <c r="L7">
        <v>2050</v>
      </c>
    </row>
    <row r="8" spans="1:13" ht="13.5" customHeight="1">
      <c r="A8" s="141">
        <v>6007</v>
      </c>
      <c r="B8" s="379" t="str">
        <f>VLOOKUP(C8,[6]tab_corredor!$A$2:$B$50,2,0)&amp;"_"&amp;K8</f>
        <v>SE-Itaipu_2012</v>
      </c>
      <c r="C8" s="135">
        <v>803</v>
      </c>
      <c r="D8" s="142">
        <f>IF(C8="","",VLOOKUP(C8,[6]tab_corredor!$A$2:$D$30,3,0))</f>
        <v>1</v>
      </c>
      <c r="E8" s="142">
        <f>IF(C8="","",VLOOKUP(C8,[6]tab_corredor!$A$2:$D$30,4,0))</f>
        <v>5</v>
      </c>
      <c r="F8">
        <f t="shared" si="0"/>
        <v>5500</v>
      </c>
      <c r="G8">
        <v>0</v>
      </c>
      <c r="H8">
        <v>5500</v>
      </c>
      <c r="I8" s="24">
        <v>5.0000000000000004E-6</v>
      </c>
      <c r="J8" s="24">
        <v>5.0000000000000004E-6</v>
      </c>
      <c r="K8">
        <v>2012</v>
      </c>
      <c r="L8">
        <v>2050</v>
      </c>
    </row>
    <row r="9" spans="1:13" ht="13.5" customHeight="1">
      <c r="A9" s="141">
        <v>6008</v>
      </c>
      <c r="B9" s="379" t="str">
        <f>VLOOKUP(C9,[6]tab_corredor!$A$2:$B$50,2,0)&amp;"_"&amp;K9</f>
        <v>SE-Ivaip_2012</v>
      </c>
      <c r="C9" s="135">
        <v>804</v>
      </c>
      <c r="D9" s="142">
        <f>IF(C9="","",VLOOKUP(C9,[6]tab_corredor!$A$2:$D$30,3,0))</f>
        <v>1</v>
      </c>
      <c r="E9" s="142">
        <f>IF(C9="","",VLOOKUP(C9,[6]tab_corredor!$A$2:$D$30,4,0))</f>
        <v>100</v>
      </c>
      <c r="F9">
        <f t="shared" si="0"/>
        <v>6800</v>
      </c>
      <c r="G9">
        <v>0</v>
      </c>
      <c r="H9">
        <v>6800</v>
      </c>
      <c r="I9" s="24">
        <v>5.0000000000000004E-6</v>
      </c>
      <c r="J9" s="24">
        <v>5.0000000000000004E-6</v>
      </c>
      <c r="K9">
        <v>2012</v>
      </c>
      <c r="L9">
        <v>2050</v>
      </c>
    </row>
    <row r="10" spans="1:13" ht="13.5" customHeight="1">
      <c r="A10" s="141">
        <v>6011</v>
      </c>
      <c r="B10" s="379" t="str">
        <f>VLOOKUP(C10,[6]tab_corredor!$A$2:$B$50,2,0)&amp;"_"&amp;K10</f>
        <v>SE-Imp_2012</v>
      </c>
      <c r="C10" s="135">
        <v>805</v>
      </c>
      <c r="D10" s="142">
        <f>IF(C10="","",VLOOKUP(C10,[6]tab_corredor!$A$2:$D$30,3,0))</f>
        <v>1</v>
      </c>
      <c r="E10" s="142">
        <f>IF(C10="","",VLOOKUP(C10,[6]tab_corredor!$A$2:$D$30,4,0))</f>
        <v>200</v>
      </c>
      <c r="F10">
        <f>MAX(G10:H10)</f>
        <v>4000</v>
      </c>
      <c r="G10">
        <v>4000</v>
      </c>
      <c r="H10">
        <v>3319</v>
      </c>
      <c r="I10" s="24">
        <v>5.0000000000000004E-6</v>
      </c>
      <c r="J10" s="24">
        <v>5.0000000000000004E-6</v>
      </c>
      <c r="K10">
        <v>2012</v>
      </c>
      <c r="L10">
        <v>2050</v>
      </c>
    </row>
    <row r="11" spans="1:13" ht="13.5" customHeight="1">
      <c r="A11" s="141">
        <v>6010</v>
      </c>
      <c r="B11" s="379" t="str">
        <f>VLOOKUP(C11,[6]tab_corredor!$A$2:$B$50,2,0)&amp;"_"&amp;K11</f>
        <v>SE-Imp_2019</v>
      </c>
      <c r="C11" s="135">
        <v>805</v>
      </c>
      <c r="D11" s="142">
        <f>IF(C11="","",VLOOKUP(C11,[6]tab_corredor!$A$2:$D$30,3,0))</f>
        <v>1</v>
      </c>
      <c r="E11" s="142">
        <f>IF(C11="","",VLOOKUP(C11,[6]tab_corredor!$A$2:$D$30,4,0))</f>
        <v>200</v>
      </c>
      <c r="F11">
        <f>MAX(G11:H11)</f>
        <v>500</v>
      </c>
      <c r="G11">
        <v>500</v>
      </c>
      <c r="H11">
        <v>500</v>
      </c>
      <c r="I11" s="24">
        <v>5.0000000000000004E-6</v>
      </c>
      <c r="J11" s="24">
        <v>5.0000000000000004E-6</v>
      </c>
      <c r="K11">
        <v>2019</v>
      </c>
      <c r="L11">
        <v>2050</v>
      </c>
    </row>
    <row r="12" spans="1:13" ht="13.5" customHeight="1">
      <c r="A12" s="141">
        <v>6009</v>
      </c>
      <c r="B12" s="379" t="str">
        <f>VLOOKUP(C12,[6]tab_corredor!$A$2:$B$50,2,0)&amp;"_"&amp;K12</f>
        <v>SE-Imp_2023</v>
      </c>
      <c r="C12" s="135">
        <v>805</v>
      </c>
      <c r="D12" s="142">
        <f>IF(C12="","",VLOOKUP(C12,[6]tab_corredor!$A$2:$D$30,3,0))</f>
        <v>1</v>
      </c>
      <c r="E12" s="142">
        <f>IF(C12="","",VLOOKUP(C12,[6]tab_corredor!$A$2:$D$30,4,0))</f>
        <v>200</v>
      </c>
      <c r="F12">
        <f>MAX(G12:H12)</f>
        <v>1058</v>
      </c>
      <c r="G12">
        <v>600</v>
      </c>
      <c r="H12">
        <v>1058</v>
      </c>
      <c r="I12" s="24">
        <v>5.0000000000000004E-6</v>
      </c>
      <c r="J12" s="24">
        <v>5.0000000000000004E-6</v>
      </c>
      <c r="K12">
        <v>2023</v>
      </c>
      <c r="L12">
        <v>2050</v>
      </c>
    </row>
    <row r="13" spans="1:13" ht="13.5" customHeight="1">
      <c r="A13" s="141">
        <v>6012</v>
      </c>
      <c r="B13" s="379" t="str">
        <f>VLOOKUP(C13,[6]tab_corredor!$A$2:$B$50,2,0)&amp;"_"&amp;K13</f>
        <v>Sul-Itaipu_2017</v>
      </c>
      <c r="C13" s="135">
        <v>806</v>
      </c>
      <c r="D13" s="142">
        <f>IF(C13="","",VLOOKUP(C13,[6]tab_corredor!$A$2:$D$30,3,0))</f>
        <v>2</v>
      </c>
      <c r="E13" s="142">
        <f>IF(C13="","",VLOOKUP(C13,[6]tab_corredor!$A$2:$D$30,4,0))</f>
        <v>5</v>
      </c>
      <c r="F13">
        <f t="shared" si="0"/>
        <v>141</v>
      </c>
      <c r="G13">
        <v>104</v>
      </c>
      <c r="H13">
        <v>141</v>
      </c>
      <c r="I13" s="24">
        <v>5.0000000000000004E-6</v>
      </c>
      <c r="J13" s="24">
        <v>5.0000000000000004E-6</v>
      </c>
      <c r="K13">
        <v>2017</v>
      </c>
      <c r="L13">
        <v>2050</v>
      </c>
    </row>
    <row r="14" spans="1:13" ht="13.5" customHeight="1">
      <c r="A14" s="141">
        <v>6013</v>
      </c>
      <c r="B14" s="379" t="str">
        <f>VLOOKUP(C14,[6]tab_corredor!$A$2:$B$50,2,0)&amp;"_"&amp;K14</f>
        <v>Sul-Itaipu_2012</v>
      </c>
      <c r="C14" s="135">
        <v>806</v>
      </c>
      <c r="D14" s="142">
        <f>IF(C14="","",VLOOKUP(C14,[6]tab_corredor!$A$2:$D$30,3,0))</f>
        <v>2</v>
      </c>
      <c r="E14" s="142">
        <f>IF(C14="","",VLOOKUP(C14,[6]tab_corredor!$A$2:$D$30,4,0))</f>
        <v>5</v>
      </c>
      <c r="F14">
        <f t="shared" si="0"/>
        <v>1859</v>
      </c>
      <c r="G14">
        <v>81</v>
      </c>
      <c r="H14">
        <v>1859</v>
      </c>
      <c r="I14" s="24">
        <v>5.0000000000000004E-6</v>
      </c>
      <c r="J14" s="24">
        <v>5.0000000000000004E-6</v>
      </c>
      <c r="K14">
        <v>2012</v>
      </c>
      <c r="L14">
        <v>2050</v>
      </c>
    </row>
    <row r="15" spans="1:13" ht="13.5" customHeight="1">
      <c r="A15" s="141">
        <v>6014</v>
      </c>
      <c r="B15" s="379" t="str">
        <f>VLOOKUP(C15,[6]tab_corredor!$A$2:$B$50,2,0)&amp;"_"&amp;K15</f>
        <v>Sul-Ivaip_2018</v>
      </c>
      <c r="C15" s="135">
        <v>807</v>
      </c>
      <c r="D15" s="142">
        <f>IF(C15="","",VLOOKUP(C15,[6]tab_corredor!$A$2:$D$30,3,0))</f>
        <v>2</v>
      </c>
      <c r="E15" s="142">
        <f>IF(C15="","",VLOOKUP(C15,[6]tab_corredor!$A$2:$D$30,4,0))</f>
        <v>100</v>
      </c>
      <c r="F15">
        <f t="shared" si="0"/>
        <v>264</v>
      </c>
      <c r="G15">
        <v>0</v>
      </c>
      <c r="H15">
        <v>264</v>
      </c>
      <c r="I15" s="24">
        <v>5.0000000000000004E-6</v>
      </c>
      <c r="J15" s="24">
        <v>5.0000000000000004E-6</v>
      </c>
      <c r="K15">
        <v>2018</v>
      </c>
      <c r="L15">
        <v>2050</v>
      </c>
    </row>
    <row r="16" spans="1:13" ht="13.5" customHeight="1">
      <c r="A16" s="141">
        <v>6015</v>
      </c>
      <c r="B16" s="379" t="str">
        <f>VLOOKUP(C16,[6]tab_corredor!$A$2:$B$50,2,0)&amp;"_"&amp;K16</f>
        <v>Sul-Ivaip_2020</v>
      </c>
      <c r="C16" s="135">
        <v>807</v>
      </c>
      <c r="D16" s="142">
        <f>IF(C16="","",VLOOKUP(C16,[6]tab_corredor!$A$2:$D$30,3,0))</f>
        <v>2</v>
      </c>
      <c r="E16" s="142">
        <f>IF(C16="","",VLOOKUP(C16,[6]tab_corredor!$A$2:$D$30,4,0))</f>
        <v>100</v>
      </c>
      <c r="F16">
        <f t="shared" si="0"/>
        <v>195</v>
      </c>
      <c r="G16">
        <v>195</v>
      </c>
      <c r="H16">
        <v>0</v>
      </c>
      <c r="I16" s="24">
        <v>5.0000000000000004E-6</v>
      </c>
      <c r="J16" s="24">
        <v>5.0000000000000004E-6</v>
      </c>
      <c r="K16">
        <v>2020</v>
      </c>
      <c r="L16">
        <v>2050</v>
      </c>
    </row>
    <row r="17" spans="1:13" ht="13.5" customHeight="1">
      <c r="A17" s="141">
        <v>6016</v>
      </c>
      <c r="B17" s="379" t="str">
        <f>VLOOKUP(C17,[6]tab_corredor!$A$2:$B$50,2,0)&amp;"_"&amp;K17</f>
        <v>Sul-Ivaip_2012</v>
      </c>
      <c r="C17" s="135">
        <v>807</v>
      </c>
      <c r="D17" s="142">
        <f>IF(C17="","",VLOOKUP(C17,[6]tab_corredor!$A$2:$D$30,3,0))</f>
        <v>2</v>
      </c>
      <c r="E17" s="142">
        <f>IF(C17="","",VLOOKUP(C17,[6]tab_corredor!$A$2:$D$30,4,0))</f>
        <v>100</v>
      </c>
      <c r="F17">
        <f t="shared" si="0"/>
        <v>2163</v>
      </c>
      <c r="G17">
        <v>1726</v>
      </c>
      <c r="H17">
        <v>2163</v>
      </c>
      <c r="I17" s="24">
        <v>5.0000000000000004E-6</v>
      </c>
      <c r="J17" s="24">
        <v>5.0000000000000004E-6</v>
      </c>
      <c r="K17">
        <v>2012</v>
      </c>
      <c r="L17">
        <v>2050</v>
      </c>
    </row>
    <row r="18" spans="1:13" ht="13.5" customHeight="1">
      <c r="A18" s="141">
        <v>6020</v>
      </c>
      <c r="B18" s="379" t="str">
        <f>VLOOKUP(C18,[6]tab_corredor!$A$2:$B$50,2,0)&amp;"_"&amp;K18</f>
        <v>NE-Imp_2012</v>
      </c>
      <c r="C18" s="135">
        <v>808</v>
      </c>
      <c r="D18" s="142">
        <f>IF(C18="","",VLOOKUP(C18,[6]tab_corredor!$A$2:$D$30,3,0))</f>
        <v>3</v>
      </c>
      <c r="E18" s="142">
        <f>IF(C18="","",VLOOKUP(C18,[6]tab_corredor!$A$2:$D$30,4,0))</f>
        <v>200</v>
      </c>
      <c r="F18">
        <f>MAX(G18:H18)</f>
        <v>3714</v>
      </c>
      <c r="G18">
        <v>3714</v>
      </c>
      <c r="H18">
        <v>3374</v>
      </c>
      <c r="I18" s="24">
        <v>5.0000000000000004E-6</v>
      </c>
      <c r="J18" s="24">
        <v>5.0000000000000004E-6</v>
      </c>
      <c r="K18">
        <v>2012</v>
      </c>
      <c r="L18">
        <v>2050</v>
      </c>
    </row>
    <row r="19" spans="1:13" ht="13.5" customHeight="1">
      <c r="A19" s="141">
        <v>6019</v>
      </c>
      <c r="B19" s="379" t="str">
        <f>VLOOKUP(C19,[6]tab_corredor!$A$2:$B$50,2,0)&amp;"_"&amp;K19</f>
        <v>NE-Imp_2019</v>
      </c>
      <c r="C19" s="135">
        <v>808</v>
      </c>
      <c r="D19" s="142">
        <f>IF(C19="","",VLOOKUP(C19,[6]tab_corredor!$A$2:$D$30,3,0))</f>
        <v>3</v>
      </c>
      <c r="E19" s="142">
        <f>IF(C19="","",VLOOKUP(C19,[6]tab_corredor!$A$2:$D$30,4,0))</f>
        <v>200</v>
      </c>
      <c r="F19">
        <f>MAX(G19:H19)</f>
        <v>792</v>
      </c>
      <c r="G19">
        <v>0</v>
      </c>
      <c r="H19">
        <v>792</v>
      </c>
      <c r="I19" s="24">
        <v>5.0000000000000004E-6</v>
      </c>
      <c r="J19" s="24">
        <v>5.0000000000000004E-6</v>
      </c>
      <c r="K19">
        <v>2019</v>
      </c>
      <c r="L19">
        <v>2050</v>
      </c>
    </row>
    <row r="20" spans="1:13" ht="13.5" customHeight="1">
      <c r="A20" s="141">
        <v>6018</v>
      </c>
      <c r="B20" s="379" t="str">
        <f>VLOOKUP(C20,[6]tab_corredor!$A$2:$B$50,2,0)&amp;"_"&amp;K20</f>
        <v>NE-Imp_2020</v>
      </c>
      <c r="C20" s="135">
        <v>808</v>
      </c>
      <c r="D20" s="142">
        <f>IF(C20="","",VLOOKUP(C20,[6]tab_corredor!$A$2:$D$30,3,0))</f>
        <v>3</v>
      </c>
      <c r="E20" s="142">
        <f>IF(C20="","",VLOOKUP(C20,[6]tab_corredor!$A$2:$D$30,4,0))</f>
        <v>200</v>
      </c>
      <c r="F20">
        <f>MAX(G20:H20)</f>
        <v>193</v>
      </c>
      <c r="G20">
        <v>0</v>
      </c>
      <c r="H20">
        <v>193</v>
      </c>
      <c r="I20" s="24">
        <v>5.0000000000000004E-6</v>
      </c>
      <c r="J20" s="24">
        <v>5.0000000000000004E-6</v>
      </c>
      <c r="K20">
        <v>2020</v>
      </c>
      <c r="L20">
        <v>2050</v>
      </c>
    </row>
    <row r="21" spans="1:13" ht="13.5" customHeight="1">
      <c r="A21" s="141">
        <v>6017</v>
      </c>
      <c r="B21" s="379" t="str">
        <f>VLOOKUP(C21,[6]tab_corredor!$A$2:$B$50,2,0)&amp;"_"&amp;K21</f>
        <v>NE-Imp_2023</v>
      </c>
      <c r="C21" s="135">
        <v>808</v>
      </c>
      <c r="D21" s="142">
        <f>IF(C21="","",VLOOKUP(C21,[6]tab_corredor!$A$2:$D$30,3,0))</f>
        <v>3</v>
      </c>
      <c r="E21" s="142">
        <f>IF(C21="","",VLOOKUP(C21,[6]tab_corredor!$A$2:$D$30,4,0))</f>
        <v>200</v>
      </c>
      <c r="F21">
        <f>MAX(G21:H21)</f>
        <v>3387</v>
      </c>
      <c r="G21">
        <v>1398</v>
      </c>
      <c r="H21">
        <v>3387</v>
      </c>
      <c r="I21" s="24">
        <v>5.0000000000000004E-6</v>
      </c>
      <c r="J21" s="24">
        <v>5.0000000000000004E-6</v>
      </c>
      <c r="K21">
        <v>2023</v>
      </c>
      <c r="L21">
        <v>2050</v>
      </c>
    </row>
    <row r="22" spans="1:13" ht="13.5" customHeight="1">
      <c r="A22" s="141">
        <v>6021</v>
      </c>
      <c r="B22" s="379" t="str">
        <f>VLOOKUP(C22,[6]tab_corredor!$A$2:$B$50,2,0)&amp;"_"&amp;K22</f>
        <v>N-Manaus_2012</v>
      </c>
      <c r="C22" s="135">
        <v>809</v>
      </c>
      <c r="D22" s="142">
        <f>IF(C22="","",VLOOKUP(C22,[6]tab_corredor!$A$2:$D$30,3,0))</f>
        <v>4</v>
      </c>
      <c r="E22" s="142">
        <f>IF(C22="","",VLOOKUP(C22,[6]tab_corredor!$A$2:$D$30,4,0))</f>
        <v>7</v>
      </c>
      <c r="F22">
        <f t="shared" si="0"/>
        <v>2700</v>
      </c>
      <c r="G22">
        <v>1000</v>
      </c>
      <c r="H22">
        <v>2700</v>
      </c>
      <c r="I22" s="24">
        <v>5.0000000000000004E-6</v>
      </c>
      <c r="J22" s="24">
        <v>5.0000000000000004E-6</v>
      </c>
      <c r="K22">
        <v>2012</v>
      </c>
      <c r="L22">
        <v>2050</v>
      </c>
    </row>
    <row r="23" spans="1:13" ht="13.5" customHeight="1">
      <c r="A23" s="141">
        <v>6022</v>
      </c>
      <c r="B23" s="379" t="str">
        <f>VLOOKUP(C23,[6]tab_corredor!$A$2:$B$50,2,0)&amp;"_"&amp;K23</f>
        <v>N-Imp_2016</v>
      </c>
      <c r="C23" s="135">
        <v>810</v>
      </c>
      <c r="D23" s="142">
        <f>IF(C23="","",VLOOKUP(C23,[6]tab_corredor!$A$2:$D$30,3,0))</f>
        <v>4</v>
      </c>
      <c r="E23" s="142">
        <f>IF(C23="","",VLOOKUP(C23,[6]tab_corredor!$A$2:$D$30,4,0))</f>
        <v>200</v>
      </c>
      <c r="F23">
        <f t="shared" si="0"/>
        <v>7800</v>
      </c>
      <c r="G23">
        <v>7800</v>
      </c>
      <c r="H23">
        <v>7800</v>
      </c>
      <c r="I23" s="24">
        <v>5.0000000000000004E-6</v>
      </c>
      <c r="J23" s="24">
        <v>5.0000000000000004E-6</v>
      </c>
      <c r="K23">
        <v>2016</v>
      </c>
      <c r="L23">
        <v>2050</v>
      </c>
      <c r="M23" t="s">
        <v>2658</v>
      </c>
    </row>
    <row r="24" spans="1:13" ht="13.5" customHeight="1">
      <c r="A24" s="141">
        <v>6023</v>
      </c>
      <c r="B24" s="379" t="str">
        <f>VLOOKUP(C24,[6]tab_corredor!$A$2:$B$50,2,0)&amp;"_"&amp;K24</f>
        <v>N-Imp_2019</v>
      </c>
      <c r="C24" s="135">
        <v>810</v>
      </c>
      <c r="D24" s="142">
        <f>IF(C24="","",VLOOKUP(C24,[6]tab_corredor!$A$2:$D$30,3,0))</f>
        <v>4</v>
      </c>
      <c r="E24" s="142">
        <f>IF(C24="","",VLOOKUP(C24,[6]tab_corredor!$A$2:$D$30,4,0))</f>
        <v>200</v>
      </c>
      <c r="F24">
        <f t="shared" si="0"/>
        <v>3136</v>
      </c>
      <c r="G24">
        <v>3136</v>
      </c>
      <c r="H24">
        <v>3136</v>
      </c>
      <c r="I24" s="24">
        <v>5.0000000000000004E-6</v>
      </c>
      <c r="J24" s="24">
        <v>5.0000000000000004E-6</v>
      </c>
      <c r="K24">
        <v>2019</v>
      </c>
      <c r="L24">
        <v>2050</v>
      </c>
      <c r="M24" t="s">
        <v>2658</v>
      </c>
    </row>
    <row r="25" spans="1:13" ht="13.5" customHeight="1">
      <c r="A25" s="141">
        <v>6025</v>
      </c>
      <c r="B25" s="379" t="str">
        <f>VLOOKUP(C25,[6]tab_corredor!$A$2:$B$50,2,0)&amp;"_"&amp;K25</f>
        <v>N-Imp_2023</v>
      </c>
      <c r="C25" s="135">
        <v>810</v>
      </c>
      <c r="D25" s="142">
        <f>IF(C25="","",VLOOKUP(C25,[6]tab_corredor!$A$2:$D$30,3,0))</f>
        <v>4</v>
      </c>
      <c r="E25" s="142">
        <f>IF(C25="","",VLOOKUP(C25,[6]tab_corredor!$A$2:$D$30,4,0))</f>
        <v>200</v>
      </c>
      <c r="F25">
        <f t="shared" si="0"/>
        <v>4109</v>
      </c>
      <c r="G25">
        <v>4109</v>
      </c>
      <c r="H25">
        <v>4109</v>
      </c>
      <c r="I25" s="24">
        <v>5.0000000000000004E-6</v>
      </c>
      <c r="J25" s="24">
        <v>5.0000000000000004E-6</v>
      </c>
      <c r="K25">
        <v>2023</v>
      </c>
      <c r="L25">
        <v>2050</v>
      </c>
      <c r="M25" t="s">
        <v>2658</v>
      </c>
    </row>
    <row r="26" spans="1:13">
      <c r="A26" s="141">
        <v>6026</v>
      </c>
      <c r="B26" s="379" t="str">
        <f>VLOOKUP(C26,[6]tab_corredor!$A$2:$B$50,2,0)&amp;"_"&amp;K26</f>
        <v>Itaipu-Ivaip_2012</v>
      </c>
      <c r="C26" s="135">
        <v>811</v>
      </c>
      <c r="D26" s="142">
        <f>IF(C26="","",VLOOKUP(C26,[6]tab_corredor!$A$2:$D$30,3,0))</f>
        <v>5</v>
      </c>
      <c r="E26" s="142">
        <f>IF(C26="","",VLOOKUP(C26,[6]tab_corredor!$A$2:$D$30,4,0))</f>
        <v>100</v>
      </c>
      <c r="F26">
        <f t="shared" si="0"/>
        <v>6300</v>
      </c>
      <c r="G26">
        <v>6300</v>
      </c>
      <c r="H26">
        <v>0</v>
      </c>
      <c r="I26" s="24">
        <v>5.0000000000000004E-6</v>
      </c>
      <c r="J26" s="24">
        <v>5.0000000000000004E-6</v>
      </c>
      <c r="K26">
        <v>2012</v>
      </c>
      <c r="L26">
        <v>2050</v>
      </c>
    </row>
    <row r="27" spans="1:13">
      <c r="A27" s="141">
        <v>6027</v>
      </c>
      <c r="B27" s="379" t="str">
        <f>VLOOKUP(C27,[6]tab_corredor!$A$2:$B$50,2,0)&amp;"_"&amp;K27</f>
        <v>AC/RO/Mad-SE_2016</v>
      </c>
      <c r="C27" s="135">
        <v>812</v>
      </c>
      <c r="D27" s="142">
        <f>IF(C27="","",VLOOKUP(C27,[6]tab_corredor!$A$2:$D$30,3,0))</f>
        <v>6</v>
      </c>
      <c r="E27" s="142">
        <f>IF(C27="","",VLOOKUP(C27,[6]tab_corredor!$A$2:$D$30,4,0))</f>
        <v>1</v>
      </c>
      <c r="F27">
        <f t="shared" si="0"/>
        <v>3482</v>
      </c>
      <c r="G27">
        <v>3482</v>
      </c>
      <c r="H27">
        <v>332</v>
      </c>
      <c r="I27" s="24">
        <v>5.0000000000000004E-6</v>
      </c>
      <c r="J27" s="24">
        <v>5.0000000000000004E-6</v>
      </c>
      <c r="K27">
        <v>2016</v>
      </c>
      <c r="L27">
        <v>2050</v>
      </c>
    </row>
    <row r="28" spans="1:13">
      <c r="A28" s="141">
        <v>6028</v>
      </c>
      <c r="B28" s="379" t="str">
        <f>VLOOKUP(C28,[6]tab_corredor!$A$2:$B$50,2,0)&amp;"_"&amp;K28</f>
        <v>AC/RO/Mad-SE_2018</v>
      </c>
      <c r="C28" s="135">
        <v>812</v>
      </c>
      <c r="D28" s="142">
        <f>IF(C28="","",VLOOKUP(C28,[6]tab_corredor!$A$2:$D$30,3,0))</f>
        <v>6</v>
      </c>
      <c r="E28" s="142">
        <f>IF(C28="","",VLOOKUP(C28,[6]tab_corredor!$A$2:$D$30,4,0))</f>
        <v>1</v>
      </c>
      <c r="F28">
        <f t="shared" si="0"/>
        <v>3210</v>
      </c>
      <c r="G28">
        <v>3210</v>
      </c>
      <c r="H28">
        <v>0</v>
      </c>
      <c r="I28" s="24">
        <v>5.0000000000000004E-6</v>
      </c>
      <c r="J28" s="24">
        <v>5.0000000000000004E-6</v>
      </c>
      <c r="K28">
        <v>2018</v>
      </c>
      <c r="L28">
        <v>2050</v>
      </c>
    </row>
    <row r="29" spans="1:13">
      <c r="A29" s="141">
        <v>6029</v>
      </c>
      <c r="B29" s="379" t="str">
        <f>VLOOKUP(C29,[6]tab_corredor!$A$2:$B$50,2,0)&amp;"_"&amp;K29</f>
        <v>AC/RO/Mad-SE_2020</v>
      </c>
      <c r="C29" s="135">
        <v>812</v>
      </c>
      <c r="D29" s="142">
        <f>IF(C29="","",VLOOKUP(C29,[6]tab_corredor!$A$2:$D$30,3,0))</f>
        <v>6</v>
      </c>
      <c r="E29" s="142">
        <f>IF(C29="","",VLOOKUP(C29,[6]tab_corredor!$A$2:$D$30,4,0))</f>
        <v>1</v>
      </c>
      <c r="F29">
        <f t="shared" si="0"/>
        <v>288</v>
      </c>
      <c r="G29">
        <v>288</v>
      </c>
      <c r="H29">
        <v>7</v>
      </c>
      <c r="I29" s="24">
        <v>5.0000000000000004E-6</v>
      </c>
      <c r="J29" s="24">
        <v>5.0000000000000004E-6</v>
      </c>
      <c r="K29">
        <v>2020</v>
      </c>
      <c r="L29">
        <v>2050</v>
      </c>
    </row>
    <row r="30" spans="1:13">
      <c r="A30" s="141">
        <v>6030</v>
      </c>
      <c r="B30" s="379" t="str">
        <f>VLOOKUP(C30,[6]tab_corredor!$A$2:$B$50,2,0)&amp;"_"&amp;K30</f>
        <v>AC/RO/Mad-SE_2023</v>
      </c>
      <c r="C30" s="135">
        <v>812</v>
      </c>
      <c r="D30" s="142">
        <f>IF(C30="","",VLOOKUP(C30,[6]tab_corredor!$A$2:$D$30,3,0))</f>
        <v>6</v>
      </c>
      <c r="E30" s="142">
        <f>IF(C30="","",VLOOKUP(C30,[6]tab_corredor!$A$2:$D$30,4,0))</f>
        <v>1</v>
      </c>
      <c r="F30">
        <f t="shared" si="0"/>
        <v>1000</v>
      </c>
      <c r="G30">
        <v>1000</v>
      </c>
      <c r="H30">
        <v>763</v>
      </c>
      <c r="I30" s="24">
        <v>5.0000000000000004E-6</v>
      </c>
      <c r="J30" s="24">
        <v>5.0000000000000004E-6</v>
      </c>
      <c r="K30">
        <v>2023</v>
      </c>
      <c r="L30">
        <v>2050</v>
      </c>
    </row>
    <row r="31" spans="1:13" ht="12.75" customHeight="1">
      <c r="A31" s="141">
        <v>6031</v>
      </c>
      <c r="B31" s="379" t="str">
        <f>VLOOKUP(C31,[6]tab_corredor!$A$2:$B$50,2,0)&amp;"_"&amp;K31</f>
        <v>Tap-N_2024</v>
      </c>
      <c r="C31" s="135">
        <v>814</v>
      </c>
      <c r="D31" s="142">
        <f>IF(C31="","",VLOOKUP(C31,[6]tab_corredor!$A$2:$D$30,3,0))</f>
        <v>9</v>
      </c>
      <c r="E31" s="142">
        <f>IF(C31="","",VLOOKUP(C31,[6]tab_corredor!$A$2:$D$30,4,0))</f>
        <v>4</v>
      </c>
      <c r="F31">
        <f t="shared" si="0"/>
        <v>0</v>
      </c>
      <c r="G31">
        <v>0</v>
      </c>
      <c r="H31">
        <v>0</v>
      </c>
      <c r="I31" s="24">
        <v>5.0000000000000004E-6</v>
      </c>
      <c r="J31" s="24">
        <v>5.0000000000000004E-6</v>
      </c>
      <c r="K31">
        <v>2024</v>
      </c>
      <c r="L31">
        <v>2050</v>
      </c>
      <c r="M31" t="s">
        <v>2659</v>
      </c>
    </row>
    <row r="32" spans="1:13" ht="12.75" customHeight="1">
      <c r="A32" s="141">
        <v>6032</v>
      </c>
      <c r="B32" s="379" t="str">
        <f>VLOOKUP(C32,[6]tab_corredor!$A$2:$B$50,2,0)&amp;"_"&amp;K32</f>
        <v>N-SE/CO_2019</v>
      </c>
      <c r="C32" s="135">
        <v>817</v>
      </c>
      <c r="D32" s="142">
        <f>IF(C32="","",VLOOKUP(C32,[6]tab_corredor!$A$2:$D$30,3,0))</f>
        <v>4</v>
      </c>
      <c r="E32" s="142">
        <f>IF(C32="","",VLOOKUP(C32,[6]tab_corredor!$A$2:$D$30,4,0))</f>
        <v>1</v>
      </c>
      <c r="F32">
        <f t="shared" si="0"/>
        <v>4000</v>
      </c>
      <c r="G32">
        <v>4000</v>
      </c>
      <c r="H32">
        <v>3270</v>
      </c>
      <c r="I32" s="24">
        <v>5.0000000000000004E-6</v>
      </c>
      <c r="J32" s="24">
        <v>5.0000000000000004E-6</v>
      </c>
      <c r="K32">
        <v>2019</v>
      </c>
      <c r="L32">
        <v>2050</v>
      </c>
      <c r="M32" t="s">
        <v>2660</v>
      </c>
    </row>
    <row r="33" spans="1:13" ht="12.75" customHeight="1">
      <c r="A33" s="141">
        <v>6033</v>
      </c>
      <c r="B33" s="379" t="str">
        <f>VLOOKUP(C33,[6]tab_corredor!$A$2:$B$50,2,0)&amp;"_"&amp;K33</f>
        <v>N-SE/CO_2020</v>
      </c>
      <c r="C33" s="135">
        <v>817</v>
      </c>
      <c r="D33" s="142">
        <f>IF(C33="","",VLOOKUP(C33,[6]tab_corredor!$A$2:$D$30,3,0))</f>
        <v>4</v>
      </c>
      <c r="E33" s="142">
        <f>IF(C33="","",VLOOKUP(C33,[6]tab_corredor!$A$2:$D$30,4,0))</f>
        <v>1</v>
      </c>
      <c r="F33">
        <f t="shared" si="0"/>
        <v>4000</v>
      </c>
      <c r="G33">
        <v>4000</v>
      </c>
      <c r="H33">
        <v>1083</v>
      </c>
      <c r="I33" s="24">
        <v>5.0000000000000004E-6</v>
      </c>
      <c r="J33" s="24">
        <v>5.0000000000000004E-6</v>
      </c>
      <c r="K33">
        <v>2020</v>
      </c>
      <c r="L33">
        <v>2050</v>
      </c>
      <c r="M33" t="s">
        <v>2660</v>
      </c>
    </row>
    <row r="34" spans="1:13" ht="12.75" customHeight="1">
      <c r="A34" s="141">
        <v>6034</v>
      </c>
      <c r="B34" s="379" t="str">
        <f>VLOOKUP(C34,[6]tab_corredor!$A$2:$B$50,2,0)&amp;"_"&amp;K34</f>
        <v>TelesP-SE_2020</v>
      </c>
      <c r="C34" s="135">
        <v>816</v>
      </c>
      <c r="D34" s="142">
        <f>IF(C34="","",VLOOKUP(C34,[6]tab_corredor!$A$2:$D$30,3,0))</f>
        <v>10</v>
      </c>
      <c r="E34" s="142">
        <f>IF(C34="","",VLOOKUP(C34,[6]tab_corredor!$A$2:$D$30,4,0))</f>
        <v>1</v>
      </c>
      <c r="F34">
        <f t="shared" si="0"/>
        <v>3600</v>
      </c>
      <c r="G34">
        <v>3600</v>
      </c>
      <c r="H34">
        <v>3600</v>
      </c>
      <c r="I34" s="24">
        <v>5.0000000000000004E-6</v>
      </c>
      <c r="J34" s="24">
        <v>5.0000000000000004E-6</v>
      </c>
      <c r="K34">
        <v>2020</v>
      </c>
      <c r="L34">
        <v>2050</v>
      </c>
      <c r="M34" t="s">
        <v>2660</v>
      </c>
    </row>
    <row r="35" spans="1:13">
      <c r="A35" s="141">
        <v>6033</v>
      </c>
      <c r="B35" s="379" t="str">
        <f>VLOOKUP(C35,[6]tab_corredor!$A$2:$B$50,2,0)&amp;"_"&amp;K35</f>
        <v>N-SE/CO_2023</v>
      </c>
      <c r="C35" s="135">
        <v>817</v>
      </c>
      <c r="D35" s="142">
        <f>IF(C35="","",VLOOKUP(C35,[6]tab_corredor!$A$2:$D$30,3,0))</f>
        <v>4</v>
      </c>
      <c r="E35" s="142">
        <f>IF(C35="","",VLOOKUP(C35,[6]tab_corredor!$A$2:$D$30,4,0))</f>
        <v>1</v>
      </c>
      <c r="F35">
        <f t="shared" si="0"/>
        <v>2187</v>
      </c>
      <c r="G35">
        <v>0</v>
      </c>
      <c r="H35">
        <v>2187</v>
      </c>
      <c r="I35" s="24">
        <v>5.0000000000000004E-6</v>
      </c>
      <c r="J35" s="24">
        <v>5.0000000000000004E-6</v>
      </c>
      <c r="K35">
        <v>2023</v>
      </c>
      <c r="L35">
        <v>2050</v>
      </c>
      <c r="M35" t="s">
        <v>2660</v>
      </c>
    </row>
  </sheetData>
  <pageMargins left="0.511811024" right="0.511811024" top="0.78740157499999996" bottom="0.78740157499999996" header="0.31496062000000002" footer="0.31496062000000002"/>
  <legacy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Plan32"/>
  <dimension ref="A1:AC318"/>
  <sheetViews>
    <sheetView zoomScale="80" zoomScaleNormal="80" workbookViewId="0">
      <pane xSplit="4" ySplit="1" topLeftCell="O2" activePane="bottomRight" state="frozen"/>
      <selection pane="bottomRight" activeCell="AC14" sqref="AC14"/>
      <selection pane="bottomLeft" activeCell="A2" sqref="A2"/>
      <selection pane="topRight" activeCell="E1" sqref="E1"/>
    </sheetView>
  </sheetViews>
  <sheetFormatPr defaultRowHeight="12.75"/>
  <cols>
    <col min="2" max="2" width="34.5703125" customWidth="1"/>
    <col min="3" max="3" width="13.140625" bestFit="1" customWidth="1"/>
    <col min="4" max="4" width="20.7109375" bestFit="1" customWidth="1"/>
    <col min="6" max="6" width="12.85546875" bestFit="1" customWidth="1"/>
    <col min="7" max="7" width="14.28515625" customWidth="1"/>
    <col min="8" max="8" width="13" customWidth="1"/>
    <col min="9" max="9" width="12.85546875" customWidth="1"/>
    <col min="10" max="10" width="21.85546875" customWidth="1"/>
    <col min="13" max="13" width="12.42578125" customWidth="1"/>
  </cols>
  <sheetData>
    <row r="1" spans="1:29" ht="13.5" thickBot="1">
      <c r="A1" s="15" t="s">
        <v>2661</v>
      </c>
      <c r="B1" s="2" t="s">
        <v>2662</v>
      </c>
      <c r="C1" s="2" t="s">
        <v>2632</v>
      </c>
      <c r="D1" s="138" t="s">
        <v>2663</v>
      </c>
      <c r="E1" s="2" t="s">
        <v>160</v>
      </c>
      <c r="F1" s="2" t="s">
        <v>2664</v>
      </c>
      <c r="G1" s="2" t="s">
        <v>2665</v>
      </c>
      <c r="H1" s="2" t="s">
        <v>2666</v>
      </c>
      <c r="I1" s="393" t="s">
        <v>2656</v>
      </c>
      <c r="J1" s="393" t="s">
        <v>2657</v>
      </c>
      <c r="K1" s="15" t="s">
        <v>139</v>
      </c>
      <c r="L1" s="144" t="s">
        <v>140</v>
      </c>
      <c r="M1" s="2" t="s">
        <v>141</v>
      </c>
      <c r="N1" s="2" t="s">
        <v>142</v>
      </c>
      <c r="O1" s="26" t="s">
        <v>182</v>
      </c>
      <c r="P1" s="26" t="s">
        <v>185</v>
      </c>
      <c r="Q1" s="145" t="s">
        <v>188</v>
      </c>
      <c r="R1" s="2" t="s">
        <v>190</v>
      </c>
      <c r="S1" s="146" t="s">
        <v>191</v>
      </c>
      <c r="T1" s="146" t="s">
        <v>193</v>
      </c>
      <c r="U1" s="146" t="s">
        <v>194</v>
      </c>
      <c r="V1" s="146" t="s">
        <v>195</v>
      </c>
      <c r="W1" s="146" t="s">
        <v>196</v>
      </c>
      <c r="X1" s="146" t="s">
        <v>197</v>
      </c>
      <c r="Y1" s="147" t="s">
        <v>2667</v>
      </c>
      <c r="AA1" s="468" t="s">
        <v>2668</v>
      </c>
      <c r="AB1" s="468" t="s">
        <v>2669</v>
      </c>
      <c r="AC1" s="468" t="s">
        <v>2670</v>
      </c>
    </row>
    <row r="2" spans="1:29" ht="13.5" thickTop="1">
      <c r="A2" s="290">
        <v>7001</v>
      </c>
      <c r="B2" s="23" t="str">
        <f t="shared" ref="B2:B65" si="0">D2&amp;"_"&amp;E2&amp;"_"&amp;F2&amp;IF(F2="DC","","kV")&amp;"_"&amp;Z2</f>
        <v>SE-Sul_1500__kV_1</v>
      </c>
      <c r="C2" s="23">
        <v>801</v>
      </c>
      <c r="D2" s="142" t="str">
        <f>VLOOKUP(C2,tab_corredor!$A$2:$B$50,2,0)</f>
        <v>SE-Sul</v>
      </c>
      <c r="E2" s="23">
        <v>1500</v>
      </c>
      <c r="F2" s="23" t="s">
        <v>2671</v>
      </c>
      <c r="G2" s="23">
        <v>1500</v>
      </c>
      <c r="H2" s="23">
        <v>1500</v>
      </c>
      <c r="I2" s="394">
        <v>5.0000000000000004E-6</v>
      </c>
      <c r="J2" s="394">
        <v>5.0000000000000004E-6</v>
      </c>
      <c r="K2" s="290">
        <v>1</v>
      </c>
      <c r="L2" s="291" t="s">
        <v>2619</v>
      </c>
      <c r="M2" s="23">
        <v>2015</v>
      </c>
      <c r="N2" s="23">
        <v>2100</v>
      </c>
      <c r="O2" s="292">
        <v>25</v>
      </c>
      <c r="P2" s="293">
        <v>1200</v>
      </c>
      <c r="Q2" s="294">
        <v>1</v>
      </c>
      <c r="R2" s="23"/>
      <c r="S2" s="148">
        <f>P2+R2</f>
        <v>1200</v>
      </c>
      <c r="T2" s="148">
        <f ca="1">IF(S2=0,"",S2*(OFFSET(cod_desembolso!$A$1,Q2,23)))</f>
        <v>1247.0765814495917</v>
      </c>
      <c r="U2" s="149">
        <f>(constantes!$B$3*(1+constantes!$B$3)^(O2))/((1+constantes!$B$3)^(O2)-1)</f>
        <v>9.3678779051968114E-2</v>
      </c>
      <c r="V2" s="148">
        <f t="shared" ref="V2:V65" ca="1" si="1">IF(S2=0,"",T2*U2)</f>
        <v>116.82461153450002</v>
      </c>
      <c r="W2" s="148">
        <f ca="1">(IF(S2=0,"",V2/constantes!$B$3))*1</f>
        <v>1460.3076441812502</v>
      </c>
      <c r="X2" s="150">
        <f ca="1">IF(S2=0,"",PV(constantes!$B$3,O2,-V2)*constantes!$B$3)</f>
        <v>99.766126515967343</v>
      </c>
      <c r="Y2" s="85">
        <f>S2/E2*1000</f>
        <v>800</v>
      </c>
      <c r="Z2">
        <v>1</v>
      </c>
    </row>
    <row r="3" spans="1:29">
      <c r="A3" s="290">
        <v>7002</v>
      </c>
      <c r="B3" s="23" t="str">
        <f t="shared" si="0"/>
        <v>SE-Sul_1500__kV_2</v>
      </c>
      <c r="C3" s="23">
        <v>801</v>
      </c>
      <c r="D3" s="142" t="str">
        <f>VLOOKUP(C3,tab_corredor!$A$2:$B$50,2,0)</f>
        <v>SE-Sul</v>
      </c>
      <c r="E3" s="23">
        <v>1500</v>
      </c>
      <c r="F3" s="23" t="s">
        <v>2671</v>
      </c>
      <c r="G3" s="23">
        <v>1500</v>
      </c>
      <c r="H3" s="23">
        <v>1500</v>
      </c>
      <c r="I3" s="394">
        <v>5.0000000000000004E-6</v>
      </c>
      <c r="J3" s="394">
        <v>5.0000000000000004E-6</v>
      </c>
      <c r="K3" s="290">
        <v>1</v>
      </c>
      <c r="L3" s="291" t="s">
        <v>2619</v>
      </c>
      <c r="M3" s="23">
        <v>2015</v>
      </c>
      <c r="N3" s="23">
        <v>2100</v>
      </c>
      <c r="O3" s="292">
        <v>25</v>
      </c>
      <c r="P3" s="293">
        <v>1200</v>
      </c>
      <c r="Q3" s="294">
        <v>1</v>
      </c>
      <c r="R3" s="23"/>
      <c r="S3" s="148">
        <f t="shared" ref="S3:S65" si="2">P3+R3</f>
        <v>1200</v>
      </c>
      <c r="T3" s="148">
        <f ca="1">IF(S3=0,"",S3*(OFFSET(cod_desembolso!$A$1,Q3,23)))</f>
        <v>1247.0765814495917</v>
      </c>
      <c r="U3" s="149">
        <f>(constantes!$B$3*(1+constantes!$B$3)^(O3))/((1+constantes!$B$3)^(O3)-1)</f>
        <v>9.3678779051968114E-2</v>
      </c>
      <c r="V3" s="148">
        <f t="shared" ca="1" si="1"/>
        <v>116.82461153450002</v>
      </c>
      <c r="W3" s="148">
        <f ca="1">(IF(S3=0,"",V3/constantes!$B$3))*1</f>
        <v>1460.3076441812502</v>
      </c>
      <c r="X3" s="150">
        <f ca="1">IF(S3=0,"",PV(constantes!$B$3,O3,-V3)*constantes!$B$3)</f>
        <v>99.766126515967343</v>
      </c>
      <c r="Y3" s="85">
        <f t="shared" ref="Y3:Y65" si="3">S3/E3*1000</f>
        <v>800</v>
      </c>
      <c r="Z3">
        <v>2</v>
      </c>
    </row>
    <row r="4" spans="1:29">
      <c r="A4" s="290">
        <v>7003</v>
      </c>
      <c r="B4" s="23" t="str">
        <f t="shared" si="0"/>
        <v>SE-Sul_1500__kV_3</v>
      </c>
      <c r="C4" s="23">
        <v>801</v>
      </c>
      <c r="D4" s="142" t="str">
        <f>VLOOKUP(C4,tab_corredor!$A$2:$B$50,2,0)</f>
        <v>SE-Sul</v>
      </c>
      <c r="E4" s="23">
        <v>1500</v>
      </c>
      <c r="F4" s="23" t="s">
        <v>2671</v>
      </c>
      <c r="G4" s="23">
        <v>1500</v>
      </c>
      <c r="H4" s="23">
        <v>1500</v>
      </c>
      <c r="I4" s="394">
        <v>5.0000000000000004E-6</v>
      </c>
      <c r="J4" s="394">
        <v>5.0000000000000004E-6</v>
      </c>
      <c r="K4" s="290">
        <v>1</v>
      </c>
      <c r="L4" s="291" t="s">
        <v>2619</v>
      </c>
      <c r="M4" s="23">
        <v>2015</v>
      </c>
      <c r="N4" s="23">
        <v>2100</v>
      </c>
      <c r="O4" s="292">
        <v>25</v>
      </c>
      <c r="P4" s="293">
        <v>1200</v>
      </c>
      <c r="Q4" s="294">
        <v>1</v>
      </c>
      <c r="R4" s="23"/>
      <c r="S4" s="148">
        <f t="shared" si="2"/>
        <v>1200</v>
      </c>
      <c r="T4" s="148">
        <f ca="1">IF(S4=0,"",S4*(OFFSET(cod_desembolso!$A$1,Q4,23)))</f>
        <v>1247.0765814495917</v>
      </c>
      <c r="U4" s="149">
        <f>(constantes!$B$3*(1+constantes!$B$3)^(O4))/((1+constantes!$B$3)^(O4)-1)</f>
        <v>9.3678779051968114E-2</v>
      </c>
      <c r="V4" s="148">
        <f t="shared" ca="1" si="1"/>
        <v>116.82461153450002</v>
      </c>
      <c r="W4" s="148">
        <f ca="1">(IF(S4=0,"",V4/constantes!$B$3))*1</f>
        <v>1460.3076441812502</v>
      </c>
      <c r="X4" s="150">
        <f ca="1">IF(S4=0,"",PV(constantes!$B$3,O4,-V4)*constantes!$B$3)</f>
        <v>99.766126515967343</v>
      </c>
      <c r="Y4" s="85">
        <f t="shared" si="3"/>
        <v>800</v>
      </c>
      <c r="Z4">
        <v>3</v>
      </c>
    </row>
    <row r="5" spans="1:29">
      <c r="A5" s="290">
        <v>7004</v>
      </c>
      <c r="B5" s="23" t="str">
        <f t="shared" si="0"/>
        <v>SE-Sul_1500__kV_4</v>
      </c>
      <c r="C5" s="23">
        <v>801</v>
      </c>
      <c r="D5" s="142" t="str">
        <f>VLOOKUP(C5,tab_corredor!$A$2:$B$50,2,0)</f>
        <v>SE-Sul</v>
      </c>
      <c r="E5" s="23">
        <v>1500</v>
      </c>
      <c r="F5" s="23" t="s">
        <v>2671</v>
      </c>
      <c r="G5" s="23">
        <v>1500</v>
      </c>
      <c r="H5" s="23">
        <v>1500</v>
      </c>
      <c r="I5" s="394">
        <v>5.0000000000000004E-6</v>
      </c>
      <c r="J5" s="394">
        <v>5.0000000000000004E-6</v>
      </c>
      <c r="K5" s="290">
        <v>1</v>
      </c>
      <c r="L5" s="291" t="s">
        <v>2619</v>
      </c>
      <c r="M5" s="23">
        <v>2015</v>
      </c>
      <c r="N5" s="23">
        <v>2100</v>
      </c>
      <c r="O5" s="292">
        <v>25</v>
      </c>
      <c r="P5" s="293">
        <v>1200</v>
      </c>
      <c r="Q5" s="294">
        <v>1</v>
      </c>
      <c r="R5" s="23"/>
      <c r="S5" s="148">
        <f t="shared" si="2"/>
        <v>1200</v>
      </c>
      <c r="T5" s="148">
        <f ca="1">IF(S5=0,"",S5*(OFFSET(cod_desembolso!$A$1,Q5,23)))</f>
        <v>1247.0765814495917</v>
      </c>
      <c r="U5" s="149">
        <f>(constantes!$B$3*(1+constantes!$B$3)^(O5))/((1+constantes!$B$3)^(O5)-1)</f>
        <v>9.3678779051968114E-2</v>
      </c>
      <c r="V5" s="148">
        <f t="shared" ca="1" si="1"/>
        <v>116.82461153450002</v>
      </c>
      <c r="W5" s="148">
        <f ca="1">(IF(S5=0,"",V5/constantes!$B$3))*1</f>
        <v>1460.3076441812502</v>
      </c>
      <c r="X5" s="150">
        <f ca="1">IF(S5=0,"",PV(constantes!$B$3,O5,-V5)*constantes!$B$3)</f>
        <v>99.766126515967343</v>
      </c>
      <c r="Y5" s="85">
        <f t="shared" si="3"/>
        <v>800</v>
      </c>
      <c r="Z5">
        <v>4</v>
      </c>
    </row>
    <row r="6" spans="1:29">
      <c r="A6" s="290">
        <v>7005</v>
      </c>
      <c r="B6" s="23" t="str">
        <f t="shared" si="0"/>
        <v>SE-Sul_1500__kV_5</v>
      </c>
      <c r="C6" s="23">
        <v>801</v>
      </c>
      <c r="D6" s="142" t="str">
        <f>VLOOKUP(C6,tab_corredor!$A$2:$B$50,2,0)</f>
        <v>SE-Sul</v>
      </c>
      <c r="E6" s="23">
        <v>1500</v>
      </c>
      <c r="F6" s="23" t="s">
        <v>2671</v>
      </c>
      <c r="G6" s="23">
        <v>1500</v>
      </c>
      <c r="H6" s="23">
        <v>1500</v>
      </c>
      <c r="I6" s="394">
        <v>5.0000000000000004E-6</v>
      </c>
      <c r="J6" s="394">
        <v>5.0000000000000004E-6</v>
      </c>
      <c r="K6" s="290">
        <v>1</v>
      </c>
      <c r="L6" s="291" t="s">
        <v>2619</v>
      </c>
      <c r="M6" s="23">
        <v>2015</v>
      </c>
      <c r="N6" s="23">
        <v>2100</v>
      </c>
      <c r="O6" s="292">
        <v>25</v>
      </c>
      <c r="P6" s="293">
        <v>1200</v>
      </c>
      <c r="Q6" s="294">
        <v>1</v>
      </c>
      <c r="R6" s="23"/>
      <c r="S6" s="148">
        <f t="shared" si="2"/>
        <v>1200</v>
      </c>
      <c r="T6" s="148">
        <f ca="1">IF(S6=0,"",S6*(OFFSET(cod_desembolso!$A$1,Q6,23)))</f>
        <v>1247.0765814495917</v>
      </c>
      <c r="U6" s="149">
        <f>(constantes!$B$3*(1+constantes!$B$3)^(O6))/((1+constantes!$B$3)^(O6)-1)</f>
        <v>9.3678779051968114E-2</v>
      </c>
      <c r="V6" s="148">
        <f t="shared" ca="1" si="1"/>
        <v>116.82461153450002</v>
      </c>
      <c r="W6" s="148">
        <f ca="1">(IF(S6=0,"",V6/constantes!$B$3))*1</f>
        <v>1460.3076441812502</v>
      </c>
      <c r="X6" s="150">
        <f ca="1">IF(S6=0,"",PV(constantes!$B$3,O6,-V6)*constantes!$B$3)</f>
        <v>99.766126515967343</v>
      </c>
      <c r="Y6" s="85">
        <f t="shared" si="3"/>
        <v>800</v>
      </c>
      <c r="Z6">
        <v>5</v>
      </c>
    </row>
    <row r="7" spans="1:29">
      <c r="A7" s="290">
        <v>7006</v>
      </c>
      <c r="B7" s="23" t="str">
        <f t="shared" si="0"/>
        <v>SE-Sul_1500__kV_6</v>
      </c>
      <c r="C7" s="23">
        <v>801</v>
      </c>
      <c r="D7" s="142" t="str">
        <f>VLOOKUP(C7,tab_corredor!$A$2:$B$50,2,0)</f>
        <v>SE-Sul</v>
      </c>
      <c r="E7" s="23">
        <v>1500</v>
      </c>
      <c r="F7" s="23" t="s">
        <v>2671</v>
      </c>
      <c r="G7" s="23">
        <v>1500</v>
      </c>
      <c r="H7" s="23">
        <v>1500</v>
      </c>
      <c r="I7" s="394">
        <v>5.0000000000000004E-6</v>
      </c>
      <c r="J7" s="394">
        <v>5.0000000000000004E-6</v>
      </c>
      <c r="K7" s="290">
        <v>1</v>
      </c>
      <c r="L7" s="291" t="s">
        <v>2619</v>
      </c>
      <c r="M7" s="23">
        <v>2015</v>
      </c>
      <c r="N7" s="23">
        <v>2100</v>
      </c>
      <c r="O7" s="292">
        <v>25</v>
      </c>
      <c r="P7" s="293">
        <v>1200</v>
      </c>
      <c r="Q7" s="294">
        <v>1</v>
      </c>
      <c r="R7" s="23"/>
      <c r="S7" s="148">
        <f t="shared" si="2"/>
        <v>1200</v>
      </c>
      <c r="T7" s="148">
        <f ca="1">IF(S7=0,"",S7*(OFFSET(cod_desembolso!$A$1,Q7,23)))</f>
        <v>1247.0765814495917</v>
      </c>
      <c r="U7" s="149">
        <f>(constantes!$B$3*(1+constantes!$B$3)^(O7))/((1+constantes!$B$3)^(O7)-1)</f>
        <v>9.3678779051968114E-2</v>
      </c>
      <c r="V7" s="148">
        <f t="shared" ca="1" si="1"/>
        <v>116.82461153450002</v>
      </c>
      <c r="W7" s="148">
        <f ca="1">(IF(S7=0,"",V7/constantes!$B$3))*1</f>
        <v>1460.3076441812502</v>
      </c>
      <c r="X7" s="150">
        <f ca="1">IF(S7=0,"",PV(constantes!$B$3,O7,-V7)*constantes!$B$3)</f>
        <v>99.766126515967343</v>
      </c>
      <c r="Y7" s="85">
        <f t="shared" si="3"/>
        <v>800</v>
      </c>
      <c r="Z7">
        <v>6</v>
      </c>
    </row>
    <row r="8" spans="1:29">
      <c r="A8" s="290">
        <v>7007</v>
      </c>
      <c r="B8" s="23" t="str">
        <f t="shared" si="0"/>
        <v>SE-Sul_1500__kV_7</v>
      </c>
      <c r="C8" s="23">
        <v>801</v>
      </c>
      <c r="D8" s="142" t="str">
        <f>VLOOKUP(C8,tab_corredor!$A$2:$B$50,2,0)</f>
        <v>SE-Sul</v>
      </c>
      <c r="E8" s="23">
        <v>1500</v>
      </c>
      <c r="F8" s="23" t="s">
        <v>2671</v>
      </c>
      <c r="G8" s="23">
        <v>1500</v>
      </c>
      <c r="H8" s="23">
        <v>1500</v>
      </c>
      <c r="I8" s="394">
        <v>5.0000000000000004E-6</v>
      </c>
      <c r="J8" s="394">
        <v>5.0000000000000004E-6</v>
      </c>
      <c r="K8" s="290">
        <v>1</v>
      </c>
      <c r="L8" s="291" t="s">
        <v>2619</v>
      </c>
      <c r="M8" s="23">
        <v>2015</v>
      </c>
      <c r="N8" s="23">
        <v>2100</v>
      </c>
      <c r="O8" s="292">
        <v>25</v>
      </c>
      <c r="P8" s="293">
        <v>1200</v>
      </c>
      <c r="Q8" s="294">
        <v>1</v>
      </c>
      <c r="R8" s="23"/>
      <c r="S8" s="148">
        <f t="shared" si="2"/>
        <v>1200</v>
      </c>
      <c r="T8" s="148">
        <f ca="1">IF(S8=0,"",S8*(OFFSET(cod_desembolso!$A$1,Q8,23)))</f>
        <v>1247.0765814495917</v>
      </c>
      <c r="U8" s="149">
        <f>(constantes!$B$3*(1+constantes!$B$3)^(O8))/((1+constantes!$B$3)^(O8)-1)</f>
        <v>9.3678779051968114E-2</v>
      </c>
      <c r="V8" s="148">
        <f t="shared" ca="1" si="1"/>
        <v>116.82461153450002</v>
      </c>
      <c r="W8" s="148">
        <f ca="1">(IF(S8=0,"",V8/constantes!$B$3))*1</f>
        <v>1460.3076441812502</v>
      </c>
      <c r="X8" s="150">
        <f ca="1">IF(S8=0,"",PV(constantes!$B$3,O8,-V8)*constantes!$B$3)</f>
        <v>99.766126515967343</v>
      </c>
      <c r="Y8" s="85">
        <f t="shared" si="3"/>
        <v>800</v>
      </c>
      <c r="Z8">
        <v>7</v>
      </c>
    </row>
    <row r="9" spans="1:29">
      <c r="A9" s="290">
        <v>7008</v>
      </c>
      <c r="B9" s="23" t="str">
        <f t="shared" si="0"/>
        <v>SE-Sul_1500__kV_8</v>
      </c>
      <c r="C9" s="23">
        <v>801</v>
      </c>
      <c r="D9" s="142" t="str">
        <f>VLOOKUP(C9,tab_corredor!$A$2:$B$50,2,0)</f>
        <v>SE-Sul</v>
      </c>
      <c r="E9" s="23">
        <v>1500</v>
      </c>
      <c r="F9" s="23" t="s">
        <v>2671</v>
      </c>
      <c r="G9" s="23">
        <v>1500</v>
      </c>
      <c r="H9" s="23">
        <v>1500</v>
      </c>
      <c r="I9" s="394">
        <v>5.0000000000000004E-6</v>
      </c>
      <c r="J9" s="394">
        <v>5.0000000000000004E-6</v>
      </c>
      <c r="K9" s="290">
        <v>1</v>
      </c>
      <c r="L9" s="291" t="s">
        <v>2619</v>
      </c>
      <c r="M9" s="23">
        <v>2015</v>
      </c>
      <c r="N9" s="23">
        <v>2100</v>
      </c>
      <c r="O9" s="292">
        <v>25</v>
      </c>
      <c r="P9" s="293">
        <v>1200</v>
      </c>
      <c r="Q9" s="294">
        <v>1</v>
      </c>
      <c r="R9" s="23"/>
      <c r="S9" s="148">
        <f t="shared" si="2"/>
        <v>1200</v>
      </c>
      <c r="T9" s="148">
        <f ca="1">IF(S9=0,"",S9*(OFFSET(cod_desembolso!$A$1,Q9,23)))</f>
        <v>1247.0765814495917</v>
      </c>
      <c r="U9" s="149">
        <f>(constantes!$B$3*(1+constantes!$B$3)^(O9))/((1+constantes!$B$3)^(O9)-1)</f>
        <v>9.3678779051968114E-2</v>
      </c>
      <c r="V9" s="148">
        <f t="shared" ca="1" si="1"/>
        <v>116.82461153450002</v>
      </c>
      <c r="W9" s="148">
        <f ca="1">(IF(S9=0,"",V9/constantes!$B$3))*1</f>
        <v>1460.3076441812502</v>
      </c>
      <c r="X9" s="150">
        <f ca="1">IF(S9=0,"",PV(constantes!$B$3,O9,-V9)*constantes!$B$3)</f>
        <v>99.766126515967343</v>
      </c>
      <c r="Y9" s="85">
        <f t="shared" si="3"/>
        <v>800</v>
      </c>
      <c r="Z9">
        <v>8</v>
      </c>
    </row>
    <row r="10" spans="1:29">
      <c r="A10" s="290">
        <v>7009</v>
      </c>
      <c r="B10" s="23" t="str">
        <f t="shared" si="0"/>
        <v>SE-Sul_1500__kV_9</v>
      </c>
      <c r="C10" s="23">
        <v>801</v>
      </c>
      <c r="D10" s="142" t="str">
        <f>VLOOKUP(C10,tab_corredor!$A$2:$B$50,2,0)</f>
        <v>SE-Sul</v>
      </c>
      <c r="E10" s="23">
        <v>1500</v>
      </c>
      <c r="F10" s="23" t="s">
        <v>2671</v>
      </c>
      <c r="G10" s="23">
        <v>1500</v>
      </c>
      <c r="H10" s="23">
        <v>1500</v>
      </c>
      <c r="I10" s="394">
        <v>5.0000000000000004E-6</v>
      </c>
      <c r="J10" s="394">
        <v>5.0000000000000004E-6</v>
      </c>
      <c r="K10" s="290">
        <v>1</v>
      </c>
      <c r="L10" s="291" t="s">
        <v>2619</v>
      </c>
      <c r="M10" s="23">
        <v>2015</v>
      </c>
      <c r="N10" s="23">
        <v>2100</v>
      </c>
      <c r="O10" s="292">
        <v>25</v>
      </c>
      <c r="P10" s="293">
        <v>1200</v>
      </c>
      <c r="Q10" s="294">
        <v>1</v>
      </c>
      <c r="R10" s="23"/>
      <c r="S10" s="148">
        <f t="shared" si="2"/>
        <v>1200</v>
      </c>
      <c r="T10" s="148">
        <f ca="1">IF(S10=0,"",S10*(OFFSET(cod_desembolso!$A$1,Q10,23)))</f>
        <v>1247.0765814495917</v>
      </c>
      <c r="U10" s="149">
        <f>(constantes!$B$3*(1+constantes!$B$3)^(O10))/((1+constantes!$B$3)^(O10)-1)</f>
        <v>9.3678779051968114E-2</v>
      </c>
      <c r="V10" s="148">
        <f t="shared" ca="1" si="1"/>
        <v>116.82461153450002</v>
      </c>
      <c r="W10" s="148">
        <f ca="1">(IF(S10=0,"",V10/constantes!$B$3))*1</f>
        <v>1460.3076441812502</v>
      </c>
      <c r="X10" s="150">
        <f ca="1">IF(S10=0,"",PV(constantes!$B$3,O10,-V10)*constantes!$B$3)</f>
        <v>99.766126515967343</v>
      </c>
      <c r="Y10" s="85">
        <f t="shared" si="3"/>
        <v>800</v>
      </c>
      <c r="Z10">
        <v>9</v>
      </c>
    </row>
    <row r="11" spans="1:29">
      <c r="A11" s="290">
        <v>7010</v>
      </c>
      <c r="B11" s="23" t="str">
        <f t="shared" si="0"/>
        <v>SE-Sul_1500__kV_10</v>
      </c>
      <c r="C11" s="23">
        <v>801</v>
      </c>
      <c r="D11" s="142" t="str">
        <f>VLOOKUP(C11,tab_corredor!$A$2:$B$50,2,0)</f>
        <v>SE-Sul</v>
      </c>
      <c r="E11" s="23">
        <v>1500</v>
      </c>
      <c r="F11" s="23" t="s">
        <v>2671</v>
      </c>
      <c r="G11" s="23">
        <v>1500</v>
      </c>
      <c r="H11" s="23">
        <v>1500</v>
      </c>
      <c r="I11" s="394">
        <v>5.0000000000000004E-6</v>
      </c>
      <c r="J11" s="394">
        <v>5.0000000000000004E-6</v>
      </c>
      <c r="K11" s="290">
        <v>1</v>
      </c>
      <c r="L11" s="291" t="s">
        <v>2619</v>
      </c>
      <c r="M11" s="23">
        <v>2015</v>
      </c>
      <c r="N11" s="23">
        <v>2100</v>
      </c>
      <c r="O11" s="292">
        <v>25</v>
      </c>
      <c r="P11" s="293">
        <v>1200</v>
      </c>
      <c r="Q11" s="294">
        <v>1</v>
      </c>
      <c r="R11" s="23"/>
      <c r="S11" s="148">
        <f t="shared" si="2"/>
        <v>1200</v>
      </c>
      <c r="T11" s="148">
        <f ca="1">IF(S11=0,"",S11*(OFFSET(cod_desembolso!$A$1,Q11,23)))</f>
        <v>1247.0765814495917</v>
      </c>
      <c r="U11" s="149">
        <f>(constantes!$B$3*(1+constantes!$B$3)^(O11))/((1+constantes!$B$3)^(O11)-1)</f>
        <v>9.3678779051968114E-2</v>
      </c>
      <c r="V11" s="148">
        <f t="shared" ca="1" si="1"/>
        <v>116.82461153450002</v>
      </c>
      <c r="W11" s="148">
        <f ca="1">(IF(S11=0,"",V11/constantes!$B$3))*1</f>
        <v>1460.3076441812502</v>
      </c>
      <c r="X11" s="150">
        <f ca="1">IF(S11=0,"",PV(constantes!$B$3,O11,-V11)*constantes!$B$3)</f>
        <v>99.766126515967343</v>
      </c>
      <c r="Y11" s="85">
        <f t="shared" si="3"/>
        <v>800</v>
      </c>
      <c r="Z11">
        <v>10</v>
      </c>
    </row>
    <row r="12" spans="1:29">
      <c r="A12" s="290">
        <v>7011</v>
      </c>
      <c r="B12" s="23" t="str">
        <f t="shared" si="0"/>
        <v>SE-Sul_1500__kV_11</v>
      </c>
      <c r="C12" s="23">
        <v>801</v>
      </c>
      <c r="D12" s="142" t="str">
        <f>VLOOKUP(C12,tab_corredor!$A$2:$B$50,2,0)</f>
        <v>SE-Sul</v>
      </c>
      <c r="E12" s="23">
        <v>1500</v>
      </c>
      <c r="F12" s="23" t="s">
        <v>2671</v>
      </c>
      <c r="G12" s="23">
        <v>1500</v>
      </c>
      <c r="H12" s="23">
        <v>1500</v>
      </c>
      <c r="I12" s="394">
        <v>5.0000000000000004E-6</v>
      </c>
      <c r="J12" s="394">
        <v>5.0000000000000004E-6</v>
      </c>
      <c r="K12" s="290">
        <v>1</v>
      </c>
      <c r="L12" s="291" t="s">
        <v>2619</v>
      </c>
      <c r="M12" s="23">
        <v>2015</v>
      </c>
      <c r="N12" s="23">
        <v>2100</v>
      </c>
      <c r="O12" s="292">
        <v>25</v>
      </c>
      <c r="P12" s="293">
        <v>1200</v>
      </c>
      <c r="Q12" s="294">
        <v>1</v>
      </c>
      <c r="R12" s="23"/>
      <c r="S12" s="148">
        <f t="shared" si="2"/>
        <v>1200</v>
      </c>
      <c r="T12" s="148">
        <f ca="1">IF(S12=0,"",S12*(OFFSET(cod_desembolso!$A$1,Q12,23)))</f>
        <v>1247.0765814495917</v>
      </c>
      <c r="U12" s="149">
        <f>(constantes!$B$3*(1+constantes!$B$3)^(O12))/((1+constantes!$B$3)^(O12)-1)</f>
        <v>9.3678779051968114E-2</v>
      </c>
      <c r="V12" s="148">
        <f t="shared" ca="1" si="1"/>
        <v>116.82461153450002</v>
      </c>
      <c r="W12" s="148">
        <f ca="1">(IF(S12=0,"",V12/constantes!$B$3))*1</f>
        <v>1460.3076441812502</v>
      </c>
      <c r="X12" s="150">
        <f ca="1">IF(S12=0,"",PV(constantes!$B$3,O12,-V12)*constantes!$B$3)</f>
        <v>99.766126515967343</v>
      </c>
      <c r="Y12" s="85">
        <f t="shared" si="3"/>
        <v>800</v>
      </c>
      <c r="Z12">
        <v>11</v>
      </c>
    </row>
    <row r="13" spans="1:29">
      <c r="A13" s="290">
        <v>7012</v>
      </c>
      <c r="B13" s="23" t="str">
        <f t="shared" si="0"/>
        <v>SE-Sul_1500__kV_12</v>
      </c>
      <c r="C13" s="23">
        <v>801</v>
      </c>
      <c r="D13" s="142" t="str">
        <f>VLOOKUP(C13,tab_corredor!$A$2:$B$50,2,0)</f>
        <v>SE-Sul</v>
      </c>
      <c r="E13" s="23">
        <v>1500</v>
      </c>
      <c r="F13" s="23" t="s">
        <v>2671</v>
      </c>
      <c r="G13" s="23">
        <v>1500</v>
      </c>
      <c r="H13" s="23">
        <v>1500</v>
      </c>
      <c r="I13" s="394">
        <v>5.0000000000000004E-6</v>
      </c>
      <c r="J13" s="394">
        <v>5.0000000000000004E-6</v>
      </c>
      <c r="K13" s="290">
        <v>1</v>
      </c>
      <c r="L13" s="291" t="s">
        <v>2619</v>
      </c>
      <c r="M13" s="23">
        <v>2015</v>
      </c>
      <c r="N13" s="23">
        <v>2100</v>
      </c>
      <c r="O13" s="292">
        <v>25</v>
      </c>
      <c r="P13" s="293">
        <v>1200</v>
      </c>
      <c r="Q13" s="294">
        <v>1</v>
      </c>
      <c r="R13" s="23"/>
      <c r="S13" s="148">
        <f t="shared" si="2"/>
        <v>1200</v>
      </c>
      <c r="T13" s="148">
        <f ca="1">IF(S13=0,"",S13*(OFFSET(cod_desembolso!$A$1,Q13,23)))</f>
        <v>1247.0765814495917</v>
      </c>
      <c r="U13" s="149">
        <f>(constantes!$B$3*(1+constantes!$B$3)^(O13))/((1+constantes!$B$3)^(O13)-1)</f>
        <v>9.3678779051968114E-2</v>
      </c>
      <c r="V13" s="148">
        <f t="shared" ca="1" si="1"/>
        <v>116.82461153450002</v>
      </c>
      <c r="W13" s="148">
        <f ca="1">(IF(S13=0,"",V13/constantes!$B$3))*1</f>
        <v>1460.3076441812502</v>
      </c>
      <c r="X13" s="150">
        <f ca="1">IF(S13=0,"",PV(constantes!$B$3,O13,-V13)*constantes!$B$3)</f>
        <v>99.766126515967343</v>
      </c>
      <c r="Y13" s="85">
        <f t="shared" si="3"/>
        <v>800</v>
      </c>
      <c r="Z13">
        <v>12</v>
      </c>
    </row>
    <row r="14" spans="1:29">
      <c r="A14" s="290">
        <v>7013</v>
      </c>
      <c r="B14" s="23" t="str">
        <f t="shared" si="0"/>
        <v>SE-NE_1500__kV_13</v>
      </c>
      <c r="C14" s="23">
        <v>802</v>
      </c>
      <c r="D14" s="142" t="str">
        <f>VLOOKUP(C14,tab_corredor!$A$2:$B$50,2,0)</f>
        <v>SE-NE</v>
      </c>
      <c r="E14" s="23">
        <v>1500</v>
      </c>
      <c r="F14" s="23" t="s">
        <v>2671</v>
      </c>
      <c r="G14" s="23">
        <v>1500</v>
      </c>
      <c r="H14" s="23">
        <v>1500</v>
      </c>
      <c r="I14" s="394">
        <v>5.0000000000000004E-6</v>
      </c>
      <c r="J14" s="394">
        <v>5.0000000000000004E-6</v>
      </c>
      <c r="K14" s="290">
        <v>1</v>
      </c>
      <c r="L14" s="291" t="s">
        <v>2619</v>
      </c>
      <c r="M14" s="23">
        <v>2015</v>
      </c>
      <c r="N14" s="23">
        <v>2100</v>
      </c>
      <c r="O14" s="292">
        <v>25</v>
      </c>
      <c r="P14" s="293">
        <v>2100</v>
      </c>
      <c r="Q14" s="294">
        <v>1</v>
      </c>
      <c r="R14" s="23"/>
      <c r="S14" s="148">
        <f t="shared" si="2"/>
        <v>2100</v>
      </c>
      <c r="T14" s="148">
        <f ca="1">IF(S14=0,"",S14*(OFFSET(cod_desembolso!$A$1,Q14,23)))</f>
        <v>2182.3840175367854</v>
      </c>
      <c r="U14" s="149">
        <f>(constantes!$B$3*(1+constantes!$B$3)^(O14))/((1+constantes!$B$3)^(O14)-1)</f>
        <v>9.3678779051968114E-2</v>
      </c>
      <c r="V14" s="148">
        <f t="shared" ca="1" si="1"/>
        <v>204.44307018537503</v>
      </c>
      <c r="W14" s="148">
        <f ca="1">(IF(S14=0,"",V14/constantes!$B$3))*1</f>
        <v>2555.538377317188</v>
      </c>
      <c r="X14" s="150">
        <f ca="1">IF(S14=0,"",PV(constantes!$B$3,O14,-V14)*constantes!$B$3)</f>
        <v>174.59072140294285</v>
      </c>
      <c r="Y14" s="85">
        <f t="shared" si="3"/>
        <v>1400</v>
      </c>
      <c r="Z14">
        <v>13</v>
      </c>
    </row>
    <row r="15" spans="1:29">
      <c r="A15" s="290">
        <v>7014</v>
      </c>
      <c r="B15" s="23" t="str">
        <f t="shared" si="0"/>
        <v>SE-NE_1500__kV_14</v>
      </c>
      <c r="C15" s="23">
        <v>802</v>
      </c>
      <c r="D15" s="142" t="str">
        <f>VLOOKUP(C15,tab_corredor!$A$2:$B$50,2,0)</f>
        <v>SE-NE</v>
      </c>
      <c r="E15" s="23">
        <v>1500</v>
      </c>
      <c r="F15" s="23" t="s">
        <v>2671</v>
      </c>
      <c r="G15" s="23">
        <v>1500</v>
      </c>
      <c r="H15" s="23">
        <v>1500</v>
      </c>
      <c r="I15" s="394">
        <v>5.0000000000000004E-6</v>
      </c>
      <c r="J15" s="394">
        <v>5.0000000000000004E-6</v>
      </c>
      <c r="K15" s="290">
        <v>1</v>
      </c>
      <c r="L15" s="291" t="s">
        <v>2619</v>
      </c>
      <c r="M15" s="23">
        <v>2015</v>
      </c>
      <c r="N15" s="23">
        <v>2100</v>
      </c>
      <c r="O15" s="292">
        <v>25</v>
      </c>
      <c r="P15" s="293">
        <v>2100</v>
      </c>
      <c r="Q15" s="294">
        <v>1</v>
      </c>
      <c r="R15" s="23"/>
      <c r="S15" s="148">
        <f t="shared" si="2"/>
        <v>2100</v>
      </c>
      <c r="T15" s="148">
        <f ca="1">IF(S15=0,"",S15*(OFFSET(cod_desembolso!$A$1,Q15,23)))</f>
        <v>2182.3840175367854</v>
      </c>
      <c r="U15" s="149">
        <f>(constantes!$B$3*(1+constantes!$B$3)^(O15))/((1+constantes!$B$3)^(O15)-1)</f>
        <v>9.3678779051968114E-2</v>
      </c>
      <c r="V15" s="148">
        <f t="shared" ca="1" si="1"/>
        <v>204.44307018537503</v>
      </c>
      <c r="W15" s="148">
        <f ca="1">(IF(S15=0,"",V15/constantes!$B$3))*1</f>
        <v>2555.538377317188</v>
      </c>
      <c r="X15" s="150">
        <f ca="1">IF(S15=0,"",PV(constantes!$B$3,O15,-V15)*constantes!$B$3)</f>
        <v>174.59072140294285</v>
      </c>
      <c r="Y15" s="85">
        <f t="shared" si="3"/>
        <v>1400</v>
      </c>
      <c r="Z15">
        <v>14</v>
      </c>
    </row>
    <row r="16" spans="1:29">
      <c r="A16" s="290">
        <v>7015</v>
      </c>
      <c r="B16" s="23" t="str">
        <f t="shared" si="0"/>
        <v>SE-NE_1500__kV_15</v>
      </c>
      <c r="C16" s="23">
        <v>802</v>
      </c>
      <c r="D16" s="142" t="str">
        <f>VLOOKUP(C16,tab_corredor!$A$2:$B$50,2,0)</f>
        <v>SE-NE</v>
      </c>
      <c r="E16" s="23">
        <v>1500</v>
      </c>
      <c r="F16" s="23" t="s">
        <v>2671</v>
      </c>
      <c r="G16" s="23">
        <v>1500</v>
      </c>
      <c r="H16" s="23">
        <v>1500</v>
      </c>
      <c r="I16" s="394">
        <v>5.0000000000000004E-6</v>
      </c>
      <c r="J16" s="394">
        <v>5.0000000000000004E-6</v>
      </c>
      <c r="K16" s="290">
        <v>1</v>
      </c>
      <c r="L16" s="291" t="s">
        <v>2619</v>
      </c>
      <c r="M16" s="23">
        <v>2015</v>
      </c>
      <c r="N16" s="23">
        <v>2100</v>
      </c>
      <c r="O16" s="292">
        <v>25</v>
      </c>
      <c r="P16" s="293">
        <v>2100</v>
      </c>
      <c r="Q16" s="294">
        <v>1</v>
      </c>
      <c r="R16" s="23"/>
      <c r="S16" s="148">
        <f t="shared" si="2"/>
        <v>2100</v>
      </c>
      <c r="T16" s="148">
        <f ca="1">IF(S16=0,"",S16*(OFFSET(cod_desembolso!$A$1,Q16,23)))</f>
        <v>2182.3840175367854</v>
      </c>
      <c r="U16" s="149">
        <f>(constantes!$B$3*(1+constantes!$B$3)^(O16))/((1+constantes!$B$3)^(O16)-1)</f>
        <v>9.3678779051968114E-2</v>
      </c>
      <c r="V16" s="148">
        <f t="shared" ca="1" si="1"/>
        <v>204.44307018537503</v>
      </c>
      <c r="W16" s="148">
        <f ca="1">(IF(S16=0,"",V16/constantes!$B$3))*1</f>
        <v>2555.538377317188</v>
      </c>
      <c r="X16" s="150">
        <f ca="1">IF(S16=0,"",PV(constantes!$B$3,O16,-V16)*constantes!$B$3)</f>
        <v>174.59072140294285</v>
      </c>
      <c r="Y16" s="85">
        <f>S16/E16*1000</f>
        <v>1400</v>
      </c>
      <c r="Z16">
        <v>15</v>
      </c>
    </row>
    <row r="17" spans="1:26">
      <c r="A17" s="290">
        <v>7016</v>
      </c>
      <c r="B17" s="23" t="str">
        <f t="shared" si="0"/>
        <v>SE-NE_1500__kV_16</v>
      </c>
      <c r="C17" s="23">
        <v>802</v>
      </c>
      <c r="D17" s="142" t="str">
        <f>VLOOKUP(C17,tab_corredor!$A$2:$B$50,2,0)</f>
        <v>SE-NE</v>
      </c>
      <c r="E17" s="23">
        <v>1500</v>
      </c>
      <c r="F17" s="23" t="s">
        <v>2671</v>
      </c>
      <c r="G17" s="23">
        <v>1500</v>
      </c>
      <c r="H17" s="23">
        <v>1500</v>
      </c>
      <c r="I17" s="394">
        <v>5.0000000000000004E-6</v>
      </c>
      <c r="J17" s="394">
        <v>5.0000000000000004E-6</v>
      </c>
      <c r="K17" s="290">
        <v>1</v>
      </c>
      <c r="L17" s="291" t="s">
        <v>2619</v>
      </c>
      <c r="M17" s="23">
        <v>2015</v>
      </c>
      <c r="N17" s="23">
        <v>2100</v>
      </c>
      <c r="O17" s="292">
        <v>25</v>
      </c>
      <c r="P17" s="293">
        <v>2100</v>
      </c>
      <c r="Q17" s="294">
        <v>1</v>
      </c>
      <c r="R17" s="23"/>
      <c r="S17" s="148">
        <f t="shared" si="2"/>
        <v>2100</v>
      </c>
      <c r="T17" s="148">
        <f ca="1">IF(S17=0,"",S17*(OFFSET(cod_desembolso!$A$1,Q17,23)))</f>
        <v>2182.3840175367854</v>
      </c>
      <c r="U17" s="149">
        <f>(constantes!$B$3*(1+constantes!$B$3)^(O17))/((1+constantes!$B$3)^(O17)-1)</f>
        <v>9.3678779051968114E-2</v>
      </c>
      <c r="V17" s="148">
        <f t="shared" ca="1" si="1"/>
        <v>204.44307018537503</v>
      </c>
      <c r="W17" s="148">
        <f ca="1">(IF(S17=0,"",V17/constantes!$B$3))*1</f>
        <v>2555.538377317188</v>
      </c>
      <c r="X17" s="150">
        <f ca="1">IF(S17=0,"",PV(constantes!$B$3,O17,-V17)*constantes!$B$3)</f>
        <v>174.59072140294285</v>
      </c>
      <c r="Y17" s="85">
        <f t="shared" si="3"/>
        <v>1400</v>
      </c>
      <c r="Z17">
        <v>16</v>
      </c>
    </row>
    <row r="18" spans="1:26">
      <c r="A18" s="290">
        <v>7017</v>
      </c>
      <c r="B18" s="23" t="str">
        <f t="shared" si="0"/>
        <v>SE-NE_1500__kV_17</v>
      </c>
      <c r="C18" s="23">
        <v>802</v>
      </c>
      <c r="D18" s="142" t="str">
        <f>VLOOKUP(C18,tab_corredor!$A$2:$B$50,2,0)</f>
        <v>SE-NE</v>
      </c>
      <c r="E18" s="23">
        <v>1500</v>
      </c>
      <c r="F18" s="23" t="s">
        <v>2671</v>
      </c>
      <c r="G18" s="23">
        <v>1500</v>
      </c>
      <c r="H18" s="23">
        <v>1500</v>
      </c>
      <c r="I18" s="394">
        <v>5.0000000000000004E-6</v>
      </c>
      <c r="J18" s="394">
        <v>5.0000000000000004E-6</v>
      </c>
      <c r="K18" s="290">
        <v>1</v>
      </c>
      <c r="L18" s="291" t="s">
        <v>2619</v>
      </c>
      <c r="M18" s="23">
        <v>2015</v>
      </c>
      <c r="N18" s="23">
        <v>2100</v>
      </c>
      <c r="O18" s="292">
        <v>25</v>
      </c>
      <c r="P18" s="293">
        <v>2100</v>
      </c>
      <c r="Q18" s="294">
        <v>1</v>
      </c>
      <c r="R18" s="23"/>
      <c r="S18" s="148">
        <f t="shared" si="2"/>
        <v>2100</v>
      </c>
      <c r="T18" s="148">
        <f ca="1">IF(S18=0,"",S18*(OFFSET(cod_desembolso!$A$1,Q18,23)))</f>
        <v>2182.3840175367854</v>
      </c>
      <c r="U18" s="149">
        <f>(constantes!$B$3*(1+constantes!$B$3)^(O18))/((1+constantes!$B$3)^(O18)-1)</f>
        <v>9.3678779051968114E-2</v>
      </c>
      <c r="V18" s="148">
        <f t="shared" ca="1" si="1"/>
        <v>204.44307018537503</v>
      </c>
      <c r="W18" s="148">
        <f ca="1">(IF(S18=0,"",V18/constantes!$B$3))*1</f>
        <v>2555.538377317188</v>
      </c>
      <c r="X18" s="150">
        <f ca="1">IF(S18=0,"",PV(constantes!$B$3,O18,-V18)*constantes!$B$3)</f>
        <v>174.59072140294285</v>
      </c>
      <c r="Y18" s="85">
        <f t="shared" si="3"/>
        <v>1400</v>
      </c>
      <c r="Z18">
        <v>17</v>
      </c>
    </row>
    <row r="19" spans="1:26">
      <c r="A19" s="290">
        <v>7018</v>
      </c>
      <c r="B19" s="23" t="str">
        <f t="shared" si="0"/>
        <v>SE-NE_1500__kV_18</v>
      </c>
      <c r="C19" s="23">
        <v>802</v>
      </c>
      <c r="D19" s="142" t="str">
        <f>VLOOKUP(C19,tab_corredor!$A$2:$B$50,2,0)</f>
        <v>SE-NE</v>
      </c>
      <c r="E19" s="23">
        <v>1500</v>
      </c>
      <c r="F19" s="23" t="s">
        <v>2671</v>
      </c>
      <c r="G19" s="23">
        <v>1500</v>
      </c>
      <c r="H19" s="23">
        <v>1500</v>
      </c>
      <c r="I19" s="394">
        <v>5.0000000000000004E-6</v>
      </c>
      <c r="J19" s="394">
        <v>5.0000000000000004E-6</v>
      </c>
      <c r="K19" s="290">
        <v>1</v>
      </c>
      <c r="L19" s="291" t="s">
        <v>2619</v>
      </c>
      <c r="M19" s="23">
        <v>2015</v>
      </c>
      <c r="N19" s="23">
        <v>2100</v>
      </c>
      <c r="O19" s="292">
        <v>25</v>
      </c>
      <c r="P19" s="293">
        <v>2100</v>
      </c>
      <c r="Q19" s="294">
        <v>1</v>
      </c>
      <c r="R19" s="23"/>
      <c r="S19" s="148">
        <f t="shared" si="2"/>
        <v>2100</v>
      </c>
      <c r="T19" s="148">
        <f ca="1">IF(S19=0,"",S19*(OFFSET(cod_desembolso!$A$1,Q19,23)))</f>
        <v>2182.3840175367854</v>
      </c>
      <c r="U19" s="149">
        <f>(constantes!$B$3*(1+constantes!$B$3)^(O19))/((1+constantes!$B$3)^(O19)-1)</f>
        <v>9.3678779051968114E-2</v>
      </c>
      <c r="V19" s="148">
        <f t="shared" ca="1" si="1"/>
        <v>204.44307018537503</v>
      </c>
      <c r="W19" s="148">
        <f ca="1">(IF(S19=0,"",V19/constantes!$B$3))*1</f>
        <v>2555.538377317188</v>
      </c>
      <c r="X19" s="150">
        <f ca="1">IF(S19=0,"",PV(constantes!$B$3,O19,-V19)*constantes!$B$3)</f>
        <v>174.59072140294285</v>
      </c>
      <c r="Y19" s="85">
        <f t="shared" si="3"/>
        <v>1400</v>
      </c>
      <c r="Z19">
        <v>18</v>
      </c>
    </row>
    <row r="20" spans="1:26">
      <c r="A20" s="290">
        <v>7019</v>
      </c>
      <c r="B20" s="23" t="str">
        <f t="shared" si="0"/>
        <v>SE-NE_1500__kV_19</v>
      </c>
      <c r="C20" s="23">
        <v>802</v>
      </c>
      <c r="D20" s="142" t="str">
        <f>VLOOKUP(C20,tab_corredor!$A$2:$B$50,2,0)</f>
        <v>SE-NE</v>
      </c>
      <c r="E20" s="23">
        <v>1500</v>
      </c>
      <c r="F20" s="23" t="s">
        <v>2671</v>
      </c>
      <c r="G20" s="23">
        <v>1500</v>
      </c>
      <c r="H20" s="23">
        <v>1500</v>
      </c>
      <c r="I20" s="394">
        <v>5.0000000000000004E-6</v>
      </c>
      <c r="J20" s="394">
        <v>5.0000000000000004E-6</v>
      </c>
      <c r="K20" s="290">
        <v>1</v>
      </c>
      <c r="L20" s="291" t="s">
        <v>2619</v>
      </c>
      <c r="M20" s="23">
        <v>2015</v>
      </c>
      <c r="N20" s="23">
        <v>2100</v>
      </c>
      <c r="O20" s="292">
        <v>25</v>
      </c>
      <c r="P20" s="293">
        <v>2100</v>
      </c>
      <c r="Q20" s="294">
        <v>1</v>
      </c>
      <c r="R20" s="23"/>
      <c r="S20" s="148">
        <f t="shared" si="2"/>
        <v>2100</v>
      </c>
      <c r="T20" s="148">
        <f ca="1">IF(S20=0,"",S20*(OFFSET(cod_desembolso!$A$1,Q20,23)))</f>
        <v>2182.3840175367854</v>
      </c>
      <c r="U20" s="149">
        <f>(constantes!$B$3*(1+constantes!$B$3)^(O20))/((1+constantes!$B$3)^(O20)-1)</f>
        <v>9.3678779051968114E-2</v>
      </c>
      <c r="V20" s="148">
        <f t="shared" ca="1" si="1"/>
        <v>204.44307018537503</v>
      </c>
      <c r="W20" s="148">
        <f ca="1">(IF(S20=0,"",V20/constantes!$B$3))*1</f>
        <v>2555.538377317188</v>
      </c>
      <c r="X20" s="150">
        <f ca="1">IF(S20=0,"",PV(constantes!$B$3,O20,-V20)*constantes!$B$3)</f>
        <v>174.59072140294285</v>
      </c>
      <c r="Y20" s="85">
        <f t="shared" si="3"/>
        <v>1400</v>
      </c>
      <c r="Z20">
        <v>19</v>
      </c>
    </row>
    <row r="21" spans="1:26">
      <c r="A21" s="290">
        <v>7020</v>
      </c>
      <c r="B21" s="23" t="str">
        <f t="shared" si="0"/>
        <v>SE-NE_1500__kV_20</v>
      </c>
      <c r="C21" s="23">
        <v>802</v>
      </c>
      <c r="D21" s="142" t="str">
        <f>VLOOKUP(C21,tab_corredor!$A$2:$B$50,2,0)</f>
        <v>SE-NE</v>
      </c>
      <c r="E21" s="23">
        <v>1500</v>
      </c>
      <c r="F21" s="23" t="s">
        <v>2671</v>
      </c>
      <c r="G21" s="23">
        <v>1500</v>
      </c>
      <c r="H21" s="23">
        <v>1500</v>
      </c>
      <c r="I21" s="394">
        <v>5.0000000000000004E-6</v>
      </c>
      <c r="J21" s="394">
        <v>5.0000000000000004E-6</v>
      </c>
      <c r="K21" s="290">
        <v>1</v>
      </c>
      <c r="L21" s="291" t="s">
        <v>2619</v>
      </c>
      <c r="M21" s="23">
        <v>2015</v>
      </c>
      <c r="N21" s="23">
        <v>2100</v>
      </c>
      <c r="O21" s="292">
        <v>25</v>
      </c>
      <c r="P21" s="293">
        <v>2100</v>
      </c>
      <c r="Q21" s="294">
        <v>1</v>
      </c>
      <c r="R21" s="23"/>
      <c r="S21" s="148">
        <f t="shared" si="2"/>
        <v>2100</v>
      </c>
      <c r="T21" s="148">
        <f ca="1">IF(S21=0,"",S21*(OFFSET(cod_desembolso!$A$1,Q21,23)))</f>
        <v>2182.3840175367854</v>
      </c>
      <c r="U21" s="149">
        <f>(constantes!$B$3*(1+constantes!$B$3)^(O21))/((1+constantes!$B$3)^(O21)-1)</f>
        <v>9.3678779051968114E-2</v>
      </c>
      <c r="V21" s="148">
        <f t="shared" ca="1" si="1"/>
        <v>204.44307018537503</v>
      </c>
      <c r="W21" s="148">
        <f ca="1">(IF(S21=0,"",V21/constantes!$B$3))*1</f>
        <v>2555.538377317188</v>
      </c>
      <c r="X21" s="150">
        <f ca="1">IF(S21=0,"",PV(constantes!$B$3,O21,-V21)*constantes!$B$3)</f>
        <v>174.59072140294285</v>
      </c>
      <c r="Y21" s="85">
        <f t="shared" si="3"/>
        <v>1400</v>
      </c>
      <c r="Z21">
        <v>20</v>
      </c>
    </row>
    <row r="22" spans="1:26">
      <c r="A22" s="290">
        <v>7021</v>
      </c>
      <c r="B22" s="23" t="str">
        <f t="shared" si="0"/>
        <v>SE-NE_1500__kV_21</v>
      </c>
      <c r="C22" s="23">
        <v>802</v>
      </c>
      <c r="D22" s="142" t="str">
        <f>VLOOKUP(C22,tab_corredor!$A$2:$B$50,2,0)</f>
        <v>SE-NE</v>
      </c>
      <c r="E22" s="23">
        <v>1500</v>
      </c>
      <c r="F22" s="23" t="s">
        <v>2671</v>
      </c>
      <c r="G22" s="23">
        <v>1500</v>
      </c>
      <c r="H22" s="23">
        <v>1500</v>
      </c>
      <c r="I22" s="394">
        <v>5.0000000000000004E-6</v>
      </c>
      <c r="J22" s="394">
        <v>5.0000000000000004E-6</v>
      </c>
      <c r="K22" s="290">
        <v>1</v>
      </c>
      <c r="L22" s="291" t="s">
        <v>2619</v>
      </c>
      <c r="M22" s="23">
        <v>2015</v>
      </c>
      <c r="N22" s="23">
        <v>2100</v>
      </c>
      <c r="O22" s="292">
        <v>25</v>
      </c>
      <c r="P22" s="293">
        <v>2100</v>
      </c>
      <c r="Q22" s="294">
        <v>1</v>
      </c>
      <c r="R22" s="23"/>
      <c r="S22" s="148">
        <f t="shared" si="2"/>
        <v>2100</v>
      </c>
      <c r="T22" s="148">
        <f ca="1">IF(S22=0,"",S22*(OFFSET(cod_desembolso!$A$1,Q22,23)))</f>
        <v>2182.3840175367854</v>
      </c>
      <c r="U22" s="149">
        <f>(constantes!$B$3*(1+constantes!$B$3)^(O22))/((1+constantes!$B$3)^(O22)-1)</f>
        <v>9.3678779051968114E-2</v>
      </c>
      <c r="V22" s="148">
        <f t="shared" ca="1" si="1"/>
        <v>204.44307018537503</v>
      </c>
      <c r="W22" s="148">
        <f ca="1">(IF(S22=0,"",V22/constantes!$B$3))*1</f>
        <v>2555.538377317188</v>
      </c>
      <c r="X22" s="150">
        <f ca="1">IF(S22=0,"",PV(constantes!$B$3,O22,-V22)*constantes!$B$3)</f>
        <v>174.59072140294285</v>
      </c>
      <c r="Y22" s="85">
        <f t="shared" si="3"/>
        <v>1400</v>
      </c>
      <c r="Z22">
        <v>21</v>
      </c>
    </row>
    <row r="23" spans="1:26">
      <c r="A23" s="290">
        <v>7022</v>
      </c>
      <c r="B23" s="23" t="str">
        <f t="shared" si="0"/>
        <v>SE-NE_1500__kV_22</v>
      </c>
      <c r="C23" s="23">
        <v>802</v>
      </c>
      <c r="D23" s="142" t="str">
        <f>VLOOKUP(C23,tab_corredor!$A$2:$B$50,2,0)</f>
        <v>SE-NE</v>
      </c>
      <c r="E23" s="23">
        <v>1500</v>
      </c>
      <c r="F23" s="23" t="s">
        <v>2671</v>
      </c>
      <c r="G23" s="23">
        <v>1500</v>
      </c>
      <c r="H23" s="23">
        <v>1500</v>
      </c>
      <c r="I23" s="394">
        <v>5.0000000000000004E-6</v>
      </c>
      <c r="J23" s="394">
        <v>5.0000000000000004E-6</v>
      </c>
      <c r="K23" s="290">
        <v>1</v>
      </c>
      <c r="L23" s="291" t="s">
        <v>2619</v>
      </c>
      <c r="M23" s="23">
        <v>2015</v>
      </c>
      <c r="N23" s="23">
        <v>2100</v>
      </c>
      <c r="O23" s="292">
        <v>25</v>
      </c>
      <c r="P23" s="293">
        <v>2100</v>
      </c>
      <c r="Q23" s="294">
        <v>1</v>
      </c>
      <c r="R23" s="23"/>
      <c r="S23" s="148">
        <f t="shared" si="2"/>
        <v>2100</v>
      </c>
      <c r="T23" s="148">
        <f ca="1">IF(S23=0,"",S23*(OFFSET(cod_desembolso!$A$1,Q23,23)))</f>
        <v>2182.3840175367854</v>
      </c>
      <c r="U23" s="149">
        <f>(constantes!$B$3*(1+constantes!$B$3)^(O23))/((1+constantes!$B$3)^(O23)-1)</f>
        <v>9.3678779051968114E-2</v>
      </c>
      <c r="V23" s="148">
        <f t="shared" ca="1" si="1"/>
        <v>204.44307018537503</v>
      </c>
      <c r="W23" s="148">
        <f ca="1">(IF(S23=0,"",V23/constantes!$B$3))*1</f>
        <v>2555.538377317188</v>
      </c>
      <c r="X23" s="150">
        <f ca="1">IF(S23=0,"",PV(constantes!$B$3,O23,-V23)*constantes!$B$3)</f>
        <v>174.59072140294285</v>
      </c>
      <c r="Y23" s="85">
        <f t="shared" si="3"/>
        <v>1400</v>
      </c>
      <c r="Z23">
        <v>22</v>
      </c>
    </row>
    <row r="24" spans="1:26">
      <c r="A24" s="290">
        <v>7023</v>
      </c>
      <c r="B24" s="23" t="str">
        <f t="shared" si="0"/>
        <v>SE-NE_1500__kV_23</v>
      </c>
      <c r="C24" s="23">
        <v>802</v>
      </c>
      <c r="D24" s="142" t="str">
        <f>VLOOKUP(C24,tab_corredor!$A$2:$B$50,2,0)</f>
        <v>SE-NE</v>
      </c>
      <c r="E24" s="23">
        <v>1500</v>
      </c>
      <c r="F24" s="23" t="s">
        <v>2671</v>
      </c>
      <c r="G24" s="23">
        <v>1500</v>
      </c>
      <c r="H24" s="23">
        <v>1500</v>
      </c>
      <c r="I24" s="394">
        <v>5.0000000000000004E-6</v>
      </c>
      <c r="J24" s="394">
        <v>5.0000000000000004E-6</v>
      </c>
      <c r="K24" s="290">
        <v>1</v>
      </c>
      <c r="L24" s="291" t="s">
        <v>2619</v>
      </c>
      <c r="M24" s="23">
        <v>2015</v>
      </c>
      <c r="N24" s="23">
        <v>2100</v>
      </c>
      <c r="O24" s="292">
        <v>25</v>
      </c>
      <c r="P24" s="293">
        <v>2100</v>
      </c>
      <c r="Q24" s="294">
        <v>1</v>
      </c>
      <c r="R24" s="23"/>
      <c r="S24" s="148">
        <f t="shared" si="2"/>
        <v>2100</v>
      </c>
      <c r="T24" s="148">
        <f ca="1">IF(S24=0,"",S24*(OFFSET(cod_desembolso!$A$1,Q24,23)))</f>
        <v>2182.3840175367854</v>
      </c>
      <c r="U24" s="149">
        <f>(constantes!$B$3*(1+constantes!$B$3)^(O24))/((1+constantes!$B$3)^(O24)-1)</f>
        <v>9.3678779051968114E-2</v>
      </c>
      <c r="V24" s="148">
        <f t="shared" ca="1" si="1"/>
        <v>204.44307018537503</v>
      </c>
      <c r="W24" s="148">
        <f ca="1">(IF(S24=0,"",V24/constantes!$B$3))*1</f>
        <v>2555.538377317188</v>
      </c>
      <c r="X24" s="150">
        <f ca="1">IF(S24=0,"",PV(constantes!$B$3,O24,-V24)*constantes!$B$3)</f>
        <v>174.59072140294285</v>
      </c>
      <c r="Y24" s="85">
        <f t="shared" si="3"/>
        <v>1400</v>
      </c>
      <c r="Z24">
        <v>23</v>
      </c>
    </row>
    <row r="25" spans="1:26">
      <c r="A25" s="290">
        <v>7024</v>
      </c>
      <c r="B25" s="23" t="str">
        <f t="shared" si="0"/>
        <v>SE-NE_1500__kV_24</v>
      </c>
      <c r="C25" s="23">
        <v>802</v>
      </c>
      <c r="D25" s="142" t="str">
        <f>VLOOKUP(C25,tab_corredor!$A$2:$B$50,2,0)</f>
        <v>SE-NE</v>
      </c>
      <c r="E25" s="23">
        <v>1500</v>
      </c>
      <c r="F25" s="23" t="s">
        <v>2671</v>
      </c>
      <c r="G25" s="23">
        <v>1500</v>
      </c>
      <c r="H25" s="23">
        <v>1500</v>
      </c>
      <c r="I25" s="394">
        <v>5.0000000000000004E-6</v>
      </c>
      <c r="J25" s="394">
        <v>5.0000000000000004E-6</v>
      </c>
      <c r="K25" s="290">
        <v>1</v>
      </c>
      <c r="L25" s="291" t="s">
        <v>2619</v>
      </c>
      <c r="M25" s="23">
        <v>2015</v>
      </c>
      <c r="N25" s="23">
        <v>2100</v>
      </c>
      <c r="O25" s="292">
        <v>25</v>
      </c>
      <c r="P25" s="293">
        <v>2100</v>
      </c>
      <c r="Q25" s="294">
        <v>1</v>
      </c>
      <c r="R25" s="23"/>
      <c r="S25" s="148">
        <f t="shared" si="2"/>
        <v>2100</v>
      </c>
      <c r="T25" s="148">
        <f ca="1">IF(S25=0,"",S25*(OFFSET(cod_desembolso!$A$1,Q25,23)))</f>
        <v>2182.3840175367854</v>
      </c>
      <c r="U25" s="149">
        <f>(constantes!$B$3*(1+constantes!$B$3)^(O25))/((1+constantes!$B$3)^(O25)-1)</f>
        <v>9.3678779051968114E-2</v>
      </c>
      <c r="V25" s="148">
        <f t="shared" ca="1" si="1"/>
        <v>204.44307018537503</v>
      </c>
      <c r="W25" s="148">
        <f ca="1">(IF(S25=0,"",V25/constantes!$B$3))*1</f>
        <v>2555.538377317188</v>
      </c>
      <c r="X25" s="150">
        <f ca="1">IF(S25=0,"",PV(constantes!$B$3,O25,-V25)*constantes!$B$3)</f>
        <v>174.59072140294285</v>
      </c>
      <c r="Y25" s="85">
        <f t="shared" si="3"/>
        <v>1400</v>
      </c>
      <c r="Z25">
        <v>24</v>
      </c>
    </row>
    <row r="26" spans="1:26">
      <c r="A26" s="290">
        <v>7025</v>
      </c>
      <c r="B26" s="23" t="str">
        <f t="shared" si="0"/>
        <v>SE-NE_1500__kV_25</v>
      </c>
      <c r="C26" s="23">
        <v>802</v>
      </c>
      <c r="D26" s="142" t="str">
        <f>VLOOKUP(C26,tab_corredor!$A$2:$B$50,2,0)</f>
        <v>SE-NE</v>
      </c>
      <c r="E26" s="23">
        <v>1500</v>
      </c>
      <c r="F26" s="23" t="s">
        <v>2671</v>
      </c>
      <c r="G26" s="23">
        <v>1500</v>
      </c>
      <c r="H26" s="23">
        <v>1500</v>
      </c>
      <c r="I26" s="394">
        <v>5.0000000000000004E-6</v>
      </c>
      <c r="J26" s="394">
        <v>5.0000000000000004E-6</v>
      </c>
      <c r="K26" s="290">
        <v>1</v>
      </c>
      <c r="L26" s="291" t="s">
        <v>2619</v>
      </c>
      <c r="M26" s="23">
        <v>2015</v>
      </c>
      <c r="N26" s="23">
        <v>2100</v>
      </c>
      <c r="O26" s="292">
        <v>25</v>
      </c>
      <c r="P26" s="293">
        <v>2100</v>
      </c>
      <c r="Q26" s="294">
        <v>1</v>
      </c>
      <c r="R26" s="23"/>
      <c r="S26" s="148">
        <f t="shared" si="2"/>
        <v>2100</v>
      </c>
      <c r="T26" s="148">
        <f ca="1">IF(S26=0,"",S26*(OFFSET(cod_desembolso!$A$1,Q26,23)))</f>
        <v>2182.3840175367854</v>
      </c>
      <c r="U26" s="149">
        <f>(constantes!$B$3*(1+constantes!$B$3)^(O26))/((1+constantes!$B$3)^(O26)-1)</f>
        <v>9.3678779051968114E-2</v>
      </c>
      <c r="V26" s="148">
        <f t="shared" ca="1" si="1"/>
        <v>204.44307018537503</v>
      </c>
      <c r="W26" s="148">
        <f ca="1">(IF(S26=0,"",V26/constantes!$B$3))*1</f>
        <v>2555.538377317188</v>
      </c>
      <c r="X26" s="150">
        <f ca="1">IF(S26=0,"",PV(constantes!$B$3,O26,-V26)*constantes!$B$3)</f>
        <v>174.59072140294285</v>
      </c>
      <c r="Y26" s="85">
        <f t="shared" si="3"/>
        <v>1400</v>
      </c>
      <c r="Z26">
        <v>25</v>
      </c>
    </row>
    <row r="27" spans="1:26">
      <c r="A27" s="290">
        <v>7026</v>
      </c>
      <c r="B27" s="23" t="str">
        <f t="shared" si="0"/>
        <v>SE-NE_1500__kV_26</v>
      </c>
      <c r="C27" s="23">
        <v>802</v>
      </c>
      <c r="D27" s="142" t="str">
        <f>VLOOKUP(C27,tab_corredor!$A$2:$B$50,2,0)</f>
        <v>SE-NE</v>
      </c>
      <c r="E27" s="23">
        <v>1500</v>
      </c>
      <c r="F27" s="23" t="s">
        <v>2671</v>
      </c>
      <c r="G27" s="23">
        <v>1500</v>
      </c>
      <c r="H27" s="23">
        <v>1500</v>
      </c>
      <c r="I27" s="394">
        <v>5.0000000000000004E-6</v>
      </c>
      <c r="J27" s="394">
        <v>5.0000000000000004E-6</v>
      </c>
      <c r="K27" s="290">
        <v>1</v>
      </c>
      <c r="L27" s="291" t="s">
        <v>2619</v>
      </c>
      <c r="M27" s="23">
        <v>2015</v>
      </c>
      <c r="N27" s="23">
        <v>2100</v>
      </c>
      <c r="O27" s="292">
        <v>25</v>
      </c>
      <c r="P27" s="293">
        <v>2100</v>
      </c>
      <c r="Q27" s="294">
        <v>1</v>
      </c>
      <c r="R27" s="23"/>
      <c r="S27" s="148">
        <f t="shared" si="2"/>
        <v>2100</v>
      </c>
      <c r="T27" s="148">
        <f ca="1">IF(S27=0,"",S27*(OFFSET(cod_desembolso!$A$1,Q27,23)))</f>
        <v>2182.3840175367854</v>
      </c>
      <c r="U27" s="149">
        <f>(constantes!$B$3*(1+constantes!$B$3)^(O27))/((1+constantes!$B$3)^(O27)-1)</f>
        <v>9.3678779051968114E-2</v>
      </c>
      <c r="V27" s="148">
        <f t="shared" ca="1" si="1"/>
        <v>204.44307018537503</v>
      </c>
      <c r="W27" s="148">
        <f ca="1">(IF(S27=0,"",V27/constantes!$B$3))*1</f>
        <v>2555.538377317188</v>
      </c>
      <c r="X27" s="150">
        <f ca="1">IF(S27=0,"",PV(constantes!$B$3,O27,-V27)*constantes!$B$3)</f>
        <v>174.59072140294285</v>
      </c>
      <c r="Y27" s="85">
        <f t="shared" si="3"/>
        <v>1400</v>
      </c>
      <c r="Z27">
        <v>26</v>
      </c>
    </row>
    <row r="28" spans="1:26">
      <c r="A28" s="290">
        <v>7027</v>
      </c>
      <c r="B28" s="23" t="str">
        <f t="shared" si="0"/>
        <v>SE-NE_1500__kV_27</v>
      </c>
      <c r="C28" s="23">
        <v>802</v>
      </c>
      <c r="D28" s="142" t="str">
        <f>VLOOKUP(C28,tab_corredor!$A$2:$B$50,2,0)</f>
        <v>SE-NE</v>
      </c>
      <c r="E28" s="23">
        <v>1500</v>
      </c>
      <c r="F28" s="23" t="s">
        <v>2671</v>
      </c>
      <c r="G28" s="23">
        <v>1500</v>
      </c>
      <c r="H28" s="23">
        <v>1500</v>
      </c>
      <c r="I28" s="394">
        <v>5.0000000000000004E-6</v>
      </c>
      <c r="J28" s="394">
        <v>5.0000000000000004E-6</v>
      </c>
      <c r="K28" s="290">
        <v>1</v>
      </c>
      <c r="L28" s="291" t="s">
        <v>2619</v>
      </c>
      <c r="M28" s="23">
        <v>2015</v>
      </c>
      <c r="N28" s="23">
        <v>2100</v>
      </c>
      <c r="O28" s="292">
        <v>25</v>
      </c>
      <c r="P28" s="293">
        <v>2100</v>
      </c>
      <c r="Q28" s="294">
        <v>1</v>
      </c>
      <c r="R28" s="23"/>
      <c r="S28" s="148">
        <f t="shared" si="2"/>
        <v>2100</v>
      </c>
      <c r="T28" s="148">
        <f ca="1">IF(S28=0,"",S28*(OFFSET(cod_desembolso!$A$1,Q28,23)))</f>
        <v>2182.3840175367854</v>
      </c>
      <c r="U28" s="149">
        <f>(constantes!$B$3*(1+constantes!$B$3)^(O28))/((1+constantes!$B$3)^(O28)-1)</f>
        <v>9.3678779051968114E-2</v>
      </c>
      <c r="V28" s="148">
        <f t="shared" ca="1" si="1"/>
        <v>204.44307018537503</v>
      </c>
      <c r="W28" s="148">
        <f ca="1">(IF(S28=0,"",V28/constantes!$B$3))*1</f>
        <v>2555.538377317188</v>
      </c>
      <c r="X28" s="150">
        <f ca="1">IF(S28=0,"",PV(constantes!$B$3,O28,-V28)*constantes!$B$3)</f>
        <v>174.59072140294285</v>
      </c>
      <c r="Y28" s="85">
        <f t="shared" si="3"/>
        <v>1400</v>
      </c>
      <c r="Z28">
        <v>27</v>
      </c>
    </row>
    <row r="29" spans="1:26">
      <c r="A29" s="290">
        <v>7028</v>
      </c>
      <c r="B29" s="23" t="str">
        <f t="shared" si="0"/>
        <v>SE-NE_1500__kV_28</v>
      </c>
      <c r="C29" s="23">
        <v>802</v>
      </c>
      <c r="D29" s="142" t="str">
        <f>VLOOKUP(C29,tab_corredor!$A$2:$B$50,2,0)</f>
        <v>SE-NE</v>
      </c>
      <c r="E29" s="23">
        <v>1500</v>
      </c>
      <c r="F29" s="23" t="s">
        <v>2671</v>
      </c>
      <c r="G29" s="23">
        <v>1500</v>
      </c>
      <c r="H29" s="23">
        <v>1500</v>
      </c>
      <c r="I29" s="394">
        <v>5.0000000000000004E-6</v>
      </c>
      <c r="J29" s="394">
        <v>5.0000000000000004E-6</v>
      </c>
      <c r="K29" s="290">
        <v>1</v>
      </c>
      <c r="L29" s="291" t="s">
        <v>2619</v>
      </c>
      <c r="M29" s="23">
        <v>2015</v>
      </c>
      <c r="N29" s="23">
        <v>2100</v>
      </c>
      <c r="O29" s="292">
        <v>25</v>
      </c>
      <c r="P29" s="293">
        <v>2100</v>
      </c>
      <c r="Q29" s="294">
        <v>1</v>
      </c>
      <c r="R29" s="23"/>
      <c r="S29" s="148">
        <f t="shared" si="2"/>
        <v>2100</v>
      </c>
      <c r="T29" s="148">
        <f ca="1">IF(S29=0,"",S29*(OFFSET(cod_desembolso!$A$1,Q29,23)))</f>
        <v>2182.3840175367854</v>
      </c>
      <c r="U29" s="149">
        <f>(constantes!$B$3*(1+constantes!$B$3)^(O29))/((1+constantes!$B$3)^(O29)-1)</f>
        <v>9.3678779051968114E-2</v>
      </c>
      <c r="V29" s="148">
        <f t="shared" ca="1" si="1"/>
        <v>204.44307018537503</v>
      </c>
      <c r="W29" s="148">
        <f ca="1">(IF(S29=0,"",V29/constantes!$B$3))*1</f>
        <v>2555.538377317188</v>
      </c>
      <c r="X29" s="150">
        <f ca="1">IF(S29=0,"",PV(constantes!$B$3,O29,-V29)*constantes!$B$3)</f>
        <v>174.59072140294285</v>
      </c>
      <c r="Y29" s="85">
        <f t="shared" si="3"/>
        <v>1400</v>
      </c>
      <c r="Z29">
        <v>28</v>
      </c>
    </row>
    <row r="30" spans="1:26">
      <c r="A30" s="290">
        <v>7029</v>
      </c>
      <c r="B30" s="23" t="str">
        <f t="shared" si="0"/>
        <v>SE-NE_1500__kV_29</v>
      </c>
      <c r="C30" s="23">
        <v>802</v>
      </c>
      <c r="D30" s="142" t="str">
        <f>VLOOKUP(C30,tab_corredor!$A$2:$B$50,2,0)</f>
        <v>SE-NE</v>
      </c>
      <c r="E30" s="23">
        <v>1500</v>
      </c>
      <c r="F30" s="23" t="s">
        <v>2671</v>
      </c>
      <c r="G30" s="23">
        <v>1500</v>
      </c>
      <c r="H30" s="23">
        <v>1500</v>
      </c>
      <c r="I30" s="394">
        <v>5.0000000000000004E-6</v>
      </c>
      <c r="J30" s="394">
        <v>5.0000000000000004E-6</v>
      </c>
      <c r="K30" s="290">
        <v>1</v>
      </c>
      <c r="L30" s="291" t="s">
        <v>2619</v>
      </c>
      <c r="M30" s="23">
        <v>2015</v>
      </c>
      <c r="N30" s="23">
        <v>2100</v>
      </c>
      <c r="O30" s="292">
        <v>25</v>
      </c>
      <c r="P30" s="293">
        <v>2100</v>
      </c>
      <c r="Q30" s="294">
        <v>1</v>
      </c>
      <c r="R30" s="23"/>
      <c r="S30" s="148">
        <f t="shared" si="2"/>
        <v>2100</v>
      </c>
      <c r="T30" s="148">
        <f ca="1">IF(S30=0,"",S30*(OFFSET(cod_desembolso!$A$1,Q30,23)))</f>
        <v>2182.3840175367854</v>
      </c>
      <c r="U30" s="149">
        <f>(constantes!$B$3*(1+constantes!$B$3)^(O30))/((1+constantes!$B$3)^(O30)-1)</f>
        <v>9.3678779051968114E-2</v>
      </c>
      <c r="V30" s="148">
        <f t="shared" ca="1" si="1"/>
        <v>204.44307018537503</v>
      </c>
      <c r="W30" s="148">
        <f ca="1">(IF(S30=0,"",V30/constantes!$B$3))*1</f>
        <v>2555.538377317188</v>
      </c>
      <c r="X30" s="150">
        <f ca="1">IF(S30=0,"",PV(constantes!$B$3,O30,-V30)*constantes!$B$3)</f>
        <v>174.59072140294285</v>
      </c>
      <c r="Y30" s="85">
        <f t="shared" si="3"/>
        <v>1400</v>
      </c>
      <c r="Z30">
        <v>29</v>
      </c>
    </row>
    <row r="31" spans="1:26">
      <c r="A31" s="290">
        <v>7030</v>
      </c>
      <c r="B31" s="23" t="str">
        <f t="shared" si="0"/>
        <v>SE-NE_1500__kV_30</v>
      </c>
      <c r="C31" s="23">
        <v>802</v>
      </c>
      <c r="D31" s="142" t="str">
        <f>VLOOKUP(C31,tab_corredor!$A$2:$B$50,2,0)</f>
        <v>SE-NE</v>
      </c>
      <c r="E31" s="23">
        <v>1500</v>
      </c>
      <c r="F31" s="23" t="s">
        <v>2671</v>
      </c>
      <c r="G31" s="23">
        <v>1500</v>
      </c>
      <c r="H31" s="23">
        <v>1500</v>
      </c>
      <c r="I31" s="394">
        <v>5.0000000000000004E-6</v>
      </c>
      <c r="J31" s="394">
        <v>5.0000000000000004E-6</v>
      </c>
      <c r="K31" s="290">
        <v>1</v>
      </c>
      <c r="L31" s="291" t="s">
        <v>2619</v>
      </c>
      <c r="M31" s="23">
        <v>2015</v>
      </c>
      <c r="N31" s="23">
        <v>2100</v>
      </c>
      <c r="O31" s="292">
        <v>25</v>
      </c>
      <c r="P31" s="293">
        <v>2100</v>
      </c>
      <c r="Q31" s="294">
        <v>1</v>
      </c>
      <c r="R31" s="23"/>
      <c r="S31" s="148">
        <f t="shared" si="2"/>
        <v>2100</v>
      </c>
      <c r="T31" s="148">
        <f ca="1">IF(S31=0,"",S31*(OFFSET(cod_desembolso!$A$1,Q31,23)))</f>
        <v>2182.3840175367854</v>
      </c>
      <c r="U31" s="149">
        <f>(constantes!$B$3*(1+constantes!$B$3)^(O31))/((1+constantes!$B$3)^(O31)-1)</f>
        <v>9.3678779051968114E-2</v>
      </c>
      <c r="V31" s="148">
        <f t="shared" ca="1" si="1"/>
        <v>204.44307018537503</v>
      </c>
      <c r="W31" s="148">
        <f ca="1">(IF(S31=0,"",V31/constantes!$B$3))*1</f>
        <v>2555.538377317188</v>
      </c>
      <c r="X31" s="150">
        <f ca="1">IF(S31=0,"",PV(constantes!$B$3,O31,-V31)*constantes!$B$3)</f>
        <v>174.59072140294285</v>
      </c>
      <c r="Y31" s="85">
        <f t="shared" si="3"/>
        <v>1400</v>
      </c>
      <c r="Z31">
        <v>30</v>
      </c>
    </row>
    <row r="32" spans="1:26">
      <c r="A32" s="290">
        <v>7031</v>
      </c>
      <c r="B32" s="23" t="str">
        <f t="shared" si="0"/>
        <v>SE-NE_1500__kV_31</v>
      </c>
      <c r="C32" s="23">
        <v>802</v>
      </c>
      <c r="D32" s="142" t="str">
        <f>VLOOKUP(C32,tab_corredor!$A$2:$B$50,2,0)</f>
        <v>SE-NE</v>
      </c>
      <c r="E32" s="23">
        <v>1500</v>
      </c>
      <c r="F32" s="23" t="s">
        <v>2671</v>
      </c>
      <c r="G32" s="23">
        <v>1500</v>
      </c>
      <c r="H32" s="23">
        <v>1500</v>
      </c>
      <c r="I32" s="394">
        <v>5.0000000000000004E-6</v>
      </c>
      <c r="J32" s="394">
        <v>5.0000000000000004E-6</v>
      </c>
      <c r="K32" s="290">
        <v>1</v>
      </c>
      <c r="L32" s="291" t="s">
        <v>2619</v>
      </c>
      <c r="M32" s="23">
        <v>2015</v>
      </c>
      <c r="N32" s="23">
        <v>2100</v>
      </c>
      <c r="O32" s="292">
        <v>25</v>
      </c>
      <c r="P32" s="293">
        <v>2100</v>
      </c>
      <c r="Q32" s="294">
        <v>1</v>
      </c>
      <c r="R32" s="23"/>
      <c r="S32" s="148">
        <f t="shared" si="2"/>
        <v>2100</v>
      </c>
      <c r="T32" s="148">
        <f ca="1">IF(S32=0,"",S32*(OFFSET(cod_desembolso!$A$1,Q32,23)))</f>
        <v>2182.3840175367854</v>
      </c>
      <c r="U32" s="149">
        <f>(constantes!$B$3*(1+constantes!$B$3)^(O32))/((1+constantes!$B$3)^(O32)-1)</f>
        <v>9.3678779051968114E-2</v>
      </c>
      <c r="V32" s="148">
        <f t="shared" ca="1" si="1"/>
        <v>204.44307018537503</v>
      </c>
      <c r="W32" s="148">
        <f ca="1">(IF(S32=0,"",V32/constantes!$B$3))*1</f>
        <v>2555.538377317188</v>
      </c>
      <c r="X32" s="150">
        <f ca="1">IF(S32=0,"",PV(constantes!$B$3,O32,-V32)*constantes!$B$3)</f>
        <v>174.59072140294285</v>
      </c>
      <c r="Y32" s="85">
        <f t="shared" si="3"/>
        <v>1400</v>
      </c>
      <c r="Z32">
        <v>31</v>
      </c>
    </row>
    <row r="33" spans="1:26">
      <c r="A33" s="290">
        <v>7032</v>
      </c>
      <c r="B33" s="23" t="str">
        <f t="shared" si="0"/>
        <v>SE-NE_1500__kV_32</v>
      </c>
      <c r="C33" s="23">
        <v>802</v>
      </c>
      <c r="D33" s="142" t="str">
        <f>VLOOKUP(C33,tab_corredor!$A$2:$B$50,2,0)</f>
        <v>SE-NE</v>
      </c>
      <c r="E33" s="23">
        <v>1500</v>
      </c>
      <c r="F33" s="23" t="s">
        <v>2671</v>
      </c>
      <c r="G33" s="23">
        <v>1500</v>
      </c>
      <c r="H33" s="23">
        <v>1500</v>
      </c>
      <c r="I33" s="394">
        <v>5.0000000000000004E-6</v>
      </c>
      <c r="J33" s="394">
        <v>5.0000000000000004E-6</v>
      </c>
      <c r="K33" s="290">
        <v>1</v>
      </c>
      <c r="L33" s="291" t="s">
        <v>2619</v>
      </c>
      <c r="M33" s="23">
        <v>2015</v>
      </c>
      <c r="N33" s="23">
        <v>2100</v>
      </c>
      <c r="O33" s="292">
        <v>25</v>
      </c>
      <c r="P33" s="293">
        <v>2100</v>
      </c>
      <c r="Q33" s="294">
        <v>1</v>
      </c>
      <c r="R33" s="23"/>
      <c r="S33" s="148">
        <f t="shared" si="2"/>
        <v>2100</v>
      </c>
      <c r="T33" s="148">
        <f ca="1">IF(S33=0,"",S33*(OFFSET(cod_desembolso!$A$1,Q33,23)))</f>
        <v>2182.3840175367854</v>
      </c>
      <c r="U33" s="149">
        <f>(constantes!$B$3*(1+constantes!$B$3)^(O33))/((1+constantes!$B$3)^(O33)-1)</f>
        <v>9.3678779051968114E-2</v>
      </c>
      <c r="V33" s="148">
        <f t="shared" ca="1" si="1"/>
        <v>204.44307018537503</v>
      </c>
      <c r="W33" s="148">
        <f ca="1">(IF(S33=0,"",V33/constantes!$B$3))*1</f>
        <v>2555.538377317188</v>
      </c>
      <c r="X33" s="150">
        <f ca="1">IF(S33=0,"",PV(constantes!$B$3,O33,-V33)*constantes!$B$3)</f>
        <v>174.59072140294285</v>
      </c>
      <c r="Y33" s="85">
        <f t="shared" si="3"/>
        <v>1400</v>
      </c>
      <c r="Z33">
        <v>32</v>
      </c>
    </row>
    <row r="34" spans="1:26">
      <c r="A34" s="290">
        <v>7033</v>
      </c>
      <c r="B34" s="23" t="str">
        <f t="shared" si="0"/>
        <v>SE-NE_1500__kV_33</v>
      </c>
      <c r="C34" s="23">
        <v>802</v>
      </c>
      <c r="D34" s="142" t="str">
        <f>VLOOKUP(C34,tab_corredor!$A$2:$B$50,2,0)</f>
        <v>SE-NE</v>
      </c>
      <c r="E34" s="23">
        <v>1500</v>
      </c>
      <c r="F34" s="23" t="s">
        <v>2671</v>
      </c>
      <c r="G34" s="23">
        <v>1500</v>
      </c>
      <c r="H34" s="23">
        <v>1500</v>
      </c>
      <c r="I34" s="394">
        <v>5.0000000000000004E-6</v>
      </c>
      <c r="J34" s="394">
        <v>5.0000000000000004E-6</v>
      </c>
      <c r="K34" s="290">
        <v>1</v>
      </c>
      <c r="L34" s="291" t="s">
        <v>2619</v>
      </c>
      <c r="M34" s="23">
        <v>2015</v>
      </c>
      <c r="N34" s="23">
        <v>2100</v>
      </c>
      <c r="O34" s="292">
        <v>25</v>
      </c>
      <c r="P34" s="293">
        <v>2100</v>
      </c>
      <c r="Q34" s="294">
        <v>1</v>
      </c>
      <c r="R34" s="23"/>
      <c r="S34" s="148">
        <f t="shared" si="2"/>
        <v>2100</v>
      </c>
      <c r="T34" s="148">
        <f ca="1">IF(S34=0,"",S34*(OFFSET(cod_desembolso!$A$1,Q34,23)))</f>
        <v>2182.3840175367854</v>
      </c>
      <c r="U34" s="149">
        <f>(constantes!$B$3*(1+constantes!$B$3)^(O34))/((1+constantes!$B$3)^(O34)-1)</f>
        <v>9.3678779051968114E-2</v>
      </c>
      <c r="V34" s="148">
        <f t="shared" ca="1" si="1"/>
        <v>204.44307018537503</v>
      </c>
      <c r="W34" s="148">
        <f ca="1">(IF(S34=0,"",V34/constantes!$B$3))*1</f>
        <v>2555.538377317188</v>
      </c>
      <c r="X34" s="150">
        <f ca="1">IF(S34=0,"",PV(constantes!$B$3,O34,-V34)*constantes!$B$3)</f>
        <v>174.59072140294285</v>
      </c>
      <c r="Y34" s="85">
        <f t="shared" si="3"/>
        <v>1400</v>
      </c>
      <c r="Z34">
        <v>33</v>
      </c>
    </row>
    <row r="35" spans="1:26">
      <c r="A35" s="290">
        <v>7034</v>
      </c>
      <c r="B35" s="23" t="str">
        <f t="shared" si="0"/>
        <v>SE-NE_1500__kV_34</v>
      </c>
      <c r="C35" s="23">
        <v>802</v>
      </c>
      <c r="D35" s="142" t="str">
        <f>VLOOKUP(C35,tab_corredor!$A$2:$B$50,2,0)</f>
        <v>SE-NE</v>
      </c>
      <c r="E35" s="23">
        <v>1500</v>
      </c>
      <c r="F35" s="23" t="s">
        <v>2671</v>
      </c>
      <c r="G35" s="23">
        <v>1500</v>
      </c>
      <c r="H35" s="23">
        <v>1500</v>
      </c>
      <c r="I35" s="394">
        <v>5.0000000000000004E-6</v>
      </c>
      <c r="J35" s="394">
        <v>5.0000000000000004E-6</v>
      </c>
      <c r="K35" s="290">
        <v>1</v>
      </c>
      <c r="L35" s="291" t="s">
        <v>2619</v>
      </c>
      <c r="M35" s="23">
        <v>2015</v>
      </c>
      <c r="N35" s="23">
        <v>2100</v>
      </c>
      <c r="O35" s="292">
        <v>25</v>
      </c>
      <c r="P35" s="293">
        <v>2100</v>
      </c>
      <c r="Q35" s="294">
        <v>1</v>
      </c>
      <c r="R35" s="23"/>
      <c r="S35" s="148">
        <f t="shared" si="2"/>
        <v>2100</v>
      </c>
      <c r="T35" s="148">
        <f ca="1">IF(S35=0,"",S35*(OFFSET(cod_desembolso!$A$1,Q35,23)))</f>
        <v>2182.3840175367854</v>
      </c>
      <c r="U35" s="149">
        <f>(constantes!$B$3*(1+constantes!$B$3)^(O35))/((1+constantes!$B$3)^(O35)-1)</f>
        <v>9.3678779051968114E-2</v>
      </c>
      <c r="V35" s="148">
        <f t="shared" ca="1" si="1"/>
        <v>204.44307018537503</v>
      </c>
      <c r="W35" s="148">
        <f ca="1">(IF(S35=0,"",V35/constantes!$B$3))*1</f>
        <v>2555.538377317188</v>
      </c>
      <c r="X35" s="150">
        <f ca="1">IF(S35=0,"",PV(constantes!$B$3,O35,-V35)*constantes!$B$3)</f>
        <v>174.59072140294285</v>
      </c>
      <c r="Y35" s="85">
        <f t="shared" si="3"/>
        <v>1400</v>
      </c>
      <c r="Z35">
        <v>34</v>
      </c>
    </row>
    <row r="36" spans="1:26">
      <c r="A36" s="290">
        <v>7035</v>
      </c>
      <c r="B36" s="23" t="str">
        <f t="shared" si="0"/>
        <v>SE-NE_1500__kV_35</v>
      </c>
      <c r="C36" s="23">
        <v>802</v>
      </c>
      <c r="D36" s="142" t="str">
        <f>VLOOKUP(C36,tab_corredor!$A$2:$B$50,2,0)</f>
        <v>SE-NE</v>
      </c>
      <c r="E36" s="23">
        <v>1500</v>
      </c>
      <c r="F36" s="23" t="s">
        <v>2671</v>
      </c>
      <c r="G36" s="23">
        <v>1500</v>
      </c>
      <c r="H36" s="23">
        <v>1500</v>
      </c>
      <c r="I36" s="394">
        <v>5.0000000000000004E-6</v>
      </c>
      <c r="J36" s="394">
        <v>5.0000000000000004E-6</v>
      </c>
      <c r="K36" s="290">
        <v>1</v>
      </c>
      <c r="L36" s="291" t="s">
        <v>2619</v>
      </c>
      <c r="M36" s="23">
        <v>2015</v>
      </c>
      <c r="N36" s="23">
        <v>2100</v>
      </c>
      <c r="O36" s="292">
        <v>25</v>
      </c>
      <c r="P36" s="293">
        <v>2100</v>
      </c>
      <c r="Q36" s="294">
        <v>1</v>
      </c>
      <c r="R36" s="23"/>
      <c r="S36" s="148">
        <f t="shared" si="2"/>
        <v>2100</v>
      </c>
      <c r="T36" s="148">
        <f ca="1">IF(S36=0,"",S36*(OFFSET(cod_desembolso!$A$1,Q36,23)))</f>
        <v>2182.3840175367854</v>
      </c>
      <c r="U36" s="149">
        <f>(constantes!$B$3*(1+constantes!$B$3)^(O36))/((1+constantes!$B$3)^(O36)-1)</f>
        <v>9.3678779051968114E-2</v>
      </c>
      <c r="V36" s="148">
        <f t="shared" ca="1" si="1"/>
        <v>204.44307018537503</v>
      </c>
      <c r="W36" s="148">
        <f ca="1">(IF(S36=0,"",V36/constantes!$B$3))*1</f>
        <v>2555.538377317188</v>
      </c>
      <c r="X36" s="150">
        <f ca="1">IF(S36=0,"",PV(constantes!$B$3,O36,-V36)*constantes!$B$3)</f>
        <v>174.59072140294285</v>
      </c>
      <c r="Y36" s="85">
        <f t="shared" si="3"/>
        <v>1400</v>
      </c>
      <c r="Z36">
        <v>35</v>
      </c>
    </row>
    <row r="37" spans="1:26">
      <c r="A37" s="290">
        <v>7036</v>
      </c>
      <c r="B37" s="23" t="str">
        <f t="shared" si="0"/>
        <v>SE-NE_1500__kV_36</v>
      </c>
      <c r="C37" s="23">
        <v>802</v>
      </c>
      <c r="D37" s="142" t="str">
        <f>VLOOKUP(C37,tab_corredor!$A$2:$B$50,2,0)</f>
        <v>SE-NE</v>
      </c>
      <c r="E37" s="23">
        <v>1500</v>
      </c>
      <c r="F37" s="23" t="s">
        <v>2671</v>
      </c>
      <c r="G37" s="23">
        <v>1500</v>
      </c>
      <c r="H37" s="23">
        <v>1500</v>
      </c>
      <c r="I37" s="394">
        <v>5.0000000000000004E-6</v>
      </c>
      <c r="J37" s="394">
        <v>5.0000000000000004E-6</v>
      </c>
      <c r="K37" s="290">
        <v>1</v>
      </c>
      <c r="L37" s="291" t="s">
        <v>2619</v>
      </c>
      <c r="M37" s="23">
        <v>2015</v>
      </c>
      <c r="N37" s="23">
        <v>2100</v>
      </c>
      <c r="O37" s="292">
        <v>25</v>
      </c>
      <c r="P37" s="293">
        <v>2100</v>
      </c>
      <c r="Q37" s="294">
        <v>1</v>
      </c>
      <c r="R37" s="23"/>
      <c r="S37" s="148">
        <f t="shared" si="2"/>
        <v>2100</v>
      </c>
      <c r="T37" s="148">
        <f ca="1">IF(S37=0,"",S37*(OFFSET(cod_desembolso!$A$1,Q37,23)))</f>
        <v>2182.3840175367854</v>
      </c>
      <c r="U37" s="149">
        <f>(constantes!$B$3*(1+constantes!$B$3)^(O37))/((1+constantes!$B$3)^(O37)-1)</f>
        <v>9.3678779051968114E-2</v>
      </c>
      <c r="V37" s="148">
        <f t="shared" ca="1" si="1"/>
        <v>204.44307018537503</v>
      </c>
      <c r="W37" s="148">
        <f ca="1">(IF(S37=0,"",V37/constantes!$B$3))*1</f>
        <v>2555.538377317188</v>
      </c>
      <c r="X37" s="150">
        <f ca="1">IF(S37=0,"",PV(constantes!$B$3,O37,-V37)*constantes!$B$3)</f>
        <v>174.59072140294285</v>
      </c>
      <c r="Y37" s="85">
        <f t="shared" si="3"/>
        <v>1400</v>
      </c>
      <c r="Z37">
        <v>36</v>
      </c>
    </row>
    <row r="38" spans="1:26">
      <c r="A38" s="290">
        <v>7037</v>
      </c>
      <c r="B38" s="23" t="str">
        <f t="shared" si="0"/>
        <v>SE-NE_1500__kV_37</v>
      </c>
      <c r="C38" s="23">
        <v>802</v>
      </c>
      <c r="D38" s="142" t="str">
        <f>VLOOKUP(C38,tab_corredor!$A$2:$B$50,2,0)</f>
        <v>SE-NE</v>
      </c>
      <c r="E38" s="23">
        <v>1500</v>
      </c>
      <c r="F38" s="23" t="s">
        <v>2671</v>
      </c>
      <c r="G38" s="23">
        <v>1500</v>
      </c>
      <c r="H38" s="23">
        <v>1500</v>
      </c>
      <c r="I38" s="394">
        <v>5.0000000000000004E-6</v>
      </c>
      <c r="J38" s="394">
        <v>5.0000000000000004E-6</v>
      </c>
      <c r="K38" s="290">
        <v>1</v>
      </c>
      <c r="L38" s="291" t="s">
        <v>2619</v>
      </c>
      <c r="M38" s="23">
        <v>2015</v>
      </c>
      <c r="N38" s="23">
        <v>2100</v>
      </c>
      <c r="O38" s="292">
        <v>25</v>
      </c>
      <c r="P38" s="293">
        <v>2100</v>
      </c>
      <c r="Q38" s="294">
        <v>1</v>
      </c>
      <c r="R38" s="23"/>
      <c r="S38" s="148">
        <f t="shared" si="2"/>
        <v>2100</v>
      </c>
      <c r="T38" s="148">
        <f ca="1">IF(S38=0,"",S38*(OFFSET(cod_desembolso!$A$1,Q38,23)))</f>
        <v>2182.3840175367854</v>
      </c>
      <c r="U38" s="149">
        <f>(constantes!$B$3*(1+constantes!$B$3)^(O38))/((1+constantes!$B$3)^(O38)-1)</f>
        <v>9.3678779051968114E-2</v>
      </c>
      <c r="V38" s="148">
        <f t="shared" ca="1" si="1"/>
        <v>204.44307018537503</v>
      </c>
      <c r="W38" s="148">
        <f ca="1">(IF(S38=0,"",V38/constantes!$B$3))*1</f>
        <v>2555.538377317188</v>
      </c>
      <c r="X38" s="150">
        <f ca="1">IF(S38=0,"",PV(constantes!$B$3,O38,-V38)*constantes!$B$3)</f>
        <v>174.59072140294285</v>
      </c>
      <c r="Y38" s="85">
        <f t="shared" si="3"/>
        <v>1400</v>
      </c>
      <c r="Z38">
        <v>37</v>
      </c>
    </row>
    <row r="39" spans="1:26">
      <c r="A39" s="290">
        <v>7038</v>
      </c>
      <c r="B39" s="23" t="str">
        <f t="shared" si="0"/>
        <v>SE-NE_1500__kV_38</v>
      </c>
      <c r="C39" s="23">
        <v>802</v>
      </c>
      <c r="D39" s="142" t="str">
        <f>VLOOKUP(C39,tab_corredor!$A$2:$B$50,2,0)</f>
        <v>SE-NE</v>
      </c>
      <c r="E39" s="23">
        <v>1500</v>
      </c>
      <c r="F39" s="23" t="s">
        <v>2671</v>
      </c>
      <c r="G39" s="23">
        <v>1500</v>
      </c>
      <c r="H39" s="23">
        <v>1500</v>
      </c>
      <c r="I39" s="394">
        <v>5.0000000000000004E-6</v>
      </c>
      <c r="J39" s="394">
        <v>5.0000000000000004E-6</v>
      </c>
      <c r="K39" s="290">
        <v>1</v>
      </c>
      <c r="L39" s="291" t="s">
        <v>2619</v>
      </c>
      <c r="M39" s="23">
        <v>2015</v>
      </c>
      <c r="N39" s="23">
        <v>2100</v>
      </c>
      <c r="O39" s="292">
        <v>25</v>
      </c>
      <c r="P39" s="293">
        <v>2100</v>
      </c>
      <c r="Q39" s="294">
        <v>1</v>
      </c>
      <c r="R39" s="23"/>
      <c r="S39" s="148">
        <f t="shared" si="2"/>
        <v>2100</v>
      </c>
      <c r="T39" s="148">
        <f ca="1">IF(S39=0,"",S39*(OFFSET(cod_desembolso!$A$1,Q39,23)))</f>
        <v>2182.3840175367854</v>
      </c>
      <c r="U39" s="149">
        <f>(constantes!$B$3*(1+constantes!$B$3)^(O39))/((1+constantes!$B$3)^(O39)-1)</f>
        <v>9.3678779051968114E-2</v>
      </c>
      <c r="V39" s="148">
        <f t="shared" ca="1" si="1"/>
        <v>204.44307018537503</v>
      </c>
      <c r="W39" s="148">
        <f ca="1">(IF(S39=0,"",V39/constantes!$B$3))*1</f>
        <v>2555.538377317188</v>
      </c>
      <c r="X39" s="150">
        <f ca="1">IF(S39=0,"",PV(constantes!$B$3,O39,-V39)*constantes!$B$3)</f>
        <v>174.59072140294285</v>
      </c>
      <c r="Y39" s="85">
        <f t="shared" si="3"/>
        <v>1400</v>
      </c>
      <c r="Z39">
        <v>38</v>
      </c>
    </row>
    <row r="40" spans="1:26">
      <c r="A40" s="290">
        <v>7039</v>
      </c>
      <c r="B40" s="23" t="str">
        <f t="shared" si="0"/>
        <v>SE-NE_1500__kV_39</v>
      </c>
      <c r="C40" s="23">
        <v>802</v>
      </c>
      <c r="D40" s="142" t="str">
        <f>VLOOKUP(C40,tab_corredor!$A$2:$B$50,2,0)</f>
        <v>SE-NE</v>
      </c>
      <c r="E40" s="23">
        <v>1500</v>
      </c>
      <c r="F40" s="23" t="s">
        <v>2671</v>
      </c>
      <c r="G40" s="23">
        <v>1500</v>
      </c>
      <c r="H40" s="23">
        <v>1500</v>
      </c>
      <c r="I40" s="394">
        <v>5.0000000000000004E-6</v>
      </c>
      <c r="J40" s="394">
        <v>5.0000000000000004E-6</v>
      </c>
      <c r="K40" s="290">
        <v>1</v>
      </c>
      <c r="L40" s="291" t="s">
        <v>2619</v>
      </c>
      <c r="M40" s="23">
        <v>2015</v>
      </c>
      <c r="N40" s="23">
        <v>2100</v>
      </c>
      <c r="O40" s="292">
        <v>25</v>
      </c>
      <c r="P40" s="293">
        <v>2100</v>
      </c>
      <c r="Q40" s="294">
        <v>1</v>
      </c>
      <c r="R40" s="23"/>
      <c r="S40" s="148">
        <f t="shared" si="2"/>
        <v>2100</v>
      </c>
      <c r="T40" s="148">
        <f ca="1">IF(S40=0,"",S40*(OFFSET(cod_desembolso!$A$1,Q40,23)))</f>
        <v>2182.3840175367854</v>
      </c>
      <c r="U40" s="149">
        <f>(constantes!$B$3*(1+constantes!$B$3)^(O40))/((1+constantes!$B$3)^(O40)-1)</f>
        <v>9.3678779051968114E-2</v>
      </c>
      <c r="V40" s="148">
        <f t="shared" ca="1" si="1"/>
        <v>204.44307018537503</v>
      </c>
      <c r="W40" s="148">
        <f ca="1">(IF(S40=0,"",V40/constantes!$B$3))*1</f>
        <v>2555.538377317188</v>
      </c>
      <c r="X40" s="150">
        <f ca="1">IF(S40=0,"",PV(constantes!$B$3,O40,-V40)*constantes!$B$3)</f>
        <v>174.59072140294285</v>
      </c>
      <c r="Y40" s="85">
        <f t="shared" si="3"/>
        <v>1400</v>
      </c>
      <c r="Z40">
        <v>39</v>
      </c>
    </row>
    <row r="41" spans="1:26">
      <c r="A41" s="290">
        <v>7040</v>
      </c>
      <c r="B41" s="23" t="str">
        <f t="shared" si="0"/>
        <v>SE-NE_1500__kV_40</v>
      </c>
      <c r="C41" s="23">
        <v>802</v>
      </c>
      <c r="D41" s="142" t="str">
        <f>VLOOKUP(C41,tab_corredor!$A$2:$B$50,2,0)</f>
        <v>SE-NE</v>
      </c>
      <c r="E41" s="23">
        <v>1500</v>
      </c>
      <c r="F41" s="23" t="s">
        <v>2671</v>
      </c>
      <c r="G41" s="23">
        <v>1500</v>
      </c>
      <c r="H41" s="23">
        <v>1500</v>
      </c>
      <c r="I41" s="394">
        <v>5.0000000000000004E-6</v>
      </c>
      <c r="J41" s="394">
        <v>5.0000000000000004E-6</v>
      </c>
      <c r="K41" s="290">
        <v>1</v>
      </c>
      <c r="L41" s="291" t="s">
        <v>2619</v>
      </c>
      <c r="M41" s="23">
        <v>2015</v>
      </c>
      <c r="N41" s="23">
        <v>2100</v>
      </c>
      <c r="O41" s="292">
        <v>25</v>
      </c>
      <c r="P41" s="293">
        <v>2100</v>
      </c>
      <c r="Q41" s="294">
        <v>1</v>
      </c>
      <c r="R41" s="23"/>
      <c r="S41" s="148">
        <f t="shared" si="2"/>
        <v>2100</v>
      </c>
      <c r="T41" s="148">
        <f ca="1">IF(S41=0,"",S41*(OFFSET(cod_desembolso!$A$1,Q41,23)))</f>
        <v>2182.3840175367854</v>
      </c>
      <c r="U41" s="149">
        <f>(constantes!$B$3*(1+constantes!$B$3)^(O41))/((1+constantes!$B$3)^(O41)-1)</f>
        <v>9.3678779051968114E-2</v>
      </c>
      <c r="V41" s="148">
        <f t="shared" ca="1" si="1"/>
        <v>204.44307018537503</v>
      </c>
      <c r="W41" s="148">
        <f ca="1">(IF(S41=0,"",V41/constantes!$B$3))*1</f>
        <v>2555.538377317188</v>
      </c>
      <c r="X41" s="150">
        <f ca="1">IF(S41=0,"",PV(constantes!$B$3,O41,-V41)*constantes!$B$3)</f>
        <v>174.59072140294285</v>
      </c>
      <c r="Y41" s="85">
        <f t="shared" si="3"/>
        <v>1400</v>
      </c>
      <c r="Z41">
        <v>40</v>
      </c>
    </row>
    <row r="42" spans="1:26">
      <c r="A42" s="290">
        <v>7041</v>
      </c>
      <c r="B42" s="23" t="str">
        <f t="shared" si="0"/>
        <v>SE-NE_1500__kV_41</v>
      </c>
      <c r="C42" s="23">
        <v>802</v>
      </c>
      <c r="D42" s="142" t="str">
        <f>VLOOKUP(C42,tab_corredor!$A$2:$B$50,2,0)</f>
        <v>SE-NE</v>
      </c>
      <c r="E42" s="23">
        <v>1500</v>
      </c>
      <c r="F42" s="23" t="s">
        <v>2671</v>
      </c>
      <c r="G42" s="23">
        <v>1500</v>
      </c>
      <c r="H42" s="23">
        <v>1500</v>
      </c>
      <c r="I42" s="394">
        <v>5.0000000000000004E-6</v>
      </c>
      <c r="J42" s="394">
        <v>5.0000000000000004E-6</v>
      </c>
      <c r="K42" s="290">
        <v>1</v>
      </c>
      <c r="L42" s="291" t="s">
        <v>2619</v>
      </c>
      <c r="M42" s="23">
        <v>2015</v>
      </c>
      <c r="N42" s="23">
        <v>2100</v>
      </c>
      <c r="O42" s="292">
        <v>25</v>
      </c>
      <c r="P42" s="293">
        <v>2100</v>
      </c>
      <c r="Q42" s="294">
        <v>1</v>
      </c>
      <c r="R42" s="23"/>
      <c r="S42" s="148">
        <f t="shared" si="2"/>
        <v>2100</v>
      </c>
      <c r="T42" s="148">
        <f ca="1">IF(S42=0,"",S42*(OFFSET(cod_desembolso!$A$1,Q42,23)))</f>
        <v>2182.3840175367854</v>
      </c>
      <c r="U42" s="149">
        <f>(constantes!$B$3*(1+constantes!$B$3)^(O42))/((1+constantes!$B$3)^(O42)-1)</f>
        <v>9.3678779051968114E-2</v>
      </c>
      <c r="V42" s="148">
        <f t="shared" ca="1" si="1"/>
        <v>204.44307018537503</v>
      </c>
      <c r="W42" s="148">
        <f ca="1">(IF(S42=0,"",V42/constantes!$B$3))*1</f>
        <v>2555.538377317188</v>
      </c>
      <c r="X42" s="150">
        <f ca="1">IF(S42=0,"",PV(constantes!$B$3,O42,-V42)*constantes!$B$3)</f>
        <v>174.59072140294285</v>
      </c>
      <c r="Y42" s="85">
        <f t="shared" si="3"/>
        <v>1400</v>
      </c>
      <c r="Z42">
        <v>41</v>
      </c>
    </row>
    <row r="43" spans="1:26">
      <c r="A43" s="290">
        <v>7042</v>
      </c>
      <c r="B43" s="23" t="str">
        <f t="shared" si="0"/>
        <v>SE-NE_1500__kV_42</v>
      </c>
      <c r="C43" s="23">
        <v>802</v>
      </c>
      <c r="D43" s="142" t="str">
        <f>VLOOKUP(C43,tab_corredor!$A$2:$B$50,2,0)</f>
        <v>SE-NE</v>
      </c>
      <c r="E43" s="23">
        <v>1500</v>
      </c>
      <c r="F43" s="23" t="s">
        <v>2671</v>
      </c>
      <c r="G43" s="23">
        <v>1500</v>
      </c>
      <c r="H43" s="23">
        <v>1500</v>
      </c>
      <c r="I43" s="394">
        <v>5.0000000000000004E-6</v>
      </c>
      <c r="J43" s="394">
        <v>5.0000000000000004E-6</v>
      </c>
      <c r="K43" s="290">
        <v>1</v>
      </c>
      <c r="L43" s="291" t="s">
        <v>2619</v>
      </c>
      <c r="M43" s="23">
        <v>2015</v>
      </c>
      <c r="N43" s="23">
        <v>2100</v>
      </c>
      <c r="O43" s="292">
        <v>25</v>
      </c>
      <c r="P43" s="293">
        <v>2100</v>
      </c>
      <c r="Q43" s="294">
        <v>1</v>
      </c>
      <c r="R43" s="23"/>
      <c r="S43" s="148">
        <f t="shared" si="2"/>
        <v>2100</v>
      </c>
      <c r="T43" s="148">
        <f ca="1">IF(S43=0,"",S43*(OFFSET(cod_desembolso!$A$1,Q43,23)))</f>
        <v>2182.3840175367854</v>
      </c>
      <c r="U43" s="149">
        <f>(constantes!$B$3*(1+constantes!$B$3)^(O43))/((1+constantes!$B$3)^(O43)-1)</f>
        <v>9.3678779051968114E-2</v>
      </c>
      <c r="V43" s="148">
        <f t="shared" ca="1" si="1"/>
        <v>204.44307018537503</v>
      </c>
      <c r="W43" s="148">
        <f ca="1">(IF(S43=0,"",V43/constantes!$B$3))*1</f>
        <v>2555.538377317188</v>
      </c>
      <c r="X43" s="150">
        <f ca="1">IF(S43=0,"",PV(constantes!$B$3,O43,-V43)*constantes!$B$3)</f>
        <v>174.59072140294285</v>
      </c>
      <c r="Y43" s="85">
        <f t="shared" si="3"/>
        <v>1400</v>
      </c>
      <c r="Z43">
        <v>42</v>
      </c>
    </row>
    <row r="44" spans="1:26">
      <c r="A44" s="290">
        <v>7043</v>
      </c>
      <c r="B44" s="23" t="str">
        <f t="shared" si="0"/>
        <v>SE-NE_1500__kV_43</v>
      </c>
      <c r="C44" s="23">
        <v>802</v>
      </c>
      <c r="D44" s="142" t="str">
        <f>VLOOKUP(C44,tab_corredor!$A$2:$B$50,2,0)</f>
        <v>SE-NE</v>
      </c>
      <c r="E44" s="23">
        <v>1500</v>
      </c>
      <c r="F44" s="23" t="s">
        <v>2671</v>
      </c>
      <c r="G44" s="23">
        <v>1500</v>
      </c>
      <c r="H44" s="23">
        <v>1500</v>
      </c>
      <c r="I44" s="394">
        <v>5.0000000000000004E-6</v>
      </c>
      <c r="J44" s="394">
        <v>5.0000000000000004E-6</v>
      </c>
      <c r="K44" s="290">
        <v>1</v>
      </c>
      <c r="L44" s="291" t="s">
        <v>2619</v>
      </c>
      <c r="M44" s="23">
        <v>2015</v>
      </c>
      <c r="N44" s="23">
        <v>2100</v>
      </c>
      <c r="O44" s="292">
        <v>25</v>
      </c>
      <c r="P44" s="293">
        <v>2100</v>
      </c>
      <c r="Q44" s="294">
        <v>1</v>
      </c>
      <c r="R44" s="23"/>
      <c r="S44" s="148">
        <f t="shared" si="2"/>
        <v>2100</v>
      </c>
      <c r="T44" s="148">
        <f ca="1">IF(S44=0,"",S44*(OFFSET(cod_desembolso!$A$1,Q44,23)))</f>
        <v>2182.3840175367854</v>
      </c>
      <c r="U44" s="149">
        <f>(constantes!$B$3*(1+constantes!$B$3)^(O44))/((1+constantes!$B$3)^(O44)-1)</f>
        <v>9.3678779051968114E-2</v>
      </c>
      <c r="V44" s="148">
        <f t="shared" ca="1" si="1"/>
        <v>204.44307018537503</v>
      </c>
      <c r="W44" s="148">
        <f ca="1">(IF(S44=0,"",V44/constantes!$B$3))*1</f>
        <v>2555.538377317188</v>
      </c>
      <c r="X44" s="150">
        <f ca="1">IF(S44=0,"",PV(constantes!$B$3,O44,-V44)*constantes!$B$3)</f>
        <v>174.59072140294285</v>
      </c>
      <c r="Y44" s="85">
        <f t="shared" si="3"/>
        <v>1400</v>
      </c>
      <c r="Z44">
        <v>43</v>
      </c>
    </row>
    <row r="45" spans="1:26">
      <c r="A45" s="290">
        <v>7044</v>
      </c>
      <c r="B45" s="23" t="str">
        <f t="shared" si="0"/>
        <v>SE-NE_1500__kV_44</v>
      </c>
      <c r="C45" s="23">
        <v>802</v>
      </c>
      <c r="D45" s="142" t="str">
        <f>VLOOKUP(C45,tab_corredor!$A$2:$B$50,2,0)</f>
        <v>SE-NE</v>
      </c>
      <c r="E45" s="23">
        <v>1500</v>
      </c>
      <c r="F45" s="23" t="s">
        <v>2671</v>
      </c>
      <c r="G45" s="23">
        <v>1500</v>
      </c>
      <c r="H45" s="23">
        <v>1500</v>
      </c>
      <c r="I45" s="394">
        <v>5.0000000000000004E-6</v>
      </c>
      <c r="J45" s="394">
        <v>5.0000000000000004E-6</v>
      </c>
      <c r="K45" s="290">
        <v>1</v>
      </c>
      <c r="L45" s="291" t="s">
        <v>2619</v>
      </c>
      <c r="M45" s="23">
        <v>2015</v>
      </c>
      <c r="N45" s="23">
        <v>2100</v>
      </c>
      <c r="O45" s="292">
        <v>25</v>
      </c>
      <c r="P45" s="293">
        <v>2100</v>
      </c>
      <c r="Q45" s="294">
        <v>1</v>
      </c>
      <c r="R45" s="23"/>
      <c r="S45" s="148">
        <f t="shared" si="2"/>
        <v>2100</v>
      </c>
      <c r="T45" s="148">
        <f ca="1">IF(S45=0,"",S45*(OFFSET(cod_desembolso!$A$1,Q45,23)))</f>
        <v>2182.3840175367854</v>
      </c>
      <c r="U45" s="149">
        <f>(constantes!$B$3*(1+constantes!$B$3)^(O45))/((1+constantes!$B$3)^(O45)-1)</f>
        <v>9.3678779051968114E-2</v>
      </c>
      <c r="V45" s="148">
        <f t="shared" ca="1" si="1"/>
        <v>204.44307018537503</v>
      </c>
      <c r="W45" s="148">
        <f ca="1">(IF(S45=0,"",V45/constantes!$B$3))*1</f>
        <v>2555.538377317188</v>
      </c>
      <c r="X45" s="150">
        <f ca="1">IF(S45=0,"",PV(constantes!$B$3,O45,-V45)*constantes!$B$3)</f>
        <v>174.59072140294285</v>
      </c>
      <c r="Y45" s="85">
        <f t="shared" si="3"/>
        <v>1400</v>
      </c>
      <c r="Z45">
        <v>44</v>
      </c>
    </row>
    <row r="46" spans="1:26">
      <c r="A46" s="290">
        <v>7045</v>
      </c>
      <c r="B46" s="23" t="str">
        <f t="shared" si="0"/>
        <v>SE-NE_1500__kV_45</v>
      </c>
      <c r="C46" s="23">
        <v>802</v>
      </c>
      <c r="D46" s="142" t="str">
        <f>VLOOKUP(C46,tab_corredor!$A$2:$B$50,2,0)</f>
        <v>SE-NE</v>
      </c>
      <c r="E46" s="23">
        <v>1500</v>
      </c>
      <c r="F46" s="23" t="s">
        <v>2671</v>
      </c>
      <c r="G46" s="23">
        <v>1500</v>
      </c>
      <c r="H46" s="23">
        <v>1500</v>
      </c>
      <c r="I46" s="394">
        <v>5.0000000000000004E-6</v>
      </c>
      <c r="J46" s="394">
        <v>5.0000000000000004E-6</v>
      </c>
      <c r="K46" s="290">
        <v>1</v>
      </c>
      <c r="L46" s="291" t="s">
        <v>2619</v>
      </c>
      <c r="M46" s="23">
        <v>2015</v>
      </c>
      <c r="N46" s="23">
        <v>2100</v>
      </c>
      <c r="O46" s="292">
        <v>25</v>
      </c>
      <c r="P46" s="293">
        <v>2100</v>
      </c>
      <c r="Q46" s="294">
        <v>1</v>
      </c>
      <c r="R46" s="23"/>
      <c r="S46" s="148">
        <f t="shared" si="2"/>
        <v>2100</v>
      </c>
      <c r="T46" s="148">
        <f ca="1">IF(S46=0,"",S46*(OFFSET(cod_desembolso!$A$1,Q46,23)))</f>
        <v>2182.3840175367854</v>
      </c>
      <c r="U46" s="149">
        <f>(constantes!$B$3*(1+constantes!$B$3)^(O46))/((1+constantes!$B$3)^(O46)-1)</f>
        <v>9.3678779051968114E-2</v>
      </c>
      <c r="V46" s="148">
        <f t="shared" ca="1" si="1"/>
        <v>204.44307018537503</v>
      </c>
      <c r="W46" s="148">
        <f ca="1">(IF(S46=0,"",V46/constantes!$B$3))*1</f>
        <v>2555.538377317188</v>
      </c>
      <c r="X46" s="150">
        <f ca="1">IF(S46=0,"",PV(constantes!$B$3,O46,-V46)*constantes!$B$3)</f>
        <v>174.59072140294285</v>
      </c>
      <c r="Y46" s="85">
        <f t="shared" si="3"/>
        <v>1400</v>
      </c>
      <c r="Z46">
        <v>45</v>
      </c>
    </row>
    <row r="47" spans="1:26">
      <c r="A47" s="290">
        <v>7046</v>
      </c>
      <c r="B47" s="23" t="str">
        <f t="shared" si="0"/>
        <v>SE-NE_1500__kV_46</v>
      </c>
      <c r="C47" s="23">
        <v>802</v>
      </c>
      <c r="D47" s="142" t="str">
        <f>VLOOKUP(C47,tab_corredor!$A$2:$B$50,2,0)</f>
        <v>SE-NE</v>
      </c>
      <c r="E47" s="23">
        <v>1500</v>
      </c>
      <c r="F47" s="23" t="s">
        <v>2671</v>
      </c>
      <c r="G47" s="23">
        <v>1500</v>
      </c>
      <c r="H47" s="23">
        <v>1500</v>
      </c>
      <c r="I47" s="394">
        <v>5.0000000000000004E-6</v>
      </c>
      <c r="J47" s="394">
        <v>5.0000000000000004E-6</v>
      </c>
      <c r="K47" s="290">
        <v>1</v>
      </c>
      <c r="L47" s="291" t="s">
        <v>2619</v>
      </c>
      <c r="M47" s="23">
        <v>2015</v>
      </c>
      <c r="N47" s="23">
        <v>2100</v>
      </c>
      <c r="O47" s="292">
        <v>25</v>
      </c>
      <c r="P47" s="293">
        <v>2100</v>
      </c>
      <c r="Q47" s="294">
        <v>1</v>
      </c>
      <c r="R47" s="23"/>
      <c r="S47" s="148">
        <f t="shared" si="2"/>
        <v>2100</v>
      </c>
      <c r="T47" s="148">
        <f ca="1">IF(S47=0,"",S47*(OFFSET(cod_desembolso!$A$1,Q47,23)))</f>
        <v>2182.3840175367854</v>
      </c>
      <c r="U47" s="149">
        <f>(constantes!$B$3*(1+constantes!$B$3)^(O47))/((1+constantes!$B$3)^(O47)-1)</f>
        <v>9.3678779051968114E-2</v>
      </c>
      <c r="V47" s="148">
        <f t="shared" ca="1" si="1"/>
        <v>204.44307018537503</v>
      </c>
      <c r="W47" s="148">
        <f ca="1">(IF(S47=0,"",V47/constantes!$B$3))*1</f>
        <v>2555.538377317188</v>
      </c>
      <c r="X47" s="150">
        <f ca="1">IF(S47=0,"",PV(constantes!$B$3,O47,-V47)*constantes!$B$3)</f>
        <v>174.59072140294285</v>
      </c>
      <c r="Y47" s="85">
        <f t="shared" si="3"/>
        <v>1400</v>
      </c>
      <c r="Z47">
        <v>46</v>
      </c>
    </row>
    <row r="48" spans="1:26">
      <c r="A48" s="290">
        <v>7047</v>
      </c>
      <c r="B48" s="23" t="str">
        <f t="shared" si="0"/>
        <v>SE-NE_1500__kV_47</v>
      </c>
      <c r="C48" s="23">
        <v>802</v>
      </c>
      <c r="D48" s="142" t="str">
        <f>VLOOKUP(C48,tab_corredor!$A$2:$B$50,2,0)</f>
        <v>SE-NE</v>
      </c>
      <c r="E48" s="23">
        <v>1500</v>
      </c>
      <c r="F48" s="23" t="s">
        <v>2671</v>
      </c>
      <c r="G48" s="23">
        <v>1500</v>
      </c>
      <c r="H48" s="23">
        <v>1500</v>
      </c>
      <c r="I48" s="394">
        <v>5.0000000000000004E-6</v>
      </c>
      <c r="J48" s="394">
        <v>5.0000000000000004E-6</v>
      </c>
      <c r="K48" s="290">
        <v>1</v>
      </c>
      <c r="L48" s="291" t="s">
        <v>2619</v>
      </c>
      <c r="M48" s="23">
        <v>2015</v>
      </c>
      <c r="N48" s="23">
        <v>2100</v>
      </c>
      <c r="O48" s="292">
        <v>25</v>
      </c>
      <c r="P48" s="293">
        <v>2100</v>
      </c>
      <c r="Q48" s="294">
        <v>1</v>
      </c>
      <c r="R48" s="23"/>
      <c r="S48" s="148">
        <f t="shared" si="2"/>
        <v>2100</v>
      </c>
      <c r="T48" s="148">
        <f ca="1">IF(S48=0,"",S48*(OFFSET(cod_desembolso!$A$1,Q48,23)))</f>
        <v>2182.3840175367854</v>
      </c>
      <c r="U48" s="149">
        <f>(constantes!$B$3*(1+constantes!$B$3)^(O48))/((1+constantes!$B$3)^(O48)-1)</f>
        <v>9.3678779051968114E-2</v>
      </c>
      <c r="V48" s="148">
        <f t="shared" ca="1" si="1"/>
        <v>204.44307018537503</v>
      </c>
      <c r="W48" s="148">
        <f ca="1">(IF(S48=0,"",V48/constantes!$B$3))*1</f>
        <v>2555.538377317188</v>
      </c>
      <c r="X48" s="150">
        <f ca="1">IF(S48=0,"",PV(constantes!$B$3,O48,-V48)*constantes!$B$3)</f>
        <v>174.59072140294285</v>
      </c>
      <c r="Y48" s="85">
        <f t="shared" si="3"/>
        <v>1400</v>
      </c>
      <c r="Z48">
        <v>47</v>
      </c>
    </row>
    <row r="49" spans="1:26">
      <c r="A49" s="290">
        <v>7048</v>
      </c>
      <c r="B49" s="23" t="str">
        <f t="shared" si="0"/>
        <v>SE-NE_1500__kV_48</v>
      </c>
      <c r="C49" s="23">
        <v>802</v>
      </c>
      <c r="D49" s="142" t="str">
        <f>VLOOKUP(C49,tab_corredor!$A$2:$B$50,2,0)</f>
        <v>SE-NE</v>
      </c>
      <c r="E49" s="23">
        <v>1500</v>
      </c>
      <c r="F49" s="23" t="s">
        <v>2671</v>
      </c>
      <c r="G49" s="23">
        <v>1500</v>
      </c>
      <c r="H49" s="23">
        <v>1500</v>
      </c>
      <c r="I49" s="394">
        <v>5.0000000000000004E-6</v>
      </c>
      <c r="J49" s="394">
        <v>5.0000000000000004E-6</v>
      </c>
      <c r="K49" s="290">
        <v>1</v>
      </c>
      <c r="L49" s="291" t="s">
        <v>2619</v>
      </c>
      <c r="M49" s="23">
        <v>2015</v>
      </c>
      <c r="N49" s="23">
        <v>2100</v>
      </c>
      <c r="O49" s="292">
        <v>25</v>
      </c>
      <c r="P49" s="293">
        <v>2100</v>
      </c>
      <c r="Q49" s="294">
        <v>1</v>
      </c>
      <c r="R49" s="23"/>
      <c r="S49" s="148">
        <f t="shared" si="2"/>
        <v>2100</v>
      </c>
      <c r="T49" s="148">
        <f ca="1">IF(S49=0,"",S49*(OFFSET(cod_desembolso!$A$1,Q49,23)))</f>
        <v>2182.3840175367854</v>
      </c>
      <c r="U49" s="149">
        <f>(constantes!$B$3*(1+constantes!$B$3)^(O49))/((1+constantes!$B$3)^(O49)-1)</f>
        <v>9.3678779051968114E-2</v>
      </c>
      <c r="V49" s="148">
        <f t="shared" ca="1" si="1"/>
        <v>204.44307018537503</v>
      </c>
      <c r="W49" s="148">
        <f ca="1">(IF(S49=0,"",V49/constantes!$B$3))*1</f>
        <v>2555.538377317188</v>
      </c>
      <c r="X49" s="150">
        <f ca="1">IF(S49=0,"",PV(constantes!$B$3,O49,-V49)*constantes!$B$3)</f>
        <v>174.59072140294285</v>
      </c>
      <c r="Y49" s="85">
        <f t="shared" si="3"/>
        <v>1400</v>
      </c>
      <c r="Z49">
        <v>48</v>
      </c>
    </row>
    <row r="50" spans="1:26">
      <c r="A50" s="290">
        <v>7049</v>
      </c>
      <c r="B50" s="23" t="str">
        <f t="shared" si="0"/>
        <v>SE-NE_1500__kV_49</v>
      </c>
      <c r="C50" s="23">
        <v>802</v>
      </c>
      <c r="D50" s="142" t="str">
        <f>VLOOKUP(C50,tab_corredor!$A$2:$B$50,2,0)</f>
        <v>SE-NE</v>
      </c>
      <c r="E50" s="23">
        <v>1500</v>
      </c>
      <c r="F50" s="23" t="s">
        <v>2671</v>
      </c>
      <c r="G50" s="23">
        <v>1500</v>
      </c>
      <c r="H50" s="23">
        <v>1500</v>
      </c>
      <c r="I50" s="394">
        <v>5.0000000000000004E-6</v>
      </c>
      <c r="J50" s="394">
        <v>5.0000000000000004E-6</v>
      </c>
      <c r="K50" s="290">
        <v>1</v>
      </c>
      <c r="L50" s="291" t="s">
        <v>2619</v>
      </c>
      <c r="M50" s="23">
        <v>2015</v>
      </c>
      <c r="N50" s="23">
        <v>2100</v>
      </c>
      <c r="O50" s="292">
        <v>25</v>
      </c>
      <c r="P50" s="293">
        <v>2100</v>
      </c>
      <c r="Q50" s="294">
        <v>1</v>
      </c>
      <c r="R50" s="23"/>
      <c r="S50" s="148">
        <f t="shared" si="2"/>
        <v>2100</v>
      </c>
      <c r="T50" s="148">
        <f ca="1">IF(S50=0,"",S50*(OFFSET(cod_desembolso!$A$1,Q50,23)))</f>
        <v>2182.3840175367854</v>
      </c>
      <c r="U50" s="149">
        <f>(constantes!$B$3*(1+constantes!$B$3)^(O50))/((1+constantes!$B$3)^(O50)-1)</f>
        <v>9.3678779051968114E-2</v>
      </c>
      <c r="V50" s="148">
        <f t="shared" ca="1" si="1"/>
        <v>204.44307018537503</v>
      </c>
      <c r="W50" s="148">
        <f ca="1">(IF(S50=0,"",V50/constantes!$B$3))*1</f>
        <v>2555.538377317188</v>
      </c>
      <c r="X50" s="150">
        <f ca="1">IF(S50=0,"",PV(constantes!$B$3,O50,-V50)*constantes!$B$3)</f>
        <v>174.59072140294285</v>
      </c>
      <c r="Y50" s="85">
        <f t="shared" si="3"/>
        <v>1400</v>
      </c>
      <c r="Z50">
        <v>49</v>
      </c>
    </row>
    <row r="51" spans="1:26">
      <c r="A51" s="290">
        <v>7050</v>
      </c>
      <c r="B51" s="23" t="str">
        <f t="shared" si="0"/>
        <v>SE-NE_1500__kV_50</v>
      </c>
      <c r="C51" s="23">
        <v>802</v>
      </c>
      <c r="D51" s="142" t="str">
        <f>VLOOKUP(C51,tab_corredor!$A$2:$B$50,2,0)</f>
        <v>SE-NE</v>
      </c>
      <c r="E51" s="23">
        <v>1500</v>
      </c>
      <c r="F51" s="23" t="s">
        <v>2671</v>
      </c>
      <c r="G51" s="23">
        <v>1500</v>
      </c>
      <c r="H51" s="23">
        <v>1500</v>
      </c>
      <c r="I51" s="394">
        <v>5.0000000000000004E-6</v>
      </c>
      <c r="J51" s="394">
        <v>5.0000000000000004E-6</v>
      </c>
      <c r="K51" s="290">
        <v>1</v>
      </c>
      <c r="L51" s="291" t="s">
        <v>2619</v>
      </c>
      <c r="M51" s="23">
        <v>2015</v>
      </c>
      <c r="N51" s="23">
        <v>2100</v>
      </c>
      <c r="O51" s="292">
        <v>25</v>
      </c>
      <c r="P51" s="293">
        <v>2100</v>
      </c>
      <c r="Q51" s="294">
        <v>1</v>
      </c>
      <c r="R51" s="23"/>
      <c r="S51" s="148">
        <f t="shared" si="2"/>
        <v>2100</v>
      </c>
      <c r="T51" s="148">
        <f ca="1">IF(S51=0,"",S51*(OFFSET(cod_desembolso!$A$1,Q51,23)))</f>
        <v>2182.3840175367854</v>
      </c>
      <c r="U51" s="149">
        <f>(constantes!$B$3*(1+constantes!$B$3)^(O51))/((1+constantes!$B$3)^(O51)-1)</f>
        <v>9.3678779051968114E-2</v>
      </c>
      <c r="V51" s="148">
        <f t="shared" ca="1" si="1"/>
        <v>204.44307018537503</v>
      </c>
      <c r="W51" s="148">
        <f ca="1">(IF(S51=0,"",V51/constantes!$B$3))*1</f>
        <v>2555.538377317188</v>
      </c>
      <c r="X51" s="150">
        <f ca="1">IF(S51=0,"",PV(constantes!$B$3,O51,-V51)*constantes!$B$3)</f>
        <v>174.59072140294285</v>
      </c>
      <c r="Y51" s="85">
        <f t="shared" si="3"/>
        <v>1400</v>
      </c>
      <c r="Z51">
        <v>50</v>
      </c>
    </row>
    <row r="52" spans="1:26">
      <c r="A52" s="290">
        <v>7051</v>
      </c>
      <c r="B52" s="23" t="str">
        <f t="shared" si="0"/>
        <v>SE-NE_1500__kV_51</v>
      </c>
      <c r="C52" s="23">
        <v>802</v>
      </c>
      <c r="D52" s="142" t="str">
        <f>VLOOKUP(C52,tab_corredor!$A$2:$B$50,2,0)</f>
        <v>SE-NE</v>
      </c>
      <c r="E52" s="23">
        <v>1500</v>
      </c>
      <c r="F52" s="23" t="s">
        <v>2671</v>
      </c>
      <c r="G52" s="23">
        <v>1500</v>
      </c>
      <c r="H52" s="23">
        <v>1500</v>
      </c>
      <c r="I52" s="394">
        <v>5.0000000000000004E-6</v>
      </c>
      <c r="J52" s="394">
        <v>5.0000000000000004E-6</v>
      </c>
      <c r="K52" s="290">
        <v>1</v>
      </c>
      <c r="L52" s="291" t="s">
        <v>2619</v>
      </c>
      <c r="M52" s="23">
        <v>2015</v>
      </c>
      <c r="N52" s="23">
        <v>2100</v>
      </c>
      <c r="O52" s="292">
        <v>25</v>
      </c>
      <c r="P52" s="293">
        <v>2100</v>
      </c>
      <c r="Q52" s="294">
        <v>1</v>
      </c>
      <c r="R52" s="23"/>
      <c r="S52" s="148">
        <f t="shared" si="2"/>
        <v>2100</v>
      </c>
      <c r="T52" s="148">
        <f ca="1">IF(S52=0,"",S52*(OFFSET(cod_desembolso!$A$1,Q52,23)))</f>
        <v>2182.3840175367854</v>
      </c>
      <c r="U52" s="149">
        <f>(constantes!$B$3*(1+constantes!$B$3)^(O52))/((1+constantes!$B$3)^(O52)-1)</f>
        <v>9.3678779051968114E-2</v>
      </c>
      <c r="V52" s="148">
        <f t="shared" ca="1" si="1"/>
        <v>204.44307018537503</v>
      </c>
      <c r="W52" s="148">
        <f ca="1">(IF(S52=0,"",V52/constantes!$B$3))*1</f>
        <v>2555.538377317188</v>
      </c>
      <c r="X52" s="150">
        <f ca="1">IF(S52=0,"",PV(constantes!$B$3,O52,-V52)*constantes!$B$3)</f>
        <v>174.59072140294285</v>
      </c>
      <c r="Y52" s="85">
        <f t="shared" si="3"/>
        <v>1400</v>
      </c>
      <c r="Z52">
        <v>51</v>
      </c>
    </row>
    <row r="53" spans="1:26">
      <c r="A53" s="290">
        <v>7052</v>
      </c>
      <c r="B53" s="23" t="str">
        <f t="shared" si="0"/>
        <v>SE-NE_1500__kV_52</v>
      </c>
      <c r="C53" s="23">
        <v>802</v>
      </c>
      <c r="D53" s="142" t="str">
        <f>VLOOKUP(C53,tab_corredor!$A$2:$B$50,2,0)</f>
        <v>SE-NE</v>
      </c>
      <c r="E53" s="23">
        <v>1500</v>
      </c>
      <c r="F53" s="23" t="s">
        <v>2671</v>
      </c>
      <c r="G53" s="23">
        <v>1500</v>
      </c>
      <c r="H53" s="23">
        <v>1500</v>
      </c>
      <c r="I53" s="394">
        <v>5.0000000000000004E-6</v>
      </c>
      <c r="J53" s="394">
        <v>5.0000000000000004E-6</v>
      </c>
      <c r="K53" s="290">
        <v>1</v>
      </c>
      <c r="L53" s="291" t="s">
        <v>2619</v>
      </c>
      <c r="M53" s="23">
        <v>2015</v>
      </c>
      <c r="N53" s="23">
        <v>2100</v>
      </c>
      <c r="O53" s="292">
        <v>25</v>
      </c>
      <c r="P53" s="293">
        <v>2100</v>
      </c>
      <c r="Q53" s="294">
        <v>1</v>
      </c>
      <c r="R53" s="23"/>
      <c r="S53" s="148">
        <f t="shared" si="2"/>
        <v>2100</v>
      </c>
      <c r="T53" s="148">
        <f ca="1">IF(S53=0,"",S53*(OFFSET(cod_desembolso!$A$1,Q53,23)))</f>
        <v>2182.3840175367854</v>
      </c>
      <c r="U53" s="149">
        <f>(constantes!$B$3*(1+constantes!$B$3)^(O53))/((1+constantes!$B$3)^(O53)-1)</f>
        <v>9.3678779051968114E-2</v>
      </c>
      <c r="V53" s="148">
        <f t="shared" ca="1" si="1"/>
        <v>204.44307018537503</v>
      </c>
      <c r="W53" s="148">
        <f ca="1">(IF(S53=0,"",V53/constantes!$B$3))*1</f>
        <v>2555.538377317188</v>
      </c>
      <c r="X53" s="150">
        <f ca="1">IF(S53=0,"",PV(constantes!$B$3,O53,-V53)*constantes!$B$3)</f>
        <v>174.59072140294285</v>
      </c>
      <c r="Y53" s="85">
        <f t="shared" si="3"/>
        <v>1400</v>
      </c>
      <c r="Z53">
        <v>52</v>
      </c>
    </row>
    <row r="54" spans="1:26">
      <c r="A54" s="290">
        <v>7053</v>
      </c>
      <c r="B54" s="23" t="str">
        <f t="shared" si="0"/>
        <v>SE-NE_1500__kV_53</v>
      </c>
      <c r="C54" s="23">
        <v>802</v>
      </c>
      <c r="D54" s="142" t="str">
        <f>VLOOKUP(C54,tab_corredor!$A$2:$B$50,2,0)</f>
        <v>SE-NE</v>
      </c>
      <c r="E54" s="23">
        <v>1500</v>
      </c>
      <c r="F54" s="23" t="s">
        <v>2671</v>
      </c>
      <c r="G54" s="23">
        <v>1500</v>
      </c>
      <c r="H54" s="23">
        <v>1500</v>
      </c>
      <c r="I54" s="394">
        <v>5.0000000000000004E-6</v>
      </c>
      <c r="J54" s="394">
        <v>5.0000000000000004E-6</v>
      </c>
      <c r="K54" s="290">
        <v>1</v>
      </c>
      <c r="L54" s="291" t="s">
        <v>2619</v>
      </c>
      <c r="M54" s="23">
        <v>2015</v>
      </c>
      <c r="N54" s="23">
        <v>2100</v>
      </c>
      <c r="O54" s="292">
        <v>25</v>
      </c>
      <c r="P54" s="293">
        <v>2100</v>
      </c>
      <c r="Q54" s="294">
        <v>1</v>
      </c>
      <c r="R54" s="23"/>
      <c r="S54" s="148">
        <f t="shared" si="2"/>
        <v>2100</v>
      </c>
      <c r="T54" s="148">
        <f ca="1">IF(S54=0,"",S54*(OFFSET(cod_desembolso!$A$1,Q54,23)))</f>
        <v>2182.3840175367854</v>
      </c>
      <c r="U54" s="149">
        <f>(constantes!$B$3*(1+constantes!$B$3)^(O54))/((1+constantes!$B$3)^(O54)-1)</f>
        <v>9.3678779051968114E-2</v>
      </c>
      <c r="V54" s="148">
        <f t="shared" ca="1" si="1"/>
        <v>204.44307018537503</v>
      </c>
      <c r="W54" s="148">
        <f ca="1">(IF(S54=0,"",V54/constantes!$B$3))*1</f>
        <v>2555.538377317188</v>
      </c>
      <c r="X54" s="150">
        <f ca="1">IF(S54=0,"",PV(constantes!$B$3,O54,-V54)*constantes!$B$3)</f>
        <v>174.59072140294285</v>
      </c>
      <c r="Y54" s="85">
        <f t="shared" si="3"/>
        <v>1400</v>
      </c>
      <c r="Z54">
        <v>53</v>
      </c>
    </row>
    <row r="55" spans="1:26">
      <c r="A55" s="290">
        <v>7054</v>
      </c>
      <c r="B55" s="23" t="str">
        <f t="shared" si="0"/>
        <v>SE-NE_1500__kV_54</v>
      </c>
      <c r="C55" s="23">
        <v>802</v>
      </c>
      <c r="D55" s="142" t="str">
        <f>VLOOKUP(C55,tab_corredor!$A$2:$B$50,2,0)</f>
        <v>SE-NE</v>
      </c>
      <c r="E55" s="23">
        <v>1500</v>
      </c>
      <c r="F55" s="23" t="s">
        <v>2671</v>
      </c>
      <c r="G55" s="23">
        <v>1500</v>
      </c>
      <c r="H55" s="23">
        <v>1500</v>
      </c>
      <c r="I55" s="394">
        <v>5.0000000000000004E-6</v>
      </c>
      <c r="J55" s="394">
        <v>5.0000000000000004E-6</v>
      </c>
      <c r="K55" s="290">
        <v>1</v>
      </c>
      <c r="L55" s="291" t="s">
        <v>2619</v>
      </c>
      <c r="M55" s="23">
        <v>2015</v>
      </c>
      <c r="N55" s="23">
        <v>2100</v>
      </c>
      <c r="O55" s="292">
        <v>25</v>
      </c>
      <c r="P55" s="293">
        <v>2100</v>
      </c>
      <c r="Q55" s="294">
        <v>1</v>
      </c>
      <c r="R55" s="23"/>
      <c r="S55" s="148">
        <f t="shared" si="2"/>
        <v>2100</v>
      </c>
      <c r="T55" s="148">
        <f ca="1">IF(S55=0,"",S55*(OFFSET(cod_desembolso!$A$1,Q55,23)))</f>
        <v>2182.3840175367854</v>
      </c>
      <c r="U55" s="149">
        <f>(constantes!$B$3*(1+constantes!$B$3)^(O55))/((1+constantes!$B$3)^(O55)-1)</f>
        <v>9.3678779051968114E-2</v>
      </c>
      <c r="V55" s="148">
        <f t="shared" ca="1" si="1"/>
        <v>204.44307018537503</v>
      </c>
      <c r="W55" s="148">
        <f ca="1">(IF(S55=0,"",V55/constantes!$B$3))*1</f>
        <v>2555.538377317188</v>
      </c>
      <c r="X55" s="150">
        <f ca="1">IF(S55=0,"",PV(constantes!$B$3,O55,-V55)*constantes!$B$3)</f>
        <v>174.59072140294285</v>
      </c>
      <c r="Y55" s="85">
        <f t="shared" si="3"/>
        <v>1400</v>
      </c>
      <c r="Z55">
        <v>54</v>
      </c>
    </row>
    <row r="56" spans="1:26">
      <c r="A56" s="290">
        <v>7055</v>
      </c>
      <c r="B56" s="23" t="str">
        <f t="shared" si="0"/>
        <v>SE-NE_1500__kV_55</v>
      </c>
      <c r="C56" s="23">
        <v>802</v>
      </c>
      <c r="D56" s="142" t="str">
        <f>VLOOKUP(C56,tab_corredor!$A$2:$B$50,2,0)</f>
        <v>SE-NE</v>
      </c>
      <c r="E56" s="23">
        <v>1500</v>
      </c>
      <c r="F56" s="23" t="s">
        <v>2671</v>
      </c>
      <c r="G56" s="23">
        <v>1500</v>
      </c>
      <c r="H56" s="23">
        <v>1500</v>
      </c>
      <c r="I56" s="394">
        <v>5.0000000000000004E-6</v>
      </c>
      <c r="J56" s="394">
        <v>5.0000000000000004E-6</v>
      </c>
      <c r="K56" s="290">
        <v>1</v>
      </c>
      <c r="L56" s="291" t="s">
        <v>2619</v>
      </c>
      <c r="M56" s="23">
        <v>2015</v>
      </c>
      <c r="N56" s="23">
        <v>2100</v>
      </c>
      <c r="O56" s="292">
        <v>25</v>
      </c>
      <c r="P56" s="293">
        <v>2100</v>
      </c>
      <c r="Q56" s="294">
        <v>1</v>
      </c>
      <c r="R56" s="23"/>
      <c r="S56" s="148">
        <f t="shared" si="2"/>
        <v>2100</v>
      </c>
      <c r="T56" s="148">
        <f ca="1">IF(S56=0,"",S56*(OFFSET(cod_desembolso!$A$1,Q56,23)))</f>
        <v>2182.3840175367854</v>
      </c>
      <c r="U56" s="149">
        <f>(constantes!$B$3*(1+constantes!$B$3)^(O56))/((1+constantes!$B$3)^(O56)-1)</f>
        <v>9.3678779051968114E-2</v>
      </c>
      <c r="V56" s="148">
        <f t="shared" ca="1" si="1"/>
        <v>204.44307018537503</v>
      </c>
      <c r="W56" s="148">
        <f ca="1">(IF(S56=0,"",V56/constantes!$B$3))*1</f>
        <v>2555.538377317188</v>
      </c>
      <c r="X56" s="150">
        <f ca="1">IF(S56=0,"",PV(constantes!$B$3,O56,-V56)*constantes!$B$3)</f>
        <v>174.59072140294285</v>
      </c>
      <c r="Y56" s="85">
        <f t="shared" si="3"/>
        <v>1400</v>
      </c>
      <c r="Z56">
        <v>55</v>
      </c>
    </row>
    <row r="57" spans="1:26">
      <c r="A57" s="290">
        <v>7056</v>
      </c>
      <c r="B57" s="23" t="str">
        <f t="shared" si="0"/>
        <v>SE-NE_1500__kV_56</v>
      </c>
      <c r="C57" s="23">
        <v>802</v>
      </c>
      <c r="D57" s="142" t="str">
        <f>VLOOKUP(C57,tab_corredor!$A$2:$B$50,2,0)</f>
        <v>SE-NE</v>
      </c>
      <c r="E57" s="23">
        <v>1500</v>
      </c>
      <c r="F57" s="23" t="s">
        <v>2671</v>
      </c>
      <c r="G57" s="23">
        <v>1500</v>
      </c>
      <c r="H57" s="23">
        <v>1500</v>
      </c>
      <c r="I57" s="394">
        <v>5.0000000000000004E-6</v>
      </c>
      <c r="J57" s="394">
        <v>5.0000000000000004E-6</v>
      </c>
      <c r="K57" s="290">
        <v>1</v>
      </c>
      <c r="L57" s="291" t="s">
        <v>2619</v>
      </c>
      <c r="M57" s="23">
        <v>2015</v>
      </c>
      <c r="N57" s="23">
        <v>2100</v>
      </c>
      <c r="O57" s="292">
        <v>25</v>
      </c>
      <c r="P57" s="293">
        <v>2100</v>
      </c>
      <c r="Q57" s="294">
        <v>1</v>
      </c>
      <c r="R57" s="23"/>
      <c r="S57" s="148">
        <f t="shared" si="2"/>
        <v>2100</v>
      </c>
      <c r="T57" s="148">
        <f ca="1">IF(S57=0,"",S57*(OFFSET(cod_desembolso!$A$1,Q57,23)))</f>
        <v>2182.3840175367854</v>
      </c>
      <c r="U57" s="149">
        <f>(constantes!$B$3*(1+constantes!$B$3)^(O57))/((1+constantes!$B$3)^(O57)-1)</f>
        <v>9.3678779051968114E-2</v>
      </c>
      <c r="V57" s="148">
        <f t="shared" ca="1" si="1"/>
        <v>204.44307018537503</v>
      </c>
      <c r="W57" s="148">
        <f ca="1">(IF(S57=0,"",V57/constantes!$B$3))*1</f>
        <v>2555.538377317188</v>
      </c>
      <c r="X57" s="150">
        <f ca="1">IF(S57=0,"",PV(constantes!$B$3,O57,-V57)*constantes!$B$3)</f>
        <v>174.59072140294285</v>
      </c>
      <c r="Y57" s="85">
        <f t="shared" si="3"/>
        <v>1400</v>
      </c>
      <c r="Z57">
        <v>56</v>
      </c>
    </row>
    <row r="58" spans="1:26">
      <c r="A58" s="290">
        <v>7057</v>
      </c>
      <c r="B58" s="23" t="str">
        <f t="shared" si="0"/>
        <v>SE-NE_1500__kV_57</v>
      </c>
      <c r="C58" s="23">
        <v>802</v>
      </c>
      <c r="D58" s="142" t="str">
        <f>VLOOKUP(C58,tab_corredor!$A$2:$B$50,2,0)</f>
        <v>SE-NE</v>
      </c>
      <c r="E58" s="23">
        <v>1500</v>
      </c>
      <c r="F58" s="23" t="s">
        <v>2671</v>
      </c>
      <c r="G58" s="23">
        <v>1500</v>
      </c>
      <c r="H58" s="23">
        <v>1500</v>
      </c>
      <c r="I58" s="394">
        <v>5.0000000000000004E-6</v>
      </c>
      <c r="J58" s="394">
        <v>5.0000000000000004E-6</v>
      </c>
      <c r="K58" s="290">
        <v>1</v>
      </c>
      <c r="L58" s="291" t="s">
        <v>2619</v>
      </c>
      <c r="M58" s="23">
        <v>2015</v>
      </c>
      <c r="N58" s="23">
        <v>2100</v>
      </c>
      <c r="O58" s="292">
        <v>25</v>
      </c>
      <c r="P58" s="293">
        <v>2100</v>
      </c>
      <c r="Q58" s="294">
        <v>1</v>
      </c>
      <c r="R58" s="23"/>
      <c r="S58" s="148">
        <f t="shared" si="2"/>
        <v>2100</v>
      </c>
      <c r="T58" s="148">
        <f ca="1">IF(S58=0,"",S58*(OFFSET(cod_desembolso!$A$1,Q58,23)))</f>
        <v>2182.3840175367854</v>
      </c>
      <c r="U58" s="149">
        <f>(constantes!$B$3*(1+constantes!$B$3)^(O58))/((1+constantes!$B$3)^(O58)-1)</f>
        <v>9.3678779051968114E-2</v>
      </c>
      <c r="V58" s="148">
        <f t="shared" ca="1" si="1"/>
        <v>204.44307018537503</v>
      </c>
      <c r="W58" s="148">
        <f ca="1">(IF(S58=0,"",V58/constantes!$B$3))*1</f>
        <v>2555.538377317188</v>
      </c>
      <c r="X58" s="150">
        <f ca="1">IF(S58=0,"",PV(constantes!$B$3,O58,-V58)*constantes!$B$3)</f>
        <v>174.59072140294285</v>
      </c>
      <c r="Y58" s="85">
        <f t="shared" si="3"/>
        <v>1400</v>
      </c>
      <c r="Z58">
        <v>57</v>
      </c>
    </row>
    <row r="59" spans="1:26">
      <c r="A59" s="290">
        <v>7058</v>
      </c>
      <c r="B59" s="23" t="str">
        <f t="shared" si="0"/>
        <v>SE-NE_1500__kV_58</v>
      </c>
      <c r="C59" s="23">
        <v>802</v>
      </c>
      <c r="D59" s="142" t="str">
        <f>VLOOKUP(C59,tab_corredor!$A$2:$B$50,2,0)</f>
        <v>SE-NE</v>
      </c>
      <c r="E59" s="23">
        <v>1500</v>
      </c>
      <c r="F59" s="23" t="s">
        <v>2671</v>
      </c>
      <c r="G59" s="23">
        <v>1500</v>
      </c>
      <c r="H59" s="23">
        <v>1500</v>
      </c>
      <c r="I59" s="394">
        <v>5.0000000000000004E-6</v>
      </c>
      <c r="J59" s="394">
        <v>5.0000000000000004E-6</v>
      </c>
      <c r="K59" s="290">
        <v>1</v>
      </c>
      <c r="L59" s="291" t="s">
        <v>2619</v>
      </c>
      <c r="M59" s="23">
        <v>2015</v>
      </c>
      <c r="N59" s="23">
        <v>2100</v>
      </c>
      <c r="O59" s="292">
        <v>25</v>
      </c>
      <c r="P59" s="293">
        <v>2100</v>
      </c>
      <c r="Q59" s="294">
        <v>1</v>
      </c>
      <c r="R59" s="23"/>
      <c r="S59" s="148">
        <f t="shared" si="2"/>
        <v>2100</v>
      </c>
      <c r="T59" s="148">
        <f ca="1">IF(S59=0,"",S59*(OFFSET(cod_desembolso!$A$1,Q59,23)))</f>
        <v>2182.3840175367854</v>
      </c>
      <c r="U59" s="149">
        <f>(constantes!$B$3*(1+constantes!$B$3)^(O59))/((1+constantes!$B$3)^(O59)-1)</f>
        <v>9.3678779051968114E-2</v>
      </c>
      <c r="V59" s="148">
        <f t="shared" ca="1" si="1"/>
        <v>204.44307018537503</v>
      </c>
      <c r="W59" s="148">
        <f ca="1">(IF(S59=0,"",V59/constantes!$B$3))*1</f>
        <v>2555.538377317188</v>
      </c>
      <c r="X59" s="150">
        <f ca="1">IF(S59=0,"",PV(constantes!$B$3,O59,-V59)*constantes!$B$3)</f>
        <v>174.59072140294285</v>
      </c>
      <c r="Y59" s="85">
        <f t="shared" si="3"/>
        <v>1400</v>
      </c>
      <c r="Z59">
        <v>58</v>
      </c>
    </row>
    <row r="60" spans="1:26">
      <c r="A60" s="290">
        <v>7059</v>
      </c>
      <c r="B60" s="23" t="str">
        <f t="shared" si="0"/>
        <v>SE-NE_1500__kV_59</v>
      </c>
      <c r="C60" s="23">
        <v>802</v>
      </c>
      <c r="D60" s="142" t="str">
        <f>VLOOKUP(C60,tab_corredor!$A$2:$B$50,2,0)</f>
        <v>SE-NE</v>
      </c>
      <c r="E60" s="23">
        <v>1500</v>
      </c>
      <c r="F60" s="23" t="s">
        <v>2671</v>
      </c>
      <c r="G60" s="23">
        <v>1500</v>
      </c>
      <c r="H60" s="23">
        <v>1500</v>
      </c>
      <c r="I60" s="394">
        <v>5.0000000000000004E-6</v>
      </c>
      <c r="J60" s="394">
        <v>5.0000000000000004E-6</v>
      </c>
      <c r="K60" s="290">
        <v>1</v>
      </c>
      <c r="L60" s="291" t="s">
        <v>2619</v>
      </c>
      <c r="M60" s="23">
        <v>2015</v>
      </c>
      <c r="N60" s="23">
        <v>2100</v>
      </c>
      <c r="O60" s="292">
        <v>25</v>
      </c>
      <c r="P60" s="293">
        <v>2100</v>
      </c>
      <c r="Q60" s="294">
        <v>1</v>
      </c>
      <c r="R60" s="23"/>
      <c r="S60" s="148">
        <f t="shared" si="2"/>
        <v>2100</v>
      </c>
      <c r="T60" s="148">
        <f ca="1">IF(S60=0,"",S60*(OFFSET(cod_desembolso!$A$1,Q60,23)))</f>
        <v>2182.3840175367854</v>
      </c>
      <c r="U60" s="149">
        <f>(constantes!$B$3*(1+constantes!$B$3)^(O60))/((1+constantes!$B$3)^(O60)-1)</f>
        <v>9.3678779051968114E-2</v>
      </c>
      <c r="V60" s="148">
        <f t="shared" ca="1" si="1"/>
        <v>204.44307018537503</v>
      </c>
      <c r="W60" s="148">
        <f ca="1">(IF(S60=0,"",V60/constantes!$B$3))*1</f>
        <v>2555.538377317188</v>
      </c>
      <c r="X60" s="150">
        <f ca="1">IF(S60=0,"",PV(constantes!$B$3,O60,-V60)*constantes!$B$3)</f>
        <v>174.59072140294285</v>
      </c>
      <c r="Y60" s="85">
        <f t="shared" si="3"/>
        <v>1400</v>
      </c>
      <c r="Z60">
        <v>59</v>
      </c>
    </row>
    <row r="61" spans="1:26">
      <c r="A61" s="290">
        <v>7060</v>
      </c>
      <c r="B61" s="23" t="str">
        <f t="shared" si="0"/>
        <v>SE-NE_1500__kV_60</v>
      </c>
      <c r="C61" s="23">
        <v>802</v>
      </c>
      <c r="D61" s="142" t="str">
        <f>VLOOKUP(C61,tab_corredor!$A$2:$B$50,2,0)</f>
        <v>SE-NE</v>
      </c>
      <c r="E61" s="23">
        <v>1500</v>
      </c>
      <c r="F61" s="23" t="s">
        <v>2671</v>
      </c>
      <c r="G61" s="23">
        <v>1500</v>
      </c>
      <c r="H61" s="23">
        <v>1500</v>
      </c>
      <c r="I61" s="394">
        <v>5.0000000000000004E-6</v>
      </c>
      <c r="J61" s="394">
        <v>5.0000000000000004E-6</v>
      </c>
      <c r="K61" s="290">
        <v>1</v>
      </c>
      <c r="L61" s="291" t="s">
        <v>2619</v>
      </c>
      <c r="M61" s="23">
        <v>2015</v>
      </c>
      <c r="N61" s="23">
        <v>2100</v>
      </c>
      <c r="O61" s="292">
        <v>25</v>
      </c>
      <c r="P61" s="293">
        <v>2100</v>
      </c>
      <c r="Q61" s="294">
        <v>1</v>
      </c>
      <c r="R61" s="23"/>
      <c r="S61" s="148">
        <f t="shared" si="2"/>
        <v>2100</v>
      </c>
      <c r="T61" s="148">
        <f ca="1">IF(S61=0,"",S61*(OFFSET(cod_desembolso!$A$1,Q61,23)))</f>
        <v>2182.3840175367854</v>
      </c>
      <c r="U61" s="149">
        <f>(constantes!$B$3*(1+constantes!$B$3)^(O61))/((1+constantes!$B$3)^(O61)-1)</f>
        <v>9.3678779051968114E-2</v>
      </c>
      <c r="V61" s="148">
        <f t="shared" ca="1" si="1"/>
        <v>204.44307018537503</v>
      </c>
      <c r="W61" s="148">
        <f ca="1">(IF(S61=0,"",V61/constantes!$B$3))*1</f>
        <v>2555.538377317188</v>
      </c>
      <c r="X61" s="150">
        <f ca="1">IF(S61=0,"",PV(constantes!$B$3,O61,-V61)*constantes!$B$3)</f>
        <v>174.59072140294285</v>
      </c>
      <c r="Y61" s="85">
        <f t="shared" si="3"/>
        <v>1400</v>
      </c>
      <c r="Z61">
        <v>60</v>
      </c>
    </row>
    <row r="62" spans="1:26">
      <c r="A62" s="290">
        <v>7061</v>
      </c>
      <c r="B62" s="23" t="str">
        <f t="shared" si="0"/>
        <v>SE-NE_1500__kV_61</v>
      </c>
      <c r="C62" s="23">
        <v>802</v>
      </c>
      <c r="D62" s="142" t="str">
        <f>VLOOKUP(C62,tab_corredor!$A$2:$B$50,2,0)</f>
        <v>SE-NE</v>
      </c>
      <c r="E62" s="23">
        <v>1500</v>
      </c>
      <c r="F62" s="23" t="s">
        <v>2671</v>
      </c>
      <c r="G62" s="23">
        <v>1500</v>
      </c>
      <c r="H62" s="23">
        <v>1500</v>
      </c>
      <c r="I62" s="394">
        <v>5.0000000000000004E-6</v>
      </c>
      <c r="J62" s="394">
        <v>5.0000000000000004E-6</v>
      </c>
      <c r="K62" s="290">
        <v>1</v>
      </c>
      <c r="L62" s="291" t="s">
        <v>2619</v>
      </c>
      <c r="M62" s="23">
        <v>2015</v>
      </c>
      <c r="N62" s="23">
        <v>2100</v>
      </c>
      <c r="O62" s="292">
        <v>25</v>
      </c>
      <c r="P62" s="293">
        <v>2100</v>
      </c>
      <c r="Q62" s="294">
        <v>1</v>
      </c>
      <c r="R62" s="23"/>
      <c r="S62" s="148">
        <f t="shared" si="2"/>
        <v>2100</v>
      </c>
      <c r="T62" s="148">
        <f ca="1">IF(S62=0,"",S62*(OFFSET(cod_desembolso!$A$1,Q62,23)))</f>
        <v>2182.3840175367854</v>
      </c>
      <c r="U62" s="149">
        <f>(constantes!$B$3*(1+constantes!$B$3)^(O62))/((1+constantes!$B$3)^(O62)-1)</f>
        <v>9.3678779051968114E-2</v>
      </c>
      <c r="V62" s="148">
        <f t="shared" ca="1" si="1"/>
        <v>204.44307018537503</v>
      </c>
      <c r="W62" s="148">
        <f ca="1">(IF(S62=0,"",V62/constantes!$B$3))*1</f>
        <v>2555.538377317188</v>
      </c>
      <c r="X62" s="150">
        <f ca="1">IF(S62=0,"",PV(constantes!$B$3,O62,-V62)*constantes!$B$3)</f>
        <v>174.59072140294285</v>
      </c>
      <c r="Y62" s="85">
        <f t="shared" si="3"/>
        <v>1400</v>
      </c>
      <c r="Z62">
        <v>61</v>
      </c>
    </row>
    <row r="63" spans="1:26">
      <c r="A63" s="290">
        <v>7062</v>
      </c>
      <c r="B63" s="23" t="str">
        <f t="shared" si="0"/>
        <v>SE-NE_1500__kV_62</v>
      </c>
      <c r="C63" s="23">
        <v>802</v>
      </c>
      <c r="D63" s="142" t="str">
        <f>VLOOKUP(C63,tab_corredor!$A$2:$B$50,2,0)</f>
        <v>SE-NE</v>
      </c>
      <c r="E63" s="23">
        <v>1500</v>
      </c>
      <c r="F63" s="23" t="s">
        <v>2671</v>
      </c>
      <c r="G63" s="23">
        <v>1500</v>
      </c>
      <c r="H63" s="23">
        <v>1500</v>
      </c>
      <c r="I63" s="394">
        <v>5.0000000000000004E-6</v>
      </c>
      <c r="J63" s="394">
        <v>5.0000000000000004E-6</v>
      </c>
      <c r="K63" s="290">
        <v>1</v>
      </c>
      <c r="L63" s="291" t="s">
        <v>2619</v>
      </c>
      <c r="M63" s="23">
        <v>2015</v>
      </c>
      <c r="N63" s="23">
        <v>2100</v>
      </c>
      <c r="O63" s="292">
        <v>25</v>
      </c>
      <c r="P63" s="293">
        <v>2100</v>
      </c>
      <c r="Q63" s="294">
        <v>1</v>
      </c>
      <c r="R63" s="23"/>
      <c r="S63" s="148">
        <f t="shared" si="2"/>
        <v>2100</v>
      </c>
      <c r="T63" s="148">
        <f ca="1">IF(S63=0,"",S63*(OFFSET(cod_desembolso!$A$1,Q63,23)))</f>
        <v>2182.3840175367854</v>
      </c>
      <c r="U63" s="149">
        <f>(constantes!$B$3*(1+constantes!$B$3)^(O63))/((1+constantes!$B$3)^(O63)-1)</f>
        <v>9.3678779051968114E-2</v>
      </c>
      <c r="V63" s="148">
        <f t="shared" ca="1" si="1"/>
        <v>204.44307018537503</v>
      </c>
      <c r="W63" s="148">
        <f ca="1">(IF(S63=0,"",V63/constantes!$B$3))*1</f>
        <v>2555.538377317188</v>
      </c>
      <c r="X63" s="150">
        <f ca="1">IF(S63=0,"",PV(constantes!$B$3,O63,-V63)*constantes!$B$3)</f>
        <v>174.59072140294285</v>
      </c>
      <c r="Y63" s="85">
        <f t="shared" si="3"/>
        <v>1400</v>
      </c>
      <c r="Z63">
        <v>62</v>
      </c>
    </row>
    <row r="64" spans="1:26">
      <c r="A64" s="290">
        <v>7063</v>
      </c>
      <c r="B64" s="23" t="str">
        <f t="shared" si="0"/>
        <v>SE-NE_1500__kV_63</v>
      </c>
      <c r="C64" s="23">
        <v>802</v>
      </c>
      <c r="D64" s="142" t="str">
        <f>VLOOKUP(C64,tab_corredor!$A$2:$B$50,2,0)</f>
        <v>SE-NE</v>
      </c>
      <c r="E64" s="23">
        <v>1500</v>
      </c>
      <c r="F64" s="23" t="s">
        <v>2671</v>
      </c>
      <c r="G64" s="23">
        <v>1500</v>
      </c>
      <c r="H64" s="23">
        <v>1500</v>
      </c>
      <c r="I64" s="394">
        <v>5.0000000000000004E-6</v>
      </c>
      <c r="J64" s="394">
        <v>5.0000000000000004E-6</v>
      </c>
      <c r="K64" s="290">
        <v>1</v>
      </c>
      <c r="L64" s="291" t="s">
        <v>2619</v>
      </c>
      <c r="M64" s="23">
        <v>2015</v>
      </c>
      <c r="N64" s="23">
        <v>2100</v>
      </c>
      <c r="O64" s="292">
        <v>25</v>
      </c>
      <c r="P64" s="293">
        <v>2100</v>
      </c>
      <c r="Q64" s="294">
        <v>1</v>
      </c>
      <c r="R64" s="23"/>
      <c r="S64" s="148">
        <f t="shared" si="2"/>
        <v>2100</v>
      </c>
      <c r="T64" s="148">
        <f ca="1">IF(S64=0,"",S64*(OFFSET(cod_desembolso!$A$1,Q64,23)))</f>
        <v>2182.3840175367854</v>
      </c>
      <c r="U64" s="149">
        <f>(constantes!$B$3*(1+constantes!$B$3)^(O64))/((1+constantes!$B$3)^(O64)-1)</f>
        <v>9.3678779051968114E-2</v>
      </c>
      <c r="V64" s="148">
        <f t="shared" ca="1" si="1"/>
        <v>204.44307018537503</v>
      </c>
      <c r="W64" s="148">
        <f ca="1">(IF(S64=0,"",V64/constantes!$B$3))*1</f>
        <v>2555.538377317188</v>
      </c>
      <c r="X64" s="150">
        <f ca="1">IF(S64=0,"",PV(constantes!$B$3,O64,-V64)*constantes!$B$3)</f>
        <v>174.59072140294285</v>
      </c>
      <c r="Y64" s="85">
        <f t="shared" si="3"/>
        <v>1400</v>
      </c>
      <c r="Z64">
        <v>63</v>
      </c>
    </row>
    <row r="65" spans="1:26">
      <c r="A65" s="290">
        <v>7064</v>
      </c>
      <c r="B65" s="23" t="str">
        <f t="shared" si="0"/>
        <v>SE-NE_1500__kV_64</v>
      </c>
      <c r="C65" s="23">
        <v>802</v>
      </c>
      <c r="D65" s="142" t="str">
        <f>VLOOKUP(C65,tab_corredor!$A$2:$B$50,2,0)</f>
        <v>SE-NE</v>
      </c>
      <c r="E65" s="23">
        <v>1500</v>
      </c>
      <c r="F65" s="23" t="s">
        <v>2671</v>
      </c>
      <c r="G65" s="23">
        <v>1500</v>
      </c>
      <c r="H65" s="23">
        <v>1500</v>
      </c>
      <c r="I65" s="394">
        <v>5.0000000000000004E-6</v>
      </c>
      <c r="J65" s="394">
        <v>5.0000000000000004E-6</v>
      </c>
      <c r="K65" s="290">
        <v>1</v>
      </c>
      <c r="L65" s="291" t="s">
        <v>2619</v>
      </c>
      <c r="M65" s="23">
        <v>2015</v>
      </c>
      <c r="N65" s="23">
        <v>2100</v>
      </c>
      <c r="O65" s="292">
        <v>25</v>
      </c>
      <c r="P65" s="293">
        <v>2100</v>
      </c>
      <c r="Q65" s="294">
        <v>1</v>
      </c>
      <c r="R65" s="23"/>
      <c r="S65" s="148">
        <f t="shared" si="2"/>
        <v>2100</v>
      </c>
      <c r="T65" s="148">
        <f ca="1">IF(S65=0,"",S65*(OFFSET(cod_desembolso!$A$1,Q65,23)))</f>
        <v>2182.3840175367854</v>
      </c>
      <c r="U65" s="149">
        <f>(constantes!$B$3*(1+constantes!$B$3)^(O65))/((1+constantes!$B$3)^(O65)-1)</f>
        <v>9.3678779051968114E-2</v>
      </c>
      <c r="V65" s="148">
        <f t="shared" ca="1" si="1"/>
        <v>204.44307018537503</v>
      </c>
      <c r="W65" s="148">
        <f ca="1">(IF(S65=0,"",V65/constantes!$B$3))*1</f>
        <v>2555.538377317188</v>
      </c>
      <c r="X65" s="150">
        <f ca="1">IF(S65=0,"",PV(constantes!$B$3,O65,-V65)*constantes!$B$3)</f>
        <v>174.59072140294285</v>
      </c>
      <c r="Y65" s="85">
        <f t="shared" si="3"/>
        <v>1400</v>
      </c>
      <c r="Z65">
        <v>64</v>
      </c>
    </row>
    <row r="66" spans="1:26">
      <c r="A66" s="290">
        <v>7065</v>
      </c>
      <c r="B66" s="23" t="str">
        <f t="shared" ref="B66:B129" si="4">D66&amp;"_"&amp;E66&amp;"_"&amp;F66&amp;IF(F66="DC","","kV")&amp;"_"&amp;Z66</f>
        <v>SE-NE_1500__kV_65</v>
      </c>
      <c r="C66" s="23">
        <v>802</v>
      </c>
      <c r="D66" s="142" t="str">
        <f>VLOOKUP(C66,tab_corredor!$A$2:$B$50,2,0)</f>
        <v>SE-NE</v>
      </c>
      <c r="E66" s="23">
        <v>1500</v>
      </c>
      <c r="F66" s="23" t="s">
        <v>2671</v>
      </c>
      <c r="G66" s="23">
        <v>1500</v>
      </c>
      <c r="H66" s="23">
        <v>1500</v>
      </c>
      <c r="I66" s="394">
        <v>5.0000000000000004E-6</v>
      </c>
      <c r="J66" s="394">
        <v>5.0000000000000004E-6</v>
      </c>
      <c r="K66" s="290">
        <v>1</v>
      </c>
      <c r="L66" s="291" t="s">
        <v>2619</v>
      </c>
      <c r="M66" s="23">
        <v>2015</v>
      </c>
      <c r="N66" s="23">
        <v>2100</v>
      </c>
      <c r="O66" s="292">
        <v>25</v>
      </c>
      <c r="P66" s="293">
        <v>2100</v>
      </c>
      <c r="Q66" s="294">
        <v>1</v>
      </c>
      <c r="R66" s="23"/>
      <c r="S66" s="148">
        <f t="shared" ref="S66:S129" si="5">P66+R66</f>
        <v>2100</v>
      </c>
      <c r="T66" s="148">
        <f ca="1">IF(S66=0,"",S66*(OFFSET(cod_desembolso!$A$1,Q66,23)))</f>
        <v>2182.3840175367854</v>
      </c>
      <c r="U66" s="149">
        <f>(constantes!$B$3*(1+constantes!$B$3)^(O66))/((1+constantes!$B$3)^(O66)-1)</f>
        <v>9.3678779051968114E-2</v>
      </c>
      <c r="V66" s="148">
        <f t="shared" ref="V66:V129" ca="1" si="6">IF(S66=0,"",T66*U66)</f>
        <v>204.44307018537503</v>
      </c>
      <c r="W66" s="148">
        <f ca="1">(IF(S66=0,"",V66/constantes!$B$3))*1</f>
        <v>2555.538377317188</v>
      </c>
      <c r="X66" s="150">
        <f ca="1">IF(S66=0,"",PV(constantes!$B$3,O66,-V66)*constantes!$B$3)</f>
        <v>174.59072140294285</v>
      </c>
      <c r="Y66" s="85">
        <f t="shared" ref="Y66:Y129" si="7">S66/E66*1000</f>
        <v>1400</v>
      </c>
      <c r="Z66">
        <v>65</v>
      </c>
    </row>
    <row r="67" spans="1:26">
      <c r="A67" s="290">
        <v>7066</v>
      </c>
      <c r="B67" s="23" t="str">
        <f t="shared" si="4"/>
        <v>SE-NE_1500__kV_66</v>
      </c>
      <c r="C67" s="23">
        <v>802</v>
      </c>
      <c r="D67" s="142" t="str">
        <f>VLOOKUP(C67,tab_corredor!$A$2:$B$50,2,0)</f>
        <v>SE-NE</v>
      </c>
      <c r="E67" s="23">
        <v>1500</v>
      </c>
      <c r="F67" s="23" t="s">
        <v>2671</v>
      </c>
      <c r="G67" s="23">
        <v>1500</v>
      </c>
      <c r="H67" s="23">
        <v>1500</v>
      </c>
      <c r="I67" s="394">
        <v>5.0000000000000004E-6</v>
      </c>
      <c r="J67" s="394">
        <v>5.0000000000000004E-6</v>
      </c>
      <c r="K67" s="290">
        <v>1</v>
      </c>
      <c r="L67" s="291" t="s">
        <v>2619</v>
      </c>
      <c r="M67" s="23">
        <v>2015</v>
      </c>
      <c r="N67" s="23">
        <v>2100</v>
      </c>
      <c r="O67" s="292">
        <v>25</v>
      </c>
      <c r="P67" s="293">
        <v>2100</v>
      </c>
      <c r="Q67" s="294">
        <v>1</v>
      </c>
      <c r="R67" s="23"/>
      <c r="S67" s="148">
        <f t="shared" si="5"/>
        <v>2100</v>
      </c>
      <c r="T67" s="148">
        <f ca="1">IF(S67=0,"",S67*(OFFSET(cod_desembolso!$A$1,Q67,23)))</f>
        <v>2182.3840175367854</v>
      </c>
      <c r="U67" s="149">
        <f>(constantes!$B$3*(1+constantes!$B$3)^(O67))/((1+constantes!$B$3)^(O67)-1)</f>
        <v>9.3678779051968114E-2</v>
      </c>
      <c r="V67" s="148">
        <f t="shared" ca="1" si="6"/>
        <v>204.44307018537503</v>
      </c>
      <c r="W67" s="148">
        <f ca="1">(IF(S67=0,"",V67/constantes!$B$3))*1</f>
        <v>2555.538377317188</v>
      </c>
      <c r="X67" s="150">
        <f ca="1">IF(S67=0,"",PV(constantes!$B$3,O67,-V67)*constantes!$B$3)</f>
        <v>174.59072140294285</v>
      </c>
      <c r="Y67" s="85">
        <f t="shared" si="7"/>
        <v>1400</v>
      </c>
      <c r="Z67">
        <v>66</v>
      </c>
    </row>
    <row r="68" spans="1:26">
      <c r="A68" s="290">
        <v>7067</v>
      </c>
      <c r="B68" s="23" t="str">
        <f t="shared" si="4"/>
        <v>SE-NE_1500__kV_67</v>
      </c>
      <c r="C68" s="23">
        <v>802</v>
      </c>
      <c r="D68" s="142" t="str">
        <f>VLOOKUP(C68,tab_corredor!$A$2:$B$50,2,0)</f>
        <v>SE-NE</v>
      </c>
      <c r="E68" s="23">
        <v>1500</v>
      </c>
      <c r="F68" s="23" t="s">
        <v>2671</v>
      </c>
      <c r="G68" s="23">
        <v>1500</v>
      </c>
      <c r="H68" s="23">
        <v>1500</v>
      </c>
      <c r="I68" s="394">
        <v>5.0000000000000004E-6</v>
      </c>
      <c r="J68" s="394">
        <v>5.0000000000000004E-6</v>
      </c>
      <c r="K68" s="290">
        <v>1</v>
      </c>
      <c r="L68" s="291" t="s">
        <v>2619</v>
      </c>
      <c r="M68" s="23">
        <v>2015</v>
      </c>
      <c r="N68" s="23">
        <v>2100</v>
      </c>
      <c r="O68" s="292">
        <v>25</v>
      </c>
      <c r="P68" s="293">
        <v>2100</v>
      </c>
      <c r="Q68" s="294">
        <v>1</v>
      </c>
      <c r="R68" s="23"/>
      <c r="S68" s="148">
        <f t="shared" si="5"/>
        <v>2100</v>
      </c>
      <c r="T68" s="148">
        <f ca="1">IF(S68=0,"",S68*(OFFSET(cod_desembolso!$A$1,Q68,23)))</f>
        <v>2182.3840175367854</v>
      </c>
      <c r="U68" s="149">
        <f>(constantes!$B$3*(1+constantes!$B$3)^(O68))/((1+constantes!$B$3)^(O68)-1)</f>
        <v>9.3678779051968114E-2</v>
      </c>
      <c r="V68" s="148">
        <f t="shared" ca="1" si="6"/>
        <v>204.44307018537503</v>
      </c>
      <c r="W68" s="148">
        <f ca="1">(IF(S68=0,"",V68/constantes!$B$3))*1</f>
        <v>2555.538377317188</v>
      </c>
      <c r="X68" s="150">
        <f ca="1">IF(S68=0,"",PV(constantes!$B$3,O68,-V68)*constantes!$B$3)</f>
        <v>174.59072140294285</v>
      </c>
      <c r="Y68" s="85">
        <f t="shared" si="7"/>
        <v>1400</v>
      </c>
      <c r="Z68">
        <v>67</v>
      </c>
    </row>
    <row r="69" spans="1:26">
      <c r="A69" s="290">
        <v>7068</v>
      </c>
      <c r="B69" s="23" t="str">
        <f t="shared" si="4"/>
        <v>SE-NE_1500__kV_68</v>
      </c>
      <c r="C69" s="23">
        <v>802</v>
      </c>
      <c r="D69" s="142" t="str">
        <f>VLOOKUP(C69,tab_corredor!$A$2:$B$50,2,0)</f>
        <v>SE-NE</v>
      </c>
      <c r="E69" s="23">
        <v>1500</v>
      </c>
      <c r="F69" s="23" t="s">
        <v>2671</v>
      </c>
      <c r="G69" s="23">
        <v>1500</v>
      </c>
      <c r="H69" s="23">
        <v>1500</v>
      </c>
      <c r="I69" s="394">
        <v>5.0000000000000004E-6</v>
      </c>
      <c r="J69" s="394">
        <v>5.0000000000000004E-6</v>
      </c>
      <c r="K69" s="290">
        <v>1</v>
      </c>
      <c r="L69" s="291" t="s">
        <v>2619</v>
      </c>
      <c r="M69" s="23">
        <v>2015</v>
      </c>
      <c r="N69" s="23">
        <v>2100</v>
      </c>
      <c r="O69" s="292">
        <v>25</v>
      </c>
      <c r="P69" s="293">
        <v>2100</v>
      </c>
      <c r="Q69" s="294">
        <v>1</v>
      </c>
      <c r="R69" s="23"/>
      <c r="S69" s="148">
        <f t="shared" si="5"/>
        <v>2100</v>
      </c>
      <c r="T69" s="148">
        <f ca="1">IF(S69=0,"",S69*(OFFSET(cod_desembolso!$A$1,Q69,23)))</f>
        <v>2182.3840175367854</v>
      </c>
      <c r="U69" s="149">
        <f>(constantes!$B$3*(1+constantes!$B$3)^(O69))/((1+constantes!$B$3)^(O69)-1)</f>
        <v>9.3678779051968114E-2</v>
      </c>
      <c r="V69" s="148">
        <f t="shared" ca="1" si="6"/>
        <v>204.44307018537503</v>
      </c>
      <c r="W69" s="148">
        <f ca="1">(IF(S69=0,"",V69/constantes!$B$3))*1</f>
        <v>2555.538377317188</v>
      </c>
      <c r="X69" s="150">
        <f ca="1">IF(S69=0,"",PV(constantes!$B$3,O69,-V69)*constantes!$B$3)</f>
        <v>174.59072140294285</v>
      </c>
      <c r="Y69" s="85">
        <f t="shared" si="7"/>
        <v>1400</v>
      </c>
      <c r="Z69">
        <v>68</v>
      </c>
    </row>
    <row r="70" spans="1:26">
      <c r="A70" s="290">
        <v>7069</v>
      </c>
      <c r="B70" s="23" t="str">
        <f t="shared" si="4"/>
        <v>SE-NE_1500__kV_69</v>
      </c>
      <c r="C70" s="23">
        <v>802</v>
      </c>
      <c r="D70" s="142" t="str">
        <f>VLOOKUP(C70,tab_corredor!$A$2:$B$50,2,0)</f>
        <v>SE-NE</v>
      </c>
      <c r="E70" s="23">
        <v>1500</v>
      </c>
      <c r="F70" s="23" t="s">
        <v>2671</v>
      </c>
      <c r="G70" s="23">
        <v>1500</v>
      </c>
      <c r="H70" s="23">
        <v>1500</v>
      </c>
      <c r="I70" s="394">
        <v>5.0000000000000004E-6</v>
      </c>
      <c r="J70" s="394">
        <v>5.0000000000000004E-6</v>
      </c>
      <c r="K70" s="290">
        <v>1</v>
      </c>
      <c r="L70" s="291" t="s">
        <v>2619</v>
      </c>
      <c r="M70" s="23">
        <v>2015</v>
      </c>
      <c r="N70" s="23">
        <v>2100</v>
      </c>
      <c r="O70" s="292">
        <v>25</v>
      </c>
      <c r="P70" s="293">
        <v>2100</v>
      </c>
      <c r="Q70" s="294">
        <v>1</v>
      </c>
      <c r="R70" s="23"/>
      <c r="S70" s="148">
        <f t="shared" si="5"/>
        <v>2100</v>
      </c>
      <c r="T70" s="148">
        <f ca="1">IF(S70=0,"",S70*(OFFSET(cod_desembolso!$A$1,Q70,23)))</f>
        <v>2182.3840175367854</v>
      </c>
      <c r="U70" s="149">
        <f>(constantes!$B$3*(1+constantes!$B$3)^(O70))/((1+constantes!$B$3)^(O70)-1)</f>
        <v>9.3678779051968114E-2</v>
      </c>
      <c r="V70" s="148">
        <f t="shared" ca="1" si="6"/>
        <v>204.44307018537503</v>
      </c>
      <c r="W70" s="148">
        <f ca="1">(IF(S70=0,"",V70/constantes!$B$3))*1</f>
        <v>2555.538377317188</v>
      </c>
      <c r="X70" s="150">
        <f ca="1">IF(S70=0,"",PV(constantes!$B$3,O70,-V70)*constantes!$B$3)</f>
        <v>174.59072140294285</v>
      </c>
      <c r="Y70" s="85">
        <f t="shared" si="7"/>
        <v>1400</v>
      </c>
      <c r="Z70">
        <v>69</v>
      </c>
    </row>
    <row r="71" spans="1:26">
      <c r="A71" s="290">
        <v>7070</v>
      </c>
      <c r="B71" s="23" t="str">
        <f t="shared" si="4"/>
        <v>SE-NE_1500__kV_70</v>
      </c>
      <c r="C71" s="23">
        <v>802</v>
      </c>
      <c r="D71" s="142" t="str">
        <f>VLOOKUP(C71,tab_corredor!$A$2:$B$50,2,0)</f>
        <v>SE-NE</v>
      </c>
      <c r="E71" s="23">
        <v>1500</v>
      </c>
      <c r="F71" s="23" t="s">
        <v>2671</v>
      </c>
      <c r="G71" s="23">
        <v>1500</v>
      </c>
      <c r="H71" s="23">
        <v>1500</v>
      </c>
      <c r="I71" s="394">
        <v>5.0000000000000004E-6</v>
      </c>
      <c r="J71" s="394">
        <v>5.0000000000000004E-6</v>
      </c>
      <c r="K71" s="290">
        <v>1</v>
      </c>
      <c r="L71" s="291" t="s">
        <v>2619</v>
      </c>
      <c r="M71" s="23">
        <v>2015</v>
      </c>
      <c r="N71" s="23">
        <v>2100</v>
      </c>
      <c r="O71" s="292">
        <v>25</v>
      </c>
      <c r="P71" s="293">
        <v>2100</v>
      </c>
      <c r="Q71" s="294">
        <v>1</v>
      </c>
      <c r="R71" s="23"/>
      <c r="S71" s="148">
        <f t="shared" si="5"/>
        <v>2100</v>
      </c>
      <c r="T71" s="148">
        <f ca="1">IF(S71=0,"",S71*(OFFSET(cod_desembolso!$A$1,Q71,23)))</f>
        <v>2182.3840175367854</v>
      </c>
      <c r="U71" s="149">
        <f>(constantes!$B$3*(1+constantes!$B$3)^(O71))/((1+constantes!$B$3)^(O71)-1)</f>
        <v>9.3678779051968114E-2</v>
      </c>
      <c r="V71" s="148">
        <f t="shared" ca="1" si="6"/>
        <v>204.44307018537503</v>
      </c>
      <c r="W71" s="148">
        <f ca="1">(IF(S71=0,"",V71/constantes!$B$3))*1</f>
        <v>2555.538377317188</v>
      </c>
      <c r="X71" s="150">
        <f ca="1">IF(S71=0,"",PV(constantes!$B$3,O71,-V71)*constantes!$B$3)</f>
        <v>174.59072140294285</v>
      </c>
      <c r="Y71" s="85">
        <f t="shared" si="7"/>
        <v>1400</v>
      </c>
      <c r="Z71">
        <v>70</v>
      </c>
    </row>
    <row r="72" spans="1:26">
      <c r="A72" s="290">
        <v>7071</v>
      </c>
      <c r="B72" s="23" t="str">
        <f t="shared" si="4"/>
        <v>SE-NE_1500__kV_71</v>
      </c>
      <c r="C72" s="23">
        <v>802</v>
      </c>
      <c r="D72" s="142" t="str">
        <f>VLOOKUP(C72,tab_corredor!$A$2:$B$50,2,0)</f>
        <v>SE-NE</v>
      </c>
      <c r="E72" s="23">
        <v>1500</v>
      </c>
      <c r="F72" s="23" t="s">
        <v>2671</v>
      </c>
      <c r="G72" s="23">
        <v>1500</v>
      </c>
      <c r="H72" s="23">
        <v>1500</v>
      </c>
      <c r="I72" s="394">
        <v>5.0000000000000004E-6</v>
      </c>
      <c r="J72" s="394">
        <v>5.0000000000000004E-6</v>
      </c>
      <c r="K72" s="290">
        <v>1</v>
      </c>
      <c r="L72" s="291" t="s">
        <v>2619</v>
      </c>
      <c r="M72" s="23">
        <v>2015</v>
      </c>
      <c r="N72" s="23">
        <v>2100</v>
      </c>
      <c r="O72" s="292">
        <v>25</v>
      </c>
      <c r="P72" s="293">
        <v>2100</v>
      </c>
      <c r="Q72" s="294">
        <v>1</v>
      </c>
      <c r="R72" s="23"/>
      <c r="S72" s="148">
        <f t="shared" si="5"/>
        <v>2100</v>
      </c>
      <c r="T72" s="148">
        <f ca="1">IF(S72=0,"",S72*(OFFSET(cod_desembolso!$A$1,Q72,23)))</f>
        <v>2182.3840175367854</v>
      </c>
      <c r="U72" s="149">
        <f>(constantes!$B$3*(1+constantes!$B$3)^(O72))/((1+constantes!$B$3)^(O72)-1)</f>
        <v>9.3678779051968114E-2</v>
      </c>
      <c r="V72" s="148">
        <f t="shared" ca="1" si="6"/>
        <v>204.44307018537503</v>
      </c>
      <c r="W72" s="148">
        <f ca="1">(IF(S72=0,"",V72/constantes!$B$3))*1</f>
        <v>2555.538377317188</v>
      </c>
      <c r="X72" s="150">
        <f ca="1">IF(S72=0,"",PV(constantes!$B$3,O72,-V72)*constantes!$B$3)</f>
        <v>174.59072140294285</v>
      </c>
      <c r="Y72" s="85">
        <f t="shared" si="7"/>
        <v>1400</v>
      </c>
      <c r="Z72">
        <v>71</v>
      </c>
    </row>
    <row r="73" spans="1:26">
      <c r="A73" s="290">
        <v>7072</v>
      </c>
      <c r="B73" s="23" t="str">
        <f t="shared" si="4"/>
        <v>SE-NE_1500__kV_72</v>
      </c>
      <c r="C73" s="23">
        <v>802</v>
      </c>
      <c r="D73" s="142" t="str">
        <f>VLOOKUP(C73,tab_corredor!$A$2:$B$50,2,0)</f>
        <v>SE-NE</v>
      </c>
      <c r="E73" s="23">
        <v>1500</v>
      </c>
      <c r="F73" s="23" t="s">
        <v>2671</v>
      </c>
      <c r="G73" s="23">
        <v>1500</v>
      </c>
      <c r="H73" s="23">
        <v>1500</v>
      </c>
      <c r="I73" s="394">
        <v>5.0000000000000004E-6</v>
      </c>
      <c r="J73" s="394">
        <v>5.0000000000000004E-6</v>
      </c>
      <c r="K73" s="290">
        <v>1</v>
      </c>
      <c r="L73" s="291" t="s">
        <v>2619</v>
      </c>
      <c r="M73" s="23">
        <v>2015</v>
      </c>
      <c r="N73" s="23">
        <v>2100</v>
      </c>
      <c r="O73" s="292">
        <v>25</v>
      </c>
      <c r="P73" s="293">
        <v>2100</v>
      </c>
      <c r="Q73" s="294">
        <v>1</v>
      </c>
      <c r="R73" s="23"/>
      <c r="S73" s="148">
        <f t="shared" si="5"/>
        <v>2100</v>
      </c>
      <c r="T73" s="148">
        <f ca="1">IF(S73=0,"",S73*(OFFSET(cod_desembolso!$A$1,Q73,23)))</f>
        <v>2182.3840175367854</v>
      </c>
      <c r="U73" s="149">
        <f>(constantes!$B$3*(1+constantes!$B$3)^(O73))/((1+constantes!$B$3)^(O73)-1)</f>
        <v>9.3678779051968114E-2</v>
      </c>
      <c r="V73" s="148">
        <f t="shared" ca="1" si="6"/>
        <v>204.44307018537503</v>
      </c>
      <c r="W73" s="148">
        <f ca="1">(IF(S73=0,"",V73/constantes!$B$3))*1</f>
        <v>2555.538377317188</v>
      </c>
      <c r="X73" s="150">
        <f ca="1">IF(S73=0,"",PV(constantes!$B$3,O73,-V73)*constantes!$B$3)</f>
        <v>174.59072140294285</v>
      </c>
      <c r="Y73" s="85">
        <f t="shared" si="7"/>
        <v>1400</v>
      </c>
      <c r="Z73">
        <v>72</v>
      </c>
    </row>
    <row r="74" spans="1:26">
      <c r="A74" s="290">
        <v>7073</v>
      </c>
      <c r="B74" s="23" t="str">
        <f t="shared" si="4"/>
        <v>SE-NE_1500__kV_73</v>
      </c>
      <c r="C74" s="23">
        <v>802</v>
      </c>
      <c r="D74" s="142" t="str">
        <f>VLOOKUP(C74,tab_corredor!$A$2:$B$50,2,0)</f>
        <v>SE-NE</v>
      </c>
      <c r="E74" s="23">
        <v>1500</v>
      </c>
      <c r="F74" s="23" t="s">
        <v>2671</v>
      </c>
      <c r="G74" s="23">
        <v>1500</v>
      </c>
      <c r="H74" s="23">
        <v>1500</v>
      </c>
      <c r="I74" s="394">
        <v>5.0000000000000004E-6</v>
      </c>
      <c r="J74" s="394">
        <v>5.0000000000000004E-6</v>
      </c>
      <c r="K74" s="290">
        <v>1</v>
      </c>
      <c r="L74" s="291" t="s">
        <v>2619</v>
      </c>
      <c r="M74" s="23">
        <v>2015</v>
      </c>
      <c r="N74" s="23">
        <v>2100</v>
      </c>
      <c r="O74" s="292">
        <v>25</v>
      </c>
      <c r="P74" s="293">
        <v>2100</v>
      </c>
      <c r="Q74" s="294">
        <v>1</v>
      </c>
      <c r="R74" s="23"/>
      <c r="S74" s="148">
        <f t="shared" si="5"/>
        <v>2100</v>
      </c>
      <c r="T74" s="148">
        <f ca="1">IF(S74=0,"",S74*(OFFSET(cod_desembolso!$A$1,Q74,23)))</f>
        <v>2182.3840175367854</v>
      </c>
      <c r="U74" s="149">
        <f>(constantes!$B$3*(1+constantes!$B$3)^(O74))/((1+constantes!$B$3)^(O74)-1)</f>
        <v>9.3678779051968114E-2</v>
      </c>
      <c r="V74" s="148">
        <f t="shared" ca="1" si="6"/>
        <v>204.44307018537503</v>
      </c>
      <c r="W74" s="148">
        <f ca="1">(IF(S74=0,"",V74/constantes!$B$3))*1</f>
        <v>2555.538377317188</v>
      </c>
      <c r="X74" s="150">
        <f ca="1">IF(S74=0,"",PV(constantes!$B$3,O74,-V74)*constantes!$B$3)</f>
        <v>174.59072140294285</v>
      </c>
      <c r="Y74" s="85">
        <f t="shared" si="7"/>
        <v>1400</v>
      </c>
      <c r="Z74">
        <v>73</v>
      </c>
    </row>
    <row r="75" spans="1:26">
      <c r="A75" s="290">
        <v>7074</v>
      </c>
      <c r="B75" s="23" t="str">
        <f t="shared" si="4"/>
        <v>SE-NE_1500__kV_74</v>
      </c>
      <c r="C75" s="23">
        <v>802</v>
      </c>
      <c r="D75" s="142" t="str">
        <f>VLOOKUP(C75,tab_corredor!$A$2:$B$50,2,0)</f>
        <v>SE-NE</v>
      </c>
      <c r="E75" s="23">
        <v>1500</v>
      </c>
      <c r="F75" s="23" t="s">
        <v>2671</v>
      </c>
      <c r="G75" s="23">
        <v>1500</v>
      </c>
      <c r="H75" s="23">
        <v>1500</v>
      </c>
      <c r="I75" s="394">
        <v>5.0000000000000004E-6</v>
      </c>
      <c r="J75" s="394">
        <v>5.0000000000000004E-6</v>
      </c>
      <c r="K75" s="290">
        <v>1</v>
      </c>
      <c r="L75" s="291" t="s">
        <v>2619</v>
      </c>
      <c r="M75" s="23">
        <v>2015</v>
      </c>
      <c r="N75" s="23">
        <v>2100</v>
      </c>
      <c r="O75" s="292">
        <v>25</v>
      </c>
      <c r="P75" s="293">
        <v>2100</v>
      </c>
      <c r="Q75" s="294">
        <v>1</v>
      </c>
      <c r="R75" s="23"/>
      <c r="S75" s="148">
        <f t="shared" si="5"/>
        <v>2100</v>
      </c>
      <c r="T75" s="148">
        <f ca="1">IF(S75=0,"",S75*(OFFSET(cod_desembolso!$A$1,Q75,23)))</f>
        <v>2182.3840175367854</v>
      </c>
      <c r="U75" s="149">
        <f>(constantes!$B$3*(1+constantes!$B$3)^(O75))/((1+constantes!$B$3)^(O75)-1)</f>
        <v>9.3678779051968114E-2</v>
      </c>
      <c r="V75" s="148">
        <f t="shared" ca="1" si="6"/>
        <v>204.44307018537503</v>
      </c>
      <c r="W75" s="148">
        <f ca="1">(IF(S75=0,"",V75/constantes!$B$3))*1</f>
        <v>2555.538377317188</v>
      </c>
      <c r="X75" s="150">
        <f ca="1">IF(S75=0,"",PV(constantes!$B$3,O75,-V75)*constantes!$B$3)</f>
        <v>174.59072140294285</v>
      </c>
      <c r="Y75" s="85">
        <f t="shared" si="7"/>
        <v>1400</v>
      </c>
      <c r="Z75">
        <v>74</v>
      </c>
    </row>
    <row r="76" spans="1:26">
      <c r="A76" s="290">
        <v>7075</v>
      </c>
      <c r="B76" s="23" t="str">
        <f t="shared" si="4"/>
        <v>SE-NE_1500__kV_75</v>
      </c>
      <c r="C76" s="23">
        <v>802</v>
      </c>
      <c r="D76" s="142" t="str">
        <f>VLOOKUP(C76,tab_corredor!$A$2:$B$50,2,0)</f>
        <v>SE-NE</v>
      </c>
      <c r="E76" s="23">
        <v>1500</v>
      </c>
      <c r="F76" s="23" t="s">
        <v>2671</v>
      </c>
      <c r="G76" s="23">
        <v>1500</v>
      </c>
      <c r="H76" s="23">
        <v>1500</v>
      </c>
      <c r="I76" s="394">
        <v>5.0000000000000004E-6</v>
      </c>
      <c r="J76" s="394">
        <v>5.0000000000000004E-6</v>
      </c>
      <c r="K76" s="290">
        <v>1</v>
      </c>
      <c r="L76" s="291" t="s">
        <v>2619</v>
      </c>
      <c r="M76" s="23">
        <v>2015</v>
      </c>
      <c r="N76" s="23">
        <v>2100</v>
      </c>
      <c r="O76" s="292">
        <v>25</v>
      </c>
      <c r="P76" s="293">
        <v>2100</v>
      </c>
      <c r="Q76" s="294">
        <v>1</v>
      </c>
      <c r="R76" s="23"/>
      <c r="S76" s="148">
        <f t="shared" si="5"/>
        <v>2100</v>
      </c>
      <c r="T76" s="148">
        <f ca="1">IF(S76=0,"",S76*(OFFSET(cod_desembolso!$A$1,Q76,23)))</f>
        <v>2182.3840175367854</v>
      </c>
      <c r="U76" s="149">
        <f>(constantes!$B$3*(1+constantes!$B$3)^(O76))/((1+constantes!$B$3)^(O76)-1)</f>
        <v>9.3678779051968114E-2</v>
      </c>
      <c r="V76" s="148">
        <f t="shared" ca="1" si="6"/>
        <v>204.44307018537503</v>
      </c>
      <c r="W76" s="148">
        <f ca="1">(IF(S76=0,"",V76/constantes!$B$3))*1</f>
        <v>2555.538377317188</v>
      </c>
      <c r="X76" s="150">
        <f ca="1">IF(S76=0,"",PV(constantes!$B$3,O76,-V76)*constantes!$B$3)</f>
        <v>174.59072140294285</v>
      </c>
      <c r="Y76" s="85">
        <f t="shared" si="7"/>
        <v>1400</v>
      </c>
      <c r="Z76">
        <v>75</v>
      </c>
    </row>
    <row r="77" spans="1:26">
      <c r="A77" s="290">
        <v>7076</v>
      </c>
      <c r="B77" s="23" t="str">
        <f t="shared" si="4"/>
        <v>SE-NE_1500__kV_76</v>
      </c>
      <c r="C77" s="23">
        <v>802</v>
      </c>
      <c r="D77" s="142" t="str">
        <f>VLOOKUP(C77,tab_corredor!$A$2:$B$50,2,0)</f>
        <v>SE-NE</v>
      </c>
      <c r="E77" s="23">
        <v>1500</v>
      </c>
      <c r="F77" s="23" t="s">
        <v>2671</v>
      </c>
      <c r="G77" s="23">
        <v>1500</v>
      </c>
      <c r="H77" s="23">
        <v>1500</v>
      </c>
      <c r="I77" s="394">
        <v>5.0000000000000004E-6</v>
      </c>
      <c r="J77" s="394">
        <v>5.0000000000000004E-6</v>
      </c>
      <c r="K77" s="290">
        <v>1</v>
      </c>
      <c r="L77" s="291" t="s">
        <v>2619</v>
      </c>
      <c r="M77" s="23">
        <v>2015</v>
      </c>
      <c r="N77" s="23">
        <v>2100</v>
      </c>
      <c r="O77" s="292">
        <v>25</v>
      </c>
      <c r="P77" s="293">
        <v>2100</v>
      </c>
      <c r="Q77" s="294">
        <v>1</v>
      </c>
      <c r="R77" s="23"/>
      <c r="S77" s="148">
        <f t="shared" si="5"/>
        <v>2100</v>
      </c>
      <c r="T77" s="148">
        <f ca="1">IF(S77=0,"",S77*(OFFSET(cod_desembolso!$A$1,Q77,23)))</f>
        <v>2182.3840175367854</v>
      </c>
      <c r="U77" s="149">
        <f>(constantes!$B$3*(1+constantes!$B$3)^(O77))/((1+constantes!$B$3)^(O77)-1)</f>
        <v>9.3678779051968114E-2</v>
      </c>
      <c r="V77" s="148">
        <f t="shared" ca="1" si="6"/>
        <v>204.44307018537503</v>
      </c>
      <c r="W77" s="148">
        <f ca="1">(IF(S77=0,"",V77/constantes!$B$3))*1</f>
        <v>2555.538377317188</v>
      </c>
      <c r="X77" s="150">
        <f ca="1">IF(S77=0,"",PV(constantes!$B$3,O77,-V77)*constantes!$B$3)</f>
        <v>174.59072140294285</v>
      </c>
      <c r="Y77" s="85">
        <f t="shared" si="7"/>
        <v>1400</v>
      </c>
      <c r="Z77">
        <v>76</v>
      </c>
    </row>
    <row r="78" spans="1:26">
      <c r="A78" s="290">
        <v>7077</v>
      </c>
      <c r="B78" s="23" t="str">
        <f t="shared" si="4"/>
        <v>SE-NE_1500__kV_77</v>
      </c>
      <c r="C78" s="23">
        <v>802</v>
      </c>
      <c r="D78" s="142" t="str">
        <f>VLOOKUP(C78,tab_corredor!$A$2:$B$50,2,0)</f>
        <v>SE-NE</v>
      </c>
      <c r="E78" s="23">
        <v>1500</v>
      </c>
      <c r="F78" s="23" t="s">
        <v>2671</v>
      </c>
      <c r="G78" s="23">
        <v>1500</v>
      </c>
      <c r="H78" s="23">
        <v>1500</v>
      </c>
      <c r="I78" s="394">
        <v>5.0000000000000004E-6</v>
      </c>
      <c r="J78" s="394">
        <v>5.0000000000000004E-6</v>
      </c>
      <c r="K78" s="290">
        <v>1</v>
      </c>
      <c r="L78" s="291" t="s">
        <v>2619</v>
      </c>
      <c r="M78" s="23">
        <v>2015</v>
      </c>
      <c r="N78" s="23">
        <v>2100</v>
      </c>
      <c r="O78" s="292">
        <v>25</v>
      </c>
      <c r="P78" s="293">
        <v>2100</v>
      </c>
      <c r="Q78" s="294">
        <v>1</v>
      </c>
      <c r="R78" s="23"/>
      <c r="S78" s="148">
        <f t="shared" si="5"/>
        <v>2100</v>
      </c>
      <c r="T78" s="148">
        <f ca="1">IF(S78=0,"",S78*(OFFSET(cod_desembolso!$A$1,Q78,23)))</f>
        <v>2182.3840175367854</v>
      </c>
      <c r="U78" s="149">
        <f>(constantes!$B$3*(1+constantes!$B$3)^(O78))/((1+constantes!$B$3)^(O78)-1)</f>
        <v>9.3678779051968114E-2</v>
      </c>
      <c r="V78" s="148">
        <f t="shared" ca="1" si="6"/>
        <v>204.44307018537503</v>
      </c>
      <c r="W78" s="148">
        <f ca="1">(IF(S78=0,"",V78/constantes!$B$3))*1</f>
        <v>2555.538377317188</v>
      </c>
      <c r="X78" s="150">
        <f ca="1">IF(S78=0,"",PV(constantes!$B$3,O78,-V78)*constantes!$B$3)</f>
        <v>174.59072140294285</v>
      </c>
      <c r="Y78" s="85">
        <f t="shared" si="7"/>
        <v>1400</v>
      </c>
      <c r="Z78">
        <v>77</v>
      </c>
    </row>
    <row r="79" spans="1:26">
      <c r="A79" s="290">
        <v>7078</v>
      </c>
      <c r="B79" s="23" t="str">
        <f t="shared" si="4"/>
        <v>SE-NE_1500__kV_78</v>
      </c>
      <c r="C79" s="23">
        <v>802</v>
      </c>
      <c r="D79" s="142" t="str">
        <f>VLOOKUP(C79,tab_corredor!$A$2:$B$50,2,0)</f>
        <v>SE-NE</v>
      </c>
      <c r="E79" s="23">
        <v>1500</v>
      </c>
      <c r="F79" s="23" t="s">
        <v>2671</v>
      </c>
      <c r="G79" s="23">
        <v>1500</v>
      </c>
      <c r="H79" s="23">
        <v>1500</v>
      </c>
      <c r="I79" s="394">
        <v>5.0000000000000004E-6</v>
      </c>
      <c r="J79" s="394">
        <v>5.0000000000000004E-6</v>
      </c>
      <c r="K79" s="290">
        <v>1</v>
      </c>
      <c r="L79" s="291" t="s">
        <v>2619</v>
      </c>
      <c r="M79" s="23">
        <v>2015</v>
      </c>
      <c r="N79" s="23">
        <v>2100</v>
      </c>
      <c r="O79" s="292">
        <v>25</v>
      </c>
      <c r="P79" s="293">
        <v>2100</v>
      </c>
      <c r="Q79" s="294">
        <v>1</v>
      </c>
      <c r="R79" s="23"/>
      <c r="S79" s="148">
        <f t="shared" si="5"/>
        <v>2100</v>
      </c>
      <c r="T79" s="148">
        <f ca="1">IF(S79=0,"",S79*(OFFSET(cod_desembolso!$A$1,Q79,23)))</f>
        <v>2182.3840175367854</v>
      </c>
      <c r="U79" s="149">
        <f>(constantes!$B$3*(1+constantes!$B$3)^(O79))/((1+constantes!$B$3)^(O79)-1)</f>
        <v>9.3678779051968114E-2</v>
      </c>
      <c r="V79" s="148">
        <f t="shared" ca="1" si="6"/>
        <v>204.44307018537503</v>
      </c>
      <c r="W79" s="148">
        <f ca="1">(IF(S79=0,"",V79/constantes!$B$3))*1</f>
        <v>2555.538377317188</v>
      </c>
      <c r="X79" s="150">
        <f ca="1">IF(S79=0,"",PV(constantes!$B$3,O79,-V79)*constantes!$B$3)</f>
        <v>174.59072140294285</v>
      </c>
      <c r="Y79" s="85">
        <f t="shared" si="7"/>
        <v>1400</v>
      </c>
      <c r="Z79">
        <v>78</v>
      </c>
    </row>
    <row r="80" spans="1:26">
      <c r="A80" s="290">
        <v>7079</v>
      </c>
      <c r="B80" s="23" t="str">
        <f t="shared" si="4"/>
        <v>SE-NE_1500__kV_79</v>
      </c>
      <c r="C80" s="23">
        <v>802</v>
      </c>
      <c r="D80" s="142" t="str">
        <f>VLOOKUP(C80,tab_corredor!$A$2:$B$50,2,0)</f>
        <v>SE-NE</v>
      </c>
      <c r="E80" s="23">
        <v>1500</v>
      </c>
      <c r="F80" s="23" t="s">
        <v>2671</v>
      </c>
      <c r="G80" s="23">
        <v>1500</v>
      </c>
      <c r="H80" s="23">
        <v>1500</v>
      </c>
      <c r="I80" s="394">
        <v>5.0000000000000004E-6</v>
      </c>
      <c r="J80" s="394">
        <v>5.0000000000000004E-6</v>
      </c>
      <c r="K80" s="290">
        <v>1</v>
      </c>
      <c r="L80" s="291" t="s">
        <v>2619</v>
      </c>
      <c r="M80" s="23">
        <v>2015</v>
      </c>
      <c r="N80" s="23">
        <v>2100</v>
      </c>
      <c r="O80" s="292">
        <v>25</v>
      </c>
      <c r="P80" s="293">
        <v>2100</v>
      </c>
      <c r="Q80" s="294">
        <v>1</v>
      </c>
      <c r="R80" s="23"/>
      <c r="S80" s="148">
        <f t="shared" si="5"/>
        <v>2100</v>
      </c>
      <c r="T80" s="148">
        <f ca="1">IF(S80=0,"",S80*(OFFSET(cod_desembolso!$A$1,Q80,23)))</f>
        <v>2182.3840175367854</v>
      </c>
      <c r="U80" s="149">
        <f>(constantes!$B$3*(1+constantes!$B$3)^(O80))/((1+constantes!$B$3)^(O80)-1)</f>
        <v>9.3678779051968114E-2</v>
      </c>
      <c r="V80" s="148">
        <f t="shared" ca="1" si="6"/>
        <v>204.44307018537503</v>
      </c>
      <c r="W80" s="148">
        <f ca="1">(IF(S80=0,"",V80/constantes!$B$3))*1</f>
        <v>2555.538377317188</v>
      </c>
      <c r="X80" s="150">
        <f ca="1">IF(S80=0,"",PV(constantes!$B$3,O80,-V80)*constantes!$B$3)</f>
        <v>174.59072140294285</v>
      </c>
      <c r="Y80" s="85">
        <f t="shared" si="7"/>
        <v>1400</v>
      </c>
      <c r="Z80">
        <v>79</v>
      </c>
    </row>
    <row r="81" spans="1:26">
      <c r="A81" s="290">
        <v>7080</v>
      </c>
      <c r="B81" s="23" t="str">
        <f t="shared" si="4"/>
        <v>SE-NE_1500__kV_80</v>
      </c>
      <c r="C81" s="23">
        <v>802</v>
      </c>
      <c r="D81" s="142" t="str">
        <f>VLOOKUP(C81,tab_corredor!$A$2:$B$50,2,0)</f>
        <v>SE-NE</v>
      </c>
      <c r="E81" s="23">
        <v>1500</v>
      </c>
      <c r="F81" s="23" t="s">
        <v>2671</v>
      </c>
      <c r="G81" s="23">
        <v>1500</v>
      </c>
      <c r="H81" s="23">
        <v>1500</v>
      </c>
      <c r="I81" s="394">
        <v>5.0000000000000004E-6</v>
      </c>
      <c r="J81" s="394">
        <v>5.0000000000000004E-6</v>
      </c>
      <c r="K81" s="290">
        <v>1</v>
      </c>
      <c r="L81" s="291" t="s">
        <v>2619</v>
      </c>
      <c r="M81" s="23">
        <v>2015</v>
      </c>
      <c r="N81" s="23">
        <v>2100</v>
      </c>
      <c r="O81" s="292">
        <v>25</v>
      </c>
      <c r="P81" s="293">
        <v>2100</v>
      </c>
      <c r="Q81" s="294">
        <v>1</v>
      </c>
      <c r="R81" s="23"/>
      <c r="S81" s="148">
        <f t="shared" si="5"/>
        <v>2100</v>
      </c>
      <c r="T81" s="148">
        <f ca="1">IF(S81=0,"",S81*(OFFSET(cod_desembolso!$A$1,Q81,23)))</f>
        <v>2182.3840175367854</v>
      </c>
      <c r="U81" s="149">
        <f>(constantes!$B$3*(1+constantes!$B$3)^(O81))/((1+constantes!$B$3)^(O81)-1)</f>
        <v>9.3678779051968114E-2</v>
      </c>
      <c r="V81" s="148">
        <f t="shared" ca="1" si="6"/>
        <v>204.44307018537503</v>
      </c>
      <c r="W81" s="148">
        <f ca="1">(IF(S81=0,"",V81/constantes!$B$3))*1</f>
        <v>2555.538377317188</v>
      </c>
      <c r="X81" s="150">
        <f ca="1">IF(S81=0,"",PV(constantes!$B$3,O81,-V81)*constantes!$B$3)</f>
        <v>174.59072140294285</v>
      </c>
      <c r="Y81" s="85">
        <f t="shared" si="7"/>
        <v>1400</v>
      </c>
      <c r="Z81">
        <v>80</v>
      </c>
    </row>
    <row r="82" spans="1:26">
      <c r="A82" s="290">
        <v>7081</v>
      </c>
      <c r="B82" s="23" t="str">
        <f t="shared" si="4"/>
        <v>SE-NE_1500__kV_81</v>
      </c>
      <c r="C82" s="23">
        <v>802</v>
      </c>
      <c r="D82" s="142" t="str">
        <f>VLOOKUP(C82,tab_corredor!$A$2:$B$50,2,0)</f>
        <v>SE-NE</v>
      </c>
      <c r="E82" s="23">
        <v>1500</v>
      </c>
      <c r="F82" s="23" t="s">
        <v>2671</v>
      </c>
      <c r="G82" s="23">
        <v>1500</v>
      </c>
      <c r="H82" s="23">
        <v>1500</v>
      </c>
      <c r="I82" s="394">
        <v>5.0000000000000004E-6</v>
      </c>
      <c r="J82" s="394">
        <v>5.0000000000000004E-6</v>
      </c>
      <c r="K82" s="290">
        <v>1</v>
      </c>
      <c r="L82" s="291" t="s">
        <v>2619</v>
      </c>
      <c r="M82" s="23">
        <v>2015</v>
      </c>
      <c r="N82" s="23">
        <v>2100</v>
      </c>
      <c r="O82" s="292">
        <v>25</v>
      </c>
      <c r="P82" s="293">
        <v>2100</v>
      </c>
      <c r="Q82" s="294">
        <v>1</v>
      </c>
      <c r="R82" s="23"/>
      <c r="S82" s="148">
        <f t="shared" si="5"/>
        <v>2100</v>
      </c>
      <c r="T82" s="148">
        <f ca="1">IF(S82=0,"",S82*(OFFSET(cod_desembolso!$A$1,Q82,23)))</f>
        <v>2182.3840175367854</v>
      </c>
      <c r="U82" s="149">
        <f>(constantes!$B$3*(1+constantes!$B$3)^(O82))/((1+constantes!$B$3)^(O82)-1)</f>
        <v>9.3678779051968114E-2</v>
      </c>
      <c r="V82" s="148">
        <f t="shared" ca="1" si="6"/>
        <v>204.44307018537503</v>
      </c>
      <c r="W82" s="148">
        <f ca="1">(IF(S82=0,"",V82/constantes!$B$3))*1</f>
        <v>2555.538377317188</v>
      </c>
      <c r="X82" s="150">
        <f ca="1">IF(S82=0,"",PV(constantes!$B$3,O82,-V82)*constantes!$B$3)</f>
        <v>174.59072140294285</v>
      </c>
      <c r="Y82" s="85">
        <f t="shared" si="7"/>
        <v>1400</v>
      </c>
      <c r="Z82">
        <v>81</v>
      </c>
    </row>
    <row r="83" spans="1:26">
      <c r="A83" s="290">
        <v>7082</v>
      </c>
      <c r="B83" s="23" t="str">
        <f t="shared" si="4"/>
        <v>SE-NE_1500__kV_82</v>
      </c>
      <c r="C83" s="23">
        <v>802</v>
      </c>
      <c r="D83" s="142" t="str">
        <f>VLOOKUP(C83,tab_corredor!$A$2:$B$50,2,0)</f>
        <v>SE-NE</v>
      </c>
      <c r="E83" s="23">
        <v>1500</v>
      </c>
      <c r="F83" s="23" t="s">
        <v>2671</v>
      </c>
      <c r="G83" s="23">
        <v>1500</v>
      </c>
      <c r="H83" s="23">
        <v>1500</v>
      </c>
      <c r="I83" s="394">
        <v>5.0000000000000004E-6</v>
      </c>
      <c r="J83" s="394">
        <v>5.0000000000000004E-6</v>
      </c>
      <c r="K83" s="290">
        <v>1</v>
      </c>
      <c r="L83" s="291" t="s">
        <v>2619</v>
      </c>
      <c r="M83" s="23">
        <v>2015</v>
      </c>
      <c r="N83" s="23">
        <v>2100</v>
      </c>
      <c r="O83" s="292">
        <v>25</v>
      </c>
      <c r="P83" s="293">
        <v>2100</v>
      </c>
      <c r="Q83" s="294">
        <v>1</v>
      </c>
      <c r="R83" s="23"/>
      <c r="S83" s="148">
        <f t="shared" si="5"/>
        <v>2100</v>
      </c>
      <c r="T83" s="148">
        <f ca="1">IF(S83=0,"",S83*(OFFSET(cod_desembolso!$A$1,Q83,23)))</f>
        <v>2182.3840175367854</v>
      </c>
      <c r="U83" s="149">
        <f>(constantes!$B$3*(1+constantes!$B$3)^(O83))/((1+constantes!$B$3)^(O83)-1)</f>
        <v>9.3678779051968114E-2</v>
      </c>
      <c r="V83" s="148">
        <f t="shared" ca="1" si="6"/>
        <v>204.44307018537503</v>
      </c>
      <c r="W83" s="148">
        <f ca="1">(IF(S83=0,"",V83/constantes!$B$3))*1</f>
        <v>2555.538377317188</v>
      </c>
      <c r="X83" s="150">
        <f ca="1">IF(S83=0,"",PV(constantes!$B$3,O83,-V83)*constantes!$B$3)</f>
        <v>174.59072140294285</v>
      </c>
      <c r="Y83" s="85">
        <f t="shared" si="7"/>
        <v>1400</v>
      </c>
      <c r="Z83">
        <v>82</v>
      </c>
    </row>
    <row r="84" spans="1:26">
      <c r="A84" s="290">
        <v>7083</v>
      </c>
      <c r="B84" s="23" t="str">
        <f t="shared" si="4"/>
        <v>SE-NE_1500__kV_83</v>
      </c>
      <c r="C84" s="23">
        <v>802</v>
      </c>
      <c r="D84" s="142" t="str">
        <f>VLOOKUP(C84,tab_corredor!$A$2:$B$50,2,0)</f>
        <v>SE-NE</v>
      </c>
      <c r="E84" s="23">
        <v>1500</v>
      </c>
      <c r="F84" s="23" t="s">
        <v>2671</v>
      </c>
      <c r="G84" s="23">
        <v>1500</v>
      </c>
      <c r="H84" s="23">
        <v>1500</v>
      </c>
      <c r="I84" s="394">
        <v>5.0000000000000004E-6</v>
      </c>
      <c r="J84" s="394">
        <v>5.0000000000000004E-6</v>
      </c>
      <c r="K84" s="290">
        <v>1</v>
      </c>
      <c r="L84" s="291" t="s">
        <v>2619</v>
      </c>
      <c r="M84" s="23">
        <v>2015</v>
      </c>
      <c r="N84" s="23">
        <v>2100</v>
      </c>
      <c r="O84" s="292">
        <v>25</v>
      </c>
      <c r="P84" s="293">
        <v>2100</v>
      </c>
      <c r="Q84" s="294">
        <v>1</v>
      </c>
      <c r="R84" s="23"/>
      <c r="S84" s="148">
        <f t="shared" si="5"/>
        <v>2100</v>
      </c>
      <c r="T84" s="148">
        <f ca="1">IF(S84=0,"",S84*(OFFSET(cod_desembolso!$A$1,Q84,23)))</f>
        <v>2182.3840175367854</v>
      </c>
      <c r="U84" s="149">
        <f>(constantes!$B$3*(1+constantes!$B$3)^(O84))/((1+constantes!$B$3)^(O84)-1)</f>
        <v>9.3678779051968114E-2</v>
      </c>
      <c r="V84" s="148">
        <f t="shared" ca="1" si="6"/>
        <v>204.44307018537503</v>
      </c>
      <c r="W84" s="148">
        <f ca="1">(IF(S84=0,"",V84/constantes!$B$3))*1</f>
        <v>2555.538377317188</v>
      </c>
      <c r="X84" s="150">
        <f ca="1">IF(S84=0,"",PV(constantes!$B$3,O84,-V84)*constantes!$B$3)</f>
        <v>174.59072140294285</v>
      </c>
      <c r="Y84" s="85">
        <f t="shared" si="7"/>
        <v>1400</v>
      </c>
      <c r="Z84">
        <v>83</v>
      </c>
    </row>
    <row r="85" spans="1:26">
      <c r="A85" s="290">
        <v>7084</v>
      </c>
      <c r="B85" s="23" t="str">
        <f t="shared" si="4"/>
        <v>SE-NE_1500__kV_84</v>
      </c>
      <c r="C85" s="23">
        <v>802</v>
      </c>
      <c r="D85" s="142" t="str">
        <f>VLOOKUP(C85,tab_corredor!$A$2:$B$50,2,0)</f>
        <v>SE-NE</v>
      </c>
      <c r="E85" s="23">
        <v>1500</v>
      </c>
      <c r="F85" s="23" t="s">
        <v>2671</v>
      </c>
      <c r="G85" s="23">
        <v>1500</v>
      </c>
      <c r="H85" s="23">
        <v>1500</v>
      </c>
      <c r="I85" s="394">
        <v>5.0000000000000004E-6</v>
      </c>
      <c r="J85" s="394">
        <v>5.0000000000000004E-6</v>
      </c>
      <c r="K85" s="290">
        <v>1</v>
      </c>
      <c r="L85" s="291" t="s">
        <v>2619</v>
      </c>
      <c r="M85" s="23">
        <v>2015</v>
      </c>
      <c r="N85" s="23">
        <v>2100</v>
      </c>
      <c r="O85" s="292">
        <v>25</v>
      </c>
      <c r="P85" s="293">
        <v>2100</v>
      </c>
      <c r="Q85" s="294">
        <v>1</v>
      </c>
      <c r="R85" s="23"/>
      <c r="S85" s="148">
        <f t="shared" si="5"/>
        <v>2100</v>
      </c>
      <c r="T85" s="148">
        <f ca="1">IF(S85=0,"",S85*(OFFSET(cod_desembolso!$A$1,Q85,23)))</f>
        <v>2182.3840175367854</v>
      </c>
      <c r="U85" s="149">
        <f>(constantes!$B$3*(1+constantes!$B$3)^(O85))/((1+constantes!$B$3)^(O85)-1)</f>
        <v>9.3678779051968114E-2</v>
      </c>
      <c r="V85" s="148">
        <f t="shared" ca="1" si="6"/>
        <v>204.44307018537503</v>
      </c>
      <c r="W85" s="148">
        <f ca="1">(IF(S85=0,"",V85/constantes!$B$3))*1</f>
        <v>2555.538377317188</v>
      </c>
      <c r="X85" s="150">
        <f ca="1">IF(S85=0,"",PV(constantes!$B$3,O85,-V85)*constantes!$B$3)</f>
        <v>174.59072140294285</v>
      </c>
      <c r="Y85" s="85">
        <f t="shared" si="7"/>
        <v>1400</v>
      </c>
      <c r="Z85">
        <v>84</v>
      </c>
    </row>
    <row r="86" spans="1:26">
      <c r="A86" s="290">
        <v>7085</v>
      </c>
      <c r="B86" s="23" t="str">
        <f t="shared" si="4"/>
        <v>SE-NE_1500__kV_85</v>
      </c>
      <c r="C86" s="23">
        <v>802</v>
      </c>
      <c r="D86" s="142" t="str">
        <f>VLOOKUP(C86,tab_corredor!$A$2:$B$50,2,0)</f>
        <v>SE-NE</v>
      </c>
      <c r="E86" s="23">
        <v>1500</v>
      </c>
      <c r="F86" s="23" t="s">
        <v>2671</v>
      </c>
      <c r="G86" s="23">
        <v>1500</v>
      </c>
      <c r="H86" s="23">
        <v>1500</v>
      </c>
      <c r="I86" s="394">
        <v>5.0000000000000004E-6</v>
      </c>
      <c r="J86" s="394">
        <v>5.0000000000000004E-6</v>
      </c>
      <c r="K86" s="290">
        <v>1</v>
      </c>
      <c r="L86" s="291" t="s">
        <v>2619</v>
      </c>
      <c r="M86" s="23">
        <v>2015</v>
      </c>
      <c r="N86" s="23">
        <v>2100</v>
      </c>
      <c r="O86" s="292">
        <v>25</v>
      </c>
      <c r="P86" s="293">
        <v>2100</v>
      </c>
      <c r="Q86" s="294">
        <v>1</v>
      </c>
      <c r="R86" s="23"/>
      <c r="S86" s="148">
        <f t="shared" si="5"/>
        <v>2100</v>
      </c>
      <c r="T86" s="148">
        <f ca="1">IF(S86=0,"",S86*(OFFSET(cod_desembolso!$A$1,Q86,23)))</f>
        <v>2182.3840175367854</v>
      </c>
      <c r="U86" s="149">
        <f>(constantes!$B$3*(1+constantes!$B$3)^(O86))/((1+constantes!$B$3)^(O86)-1)</f>
        <v>9.3678779051968114E-2</v>
      </c>
      <c r="V86" s="148">
        <f t="shared" ca="1" si="6"/>
        <v>204.44307018537503</v>
      </c>
      <c r="W86" s="148">
        <f ca="1">(IF(S86=0,"",V86/constantes!$B$3))*1</f>
        <v>2555.538377317188</v>
      </c>
      <c r="X86" s="150">
        <f ca="1">IF(S86=0,"",PV(constantes!$B$3,O86,-V86)*constantes!$B$3)</f>
        <v>174.59072140294285</v>
      </c>
      <c r="Y86" s="85">
        <f t="shared" si="7"/>
        <v>1400</v>
      </c>
      <c r="Z86">
        <v>85</v>
      </c>
    </row>
    <row r="87" spans="1:26">
      <c r="A87" s="290">
        <v>7086</v>
      </c>
      <c r="B87" s="23" t="str">
        <f t="shared" si="4"/>
        <v>SE-NE_1500__kV_86</v>
      </c>
      <c r="C87" s="23">
        <v>802</v>
      </c>
      <c r="D87" s="142" t="str">
        <f>VLOOKUP(C87,tab_corredor!$A$2:$B$50,2,0)</f>
        <v>SE-NE</v>
      </c>
      <c r="E87" s="23">
        <v>1500</v>
      </c>
      <c r="F87" s="23" t="s">
        <v>2671</v>
      </c>
      <c r="G87" s="23">
        <v>1500</v>
      </c>
      <c r="H87" s="23">
        <v>1500</v>
      </c>
      <c r="I87" s="394">
        <v>5.0000000000000004E-6</v>
      </c>
      <c r="J87" s="394">
        <v>5.0000000000000004E-6</v>
      </c>
      <c r="K87" s="290">
        <v>1</v>
      </c>
      <c r="L87" s="291" t="s">
        <v>2619</v>
      </c>
      <c r="M87" s="23">
        <v>2015</v>
      </c>
      <c r="N87" s="23">
        <v>2100</v>
      </c>
      <c r="O87" s="292">
        <v>25</v>
      </c>
      <c r="P87" s="293">
        <v>2100</v>
      </c>
      <c r="Q87" s="294">
        <v>1</v>
      </c>
      <c r="R87" s="23"/>
      <c r="S87" s="148">
        <f t="shared" si="5"/>
        <v>2100</v>
      </c>
      <c r="T87" s="148">
        <f ca="1">IF(S87=0,"",S87*(OFFSET(cod_desembolso!$A$1,Q87,23)))</f>
        <v>2182.3840175367854</v>
      </c>
      <c r="U87" s="149">
        <f>(constantes!$B$3*(1+constantes!$B$3)^(O87))/((1+constantes!$B$3)^(O87)-1)</f>
        <v>9.3678779051968114E-2</v>
      </c>
      <c r="V87" s="148">
        <f t="shared" ca="1" si="6"/>
        <v>204.44307018537503</v>
      </c>
      <c r="W87" s="148">
        <f ca="1">(IF(S87=0,"",V87/constantes!$B$3))*1</f>
        <v>2555.538377317188</v>
      </c>
      <c r="X87" s="150">
        <f ca="1">IF(S87=0,"",PV(constantes!$B$3,O87,-V87)*constantes!$B$3)</f>
        <v>174.59072140294285</v>
      </c>
      <c r="Y87" s="85">
        <f t="shared" si="7"/>
        <v>1400</v>
      </c>
      <c r="Z87">
        <v>86</v>
      </c>
    </row>
    <row r="88" spans="1:26">
      <c r="A88" s="290">
        <v>7087</v>
      </c>
      <c r="B88" s="23" t="str">
        <f t="shared" si="4"/>
        <v>SE-NE_1500__kV_87</v>
      </c>
      <c r="C88" s="23">
        <v>802</v>
      </c>
      <c r="D88" s="142" t="str">
        <f>VLOOKUP(C88,tab_corredor!$A$2:$B$50,2,0)</f>
        <v>SE-NE</v>
      </c>
      <c r="E88" s="23">
        <v>1500</v>
      </c>
      <c r="F88" s="23" t="s">
        <v>2671</v>
      </c>
      <c r="G88" s="23">
        <v>1500</v>
      </c>
      <c r="H88" s="23">
        <v>1500</v>
      </c>
      <c r="I88" s="394">
        <v>5.0000000000000004E-6</v>
      </c>
      <c r="J88" s="394">
        <v>5.0000000000000004E-6</v>
      </c>
      <c r="K88" s="290">
        <v>1</v>
      </c>
      <c r="L88" s="291" t="s">
        <v>2619</v>
      </c>
      <c r="M88" s="23">
        <v>2015</v>
      </c>
      <c r="N88" s="23">
        <v>2100</v>
      </c>
      <c r="O88" s="292">
        <v>25</v>
      </c>
      <c r="P88" s="293">
        <v>2100</v>
      </c>
      <c r="Q88" s="294">
        <v>1</v>
      </c>
      <c r="R88" s="23"/>
      <c r="S88" s="148">
        <f t="shared" si="5"/>
        <v>2100</v>
      </c>
      <c r="T88" s="148">
        <f ca="1">IF(S88=0,"",S88*(OFFSET(cod_desembolso!$A$1,Q88,23)))</f>
        <v>2182.3840175367854</v>
      </c>
      <c r="U88" s="149">
        <f>(constantes!$B$3*(1+constantes!$B$3)^(O88))/((1+constantes!$B$3)^(O88)-1)</f>
        <v>9.3678779051968114E-2</v>
      </c>
      <c r="V88" s="148">
        <f t="shared" ca="1" si="6"/>
        <v>204.44307018537503</v>
      </c>
      <c r="W88" s="148">
        <f ca="1">(IF(S88=0,"",V88/constantes!$B$3))*1</f>
        <v>2555.538377317188</v>
      </c>
      <c r="X88" s="150">
        <f ca="1">IF(S88=0,"",PV(constantes!$B$3,O88,-V88)*constantes!$B$3)</f>
        <v>174.59072140294285</v>
      </c>
      <c r="Y88" s="85">
        <f t="shared" si="7"/>
        <v>1400</v>
      </c>
      <c r="Z88">
        <v>87</v>
      </c>
    </row>
    <row r="89" spans="1:26">
      <c r="A89" s="290">
        <v>7088</v>
      </c>
      <c r="B89" s="23" t="str">
        <f t="shared" si="4"/>
        <v>SE-NE_1500__kV_88</v>
      </c>
      <c r="C89" s="23">
        <v>802</v>
      </c>
      <c r="D89" s="142" t="str">
        <f>VLOOKUP(C89,tab_corredor!$A$2:$B$50,2,0)</f>
        <v>SE-NE</v>
      </c>
      <c r="E89" s="23">
        <v>1500</v>
      </c>
      <c r="F89" s="23" t="s">
        <v>2671</v>
      </c>
      <c r="G89" s="23">
        <v>1500</v>
      </c>
      <c r="H89" s="23">
        <v>1500</v>
      </c>
      <c r="I89" s="394">
        <v>5.0000000000000004E-6</v>
      </c>
      <c r="J89" s="394">
        <v>5.0000000000000004E-6</v>
      </c>
      <c r="K89" s="290">
        <v>1</v>
      </c>
      <c r="L89" s="291" t="s">
        <v>2619</v>
      </c>
      <c r="M89" s="23">
        <v>2015</v>
      </c>
      <c r="N89" s="23">
        <v>2100</v>
      </c>
      <c r="O89" s="292">
        <v>25</v>
      </c>
      <c r="P89" s="293">
        <v>2100</v>
      </c>
      <c r="Q89" s="294">
        <v>1</v>
      </c>
      <c r="R89" s="23"/>
      <c r="S89" s="148">
        <f t="shared" si="5"/>
        <v>2100</v>
      </c>
      <c r="T89" s="148">
        <f ca="1">IF(S89=0,"",S89*(OFFSET(cod_desembolso!$A$1,Q89,23)))</f>
        <v>2182.3840175367854</v>
      </c>
      <c r="U89" s="149">
        <f>(constantes!$B$3*(1+constantes!$B$3)^(O89))/((1+constantes!$B$3)^(O89)-1)</f>
        <v>9.3678779051968114E-2</v>
      </c>
      <c r="V89" s="148">
        <f t="shared" ca="1" si="6"/>
        <v>204.44307018537503</v>
      </c>
      <c r="W89" s="148">
        <f ca="1">(IF(S89=0,"",V89/constantes!$B$3))*1</f>
        <v>2555.538377317188</v>
      </c>
      <c r="X89" s="150">
        <f ca="1">IF(S89=0,"",PV(constantes!$B$3,O89,-V89)*constantes!$B$3)</f>
        <v>174.59072140294285</v>
      </c>
      <c r="Y89" s="85">
        <f t="shared" si="7"/>
        <v>1400</v>
      </c>
      <c r="Z89">
        <v>88</v>
      </c>
    </row>
    <row r="90" spans="1:26">
      <c r="A90" s="290">
        <v>7089</v>
      </c>
      <c r="B90" s="23" t="str">
        <f t="shared" si="4"/>
        <v>SE-NE_1500__kV_89</v>
      </c>
      <c r="C90" s="23">
        <v>802</v>
      </c>
      <c r="D90" s="142" t="str">
        <f>VLOOKUP(C90,tab_corredor!$A$2:$B$50,2,0)</f>
        <v>SE-NE</v>
      </c>
      <c r="E90" s="23">
        <v>1500</v>
      </c>
      <c r="F90" s="23" t="s">
        <v>2671</v>
      </c>
      <c r="G90" s="23">
        <v>1500</v>
      </c>
      <c r="H90" s="23">
        <v>1500</v>
      </c>
      <c r="I90" s="394">
        <v>5.0000000000000004E-6</v>
      </c>
      <c r="J90" s="394">
        <v>5.0000000000000004E-6</v>
      </c>
      <c r="K90" s="290">
        <v>1</v>
      </c>
      <c r="L90" s="291" t="s">
        <v>2619</v>
      </c>
      <c r="M90" s="23">
        <v>2015</v>
      </c>
      <c r="N90" s="23">
        <v>2100</v>
      </c>
      <c r="O90" s="292">
        <v>25</v>
      </c>
      <c r="P90" s="293">
        <v>2100</v>
      </c>
      <c r="Q90" s="294">
        <v>1</v>
      </c>
      <c r="R90" s="23"/>
      <c r="S90" s="148">
        <f t="shared" si="5"/>
        <v>2100</v>
      </c>
      <c r="T90" s="148">
        <f ca="1">IF(S90=0,"",S90*(OFFSET(cod_desembolso!$A$1,Q90,23)))</f>
        <v>2182.3840175367854</v>
      </c>
      <c r="U90" s="149">
        <f>(constantes!$B$3*(1+constantes!$B$3)^(O90))/((1+constantes!$B$3)^(O90)-1)</f>
        <v>9.3678779051968114E-2</v>
      </c>
      <c r="V90" s="148">
        <f t="shared" ca="1" si="6"/>
        <v>204.44307018537503</v>
      </c>
      <c r="W90" s="148">
        <f ca="1">(IF(S90=0,"",V90/constantes!$B$3))*1</f>
        <v>2555.538377317188</v>
      </c>
      <c r="X90" s="150">
        <f ca="1">IF(S90=0,"",PV(constantes!$B$3,O90,-V90)*constantes!$B$3)</f>
        <v>174.59072140294285</v>
      </c>
      <c r="Y90" s="85">
        <f t="shared" si="7"/>
        <v>1400</v>
      </c>
      <c r="Z90">
        <v>89</v>
      </c>
    </row>
    <row r="91" spans="1:26">
      <c r="A91" s="290">
        <v>7090</v>
      </c>
      <c r="B91" s="23" t="str">
        <f t="shared" si="4"/>
        <v>SE-NE_1500__kV_90</v>
      </c>
      <c r="C91" s="23">
        <v>802</v>
      </c>
      <c r="D91" s="142" t="str">
        <f>VLOOKUP(C91,tab_corredor!$A$2:$B$50,2,0)</f>
        <v>SE-NE</v>
      </c>
      <c r="E91" s="23">
        <v>1500</v>
      </c>
      <c r="F91" s="23" t="s">
        <v>2671</v>
      </c>
      <c r="G91" s="23">
        <v>1500</v>
      </c>
      <c r="H91" s="23">
        <v>1500</v>
      </c>
      <c r="I91" s="394">
        <v>5.0000000000000004E-6</v>
      </c>
      <c r="J91" s="394">
        <v>5.0000000000000004E-6</v>
      </c>
      <c r="K91" s="290">
        <v>1</v>
      </c>
      <c r="L91" s="291" t="s">
        <v>2619</v>
      </c>
      <c r="M91" s="23">
        <v>2015</v>
      </c>
      <c r="N91" s="23">
        <v>2100</v>
      </c>
      <c r="O91" s="292">
        <v>25</v>
      </c>
      <c r="P91" s="293">
        <v>2100</v>
      </c>
      <c r="Q91" s="294">
        <v>1</v>
      </c>
      <c r="R91" s="23"/>
      <c r="S91" s="148">
        <f t="shared" si="5"/>
        <v>2100</v>
      </c>
      <c r="T91" s="148">
        <f ca="1">IF(S91=0,"",S91*(OFFSET(cod_desembolso!$A$1,Q91,23)))</f>
        <v>2182.3840175367854</v>
      </c>
      <c r="U91" s="149">
        <f>(constantes!$B$3*(1+constantes!$B$3)^(O91))/((1+constantes!$B$3)^(O91)-1)</f>
        <v>9.3678779051968114E-2</v>
      </c>
      <c r="V91" s="148">
        <f t="shared" ca="1" si="6"/>
        <v>204.44307018537503</v>
      </c>
      <c r="W91" s="148">
        <f ca="1">(IF(S91=0,"",V91/constantes!$B$3))*1</f>
        <v>2555.538377317188</v>
      </c>
      <c r="X91" s="150">
        <f ca="1">IF(S91=0,"",PV(constantes!$B$3,O91,-V91)*constantes!$B$3)</f>
        <v>174.59072140294285</v>
      </c>
      <c r="Y91" s="85">
        <f t="shared" si="7"/>
        <v>1400</v>
      </c>
      <c r="Z91">
        <v>90</v>
      </c>
    </row>
    <row r="92" spans="1:26">
      <c r="A92" s="290">
        <v>7091</v>
      </c>
      <c r="B92" s="23" t="str">
        <f t="shared" si="4"/>
        <v>SE-NE_1500__kV_91</v>
      </c>
      <c r="C92" s="23">
        <v>802</v>
      </c>
      <c r="D92" s="142" t="str">
        <f>VLOOKUP(C92,tab_corredor!$A$2:$B$50,2,0)</f>
        <v>SE-NE</v>
      </c>
      <c r="E92" s="23">
        <v>1500</v>
      </c>
      <c r="F92" s="23" t="s">
        <v>2671</v>
      </c>
      <c r="G92" s="23">
        <v>1500</v>
      </c>
      <c r="H92" s="23">
        <v>1500</v>
      </c>
      <c r="I92" s="394">
        <v>5.0000000000000004E-6</v>
      </c>
      <c r="J92" s="394">
        <v>5.0000000000000004E-6</v>
      </c>
      <c r="K92" s="290">
        <v>1</v>
      </c>
      <c r="L92" s="291" t="s">
        <v>2619</v>
      </c>
      <c r="M92" s="23">
        <v>2015</v>
      </c>
      <c r="N92" s="23">
        <v>2100</v>
      </c>
      <c r="O92" s="292">
        <v>25</v>
      </c>
      <c r="P92" s="293">
        <v>2100</v>
      </c>
      <c r="Q92" s="294">
        <v>1</v>
      </c>
      <c r="R92" s="23"/>
      <c r="S92" s="148">
        <f t="shared" si="5"/>
        <v>2100</v>
      </c>
      <c r="T92" s="148">
        <f ca="1">IF(S92=0,"",S92*(OFFSET(cod_desembolso!$A$1,Q92,23)))</f>
        <v>2182.3840175367854</v>
      </c>
      <c r="U92" s="149">
        <f>(constantes!$B$3*(1+constantes!$B$3)^(O92))/((1+constantes!$B$3)^(O92)-1)</f>
        <v>9.3678779051968114E-2</v>
      </c>
      <c r="V92" s="148">
        <f t="shared" ca="1" si="6"/>
        <v>204.44307018537503</v>
      </c>
      <c r="W92" s="148">
        <f ca="1">(IF(S92=0,"",V92/constantes!$B$3))*1</f>
        <v>2555.538377317188</v>
      </c>
      <c r="X92" s="150">
        <f ca="1">IF(S92=0,"",PV(constantes!$B$3,O92,-V92)*constantes!$B$3)</f>
        <v>174.59072140294285</v>
      </c>
      <c r="Y92" s="85">
        <f t="shared" si="7"/>
        <v>1400</v>
      </c>
      <c r="Z92">
        <v>91</v>
      </c>
    </row>
    <row r="93" spans="1:26">
      <c r="A93" s="290">
        <v>7092</v>
      </c>
      <c r="B93" s="23" t="str">
        <f t="shared" si="4"/>
        <v>SE-NE_1500__kV_92</v>
      </c>
      <c r="C93" s="23">
        <v>802</v>
      </c>
      <c r="D93" s="142" t="str">
        <f>VLOOKUP(C93,tab_corredor!$A$2:$B$50,2,0)</f>
        <v>SE-NE</v>
      </c>
      <c r="E93" s="23">
        <v>1500</v>
      </c>
      <c r="F93" s="23" t="s">
        <v>2671</v>
      </c>
      <c r="G93" s="23">
        <v>1500</v>
      </c>
      <c r="H93" s="23">
        <v>1500</v>
      </c>
      <c r="I93" s="394">
        <v>5.0000000000000004E-6</v>
      </c>
      <c r="J93" s="394">
        <v>5.0000000000000004E-6</v>
      </c>
      <c r="K93" s="290">
        <v>1</v>
      </c>
      <c r="L93" s="291" t="s">
        <v>2619</v>
      </c>
      <c r="M93" s="23">
        <v>2015</v>
      </c>
      <c r="N93" s="23">
        <v>2100</v>
      </c>
      <c r="O93" s="292">
        <v>25</v>
      </c>
      <c r="P93" s="293">
        <v>2100</v>
      </c>
      <c r="Q93" s="294">
        <v>1</v>
      </c>
      <c r="R93" s="23"/>
      <c r="S93" s="148">
        <f t="shared" si="5"/>
        <v>2100</v>
      </c>
      <c r="T93" s="148">
        <f ca="1">IF(S93=0,"",S93*(OFFSET(cod_desembolso!$A$1,Q93,23)))</f>
        <v>2182.3840175367854</v>
      </c>
      <c r="U93" s="149">
        <f>(constantes!$B$3*(1+constantes!$B$3)^(O93))/((1+constantes!$B$3)^(O93)-1)</f>
        <v>9.3678779051968114E-2</v>
      </c>
      <c r="V93" s="148">
        <f t="shared" ca="1" si="6"/>
        <v>204.44307018537503</v>
      </c>
      <c r="W93" s="148">
        <f ca="1">(IF(S93=0,"",V93/constantes!$B$3))*1</f>
        <v>2555.538377317188</v>
      </c>
      <c r="X93" s="150">
        <f ca="1">IF(S93=0,"",PV(constantes!$B$3,O93,-V93)*constantes!$B$3)</f>
        <v>174.59072140294285</v>
      </c>
      <c r="Y93" s="85">
        <f t="shared" si="7"/>
        <v>1400</v>
      </c>
      <c r="Z93">
        <v>92</v>
      </c>
    </row>
    <row r="94" spans="1:26">
      <c r="A94" s="290">
        <v>7093</v>
      </c>
      <c r="B94" s="23" t="str">
        <f t="shared" si="4"/>
        <v>SE-NE_1500__kV_93</v>
      </c>
      <c r="C94" s="23">
        <v>802</v>
      </c>
      <c r="D94" s="142" t="str">
        <f>VLOOKUP(C94,tab_corredor!$A$2:$B$50,2,0)</f>
        <v>SE-NE</v>
      </c>
      <c r="E94" s="23">
        <v>1500</v>
      </c>
      <c r="F94" s="23" t="s">
        <v>2671</v>
      </c>
      <c r="G94" s="23">
        <v>1500</v>
      </c>
      <c r="H94" s="23">
        <v>1500</v>
      </c>
      <c r="I94" s="394">
        <v>5.0000000000000004E-6</v>
      </c>
      <c r="J94" s="394">
        <v>5.0000000000000004E-6</v>
      </c>
      <c r="K94" s="290">
        <v>1</v>
      </c>
      <c r="L94" s="291" t="s">
        <v>2619</v>
      </c>
      <c r="M94" s="23">
        <v>2015</v>
      </c>
      <c r="N94" s="23">
        <v>2100</v>
      </c>
      <c r="O94" s="292">
        <v>25</v>
      </c>
      <c r="P94" s="293">
        <v>2100</v>
      </c>
      <c r="Q94" s="294">
        <v>1</v>
      </c>
      <c r="R94" s="23"/>
      <c r="S94" s="148">
        <f t="shared" si="5"/>
        <v>2100</v>
      </c>
      <c r="T94" s="148">
        <f ca="1">IF(S94=0,"",S94*(OFFSET(cod_desembolso!$A$1,Q94,23)))</f>
        <v>2182.3840175367854</v>
      </c>
      <c r="U94" s="149">
        <f>(constantes!$B$3*(1+constantes!$B$3)^(O94))/((1+constantes!$B$3)^(O94)-1)</f>
        <v>9.3678779051968114E-2</v>
      </c>
      <c r="V94" s="148">
        <f t="shared" ca="1" si="6"/>
        <v>204.44307018537503</v>
      </c>
      <c r="W94" s="148">
        <f ca="1">(IF(S94=0,"",V94/constantes!$B$3))*1</f>
        <v>2555.538377317188</v>
      </c>
      <c r="X94" s="150">
        <f ca="1">IF(S94=0,"",PV(constantes!$B$3,O94,-V94)*constantes!$B$3)</f>
        <v>174.59072140294285</v>
      </c>
      <c r="Y94" s="85">
        <f t="shared" si="7"/>
        <v>1400</v>
      </c>
      <c r="Z94">
        <v>93</v>
      </c>
    </row>
    <row r="95" spans="1:26">
      <c r="A95" s="290">
        <v>7094</v>
      </c>
      <c r="B95" s="23" t="str">
        <f t="shared" si="4"/>
        <v>SE-NE_1500__kV_94</v>
      </c>
      <c r="C95" s="23">
        <v>802</v>
      </c>
      <c r="D95" s="142" t="str">
        <f>VLOOKUP(C95,tab_corredor!$A$2:$B$50,2,0)</f>
        <v>SE-NE</v>
      </c>
      <c r="E95" s="23">
        <v>1500</v>
      </c>
      <c r="F95" s="23" t="s">
        <v>2671</v>
      </c>
      <c r="G95" s="23">
        <v>1500</v>
      </c>
      <c r="H95" s="23">
        <v>1500</v>
      </c>
      <c r="I95" s="394">
        <v>5.0000000000000004E-6</v>
      </c>
      <c r="J95" s="394">
        <v>5.0000000000000004E-6</v>
      </c>
      <c r="K95" s="290">
        <v>1</v>
      </c>
      <c r="L95" s="291" t="s">
        <v>2619</v>
      </c>
      <c r="M95" s="23">
        <v>2015</v>
      </c>
      <c r="N95" s="23">
        <v>2100</v>
      </c>
      <c r="O95" s="292">
        <v>25</v>
      </c>
      <c r="P95" s="293">
        <v>2100</v>
      </c>
      <c r="Q95" s="294">
        <v>1</v>
      </c>
      <c r="R95" s="23"/>
      <c r="S95" s="148">
        <f t="shared" si="5"/>
        <v>2100</v>
      </c>
      <c r="T95" s="148">
        <f ca="1">IF(S95=0,"",S95*(OFFSET(cod_desembolso!$A$1,Q95,23)))</f>
        <v>2182.3840175367854</v>
      </c>
      <c r="U95" s="149">
        <f>(constantes!$B$3*(1+constantes!$B$3)^(O95))/((1+constantes!$B$3)^(O95)-1)</f>
        <v>9.3678779051968114E-2</v>
      </c>
      <c r="V95" s="148">
        <f t="shared" ca="1" si="6"/>
        <v>204.44307018537503</v>
      </c>
      <c r="W95" s="148">
        <f ca="1">(IF(S95=0,"",V95/constantes!$B$3))*1</f>
        <v>2555.538377317188</v>
      </c>
      <c r="X95" s="150">
        <f ca="1">IF(S95=0,"",PV(constantes!$B$3,O95,-V95)*constantes!$B$3)</f>
        <v>174.59072140294285</v>
      </c>
      <c r="Y95" s="85">
        <f t="shared" si="7"/>
        <v>1400</v>
      </c>
      <c r="Z95">
        <v>94</v>
      </c>
    </row>
    <row r="96" spans="1:26">
      <c r="A96" s="290">
        <v>7095</v>
      </c>
      <c r="B96" s="23" t="str">
        <f t="shared" si="4"/>
        <v>SE-NE_1500__kV_95</v>
      </c>
      <c r="C96" s="23">
        <v>802</v>
      </c>
      <c r="D96" s="142" t="str">
        <f>VLOOKUP(C96,tab_corredor!$A$2:$B$50,2,0)</f>
        <v>SE-NE</v>
      </c>
      <c r="E96" s="23">
        <v>1500</v>
      </c>
      <c r="F96" s="23" t="s">
        <v>2671</v>
      </c>
      <c r="G96" s="23">
        <v>1500</v>
      </c>
      <c r="H96" s="23">
        <v>1500</v>
      </c>
      <c r="I96" s="394">
        <v>5.0000000000000004E-6</v>
      </c>
      <c r="J96" s="394">
        <v>5.0000000000000004E-6</v>
      </c>
      <c r="K96" s="290">
        <v>1</v>
      </c>
      <c r="L96" s="291" t="s">
        <v>2619</v>
      </c>
      <c r="M96" s="23">
        <v>2015</v>
      </c>
      <c r="N96" s="23">
        <v>2100</v>
      </c>
      <c r="O96" s="292">
        <v>25</v>
      </c>
      <c r="P96" s="293">
        <v>2100</v>
      </c>
      <c r="Q96" s="294">
        <v>1</v>
      </c>
      <c r="R96" s="23"/>
      <c r="S96" s="148">
        <f t="shared" si="5"/>
        <v>2100</v>
      </c>
      <c r="T96" s="148">
        <f ca="1">IF(S96=0,"",S96*(OFFSET(cod_desembolso!$A$1,Q96,23)))</f>
        <v>2182.3840175367854</v>
      </c>
      <c r="U96" s="149">
        <f>(constantes!$B$3*(1+constantes!$B$3)^(O96))/((1+constantes!$B$3)^(O96)-1)</f>
        <v>9.3678779051968114E-2</v>
      </c>
      <c r="V96" s="148">
        <f t="shared" ca="1" si="6"/>
        <v>204.44307018537503</v>
      </c>
      <c r="W96" s="148">
        <f ca="1">(IF(S96=0,"",V96/constantes!$B$3))*1</f>
        <v>2555.538377317188</v>
      </c>
      <c r="X96" s="150">
        <f ca="1">IF(S96=0,"",PV(constantes!$B$3,O96,-V96)*constantes!$B$3)</f>
        <v>174.59072140294285</v>
      </c>
      <c r="Y96" s="85">
        <f t="shared" si="7"/>
        <v>1400</v>
      </c>
      <c r="Z96">
        <v>95</v>
      </c>
    </row>
    <row r="97" spans="1:26">
      <c r="A97" s="290">
        <v>7096</v>
      </c>
      <c r="B97" s="23" t="str">
        <f t="shared" si="4"/>
        <v>SE-NE_1500__kV_96</v>
      </c>
      <c r="C97" s="23">
        <v>802</v>
      </c>
      <c r="D97" s="142" t="str">
        <f>VLOOKUP(C97,tab_corredor!$A$2:$B$50,2,0)</f>
        <v>SE-NE</v>
      </c>
      <c r="E97" s="23">
        <v>1500</v>
      </c>
      <c r="F97" s="23" t="s">
        <v>2671</v>
      </c>
      <c r="G97" s="23">
        <v>1500</v>
      </c>
      <c r="H97" s="23">
        <v>1500</v>
      </c>
      <c r="I97" s="394">
        <v>5.0000000000000004E-6</v>
      </c>
      <c r="J97" s="394">
        <v>5.0000000000000004E-6</v>
      </c>
      <c r="K97" s="290">
        <v>1</v>
      </c>
      <c r="L97" s="291" t="s">
        <v>2619</v>
      </c>
      <c r="M97" s="23">
        <v>2015</v>
      </c>
      <c r="N97" s="23">
        <v>2100</v>
      </c>
      <c r="O97" s="292">
        <v>25</v>
      </c>
      <c r="P97" s="293">
        <v>2100</v>
      </c>
      <c r="Q97" s="294">
        <v>1</v>
      </c>
      <c r="R97" s="23"/>
      <c r="S97" s="148">
        <f t="shared" si="5"/>
        <v>2100</v>
      </c>
      <c r="T97" s="148">
        <f ca="1">IF(S97=0,"",S97*(OFFSET(cod_desembolso!$A$1,Q97,23)))</f>
        <v>2182.3840175367854</v>
      </c>
      <c r="U97" s="149">
        <f>(constantes!$B$3*(1+constantes!$B$3)^(O97))/((1+constantes!$B$3)^(O97)-1)</f>
        <v>9.3678779051968114E-2</v>
      </c>
      <c r="V97" s="148">
        <f t="shared" ca="1" si="6"/>
        <v>204.44307018537503</v>
      </c>
      <c r="W97" s="148">
        <f ca="1">(IF(S97=0,"",V97/constantes!$B$3))*1</f>
        <v>2555.538377317188</v>
      </c>
      <c r="X97" s="150">
        <f ca="1">IF(S97=0,"",PV(constantes!$B$3,O97,-V97)*constantes!$B$3)</f>
        <v>174.59072140294285</v>
      </c>
      <c r="Y97" s="85">
        <f t="shared" si="7"/>
        <v>1400</v>
      </c>
      <c r="Z97">
        <v>96</v>
      </c>
    </row>
    <row r="98" spans="1:26">
      <c r="A98" s="290">
        <v>7097</v>
      </c>
      <c r="B98" s="23" t="str">
        <f t="shared" si="4"/>
        <v>SE-NE_1500__kV_97</v>
      </c>
      <c r="C98" s="23">
        <v>802</v>
      </c>
      <c r="D98" s="142" t="str">
        <f>VLOOKUP(C98,tab_corredor!$A$2:$B$50,2,0)</f>
        <v>SE-NE</v>
      </c>
      <c r="E98" s="23">
        <v>1500</v>
      </c>
      <c r="F98" s="23" t="s">
        <v>2671</v>
      </c>
      <c r="G98" s="23">
        <v>1500</v>
      </c>
      <c r="H98" s="23">
        <v>1500</v>
      </c>
      <c r="I98" s="394">
        <v>5.0000000000000004E-6</v>
      </c>
      <c r="J98" s="394">
        <v>5.0000000000000004E-6</v>
      </c>
      <c r="K98" s="290">
        <v>1</v>
      </c>
      <c r="L98" s="291" t="s">
        <v>2619</v>
      </c>
      <c r="M98" s="23">
        <v>2015</v>
      </c>
      <c r="N98" s="23">
        <v>2100</v>
      </c>
      <c r="O98" s="292">
        <v>25</v>
      </c>
      <c r="P98" s="293">
        <v>2100</v>
      </c>
      <c r="Q98" s="294">
        <v>1</v>
      </c>
      <c r="R98" s="23"/>
      <c r="S98" s="148">
        <f t="shared" si="5"/>
        <v>2100</v>
      </c>
      <c r="T98" s="148">
        <f ca="1">IF(S98=0,"",S98*(OFFSET(cod_desembolso!$A$1,Q98,23)))</f>
        <v>2182.3840175367854</v>
      </c>
      <c r="U98" s="149">
        <f>(constantes!$B$3*(1+constantes!$B$3)^(O98))/((1+constantes!$B$3)^(O98)-1)</f>
        <v>9.3678779051968114E-2</v>
      </c>
      <c r="V98" s="148">
        <f t="shared" ca="1" si="6"/>
        <v>204.44307018537503</v>
      </c>
      <c r="W98" s="148">
        <f ca="1">(IF(S98=0,"",V98/constantes!$B$3))*1</f>
        <v>2555.538377317188</v>
      </c>
      <c r="X98" s="150">
        <f ca="1">IF(S98=0,"",PV(constantes!$B$3,O98,-V98)*constantes!$B$3)</f>
        <v>174.59072140294285</v>
      </c>
      <c r="Y98" s="85">
        <f t="shared" si="7"/>
        <v>1400</v>
      </c>
      <c r="Z98">
        <v>97</v>
      </c>
    </row>
    <row r="99" spans="1:26">
      <c r="A99" s="290">
        <v>7098</v>
      </c>
      <c r="B99" s="23" t="str">
        <f t="shared" si="4"/>
        <v>SE-NE_1500__kV_98</v>
      </c>
      <c r="C99" s="23">
        <v>802</v>
      </c>
      <c r="D99" s="142" t="str">
        <f>VLOOKUP(C99,tab_corredor!$A$2:$B$50,2,0)</f>
        <v>SE-NE</v>
      </c>
      <c r="E99" s="23">
        <v>1500</v>
      </c>
      <c r="F99" s="23" t="s">
        <v>2671</v>
      </c>
      <c r="G99" s="23">
        <v>1500</v>
      </c>
      <c r="H99" s="23">
        <v>1500</v>
      </c>
      <c r="I99" s="394">
        <v>5.0000000000000004E-6</v>
      </c>
      <c r="J99" s="394">
        <v>5.0000000000000004E-6</v>
      </c>
      <c r="K99" s="290">
        <v>1</v>
      </c>
      <c r="L99" s="291" t="s">
        <v>2619</v>
      </c>
      <c r="M99" s="23">
        <v>2015</v>
      </c>
      <c r="N99" s="23">
        <v>2100</v>
      </c>
      <c r="O99" s="292">
        <v>25</v>
      </c>
      <c r="P99" s="293">
        <v>2100</v>
      </c>
      <c r="Q99" s="294">
        <v>1</v>
      </c>
      <c r="R99" s="23"/>
      <c r="S99" s="148">
        <f t="shared" si="5"/>
        <v>2100</v>
      </c>
      <c r="T99" s="148">
        <f ca="1">IF(S99=0,"",S99*(OFFSET(cod_desembolso!$A$1,Q99,23)))</f>
        <v>2182.3840175367854</v>
      </c>
      <c r="U99" s="149">
        <f>(constantes!$B$3*(1+constantes!$B$3)^(O99))/((1+constantes!$B$3)^(O99)-1)</f>
        <v>9.3678779051968114E-2</v>
      </c>
      <c r="V99" s="148">
        <f t="shared" ca="1" si="6"/>
        <v>204.44307018537503</v>
      </c>
      <c r="W99" s="148">
        <f ca="1">(IF(S99=0,"",V99/constantes!$B$3))*1</f>
        <v>2555.538377317188</v>
      </c>
      <c r="X99" s="150">
        <f ca="1">IF(S99=0,"",PV(constantes!$B$3,O99,-V99)*constantes!$B$3)</f>
        <v>174.59072140294285</v>
      </c>
      <c r="Y99" s="85">
        <f t="shared" si="7"/>
        <v>1400</v>
      </c>
      <c r="Z99">
        <v>98</v>
      </c>
    </row>
    <row r="100" spans="1:26">
      <c r="A100" s="290">
        <v>7099</v>
      </c>
      <c r="B100" s="23" t="str">
        <f t="shared" si="4"/>
        <v>SE-NE_1500__kV_99</v>
      </c>
      <c r="C100" s="23">
        <v>802</v>
      </c>
      <c r="D100" s="142" t="str">
        <f>VLOOKUP(C100,tab_corredor!$A$2:$B$50,2,0)</f>
        <v>SE-NE</v>
      </c>
      <c r="E100" s="23">
        <v>1500</v>
      </c>
      <c r="F100" s="23" t="s">
        <v>2671</v>
      </c>
      <c r="G100" s="23">
        <v>1500</v>
      </c>
      <c r="H100" s="23">
        <v>1500</v>
      </c>
      <c r="I100" s="394">
        <v>5.0000000000000004E-6</v>
      </c>
      <c r="J100" s="394">
        <v>5.0000000000000004E-6</v>
      </c>
      <c r="K100" s="290">
        <v>1</v>
      </c>
      <c r="L100" s="291" t="s">
        <v>2619</v>
      </c>
      <c r="M100" s="23">
        <v>2015</v>
      </c>
      <c r="N100" s="23">
        <v>2100</v>
      </c>
      <c r="O100" s="292">
        <v>25</v>
      </c>
      <c r="P100" s="293">
        <v>2100</v>
      </c>
      <c r="Q100" s="294">
        <v>1</v>
      </c>
      <c r="R100" s="23"/>
      <c r="S100" s="148">
        <f t="shared" si="5"/>
        <v>2100</v>
      </c>
      <c r="T100" s="148">
        <f ca="1">IF(S100=0,"",S100*(OFFSET(cod_desembolso!$A$1,Q100,23)))</f>
        <v>2182.3840175367854</v>
      </c>
      <c r="U100" s="149">
        <f>(constantes!$B$3*(1+constantes!$B$3)^(O100))/((1+constantes!$B$3)^(O100)-1)</f>
        <v>9.3678779051968114E-2</v>
      </c>
      <c r="V100" s="148">
        <f t="shared" ca="1" si="6"/>
        <v>204.44307018537503</v>
      </c>
      <c r="W100" s="148">
        <f ca="1">(IF(S100=0,"",V100/constantes!$B$3))*1</f>
        <v>2555.538377317188</v>
      </c>
      <c r="X100" s="150">
        <f ca="1">IF(S100=0,"",PV(constantes!$B$3,O100,-V100)*constantes!$B$3)</f>
        <v>174.59072140294285</v>
      </c>
      <c r="Y100" s="85">
        <f t="shared" si="7"/>
        <v>1400</v>
      </c>
      <c r="Z100">
        <v>99</v>
      </c>
    </row>
    <row r="101" spans="1:26">
      <c r="A101" s="290">
        <v>7100</v>
      </c>
      <c r="B101" s="23" t="str">
        <f t="shared" si="4"/>
        <v>SE-NE_1500__kV_100</v>
      </c>
      <c r="C101" s="23">
        <v>802</v>
      </c>
      <c r="D101" s="142" t="str">
        <f>VLOOKUP(C101,tab_corredor!$A$2:$B$50,2,0)</f>
        <v>SE-NE</v>
      </c>
      <c r="E101" s="23">
        <v>1500</v>
      </c>
      <c r="F101" s="23" t="s">
        <v>2671</v>
      </c>
      <c r="G101" s="23">
        <v>1500</v>
      </c>
      <c r="H101" s="23">
        <v>1500</v>
      </c>
      <c r="I101" s="394">
        <v>5.0000000000000004E-6</v>
      </c>
      <c r="J101" s="394">
        <v>5.0000000000000004E-6</v>
      </c>
      <c r="K101" s="290">
        <v>1</v>
      </c>
      <c r="L101" s="291" t="s">
        <v>2619</v>
      </c>
      <c r="M101" s="23">
        <v>2015</v>
      </c>
      <c r="N101" s="23">
        <v>2100</v>
      </c>
      <c r="O101" s="292">
        <v>25</v>
      </c>
      <c r="P101" s="293">
        <v>2100</v>
      </c>
      <c r="Q101" s="294">
        <v>1</v>
      </c>
      <c r="R101" s="23"/>
      <c r="S101" s="148">
        <f t="shared" si="5"/>
        <v>2100</v>
      </c>
      <c r="T101" s="148">
        <f ca="1">IF(S101=0,"",S101*(OFFSET(cod_desembolso!$A$1,Q101,23)))</f>
        <v>2182.3840175367854</v>
      </c>
      <c r="U101" s="149">
        <f>(constantes!$B$3*(1+constantes!$B$3)^(O101))/((1+constantes!$B$3)^(O101)-1)</f>
        <v>9.3678779051968114E-2</v>
      </c>
      <c r="V101" s="148">
        <f t="shared" ca="1" si="6"/>
        <v>204.44307018537503</v>
      </c>
      <c r="W101" s="148">
        <f ca="1">(IF(S101=0,"",V101/constantes!$B$3))*1</f>
        <v>2555.538377317188</v>
      </c>
      <c r="X101" s="150">
        <f ca="1">IF(S101=0,"",PV(constantes!$B$3,O101,-V101)*constantes!$B$3)</f>
        <v>174.59072140294285</v>
      </c>
      <c r="Y101" s="85">
        <f t="shared" si="7"/>
        <v>1400</v>
      </c>
      <c r="Z101">
        <v>100</v>
      </c>
    </row>
    <row r="102" spans="1:26">
      <c r="A102" s="290">
        <v>7101</v>
      </c>
      <c r="B102" s="23" t="str">
        <f t="shared" si="4"/>
        <v>SE-NE_1500__kV_101</v>
      </c>
      <c r="C102" s="23">
        <v>802</v>
      </c>
      <c r="D102" s="142" t="str">
        <f>VLOOKUP(C102,tab_corredor!$A$2:$B$50,2,0)</f>
        <v>SE-NE</v>
      </c>
      <c r="E102" s="23">
        <v>1500</v>
      </c>
      <c r="F102" s="23" t="s">
        <v>2671</v>
      </c>
      <c r="G102" s="23">
        <v>1500</v>
      </c>
      <c r="H102" s="23">
        <v>1500</v>
      </c>
      <c r="I102" s="394">
        <v>5.0000000000000004E-6</v>
      </c>
      <c r="J102" s="394">
        <v>5.0000000000000004E-6</v>
      </c>
      <c r="K102" s="290">
        <v>1</v>
      </c>
      <c r="L102" s="291" t="s">
        <v>2619</v>
      </c>
      <c r="M102" s="23">
        <v>2015</v>
      </c>
      <c r="N102" s="23">
        <v>2100</v>
      </c>
      <c r="O102" s="292">
        <v>25</v>
      </c>
      <c r="P102" s="293">
        <v>2100</v>
      </c>
      <c r="Q102" s="294">
        <v>1</v>
      </c>
      <c r="R102" s="23"/>
      <c r="S102" s="148">
        <f t="shared" si="5"/>
        <v>2100</v>
      </c>
      <c r="T102" s="148">
        <f ca="1">IF(S102=0,"",S102*(OFFSET(cod_desembolso!$A$1,Q102,23)))</f>
        <v>2182.3840175367854</v>
      </c>
      <c r="U102" s="149">
        <f>(constantes!$B$3*(1+constantes!$B$3)^(O102))/((1+constantes!$B$3)^(O102)-1)</f>
        <v>9.3678779051968114E-2</v>
      </c>
      <c r="V102" s="148">
        <f t="shared" ca="1" si="6"/>
        <v>204.44307018537503</v>
      </c>
      <c r="W102" s="148">
        <f ca="1">(IF(S102=0,"",V102/constantes!$B$3))*1</f>
        <v>2555.538377317188</v>
      </c>
      <c r="X102" s="150">
        <f ca="1">IF(S102=0,"",PV(constantes!$B$3,O102,-V102)*constantes!$B$3)</f>
        <v>174.59072140294285</v>
      </c>
      <c r="Y102" s="85">
        <f t="shared" si="7"/>
        <v>1400</v>
      </c>
      <c r="Z102">
        <v>101</v>
      </c>
    </row>
    <row r="103" spans="1:26">
      <c r="A103" s="290">
        <v>7102</v>
      </c>
      <c r="B103" s="23" t="str">
        <f t="shared" si="4"/>
        <v>SE-NE_1500__kV_102</v>
      </c>
      <c r="C103" s="23">
        <v>802</v>
      </c>
      <c r="D103" s="142" t="str">
        <f>VLOOKUP(C103,tab_corredor!$A$2:$B$50,2,0)</f>
        <v>SE-NE</v>
      </c>
      <c r="E103" s="23">
        <v>1500</v>
      </c>
      <c r="F103" s="23" t="s">
        <v>2671</v>
      </c>
      <c r="G103" s="23">
        <v>1500</v>
      </c>
      <c r="H103" s="23">
        <v>1500</v>
      </c>
      <c r="I103" s="394">
        <v>5.0000000000000004E-6</v>
      </c>
      <c r="J103" s="394">
        <v>5.0000000000000004E-6</v>
      </c>
      <c r="K103" s="290">
        <v>1</v>
      </c>
      <c r="L103" s="291" t="s">
        <v>2619</v>
      </c>
      <c r="M103" s="23">
        <v>2015</v>
      </c>
      <c r="N103" s="23">
        <v>2100</v>
      </c>
      <c r="O103" s="292">
        <v>25</v>
      </c>
      <c r="P103" s="293">
        <v>2100</v>
      </c>
      <c r="Q103" s="294">
        <v>1</v>
      </c>
      <c r="R103" s="23"/>
      <c r="S103" s="148">
        <f t="shared" si="5"/>
        <v>2100</v>
      </c>
      <c r="T103" s="148">
        <f ca="1">IF(S103=0,"",S103*(OFFSET(cod_desembolso!$A$1,Q103,23)))</f>
        <v>2182.3840175367854</v>
      </c>
      <c r="U103" s="149">
        <f>(constantes!$B$3*(1+constantes!$B$3)^(O103))/((1+constantes!$B$3)^(O103)-1)</f>
        <v>9.3678779051968114E-2</v>
      </c>
      <c r="V103" s="148">
        <f t="shared" ca="1" si="6"/>
        <v>204.44307018537503</v>
      </c>
      <c r="W103" s="148">
        <f ca="1">(IF(S103=0,"",V103/constantes!$B$3))*1</f>
        <v>2555.538377317188</v>
      </c>
      <c r="X103" s="150">
        <f ca="1">IF(S103=0,"",PV(constantes!$B$3,O103,-V103)*constantes!$B$3)</f>
        <v>174.59072140294285</v>
      </c>
      <c r="Y103" s="85">
        <f t="shared" si="7"/>
        <v>1400</v>
      </c>
      <c r="Z103">
        <v>102</v>
      </c>
    </row>
    <row r="104" spans="1:26">
      <c r="A104" s="290">
        <v>7103</v>
      </c>
      <c r="B104" s="23" t="str">
        <f t="shared" si="4"/>
        <v>SE-NE_1500__kV_103</v>
      </c>
      <c r="C104" s="23">
        <v>802</v>
      </c>
      <c r="D104" s="142" t="str">
        <f>VLOOKUP(C104,tab_corredor!$A$2:$B$50,2,0)</f>
        <v>SE-NE</v>
      </c>
      <c r="E104" s="23">
        <v>1500</v>
      </c>
      <c r="F104" s="23" t="s">
        <v>2671</v>
      </c>
      <c r="G104" s="23">
        <v>1500</v>
      </c>
      <c r="H104" s="23">
        <v>1500</v>
      </c>
      <c r="I104" s="394">
        <v>5.0000000000000004E-6</v>
      </c>
      <c r="J104" s="394">
        <v>5.0000000000000004E-6</v>
      </c>
      <c r="K104" s="290">
        <v>1</v>
      </c>
      <c r="L104" s="291" t="s">
        <v>2619</v>
      </c>
      <c r="M104" s="23">
        <v>2015</v>
      </c>
      <c r="N104" s="23">
        <v>2100</v>
      </c>
      <c r="O104" s="292">
        <v>25</v>
      </c>
      <c r="P104" s="293">
        <v>2100</v>
      </c>
      <c r="Q104" s="294">
        <v>1</v>
      </c>
      <c r="R104" s="23"/>
      <c r="S104" s="148">
        <f t="shared" si="5"/>
        <v>2100</v>
      </c>
      <c r="T104" s="148">
        <f ca="1">IF(S104=0,"",S104*(OFFSET(cod_desembolso!$A$1,Q104,23)))</f>
        <v>2182.3840175367854</v>
      </c>
      <c r="U104" s="149">
        <f>(constantes!$B$3*(1+constantes!$B$3)^(O104))/((1+constantes!$B$3)^(O104)-1)</f>
        <v>9.3678779051968114E-2</v>
      </c>
      <c r="V104" s="148">
        <f t="shared" ca="1" si="6"/>
        <v>204.44307018537503</v>
      </c>
      <c r="W104" s="148">
        <f ca="1">(IF(S104=0,"",V104/constantes!$B$3))*1</f>
        <v>2555.538377317188</v>
      </c>
      <c r="X104" s="150">
        <f ca="1">IF(S104=0,"",PV(constantes!$B$3,O104,-V104)*constantes!$B$3)</f>
        <v>174.59072140294285</v>
      </c>
      <c r="Y104" s="85">
        <f t="shared" si="7"/>
        <v>1400</v>
      </c>
      <c r="Z104">
        <v>103</v>
      </c>
    </row>
    <row r="105" spans="1:26">
      <c r="A105" s="290">
        <v>7104</v>
      </c>
      <c r="B105" s="23" t="str">
        <f t="shared" si="4"/>
        <v>SE-NE_1500__kV_104</v>
      </c>
      <c r="C105" s="23">
        <v>802</v>
      </c>
      <c r="D105" s="142" t="str">
        <f>VLOOKUP(C105,tab_corredor!$A$2:$B$50,2,0)</f>
        <v>SE-NE</v>
      </c>
      <c r="E105" s="23">
        <v>1500</v>
      </c>
      <c r="F105" s="23" t="s">
        <v>2671</v>
      </c>
      <c r="G105" s="23">
        <v>1500</v>
      </c>
      <c r="H105" s="23">
        <v>1500</v>
      </c>
      <c r="I105" s="394">
        <v>5.0000000000000004E-6</v>
      </c>
      <c r="J105" s="394">
        <v>5.0000000000000004E-6</v>
      </c>
      <c r="K105" s="290">
        <v>1</v>
      </c>
      <c r="L105" s="291" t="s">
        <v>2619</v>
      </c>
      <c r="M105" s="23">
        <v>2015</v>
      </c>
      <c r="N105" s="23">
        <v>2100</v>
      </c>
      <c r="O105" s="292">
        <v>25</v>
      </c>
      <c r="P105" s="293">
        <v>2100</v>
      </c>
      <c r="Q105" s="294">
        <v>1</v>
      </c>
      <c r="R105" s="23"/>
      <c r="S105" s="148">
        <f t="shared" si="5"/>
        <v>2100</v>
      </c>
      <c r="T105" s="148">
        <f ca="1">IF(S105=0,"",S105*(OFFSET(cod_desembolso!$A$1,Q105,23)))</f>
        <v>2182.3840175367854</v>
      </c>
      <c r="U105" s="149">
        <f>(constantes!$B$3*(1+constantes!$B$3)^(O105))/((1+constantes!$B$3)^(O105)-1)</f>
        <v>9.3678779051968114E-2</v>
      </c>
      <c r="V105" s="148">
        <f t="shared" ca="1" si="6"/>
        <v>204.44307018537503</v>
      </c>
      <c r="W105" s="148">
        <f ca="1">(IF(S105=0,"",V105/constantes!$B$3))*1</f>
        <v>2555.538377317188</v>
      </c>
      <c r="X105" s="150">
        <f ca="1">IF(S105=0,"",PV(constantes!$B$3,O105,-V105)*constantes!$B$3)</f>
        <v>174.59072140294285</v>
      </c>
      <c r="Y105" s="85">
        <f t="shared" si="7"/>
        <v>1400</v>
      </c>
      <c r="Z105">
        <v>104</v>
      </c>
    </row>
    <row r="106" spans="1:26">
      <c r="A106" s="290">
        <v>7105</v>
      </c>
      <c r="B106" s="23" t="str">
        <f t="shared" si="4"/>
        <v>SE-NE_1500__kV_105</v>
      </c>
      <c r="C106" s="23">
        <v>802</v>
      </c>
      <c r="D106" s="142" t="str">
        <f>VLOOKUP(C106,tab_corredor!$A$2:$B$50,2,0)</f>
        <v>SE-NE</v>
      </c>
      <c r="E106" s="23">
        <v>1500</v>
      </c>
      <c r="F106" s="23" t="s">
        <v>2671</v>
      </c>
      <c r="G106" s="23">
        <v>1500</v>
      </c>
      <c r="H106" s="23">
        <v>1500</v>
      </c>
      <c r="I106" s="394">
        <v>5.0000000000000004E-6</v>
      </c>
      <c r="J106" s="394">
        <v>5.0000000000000004E-6</v>
      </c>
      <c r="K106" s="290">
        <v>1</v>
      </c>
      <c r="L106" s="291" t="s">
        <v>2619</v>
      </c>
      <c r="M106" s="23">
        <v>2015</v>
      </c>
      <c r="N106" s="23">
        <v>2100</v>
      </c>
      <c r="O106" s="292">
        <v>25</v>
      </c>
      <c r="P106" s="293">
        <v>2100</v>
      </c>
      <c r="Q106" s="294">
        <v>1</v>
      </c>
      <c r="R106" s="23"/>
      <c r="S106" s="148">
        <f t="shared" si="5"/>
        <v>2100</v>
      </c>
      <c r="T106" s="148">
        <f ca="1">IF(S106=0,"",S106*(OFFSET(cod_desembolso!$A$1,Q106,23)))</f>
        <v>2182.3840175367854</v>
      </c>
      <c r="U106" s="149">
        <f>(constantes!$B$3*(1+constantes!$B$3)^(O106))/((1+constantes!$B$3)^(O106)-1)</f>
        <v>9.3678779051968114E-2</v>
      </c>
      <c r="V106" s="148">
        <f t="shared" ca="1" si="6"/>
        <v>204.44307018537503</v>
      </c>
      <c r="W106" s="148">
        <f ca="1">(IF(S106=0,"",V106/constantes!$B$3))*1</f>
        <v>2555.538377317188</v>
      </c>
      <c r="X106" s="150">
        <f ca="1">IF(S106=0,"",PV(constantes!$B$3,O106,-V106)*constantes!$B$3)</f>
        <v>174.59072140294285</v>
      </c>
      <c r="Y106" s="85">
        <f t="shared" si="7"/>
        <v>1400</v>
      </c>
      <c r="Z106">
        <v>105</v>
      </c>
    </row>
    <row r="107" spans="1:26">
      <c r="A107" s="290">
        <v>7106</v>
      </c>
      <c r="B107" s="23" t="str">
        <f t="shared" si="4"/>
        <v>SE-NE_1500__kV_106</v>
      </c>
      <c r="C107" s="23">
        <v>802</v>
      </c>
      <c r="D107" s="142" t="str">
        <f>VLOOKUP(C107,tab_corredor!$A$2:$B$50,2,0)</f>
        <v>SE-NE</v>
      </c>
      <c r="E107" s="23">
        <v>1500</v>
      </c>
      <c r="F107" s="23" t="s">
        <v>2671</v>
      </c>
      <c r="G107" s="23">
        <v>1500</v>
      </c>
      <c r="H107" s="23">
        <v>1500</v>
      </c>
      <c r="I107" s="394">
        <v>5.0000000000000004E-6</v>
      </c>
      <c r="J107" s="394">
        <v>5.0000000000000004E-6</v>
      </c>
      <c r="K107" s="290">
        <v>1</v>
      </c>
      <c r="L107" s="291" t="s">
        <v>2619</v>
      </c>
      <c r="M107" s="23">
        <v>2015</v>
      </c>
      <c r="N107" s="23">
        <v>2100</v>
      </c>
      <c r="O107" s="292">
        <v>25</v>
      </c>
      <c r="P107" s="293">
        <v>2100</v>
      </c>
      <c r="Q107" s="294">
        <v>1</v>
      </c>
      <c r="R107" s="23"/>
      <c r="S107" s="148">
        <f t="shared" si="5"/>
        <v>2100</v>
      </c>
      <c r="T107" s="148">
        <f ca="1">IF(S107=0,"",S107*(OFFSET(cod_desembolso!$A$1,Q107,23)))</f>
        <v>2182.3840175367854</v>
      </c>
      <c r="U107" s="149">
        <f>(constantes!$B$3*(1+constantes!$B$3)^(O107))/((1+constantes!$B$3)^(O107)-1)</f>
        <v>9.3678779051968114E-2</v>
      </c>
      <c r="V107" s="148">
        <f t="shared" ca="1" si="6"/>
        <v>204.44307018537503</v>
      </c>
      <c r="W107" s="148">
        <f ca="1">(IF(S107=0,"",V107/constantes!$B$3))*1</f>
        <v>2555.538377317188</v>
      </c>
      <c r="X107" s="150">
        <f ca="1">IF(S107=0,"",PV(constantes!$B$3,O107,-V107)*constantes!$B$3)</f>
        <v>174.59072140294285</v>
      </c>
      <c r="Y107" s="85">
        <f t="shared" si="7"/>
        <v>1400</v>
      </c>
      <c r="Z107">
        <v>106</v>
      </c>
    </row>
    <row r="108" spans="1:26">
      <c r="A108" s="290">
        <v>7107</v>
      </c>
      <c r="B108" s="23" t="str">
        <f t="shared" si="4"/>
        <v>SE-NE_1500__kV_107</v>
      </c>
      <c r="C108" s="23">
        <v>802</v>
      </c>
      <c r="D108" s="142" t="str">
        <f>VLOOKUP(C108,tab_corredor!$A$2:$B$50,2,0)</f>
        <v>SE-NE</v>
      </c>
      <c r="E108" s="23">
        <v>1500</v>
      </c>
      <c r="F108" s="23" t="s">
        <v>2671</v>
      </c>
      <c r="G108" s="23">
        <v>1500</v>
      </c>
      <c r="H108" s="23">
        <v>1500</v>
      </c>
      <c r="I108" s="394">
        <v>5.0000000000000004E-6</v>
      </c>
      <c r="J108" s="394">
        <v>5.0000000000000004E-6</v>
      </c>
      <c r="K108" s="290">
        <v>1</v>
      </c>
      <c r="L108" s="291" t="s">
        <v>2619</v>
      </c>
      <c r="M108" s="23">
        <v>2015</v>
      </c>
      <c r="N108" s="23">
        <v>2100</v>
      </c>
      <c r="O108" s="292">
        <v>25</v>
      </c>
      <c r="P108" s="293">
        <v>2100</v>
      </c>
      <c r="Q108" s="294">
        <v>1</v>
      </c>
      <c r="R108" s="23"/>
      <c r="S108" s="148">
        <f t="shared" si="5"/>
        <v>2100</v>
      </c>
      <c r="T108" s="148">
        <f ca="1">IF(S108=0,"",S108*(OFFSET(cod_desembolso!$A$1,Q108,23)))</f>
        <v>2182.3840175367854</v>
      </c>
      <c r="U108" s="149">
        <f>(constantes!$B$3*(1+constantes!$B$3)^(O108))/((1+constantes!$B$3)^(O108)-1)</f>
        <v>9.3678779051968114E-2</v>
      </c>
      <c r="V108" s="148">
        <f t="shared" ca="1" si="6"/>
        <v>204.44307018537503</v>
      </c>
      <c r="W108" s="148">
        <f ca="1">(IF(S108=0,"",V108/constantes!$B$3))*1</f>
        <v>2555.538377317188</v>
      </c>
      <c r="X108" s="150">
        <f ca="1">IF(S108=0,"",PV(constantes!$B$3,O108,-V108)*constantes!$B$3)</f>
        <v>174.59072140294285</v>
      </c>
      <c r="Y108" s="85">
        <f t="shared" si="7"/>
        <v>1400</v>
      </c>
      <c r="Z108">
        <v>107</v>
      </c>
    </row>
    <row r="109" spans="1:26">
      <c r="A109" s="290">
        <v>7108</v>
      </c>
      <c r="B109" s="23" t="str">
        <f t="shared" si="4"/>
        <v>SE-NE_1500__kV_108</v>
      </c>
      <c r="C109" s="23">
        <v>802</v>
      </c>
      <c r="D109" s="142" t="str">
        <f>VLOOKUP(C109,tab_corredor!$A$2:$B$50,2,0)</f>
        <v>SE-NE</v>
      </c>
      <c r="E109" s="23">
        <v>1500</v>
      </c>
      <c r="F109" s="23" t="s">
        <v>2671</v>
      </c>
      <c r="G109" s="23">
        <v>1500</v>
      </c>
      <c r="H109" s="23">
        <v>1500</v>
      </c>
      <c r="I109" s="394">
        <v>5.0000000000000004E-6</v>
      </c>
      <c r="J109" s="394">
        <v>5.0000000000000004E-6</v>
      </c>
      <c r="K109" s="290">
        <v>1</v>
      </c>
      <c r="L109" s="291" t="s">
        <v>2619</v>
      </c>
      <c r="M109" s="23">
        <v>2015</v>
      </c>
      <c r="N109" s="23">
        <v>2100</v>
      </c>
      <c r="O109" s="292">
        <v>25</v>
      </c>
      <c r="P109" s="293">
        <v>2100</v>
      </c>
      <c r="Q109" s="294">
        <v>1</v>
      </c>
      <c r="R109" s="23"/>
      <c r="S109" s="148">
        <f t="shared" si="5"/>
        <v>2100</v>
      </c>
      <c r="T109" s="148">
        <f ca="1">IF(S109=0,"",S109*(OFFSET(cod_desembolso!$A$1,Q109,23)))</f>
        <v>2182.3840175367854</v>
      </c>
      <c r="U109" s="149">
        <f>(constantes!$B$3*(1+constantes!$B$3)^(O109))/((1+constantes!$B$3)^(O109)-1)</f>
        <v>9.3678779051968114E-2</v>
      </c>
      <c r="V109" s="148">
        <f t="shared" ca="1" si="6"/>
        <v>204.44307018537503</v>
      </c>
      <c r="W109" s="148">
        <f ca="1">(IF(S109=0,"",V109/constantes!$B$3))*1</f>
        <v>2555.538377317188</v>
      </c>
      <c r="X109" s="150">
        <f ca="1">IF(S109=0,"",PV(constantes!$B$3,O109,-V109)*constantes!$B$3)</f>
        <v>174.59072140294285</v>
      </c>
      <c r="Y109" s="85">
        <f t="shared" si="7"/>
        <v>1400</v>
      </c>
      <c r="Z109">
        <v>108</v>
      </c>
    </row>
    <row r="110" spans="1:26">
      <c r="A110" s="290">
        <v>7109</v>
      </c>
      <c r="B110" s="23" t="str">
        <f t="shared" si="4"/>
        <v>SE-NE_1500__kV_109</v>
      </c>
      <c r="C110" s="23">
        <v>802</v>
      </c>
      <c r="D110" s="142" t="str">
        <f>VLOOKUP(C110,tab_corredor!$A$2:$B$50,2,0)</f>
        <v>SE-NE</v>
      </c>
      <c r="E110" s="23">
        <v>1500</v>
      </c>
      <c r="F110" s="23" t="s">
        <v>2671</v>
      </c>
      <c r="G110" s="23">
        <v>1500</v>
      </c>
      <c r="H110" s="23">
        <v>1500</v>
      </c>
      <c r="I110" s="394">
        <v>5.0000000000000004E-6</v>
      </c>
      <c r="J110" s="394">
        <v>5.0000000000000004E-6</v>
      </c>
      <c r="K110" s="290">
        <v>1</v>
      </c>
      <c r="L110" s="291" t="s">
        <v>2619</v>
      </c>
      <c r="M110" s="23">
        <v>2015</v>
      </c>
      <c r="N110" s="23">
        <v>2100</v>
      </c>
      <c r="O110" s="292">
        <v>25</v>
      </c>
      <c r="P110" s="293">
        <v>2100</v>
      </c>
      <c r="Q110" s="294">
        <v>1</v>
      </c>
      <c r="R110" s="23"/>
      <c r="S110" s="148">
        <f t="shared" si="5"/>
        <v>2100</v>
      </c>
      <c r="T110" s="148">
        <f ca="1">IF(S110=0,"",S110*(OFFSET(cod_desembolso!$A$1,Q110,23)))</f>
        <v>2182.3840175367854</v>
      </c>
      <c r="U110" s="149">
        <f>(constantes!$B$3*(1+constantes!$B$3)^(O110))/((1+constantes!$B$3)^(O110)-1)</f>
        <v>9.3678779051968114E-2</v>
      </c>
      <c r="V110" s="148">
        <f t="shared" ca="1" si="6"/>
        <v>204.44307018537503</v>
      </c>
      <c r="W110" s="148">
        <f ca="1">(IF(S110=0,"",V110/constantes!$B$3))*1</f>
        <v>2555.538377317188</v>
      </c>
      <c r="X110" s="150">
        <f ca="1">IF(S110=0,"",PV(constantes!$B$3,O110,-V110)*constantes!$B$3)</f>
        <v>174.59072140294285</v>
      </c>
      <c r="Y110" s="85">
        <f t="shared" si="7"/>
        <v>1400</v>
      </c>
      <c r="Z110">
        <v>109</v>
      </c>
    </row>
    <row r="111" spans="1:26">
      <c r="A111" s="290">
        <v>7110</v>
      </c>
      <c r="B111" s="23" t="str">
        <f t="shared" si="4"/>
        <v>SE-NE_1500__kV_110</v>
      </c>
      <c r="C111" s="23">
        <v>802</v>
      </c>
      <c r="D111" s="142" t="str">
        <f>VLOOKUP(C111,tab_corredor!$A$2:$B$50,2,0)</f>
        <v>SE-NE</v>
      </c>
      <c r="E111" s="23">
        <v>1500</v>
      </c>
      <c r="F111" s="23" t="s">
        <v>2671</v>
      </c>
      <c r="G111" s="23">
        <v>1500</v>
      </c>
      <c r="H111" s="23">
        <v>1500</v>
      </c>
      <c r="I111" s="394">
        <v>5.0000000000000004E-6</v>
      </c>
      <c r="J111" s="394">
        <v>5.0000000000000004E-6</v>
      </c>
      <c r="K111" s="290">
        <v>1</v>
      </c>
      <c r="L111" s="291" t="s">
        <v>2619</v>
      </c>
      <c r="M111" s="23">
        <v>2015</v>
      </c>
      <c r="N111" s="23">
        <v>2100</v>
      </c>
      <c r="O111" s="292">
        <v>25</v>
      </c>
      <c r="P111" s="293">
        <v>2100</v>
      </c>
      <c r="Q111" s="294">
        <v>1</v>
      </c>
      <c r="R111" s="23"/>
      <c r="S111" s="148">
        <f t="shared" si="5"/>
        <v>2100</v>
      </c>
      <c r="T111" s="148">
        <f ca="1">IF(S111=0,"",S111*(OFFSET(cod_desembolso!$A$1,Q111,23)))</f>
        <v>2182.3840175367854</v>
      </c>
      <c r="U111" s="149">
        <f>(constantes!$B$3*(1+constantes!$B$3)^(O111))/((1+constantes!$B$3)^(O111)-1)</f>
        <v>9.3678779051968114E-2</v>
      </c>
      <c r="V111" s="148">
        <f t="shared" ca="1" si="6"/>
        <v>204.44307018537503</v>
      </c>
      <c r="W111" s="148">
        <f ca="1">(IF(S111=0,"",V111/constantes!$B$3))*1</f>
        <v>2555.538377317188</v>
      </c>
      <c r="X111" s="150">
        <f ca="1">IF(S111=0,"",PV(constantes!$B$3,O111,-V111)*constantes!$B$3)</f>
        <v>174.59072140294285</v>
      </c>
      <c r="Y111" s="85">
        <f t="shared" si="7"/>
        <v>1400</v>
      </c>
      <c r="Z111">
        <v>110</v>
      </c>
    </row>
    <row r="112" spans="1:26">
      <c r="A112" s="290">
        <v>7111</v>
      </c>
      <c r="B112" s="23" t="str">
        <f t="shared" si="4"/>
        <v>SE-NE_1500__kV_111</v>
      </c>
      <c r="C112" s="23">
        <v>802</v>
      </c>
      <c r="D112" s="142" t="str">
        <f>VLOOKUP(C112,tab_corredor!$A$2:$B$50,2,0)</f>
        <v>SE-NE</v>
      </c>
      <c r="E112" s="23">
        <v>1500</v>
      </c>
      <c r="F112" s="23" t="s">
        <v>2671</v>
      </c>
      <c r="G112" s="23">
        <v>1500</v>
      </c>
      <c r="H112" s="23">
        <v>1500</v>
      </c>
      <c r="I112" s="394">
        <v>5.0000000000000004E-6</v>
      </c>
      <c r="J112" s="394">
        <v>5.0000000000000004E-6</v>
      </c>
      <c r="K112" s="290">
        <v>1</v>
      </c>
      <c r="L112" s="291" t="s">
        <v>2619</v>
      </c>
      <c r="M112" s="23">
        <v>2015</v>
      </c>
      <c r="N112" s="23">
        <v>2100</v>
      </c>
      <c r="O112" s="292">
        <v>25</v>
      </c>
      <c r="P112" s="293">
        <v>2100</v>
      </c>
      <c r="Q112" s="294">
        <v>1</v>
      </c>
      <c r="R112" s="23"/>
      <c r="S112" s="148">
        <f t="shared" si="5"/>
        <v>2100</v>
      </c>
      <c r="T112" s="148">
        <f ca="1">IF(S112=0,"",S112*(OFFSET(cod_desembolso!$A$1,Q112,23)))</f>
        <v>2182.3840175367854</v>
      </c>
      <c r="U112" s="149">
        <f>(constantes!$B$3*(1+constantes!$B$3)^(O112))/((1+constantes!$B$3)^(O112)-1)</f>
        <v>9.3678779051968114E-2</v>
      </c>
      <c r="V112" s="148">
        <f t="shared" ca="1" si="6"/>
        <v>204.44307018537503</v>
      </c>
      <c r="W112" s="148">
        <f ca="1">(IF(S112=0,"",V112/constantes!$B$3))*1</f>
        <v>2555.538377317188</v>
      </c>
      <c r="X112" s="150">
        <f ca="1">IF(S112=0,"",PV(constantes!$B$3,O112,-V112)*constantes!$B$3)</f>
        <v>174.59072140294285</v>
      </c>
      <c r="Y112" s="85">
        <f t="shared" si="7"/>
        <v>1400</v>
      </c>
      <c r="Z112">
        <v>111</v>
      </c>
    </row>
    <row r="113" spans="1:26">
      <c r="A113" s="290">
        <v>7112</v>
      </c>
      <c r="B113" s="23" t="str">
        <f t="shared" si="4"/>
        <v>SE-Imp_1500__kV_112</v>
      </c>
      <c r="C113" s="23">
        <v>805</v>
      </c>
      <c r="D113" s="142" t="str">
        <f>VLOOKUP(C113,tab_corredor!$A$2:$B$50,2,0)</f>
        <v>SE-Imp</v>
      </c>
      <c r="E113" s="23">
        <v>1500</v>
      </c>
      <c r="F113" s="23" t="s">
        <v>2671</v>
      </c>
      <c r="G113" s="23">
        <v>1500</v>
      </c>
      <c r="H113" s="23">
        <v>1500</v>
      </c>
      <c r="I113" s="394">
        <v>5.0000000000000004E-6</v>
      </c>
      <c r="J113" s="394">
        <v>5.0000000000000004E-6</v>
      </c>
      <c r="K113" s="290">
        <v>1</v>
      </c>
      <c r="L113" s="291" t="s">
        <v>2619</v>
      </c>
      <c r="M113" s="23">
        <v>2015</v>
      </c>
      <c r="N113" s="23">
        <v>2100</v>
      </c>
      <c r="O113" s="292">
        <v>25</v>
      </c>
      <c r="P113" s="293">
        <v>2700</v>
      </c>
      <c r="Q113" s="294">
        <v>1</v>
      </c>
      <c r="R113" s="23"/>
      <c r="S113" s="148">
        <f t="shared" si="5"/>
        <v>2700</v>
      </c>
      <c r="T113" s="148">
        <f ca="1">IF(S113=0,"",S113*(OFFSET(cod_desembolso!$A$1,Q113,23)))</f>
        <v>2805.9223082615817</v>
      </c>
      <c r="U113" s="149">
        <f>(constantes!$B$3*(1+constantes!$B$3)^(O113))/((1+constantes!$B$3)^(O113)-1)</f>
        <v>9.3678779051968114E-2</v>
      </c>
      <c r="V113" s="148">
        <f t="shared" ca="1" si="6"/>
        <v>262.85537595262508</v>
      </c>
      <c r="W113" s="148">
        <f ca="1">(IF(S113=0,"",V113/constantes!$B$3))*1</f>
        <v>3285.6921994078134</v>
      </c>
      <c r="X113" s="150">
        <f ca="1">IF(S113=0,"",PV(constantes!$B$3,O113,-V113)*constantes!$B$3)</f>
        <v>224.47378466092658</v>
      </c>
      <c r="Y113" s="85">
        <f t="shared" si="7"/>
        <v>1800</v>
      </c>
      <c r="Z113">
        <v>112</v>
      </c>
    </row>
    <row r="114" spans="1:26">
      <c r="A114" s="290">
        <v>7113</v>
      </c>
      <c r="B114" s="23" t="str">
        <f t="shared" si="4"/>
        <v>SE-Imp_1500__kV_113</v>
      </c>
      <c r="C114" s="23">
        <v>805</v>
      </c>
      <c r="D114" s="142" t="str">
        <f>VLOOKUP(C114,tab_corredor!$A$2:$B$50,2,0)</f>
        <v>SE-Imp</v>
      </c>
      <c r="E114" s="23">
        <v>1500</v>
      </c>
      <c r="F114" s="23" t="s">
        <v>2671</v>
      </c>
      <c r="G114" s="23">
        <v>1500</v>
      </c>
      <c r="H114" s="23">
        <v>1500</v>
      </c>
      <c r="I114" s="394">
        <v>5.0000000000000004E-6</v>
      </c>
      <c r="J114" s="394">
        <v>5.0000000000000004E-6</v>
      </c>
      <c r="K114" s="290">
        <v>1</v>
      </c>
      <c r="L114" s="291" t="s">
        <v>2619</v>
      </c>
      <c r="M114" s="23">
        <v>2015</v>
      </c>
      <c r="N114" s="23">
        <v>2100</v>
      </c>
      <c r="O114" s="292">
        <v>25</v>
      </c>
      <c r="P114" s="293">
        <v>2700</v>
      </c>
      <c r="Q114" s="294">
        <v>1</v>
      </c>
      <c r="R114" s="23"/>
      <c r="S114" s="148">
        <f t="shared" si="5"/>
        <v>2700</v>
      </c>
      <c r="T114" s="148">
        <f ca="1">IF(S114=0,"",S114*(OFFSET(cod_desembolso!$A$1,Q114,23)))</f>
        <v>2805.9223082615817</v>
      </c>
      <c r="U114" s="149">
        <f>(constantes!$B$3*(1+constantes!$B$3)^(O114))/((1+constantes!$B$3)^(O114)-1)</f>
        <v>9.3678779051968114E-2</v>
      </c>
      <c r="V114" s="148">
        <f t="shared" ca="1" si="6"/>
        <v>262.85537595262508</v>
      </c>
      <c r="W114" s="148">
        <f ca="1">(IF(S114=0,"",V114/constantes!$B$3))*1</f>
        <v>3285.6921994078134</v>
      </c>
      <c r="X114" s="150">
        <f ca="1">IF(S114=0,"",PV(constantes!$B$3,O114,-V114)*constantes!$B$3)</f>
        <v>224.47378466092658</v>
      </c>
      <c r="Y114" s="85">
        <f t="shared" si="7"/>
        <v>1800</v>
      </c>
      <c r="Z114">
        <v>113</v>
      </c>
    </row>
    <row r="115" spans="1:26">
      <c r="A115" s="290">
        <v>7114</v>
      </c>
      <c r="B115" s="23" t="str">
        <f t="shared" si="4"/>
        <v>SE-Imp_1500__kV_114</v>
      </c>
      <c r="C115" s="23">
        <v>805</v>
      </c>
      <c r="D115" s="142" t="str">
        <f>VLOOKUP(C115,tab_corredor!$A$2:$B$50,2,0)</f>
        <v>SE-Imp</v>
      </c>
      <c r="E115" s="23">
        <v>1500</v>
      </c>
      <c r="F115" s="23" t="s">
        <v>2671</v>
      </c>
      <c r="G115" s="23">
        <v>1500</v>
      </c>
      <c r="H115" s="23">
        <v>1500</v>
      </c>
      <c r="I115" s="394">
        <v>5.0000000000000004E-6</v>
      </c>
      <c r="J115" s="394">
        <v>5.0000000000000004E-6</v>
      </c>
      <c r="K115" s="290">
        <v>1</v>
      </c>
      <c r="L115" s="291" t="s">
        <v>2619</v>
      </c>
      <c r="M115" s="23">
        <v>2015</v>
      </c>
      <c r="N115" s="23">
        <v>2100</v>
      </c>
      <c r="O115" s="292">
        <v>25</v>
      </c>
      <c r="P115" s="293">
        <v>2700</v>
      </c>
      <c r="Q115" s="294">
        <v>1</v>
      </c>
      <c r="R115" s="23"/>
      <c r="S115" s="148">
        <f t="shared" si="5"/>
        <v>2700</v>
      </c>
      <c r="T115" s="148">
        <f ca="1">IF(S115=0,"",S115*(OFFSET(cod_desembolso!$A$1,Q115,23)))</f>
        <v>2805.9223082615817</v>
      </c>
      <c r="U115" s="149">
        <f>(constantes!$B$3*(1+constantes!$B$3)^(O115))/((1+constantes!$B$3)^(O115)-1)</f>
        <v>9.3678779051968114E-2</v>
      </c>
      <c r="V115" s="148">
        <f t="shared" ca="1" si="6"/>
        <v>262.85537595262508</v>
      </c>
      <c r="W115" s="148">
        <f ca="1">(IF(S115=0,"",V115/constantes!$B$3))*1</f>
        <v>3285.6921994078134</v>
      </c>
      <c r="X115" s="150">
        <f ca="1">IF(S115=0,"",PV(constantes!$B$3,O115,-V115)*constantes!$B$3)</f>
        <v>224.47378466092658</v>
      </c>
      <c r="Y115" s="85">
        <f t="shared" si="7"/>
        <v>1800</v>
      </c>
      <c r="Z115">
        <v>114</v>
      </c>
    </row>
    <row r="116" spans="1:26">
      <c r="A116" s="290">
        <v>7115</v>
      </c>
      <c r="B116" s="23" t="str">
        <f t="shared" si="4"/>
        <v>SE-Imp_1500__kV_115</v>
      </c>
      <c r="C116" s="23">
        <v>805</v>
      </c>
      <c r="D116" s="142" t="str">
        <f>VLOOKUP(C116,tab_corredor!$A$2:$B$50,2,0)</f>
        <v>SE-Imp</v>
      </c>
      <c r="E116" s="23">
        <v>1500</v>
      </c>
      <c r="F116" s="23" t="s">
        <v>2671</v>
      </c>
      <c r="G116" s="23">
        <v>1500</v>
      </c>
      <c r="H116" s="23">
        <v>1500</v>
      </c>
      <c r="I116" s="394">
        <v>5.0000000000000004E-6</v>
      </c>
      <c r="J116" s="394">
        <v>5.0000000000000004E-6</v>
      </c>
      <c r="K116" s="290">
        <v>1</v>
      </c>
      <c r="L116" s="291" t="s">
        <v>2619</v>
      </c>
      <c r="M116" s="23">
        <v>2015</v>
      </c>
      <c r="N116" s="23">
        <v>2100</v>
      </c>
      <c r="O116" s="292">
        <v>25</v>
      </c>
      <c r="P116" s="293">
        <v>2700</v>
      </c>
      <c r="Q116" s="294">
        <v>1</v>
      </c>
      <c r="R116" s="23"/>
      <c r="S116" s="148">
        <f t="shared" si="5"/>
        <v>2700</v>
      </c>
      <c r="T116" s="148">
        <f ca="1">IF(S116=0,"",S116*(OFFSET(cod_desembolso!$A$1,Q116,23)))</f>
        <v>2805.9223082615817</v>
      </c>
      <c r="U116" s="149">
        <f>(constantes!$B$3*(1+constantes!$B$3)^(O116))/((1+constantes!$B$3)^(O116)-1)</f>
        <v>9.3678779051968114E-2</v>
      </c>
      <c r="V116" s="148">
        <f t="shared" ca="1" si="6"/>
        <v>262.85537595262508</v>
      </c>
      <c r="W116" s="148">
        <f ca="1">(IF(S116=0,"",V116/constantes!$B$3))*1</f>
        <v>3285.6921994078134</v>
      </c>
      <c r="X116" s="150">
        <f ca="1">IF(S116=0,"",PV(constantes!$B$3,O116,-V116)*constantes!$B$3)</f>
        <v>224.47378466092658</v>
      </c>
      <c r="Y116" s="85">
        <f t="shared" si="7"/>
        <v>1800</v>
      </c>
      <c r="Z116">
        <v>115</v>
      </c>
    </row>
    <row r="117" spans="1:26">
      <c r="A117" s="290">
        <v>7116</v>
      </c>
      <c r="B117" s="23" t="str">
        <f t="shared" si="4"/>
        <v>SE-Imp_1500__kV_116</v>
      </c>
      <c r="C117" s="23">
        <v>805</v>
      </c>
      <c r="D117" s="142" t="str">
        <f>VLOOKUP(C117,tab_corredor!$A$2:$B$50,2,0)</f>
        <v>SE-Imp</v>
      </c>
      <c r="E117" s="23">
        <v>1500</v>
      </c>
      <c r="F117" s="23" t="s">
        <v>2671</v>
      </c>
      <c r="G117" s="23">
        <v>1500</v>
      </c>
      <c r="H117" s="23">
        <v>1500</v>
      </c>
      <c r="I117" s="394">
        <v>5.0000000000000004E-6</v>
      </c>
      <c r="J117" s="394">
        <v>5.0000000000000004E-6</v>
      </c>
      <c r="K117" s="290">
        <v>1</v>
      </c>
      <c r="L117" s="291" t="s">
        <v>2619</v>
      </c>
      <c r="M117" s="23">
        <v>2015</v>
      </c>
      <c r="N117" s="23">
        <v>2100</v>
      </c>
      <c r="O117" s="292">
        <v>25</v>
      </c>
      <c r="P117" s="293">
        <v>2700</v>
      </c>
      <c r="Q117" s="294">
        <v>1</v>
      </c>
      <c r="R117" s="23"/>
      <c r="S117" s="148">
        <f t="shared" si="5"/>
        <v>2700</v>
      </c>
      <c r="T117" s="148">
        <f ca="1">IF(S117=0,"",S117*(OFFSET(cod_desembolso!$A$1,Q117,23)))</f>
        <v>2805.9223082615817</v>
      </c>
      <c r="U117" s="149">
        <f>(constantes!$B$3*(1+constantes!$B$3)^(O117))/((1+constantes!$B$3)^(O117)-1)</f>
        <v>9.3678779051968114E-2</v>
      </c>
      <c r="V117" s="148">
        <f t="shared" ca="1" si="6"/>
        <v>262.85537595262508</v>
      </c>
      <c r="W117" s="148">
        <f ca="1">(IF(S117=0,"",V117/constantes!$B$3))*1</f>
        <v>3285.6921994078134</v>
      </c>
      <c r="X117" s="150">
        <f ca="1">IF(S117=0,"",PV(constantes!$B$3,O117,-V117)*constantes!$B$3)</f>
        <v>224.47378466092658</v>
      </c>
      <c r="Y117" s="85">
        <f t="shared" si="7"/>
        <v>1800</v>
      </c>
      <c r="Z117">
        <v>116</v>
      </c>
    </row>
    <row r="118" spans="1:26">
      <c r="A118" s="290">
        <v>7117</v>
      </c>
      <c r="B118" s="23" t="str">
        <f t="shared" si="4"/>
        <v>SE-Imp_1500__kV_117</v>
      </c>
      <c r="C118" s="23">
        <v>805</v>
      </c>
      <c r="D118" s="142" t="str">
        <f>VLOOKUP(C118,tab_corredor!$A$2:$B$50,2,0)</f>
        <v>SE-Imp</v>
      </c>
      <c r="E118" s="23">
        <v>1500</v>
      </c>
      <c r="F118" s="23" t="s">
        <v>2671</v>
      </c>
      <c r="G118" s="23">
        <v>1500</v>
      </c>
      <c r="H118" s="23">
        <v>1500</v>
      </c>
      <c r="I118" s="394">
        <v>5.0000000000000004E-6</v>
      </c>
      <c r="J118" s="394">
        <v>5.0000000000000004E-6</v>
      </c>
      <c r="K118" s="290">
        <v>1</v>
      </c>
      <c r="L118" s="291" t="s">
        <v>2619</v>
      </c>
      <c r="M118" s="23">
        <v>2015</v>
      </c>
      <c r="N118" s="23">
        <v>2100</v>
      </c>
      <c r="O118" s="292">
        <v>25</v>
      </c>
      <c r="P118" s="293">
        <v>2700</v>
      </c>
      <c r="Q118" s="294">
        <v>1</v>
      </c>
      <c r="R118" s="23"/>
      <c r="S118" s="148">
        <f t="shared" si="5"/>
        <v>2700</v>
      </c>
      <c r="T118" s="148">
        <f ca="1">IF(S118=0,"",S118*(OFFSET(cod_desembolso!$A$1,Q118,23)))</f>
        <v>2805.9223082615817</v>
      </c>
      <c r="U118" s="149">
        <f>(constantes!$B$3*(1+constantes!$B$3)^(O118))/((1+constantes!$B$3)^(O118)-1)</f>
        <v>9.3678779051968114E-2</v>
      </c>
      <c r="V118" s="148">
        <f t="shared" ca="1" si="6"/>
        <v>262.85537595262508</v>
      </c>
      <c r="W118" s="148">
        <f ca="1">(IF(S118=0,"",V118/constantes!$B$3))*1</f>
        <v>3285.6921994078134</v>
      </c>
      <c r="X118" s="150">
        <f ca="1">IF(S118=0,"",PV(constantes!$B$3,O118,-V118)*constantes!$B$3)</f>
        <v>224.47378466092658</v>
      </c>
      <c r="Y118" s="85">
        <f t="shared" si="7"/>
        <v>1800</v>
      </c>
      <c r="Z118">
        <v>117</v>
      </c>
    </row>
    <row r="119" spans="1:26">
      <c r="A119" s="290">
        <v>7118</v>
      </c>
      <c r="B119" s="23" t="str">
        <f t="shared" si="4"/>
        <v>SE-Imp_1500__kV_118</v>
      </c>
      <c r="C119" s="23">
        <v>805</v>
      </c>
      <c r="D119" s="142" t="str">
        <f>VLOOKUP(C119,tab_corredor!$A$2:$B$50,2,0)</f>
        <v>SE-Imp</v>
      </c>
      <c r="E119" s="23">
        <v>1500</v>
      </c>
      <c r="F119" s="23" t="s">
        <v>2671</v>
      </c>
      <c r="G119" s="23">
        <v>1500</v>
      </c>
      <c r="H119" s="23">
        <v>1500</v>
      </c>
      <c r="I119" s="394">
        <v>5.0000000000000004E-6</v>
      </c>
      <c r="J119" s="394">
        <v>5.0000000000000004E-6</v>
      </c>
      <c r="K119" s="290">
        <v>1</v>
      </c>
      <c r="L119" s="291" t="s">
        <v>2619</v>
      </c>
      <c r="M119" s="23">
        <v>2015</v>
      </c>
      <c r="N119" s="23">
        <v>2100</v>
      </c>
      <c r="O119" s="292">
        <v>25</v>
      </c>
      <c r="P119" s="293">
        <v>2700</v>
      </c>
      <c r="Q119" s="294">
        <v>1</v>
      </c>
      <c r="R119" s="23"/>
      <c r="S119" s="148">
        <f t="shared" si="5"/>
        <v>2700</v>
      </c>
      <c r="T119" s="148">
        <f ca="1">IF(S119=0,"",S119*(OFFSET(cod_desembolso!$A$1,Q119,23)))</f>
        <v>2805.9223082615817</v>
      </c>
      <c r="U119" s="149">
        <f>(constantes!$B$3*(1+constantes!$B$3)^(O119))/((1+constantes!$B$3)^(O119)-1)</f>
        <v>9.3678779051968114E-2</v>
      </c>
      <c r="V119" s="148">
        <f t="shared" ca="1" si="6"/>
        <v>262.85537595262508</v>
      </c>
      <c r="W119" s="148">
        <f ca="1">(IF(S119=0,"",V119/constantes!$B$3))*1</f>
        <v>3285.6921994078134</v>
      </c>
      <c r="X119" s="150">
        <f ca="1">IF(S119=0,"",PV(constantes!$B$3,O119,-V119)*constantes!$B$3)</f>
        <v>224.47378466092658</v>
      </c>
      <c r="Y119" s="85">
        <f t="shared" si="7"/>
        <v>1800</v>
      </c>
      <c r="Z119">
        <v>118</v>
      </c>
    </row>
    <row r="120" spans="1:26">
      <c r="A120" s="290">
        <v>7119</v>
      </c>
      <c r="B120" s="23" t="str">
        <f t="shared" si="4"/>
        <v>SE-Imp_1500__kV_119</v>
      </c>
      <c r="C120" s="23">
        <v>805</v>
      </c>
      <c r="D120" s="142" t="str">
        <f>VLOOKUP(C120,tab_corredor!$A$2:$B$50,2,0)</f>
        <v>SE-Imp</v>
      </c>
      <c r="E120" s="23">
        <v>1500</v>
      </c>
      <c r="F120" s="23" t="s">
        <v>2671</v>
      </c>
      <c r="G120" s="23">
        <v>1500</v>
      </c>
      <c r="H120" s="23">
        <v>1500</v>
      </c>
      <c r="I120" s="394">
        <v>5.0000000000000004E-6</v>
      </c>
      <c r="J120" s="394">
        <v>5.0000000000000004E-6</v>
      </c>
      <c r="K120" s="290">
        <v>1</v>
      </c>
      <c r="L120" s="291" t="s">
        <v>2619</v>
      </c>
      <c r="M120" s="23">
        <v>2015</v>
      </c>
      <c r="N120" s="23">
        <v>2100</v>
      </c>
      <c r="O120" s="292">
        <v>25</v>
      </c>
      <c r="P120" s="293">
        <v>2700</v>
      </c>
      <c r="Q120" s="294">
        <v>1</v>
      </c>
      <c r="R120" s="23"/>
      <c r="S120" s="148">
        <f t="shared" si="5"/>
        <v>2700</v>
      </c>
      <c r="T120" s="148">
        <f ca="1">IF(S120=0,"",S120*(OFFSET(cod_desembolso!$A$1,Q120,23)))</f>
        <v>2805.9223082615817</v>
      </c>
      <c r="U120" s="149">
        <f>(constantes!$B$3*(1+constantes!$B$3)^(O120))/((1+constantes!$B$3)^(O120)-1)</f>
        <v>9.3678779051968114E-2</v>
      </c>
      <c r="V120" s="148">
        <f t="shared" ca="1" si="6"/>
        <v>262.85537595262508</v>
      </c>
      <c r="W120" s="148">
        <f ca="1">(IF(S120=0,"",V120/constantes!$B$3))*1</f>
        <v>3285.6921994078134</v>
      </c>
      <c r="X120" s="150">
        <f ca="1">IF(S120=0,"",PV(constantes!$B$3,O120,-V120)*constantes!$B$3)</f>
        <v>224.47378466092658</v>
      </c>
      <c r="Y120" s="85">
        <f t="shared" si="7"/>
        <v>1800</v>
      </c>
      <c r="Z120">
        <v>119</v>
      </c>
    </row>
    <row r="121" spans="1:26">
      <c r="A121" s="290">
        <v>7120</v>
      </c>
      <c r="B121" s="23" t="str">
        <f t="shared" si="4"/>
        <v>SE-Imp_1500__kV_120</v>
      </c>
      <c r="C121" s="23">
        <v>805</v>
      </c>
      <c r="D121" s="142" t="str">
        <f>VLOOKUP(C121,tab_corredor!$A$2:$B$50,2,0)</f>
        <v>SE-Imp</v>
      </c>
      <c r="E121" s="23">
        <v>1500</v>
      </c>
      <c r="F121" s="23" t="s">
        <v>2671</v>
      </c>
      <c r="G121" s="23">
        <v>1500</v>
      </c>
      <c r="H121" s="23">
        <v>1500</v>
      </c>
      <c r="I121" s="394">
        <v>5.0000000000000004E-6</v>
      </c>
      <c r="J121" s="394">
        <v>5.0000000000000004E-6</v>
      </c>
      <c r="K121" s="290">
        <v>1</v>
      </c>
      <c r="L121" s="291" t="s">
        <v>2619</v>
      </c>
      <c r="M121" s="23">
        <v>2015</v>
      </c>
      <c r="N121" s="23">
        <v>2100</v>
      </c>
      <c r="O121" s="292">
        <v>25</v>
      </c>
      <c r="P121" s="293">
        <v>2700</v>
      </c>
      <c r="Q121" s="294">
        <v>1</v>
      </c>
      <c r="R121" s="23"/>
      <c r="S121" s="148">
        <f t="shared" si="5"/>
        <v>2700</v>
      </c>
      <c r="T121" s="148">
        <f ca="1">IF(S121=0,"",S121*(OFFSET(cod_desembolso!$A$1,Q121,23)))</f>
        <v>2805.9223082615817</v>
      </c>
      <c r="U121" s="149">
        <f>(constantes!$B$3*(1+constantes!$B$3)^(O121))/((1+constantes!$B$3)^(O121)-1)</f>
        <v>9.3678779051968114E-2</v>
      </c>
      <c r="V121" s="148">
        <f t="shared" ca="1" si="6"/>
        <v>262.85537595262508</v>
      </c>
      <c r="W121" s="148">
        <f ca="1">(IF(S121=0,"",V121/constantes!$B$3))*1</f>
        <v>3285.6921994078134</v>
      </c>
      <c r="X121" s="150">
        <f ca="1">IF(S121=0,"",PV(constantes!$B$3,O121,-V121)*constantes!$B$3)</f>
        <v>224.47378466092658</v>
      </c>
      <c r="Y121" s="85">
        <f t="shared" si="7"/>
        <v>1800</v>
      </c>
      <c r="Z121">
        <v>120</v>
      </c>
    </row>
    <row r="122" spans="1:26">
      <c r="A122" s="290">
        <v>7121</v>
      </c>
      <c r="B122" s="23" t="str">
        <f t="shared" si="4"/>
        <v>SE-Imp_1500__kV_121</v>
      </c>
      <c r="C122" s="23">
        <v>805</v>
      </c>
      <c r="D122" s="142" t="str">
        <f>VLOOKUP(C122,tab_corredor!$A$2:$B$50,2,0)</f>
        <v>SE-Imp</v>
      </c>
      <c r="E122" s="23">
        <v>1500</v>
      </c>
      <c r="F122" s="23" t="s">
        <v>2671</v>
      </c>
      <c r="G122" s="23">
        <v>1500</v>
      </c>
      <c r="H122" s="23">
        <v>1500</v>
      </c>
      <c r="I122" s="394">
        <v>5.0000000000000004E-6</v>
      </c>
      <c r="J122" s="394">
        <v>5.0000000000000004E-6</v>
      </c>
      <c r="K122" s="290">
        <v>1</v>
      </c>
      <c r="L122" s="291" t="s">
        <v>2619</v>
      </c>
      <c r="M122" s="23">
        <v>2015</v>
      </c>
      <c r="N122" s="23">
        <v>2100</v>
      </c>
      <c r="O122" s="292">
        <v>25</v>
      </c>
      <c r="P122" s="293">
        <v>2700</v>
      </c>
      <c r="Q122" s="294">
        <v>1</v>
      </c>
      <c r="R122" s="23"/>
      <c r="S122" s="148">
        <f t="shared" si="5"/>
        <v>2700</v>
      </c>
      <c r="T122" s="148">
        <f ca="1">IF(S122=0,"",S122*(OFFSET(cod_desembolso!$A$1,Q122,23)))</f>
        <v>2805.9223082615817</v>
      </c>
      <c r="U122" s="149">
        <f>(constantes!$B$3*(1+constantes!$B$3)^(O122))/((1+constantes!$B$3)^(O122)-1)</f>
        <v>9.3678779051968114E-2</v>
      </c>
      <c r="V122" s="148">
        <f t="shared" ca="1" si="6"/>
        <v>262.85537595262508</v>
      </c>
      <c r="W122" s="148">
        <f ca="1">(IF(S122=0,"",V122/constantes!$B$3))*1</f>
        <v>3285.6921994078134</v>
      </c>
      <c r="X122" s="150">
        <f ca="1">IF(S122=0,"",PV(constantes!$B$3,O122,-V122)*constantes!$B$3)</f>
        <v>224.47378466092658</v>
      </c>
      <c r="Y122" s="85">
        <f t="shared" si="7"/>
        <v>1800</v>
      </c>
      <c r="Z122">
        <v>121</v>
      </c>
    </row>
    <row r="123" spans="1:26">
      <c r="A123" s="290">
        <v>7122</v>
      </c>
      <c r="B123" s="23" t="str">
        <f t="shared" si="4"/>
        <v>SE-Imp_1500__kV_122</v>
      </c>
      <c r="C123" s="23">
        <v>805</v>
      </c>
      <c r="D123" s="142" t="str">
        <f>VLOOKUP(C123,tab_corredor!$A$2:$B$50,2,0)</f>
        <v>SE-Imp</v>
      </c>
      <c r="E123" s="23">
        <v>1500</v>
      </c>
      <c r="F123" s="23" t="s">
        <v>2671</v>
      </c>
      <c r="G123" s="23">
        <v>1500</v>
      </c>
      <c r="H123" s="23">
        <v>1500</v>
      </c>
      <c r="I123" s="394">
        <v>5.0000000000000004E-6</v>
      </c>
      <c r="J123" s="394">
        <v>5.0000000000000004E-6</v>
      </c>
      <c r="K123" s="290">
        <v>1</v>
      </c>
      <c r="L123" s="291" t="s">
        <v>2619</v>
      </c>
      <c r="M123" s="23">
        <v>2015</v>
      </c>
      <c r="N123" s="23">
        <v>2100</v>
      </c>
      <c r="O123" s="292">
        <v>25</v>
      </c>
      <c r="P123" s="293">
        <v>2700</v>
      </c>
      <c r="Q123" s="294">
        <v>1</v>
      </c>
      <c r="R123" s="23"/>
      <c r="S123" s="148">
        <f t="shared" si="5"/>
        <v>2700</v>
      </c>
      <c r="T123" s="148">
        <f ca="1">IF(S123=0,"",S123*(OFFSET(cod_desembolso!$A$1,Q123,23)))</f>
        <v>2805.9223082615817</v>
      </c>
      <c r="U123" s="149">
        <f>(constantes!$B$3*(1+constantes!$B$3)^(O123))/((1+constantes!$B$3)^(O123)-1)</f>
        <v>9.3678779051968114E-2</v>
      </c>
      <c r="V123" s="148">
        <f t="shared" ca="1" si="6"/>
        <v>262.85537595262508</v>
      </c>
      <c r="W123" s="148">
        <f ca="1">(IF(S123=0,"",V123/constantes!$B$3))*1</f>
        <v>3285.6921994078134</v>
      </c>
      <c r="X123" s="150">
        <f ca="1">IF(S123=0,"",PV(constantes!$B$3,O123,-V123)*constantes!$B$3)</f>
        <v>224.47378466092658</v>
      </c>
      <c r="Y123" s="85">
        <f t="shared" si="7"/>
        <v>1800</v>
      </c>
      <c r="Z123">
        <v>122</v>
      </c>
    </row>
    <row r="124" spans="1:26">
      <c r="A124" s="290">
        <v>7123</v>
      </c>
      <c r="B124" s="23" t="str">
        <f t="shared" si="4"/>
        <v>SE-Imp_1500__kV_123</v>
      </c>
      <c r="C124" s="23">
        <v>805</v>
      </c>
      <c r="D124" s="142" t="str">
        <f>VLOOKUP(C124,tab_corredor!$A$2:$B$50,2,0)</f>
        <v>SE-Imp</v>
      </c>
      <c r="E124" s="23">
        <v>1500</v>
      </c>
      <c r="F124" s="23" t="s">
        <v>2671</v>
      </c>
      <c r="G124" s="23">
        <v>1500</v>
      </c>
      <c r="H124" s="23">
        <v>1500</v>
      </c>
      <c r="I124" s="394">
        <v>5.0000000000000004E-6</v>
      </c>
      <c r="J124" s="394">
        <v>5.0000000000000004E-6</v>
      </c>
      <c r="K124" s="290">
        <v>1</v>
      </c>
      <c r="L124" s="291" t="s">
        <v>2619</v>
      </c>
      <c r="M124" s="23">
        <v>2015</v>
      </c>
      <c r="N124" s="23">
        <v>2100</v>
      </c>
      <c r="O124" s="292">
        <v>25</v>
      </c>
      <c r="P124" s="293">
        <v>2700</v>
      </c>
      <c r="Q124" s="294">
        <v>1</v>
      </c>
      <c r="R124" s="23"/>
      <c r="S124" s="148">
        <f t="shared" si="5"/>
        <v>2700</v>
      </c>
      <c r="T124" s="148">
        <f ca="1">IF(S124=0,"",S124*(OFFSET(cod_desembolso!$A$1,Q124,23)))</f>
        <v>2805.9223082615817</v>
      </c>
      <c r="U124" s="149">
        <f>(constantes!$B$3*(1+constantes!$B$3)^(O124))/((1+constantes!$B$3)^(O124)-1)</f>
        <v>9.3678779051968114E-2</v>
      </c>
      <c r="V124" s="148">
        <f t="shared" ca="1" si="6"/>
        <v>262.85537595262508</v>
      </c>
      <c r="W124" s="148">
        <f ca="1">(IF(S124=0,"",V124/constantes!$B$3))*1</f>
        <v>3285.6921994078134</v>
      </c>
      <c r="X124" s="150">
        <f ca="1">IF(S124=0,"",PV(constantes!$B$3,O124,-V124)*constantes!$B$3)</f>
        <v>224.47378466092658</v>
      </c>
      <c r="Y124" s="85">
        <f t="shared" si="7"/>
        <v>1800</v>
      </c>
      <c r="Z124">
        <v>123</v>
      </c>
    </row>
    <row r="125" spans="1:26">
      <c r="A125" s="290">
        <v>7124</v>
      </c>
      <c r="B125" s="23" t="str">
        <f t="shared" si="4"/>
        <v>SE-Imp_1500__kV_124</v>
      </c>
      <c r="C125" s="23">
        <v>805</v>
      </c>
      <c r="D125" s="142" t="str">
        <f>VLOOKUP(C125,tab_corredor!$A$2:$B$50,2,0)</f>
        <v>SE-Imp</v>
      </c>
      <c r="E125" s="23">
        <v>1500</v>
      </c>
      <c r="F125" s="23" t="s">
        <v>2671</v>
      </c>
      <c r="G125" s="23">
        <v>1500</v>
      </c>
      <c r="H125" s="23">
        <v>1500</v>
      </c>
      <c r="I125" s="394">
        <v>5.0000000000000004E-6</v>
      </c>
      <c r="J125" s="394">
        <v>5.0000000000000004E-6</v>
      </c>
      <c r="K125" s="290">
        <v>1</v>
      </c>
      <c r="L125" s="291" t="s">
        <v>2619</v>
      </c>
      <c r="M125" s="23">
        <v>2015</v>
      </c>
      <c r="N125" s="23">
        <v>2100</v>
      </c>
      <c r="O125" s="292">
        <v>25</v>
      </c>
      <c r="P125" s="293">
        <v>2700</v>
      </c>
      <c r="Q125" s="294">
        <v>1</v>
      </c>
      <c r="R125" s="23"/>
      <c r="S125" s="148">
        <f t="shared" si="5"/>
        <v>2700</v>
      </c>
      <c r="T125" s="148">
        <f ca="1">IF(S125=0,"",S125*(OFFSET(cod_desembolso!$A$1,Q125,23)))</f>
        <v>2805.9223082615817</v>
      </c>
      <c r="U125" s="149">
        <f>(constantes!$B$3*(1+constantes!$B$3)^(O125))/((1+constantes!$B$3)^(O125)-1)</f>
        <v>9.3678779051968114E-2</v>
      </c>
      <c r="V125" s="148">
        <f t="shared" ca="1" si="6"/>
        <v>262.85537595262508</v>
      </c>
      <c r="W125" s="148">
        <f ca="1">(IF(S125=0,"",V125/constantes!$B$3))*1</f>
        <v>3285.6921994078134</v>
      </c>
      <c r="X125" s="150">
        <f ca="1">IF(S125=0,"",PV(constantes!$B$3,O125,-V125)*constantes!$B$3)</f>
        <v>224.47378466092658</v>
      </c>
      <c r="Y125" s="85">
        <f t="shared" si="7"/>
        <v>1800</v>
      </c>
      <c r="Z125">
        <v>124</v>
      </c>
    </row>
    <row r="126" spans="1:26">
      <c r="A126" s="290">
        <v>7125</v>
      </c>
      <c r="B126" s="23" t="str">
        <f t="shared" si="4"/>
        <v>SE-Imp_1500__kV_125</v>
      </c>
      <c r="C126" s="23">
        <v>805</v>
      </c>
      <c r="D126" s="142" t="str">
        <f>VLOOKUP(C126,tab_corredor!$A$2:$B$50,2,0)</f>
        <v>SE-Imp</v>
      </c>
      <c r="E126" s="23">
        <v>1500</v>
      </c>
      <c r="F126" s="23" t="s">
        <v>2671</v>
      </c>
      <c r="G126" s="23">
        <v>1500</v>
      </c>
      <c r="H126" s="23">
        <v>1500</v>
      </c>
      <c r="I126" s="394">
        <v>5.0000000000000004E-6</v>
      </c>
      <c r="J126" s="394">
        <v>5.0000000000000004E-6</v>
      </c>
      <c r="K126" s="290">
        <v>1</v>
      </c>
      <c r="L126" s="291" t="s">
        <v>2619</v>
      </c>
      <c r="M126" s="23">
        <v>2015</v>
      </c>
      <c r="N126" s="23">
        <v>2100</v>
      </c>
      <c r="O126" s="292">
        <v>25</v>
      </c>
      <c r="P126" s="293">
        <v>2700</v>
      </c>
      <c r="Q126" s="294">
        <v>1</v>
      </c>
      <c r="R126" s="23"/>
      <c r="S126" s="148">
        <f t="shared" si="5"/>
        <v>2700</v>
      </c>
      <c r="T126" s="148">
        <f ca="1">IF(S126=0,"",S126*(OFFSET(cod_desembolso!$A$1,Q126,23)))</f>
        <v>2805.9223082615817</v>
      </c>
      <c r="U126" s="149">
        <f>(constantes!$B$3*(1+constantes!$B$3)^(O126))/((1+constantes!$B$3)^(O126)-1)</f>
        <v>9.3678779051968114E-2</v>
      </c>
      <c r="V126" s="148">
        <f t="shared" ca="1" si="6"/>
        <v>262.85537595262508</v>
      </c>
      <c r="W126" s="148">
        <f ca="1">(IF(S126=0,"",V126/constantes!$B$3))*1</f>
        <v>3285.6921994078134</v>
      </c>
      <c r="X126" s="150">
        <f ca="1">IF(S126=0,"",PV(constantes!$B$3,O126,-V126)*constantes!$B$3)</f>
        <v>224.47378466092658</v>
      </c>
      <c r="Y126" s="85">
        <f t="shared" si="7"/>
        <v>1800</v>
      </c>
      <c r="Z126">
        <v>125</v>
      </c>
    </row>
    <row r="127" spans="1:26">
      <c r="A127" s="290">
        <v>7126</v>
      </c>
      <c r="B127" s="23" t="str">
        <f t="shared" si="4"/>
        <v>SE-Imp_1500__kV_126</v>
      </c>
      <c r="C127" s="23">
        <v>805</v>
      </c>
      <c r="D127" s="142" t="str">
        <f>VLOOKUP(C127,tab_corredor!$A$2:$B$50,2,0)</f>
        <v>SE-Imp</v>
      </c>
      <c r="E127" s="23">
        <v>1500</v>
      </c>
      <c r="F127" s="23" t="s">
        <v>2671</v>
      </c>
      <c r="G127" s="23">
        <v>1500</v>
      </c>
      <c r="H127" s="23">
        <v>1500</v>
      </c>
      <c r="I127" s="394">
        <v>5.0000000000000004E-6</v>
      </c>
      <c r="J127" s="394">
        <v>5.0000000000000004E-6</v>
      </c>
      <c r="K127" s="290">
        <v>1</v>
      </c>
      <c r="L127" s="291" t="s">
        <v>2619</v>
      </c>
      <c r="M127" s="23">
        <v>2015</v>
      </c>
      <c r="N127" s="23">
        <v>2100</v>
      </c>
      <c r="O127" s="292">
        <v>25</v>
      </c>
      <c r="P127" s="293">
        <v>2700</v>
      </c>
      <c r="Q127" s="294">
        <v>1</v>
      </c>
      <c r="R127" s="23"/>
      <c r="S127" s="148">
        <f t="shared" si="5"/>
        <v>2700</v>
      </c>
      <c r="T127" s="148">
        <f ca="1">IF(S127=0,"",S127*(OFFSET(cod_desembolso!$A$1,Q127,23)))</f>
        <v>2805.9223082615817</v>
      </c>
      <c r="U127" s="149">
        <f>(constantes!$B$3*(1+constantes!$B$3)^(O127))/((1+constantes!$B$3)^(O127)-1)</f>
        <v>9.3678779051968114E-2</v>
      </c>
      <c r="V127" s="148">
        <f t="shared" ca="1" si="6"/>
        <v>262.85537595262508</v>
      </c>
      <c r="W127" s="148">
        <f ca="1">(IF(S127=0,"",V127/constantes!$B$3))*1</f>
        <v>3285.6921994078134</v>
      </c>
      <c r="X127" s="150">
        <f ca="1">IF(S127=0,"",PV(constantes!$B$3,O127,-V127)*constantes!$B$3)</f>
        <v>224.47378466092658</v>
      </c>
      <c r="Y127" s="85">
        <f t="shared" si="7"/>
        <v>1800</v>
      </c>
      <c r="Z127">
        <v>126</v>
      </c>
    </row>
    <row r="128" spans="1:26">
      <c r="A128" s="290">
        <v>7127</v>
      </c>
      <c r="B128" s="23" t="str">
        <f t="shared" si="4"/>
        <v>SE-Imp_1500__kV_127</v>
      </c>
      <c r="C128" s="23">
        <v>805</v>
      </c>
      <c r="D128" s="142" t="str">
        <f>VLOOKUP(C128,tab_corredor!$A$2:$B$50,2,0)</f>
        <v>SE-Imp</v>
      </c>
      <c r="E128" s="23">
        <v>1500</v>
      </c>
      <c r="F128" s="23" t="s">
        <v>2671</v>
      </c>
      <c r="G128" s="23">
        <v>1500</v>
      </c>
      <c r="H128" s="23">
        <v>1500</v>
      </c>
      <c r="I128" s="394">
        <v>5.0000000000000004E-6</v>
      </c>
      <c r="J128" s="394">
        <v>5.0000000000000004E-6</v>
      </c>
      <c r="K128" s="290">
        <v>1</v>
      </c>
      <c r="L128" s="291" t="s">
        <v>2619</v>
      </c>
      <c r="M128" s="23">
        <v>2015</v>
      </c>
      <c r="N128" s="23">
        <v>2100</v>
      </c>
      <c r="O128" s="292">
        <v>25</v>
      </c>
      <c r="P128" s="293">
        <v>2700</v>
      </c>
      <c r="Q128" s="294">
        <v>1</v>
      </c>
      <c r="R128" s="23"/>
      <c r="S128" s="148">
        <f t="shared" si="5"/>
        <v>2700</v>
      </c>
      <c r="T128" s="148">
        <f ca="1">IF(S128=0,"",S128*(OFFSET(cod_desembolso!$A$1,Q128,23)))</f>
        <v>2805.9223082615817</v>
      </c>
      <c r="U128" s="149">
        <f>(constantes!$B$3*(1+constantes!$B$3)^(O128))/((1+constantes!$B$3)^(O128)-1)</f>
        <v>9.3678779051968114E-2</v>
      </c>
      <c r="V128" s="148">
        <f t="shared" ca="1" si="6"/>
        <v>262.85537595262508</v>
      </c>
      <c r="W128" s="148">
        <f ca="1">(IF(S128=0,"",V128/constantes!$B$3))*1</f>
        <v>3285.6921994078134</v>
      </c>
      <c r="X128" s="150">
        <f ca="1">IF(S128=0,"",PV(constantes!$B$3,O128,-V128)*constantes!$B$3)</f>
        <v>224.47378466092658</v>
      </c>
      <c r="Y128" s="85">
        <f t="shared" si="7"/>
        <v>1800</v>
      </c>
      <c r="Z128">
        <v>127</v>
      </c>
    </row>
    <row r="129" spans="1:29">
      <c r="A129" s="290">
        <v>7128</v>
      </c>
      <c r="B129" s="23" t="str">
        <f t="shared" si="4"/>
        <v>SE-Imp_1500__kV_128</v>
      </c>
      <c r="C129" s="23">
        <v>805</v>
      </c>
      <c r="D129" s="142" t="str">
        <f>VLOOKUP(C129,tab_corredor!$A$2:$B$50,2,0)</f>
        <v>SE-Imp</v>
      </c>
      <c r="E129" s="23">
        <v>1500</v>
      </c>
      <c r="F129" s="23" t="s">
        <v>2671</v>
      </c>
      <c r="G129" s="23">
        <v>1500</v>
      </c>
      <c r="H129" s="23">
        <v>1500</v>
      </c>
      <c r="I129" s="394">
        <v>5.0000000000000004E-6</v>
      </c>
      <c r="J129" s="394">
        <v>5.0000000000000004E-6</v>
      </c>
      <c r="K129" s="290">
        <v>1</v>
      </c>
      <c r="L129" s="291" t="s">
        <v>2619</v>
      </c>
      <c r="M129" s="23">
        <v>2015</v>
      </c>
      <c r="N129" s="23">
        <v>2100</v>
      </c>
      <c r="O129" s="292">
        <v>25</v>
      </c>
      <c r="P129" s="293">
        <v>2700</v>
      </c>
      <c r="Q129" s="294">
        <v>1</v>
      </c>
      <c r="R129" s="23"/>
      <c r="S129" s="148">
        <f t="shared" si="5"/>
        <v>2700</v>
      </c>
      <c r="T129" s="148">
        <f ca="1">IF(S129=0,"",S129*(OFFSET(cod_desembolso!$A$1,Q129,23)))</f>
        <v>2805.9223082615817</v>
      </c>
      <c r="U129" s="149">
        <f>(constantes!$B$3*(1+constantes!$B$3)^(O129))/((1+constantes!$B$3)^(O129)-1)</f>
        <v>9.3678779051968114E-2</v>
      </c>
      <c r="V129" s="148">
        <f t="shared" ca="1" si="6"/>
        <v>262.85537595262508</v>
      </c>
      <c r="W129" s="148">
        <f ca="1">(IF(S129=0,"",V129/constantes!$B$3))*1</f>
        <v>3285.6921994078134</v>
      </c>
      <c r="X129" s="150">
        <f ca="1">IF(S129=0,"",PV(constantes!$B$3,O129,-V129)*constantes!$B$3)</f>
        <v>224.47378466092658</v>
      </c>
      <c r="Y129" s="85">
        <f t="shared" si="7"/>
        <v>1800</v>
      </c>
      <c r="Z129">
        <v>128</v>
      </c>
    </row>
    <row r="130" spans="1:29">
      <c r="A130" s="290">
        <v>7129</v>
      </c>
      <c r="B130" s="23" t="str">
        <f t="shared" ref="B130:B183" si="8">D130&amp;"_"&amp;E130&amp;"_"&amp;F130&amp;IF(F130="DC","","kV")&amp;"_"&amp;Z130</f>
        <v>SE-Imp_1500__kV_129</v>
      </c>
      <c r="C130" s="23">
        <v>805</v>
      </c>
      <c r="D130" s="142" t="str">
        <f>VLOOKUP(C130,tab_corredor!$A$2:$B$50,2,0)</f>
        <v>SE-Imp</v>
      </c>
      <c r="E130" s="23">
        <v>1500</v>
      </c>
      <c r="F130" s="23" t="s">
        <v>2671</v>
      </c>
      <c r="G130" s="23">
        <v>1500</v>
      </c>
      <c r="H130" s="23">
        <v>1500</v>
      </c>
      <c r="I130" s="394">
        <v>5.0000000000000004E-6</v>
      </c>
      <c r="J130" s="394">
        <v>5.0000000000000004E-6</v>
      </c>
      <c r="K130" s="290">
        <v>1</v>
      </c>
      <c r="L130" s="291" t="s">
        <v>2619</v>
      </c>
      <c r="M130" s="23">
        <v>2015</v>
      </c>
      <c r="N130" s="23">
        <v>2100</v>
      </c>
      <c r="O130" s="292">
        <v>25</v>
      </c>
      <c r="P130" s="293">
        <v>2700</v>
      </c>
      <c r="Q130" s="294">
        <v>1</v>
      </c>
      <c r="R130" s="23"/>
      <c r="S130" s="148">
        <f t="shared" ref="S130:S183" si="9">P130+R130</f>
        <v>2700</v>
      </c>
      <c r="T130" s="148">
        <f ca="1">IF(S130=0,"",S130*(OFFSET(cod_desembolso!$A$1,Q130,23)))</f>
        <v>2805.9223082615817</v>
      </c>
      <c r="U130" s="149">
        <f>(constantes!$B$3*(1+constantes!$B$3)^(O130))/((1+constantes!$B$3)^(O130)-1)</f>
        <v>9.3678779051968114E-2</v>
      </c>
      <c r="V130" s="148">
        <f t="shared" ref="V130:V183" ca="1" si="10">IF(S130=0,"",T130*U130)</f>
        <v>262.85537595262508</v>
      </c>
      <c r="W130" s="148">
        <f ca="1">(IF(S130=0,"",V130/constantes!$B$3))*1</f>
        <v>3285.6921994078134</v>
      </c>
      <c r="X130" s="150">
        <f ca="1">IF(S130=0,"",PV(constantes!$B$3,O130,-V130)*constantes!$B$3)</f>
        <v>224.47378466092658</v>
      </c>
      <c r="Y130" s="85">
        <f t="shared" ref="Y130:Y183" si="11">S130/E130*1000</f>
        <v>1800</v>
      </c>
      <c r="Z130">
        <v>129</v>
      </c>
    </row>
    <row r="131" spans="1:29">
      <c r="A131" s="290">
        <v>7130</v>
      </c>
      <c r="B131" s="23" t="str">
        <f t="shared" si="8"/>
        <v>SE-Imp_1500__kV_130</v>
      </c>
      <c r="C131" s="23">
        <v>805</v>
      </c>
      <c r="D131" s="142" t="str">
        <f>VLOOKUP(C131,tab_corredor!$A$2:$B$50,2,0)</f>
        <v>SE-Imp</v>
      </c>
      <c r="E131" s="23">
        <v>1500</v>
      </c>
      <c r="F131" s="23" t="s">
        <v>2671</v>
      </c>
      <c r="G131" s="23">
        <v>1500</v>
      </c>
      <c r="H131" s="23">
        <v>1500</v>
      </c>
      <c r="I131" s="394">
        <v>5.0000000000000004E-6</v>
      </c>
      <c r="J131" s="394">
        <v>5.0000000000000004E-6</v>
      </c>
      <c r="K131" s="290">
        <v>1</v>
      </c>
      <c r="L131" s="291" t="s">
        <v>2619</v>
      </c>
      <c r="M131" s="23">
        <v>2015</v>
      </c>
      <c r="N131" s="23">
        <v>2100</v>
      </c>
      <c r="O131" s="292">
        <v>25</v>
      </c>
      <c r="P131" s="293">
        <v>2700</v>
      </c>
      <c r="Q131" s="294">
        <v>1</v>
      </c>
      <c r="R131" s="23"/>
      <c r="S131" s="148">
        <f t="shared" si="9"/>
        <v>2700</v>
      </c>
      <c r="T131" s="148">
        <f ca="1">IF(S131=0,"",S131*(OFFSET(cod_desembolso!$A$1,Q131,23)))</f>
        <v>2805.9223082615817</v>
      </c>
      <c r="U131" s="149">
        <f>(constantes!$B$3*(1+constantes!$B$3)^(O131))/((1+constantes!$B$3)^(O131)-1)</f>
        <v>9.3678779051968114E-2</v>
      </c>
      <c r="V131" s="148">
        <f t="shared" ca="1" si="10"/>
        <v>262.85537595262508</v>
      </c>
      <c r="W131" s="148">
        <f ca="1">(IF(S131=0,"",V131/constantes!$B$3))*1</f>
        <v>3285.6921994078134</v>
      </c>
      <c r="X131" s="150">
        <f ca="1">IF(S131=0,"",PV(constantes!$B$3,O131,-V131)*constantes!$B$3)</f>
        <v>224.47378466092658</v>
      </c>
      <c r="Y131" s="85">
        <f t="shared" si="11"/>
        <v>1800</v>
      </c>
      <c r="Z131">
        <v>130</v>
      </c>
    </row>
    <row r="132" spans="1:29">
      <c r="A132" s="290">
        <v>7131</v>
      </c>
      <c r="B132" s="23" t="str">
        <f t="shared" si="8"/>
        <v>SE-Imp_1500__kV_131</v>
      </c>
      <c r="C132" s="23">
        <v>805</v>
      </c>
      <c r="D132" s="142" t="str">
        <f>VLOOKUP(C132,tab_corredor!$A$2:$B$50,2,0)</f>
        <v>SE-Imp</v>
      </c>
      <c r="E132" s="23">
        <v>1500</v>
      </c>
      <c r="F132" s="23" t="s">
        <v>2671</v>
      </c>
      <c r="G132" s="23">
        <v>1500</v>
      </c>
      <c r="H132" s="23">
        <v>1500</v>
      </c>
      <c r="I132" s="394">
        <v>5.0000000000000004E-6</v>
      </c>
      <c r="J132" s="394">
        <v>5.0000000000000004E-6</v>
      </c>
      <c r="K132" s="290">
        <v>1</v>
      </c>
      <c r="L132" s="291" t="s">
        <v>2619</v>
      </c>
      <c r="M132" s="23">
        <v>2015</v>
      </c>
      <c r="N132" s="23">
        <v>2100</v>
      </c>
      <c r="O132" s="292">
        <v>25</v>
      </c>
      <c r="P132" s="293">
        <v>2700</v>
      </c>
      <c r="Q132" s="294">
        <v>1</v>
      </c>
      <c r="R132" s="23"/>
      <c r="S132" s="148">
        <f t="shared" si="9"/>
        <v>2700</v>
      </c>
      <c r="T132" s="148">
        <f ca="1">IF(S132=0,"",S132*(OFFSET(cod_desembolso!$A$1,Q132,23)))</f>
        <v>2805.9223082615817</v>
      </c>
      <c r="U132" s="149">
        <f>(constantes!$B$3*(1+constantes!$B$3)^(O132))/((1+constantes!$B$3)^(O132)-1)</f>
        <v>9.3678779051968114E-2</v>
      </c>
      <c r="V132" s="148">
        <f t="shared" ca="1" si="10"/>
        <v>262.85537595262508</v>
      </c>
      <c r="W132" s="148">
        <f ca="1">(IF(S132=0,"",V132/constantes!$B$3))*1</f>
        <v>3285.6921994078134</v>
      </c>
      <c r="X132" s="150">
        <f ca="1">IF(S132=0,"",PV(constantes!$B$3,O132,-V132)*constantes!$B$3)</f>
        <v>224.47378466092658</v>
      </c>
      <c r="Y132" s="85">
        <f t="shared" si="11"/>
        <v>1800</v>
      </c>
      <c r="Z132">
        <v>131</v>
      </c>
    </row>
    <row r="133" spans="1:29">
      <c r="A133" s="290">
        <v>7132</v>
      </c>
      <c r="B133" s="23" t="str">
        <f t="shared" si="8"/>
        <v>SE-Imp_1500__kV_132</v>
      </c>
      <c r="C133" s="23">
        <v>805</v>
      </c>
      <c r="D133" s="142" t="str">
        <f>VLOOKUP(C133,tab_corredor!$A$2:$B$50,2,0)</f>
        <v>SE-Imp</v>
      </c>
      <c r="E133" s="23">
        <v>1500</v>
      </c>
      <c r="F133" s="23" t="s">
        <v>2671</v>
      </c>
      <c r="G133" s="23">
        <v>1500</v>
      </c>
      <c r="H133" s="23">
        <v>1500</v>
      </c>
      <c r="I133" s="394">
        <v>5.0000000000000004E-6</v>
      </c>
      <c r="J133" s="394">
        <v>5.0000000000000004E-6</v>
      </c>
      <c r="K133" s="290">
        <v>1</v>
      </c>
      <c r="L133" s="291" t="s">
        <v>2619</v>
      </c>
      <c r="M133" s="23">
        <v>2015</v>
      </c>
      <c r="N133" s="23">
        <v>2100</v>
      </c>
      <c r="O133" s="292">
        <v>25</v>
      </c>
      <c r="P133" s="293">
        <v>2700</v>
      </c>
      <c r="Q133" s="294">
        <v>1</v>
      </c>
      <c r="R133" s="23"/>
      <c r="S133" s="148">
        <f t="shared" si="9"/>
        <v>2700</v>
      </c>
      <c r="T133" s="148">
        <f ca="1">IF(S133=0,"",S133*(OFFSET(cod_desembolso!$A$1,Q133,23)))</f>
        <v>2805.9223082615817</v>
      </c>
      <c r="U133" s="149">
        <f>(constantes!$B$3*(1+constantes!$B$3)^(O133))/((1+constantes!$B$3)^(O133)-1)</f>
        <v>9.3678779051968114E-2</v>
      </c>
      <c r="V133" s="148">
        <f t="shared" ca="1" si="10"/>
        <v>262.85537595262508</v>
      </c>
      <c r="W133" s="148">
        <f ca="1">(IF(S133=0,"",V133/constantes!$B$3))*1</f>
        <v>3285.6921994078134</v>
      </c>
      <c r="X133" s="150">
        <f ca="1">IF(S133=0,"",PV(constantes!$B$3,O133,-V133)*constantes!$B$3)</f>
        <v>224.47378466092658</v>
      </c>
      <c r="Y133" s="85">
        <f t="shared" si="11"/>
        <v>1800</v>
      </c>
      <c r="Z133">
        <v>132</v>
      </c>
    </row>
    <row r="134" spans="1:29">
      <c r="A134" s="290">
        <v>7133</v>
      </c>
      <c r="B134" s="23" t="str">
        <f t="shared" si="8"/>
        <v>SE-Imp_1500__kV_133</v>
      </c>
      <c r="C134" s="23">
        <v>805</v>
      </c>
      <c r="D134" s="142" t="str">
        <f>VLOOKUP(C134,tab_corredor!$A$2:$B$50,2,0)</f>
        <v>SE-Imp</v>
      </c>
      <c r="E134" s="23">
        <v>1500</v>
      </c>
      <c r="F134" s="23" t="s">
        <v>2671</v>
      </c>
      <c r="G134" s="23">
        <v>1500</v>
      </c>
      <c r="H134" s="23">
        <v>1500</v>
      </c>
      <c r="I134" s="394">
        <v>5.0000000000000004E-6</v>
      </c>
      <c r="J134" s="394">
        <v>5.0000000000000004E-6</v>
      </c>
      <c r="K134" s="290">
        <v>1</v>
      </c>
      <c r="L134" s="291" t="s">
        <v>2619</v>
      </c>
      <c r="M134" s="23">
        <v>2015</v>
      </c>
      <c r="N134" s="23">
        <v>2100</v>
      </c>
      <c r="O134" s="292">
        <v>25</v>
      </c>
      <c r="P134" s="293">
        <v>2700</v>
      </c>
      <c r="Q134" s="294">
        <v>1</v>
      </c>
      <c r="R134" s="23"/>
      <c r="S134" s="148">
        <f t="shared" si="9"/>
        <v>2700</v>
      </c>
      <c r="T134" s="148">
        <f ca="1">IF(S134=0,"",S134*(OFFSET(cod_desembolso!$A$1,Q134,23)))</f>
        <v>2805.9223082615817</v>
      </c>
      <c r="U134" s="149">
        <f>(constantes!$B$3*(1+constantes!$B$3)^(O134))/((1+constantes!$B$3)^(O134)-1)</f>
        <v>9.3678779051968114E-2</v>
      </c>
      <c r="V134" s="148">
        <f t="shared" ca="1" si="10"/>
        <v>262.85537595262508</v>
      </c>
      <c r="W134" s="148">
        <f ca="1">(IF(S134=0,"",V134/constantes!$B$3))*1</f>
        <v>3285.6921994078134</v>
      </c>
      <c r="X134" s="150">
        <f ca="1">IF(S134=0,"",PV(constantes!$B$3,O134,-V134)*constantes!$B$3)</f>
        <v>224.47378466092658</v>
      </c>
      <c r="Y134" s="85">
        <f t="shared" si="11"/>
        <v>1800</v>
      </c>
      <c r="Z134">
        <v>133</v>
      </c>
    </row>
    <row r="135" spans="1:29">
      <c r="A135" s="290">
        <v>7144</v>
      </c>
      <c r="B135" s="23" t="str">
        <f t="shared" si="8"/>
        <v>NE-Imp_1500__kV_144</v>
      </c>
      <c r="C135" s="23">
        <v>808</v>
      </c>
      <c r="D135" s="142" t="str">
        <f>VLOOKUP(C135,tab_corredor!$A$2:$B$50,2,0)</f>
        <v>NE-Imp</v>
      </c>
      <c r="E135" s="23">
        <v>1500</v>
      </c>
      <c r="F135" s="23" t="s">
        <v>2671</v>
      </c>
      <c r="G135" s="23">
        <v>1500</v>
      </c>
      <c r="H135" s="23">
        <v>1500</v>
      </c>
      <c r="I135" s="394">
        <v>5.0000000000000004E-6</v>
      </c>
      <c r="J135" s="394">
        <v>5.0000000000000004E-6</v>
      </c>
      <c r="K135" s="290">
        <v>1</v>
      </c>
      <c r="L135" s="291" t="s">
        <v>2619</v>
      </c>
      <c r="M135" s="23">
        <v>2015</v>
      </c>
      <c r="N135" s="23">
        <v>2100</v>
      </c>
      <c r="O135" s="292">
        <v>25</v>
      </c>
      <c r="P135" s="293">
        <v>2100</v>
      </c>
      <c r="Q135" s="294">
        <v>1</v>
      </c>
      <c r="R135" s="23"/>
      <c r="S135" s="148">
        <f t="shared" si="9"/>
        <v>2100</v>
      </c>
      <c r="T135" s="148">
        <f ca="1">IF(S135=0,"",S135*(OFFSET(cod_desembolso!$A$1,Q135,23)))</f>
        <v>2182.3840175367854</v>
      </c>
      <c r="U135" s="149">
        <f>(constantes!$B$3*(1+constantes!$B$3)^(O135))/((1+constantes!$B$3)^(O135)-1)</f>
        <v>9.3678779051968114E-2</v>
      </c>
      <c r="V135" s="148">
        <f t="shared" ca="1" si="10"/>
        <v>204.44307018537503</v>
      </c>
      <c r="W135" s="148">
        <f ca="1">(IF(S135=0,"",V135/constantes!$B$3))*1</f>
        <v>2555.538377317188</v>
      </c>
      <c r="X135" s="150">
        <f ca="1">IF(S135=0,"",PV(constantes!$B$3,O135,-V135)*constantes!$B$3)</f>
        <v>174.59072140294285</v>
      </c>
      <c r="Y135" s="85">
        <f t="shared" si="11"/>
        <v>1400</v>
      </c>
      <c r="Z135">
        <v>144</v>
      </c>
    </row>
    <row r="136" spans="1:29">
      <c r="A136" s="290">
        <v>7145</v>
      </c>
      <c r="B136" s="23" t="str">
        <f t="shared" si="8"/>
        <v>NE-Imp_1500__kV_145</v>
      </c>
      <c r="C136" s="23">
        <v>808</v>
      </c>
      <c r="D136" s="142" t="str">
        <f>VLOOKUP(C136,tab_corredor!$A$2:$B$50,2,0)</f>
        <v>NE-Imp</v>
      </c>
      <c r="E136" s="23">
        <v>1500</v>
      </c>
      <c r="F136" s="23" t="s">
        <v>2671</v>
      </c>
      <c r="G136" s="23">
        <v>1500</v>
      </c>
      <c r="H136" s="23">
        <v>1500</v>
      </c>
      <c r="I136" s="394">
        <v>5.0000000000000004E-6</v>
      </c>
      <c r="J136" s="394">
        <v>5.0000000000000004E-6</v>
      </c>
      <c r="K136" s="290">
        <v>1</v>
      </c>
      <c r="L136" s="291" t="s">
        <v>2619</v>
      </c>
      <c r="M136" s="23">
        <v>2015</v>
      </c>
      <c r="N136" s="23">
        <v>2100</v>
      </c>
      <c r="O136" s="292">
        <v>25</v>
      </c>
      <c r="P136" s="293">
        <v>2100</v>
      </c>
      <c r="Q136" s="294">
        <v>1</v>
      </c>
      <c r="R136" s="23"/>
      <c r="S136" s="148">
        <f t="shared" si="9"/>
        <v>2100</v>
      </c>
      <c r="T136" s="148">
        <f ca="1">IF(S136=0,"",S136*(OFFSET(cod_desembolso!$A$1,Q136,23)))</f>
        <v>2182.3840175367854</v>
      </c>
      <c r="U136" s="149">
        <f>(constantes!$B$3*(1+constantes!$B$3)^(O136))/((1+constantes!$B$3)^(O136)-1)</f>
        <v>9.3678779051968114E-2</v>
      </c>
      <c r="V136" s="148">
        <f t="shared" ca="1" si="10"/>
        <v>204.44307018537503</v>
      </c>
      <c r="W136" s="148">
        <f ca="1">(IF(S136=0,"",V136/constantes!$B$3))*1</f>
        <v>2555.538377317188</v>
      </c>
      <c r="X136" s="150">
        <f ca="1">IF(S136=0,"",PV(constantes!$B$3,O136,-V136)*constantes!$B$3)</f>
        <v>174.59072140294285</v>
      </c>
      <c r="Y136" s="85">
        <f t="shared" si="11"/>
        <v>1400</v>
      </c>
      <c r="Z136">
        <v>145</v>
      </c>
    </row>
    <row r="137" spans="1:29">
      <c r="A137" s="290">
        <v>7146</v>
      </c>
      <c r="B137" s="23" t="str">
        <f t="shared" si="8"/>
        <v>NE-Imp_1500__kV_146</v>
      </c>
      <c r="C137" s="23">
        <v>808</v>
      </c>
      <c r="D137" s="142" t="str">
        <f>VLOOKUP(C137,tab_corredor!$A$2:$B$50,2,0)</f>
        <v>NE-Imp</v>
      </c>
      <c r="E137" s="23">
        <v>1500</v>
      </c>
      <c r="F137" s="23" t="s">
        <v>2671</v>
      </c>
      <c r="G137" s="23">
        <v>1500</v>
      </c>
      <c r="H137" s="23">
        <v>1500</v>
      </c>
      <c r="I137" s="394">
        <v>5.0000000000000004E-6</v>
      </c>
      <c r="J137" s="394">
        <v>5.0000000000000004E-6</v>
      </c>
      <c r="K137" s="290">
        <v>1</v>
      </c>
      <c r="L137" s="291" t="s">
        <v>2619</v>
      </c>
      <c r="M137" s="23">
        <v>2015</v>
      </c>
      <c r="N137" s="23">
        <v>2100</v>
      </c>
      <c r="O137" s="292">
        <v>25</v>
      </c>
      <c r="P137" s="293">
        <v>2100</v>
      </c>
      <c r="Q137" s="294">
        <v>1</v>
      </c>
      <c r="R137" s="23"/>
      <c r="S137" s="148">
        <f t="shared" si="9"/>
        <v>2100</v>
      </c>
      <c r="T137" s="148">
        <f ca="1">IF(S137=0,"",S137*(OFFSET(cod_desembolso!$A$1,Q137,23)))</f>
        <v>2182.3840175367854</v>
      </c>
      <c r="U137" s="149">
        <f>(constantes!$B$3*(1+constantes!$B$3)^(O137))/((1+constantes!$B$3)^(O137)-1)</f>
        <v>9.3678779051968114E-2</v>
      </c>
      <c r="V137" s="148">
        <f t="shared" ca="1" si="10"/>
        <v>204.44307018537503</v>
      </c>
      <c r="W137" s="148">
        <f ca="1">(IF(S137=0,"",V137/constantes!$B$3))*1</f>
        <v>2555.538377317188</v>
      </c>
      <c r="X137" s="150">
        <f ca="1">IF(S137=0,"",PV(constantes!$B$3,O137,-V137)*constantes!$B$3)</f>
        <v>174.59072140294285</v>
      </c>
      <c r="Y137" s="85">
        <f t="shared" si="11"/>
        <v>1400</v>
      </c>
      <c r="Z137">
        <v>146</v>
      </c>
    </row>
    <row r="138" spans="1:29">
      <c r="A138" s="290">
        <v>7147</v>
      </c>
      <c r="B138" s="23" t="str">
        <f t="shared" si="8"/>
        <v>NE-Imp_1500__kV_147</v>
      </c>
      <c r="C138" s="23">
        <v>808</v>
      </c>
      <c r="D138" s="142" t="str">
        <f>VLOOKUP(C138,tab_corredor!$A$2:$B$50,2,0)</f>
        <v>NE-Imp</v>
      </c>
      <c r="E138" s="23">
        <v>1500</v>
      </c>
      <c r="F138" s="23" t="s">
        <v>2671</v>
      </c>
      <c r="G138" s="23">
        <v>1500</v>
      </c>
      <c r="H138" s="23">
        <v>1500</v>
      </c>
      <c r="I138" s="394">
        <v>5.0000000000000004E-6</v>
      </c>
      <c r="J138" s="394">
        <v>5.0000000000000004E-6</v>
      </c>
      <c r="K138" s="290">
        <v>1</v>
      </c>
      <c r="L138" s="291" t="s">
        <v>2619</v>
      </c>
      <c r="M138" s="23">
        <v>2015</v>
      </c>
      <c r="N138" s="23">
        <v>2100</v>
      </c>
      <c r="O138" s="292">
        <v>25</v>
      </c>
      <c r="P138" s="293">
        <v>2100</v>
      </c>
      <c r="Q138" s="294">
        <v>1</v>
      </c>
      <c r="R138" s="23"/>
      <c r="S138" s="148">
        <f t="shared" si="9"/>
        <v>2100</v>
      </c>
      <c r="T138" s="148">
        <f ca="1">IF(S138=0,"",S138*(OFFSET(cod_desembolso!$A$1,Q138,23)))</f>
        <v>2182.3840175367854</v>
      </c>
      <c r="U138" s="149">
        <f>(constantes!$B$3*(1+constantes!$B$3)^(O138))/((1+constantes!$B$3)^(O138)-1)</f>
        <v>9.3678779051968114E-2</v>
      </c>
      <c r="V138" s="148">
        <f t="shared" ca="1" si="10"/>
        <v>204.44307018537503</v>
      </c>
      <c r="W138" s="148">
        <f ca="1">(IF(S138=0,"",V138/constantes!$B$3))*1</f>
        <v>2555.538377317188</v>
      </c>
      <c r="X138" s="150">
        <f ca="1">IF(S138=0,"",PV(constantes!$B$3,O138,-V138)*constantes!$B$3)</f>
        <v>174.59072140294285</v>
      </c>
      <c r="Y138" s="85">
        <f t="shared" si="11"/>
        <v>1400</v>
      </c>
      <c r="Z138">
        <v>147</v>
      </c>
    </row>
    <row r="139" spans="1:29">
      <c r="A139" s="290">
        <v>7148</v>
      </c>
      <c r="B139" s="23" t="str">
        <f t="shared" si="8"/>
        <v>NE-Imp_1500__kV_148</v>
      </c>
      <c r="C139" s="23">
        <v>808</v>
      </c>
      <c r="D139" s="142" t="str">
        <f>VLOOKUP(C139,tab_corredor!$A$2:$B$50,2,0)</f>
        <v>NE-Imp</v>
      </c>
      <c r="E139" s="23">
        <v>1500</v>
      </c>
      <c r="F139" s="23" t="s">
        <v>2671</v>
      </c>
      <c r="G139" s="23">
        <v>1500</v>
      </c>
      <c r="H139" s="23">
        <v>1500</v>
      </c>
      <c r="I139" s="394">
        <v>5.0000000000000004E-6</v>
      </c>
      <c r="J139" s="394">
        <v>5.0000000000000004E-6</v>
      </c>
      <c r="K139" s="290">
        <v>1</v>
      </c>
      <c r="L139" s="291" t="s">
        <v>2619</v>
      </c>
      <c r="M139" s="23">
        <v>2015</v>
      </c>
      <c r="N139" s="23">
        <v>2100</v>
      </c>
      <c r="O139" s="292">
        <v>25</v>
      </c>
      <c r="P139" s="293">
        <v>2100</v>
      </c>
      <c r="Q139" s="294">
        <v>1</v>
      </c>
      <c r="R139" s="23"/>
      <c r="S139" s="148">
        <f t="shared" si="9"/>
        <v>2100</v>
      </c>
      <c r="T139" s="148">
        <f ca="1">IF(S139=0,"",S139*(OFFSET(cod_desembolso!$A$1,Q139,23)))</f>
        <v>2182.3840175367854</v>
      </c>
      <c r="U139" s="149">
        <f>(constantes!$B$3*(1+constantes!$B$3)^(O139))/((1+constantes!$B$3)^(O139)-1)</f>
        <v>9.3678779051968114E-2</v>
      </c>
      <c r="V139" s="148">
        <f t="shared" ca="1" si="10"/>
        <v>204.44307018537503</v>
      </c>
      <c r="W139" s="148">
        <f ca="1">(IF(S139=0,"",V139/constantes!$B$3))*1</f>
        <v>2555.538377317188</v>
      </c>
      <c r="X139" s="150">
        <f ca="1">IF(S139=0,"",PV(constantes!$B$3,O139,-V139)*constantes!$B$3)</f>
        <v>174.59072140294285</v>
      </c>
      <c r="Y139" s="85">
        <f t="shared" si="11"/>
        <v>1400</v>
      </c>
      <c r="Z139">
        <v>148</v>
      </c>
    </row>
    <row r="140" spans="1:29">
      <c r="A140" s="290">
        <v>7149</v>
      </c>
      <c r="B140" s="23" t="str">
        <f t="shared" si="8"/>
        <v>NE-Imp_1500__kV_149</v>
      </c>
      <c r="C140" s="23">
        <v>808</v>
      </c>
      <c r="D140" s="142" t="str">
        <f>VLOOKUP(C140,tab_corredor!$A$2:$B$50,2,0)</f>
        <v>NE-Imp</v>
      </c>
      <c r="E140" s="23">
        <v>1500</v>
      </c>
      <c r="F140" s="23" t="s">
        <v>2671</v>
      </c>
      <c r="G140" s="23">
        <v>1500</v>
      </c>
      <c r="H140" s="23">
        <v>1500</v>
      </c>
      <c r="I140" s="394">
        <v>5.0000000000000004E-6</v>
      </c>
      <c r="J140" s="394">
        <v>5.0000000000000004E-6</v>
      </c>
      <c r="K140" s="290">
        <v>1</v>
      </c>
      <c r="L140" s="291" t="s">
        <v>2619</v>
      </c>
      <c r="M140" s="23">
        <v>2015</v>
      </c>
      <c r="N140" s="23">
        <v>2100</v>
      </c>
      <c r="O140" s="292">
        <v>25</v>
      </c>
      <c r="P140" s="293">
        <v>2100</v>
      </c>
      <c r="Q140" s="294">
        <v>1</v>
      </c>
      <c r="R140" s="23"/>
      <c r="S140" s="148">
        <f t="shared" si="9"/>
        <v>2100</v>
      </c>
      <c r="T140" s="148">
        <f ca="1">IF(S140=0,"",S140*(OFFSET(cod_desembolso!$A$1,Q140,23)))</f>
        <v>2182.3840175367854</v>
      </c>
      <c r="U140" s="149">
        <f>(constantes!$B$3*(1+constantes!$B$3)^(O140))/((1+constantes!$B$3)^(O140)-1)</f>
        <v>9.3678779051968114E-2</v>
      </c>
      <c r="V140" s="148">
        <f t="shared" ca="1" si="10"/>
        <v>204.44307018537503</v>
      </c>
      <c r="W140" s="148">
        <f ca="1">(IF(S140=0,"",V140/constantes!$B$3))*1</f>
        <v>2555.538377317188</v>
      </c>
      <c r="X140" s="150">
        <f ca="1">IF(S140=0,"",PV(constantes!$B$3,O140,-V140)*constantes!$B$3)</f>
        <v>174.59072140294285</v>
      </c>
      <c r="Y140" s="85">
        <f t="shared" si="11"/>
        <v>1400</v>
      </c>
      <c r="Z140">
        <v>149</v>
      </c>
    </row>
    <row r="141" spans="1:29">
      <c r="A141" s="290">
        <v>7150</v>
      </c>
      <c r="B141" s="23" t="str">
        <f t="shared" si="8"/>
        <v>NE-Imp_1500__kV_150</v>
      </c>
      <c r="C141" s="23">
        <v>808</v>
      </c>
      <c r="D141" s="142" t="str">
        <f>VLOOKUP(C141,tab_corredor!$A$2:$B$50,2,0)</f>
        <v>NE-Imp</v>
      </c>
      <c r="E141" s="23">
        <v>1500</v>
      </c>
      <c r="F141" s="23" t="s">
        <v>2671</v>
      </c>
      <c r="G141" s="23">
        <v>1500</v>
      </c>
      <c r="H141" s="23">
        <v>1500</v>
      </c>
      <c r="I141" s="394">
        <v>5.0000000000000004E-6</v>
      </c>
      <c r="J141" s="394">
        <v>5.0000000000000004E-6</v>
      </c>
      <c r="K141" s="290">
        <v>1</v>
      </c>
      <c r="L141" s="291" t="s">
        <v>2619</v>
      </c>
      <c r="M141" s="23">
        <v>2015</v>
      </c>
      <c r="N141" s="23">
        <v>2100</v>
      </c>
      <c r="O141" s="292">
        <v>25</v>
      </c>
      <c r="P141" s="293">
        <v>2100</v>
      </c>
      <c r="Q141" s="294">
        <v>1</v>
      </c>
      <c r="R141" s="23"/>
      <c r="S141" s="148">
        <f t="shared" si="9"/>
        <v>2100</v>
      </c>
      <c r="T141" s="148">
        <f ca="1">IF(S141=0,"",S141*(OFFSET(cod_desembolso!$A$1,Q141,23)))</f>
        <v>2182.3840175367854</v>
      </c>
      <c r="U141" s="149">
        <f>(constantes!$B$3*(1+constantes!$B$3)^(O141))/((1+constantes!$B$3)^(O141)-1)</f>
        <v>9.3678779051968114E-2</v>
      </c>
      <c r="V141" s="148">
        <f t="shared" ca="1" si="10"/>
        <v>204.44307018537503</v>
      </c>
      <c r="W141" s="148">
        <f ca="1">(IF(S141=0,"",V141/constantes!$B$3))*1</f>
        <v>2555.538377317188</v>
      </c>
      <c r="X141" s="150">
        <f ca="1">IF(S141=0,"",PV(constantes!$B$3,O141,-V141)*constantes!$B$3)</f>
        <v>174.59072140294285</v>
      </c>
      <c r="Y141" s="85">
        <f t="shared" si="11"/>
        <v>1400</v>
      </c>
      <c r="Z141">
        <v>150</v>
      </c>
      <c r="AA141">
        <v>1500</v>
      </c>
      <c r="AB141">
        <f>AA141*1000*AC141/10^6</f>
        <v>1800</v>
      </c>
      <c r="AC141">
        <v>1200</v>
      </c>
    </row>
    <row r="142" spans="1:29">
      <c r="A142" s="290">
        <v>7151</v>
      </c>
      <c r="B142" s="23" t="str">
        <f t="shared" si="8"/>
        <v>NE-Imp_1500__kV_151</v>
      </c>
      <c r="C142" s="23">
        <v>808</v>
      </c>
      <c r="D142" s="142" t="str">
        <f>VLOOKUP(C142,tab_corredor!$A$2:$B$50,2,0)</f>
        <v>NE-Imp</v>
      </c>
      <c r="E142" s="23">
        <v>1500</v>
      </c>
      <c r="F142" s="23" t="s">
        <v>2671</v>
      </c>
      <c r="G142" s="23">
        <v>1500</v>
      </c>
      <c r="H142" s="23">
        <v>1500</v>
      </c>
      <c r="I142" s="394">
        <v>5.0000000000000004E-6</v>
      </c>
      <c r="J142" s="394">
        <v>5.0000000000000004E-6</v>
      </c>
      <c r="K142" s="290">
        <v>1</v>
      </c>
      <c r="L142" s="291" t="s">
        <v>2619</v>
      </c>
      <c r="M142" s="23">
        <v>2015</v>
      </c>
      <c r="N142" s="23">
        <v>2100</v>
      </c>
      <c r="O142" s="292">
        <v>25</v>
      </c>
      <c r="P142" s="293">
        <v>2100</v>
      </c>
      <c r="Q142" s="294">
        <v>1</v>
      </c>
      <c r="R142" s="23"/>
      <c r="S142" s="148">
        <f t="shared" si="9"/>
        <v>2100</v>
      </c>
      <c r="T142" s="148">
        <f ca="1">IF(S142=0,"",S142*(OFFSET(cod_desembolso!$A$1,Q142,23)))</f>
        <v>2182.3840175367854</v>
      </c>
      <c r="U142" s="149">
        <f>(constantes!$B$3*(1+constantes!$B$3)^(O142))/((1+constantes!$B$3)^(O142)-1)</f>
        <v>9.3678779051968114E-2</v>
      </c>
      <c r="V142" s="148">
        <f t="shared" ca="1" si="10"/>
        <v>204.44307018537503</v>
      </c>
      <c r="W142" s="148">
        <f ca="1">(IF(S142=0,"",V142/constantes!$B$3))*1</f>
        <v>2555.538377317188</v>
      </c>
      <c r="X142" s="150">
        <f ca="1">IF(S142=0,"",PV(constantes!$B$3,O142,-V142)*constantes!$B$3)</f>
        <v>174.59072140294285</v>
      </c>
      <c r="Y142" s="85">
        <f t="shared" si="11"/>
        <v>1400</v>
      </c>
      <c r="Z142">
        <v>151</v>
      </c>
    </row>
    <row r="143" spans="1:29">
      <c r="A143" s="290">
        <v>7152</v>
      </c>
      <c r="B143" s="23" t="str">
        <f t="shared" si="8"/>
        <v>NE-Imp_1500__kV_152</v>
      </c>
      <c r="C143" s="23">
        <v>808</v>
      </c>
      <c r="D143" s="142" t="str">
        <f>VLOOKUP(C143,tab_corredor!$A$2:$B$50,2,0)</f>
        <v>NE-Imp</v>
      </c>
      <c r="E143" s="23">
        <v>1500</v>
      </c>
      <c r="F143" s="23" t="s">
        <v>2671</v>
      </c>
      <c r="G143" s="23">
        <v>1500</v>
      </c>
      <c r="H143" s="23">
        <v>1500</v>
      </c>
      <c r="I143" s="394">
        <v>5.0000000000000004E-6</v>
      </c>
      <c r="J143" s="394">
        <v>5.0000000000000004E-6</v>
      </c>
      <c r="K143" s="290">
        <v>1</v>
      </c>
      <c r="L143" s="291" t="s">
        <v>2619</v>
      </c>
      <c r="M143" s="23">
        <v>2015</v>
      </c>
      <c r="N143" s="23">
        <v>2100</v>
      </c>
      <c r="O143" s="292">
        <v>25</v>
      </c>
      <c r="P143" s="293">
        <v>2100</v>
      </c>
      <c r="Q143" s="294">
        <v>1</v>
      </c>
      <c r="R143" s="23"/>
      <c r="S143" s="148">
        <f t="shared" si="9"/>
        <v>2100</v>
      </c>
      <c r="T143" s="148">
        <f ca="1">IF(S143=0,"",S143*(OFFSET(cod_desembolso!$A$1,Q143,23)))</f>
        <v>2182.3840175367854</v>
      </c>
      <c r="U143" s="149">
        <f>(constantes!$B$3*(1+constantes!$B$3)^(O143))/((1+constantes!$B$3)^(O143)-1)</f>
        <v>9.3678779051968114E-2</v>
      </c>
      <c r="V143" s="148">
        <f t="shared" ca="1" si="10"/>
        <v>204.44307018537503</v>
      </c>
      <c r="W143" s="148">
        <f ca="1">(IF(S143=0,"",V143/constantes!$B$3))*1</f>
        <v>2555.538377317188</v>
      </c>
      <c r="X143" s="150">
        <f ca="1">IF(S143=0,"",PV(constantes!$B$3,O143,-V143)*constantes!$B$3)</f>
        <v>174.59072140294285</v>
      </c>
      <c r="Y143" s="85">
        <f t="shared" si="11"/>
        <v>1400</v>
      </c>
      <c r="Z143">
        <v>152</v>
      </c>
    </row>
    <row r="144" spans="1:29">
      <c r="A144" s="290">
        <v>7153</v>
      </c>
      <c r="B144" s="23" t="str">
        <f t="shared" si="8"/>
        <v>NE-Imp_1500__kV_153</v>
      </c>
      <c r="C144" s="23">
        <v>808</v>
      </c>
      <c r="D144" s="142" t="str">
        <f>VLOOKUP(C144,tab_corredor!$A$2:$B$50,2,0)</f>
        <v>NE-Imp</v>
      </c>
      <c r="E144" s="23">
        <v>1500</v>
      </c>
      <c r="F144" s="23" t="s">
        <v>2671</v>
      </c>
      <c r="G144" s="23">
        <v>1500</v>
      </c>
      <c r="H144" s="23">
        <v>1500</v>
      </c>
      <c r="I144" s="394">
        <v>5.0000000000000004E-6</v>
      </c>
      <c r="J144" s="394">
        <v>5.0000000000000004E-6</v>
      </c>
      <c r="K144" s="290">
        <v>1</v>
      </c>
      <c r="L144" s="291" t="s">
        <v>2619</v>
      </c>
      <c r="M144" s="23">
        <v>2015</v>
      </c>
      <c r="N144" s="23">
        <v>2100</v>
      </c>
      <c r="O144" s="292">
        <v>25</v>
      </c>
      <c r="P144" s="293">
        <v>2100</v>
      </c>
      <c r="Q144" s="294">
        <v>1</v>
      </c>
      <c r="R144" s="23"/>
      <c r="S144" s="148">
        <f t="shared" si="9"/>
        <v>2100</v>
      </c>
      <c r="T144" s="148">
        <f ca="1">IF(S144=0,"",S144*(OFFSET(cod_desembolso!$A$1,Q144,23)))</f>
        <v>2182.3840175367854</v>
      </c>
      <c r="U144" s="149">
        <f>(constantes!$B$3*(1+constantes!$B$3)^(O144))/((1+constantes!$B$3)^(O144)-1)</f>
        <v>9.3678779051968114E-2</v>
      </c>
      <c r="V144" s="148">
        <f t="shared" ca="1" si="10"/>
        <v>204.44307018537503</v>
      </c>
      <c r="W144" s="148">
        <f ca="1">(IF(S144=0,"",V144/constantes!$B$3))*1</f>
        <v>2555.538377317188</v>
      </c>
      <c r="X144" s="150">
        <f ca="1">IF(S144=0,"",PV(constantes!$B$3,O144,-V144)*constantes!$B$3)</f>
        <v>174.59072140294285</v>
      </c>
      <c r="Y144" s="85">
        <f t="shared" si="11"/>
        <v>1400</v>
      </c>
      <c r="Z144">
        <v>153</v>
      </c>
    </row>
    <row r="145" spans="1:26">
      <c r="A145" s="290">
        <v>7154</v>
      </c>
      <c r="B145" s="23" t="str">
        <f t="shared" si="8"/>
        <v>NE-Imp_1500__kV_154</v>
      </c>
      <c r="C145" s="23">
        <v>808</v>
      </c>
      <c r="D145" s="142" t="str">
        <f>VLOOKUP(C145,tab_corredor!$A$2:$B$50,2,0)</f>
        <v>NE-Imp</v>
      </c>
      <c r="E145" s="23">
        <v>1500</v>
      </c>
      <c r="F145" s="23" t="s">
        <v>2671</v>
      </c>
      <c r="G145" s="23">
        <v>1500</v>
      </c>
      <c r="H145" s="23">
        <v>1500</v>
      </c>
      <c r="I145" s="394">
        <v>5.0000000000000004E-6</v>
      </c>
      <c r="J145" s="394">
        <v>5.0000000000000004E-6</v>
      </c>
      <c r="K145" s="290">
        <v>1</v>
      </c>
      <c r="L145" s="291" t="s">
        <v>2619</v>
      </c>
      <c r="M145" s="23">
        <v>2015</v>
      </c>
      <c r="N145" s="23">
        <v>2100</v>
      </c>
      <c r="O145" s="292">
        <v>25</v>
      </c>
      <c r="P145" s="293">
        <v>2100</v>
      </c>
      <c r="Q145" s="294">
        <v>1</v>
      </c>
      <c r="R145" s="23"/>
      <c r="S145" s="148">
        <f t="shared" si="9"/>
        <v>2100</v>
      </c>
      <c r="T145" s="148">
        <f ca="1">IF(S145=0,"",S145*(OFFSET(cod_desembolso!$A$1,Q145,23)))</f>
        <v>2182.3840175367854</v>
      </c>
      <c r="U145" s="149">
        <f>(constantes!$B$3*(1+constantes!$B$3)^(O145))/((1+constantes!$B$3)^(O145)-1)</f>
        <v>9.3678779051968114E-2</v>
      </c>
      <c r="V145" s="148">
        <f t="shared" ca="1" si="10"/>
        <v>204.44307018537503</v>
      </c>
      <c r="W145" s="148">
        <f ca="1">(IF(S145=0,"",V145/constantes!$B$3))*1</f>
        <v>2555.538377317188</v>
      </c>
      <c r="X145" s="150">
        <f ca="1">IF(S145=0,"",PV(constantes!$B$3,O145,-V145)*constantes!$B$3)</f>
        <v>174.59072140294285</v>
      </c>
      <c r="Y145" s="85">
        <f t="shared" si="11"/>
        <v>1400</v>
      </c>
      <c r="Z145">
        <v>154</v>
      </c>
    </row>
    <row r="146" spans="1:26">
      <c r="A146" s="290">
        <v>7155</v>
      </c>
      <c r="B146" s="23" t="str">
        <f t="shared" si="8"/>
        <v>NE-Imp_1500__kV_155</v>
      </c>
      <c r="C146" s="23">
        <v>808</v>
      </c>
      <c r="D146" s="142" t="str">
        <f>VLOOKUP(C146,tab_corredor!$A$2:$B$50,2,0)</f>
        <v>NE-Imp</v>
      </c>
      <c r="E146" s="23">
        <v>1500</v>
      </c>
      <c r="F146" s="23" t="s">
        <v>2671</v>
      </c>
      <c r="G146" s="23">
        <v>1500</v>
      </c>
      <c r="H146" s="23">
        <v>1500</v>
      </c>
      <c r="I146" s="394">
        <v>5.0000000000000004E-6</v>
      </c>
      <c r="J146" s="394">
        <v>5.0000000000000004E-6</v>
      </c>
      <c r="K146" s="290">
        <v>1</v>
      </c>
      <c r="L146" s="291" t="s">
        <v>2619</v>
      </c>
      <c r="M146" s="23">
        <v>2015</v>
      </c>
      <c r="N146" s="23">
        <v>2100</v>
      </c>
      <c r="O146" s="292">
        <v>25</v>
      </c>
      <c r="P146" s="293">
        <v>2100</v>
      </c>
      <c r="Q146" s="294">
        <v>1</v>
      </c>
      <c r="R146" s="23"/>
      <c r="S146" s="148">
        <f t="shared" si="9"/>
        <v>2100</v>
      </c>
      <c r="T146" s="148">
        <f ca="1">IF(S146=0,"",S146*(OFFSET(cod_desembolso!$A$1,Q146,23)))</f>
        <v>2182.3840175367854</v>
      </c>
      <c r="U146" s="149">
        <f>(constantes!$B$3*(1+constantes!$B$3)^(O146))/((1+constantes!$B$3)^(O146)-1)</f>
        <v>9.3678779051968114E-2</v>
      </c>
      <c r="V146" s="148">
        <f t="shared" ca="1" si="10"/>
        <v>204.44307018537503</v>
      </c>
      <c r="W146" s="148">
        <f ca="1">(IF(S146=0,"",V146/constantes!$B$3))*1</f>
        <v>2555.538377317188</v>
      </c>
      <c r="X146" s="150">
        <f ca="1">IF(S146=0,"",PV(constantes!$B$3,O146,-V146)*constantes!$B$3)</f>
        <v>174.59072140294285</v>
      </c>
      <c r="Y146" s="85">
        <f t="shared" si="11"/>
        <v>1400</v>
      </c>
      <c r="Z146">
        <v>155</v>
      </c>
    </row>
    <row r="147" spans="1:26">
      <c r="A147" s="290">
        <v>7156</v>
      </c>
      <c r="B147" s="23" t="str">
        <f t="shared" si="8"/>
        <v>NE-Imp_1500__kV_156</v>
      </c>
      <c r="C147" s="23">
        <v>808</v>
      </c>
      <c r="D147" s="142" t="str">
        <f>VLOOKUP(C147,tab_corredor!$A$2:$B$50,2,0)</f>
        <v>NE-Imp</v>
      </c>
      <c r="E147" s="23">
        <v>1500</v>
      </c>
      <c r="F147" s="23" t="s">
        <v>2671</v>
      </c>
      <c r="G147" s="23">
        <v>1500</v>
      </c>
      <c r="H147" s="23">
        <v>1500</v>
      </c>
      <c r="I147" s="394">
        <v>5.0000000000000004E-6</v>
      </c>
      <c r="J147" s="394">
        <v>5.0000000000000004E-6</v>
      </c>
      <c r="K147" s="290">
        <v>1</v>
      </c>
      <c r="L147" s="291" t="s">
        <v>2619</v>
      </c>
      <c r="M147" s="23">
        <v>2015</v>
      </c>
      <c r="N147" s="23">
        <v>2100</v>
      </c>
      <c r="O147" s="292">
        <v>25</v>
      </c>
      <c r="P147" s="293">
        <v>2100</v>
      </c>
      <c r="Q147" s="294">
        <v>1</v>
      </c>
      <c r="R147" s="23"/>
      <c r="S147" s="148">
        <f t="shared" si="9"/>
        <v>2100</v>
      </c>
      <c r="T147" s="148">
        <f ca="1">IF(S147=0,"",S147*(OFFSET(cod_desembolso!$A$1,Q147,23)))</f>
        <v>2182.3840175367854</v>
      </c>
      <c r="U147" s="149">
        <f>(constantes!$B$3*(1+constantes!$B$3)^(O147))/((1+constantes!$B$3)^(O147)-1)</f>
        <v>9.3678779051968114E-2</v>
      </c>
      <c r="V147" s="148">
        <f t="shared" ca="1" si="10"/>
        <v>204.44307018537503</v>
      </c>
      <c r="W147" s="148">
        <f ca="1">(IF(S147=0,"",V147/constantes!$B$3))*1</f>
        <v>2555.538377317188</v>
      </c>
      <c r="X147" s="150">
        <f ca="1">IF(S147=0,"",PV(constantes!$B$3,O147,-V147)*constantes!$B$3)</f>
        <v>174.59072140294285</v>
      </c>
      <c r="Y147" s="85">
        <f t="shared" si="11"/>
        <v>1400</v>
      </c>
      <c r="Z147">
        <v>156</v>
      </c>
    </row>
    <row r="148" spans="1:26">
      <c r="A148" s="290">
        <v>7157</v>
      </c>
      <c r="B148" s="23" t="str">
        <f t="shared" si="8"/>
        <v>NE-Imp_1500__kV_157</v>
      </c>
      <c r="C148" s="23">
        <v>808</v>
      </c>
      <c r="D148" s="142" t="str">
        <f>VLOOKUP(C148,tab_corredor!$A$2:$B$50,2,0)</f>
        <v>NE-Imp</v>
      </c>
      <c r="E148" s="23">
        <v>1500</v>
      </c>
      <c r="F148" s="23" t="s">
        <v>2671</v>
      </c>
      <c r="G148" s="23">
        <v>1500</v>
      </c>
      <c r="H148" s="23">
        <v>1500</v>
      </c>
      <c r="I148" s="394">
        <v>5.0000000000000004E-6</v>
      </c>
      <c r="J148" s="394">
        <v>5.0000000000000004E-6</v>
      </c>
      <c r="K148" s="290">
        <v>1</v>
      </c>
      <c r="L148" s="291" t="s">
        <v>2619</v>
      </c>
      <c r="M148" s="23">
        <v>2015</v>
      </c>
      <c r="N148" s="23">
        <v>2100</v>
      </c>
      <c r="O148" s="292">
        <v>25</v>
      </c>
      <c r="P148" s="293">
        <v>2100</v>
      </c>
      <c r="Q148" s="294">
        <v>1</v>
      </c>
      <c r="R148" s="23"/>
      <c r="S148" s="148">
        <f t="shared" si="9"/>
        <v>2100</v>
      </c>
      <c r="T148" s="148">
        <f ca="1">IF(S148=0,"",S148*(OFFSET(cod_desembolso!$A$1,Q148,23)))</f>
        <v>2182.3840175367854</v>
      </c>
      <c r="U148" s="149">
        <f>(constantes!$B$3*(1+constantes!$B$3)^(O148))/((1+constantes!$B$3)^(O148)-1)</f>
        <v>9.3678779051968114E-2</v>
      </c>
      <c r="V148" s="148">
        <f t="shared" ca="1" si="10"/>
        <v>204.44307018537503</v>
      </c>
      <c r="W148" s="148">
        <f ca="1">(IF(S148=0,"",V148/constantes!$B$3))*1</f>
        <v>2555.538377317188</v>
      </c>
      <c r="X148" s="150">
        <f ca="1">IF(S148=0,"",PV(constantes!$B$3,O148,-V148)*constantes!$B$3)</f>
        <v>174.59072140294285</v>
      </c>
      <c r="Y148" s="85">
        <f t="shared" si="11"/>
        <v>1400</v>
      </c>
      <c r="Z148">
        <v>157</v>
      </c>
    </row>
    <row r="149" spans="1:26">
      <c r="A149" s="290">
        <v>7158</v>
      </c>
      <c r="B149" s="23" t="str">
        <f t="shared" si="8"/>
        <v>NE-Imp_1500__kV_158</v>
      </c>
      <c r="C149" s="23">
        <v>808</v>
      </c>
      <c r="D149" s="142" t="str">
        <f>VLOOKUP(C149,tab_corredor!$A$2:$B$50,2,0)</f>
        <v>NE-Imp</v>
      </c>
      <c r="E149" s="23">
        <v>1500</v>
      </c>
      <c r="F149" s="23" t="s">
        <v>2671</v>
      </c>
      <c r="G149" s="23">
        <v>1500</v>
      </c>
      <c r="H149" s="23">
        <v>1500</v>
      </c>
      <c r="I149" s="394">
        <v>5.0000000000000004E-6</v>
      </c>
      <c r="J149" s="394">
        <v>5.0000000000000004E-6</v>
      </c>
      <c r="K149" s="290">
        <v>1</v>
      </c>
      <c r="L149" s="291" t="s">
        <v>2619</v>
      </c>
      <c r="M149" s="23">
        <v>2015</v>
      </c>
      <c r="N149" s="23">
        <v>2100</v>
      </c>
      <c r="O149" s="292">
        <v>25</v>
      </c>
      <c r="P149" s="293">
        <v>2100</v>
      </c>
      <c r="Q149" s="294">
        <v>1</v>
      </c>
      <c r="R149" s="23"/>
      <c r="S149" s="148">
        <f t="shared" si="9"/>
        <v>2100</v>
      </c>
      <c r="T149" s="148">
        <f ca="1">IF(S149=0,"",S149*(OFFSET(cod_desembolso!$A$1,Q149,23)))</f>
        <v>2182.3840175367854</v>
      </c>
      <c r="U149" s="149">
        <f>(constantes!$B$3*(1+constantes!$B$3)^(O149))/((1+constantes!$B$3)^(O149)-1)</f>
        <v>9.3678779051968114E-2</v>
      </c>
      <c r="V149" s="148">
        <f t="shared" ca="1" si="10"/>
        <v>204.44307018537503</v>
      </c>
      <c r="W149" s="148">
        <f ca="1">(IF(S149=0,"",V149/constantes!$B$3))*1</f>
        <v>2555.538377317188</v>
      </c>
      <c r="X149" s="150">
        <f ca="1">IF(S149=0,"",PV(constantes!$B$3,O149,-V149)*constantes!$B$3)</f>
        <v>174.59072140294285</v>
      </c>
      <c r="Y149" s="85">
        <f t="shared" si="11"/>
        <v>1400</v>
      </c>
      <c r="Z149">
        <v>158</v>
      </c>
    </row>
    <row r="150" spans="1:26">
      <c r="A150" s="290">
        <v>7159</v>
      </c>
      <c r="B150" s="23" t="str">
        <f t="shared" si="8"/>
        <v>NE-Imp_1500__kV_159</v>
      </c>
      <c r="C150" s="23">
        <v>808</v>
      </c>
      <c r="D150" s="142" t="str">
        <f>VLOOKUP(C150,tab_corredor!$A$2:$B$50,2,0)</f>
        <v>NE-Imp</v>
      </c>
      <c r="E150" s="23">
        <v>1500</v>
      </c>
      <c r="F150" s="23" t="s">
        <v>2671</v>
      </c>
      <c r="G150" s="23">
        <v>1500</v>
      </c>
      <c r="H150" s="23">
        <v>1500</v>
      </c>
      <c r="I150" s="394">
        <v>5.0000000000000004E-6</v>
      </c>
      <c r="J150" s="394">
        <v>5.0000000000000004E-6</v>
      </c>
      <c r="K150" s="290">
        <v>1</v>
      </c>
      <c r="L150" s="291" t="s">
        <v>2619</v>
      </c>
      <c r="M150" s="23">
        <v>2015</v>
      </c>
      <c r="N150" s="23">
        <v>2100</v>
      </c>
      <c r="O150" s="292">
        <v>25</v>
      </c>
      <c r="P150" s="293">
        <v>2100</v>
      </c>
      <c r="Q150" s="294">
        <v>1</v>
      </c>
      <c r="R150" s="23"/>
      <c r="S150" s="148">
        <f t="shared" si="9"/>
        <v>2100</v>
      </c>
      <c r="T150" s="148">
        <f ca="1">IF(S150=0,"",S150*(OFFSET(cod_desembolso!$A$1,Q150,23)))</f>
        <v>2182.3840175367854</v>
      </c>
      <c r="U150" s="149">
        <f>(constantes!$B$3*(1+constantes!$B$3)^(O150))/((1+constantes!$B$3)^(O150)-1)</f>
        <v>9.3678779051968114E-2</v>
      </c>
      <c r="V150" s="148">
        <f t="shared" ca="1" si="10"/>
        <v>204.44307018537503</v>
      </c>
      <c r="W150" s="148">
        <f ca="1">(IF(S150=0,"",V150/constantes!$B$3))*1</f>
        <v>2555.538377317188</v>
      </c>
      <c r="X150" s="150">
        <f ca="1">IF(S150=0,"",PV(constantes!$B$3,O150,-V150)*constantes!$B$3)</f>
        <v>174.59072140294285</v>
      </c>
      <c r="Y150" s="85">
        <f t="shared" si="11"/>
        <v>1400</v>
      </c>
      <c r="Z150">
        <v>159</v>
      </c>
    </row>
    <row r="151" spans="1:26">
      <c r="A151" s="290">
        <v>7160</v>
      </c>
      <c r="B151" s="23" t="str">
        <f t="shared" si="8"/>
        <v>NE-Imp_1500__kV_160</v>
      </c>
      <c r="C151" s="23">
        <v>808</v>
      </c>
      <c r="D151" s="142" t="str">
        <f>VLOOKUP(C151,tab_corredor!$A$2:$B$50,2,0)</f>
        <v>NE-Imp</v>
      </c>
      <c r="E151" s="23">
        <v>1500</v>
      </c>
      <c r="F151" s="23" t="s">
        <v>2671</v>
      </c>
      <c r="G151" s="23">
        <v>1500</v>
      </c>
      <c r="H151" s="23">
        <v>1500</v>
      </c>
      <c r="I151" s="394">
        <v>5.0000000000000004E-6</v>
      </c>
      <c r="J151" s="394">
        <v>5.0000000000000004E-6</v>
      </c>
      <c r="K151" s="290">
        <v>1</v>
      </c>
      <c r="L151" s="291" t="s">
        <v>2619</v>
      </c>
      <c r="M151" s="23">
        <v>2015</v>
      </c>
      <c r="N151" s="23">
        <v>2100</v>
      </c>
      <c r="O151" s="292">
        <v>25</v>
      </c>
      <c r="P151" s="293">
        <v>2100</v>
      </c>
      <c r="Q151" s="294">
        <v>1</v>
      </c>
      <c r="R151" s="23"/>
      <c r="S151" s="148">
        <f t="shared" si="9"/>
        <v>2100</v>
      </c>
      <c r="T151" s="148">
        <f ca="1">IF(S151=0,"",S151*(OFFSET(cod_desembolso!$A$1,Q151,23)))</f>
        <v>2182.3840175367854</v>
      </c>
      <c r="U151" s="149">
        <f>(constantes!$B$3*(1+constantes!$B$3)^(O151))/((1+constantes!$B$3)^(O151)-1)</f>
        <v>9.3678779051968114E-2</v>
      </c>
      <c r="V151" s="148">
        <f t="shared" ca="1" si="10"/>
        <v>204.44307018537503</v>
      </c>
      <c r="W151" s="148">
        <f ca="1">(IF(S151=0,"",V151/constantes!$B$3))*1</f>
        <v>2555.538377317188</v>
      </c>
      <c r="X151" s="150">
        <f ca="1">IF(S151=0,"",PV(constantes!$B$3,O151,-V151)*constantes!$B$3)</f>
        <v>174.59072140294285</v>
      </c>
      <c r="Y151" s="85">
        <f t="shared" si="11"/>
        <v>1400</v>
      </c>
      <c r="Z151">
        <v>160</v>
      </c>
    </row>
    <row r="152" spans="1:26">
      <c r="A152" s="290">
        <v>7161</v>
      </c>
      <c r="B152" s="23" t="str">
        <f t="shared" si="8"/>
        <v>NE-Imp_1500__kV_161</v>
      </c>
      <c r="C152" s="23">
        <v>808</v>
      </c>
      <c r="D152" s="142" t="str">
        <f>VLOOKUP(C152,tab_corredor!$A$2:$B$50,2,0)</f>
        <v>NE-Imp</v>
      </c>
      <c r="E152" s="23">
        <v>1500</v>
      </c>
      <c r="F152" s="23" t="s">
        <v>2671</v>
      </c>
      <c r="G152" s="23">
        <v>1500</v>
      </c>
      <c r="H152" s="23">
        <v>1500</v>
      </c>
      <c r="I152" s="394">
        <v>5.0000000000000004E-6</v>
      </c>
      <c r="J152" s="394">
        <v>5.0000000000000004E-6</v>
      </c>
      <c r="K152" s="290">
        <v>1</v>
      </c>
      <c r="L152" s="291" t="s">
        <v>2619</v>
      </c>
      <c r="M152" s="23">
        <v>2015</v>
      </c>
      <c r="N152" s="23">
        <v>2100</v>
      </c>
      <c r="O152" s="292">
        <v>25</v>
      </c>
      <c r="P152" s="293">
        <v>2100</v>
      </c>
      <c r="Q152" s="294">
        <v>1</v>
      </c>
      <c r="R152" s="23"/>
      <c r="S152" s="148">
        <f t="shared" si="9"/>
        <v>2100</v>
      </c>
      <c r="T152" s="148">
        <f ca="1">IF(S152=0,"",S152*(OFFSET(cod_desembolso!$A$1,Q152,23)))</f>
        <v>2182.3840175367854</v>
      </c>
      <c r="U152" s="149">
        <f>(constantes!$B$3*(1+constantes!$B$3)^(O152))/((1+constantes!$B$3)^(O152)-1)</f>
        <v>9.3678779051968114E-2</v>
      </c>
      <c r="V152" s="148">
        <f t="shared" ca="1" si="10"/>
        <v>204.44307018537503</v>
      </c>
      <c r="W152" s="148">
        <f ca="1">(IF(S152=0,"",V152/constantes!$B$3))*1</f>
        <v>2555.538377317188</v>
      </c>
      <c r="X152" s="150">
        <f ca="1">IF(S152=0,"",PV(constantes!$B$3,O152,-V152)*constantes!$B$3)</f>
        <v>174.59072140294285</v>
      </c>
      <c r="Y152" s="85">
        <f t="shared" si="11"/>
        <v>1400</v>
      </c>
      <c r="Z152">
        <v>161</v>
      </c>
    </row>
    <row r="153" spans="1:26">
      <c r="A153" s="290">
        <v>7162</v>
      </c>
      <c r="B153" s="23" t="str">
        <f t="shared" si="8"/>
        <v>NE-Imp_1500__kV_162</v>
      </c>
      <c r="C153" s="23">
        <v>808</v>
      </c>
      <c r="D153" s="142" t="str">
        <f>VLOOKUP(C153,tab_corredor!$A$2:$B$50,2,0)</f>
        <v>NE-Imp</v>
      </c>
      <c r="E153" s="23">
        <v>1500</v>
      </c>
      <c r="F153" s="23" t="s">
        <v>2671</v>
      </c>
      <c r="G153" s="23">
        <v>1500</v>
      </c>
      <c r="H153" s="23">
        <v>1500</v>
      </c>
      <c r="I153" s="394">
        <v>5.0000000000000004E-6</v>
      </c>
      <c r="J153" s="394">
        <v>5.0000000000000004E-6</v>
      </c>
      <c r="K153" s="290">
        <v>1</v>
      </c>
      <c r="L153" s="291" t="s">
        <v>2619</v>
      </c>
      <c r="M153" s="23">
        <v>2015</v>
      </c>
      <c r="N153" s="23">
        <v>2100</v>
      </c>
      <c r="O153" s="292">
        <v>25</v>
      </c>
      <c r="P153" s="293">
        <v>2100</v>
      </c>
      <c r="Q153" s="294">
        <v>1</v>
      </c>
      <c r="R153" s="23"/>
      <c r="S153" s="148">
        <f t="shared" si="9"/>
        <v>2100</v>
      </c>
      <c r="T153" s="148">
        <f ca="1">IF(S153=0,"",S153*(OFFSET(cod_desembolso!$A$1,Q153,23)))</f>
        <v>2182.3840175367854</v>
      </c>
      <c r="U153" s="149">
        <f>(constantes!$B$3*(1+constantes!$B$3)^(O153))/((1+constantes!$B$3)^(O153)-1)</f>
        <v>9.3678779051968114E-2</v>
      </c>
      <c r="V153" s="148">
        <f t="shared" ca="1" si="10"/>
        <v>204.44307018537503</v>
      </c>
      <c r="W153" s="148">
        <f ca="1">(IF(S153=0,"",V153/constantes!$B$3))*1</f>
        <v>2555.538377317188</v>
      </c>
      <c r="X153" s="150">
        <f ca="1">IF(S153=0,"",PV(constantes!$B$3,O153,-V153)*constantes!$B$3)</f>
        <v>174.59072140294285</v>
      </c>
      <c r="Y153" s="85">
        <f t="shared" si="11"/>
        <v>1400</v>
      </c>
      <c r="Z153">
        <v>162</v>
      </c>
    </row>
    <row r="154" spans="1:26">
      <c r="A154" s="290">
        <v>7163</v>
      </c>
      <c r="B154" s="23" t="str">
        <f t="shared" si="8"/>
        <v>NE-Imp_1500__kV_163</v>
      </c>
      <c r="C154" s="23">
        <v>808</v>
      </c>
      <c r="D154" s="142" t="str">
        <f>VLOOKUP(C154,tab_corredor!$A$2:$B$50,2,0)</f>
        <v>NE-Imp</v>
      </c>
      <c r="E154" s="23">
        <v>1500</v>
      </c>
      <c r="F154" s="23" t="s">
        <v>2671</v>
      </c>
      <c r="G154" s="23">
        <v>1500</v>
      </c>
      <c r="H154" s="23">
        <v>1500</v>
      </c>
      <c r="I154" s="394">
        <v>5.0000000000000004E-6</v>
      </c>
      <c r="J154" s="394">
        <v>5.0000000000000004E-6</v>
      </c>
      <c r="K154" s="290">
        <v>1</v>
      </c>
      <c r="L154" s="291" t="s">
        <v>2619</v>
      </c>
      <c r="M154" s="23">
        <v>2015</v>
      </c>
      <c r="N154" s="23">
        <v>2100</v>
      </c>
      <c r="O154" s="292">
        <v>25</v>
      </c>
      <c r="P154" s="293">
        <v>2100</v>
      </c>
      <c r="Q154" s="294">
        <v>1</v>
      </c>
      <c r="R154" s="23"/>
      <c r="S154" s="148">
        <f t="shared" si="9"/>
        <v>2100</v>
      </c>
      <c r="T154" s="148">
        <f ca="1">IF(S154=0,"",S154*(OFFSET(cod_desembolso!$A$1,Q154,23)))</f>
        <v>2182.3840175367854</v>
      </c>
      <c r="U154" s="149">
        <f>(constantes!$B$3*(1+constantes!$B$3)^(O154))/((1+constantes!$B$3)^(O154)-1)</f>
        <v>9.3678779051968114E-2</v>
      </c>
      <c r="V154" s="148">
        <f t="shared" ca="1" si="10"/>
        <v>204.44307018537503</v>
      </c>
      <c r="W154" s="148">
        <f ca="1">(IF(S154=0,"",V154/constantes!$B$3))*1</f>
        <v>2555.538377317188</v>
      </c>
      <c r="X154" s="150">
        <f ca="1">IF(S154=0,"",PV(constantes!$B$3,O154,-V154)*constantes!$B$3)</f>
        <v>174.59072140294285</v>
      </c>
      <c r="Y154" s="85">
        <f t="shared" si="11"/>
        <v>1400</v>
      </c>
      <c r="Z154">
        <v>163</v>
      </c>
    </row>
    <row r="155" spans="1:26">
      <c r="A155" s="290">
        <v>7164</v>
      </c>
      <c r="B155" s="23" t="str">
        <f t="shared" si="8"/>
        <v>N-Manaus_1500__kV_164</v>
      </c>
      <c r="C155" s="23">
        <v>809</v>
      </c>
      <c r="D155" s="142" t="str">
        <f>VLOOKUP(C155,tab_corredor!$A$2:$B$50,2,0)</f>
        <v>N-Manaus</v>
      </c>
      <c r="E155" s="23">
        <v>1500</v>
      </c>
      <c r="F155" s="23" t="s">
        <v>2671</v>
      </c>
      <c r="G155" s="23">
        <v>1500</v>
      </c>
      <c r="H155" s="23">
        <v>1500</v>
      </c>
      <c r="I155" s="394">
        <v>5.0000000000000004E-6</v>
      </c>
      <c r="J155" s="394">
        <v>5.0000000000000004E-6</v>
      </c>
      <c r="K155" s="290">
        <v>1</v>
      </c>
      <c r="L155" s="291" t="s">
        <v>2619</v>
      </c>
      <c r="M155" s="23">
        <v>2015</v>
      </c>
      <c r="N155" s="23">
        <v>2100</v>
      </c>
      <c r="O155" s="292">
        <v>25</v>
      </c>
      <c r="P155" s="293">
        <v>2100</v>
      </c>
      <c r="Q155" s="294">
        <v>1</v>
      </c>
      <c r="R155" s="23"/>
      <c r="S155" s="148">
        <f t="shared" si="9"/>
        <v>2100</v>
      </c>
      <c r="T155" s="148">
        <f ca="1">IF(S155=0,"",S155*(OFFSET(cod_desembolso!$A$1,Q155,23)))</f>
        <v>2182.3840175367854</v>
      </c>
      <c r="U155" s="149">
        <f>(constantes!$B$3*(1+constantes!$B$3)^(O155))/((1+constantes!$B$3)^(O155)-1)</f>
        <v>9.3678779051968114E-2</v>
      </c>
      <c r="V155" s="148">
        <f t="shared" ca="1" si="10"/>
        <v>204.44307018537503</v>
      </c>
      <c r="W155" s="148">
        <f ca="1">(IF(S155=0,"",V155/constantes!$B$3))*1</f>
        <v>2555.538377317188</v>
      </c>
      <c r="X155" s="150">
        <f ca="1">IF(S155=0,"",PV(constantes!$B$3,O155,-V155)*constantes!$B$3)</f>
        <v>174.59072140294285</v>
      </c>
      <c r="Y155" s="85">
        <f t="shared" si="11"/>
        <v>1400</v>
      </c>
      <c r="Z155">
        <v>164</v>
      </c>
    </row>
    <row r="156" spans="1:26">
      <c r="A156" s="290">
        <v>7165</v>
      </c>
      <c r="B156" s="23" t="str">
        <f t="shared" si="8"/>
        <v>N-Manaus_1500__kV_165</v>
      </c>
      <c r="C156" s="23">
        <v>809</v>
      </c>
      <c r="D156" s="142" t="str">
        <f>VLOOKUP(C156,tab_corredor!$A$2:$B$50,2,0)</f>
        <v>N-Manaus</v>
      </c>
      <c r="E156" s="23">
        <v>1500</v>
      </c>
      <c r="F156" s="23" t="s">
        <v>2671</v>
      </c>
      <c r="G156" s="23">
        <v>1500</v>
      </c>
      <c r="H156" s="23">
        <v>1500</v>
      </c>
      <c r="I156" s="394">
        <v>5.0000000000000004E-6</v>
      </c>
      <c r="J156" s="394">
        <v>5.0000000000000004E-6</v>
      </c>
      <c r="K156" s="290">
        <v>1</v>
      </c>
      <c r="L156" s="291" t="s">
        <v>2619</v>
      </c>
      <c r="M156" s="23">
        <v>2015</v>
      </c>
      <c r="N156" s="23">
        <v>2100</v>
      </c>
      <c r="O156" s="292">
        <v>25</v>
      </c>
      <c r="P156" s="293">
        <v>2100</v>
      </c>
      <c r="Q156" s="294">
        <v>1</v>
      </c>
      <c r="R156" s="23"/>
      <c r="S156" s="148">
        <f t="shared" si="9"/>
        <v>2100</v>
      </c>
      <c r="T156" s="148">
        <f ca="1">IF(S156=0,"",S156*(OFFSET(cod_desembolso!$A$1,Q156,23)))</f>
        <v>2182.3840175367854</v>
      </c>
      <c r="U156" s="149">
        <f>(constantes!$B$3*(1+constantes!$B$3)^(O156))/((1+constantes!$B$3)^(O156)-1)</f>
        <v>9.3678779051968114E-2</v>
      </c>
      <c r="V156" s="148">
        <f t="shared" ca="1" si="10"/>
        <v>204.44307018537503</v>
      </c>
      <c r="W156" s="148">
        <f ca="1">(IF(S156=0,"",V156/constantes!$B$3))*1</f>
        <v>2555.538377317188</v>
      </c>
      <c r="X156" s="150">
        <f ca="1">IF(S156=0,"",PV(constantes!$B$3,O156,-V156)*constantes!$B$3)</f>
        <v>174.59072140294285</v>
      </c>
      <c r="Y156" s="85">
        <f t="shared" si="11"/>
        <v>1400</v>
      </c>
      <c r="Z156">
        <v>165</v>
      </c>
    </row>
    <row r="157" spans="1:26">
      <c r="A157" s="290">
        <v>7166</v>
      </c>
      <c r="B157" s="23" t="str">
        <f t="shared" si="8"/>
        <v>N-Manaus_1500__kV_166</v>
      </c>
      <c r="C157" s="23">
        <v>809</v>
      </c>
      <c r="D157" s="142" t="str">
        <f>VLOOKUP(C157,tab_corredor!$A$2:$B$50,2,0)</f>
        <v>N-Manaus</v>
      </c>
      <c r="E157" s="23">
        <v>1500</v>
      </c>
      <c r="F157" s="23" t="s">
        <v>2671</v>
      </c>
      <c r="G157" s="23">
        <v>1500</v>
      </c>
      <c r="H157" s="23">
        <v>1500</v>
      </c>
      <c r="I157" s="394">
        <v>5.0000000000000004E-6</v>
      </c>
      <c r="J157" s="394">
        <v>5.0000000000000004E-6</v>
      </c>
      <c r="K157" s="290">
        <v>1</v>
      </c>
      <c r="L157" s="291" t="s">
        <v>2619</v>
      </c>
      <c r="M157" s="23">
        <v>2015</v>
      </c>
      <c r="N157" s="23">
        <v>2100</v>
      </c>
      <c r="O157" s="292">
        <v>25</v>
      </c>
      <c r="P157" s="293">
        <v>2100</v>
      </c>
      <c r="Q157" s="294">
        <v>1</v>
      </c>
      <c r="R157" s="23"/>
      <c r="S157" s="148">
        <f t="shared" si="9"/>
        <v>2100</v>
      </c>
      <c r="T157" s="148">
        <f ca="1">IF(S157=0,"",S157*(OFFSET(cod_desembolso!$A$1,Q157,23)))</f>
        <v>2182.3840175367854</v>
      </c>
      <c r="U157" s="149">
        <f>(constantes!$B$3*(1+constantes!$B$3)^(O157))/((1+constantes!$B$3)^(O157)-1)</f>
        <v>9.3678779051968114E-2</v>
      </c>
      <c r="V157" s="148">
        <f t="shared" ca="1" si="10"/>
        <v>204.44307018537503</v>
      </c>
      <c r="W157" s="148">
        <f ca="1">(IF(S157=0,"",V157/constantes!$B$3))*1</f>
        <v>2555.538377317188</v>
      </c>
      <c r="X157" s="150">
        <f ca="1">IF(S157=0,"",PV(constantes!$B$3,O157,-V157)*constantes!$B$3)</f>
        <v>174.59072140294285</v>
      </c>
      <c r="Y157" s="85">
        <f t="shared" si="11"/>
        <v>1400</v>
      </c>
      <c r="Z157">
        <v>166</v>
      </c>
    </row>
    <row r="158" spans="1:26">
      <c r="A158" s="290">
        <v>7167</v>
      </c>
      <c r="B158" s="23" t="str">
        <f t="shared" si="8"/>
        <v>N-Manaus_1500__kV_167</v>
      </c>
      <c r="C158" s="23">
        <v>809</v>
      </c>
      <c r="D158" s="142" t="str">
        <f>VLOOKUP(C158,tab_corredor!$A$2:$B$50,2,0)</f>
        <v>N-Manaus</v>
      </c>
      <c r="E158" s="23">
        <v>1500</v>
      </c>
      <c r="F158" s="23" t="s">
        <v>2671</v>
      </c>
      <c r="G158" s="23">
        <v>1500</v>
      </c>
      <c r="H158" s="23">
        <v>1500</v>
      </c>
      <c r="I158" s="394">
        <v>5.0000000000000004E-6</v>
      </c>
      <c r="J158" s="394">
        <v>5.0000000000000004E-6</v>
      </c>
      <c r="K158" s="290">
        <v>1</v>
      </c>
      <c r="L158" s="291" t="s">
        <v>2619</v>
      </c>
      <c r="M158" s="23">
        <v>2015</v>
      </c>
      <c r="N158" s="23">
        <v>2100</v>
      </c>
      <c r="O158" s="292">
        <v>25</v>
      </c>
      <c r="P158" s="293">
        <v>2100</v>
      </c>
      <c r="Q158" s="294">
        <v>1</v>
      </c>
      <c r="R158" s="23"/>
      <c r="S158" s="148">
        <f t="shared" si="9"/>
        <v>2100</v>
      </c>
      <c r="T158" s="148">
        <f ca="1">IF(S158=0,"",S158*(OFFSET(cod_desembolso!$A$1,Q158,23)))</f>
        <v>2182.3840175367854</v>
      </c>
      <c r="U158" s="149">
        <f>(constantes!$B$3*(1+constantes!$B$3)^(O158))/((1+constantes!$B$3)^(O158)-1)</f>
        <v>9.3678779051968114E-2</v>
      </c>
      <c r="V158" s="148">
        <f t="shared" ca="1" si="10"/>
        <v>204.44307018537503</v>
      </c>
      <c r="W158" s="148">
        <f ca="1">(IF(S158=0,"",V158/constantes!$B$3))*1</f>
        <v>2555.538377317188</v>
      </c>
      <c r="X158" s="150">
        <f ca="1">IF(S158=0,"",PV(constantes!$B$3,O158,-V158)*constantes!$B$3)</f>
        <v>174.59072140294285</v>
      </c>
      <c r="Y158" s="85">
        <f t="shared" si="11"/>
        <v>1400</v>
      </c>
      <c r="Z158">
        <v>167</v>
      </c>
    </row>
    <row r="159" spans="1:26">
      <c r="A159" s="290">
        <v>7168</v>
      </c>
      <c r="B159" s="23" t="str">
        <f t="shared" si="8"/>
        <v>N-Manaus_1500__kV_168</v>
      </c>
      <c r="C159" s="23">
        <v>809</v>
      </c>
      <c r="D159" s="142" t="str">
        <f>VLOOKUP(C159,tab_corredor!$A$2:$B$50,2,0)</f>
        <v>N-Manaus</v>
      </c>
      <c r="E159" s="23">
        <v>1500</v>
      </c>
      <c r="F159" s="23" t="s">
        <v>2671</v>
      </c>
      <c r="G159" s="23">
        <v>1500</v>
      </c>
      <c r="H159" s="23">
        <v>1500</v>
      </c>
      <c r="I159" s="394">
        <v>5.0000000000000004E-6</v>
      </c>
      <c r="J159" s="394">
        <v>5.0000000000000004E-6</v>
      </c>
      <c r="K159" s="290">
        <v>1</v>
      </c>
      <c r="L159" s="291" t="s">
        <v>2619</v>
      </c>
      <c r="M159" s="23">
        <v>2015</v>
      </c>
      <c r="N159" s="23">
        <v>2100</v>
      </c>
      <c r="O159" s="292">
        <v>25</v>
      </c>
      <c r="P159" s="293">
        <v>2100</v>
      </c>
      <c r="Q159" s="294">
        <v>1</v>
      </c>
      <c r="R159" s="23"/>
      <c r="S159" s="148">
        <f t="shared" si="9"/>
        <v>2100</v>
      </c>
      <c r="T159" s="148">
        <f ca="1">IF(S159=0,"",S159*(OFFSET(cod_desembolso!$A$1,Q159,23)))</f>
        <v>2182.3840175367854</v>
      </c>
      <c r="U159" s="149">
        <f>(constantes!$B$3*(1+constantes!$B$3)^(O159))/((1+constantes!$B$3)^(O159)-1)</f>
        <v>9.3678779051968114E-2</v>
      </c>
      <c r="V159" s="148">
        <f t="shared" ca="1" si="10"/>
        <v>204.44307018537503</v>
      </c>
      <c r="W159" s="148">
        <f ca="1">(IF(S159=0,"",V159/constantes!$B$3))*1</f>
        <v>2555.538377317188</v>
      </c>
      <c r="X159" s="150">
        <f ca="1">IF(S159=0,"",PV(constantes!$B$3,O159,-V159)*constantes!$B$3)</f>
        <v>174.59072140294285</v>
      </c>
      <c r="Y159" s="85">
        <f t="shared" si="11"/>
        <v>1400</v>
      </c>
      <c r="Z159">
        <v>168</v>
      </c>
    </row>
    <row r="160" spans="1:26">
      <c r="A160" s="290">
        <v>7169</v>
      </c>
      <c r="B160" s="23" t="str">
        <f t="shared" si="8"/>
        <v>N-Manaus_1500__kV_169</v>
      </c>
      <c r="C160" s="23">
        <v>809</v>
      </c>
      <c r="D160" s="142" t="str">
        <f>VLOOKUP(C160,tab_corredor!$A$2:$B$50,2,0)</f>
        <v>N-Manaus</v>
      </c>
      <c r="E160" s="23">
        <v>1500</v>
      </c>
      <c r="F160" s="23" t="s">
        <v>2671</v>
      </c>
      <c r="G160" s="23">
        <v>1500</v>
      </c>
      <c r="H160" s="23">
        <v>1500</v>
      </c>
      <c r="I160" s="394">
        <v>5.0000000000000004E-6</v>
      </c>
      <c r="J160" s="394">
        <v>5.0000000000000004E-6</v>
      </c>
      <c r="K160" s="290">
        <v>1</v>
      </c>
      <c r="L160" s="291" t="s">
        <v>2619</v>
      </c>
      <c r="M160" s="23">
        <v>2015</v>
      </c>
      <c r="N160" s="23">
        <v>2100</v>
      </c>
      <c r="O160" s="292">
        <v>25</v>
      </c>
      <c r="P160" s="293">
        <v>2100</v>
      </c>
      <c r="Q160" s="294">
        <v>1</v>
      </c>
      <c r="R160" s="23"/>
      <c r="S160" s="148">
        <f t="shared" si="9"/>
        <v>2100</v>
      </c>
      <c r="T160" s="148">
        <f ca="1">IF(S160=0,"",S160*(OFFSET(cod_desembolso!$A$1,Q160,23)))</f>
        <v>2182.3840175367854</v>
      </c>
      <c r="U160" s="149">
        <f>(constantes!$B$3*(1+constantes!$B$3)^(O160))/((1+constantes!$B$3)^(O160)-1)</f>
        <v>9.3678779051968114E-2</v>
      </c>
      <c r="V160" s="148">
        <f t="shared" ca="1" si="10"/>
        <v>204.44307018537503</v>
      </c>
      <c r="W160" s="148">
        <f ca="1">(IF(S160=0,"",V160/constantes!$B$3))*1</f>
        <v>2555.538377317188</v>
      </c>
      <c r="X160" s="150">
        <f ca="1">IF(S160=0,"",PV(constantes!$B$3,O160,-V160)*constantes!$B$3)</f>
        <v>174.59072140294285</v>
      </c>
      <c r="Y160" s="85">
        <f t="shared" si="11"/>
        <v>1400</v>
      </c>
      <c r="Z160">
        <v>169</v>
      </c>
    </row>
    <row r="161" spans="1:29">
      <c r="A161" s="290">
        <v>7170</v>
      </c>
      <c r="B161" s="23" t="str">
        <f t="shared" si="8"/>
        <v>N-Manaus_1500__kV_170</v>
      </c>
      <c r="C161" s="23">
        <v>809</v>
      </c>
      <c r="D161" s="142" t="str">
        <f>VLOOKUP(C161,tab_corredor!$A$2:$B$50,2,0)</f>
        <v>N-Manaus</v>
      </c>
      <c r="E161" s="23">
        <v>1500</v>
      </c>
      <c r="F161" s="23" t="s">
        <v>2671</v>
      </c>
      <c r="G161" s="23">
        <v>1500</v>
      </c>
      <c r="H161" s="23">
        <v>1500</v>
      </c>
      <c r="I161" s="394">
        <v>5.0000000000000004E-6</v>
      </c>
      <c r="J161" s="394">
        <v>5.0000000000000004E-6</v>
      </c>
      <c r="K161" s="290">
        <v>1</v>
      </c>
      <c r="L161" s="291" t="s">
        <v>2619</v>
      </c>
      <c r="M161" s="23">
        <v>2015</v>
      </c>
      <c r="N161" s="23">
        <v>2100</v>
      </c>
      <c r="O161" s="292">
        <v>25</v>
      </c>
      <c r="P161" s="293">
        <v>2100</v>
      </c>
      <c r="Q161" s="294">
        <v>1</v>
      </c>
      <c r="R161" s="23"/>
      <c r="S161" s="148">
        <f t="shared" si="9"/>
        <v>2100</v>
      </c>
      <c r="T161" s="148">
        <f ca="1">IF(S161=0,"",S161*(OFFSET(cod_desembolso!$A$1,Q161,23)))</f>
        <v>2182.3840175367854</v>
      </c>
      <c r="U161" s="149">
        <f>(constantes!$B$3*(1+constantes!$B$3)^(O161))/((1+constantes!$B$3)^(O161)-1)</f>
        <v>9.3678779051968114E-2</v>
      </c>
      <c r="V161" s="148">
        <f t="shared" ca="1" si="10"/>
        <v>204.44307018537503</v>
      </c>
      <c r="W161" s="148">
        <f ca="1">(IF(S161=0,"",V161/constantes!$B$3))*1</f>
        <v>2555.538377317188</v>
      </c>
      <c r="X161" s="150">
        <f ca="1">IF(S161=0,"",PV(constantes!$B$3,O161,-V161)*constantes!$B$3)</f>
        <v>174.59072140294285</v>
      </c>
      <c r="Y161" s="85">
        <f t="shared" si="11"/>
        <v>1400</v>
      </c>
      <c r="Z161">
        <v>170</v>
      </c>
    </row>
    <row r="162" spans="1:29">
      <c r="A162" s="290">
        <v>7171</v>
      </c>
      <c r="B162" s="23" t="str">
        <f t="shared" si="8"/>
        <v>N-Manaus_1500__kV_171</v>
      </c>
      <c r="C162" s="23">
        <v>809</v>
      </c>
      <c r="D162" s="142" t="str">
        <f>VLOOKUP(C162,tab_corredor!$A$2:$B$50,2,0)</f>
        <v>N-Manaus</v>
      </c>
      <c r="E162" s="23">
        <v>1500</v>
      </c>
      <c r="F162" s="23" t="s">
        <v>2671</v>
      </c>
      <c r="G162" s="23">
        <v>1500</v>
      </c>
      <c r="H162" s="23">
        <v>1500</v>
      </c>
      <c r="I162" s="394">
        <v>5.0000000000000004E-6</v>
      </c>
      <c r="J162" s="394">
        <v>5.0000000000000004E-6</v>
      </c>
      <c r="K162" s="290">
        <v>1</v>
      </c>
      <c r="L162" s="291" t="s">
        <v>2619</v>
      </c>
      <c r="M162" s="23">
        <v>2015</v>
      </c>
      <c r="N162" s="23">
        <v>2100</v>
      </c>
      <c r="O162" s="292">
        <v>25</v>
      </c>
      <c r="P162" s="293">
        <v>2100</v>
      </c>
      <c r="Q162" s="294">
        <v>1</v>
      </c>
      <c r="R162" s="23"/>
      <c r="S162" s="148">
        <f t="shared" si="9"/>
        <v>2100</v>
      </c>
      <c r="T162" s="148">
        <f ca="1">IF(S162=0,"",S162*(OFFSET(cod_desembolso!$A$1,Q162,23)))</f>
        <v>2182.3840175367854</v>
      </c>
      <c r="U162" s="149">
        <f>(constantes!$B$3*(1+constantes!$B$3)^(O162))/((1+constantes!$B$3)^(O162)-1)</f>
        <v>9.3678779051968114E-2</v>
      </c>
      <c r="V162" s="148">
        <f t="shared" ca="1" si="10"/>
        <v>204.44307018537503</v>
      </c>
      <c r="W162" s="148">
        <f ca="1">(IF(S162=0,"",V162/constantes!$B$3))*1</f>
        <v>2555.538377317188</v>
      </c>
      <c r="X162" s="150">
        <f ca="1">IF(S162=0,"",PV(constantes!$B$3,O162,-V162)*constantes!$B$3)</f>
        <v>174.59072140294285</v>
      </c>
      <c r="Y162" s="85">
        <f t="shared" si="11"/>
        <v>1400</v>
      </c>
      <c r="Z162">
        <v>171</v>
      </c>
    </row>
    <row r="163" spans="1:29">
      <c r="A163" s="290">
        <v>7172</v>
      </c>
      <c r="B163" s="23" t="str">
        <f t="shared" si="8"/>
        <v>N-Manaus_1500__kV_172</v>
      </c>
      <c r="C163" s="23">
        <v>809</v>
      </c>
      <c r="D163" s="142" t="str">
        <f>VLOOKUP(C163,tab_corredor!$A$2:$B$50,2,0)</f>
        <v>N-Manaus</v>
      </c>
      <c r="E163" s="23">
        <v>1500</v>
      </c>
      <c r="F163" s="23" t="s">
        <v>2671</v>
      </c>
      <c r="G163" s="23">
        <v>1500</v>
      </c>
      <c r="H163" s="23">
        <v>1500</v>
      </c>
      <c r="I163" s="394">
        <v>5.0000000000000004E-6</v>
      </c>
      <c r="J163" s="394">
        <v>5.0000000000000004E-6</v>
      </c>
      <c r="K163" s="290">
        <v>1</v>
      </c>
      <c r="L163" s="291" t="s">
        <v>2619</v>
      </c>
      <c r="M163" s="23">
        <v>2015</v>
      </c>
      <c r="N163" s="23">
        <v>2100</v>
      </c>
      <c r="O163" s="292">
        <v>25</v>
      </c>
      <c r="P163" s="293">
        <v>2100</v>
      </c>
      <c r="Q163" s="294">
        <v>1</v>
      </c>
      <c r="R163" s="23"/>
      <c r="S163" s="148">
        <f t="shared" si="9"/>
        <v>2100</v>
      </c>
      <c r="T163" s="148">
        <f ca="1">IF(S163=0,"",S163*(OFFSET(cod_desembolso!$A$1,Q163,23)))</f>
        <v>2182.3840175367854</v>
      </c>
      <c r="U163" s="149">
        <f>(constantes!$B$3*(1+constantes!$B$3)^(O163))/((1+constantes!$B$3)^(O163)-1)</f>
        <v>9.3678779051968114E-2</v>
      </c>
      <c r="V163" s="148">
        <f t="shared" ca="1" si="10"/>
        <v>204.44307018537503</v>
      </c>
      <c r="W163" s="148">
        <f ca="1">(IF(S163=0,"",V163/constantes!$B$3))*1</f>
        <v>2555.538377317188</v>
      </c>
      <c r="X163" s="150">
        <f ca="1">IF(S163=0,"",PV(constantes!$B$3,O163,-V163)*constantes!$B$3)</f>
        <v>174.59072140294285</v>
      </c>
      <c r="Y163" s="85">
        <f t="shared" si="11"/>
        <v>1400</v>
      </c>
      <c r="Z163">
        <v>172</v>
      </c>
      <c r="AA163" s="396"/>
      <c r="AB163" s="396"/>
      <c r="AC163" s="396"/>
    </row>
    <row r="164" spans="1:29">
      <c r="A164" s="290">
        <v>7173</v>
      </c>
      <c r="B164" s="23" t="str">
        <f t="shared" si="8"/>
        <v>N-Manaus_1500__kV_173</v>
      </c>
      <c r="C164" s="23">
        <v>809</v>
      </c>
      <c r="D164" s="142" t="str">
        <f>VLOOKUP(C164,tab_corredor!$A$2:$B$50,2,0)</f>
        <v>N-Manaus</v>
      </c>
      <c r="E164" s="23">
        <v>1500</v>
      </c>
      <c r="F164" s="23" t="s">
        <v>2671</v>
      </c>
      <c r="G164" s="23">
        <v>1500</v>
      </c>
      <c r="H164" s="23">
        <v>1500</v>
      </c>
      <c r="I164" s="394">
        <v>5.0000000000000004E-6</v>
      </c>
      <c r="J164" s="394">
        <v>5.0000000000000004E-6</v>
      </c>
      <c r="K164" s="290">
        <v>1</v>
      </c>
      <c r="L164" s="291" t="s">
        <v>2619</v>
      </c>
      <c r="M164" s="23">
        <v>2015</v>
      </c>
      <c r="N164" s="23">
        <v>2100</v>
      </c>
      <c r="O164" s="292">
        <v>25</v>
      </c>
      <c r="P164" s="293">
        <v>2100</v>
      </c>
      <c r="Q164" s="294">
        <v>1</v>
      </c>
      <c r="R164" s="23"/>
      <c r="S164" s="148">
        <f t="shared" si="9"/>
        <v>2100</v>
      </c>
      <c r="T164" s="148">
        <f ca="1">IF(S164=0,"",S164*(OFFSET(cod_desembolso!$A$1,Q164,23)))</f>
        <v>2182.3840175367854</v>
      </c>
      <c r="U164" s="149">
        <f>(constantes!$B$3*(1+constantes!$B$3)^(O164))/((1+constantes!$B$3)^(O164)-1)</f>
        <v>9.3678779051968114E-2</v>
      </c>
      <c r="V164" s="148">
        <f t="shared" ca="1" si="10"/>
        <v>204.44307018537503</v>
      </c>
      <c r="W164" s="148">
        <f ca="1">(IF(S164=0,"",V164/constantes!$B$3))*1</f>
        <v>2555.538377317188</v>
      </c>
      <c r="X164" s="150">
        <f ca="1">IF(S164=0,"",PV(constantes!$B$3,O164,-V164)*constantes!$B$3)</f>
        <v>174.59072140294285</v>
      </c>
      <c r="Y164" s="85">
        <f t="shared" si="11"/>
        <v>1400</v>
      </c>
      <c r="Z164">
        <v>173</v>
      </c>
      <c r="AA164" s="396"/>
      <c r="AB164" s="396"/>
      <c r="AC164" s="396"/>
    </row>
    <row r="165" spans="1:29">
      <c r="A165" s="290">
        <v>7174</v>
      </c>
      <c r="B165" s="23" t="str">
        <f t="shared" si="8"/>
        <v>N-Manaus_1500__kV_174</v>
      </c>
      <c r="C165" s="23">
        <v>809</v>
      </c>
      <c r="D165" s="142" t="str">
        <f>VLOOKUP(C165,tab_corredor!$A$2:$B$50,2,0)</f>
        <v>N-Manaus</v>
      </c>
      <c r="E165" s="23">
        <v>1500</v>
      </c>
      <c r="F165" s="23" t="s">
        <v>2671</v>
      </c>
      <c r="G165" s="23">
        <v>1500</v>
      </c>
      <c r="H165" s="23">
        <v>1500</v>
      </c>
      <c r="I165" s="394">
        <v>5.0000000000000004E-6</v>
      </c>
      <c r="J165" s="394">
        <v>5.0000000000000004E-6</v>
      </c>
      <c r="K165" s="290">
        <v>1</v>
      </c>
      <c r="L165" s="291" t="s">
        <v>2619</v>
      </c>
      <c r="M165" s="23">
        <v>2015</v>
      </c>
      <c r="N165" s="23">
        <v>2100</v>
      </c>
      <c r="O165" s="292">
        <v>25</v>
      </c>
      <c r="P165" s="293">
        <v>2100</v>
      </c>
      <c r="Q165" s="294">
        <v>1</v>
      </c>
      <c r="R165" s="23"/>
      <c r="S165" s="148">
        <f t="shared" si="9"/>
        <v>2100</v>
      </c>
      <c r="T165" s="148">
        <f ca="1">IF(S165=0,"",S165*(OFFSET(cod_desembolso!$A$1,Q165,23)))</f>
        <v>2182.3840175367854</v>
      </c>
      <c r="U165" s="149">
        <f>(constantes!$B$3*(1+constantes!$B$3)^(O165))/((1+constantes!$B$3)^(O165)-1)</f>
        <v>9.3678779051968114E-2</v>
      </c>
      <c r="V165" s="148">
        <f t="shared" ca="1" si="10"/>
        <v>204.44307018537503</v>
      </c>
      <c r="W165" s="148">
        <f ca="1">(IF(S165=0,"",V165/constantes!$B$3))*1</f>
        <v>2555.538377317188</v>
      </c>
      <c r="X165" s="150">
        <f ca="1">IF(S165=0,"",PV(constantes!$B$3,O165,-V165)*constantes!$B$3)</f>
        <v>174.59072140294285</v>
      </c>
      <c r="Y165" s="85">
        <f t="shared" si="11"/>
        <v>1400</v>
      </c>
      <c r="Z165">
        <v>174</v>
      </c>
      <c r="AA165" s="396"/>
      <c r="AB165" s="396"/>
      <c r="AC165" s="396"/>
    </row>
    <row r="166" spans="1:29">
      <c r="A166" s="290">
        <v>7175</v>
      </c>
      <c r="B166" s="23" t="str">
        <f t="shared" si="8"/>
        <v>N-Manaus_1500__kV_175</v>
      </c>
      <c r="C166" s="23">
        <v>809</v>
      </c>
      <c r="D166" s="142" t="str">
        <f>VLOOKUP(C166,tab_corredor!$A$2:$B$50,2,0)</f>
        <v>N-Manaus</v>
      </c>
      <c r="E166" s="23">
        <v>1500</v>
      </c>
      <c r="F166" s="23" t="s">
        <v>2671</v>
      </c>
      <c r="G166" s="23">
        <v>1500</v>
      </c>
      <c r="H166" s="23">
        <v>1500</v>
      </c>
      <c r="I166" s="394">
        <v>5.0000000000000004E-6</v>
      </c>
      <c r="J166" s="394">
        <v>5.0000000000000004E-6</v>
      </c>
      <c r="K166" s="290">
        <v>1</v>
      </c>
      <c r="L166" s="291" t="s">
        <v>2619</v>
      </c>
      <c r="M166" s="23">
        <v>2015</v>
      </c>
      <c r="N166" s="23">
        <v>2100</v>
      </c>
      <c r="O166" s="292">
        <v>25</v>
      </c>
      <c r="P166" s="293">
        <v>2100</v>
      </c>
      <c r="Q166" s="294">
        <v>1</v>
      </c>
      <c r="R166" s="23"/>
      <c r="S166" s="148">
        <f t="shared" si="9"/>
        <v>2100</v>
      </c>
      <c r="T166" s="148">
        <f ca="1">IF(S166=0,"",S166*(OFFSET(cod_desembolso!$A$1,Q166,23)))</f>
        <v>2182.3840175367854</v>
      </c>
      <c r="U166" s="149">
        <f>(constantes!$B$3*(1+constantes!$B$3)^(O166))/((1+constantes!$B$3)^(O166)-1)</f>
        <v>9.3678779051968114E-2</v>
      </c>
      <c r="V166" s="148">
        <f t="shared" ca="1" si="10"/>
        <v>204.44307018537503</v>
      </c>
      <c r="W166" s="148">
        <f ca="1">(IF(S166=0,"",V166/constantes!$B$3))*1</f>
        <v>2555.538377317188</v>
      </c>
      <c r="X166" s="150">
        <f ca="1">IF(S166=0,"",PV(constantes!$B$3,O166,-V166)*constantes!$B$3)</f>
        <v>174.59072140294285</v>
      </c>
      <c r="Y166" s="85">
        <f t="shared" si="11"/>
        <v>1400</v>
      </c>
      <c r="Z166">
        <v>175</v>
      </c>
      <c r="AA166" s="396"/>
      <c r="AB166" s="396"/>
      <c r="AC166" s="396"/>
    </row>
    <row r="167" spans="1:29">
      <c r="A167" s="290">
        <v>7176</v>
      </c>
      <c r="B167" s="23" t="str">
        <f t="shared" si="8"/>
        <v>N-Manaus_1500__kV_176</v>
      </c>
      <c r="C167" s="23">
        <v>809</v>
      </c>
      <c r="D167" s="142" t="str">
        <f>VLOOKUP(C167,tab_corredor!$A$2:$B$50,2,0)</f>
        <v>N-Manaus</v>
      </c>
      <c r="E167" s="23">
        <v>1500</v>
      </c>
      <c r="F167" s="23" t="s">
        <v>2671</v>
      </c>
      <c r="G167" s="23">
        <v>1500</v>
      </c>
      <c r="H167" s="23">
        <v>1500</v>
      </c>
      <c r="I167" s="394">
        <v>5.0000000000000004E-6</v>
      </c>
      <c r="J167" s="394">
        <v>5.0000000000000004E-6</v>
      </c>
      <c r="K167" s="290">
        <v>1</v>
      </c>
      <c r="L167" s="291" t="s">
        <v>2619</v>
      </c>
      <c r="M167" s="23">
        <v>2015</v>
      </c>
      <c r="N167" s="23">
        <v>2100</v>
      </c>
      <c r="O167" s="292">
        <v>25</v>
      </c>
      <c r="P167" s="293">
        <v>2100</v>
      </c>
      <c r="Q167" s="294">
        <v>1</v>
      </c>
      <c r="R167" s="23"/>
      <c r="S167" s="148">
        <f t="shared" si="9"/>
        <v>2100</v>
      </c>
      <c r="T167" s="148">
        <f ca="1">IF(S167=0,"",S167*(OFFSET(cod_desembolso!$A$1,Q167,23)))</f>
        <v>2182.3840175367854</v>
      </c>
      <c r="U167" s="149">
        <f>(constantes!$B$3*(1+constantes!$B$3)^(O167))/((1+constantes!$B$3)^(O167)-1)</f>
        <v>9.3678779051968114E-2</v>
      </c>
      <c r="V167" s="148">
        <f t="shared" ca="1" si="10"/>
        <v>204.44307018537503</v>
      </c>
      <c r="W167" s="148">
        <f ca="1">(IF(S167=0,"",V167/constantes!$B$3))*1</f>
        <v>2555.538377317188</v>
      </c>
      <c r="X167" s="150">
        <f ca="1">IF(S167=0,"",PV(constantes!$B$3,O167,-V167)*constantes!$B$3)</f>
        <v>174.59072140294285</v>
      </c>
      <c r="Y167" s="85">
        <f t="shared" si="11"/>
        <v>1400</v>
      </c>
      <c r="Z167">
        <v>176</v>
      </c>
    </row>
    <row r="168" spans="1:29">
      <c r="A168" s="290">
        <v>7177</v>
      </c>
      <c r="B168" s="23" t="str">
        <f t="shared" si="8"/>
        <v>N-Manaus_1500__kV_177</v>
      </c>
      <c r="C168" s="23">
        <v>809</v>
      </c>
      <c r="D168" s="142" t="str">
        <f>VLOOKUP(C168,tab_corredor!$A$2:$B$50,2,0)</f>
        <v>N-Manaus</v>
      </c>
      <c r="E168" s="23">
        <v>1500</v>
      </c>
      <c r="F168" s="23" t="s">
        <v>2671</v>
      </c>
      <c r="G168" s="23">
        <v>1500</v>
      </c>
      <c r="H168" s="23">
        <v>1500</v>
      </c>
      <c r="I168" s="394">
        <v>5.0000000000000004E-6</v>
      </c>
      <c r="J168" s="394">
        <v>5.0000000000000004E-6</v>
      </c>
      <c r="K168" s="290">
        <v>1</v>
      </c>
      <c r="L168" s="291" t="s">
        <v>2619</v>
      </c>
      <c r="M168" s="23">
        <v>2015</v>
      </c>
      <c r="N168" s="23">
        <v>2100</v>
      </c>
      <c r="O168" s="292">
        <v>25</v>
      </c>
      <c r="P168" s="293">
        <v>2100</v>
      </c>
      <c r="Q168" s="294">
        <v>1</v>
      </c>
      <c r="R168" s="23"/>
      <c r="S168" s="148">
        <f t="shared" si="9"/>
        <v>2100</v>
      </c>
      <c r="T168" s="148">
        <f ca="1">IF(S168=0,"",S168*(OFFSET(cod_desembolso!$A$1,Q168,23)))</f>
        <v>2182.3840175367854</v>
      </c>
      <c r="U168" s="149">
        <f>(constantes!$B$3*(1+constantes!$B$3)^(O168))/((1+constantes!$B$3)^(O168)-1)</f>
        <v>9.3678779051968114E-2</v>
      </c>
      <c r="V168" s="148">
        <f t="shared" ca="1" si="10"/>
        <v>204.44307018537503</v>
      </c>
      <c r="W168" s="148">
        <f ca="1">(IF(S168=0,"",V168/constantes!$B$3))*1</f>
        <v>2555.538377317188</v>
      </c>
      <c r="X168" s="150">
        <f ca="1">IF(S168=0,"",PV(constantes!$B$3,O168,-V168)*constantes!$B$3)</f>
        <v>174.59072140294285</v>
      </c>
      <c r="Y168" s="85">
        <f t="shared" si="11"/>
        <v>1400</v>
      </c>
      <c r="Z168">
        <v>177</v>
      </c>
    </row>
    <row r="169" spans="1:29">
      <c r="A169" s="290">
        <v>7178</v>
      </c>
      <c r="B169" s="23" t="str">
        <f t="shared" si="8"/>
        <v>N-Manaus_1500__kV_178</v>
      </c>
      <c r="C169" s="23">
        <v>809</v>
      </c>
      <c r="D169" s="142" t="str">
        <f>VLOOKUP(C169,tab_corredor!$A$2:$B$50,2,0)</f>
        <v>N-Manaus</v>
      </c>
      <c r="E169" s="23">
        <v>1500</v>
      </c>
      <c r="F169" s="23" t="s">
        <v>2671</v>
      </c>
      <c r="G169" s="23">
        <v>1500</v>
      </c>
      <c r="H169" s="23">
        <v>1500</v>
      </c>
      <c r="I169" s="394">
        <v>5.0000000000000004E-6</v>
      </c>
      <c r="J169" s="394">
        <v>5.0000000000000004E-6</v>
      </c>
      <c r="K169" s="290">
        <v>1</v>
      </c>
      <c r="L169" s="291" t="s">
        <v>2619</v>
      </c>
      <c r="M169" s="23">
        <v>2015</v>
      </c>
      <c r="N169" s="23">
        <v>2100</v>
      </c>
      <c r="O169" s="292">
        <v>25</v>
      </c>
      <c r="P169" s="293">
        <v>2100</v>
      </c>
      <c r="Q169" s="294">
        <v>1</v>
      </c>
      <c r="R169" s="23"/>
      <c r="S169" s="148">
        <f t="shared" si="9"/>
        <v>2100</v>
      </c>
      <c r="T169" s="148">
        <f ca="1">IF(S169=0,"",S169*(OFFSET(cod_desembolso!$A$1,Q169,23)))</f>
        <v>2182.3840175367854</v>
      </c>
      <c r="U169" s="149">
        <f>(constantes!$B$3*(1+constantes!$B$3)^(O169))/((1+constantes!$B$3)^(O169)-1)</f>
        <v>9.3678779051968114E-2</v>
      </c>
      <c r="V169" s="148">
        <f t="shared" ca="1" si="10"/>
        <v>204.44307018537503</v>
      </c>
      <c r="W169" s="148">
        <f ca="1">(IF(S169=0,"",V169/constantes!$B$3))*1</f>
        <v>2555.538377317188</v>
      </c>
      <c r="X169" s="150">
        <f ca="1">IF(S169=0,"",PV(constantes!$B$3,O169,-V169)*constantes!$B$3)</f>
        <v>174.59072140294285</v>
      </c>
      <c r="Y169" s="85">
        <f t="shared" si="11"/>
        <v>1400</v>
      </c>
      <c r="Z169">
        <v>178</v>
      </c>
    </row>
    <row r="170" spans="1:29">
      <c r="A170" s="290">
        <v>7179</v>
      </c>
      <c r="B170" s="23" t="str">
        <f t="shared" si="8"/>
        <v>N-Manaus_1500__kV_179</v>
      </c>
      <c r="C170" s="23">
        <v>809</v>
      </c>
      <c r="D170" s="142" t="str">
        <f>VLOOKUP(C170,tab_corredor!$A$2:$B$50,2,0)</f>
        <v>N-Manaus</v>
      </c>
      <c r="E170" s="23">
        <v>1500</v>
      </c>
      <c r="F170" s="23" t="s">
        <v>2671</v>
      </c>
      <c r="G170" s="23">
        <v>1500</v>
      </c>
      <c r="H170" s="23">
        <v>1500</v>
      </c>
      <c r="I170" s="394">
        <v>5.0000000000000004E-6</v>
      </c>
      <c r="J170" s="394">
        <v>5.0000000000000004E-6</v>
      </c>
      <c r="K170" s="290">
        <v>1</v>
      </c>
      <c r="L170" s="291" t="s">
        <v>2619</v>
      </c>
      <c r="M170" s="23">
        <v>2015</v>
      </c>
      <c r="N170" s="23">
        <v>2100</v>
      </c>
      <c r="O170" s="292">
        <v>25</v>
      </c>
      <c r="P170" s="293">
        <v>2100</v>
      </c>
      <c r="Q170" s="294">
        <v>1</v>
      </c>
      <c r="R170" s="23"/>
      <c r="S170" s="148">
        <f t="shared" si="9"/>
        <v>2100</v>
      </c>
      <c r="T170" s="148">
        <f ca="1">IF(S170=0,"",S170*(OFFSET(cod_desembolso!$A$1,Q170,23)))</f>
        <v>2182.3840175367854</v>
      </c>
      <c r="U170" s="149">
        <f>(constantes!$B$3*(1+constantes!$B$3)^(O170))/((1+constantes!$B$3)^(O170)-1)</f>
        <v>9.3678779051968114E-2</v>
      </c>
      <c r="V170" s="148">
        <f t="shared" ca="1" si="10"/>
        <v>204.44307018537503</v>
      </c>
      <c r="W170" s="148">
        <f ca="1">(IF(S170=0,"",V170/constantes!$B$3))*1</f>
        <v>2555.538377317188</v>
      </c>
      <c r="X170" s="150">
        <f ca="1">IF(S170=0,"",PV(constantes!$B$3,O170,-V170)*constantes!$B$3)</f>
        <v>174.59072140294285</v>
      </c>
      <c r="Y170" s="85">
        <f t="shared" si="11"/>
        <v>1400</v>
      </c>
      <c r="Z170">
        <v>179</v>
      </c>
    </row>
    <row r="171" spans="1:29">
      <c r="A171" s="290">
        <v>7180</v>
      </c>
      <c r="B171" s="23" t="str">
        <f t="shared" si="8"/>
        <v>N-Manaus_1500__kV_180</v>
      </c>
      <c r="C171" s="23">
        <v>809</v>
      </c>
      <c r="D171" s="142" t="str">
        <f>VLOOKUP(C171,tab_corredor!$A$2:$B$50,2,0)</f>
        <v>N-Manaus</v>
      </c>
      <c r="E171" s="23">
        <v>1500</v>
      </c>
      <c r="F171" s="23" t="s">
        <v>2671</v>
      </c>
      <c r="G171" s="23">
        <v>1500</v>
      </c>
      <c r="H171" s="23">
        <v>1500</v>
      </c>
      <c r="I171" s="394">
        <v>5.0000000000000004E-6</v>
      </c>
      <c r="J171" s="394">
        <v>5.0000000000000004E-6</v>
      </c>
      <c r="K171" s="290">
        <v>1</v>
      </c>
      <c r="L171" s="291" t="s">
        <v>2619</v>
      </c>
      <c r="M171" s="23">
        <v>2015</v>
      </c>
      <c r="N171" s="23">
        <v>2100</v>
      </c>
      <c r="O171" s="292">
        <v>25</v>
      </c>
      <c r="P171" s="293">
        <v>2100</v>
      </c>
      <c r="Q171" s="294">
        <v>1</v>
      </c>
      <c r="R171" s="23"/>
      <c r="S171" s="148">
        <f t="shared" si="9"/>
        <v>2100</v>
      </c>
      <c r="T171" s="148">
        <f ca="1">IF(S171=0,"",S171*(OFFSET(cod_desembolso!$A$1,Q171,23)))</f>
        <v>2182.3840175367854</v>
      </c>
      <c r="U171" s="149">
        <f>(constantes!$B$3*(1+constantes!$B$3)^(O171))/((1+constantes!$B$3)^(O171)-1)</f>
        <v>9.3678779051968114E-2</v>
      </c>
      <c r="V171" s="148">
        <f t="shared" ca="1" si="10"/>
        <v>204.44307018537503</v>
      </c>
      <c r="W171" s="148">
        <f ca="1">(IF(S171=0,"",V171/constantes!$B$3))*1</f>
        <v>2555.538377317188</v>
      </c>
      <c r="X171" s="150">
        <f ca="1">IF(S171=0,"",PV(constantes!$B$3,O171,-V171)*constantes!$B$3)</f>
        <v>174.59072140294285</v>
      </c>
      <c r="Y171" s="85">
        <f t="shared" si="11"/>
        <v>1400</v>
      </c>
      <c r="Z171">
        <v>180</v>
      </c>
    </row>
    <row r="172" spans="1:29">
      <c r="A172" s="290">
        <v>7181</v>
      </c>
      <c r="B172" s="23" t="str">
        <f t="shared" si="8"/>
        <v>N-Manaus_1500__kV_181</v>
      </c>
      <c r="C172" s="23">
        <v>809</v>
      </c>
      <c r="D172" s="142" t="str">
        <f>VLOOKUP(C172,tab_corredor!$A$2:$B$50,2,0)</f>
        <v>N-Manaus</v>
      </c>
      <c r="E172" s="23">
        <v>1500</v>
      </c>
      <c r="F172" s="23" t="s">
        <v>2671</v>
      </c>
      <c r="G172" s="23">
        <v>1500</v>
      </c>
      <c r="H172" s="23">
        <v>1500</v>
      </c>
      <c r="I172" s="394">
        <v>5.0000000000000004E-6</v>
      </c>
      <c r="J172" s="394">
        <v>5.0000000000000004E-6</v>
      </c>
      <c r="K172" s="290">
        <v>1</v>
      </c>
      <c r="L172" s="291" t="s">
        <v>2619</v>
      </c>
      <c r="M172" s="23">
        <v>2015</v>
      </c>
      <c r="N172" s="23">
        <v>2100</v>
      </c>
      <c r="O172" s="292">
        <v>25</v>
      </c>
      <c r="P172" s="293">
        <v>2100</v>
      </c>
      <c r="Q172" s="294">
        <v>1</v>
      </c>
      <c r="R172" s="23"/>
      <c r="S172" s="148">
        <f t="shared" si="9"/>
        <v>2100</v>
      </c>
      <c r="T172" s="148">
        <f ca="1">IF(S172=0,"",S172*(OFFSET(cod_desembolso!$A$1,Q172,23)))</f>
        <v>2182.3840175367854</v>
      </c>
      <c r="U172" s="149">
        <f>(constantes!$B$3*(1+constantes!$B$3)^(O172))/((1+constantes!$B$3)^(O172)-1)</f>
        <v>9.3678779051968114E-2</v>
      </c>
      <c r="V172" s="148">
        <f t="shared" ca="1" si="10"/>
        <v>204.44307018537503</v>
      </c>
      <c r="W172" s="148">
        <f ca="1">(IF(S172=0,"",V172/constantes!$B$3))*1</f>
        <v>2555.538377317188</v>
      </c>
      <c r="X172" s="150">
        <f ca="1">IF(S172=0,"",PV(constantes!$B$3,O172,-V172)*constantes!$B$3)</f>
        <v>174.59072140294285</v>
      </c>
      <c r="Y172" s="85">
        <f t="shared" si="11"/>
        <v>1400</v>
      </c>
      <c r="Z172">
        <v>181</v>
      </c>
    </row>
    <row r="173" spans="1:29">
      <c r="A173" s="290">
        <v>7182</v>
      </c>
      <c r="B173" s="23" t="str">
        <f t="shared" si="8"/>
        <v>N-Imp_1500__kV_182</v>
      </c>
      <c r="C173" s="23">
        <v>810</v>
      </c>
      <c r="D173" s="142" t="str">
        <f>VLOOKUP(C173,tab_corredor!$A$2:$B$50,2,0)</f>
        <v>N-Imp</v>
      </c>
      <c r="E173" s="23">
        <v>1500</v>
      </c>
      <c r="F173" s="23" t="s">
        <v>2671</v>
      </c>
      <c r="G173" s="23">
        <v>1500</v>
      </c>
      <c r="H173" s="23">
        <v>1500</v>
      </c>
      <c r="I173" s="394">
        <v>5.0000000000000004E-6</v>
      </c>
      <c r="J173" s="394">
        <v>5.0000000000000004E-6</v>
      </c>
      <c r="K173" s="290">
        <v>1</v>
      </c>
      <c r="L173" s="291" t="s">
        <v>2619</v>
      </c>
      <c r="M173" s="23">
        <v>2015</v>
      </c>
      <c r="N173" s="23">
        <v>2100</v>
      </c>
      <c r="O173" s="292">
        <v>25</v>
      </c>
      <c r="P173" s="293">
        <v>2100</v>
      </c>
      <c r="Q173" s="294">
        <v>1</v>
      </c>
      <c r="R173" s="23"/>
      <c r="S173" s="148">
        <f t="shared" si="9"/>
        <v>2100</v>
      </c>
      <c r="T173" s="148">
        <f ca="1">IF(S173=0,"",S173*(OFFSET(cod_desembolso!$A$1,Q173,23)))</f>
        <v>2182.3840175367854</v>
      </c>
      <c r="U173" s="149">
        <f>(constantes!$B$3*(1+constantes!$B$3)^(O173))/((1+constantes!$B$3)^(O173)-1)</f>
        <v>9.3678779051968114E-2</v>
      </c>
      <c r="V173" s="148">
        <f t="shared" ca="1" si="10"/>
        <v>204.44307018537503</v>
      </c>
      <c r="W173" s="148">
        <f ca="1">(IF(S173=0,"",V173/constantes!$B$3))*1</f>
        <v>2555.538377317188</v>
      </c>
      <c r="X173" s="150">
        <f ca="1">IF(S173=0,"",PV(constantes!$B$3,O173,-V173)*constantes!$B$3)</f>
        <v>174.59072140294285</v>
      </c>
      <c r="Y173" s="85">
        <f t="shared" si="11"/>
        <v>1400</v>
      </c>
      <c r="Z173">
        <v>182</v>
      </c>
    </row>
    <row r="174" spans="1:29">
      <c r="A174" s="290">
        <v>7183</v>
      </c>
      <c r="B174" s="23" t="str">
        <f t="shared" si="8"/>
        <v>N-Imp_1500__kV_183</v>
      </c>
      <c r="C174" s="23">
        <v>810</v>
      </c>
      <c r="D174" s="142" t="str">
        <f>VLOOKUP(C174,tab_corredor!$A$2:$B$50,2,0)</f>
        <v>N-Imp</v>
      </c>
      <c r="E174" s="23">
        <v>1500</v>
      </c>
      <c r="F174" s="23" t="s">
        <v>2671</v>
      </c>
      <c r="G174" s="23">
        <v>1500</v>
      </c>
      <c r="H174" s="23">
        <v>1500</v>
      </c>
      <c r="I174" s="394">
        <v>5.0000000000000004E-6</v>
      </c>
      <c r="J174" s="394">
        <v>5.0000000000000004E-6</v>
      </c>
      <c r="K174" s="290">
        <v>1</v>
      </c>
      <c r="L174" s="291" t="s">
        <v>2619</v>
      </c>
      <c r="M174" s="23">
        <v>2015</v>
      </c>
      <c r="N174" s="23">
        <v>2100</v>
      </c>
      <c r="O174" s="292">
        <v>25</v>
      </c>
      <c r="P174" s="293">
        <v>2100</v>
      </c>
      <c r="Q174" s="294">
        <v>1</v>
      </c>
      <c r="R174" s="23"/>
      <c r="S174" s="148">
        <f t="shared" si="9"/>
        <v>2100</v>
      </c>
      <c r="T174" s="148">
        <f ca="1">IF(S174=0,"",S174*(OFFSET(cod_desembolso!$A$1,Q174,23)))</f>
        <v>2182.3840175367854</v>
      </c>
      <c r="U174" s="149">
        <f>(constantes!$B$3*(1+constantes!$B$3)^(O174))/((1+constantes!$B$3)^(O174)-1)</f>
        <v>9.3678779051968114E-2</v>
      </c>
      <c r="V174" s="148">
        <f t="shared" ca="1" si="10"/>
        <v>204.44307018537503</v>
      </c>
      <c r="W174" s="148">
        <f ca="1">(IF(S174=0,"",V174/constantes!$B$3))*1</f>
        <v>2555.538377317188</v>
      </c>
      <c r="X174" s="150">
        <f ca="1">IF(S174=0,"",PV(constantes!$B$3,O174,-V174)*constantes!$B$3)</f>
        <v>174.59072140294285</v>
      </c>
      <c r="Y174" s="85">
        <f t="shared" si="11"/>
        <v>1400</v>
      </c>
      <c r="Z174">
        <v>183</v>
      </c>
    </row>
    <row r="175" spans="1:29">
      <c r="A175" s="290">
        <v>7184</v>
      </c>
      <c r="B175" s="23" t="str">
        <f t="shared" si="8"/>
        <v>N-Imp_1500__kV_184</v>
      </c>
      <c r="C175" s="23">
        <v>810</v>
      </c>
      <c r="D175" s="142" t="str">
        <f>VLOOKUP(C175,tab_corredor!$A$2:$B$50,2,0)</f>
        <v>N-Imp</v>
      </c>
      <c r="E175" s="23">
        <v>1500</v>
      </c>
      <c r="F175" s="23" t="s">
        <v>2671</v>
      </c>
      <c r="G175" s="23">
        <v>1500</v>
      </c>
      <c r="H175" s="23">
        <v>1500</v>
      </c>
      <c r="I175" s="394">
        <v>5.0000000000000004E-6</v>
      </c>
      <c r="J175" s="394">
        <v>5.0000000000000004E-6</v>
      </c>
      <c r="K175" s="290">
        <v>1</v>
      </c>
      <c r="L175" s="291" t="s">
        <v>2619</v>
      </c>
      <c r="M175" s="23">
        <v>2015</v>
      </c>
      <c r="N175" s="23">
        <v>2100</v>
      </c>
      <c r="O175" s="292">
        <v>25</v>
      </c>
      <c r="P175" s="293">
        <v>2100</v>
      </c>
      <c r="Q175" s="294">
        <v>1</v>
      </c>
      <c r="R175" s="23"/>
      <c r="S175" s="148">
        <f t="shared" si="9"/>
        <v>2100</v>
      </c>
      <c r="T175" s="148">
        <f ca="1">IF(S175=0,"",S175*(OFFSET(cod_desembolso!$A$1,Q175,23)))</f>
        <v>2182.3840175367854</v>
      </c>
      <c r="U175" s="149">
        <f>(constantes!$B$3*(1+constantes!$B$3)^(O175))/((1+constantes!$B$3)^(O175)-1)</f>
        <v>9.3678779051968114E-2</v>
      </c>
      <c r="V175" s="148">
        <f t="shared" ca="1" si="10"/>
        <v>204.44307018537503</v>
      </c>
      <c r="W175" s="148">
        <f ca="1">(IF(S175=0,"",V175/constantes!$B$3))*1</f>
        <v>2555.538377317188</v>
      </c>
      <c r="X175" s="150">
        <f ca="1">IF(S175=0,"",PV(constantes!$B$3,O175,-V175)*constantes!$B$3)</f>
        <v>174.59072140294285</v>
      </c>
      <c r="Y175" s="85">
        <f t="shared" si="11"/>
        <v>1400</v>
      </c>
      <c r="Z175">
        <v>184</v>
      </c>
    </row>
    <row r="176" spans="1:29">
      <c r="A176" s="290">
        <v>7185</v>
      </c>
      <c r="B176" s="23" t="str">
        <f t="shared" si="8"/>
        <v>N-Imp_1500__kV_185</v>
      </c>
      <c r="C176" s="23">
        <v>810</v>
      </c>
      <c r="D176" s="142" t="str">
        <f>VLOOKUP(C176,tab_corredor!$A$2:$B$50,2,0)</f>
        <v>N-Imp</v>
      </c>
      <c r="E176" s="23">
        <v>1500</v>
      </c>
      <c r="F176" s="23" t="s">
        <v>2671</v>
      </c>
      <c r="G176" s="23">
        <v>1500</v>
      </c>
      <c r="H176" s="23">
        <v>1500</v>
      </c>
      <c r="I176" s="394">
        <v>5.0000000000000004E-6</v>
      </c>
      <c r="J176" s="394">
        <v>5.0000000000000004E-6</v>
      </c>
      <c r="K176" s="290">
        <v>1</v>
      </c>
      <c r="L176" s="291" t="s">
        <v>2619</v>
      </c>
      <c r="M176" s="23">
        <v>2015</v>
      </c>
      <c r="N176" s="23">
        <v>2100</v>
      </c>
      <c r="O176" s="292">
        <v>25</v>
      </c>
      <c r="P176" s="293">
        <v>2100</v>
      </c>
      <c r="Q176" s="294">
        <v>1</v>
      </c>
      <c r="R176" s="23"/>
      <c r="S176" s="148">
        <f t="shared" si="9"/>
        <v>2100</v>
      </c>
      <c r="T176" s="148">
        <f ca="1">IF(S176=0,"",S176*(OFFSET(cod_desembolso!$A$1,Q176,23)))</f>
        <v>2182.3840175367854</v>
      </c>
      <c r="U176" s="149">
        <f>(constantes!$B$3*(1+constantes!$B$3)^(O176))/((1+constantes!$B$3)^(O176)-1)</f>
        <v>9.3678779051968114E-2</v>
      </c>
      <c r="V176" s="148">
        <f t="shared" ca="1" si="10"/>
        <v>204.44307018537503</v>
      </c>
      <c r="W176" s="148">
        <f ca="1">(IF(S176=0,"",V176/constantes!$B$3))*1</f>
        <v>2555.538377317188</v>
      </c>
      <c r="X176" s="150">
        <f ca="1">IF(S176=0,"",PV(constantes!$B$3,O176,-V176)*constantes!$B$3)</f>
        <v>174.59072140294285</v>
      </c>
      <c r="Y176" s="85">
        <f t="shared" si="11"/>
        <v>1400</v>
      </c>
      <c r="Z176">
        <v>185</v>
      </c>
    </row>
    <row r="177" spans="1:29">
      <c r="A177" s="290">
        <v>7186</v>
      </c>
      <c r="B177" s="23" t="str">
        <f t="shared" si="8"/>
        <v>N-Imp_1500__kV_186</v>
      </c>
      <c r="C177" s="23">
        <v>810</v>
      </c>
      <c r="D177" s="142" t="str">
        <f>VLOOKUP(C177,tab_corredor!$A$2:$B$50,2,0)</f>
        <v>N-Imp</v>
      </c>
      <c r="E177" s="23">
        <v>1500</v>
      </c>
      <c r="F177" s="23" t="s">
        <v>2671</v>
      </c>
      <c r="G177" s="23">
        <v>1500</v>
      </c>
      <c r="H177" s="23">
        <v>1500</v>
      </c>
      <c r="I177" s="394">
        <v>5.0000000000000004E-6</v>
      </c>
      <c r="J177" s="394">
        <v>5.0000000000000004E-6</v>
      </c>
      <c r="K177" s="290">
        <v>1</v>
      </c>
      <c r="L177" s="291" t="s">
        <v>2619</v>
      </c>
      <c r="M177" s="23">
        <v>2015</v>
      </c>
      <c r="N177" s="23">
        <v>2100</v>
      </c>
      <c r="O177" s="292">
        <v>25</v>
      </c>
      <c r="P177" s="293">
        <v>2100</v>
      </c>
      <c r="Q177" s="294">
        <v>1</v>
      </c>
      <c r="R177" s="23"/>
      <c r="S177" s="148">
        <f t="shared" si="9"/>
        <v>2100</v>
      </c>
      <c r="T177" s="148">
        <f ca="1">IF(S177=0,"",S177*(OFFSET(cod_desembolso!$A$1,Q177,23)))</f>
        <v>2182.3840175367854</v>
      </c>
      <c r="U177" s="149">
        <f>(constantes!$B$3*(1+constantes!$B$3)^(O177))/((1+constantes!$B$3)^(O177)-1)</f>
        <v>9.3678779051968114E-2</v>
      </c>
      <c r="V177" s="148">
        <f t="shared" ca="1" si="10"/>
        <v>204.44307018537503</v>
      </c>
      <c r="W177" s="148">
        <f ca="1">(IF(S177=0,"",V177/constantes!$B$3))*1</f>
        <v>2555.538377317188</v>
      </c>
      <c r="X177" s="150">
        <f ca="1">IF(S177=0,"",PV(constantes!$B$3,O177,-V177)*constantes!$B$3)</f>
        <v>174.59072140294285</v>
      </c>
      <c r="Y177" s="85">
        <f t="shared" si="11"/>
        <v>1400</v>
      </c>
      <c r="Z177">
        <v>186</v>
      </c>
    </row>
    <row r="178" spans="1:29">
      <c r="A178" s="290">
        <v>7187</v>
      </c>
      <c r="B178" s="23" t="str">
        <f t="shared" si="8"/>
        <v>N-Imp_1500__kV_187</v>
      </c>
      <c r="C178" s="23">
        <v>810</v>
      </c>
      <c r="D178" s="142" t="str">
        <f>VLOOKUP(C178,tab_corredor!$A$2:$B$50,2,0)</f>
        <v>N-Imp</v>
      </c>
      <c r="E178" s="23">
        <v>1500</v>
      </c>
      <c r="F178" s="23" t="s">
        <v>2671</v>
      </c>
      <c r="G178" s="23">
        <v>1500</v>
      </c>
      <c r="H178" s="23">
        <v>1500</v>
      </c>
      <c r="I178" s="394">
        <v>5.0000000000000004E-6</v>
      </c>
      <c r="J178" s="394">
        <v>5.0000000000000004E-6</v>
      </c>
      <c r="K178" s="290">
        <v>1</v>
      </c>
      <c r="L178" s="291" t="s">
        <v>2619</v>
      </c>
      <c r="M178" s="23">
        <v>2015</v>
      </c>
      <c r="N178" s="23">
        <v>2100</v>
      </c>
      <c r="O178" s="292">
        <v>25</v>
      </c>
      <c r="P178" s="293">
        <v>2100</v>
      </c>
      <c r="Q178" s="294">
        <v>1</v>
      </c>
      <c r="R178" s="23"/>
      <c r="S178" s="148">
        <f t="shared" si="9"/>
        <v>2100</v>
      </c>
      <c r="T178" s="148">
        <f ca="1">IF(S178=0,"",S178*(OFFSET(cod_desembolso!$A$1,Q178,23)))</f>
        <v>2182.3840175367854</v>
      </c>
      <c r="U178" s="149">
        <f>(constantes!$B$3*(1+constantes!$B$3)^(O178))/((1+constantes!$B$3)^(O178)-1)</f>
        <v>9.3678779051968114E-2</v>
      </c>
      <c r="V178" s="148">
        <f t="shared" ca="1" si="10"/>
        <v>204.44307018537503</v>
      </c>
      <c r="W178" s="148">
        <f ca="1">(IF(S178=0,"",V178/constantes!$B$3))*1</f>
        <v>2555.538377317188</v>
      </c>
      <c r="X178" s="150">
        <f ca="1">IF(S178=0,"",PV(constantes!$B$3,O178,-V178)*constantes!$B$3)</f>
        <v>174.59072140294285</v>
      </c>
      <c r="Y178" s="85">
        <f t="shared" si="11"/>
        <v>1400</v>
      </c>
      <c r="Z178">
        <v>187</v>
      </c>
    </row>
    <row r="179" spans="1:29">
      <c r="A179" s="290">
        <v>7188</v>
      </c>
      <c r="B179" s="23" t="str">
        <f t="shared" si="8"/>
        <v>N-Imp_1500__kV_188</v>
      </c>
      <c r="C179" s="23">
        <v>810</v>
      </c>
      <c r="D179" s="142" t="str">
        <f>VLOOKUP(C179,tab_corredor!$A$2:$B$50,2,0)</f>
        <v>N-Imp</v>
      </c>
      <c r="E179" s="23">
        <v>1500</v>
      </c>
      <c r="F179" s="23" t="s">
        <v>2671</v>
      </c>
      <c r="G179" s="23">
        <v>1500</v>
      </c>
      <c r="H179" s="23">
        <v>1500</v>
      </c>
      <c r="I179" s="394">
        <v>5.0000000000000004E-6</v>
      </c>
      <c r="J179" s="394">
        <v>5.0000000000000004E-6</v>
      </c>
      <c r="K179" s="290">
        <v>1</v>
      </c>
      <c r="L179" s="291" t="s">
        <v>2619</v>
      </c>
      <c r="M179" s="23">
        <v>2015</v>
      </c>
      <c r="N179" s="23">
        <v>2100</v>
      </c>
      <c r="O179" s="292">
        <v>25</v>
      </c>
      <c r="P179" s="293">
        <v>2100</v>
      </c>
      <c r="Q179" s="294">
        <v>1</v>
      </c>
      <c r="R179" s="23"/>
      <c r="S179" s="148">
        <f t="shared" si="9"/>
        <v>2100</v>
      </c>
      <c r="T179" s="148">
        <f ca="1">IF(S179=0,"",S179*(OFFSET(cod_desembolso!$A$1,Q179,23)))</f>
        <v>2182.3840175367854</v>
      </c>
      <c r="U179" s="149">
        <f>(constantes!$B$3*(1+constantes!$B$3)^(O179))/((1+constantes!$B$3)^(O179)-1)</f>
        <v>9.3678779051968114E-2</v>
      </c>
      <c r="V179" s="148">
        <f t="shared" ca="1" si="10"/>
        <v>204.44307018537503</v>
      </c>
      <c r="W179" s="148">
        <f ca="1">(IF(S179=0,"",V179/constantes!$B$3))*1</f>
        <v>2555.538377317188</v>
      </c>
      <c r="X179" s="150">
        <f ca="1">IF(S179=0,"",PV(constantes!$B$3,O179,-V179)*constantes!$B$3)</f>
        <v>174.59072140294285</v>
      </c>
      <c r="Y179" s="85">
        <f t="shared" si="11"/>
        <v>1400</v>
      </c>
      <c r="Z179">
        <v>188</v>
      </c>
    </row>
    <row r="180" spans="1:29">
      <c r="A180" s="290">
        <v>7189</v>
      </c>
      <c r="B180" s="23" t="str">
        <f t="shared" si="8"/>
        <v>N-Imp_1500__kV_189</v>
      </c>
      <c r="C180" s="23">
        <v>810</v>
      </c>
      <c r="D180" s="142" t="str">
        <f>VLOOKUP(C180,tab_corredor!$A$2:$B$50,2,0)</f>
        <v>N-Imp</v>
      </c>
      <c r="E180" s="23">
        <v>1500</v>
      </c>
      <c r="F180" s="23" t="s">
        <v>2671</v>
      </c>
      <c r="G180" s="23">
        <v>1500</v>
      </c>
      <c r="H180" s="23">
        <v>1500</v>
      </c>
      <c r="I180" s="394">
        <v>5.0000000000000004E-6</v>
      </c>
      <c r="J180" s="394">
        <v>5.0000000000000004E-6</v>
      </c>
      <c r="K180" s="290">
        <v>1</v>
      </c>
      <c r="L180" s="291" t="s">
        <v>2619</v>
      </c>
      <c r="M180" s="23">
        <v>2015</v>
      </c>
      <c r="N180" s="23">
        <v>2100</v>
      </c>
      <c r="O180" s="292">
        <v>25</v>
      </c>
      <c r="P180" s="293">
        <v>2100</v>
      </c>
      <c r="Q180" s="294">
        <v>1</v>
      </c>
      <c r="R180" s="23"/>
      <c r="S180" s="148">
        <f t="shared" si="9"/>
        <v>2100</v>
      </c>
      <c r="T180" s="148">
        <f ca="1">IF(S180=0,"",S180*(OFFSET(cod_desembolso!$A$1,Q180,23)))</f>
        <v>2182.3840175367854</v>
      </c>
      <c r="U180" s="149">
        <f>(constantes!$B$3*(1+constantes!$B$3)^(O180))/((1+constantes!$B$3)^(O180)-1)</f>
        <v>9.3678779051968114E-2</v>
      </c>
      <c r="V180" s="148">
        <f t="shared" ca="1" si="10"/>
        <v>204.44307018537503</v>
      </c>
      <c r="W180" s="148">
        <f ca="1">(IF(S180=0,"",V180/constantes!$B$3))*1</f>
        <v>2555.538377317188</v>
      </c>
      <c r="X180" s="150">
        <f ca="1">IF(S180=0,"",PV(constantes!$B$3,O180,-V180)*constantes!$B$3)</f>
        <v>174.59072140294285</v>
      </c>
      <c r="Y180" s="85">
        <f t="shared" si="11"/>
        <v>1400</v>
      </c>
      <c r="Z180">
        <v>189</v>
      </c>
    </row>
    <row r="181" spans="1:29">
      <c r="A181" s="290">
        <v>7190</v>
      </c>
      <c r="B181" s="23" t="str">
        <f t="shared" si="8"/>
        <v>N-Imp_1500__kV_190</v>
      </c>
      <c r="C181" s="23">
        <v>810</v>
      </c>
      <c r="D181" s="142" t="str">
        <f>VLOOKUP(C181,tab_corredor!$A$2:$B$50,2,0)</f>
        <v>N-Imp</v>
      </c>
      <c r="E181" s="23">
        <v>1500</v>
      </c>
      <c r="F181" s="23" t="s">
        <v>2671</v>
      </c>
      <c r="G181" s="23">
        <v>1500</v>
      </c>
      <c r="H181" s="23">
        <v>1500</v>
      </c>
      <c r="I181" s="394">
        <v>5.0000000000000004E-6</v>
      </c>
      <c r="J181" s="394">
        <v>5.0000000000000004E-6</v>
      </c>
      <c r="K181" s="290">
        <v>1</v>
      </c>
      <c r="L181" s="291" t="s">
        <v>2619</v>
      </c>
      <c r="M181" s="23">
        <v>2015</v>
      </c>
      <c r="N181" s="23">
        <v>2100</v>
      </c>
      <c r="O181" s="292">
        <v>25</v>
      </c>
      <c r="P181" s="293">
        <v>2100</v>
      </c>
      <c r="Q181" s="294">
        <v>1</v>
      </c>
      <c r="R181" s="23"/>
      <c r="S181" s="148">
        <f t="shared" si="9"/>
        <v>2100</v>
      </c>
      <c r="T181" s="148">
        <f ca="1">IF(S181=0,"",S181*(OFFSET(cod_desembolso!$A$1,Q181,23)))</f>
        <v>2182.3840175367854</v>
      </c>
      <c r="U181" s="149">
        <f>(constantes!$B$3*(1+constantes!$B$3)^(O181))/((1+constantes!$B$3)^(O181)-1)</f>
        <v>9.3678779051968114E-2</v>
      </c>
      <c r="V181" s="148">
        <f t="shared" ca="1" si="10"/>
        <v>204.44307018537503</v>
      </c>
      <c r="W181" s="148">
        <f ca="1">(IF(S181=0,"",V181/constantes!$B$3))*1</f>
        <v>2555.538377317188</v>
      </c>
      <c r="X181" s="150">
        <f ca="1">IF(S181=0,"",PV(constantes!$B$3,O181,-V181)*constantes!$B$3)</f>
        <v>174.59072140294285</v>
      </c>
      <c r="Y181" s="85">
        <f t="shared" si="11"/>
        <v>1400</v>
      </c>
      <c r="Z181">
        <v>190</v>
      </c>
    </row>
    <row r="182" spans="1:29">
      <c r="A182" s="290">
        <v>7191</v>
      </c>
      <c r="B182" s="23" t="str">
        <f t="shared" si="8"/>
        <v>N-Imp_1500__kV_191</v>
      </c>
      <c r="C182" s="23">
        <v>810</v>
      </c>
      <c r="D182" s="142" t="str">
        <f>VLOOKUP(C182,tab_corredor!$A$2:$B$50,2,0)</f>
        <v>N-Imp</v>
      </c>
      <c r="E182" s="23">
        <v>1500</v>
      </c>
      <c r="F182" s="23" t="s">
        <v>2671</v>
      </c>
      <c r="G182" s="23">
        <v>1500</v>
      </c>
      <c r="H182" s="23">
        <v>1500</v>
      </c>
      <c r="I182" s="394">
        <v>5.0000000000000004E-6</v>
      </c>
      <c r="J182" s="394">
        <v>5.0000000000000004E-6</v>
      </c>
      <c r="K182" s="290">
        <v>1</v>
      </c>
      <c r="L182" s="291" t="s">
        <v>2619</v>
      </c>
      <c r="M182" s="23">
        <v>2015</v>
      </c>
      <c r="N182" s="23">
        <v>2100</v>
      </c>
      <c r="O182" s="292">
        <v>25</v>
      </c>
      <c r="P182" s="293">
        <v>2100</v>
      </c>
      <c r="Q182" s="294">
        <v>1</v>
      </c>
      <c r="R182" s="23"/>
      <c r="S182" s="148">
        <f t="shared" si="9"/>
        <v>2100</v>
      </c>
      <c r="T182" s="148">
        <f ca="1">IF(S182=0,"",S182*(OFFSET(cod_desembolso!$A$1,Q182,23)))</f>
        <v>2182.3840175367854</v>
      </c>
      <c r="U182" s="149">
        <f>(constantes!$B$3*(1+constantes!$B$3)^(O182))/((1+constantes!$B$3)^(O182)-1)</f>
        <v>9.3678779051968114E-2</v>
      </c>
      <c r="V182" s="148">
        <f t="shared" ca="1" si="10"/>
        <v>204.44307018537503</v>
      </c>
      <c r="W182" s="148">
        <f ca="1">(IF(S182=0,"",V182/constantes!$B$3))*1</f>
        <v>2555.538377317188</v>
      </c>
      <c r="X182" s="150">
        <f ca="1">IF(S182=0,"",PV(constantes!$B$3,O182,-V182)*constantes!$B$3)</f>
        <v>174.59072140294285</v>
      </c>
      <c r="Y182" s="85">
        <f t="shared" si="11"/>
        <v>1400</v>
      </c>
      <c r="Z182">
        <v>191</v>
      </c>
    </row>
    <row r="183" spans="1:29">
      <c r="A183" s="290">
        <v>7192</v>
      </c>
      <c r="B183" s="23" t="str">
        <f t="shared" si="8"/>
        <v>N-Imp_1500__kV_192</v>
      </c>
      <c r="C183" s="23">
        <v>810</v>
      </c>
      <c r="D183" s="142" t="str">
        <f>VLOOKUP(C183,tab_corredor!$A$2:$B$50,2,0)</f>
        <v>N-Imp</v>
      </c>
      <c r="E183" s="23">
        <v>1500</v>
      </c>
      <c r="F183" s="23" t="s">
        <v>2671</v>
      </c>
      <c r="G183" s="23">
        <v>1500</v>
      </c>
      <c r="H183" s="23">
        <v>1500</v>
      </c>
      <c r="I183" s="394">
        <v>5.0000000000000004E-6</v>
      </c>
      <c r="J183" s="394">
        <v>5.0000000000000004E-6</v>
      </c>
      <c r="K183" s="290">
        <v>1</v>
      </c>
      <c r="L183" s="291" t="s">
        <v>2619</v>
      </c>
      <c r="M183" s="23">
        <v>2015</v>
      </c>
      <c r="N183" s="23">
        <v>2100</v>
      </c>
      <c r="O183" s="292">
        <v>25</v>
      </c>
      <c r="P183" s="293">
        <v>2100</v>
      </c>
      <c r="Q183" s="294">
        <v>1</v>
      </c>
      <c r="R183" s="23"/>
      <c r="S183" s="148">
        <f t="shared" si="9"/>
        <v>2100</v>
      </c>
      <c r="T183" s="148">
        <f ca="1">IF(S183=0,"",S183*(OFFSET(cod_desembolso!$A$1,Q183,23)))</f>
        <v>2182.3840175367854</v>
      </c>
      <c r="U183" s="149">
        <f>(constantes!$B$3*(1+constantes!$B$3)^(O183))/((1+constantes!$B$3)^(O183)-1)</f>
        <v>9.3678779051968114E-2</v>
      </c>
      <c r="V183" s="148">
        <f t="shared" ca="1" si="10"/>
        <v>204.44307018537503</v>
      </c>
      <c r="W183" s="148">
        <f ca="1">(IF(S183=0,"",V183/constantes!$B$3))*1</f>
        <v>2555.538377317188</v>
      </c>
      <c r="X183" s="150">
        <f ca="1">IF(S183=0,"",PV(constantes!$B$3,O183,-V183)*constantes!$B$3)</f>
        <v>174.59072140294285</v>
      </c>
      <c r="Y183" s="85">
        <f t="shared" si="11"/>
        <v>1400</v>
      </c>
      <c r="Z183">
        <v>192</v>
      </c>
    </row>
    <row r="184" spans="1:29">
      <c r="A184" s="290">
        <v>7193</v>
      </c>
      <c r="B184" s="23" t="str">
        <f t="shared" ref="B184:B247" si="12">D184&amp;"_"&amp;E184&amp;"_"&amp;F184&amp;IF(F184="DC","","kV")&amp;"_"&amp;Z184</f>
        <v>N-Imp_1500__kV_193</v>
      </c>
      <c r="C184" s="23">
        <v>810</v>
      </c>
      <c r="D184" s="142" t="str">
        <f>VLOOKUP(C184,tab_corredor!$A$2:$B$50,2,0)</f>
        <v>N-Imp</v>
      </c>
      <c r="E184" s="23">
        <v>1500</v>
      </c>
      <c r="F184" s="23" t="s">
        <v>2671</v>
      </c>
      <c r="G184" s="23">
        <v>1500</v>
      </c>
      <c r="H184" s="23">
        <v>1500</v>
      </c>
      <c r="I184" s="394">
        <v>5.0000000000000004E-6</v>
      </c>
      <c r="J184" s="394">
        <v>5.0000000000000004E-6</v>
      </c>
      <c r="K184" s="290">
        <v>1</v>
      </c>
      <c r="L184" s="291" t="s">
        <v>2619</v>
      </c>
      <c r="M184" s="23">
        <v>2015</v>
      </c>
      <c r="N184" s="23">
        <v>2100</v>
      </c>
      <c r="O184" s="292">
        <v>25</v>
      </c>
      <c r="P184" s="293">
        <v>2100</v>
      </c>
      <c r="Q184" s="294">
        <v>1</v>
      </c>
      <c r="R184" s="23"/>
      <c r="S184" s="148">
        <f t="shared" ref="S184:S218" si="13">P184+R184</f>
        <v>2100</v>
      </c>
      <c r="T184" s="148">
        <f ca="1">IF(S184=0,"",S184*(OFFSET(cod_desembolso!$A$1,Q184,23)))</f>
        <v>2182.3840175367854</v>
      </c>
      <c r="U184" s="149">
        <f>(constantes!$B$3*(1+constantes!$B$3)^(O184))/((1+constantes!$B$3)^(O184)-1)</f>
        <v>9.3678779051968114E-2</v>
      </c>
      <c r="V184" s="148">
        <f t="shared" ref="V184:V247" ca="1" si="14">IF(S184=0,"",T184*U184)</f>
        <v>204.44307018537503</v>
      </c>
      <c r="W184" s="148">
        <f ca="1">(IF(S184=0,"",V184/constantes!$B$3))*1</f>
        <v>2555.538377317188</v>
      </c>
      <c r="X184" s="150">
        <f ca="1">IF(S184=0,"",PV(constantes!$B$3,O184,-V184)*constantes!$B$3)</f>
        <v>174.59072140294285</v>
      </c>
      <c r="Y184" s="85">
        <f t="shared" ref="Y184:Y247" si="15">S184/E184*1000</f>
        <v>1400</v>
      </c>
      <c r="Z184">
        <v>193</v>
      </c>
    </row>
    <row r="185" spans="1:29">
      <c r="A185" s="290">
        <v>7194</v>
      </c>
      <c r="B185" s="23" t="str">
        <f t="shared" si="12"/>
        <v>N-Imp_1500__kV_194</v>
      </c>
      <c r="C185" s="23">
        <v>810</v>
      </c>
      <c r="D185" s="142" t="str">
        <f>VLOOKUP(C185,tab_corredor!$A$2:$B$50,2,0)</f>
        <v>N-Imp</v>
      </c>
      <c r="E185" s="23">
        <v>1500</v>
      </c>
      <c r="F185" s="23" t="s">
        <v>2671</v>
      </c>
      <c r="G185" s="23">
        <v>1500</v>
      </c>
      <c r="H185" s="23">
        <v>1500</v>
      </c>
      <c r="I185" s="394">
        <v>5.0000000000000004E-6</v>
      </c>
      <c r="J185" s="394">
        <v>5.0000000000000004E-6</v>
      </c>
      <c r="K185" s="290">
        <v>1</v>
      </c>
      <c r="L185" s="291" t="s">
        <v>2619</v>
      </c>
      <c r="M185" s="23">
        <v>2015</v>
      </c>
      <c r="N185" s="23">
        <v>2100</v>
      </c>
      <c r="O185" s="292">
        <v>25</v>
      </c>
      <c r="P185" s="293">
        <v>2100</v>
      </c>
      <c r="Q185" s="294">
        <v>1</v>
      </c>
      <c r="R185" s="23"/>
      <c r="S185" s="148">
        <f t="shared" si="13"/>
        <v>2100</v>
      </c>
      <c r="T185" s="148">
        <f ca="1">IF(S185=0,"",S185*(OFFSET(cod_desembolso!$A$1,Q185,23)))</f>
        <v>2182.3840175367854</v>
      </c>
      <c r="U185" s="149">
        <f>(constantes!$B$3*(1+constantes!$B$3)^(O185))/((1+constantes!$B$3)^(O185)-1)</f>
        <v>9.3678779051968114E-2</v>
      </c>
      <c r="V185" s="148">
        <f t="shared" ca="1" si="14"/>
        <v>204.44307018537503</v>
      </c>
      <c r="W185" s="148">
        <f ca="1">(IF(S185=0,"",V185/constantes!$B$3))*1</f>
        <v>2555.538377317188</v>
      </c>
      <c r="X185" s="150">
        <f ca="1">IF(S185=0,"",PV(constantes!$B$3,O185,-V185)*constantes!$B$3)</f>
        <v>174.59072140294285</v>
      </c>
      <c r="Y185" s="85">
        <f t="shared" si="15"/>
        <v>1400</v>
      </c>
      <c r="Z185">
        <v>194</v>
      </c>
    </row>
    <row r="186" spans="1:29">
      <c r="A186" s="290">
        <v>7195</v>
      </c>
      <c r="B186" s="23" t="str">
        <f t="shared" si="12"/>
        <v>N-Imp_1500__kV_195</v>
      </c>
      <c r="C186" s="23">
        <v>810</v>
      </c>
      <c r="D186" s="142" t="str">
        <f>VLOOKUP(C186,tab_corredor!$A$2:$B$50,2,0)</f>
        <v>N-Imp</v>
      </c>
      <c r="E186" s="23">
        <v>1500</v>
      </c>
      <c r="F186" s="23" t="s">
        <v>2671</v>
      </c>
      <c r="G186" s="23">
        <v>1500</v>
      </c>
      <c r="H186" s="23">
        <v>1500</v>
      </c>
      <c r="I186" s="394">
        <v>5.0000000000000004E-6</v>
      </c>
      <c r="J186" s="394">
        <v>5.0000000000000004E-6</v>
      </c>
      <c r="K186" s="290">
        <v>1</v>
      </c>
      <c r="L186" s="291" t="s">
        <v>2619</v>
      </c>
      <c r="M186" s="23">
        <v>2015</v>
      </c>
      <c r="N186" s="23">
        <v>2100</v>
      </c>
      <c r="O186" s="292">
        <v>25</v>
      </c>
      <c r="P186" s="293">
        <v>2100</v>
      </c>
      <c r="Q186" s="294">
        <v>1</v>
      </c>
      <c r="R186" s="23"/>
      <c r="S186" s="148">
        <f t="shared" si="13"/>
        <v>2100</v>
      </c>
      <c r="T186" s="148">
        <f ca="1">IF(S186=0,"",S186*(OFFSET(cod_desembolso!$A$1,Q186,23)))</f>
        <v>2182.3840175367854</v>
      </c>
      <c r="U186" s="149">
        <f>(constantes!$B$3*(1+constantes!$B$3)^(O186))/((1+constantes!$B$3)^(O186)-1)</f>
        <v>9.3678779051968114E-2</v>
      </c>
      <c r="V186" s="148">
        <f t="shared" ca="1" si="14"/>
        <v>204.44307018537503</v>
      </c>
      <c r="W186" s="148">
        <f ca="1">(IF(S186=0,"",V186/constantes!$B$3))*1</f>
        <v>2555.538377317188</v>
      </c>
      <c r="X186" s="150">
        <f ca="1">IF(S186=0,"",PV(constantes!$B$3,O186,-V186)*constantes!$B$3)</f>
        <v>174.59072140294285</v>
      </c>
      <c r="Y186" s="85">
        <f t="shared" si="15"/>
        <v>1400</v>
      </c>
      <c r="Z186">
        <v>195</v>
      </c>
    </row>
    <row r="187" spans="1:29">
      <c r="A187" s="290">
        <v>7196</v>
      </c>
      <c r="B187" s="23" t="str">
        <f t="shared" si="12"/>
        <v>N-Imp_1500__kV_196</v>
      </c>
      <c r="C187" s="23">
        <v>810</v>
      </c>
      <c r="D187" s="142" t="str">
        <f>VLOOKUP(C187,tab_corredor!$A$2:$B$50,2,0)</f>
        <v>N-Imp</v>
      </c>
      <c r="E187" s="23">
        <v>1500</v>
      </c>
      <c r="F187" s="23" t="s">
        <v>2671</v>
      </c>
      <c r="G187" s="23">
        <v>1500</v>
      </c>
      <c r="H187" s="23">
        <v>1500</v>
      </c>
      <c r="I187" s="394">
        <v>5.0000000000000004E-6</v>
      </c>
      <c r="J187" s="394">
        <v>5.0000000000000004E-6</v>
      </c>
      <c r="K187" s="290">
        <v>1</v>
      </c>
      <c r="L187" s="291" t="s">
        <v>2619</v>
      </c>
      <c r="M187" s="23">
        <v>2015</v>
      </c>
      <c r="N187" s="23">
        <v>2100</v>
      </c>
      <c r="O187" s="292">
        <v>25</v>
      </c>
      <c r="P187" s="293">
        <v>2100</v>
      </c>
      <c r="Q187" s="294">
        <v>1</v>
      </c>
      <c r="R187" s="23"/>
      <c r="S187" s="148">
        <f t="shared" si="13"/>
        <v>2100</v>
      </c>
      <c r="T187" s="148">
        <f ca="1">IF(S187=0,"",S187*(OFFSET(cod_desembolso!$A$1,Q187,23)))</f>
        <v>2182.3840175367854</v>
      </c>
      <c r="U187" s="149">
        <f>(constantes!$B$3*(1+constantes!$B$3)^(O187))/((1+constantes!$B$3)^(O187)-1)</f>
        <v>9.3678779051968114E-2</v>
      </c>
      <c r="V187" s="148">
        <f t="shared" ca="1" si="14"/>
        <v>204.44307018537503</v>
      </c>
      <c r="W187" s="148">
        <f ca="1">(IF(S187=0,"",V187/constantes!$B$3))*1</f>
        <v>2555.538377317188</v>
      </c>
      <c r="X187" s="150">
        <f ca="1">IF(S187=0,"",PV(constantes!$B$3,O187,-V187)*constantes!$B$3)</f>
        <v>174.59072140294285</v>
      </c>
      <c r="Y187" s="85">
        <f t="shared" si="15"/>
        <v>1400</v>
      </c>
      <c r="Z187">
        <v>196</v>
      </c>
    </row>
    <row r="188" spans="1:29">
      <c r="A188" s="290">
        <v>7197</v>
      </c>
      <c r="B188" s="23" t="str">
        <f t="shared" si="12"/>
        <v>N-Imp_1500__kV_197</v>
      </c>
      <c r="C188" s="23">
        <v>810</v>
      </c>
      <c r="D188" s="142" t="str">
        <f>VLOOKUP(C188,tab_corredor!$A$2:$B$50,2,0)</f>
        <v>N-Imp</v>
      </c>
      <c r="E188" s="23">
        <v>1500</v>
      </c>
      <c r="F188" s="23" t="s">
        <v>2671</v>
      </c>
      <c r="G188" s="23">
        <v>1500</v>
      </c>
      <c r="H188" s="23">
        <v>1500</v>
      </c>
      <c r="I188" s="394">
        <v>5.0000000000000004E-6</v>
      </c>
      <c r="J188" s="394">
        <v>5.0000000000000004E-6</v>
      </c>
      <c r="K188" s="290">
        <v>1</v>
      </c>
      <c r="L188" s="291" t="s">
        <v>2619</v>
      </c>
      <c r="M188" s="23">
        <v>2015</v>
      </c>
      <c r="N188" s="23">
        <v>2100</v>
      </c>
      <c r="O188" s="292">
        <v>25</v>
      </c>
      <c r="P188" s="293">
        <v>2100</v>
      </c>
      <c r="Q188" s="294">
        <v>1</v>
      </c>
      <c r="R188" s="23"/>
      <c r="S188" s="148">
        <f t="shared" si="13"/>
        <v>2100</v>
      </c>
      <c r="T188" s="148">
        <f ca="1">IF(S188=0,"",S188*(OFFSET(cod_desembolso!$A$1,Q188,23)))</f>
        <v>2182.3840175367854</v>
      </c>
      <c r="U188" s="149">
        <f>(constantes!$B$3*(1+constantes!$B$3)^(O188))/((1+constantes!$B$3)^(O188)-1)</f>
        <v>9.3678779051968114E-2</v>
      </c>
      <c r="V188" s="148">
        <f t="shared" ca="1" si="14"/>
        <v>204.44307018537503</v>
      </c>
      <c r="W188" s="148">
        <f ca="1">(IF(S188=0,"",V188/constantes!$B$3))*1</f>
        <v>2555.538377317188</v>
      </c>
      <c r="X188" s="150">
        <f ca="1">IF(S188=0,"",PV(constantes!$B$3,O188,-V188)*constantes!$B$3)</f>
        <v>174.59072140294285</v>
      </c>
      <c r="Y188" s="85">
        <f t="shared" si="15"/>
        <v>1400</v>
      </c>
      <c r="Z188">
        <v>197</v>
      </c>
    </row>
    <row r="189" spans="1:29">
      <c r="A189" s="290">
        <v>7198</v>
      </c>
      <c r="B189" s="23" t="str">
        <f t="shared" si="12"/>
        <v>N-Imp_1500__kV_198</v>
      </c>
      <c r="C189" s="23">
        <v>810</v>
      </c>
      <c r="D189" s="142" t="str">
        <f>VLOOKUP(C189,tab_corredor!$A$2:$B$50,2,0)</f>
        <v>N-Imp</v>
      </c>
      <c r="E189" s="23">
        <v>1500</v>
      </c>
      <c r="F189" s="23" t="s">
        <v>2671</v>
      </c>
      <c r="G189" s="23">
        <v>1500</v>
      </c>
      <c r="H189" s="23">
        <v>1500</v>
      </c>
      <c r="I189" s="394">
        <v>5.0000000000000004E-6</v>
      </c>
      <c r="J189" s="394">
        <v>5.0000000000000004E-6</v>
      </c>
      <c r="K189" s="290">
        <v>1</v>
      </c>
      <c r="L189" s="291" t="s">
        <v>2619</v>
      </c>
      <c r="M189" s="23">
        <v>2015</v>
      </c>
      <c r="N189" s="23">
        <v>2100</v>
      </c>
      <c r="O189" s="292">
        <v>25</v>
      </c>
      <c r="P189" s="293">
        <v>2100</v>
      </c>
      <c r="Q189" s="294">
        <v>1</v>
      </c>
      <c r="R189" s="23"/>
      <c r="S189" s="148">
        <f t="shared" si="13"/>
        <v>2100</v>
      </c>
      <c r="T189" s="148">
        <f ca="1">IF(S189=0,"",S189*(OFFSET(cod_desembolso!$A$1,Q189,23)))</f>
        <v>2182.3840175367854</v>
      </c>
      <c r="U189" s="149">
        <f>(constantes!$B$3*(1+constantes!$B$3)^(O189))/((1+constantes!$B$3)^(O189)-1)</f>
        <v>9.3678779051968114E-2</v>
      </c>
      <c r="V189" s="148">
        <f t="shared" ca="1" si="14"/>
        <v>204.44307018537503</v>
      </c>
      <c r="W189" s="148">
        <f ca="1">(IF(S189=0,"",V189/constantes!$B$3))*1</f>
        <v>2555.538377317188</v>
      </c>
      <c r="X189" s="150">
        <f ca="1">IF(S189=0,"",PV(constantes!$B$3,O189,-V189)*constantes!$B$3)</f>
        <v>174.59072140294285</v>
      </c>
      <c r="Y189" s="85">
        <f t="shared" si="15"/>
        <v>1400</v>
      </c>
      <c r="Z189">
        <v>198</v>
      </c>
    </row>
    <row r="190" spans="1:29">
      <c r="A190" s="290">
        <v>7199</v>
      </c>
      <c r="B190" s="23" t="str">
        <f t="shared" si="12"/>
        <v>N-Imp_1500__kV_199</v>
      </c>
      <c r="C190" s="23">
        <v>810</v>
      </c>
      <c r="D190" s="142" t="str">
        <f>VLOOKUP(C190,tab_corredor!$A$2:$B$50,2,0)</f>
        <v>N-Imp</v>
      </c>
      <c r="E190" s="23">
        <v>1500</v>
      </c>
      <c r="F190" s="23" t="s">
        <v>2671</v>
      </c>
      <c r="G190" s="23">
        <v>1500</v>
      </c>
      <c r="H190" s="23">
        <v>1500</v>
      </c>
      <c r="I190" s="394">
        <v>5.0000000000000004E-6</v>
      </c>
      <c r="J190" s="394">
        <v>5.0000000000000004E-6</v>
      </c>
      <c r="K190" s="290">
        <v>1</v>
      </c>
      <c r="L190" s="291" t="s">
        <v>2619</v>
      </c>
      <c r="M190" s="23">
        <v>2015</v>
      </c>
      <c r="N190" s="23">
        <v>2100</v>
      </c>
      <c r="O190" s="292">
        <v>25</v>
      </c>
      <c r="P190" s="293">
        <v>2100</v>
      </c>
      <c r="Q190" s="294">
        <v>1</v>
      </c>
      <c r="R190" s="23"/>
      <c r="S190" s="148">
        <f t="shared" si="13"/>
        <v>2100</v>
      </c>
      <c r="T190" s="148">
        <f ca="1">IF(S190=0,"",S190*(OFFSET(cod_desembolso!$A$1,Q190,23)))</f>
        <v>2182.3840175367854</v>
      </c>
      <c r="U190" s="149">
        <f>(constantes!$B$3*(1+constantes!$B$3)^(O190))/((1+constantes!$B$3)^(O190)-1)</f>
        <v>9.3678779051968114E-2</v>
      </c>
      <c r="V190" s="148">
        <f t="shared" ca="1" si="14"/>
        <v>204.44307018537503</v>
      </c>
      <c r="W190" s="148">
        <f ca="1">(IF(S190=0,"",V190/constantes!$B$3))*1</f>
        <v>2555.538377317188</v>
      </c>
      <c r="X190" s="150">
        <f ca="1">IF(S190=0,"",PV(constantes!$B$3,O190,-V190)*constantes!$B$3)</f>
        <v>174.59072140294285</v>
      </c>
      <c r="Y190" s="85">
        <f t="shared" si="15"/>
        <v>1400</v>
      </c>
      <c r="Z190">
        <v>199</v>
      </c>
    </row>
    <row r="191" spans="1:29">
      <c r="A191" s="290">
        <v>7200</v>
      </c>
      <c r="B191" s="23" t="str">
        <f t="shared" si="12"/>
        <v>AC/RO/Mad-SE_1500__kV_200</v>
      </c>
      <c r="C191" s="23">
        <v>812</v>
      </c>
      <c r="D191" s="142" t="str">
        <f>VLOOKUP(C191,tab_corredor!$A$2:$B$50,2,0)</f>
        <v>AC/RO/Mad-SE</v>
      </c>
      <c r="E191" s="23">
        <v>1500</v>
      </c>
      <c r="F191" s="23" t="s">
        <v>2671</v>
      </c>
      <c r="G191" s="23">
        <v>1500</v>
      </c>
      <c r="H191" s="23">
        <v>1500</v>
      </c>
      <c r="I191" s="394">
        <v>5.0000000000000004E-6</v>
      </c>
      <c r="J191" s="394">
        <v>5.0000000000000004E-6</v>
      </c>
      <c r="K191" s="290">
        <v>1</v>
      </c>
      <c r="L191" s="291" t="s">
        <v>2619</v>
      </c>
      <c r="M191" s="23">
        <v>2015</v>
      </c>
      <c r="N191" s="23">
        <v>2100</v>
      </c>
      <c r="O191" s="292">
        <v>25</v>
      </c>
      <c r="P191" s="293">
        <v>2700</v>
      </c>
      <c r="Q191" s="294">
        <v>1</v>
      </c>
      <c r="R191" s="23"/>
      <c r="S191" s="148">
        <f t="shared" si="13"/>
        <v>2700</v>
      </c>
      <c r="T191" s="148">
        <f ca="1">IF(S191=0,"",S191*(OFFSET(cod_desembolso!$A$1,Q191,23)))</f>
        <v>2805.9223082615817</v>
      </c>
      <c r="U191" s="149">
        <f>(constantes!$B$3*(1+constantes!$B$3)^(O191))/((1+constantes!$B$3)^(O191)-1)</f>
        <v>9.3678779051968114E-2</v>
      </c>
      <c r="V191" s="148">
        <f t="shared" ca="1" si="14"/>
        <v>262.85537595262508</v>
      </c>
      <c r="W191" s="148">
        <f ca="1">(IF(S191=0,"",V191/constantes!$B$3))*1</f>
        <v>3285.6921994078134</v>
      </c>
      <c r="X191" s="150">
        <f ca="1">IF(S191=0,"",PV(constantes!$B$3,O191,-V191)*constantes!$B$3)</f>
        <v>224.47378466092658</v>
      </c>
      <c r="Y191" s="85">
        <f t="shared" si="15"/>
        <v>1800</v>
      </c>
      <c r="Z191">
        <v>200</v>
      </c>
      <c r="AA191">
        <v>1500</v>
      </c>
      <c r="AB191">
        <f>AA191*1000*AC191/10^6</f>
        <v>2100</v>
      </c>
      <c r="AC191">
        <v>1400</v>
      </c>
    </row>
    <row r="192" spans="1:29">
      <c r="A192" s="290">
        <v>7201</v>
      </c>
      <c r="B192" s="23" t="str">
        <f t="shared" si="12"/>
        <v>AC/RO/Mad-SE_1500__kV_201</v>
      </c>
      <c r="C192" s="23">
        <v>812</v>
      </c>
      <c r="D192" s="142" t="str">
        <f>VLOOKUP(C192,tab_corredor!$A$2:$B$50,2,0)</f>
        <v>AC/RO/Mad-SE</v>
      </c>
      <c r="E192" s="23">
        <v>1500</v>
      </c>
      <c r="F192" s="23" t="s">
        <v>2671</v>
      </c>
      <c r="G192" s="23">
        <v>1500</v>
      </c>
      <c r="H192" s="23">
        <v>1500</v>
      </c>
      <c r="I192" s="394">
        <v>5.0000000000000004E-6</v>
      </c>
      <c r="J192" s="394">
        <v>5.0000000000000004E-6</v>
      </c>
      <c r="K192" s="290">
        <v>1</v>
      </c>
      <c r="L192" s="291" t="s">
        <v>2619</v>
      </c>
      <c r="M192" s="23">
        <v>2015</v>
      </c>
      <c r="N192" s="23">
        <v>2100</v>
      </c>
      <c r="O192" s="292">
        <v>25</v>
      </c>
      <c r="P192" s="293">
        <v>2700</v>
      </c>
      <c r="Q192" s="294">
        <v>1</v>
      </c>
      <c r="R192" s="23"/>
      <c r="S192" s="148">
        <f t="shared" si="13"/>
        <v>2700</v>
      </c>
      <c r="T192" s="148">
        <f ca="1">IF(S192=0,"",S192*(OFFSET(cod_desembolso!$A$1,Q192,23)))</f>
        <v>2805.9223082615817</v>
      </c>
      <c r="U192" s="149">
        <f>(constantes!$B$3*(1+constantes!$B$3)^(O192))/((1+constantes!$B$3)^(O192)-1)</f>
        <v>9.3678779051968114E-2</v>
      </c>
      <c r="V192" s="148">
        <f t="shared" ca="1" si="14"/>
        <v>262.85537595262508</v>
      </c>
      <c r="W192" s="148">
        <f ca="1">(IF(S192=0,"",V192/constantes!$B$3))*1</f>
        <v>3285.6921994078134</v>
      </c>
      <c r="X192" s="150">
        <f ca="1">IF(S192=0,"",PV(constantes!$B$3,O192,-V192)*constantes!$B$3)</f>
        <v>224.47378466092658</v>
      </c>
      <c r="Y192" s="85">
        <f t="shared" si="15"/>
        <v>1800</v>
      </c>
      <c r="Z192">
        <v>201</v>
      </c>
    </row>
    <row r="193" spans="1:29">
      <c r="A193" s="290">
        <v>7202</v>
      </c>
      <c r="B193" s="23" t="str">
        <f t="shared" si="12"/>
        <v>AC/RO/Mad-SE_1500__kV_202</v>
      </c>
      <c r="C193" s="23">
        <v>812</v>
      </c>
      <c r="D193" s="142" t="str">
        <f>VLOOKUP(C193,tab_corredor!$A$2:$B$50,2,0)</f>
        <v>AC/RO/Mad-SE</v>
      </c>
      <c r="E193" s="23">
        <v>1500</v>
      </c>
      <c r="F193" s="23" t="s">
        <v>2671</v>
      </c>
      <c r="G193" s="23">
        <v>1500</v>
      </c>
      <c r="H193" s="23">
        <v>1500</v>
      </c>
      <c r="I193" s="394">
        <v>5.0000000000000004E-6</v>
      </c>
      <c r="J193" s="394">
        <v>5.0000000000000004E-6</v>
      </c>
      <c r="K193" s="290">
        <v>1</v>
      </c>
      <c r="L193" s="291" t="s">
        <v>2619</v>
      </c>
      <c r="M193" s="23">
        <v>2015</v>
      </c>
      <c r="N193" s="23">
        <v>2100</v>
      </c>
      <c r="O193" s="292">
        <v>25</v>
      </c>
      <c r="P193" s="293">
        <v>2700</v>
      </c>
      <c r="Q193" s="294">
        <v>1</v>
      </c>
      <c r="R193" s="23"/>
      <c r="S193" s="148">
        <f t="shared" si="13"/>
        <v>2700</v>
      </c>
      <c r="T193" s="148">
        <f ca="1">IF(S193=0,"",S193*(OFFSET(cod_desembolso!$A$1,Q193,23)))</f>
        <v>2805.9223082615817</v>
      </c>
      <c r="U193" s="149">
        <f>(constantes!$B$3*(1+constantes!$B$3)^(O193))/((1+constantes!$B$3)^(O193)-1)</f>
        <v>9.3678779051968114E-2</v>
      </c>
      <c r="V193" s="148">
        <f t="shared" ca="1" si="14"/>
        <v>262.85537595262508</v>
      </c>
      <c r="W193" s="148">
        <f ca="1">(IF(S193=0,"",V193/constantes!$B$3))*1</f>
        <v>3285.6921994078134</v>
      </c>
      <c r="X193" s="150">
        <f ca="1">IF(S193=0,"",PV(constantes!$B$3,O193,-V193)*constantes!$B$3)</f>
        <v>224.47378466092658</v>
      </c>
      <c r="Y193" s="85">
        <f t="shared" si="15"/>
        <v>1800</v>
      </c>
      <c r="Z193">
        <v>202</v>
      </c>
    </row>
    <row r="194" spans="1:29">
      <c r="A194" s="290">
        <v>7203</v>
      </c>
      <c r="B194" s="23" t="str">
        <f t="shared" si="12"/>
        <v>AC/RO/Mad-SE_1500__kV_203</v>
      </c>
      <c r="C194" s="23">
        <v>812</v>
      </c>
      <c r="D194" s="142" t="str">
        <f>VLOOKUP(C194,tab_corredor!$A$2:$B$50,2,0)</f>
        <v>AC/RO/Mad-SE</v>
      </c>
      <c r="E194" s="23">
        <v>1500</v>
      </c>
      <c r="F194" s="23" t="s">
        <v>2671</v>
      </c>
      <c r="G194" s="23">
        <v>1500</v>
      </c>
      <c r="H194" s="23">
        <v>1500</v>
      </c>
      <c r="I194" s="394">
        <v>5.0000000000000004E-6</v>
      </c>
      <c r="J194" s="394">
        <v>5.0000000000000004E-6</v>
      </c>
      <c r="K194" s="290">
        <v>1</v>
      </c>
      <c r="L194" s="291" t="s">
        <v>2619</v>
      </c>
      <c r="M194" s="23">
        <v>2015</v>
      </c>
      <c r="N194" s="23">
        <v>2100</v>
      </c>
      <c r="O194" s="292">
        <v>25</v>
      </c>
      <c r="P194" s="293">
        <v>2700</v>
      </c>
      <c r="Q194" s="294">
        <v>1</v>
      </c>
      <c r="R194" s="23"/>
      <c r="S194" s="148">
        <f t="shared" si="13"/>
        <v>2700</v>
      </c>
      <c r="T194" s="148">
        <f ca="1">IF(S194=0,"",S194*(OFFSET(cod_desembolso!$A$1,Q194,23)))</f>
        <v>2805.9223082615817</v>
      </c>
      <c r="U194" s="149">
        <f>(constantes!$B$3*(1+constantes!$B$3)^(O194))/((1+constantes!$B$3)^(O194)-1)</f>
        <v>9.3678779051968114E-2</v>
      </c>
      <c r="V194" s="148">
        <f t="shared" ca="1" si="14"/>
        <v>262.85537595262508</v>
      </c>
      <c r="W194" s="148">
        <f ca="1">(IF(S194=0,"",V194/constantes!$B$3))*1</f>
        <v>3285.6921994078134</v>
      </c>
      <c r="X194" s="150">
        <f ca="1">IF(S194=0,"",PV(constantes!$B$3,O194,-V194)*constantes!$B$3)</f>
        <v>224.47378466092658</v>
      </c>
      <c r="Y194" s="85">
        <f t="shared" si="15"/>
        <v>1800</v>
      </c>
      <c r="Z194">
        <v>203</v>
      </c>
    </row>
    <row r="195" spans="1:29">
      <c r="A195" s="290">
        <v>7204</v>
      </c>
      <c r="B195" s="23" t="str">
        <f t="shared" si="12"/>
        <v>AC/RO/Mad-SE_1500__kV_204</v>
      </c>
      <c r="C195" s="23">
        <v>812</v>
      </c>
      <c r="D195" s="142" t="str">
        <f>VLOOKUP(C195,tab_corredor!$A$2:$B$50,2,0)</f>
        <v>AC/RO/Mad-SE</v>
      </c>
      <c r="E195" s="23">
        <v>1500</v>
      </c>
      <c r="F195" s="23" t="s">
        <v>2671</v>
      </c>
      <c r="G195" s="23">
        <v>1500</v>
      </c>
      <c r="H195" s="23">
        <v>1500</v>
      </c>
      <c r="I195" s="394">
        <v>5.0000000000000004E-6</v>
      </c>
      <c r="J195" s="394">
        <v>5.0000000000000004E-6</v>
      </c>
      <c r="K195" s="290">
        <v>1</v>
      </c>
      <c r="L195" s="291" t="s">
        <v>2619</v>
      </c>
      <c r="M195" s="23">
        <v>2015</v>
      </c>
      <c r="N195" s="23">
        <v>2100</v>
      </c>
      <c r="O195" s="292">
        <v>25</v>
      </c>
      <c r="P195" s="293">
        <v>2700</v>
      </c>
      <c r="Q195" s="294">
        <v>1</v>
      </c>
      <c r="R195" s="23"/>
      <c r="S195" s="148">
        <f t="shared" si="13"/>
        <v>2700</v>
      </c>
      <c r="T195" s="148">
        <f ca="1">IF(S195=0,"",S195*(OFFSET(cod_desembolso!$A$1,Q195,23)))</f>
        <v>2805.9223082615817</v>
      </c>
      <c r="U195" s="149">
        <f>(constantes!$B$3*(1+constantes!$B$3)^(O195))/((1+constantes!$B$3)^(O195)-1)</f>
        <v>9.3678779051968114E-2</v>
      </c>
      <c r="V195" s="148">
        <f t="shared" ca="1" si="14"/>
        <v>262.85537595262508</v>
      </c>
      <c r="W195" s="148">
        <f ca="1">(IF(S195=0,"",V195/constantes!$B$3))*1</f>
        <v>3285.6921994078134</v>
      </c>
      <c r="X195" s="150">
        <f ca="1">IF(S195=0,"",PV(constantes!$B$3,O195,-V195)*constantes!$B$3)</f>
        <v>224.47378466092658</v>
      </c>
      <c r="Y195" s="85">
        <f t="shared" si="15"/>
        <v>1800</v>
      </c>
      <c r="Z195">
        <v>204</v>
      </c>
    </row>
    <row r="196" spans="1:29">
      <c r="A196" s="290">
        <v>7205</v>
      </c>
      <c r="B196" s="23" t="str">
        <f t="shared" si="12"/>
        <v>AC/RO/Mad-SE_1500__kV_205</v>
      </c>
      <c r="C196" s="23">
        <v>812</v>
      </c>
      <c r="D196" s="142" t="str">
        <f>VLOOKUP(C196,tab_corredor!$A$2:$B$50,2,0)</f>
        <v>AC/RO/Mad-SE</v>
      </c>
      <c r="E196" s="23">
        <v>1500</v>
      </c>
      <c r="F196" s="23" t="s">
        <v>2671</v>
      </c>
      <c r="G196" s="23">
        <v>1500</v>
      </c>
      <c r="H196" s="23">
        <v>1500</v>
      </c>
      <c r="I196" s="394">
        <v>5.0000000000000004E-6</v>
      </c>
      <c r="J196" s="394">
        <v>5.0000000000000004E-6</v>
      </c>
      <c r="K196" s="290">
        <v>1</v>
      </c>
      <c r="L196" s="291" t="s">
        <v>2619</v>
      </c>
      <c r="M196" s="23">
        <v>2015</v>
      </c>
      <c r="N196" s="23">
        <v>2100</v>
      </c>
      <c r="O196" s="292">
        <v>25</v>
      </c>
      <c r="P196" s="293">
        <v>2700</v>
      </c>
      <c r="Q196" s="294">
        <v>1</v>
      </c>
      <c r="R196" s="23"/>
      <c r="S196" s="148">
        <f t="shared" si="13"/>
        <v>2700</v>
      </c>
      <c r="T196" s="148">
        <f ca="1">IF(S196=0,"",S196*(OFFSET(cod_desembolso!$A$1,Q196,23)))</f>
        <v>2805.9223082615817</v>
      </c>
      <c r="U196" s="149">
        <f>(constantes!$B$3*(1+constantes!$B$3)^(O196))/((1+constantes!$B$3)^(O196)-1)</f>
        <v>9.3678779051968114E-2</v>
      </c>
      <c r="V196" s="148">
        <f t="shared" ca="1" si="14"/>
        <v>262.85537595262508</v>
      </c>
      <c r="W196" s="148">
        <f ca="1">(IF(S196=0,"",V196/constantes!$B$3))*1</f>
        <v>3285.6921994078134</v>
      </c>
      <c r="X196" s="150">
        <f ca="1">IF(S196=0,"",PV(constantes!$B$3,O196,-V196)*constantes!$B$3)</f>
        <v>224.47378466092658</v>
      </c>
      <c r="Y196" s="85">
        <f t="shared" si="15"/>
        <v>1800</v>
      </c>
      <c r="Z196">
        <v>205</v>
      </c>
    </row>
    <row r="197" spans="1:29">
      <c r="A197" s="290">
        <v>7206</v>
      </c>
      <c r="B197" s="23" t="str">
        <f t="shared" si="12"/>
        <v>AC/RO/Mad-SE_1500__kV_206</v>
      </c>
      <c r="C197" s="23">
        <v>812</v>
      </c>
      <c r="D197" s="142" t="str">
        <f>VLOOKUP(C197,tab_corredor!$A$2:$B$50,2,0)</f>
        <v>AC/RO/Mad-SE</v>
      </c>
      <c r="E197" s="23">
        <v>1500</v>
      </c>
      <c r="F197" s="23" t="s">
        <v>2671</v>
      </c>
      <c r="G197" s="23">
        <v>1500</v>
      </c>
      <c r="H197" s="23">
        <v>1500</v>
      </c>
      <c r="I197" s="394">
        <v>5.0000000000000004E-6</v>
      </c>
      <c r="J197" s="394">
        <v>5.0000000000000004E-6</v>
      </c>
      <c r="K197" s="290">
        <v>1</v>
      </c>
      <c r="L197" s="291" t="s">
        <v>2619</v>
      </c>
      <c r="M197" s="23">
        <v>2015</v>
      </c>
      <c r="N197" s="23">
        <v>2100</v>
      </c>
      <c r="O197" s="292">
        <v>25</v>
      </c>
      <c r="P197" s="293">
        <v>2700</v>
      </c>
      <c r="Q197" s="294">
        <v>1</v>
      </c>
      <c r="R197" s="23"/>
      <c r="S197" s="148">
        <f t="shared" si="13"/>
        <v>2700</v>
      </c>
      <c r="T197" s="148">
        <f ca="1">IF(S197=0,"",S197*(OFFSET(cod_desembolso!$A$1,Q197,23)))</f>
        <v>2805.9223082615817</v>
      </c>
      <c r="U197" s="149">
        <f>(constantes!$B$3*(1+constantes!$B$3)^(O197))/((1+constantes!$B$3)^(O197)-1)</f>
        <v>9.3678779051968114E-2</v>
      </c>
      <c r="V197" s="148">
        <f t="shared" ca="1" si="14"/>
        <v>262.85537595262508</v>
      </c>
      <c r="W197" s="148">
        <f ca="1">(IF(S197=0,"",V197/constantes!$B$3))*1</f>
        <v>3285.6921994078134</v>
      </c>
      <c r="X197" s="150">
        <f ca="1">IF(S197=0,"",PV(constantes!$B$3,O197,-V197)*constantes!$B$3)</f>
        <v>224.47378466092658</v>
      </c>
      <c r="Y197" s="85">
        <f t="shared" si="15"/>
        <v>1800</v>
      </c>
      <c r="Z197">
        <v>206</v>
      </c>
    </row>
    <row r="198" spans="1:29">
      <c r="A198" s="290">
        <v>7207</v>
      </c>
      <c r="B198" s="23" t="str">
        <f t="shared" si="12"/>
        <v>AC/RO/Mad-SE_1500__kV_207</v>
      </c>
      <c r="C198" s="23">
        <v>812</v>
      </c>
      <c r="D198" s="142" t="str">
        <f>VLOOKUP(C198,tab_corredor!$A$2:$B$50,2,0)</f>
        <v>AC/RO/Mad-SE</v>
      </c>
      <c r="E198" s="23">
        <v>1500</v>
      </c>
      <c r="F198" s="23" t="s">
        <v>2671</v>
      </c>
      <c r="G198" s="23">
        <v>1500</v>
      </c>
      <c r="H198" s="23">
        <v>1500</v>
      </c>
      <c r="I198" s="394">
        <v>5.0000000000000004E-6</v>
      </c>
      <c r="J198" s="394">
        <v>5.0000000000000004E-6</v>
      </c>
      <c r="K198" s="290">
        <v>1</v>
      </c>
      <c r="L198" s="291" t="s">
        <v>2619</v>
      </c>
      <c r="M198" s="23">
        <v>2015</v>
      </c>
      <c r="N198" s="23">
        <v>2100</v>
      </c>
      <c r="O198" s="292">
        <v>25</v>
      </c>
      <c r="P198" s="293">
        <v>2700</v>
      </c>
      <c r="Q198" s="294">
        <v>1</v>
      </c>
      <c r="R198" s="23"/>
      <c r="S198" s="148">
        <f t="shared" si="13"/>
        <v>2700</v>
      </c>
      <c r="T198" s="148">
        <f ca="1">IF(S198=0,"",S198*(OFFSET(cod_desembolso!$A$1,Q198,23)))</f>
        <v>2805.9223082615817</v>
      </c>
      <c r="U198" s="149">
        <f>(constantes!$B$3*(1+constantes!$B$3)^(O198))/((1+constantes!$B$3)^(O198)-1)</f>
        <v>9.3678779051968114E-2</v>
      </c>
      <c r="V198" s="148">
        <f t="shared" ca="1" si="14"/>
        <v>262.85537595262508</v>
      </c>
      <c r="W198" s="148">
        <f ca="1">(IF(S198=0,"",V198/constantes!$B$3))*1</f>
        <v>3285.6921994078134</v>
      </c>
      <c r="X198" s="150">
        <f ca="1">IF(S198=0,"",PV(constantes!$B$3,O198,-V198)*constantes!$B$3)</f>
        <v>224.47378466092658</v>
      </c>
      <c r="Y198" s="85">
        <f t="shared" si="15"/>
        <v>1800</v>
      </c>
      <c r="Z198">
        <v>207</v>
      </c>
    </row>
    <row r="199" spans="1:29">
      <c r="A199" s="290">
        <v>7208</v>
      </c>
      <c r="B199" s="23" t="str">
        <f t="shared" si="12"/>
        <v>AC/RO/Mad-SE_1500__kV_208</v>
      </c>
      <c r="C199" s="23">
        <v>812</v>
      </c>
      <c r="D199" s="142" t="str">
        <f>VLOOKUP(C199,tab_corredor!$A$2:$B$50,2,0)</f>
        <v>AC/RO/Mad-SE</v>
      </c>
      <c r="E199" s="23">
        <v>1500</v>
      </c>
      <c r="F199" s="23" t="s">
        <v>2671</v>
      </c>
      <c r="G199" s="23">
        <v>1500</v>
      </c>
      <c r="H199" s="23">
        <v>1500</v>
      </c>
      <c r="I199" s="394">
        <v>5.0000000000000004E-6</v>
      </c>
      <c r="J199" s="394">
        <v>5.0000000000000004E-6</v>
      </c>
      <c r="K199" s="290">
        <v>1</v>
      </c>
      <c r="L199" s="291" t="s">
        <v>2619</v>
      </c>
      <c r="M199" s="23">
        <v>2015</v>
      </c>
      <c r="N199" s="23">
        <v>2100</v>
      </c>
      <c r="O199" s="292">
        <v>25</v>
      </c>
      <c r="P199" s="293">
        <v>2700</v>
      </c>
      <c r="Q199" s="294">
        <v>1</v>
      </c>
      <c r="R199" s="23"/>
      <c r="S199" s="148">
        <f t="shared" si="13"/>
        <v>2700</v>
      </c>
      <c r="T199" s="148">
        <f ca="1">IF(S199=0,"",S199*(OFFSET(cod_desembolso!$A$1,Q199,23)))</f>
        <v>2805.9223082615817</v>
      </c>
      <c r="U199" s="149">
        <f>(constantes!$B$3*(1+constantes!$B$3)^(O199))/((1+constantes!$B$3)^(O199)-1)</f>
        <v>9.3678779051968114E-2</v>
      </c>
      <c r="V199" s="148">
        <f t="shared" ca="1" si="14"/>
        <v>262.85537595262508</v>
      </c>
      <c r="W199" s="148">
        <f ca="1">(IF(S199=0,"",V199/constantes!$B$3))*1</f>
        <v>3285.6921994078134</v>
      </c>
      <c r="X199" s="150">
        <f ca="1">IF(S199=0,"",PV(constantes!$B$3,O199,-V199)*constantes!$B$3)</f>
        <v>224.47378466092658</v>
      </c>
      <c r="Y199" s="85">
        <f t="shared" si="15"/>
        <v>1800</v>
      </c>
      <c r="Z199">
        <v>208</v>
      </c>
    </row>
    <row r="200" spans="1:29">
      <c r="A200" s="290">
        <v>7209</v>
      </c>
      <c r="B200" s="23" t="str">
        <f t="shared" si="12"/>
        <v>AC/RO/Mad-SE_1500__kV_209</v>
      </c>
      <c r="C200" s="23">
        <v>812</v>
      </c>
      <c r="D200" s="142" t="str">
        <f>VLOOKUP(C200,tab_corredor!$A$2:$B$50,2,0)</f>
        <v>AC/RO/Mad-SE</v>
      </c>
      <c r="E200" s="23">
        <v>1500</v>
      </c>
      <c r="F200" s="23" t="s">
        <v>2671</v>
      </c>
      <c r="G200" s="23">
        <v>1500</v>
      </c>
      <c r="H200" s="23">
        <v>1500</v>
      </c>
      <c r="I200" s="394">
        <v>5.0000000000000004E-6</v>
      </c>
      <c r="J200" s="394">
        <v>5.0000000000000004E-6</v>
      </c>
      <c r="K200" s="290">
        <v>1</v>
      </c>
      <c r="L200" s="291" t="s">
        <v>2619</v>
      </c>
      <c r="M200" s="23">
        <v>2015</v>
      </c>
      <c r="N200" s="23">
        <v>2100</v>
      </c>
      <c r="O200" s="292">
        <v>25</v>
      </c>
      <c r="P200" s="293">
        <v>2700</v>
      </c>
      <c r="Q200" s="294">
        <v>1</v>
      </c>
      <c r="R200" s="23"/>
      <c r="S200" s="148">
        <f t="shared" si="13"/>
        <v>2700</v>
      </c>
      <c r="T200" s="148">
        <f ca="1">IF(S200=0,"",S200*(OFFSET(cod_desembolso!$A$1,Q200,23)))</f>
        <v>2805.9223082615817</v>
      </c>
      <c r="U200" s="149">
        <f>(constantes!$B$3*(1+constantes!$B$3)^(O200))/((1+constantes!$B$3)^(O200)-1)</f>
        <v>9.3678779051968114E-2</v>
      </c>
      <c r="V200" s="148">
        <f t="shared" ca="1" si="14"/>
        <v>262.85537595262508</v>
      </c>
      <c r="W200" s="148">
        <f ca="1">(IF(S200=0,"",V200/constantes!$B$3))*1</f>
        <v>3285.6921994078134</v>
      </c>
      <c r="X200" s="150">
        <f ca="1">IF(S200=0,"",PV(constantes!$B$3,O200,-V200)*constantes!$B$3)</f>
        <v>224.47378466092658</v>
      </c>
      <c r="Y200" s="85">
        <f t="shared" si="15"/>
        <v>1800</v>
      </c>
      <c r="Z200">
        <v>209</v>
      </c>
    </row>
    <row r="201" spans="1:29">
      <c r="A201" s="290">
        <v>7210</v>
      </c>
      <c r="B201" s="23" t="str">
        <f t="shared" si="12"/>
        <v>AC/RO/Mad-SE_1500__kV_210</v>
      </c>
      <c r="C201" s="23">
        <v>812</v>
      </c>
      <c r="D201" s="142" t="str">
        <f>VLOOKUP(C201,tab_corredor!$A$2:$B$50,2,0)</f>
        <v>AC/RO/Mad-SE</v>
      </c>
      <c r="E201" s="23">
        <v>1500</v>
      </c>
      <c r="F201" s="23" t="s">
        <v>2671</v>
      </c>
      <c r="G201" s="23">
        <v>1500</v>
      </c>
      <c r="H201" s="23">
        <v>1500</v>
      </c>
      <c r="I201" s="394">
        <v>5.0000000000000004E-6</v>
      </c>
      <c r="J201" s="394">
        <v>5.0000000000000004E-6</v>
      </c>
      <c r="K201" s="290">
        <v>1</v>
      </c>
      <c r="L201" s="291" t="s">
        <v>2619</v>
      </c>
      <c r="M201" s="23">
        <v>2015</v>
      </c>
      <c r="N201" s="23">
        <v>2100</v>
      </c>
      <c r="O201" s="292">
        <v>25</v>
      </c>
      <c r="P201" s="293">
        <v>2700</v>
      </c>
      <c r="Q201" s="294">
        <v>1</v>
      </c>
      <c r="R201" s="23"/>
      <c r="S201" s="148">
        <f t="shared" si="13"/>
        <v>2700</v>
      </c>
      <c r="T201" s="148">
        <f ca="1">IF(S201=0,"",S201*(OFFSET(cod_desembolso!$A$1,Q201,23)))</f>
        <v>2805.9223082615817</v>
      </c>
      <c r="U201" s="149">
        <f>(constantes!$B$3*(1+constantes!$B$3)^(O201))/((1+constantes!$B$3)^(O201)-1)</f>
        <v>9.3678779051968114E-2</v>
      </c>
      <c r="V201" s="148">
        <f t="shared" ca="1" si="14"/>
        <v>262.85537595262508</v>
      </c>
      <c r="W201" s="148">
        <f ca="1">(IF(S201=0,"",V201/constantes!$B$3))*1</f>
        <v>3285.6921994078134</v>
      </c>
      <c r="X201" s="150">
        <f ca="1">IF(S201=0,"",PV(constantes!$B$3,O201,-V201)*constantes!$B$3)</f>
        <v>224.47378466092658</v>
      </c>
      <c r="Y201" s="85">
        <f t="shared" si="15"/>
        <v>1800</v>
      </c>
      <c r="Z201">
        <v>210</v>
      </c>
    </row>
    <row r="202" spans="1:29">
      <c r="A202" s="290">
        <v>7211</v>
      </c>
      <c r="B202" s="23" t="str">
        <f t="shared" si="12"/>
        <v>AC/RO/Mad-SE_1500__kV_211</v>
      </c>
      <c r="C202" s="23">
        <v>812</v>
      </c>
      <c r="D202" s="142" t="str">
        <f>VLOOKUP(C202,tab_corredor!$A$2:$B$50,2,0)</f>
        <v>AC/RO/Mad-SE</v>
      </c>
      <c r="E202" s="23">
        <v>1500</v>
      </c>
      <c r="F202" s="23" t="s">
        <v>2671</v>
      </c>
      <c r="G202" s="23">
        <v>1500</v>
      </c>
      <c r="H202" s="23">
        <v>1500</v>
      </c>
      <c r="I202" s="394">
        <v>5.0000000000000004E-6</v>
      </c>
      <c r="J202" s="394">
        <v>5.0000000000000004E-6</v>
      </c>
      <c r="K202" s="290">
        <v>1</v>
      </c>
      <c r="L202" s="291" t="s">
        <v>2619</v>
      </c>
      <c r="M202" s="23">
        <v>2015</v>
      </c>
      <c r="N202" s="23">
        <v>2100</v>
      </c>
      <c r="O202" s="292">
        <v>25</v>
      </c>
      <c r="P202" s="293">
        <v>2700</v>
      </c>
      <c r="Q202" s="294">
        <v>1</v>
      </c>
      <c r="R202" s="23"/>
      <c r="S202" s="148">
        <f t="shared" si="13"/>
        <v>2700</v>
      </c>
      <c r="T202" s="148">
        <f ca="1">IF(S202=0,"",S202*(OFFSET(cod_desembolso!$A$1,Q202,23)))</f>
        <v>2805.9223082615817</v>
      </c>
      <c r="U202" s="149">
        <f>(constantes!$B$3*(1+constantes!$B$3)^(O202))/((1+constantes!$B$3)^(O202)-1)</f>
        <v>9.3678779051968114E-2</v>
      </c>
      <c r="V202" s="148">
        <f t="shared" ca="1" si="14"/>
        <v>262.85537595262508</v>
      </c>
      <c r="W202" s="148">
        <f ca="1">(IF(S202=0,"",V202/constantes!$B$3))*1</f>
        <v>3285.6921994078134</v>
      </c>
      <c r="X202" s="150">
        <f ca="1">IF(S202=0,"",PV(constantes!$B$3,O202,-V202)*constantes!$B$3)</f>
        <v>224.47378466092658</v>
      </c>
      <c r="Y202" s="85">
        <f t="shared" si="15"/>
        <v>1800</v>
      </c>
      <c r="Z202">
        <v>211</v>
      </c>
    </row>
    <row r="203" spans="1:29">
      <c r="A203" s="290">
        <v>7212</v>
      </c>
      <c r="B203" s="23" t="str">
        <f t="shared" si="12"/>
        <v>AC/RO/Mad-SE_1500__kV_212</v>
      </c>
      <c r="C203" s="23">
        <v>812</v>
      </c>
      <c r="D203" s="142" t="str">
        <f>VLOOKUP(C203,tab_corredor!$A$2:$B$50,2,0)</f>
        <v>AC/RO/Mad-SE</v>
      </c>
      <c r="E203" s="23">
        <v>1500</v>
      </c>
      <c r="F203" s="23" t="s">
        <v>2671</v>
      </c>
      <c r="G203" s="23">
        <v>1500</v>
      </c>
      <c r="H203" s="23">
        <v>1500</v>
      </c>
      <c r="I203" s="394">
        <v>5.0000000000000004E-6</v>
      </c>
      <c r="J203" s="394">
        <v>5.0000000000000004E-6</v>
      </c>
      <c r="K203" s="290">
        <v>1</v>
      </c>
      <c r="L203" s="291" t="s">
        <v>2619</v>
      </c>
      <c r="M203" s="23">
        <v>2015</v>
      </c>
      <c r="N203" s="23">
        <v>2100</v>
      </c>
      <c r="O203" s="292">
        <v>25</v>
      </c>
      <c r="P203" s="293">
        <v>2700</v>
      </c>
      <c r="Q203" s="294">
        <v>1</v>
      </c>
      <c r="R203" s="23"/>
      <c r="S203" s="148">
        <f t="shared" si="13"/>
        <v>2700</v>
      </c>
      <c r="T203" s="148">
        <f ca="1">IF(S203=0,"",S203*(OFFSET(cod_desembolso!$A$1,Q203,23)))</f>
        <v>2805.9223082615817</v>
      </c>
      <c r="U203" s="149">
        <f>(constantes!$B$3*(1+constantes!$B$3)^(O203))/((1+constantes!$B$3)^(O203)-1)</f>
        <v>9.3678779051968114E-2</v>
      </c>
      <c r="V203" s="148">
        <f t="shared" ca="1" si="14"/>
        <v>262.85537595262508</v>
      </c>
      <c r="W203" s="148">
        <f ca="1">(IF(S203=0,"",V203/constantes!$B$3))*1</f>
        <v>3285.6921994078134</v>
      </c>
      <c r="X203" s="150">
        <f ca="1">IF(S203=0,"",PV(constantes!$B$3,O203,-V203)*constantes!$B$3)</f>
        <v>224.47378466092658</v>
      </c>
      <c r="Y203" s="85">
        <f t="shared" si="15"/>
        <v>1800</v>
      </c>
      <c r="Z203">
        <v>212</v>
      </c>
    </row>
    <row r="204" spans="1:29">
      <c r="A204" s="290">
        <v>7213</v>
      </c>
      <c r="B204" s="23" t="str">
        <f t="shared" si="12"/>
        <v>AC/RO/Mad-SE_1500__kV_213</v>
      </c>
      <c r="C204" s="23">
        <v>812</v>
      </c>
      <c r="D204" s="142" t="str">
        <f>VLOOKUP(C204,tab_corredor!$A$2:$B$50,2,0)</f>
        <v>AC/RO/Mad-SE</v>
      </c>
      <c r="E204" s="23">
        <v>1500</v>
      </c>
      <c r="F204" s="23" t="s">
        <v>2671</v>
      </c>
      <c r="G204" s="23">
        <v>1500</v>
      </c>
      <c r="H204" s="23">
        <v>1500</v>
      </c>
      <c r="I204" s="394">
        <v>5.0000000000000004E-6</v>
      </c>
      <c r="J204" s="394">
        <v>5.0000000000000004E-6</v>
      </c>
      <c r="K204" s="290">
        <v>1</v>
      </c>
      <c r="L204" s="291" t="s">
        <v>2619</v>
      </c>
      <c r="M204" s="23">
        <v>2015</v>
      </c>
      <c r="N204" s="23">
        <v>2100</v>
      </c>
      <c r="O204" s="292">
        <v>25</v>
      </c>
      <c r="P204" s="293">
        <v>2700</v>
      </c>
      <c r="Q204" s="294">
        <v>1</v>
      </c>
      <c r="R204" s="23"/>
      <c r="S204" s="148">
        <f t="shared" si="13"/>
        <v>2700</v>
      </c>
      <c r="T204" s="148">
        <f ca="1">IF(S204=0,"",S204*(OFFSET(cod_desembolso!$A$1,Q204,23)))</f>
        <v>2805.9223082615817</v>
      </c>
      <c r="U204" s="149">
        <f>(constantes!$B$3*(1+constantes!$B$3)^(O204))/((1+constantes!$B$3)^(O204)-1)</f>
        <v>9.3678779051968114E-2</v>
      </c>
      <c r="V204" s="148">
        <f t="shared" ca="1" si="14"/>
        <v>262.85537595262508</v>
      </c>
      <c r="W204" s="148">
        <f ca="1">(IF(S204=0,"",V204/constantes!$B$3))*1</f>
        <v>3285.6921994078134</v>
      </c>
      <c r="X204" s="150">
        <f ca="1">IF(S204=0,"",PV(constantes!$B$3,O204,-V204)*constantes!$B$3)</f>
        <v>224.47378466092658</v>
      </c>
      <c r="Y204" s="85">
        <f t="shared" si="15"/>
        <v>1800</v>
      </c>
      <c r="Z204">
        <v>213</v>
      </c>
      <c r="AA204" s="396"/>
      <c r="AB204" s="396"/>
      <c r="AC204" s="396"/>
    </row>
    <row r="205" spans="1:29">
      <c r="A205" s="290">
        <v>7214</v>
      </c>
      <c r="B205" s="23" t="str">
        <f t="shared" si="12"/>
        <v>AC/RO/Mad-SE_1500__kV_214</v>
      </c>
      <c r="C205" s="23">
        <v>812</v>
      </c>
      <c r="D205" s="142" t="str">
        <f>VLOOKUP(C205,tab_corredor!$A$2:$B$50,2,0)</f>
        <v>AC/RO/Mad-SE</v>
      </c>
      <c r="E205" s="23">
        <v>1500</v>
      </c>
      <c r="F205" s="23" t="s">
        <v>2671</v>
      </c>
      <c r="G205" s="23">
        <v>1500</v>
      </c>
      <c r="H205" s="23">
        <v>1500</v>
      </c>
      <c r="I205" s="394">
        <v>5.0000000000000004E-6</v>
      </c>
      <c r="J205" s="394">
        <v>5.0000000000000004E-6</v>
      </c>
      <c r="K205" s="290">
        <v>1</v>
      </c>
      <c r="L205" s="291" t="s">
        <v>2619</v>
      </c>
      <c r="M205" s="23">
        <v>2015</v>
      </c>
      <c r="N205" s="23">
        <v>2100</v>
      </c>
      <c r="O205" s="292">
        <v>25</v>
      </c>
      <c r="P205" s="293">
        <v>2700</v>
      </c>
      <c r="Q205" s="294">
        <v>1</v>
      </c>
      <c r="R205" s="23"/>
      <c r="S205" s="148">
        <f t="shared" si="13"/>
        <v>2700</v>
      </c>
      <c r="T205" s="148">
        <f ca="1">IF(S205=0,"",S205*(OFFSET(cod_desembolso!$A$1,Q205,23)))</f>
        <v>2805.9223082615817</v>
      </c>
      <c r="U205" s="149">
        <f>(constantes!$B$3*(1+constantes!$B$3)^(O205))/((1+constantes!$B$3)^(O205)-1)</f>
        <v>9.3678779051968114E-2</v>
      </c>
      <c r="V205" s="148">
        <f t="shared" ca="1" si="14"/>
        <v>262.85537595262508</v>
      </c>
      <c r="W205" s="148">
        <f ca="1">(IF(S205=0,"",V205/constantes!$B$3))*1</f>
        <v>3285.6921994078134</v>
      </c>
      <c r="X205" s="150">
        <f ca="1">IF(S205=0,"",PV(constantes!$B$3,O205,-V205)*constantes!$B$3)</f>
        <v>224.47378466092658</v>
      </c>
      <c r="Y205" s="85">
        <f t="shared" si="15"/>
        <v>1800</v>
      </c>
      <c r="Z205">
        <v>214</v>
      </c>
      <c r="AA205" s="396"/>
      <c r="AB205" s="396"/>
      <c r="AC205" s="396"/>
    </row>
    <row r="206" spans="1:29" s="396" customFormat="1">
      <c r="A206" s="290">
        <v>7215</v>
      </c>
      <c r="B206" s="405" t="str">
        <f t="shared" si="12"/>
        <v>Manaus-AC/RO/Mad_1500__kV_215</v>
      </c>
      <c r="C206" s="405">
        <v>813</v>
      </c>
      <c r="D206" s="406" t="str">
        <f>VLOOKUP(C206,tab_corredor!$A$2:$B$50,2,0)</f>
        <v>Manaus-AC/RO/Mad</v>
      </c>
      <c r="E206" s="405">
        <v>1500</v>
      </c>
      <c r="F206" s="23" t="s">
        <v>2671</v>
      </c>
      <c r="G206" s="23">
        <v>1500</v>
      </c>
      <c r="H206" s="23">
        <v>1500</v>
      </c>
      <c r="I206" s="394">
        <v>5.0000000000000004E-6</v>
      </c>
      <c r="J206" s="394">
        <v>5.0000000000000004E-6</v>
      </c>
      <c r="K206" s="405">
        <v>1</v>
      </c>
      <c r="L206" s="405" t="s">
        <v>2619</v>
      </c>
      <c r="M206" s="23">
        <v>2015</v>
      </c>
      <c r="N206" s="405">
        <v>2100</v>
      </c>
      <c r="O206" s="292">
        <v>25</v>
      </c>
      <c r="P206" s="407">
        <v>2700</v>
      </c>
      <c r="Q206" s="408">
        <v>1</v>
      </c>
      <c r="R206" s="405"/>
      <c r="S206" s="409">
        <f t="shared" si="13"/>
        <v>2700</v>
      </c>
      <c r="T206" s="148">
        <f ca="1">IF(S206=0,"",S206*(OFFSET(cod_desembolso!$A$1,Q206,23)))</f>
        <v>2805.9223082615817</v>
      </c>
      <c r="U206" s="410">
        <f>(constantes!$B$3*(1+constantes!$B$3)^(O206))/((1+constantes!$B$3)^(O206)-1)</f>
        <v>9.3678779051968114E-2</v>
      </c>
      <c r="V206" s="409">
        <f t="shared" ca="1" si="14"/>
        <v>262.85537595262508</v>
      </c>
      <c r="W206" s="409">
        <f ca="1">(IF(S206=0,"",V206/constantes!$B$3))*1</f>
        <v>3285.6921994078134</v>
      </c>
      <c r="X206" s="411">
        <f ca="1">IF(S206=0,"",PV(constantes!$B$3,O206,-V206)*constantes!$B$3)</f>
        <v>224.47378466092658</v>
      </c>
      <c r="Y206" s="412">
        <f t="shared" si="15"/>
        <v>1800</v>
      </c>
      <c r="Z206">
        <v>215</v>
      </c>
      <c r="AA206"/>
      <c r="AB206"/>
      <c r="AC206"/>
    </row>
    <row r="207" spans="1:29" s="396" customFormat="1">
      <c r="A207" s="290">
        <v>7216</v>
      </c>
      <c r="B207" s="405" t="str">
        <f t="shared" si="12"/>
        <v>Manaus-AC/RO/Mad_1500__kV_216</v>
      </c>
      <c r="C207" s="405">
        <v>813</v>
      </c>
      <c r="D207" s="406" t="str">
        <f>VLOOKUP(C207,tab_corredor!$A$2:$B$50,2,0)</f>
        <v>Manaus-AC/RO/Mad</v>
      </c>
      <c r="E207" s="405">
        <v>1500</v>
      </c>
      <c r="F207" s="23" t="s">
        <v>2671</v>
      </c>
      <c r="G207" s="23">
        <v>1500</v>
      </c>
      <c r="H207" s="23">
        <v>1500</v>
      </c>
      <c r="I207" s="394">
        <v>5.0000000000000004E-6</v>
      </c>
      <c r="J207" s="394">
        <v>5.0000000000000004E-6</v>
      </c>
      <c r="K207" s="405">
        <v>1</v>
      </c>
      <c r="L207" s="405" t="s">
        <v>2619</v>
      </c>
      <c r="M207" s="23">
        <v>2015</v>
      </c>
      <c r="N207" s="405">
        <v>2100</v>
      </c>
      <c r="O207" s="292">
        <v>25</v>
      </c>
      <c r="P207" s="407">
        <v>2700</v>
      </c>
      <c r="Q207" s="408">
        <v>1</v>
      </c>
      <c r="R207" s="405"/>
      <c r="S207" s="409">
        <f t="shared" si="13"/>
        <v>2700</v>
      </c>
      <c r="T207" s="148">
        <f ca="1">IF(S207=0,"",S207*(OFFSET(cod_desembolso!$A$1,Q207,23)))</f>
        <v>2805.9223082615817</v>
      </c>
      <c r="U207" s="410">
        <f>(constantes!$B$3*(1+constantes!$B$3)^(O207))/((1+constantes!$B$3)^(O207)-1)</f>
        <v>9.3678779051968114E-2</v>
      </c>
      <c r="V207" s="409">
        <f t="shared" ca="1" si="14"/>
        <v>262.85537595262508</v>
      </c>
      <c r="W207" s="409">
        <f ca="1">(IF(S207=0,"",V207/constantes!$B$3))*1</f>
        <v>3285.6921994078134</v>
      </c>
      <c r="X207" s="411">
        <f ca="1">IF(S207=0,"",PV(constantes!$B$3,O207,-V207)*constantes!$B$3)</f>
        <v>224.47378466092658</v>
      </c>
      <c r="Y207" s="412">
        <f t="shared" si="15"/>
        <v>1800</v>
      </c>
      <c r="Z207">
        <v>216</v>
      </c>
      <c r="AA207"/>
      <c r="AB207"/>
      <c r="AC207"/>
    </row>
    <row r="208" spans="1:29" s="396" customFormat="1">
      <c r="A208" s="290">
        <v>7217</v>
      </c>
      <c r="B208" s="405" t="str">
        <f t="shared" si="12"/>
        <v>Manaus-AC/RO/Mad_1500__kV_217</v>
      </c>
      <c r="C208" s="405">
        <v>813</v>
      </c>
      <c r="D208" s="406" t="str">
        <f>VLOOKUP(C208,tab_corredor!$A$2:$B$50,2,0)</f>
        <v>Manaus-AC/RO/Mad</v>
      </c>
      <c r="E208" s="405">
        <v>1500</v>
      </c>
      <c r="F208" s="23" t="s">
        <v>2671</v>
      </c>
      <c r="G208" s="23">
        <v>1500</v>
      </c>
      <c r="H208" s="23">
        <v>1500</v>
      </c>
      <c r="I208" s="394">
        <v>5.0000000000000004E-6</v>
      </c>
      <c r="J208" s="394">
        <v>5.0000000000000004E-6</v>
      </c>
      <c r="K208" s="405">
        <v>1</v>
      </c>
      <c r="L208" s="405" t="s">
        <v>2619</v>
      </c>
      <c r="M208" s="23">
        <v>2015</v>
      </c>
      <c r="N208" s="405">
        <v>2100</v>
      </c>
      <c r="O208" s="292">
        <v>25</v>
      </c>
      <c r="P208" s="407">
        <v>2700</v>
      </c>
      <c r="Q208" s="408">
        <v>1</v>
      </c>
      <c r="R208" s="405"/>
      <c r="S208" s="409">
        <f t="shared" si="13"/>
        <v>2700</v>
      </c>
      <c r="T208" s="148">
        <f ca="1">IF(S208=0,"",S208*(OFFSET(cod_desembolso!$A$1,Q208,23)))</f>
        <v>2805.9223082615817</v>
      </c>
      <c r="U208" s="410">
        <f>(constantes!$B$3*(1+constantes!$B$3)^(O208))/((1+constantes!$B$3)^(O208)-1)</f>
        <v>9.3678779051968114E-2</v>
      </c>
      <c r="V208" s="409">
        <f t="shared" ca="1" si="14"/>
        <v>262.85537595262508</v>
      </c>
      <c r="W208" s="409">
        <f ca="1">(IF(S208=0,"",V208/constantes!$B$3))*1</f>
        <v>3285.6921994078134</v>
      </c>
      <c r="X208" s="411">
        <f ca="1">IF(S208=0,"",PV(constantes!$B$3,O208,-V208)*constantes!$B$3)</f>
        <v>224.47378466092658</v>
      </c>
      <c r="Y208" s="412">
        <f t="shared" si="15"/>
        <v>1800</v>
      </c>
      <c r="Z208">
        <v>217</v>
      </c>
      <c r="AA208"/>
      <c r="AB208"/>
      <c r="AC208"/>
    </row>
    <row r="209" spans="1:29" s="396" customFormat="1">
      <c r="A209" s="290">
        <v>7218</v>
      </c>
      <c r="B209" s="405" t="str">
        <f t="shared" si="12"/>
        <v>Manaus-AC/RO/Mad_1500__kV_218</v>
      </c>
      <c r="C209" s="405">
        <v>813</v>
      </c>
      <c r="D209" s="406" t="str">
        <f>VLOOKUP(C209,tab_corredor!$A$2:$B$50,2,0)</f>
        <v>Manaus-AC/RO/Mad</v>
      </c>
      <c r="E209" s="23">
        <v>1500</v>
      </c>
      <c r="F209" s="23" t="s">
        <v>2671</v>
      </c>
      <c r="G209" s="23">
        <v>1500</v>
      </c>
      <c r="H209" s="23">
        <v>1500</v>
      </c>
      <c r="I209" s="394">
        <v>5.0000000000000004E-6</v>
      </c>
      <c r="J209" s="394">
        <v>5.0000000000000004E-6</v>
      </c>
      <c r="K209" s="405">
        <v>1</v>
      </c>
      <c r="L209" s="405" t="s">
        <v>2619</v>
      </c>
      <c r="M209" s="23">
        <v>2015</v>
      </c>
      <c r="N209" s="405">
        <v>2100</v>
      </c>
      <c r="O209" s="292">
        <v>25</v>
      </c>
      <c r="P209" s="407">
        <v>2700</v>
      </c>
      <c r="Q209" s="408">
        <v>1</v>
      </c>
      <c r="R209" s="405"/>
      <c r="S209" s="409">
        <f t="shared" si="13"/>
        <v>2700</v>
      </c>
      <c r="T209" s="148">
        <f ca="1">IF(S209=0,"",S209*(OFFSET(cod_desembolso!$A$1,Q209,23)))</f>
        <v>2805.9223082615817</v>
      </c>
      <c r="U209" s="410">
        <f>(constantes!$B$3*(1+constantes!$B$3)^(O209))/((1+constantes!$B$3)^(O209)-1)</f>
        <v>9.3678779051968114E-2</v>
      </c>
      <c r="V209" s="409">
        <f t="shared" ca="1" si="14"/>
        <v>262.85537595262508</v>
      </c>
      <c r="W209" s="409">
        <f ca="1">(IF(S209=0,"",V209/constantes!$B$3))*1</f>
        <v>3285.6921994078134</v>
      </c>
      <c r="X209" s="411">
        <f ca="1">IF(S209=0,"",PV(constantes!$B$3,O209,-V209)*constantes!$B$3)</f>
        <v>224.47378466092658</v>
      </c>
      <c r="Y209" s="412">
        <f t="shared" si="15"/>
        <v>1800</v>
      </c>
      <c r="Z209">
        <v>218</v>
      </c>
      <c r="AA209"/>
      <c r="AB209"/>
      <c r="AC209"/>
    </row>
    <row r="210" spans="1:29" s="396" customFormat="1">
      <c r="A210" s="290">
        <v>7219</v>
      </c>
      <c r="B210" s="405" t="str">
        <f t="shared" si="12"/>
        <v>Manaus-AC/RO/Mad_1500__kV_219</v>
      </c>
      <c r="C210" s="405">
        <v>813</v>
      </c>
      <c r="D210" s="406" t="str">
        <f>VLOOKUP(C210,tab_corredor!$A$2:$B$50,2,0)</f>
        <v>Manaus-AC/RO/Mad</v>
      </c>
      <c r="E210" s="23">
        <v>1500</v>
      </c>
      <c r="F210" s="23" t="s">
        <v>2671</v>
      </c>
      <c r="G210" s="23">
        <v>1500</v>
      </c>
      <c r="H210" s="23">
        <v>1500</v>
      </c>
      <c r="I210" s="394">
        <v>5.0000000000000004E-6</v>
      </c>
      <c r="J210" s="394">
        <v>5.0000000000000004E-6</v>
      </c>
      <c r="K210" s="405">
        <v>1</v>
      </c>
      <c r="L210" s="405" t="s">
        <v>2619</v>
      </c>
      <c r="M210" s="23">
        <v>2015</v>
      </c>
      <c r="N210" s="405">
        <v>2100</v>
      </c>
      <c r="O210" s="292">
        <v>25</v>
      </c>
      <c r="P210" s="407">
        <v>2700</v>
      </c>
      <c r="Q210" s="408">
        <v>1</v>
      </c>
      <c r="R210" s="405"/>
      <c r="S210" s="409">
        <f t="shared" si="13"/>
        <v>2700</v>
      </c>
      <c r="T210" s="148">
        <f ca="1">IF(S210=0,"",S210*(OFFSET(cod_desembolso!$A$1,Q210,23)))</f>
        <v>2805.9223082615817</v>
      </c>
      <c r="U210" s="410">
        <f>(constantes!$B$3*(1+constantes!$B$3)^(O210))/((1+constantes!$B$3)^(O210)-1)</f>
        <v>9.3678779051968114E-2</v>
      </c>
      <c r="V210" s="409">
        <f t="shared" ca="1" si="14"/>
        <v>262.85537595262508</v>
      </c>
      <c r="W210" s="409">
        <f ca="1">(IF(S210=0,"",V210/constantes!$B$3))*1</f>
        <v>3285.6921994078134</v>
      </c>
      <c r="X210" s="411">
        <f ca="1">IF(S210=0,"",PV(constantes!$B$3,O210,-V210)*constantes!$B$3)</f>
        <v>224.47378466092658</v>
      </c>
      <c r="Y210" s="412">
        <f t="shared" si="15"/>
        <v>1800</v>
      </c>
      <c r="Z210">
        <v>219</v>
      </c>
      <c r="AA210"/>
      <c r="AB210"/>
      <c r="AC210"/>
    </row>
    <row r="211" spans="1:29" s="396" customFormat="1">
      <c r="A211" s="290">
        <v>7220</v>
      </c>
      <c r="B211" s="405" t="str">
        <f t="shared" si="12"/>
        <v>Manaus-AC/RO/Mad_1500__kV_220</v>
      </c>
      <c r="C211" s="405">
        <v>813</v>
      </c>
      <c r="D211" s="406" t="str">
        <f>VLOOKUP(C211,tab_corredor!$A$2:$B$50,2,0)</f>
        <v>Manaus-AC/RO/Mad</v>
      </c>
      <c r="E211" s="23">
        <v>1500</v>
      </c>
      <c r="F211" s="23" t="s">
        <v>2671</v>
      </c>
      <c r="G211" s="23">
        <v>1500</v>
      </c>
      <c r="H211" s="23">
        <v>1500</v>
      </c>
      <c r="I211" s="394">
        <v>5.0000000000000004E-6</v>
      </c>
      <c r="J211" s="394">
        <v>5.0000000000000004E-6</v>
      </c>
      <c r="K211" s="405">
        <v>1</v>
      </c>
      <c r="L211" s="405" t="s">
        <v>2619</v>
      </c>
      <c r="M211" s="23">
        <v>2015</v>
      </c>
      <c r="N211" s="405">
        <v>2100</v>
      </c>
      <c r="O211" s="292">
        <v>25</v>
      </c>
      <c r="P211" s="407">
        <v>2700</v>
      </c>
      <c r="Q211" s="408">
        <v>1</v>
      </c>
      <c r="R211" s="405"/>
      <c r="S211" s="409">
        <f t="shared" si="13"/>
        <v>2700</v>
      </c>
      <c r="T211" s="148">
        <f ca="1">IF(S211=0,"",S211*(OFFSET(cod_desembolso!$A$1,Q211,23)))</f>
        <v>2805.9223082615817</v>
      </c>
      <c r="U211" s="410">
        <f>(constantes!$B$3*(1+constantes!$B$3)^(O211))/((1+constantes!$B$3)^(O211)-1)</f>
        <v>9.3678779051968114E-2</v>
      </c>
      <c r="V211" s="409">
        <f t="shared" ca="1" si="14"/>
        <v>262.85537595262508</v>
      </c>
      <c r="W211" s="409">
        <f ca="1">(IF(S211=0,"",V211/constantes!$B$3))*1</f>
        <v>3285.6921994078134</v>
      </c>
      <c r="X211" s="411">
        <f ca="1">IF(S211=0,"",PV(constantes!$B$3,O211,-V211)*constantes!$B$3)</f>
        <v>224.47378466092658</v>
      </c>
      <c r="Y211" s="412">
        <f t="shared" si="15"/>
        <v>1800</v>
      </c>
      <c r="Z211">
        <v>220</v>
      </c>
      <c r="AA211"/>
      <c r="AB211"/>
      <c r="AC211"/>
    </row>
    <row r="212" spans="1:29" s="421" customFormat="1">
      <c r="A212" s="290">
        <v>7221</v>
      </c>
      <c r="B212" s="413" t="str">
        <f t="shared" si="12"/>
        <v>Manaus-AC/RO/Mad_1500__kV_221</v>
      </c>
      <c r="C212" s="413">
        <v>813</v>
      </c>
      <c r="D212" s="414" t="str">
        <f>VLOOKUP(C212,tab_corredor!$A$2:$B$50,2,0)</f>
        <v>Manaus-AC/RO/Mad</v>
      </c>
      <c r="E212" s="23">
        <v>1500</v>
      </c>
      <c r="F212" s="23" t="s">
        <v>2671</v>
      </c>
      <c r="G212" s="23">
        <v>1500</v>
      </c>
      <c r="H212" s="23">
        <v>1500</v>
      </c>
      <c r="I212" s="394">
        <v>5.0000000000000004E-6</v>
      </c>
      <c r="J212" s="394">
        <v>5.0000000000000004E-6</v>
      </c>
      <c r="K212" s="413">
        <v>1</v>
      </c>
      <c r="L212" s="413" t="s">
        <v>2619</v>
      </c>
      <c r="M212" s="23">
        <v>2015</v>
      </c>
      <c r="N212" s="413">
        <v>2100</v>
      </c>
      <c r="O212" s="292">
        <v>25</v>
      </c>
      <c r="P212" s="415">
        <v>2700</v>
      </c>
      <c r="Q212" s="416">
        <v>1</v>
      </c>
      <c r="R212" s="413"/>
      <c r="S212" s="409">
        <f t="shared" si="13"/>
        <v>2700</v>
      </c>
      <c r="T212" s="148">
        <f ca="1">IF(S212=0,"",S212*(OFFSET(cod_desembolso!$A$1,Q212,23)))</f>
        <v>2805.9223082615817</v>
      </c>
      <c r="U212" s="418">
        <f>(constantes!$B$3*(1+constantes!$B$3)^(O212))/((1+constantes!$B$3)^(O212)-1)</f>
        <v>9.3678779051968114E-2</v>
      </c>
      <c r="V212" s="417">
        <f t="shared" ca="1" si="14"/>
        <v>262.85537595262508</v>
      </c>
      <c r="W212" s="417">
        <f ca="1">(IF(S212=0,"",V212/constantes!$B$3))*1</f>
        <v>3285.6921994078134</v>
      </c>
      <c r="X212" s="419">
        <f ca="1">IF(S212=0,"",PV(constantes!$B$3,O212,-V212)*constantes!$B$3)</f>
        <v>224.47378466092658</v>
      </c>
      <c r="Y212" s="420">
        <f t="shared" si="15"/>
        <v>1800</v>
      </c>
      <c r="Z212">
        <v>221</v>
      </c>
      <c r="AA212" s="396"/>
      <c r="AB212" s="396"/>
      <c r="AC212" s="396"/>
    </row>
    <row r="213" spans="1:29" s="396" customFormat="1">
      <c r="A213" s="290">
        <v>7222</v>
      </c>
      <c r="B213" s="405" t="str">
        <f t="shared" si="12"/>
        <v>Manaus-AC/RO/Mad_1500__kV_222</v>
      </c>
      <c r="C213" s="405">
        <v>813</v>
      </c>
      <c r="D213" s="406" t="str">
        <f>VLOOKUP(C213,tab_corredor!$A$2:$B$50,2,0)</f>
        <v>Manaus-AC/RO/Mad</v>
      </c>
      <c r="E213" s="23">
        <v>1500</v>
      </c>
      <c r="F213" s="23" t="s">
        <v>2671</v>
      </c>
      <c r="G213" s="23">
        <v>1500</v>
      </c>
      <c r="H213" s="23">
        <v>1500</v>
      </c>
      <c r="I213" s="394">
        <v>5.0000000000000004E-6</v>
      </c>
      <c r="J213" s="394">
        <v>5.0000000000000004E-6</v>
      </c>
      <c r="K213" s="405">
        <v>1</v>
      </c>
      <c r="L213" s="405" t="s">
        <v>2619</v>
      </c>
      <c r="M213" s="23">
        <v>2015</v>
      </c>
      <c r="N213" s="405">
        <v>2100</v>
      </c>
      <c r="O213" s="292">
        <v>25</v>
      </c>
      <c r="P213" s="407">
        <v>2700</v>
      </c>
      <c r="Q213" s="408">
        <v>1</v>
      </c>
      <c r="R213" s="405"/>
      <c r="S213" s="409">
        <f t="shared" si="13"/>
        <v>2700</v>
      </c>
      <c r="T213" s="148">
        <f ca="1">IF(S213=0,"",S213*(OFFSET(cod_desembolso!$A$1,Q213,23)))</f>
        <v>2805.9223082615817</v>
      </c>
      <c r="U213" s="410">
        <f>(constantes!$B$3*(1+constantes!$B$3)^(O213))/((1+constantes!$B$3)^(O213)-1)</f>
        <v>9.3678779051968114E-2</v>
      </c>
      <c r="V213" s="409">
        <f t="shared" ca="1" si="14"/>
        <v>262.85537595262508</v>
      </c>
      <c r="W213" s="409">
        <f ca="1">(IF(S213=0,"",V213/constantes!$B$3))*1</f>
        <v>3285.6921994078134</v>
      </c>
      <c r="X213" s="411">
        <f ca="1">IF(S213=0,"",PV(constantes!$B$3,O213,-V213)*constantes!$B$3)</f>
        <v>224.47378466092658</v>
      </c>
      <c r="Y213" s="412">
        <f t="shared" si="15"/>
        <v>1800</v>
      </c>
      <c r="Z213">
        <v>222</v>
      </c>
    </row>
    <row r="214" spans="1:29" s="396" customFormat="1">
      <c r="A214" s="290">
        <v>7223</v>
      </c>
      <c r="B214" s="405" t="str">
        <f t="shared" si="12"/>
        <v>Manaus-AC/RO/Mad_1500__kV_223</v>
      </c>
      <c r="C214" s="405">
        <v>813</v>
      </c>
      <c r="D214" s="406" t="str">
        <f>VLOOKUP(C214,tab_corredor!$A$2:$B$50,2,0)</f>
        <v>Manaus-AC/RO/Mad</v>
      </c>
      <c r="E214" s="23">
        <v>1500</v>
      </c>
      <c r="F214" s="23" t="s">
        <v>2671</v>
      </c>
      <c r="G214" s="23">
        <v>1500</v>
      </c>
      <c r="H214" s="23">
        <v>1500</v>
      </c>
      <c r="I214" s="394">
        <v>5.0000000000000004E-6</v>
      </c>
      <c r="J214" s="394">
        <v>5.0000000000000004E-6</v>
      </c>
      <c r="K214" s="405">
        <v>1</v>
      </c>
      <c r="L214" s="405" t="s">
        <v>2619</v>
      </c>
      <c r="M214" s="23">
        <v>2015</v>
      </c>
      <c r="N214" s="405">
        <v>2100</v>
      </c>
      <c r="O214" s="292">
        <v>25</v>
      </c>
      <c r="P214" s="407">
        <v>2700</v>
      </c>
      <c r="Q214" s="408">
        <v>1</v>
      </c>
      <c r="R214" s="405"/>
      <c r="S214" s="409">
        <f t="shared" si="13"/>
        <v>2700</v>
      </c>
      <c r="T214" s="148">
        <f ca="1">IF(S214=0,"",S214*(OFFSET(cod_desembolso!$A$1,Q214,23)))</f>
        <v>2805.9223082615817</v>
      </c>
      <c r="U214" s="410">
        <f>(constantes!$B$3*(1+constantes!$B$3)^(O214))/((1+constantes!$B$3)^(O214)-1)</f>
        <v>9.3678779051968114E-2</v>
      </c>
      <c r="V214" s="409">
        <f t="shared" ca="1" si="14"/>
        <v>262.85537595262508</v>
      </c>
      <c r="W214" s="409">
        <f ca="1">(IF(S214=0,"",V214/constantes!$B$3))*1</f>
        <v>3285.6921994078134</v>
      </c>
      <c r="X214" s="411">
        <f ca="1">IF(S214=0,"",PV(constantes!$B$3,O214,-V214)*constantes!$B$3)</f>
        <v>224.47378466092658</v>
      </c>
      <c r="Y214" s="412">
        <f t="shared" si="15"/>
        <v>1800</v>
      </c>
      <c r="Z214">
        <v>223</v>
      </c>
    </row>
    <row r="215" spans="1:29" s="396" customFormat="1">
      <c r="A215" s="290">
        <v>7224</v>
      </c>
      <c r="B215" s="405" t="str">
        <f t="shared" si="12"/>
        <v>Manaus-AC/RO/Mad_1500__kV_224</v>
      </c>
      <c r="C215" s="405">
        <v>813</v>
      </c>
      <c r="D215" s="406" t="str">
        <f>VLOOKUP(C215,tab_corredor!$A$2:$B$50,2,0)</f>
        <v>Manaus-AC/RO/Mad</v>
      </c>
      <c r="E215" s="23">
        <v>1500</v>
      </c>
      <c r="F215" s="23" t="s">
        <v>2671</v>
      </c>
      <c r="G215" s="23">
        <v>1500</v>
      </c>
      <c r="H215" s="23">
        <v>1500</v>
      </c>
      <c r="I215" s="394">
        <v>5.0000000000000004E-6</v>
      </c>
      <c r="J215" s="394">
        <v>5.0000000000000004E-6</v>
      </c>
      <c r="K215" s="405">
        <v>1</v>
      </c>
      <c r="L215" s="405" t="s">
        <v>2619</v>
      </c>
      <c r="M215" s="23">
        <v>2015</v>
      </c>
      <c r="N215" s="405">
        <v>2100</v>
      </c>
      <c r="O215" s="292">
        <v>25</v>
      </c>
      <c r="P215" s="407">
        <v>2700</v>
      </c>
      <c r="Q215" s="408">
        <v>1</v>
      </c>
      <c r="R215" s="405"/>
      <c r="S215" s="409">
        <f t="shared" si="13"/>
        <v>2700</v>
      </c>
      <c r="T215" s="148">
        <f ca="1">IF(S215=0,"",S215*(OFFSET(cod_desembolso!$A$1,Q215,23)))</f>
        <v>2805.9223082615817</v>
      </c>
      <c r="U215" s="410">
        <f>(constantes!$B$3*(1+constantes!$B$3)^(O215))/((1+constantes!$B$3)^(O215)-1)</f>
        <v>9.3678779051968114E-2</v>
      </c>
      <c r="V215" s="409">
        <f t="shared" ca="1" si="14"/>
        <v>262.85537595262508</v>
      </c>
      <c r="W215" s="409">
        <f ca="1">(IF(S215=0,"",V215/constantes!$B$3))*1</f>
        <v>3285.6921994078134</v>
      </c>
      <c r="X215" s="411">
        <f ca="1">IF(S215=0,"",PV(constantes!$B$3,O215,-V215)*constantes!$B$3)</f>
        <v>224.47378466092658</v>
      </c>
      <c r="Y215" s="412">
        <f t="shared" si="15"/>
        <v>1800</v>
      </c>
      <c r="Z215">
        <v>224</v>
      </c>
    </row>
    <row r="216" spans="1:29" s="396" customFormat="1">
      <c r="A216" s="290">
        <v>7225</v>
      </c>
      <c r="B216" s="405" t="str">
        <f t="shared" si="12"/>
        <v>Manaus-AC/RO/Mad_1500__kV_225</v>
      </c>
      <c r="C216" s="405">
        <v>813</v>
      </c>
      <c r="D216" s="406" t="str">
        <f>VLOOKUP(C216,tab_corredor!$A$2:$B$50,2,0)</f>
        <v>Manaus-AC/RO/Mad</v>
      </c>
      <c r="E216" s="23">
        <v>1500</v>
      </c>
      <c r="F216" s="23" t="s">
        <v>2671</v>
      </c>
      <c r="G216" s="23">
        <v>1500</v>
      </c>
      <c r="H216" s="23">
        <v>1500</v>
      </c>
      <c r="I216" s="394">
        <v>5.0000000000000004E-6</v>
      </c>
      <c r="J216" s="394">
        <v>5.0000000000000004E-6</v>
      </c>
      <c r="K216" s="405">
        <v>1</v>
      </c>
      <c r="L216" s="405" t="s">
        <v>2619</v>
      </c>
      <c r="M216" s="23">
        <v>2015</v>
      </c>
      <c r="N216" s="405">
        <v>2100</v>
      </c>
      <c r="O216" s="292">
        <v>25</v>
      </c>
      <c r="P216" s="407">
        <v>2700</v>
      </c>
      <c r="Q216" s="408">
        <v>1</v>
      </c>
      <c r="R216" s="405"/>
      <c r="S216" s="409">
        <f t="shared" si="13"/>
        <v>2700</v>
      </c>
      <c r="T216" s="148">
        <f ca="1">IF(S216=0,"",S216*(OFFSET(cod_desembolso!$A$1,Q216,23)))</f>
        <v>2805.9223082615817</v>
      </c>
      <c r="U216" s="410">
        <f>(constantes!$B$3*(1+constantes!$B$3)^(O216))/((1+constantes!$B$3)^(O216)-1)</f>
        <v>9.3678779051968114E-2</v>
      </c>
      <c r="V216" s="409">
        <f t="shared" ca="1" si="14"/>
        <v>262.85537595262508</v>
      </c>
      <c r="W216" s="409">
        <f ca="1">(IF(S216=0,"",V216/constantes!$B$3))*1</f>
        <v>3285.6921994078134</v>
      </c>
      <c r="X216" s="411">
        <f ca="1">IF(S216=0,"",PV(constantes!$B$3,O216,-V216)*constantes!$B$3)</f>
        <v>224.47378466092658</v>
      </c>
      <c r="Y216" s="412">
        <f t="shared" si="15"/>
        <v>1800</v>
      </c>
      <c r="Z216">
        <v>225</v>
      </c>
      <c r="AA216" s="421"/>
      <c r="AB216" s="421"/>
      <c r="AC216" s="421"/>
    </row>
    <row r="217" spans="1:29" s="396" customFormat="1">
      <c r="A217" s="290">
        <v>7226</v>
      </c>
      <c r="B217" s="405" t="str">
        <f t="shared" si="12"/>
        <v>Manaus-AC/RO/Mad_1500__kV_226</v>
      </c>
      <c r="C217" s="405">
        <v>813</v>
      </c>
      <c r="D217" s="406" t="str">
        <f>VLOOKUP(C217,tab_corredor!$A$2:$B$50,2,0)</f>
        <v>Manaus-AC/RO/Mad</v>
      </c>
      <c r="E217" s="23">
        <v>1500</v>
      </c>
      <c r="F217" s="23" t="s">
        <v>2671</v>
      </c>
      <c r="G217" s="23">
        <v>1500</v>
      </c>
      <c r="H217" s="23">
        <v>1500</v>
      </c>
      <c r="I217" s="394">
        <v>5.0000000000000004E-6</v>
      </c>
      <c r="J217" s="394">
        <v>5.0000000000000004E-6</v>
      </c>
      <c r="K217" s="405">
        <v>1</v>
      </c>
      <c r="L217" s="405" t="s">
        <v>2619</v>
      </c>
      <c r="M217" s="23">
        <v>2015</v>
      </c>
      <c r="N217" s="405">
        <v>2100</v>
      </c>
      <c r="O217" s="292">
        <v>25</v>
      </c>
      <c r="P217" s="407">
        <v>2700</v>
      </c>
      <c r="Q217" s="408">
        <v>1</v>
      </c>
      <c r="R217" s="405"/>
      <c r="S217" s="409">
        <f t="shared" si="13"/>
        <v>2700</v>
      </c>
      <c r="T217" s="148">
        <f ca="1">IF(S217=0,"",S217*(OFFSET(cod_desembolso!$A$1,Q217,23)))</f>
        <v>2805.9223082615817</v>
      </c>
      <c r="U217" s="410">
        <f>(constantes!$B$3*(1+constantes!$B$3)^(O217))/((1+constantes!$B$3)^(O217)-1)</f>
        <v>9.3678779051968114E-2</v>
      </c>
      <c r="V217" s="409">
        <f t="shared" ca="1" si="14"/>
        <v>262.85537595262508</v>
      </c>
      <c r="W217" s="409">
        <f ca="1">(IF(S217=0,"",V217/constantes!$B$3))*1</f>
        <v>3285.6921994078134</v>
      </c>
      <c r="X217" s="411">
        <f ca="1">IF(S217=0,"",PV(constantes!$B$3,O217,-V217)*constantes!$B$3)</f>
        <v>224.47378466092658</v>
      </c>
      <c r="Y217" s="412">
        <f t="shared" si="15"/>
        <v>1800</v>
      </c>
      <c r="Z217">
        <v>226</v>
      </c>
    </row>
    <row r="218" spans="1:29">
      <c r="A218" s="290">
        <v>7227</v>
      </c>
      <c r="B218" s="23" t="str">
        <f t="shared" si="12"/>
        <v>Tap-N_1500__kV_227</v>
      </c>
      <c r="C218" s="23">
        <v>814</v>
      </c>
      <c r="D218" s="142" t="str">
        <f>VLOOKUP(C218,tab_corredor!$A$2:$B$50,2,0)</f>
        <v>Tap-N</v>
      </c>
      <c r="E218" s="23">
        <v>1500</v>
      </c>
      <c r="F218" s="23" t="s">
        <v>2671</v>
      </c>
      <c r="G218" s="23">
        <v>1500</v>
      </c>
      <c r="H218" s="23">
        <v>1500</v>
      </c>
      <c r="I218" s="394">
        <v>5.0000000000000004E-6</v>
      </c>
      <c r="J218" s="394">
        <v>5.0000000000000004E-6</v>
      </c>
      <c r="K218" s="290">
        <v>1</v>
      </c>
      <c r="L218" s="291" t="s">
        <v>2619</v>
      </c>
      <c r="M218" s="23">
        <v>2015</v>
      </c>
      <c r="N218" s="23">
        <v>2100</v>
      </c>
      <c r="O218" s="292">
        <v>25</v>
      </c>
      <c r="P218" s="293">
        <v>2700</v>
      </c>
      <c r="Q218" s="294">
        <v>1</v>
      </c>
      <c r="R218" s="23"/>
      <c r="S218" s="409">
        <f t="shared" si="13"/>
        <v>2700</v>
      </c>
      <c r="T218" s="148">
        <f ca="1">IF(S218=0,"",S218*(OFFSET(cod_desembolso!$A$1,Q218,23)))</f>
        <v>2805.9223082615817</v>
      </c>
      <c r="U218" s="149">
        <f>(constantes!$B$3*(1+constantes!$B$3)^(O218))/((1+constantes!$B$3)^(O218)-1)</f>
        <v>9.3678779051968114E-2</v>
      </c>
      <c r="V218" s="148">
        <f t="shared" ca="1" si="14"/>
        <v>262.85537595262508</v>
      </c>
      <c r="W218" s="148">
        <f ca="1">(IF(S218=0,"",V218/constantes!$B$3))*1</f>
        <v>3285.6921994078134</v>
      </c>
      <c r="X218" s="150">
        <f ca="1">IF(S218=0,"",PV(constantes!$B$3,O218,-V218)*constantes!$B$3)</f>
        <v>224.47378466092658</v>
      </c>
      <c r="Y218" s="85">
        <f t="shared" si="15"/>
        <v>1800</v>
      </c>
      <c r="Z218">
        <v>227</v>
      </c>
    </row>
    <row r="219" spans="1:29">
      <c r="A219" s="290">
        <v>7228</v>
      </c>
      <c r="B219" s="23" t="str">
        <f t="shared" si="12"/>
        <v>Tap-N_1500__kV_228</v>
      </c>
      <c r="C219" s="23">
        <v>814</v>
      </c>
      <c r="D219" s="142" t="str">
        <f>VLOOKUP(C219,tab_corredor!$A$2:$B$50,2,0)</f>
        <v>Tap-N</v>
      </c>
      <c r="E219" s="23">
        <v>1500</v>
      </c>
      <c r="F219" s="23" t="s">
        <v>2671</v>
      </c>
      <c r="G219" s="23">
        <v>1500</v>
      </c>
      <c r="H219" s="23">
        <v>1500</v>
      </c>
      <c r="I219" s="394">
        <v>5.0000000000000004E-6</v>
      </c>
      <c r="J219" s="394">
        <v>5.0000000000000004E-6</v>
      </c>
      <c r="K219" s="290">
        <v>1</v>
      </c>
      <c r="L219" s="291" t="s">
        <v>2619</v>
      </c>
      <c r="M219" s="23">
        <v>2015</v>
      </c>
      <c r="N219" s="23">
        <v>2100</v>
      </c>
      <c r="O219" s="292">
        <v>25</v>
      </c>
      <c r="P219" s="293">
        <v>2700</v>
      </c>
      <c r="Q219" s="294">
        <v>1</v>
      </c>
      <c r="R219" s="23"/>
      <c r="S219" s="148">
        <f t="shared" ref="S219:S255" si="16">P219+R219</f>
        <v>2700</v>
      </c>
      <c r="T219" s="148">
        <f ca="1">IF(S219=0,"",S219*(OFFSET(cod_desembolso!$A$1,Q219,23)))</f>
        <v>2805.9223082615817</v>
      </c>
      <c r="U219" s="149">
        <f>(constantes!$B$3*(1+constantes!$B$3)^(O219))/((1+constantes!$B$3)^(O219)-1)</f>
        <v>9.3678779051968114E-2</v>
      </c>
      <c r="V219" s="148">
        <f t="shared" ca="1" si="14"/>
        <v>262.85537595262508</v>
      </c>
      <c r="W219" s="148">
        <f ca="1">(IF(S219=0,"",V219/constantes!$B$3))*1</f>
        <v>3285.6921994078134</v>
      </c>
      <c r="X219" s="150">
        <f ca="1">IF(S219=0,"",PV(constantes!$B$3,O219,-V219)*constantes!$B$3)</f>
        <v>224.47378466092658</v>
      </c>
      <c r="Y219" s="85">
        <f t="shared" si="15"/>
        <v>1800</v>
      </c>
      <c r="Z219">
        <v>228</v>
      </c>
    </row>
    <row r="220" spans="1:29">
      <c r="A220" s="290">
        <v>7229</v>
      </c>
      <c r="B220" s="23" t="str">
        <f t="shared" si="12"/>
        <v>Tap-N_1500__kV_229</v>
      </c>
      <c r="C220" s="23">
        <v>814</v>
      </c>
      <c r="D220" s="142" t="str">
        <f>VLOOKUP(C220,tab_corredor!$A$2:$B$50,2,0)</f>
        <v>Tap-N</v>
      </c>
      <c r="E220" s="23">
        <v>1500</v>
      </c>
      <c r="F220" s="23" t="s">
        <v>2671</v>
      </c>
      <c r="G220" s="23">
        <v>1500</v>
      </c>
      <c r="H220" s="23">
        <v>1500</v>
      </c>
      <c r="I220" s="394">
        <v>5.0000000000000004E-6</v>
      </c>
      <c r="J220" s="394">
        <v>5.0000000000000004E-6</v>
      </c>
      <c r="K220" s="290">
        <v>1</v>
      </c>
      <c r="L220" s="291" t="s">
        <v>2619</v>
      </c>
      <c r="M220" s="23">
        <v>2015</v>
      </c>
      <c r="N220" s="23">
        <v>2100</v>
      </c>
      <c r="O220" s="292">
        <v>25</v>
      </c>
      <c r="P220" s="293">
        <v>2700</v>
      </c>
      <c r="Q220" s="294">
        <v>1</v>
      </c>
      <c r="R220" s="23"/>
      <c r="S220" s="148">
        <f t="shared" si="16"/>
        <v>2700</v>
      </c>
      <c r="T220" s="148">
        <f ca="1">IF(S220=0,"",S220*(OFFSET(cod_desembolso!$A$1,Q220,23)))</f>
        <v>2805.9223082615817</v>
      </c>
      <c r="U220" s="149">
        <f>(constantes!$B$3*(1+constantes!$B$3)^(O220))/((1+constantes!$B$3)^(O220)-1)</f>
        <v>9.3678779051968114E-2</v>
      </c>
      <c r="V220" s="148">
        <f t="shared" ca="1" si="14"/>
        <v>262.85537595262508</v>
      </c>
      <c r="W220" s="148">
        <f ca="1">(IF(S220=0,"",V220/constantes!$B$3))*1</f>
        <v>3285.6921994078134</v>
      </c>
      <c r="X220" s="150">
        <f ca="1">IF(S220=0,"",PV(constantes!$B$3,O220,-V220)*constantes!$B$3)</f>
        <v>224.47378466092658</v>
      </c>
      <c r="Y220" s="85">
        <f t="shared" si="15"/>
        <v>1800</v>
      </c>
      <c r="Z220">
        <v>229</v>
      </c>
    </row>
    <row r="221" spans="1:29">
      <c r="A221" s="290">
        <v>7230</v>
      </c>
      <c r="B221" s="23" t="str">
        <f t="shared" si="12"/>
        <v>Tap-N_1500__kV_230</v>
      </c>
      <c r="C221" s="23">
        <v>814</v>
      </c>
      <c r="D221" s="142" t="str">
        <f>VLOOKUP(C221,tab_corredor!$A$2:$B$50,2,0)</f>
        <v>Tap-N</v>
      </c>
      <c r="E221" s="23">
        <v>1500</v>
      </c>
      <c r="F221" s="23" t="s">
        <v>2671</v>
      </c>
      <c r="G221" s="23">
        <v>1500</v>
      </c>
      <c r="H221" s="23">
        <v>1500</v>
      </c>
      <c r="I221" s="394">
        <v>5.0000000000000004E-6</v>
      </c>
      <c r="J221" s="394">
        <v>5.0000000000000004E-6</v>
      </c>
      <c r="K221" s="290">
        <v>1</v>
      </c>
      <c r="L221" s="291" t="s">
        <v>2619</v>
      </c>
      <c r="M221" s="23">
        <v>2015</v>
      </c>
      <c r="N221" s="23">
        <v>2100</v>
      </c>
      <c r="O221" s="292">
        <v>25</v>
      </c>
      <c r="P221" s="293">
        <v>2700</v>
      </c>
      <c r="Q221" s="294">
        <v>1</v>
      </c>
      <c r="R221" s="23"/>
      <c r="S221" s="148">
        <f t="shared" si="16"/>
        <v>2700</v>
      </c>
      <c r="T221" s="148">
        <f ca="1">IF(S221=0,"",S221*(OFFSET(cod_desembolso!$A$1,Q221,23)))</f>
        <v>2805.9223082615817</v>
      </c>
      <c r="U221" s="149">
        <f>(constantes!$B$3*(1+constantes!$B$3)^(O221))/((1+constantes!$B$3)^(O221)-1)</f>
        <v>9.3678779051968114E-2</v>
      </c>
      <c r="V221" s="148">
        <f t="shared" ca="1" si="14"/>
        <v>262.85537595262508</v>
      </c>
      <c r="W221" s="148">
        <f ca="1">(IF(S221=0,"",V221/constantes!$B$3))*1</f>
        <v>3285.6921994078134</v>
      </c>
      <c r="X221" s="150">
        <f ca="1">IF(S221=0,"",PV(constantes!$B$3,O221,-V221)*constantes!$B$3)</f>
        <v>224.47378466092658</v>
      </c>
      <c r="Y221" s="85">
        <f t="shared" si="15"/>
        <v>1800</v>
      </c>
      <c r="Z221">
        <v>230</v>
      </c>
    </row>
    <row r="222" spans="1:29">
      <c r="A222" s="290">
        <v>7231</v>
      </c>
      <c r="B222" s="23" t="str">
        <f t="shared" si="12"/>
        <v>Tap-N_1500__kV_231</v>
      </c>
      <c r="C222" s="23">
        <v>814</v>
      </c>
      <c r="D222" s="142" t="str">
        <f>VLOOKUP(C222,tab_corredor!$A$2:$B$50,2,0)</f>
        <v>Tap-N</v>
      </c>
      <c r="E222" s="23">
        <v>1500</v>
      </c>
      <c r="F222" s="23" t="s">
        <v>2671</v>
      </c>
      <c r="G222" s="23">
        <v>1500</v>
      </c>
      <c r="H222" s="23">
        <v>1500</v>
      </c>
      <c r="I222" s="394">
        <v>5.0000000000000004E-6</v>
      </c>
      <c r="J222" s="394">
        <v>5.0000000000000004E-6</v>
      </c>
      <c r="K222" s="290">
        <v>1</v>
      </c>
      <c r="L222" s="291" t="s">
        <v>2619</v>
      </c>
      <c r="M222" s="23">
        <v>2015</v>
      </c>
      <c r="N222" s="23">
        <v>2100</v>
      </c>
      <c r="O222" s="292">
        <v>25</v>
      </c>
      <c r="P222" s="293">
        <v>2700</v>
      </c>
      <c r="Q222" s="294">
        <v>1</v>
      </c>
      <c r="R222" s="23"/>
      <c r="S222" s="148">
        <f t="shared" si="16"/>
        <v>2700</v>
      </c>
      <c r="T222" s="148">
        <f ca="1">IF(S222=0,"",S222*(OFFSET(cod_desembolso!$A$1,Q222,23)))</f>
        <v>2805.9223082615817</v>
      </c>
      <c r="U222" s="149">
        <f>(constantes!$B$3*(1+constantes!$B$3)^(O222))/((1+constantes!$B$3)^(O222)-1)</f>
        <v>9.3678779051968114E-2</v>
      </c>
      <c r="V222" s="148">
        <f t="shared" ca="1" si="14"/>
        <v>262.85537595262508</v>
      </c>
      <c r="W222" s="148">
        <f ca="1">(IF(S222=0,"",V222/constantes!$B$3))*1</f>
        <v>3285.6921994078134</v>
      </c>
      <c r="X222" s="150">
        <f ca="1">IF(S222=0,"",PV(constantes!$B$3,O222,-V222)*constantes!$B$3)</f>
        <v>224.47378466092658</v>
      </c>
      <c r="Y222" s="85">
        <f t="shared" si="15"/>
        <v>1800</v>
      </c>
      <c r="Z222">
        <v>231</v>
      </c>
    </row>
    <row r="223" spans="1:29">
      <c r="A223" s="290">
        <v>7232</v>
      </c>
      <c r="B223" s="23" t="str">
        <f t="shared" si="12"/>
        <v>Tap-N_1500__kV_232</v>
      </c>
      <c r="C223" s="23">
        <v>814</v>
      </c>
      <c r="D223" s="142" t="str">
        <f>VLOOKUP(C223,tab_corredor!$A$2:$B$50,2,0)</f>
        <v>Tap-N</v>
      </c>
      <c r="E223" s="23">
        <v>1500</v>
      </c>
      <c r="F223" s="23" t="s">
        <v>2671</v>
      </c>
      <c r="G223" s="23">
        <v>1500</v>
      </c>
      <c r="H223" s="23">
        <v>1500</v>
      </c>
      <c r="I223" s="394">
        <v>5.0000000000000004E-6</v>
      </c>
      <c r="J223" s="394">
        <v>5.0000000000000004E-6</v>
      </c>
      <c r="K223" s="290">
        <v>1</v>
      </c>
      <c r="L223" s="291" t="s">
        <v>2619</v>
      </c>
      <c r="M223" s="23">
        <v>2015</v>
      </c>
      <c r="N223" s="23">
        <v>2100</v>
      </c>
      <c r="O223" s="292">
        <v>25</v>
      </c>
      <c r="P223" s="293">
        <v>2700</v>
      </c>
      <c r="Q223" s="294">
        <v>1</v>
      </c>
      <c r="R223" s="23"/>
      <c r="S223" s="148">
        <f t="shared" si="16"/>
        <v>2700</v>
      </c>
      <c r="T223" s="148">
        <f ca="1">IF(S223=0,"",S223*(OFFSET(cod_desembolso!$A$1,Q223,23)))</f>
        <v>2805.9223082615817</v>
      </c>
      <c r="U223" s="149">
        <f>(constantes!$B$3*(1+constantes!$B$3)^(O223))/((1+constantes!$B$3)^(O223)-1)</f>
        <v>9.3678779051968114E-2</v>
      </c>
      <c r="V223" s="148">
        <f t="shared" ca="1" si="14"/>
        <v>262.85537595262508</v>
      </c>
      <c r="W223" s="148">
        <f ca="1">(IF(S223=0,"",V223/constantes!$B$3))*1</f>
        <v>3285.6921994078134</v>
      </c>
      <c r="X223" s="150">
        <f ca="1">IF(S223=0,"",PV(constantes!$B$3,O223,-V223)*constantes!$B$3)</f>
        <v>224.47378466092658</v>
      </c>
      <c r="Y223" s="85">
        <f t="shared" si="15"/>
        <v>1800</v>
      </c>
      <c r="Z223">
        <v>232</v>
      </c>
    </row>
    <row r="224" spans="1:29">
      <c r="A224" s="290">
        <v>7233</v>
      </c>
      <c r="B224" s="23" t="str">
        <f t="shared" si="12"/>
        <v>Tap-N_1500__kV_233</v>
      </c>
      <c r="C224" s="23">
        <v>814</v>
      </c>
      <c r="D224" s="142" t="str">
        <f>VLOOKUP(C224,tab_corredor!$A$2:$B$50,2,0)</f>
        <v>Tap-N</v>
      </c>
      <c r="E224" s="23">
        <v>1500</v>
      </c>
      <c r="F224" s="23" t="s">
        <v>2671</v>
      </c>
      <c r="G224" s="23">
        <v>1500</v>
      </c>
      <c r="H224" s="23">
        <v>1500</v>
      </c>
      <c r="I224" s="394">
        <v>5.0000000000000004E-6</v>
      </c>
      <c r="J224" s="394">
        <v>5.0000000000000004E-6</v>
      </c>
      <c r="K224" s="290">
        <v>1</v>
      </c>
      <c r="L224" s="291" t="s">
        <v>2619</v>
      </c>
      <c r="M224" s="23">
        <v>2015</v>
      </c>
      <c r="N224" s="23">
        <v>2100</v>
      </c>
      <c r="O224" s="292">
        <v>25</v>
      </c>
      <c r="P224" s="293">
        <v>2700</v>
      </c>
      <c r="Q224" s="294">
        <v>1</v>
      </c>
      <c r="R224" s="23"/>
      <c r="S224" s="148">
        <f t="shared" si="16"/>
        <v>2700</v>
      </c>
      <c r="T224" s="148">
        <f ca="1">IF(S224=0,"",S224*(OFFSET(cod_desembolso!$A$1,Q224,23)))</f>
        <v>2805.9223082615817</v>
      </c>
      <c r="U224" s="149">
        <f>(constantes!$B$3*(1+constantes!$B$3)^(O224))/((1+constantes!$B$3)^(O224)-1)</f>
        <v>9.3678779051968114E-2</v>
      </c>
      <c r="V224" s="148">
        <f t="shared" ca="1" si="14"/>
        <v>262.85537595262508</v>
      </c>
      <c r="W224" s="148">
        <f ca="1">(IF(S224=0,"",V224/constantes!$B$3))*1</f>
        <v>3285.6921994078134</v>
      </c>
      <c r="X224" s="150">
        <f ca="1">IF(S224=0,"",PV(constantes!$B$3,O224,-V224)*constantes!$B$3)</f>
        <v>224.47378466092658</v>
      </c>
      <c r="Y224" s="85">
        <f t="shared" si="15"/>
        <v>1800</v>
      </c>
      <c r="Z224">
        <v>233</v>
      </c>
    </row>
    <row r="225" spans="1:26">
      <c r="A225" s="290">
        <v>7234</v>
      </c>
      <c r="B225" s="23" t="str">
        <f t="shared" si="12"/>
        <v>Tap-N_1500__kV_234</v>
      </c>
      <c r="C225" s="23">
        <v>814</v>
      </c>
      <c r="D225" s="142" t="str">
        <f>VLOOKUP(C225,tab_corredor!$A$2:$B$50,2,0)</f>
        <v>Tap-N</v>
      </c>
      <c r="E225" s="23">
        <v>1500</v>
      </c>
      <c r="F225" s="23" t="s">
        <v>2671</v>
      </c>
      <c r="G225" s="23">
        <v>1500</v>
      </c>
      <c r="H225" s="23">
        <v>1500</v>
      </c>
      <c r="I225" s="394">
        <v>5.0000000000000004E-6</v>
      </c>
      <c r="J225" s="394">
        <v>5.0000000000000004E-6</v>
      </c>
      <c r="K225" s="290">
        <v>1</v>
      </c>
      <c r="L225" s="291" t="s">
        <v>2619</v>
      </c>
      <c r="M225" s="23">
        <v>2015</v>
      </c>
      <c r="N225" s="23">
        <v>2100</v>
      </c>
      <c r="O225" s="292">
        <v>25</v>
      </c>
      <c r="P225" s="293">
        <v>2700</v>
      </c>
      <c r="Q225" s="294">
        <v>1</v>
      </c>
      <c r="R225" s="23"/>
      <c r="S225" s="148">
        <f t="shared" si="16"/>
        <v>2700</v>
      </c>
      <c r="T225" s="148">
        <f ca="1">IF(S225=0,"",S225*(OFFSET(cod_desembolso!$A$1,Q225,23)))</f>
        <v>2805.9223082615817</v>
      </c>
      <c r="U225" s="149">
        <f>(constantes!$B$3*(1+constantes!$B$3)^(O225))/((1+constantes!$B$3)^(O225)-1)</f>
        <v>9.3678779051968114E-2</v>
      </c>
      <c r="V225" s="148">
        <f t="shared" ca="1" si="14"/>
        <v>262.85537595262508</v>
      </c>
      <c r="W225" s="148">
        <f ca="1">(IF(S225=0,"",V225/constantes!$B$3))*1</f>
        <v>3285.6921994078134</v>
      </c>
      <c r="X225" s="150">
        <f ca="1">IF(S225=0,"",PV(constantes!$B$3,O225,-V225)*constantes!$B$3)</f>
        <v>224.47378466092658</v>
      </c>
      <c r="Y225" s="85">
        <f t="shared" si="15"/>
        <v>1800</v>
      </c>
      <c r="Z225">
        <v>234</v>
      </c>
    </row>
    <row r="226" spans="1:26">
      <c r="A226" s="290">
        <v>7235</v>
      </c>
      <c r="B226" s="23" t="str">
        <f t="shared" si="12"/>
        <v>Tap-N_1500__kV_235</v>
      </c>
      <c r="C226" s="23">
        <v>814</v>
      </c>
      <c r="D226" s="142" t="str">
        <f>VLOOKUP(C226,tab_corredor!$A$2:$B$50,2,0)</f>
        <v>Tap-N</v>
      </c>
      <c r="E226" s="23">
        <v>1500</v>
      </c>
      <c r="F226" s="23" t="s">
        <v>2671</v>
      </c>
      <c r="G226" s="23">
        <v>1500</v>
      </c>
      <c r="H226" s="23">
        <v>1500</v>
      </c>
      <c r="I226" s="394">
        <v>5.0000000000000004E-6</v>
      </c>
      <c r="J226" s="394">
        <v>5.0000000000000004E-6</v>
      </c>
      <c r="K226" s="290">
        <v>1</v>
      </c>
      <c r="L226" s="291" t="s">
        <v>2619</v>
      </c>
      <c r="M226" s="23">
        <v>2015</v>
      </c>
      <c r="N226" s="23">
        <v>2100</v>
      </c>
      <c r="O226" s="292">
        <v>25</v>
      </c>
      <c r="P226" s="293">
        <v>2700</v>
      </c>
      <c r="Q226" s="294">
        <v>1</v>
      </c>
      <c r="R226" s="23"/>
      <c r="S226" s="148">
        <f t="shared" si="16"/>
        <v>2700</v>
      </c>
      <c r="T226" s="148">
        <f ca="1">IF(S226=0,"",S226*(OFFSET(cod_desembolso!$A$1,Q226,23)))</f>
        <v>2805.9223082615817</v>
      </c>
      <c r="U226" s="149">
        <f>(constantes!$B$3*(1+constantes!$B$3)^(O226))/((1+constantes!$B$3)^(O226)-1)</f>
        <v>9.3678779051968114E-2</v>
      </c>
      <c r="V226" s="148">
        <f t="shared" ca="1" si="14"/>
        <v>262.85537595262508</v>
      </c>
      <c r="W226" s="148">
        <f ca="1">(IF(S226=0,"",V226/constantes!$B$3))*1</f>
        <v>3285.6921994078134</v>
      </c>
      <c r="X226" s="150">
        <f ca="1">IF(S226=0,"",PV(constantes!$B$3,O226,-V226)*constantes!$B$3)</f>
        <v>224.47378466092658</v>
      </c>
      <c r="Y226" s="85">
        <f t="shared" si="15"/>
        <v>1800</v>
      </c>
      <c r="Z226">
        <v>235</v>
      </c>
    </row>
    <row r="227" spans="1:26">
      <c r="A227" s="290">
        <v>7236</v>
      </c>
      <c r="B227" s="23" t="str">
        <f t="shared" si="12"/>
        <v>Tap-N_1500__kV_236</v>
      </c>
      <c r="C227" s="23">
        <v>814</v>
      </c>
      <c r="D227" s="142" t="str">
        <f>VLOOKUP(C227,tab_corredor!$A$2:$B$50,2,0)</f>
        <v>Tap-N</v>
      </c>
      <c r="E227" s="23">
        <v>1500</v>
      </c>
      <c r="F227" s="23" t="s">
        <v>2671</v>
      </c>
      <c r="G227" s="23">
        <v>1500</v>
      </c>
      <c r="H227" s="23">
        <v>1500</v>
      </c>
      <c r="I227" s="394">
        <v>5.0000000000000004E-6</v>
      </c>
      <c r="J227" s="394">
        <v>5.0000000000000004E-6</v>
      </c>
      <c r="K227" s="290">
        <v>1</v>
      </c>
      <c r="L227" s="291" t="s">
        <v>2619</v>
      </c>
      <c r="M227" s="23">
        <v>2015</v>
      </c>
      <c r="N227" s="23">
        <v>2100</v>
      </c>
      <c r="O227" s="292">
        <v>25</v>
      </c>
      <c r="P227" s="293">
        <v>2700</v>
      </c>
      <c r="Q227" s="294">
        <v>1</v>
      </c>
      <c r="R227" s="23"/>
      <c r="S227" s="148">
        <f t="shared" si="16"/>
        <v>2700</v>
      </c>
      <c r="T227" s="148">
        <f ca="1">IF(S227=0,"",S227*(OFFSET(cod_desembolso!$A$1,Q227,23)))</f>
        <v>2805.9223082615817</v>
      </c>
      <c r="U227" s="149">
        <f>(constantes!$B$3*(1+constantes!$B$3)^(O227))/((1+constantes!$B$3)^(O227)-1)</f>
        <v>9.3678779051968114E-2</v>
      </c>
      <c r="V227" s="148">
        <f t="shared" ca="1" si="14"/>
        <v>262.85537595262508</v>
      </c>
      <c r="W227" s="148">
        <f ca="1">(IF(S227=0,"",V227/constantes!$B$3))*1</f>
        <v>3285.6921994078134</v>
      </c>
      <c r="X227" s="150">
        <f ca="1">IF(S227=0,"",PV(constantes!$B$3,O227,-V227)*constantes!$B$3)</f>
        <v>224.47378466092658</v>
      </c>
      <c r="Y227" s="85">
        <f t="shared" si="15"/>
        <v>1800</v>
      </c>
      <c r="Z227">
        <v>236</v>
      </c>
    </row>
    <row r="228" spans="1:26">
      <c r="A228" s="290">
        <v>7237</v>
      </c>
      <c r="B228" s="23" t="str">
        <f t="shared" si="12"/>
        <v>Tap-N_1500__kV_237</v>
      </c>
      <c r="C228" s="23">
        <v>814</v>
      </c>
      <c r="D228" s="142" t="str">
        <f>VLOOKUP(C228,tab_corredor!$A$2:$B$50,2,0)</f>
        <v>Tap-N</v>
      </c>
      <c r="E228" s="23">
        <v>1500</v>
      </c>
      <c r="F228" s="23" t="s">
        <v>2671</v>
      </c>
      <c r="G228" s="23">
        <v>1500</v>
      </c>
      <c r="H228" s="23">
        <v>1500</v>
      </c>
      <c r="I228" s="394">
        <v>5.0000000000000004E-6</v>
      </c>
      <c r="J228" s="394">
        <v>5.0000000000000004E-6</v>
      </c>
      <c r="K228" s="290">
        <v>1</v>
      </c>
      <c r="L228" s="291" t="s">
        <v>2619</v>
      </c>
      <c r="M228" s="23">
        <v>2015</v>
      </c>
      <c r="N228" s="23">
        <v>2100</v>
      </c>
      <c r="O228" s="292">
        <v>25</v>
      </c>
      <c r="P228" s="293">
        <v>2700</v>
      </c>
      <c r="Q228" s="294">
        <v>1</v>
      </c>
      <c r="R228" s="23"/>
      <c r="S228" s="148">
        <f t="shared" si="16"/>
        <v>2700</v>
      </c>
      <c r="T228" s="148">
        <f ca="1">IF(S228=0,"",S228*(OFFSET(cod_desembolso!$A$1,Q228,23)))</f>
        <v>2805.9223082615817</v>
      </c>
      <c r="U228" s="149">
        <f>(constantes!$B$3*(1+constantes!$B$3)^(O228))/((1+constantes!$B$3)^(O228)-1)</f>
        <v>9.3678779051968114E-2</v>
      </c>
      <c r="V228" s="148">
        <f t="shared" ca="1" si="14"/>
        <v>262.85537595262508</v>
      </c>
      <c r="W228" s="148">
        <f ca="1">(IF(S228=0,"",V228/constantes!$B$3))*1</f>
        <v>3285.6921994078134</v>
      </c>
      <c r="X228" s="150">
        <f ca="1">IF(S228=0,"",PV(constantes!$B$3,O228,-V228)*constantes!$B$3)</f>
        <v>224.47378466092658</v>
      </c>
      <c r="Y228" s="85">
        <f t="shared" si="15"/>
        <v>1800</v>
      </c>
      <c r="Z228">
        <v>237</v>
      </c>
    </row>
    <row r="229" spans="1:26">
      <c r="A229" s="290">
        <v>7238</v>
      </c>
      <c r="B229" s="23" t="str">
        <f t="shared" si="12"/>
        <v>Tap-N_1500__kV_238</v>
      </c>
      <c r="C229" s="23">
        <v>814</v>
      </c>
      <c r="D229" s="142" t="str">
        <f>VLOOKUP(C229,tab_corredor!$A$2:$B$50,2,0)</f>
        <v>Tap-N</v>
      </c>
      <c r="E229" s="23">
        <v>1500</v>
      </c>
      <c r="F229" s="23" t="s">
        <v>2671</v>
      </c>
      <c r="G229" s="23">
        <v>1500</v>
      </c>
      <c r="H229" s="23">
        <v>1500</v>
      </c>
      <c r="I229" s="394">
        <v>5.0000000000000004E-6</v>
      </c>
      <c r="J229" s="394">
        <v>5.0000000000000004E-6</v>
      </c>
      <c r="K229" s="290">
        <v>1</v>
      </c>
      <c r="L229" s="291" t="s">
        <v>2619</v>
      </c>
      <c r="M229" s="23">
        <v>2015</v>
      </c>
      <c r="N229" s="23">
        <v>2100</v>
      </c>
      <c r="O229" s="292">
        <v>25</v>
      </c>
      <c r="P229" s="293">
        <v>2700</v>
      </c>
      <c r="Q229" s="294">
        <v>1</v>
      </c>
      <c r="R229" s="23"/>
      <c r="S229" s="148">
        <f t="shared" si="16"/>
        <v>2700</v>
      </c>
      <c r="T229" s="148">
        <f ca="1">IF(S229=0,"",S229*(OFFSET(cod_desembolso!$A$1,Q229,23)))</f>
        <v>2805.9223082615817</v>
      </c>
      <c r="U229" s="149">
        <f>(constantes!$B$3*(1+constantes!$B$3)^(O229))/((1+constantes!$B$3)^(O229)-1)</f>
        <v>9.3678779051968114E-2</v>
      </c>
      <c r="V229" s="148">
        <f t="shared" ca="1" si="14"/>
        <v>262.85537595262508</v>
      </c>
      <c r="W229" s="148">
        <f ca="1">(IF(S229=0,"",V229/constantes!$B$3))*1</f>
        <v>3285.6921994078134</v>
      </c>
      <c r="X229" s="150">
        <f ca="1">IF(S229=0,"",PV(constantes!$B$3,O229,-V229)*constantes!$B$3)</f>
        <v>224.47378466092658</v>
      </c>
      <c r="Y229" s="85">
        <f t="shared" si="15"/>
        <v>1800</v>
      </c>
      <c r="Z229">
        <v>238</v>
      </c>
    </row>
    <row r="230" spans="1:26">
      <c r="A230" s="290">
        <v>7239</v>
      </c>
      <c r="B230" s="23" t="str">
        <f t="shared" si="12"/>
        <v>Tap-SE/CO_1500__kV_239</v>
      </c>
      <c r="C230" s="23">
        <v>815</v>
      </c>
      <c r="D230" s="142" t="str">
        <f>VLOOKUP(C230,tab_corredor!$A$2:$B$50,2,0)</f>
        <v>Tap-SE/CO</v>
      </c>
      <c r="E230" s="23">
        <v>1500</v>
      </c>
      <c r="F230" s="23" t="s">
        <v>2671</v>
      </c>
      <c r="G230" s="23">
        <v>1500</v>
      </c>
      <c r="H230" s="23">
        <v>1500</v>
      </c>
      <c r="I230" s="394">
        <v>5.0000000000000004E-6</v>
      </c>
      <c r="J230" s="394">
        <v>5.0000000000000004E-6</v>
      </c>
      <c r="K230" s="290">
        <v>1</v>
      </c>
      <c r="L230" s="291" t="s">
        <v>2619</v>
      </c>
      <c r="M230" s="23">
        <v>2015</v>
      </c>
      <c r="N230" s="23">
        <v>2100</v>
      </c>
      <c r="O230" s="292">
        <v>25</v>
      </c>
      <c r="P230" s="293">
        <v>2700</v>
      </c>
      <c r="Q230" s="294">
        <v>1</v>
      </c>
      <c r="R230" s="23"/>
      <c r="S230" s="148">
        <f t="shared" si="16"/>
        <v>2700</v>
      </c>
      <c r="T230" s="148">
        <f ca="1">IF(S230=0,"",S230*(OFFSET(cod_desembolso!$A$1,Q230,23)))</f>
        <v>2805.9223082615817</v>
      </c>
      <c r="U230" s="149">
        <f>(constantes!$B$3*(1+constantes!$B$3)^(O230))/((1+constantes!$B$3)^(O230)-1)</f>
        <v>9.3678779051968114E-2</v>
      </c>
      <c r="V230" s="148">
        <f t="shared" ca="1" si="14"/>
        <v>262.85537595262508</v>
      </c>
      <c r="W230" s="148">
        <f ca="1">(IF(S230=0,"",V230/constantes!$B$3))*1</f>
        <v>3285.6921994078134</v>
      </c>
      <c r="X230" s="150">
        <f ca="1">IF(S230=0,"",PV(constantes!$B$3,O230,-V230)*constantes!$B$3)</f>
        <v>224.47378466092658</v>
      </c>
      <c r="Y230" s="85">
        <f t="shared" si="15"/>
        <v>1800</v>
      </c>
      <c r="Z230">
        <v>239</v>
      </c>
    </row>
    <row r="231" spans="1:26">
      <c r="A231" s="290">
        <v>7240</v>
      </c>
      <c r="B231" s="23" t="str">
        <f t="shared" si="12"/>
        <v>Tap-SE/CO_1500__kV_240</v>
      </c>
      <c r="C231" s="23">
        <v>815</v>
      </c>
      <c r="D231" s="142" t="str">
        <f>VLOOKUP(C231,tab_corredor!$A$2:$B$50,2,0)</f>
        <v>Tap-SE/CO</v>
      </c>
      <c r="E231" s="23">
        <v>1500</v>
      </c>
      <c r="F231" s="23" t="s">
        <v>2671</v>
      </c>
      <c r="G231" s="23">
        <v>1500</v>
      </c>
      <c r="H231" s="23">
        <v>1500</v>
      </c>
      <c r="I231" s="394">
        <v>5.0000000000000004E-6</v>
      </c>
      <c r="J231" s="394">
        <v>5.0000000000000004E-6</v>
      </c>
      <c r="K231" s="290">
        <v>1</v>
      </c>
      <c r="L231" s="291" t="s">
        <v>2619</v>
      </c>
      <c r="M231" s="23">
        <v>2015</v>
      </c>
      <c r="N231" s="23">
        <v>2100</v>
      </c>
      <c r="O231" s="292">
        <v>25</v>
      </c>
      <c r="P231" s="293">
        <v>2700</v>
      </c>
      <c r="Q231" s="294">
        <v>1</v>
      </c>
      <c r="R231" s="23"/>
      <c r="S231" s="148">
        <f t="shared" si="16"/>
        <v>2700</v>
      </c>
      <c r="T231" s="148">
        <f ca="1">IF(S231=0,"",S231*(OFFSET(cod_desembolso!$A$1,Q231,23)))</f>
        <v>2805.9223082615817</v>
      </c>
      <c r="U231" s="149">
        <f>(constantes!$B$3*(1+constantes!$B$3)^(O231))/((1+constantes!$B$3)^(O231)-1)</f>
        <v>9.3678779051968114E-2</v>
      </c>
      <c r="V231" s="148">
        <f t="shared" ca="1" si="14"/>
        <v>262.85537595262508</v>
      </c>
      <c r="W231" s="148">
        <f ca="1">(IF(S231=0,"",V231/constantes!$B$3))*1</f>
        <v>3285.6921994078134</v>
      </c>
      <c r="X231" s="150">
        <f ca="1">IF(S231=0,"",PV(constantes!$B$3,O231,-V231)*constantes!$B$3)</f>
        <v>224.47378466092658</v>
      </c>
      <c r="Y231" s="85">
        <f t="shared" si="15"/>
        <v>1800</v>
      </c>
      <c r="Z231">
        <v>240</v>
      </c>
    </row>
    <row r="232" spans="1:26">
      <c r="A232" s="290">
        <v>7241</v>
      </c>
      <c r="B232" s="23" t="str">
        <f t="shared" si="12"/>
        <v>Tap-SE/CO_1500__kV_241</v>
      </c>
      <c r="C232" s="23">
        <v>815</v>
      </c>
      <c r="D232" s="142" t="str">
        <f>VLOOKUP(C232,tab_corredor!$A$2:$B$50,2,0)</f>
        <v>Tap-SE/CO</v>
      </c>
      <c r="E232" s="23">
        <v>1500</v>
      </c>
      <c r="F232" s="23" t="s">
        <v>2671</v>
      </c>
      <c r="G232" s="23">
        <v>1500</v>
      </c>
      <c r="H232" s="23">
        <v>1500</v>
      </c>
      <c r="I232" s="394">
        <v>5.0000000000000004E-6</v>
      </c>
      <c r="J232" s="394">
        <v>5.0000000000000004E-6</v>
      </c>
      <c r="K232" s="290">
        <v>1</v>
      </c>
      <c r="L232" s="291" t="s">
        <v>2619</v>
      </c>
      <c r="M232" s="23">
        <v>2015</v>
      </c>
      <c r="N232" s="23">
        <v>2100</v>
      </c>
      <c r="O232" s="292">
        <v>25</v>
      </c>
      <c r="P232" s="293">
        <v>2700</v>
      </c>
      <c r="Q232" s="294">
        <v>1</v>
      </c>
      <c r="R232" s="23"/>
      <c r="S232" s="148">
        <f t="shared" si="16"/>
        <v>2700</v>
      </c>
      <c r="T232" s="148">
        <f ca="1">IF(S232=0,"",S232*(OFFSET(cod_desembolso!$A$1,Q232,23)))</f>
        <v>2805.9223082615817</v>
      </c>
      <c r="U232" s="149">
        <f>(constantes!$B$3*(1+constantes!$B$3)^(O232))/((1+constantes!$B$3)^(O232)-1)</f>
        <v>9.3678779051968114E-2</v>
      </c>
      <c r="V232" s="148">
        <f t="shared" ca="1" si="14"/>
        <v>262.85537595262508</v>
      </c>
      <c r="W232" s="148">
        <f ca="1">(IF(S232=0,"",V232/constantes!$B$3))*1</f>
        <v>3285.6921994078134</v>
      </c>
      <c r="X232" s="150">
        <f ca="1">IF(S232=0,"",PV(constantes!$B$3,O232,-V232)*constantes!$B$3)</f>
        <v>224.47378466092658</v>
      </c>
      <c r="Y232" s="85">
        <f t="shared" si="15"/>
        <v>1800</v>
      </c>
      <c r="Z232">
        <v>241</v>
      </c>
    </row>
    <row r="233" spans="1:26">
      <c r="A233" s="290">
        <v>7242</v>
      </c>
      <c r="B233" s="23" t="str">
        <f t="shared" si="12"/>
        <v>Tap-SE/CO_1500__kV_242</v>
      </c>
      <c r="C233" s="23">
        <v>815</v>
      </c>
      <c r="D233" s="142" t="str">
        <f>VLOOKUP(C233,tab_corredor!$A$2:$B$50,2,0)</f>
        <v>Tap-SE/CO</v>
      </c>
      <c r="E233" s="23">
        <v>1500</v>
      </c>
      <c r="F233" s="23" t="s">
        <v>2671</v>
      </c>
      <c r="G233" s="23">
        <v>1500</v>
      </c>
      <c r="H233" s="23">
        <v>1500</v>
      </c>
      <c r="I233" s="394">
        <v>5.0000000000000004E-6</v>
      </c>
      <c r="J233" s="394">
        <v>5.0000000000000004E-6</v>
      </c>
      <c r="K233" s="290">
        <v>1</v>
      </c>
      <c r="L233" s="291" t="s">
        <v>2619</v>
      </c>
      <c r="M233" s="23">
        <v>2015</v>
      </c>
      <c r="N233" s="23">
        <v>2100</v>
      </c>
      <c r="O233" s="292">
        <v>25</v>
      </c>
      <c r="P233" s="293">
        <v>2700</v>
      </c>
      <c r="Q233" s="294">
        <v>1</v>
      </c>
      <c r="R233" s="23"/>
      <c r="S233" s="148">
        <f t="shared" si="16"/>
        <v>2700</v>
      </c>
      <c r="T233" s="148">
        <f ca="1">IF(S233=0,"",S233*(OFFSET(cod_desembolso!$A$1,Q233,23)))</f>
        <v>2805.9223082615817</v>
      </c>
      <c r="U233" s="149">
        <f>(constantes!$B$3*(1+constantes!$B$3)^(O233))/((1+constantes!$B$3)^(O233)-1)</f>
        <v>9.3678779051968114E-2</v>
      </c>
      <c r="V233" s="148">
        <f t="shared" ca="1" si="14"/>
        <v>262.85537595262508</v>
      </c>
      <c r="W233" s="148">
        <f ca="1">(IF(S233=0,"",V233/constantes!$B$3))*1</f>
        <v>3285.6921994078134</v>
      </c>
      <c r="X233" s="150">
        <f ca="1">IF(S233=0,"",PV(constantes!$B$3,O233,-V233)*constantes!$B$3)</f>
        <v>224.47378466092658</v>
      </c>
      <c r="Y233" s="85">
        <f t="shared" si="15"/>
        <v>1800</v>
      </c>
      <c r="Z233">
        <v>242</v>
      </c>
    </row>
    <row r="234" spans="1:26">
      <c r="A234" s="290">
        <v>7243</v>
      </c>
      <c r="B234" s="23" t="str">
        <f t="shared" si="12"/>
        <v>Tap-SE/CO_1500__kV_243</v>
      </c>
      <c r="C234" s="23">
        <v>815</v>
      </c>
      <c r="D234" s="142" t="str">
        <f>VLOOKUP(C234,tab_corredor!$A$2:$B$50,2,0)</f>
        <v>Tap-SE/CO</v>
      </c>
      <c r="E234" s="23">
        <v>1500</v>
      </c>
      <c r="F234" s="23" t="s">
        <v>2671</v>
      </c>
      <c r="G234" s="23">
        <v>1500</v>
      </c>
      <c r="H234" s="23">
        <v>1500</v>
      </c>
      <c r="I234" s="394">
        <v>5.0000000000000004E-6</v>
      </c>
      <c r="J234" s="394">
        <v>5.0000000000000004E-6</v>
      </c>
      <c r="K234" s="290">
        <v>1</v>
      </c>
      <c r="L234" s="291" t="s">
        <v>2619</v>
      </c>
      <c r="M234" s="23">
        <v>2015</v>
      </c>
      <c r="N234" s="23">
        <v>2100</v>
      </c>
      <c r="O234" s="292">
        <v>25</v>
      </c>
      <c r="P234" s="293">
        <v>2700</v>
      </c>
      <c r="Q234" s="294">
        <v>1</v>
      </c>
      <c r="R234" s="23"/>
      <c r="S234" s="148">
        <f t="shared" si="16"/>
        <v>2700</v>
      </c>
      <c r="T234" s="148">
        <f ca="1">IF(S234=0,"",S234*(OFFSET(cod_desembolso!$A$1,Q234,23)))</f>
        <v>2805.9223082615817</v>
      </c>
      <c r="U234" s="149">
        <f>(constantes!$B$3*(1+constantes!$B$3)^(O234))/((1+constantes!$B$3)^(O234)-1)</f>
        <v>9.3678779051968114E-2</v>
      </c>
      <c r="V234" s="148">
        <f t="shared" ca="1" si="14"/>
        <v>262.85537595262508</v>
      </c>
      <c r="W234" s="148">
        <f ca="1">(IF(S234=0,"",V234/constantes!$B$3))*1</f>
        <v>3285.6921994078134</v>
      </c>
      <c r="X234" s="150">
        <f ca="1">IF(S234=0,"",PV(constantes!$B$3,O234,-V234)*constantes!$B$3)</f>
        <v>224.47378466092658</v>
      </c>
      <c r="Y234" s="85">
        <f t="shared" si="15"/>
        <v>1800</v>
      </c>
      <c r="Z234">
        <v>243</v>
      </c>
    </row>
    <row r="235" spans="1:26">
      <c r="A235" s="290">
        <v>7244</v>
      </c>
      <c r="B235" s="23" t="str">
        <f t="shared" si="12"/>
        <v>Tap-SE/CO_1500__kV_244</v>
      </c>
      <c r="C235" s="23">
        <v>815</v>
      </c>
      <c r="D235" s="142" t="str">
        <f>VLOOKUP(C235,tab_corredor!$A$2:$B$50,2,0)</f>
        <v>Tap-SE/CO</v>
      </c>
      <c r="E235" s="23">
        <v>1500</v>
      </c>
      <c r="F235" s="23" t="s">
        <v>2671</v>
      </c>
      <c r="G235" s="23">
        <v>1500</v>
      </c>
      <c r="H235" s="23">
        <v>1500</v>
      </c>
      <c r="I235" s="394">
        <v>5.0000000000000004E-6</v>
      </c>
      <c r="J235" s="394">
        <v>5.0000000000000004E-6</v>
      </c>
      <c r="K235" s="290">
        <v>1</v>
      </c>
      <c r="L235" s="291" t="s">
        <v>2619</v>
      </c>
      <c r="M235" s="23">
        <v>2015</v>
      </c>
      <c r="N235" s="23">
        <v>2100</v>
      </c>
      <c r="O235" s="292">
        <v>25</v>
      </c>
      <c r="P235" s="293">
        <v>2700</v>
      </c>
      <c r="Q235" s="294">
        <v>1</v>
      </c>
      <c r="R235" s="23"/>
      <c r="S235" s="148">
        <f t="shared" si="16"/>
        <v>2700</v>
      </c>
      <c r="T235" s="148">
        <f ca="1">IF(S235=0,"",S235*(OFFSET(cod_desembolso!$A$1,Q235,23)))</f>
        <v>2805.9223082615817</v>
      </c>
      <c r="U235" s="149">
        <f>(constantes!$B$3*(1+constantes!$B$3)^(O235))/((1+constantes!$B$3)^(O235)-1)</f>
        <v>9.3678779051968114E-2</v>
      </c>
      <c r="V235" s="148">
        <f t="shared" ca="1" si="14"/>
        <v>262.85537595262508</v>
      </c>
      <c r="W235" s="148">
        <f ca="1">(IF(S235=0,"",V235/constantes!$B$3))*1</f>
        <v>3285.6921994078134</v>
      </c>
      <c r="X235" s="150">
        <f ca="1">IF(S235=0,"",PV(constantes!$B$3,O235,-V235)*constantes!$B$3)</f>
        <v>224.47378466092658</v>
      </c>
      <c r="Y235" s="85">
        <f t="shared" si="15"/>
        <v>1800</v>
      </c>
      <c r="Z235">
        <v>244</v>
      </c>
    </row>
    <row r="236" spans="1:26">
      <c r="A236" s="290">
        <v>7245</v>
      </c>
      <c r="B236" s="23" t="str">
        <f t="shared" si="12"/>
        <v>Tap-SE/CO_1500__kV_245</v>
      </c>
      <c r="C236" s="23">
        <v>815</v>
      </c>
      <c r="D236" s="142" t="str">
        <f>VLOOKUP(C236,tab_corredor!$A$2:$B$50,2,0)</f>
        <v>Tap-SE/CO</v>
      </c>
      <c r="E236" s="23">
        <v>1500</v>
      </c>
      <c r="F236" s="23" t="s">
        <v>2671</v>
      </c>
      <c r="G236" s="23">
        <v>1500</v>
      </c>
      <c r="H236" s="23">
        <v>1500</v>
      </c>
      <c r="I236" s="394">
        <v>5.0000000000000004E-6</v>
      </c>
      <c r="J236" s="394">
        <v>5.0000000000000004E-6</v>
      </c>
      <c r="K236" s="290">
        <v>1</v>
      </c>
      <c r="L236" s="291" t="s">
        <v>2619</v>
      </c>
      <c r="M236" s="23">
        <v>2015</v>
      </c>
      <c r="N236" s="23">
        <v>2100</v>
      </c>
      <c r="O236" s="292">
        <v>25</v>
      </c>
      <c r="P236" s="293">
        <v>2700</v>
      </c>
      <c r="Q236" s="294">
        <v>1</v>
      </c>
      <c r="R236" s="23"/>
      <c r="S236" s="148">
        <f t="shared" si="16"/>
        <v>2700</v>
      </c>
      <c r="T236" s="148">
        <f ca="1">IF(S236=0,"",S236*(OFFSET(cod_desembolso!$A$1,Q236,23)))</f>
        <v>2805.9223082615817</v>
      </c>
      <c r="U236" s="149">
        <f>(constantes!$B$3*(1+constantes!$B$3)^(O236))/((1+constantes!$B$3)^(O236)-1)</f>
        <v>9.3678779051968114E-2</v>
      </c>
      <c r="V236" s="148">
        <f t="shared" ca="1" si="14"/>
        <v>262.85537595262508</v>
      </c>
      <c r="W236" s="148">
        <f ca="1">(IF(S236=0,"",V236/constantes!$B$3))*1</f>
        <v>3285.6921994078134</v>
      </c>
      <c r="X236" s="150">
        <f ca="1">IF(S236=0,"",PV(constantes!$B$3,O236,-V236)*constantes!$B$3)</f>
        <v>224.47378466092658</v>
      </c>
      <c r="Y236" s="85">
        <f t="shared" si="15"/>
        <v>1800</v>
      </c>
      <c r="Z236">
        <v>245</v>
      </c>
    </row>
    <row r="237" spans="1:26">
      <c r="A237" s="290">
        <v>7246</v>
      </c>
      <c r="B237" s="23" t="str">
        <f t="shared" si="12"/>
        <v>Tap-SE/CO_1500__kV_246</v>
      </c>
      <c r="C237" s="23">
        <v>815</v>
      </c>
      <c r="D237" s="142" t="str">
        <f>VLOOKUP(C237,tab_corredor!$A$2:$B$50,2,0)</f>
        <v>Tap-SE/CO</v>
      </c>
      <c r="E237" s="23">
        <v>1500</v>
      </c>
      <c r="F237" s="23" t="s">
        <v>2671</v>
      </c>
      <c r="G237" s="23">
        <v>1500</v>
      </c>
      <c r="H237" s="23">
        <v>1500</v>
      </c>
      <c r="I237" s="394">
        <v>5.0000000000000004E-6</v>
      </c>
      <c r="J237" s="394">
        <v>5.0000000000000004E-6</v>
      </c>
      <c r="K237" s="290">
        <v>1</v>
      </c>
      <c r="L237" s="291" t="s">
        <v>2619</v>
      </c>
      <c r="M237" s="23">
        <v>2015</v>
      </c>
      <c r="N237" s="23">
        <v>2100</v>
      </c>
      <c r="O237" s="292">
        <v>25</v>
      </c>
      <c r="P237" s="293">
        <v>2700</v>
      </c>
      <c r="Q237" s="294">
        <v>1</v>
      </c>
      <c r="R237" s="23"/>
      <c r="S237" s="148">
        <f t="shared" si="16"/>
        <v>2700</v>
      </c>
      <c r="T237" s="148">
        <f ca="1">IF(S237=0,"",S237*(OFFSET(cod_desembolso!$A$1,Q237,23)))</f>
        <v>2805.9223082615817</v>
      </c>
      <c r="U237" s="149">
        <f>(constantes!$B$3*(1+constantes!$B$3)^(O237))/((1+constantes!$B$3)^(O237)-1)</f>
        <v>9.3678779051968114E-2</v>
      </c>
      <c r="V237" s="148">
        <f t="shared" ca="1" si="14"/>
        <v>262.85537595262508</v>
      </c>
      <c r="W237" s="148">
        <f ca="1">(IF(S237=0,"",V237/constantes!$B$3))*1</f>
        <v>3285.6921994078134</v>
      </c>
      <c r="X237" s="150">
        <f ca="1">IF(S237=0,"",PV(constantes!$B$3,O237,-V237)*constantes!$B$3)</f>
        <v>224.47378466092658</v>
      </c>
      <c r="Y237" s="85">
        <f t="shared" si="15"/>
        <v>1800</v>
      </c>
      <c r="Z237">
        <v>246</v>
      </c>
    </row>
    <row r="238" spans="1:26">
      <c r="A238" s="290">
        <v>7247</v>
      </c>
      <c r="B238" s="23" t="str">
        <f t="shared" si="12"/>
        <v>Tap-SE/CO_1500__kV_247</v>
      </c>
      <c r="C238" s="23">
        <v>815</v>
      </c>
      <c r="D238" s="142" t="str">
        <f>VLOOKUP(C238,tab_corredor!$A$2:$B$50,2,0)</f>
        <v>Tap-SE/CO</v>
      </c>
      <c r="E238" s="23">
        <v>1500</v>
      </c>
      <c r="F238" s="23" t="s">
        <v>2671</v>
      </c>
      <c r="G238" s="23">
        <v>1500</v>
      </c>
      <c r="H238" s="23">
        <v>1500</v>
      </c>
      <c r="I238" s="394">
        <v>5.0000000000000004E-6</v>
      </c>
      <c r="J238" s="394">
        <v>5.0000000000000004E-6</v>
      </c>
      <c r="K238" s="290">
        <v>1</v>
      </c>
      <c r="L238" s="291" t="s">
        <v>2619</v>
      </c>
      <c r="M238" s="23">
        <v>2015</v>
      </c>
      <c r="N238" s="23">
        <v>2100</v>
      </c>
      <c r="O238" s="292">
        <v>25</v>
      </c>
      <c r="P238" s="293">
        <v>2700</v>
      </c>
      <c r="Q238" s="294">
        <v>1</v>
      </c>
      <c r="R238" s="23"/>
      <c r="S238" s="148">
        <f t="shared" si="16"/>
        <v>2700</v>
      </c>
      <c r="T238" s="148">
        <f ca="1">IF(S238=0,"",S238*(OFFSET(cod_desembolso!$A$1,Q238,23)))</f>
        <v>2805.9223082615817</v>
      </c>
      <c r="U238" s="149">
        <f>(constantes!$B$3*(1+constantes!$B$3)^(O238))/((1+constantes!$B$3)^(O238)-1)</f>
        <v>9.3678779051968114E-2</v>
      </c>
      <c r="V238" s="148">
        <f t="shared" ca="1" si="14"/>
        <v>262.85537595262508</v>
      </c>
      <c r="W238" s="148">
        <f ca="1">(IF(S238=0,"",V238/constantes!$B$3))*1</f>
        <v>3285.6921994078134</v>
      </c>
      <c r="X238" s="150">
        <f ca="1">IF(S238=0,"",PV(constantes!$B$3,O238,-V238)*constantes!$B$3)</f>
        <v>224.47378466092658</v>
      </c>
      <c r="Y238" s="85">
        <f t="shared" si="15"/>
        <v>1800</v>
      </c>
      <c r="Z238">
        <v>247</v>
      </c>
    </row>
    <row r="239" spans="1:26">
      <c r="A239" s="290">
        <v>7248</v>
      </c>
      <c r="B239" s="23" t="str">
        <f t="shared" si="12"/>
        <v>Tap-SE/CO_1500__kV_248</v>
      </c>
      <c r="C239" s="23">
        <v>815</v>
      </c>
      <c r="D239" s="142" t="str">
        <f>VLOOKUP(C239,tab_corredor!$A$2:$B$50,2,0)</f>
        <v>Tap-SE/CO</v>
      </c>
      <c r="E239" s="23">
        <v>1500</v>
      </c>
      <c r="F239" s="23" t="s">
        <v>2671</v>
      </c>
      <c r="G239" s="23">
        <v>1500</v>
      </c>
      <c r="H239" s="23">
        <v>1500</v>
      </c>
      <c r="I239" s="394">
        <v>5.0000000000000004E-6</v>
      </c>
      <c r="J239" s="394">
        <v>5.0000000000000004E-6</v>
      </c>
      <c r="K239" s="290">
        <v>1</v>
      </c>
      <c r="L239" s="291" t="s">
        <v>2619</v>
      </c>
      <c r="M239" s="23">
        <v>2015</v>
      </c>
      <c r="N239" s="23">
        <v>2100</v>
      </c>
      <c r="O239" s="292">
        <v>25</v>
      </c>
      <c r="P239" s="293">
        <v>2700</v>
      </c>
      <c r="Q239" s="294">
        <v>1</v>
      </c>
      <c r="R239" s="23"/>
      <c r="S239" s="148">
        <f t="shared" si="16"/>
        <v>2700</v>
      </c>
      <c r="T239" s="148">
        <f ca="1">IF(S239=0,"",S239*(OFFSET(cod_desembolso!$A$1,Q239,23)))</f>
        <v>2805.9223082615817</v>
      </c>
      <c r="U239" s="149">
        <f>(constantes!$B$3*(1+constantes!$B$3)^(O239))/((1+constantes!$B$3)^(O239)-1)</f>
        <v>9.3678779051968114E-2</v>
      </c>
      <c r="V239" s="148">
        <f t="shared" ca="1" si="14"/>
        <v>262.85537595262508</v>
      </c>
      <c r="W239" s="148">
        <f ca="1">(IF(S239=0,"",V239/constantes!$B$3))*1</f>
        <v>3285.6921994078134</v>
      </c>
      <c r="X239" s="150">
        <f ca="1">IF(S239=0,"",PV(constantes!$B$3,O239,-V239)*constantes!$B$3)</f>
        <v>224.47378466092658</v>
      </c>
      <c r="Y239" s="85">
        <f t="shared" si="15"/>
        <v>1800</v>
      </c>
      <c r="Z239">
        <v>248</v>
      </c>
    </row>
    <row r="240" spans="1:26">
      <c r="A240" s="290">
        <v>7249</v>
      </c>
      <c r="B240" s="23" t="str">
        <f t="shared" si="12"/>
        <v>Tap-SE/CO_1500__kV_249</v>
      </c>
      <c r="C240" s="23">
        <v>815</v>
      </c>
      <c r="D240" s="142" t="str">
        <f>VLOOKUP(C240,tab_corredor!$A$2:$B$50,2,0)</f>
        <v>Tap-SE/CO</v>
      </c>
      <c r="E240" s="23">
        <v>1500</v>
      </c>
      <c r="F240" s="23" t="s">
        <v>2671</v>
      </c>
      <c r="G240" s="23">
        <v>1500</v>
      </c>
      <c r="H240" s="23">
        <v>1500</v>
      </c>
      <c r="I240" s="394">
        <v>5.0000000000000004E-6</v>
      </c>
      <c r="J240" s="394">
        <v>5.0000000000000004E-6</v>
      </c>
      <c r="K240" s="290">
        <v>1</v>
      </c>
      <c r="L240" s="291" t="s">
        <v>2619</v>
      </c>
      <c r="M240" s="23">
        <v>2015</v>
      </c>
      <c r="N240" s="23">
        <v>2100</v>
      </c>
      <c r="O240" s="292">
        <v>25</v>
      </c>
      <c r="P240" s="293">
        <v>2700</v>
      </c>
      <c r="Q240" s="294">
        <v>1</v>
      </c>
      <c r="R240" s="23"/>
      <c r="S240" s="148">
        <f t="shared" si="16"/>
        <v>2700</v>
      </c>
      <c r="T240" s="148">
        <f ca="1">IF(S240=0,"",S240*(OFFSET(cod_desembolso!$A$1,Q240,23)))</f>
        <v>2805.9223082615817</v>
      </c>
      <c r="U240" s="149">
        <f>(constantes!$B$3*(1+constantes!$B$3)^(O240))/((1+constantes!$B$3)^(O240)-1)</f>
        <v>9.3678779051968114E-2</v>
      </c>
      <c r="V240" s="148">
        <f t="shared" ca="1" si="14"/>
        <v>262.85537595262508</v>
      </c>
      <c r="W240" s="148">
        <f ca="1">(IF(S240=0,"",V240/constantes!$B$3))*1</f>
        <v>3285.6921994078134</v>
      </c>
      <c r="X240" s="150">
        <f ca="1">IF(S240=0,"",PV(constantes!$B$3,O240,-V240)*constantes!$B$3)</f>
        <v>224.47378466092658</v>
      </c>
      <c r="Y240" s="85">
        <f t="shared" si="15"/>
        <v>1800</v>
      </c>
      <c r="Z240">
        <v>249</v>
      </c>
    </row>
    <row r="241" spans="1:26">
      <c r="A241" s="290">
        <v>7250</v>
      </c>
      <c r="B241" s="23" t="str">
        <f t="shared" si="12"/>
        <v>TelesP-SE_1500__kV_250</v>
      </c>
      <c r="C241" s="23">
        <v>816</v>
      </c>
      <c r="D241" s="142" t="str">
        <f>VLOOKUP(C241,tab_corredor!$A$2:$B$50,2,0)</f>
        <v>TelesP-SE</v>
      </c>
      <c r="E241" s="23">
        <v>1500</v>
      </c>
      <c r="F241" s="23" t="s">
        <v>2671</v>
      </c>
      <c r="G241" s="23">
        <v>1500</v>
      </c>
      <c r="H241" s="23">
        <v>1500</v>
      </c>
      <c r="I241" s="394">
        <v>5.0000000000000004E-6</v>
      </c>
      <c r="J241" s="394">
        <v>5.0000000000000004E-6</v>
      </c>
      <c r="K241" s="290">
        <v>1</v>
      </c>
      <c r="L241" s="291" t="s">
        <v>2619</v>
      </c>
      <c r="M241" s="23">
        <v>2015</v>
      </c>
      <c r="N241" s="23">
        <v>2100</v>
      </c>
      <c r="O241" s="292">
        <v>25</v>
      </c>
      <c r="P241" s="293">
        <v>2700</v>
      </c>
      <c r="Q241" s="294">
        <v>1</v>
      </c>
      <c r="R241" s="23"/>
      <c r="S241" s="148">
        <f t="shared" si="16"/>
        <v>2700</v>
      </c>
      <c r="T241" s="148">
        <f ca="1">IF(S241=0,"",S241*(OFFSET(cod_desembolso!$A$1,Q241,23)))</f>
        <v>2805.9223082615817</v>
      </c>
      <c r="U241" s="149">
        <f>(constantes!$B$3*(1+constantes!$B$3)^(O241))/((1+constantes!$B$3)^(O241)-1)</f>
        <v>9.3678779051968114E-2</v>
      </c>
      <c r="V241" s="148">
        <f t="shared" ca="1" si="14"/>
        <v>262.85537595262508</v>
      </c>
      <c r="W241" s="148">
        <f ca="1">(IF(S241=0,"",V241/constantes!$B$3))*1</f>
        <v>3285.6921994078134</v>
      </c>
      <c r="X241" s="150">
        <f ca="1">IF(S241=0,"",PV(constantes!$B$3,O241,-V241)*constantes!$B$3)</f>
        <v>224.47378466092658</v>
      </c>
      <c r="Y241" s="85">
        <f t="shared" si="15"/>
        <v>1800</v>
      </c>
      <c r="Z241">
        <v>250</v>
      </c>
    </row>
    <row r="242" spans="1:26">
      <c r="A242" s="290">
        <v>7251</v>
      </c>
      <c r="B242" s="23" t="str">
        <f t="shared" si="12"/>
        <v>TelesP-SE_1500__kV_251</v>
      </c>
      <c r="C242" s="23">
        <v>816</v>
      </c>
      <c r="D242" s="142" t="str">
        <f>VLOOKUP(C242,tab_corredor!$A$2:$B$50,2,0)</f>
        <v>TelesP-SE</v>
      </c>
      <c r="E242" s="23">
        <v>1500</v>
      </c>
      <c r="F242" s="23" t="s">
        <v>2671</v>
      </c>
      <c r="G242" s="23">
        <v>1500</v>
      </c>
      <c r="H242" s="23">
        <v>1500</v>
      </c>
      <c r="I242" s="394">
        <v>5.0000000000000004E-6</v>
      </c>
      <c r="J242" s="394">
        <v>5.0000000000000004E-6</v>
      </c>
      <c r="K242" s="290">
        <v>1</v>
      </c>
      <c r="L242" s="291" t="s">
        <v>2619</v>
      </c>
      <c r="M242" s="23">
        <v>2015</v>
      </c>
      <c r="N242" s="23">
        <v>2100</v>
      </c>
      <c r="O242" s="292">
        <v>25</v>
      </c>
      <c r="P242" s="293">
        <v>2700</v>
      </c>
      <c r="Q242" s="294">
        <v>1</v>
      </c>
      <c r="R242" s="23"/>
      <c r="S242" s="148">
        <f t="shared" si="16"/>
        <v>2700</v>
      </c>
      <c r="T242" s="148">
        <f ca="1">IF(S242=0,"",S242*(OFFSET(cod_desembolso!$A$1,Q242,23)))</f>
        <v>2805.9223082615817</v>
      </c>
      <c r="U242" s="149">
        <f>(constantes!$B$3*(1+constantes!$B$3)^(O242))/((1+constantes!$B$3)^(O242)-1)</f>
        <v>9.3678779051968114E-2</v>
      </c>
      <c r="V242" s="148">
        <f t="shared" ca="1" si="14"/>
        <v>262.85537595262508</v>
      </c>
      <c r="W242" s="148">
        <f ca="1">(IF(S242=0,"",V242/constantes!$B$3))*1</f>
        <v>3285.6921994078134</v>
      </c>
      <c r="X242" s="150">
        <f ca="1">IF(S242=0,"",PV(constantes!$B$3,O242,-V242)*constantes!$B$3)</f>
        <v>224.47378466092658</v>
      </c>
      <c r="Y242" s="85">
        <f t="shared" si="15"/>
        <v>1800</v>
      </c>
      <c r="Z242">
        <v>251</v>
      </c>
    </row>
    <row r="243" spans="1:26">
      <c r="A243" s="290">
        <v>7252</v>
      </c>
      <c r="B243" s="23" t="str">
        <f t="shared" si="12"/>
        <v>TelesP-SE_1500__kV_252</v>
      </c>
      <c r="C243" s="23">
        <v>816</v>
      </c>
      <c r="D243" s="142" t="str">
        <f>VLOOKUP(C243,tab_corredor!$A$2:$B$50,2,0)</f>
        <v>TelesP-SE</v>
      </c>
      <c r="E243" s="23">
        <v>1500</v>
      </c>
      <c r="F243" s="23" t="s">
        <v>2671</v>
      </c>
      <c r="G243" s="23">
        <v>1500</v>
      </c>
      <c r="H243" s="23">
        <v>1500</v>
      </c>
      <c r="I243" s="394">
        <v>5.0000000000000004E-6</v>
      </c>
      <c r="J243" s="394">
        <v>5.0000000000000004E-6</v>
      </c>
      <c r="K243" s="290">
        <v>1</v>
      </c>
      <c r="L243" s="291" t="s">
        <v>2619</v>
      </c>
      <c r="M243" s="23">
        <v>2015</v>
      </c>
      <c r="N243" s="23">
        <v>2100</v>
      </c>
      <c r="O243" s="292">
        <v>25</v>
      </c>
      <c r="P243" s="293">
        <v>2700</v>
      </c>
      <c r="Q243" s="294">
        <v>1</v>
      </c>
      <c r="R243" s="23"/>
      <c r="S243" s="148">
        <f t="shared" si="16"/>
        <v>2700</v>
      </c>
      <c r="T243" s="148">
        <f ca="1">IF(S243=0,"",S243*(OFFSET(cod_desembolso!$A$1,Q243,23)))</f>
        <v>2805.9223082615817</v>
      </c>
      <c r="U243" s="149">
        <f>(constantes!$B$3*(1+constantes!$B$3)^(O243))/((1+constantes!$B$3)^(O243)-1)</f>
        <v>9.3678779051968114E-2</v>
      </c>
      <c r="V243" s="148">
        <f t="shared" ca="1" si="14"/>
        <v>262.85537595262508</v>
      </c>
      <c r="W243" s="148">
        <f ca="1">(IF(S243=0,"",V243/constantes!$B$3))*1</f>
        <v>3285.6921994078134</v>
      </c>
      <c r="X243" s="150">
        <f ca="1">IF(S243=0,"",PV(constantes!$B$3,O243,-V243)*constantes!$B$3)</f>
        <v>224.47378466092658</v>
      </c>
      <c r="Y243" s="85">
        <f t="shared" si="15"/>
        <v>1800</v>
      </c>
      <c r="Z243">
        <v>252</v>
      </c>
    </row>
    <row r="244" spans="1:26">
      <c r="A244" s="290">
        <v>7253</v>
      </c>
      <c r="B244" s="23" t="str">
        <f t="shared" si="12"/>
        <v>TelesP-SE_1500__kV_253</v>
      </c>
      <c r="C244" s="23">
        <v>816</v>
      </c>
      <c r="D244" s="142" t="str">
        <f>VLOOKUP(C244,tab_corredor!$A$2:$B$50,2,0)</f>
        <v>TelesP-SE</v>
      </c>
      <c r="E244" s="23">
        <v>1500</v>
      </c>
      <c r="F244" s="23" t="s">
        <v>2671</v>
      </c>
      <c r="G244" s="23">
        <v>1500</v>
      </c>
      <c r="H244" s="23">
        <v>1500</v>
      </c>
      <c r="I244" s="394">
        <v>5.0000000000000004E-6</v>
      </c>
      <c r="J244" s="394">
        <v>5.0000000000000004E-6</v>
      </c>
      <c r="K244" s="290">
        <v>1</v>
      </c>
      <c r="L244" s="291" t="s">
        <v>2619</v>
      </c>
      <c r="M244" s="23">
        <v>2015</v>
      </c>
      <c r="N244" s="23">
        <v>2100</v>
      </c>
      <c r="O244" s="292">
        <v>25</v>
      </c>
      <c r="P244" s="293">
        <v>2700</v>
      </c>
      <c r="Q244" s="294">
        <v>1</v>
      </c>
      <c r="R244" s="23"/>
      <c r="S244" s="148">
        <f t="shared" si="16"/>
        <v>2700</v>
      </c>
      <c r="T244" s="148">
        <f ca="1">IF(S244=0,"",S244*(OFFSET(cod_desembolso!$A$1,Q244,23)))</f>
        <v>2805.9223082615817</v>
      </c>
      <c r="U244" s="149">
        <f>(constantes!$B$3*(1+constantes!$B$3)^(O244))/((1+constantes!$B$3)^(O244)-1)</f>
        <v>9.3678779051968114E-2</v>
      </c>
      <c r="V244" s="148">
        <f t="shared" ca="1" si="14"/>
        <v>262.85537595262508</v>
      </c>
      <c r="W244" s="148">
        <f ca="1">(IF(S244=0,"",V244/constantes!$B$3))*1</f>
        <v>3285.6921994078134</v>
      </c>
      <c r="X244" s="150">
        <f ca="1">IF(S244=0,"",PV(constantes!$B$3,O244,-V244)*constantes!$B$3)</f>
        <v>224.47378466092658</v>
      </c>
      <c r="Y244" s="85">
        <f t="shared" si="15"/>
        <v>1800</v>
      </c>
      <c r="Z244">
        <v>253</v>
      </c>
    </row>
    <row r="245" spans="1:26">
      <c r="A245" s="290">
        <v>7254</v>
      </c>
      <c r="B245" s="23" t="str">
        <f t="shared" si="12"/>
        <v>TelesP-SE_1500__kV_254</v>
      </c>
      <c r="C245" s="23">
        <v>816</v>
      </c>
      <c r="D245" s="142" t="str">
        <f>VLOOKUP(C245,tab_corredor!$A$2:$B$50,2,0)</f>
        <v>TelesP-SE</v>
      </c>
      <c r="E245" s="23">
        <v>1500</v>
      </c>
      <c r="F245" s="23" t="s">
        <v>2671</v>
      </c>
      <c r="G245" s="23">
        <v>1500</v>
      </c>
      <c r="H245" s="23">
        <v>1500</v>
      </c>
      <c r="I245" s="394">
        <v>5.0000000000000004E-6</v>
      </c>
      <c r="J245" s="394">
        <v>5.0000000000000004E-6</v>
      </c>
      <c r="K245" s="290">
        <v>1</v>
      </c>
      <c r="L245" s="291" t="s">
        <v>2619</v>
      </c>
      <c r="M245" s="23">
        <v>2015</v>
      </c>
      <c r="N245" s="23">
        <v>2100</v>
      </c>
      <c r="O245" s="292">
        <v>25</v>
      </c>
      <c r="P245" s="293">
        <v>2700</v>
      </c>
      <c r="Q245" s="294">
        <v>1</v>
      </c>
      <c r="R245" s="23"/>
      <c r="S245" s="148">
        <f t="shared" si="16"/>
        <v>2700</v>
      </c>
      <c r="T245" s="148">
        <f ca="1">IF(S245=0,"",S245*(OFFSET(cod_desembolso!$A$1,Q245,23)))</f>
        <v>2805.9223082615817</v>
      </c>
      <c r="U245" s="149">
        <f>(constantes!$B$3*(1+constantes!$B$3)^(O245))/((1+constantes!$B$3)^(O245)-1)</f>
        <v>9.3678779051968114E-2</v>
      </c>
      <c r="V245" s="148">
        <f t="shared" ca="1" si="14"/>
        <v>262.85537595262508</v>
      </c>
      <c r="W245" s="148">
        <f ca="1">(IF(S245=0,"",V245/constantes!$B$3))*1</f>
        <v>3285.6921994078134</v>
      </c>
      <c r="X245" s="150">
        <f ca="1">IF(S245=0,"",PV(constantes!$B$3,O245,-V245)*constantes!$B$3)</f>
        <v>224.47378466092658</v>
      </c>
      <c r="Y245" s="85">
        <f t="shared" si="15"/>
        <v>1800</v>
      </c>
      <c r="Z245">
        <v>254</v>
      </c>
    </row>
    <row r="246" spans="1:26">
      <c r="A246" s="290">
        <v>7255</v>
      </c>
      <c r="B246" s="23" t="str">
        <f t="shared" si="12"/>
        <v>TelesP-SE_1500__kV_255</v>
      </c>
      <c r="C246" s="23">
        <v>816</v>
      </c>
      <c r="D246" s="142" t="str">
        <f>VLOOKUP(C246,tab_corredor!$A$2:$B$50,2,0)</f>
        <v>TelesP-SE</v>
      </c>
      <c r="E246" s="23">
        <v>1500</v>
      </c>
      <c r="F246" s="23" t="s">
        <v>2671</v>
      </c>
      <c r="G246" s="23">
        <v>1500</v>
      </c>
      <c r="H246" s="23">
        <v>1500</v>
      </c>
      <c r="I246" s="394">
        <v>5.0000000000000004E-6</v>
      </c>
      <c r="J246" s="394">
        <v>5.0000000000000004E-6</v>
      </c>
      <c r="K246" s="290">
        <v>1</v>
      </c>
      <c r="L246" s="291" t="s">
        <v>2619</v>
      </c>
      <c r="M246" s="23">
        <v>2015</v>
      </c>
      <c r="N246" s="23">
        <v>2100</v>
      </c>
      <c r="O246" s="292">
        <v>25</v>
      </c>
      <c r="P246" s="293">
        <v>2700</v>
      </c>
      <c r="Q246" s="294">
        <v>1</v>
      </c>
      <c r="R246" s="23"/>
      <c r="S246" s="148">
        <f t="shared" si="16"/>
        <v>2700</v>
      </c>
      <c r="T246" s="148">
        <f ca="1">IF(S246=0,"",S246*(OFFSET(cod_desembolso!$A$1,Q246,23)))</f>
        <v>2805.9223082615817</v>
      </c>
      <c r="U246" s="149">
        <f>(constantes!$B$3*(1+constantes!$B$3)^(O246))/((1+constantes!$B$3)^(O246)-1)</f>
        <v>9.3678779051968114E-2</v>
      </c>
      <c r="V246" s="148">
        <f t="shared" ca="1" si="14"/>
        <v>262.85537595262508</v>
      </c>
      <c r="W246" s="148">
        <f ca="1">(IF(S246=0,"",V246/constantes!$B$3))*1</f>
        <v>3285.6921994078134</v>
      </c>
      <c r="X246" s="150">
        <f ca="1">IF(S246=0,"",PV(constantes!$B$3,O246,-V246)*constantes!$B$3)</f>
        <v>224.47378466092658</v>
      </c>
      <c r="Y246" s="85">
        <f t="shared" si="15"/>
        <v>1800</v>
      </c>
      <c r="Z246">
        <v>255</v>
      </c>
    </row>
    <row r="247" spans="1:26">
      <c r="A247" s="290">
        <v>7256</v>
      </c>
      <c r="B247" s="23" t="str">
        <f t="shared" si="12"/>
        <v>TelesP-SE_1500__kV_256</v>
      </c>
      <c r="C247" s="23">
        <v>816</v>
      </c>
      <c r="D247" s="142" t="str">
        <f>VLOOKUP(C247,tab_corredor!$A$2:$B$50,2,0)</f>
        <v>TelesP-SE</v>
      </c>
      <c r="E247" s="23">
        <v>1500</v>
      </c>
      <c r="F247" s="23" t="s">
        <v>2671</v>
      </c>
      <c r="G247" s="23">
        <v>1500</v>
      </c>
      <c r="H247" s="23">
        <v>1500</v>
      </c>
      <c r="I247" s="394">
        <v>5.0000000000000004E-6</v>
      </c>
      <c r="J247" s="394">
        <v>5.0000000000000004E-6</v>
      </c>
      <c r="K247" s="290">
        <v>1</v>
      </c>
      <c r="L247" s="291" t="s">
        <v>2619</v>
      </c>
      <c r="M247" s="23">
        <v>2015</v>
      </c>
      <c r="N247" s="23">
        <v>2100</v>
      </c>
      <c r="O247" s="292">
        <v>25</v>
      </c>
      <c r="P247" s="293">
        <v>2700</v>
      </c>
      <c r="Q247" s="294">
        <v>1</v>
      </c>
      <c r="R247" s="23"/>
      <c r="S247" s="148">
        <f t="shared" si="16"/>
        <v>2700</v>
      </c>
      <c r="T247" s="148">
        <f ca="1">IF(S247=0,"",S247*(OFFSET(cod_desembolso!$A$1,Q247,23)))</f>
        <v>2805.9223082615817</v>
      </c>
      <c r="U247" s="149">
        <f>(constantes!$B$3*(1+constantes!$B$3)^(O247))/((1+constantes!$B$3)^(O247)-1)</f>
        <v>9.3678779051968114E-2</v>
      </c>
      <c r="V247" s="148">
        <f t="shared" ca="1" si="14"/>
        <v>262.85537595262508</v>
      </c>
      <c r="W247" s="148">
        <f ca="1">(IF(S247=0,"",V247/constantes!$B$3))*1</f>
        <v>3285.6921994078134</v>
      </c>
      <c r="X247" s="150">
        <f ca="1">IF(S247=0,"",PV(constantes!$B$3,O247,-V247)*constantes!$B$3)</f>
        <v>224.47378466092658</v>
      </c>
      <c r="Y247" s="85">
        <f t="shared" si="15"/>
        <v>1800</v>
      </c>
      <c r="Z247">
        <v>256</v>
      </c>
    </row>
    <row r="248" spans="1:26">
      <c r="A248" s="290">
        <v>7257</v>
      </c>
      <c r="B248" s="23" t="str">
        <f t="shared" ref="B248:B255" si="17">D248&amp;"_"&amp;E248&amp;"_"&amp;F248&amp;IF(F248="DC","","kV")&amp;"_"&amp;Z248</f>
        <v>TelesP-SE_1500__kV_257</v>
      </c>
      <c r="C248" s="23">
        <v>816</v>
      </c>
      <c r="D248" s="142" t="str">
        <f>VLOOKUP(C248,tab_corredor!$A$2:$B$50,2,0)</f>
        <v>TelesP-SE</v>
      </c>
      <c r="E248" s="23">
        <v>1500</v>
      </c>
      <c r="F248" s="23" t="s">
        <v>2671</v>
      </c>
      <c r="G248" s="23">
        <v>1500</v>
      </c>
      <c r="H248" s="23">
        <v>1500</v>
      </c>
      <c r="I248" s="394">
        <v>5.0000000000000004E-6</v>
      </c>
      <c r="J248" s="394">
        <v>5.0000000000000004E-6</v>
      </c>
      <c r="K248" s="290">
        <v>1</v>
      </c>
      <c r="L248" s="291" t="s">
        <v>2619</v>
      </c>
      <c r="M248" s="23">
        <v>2015</v>
      </c>
      <c r="N248" s="23">
        <v>2100</v>
      </c>
      <c r="O248" s="292">
        <v>25</v>
      </c>
      <c r="P248" s="293">
        <v>2700</v>
      </c>
      <c r="Q248" s="294">
        <v>1</v>
      </c>
      <c r="R248" s="23"/>
      <c r="S248" s="148">
        <f t="shared" si="16"/>
        <v>2700</v>
      </c>
      <c r="T248" s="148">
        <f ca="1">IF(S248=0,"",S248*(OFFSET(cod_desembolso!$A$1,Q248,23)))</f>
        <v>2805.9223082615817</v>
      </c>
      <c r="U248" s="149">
        <f>(constantes!$B$3*(1+constantes!$B$3)^(O248))/((1+constantes!$B$3)^(O248)-1)</f>
        <v>9.3678779051968114E-2</v>
      </c>
      <c r="V248" s="148">
        <f t="shared" ref="V248:V255" ca="1" si="18">IF(S248=0,"",T248*U248)</f>
        <v>262.85537595262508</v>
      </c>
      <c r="W248" s="148">
        <f ca="1">(IF(S248=0,"",V248/constantes!$B$3))*1</f>
        <v>3285.6921994078134</v>
      </c>
      <c r="X248" s="150">
        <f ca="1">IF(S248=0,"",PV(constantes!$B$3,O248,-V248)*constantes!$B$3)</f>
        <v>224.47378466092658</v>
      </c>
      <c r="Y248" s="85">
        <f t="shared" ref="Y248:Y255" si="19">S248/E248*1000</f>
        <v>1800</v>
      </c>
      <c r="Z248">
        <v>257</v>
      </c>
    </row>
    <row r="249" spans="1:26">
      <c r="A249" s="290">
        <v>7258</v>
      </c>
      <c r="B249" s="23" t="str">
        <f t="shared" si="17"/>
        <v>TelesP-SE_1500__kV_258</v>
      </c>
      <c r="C249" s="23">
        <v>816</v>
      </c>
      <c r="D249" s="142" t="str">
        <f>VLOOKUP(C249,tab_corredor!$A$2:$B$50,2,0)</f>
        <v>TelesP-SE</v>
      </c>
      <c r="E249" s="23">
        <v>1500</v>
      </c>
      <c r="F249" s="23" t="s">
        <v>2671</v>
      </c>
      <c r="G249" s="23">
        <v>1500</v>
      </c>
      <c r="H249" s="23">
        <v>1500</v>
      </c>
      <c r="I249" s="394">
        <v>5.0000000000000004E-6</v>
      </c>
      <c r="J249" s="394">
        <v>5.0000000000000004E-6</v>
      </c>
      <c r="K249" s="290">
        <v>1</v>
      </c>
      <c r="L249" s="291" t="s">
        <v>2619</v>
      </c>
      <c r="M249" s="23">
        <v>2015</v>
      </c>
      <c r="N249" s="23">
        <v>2100</v>
      </c>
      <c r="O249" s="292">
        <v>25</v>
      </c>
      <c r="P249" s="293">
        <v>2700</v>
      </c>
      <c r="Q249" s="294">
        <v>1</v>
      </c>
      <c r="R249" s="23"/>
      <c r="S249" s="148">
        <f t="shared" si="16"/>
        <v>2700</v>
      </c>
      <c r="T249" s="148">
        <f ca="1">IF(S249=0,"",S249*(OFFSET(cod_desembolso!$A$1,Q249,23)))</f>
        <v>2805.9223082615817</v>
      </c>
      <c r="U249" s="149">
        <f>(constantes!$B$3*(1+constantes!$B$3)^(O249))/((1+constantes!$B$3)^(O249)-1)</f>
        <v>9.3678779051968114E-2</v>
      </c>
      <c r="V249" s="148">
        <f t="shared" ca="1" si="18"/>
        <v>262.85537595262508</v>
      </c>
      <c r="W249" s="148">
        <f ca="1">(IF(S249=0,"",V249/constantes!$B$3))*1</f>
        <v>3285.6921994078134</v>
      </c>
      <c r="X249" s="150">
        <f ca="1">IF(S249=0,"",PV(constantes!$B$3,O249,-V249)*constantes!$B$3)</f>
        <v>224.47378466092658</v>
      </c>
      <c r="Y249" s="85">
        <f t="shared" si="19"/>
        <v>1800</v>
      </c>
      <c r="Z249">
        <v>258</v>
      </c>
    </row>
    <row r="250" spans="1:26">
      <c r="A250" s="290">
        <v>7259</v>
      </c>
      <c r="B250" s="23" t="str">
        <f t="shared" si="17"/>
        <v>TelesP-SE_1500__kV_259</v>
      </c>
      <c r="C250" s="23">
        <v>816</v>
      </c>
      <c r="D250" s="142" t="str">
        <f>VLOOKUP(C250,tab_corredor!$A$2:$B$50,2,0)</f>
        <v>TelesP-SE</v>
      </c>
      <c r="E250" s="23">
        <v>1500</v>
      </c>
      <c r="F250" s="23" t="s">
        <v>2671</v>
      </c>
      <c r="G250" s="23">
        <v>1500</v>
      </c>
      <c r="H250" s="23">
        <v>1500</v>
      </c>
      <c r="I250" s="394">
        <v>5.0000000000000004E-6</v>
      </c>
      <c r="J250" s="394">
        <v>5.0000000000000004E-6</v>
      </c>
      <c r="K250" s="290">
        <v>1</v>
      </c>
      <c r="L250" s="291" t="s">
        <v>2619</v>
      </c>
      <c r="M250" s="23">
        <v>2015</v>
      </c>
      <c r="N250" s="23">
        <v>2100</v>
      </c>
      <c r="O250" s="292">
        <v>25</v>
      </c>
      <c r="P250" s="293">
        <v>2700</v>
      </c>
      <c r="Q250" s="294">
        <v>1</v>
      </c>
      <c r="R250" s="23"/>
      <c r="S250" s="148">
        <f t="shared" si="16"/>
        <v>2700</v>
      </c>
      <c r="T250" s="148">
        <f ca="1">IF(S250=0,"",S250*(OFFSET(cod_desembolso!$A$1,Q250,23)))</f>
        <v>2805.9223082615817</v>
      </c>
      <c r="U250" s="149">
        <f>(constantes!$B$3*(1+constantes!$B$3)^(O250))/((1+constantes!$B$3)^(O250)-1)</f>
        <v>9.3678779051968114E-2</v>
      </c>
      <c r="V250" s="148">
        <f t="shared" ca="1" si="18"/>
        <v>262.85537595262508</v>
      </c>
      <c r="W250" s="148">
        <f ca="1">(IF(S250=0,"",V250/constantes!$B$3))*1</f>
        <v>3285.6921994078134</v>
      </c>
      <c r="X250" s="150">
        <f ca="1">IF(S250=0,"",PV(constantes!$B$3,O250,-V250)*constantes!$B$3)</f>
        <v>224.47378466092658</v>
      </c>
      <c r="Y250" s="85">
        <f t="shared" si="19"/>
        <v>1800</v>
      </c>
      <c r="Z250">
        <v>259</v>
      </c>
    </row>
    <row r="251" spans="1:26">
      <c r="A251" s="290">
        <v>7260</v>
      </c>
      <c r="B251" s="23" t="str">
        <f t="shared" si="17"/>
        <v>TelesP-SE_1500__kV_260</v>
      </c>
      <c r="C251" s="23">
        <v>816</v>
      </c>
      <c r="D251" s="142" t="str">
        <f>VLOOKUP(C251,tab_corredor!$A$2:$B$50,2,0)</f>
        <v>TelesP-SE</v>
      </c>
      <c r="E251" s="23">
        <v>1500</v>
      </c>
      <c r="F251" s="23" t="s">
        <v>2671</v>
      </c>
      <c r="G251" s="23">
        <v>1500</v>
      </c>
      <c r="H251" s="23">
        <v>1500</v>
      </c>
      <c r="I251" s="394">
        <v>5.0000000000000004E-6</v>
      </c>
      <c r="J251" s="394">
        <v>5.0000000000000004E-6</v>
      </c>
      <c r="K251" s="290">
        <v>1</v>
      </c>
      <c r="L251" s="291" t="s">
        <v>2619</v>
      </c>
      <c r="M251" s="23">
        <v>2015</v>
      </c>
      <c r="N251" s="23">
        <v>2100</v>
      </c>
      <c r="O251" s="292">
        <v>25</v>
      </c>
      <c r="P251" s="293">
        <v>2700</v>
      </c>
      <c r="Q251" s="294">
        <v>1</v>
      </c>
      <c r="R251" s="23"/>
      <c r="S251" s="148">
        <f t="shared" si="16"/>
        <v>2700</v>
      </c>
      <c r="T251" s="148">
        <f ca="1">IF(S251=0,"",S251*(OFFSET(cod_desembolso!$A$1,Q251,23)))</f>
        <v>2805.9223082615817</v>
      </c>
      <c r="U251" s="149">
        <f>(constantes!$B$3*(1+constantes!$B$3)^(O251))/((1+constantes!$B$3)^(O251)-1)</f>
        <v>9.3678779051968114E-2</v>
      </c>
      <c r="V251" s="148">
        <f t="shared" ca="1" si="18"/>
        <v>262.85537595262508</v>
      </c>
      <c r="W251" s="148">
        <f ca="1">(IF(S251=0,"",V251/constantes!$B$3))*1</f>
        <v>3285.6921994078134</v>
      </c>
      <c r="X251" s="150">
        <f ca="1">IF(S251=0,"",PV(constantes!$B$3,O251,-V251)*constantes!$B$3)</f>
        <v>224.47378466092658</v>
      </c>
      <c r="Y251" s="85">
        <f t="shared" si="19"/>
        <v>1800</v>
      </c>
      <c r="Z251">
        <v>260</v>
      </c>
    </row>
    <row r="252" spans="1:26">
      <c r="A252" s="290">
        <v>7261</v>
      </c>
      <c r="B252" s="23" t="str">
        <f t="shared" si="17"/>
        <v>TelesP-SE_1500__kV_261</v>
      </c>
      <c r="C252" s="23">
        <v>816</v>
      </c>
      <c r="D252" s="142" t="str">
        <f>VLOOKUP(C252,tab_corredor!$A$2:$B$50,2,0)</f>
        <v>TelesP-SE</v>
      </c>
      <c r="E252" s="23">
        <v>1500</v>
      </c>
      <c r="F252" s="23" t="s">
        <v>2671</v>
      </c>
      <c r="G252" s="23">
        <v>1500</v>
      </c>
      <c r="H252" s="23">
        <v>1500</v>
      </c>
      <c r="I252" s="394">
        <v>5.0000000000000004E-6</v>
      </c>
      <c r="J252" s="394">
        <v>5.0000000000000004E-6</v>
      </c>
      <c r="K252" s="290">
        <v>1</v>
      </c>
      <c r="L252" s="291" t="s">
        <v>2619</v>
      </c>
      <c r="M252" s="23">
        <v>2015</v>
      </c>
      <c r="N252" s="23">
        <v>2100</v>
      </c>
      <c r="O252" s="292">
        <v>25</v>
      </c>
      <c r="P252" s="293">
        <v>2700</v>
      </c>
      <c r="Q252" s="294">
        <v>1</v>
      </c>
      <c r="R252" s="23"/>
      <c r="S252" s="148">
        <f t="shared" si="16"/>
        <v>2700</v>
      </c>
      <c r="T252" s="148">
        <f ca="1">IF(S252=0,"",S252*(OFFSET(cod_desembolso!$A$1,Q252,23)))</f>
        <v>2805.9223082615817</v>
      </c>
      <c r="U252" s="149">
        <f>(constantes!$B$3*(1+constantes!$B$3)^(O252))/((1+constantes!$B$3)^(O252)-1)</f>
        <v>9.3678779051968114E-2</v>
      </c>
      <c r="V252" s="148">
        <f t="shared" ca="1" si="18"/>
        <v>262.85537595262508</v>
      </c>
      <c r="W252" s="148">
        <f ca="1">(IF(S252=0,"",V252/constantes!$B$3))*1</f>
        <v>3285.6921994078134</v>
      </c>
      <c r="X252" s="150">
        <f ca="1">IF(S252=0,"",PV(constantes!$B$3,O252,-V252)*constantes!$B$3)</f>
        <v>224.47378466092658</v>
      </c>
      <c r="Y252" s="85">
        <f t="shared" si="19"/>
        <v>1800</v>
      </c>
      <c r="Z252">
        <v>261</v>
      </c>
    </row>
    <row r="253" spans="1:26">
      <c r="A253" s="290">
        <v>7262</v>
      </c>
      <c r="B253" s="23" t="str">
        <f t="shared" si="17"/>
        <v>TelesP-SE_1500__kV_262</v>
      </c>
      <c r="C253" s="23">
        <v>816</v>
      </c>
      <c r="D253" s="142" t="str">
        <f>VLOOKUP(C253,tab_corredor!$A$2:$B$50,2,0)</f>
        <v>TelesP-SE</v>
      </c>
      <c r="E253" s="23">
        <v>1500</v>
      </c>
      <c r="F253" s="23" t="s">
        <v>2671</v>
      </c>
      <c r="G253" s="23">
        <v>1500</v>
      </c>
      <c r="H253" s="23">
        <v>1500</v>
      </c>
      <c r="I253" s="394">
        <v>5.0000000000000004E-6</v>
      </c>
      <c r="J253" s="394">
        <v>5.0000000000000004E-6</v>
      </c>
      <c r="K253" s="290">
        <v>1</v>
      </c>
      <c r="L253" s="291" t="s">
        <v>2619</v>
      </c>
      <c r="M253" s="23">
        <v>2015</v>
      </c>
      <c r="N253" s="23">
        <v>2100</v>
      </c>
      <c r="O253" s="292">
        <v>25</v>
      </c>
      <c r="P253" s="293">
        <v>2700</v>
      </c>
      <c r="Q253" s="294">
        <v>1</v>
      </c>
      <c r="R253" s="23"/>
      <c r="S253" s="148">
        <f t="shared" si="16"/>
        <v>2700</v>
      </c>
      <c r="T253" s="148">
        <f ca="1">IF(S253=0,"",S253*(OFFSET(cod_desembolso!$A$1,Q253,23)))</f>
        <v>2805.9223082615817</v>
      </c>
      <c r="U253" s="149">
        <f>(constantes!$B$3*(1+constantes!$B$3)^(O253))/((1+constantes!$B$3)^(O253)-1)</f>
        <v>9.3678779051968114E-2</v>
      </c>
      <c r="V253" s="148">
        <f t="shared" ca="1" si="18"/>
        <v>262.85537595262508</v>
      </c>
      <c r="W253" s="148">
        <f ca="1">(IF(S253=0,"",V253/constantes!$B$3))*1</f>
        <v>3285.6921994078134</v>
      </c>
      <c r="X253" s="150">
        <f ca="1">IF(S253=0,"",PV(constantes!$B$3,O253,-V253)*constantes!$B$3)</f>
        <v>224.47378466092658</v>
      </c>
      <c r="Y253" s="85">
        <f t="shared" si="19"/>
        <v>1800</v>
      </c>
      <c r="Z253">
        <v>262</v>
      </c>
    </row>
    <row r="254" spans="1:26">
      <c r="A254" s="290">
        <v>7263</v>
      </c>
      <c r="B254" s="23" t="str">
        <f t="shared" si="17"/>
        <v>TelesP-SE_1500__kV_263</v>
      </c>
      <c r="C254" s="23">
        <v>816</v>
      </c>
      <c r="D254" s="142" t="str">
        <f>VLOOKUP(C254,tab_corredor!$A$2:$B$50,2,0)</f>
        <v>TelesP-SE</v>
      </c>
      <c r="E254" s="23">
        <v>1500</v>
      </c>
      <c r="F254" s="23" t="s">
        <v>2671</v>
      </c>
      <c r="G254" s="23">
        <v>1500</v>
      </c>
      <c r="H254" s="23">
        <v>1500</v>
      </c>
      <c r="I254" s="394">
        <v>5.0000000000000004E-6</v>
      </c>
      <c r="J254" s="394">
        <v>5.0000000000000004E-6</v>
      </c>
      <c r="K254" s="290">
        <v>1</v>
      </c>
      <c r="L254" s="291" t="s">
        <v>2619</v>
      </c>
      <c r="M254" s="23">
        <v>2015</v>
      </c>
      <c r="N254" s="23">
        <v>2100</v>
      </c>
      <c r="O254" s="292">
        <v>25</v>
      </c>
      <c r="P254" s="293">
        <v>2700</v>
      </c>
      <c r="Q254" s="294">
        <v>1</v>
      </c>
      <c r="R254" s="23"/>
      <c r="S254" s="148">
        <f t="shared" si="16"/>
        <v>2700</v>
      </c>
      <c r="T254" s="148">
        <f ca="1">IF(S254=0,"",S254*(OFFSET(cod_desembolso!$A$1,Q254,23)))</f>
        <v>2805.9223082615817</v>
      </c>
      <c r="U254" s="149">
        <f>(constantes!$B$3*(1+constantes!$B$3)^(O254))/((1+constantes!$B$3)^(O254)-1)</f>
        <v>9.3678779051968114E-2</v>
      </c>
      <c r="V254" s="148">
        <f t="shared" ca="1" si="18"/>
        <v>262.85537595262508</v>
      </c>
      <c r="W254" s="148">
        <f ca="1">(IF(S254=0,"",V254/constantes!$B$3))*1</f>
        <v>3285.6921994078134</v>
      </c>
      <c r="X254" s="150">
        <f ca="1">IF(S254=0,"",PV(constantes!$B$3,O254,-V254)*constantes!$B$3)</f>
        <v>224.47378466092658</v>
      </c>
      <c r="Y254" s="85">
        <f t="shared" si="19"/>
        <v>1800</v>
      </c>
      <c r="Z254">
        <v>263</v>
      </c>
    </row>
    <row r="255" spans="1:26">
      <c r="A255" s="290">
        <v>7264</v>
      </c>
      <c r="B255" s="23" t="str">
        <f t="shared" si="17"/>
        <v>TelesP-SE_1500__kV_264</v>
      </c>
      <c r="C255" s="23">
        <v>816</v>
      </c>
      <c r="D255" s="142" t="str">
        <f>VLOOKUP(C255,tab_corredor!$A$2:$B$50,2,0)</f>
        <v>TelesP-SE</v>
      </c>
      <c r="E255" s="23">
        <v>1500</v>
      </c>
      <c r="F255" s="23" t="s">
        <v>2671</v>
      </c>
      <c r="G255" s="23">
        <v>1500</v>
      </c>
      <c r="H255" s="23">
        <v>1500</v>
      </c>
      <c r="I255" s="394">
        <v>5.0000000000000004E-6</v>
      </c>
      <c r="J255" s="394">
        <v>5.0000000000000004E-6</v>
      </c>
      <c r="K255" s="290">
        <v>1</v>
      </c>
      <c r="L255" s="291" t="s">
        <v>2619</v>
      </c>
      <c r="M255" s="23">
        <v>2015</v>
      </c>
      <c r="N255" s="23">
        <v>2100</v>
      </c>
      <c r="O255" s="292">
        <v>25</v>
      </c>
      <c r="P255" s="293">
        <v>2700</v>
      </c>
      <c r="Q255" s="294">
        <v>1</v>
      </c>
      <c r="R255" s="23"/>
      <c r="S255" s="148">
        <f t="shared" si="16"/>
        <v>2700</v>
      </c>
      <c r="T255" s="148">
        <f ca="1">IF(S255=0,"",S255*(OFFSET(cod_desembolso!$A$1,Q255,23)))</f>
        <v>2805.9223082615817</v>
      </c>
      <c r="U255" s="149">
        <f>(constantes!$B$3*(1+constantes!$B$3)^(O255))/((1+constantes!$B$3)^(O255)-1)</f>
        <v>9.3678779051968114E-2</v>
      </c>
      <c r="V255" s="148">
        <f t="shared" ca="1" si="18"/>
        <v>262.85537595262508</v>
      </c>
      <c r="W255" s="148">
        <f ca="1">(IF(S255=0,"",V255/constantes!$B$3))*1</f>
        <v>3285.6921994078134</v>
      </c>
      <c r="X255" s="150">
        <f ca="1">IF(S255=0,"",PV(constantes!$B$3,O255,-V255)*constantes!$B$3)</f>
        <v>224.47378466092658</v>
      </c>
      <c r="Y255" s="85">
        <f t="shared" si="19"/>
        <v>1800</v>
      </c>
      <c r="Z255">
        <v>264</v>
      </c>
    </row>
    <row r="256" spans="1:26">
      <c r="A256" s="290">
        <v>7265</v>
      </c>
      <c r="B256" s="23" t="str">
        <f t="shared" ref="B256:B266" si="20">D256&amp;"_"&amp;E256&amp;"_"&amp;F256&amp;IF(F256="DC","","kV")&amp;"_"&amp;Z256</f>
        <v>SE-Sul_1500__kV_265</v>
      </c>
      <c r="C256" s="23">
        <v>801</v>
      </c>
      <c r="D256" s="142" t="str">
        <f>VLOOKUP(C256,tab_corredor!$A$2:$B$50,2,0)</f>
        <v>SE-Sul</v>
      </c>
      <c r="E256" s="23">
        <v>1500</v>
      </c>
      <c r="F256" s="23" t="s">
        <v>2671</v>
      </c>
      <c r="G256" s="23">
        <v>1500</v>
      </c>
      <c r="H256" s="23">
        <v>1500</v>
      </c>
      <c r="I256" s="394">
        <v>5.0000000000000004E-6</v>
      </c>
      <c r="J256" s="394">
        <v>5.0000000000000004E-6</v>
      </c>
      <c r="K256" s="290">
        <v>1</v>
      </c>
      <c r="L256" s="291" t="s">
        <v>2619</v>
      </c>
      <c r="M256" s="23">
        <v>2015</v>
      </c>
      <c r="N256" s="23">
        <v>2100</v>
      </c>
      <c r="O256" s="292">
        <v>25</v>
      </c>
      <c r="P256" s="293">
        <v>1200</v>
      </c>
      <c r="Q256" s="294">
        <v>1</v>
      </c>
      <c r="R256" s="23"/>
      <c r="S256" s="148">
        <f t="shared" ref="S256:S266" si="21">P256+R256</f>
        <v>1200</v>
      </c>
      <c r="T256" s="148">
        <f ca="1">IF(S256=0,"",S256*(OFFSET(cod_desembolso!$A$1,Q256,23)))</f>
        <v>1247.0765814495917</v>
      </c>
      <c r="U256" s="149">
        <f>(constantes!$B$3*(1+constantes!$B$3)^(O256))/((1+constantes!$B$3)^(O256)-1)</f>
        <v>9.3678779051968114E-2</v>
      </c>
      <c r="V256" s="148">
        <f t="shared" ref="V256:V266" ca="1" si="22">IF(S256=0,"",T256*U256)</f>
        <v>116.82461153450002</v>
      </c>
      <c r="W256" s="148">
        <f ca="1">(IF(S256=0,"",V256/constantes!$B$3))*1</f>
        <v>1460.3076441812502</v>
      </c>
      <c r="X256" s="150">
        <f ca="1">IF(S256=0,"",PV(constantes!$B$3,O256,-V256)*constantes!$B$3)</f>
        <v>99.766126515967343</v>
      </c>
      <c r="Y256" s="85">
        <f t="shared" ref="Y256:Y266" si="23">S256/E256*1000</f>
        <v>800</v>
      </c>
      <c r="Z256">
        <v>265</v>
      </c>
    </row>
    <row r="257" spans="1:26">
      <c r="A257" s="290">
        <v>7266</v>
      </c>
      <c r="B257" s="23" t="str">
        <f t="shared" si="20"/>
        <v>SE-Sul_1500__kV_266</v>
      </c>
      <c r="C257" s="23">
        <v>801</v>
      </c>
      <c r="D257" s="142" t="str">
        <f>VLOOKUP(C257,tab_corredor!$A$2:$B$50,2,0)</f>
        <v>SE-Sul</v>
      </c>
      <c r="E257" s="23">
        <v>1500</v>
      </c>
      <c r="F257" s="23" t="s">
        <v>2671</v>
      </c>
      <c r="G257" s="23">
        <v>1500</v>
      </c>
      <c r="H257" s="23">
        <v>1500</v>
      </c>
      <c r="I257" s="394">
        <v>5.0000000000000004E-6</v>
      </c>
      <c r="J257" s="394">
        <v>5.0000000000000004E-6</v>
      </c>
      <c r="K257" s="290">
        <v>1</v>
      </c>
      <c r="L257" s="291" t="s">
        <v>2619</v>
      </c>
      <c r="M257" s="23">
        <v>2015</v>
      </c>
      <c r="N257" s="23">
        <v>2100</v>
      </c>
      <c r="O257" s="292">
        <v>25</v>
      </c>
      <c r="P257" s="293">
        <v>1200</v>
      </c>
      <c r="Q257" s="294">
        <v>1</v>
      </c>
      <c r="R257" s="23"/>
      <c r="S257" s="148">
        <f t="shared" si="21"/>
        <v>1200</v>
      </c>
      <c r="T257" s="148">
        <f ca="1">IF(S257=0,"",S257*(OFFSET(cod_desembolso!$A$1,Q257,23)))</f>
        <v>1247.0765814495917</v>
      </c>
      <c r="U257" s="149">
        <f>(constantes!$B$3*(1+constantes!$B$3)^(O257))/((1+constantes!$B$3)^(O257)-1)</f>
        <v>9.3678779051968114E-2</v>
      </c>
      <c r="V257" s="148">
        <f t="shared" ca="1" si="22"/>
        <v>116.82461153450002</v>
      </c>
      <c r="W257" s="148">
        <f ca="1">(IF(S257=0,"",V257/constantes!$B$3))*1</f>
        <v>1460.3076441812502</v>
      </c>
      <c r="X257" s="150">
        <f ca="1">IF(S257=0,"",PV(constantes!$B$3,O257,-V257)*constantes!$B$3)</f>
        <v>99.766126515967343</v>
      </c>
      <c r="Y257" s="85">
        <f t="shared" si="23"/>
        <v>800</v>
      </c>
      <c r="Z257">
        <v>266</v>
      </c>
    </row>
    <row r="258" spans="1:26">
      <c r="A258" s="290">
        <v>7267</v>
      </c>
      <c r="B258" s="23" t="str">
        <f t="shared" si="20"/>
        <v>SE-Sul_1500__kV_267</v>
      </c>
      <c r="C258" s="23">
        <v>801</v>
      </c>
      <c r="D258" s="142" t="str">
        <f>VLOOKUP(C258,tab_corredor!$A$2:$B$50,2,0)</f>
        <v>SE-Sul</v>
      </c>
      <c r="E258" s="23">
        <v>1500</v>
      </c>
      <c r="F258" s="23" t="s">
        <v>2671</v>
      </c>
      <c r="G258" s="23">
        <v>1500</v>
      </c>
      <c r="H258" s="23">
        <v>1500</v>
      </c>
      <c r="I258" s="394">
        <v>5.0000000000000004E-6</v>
      </c>
      <c r="J258" s="394">
        <v>5.0000000000000004E-6</v>
      </c>
      <c r="K258" s="290">
        <v>1</v>
      </c>
      <c r="L258" s="291" t="s">
        <v>2619</v>
      </c>
      <c r="M258" s="23">
        <v>2015</v>
      </c>
      <c r="N258" s="23">
        <v>2100</v>
      </c>
      <c r="O258" s="292">
        <v>25</v>
      </c>
      <c r="P258" s="293">
        <v>1200</v>
      </c>
      <c r="Q258" s="294">
        <v>1</v>
      </c>
      <c r="R258" s="23"/>
      <c r="S258" s="148">
        <f t="shared" si="21"/>
        <v>1200</v>
      </c>
      <c r="T258" s="148">
        <f ca="1">IF(S258=0,"",S258*(OFFSET(cod_desembolso!$A$1,Q258,23)))</f>
        <v>1247.0765814495917</v>
      </c>
      <c r="U258" s="149">
        <f>(constantes!$B$3*(1+constantes!$B$3)^(O258))/((1+constantes!$B$3)^(O258)-1)</f>
        <v>9.3678779051968114E-2</v>
      </c>
      <c r="V258" s="148">
        <f t="shared" ca="1" si="22"/>
        <v>116.82461153450002</v>
      </c>
      <c r="W258" s="148">
        <f ca="1">(IF(S258=0,"",V258/constantes!$B$3))*1</f>
        <v>1460.3076441812502</v>
      </c>
      <c r="X258" s="150">
        <f ca="1">IF(S258=0,"",PV(constantes!$B$3,O258,-V258)*constantes!$B$3)</f>
        <v>99.766126515967343</v>
      </c>
      <c r="Y258" s="85">
        <f t="shared" si="23"/>
        <v>800</v>
      </c>
      <c r="Z258">
        <v>267</v>
      </c>
    </row>
    <row r="259" spans="1:26">
      <c r="A259" s="290">
        <v>7268</v>
      </c>
      <c r="B259" s="23" t="str">
        <f t="shared" si="20"/>
        <v>SE-Sul_1500__kV_268</v>
      </c>
      <c r="C259" s="23">
        <v>801</v>
      </c>
      <c r="D259" s="142" t="str">
        <f>VLOOKUP(C259,tab_corredor!$A$2:$B$50,2,0)</f>
        <v>SE-Sul</v>
      </c>
      <c r="E259" s="23">
        <v>1500</v>
      </c>
      <c r="F259" s="23" t="s">
        <v>2671</v>
      </c>
      <c r="G259" s="23">
        <v>1500</v>
      </c>
      <c r="H259" s="23">
        <v>1500</v>
      </c>
      <c r="I259" s="394">
        <v>5.0000000000000004E-6</v>
      </c>
      <c r="J259" s="394">
        <v>5.0000000000000004E-6</v>
      </c>
      <c r="K259" s="290">
        <v>1</v>
      </c>
      <c r="L259" s="291" t="s">
        <v>2619</v>
      </c>
      <c r="M259" s="23">
        <v>2015</v>
      </c>
      <c r="N259" s="23">
        <v>2100</v>
      </c>
      <c r="O259" s="292">
        <v>25</v>
      </c>
      <c r="P259" s="293">
        <v>1200</v>
      </c>
      <c r="Q259" s="294">
        <v>1</v>
      </c>
      <c r="R259" s="23"/>
      <c r="S259" s="148">
        <f t="shared" si="21"/>
        <v>1200</v>
      </c>
      <c r="T259" s="148">
        <f ca="1">IF(S259=0,"",S259*(OFFSET(cod_desembolso!$A$1,Q259,23)))</f>
        <v>1247.0765814495917</v>
      </c>
      <c r="U259" s="149">
        <f>(constantes!$B$3*(1+constantes!$B$3)^(O259))/((1+constantes!$B$3)^(O259)-1)</f>
        <v>9.3678779051968114E-2</v>
      </c>
      <c r="V259" s="148">
        <f t="shared" ca="1" si="22"/>
        <v>116.82461153450002</v>
      </c>
      <c r="W259" s="148">
        <f ca="1">(IF(S259=0,"",V259/constantes!$B$3))*1</f>
        <v>1460.3076441812502</v>
      </c>
      <c r="X259" s="150">
        <f ca="1">IF(S259=0,"",PV(constantes!$B$3,O259,-V259)*constantes!$B$3)</f>
        <v>99.766126515967343</v>
      </c>
      <c r="Y259" s="85">
        <f t="shared" si="23"/>
        <v>800</v>
      </c>
      <c r="Z259">
        <v>268</v>
      </c>
    </row>
    <row r="260" spans="1:26">
      <c r="A260" s="290">
        <v>7269</v>
      </c>
      <c r="B260" s="23" t="str">
        <f t="shared" si="20"/>
        <v>SE-Sul_1500__kV_269</v>
      </c>
      <c r="C260" s="23">
        <v>801</v>
      </c>
      <c r="D260" s="142" t="str">
        <f>VLOOKUP(C260,tab_corredor!$A$2:$B$50,2,0)</f>
        <v>SE-Sul</v>
      </c>
      <c r="E260" s="23">
        <v>1500</v>
      </c>
      <c r="F260" s="23" t="s">
        <v>2671</v>
      </c>
      <c r="G260" s="23">
        <v>1500</v>
      </c>
      <c r="H260" s="23">
        <v>1500</v>
      </c>
      <c r="I260" s="394">
        <v>5.0000000000000004E-6</v>
      </c>
      <c r="J260" s="394">
        <v>5.0000000000000004E-6</v>
      </c>
      <c r="K260" s="290">
        <v>1</v>
      </c>
      <c r="L260" s="291" t="s">
        <v>2619</v>
      </c>
      <c r="M260" s="23">
        <v>2015</v>
      </c>
      <c r="N260" s="23">
        <v>2100</v>
      </c>
      <c r="O260" s="292">
        <v>25</v>
      </c>
      <c r="P260" s="293">
        <v>1200</v>
      </c>
      <c r="Q260" s="294">
        <v>1</v>
      </c>
      <c r="R260" s="23"/>
      <c r="S260" s="148">
        <f t="shared" si="21"/>
        <v>1200</v>
      </c>
      <c r="T260" s="148">
        <f ca="1">IF(S260=0,"",S260*(OFFSET(cod_desembolso!$A$1,Q260,23)))</f>
        <v>1247.0765814495917</v>
      </c>
      <c r="U260" s="149">
        <f>(constantes!$B$3*(1+constantes!$B$3)^(O260))/((1+constantes!$B$3)^(O260)-1)</f>
        <v>9.3678779051968114E-2</v>
      </c>
      <c r="V260" s="148">
        <f t="shared" ca="1" si="22"/>
        <v>116.82461153450002</v>
      </c>
      <c r="W260" s="148">
        <f ca="1">(IF(S260=0,"",V260/constantes!$B$3))*1</f>
        <v>1460.3076441812502</v>
      </c>
      <c r="X260" s="150">
        <f ca="1">IF(S260=0,"",PV(constantes!$B$3,O260,-V260)*constantes!$B$3)</f>
        <v>99.766126515967343</v>
      </c>
      <c r="Y260" s="85">
        <f t="shared" si="23"/>
        <v>800</v>
      </c>
      <c r="Z260">
        <v>269</v>
      </c>
    </row>
    <row r="261" spans="1:26">
      <c r="A261" s="290">
        <v>7270</v>
      </c>
      <c r="B261" s="23" t="str">
        <f t="shared" si="20"/>
        <v>SE-Sul_1500__kV_270</v>
      </c>
      <c r="C261" s="23">
        <v>801</v>
      </c>
      <c r="D261" s="142" t="str">
        <f>VLOOKUP(C261,tab_corredor!$A$2:$B$50,2,0)</f>
        <v>SE-Sul</v>
      </c>
      <c r="E261" s="23">
        <v>1500</v>
      </c>
      <c r="F261" s="23" t="s">
        <v>2671</v>
      </c>
      <c r="G261" s="23">
        <v>1500</v>
      </c>
      <c r="H261" s="23">
        <v>1500</v>
      </c>
      <c r="I261" s="394">
        <v>5.0000000000000004E-6</v>
      </c>
      <c r="J261" s="394">
        <v>5.0000000000000004E-6</v>
      </c>
      <c r="K261" s="290">
        <v>1</v>
      </c>
      <c r="L261" s="291" t="s">
        <v>2619</v>
      </c>
      <c r="M261" s="23">
        <v>2015</v>
      </c>
      <c r="N261" s="23">
        <v>2100</v>
      </c>
      <c r="O261" s="292">
        <v>25</v>
      </c>
      <c r="P261" s="293">
        <v>1200</v>
      </c>
      <c r="Q261" s="294">
        <v>1</v>
      </c>
      <c r="R261" s="23"/>
      <c r="S261" s="148">
        <f t="shared" si="21"/>
        <v>1200</v>
      </c>
      <c r="T261" s="148">
        <f ca="1">IF(S261=0,"",S261*(OFFSET(cod_desembolso!$A$1,Q261,23)))</f>
        <v>1247.0765814495917</v>
      </c>
      <c r="U261" s="149">
        <f>(constantes!$B$3*(1+constantes!$B$3)^(O261))/((1+constantes!$B$3)^(O261)-1)</f>
        <v>9.3678779051968114E-2</v>
      </c>
      <c r="V261" s="148">
        <f t="shared" ca="1" si="22"/>
        <v>116.82461153450002</v>
      </c>
      <c r="W261" s="148">
        <f ca="1">(IF(S261=0,"",V261/constantes!$B$3))*1</f>
        <v>1460.3076441812502</v>
      </c>
      <c r="X261" s="150">
        <f ca="1">IF(S261=0,"",PV(constantes!$B$3,O261,-V261)*constantes!$B$3)</f>
        <v>99.766126515967343</v>
      </c>
      <c r="Y261" s="85">
        <f t="shared" si="23"/>
        <v>800</v>
      </c>
      <c r="Z261">
        <v>270</v>
      </c>
    </row>
    <row r="262" spans="1:26">
      <c r="A262" s="290">
        <v>7271</v>
      </c>
      <c r="B262" s="23" t="str">
        <f t="shared" si="20"/>
        <v>SE-Sul_1500__kV_271</v>
      </c>
      <c r="C262" s="23">
        <v>801</v>
      </c>
      <c r="D262" s="142" t="str">
        <f>VLOOKUP(C262,tab_corredor!$A$2:$B$50,2,0)</f>
        <v>SE-Sul</v>
      </c>
      <c r="E262" s="23">
        <v>1500</v>
      </c>
      <c r="F262" s="23" t="s">
        <v>2671</v>
      </c>
      <c r="G262" s="23">
        <v>1500</v>
      </c>
      <c r="H262" s="23">
        <v>1500</v>
      </c>
      <c r="I262" s="394">
        <v>5.0000000000000004E-6</v>
      </c>
      <c r="J262" s="394">
        <v>5.0000000000000004E-6</v>
      </c>
      <c r="K262" s="290">
        <v>1</v>
      </c>
      <c r="L262" s="291" t="s">
        <v>2619</v>
      </c>
      <c r="M262" s="23">
        <v>2015</v>
      </c>
      <c r="N262" s="23">
        <v>2100</v>
      </c>
      <c r="O262" s="292">
        <v>25</v>
      </c>
      <c r="P262" s="293">
        <v>1200</v>
      </c>
      <c r="Q262" s="294">
        <v>1</v>
      </c>
      <c r="R262" s="23"/>
      <c r="S262" s="148">
        <f t="shared" si="21"/>
        <v>1200</v>
      </c>
      <c r="T262" s="148">
        <f ca="1">IF(S262=0,"",S262*(OFFSET(cod_desembolso!$A$1,Q262,23)))</f>
        <v>1247.0765814495917</v>
      </c>
      <c r="U262" s="149">
        <f>(constantes!$B$3*(1+constantes!$B$3)^(O262))/((1+constantes!$B$3)^(O262)-1)</f>
        <v>9.3678779051968114E-2</v>
      </c>
      <c r="V262" s="148">
        <f t="shared" ca="1" si="22"/>
        <v>116.82461153450002</v>
      </c>
      <c r="W262" s="148">
        <f ca="1">(IF(S262=0,"",V262/constantes!$B$3))*1</f>
        <v>1460.3076441812502</v>
      </c>
      <c r="X262" s="150">
        <f ca="1">IF(S262=0,"",PV(constantes!$B$3,O262,-V262)*constantes!$B$3)</f>
        <v>99.766126515967343</v>
      </c>
      <c r="Y262" s="85">
        <f t="shared" si="23"/>
        <v>800</v>
      </c>
      <c r="Z262">
        <v>271</v>
      </c>
    </row>
    <row r="263" spans="1:26">
      <c r="A263" s="290">
        <v>7272</v>
      </c>
      <c r="B263" s="23" t="str">
        <f t="shared" si="20"/>
        <v>SE-Sul_1500__kV_272</v>
      </c>
      <c r="C263" s="23">
        <v>801</v>
      </c>
      <c r="D263" s="142" t="str">
        <f>VLOOKUP(C263,tab_corredor!$A$2:$B$50,2,0)</f>
        <v>SE-Sul</v>
      </c>
      <c r="E263" s="23">
        <v>1500</v>
      </c>
      <c r="F263" s="23" t="s">
        <v>2671</v>
      </c>
      <c r="G263" s="23">
        <v>1500</v>
      </c>
      <c r="H263" s="23">
        <v>1500</v>
      </c>
      <c r="I263" s="394">
        <v>5.0000000000000004E-6</v>
      </c>
      <c r="J263" s="394">
        <v>5.0000000000000004E-6</v>
      </c>
      <c r="K263" s="290">
        <v>1</v>
      </c>
      <c r="L263" s="291" t="s">
        <v>2619</v>
      </c>
      <c r="M263" s="23">
        <v>2015</v>
      </c>
      <c r="N263" s="23">
        <v>2100</v>
      </c>
      <c r="O263" s="292">
        <v>25</v>
      </c>
      <c r="P263" s="293">
        <v>1200</v>
      </c>
      <c r="Q263" s="294">
        <v>1</v>
      </c>
      <c r="R263" s="23"/>
      <c r="S263" s="148">
        <f t="shared" si="21"/>
        <v>1200</v>
      </c>
      <c r="T263" s="148">
        <f ca="1">IF(S263=0,"",S263*(OFFSET(cod_desembolso!$A$1,Q263,23)))</f>
        <v>1247.0765814495917</v>
      </c>
      <c r="U263" s="149">
        <f>(constantes!$B$3*(1+constantes!$B$3)^(O263))/((1+constantes!$B$3)^(O263)-1)</f>
        <v>9.3678779051968114E-2</v>
      </c>
      <c r="V263" s="148">
        <f t="shared" ca="1" si="22"/>
        <v>116.82461153450002</v>
      </c>
      <c r="W263" s="148">
        <f ca="1">(IF(S263=0,"",V263/constantes!$B$3))*1</f>
        <v>1460.3076441812502</v>
      </c>
      <c r="X263" s="150">
        <f ca="1">IF(S263=0,"",PV(constantes!$B$3,O263,-V263)*constantes!$B$3)</f>
        <v>99.766126515967343</v>
      </c>
      <c r="Y263" s="85">
        <f t="shared" si="23"/>
        <v>800</v>
      </c>
      <c r="Z263">
        <v>272</v>
      </c>
    </row>
    <row r="264" spans="1:26">
      <c r="A264" s="290">
        <v>7273</v>
      </c>
      <c r="B264" s="23" t="str">
        <f t="shared" si="20"/>
        <v>SE-Sul_1500__kV_273</v>
      </c>
      <c r="C264" s="23">
        <v>801</v>
      </c>
      <c r="D264" s="142" t="str">
        <f>VLOOKUP(C264,tab_corredor!$A$2:$B$50,2,0)</f>
        <v>SE-Sul</v>
      </c>
      <c r="E264" s="23">
        <v>1500</v>
      </c>
      <c r="F264" s="23" t="s">
        <v>2671</v>
      </c>
      <c r="G264" s="23">
        <v>1500</v>
      </c>
      <c r="H264" s="23">
        <v>1500</v>
      </c>
      <c r="I264" s="394">
        <v>5.0000000000000004E-6</v>
      </c>
      <c r="J264" s="394">
        <v>5.0000000000000004E-6</v>
      </c>
      <c r="K264" s="290">
        <v>1</v>
      </c>
      <c r="L264" s="291" t="s">
        <v>2619</v>
      </c>
      <c r="M264" s="23">
        <v>2015</v>
      </c>
      <c r="N264" s="23">
        <v>2100</v>
      </c>
      <c r="O264" s="292">
        <v>25</v>
      </c>
      <c r="P264" s="293">
        <v>1200</v>
      </c>
      <c r="Q264" s="294">
        <v>1</v>
      </c>
      <c r="R264" s="23"/>
      <c r="S264" s="148">
        <f t="shared" si="21"/>
        <v>1200</v>
      </c>
      <c r="T264" s="148">
        <f ca="1">IF(S264=0,"",S264*(OFFSET(cod_desembolso!$A$1,Q264,23)))</f>
        <v>1247.0765814495917</v>
      </c>
      <c r="U264" s="149">
        <f>(constantes!$B$3*(1+constantes!$B$3)^(O264))/((1+constantes!$B$3)^(O264)-1)</f>
        <v>9.3678779051968114E-2</v>
      </c>
      <c r="V264" s="148">
        <f t="shared" ca="1" si="22"/>
        <v>116.82461153450002</v>
      </c>
      <c r="W264" s="148">
        <f ca="1">(IF(S264=0,"",V264/constantes!$B$3))*1</f>
        <v>1460.3076441812502</v>
      </c>
      <c r="X264" s="150">
        <f ca="1">IF(S264=0,"",PV(constantes!$B$3,O264,-V264)*constantes!$B$3)</f>
        <v>99.766126515967343</v>
      </c>
      <c r="Y264" s="85">
        <f t="shared" si="23"/>
        <v>800</v>
      </c>
      <c r="Z264">
        <v>273</v>
      </c>
    </row>
    <row r="265" spans="1:26">
      <c r="A265" s="290">
        <v>7274</v>
      </c>
      <c r="B265" s="23" t="str">
        <f t="shared" si="20"/>
        <v>SE-Sul_1500__kV_274</v>
      </c>
      <c r="C265" s="23">
        <v>801</v>
      </c>
      <c r="D265" s="142" t="str">
        <f>VLOOKUP(C265,tab_corredor!$A$2:$B$50,2,0)</f>
        <v>SE-Sul</v>
      </c>
      <c r="E265" s="23">
        <v>1500</v>
      </c>
      <c r="F265" s="23" t="s">
        <v>2671</v>
      </c>
      <c r="G265" s="23">
        <v>1500</v>
      </c>
      <c r="H265" s="23">
        <v>1500</v>
      </c>
      <c r="I265" s="394">
        <v>5.0000000000000004E-6</v>
      </c>
      <c r="J265" s="394">
        <v>5.0000000000000004E-6</v>
      </c>
      <c r="K265" s="290">
        <v>1</v>
      </c>
      <c r="L265" s="291" t="s">
        <v>2619</v>
      </c>
      <c r="M265" s="23">
        <v>2015</v>
      </c>
      <c r="N265" s="23">
        <v>2100</v>
      </c>
      <c r="O265" s="292">
        <v>25</v>
      </c>
      <c r="P265" s="293">
        <v>1200</v>
      </c>
      <c r="Q265" s="294">
        <v>1</v>
      </c>
      <c r="R265" s="23"/>
      <c r="S265" s="148">
        <f t="shared" si="21"/>
        <v>1200</v>
      </c>
      <c r="T265" s="148">
        <f ca="1">IF(S265=0,"",S265*(OFFSET(cod_desembolso!$A$1,Q265,23)))</f>
        <v>1247.0765814495917</v>
      </c>
      <c r="U265" s="149">
        <f>(constantes!$B$3*(1+constantes!$B$3)^(O265))/((1+constantes!$B$3)^(O265)-1)</f>
        <v>9.3678779051968114E-2</v>
      </c>
      <c r="V265" s="148">
        <f t="shared" ca="1" si="22"/>
        <v>116.82461153450002</v>
      </c>
      <c r="W265" s="148">
        <f ca="1">(IF(S265=0,"",V265/constantes!$B$3))*1</f>
        <v>1460.3076441812502</v>
      </c>
      <c r="X265" s="150">
        <f ca="1">IF(S265=0,"",PV(constantes!$B$3,O265,-V265)*constantes!$B$3)</f>
        <v>99.766126515967343</v>
      </c>
      <c r="Y265" s="85">
        <f t="shared" si="23"/>
        <v>800</v>
      </c>
      <c r="Z265">
        <v>274</v>
      </c>
    </row>
    <row r="266" spans="1:26">
      <c r="A266" s="290">
        <v>7275</v>
      </c>
      <c r="B266" s="23" t="str">
        <f t="shared" si="20"/>
        <v>SE-Sul_1500__kV_275</v>
      </c>
      <c r="C266" s="23">
        <v>801</v>
      </c>
      <c r="D266" s="142" t="str">
        <f>VLOOKUP(C266,tab_corredor!$A$2:$B$50,2,0)</f>
        <v>SE-Sul</v>
      </c>
      <c r="E266" s="23">
        <v>1500</v>
      </c>
      <c r="F266" s="23" t="s">
        <v>2671</v>
      </c>
      <c r="G266" s="23">
        <v>1500</v>
      </c>
      <c r="H266" s="23">
        <v>1500</v>
      </c>
      <c r="I266" s="394">
        <v>5.0000000000000004E-6</v>
      </c>
      <c r="J266" s="394">
        <v>5.0000000000000004E-6</v>
      </c>
      <c r="K266" s="290">
        <v>1</v>
      </c>
      <c r="L266" s="291" t="s">
        <v>2619</v>
      </c>
      <c r="M266" s="23">
        <v>2015</v>
      </c>
      <c r="N266" s="23">
        <v>2100</v>
      </c>
      <c r="O266" s="292">
        <v>25</v>
      </c>
      <c r="P266" s="293">
        <v>1200</v>
      </c>
      <c r="Q266" s="294">
        <v>1</v>
      </c>
      <c r="R266" s="23"/>
      <c r="S266" s="148">
        <f t="shared" si="21"/>
        <v>1200</v>
      </c>
      <c r="T266" s="148">
        <f ca="1">IF(S266=0,"",S266*(OFFSET(cod_desembolso!$A$1,Q266,23)))</f>
        <v>1247.0765814495917</v>
      </c>
      <c r="U266" s="149">
        <f>(constantes!$B$3*(1+constantes!$B$3)^(O266))/((1+constantes!$B$3)^(O266)-1)</f>
        <v>9.3678779051968114E-2</v>
      </c>
      <c r="V266" s="148">
        <f t="shared" ca="1" si="22"/>
        <v>116.82461153450002</v>
      </c>
      <c r="W266" s="148">
        <f ca="1">(IF(S266=0,"",V266/constantes!$B$3))*1</f>
        <v>1460.3076441812502</v>
      </c>
      <c r="X266" s="150">
        <f ca="1">IF(S266=0,"",PV(constantes!$B$3,O266,-V266)*constantes!$B$3)</f>
        <v>99.766126515967343</v>
      </c>
      <c r="Y266" s="85">
        <f t="shared" si="23"/>
        <v>800</v>
      </c>
      <c r="Z266">
        <v>275</v>
      </c>
    </row>
    <row r="267" spans="1:26">
      <c r="A267" s="290">
        <v>7276</v>
      </c>
      <c r="B267" s="23" t="str">
        <f t="shared" ref="B267:B268" si="24">D267&amp;"_"&amp;E267&amp;"_"&amp;F267&amp;IF(F267="DC","","kV")&amp;"_"&amp;Z267</f>
        <v>SE-Sul_1500__kV_276</v>
      </c>
      <c r="C267" s="23">
        <v>801</v>
      </c>
      <c r="D267" s="142" t="str">
        <f>VLOOKUP(C267,tab_corredor!$A$2:$B$50,2,0)</f>
        <v>SE-Sul</v>
      </c>
      <c r="E267" s="23">
        <v>1500</v>
      </c>
      <c r="F267" s="23" t="s">
        <v>2671</v>
      </c>
      <c r="G267" s="23">
        <v>1500</v>
      </c>
      <c r="H267" s="23">
        <v>1500</v>
      </c>
      <c r="I267" s="394">
        <v>5.0000000000000004E-6</v>
      </c>
      <c r="J267" s="394">
        <v>5.0000000000000004E-6</v>
      </c>
      <c r="K267" s="290">
        <v>1</v>
      </c>
      <c r="L267" s="291" t="s">
        <v>2619</v>
      </c>
      <c r="M267" s="23">
        <v>2015</v>
      </c>
      <c r="N267" s="23">
        <v>2100</v>
      </c>
      <c r="O267" s="292">
        <v>25</v>
      </c>
      <c r="P267" s="293">
        <v>1200</v>
      </c>
      <c r="Q267" s="294">
        <v>1</v>
      </c>
      <c r="R267" s="23"/>
      <c r="S267" s="148">
        <f t="shared" ref="S267:S268" si="25">P267+R267</f>
        <v>1200</v>
      </c>
      <c r="T267" s="148">
        <f ca="1">IF(S267=0,"",S267*(OFFSET(cod_desembolso!$A$1,Q267,23)))</f>
        <v>1247.0765814495917</v>
      </c>
      <c r="U267" s="149">
        <f>(constantes!$B$3*(1+constantes!$B$3)^(O267))/((1+constantes!$B$3)^(O267)-1)</f>
        <v>9.3678779051968114E-2</v>
      </c>
      <c r="V267" s="148">
        <f t="shared" ref="V267:V268" ca="1" si="26">IF(S267=0,"",T267*U267)</f>
        <v>116.82461153450002</v>
      </c>
      <c r="W267" s="148">
        <f ca="1">(IF(S267=0,"",V267/constantes!$B$3))*1</f>
        <v>1460.3076441812502</v>
      </c>
      <c r="X267" s="150">
        <f ca="1">IF(S267=0,"",PV(constantes!$B$3,O267,-V267)*constantes!$B$3)</f>
        <v>99.766126515967343</v>
      </c>
      <c r="Y267" s="85">
        <f t="shared" ref="Y267:Y268" si="27">S267/E267*1000</f>
        <v>800</v>
      </c>
      <c r="Z267">
        <v>276</v>
      </c>
    </row>
    <row r="268" spans="1:26">
      <c r="A268" s="290">
        <v>7277</v>
      </c>
      <c r="B268" s="23" t="str">
        <f t="shared" si="24"/>
        <v>SE-Sul_1500__kV_277</v>
      </c>
      <c r="C268" s="23">
        <v>801</v>
      </c>
      <c r="D268" s="142" t="str">
        <f>VLOOKUP(C268,tab_corredor!$A$2:$B$50,2,0)</f>
        <v>SE-Sul</v>
      </c>
      <c r="E268" s="23">
        <v>1500</v>
      </c>
      <c r="F268" s="23" t="s">
        <v>2671</v>
      </c>
      <c r="G268" s="23">
        <v>1500</v>
      </c>
      <c r="H268" s="23">
        <v>1500</v>
      </c>
      <c r="I268" s="394">
        <v>5.0000000000000004E-6</v>
      </c>
      <c r="J268" s="394">
        <v>5.0000000000000004E-6</v>
      </c>
      <c r="K268" s="290">
        <v>1</v>
      </c>
      <c r="L268" s="291" t="s">
        <v>2619</v>
      </c>
      <c r="M268" s="23">
        <v>2015</v>
      </c>
      <c r="N268" s="23">
        <v>2100</v>
      </c>
      <c r="O268" s="292">
        <v>25</v>
      </c>
      <c r="P268" s="293">
        <v>1200</v>
      </c>
      <c r="Q268" s="294">
        <v>1</v>
      </c>
      <c r="R268" s="23"/>
      <c r="S268" s="148">
        <f t="shared" si="25"/>
        <v>1200</v>
      </c>
      <c r="T268" s="148">
        <f ca="1">IF(S268=0,"",S268*(OFFSET(cod_desembolso!$A$1,Q268,23)))</f>
        <v>1247.0765814495917</v>
      </c>
      <c r="U268" s="149">
        <f>(constantes!$B$3*(1+constantes!$B$3)^(O268))/((1+constantes!$B$3)^(O268)-1)</f>
        <v>9.3678779051968114E-2</v>
      </c>
      <c r="V268" s="148">
        <f t="shared" ca="1" si="26"/>
        <v>116.82461153450002</v>
      </c>
      <c r="W268" s="148">
        <f ca="1">(IF(S268=0,"",V268/constantes!$B$3))*1</f>
        <v>1460.3076441812502</v>
      </c>
      <c r="X268" s="150">
        <f ca="1">IF(S268=0,"",PV(constantes!$B$3,O268,-V268)*constantes!$B$3)</f>
        <v>99.766126515967343</v>
      </c>
      <c r="Y268" s="85">
        <f t="shared" si="27"/>
        <v>800</v>
      </c>
      <c r="Z268">
        <v>277</v>
      </c>
    </row>
    <row r="269" spans="1:26">
      <c r="A269" s="290">
        <v>7278</v>
      </c>
      <c r="B269" s="23" t="str">
        <f t="shared" ref="B269:B300" si="28">D269&amp;"_"&amp;E269&amp;"_"&amp;F269&amp;IF(F269="DC","","kV")&amp;"_"&amp;Z269</f>
        <v>NE-Imp_1500__kV_278</v>
      </c>
      <c r="C269" s="23">
        <v>808</v>
      </c>
      <c r="D269" s="142" t="str">
        <f>VLOOKUP(C269,tab_corredor!$A$2:$B$50,2,0)</f>
        <v>NE-Imp</v>
      </c>
      <c r="E269" s="23">
        <v>1500</v>
      </c>
      <c r="F269" s="23" t="s">
        <v>2671</v>
      </c>
      <c r="G269" s="23">
        <v>1500</v>
      </c>
      <c r="H269" s="23">
        <v>1500</v>
      </c>
      <c r="I269" s="394">
        <v>5.0000000000000004E-6</v>
      </c>
      <c r="J269" s="394">
        <v>5.0000000000000004E-6</v>
      </c>
      <c r="K269" s="290">
        <v>1</v>
      </c>
      <c r="L269" s="291" t="s">
        <v>2619</v>
      </c>
      <c r="M269" s="23">
        <v>2015</v>
      </c>
      <c r="N269" s="23">
        <v>2100</v>
      </c>
      <c r="O269" s="292">
        <v>25</v>
      </c>
      <c r="P269" s="293">
        <v>2100</v>
      </c>
      <c r="Q269" s="294">
        <v>1</v>
      </c>
      <c r="R269" s="23"/>
      <c r="S269" s="148">
        <f t="shared" ref="S269:S300" si="29">P269+R269</f>
        <v>2100</v>
      </c>
      <c r="T269" s="148">
        <f ca="1">IF(S269=0,"",S269*(OFFSET(cod_desembolso!$A$1,Q269,23)))</f>
        <v>2182.3840175367854</v>
      </c>
      <c r="U269" s="149">
        <f>(constantes!$B$3*(1+constantes!$B$3)^(O269))/((1+constantes!$B$3)^(O269)-1)</f>
        <v>9.3678779051968114E-2</v>
      </c>
      <c r="V269" s="148">
        <f t="shared" ref="V269:V300" ca="1" si="30">IF(S269=0,"",T269*U269)</f>
        <v>204.44307018537503</v>
      </c>
      <c r="W269" s="148">
        <f ca="1">(IF(S269=0,"",V269/constantes!$B$3))*1</f>
        <v>2555.538377317188</v>
      </c>
      <c r="X269" s="150">
        <f ca="1">IF(S269=0,"",PV(constantes!$B$3,O269,-V269)*constantes!$B$3)</f>
        <v>174.59072140294285</v>
      </c>
      <c r="Y269" s="85">
        <f t="shared" ref="Y269:Y300" si="31">S269/E269*1000</f>
        <v>1400</v>
      </c>
      <c r="Z269">
        <v>278</v>
      </c>
    </row>
    <row r="270" spans="1:26">
      <c r="A270" s="290">
        <v>7279</v>
      </c>
      <c r="B270" s="23" t="str">
        <f t="shared" si="28"/>
        <v>NE-Imp_1500__kV_279</v>
      </c>
      <c r="C270" s="23">
        <v>808</v>
      </c>
      <c r="D270" s="142" t="str">
        <f>VLOOKUP(C270,tab_corredor!$A$2:$B$50,2,0)</f>
        <v>NE-Imp</v>
      </c>
      <c r="E270" s="23">
        <v>1500</v>
      </c>
      <c r="F270" s="23" t="s">
        <v>2671</v>
      </c>
      <c r="G270" s="23">
        <v>1500</v>
      </c>
      <c r="H270" s="23">
        <v>1500</v>
      </c>
      <c r="I270" s="394">
        <v>5.0000000000000004E-6</v>
      </c>
      <c r="J270" s="394">
        <v>5.0000000000000004E-6</v>
      </c>
      <c r="K270" s="290">
        <v>1</v>
      </c>
      <c r="L270" s="291" t="s">
        <v>2619</v>
      </c>
      <c r="M270" s="23">
        <v>2015</v>
      </c>
      <c r="N270" s="23">
        <v>2100</v>
      </c>
      <c r="O270" s="292">
        <v>25</v>
      </c>
      <c r="P270" s="293">
        <v>2100</v>
      </c>
      <c r="Q270" s="294">
        <v>1</v>
      </c>
      <c r="R270" s="23"/>
      <c r="S270" s="148">
        <f t="shared" si="29"/>
        <v>2100</v>
      </c>
      <c r="T270" s="148">
        <f ca="1">IF(S270=0,"",S270*(OFFSET(cod_desembolso!$A$1,Q270,23)))</f>
        <v>2182.3840175367854</v>
      </c>
      <c r="U270" s="149">
        <f>(constantes!$B$3*(1+constantes!$B$3)^(O270))/((1+constantes!$B$3)^(O270)-1)</f>
        <v>9.3678779051968114E-2</v>
      </c>
      <c r="V270" s="148">
        <f t="shared" ca="1" si="30"/>
        <v>204.44307018537503</v>
      </c>
      <c r="W270" s="148">
        <f ca="1">(IF(S270=0,"",V270/constantes!$B$3))*1</f>
        <v>2555.538377317188</v>
      </c>
      <c r="X270" s="150">
        <f ca="1">IF(S270=0,"",PV(constantes!$B$3,O270,-V270)*constantes!$B$3)</f>
        <v>174.59072140294285</v>
      </c>
      <c r="Y270" s="85">
        <f t="shared" si="31"/>
        <v>1400</v>
      </c>
      <c r="Z270">
        <v>279</v>
      </c>
    </row>
    <row r="271" spans="1:26">
      <c r="A271" s="290">
        <v>7280</v>
      </c>
      <c r="B271" s="23" t="str">
        <f t="shared" si="28"/>
        <v>NE-Imp_1500__kV_280</v>
      </c>
      <c r="C271" s="23">
        <v>808</v>
      </c>
      <c r="D271" s="142" t="str">
        <f>VLOOKUP(C271,tab_corredor!$A$2:$B$50,2,0)</f>
        <v>NE-Imp</v>
      </c>
      <c r="E271" s="23">
        <v>1500</v>
      </c>
      <c r="F271" s="23" t="s">
        <v>2671</v>
      </c>
      <c r="G271" s="23">
        <v>1500</v>
      </c>
      <c r="H271" s="23">
        <v>1500</v>
      </c>
      <c r="I271" s="394">
        <v>5.0000000000000004E-6</v>
      </c>
      <c r="J271" s="394">
        <v>5.0000000000000004E-6</v>
      </c>
      <c r="K271" s="290">
        <v>1</v>
      </c>
      <c r="L271" s="291" t="s">
        <v>2619</v>
      </c>
      <c r="M271" s="23">
        <v>2015</v>
      </c>
      <c r="N271" s="23">
        <v>2100</v>
      </c>
      <c r="O271" s="292">
        <v>25</v>
      </c>
      <c r="P271" s="293">
        <v>2100</v>
      </c>
      <c r="Q271" s="294">
        <v>1</v>
      </c>
      <c r="R271" s="23"/>
      <c r="S271" s="148">
        <f t="shared" si="29"/>
        <v>2100</v>
      </c>
      <c r="T271" s="148">
        <f ca="1">IF(S271=0,"",S271*(OFFSET(cod_desembolso!$A$1,Q271,23)))</f>
        <v>2182.3840175367854</v>
      </c>
      <c r="U271" s="149">
        <f>(constantes!$B$3*(1+constantes!$B$3)^(O271))/((1+constantes!$B$3)^(O271)-1)</f>
        <v>9.3678779051968114E-2</v>
      </c>
      <c r="V271" s="148">
        <f t="shared" ca="1" si="30"/>
        <v>204.44307018537503</v>
      </c>
      <c r="W271" s="148">
        <f ca="1">(IF(S271=0,"",V271/constantes!$B$3))*1</f>
        <v>2555.538377317188</v>
      </c>
      <c r="X271" s="150">
        <f ca="1">IF(S271=0,"",PV(constantes!$B$3,O271,-V271)*constantes!$B$3)</f>
        <v>174.59072140294285</v>
      </c>
      <c r="Y271" s="85">
        <f t="shared" si="31"/>
        <v>1400</v>
      </c>
      <c r="Z271">
        <v>280</v>
      </c>
    </row>
    <row r="272" spans="1:26">
      <c r="A272" s="290">
        <v>7281</v>
      </c>
      <c r="B272" s="23" t="str">
        <f t="shared" si="28"/>
        <v>NE-Imp_1500__kV_281</v>
      </c>
      <c r="C272" s="23">
        <v>808</v>
      </c>
      <c r="D272" s="142" t="str">
        <f>VLOOKUP(C272,tab_corredor!$A$2:$B$50,2,0)</f>
        <v>NE-Imp</v>
      </c>
      <c r="E272" s="23">
        <v>1500</v>
      </c>
      <c r="F272" s="23" t="s">
        <v>2671</v>
      </c>
      <c r="G272" s="23">
        <v>1500</v>
      </c>
      <c r="H272" s="23">
        <v>1500</v>
      </c>
      <c r="I272" s="394">
        <v>5.0000000000000004E-6</v>
      </c>
      <c r="J272" s="394">
        <v>5.0000000000000004E-6</v>
      </c>
      <c r="K272" s="290">
        <v>1</v>
      </c>
      <c r="L272" s="291" t="s">
        <v>2619</v>
      </c>
      <c r="M272" s="23">
        <v>2015</v>
      </c>
      <c r="N272" s="23">
        <v>2100</v>
      </c>
      <c r="O272" s="292">
        <v>25</v>
      </c>
      <c r="P272" s="293">
        <v>2100</v>
      </c>
      <c r="Q272" s="294">
        <v>1</v>
      </c>
      <c r="R272" s="23"/>
      <c r="S272" s="148">
        <f t="shared" si="29"/>
        <v>2100</v>
      </c>
      <c r="T272" s="148">
        <f ca="1">IF(S272=0,"",S272*(OFFSET(cod_desembolso!$A$1,Q272,23)))</f>
        <v>2182.3840175367854</v>
      </c>
      <c r="U272" s="149">
        <f>(constantes!$B$3*(1+constantes!$B$3)^(O272))/((1+constantes!$B$3)^(O272)-1)</f>
        <v>9.3678779051968114E-2</v>
      </c>
      <c r="V272" s="148">
        <f t="shared" ca="1" si="30"/>
        <v>204.44307018537503</v>
      </c>
      <c r="W272" s="148">
        <f ca="1">(IF(S272=0,"",V272/constantes!$B$3))*1</f>
        <v>2555.538377317188</v>
      </c>
      <c r="X272" s="150">
        <f ca="1">IF(S272=0,"",PV(constantes!$B$3,O272,-V272)*constantes!$B$3)</f>
        <v>174.59072140294285</v>
      </c>
      <c r="Y272" s="85">
        <f t="shared" si="31"/>
        <v>1400</v>
      </c>
      <c r="Z272">
        <v>281</v>
      </c>
    </row>
    <row r="273" spans="1:29">
      <c r="A273" s="290">
        <v>7282</v>
      </c>
      <c r="B273" s="23" t="str">
        <f t="shared" si="28"/>
        <v>NE-Imp_1500__kV_282</v>
      </c>
      <c r="C273" s="23">
        <v>808</v>
      </c>
      <c r="D273" s="142" t="str">
        <f>VLOOKUP(C273,tab_corredor!$A$2:$B$50,2,0)</f>
        <v>NE-Imp</v>
      </c>
      <c r="E273" s="23">
        <v>1500</v>
      </c>
      <c r="F273" s="23" t="s">
        <v>2671</v>
      </c>
      <c r="G273" s="23">
        <v>1500</v>
      </c>
      <c r="H273" s="23">
        <v>1500</v>
      </c>
      <c r="I273" s="394">
        <v>5.0000000000000004E-6</v>
      </c>
      <c r="J273" s="394">
        <v>5.0000000000000004E-6</v>
      </c>
      <c r="K273" s="290">
        <v>1</v>
      </c>
      <c r="L273" s="291" t="s">
        <v>2619</v>
      </c>
      <c r="M273" s="23">
        <v>2015</v>
      </c>
      <c r="N273" s="23">
        <v>2100</v>
      </c>
      <c r="O273" s="292">
        <v>25</v>
      </c>
      <c r="P273" s="293">
        <v>2100</v>
      </c>
      <c r="Q273" s="294">
        <v>1</v>
      </c>
      <c r="R273" s="23"/>
      <c r="S273" s="148">
        <f t="shared" si="29"/>
        <v>2100</v>
      </c>
      <c r="T273" s="148">
        <f ca="1">IF(S273=0,"",S273*(OFFSET(cod_desembolso!$A$1,Q273,23)))</f>
        <v>2182.3840175367854</v>
      </c>
      <c r="U273" s="149">
        <f>(constantes!$B$3*(1+constantes!$B$3)^(O273))/((1+constantes!$B$3)^(O273)-1)</f>
        <v>9.3678779051968114E-2</v>
      </c>
      <c r="V273" s="148">
        <f t="shared" ca="1" si="30"/>
        <v>204.44307018537503</v>
      </c>
      <c r="W273" s="148">
        <f ca="1">(IF(S273=0,"",V273/constantes!$B$3))*1</f>
        <v>2555.538377317188</v>
      </c>
      <c r="X273" s="150">
        <f ca="1">IF(S273=0,"",PV(constantes!$B$3,O273,-V273)*constantes!$B$3)</f>
        <v>174.59072140294285</v>
      </c>
      <c r="Y273" s="85">
        <f t="shared" si="31"/>
        <v>1400</v>
      </c>
      <c r="Z273">
        <v>282</v>
      </c>
    </row>
    <row r="274" spans="1:29">
      <c r="A274" s="290">
        <v>7283</v>
      </c>
      <c r="B274" s="23" t="str">
        <f t="shared" si="28"/>
        <v>NE-Imp_1500__kV_283</v>
      </c>
      <c r="C274" s="23">
        <v>808</v>
      </c>
      <c r="D274" s="142" t="str">
        <f>VLOOKUP(C274,tab_corredor!$A$2:$B$50,2,0)</f>
        <v>NE-Imp</v>
      </c>
      <c r="E274" s="23">
        <v>1500</v>
      </c>
      <c r="F274" s="23" t="s">
        <v>2671</v>
      </c>
      <c r="G274" s="23">
        <v>1500</v>
      </c>
      <c r="H274" s="23">
        <v>1500</v>
      </c>
      <c r="I274" s="394">
        <v>5.0000000000000004E-6</v>
      </c>
      <c r="J274" s="394">
        <v>5.0000000000000004E-6</v>
      </c>
      <c r="K274" s="290">
        <v>1</v>
      </c>
      <c r="L274" s="291" t="s">
        <v>2619</v>
      </c>
      <c r="M274" s="23">
        <v>2015</v>
      </c>
      <c r="N274" s="23">
        <v>2100</v>
      </c>
      <c r="O274" s="292">
        <v>25</v>
      </c>
      <c r="P274" s="293">
        <v>2100</v>
      </c>
      <c r="Q274" s="294">
        <v>1</v>
      </c>
      <c r="R274" s="23"/>
      <c r="S274" s="148">
        <f t="shared" si="29"/>
        <v>2100</v>
      </c>
      <c r="T274" s="148">
        <f ca="1">IF(S274=0,"",S274*(OFFSET(cod_desembolso!$A$1,Q274,23)))</f>
        <v>2182.3840175367854</v>
      </c>
      <c r="U274" s="149">
        <f>(constantes!$B$3*(1+constantes!$B$3)^(O274))/((1+constantes!$B$3)^(O274)-1)</f>
        <v>9.3678779051968114E-2</v>
      </c>
      <c r="V274" s="148">
        <f t="shared" ca="1" si="30"/>
        <v>204.44307018537503</v>
      </c>
      <c r="W274" s="148">
        <f ca="1">(IF(S274=0,"",V274/constantes!$B$3))*1</f>
        <v>2555.538377317188</v>
      </c>
      <c r="X274" s="150">
        <f ca="1">IF(S274=0,"",PV(constantes!$B$3,O274,-V274)*constantes!$B$3)</f>
        <v>174.59072140294285</v>
      </c>
      <c r="Y274" s="85">
        <f t="shared" si="31"/>
        <v>1400</v>
      </c>
      <c r="Z274">
        <v>283</v>
      </c>
    </row>
    <row r="275" spans="1:29">
      <c r="A275" s="290">
        <v>7284</v>
      </c>
      <c r="B275" s="23" t="str">
        <f t="shared" si="28"/>
        <v>NE-Imp_1500__kV_284</v>
      </c>
      <c r="C275" s="23">
        <v>808</v>
      </c>
      <c r="D275" s="142" t="str">
        <f>VLOOKUP(C275,tab_corredor!$A$2:$B$50,2,0)</f>
        <v>NE-Imp</v>
      </c>
      <c r="E275" s="23">
        <v>1500</v>
      </c>
      <c r="F275" s="23" t="s">
        <v>2671</v>
      </c>
      <c r="G275" s="23">
        <v>1500</v>
      </c>
      <c r="H275" s="23">
        <v>1500</v>
      </c>
      <c r="I275" s="394">
        <v>5.0000000000000004E-6</v>
      </c>
      <c r="J275" s="394">
        <v>5.0000000000000004E-6</v>
      </c>
      <c r="K275" s="290">
        <v>1</v>
      </c>
      <c r="L275" s="291" t="s">
        <v>2619</v>
      </c>
      <c r="M275" s="23">
        <v>2015</v>
      </c>
      <c r="N275" s="23">
        <v>2100</v>
      </c>
      <c r="O275" s="292">
        <v>25</v>
      </c>
      <c r="P275" s="293">
        <v>2100</v>
      </c>
      <c r="Q275" s="294">
        <v>1</v>
      </c>
      <c r="R275" s="23"/>
      <c r="S275" s="148">
        <f t="shared" si="29"/>
        <v>2100</v>
      </c>
      <c r="T275" s="148">
        <f ca="1">IF(S275=0,"",S275*(OFFSET(cod_desembolso!$A$1,Q275,23)))</f>
        <v>2182.3840175367854</v>
      </c>
      <c r="U275" s="149">
        <f>(constantes!$B$3*(1+constantes!$B$3)^(O275))/((1+constantes!$B$3)^(O275)-1)</f>
        <v>9.3678779051968114E-2</v>
      </c>
      <c r="V275" s="148">
        <f t="shared" ca="1" si="30"/>
        <v>204.44307018537503</v>
      </c>
      <c r="W275" s="148">
        <f ca="1">(IF(S275=0,"",V275/constantes!$B$3))*1</f>
        <v>2555.538377317188</v>
      </c>
      <c r="X275" s="150">
        <f ca="1">IF(S275=0,"",PV(constantes!$B$3,O275,-V275)*constantes!$B$3)</f>
        <v>174.59072140294285</v>
      </c>
      <c r="Y275" s="85">
        <f t="shared" si="31"/>
        <v>1400</v>
      </c>
      <c r="Z275">
        <v>284</v>
      </c>
      <c r="AA275">
        <v>1500</v>
      </c>
      <c r="AB275">
        <f>AA275*1000*AC275/10^6</f>
        <v>1800</v>
      </c>
      <c r="AC275">
        <v>1200</v>
      </c>
    </row>
    <row r="276" spans="1:29">
      <c r="A276" s="290">
        <v>7285</v>
      </c>
      <c r="B276" s="23" t="str">
        <f t="shared" si="28"/>
        <v>NE-Imp_1500__kV_285</v>
      </c>
      <c r="C276" s="23">
        <v>808</v>
      </c>
      <c r="D276" s="142" t="str">
        <f>VLOOKUP(C276,tab_corredor!$A$2:$B$50,2,0)</f>
        <v>NE-Imp</v>
      </c>
      <c r="E276" s="23">
        <v>1500</v>
      </c>
      <c r="F276" s="23" t="s">
        <v>2671</v>
      </c>
      <c r="G276" s="23">
        <v>1500</v>
      </c>
      <c r="H276" s="23">
        <v>1500</v>
      </c>
      <c r="I276" s="394">
        <v>5.0000000000000004E-6</v>
      </c>
      <c r="J276" s="394">
        <v>5.0000000000000004E-6</v>
      </c>
      <c r="K276" s="290">
        <v>1</v>
      </c>
      <c r="L276" s="291" t="s">
        <v>2619</v>
      </c>
      <c r="M276" s="23">
        <v>2015</v>
      </c>
      <c r="N276" s="23">
        <v>2100</v>
      </c>
      <c r="O276" s="292">
        <v>25</v>
      </c>
      <c r="P276" s="293">
        <v>2100</v>
      </c>
      <c r="Q276" s="294">
        <v>1</v>
      </c>
      <c r="R276" s="23"/>
      <c r="S276" s="148">
        <f t="shared" si="29"/>
        <v>2100</v>
      </c>
      <c r="T276" s="148">
        <f ca="1">IF(S276=0,"",S276*(OFFSET(cod_desembolso!$A$1,Q276,23)))</f>
        <v>2182.3840175367854</v>
      </c>
      <c r="U276" s="149">
        <f>(constantes!$B$3*(1+constantes!$B$3)^(O276))/((1+constantes!$B$3)^(O276)-1)</f>
        <v>9.3678779051968114E-2</v>
      </c>
      <c r="V276" s="148">
        <f t="shared" ca="1" si="30"/>
        <v>204.44307018537503</v>
      </c>
      <c r="W276" s="148">
        <f ca="1">(IF(S276=0,"",V276/constantes!$B$3))*1</f>
        <v>2555.538377317188</v>
      </c>
      <c r="X276" s="150">
        <f ca="1">IF(S276=0,"",PV(constantes!$B$3,O276,-V276)*constantes!$B$3)</f>
        <v>174.59072140294285</v>
      </c>
      <c r="Y276" s="85">
        <f t="shared" si="31"/>
        <v>1400</v>
      </c>
      <c r="Z276">
        <v>285</v>
      </c>
    </row>
    <row r="277" spans="1:29">
      <c r="A277" s="290">
        <v>7286</v>
      </c>
      <c r="B277" s="23" t="str">
        <f t="shared" si="28"/>
        <v>NE-Imp_1500__kV_286</v>
      </c>
      <c r="C277" s="23">
        <v>808</v>
      </c>
      <c r="D277" s="142" t="str">
        <f>VLOOKUP(C277,tab_corredor!$A$2:$B$50,2,0)</f>
        <v>NE-Imp</v>
      </c>
      <c r="E277" s="23">
        <v>1500</v>
      </c>
      <c r="F277" s="23" t="s">
        <v>2671</v>
      </c>
      <c r="G277" s="23">
        <v>1500</v>
      </c>
      <c r="H277" s="23">
        <v>1500</v>
      </c>
      <c r="I277" s="394">
        <v>5.0000000000000004E-6</v>
      </c>
      <c r="J277" s="394">
        <v>5.0000000000000004E-6</v>
      </c>
      <c r="K277" s="290">
        <v>1</v>
      </c>
      <c r="L277" s="291" t="s">
        <v>2619</v>
      </c>
      <c r="M277" s="23">
        <v>2015</v>
      </c>
      <c r="N277" s="23">
        <v>2100</v>
      </c>
      <c r="O277" s="292">
        <v>25</v>
      </c>
      <c r="P277" s="293">
        <v>2100</v>
      </c>
      <c r="Q277" s="294">
        <v>1</v>
      </c>
      <c r="R277" s="23"/>
      <c r="S277" s="148">
        <f t="shared" si="29"/>
        <v>2100</v>
      </c>
      <c r="T277" s="148">
        <f ca="1">IF(S277=0,"",S277*(OFFSET(cod_desembolso!$A$1,Q277,23)))</f>
        <v>2182.3840175367854</v>
      </c>
      <c r="U277" s="149">
        <f>(constantes!$B$3*(1+constantes!$B$3)^(O277))/((1+constantes!$B$3)^(O277)-1)</f>
        <v>9.3678779051968114E-2</v>
      </c>
      <c r="V277" s="148">
        <f t="shared" ca="1" si="30"/>
        <v>204.44307018537503</v>
      </c>
      <c r="W277" s="148">
        <f ca="1">(IF(S277=0,"",V277/constantes!$B$3))*1</f>
        <v>2555.538377317188</v>
      </c>
      <c r="X277" s="150">
        <f ca="1">IF(S277=0,"",PV(constantes!$B$3,O277,-V277)*constantes!$B$3)</f>
        <v>174.59072140294285</v>
      </c>
      <c r="Y277" s="85">
        <f t="shared" si="31"/>
        <v>1400</v>
      </c>
      <c r="Z277">
        <v>286</v>
      </c>
    </row>
    <row r="278" spans="1:29">
      <c r="A278" s="290">
        <v>7287</v>
      </c>
      <c r="B278" s="23" t="str">
        <f t="shared" si="28"/>
        <v>NE-Imp_1500__kV_287</v>
      </c>
      <c r="C278" s="23">
        <v>808</v>
      </c>
      <c r="D278" s="142" t="str">
        <f>VLOOKUP(C278,tab_corredor!$A$2:$B$50,2,0)</f>
        <v>NE-Imp</v>
      </c>
      <c r="E278" s="23">
        <v>1500</v>
      </c>
      <c r="F278" s="23" t="s">
        <v>2671</v>
      </c>
      <c r="G278" s="23">
        <v>1500</v>
      </c>
      <c r="H278" s="23">
        <v>1500</v>
      </c>
      <c r="I278" s="394">
        <v>5.0000000000000004E-6</v>
      </c>
      <c r="J278" s="394">
        <v>5.0000000000000004E-6</v>
      </c>
      <c r="K278" s="290">
        <v>1</v>
      </c>
      <c r="L278" s="291" t="s">
        <v>2619</v>
      </c>
      <c r="M278" s="23">
        <v>2015</v>
      </c>
      <c r="N278" s="23">
        <v>2100</v>
      </c>
      <c r="O278" s="292">
        <v>25</v>
      </c>
      <c r="P278" s="293">
        <v>2100</v>
      </c>
      <c r="Q278" s="294">
        <v>1</v>
      </c>
      <c r="R278" s="23"/>
      <c r="S278" s="148">
        <f t="shared" si="29"/>
        <v>2100</v>
      </c>
      <c r="T278" s="148">
        <f ca="1">IF(S278=0,"",S278*(OFFSET(cod_desembolso!$A$1,Q278,23)))</f>
        <v>2182.3840175367854</v>
      </c>
      <c r="U278" s="149">
        <f>(constantes!$B$3*(1+constantes!$B$3)^(O278))/((1+constantes!$B$3)^(O278)-1)</f>
        <v>9.3678779051968114E-2</v>
      </c>
      <c r="V278" s="148">
        <f t="shared" ca="1" si="30"/>
        <v>204.44307018537503</v>
      </c>
      <c r="W278" s="148">
        <f ca="1">(IF(S278=0,"",V278/constantes!$B$3))*1</f>
        <v>2555.538377317188</v>
      </c>
      <c r="X278" s="150">
        <f ca="1">IF(S278=0,"",PV(constantes!$B$3,O278,-V278)*constantes!$B$3)</f>
        <v>174.59072140294285</v>
      </c>
      <c r="Y278" s="85">
        <f t="shared" si="31"/>
        <v>1400</v>
      </c>
      <c r="Z278">
        <v>287</v>
      </c>
    </row>
    <row r="279" spans="1:29">
      <c r="A279" s="290">
        <v>7288</v>
      </c>
      <c r="B279" s="23" t="str">
        <f t="shared" si="28"/>
        <v>NE-Imp_1500__kV_288</v>
      </c>
      <c r="C279" s="23">
        <v>808</v>
      </c>
      <c r="D279" s="142" t="str">
        <f>VLOOKUP(C279,tab_corredor!$A$2:$B$50,2,0)</f>
        <v>NE-Imp</v>
      </c>
      <c r="E279" s="23">
        <v>1500</v>
      </c>
      <c r="F279" s="23" t="s">
        <v>2671</v>
      </c>
      <c r="G279" s="23">
        <v>1500</v>
      </c>
      <c r="H279" s="23">
        <v>1500</v>
      </c>
      <c r="I279" s="394">
        <v>5.0000000000000004E-6</v>
      </c>
      <c r="J279" s="394">
        <v>5.0000000000000004E-6</v>
      </c>
      <c r="K279" s="290">
        <v>1</v>
      </c>
      <c r="L279" s="291" t="s">
        <v>2619</v>
      </c>
      <c r="M279" s="23">
        <v>2015</v>
      </c>
      <c r="N279" s="23">
        <v>2100</v>
      </c>
      <c r="O279" s="292">
        <v>25</v>
      </c>
      <c r="P279" s="293">
        <v>2100</v>
      </c>
      <c r="Q279" s="294">
        <v>1</v>
      </c>
      <c r="R279" s="23"/>
      <c r="S279" s="148">
        <f t="shared" si="29"/>
        <v>2100</v>
      </c>
      <c r="T279" s="148">
        <f ca="1">IF(S279=0,"",S279*(OFFSET(cod_desembolso!$A$1,Q279,23)))</f>
        <v>2182.3840175367854</v>
      </c>
      <c r="U279" s="149">
        <f>(constantes!$B$3*(1+constantes!$B$3)^(O279))/((1+constantes!$B$3)^(O279)-1)</f>
        <v>9.3678779051968114E-2</v>
      </c>
      <c r="V279" s="148">
        <f t="shared" ca="1" si="30"/>
        <v>204.44307018537503</v>
      </c>
      <c r="W279" s="148">
        <f ca="1">(IF(S279=0,"",V279/constantes!$B$3))*1</f>
        <v>2555.538377317188</v>
      </c>
      <c r="X279" s="150">
        <f ca="1">IF(S279=0,"",PV(constantes!$B$3,O279,-V279)*constantes!$B$3)</f>
        <v>174.59072140294285</v>
      </c>
      <c r="Y279" s="85">
        <f t="shared" si="31"/>
        <v>1400</v>
      </c>
      <c r="Z279">
        <v>288</v>
      </c>
    </row>
    <row r="280" spans="1:29">
      <c r="A280" s="290">
        <v>7289</v>
      </c>
      <c r="B280" s="23" t="str">
        <f t="shared" si="28"/>
        <v>NE-Imp_1500__kV_289</v>
      </c>
      <c r="C280" s="23">
        <v>808</v>
      </c>
      <c r="D280" s="142" t="str">
        <f>VLOOKUP(C280,tab_corredor!$A$2:$B$50,2,0)</f>
        <v>NE-Imp</v>
      </c>
      <c r="E280" s="23">
        <v>1500</v>
      </c>
      <c r="F280" s="23" t="s">
        <v>2671</v>
      </c>
      <c r="G280" s="23">
        <v>1500</v>
      </c>
      <c r="H280" s="23">
        <v>1500</v>
      </c>
      <c r="I280" s="394">
        <v>5.0000000000000004E-6</v>
      </c>
      <c r="J280" s="394">
        <v>5.0000000000000004E-6</v>
      </c>
      <c r="K280" s="290">
        <v>1</v>
      </c>
      <c r="L280" s="291" t="s">
        <v>2619</v>
      </c>
      <c r="M280" s="23">
        <v>2015</v>
      </c>
      <c r="N280" s="23">
        <v>2100</v>
      </c>
      <c r="O280" s="292">
        <v>25</v>
      </c>
      <c r="P280" s="293">
        <v>2100</v>
      </c>
      <c r="Q280" s="294">
        <v>1</v>
      </c>
      <c r="R280" s="23"/>
      <c r="S280" s="148">
        <f t="shared" si="29"/>
        <v>2100</v>
      </c>
      <c r="T280" s="148">
        <f ca="1">IF(S280=0,"",S280*(OFFSET(cod_desembolso!$A$1,Q280,23)))</f>
        <v>2182.3840175367854</v>
      </c>
      <c r="U280" s="149">
        <f>(constantes!$B$3*(1+constantes!$B$3)^(O280))/((1+constantes!$B$3)^(O280)-1)</f>
        <v>9.3678779051968114E-2</v>
      </c>
      <c r="V280" s="148">
        <f t="shared" ca="1" si="30"/>
        <v>204.44307018537503</v>
      </c>
      <c r="W280" s="148">
        <f ca="1">(IF(S280=0,"",V280/constantes!$B$3))*1</f>
        <v>2555.538377317188</v>
      </c>
      <c r="X280" s="150">
        <f ca="1">IF(S280=0,"",PV(constantes!$B$3,O280,-V280)*constantes!$B$3)</f>
        <v>174.59072140294285</v>
      </c>
      <c r="Y280" s="85">
        <f t="shared" si="31"/>
        <v>1400</v>
      </c>
      <c r="Z280">
        <v>289</v>
      </c>
    </row>
    <row r="281" spans="1:29">
      <c r="A281" s="290">
        <v>7290</v>
      </c>
      <c r="B281" s="23" t="str">
        <f t="shared" si="28"/>
        <v>NE-Imp_1500__kV_290</v>
      </c>
      <c r="C281" s="23">
        <v>808</v>
      </c>
      <c r="D281" s="142" t="str">
        <f>VLOOKUP(C281,tab_corredor!$A$2:$B$50,2,0)</f>
        <v>NE-Imp</v>
      </c>
      <c r="E281" s="23">
        <v>1500</v>
      </c>
      <c r="F281" s="23" t="s">
        <v>2671</v>
      </c>
      <c r="G281" s="23">
        <v>1500</v>
      </c>
      <c r="H281" s="23">
        <v>1500</v>
      </c>
      <c r="I281" s="394">
        <v>5.0000000000000004E-6</v>
      </c>
      <c r="J281" s="394">
        <v>5.0000000000000004E-6</v>
      </c>
      <c r="K281" s="290">
        <v>1</v>
      </c>
      <c r="L281" s="291" t="s">
        <v>2619</v>
      </c>
      <c r="M281" s="23">
        <v>2015</v>
      </c>
      <c r="N281" s="23">
        <v>2100</v>
      </c>
      <c r="O281" s="292">
        <v>25</v>
      </c>
      <c r="P281" s="293">
        <v>2100</v>
      </c>
      <c r="Q281" s="294">
        <v>1</v>
      </c>
      <c r="R281" s="23"/>
      <c r="S281" s="148">
        <f t="shared" si="29"/>
        <v>2100</v>
      </c>
      <c r="T281" s="148">
        <f ca="1">IF(S281=0,"",S281*(OFFSET(cod_desembolso!$A$1,Q281,23)))</f>
        <v>2182.3840175367854</v>
      </c>
      <c r="U281" s="149">
        <f>(constantes!$B$3*(1+constantes!$B$3)^(O281))/((1+constantes!$B$3)^(O281)-1)</f>
        <v>9.3678779051968114E-2</v>
      </c>
      <c r="V281" s="148">
        <f t="shared" ca="1" si="30"/>
        <v>204.44307018537503</v>
      </c>
      <c r="W281" s="148">
        <f ca="1">(IF(S281=0,"",V281/constantes!$B$3))*1</f>
        <v>2555.538377317188</v>
      </c>
      <c r="X281" s="150">
        <f ca="1">IF(S281=0,"",PV(constantes!$B$3,O281,-V281)*constantes!$B$3)</f>
        <v>174.59072140294285</v>
      </c>
      <c r="Y281" s="85">
        <f t="shared" si="31"/>
        <v>1400</v>
      </c>
      <c r="Z281">
        <v>290</v>
      </c>
    </row>
    <row r="282" spans="1:29">
      <c r="A282" s="290">
        <v>7291</v>
      </c>
      <c r="B282" s="23" t="str">
        <f t="shared" si="28"/>
        <v>NE-Imp_1500__kV_291</v>
      </c>
      <c r="C282" s="23">
        <v>808</v>
      </c>
      <c r="D282" s="142" t="str">
        <f>VLOOKUP(C282,tab_corredor!$A$2:$B$50,2,0)</f>
        <v>NE-Imp</v>
      </c>
      <c r="E282" s="23">
        <v>1500</v>
      </c>
      <c r="F282" s="23" t="s">
        <v>2671</v>
      </c>
      <c r="G282" s="23">
        <v>1500</v>
      </c>
      <c r="H282" s="23">
        <v>1500</v>
      </c>
      <c r="I282" s="394">
        <v>5.0000000000000004E-6</v>
      </c>
      <c r="J282" s="394">
        <v>5.0000000000000004E-6</v>
      </c>
      <c r="K282" s="290">
        <v>1</v>
      </c>
      <c r="L282" s="291" t="s">
        <v>2619</v>
      </c>
      <c r="M282" s="23">
        <v>2015</v>
      </c>
      <c r="N282" s="23">
        <v>2100</v>
      </c>
      <c r="O282" s="292">
        <v>25</v>
      </c>
      <c r="P282" s="293">
        <v>2100</v>
      </c>
      <c r="Q282" s="294">
        <v>1</v>
      </c>
      <c r="R282" s="23"/>
      <c r="S282" s="148">
        <f t="shared" si="29"/>
        <v>2100</v>
      </c>
      <c r="T282" s="148">
        <f ca="1">IF(S282=0,"",S282*(OFFSET(cod_desembolso!$A$1,Q282,23)))</f>
        <v>2182.3840175367854</v>
      </c>
      <c r="U282" s="149">
        <f>(constantes!$B$3*(1+constantes!$B$3)^(O282))/((1+constantes!$B$3)^(O282)-1)</f>
        <v>9.3678779051968114E-2</v>
      </c>
      <c r="V282" s="148">
        <f t="shared" ca="1" si="30"/>
        <v>204.44307018537503</v>
      </c>
      <c r="W282" s="148">
        <f ca="1">(IF(S282=0,"",V282/constantes!$B$3))*1</f>
        <v>2555.538377317188</v>
      </c>
      <c r="X282" s="150">
        <f ca="1">IF(S282=0,"",PV(constantes!$B$3,O282,-V282)*constantes!$B$3)</f>
        <v>174.59072140294285</v>
      </c>
      <c r="Y282" s="85">
        <f t="shared" si="31"/>
        <v>1400</v>
      </c>
      <c r="Z282">
        <v>291</v>
      </c>
    </row>
    <row r="283" spans="1:29">
      <c r="A283" s="290">
        <v>7292</v>
      </c>
      <c r="B283" s="23" t="str">
        <f t="shared" si="28"/>
        <v>NE-Imp_1500__kV_292</v>
      </c>
      <c r="C283" s="23">
        <v>808</v>
      </c>
      <c r="D283" s="142" t="str">
        <f>VLOOKUP(C283,tab_corredor!$A$2:$B$50,2,0)</f>
        <v>NE-Imp</v>
      </c>
      <c r="E283" s="23">
        <v>1500</v>
      </c>
      <c r="F283" s="23" t="s">
        <v>2671</v>
      </c>
      <c r="G283" s="23">
        <v>1500</v>
      </c>
      <c r="H283" s="23">
        <v>1500</v>
      </c>
      <c r="I283" s="394">
        <v>5.0000000000000004E-6</v>
      </c>
      <c r="J283" s="394">
        <v>5.0000000000000004E-6</v>
      </c>
      <c r="K283" s="290">
        <v>1</v>
      </c>
      <c r="L283" s="291" t="s">
        <v>2619</v>
      </c>
      <c r="M283" s="23">
        <v>2015</v>
      </c>
      <c r="N283" s="23">
        <v>2100</v>
      </c>
      <c r="O283" s="292">
        <v>25</v>
      </c>
      <c r="P283" s="293">
        <v>2100</v>
      </c>
      <c r="Q283" s="294">
        <v>1</v>
      </c>
      <c r="R283" s="23"/>
      <c r="S283" s="148">
        <f t="shared" si="29"/>
        <v>2100</v>
      </c>
      <c r="T283" s="148">
        <f ca="1">IF(S283=0,"",S283*(OFFSET(cod_desembolso!$A$1,Q283,23)))</f>
        <v>2182.3840175367854</v>
      </c>
      <c r="U283" s="149">
        <f>(constantes!$B$3*(1+constantes!$B$3)^(O283))/((1+constantes!$B$3)^(O283)-1)</f>
        <v>9.3678779051968114E-2</v>
      </c>
      <c r="V283" s="148">
        <f t="shared" ca="1" si="30"/>
        <v>204.44307018537503</v>
      </c>
      <c r="W283" s="148">
        <f ca="1">(IF(S283=0,"",V283/constantes!$B$3))*1</f>
        <v>2555.538377317188</v>
      </c>
      <c r="X283" s="150">
        <f ca="1">IF(S283=0,"",PV(constantes!$B$3,O283,-V283)*constantes!$B$3)</f>
        <v>174.59072140294285</v>
      </c>
      <c r="Y283" s="85">
        <f t="shared" si="31"/>
        <v>1400</v>
      </c>
      <c r="Z283">
        <v>292</v>
      </c>
    </row>
    <row r="284" spans="1:29">
      <c r="A284" s="290">
        <v>7293</v>
      </c>
      <c r="B284" s="23" t="str">
        <f t="shared" si="28"/>
        <v>NE-Imp_1500__kV_293</v>
      </c>
      <c r="C284" s="23">
        <v>808</v>
      </c>
      <c r="D284" s="142" t="str">
        <f>VLOOKUP(C284,tab_corredor!$A$2:$B$50,2,0)</f>
        <v>NE-Imp</v>
      </c>
      <c r="E284" s="23">
        <v>1500</v>
      </c>
      <c r="F284" s="23" t="s">
        <v>2671</v>
      </c>
      <c r="G284" s="23">
        <v>1500</v>
      </c>
      <c r="H284" s="23">
        <v>1500</v>
      </c>
      <c r="I284" s="394">
        <v>5.0000000000000004E-6</v>
      </c>
      <c r="J284" s="394">
        <v>5.0000000000000004E-6</v>
      </c>
      <c r="K284" s="290">
        <v>1</v>
      </c>
      <c r="L284" s="291" t="s">
        <v>2619</v>
      </c>
      <c r="M284" s="23">
        <v>2015</v>
      </c>
      <c r="N284" s="23">
        <v>2100</v>
      </c>
      <c r="O284" s="292">
        <v>25</v>
      </c>
      <c r="P284" s="293">
        <v>2100</v>
      </c>
      <c r="Q284" s="294">
        <v>1</v>
      </c>
      <c r="R284" s="23"/>
      <c r="S284" s="148">
        <f t="shared" si="29"/>
        <v>2100</v>
      </c>
      <c r="T284" s="148">
        <f ca="1">IF(S284=0,"",S284*(OFFSET(cod_desembolso!$A$1,Q284,23)))</f>
        <v>2182.3840175367854</v>
      </c>
      <c r="U284" s="149">
        <f>(constantes!$B$3*(1+constantes!$B$3)^(O284))/((1+constantes!$B$3)^(O284)-1)</f>
        <v>9.3678779051968114E-2</v>
      </c>
      <c r="V284" s="148">
        <f t="shared" ca="1" si="30"/>
        <v>204.44307018537503</v>
      </c>
      <c r="W284" s="148">
        <f ca="1">(IF(S284=0,"",V284/constantes!$B$3))*1</f>
        <v>2555.538377317188</v>
      </c>
      <c r="X284" s="150">
        <f ca="1">IF(S284=0,"",PV(constantes!$B$3,O284,-V284)*constantes!$B$3)</f>
        <v>174.59072140294285</v>
      </c>
      <c r="Y284" s="85">
        <f t="shared" si="31"/>
        <v>1400</v>
      </c>
      <c r="Z284">
        <v>293</v>
      </c>
    </row>
    <row r="285" spans="1:29">
      <c r="A285" s="290">
        <v>7294</v>
      </c>
      <c r="B285" s="23" t="str">
        <f t="shared" si="28"/>
        <v>NE-Imp_1500__kV_294</v>
      </c>
      <c r="C285" s="23">
        <v>808</v>
      </c>
      <c r="D285" s="142" t="str">
        <f>VLOOKUP(C285,tab_corredor!$A$2:$B$50,2,0)</f>
        <v>NE-Imp</v>
      </c>
      <c r="E285" s="23">
        <v>1500</v>
      </c>
      <c r="F285" s="23" t="s">
        <v>2671</v>
      </c>
      <c r="G285" s="23">
        <v>1500</v>
      </c>
      <c r="H285" s="23">
        <v>1500</v>
      </c>
      <c r="I285" s="394">
        <v>5.0000000000000004E-6</v>
      </c>
      <c r="J285" s="394">
        <v>5.0000000000000004E-6</v>
      </c>
      <c r="K285" s="290">
        <v>1</v>
      </c>
      <c r="L285" s="291" t="s">
        <v>2619</v>
      </c>
      <c r="M285" s="23">
        <v>2015</v>
      </c>
      <c r="N285" s="23">
        <v>2100</v>
      </c>
      <c r="O285" s="292">
        <v>25</v>
      </c>
      <c r="P285" s="293">
        <v>2100</v>
      </c>
      <c r="Q285" s="294">
        <v>1</v>
      </c>
      <c r="R285" s="23"/>
      <c r="S285" s="148">
        <f t="shared" si="29"/>
        <v>2100</v>
      </c>
      <c r="T285" s="148">
        <f ca="1">IF(S285=0,"",S285*(OFFSET(cod_desembolso!$A$1,Q285,23)))</f>
        <v>2182.3840175367854</v>
      </c>
      <c r="U285" s="149">
        <f>(constantes!$B$3*(1+constantes!$B$3)^(O285))/((1+constantes!$B$3)^(O285)-1)</f>
        <v>9.3678779051968114E-2</v>
      </c>
      <c r="V285" s="148">
        <f t="shared" ca="1" si="30"/>
        <v>204.44307018537503</v>
      </c>
      <c r="W285" s="148">
        <f ca="1">(IF(S285=0,"",V285/constantes!$B$3))*1</f>
        <v>2555.538377317188</v>
      </c>
      <c r="X285" s="150">
        <f ca="1">IF(S285=0,"",PV(constantes!$B$3,O285,-V285)*constantes!$B$3)</f>
        <v>174.59072140294285</v>
      </c>
      <c r="Y285" s="85">
        <f t="shared" si="31"/>
        <v>1400</v>
      </c>
      <c r="Z285">
        <v>294</v>
      </c>
    </row>
    <row r="286" spans="1:29">
      <c r="A286" s="290">
        <v>7295</v>
      </c>
      <c r="B286" s="23" t="str">
        <f t="shared" si="28"/>
        <v>NE-Imp_1500__kV_295</v>
      </c>
      <c r="C286" s="23">
        <v>808</v>
      </c>
      <c r="D286" s="142" t="str">
        <f>VLOOKUP(C286,tab_corredor!$A$2:$B$50,2,0)</f>
        <v>NE-Imp</v>
      </c>
      <c r="E286" s="23">
        <v>1500</v>
      </c>
      <c r="F286" s="23" t="s">
        <v>2671</v>
      </c>
      <c r="G286" s="23">
        <v>1500</v>
      </c>
      <c r="H286" s="23">
        <v>1500</v>
      </c>
      <c r="I286" s="394">
        <v>5.0000000000000004E-6</v>
      </c>
      <c r="J286" s="394">
        <v>5.0000000000000004E-6</v>
      </c>
      <c r="K286" s="290">
        <v>1</v>
      </c>
      <c r="L286" s="291" t="s">
        <v>2619</v>
      </c>
      <c r="M286" s="23">
        <v>2015</v>
      </c>
      <c r="N286" s="23">
        <v>2100</v>
      </c>
      <c r="O286" s="292">
        <v>25</v>
      </c>
      <c r="P286" s="293">
        <v>2100</v>
      </c>
      <c r="Q286" s="294">
        <v>1</v>
      </c>
      <c r="R286" s="23"/>
      <c r="S286" s="148">
        <f t="shared" si="29"/>
        <v>2100</v>
      </c>
      <c r="T286" s="148">
        <f ca="1">IF(S286=0,"",S286*(OFFSET(cod_desembolso!$A$1,Q286,23)))</f>
        <v>2182.3840175367854</v>
      </c>
      <c r="U286" s="149">
        <f>(constantes!$B$3*(1+constantes!$B$3)^(O286))/((1+constantes!$B$3)^(O286)-1)</f>
        <v>9.3678779051968114E-2</v>
      </c>
      <c r="V286" s="148">
        <f t="shared" ca="1" si="30"/>
        <v>204.44307018537503</v>
      </c>
      <c r="W286" s="148">
        <f ca="1">(IF(S286=0,"",V286/constantes!$B$3))*1</f>
        <v>2555.538377317188</v>
      </c>
      <c r="X286" s="150">
        <f ca="1">IF(S286=0,"",PV(constantes!$B$3,O286,-V286)*constantes!$B$3)</f>
        <v>174.59072140294285</v>
      </c>
      <c r="Y286" s="85">
        <f t="shared" si="31"/>
        <v>1400</v>
      </c>
      <c r="Z286">
        <v>295</v>
      </c>
    </row>
    <row r="287" spans="1:29">
      <c r="A287" s="290">
        <v>7296</v>
      </c>
      <c r="B287" s="23" t="str">
        <f t="shared" si="28"/>
        <v>NE-Imp_1500__kV_296</v>
      </c>
      <c r="C287" s="23">
        <v>808</v>
      </c>
      <c r="D287" s="142" t="str">
        <f>VLOOKUP(C287,tab_corredor!$A$2:$B$50,2,0)</f>
        <v>NE-Imp</v>
      </c>
      <c r="E287" s="23">
        <v>1500</v>
      </c>
      <c r="F287" s="23" t="s">
        <v>2671</v>
      </c>
      <c r="G287" s="23">
        <v>1500</v>
      </c>
      <c r="H287" s="23">
        <v>1500</v>
      </c>
      <c r="I287" s="394">
        <v>5.0000000000000004E-6</v>
      </c>
      <c r="J287" s="394">
        <v>5.0000000000000004E-6</v>
      </c>
      <c r="K287" s="290">
        <v>1</v>
      </c>
      <c r="L287" s="291" t="s">
        <v>2619</v>
      </c>
      <c r="M287" s="23">
        <v>2015</v>
      </c>
      <c r="N287" s="23">
        <v>2100</v>
      </c>
      <c r="O287" s="292">
        <v>25</v>
      </c>
      <c r="P287" s="293">
        <v>2100</v>
      </c>
      <c r="Q287" s="294">
        <v>1</v>
      </c>
      <c r="R287" s="23"/>
      <c r="S287" s="148">
        <f t="shared" si="29"/>
        <v>2100</v>
      </c>
      <c r="T287" s="148">
        <f ca="1">IF(S287=0,"",S287*(OFFSET(cod_desembolso!$A$1,Q287,23)))</f>
        <v>2182.3840175367854</v>
      </c>
      <c r="U287" s="149">
        <f>(constantes!$B$3*(1+constantes!$B$3)^(O287))/((1+constantes!$B$3)^(O287)-1)</f>
        <v>9.3678779051968114E-2</v>
      </c>
      <c r="V287" s="148">
        <f t="shared" ca="1" si="30"/>
        <v>204.44307018537503</v>
      </c>
      <c r="W287" s="148">
        <f ca="1">(IF(S287=0,"",V287/constantes!$B$3))*1</f>
        <v>2555.538377317188</v>
      </c>
      <c r="X287" s="150">
        <f ca="1">IF(S287=0,"",PV(constantes!$B$3,O287,-V287)*constantes!$B$3)</f>
        <v>174.59072140294285</v>
      </c>
      <c r="Y287" s="85">
        <f t="shared" si="31"/>
        <v>1400</v>
      </c>
      <c r="Z287">
        <v>296</v>
      </c>
    </row>
    <row r="288" spans="1:29">
      <c r="A288" s="290">
        <v>7297</v>
      </c>
      <c r="B288" s="23" t="str">
        <f t="shared" si="28"/>
        <v>NE-Imp_1500__kV_297</v>
      </c>
      <c r="C288" s="23">
        <v>808</v>
      </c>
      <c r="D288" s="142" t="str">
        <f>VLOOKUP(C288,tab_corredor!$A$2:$B$50,2,0)</f>
        <v>NE-Imp</v>
      </c>
      <c r="E288" s="23">
        <v>1500</v>
      </c>
      <c r="F288" s="23" t="s">
        <v>2671</v>
      </c>
      <c r="G288" s="23">
        <v>1500</v>
      </c>
      <c r="H288" s="23">
        <v>1500</v>
      </c>
      <c r="I288" s="394">
        <v>5.0000000000000004E-6</v>
      </c>
      <c r="J288" s="394">
        <v>5.0000000000000004E-6</v>
      </c>
      <c r="K288" s="290">
        <v>1</v>
      </c>
      <c r="L288" s="291" t="s">
        <v>2619</v>
      </c>
      <c r="M288" s="23">
        <v>2015</v>
      </c>
      <c r="N288" s="23">
        <v>2100</v>
      </c>
      <c r="O288" s="292">
        <v>25</v>
      </c>
      <c r="P288" s="293">
        <v>2100</v>
      </c>
      <c r="Q288" s="294">
        <v>1</v>
      </c>
      <c r="R288" s="23"/>
      <c r="S288" s="148">
        <f t="shared" si="29"/>
        <v>2100</v>
      </c>
      <c r="T288" s="148">
        <f ca="1">IF(S288=0,"",S288*(OFFSET(cod_desembolso!$A$1,Q288,23)))</f>
        <v>2182.3840175367854</v>
      </c>
      <c r="U288" s="149">
        <f>(constantes!$B$3*(1+constantes!$B$3)^(O288))/((1+constantes!$B$3)^(O288)-1)</f>
        <v>9.3678779051968114E-2</v>
      </c>
      <c r="V288" s="148">
        <f t="shared" ca="1" si="30"/>
        <v>204.44307018537503</v>
      </c>
      <c r="W288" s="148">
        <f ca="1">(IF(S288=0,"",V288/constantes!$B$3))*1</f>
        <v>2555.538377317188</v>
      </c>
      <c r="X288" s="150">
        <f ca="1">IF(S288=0,"",PV(constantes!$B$3,O288,-V288)*constantes!$B$3)</f>
        <v>174.59072140294285</v>
      </c>
      <c r="Y288" s="85">
        <f t="shared" si="31"/>
        <v>1400</v>
      </c>
      <c r="Z288">
        <v>297</v>
      </c>
    </row>
    <row r="289" spans="1:26">
      <c r="A289" s="290">
        <v>7298</v>
      </c>
      <c r="B289" s="23" t="str">
        <f t="shared" si="28"/>
        <v>SE-Imp_1500__kV_298</v>
      </c>
      <c r="C289" s="23">
        <v>805</v>
      </c>
      <c r="D289" s="142" t="str">
        <f>VLOOKUP(C289,tab_corredor!$A$2:$B$50,2,0)</f>
        <v>SE-Imp</v>
      </c>
      <c r="E289" s="23">
        <v>1500</v>
      </c>
      <c r="F289" s="23" t="s">
        <v>2671</v>
      </c>
      <c r="G289" s="23">
        <v>1500</v>
      </c>
      <c r="H289" s="23">
        <v>1500</v>
      </c>
      <c r="I289" s="394">
        <v>5.0000000000000004E-6</v>
      </c>
      <c r="J289" s="394">
        <v>5.0000000000000004E-6</v>
      </c>
      <c r="K289" s="290">
        <v>1</v>
      </c>
      <c r="L289" s="291" t="s">
        <v>2619</v>
      </c>
      <c r="M289" s="23">
        <v>2015</v>
      </c>
      <c r="N289" s="23">
        <v>2100</v>
      </c>
      <c r="O289" s="292">
        <v>25</v>
      </c>
      <c r="P289" s="293">
        <v>2700</v>
      </c>
      <c r="Q289" s="294">
        <v>1</v>
      </c>
      <c r="R289" s="23"/>
      <c r="S289" s="148">
        <f t="shared" si="29"/>
        <v>2700</v>
      </c>
      <c r="T289" s="148">
        <f ca="1">IF(S289=0,"",S289*(OFFSET(cod_desembolso!$A$1,Q289,23)))</f>
        <v>2805.9223082615817</v>
      </c>
      <c r="U289" s="149">
        <f>(constantes!$B$3*(1+constantes!$B$3)^(O289))/((1+constantes!$B$3)^(O289)-1)</f>
        <v>9.3678779051968114E-2</v>
      </c>
      <c r="V289" s="148">
        <f t="shared" ca="1" si="30"/>
        <v>262.85537595262508</v>
      </c>
      <c r="W289" s="148">
        <f ca="1">(IF(S289=0,"",V289/constantes!$B$3))*1</f>
        <v>3285.6921994078134</v>
      </c>
      <c r="X289" s="150">
        <f ca="1">IF(S289=0,"",PV(constantes!$B$3,O289,-V289)*constantes!$B$3)</f>
        <v>224.47378466092658</v>
      </c>
      <c r="Y289" s="85">
        <f t="shared" si="31"/>
        <v>1800</v>
      </c>
      <c r="Z289">
        <v>298</v>
      </c>
    </row>
    <row r="290" spans="1:26">
      <c r="A290" s="290">
        <v>7299</v>
      </c>
      <c r="B290" s="23" t="str">
        <f t="shared" si="28"/>
        <v>SE-Imp_1500__kV_299</v>
      </c>
      <c r="C290" s="23">
        <v>805</v>
      </c>
      <c r="D290" s="142" t="str">
        <f>VLOOKUP(C290,tab_corredor!$A$2:$B$50,2,0)</f>
        <v>SE-Imp</v>
      </c>
      <c r="E290" s="23">
        <v>1500</v>
      </c>
      <c r="F290" s="23" t="s">
        <v>2671</v>
      </c>
      <c r="G290" s="23">
        <v>1500</v>
      </c>
      <c r="H290" s="23">
        <v>1500</v>
      </c>
      <c r="I290" s="394">
        <v>5.0000000000000004E-6</v>
      </c>
      <c r="J290" s="394">
        <v>5.0000000000000004E-6</v>
      </c>
      <c r="K290" s="290">
        <v>1</v>
      </c>
      <c r="L290" s="291" t="s">
        <v>2619</v>
      </c>
      <c r="M290" s="23">
        <v>2015</v>
      </c>
      <c r="N290" s="23">
        <v>2100</v>
      </c>
      <c r="O290" s="292">
        <v>25</v>
      </c>
      <c r="P290" s="293">
        <v>2700</v>
      </c>
      <c r="Q290" s="294">
        <v>1</v>
      </c>
      <c r="R290" s="23"/>
      <c r="S290" s="148">
        <f t="shared" si="29"/>
        <v>2700</v>
      </c>
      <c r="T290" s="148">
        <f ca="1">IF(S290=0,"",S290*(OFFSET(cod_desembolso!$A$1,Q290,23)))</f>
        <v>2805.9223082615817</v>
      </c>
      <c r="U290" s="149">
        <f>(constantes!$B$3*(1+constantes!$B$3)^(O290))/((1+constantes!$B$3)^(O290)-1)</f>
        <v>9.3678779051968114E-2</v>
      </c>
      <c r="V290" s="148">
        <f t="shared" ca="1" si="30"/>
        <v>262.85537595262508</v>
      </c>
      <c r="W290" s="148">
        <f ca="1">(IF(S290=0,"",V290/constantes!$B$3))*1</f>
        <v>3285.6921994078134</v>
      </c>
      <c r="X290" s="150">
        <f ca="1">IF(S290=0,"",PV(constantes!$B$3,O290,-V290)*constantes!$B$3)</f>
        <v>224.47378466092658</v>
      </c>
      <c r="Y290" s="85">
        <f t="shared" si="31"/>
        <v>1800</v>
      </c>
      <c r="Z290">
        <v>299</v>
      </c>
    </row>
    <row r="291" spans="1:26">
      <c r="A291" s="290">
        <v>7300</v>
      </c>
      <c r="B291" s="23" t="str">
        <f t="shared" si="28"/>
        <v>SE-Imp_1500__kV_300</v>
      </c>
      <c r="C291" s="23">
        <v>805</v>
      </c>
      <c r="D291" s="142" t="str">
        <f>VLOOKUP(C291,tab_corredor!$A$2:$B$50,2,0)</f>
        <v>SE-Imp</v>
      </c>
      <c r="E291" s="23">
        <v>1500</v>
      </c>
      <c r="F291" s="23" t="s">
        <v>2671</v>
      </c>
      <c r="G291" s="23">
        <v>1500</v>
      </c>
      <c r="H291" s="23">
        <v>1500</v>
      </c>
      <c r="I291" s="394">
        <v>5.0000000000000004E-6</v>
      </c>
      <c r="J291" s="394">
        <v>5.0000000000000004E-6</v>
      </c>
      <c r="K291" s="290">
        <v>1</v>
      </c>
      <c r="L291" s="291" t="s">
        <v>2619</v>
      </c>
      <c r="M291" s="23">
        <v>2015</v>
      </c>
      <c r="N291" s="23">
        <v>2100</v>
      </c>
      <c r="O291" s="292">
        <v>25</v>
      </c>
      <c r="P291" s="293">
        <v>2700</v>
      </c>
      <c r="Q291" s="294">
        <v>1</v>
      </c>
      <c r="R291" s="23"/>
      <c r="S291" s="148">
        <f t="shared" si="29"/>
        <v>2700</v>
      </c>
      <c r="T291" s="148">
        <f ca="1">IF(S291=0,"",S291*(OFFSET(cod_desembolso!$A$1,Q291,23)))</f>
        <v>2805.9223082615817</v>
      </c>
      <c r="U291" s="149">
        <f>(constantes!$B$3*(1+constantes!$B$3)^(O291))/((1+constantes!$B$3)^(O291)-1)</f>
        <v>9.3678779051968114E-2</v>
      </c>
      <c r="V291" s="148">
        <f t="shared" ca="1" si="30"/>
        <v>262.85537595262508</v>
      </c>
      <c r="W291" s="148">
        <f ca="1">(IF(S291=0,"",V291/constantes!$B$3))*1</f>
        <v>3285.6921994078134</v>
      </c>
      <c r="X291" s="150">
        <f ca="1">IF(S291=0,"",PV(constantes!$B$3,O291,-V291)*constantes!$B$3)</f>
        <v>224.47378466092658</v>
      </c>
      <c r="Y291" s="85">
        <f t="shared" si="31"/>
        <v>1800</v>
      </c>
      <c r="Z291">
        <v>300</v>
      </c>
    </row>
    <row r="292" spans="1:26">
      <c r="A292" s="290">
        <v>7301</v>
      </c>
      <c r="B292" s="23" t="str">
        <f t="shared" si="28"/>
        <v>SE-Imp_1500__kV_301</v>
      </c>
      <c r="C292" s="23">
        <v>805</v>
      </c>
      <c r="D292" s="142" t="str">
        <f>VLOOKUP(C292,tab_corredor!$A$2:$B$50,2,0)</f>
        <v>SE-Imp</v>
      </c>
      <c r="E292" s="23">
        <v>1500</v>
      </c>
      <c r="F292" s="23" t="s">
        <v>2671</v>
      </c>
      <c r="G292" s="23">
        <v>1500</v>
      </c>
      <c r="H292" s="23">
        <v>1500</v>
      </c>
      <c r="I292" s="394">
        <v>5.0000000000000004E-6</v>
      </c>
      <c r="J292" s="394">
        <v>5.0000000000000004E-6</v>
      </c>
      <c r="K292" s="290">
        <v>1</v>
      </c>
      <c r="L292" s="291" t="s">
        <v>2619</v>
      </c>
      <c r="M292" s="23">
        <v>2015</v>
      </c>
      <c r="N292" s="23">
        <v>2100</v>
      </c>
      <c r="O292" s="292">
        <v>25</v>
      </c>
      <c r="P292" s="293">
        <v>2700</v>
      </c>
      <c r="Q292" s="294">
        <v>1</v>
      </c>
      <c r="R292" s="23"/>
      <c r="S292" s="148">
        <f t="shared" si="29"/>
        <v>2700</v>
      </c>
      <c r="T292" s="148">
        <f ca="1">IF(S292=0,"",S292*(OFFSET(cod_desembolso!$A$1,Q292,23)))</f>
        <v>2805.9223082615817</v>
      </c>
      <c r="U292" s="149">
        <f>(constantes!$B$3*(1+constantes!$B$3)^(O292))/((1+constantes!$B$3)^(O292)-1)</f>
        <v>9.3678779051968114E-2</v>
      </c>
      <c r="V292" s="148">
        <f t="shared" ca="1" si="30"/>
        <v>262.85537595262508</v>
      </c>
      <c r="W292" s="148">
        <f ca="1">(IF(S292=0,"",V292/constantes!$B$3))*1</f>
        <v>3285.6921994078134</v>
      </c>
      <c r="X292" s="150">
        <f ca="1">IF(S292=0,"",PV(constantes!$B$3,O292,-V292)*constantes!$B$3)</f>
        <v>224.47378466092658</v>
      </c>
      <c r="Y292" s="85">
        <f t="shared" si="31"/>
        <v>1800</v>
      </c>
      <c r="Z292">
        <v>301</v>
      </c>
    </row>
    <row r="293" spans="1:26">
      <c r="A293" s="290">
        <v>7302</v>
      </c>
      <c r="B293" s="23" t="str">
        <f t="shared" si="28"/>
        <v>SE-Imp_1500__kV_302</v>
      </c>
      <c r="C293" s="23">
        <v>805</v>
      </c>
      <c r="D293" s="142" t="str">
        <f>VLOOKUP(C293,tab_corredor!$A$2:$B$50,2,0)</f>
        <v>SE-Imp</v>
      </c>
      <c r="E293" s="23">
        <v>1500</v>
      </c>
      <c r="F293" s="23" t="s">
        <v>2671</v>
      </c>
      <c r="G293" s="23">
        <v>1500</v>
      </c>
      <c r="H293" s="23">
        <v>1500</v>
      </c>
      <c r="I293" s="394">
        <v>5.0000000000000004E-6</v>
      </c>
      <c r="J293" s="394">
        <v>5.0000000000000004E-6</v>
      </c>
      <c r="K293" s="290">
        <v>1</v>
      </c>
      <c r="L293" s="291" t="s">
        <v>2619</v>
      </c>
      <c r="M293" s="23">
        <v>2015</v>
      </c>
      <c r="N293" s="23">
        <v>2100</v>
      </c>
      <c r="O293" s="292">
        <v>25</v>
      </c>
      <c r="P293" s="293">
        <v>2700</v>
      </c>
      <c r="Q293" s="294">
        <v>1</v>
      </c>
      <c r="R293" s="23"/>
      <c r="S293" s="148">
        <f t="shared" si="29"/>
        <v>2700</v>
      </c>
      <c r="T293" s="148">
        <f ca="1">IF(S293=0,"",S293*(OFFSET(cod_desembolso!$A$1,Q293,23)))</f>
        <v>2805.9223082615817</v>
      </c>
      <c r="U293" s="149">
        <f>(constantes!$B$3*(1+constantes!$B$3)^(O293))/((1+constantes!$B$3)^(O293)-1)</f>
        <v>9.3678779051968114E-2</v>
      </c>
      <c r="V293" s="148">
        <f t="shared" ca="1" si="30"/>
        <v>262.85537595262508</v>
      </c>
      <c r="W293" s="148">
        <f ca="1">(IF(S293=0,"",V293/constantes!$B$3))*1</f>
        <v>3285.6921994078134</v>
      </c>
      <c r="X293" s="150">
        <f ca="1">IF(S293=0,"",PV(constantes!$B$3,O293,-V293)*constantes!$B$3)</f>
        <v>224.47378466092658</v>
      </c>
      <c r="Y293" s="85">
        <f t="shared" si="31"/>
        <v>1800</v>
      </c>
      <c r="Z293">
        <v>302</v>
      </c>
    </row>
    <row r="294" spans="1:26">
      <c r="A294" s="290">
        <v>7303</v>
      </c>
      <c r="B294" s="23" t="str">
        <f t="shared" si="28"/>
        <v>SE-Imp_1500__kV_303</v>
      </c>
      <c r="C294" s="23">
        <v>805</v>
      </c>
      <c r="D294" s="142" t="str">
        <f>VLOOKUP(C294,tab_corredor!$A$2:$B$50,2,0)</f>
        <v>SE-Imp</v>
      </c>
      <c r="E294" s="23">
        <v>1500</v>
      </c>
      <c r="F294" s="23" t="s">
        <v>2671</v>
      </c>
      <c r="G294" s="23">
        <v>1500</v>
      </c>
      <c r="H294" s="23">
        <v>1500</v>
      </c>
      <c r="I294" s="394">
        <v>5.0000000000000004E-6</v>
      </c>
      <c r="J294" s="394">
        <v>5.0000000000000004E-6</v>
      </c>
      <c r="K294" s="290">
        <v>1</v>
      </c>
      <c r="L294" s="291" t="s">
        <v>2619</v>
      </c>
      <c r="M294" s="23">
        <v>2015</v>
      </c>
      <c r="N294" s="23">
        <v>2100</v>
      </c>
      <c r="O294" s="292">
        <v>25</v>
      </c>
      <c r="P294" s="293">
        <v>2700</v>
      </c>
      <c r="Q294" s="294">
        <v>1</v>
      </c>
      <c r="R294" s="23"/>
      <c r="S294" s="148">
        <f t="shared" si="29"/>
        <v>2700</v>
      </c>
      <c r="T294" s="148">
        <f ca="1">IF(S294=0,"",S294*(OFFSET(cod_desembolso!$A$1,Q294,23)))</f>
        <v>2805.9223082615817</v>
      </c>
      <c r="U294" s="149">
        <f>(constantes!$B$3*(1+constantes!$B$3)^(O294))/((1+constantes!$B$3)^(O294)-1)</f>
        <v>9.3678779051968114E-2</v>
      </c>
      <c r="V294" s="148">
        <f t="shared" ca="1" si="30"/>
        <v>262.85537595262508</v>
      </c>
      <c r="W294" s="148">
        <f ca="1">(IF(S294=0,"",V294/constantes!$B$3))*1</f>
        <v>3285.6921994078134</v>
      </c>
      <c r="X294" s="150">
        <f ca="1">IF(S294=0,"",PV(constantes!$B$3,O294,-V294)*constantes!$B$3)</f>
        <v>224.47378466092658</v>
      </c>
      <c r="Y294" s="85">
        <f t="shared" si="31"/>
        <v>1800</v>
      </c>
      <c r="Z294">
        <v>303</v>
      </c>
    </row>
    <row r="295" spans="1:26">
      <c r="A295" s="290">
        <v>7304</v>
      </c>
      <c r="B295" s="23" t="str">
        <f t="shared" si="28"/>
        <v>SE-Imp_1500__kV_304</v>
      </c>
      <c r="C295" s="23">
        <v>805</v>
      </c>
      <c r="D295" s="142" t="str">
        <f>VLOOKUP(C295,tab_corredor!$A$2:$B$50,2,0)</f>
        <v>SE-Imp</v>
      </c>
      <c r="E295" s="23">
        <v>1500</v>
      </c>
      <c r="F295" s="23" t="s">
        <v>2671</v>
      </c>
      <c r="G295" s="23">
        <v>1500</v>
      </c>
      <c r="H295" s="23">
        <v>1500</v>
      </c>
      <c r="I295" s="394">
        <v>5.0000000000000004E-6</v>
      </c>
      <c r="J295" s="394">
        <v>5.0000000000000004E-6</v>
      </c>
      <c r="K295" s="290">
        <v>1</v>
      </c>
      <c r="L295" s="291" t="s">
        <v>2619</v>
      </c>
      <c r="M295" s="23">
        <v>2015</v>
      </c>
      <c r="N295" s="23">
        <v>2100</v>
      </c>
      <c r="O295" s="292">
        <v>25</v>
      </c>
      <c r="P295" s="293">
        <v>2700</v>
      </c>
      <c r="Q295" s="294">
        <v>1</v>
      </c>
      <c r="R295" s="23"/>
      <c r="S295" s="148">
        <f t="shared" si="29"/>
        <v>2700</v>
      </c>
      <c r="T295" s="148">
        <f ca="1">IF(S295=0,"",S295*(OFFSET(cod_desembolso!$A$1,Q295,23)))</f>
        <v>2805.9223082615817</v>
      </c>
      <c r="U295" s="149">
        <f>(constantes!$B$3*(1+constantes!$B$3)^(O295))/((1+constantes!$B$3)^(O295)-1)</f>
        <v>9.3678779051968114E-2</v>
      </c>
      <c r="V295" s="148">
        <f t="shared" ca="1" si="30"/>
        <v>262.85537595262508</v>
      </c>
      <c r="W295" s="148">
        <f ca="1">(IF(S295=0,"",V295/constantes!$B$3))*1</f>
        <v>3285.6921994078134</v>
      </c>
      <c r="X295" s="150">
        <f ca="1">IF(S295=0,"",PV(constantes!$B$3,O295,-V295)*constantes!$B$3)</f>
        <v>224.47378466092658</v>
      </c>
      <c r="Y295" s="85">
        <f t="shared" si="31"/>
        <v>1800</v>
      </c>
      <c r="Z295">
        <v>304</v>
      </c>
    </row>
    <row r="296" spans="1:26">
      <c r="A296" s="290">
        <v>7305</v>
      </c>
      <c r="B296" s="23" t="str">
        <f t="shared" si="28"/>
        <v>SE-Imp_1500__kV_305</v>
      </c>
      <c r="C296" s="23">
        <v>805</v>
      </c>
      <c r="D296" s="142" t="str">
        <f>VLOOKUP(C296,tab_corredor!$A$2:$B$50,2,0)</f>
        <v>SE-Imp</v>
      </c>
      <c r="E296" s="23">
        <v>1500</v>
      </c>
      <c r="F296" s="23" t="s">
        <v>2671</v>
      </c>
      <c r="G296" s="23">
        <v>1500</v>
      </c>
      <c r="H296" s="23">
        <v>1500</v>
      </c>
      <c r="I296" s="394">
        <v>5.0000000000000004E-6</v>
      </c>
      <c r="J296" s="394">
        <v>5.0000000000000004E-6</v>
      </c>
      <c r="K296" s="290">
        <v>1</v>
      </c>
      <c r="L296" s="291" t="s">
        <v>2619</v>
      </c>
      <c r="M296" s="23">
        <v>2015</v>
      </c>
      <c r="N296" s="23">
        <v>2100</v>
      </c>
      <c r="O296" s="292">
        <v>25</v>
      </c>
      <c r="P296" s="293">
        <v>2700</v>
      </c>
      <c r="Q296" s="294">
        <v>1</v>
      </c>
      <c r="R296" s="23"/>
      <c r="S296" s="148">
        <f t="shared" si="29"/>
        <v>2700</v>
      </c>
      <c r="T296" s="148">
        <f ca="1">IF(S296=0,"",S296*(OFFSET(cod_desembolso!$A$1,Q296,23)))</f>
        <v>2805.9223082615817</v>
      </c>
      <c r="U296" s="149">
        <f>(constantes!$B$3*(1+constantes!$B$3)^(O296))/((1+constantes!$B$3)^(O296)-1)</f>
        <v>9.3678779051968114E-2</v>
      </c>
      <c r="V296" s="148">
        <f t="shared" ca="1" si="30"/>
        <v>262.85537595262508</v>
      </c>
      <c r="W296" s="148">
        <f ca="1">(IF(S296=0,"",V296/constantes!$B$3))*1</f>
        <v>3285.6921994078134</v>
      </c>
      <c r="X296" s="150">
        <f ca="1">IF(S296=0,"",PV(constantes!$B$3,O296,-V296)*constantes!$B$3)</f>
        <v>224.47378466092658</v>
      </c>
      <c r="Y296" s="85">
        <f t="shared" si="31"/>
        <v>1800</v>
      </c>
      <c r="Z296">
        <v>305</v>
      </c>
    </row>
    <row r="297" spans="1:26">
      <c r="A297" s="290">
        <v>7306</v>
      </c>
      <c r="B297" s="23" t="str">
        <f t="shared" si="28"/>
        <v>SE-Imp_1500__kV_306</v>
      </c>
      <c r="C297" s="23">
        <v>805</v>
      </c>
      <c r="D297" s="142" t="str">
        <f>VLOOKUP(C297,tab_corredor!$A$2:$B$50,2,0)</f>
        <v>SE-Imp</v>
      </c>
      <c r="E297" s="23">
        <v>1500</v>
      </c>
      <c r="F297" s="23" t="s">
        <v>2671</v>
      </c>
      <c r="G297" s="23">
        <v>1500</v>
      </c>
      <c r="H297" s="23">
        <v>1500</v>
      </c>
      <c r="I297" s="394">
        <v>5.0000000000000004E-6</v>
      </c>
      <c r="J297" s="394">
        <v>5.0000000000000004E-6</v>
      </c>
      <c r="K297" s="290">
        <v>1</v>
      </c>
      <c r="L297" s="291" t="s">
        <v>2619</v>
      </c>
      <c r="M297" s="23">
        <v>2015</v>
      </c>
      <c r="N297" s="23">
        <v>2100</v>
      </c>
      <c r="O297" s="292">
        <v>25</v>
      </c>
      <c r="P297" s="293">
        <v>2700</v>
      </c>
      <c r="Q297" s="294">
        <v>1</v>
      </c>
      <c r="R297" s="23"/>
      <c r="S297" s="148">
        <f t="shared" si="29"/>
        <v>2700</v>
      </c>
      <c r="T297" s="148">
        <f ca="1">IF(S297=0,"",S297*(OFFSET(cod_desembolso!$A$1,Q297,23)))</f>
        <v>2805.9223082615817</v>
      </c>
      <c r="U297" s="149">
        <f>(constantes!$B$3*(1+constantes!$B$3)^(O297))/((1+constantes!$B$3)^(O297)-1)</f>
        <v>9.3678779051968114E-2</v>
      </c>
      <c r="V297" s="148">
        <f t="shared" ca="1" si="30"/>
        <v>262.85537595262508</v>
      </c>
      <c r="W297" s="148">
        <f ca="1">(IF(S297=0,"",V297/constantes!$B$3))*1</f>
        <v>3285.6921994078134</v>
      </c>
      <c r="X297" s="150">
        <f ca="1">IF(S297=0,"",PV(constantes!$B$3,O297,-V297)*constantes!$B$3)</f>
        <v>224.47378466092658</v>
      </c>
      <c r="Y297" s="85">
        <f t="shared" si="31"/>
        <v>1800</v>
      </c>
      <c r="Z297">
        <v>306</v>
      </c>
    </row>
    <row r="298" spans="1:26">
      <c r="A298" s="290">
        <v>7307</v>
      </c>
      <c r="B298" s="23" t="str">
        <f t="shared" si="28"/>
        <v>SE-Imp_1500__kV_307</v>
      </c>
      <c r="C298" s="23">
        <v>805</v>
      </c>
      <c r="D298" s="142" t="str">
        <f>VLOOKUP(C298,tab_corredor!$A$2:$B$50,2,0)</f>
        <v>SE-Imp</v>
      </c>
      <c r="E298" s="23">
        <v>1500</v>
      </c>
      <c r="F298" s="23" t="s">
        <v>2671</v>
      </c>
      <c r="G298" s="23">
        <v>1500</v>
      </c>
      <c r="H298" s="23">
        <v>1500</v>
      </c>
      <c r="I298" s="394">
        <v>5.0000000000000004E-6</v>
      </c>
      <c r="J298" s="394">
        <v>5.0000000000000004E-6</v>
      </c>
      <c r="K298" s="290">
        <v>1</v>
      </c>
      <c r="L298" s="291" t="s">
        <v>2619</v>
      </c>
      <c r="M298" s="23">
        <v>2015</v>
      </c>
      <c r="N298" s="23">
        <v>2100</v>
      </c>
      <c r="O298" s="292">
        <v>25</v>
      </c>
      <c r="P298" s="293">
        <v>2700</v>
      </c>
      <c r="Q298" s="294">
        <v>1</v>
      </c>
      <c r="R298" s="23"/>
      <c r="S298" s="148">
        <f t="shared" si="29"/>
        <v>2700</v>
      </c>
      <c r="T298" s="148">
        <f ca="1">IF(S298=0,"",S298*(OFFSET(cod_desembolso!$A$1,Q298,23)))</f>
        <v>2805.9223082615817</v>
      </c>
      <c r="U298" s="149">
        <f>(constantes!$B$3*(1+constantes!$B$3)^(O298))/((1+constantes!$B$3)^(O298)-1)</f>
        <v>9.3678779051968114E-2</v>
      </c>
      <c r="V298" s="148">
        <f t="shared" ca="1" si="30"/>
        <v>262.85537595262508</v>
      </c>
      <c r="W298" s="148">
        <f ca="1">(IF(S298=0,"",V298/constantes!$B$3))*1</f>
        <v>3285.6921994078134</v>
      </c>
      <c r="X298" s="150">
        <f ca="1">IF(S298=0,"",PV(constantes!$B$3,O298,-V298)*constantes!$B$3)</f>
        <v>224.47378466092658</v>
      </c>
      <c r="Y298" s="85">
        <f t="shared" si="31"/>
        <v>1800</v>
      </c>
      <c r="Z298">
        <v>307</v>
      </c>
    </row>
    <row r="299" spans="1:26">
      <c r="A299" s="290">
        <v>7308</v>
      </c>
      <c r="B299" s="23" t="str">
        <f t="shared" si="28"/>
        <v>SE-Imp_1500__kV_308</v>
      </c>
      <c r="C299" s="23">
        <v>805</v>
      </c>
      <c r="D299" s="142" t="str">
        <f>VLOOKUP(C299,tab_corredor!$A$2:$B$50,2,0)</f>
        <v>SE-Imp</v>
      </c>
      <c r="E299" s="23">
        <v>1500</v>
      </c>
      <c r="F299" s="23" t="s">
        <v>2671</v>
      </c>
      <c r="G299" s="23">
        <v>1500</v>
      </c>
      <c r="H299" s="23">
        <v>1500</v>
      </c>
      <c r="I299" s="394">
        <v>5.0000000000000004E-6</v>
      </c>
      <c r="J299" s="394">
        <v>5.0000000000000004E-6</v>
      </c>
      <c r="K299" s="290">
        <v>1</v>
      </c>
      <c r="L299" s="291" t="s">
        <v>2619</v>
      </c>
      <c r="M299" s="23">
        <v>2015</v>
      </c>
      <c r="N299" s="23">
        <v>2100</v>
      </c>
      <c r="O299" s="292">
        <v>25</v>
      </c>
      <c r="P299" s="293">
        <v>2700</v>
      </c>
      <c r="Q299" s="294">
        <v>1</v>
      </c>
      <c r="R299" s="23"/>
      <c r="S299" s="148">
        <f t="shared" si="29"/>
        <v>2700</v>
      </c>
      <c r="T299" s="148">
        <f ca="1">IF(S299=0,"",S299*(OFFSET(cod_desembolso!$A$1,Q299,23)))</f>
        <v>2805.9223082615817</v>
      </c>
      <c r="U299" s="149">
        <f>(constantes!$B$3*(1+constantes!$B$3)^(O299))/((1+constantes!$B$3)^(O299)-1)</f>
        <v>9.3678779051968114E-2</v>
      </c>
      <c r="V299" s="148">
        <f t="shared" ca="1" si="30"/>
        <v>262.85537595262508</v>
      </c>
      <c r="W299" s="148">
        <f ca="1">(IF(S299=0,"",V299/constantes!$B$3))*1</f>
        <v>3285.6921994078134</v>
      </c>
      <c r="X299" s="150">
        <f ca="1">IF(S299=0,"",PV(constantes!$B$3,O299,-V299)*constantes!$B$3)</f>
        <v>224.47378466092658</v>
      </c>
      <c r="Y299" s="85">
        <f t="shared" si="31"/>
        <v>1800</v>
      </c>
      <c r="Z299">
        <v>308</v>
      </c>
    </row>
    <row r="300" spans="1:26">
      <c r="A300" s="290">
        <v>7309</v>
      </c>
      <c r="B300" s="23" t="str">
        <f t="shared" si="28"/>
        <v>SE-Imp_1500__kV_309</v>
      </c>
      <c r="C300" s="23">
        <v>805</v>
      </c>
      <c r="D300" s="142" t="str">
        <f>VLOOKUP(C300,tab_corredor!$A$2:$B$50,2,0)</f>
        <v>SE-Imp</v>
      </c>
      <c r="E300" s="23">
        <v>1500</v>
      </c>
      <c r="F300" s="23" t="s">
        <v>2671</v>
      </c>
      <c r="G300" s="23">
        <v>1500</v>
      </c>
      <c r="H300" s="23">
        <v>1500</v>
      </c>
      <c r="I300" s="394">
        <v>5.0000000000000004E-6</v>
      </c>
      <c r="J300" s="394">
        <v>5.0000000000000004E-6</v>
      </c>
      <c r="K300" s="290">
        <v>1</v>
      </c>
      <c r="L300" s="291" t="s">
        <v>2619</v>
      </c>
      <c r="M300" s="23">
        <v>2015</v>
      </c>
      <c r="N300" s="23">
        <v>2100</v>
      </c>
      <c r="O300" s="292">
        <v>25</v>
      </c>
      <c r="P300" s="293">
        <v>2700</v>
      </c>
      <c r="Q300" s="294">
        <v>1</v>
      </c>
      <c r="R300" s="23"/>
      <c r="S300" s="148">
        <f t="shared" si="29"/>
        <v>2700</v>
      </c>
      <c r="T300" s="148">
        <f ca="1">IF(S300=0,"",S300*(OFFSET(cod_desembolso!$A$1,Q300,23)))</f>
        <v>2805.9223082615817</v>
      </c>
      <c r="U300" s="149">
        <f>(constantes!$B$3*(1+constantes!$B$3)^(O300))/((1+constantes!$B$3)^(O300)-1)</f>
        <v>9.3678779051968114E-2</v>
      </c>
      <c r="V300" s="148">
        <f t="shared" ca="1" si="30"/>
        <v>262.85537595262508</v>
      </c>
      <c r="W300" s="148">
        <f ca="1">(IF(S300=0,"",V300/constantes!$B$3))*1</f>
        <v>3285.6921994078134</v>
      </c>
      <c r="X300" s="150">
        <f ca="1">IF(S300=0,"",PV(constantes!$B$3,O300,-V300)*constantes!$B$3)</f>
        <v>224.47378466092658</v>
      </c>
      <c r="Y300" s="85">
        <f t="shared" si="31"/>
        <v>1800</v>
      </c>
      <c r="Z300">
        <v>309</v>
      </c>
    </row>
    <row r="301" spans="1:26">
      <c r="A301" s="290">
        <v>7310</v>
      </c>
      <c r="B301" s="23" t="str">
        <f t="shared" ref="B301:B318" si="32">D301&amp;"_"&amp;E301&amp;"_"&amp;F301&amp;IF(F301="DC","","kV")&amp;"_"&amp;Z301</f>
        <v>SE-Imp_1500__kV_310</v>
      </c>
      <c r="C301" s="23">
        <v>805</v>
      </c>
      <c r="D301" s="142" t="str">
        <f>VLOOKUP(C301,tab_corredor!$A$2:$B$50,2,0)</f>
        <v>SE-Imp</v>
      </c>
      <c r="E301" s="23">
        <v>1500</v>
      </c>
      <c r="F301" s="23" t="s">
        <v>2671</v>
      </c>
      <c r="G301" s="23">
        <v>1500</v>
      </c>
      <c r="H301" s="23">
        <v>1500</v>
      </c>
      <c r="I301" s="394">
        <v>5.0000000000000004E-6</v>
      </c>
      <c r="J301" s="394">
        <v>5.0000000000000004E-6</v>
      </c>
      <c r="K301" s="290">
        <v>1</v>
      </c>
      <c r="L301" s="291" t="s">
        <v>2619</v>
      </c>
      <c r="M301" s="23">
        <v>2015</v>
      </c>
      <c r="N301" s="23">
        <v>2100</v>
      </c>
      <c r="O301" s="292">
        <v>25</v>
      </c>
      <c r="P301" s="293">
        <v>2700</v>
      </c>
      <c r="Q301" s="294">
        <v>1</v>
      </c>
      <c r="R301" s="23"/>
      <c r="S301" s="148">
        <f t="shared" ref="S301:S318" si="33">P301+R301</f>
        <v>2700</v>
      </c>
      <c r="T301" s="148">
        <f ca="1">IF(S301=0,"",S301*(OFFSET(cod_desembolso!$A$1,Q301,23)))</f>
        <v>2805.9223082615817</v>
      </c>
      <c r="U301" s="149">
        <f>(constantes!$B$3*(1+constantes!$B$3)^(O301))/((1+constantes!$B$3)^(O301)-1)</f>
        <v>9.3678779051968114E-2</v>
      </c>
      <c r="V301" s="148">
        <f t="shared" ref="V301:V318" ca="1" si="34">IF(S301=0,"",T301*U301)</f>
        <v>262.85537595262508</v>
      </c>
      <c r="W301" s="148">
        <f ca="1">(IF(S301=0,"",V301/constantes!$B$3))*1</f>
        <v>3285.6921994078134</v>
      </c>
      <c r="X301" s="150">
        <f ca="1">IF(S301=0,"",PV(constantes!$B$3,O301,-V301)*constantes!$B$3)</f>
        <v>224.47378466092658</v>
      </c>
      <c r="Y301" s="85">
        <f t="shared" ref="Y301:Y318" si="35">S301/E301*1000</f>
        <v>1800</v>
      </c>
      <c r="Z301">
        <v>310</v>
      </c>
    </row>
    <row r="302" spans="1:26">
      <c r="A302" s="290">
        <v>7311</v>
      </c>
      <c r="B302" s="23" t="str">
        <f t="shared" si="32"/>
        <v>SE-Imp_1500__kV_311</v>
      </c>
      <c r="C302" s="23">
        <v>805</v>
      </c>
      <c r="D302" s="142" t="str">
        <f>VLOOKUP(C302,tab_corredor!$A$2:$B$50,2,0)</f>
        <v>SE-Imp</v>
      </c>
      <c r="E302" s="23">
        <v>1500</v>
      </c>
      <c r="F302" s="23" t="s">
        <v>2671</v>
      </c>
      <c r="G302" s="23">
        <v>1500</v>
      </c>
      <c r="H302" s="23">
        <v>1500</v>
      </c>
      <c r="I302" s="394">
        <v>5.0000000000000004E-6</v>
      </c>
      <c r="J302" s="394">
        <v>5.0000000000000004E-6</v>
      </c>
      <c r="K302" s="290">
        <v>1</v>
      </c>
      <c r="L302" s="291" t="s">
        <v>2619</v>
      </c>
      <c r="M302" s="23">
        <v>2015</v>
      </c>
      <c r="N302" s="23">
        <v>2100</v>
      </c>
      <c r="O302" s="292">
        <v>25</v>
      </c>
      <c r="P302" s="293">
        <v>2700</v>
      </c>
      <c r="Q302" s="294">
        <v>1</v>
      </c>
      <c r="R302" s="23"/>
      <c r="S302" s="148">
        <f t="shared" si="33"/>
        <v>2700</v>
      </c>
      <c r="T302" s="148">
        <f ca="1">IF(S302=0,"",S302*(OFFSET(cod_desembolso!$A$1,Q302,23)))</f>
        <v>2805.9223082615817</v>
      </c>
      <c r="U302" s="149">
        <f>(constantes!$B$3*(1+constantes!$B$3)^(O302))/((1+constantes!$B$3)^(O302)-1)</f>
        <v>9.3678779051968114E-2</v>
      </c>
      <c r="V302" s="148">
        <f t="shared" ca="1" si="34"/>
        <v>262.85537595262508</v>
      </c>
      <c r="W302" s="148">
        <f ca="1">(IF(S302=0,"",V302/constantes!$B$3))*1</f>
        <v>3285.6921994078134</v>
      </c>
      <c r="X302" s="150">
        <f ca="1">IF(S302=0,"",PV(constantes!$B$3,O302,-V302)*constantes!$B$3)</f>
        <v>224.47378466092658</v>
      </c>
      <c r="Y302" s="85">
        <f t="shared" si="35"/>
        <v>1800</v>
      </c>
      <c r="Z302">
        <v>311</v>
      </c>
    </row>
    <row r="303" spans="1:26">
      <c r="A303" s="290">
        <v>7312</v>
      </c>
      <c r="B303" s="23" t="str">
        <f t="shared" si="32"/>
        <v>SE-Imp_1500__kV_312</v>
      </c>
      <c r="C303" s="23">
        <v>805</v>
      </c>
      <c r="D303" s="142" t="str">
        <f>VLOOKUP(C303,tab_corredor!$A$2:$B$50,2,0)</f>
        <v>SE-Imp</v>
      </c>
      <c r="E303" s="23">
        <v>1500</v>
      </c>
      <c r="F303" s="23" t="s">
        <v>2671</v>
      </c>
      <c r="G303" s="23">
        <v>1500</v>
      </c>
      <c r="H303" s="23">
        <v>1500</v>
      </c>
      <c r="I303" s="394">
        <v>5.0000000000000004E-6</v>
      </c>
      <c r="J303" s="394">
        <v>5.0000000000000004E-6</v>
      </c>
      <c r="K303" s="290">
        <v>1</v>
      </c>
      <c r="L303" s="291" t="s">
        <v>2619</v>
      </c>
      <c r="M303" s="23">
        <v>2015</v>
      </c>
      <c r="N303" s="23">
        <v>2100</v>
      </c>
      <c r="O303" s="292">
        <v>25</v>
      </c>
      <c r="P303" s="293">
        <v>2700</v>
      </c>
      <c r="Q303" s="294">
        <v>1</v>
      </c>
      <c r="R303" s="23"/>
      <c r="S303" s="148">
        <f t="shared" si="33"/>
        <v>2700</v>
      </c>
      <c r="T303" s="148">
        <f ca="1">IF(S303=0,"",S303*(OFFSET(cod_desembolso!$A$1,Q303,23)))</f>
        <v>2805.9223082615817</v>
      </c>
      <c r="U303" s="149">
        <f>(constantes!$B$3*(1+constantes!$B$3)^(O303))/((1+constantes!$B$3)^(O303)-1)</f>
        <v>9.3678779051968114E-2</v>
      </c>
      <c r="V303" s="148">
        <f t="shared" ca="1" si="34"/>
        <v>262.85537595262508</v>
      </c>
      <c r="W303" s="148">
        <f ca="1">(IF(S303=0,"",V303/constantes!$B$3))*1</f>
        <v>3285.6921994078134</v>
      </c>
      <c r="X303" s="150">
        <f ca="1">IF(S303=0,"",PV(constantes!$B$3,O303,-V303)*constantes!$B$3)</f>
        <v>224.47378466092658</v>
      </c>
      <c r="Y303" s="85">
        <f t="shared" si="35"/>
        <v>1800</v>
      </c>
      <c r="Z303">
        <v>312</v>
      </c>
    </row>
    <row r="304" spans="1:26">
      <c r="A304" s="290">
        <v>7313</v>
      </c>
      <c r="B304" s="23" t="str">
        <f t="shared" si="32"/>
        <v>SE-Imp_1500__kV_313</v>
      </c>
      <c r="C304" s="23">
        <v>805</v>
      </c>
      <c r="D304" s="142" t="str">
        <f>VLOOKUP(C304,tab_corredor!$A$2:$B$50,2,0)</f>
        <v>SE-Imp</v>
      </c>
      <c r="E304" s="23">
        <v>1500</v>
      </c>
      <c r="F304" s="23" t="s">
        <v>2671</v>
      </c>
      <c r="G304" s="23">
        <v>1500</v>
      </c>
      <c r="H304" s="23">
        <v>1500</v>
      </c>
      <c r="I304" s="394">
        <v>5.0000000000000004E-6</v>
      </c>
      <c r="J304" s="394">
        <v>5.0000000000000004E-6</v>
      </c>
      <c r="K304" s="290">
        <v>1</v>
      </c>
      <c r="L304" s="291" t="s">
        <v>2619</v>
      </c>
      <c r="M304" s="23">
        <v>2015</v>
      </c>
      <c r="N304" s="23">
        <v>2100</v>
      </c>
      <c r="O304" s="292">
        <v>25</v>
      </c>
      <c r="P304" s="293">
        <v>2700</v>
      </c>
      <c r="Q304" s="294">
        <v>1</v>
      </c>
      <c r="R304" s="23"/>
      <c r="S304" s="148">
        <f t="shared" si="33"/>
        <v>2700</v>
      </c>
      <c r="T304" s="148">
        <f ca="1">IF(S304=0,"",S304*(OFFSET(cod_desembolso!$A$1,Q304,23)))</f>
        <v>2805.9223082615817</v>
      </c>
      <c r="U304" s="149">
        <f>(constantes!$B$3*(1+constantes!$B$3)^(O304))/((1+constantes!$B$3)^(O304)-1)</f>
        <v>9.3678779051968114E-2</v>
      </c>
      <c r="V304" s="148">
        <f t="shared" ca="1" si="34"/>
        <v>262.85537595262508</v>
      </c>
      <c r="W304" s="148">
        <f ca="1">(IF(S304=0,"",V304/constantes!$B$3))*1</f>
        <v>3285.6921994078134</v>
      </c>
      <c r="X304" s="150">
        <f ca="1">IF(S304=0,"",PV(constantes!$B$3,O304,-V304)*constantes!$B$3)</f>
        <v>224.47378466092658</v>
      </c>
      <c r="Y304" s="85">
        <f t="shared" si="35"/>
        <v>1800</v>
      </c>
      <c r="Z304">
        <v>313</v>
      </c>
    </row>
    <row r="305" spans="1:26">
      <c r="A305" s="290">
        <v>7314</v>
      </c>
      <c r="B305" s="23" t="str">
        <f t="shared" si="32"/>
        <v>SE-Imp_1500__kV_314</v>
      </c>
      <c r="C305" s="23">
        <v>805</v>
      </c>
      <c r="D305" s="142" t="str">
        <f>VLOOKUP(C305,tab_corredor!$A$2:$B$50,2,0)</f>
        <v>SE-Imp</v>
      </c>
      <c r="E305" s="23">
        <v>1500</v>
      </c>
      <c r="F305" s="23" t="s">
        <v>2671</v>
      </c>
      <c r="G305" s="23">
        <v>1500</v>
      </c>
      <c r="H305" s="23">
        <v>1500</v>
      </c>
      <c r="I305" s="394">
        <v>5.0000000000000004E-6</v>
      </c>
      <c r="J305" s="394">
        <v>5.0000000000000004E-6</v>
      </c>
      <c r="K305" s="290">
        <v>1</v>
      </c>
      <c r="L305" s="291" t="s">
        <v>2619</v>
      </c>
      <c r="M305" s="23">
        <v>2015</v>
      </c>
      <c r="N305" s="23">
        <v>2100</v>
      </c>
      <c r="O305" s="292">
        <v>25</v>
      </c>
      <c r="P305" s="293">
        <v>2700</v>
      </c>
      <c r="Q305" s="294">
        <v>1</v>
      </c>
      <c r="R305" s="23"/>
      <c r="S305" s="148">
        <f t="shared" si="33"/>
        <v>2700</v>
      </c>
      <c r="T305" s="148">
        <f ca="1">IF(S305=0,"",S305*(OFFSET(cod_desembolso!$A$1,Q305,23)))</f>
        <v>2805.9223082615817</v>
      </c>
      <c r="U305" s="149">
        <f>(constantes!$B$3*(1+constantes!$B$3)^(O305))/((1+constantes!$B$3)^(O305)-1)</f>
        <v>9.3678779051968114E-2</v>
      </c>
      <c r="V305" s="148">
        <f t="shared" ca="1" si="34"/>
        <v>262.85537595262508</v>
      </c>
      <c r="W305" s="148">
        <f ca="1">(IF(S305=0,"",V305/constantes!$B$3))*1</f>
        <v>3285.6921994078134</v>
      </c>
      <c r="X305" s="150">
        <f ca="1">IF(S305=0,"",PV(constantes!$B$3,O305,-V305)*constantes!$B$3)</f>
        <v>224.47378466092658</v>
      </c>
      <c r="Y305" s="85">
        <f t="shared" si="35"/>
        <v>1800</v>
      </c>
      <c r="Z305">
        <v>314</v>
      </c>
    </row>
    <row r="306" spans="1:26">
      <c r="A306" s="290">
        <v>7315</v>
      </c>
      <c r="B306" s="23" t="str">
        <f t="shared" si="32"/>
        <v>SE-Imp_1500__kV_315</v>
      </c>
      <c r="C306" s="23">
        <v>805</v>
      </c>
      <c r="D306" s="142" t="str">
        <f>VLOOKUP(C306,tab_corredor!$A$2:$B$50,2,0)</f>
        <v>SE-Imp</v>
      </c>
      <c r="E306" s="23">
        <v>1500</v>
      </c>
      <c r="F306" s="23" t="s">
        <v>2671</v>
      </c>
      <c r="G306" s="23">
        <v>1500</v>
      </c>
      <c r="H306" s="23">
        <v>1500</v>
      </c>
      <c r="I306" s="394">
        <v>5.0000000000000004E-6</v>
      </c>
      <c r="J306" s="394">
        <v>5.0000000000000004E-6</v>
      </c>
      <c r="K306" s="290">
        <v>1</v>
      </c>
      <c r="L306" s="291" t="s">
        <v>2619</v>
      </c>
      <c r="M306" s="23">
        <v>2015</v>
      </c>
      <c r="N306" s="23">
        <v>2100</v>
      </c>
      <c r="O306" s="292">
        <v>25</v>
      </c>
      <c r="P306" s="293">
        <v>2700</v>
      </c>
      <c r="Q306" s="294">
        <v>1</v>
      </c>
      <c r="R306" s="23"/>
      <c r="S306" s="148">
        <f t="shared" si="33"/>
        <v>2700</v>
      </c>
      <c r="T306" s="148">
        <f ca="1">IF(S306=0,"",S306*(OFFSET(cod_desembolso!$A$1,Q306,23)))</f>
        <v>2805.9223082615817</v>
      </c>
      <c r="U306" s="149">
        <f>(constantes!$B$3*(1+constantes!$B$3)^(O306))/((1+constantes!$B$3)^(O306)-1)</f>
        <v>9.3678779051968114E-2</v>
      </c>
      <c r="V306" s="148">
        <f t="shared" ca="1" si="34"/>
        <v>262.85537595262508</v>
      </c>
      <c r="W306" s="148">
        <f ca="1">(IF(S306=0,"",V306/constantes!$B$3))*1</f>
        <v>3285.6921994078134</v>
      </c>
      <c r="X306" s="150">
        <f ca="1">IF(S306=0,"",PV(constantes!$B$3,O306,-V306)*constantes!$B$3)</f>
        <v>224.47378466092658</v>
      </c>
      <c r="Y306" s="85">
        <f t="shared" si="35"/>
        <v>1800</v>
      </c>
      <c r="Z306">
        <v>315</v>
      </c>
    </row>
    <row r="307" spans="1:26">
      <c r="A307" s="290">
        <v>7316</v>
      </c>
      <c r="B307" s="23" t="str">
        <f t="shared" si="32"/>
        <v>SE-Imp_1500__kV_316</v>
      </c>
      <c r="C307" s="23">
        <v>805</v>
      </c>
      <c r="D307" s="142" t="str">
        <f>VLOOKUP(C307,tab_corredor!$A$2:$B$50,2,0)</f>
        <v>SE-Imp</v>
      </c>
      <c r="E307" s="23">
        <v>1500</v>
      </c>
      <c r="F307" s="23" t="s">
        <v>2671</v>
      </c>
      <c r="G307" s="23">
        <v>1500</v>
      </c>
      <c r="H307" s="23">
        <v>1500</v>
      </c>
      <c r="I307" s="394">
        <v>5.0000000000000004E-6</v>
      </c>
      <c r="J307" s="394">
        <v>5.0000000000000004E-6</v>
      </c>
      <c r="K307" s="290">
        <v>1</v>
      </c>
      <c r="L307" s="291" t="s">
        <v>2619</v>
      </c>
      <c r="M307" s="23">
        <v>2015</v>
      </c>
      <c r="N307" s="23">
        <v>2100</v>
      </c>
      <c r="O307" s="292">
        <v>25</v>
      </c>
      <c r="P307" s="293">
        <v>2700</v>
      </c>
      <c r="Q307" s="294">
        <v>1</v>
      </c>
      <c r="R307" s="23"/>
      <c r="S307" s="148">
        <f t="shared" si="33"/>
        <v>2700</v>
      </c>
      <c r="T307" s="148">
        <f ca="1">IF(S307=0,"",S307*(OFFSET(cod_desembolso!$A$1,Q307,23)))</f>
        <v>2805.9223082615817</v>
      </c>
      <c r="U307" s="149">
        <f>(constantes!$B$3*(1+constantes!$B$3)^(O307))/((1+constantes!$B$3)^(O307)-1)</f>
        <v>9.3678779051968114E-2</v>
      </c>
      <c r="V307" s="148">
        <f t="shared" ca="1" si="34"/>
        <v>262.85537595262508</v>
      </c>
      <c r="W307" s="148">
        <f ca="1">(IF(S307=0,"",V307/constantes!$B$3))*1</f>
        <v>3285.6921994078134</v>
      </c>
      <c r="X307" s="150">
        <f ca="1">IF(S307=0,"",PV(constantes!$B$3,O307,-V307)*constantes!$B$3)</f>
        <v>224.47378466092658</v>
      </c>
      <c r="Y307" s="85">
        <f t="shared" si="35"/>
        <v>1800</v>
      </c>
      <c r="Z307">
        <v>316</v>
      </c>
    </row>
    <row r="308" spans="1:26">
      <c r="A308" s="290">
        <v>7317</v>
      </c>
      <c r="B308" s="23" t="str">
        <f t="shared" si="32"/>
        <v>SE-Imp_1500__kV_317</v>
      </c>
      <c r="C308" s="23">
        <v>805</v>
      </c>
      <c r="D308" s="142" t="str">
        <f>VLOOKUP(C308,tab_corredor!$A$2:$B$50,2,0)</f>
        <v>SE-Imp</v>
      </c>
      <c r="E308" s="23">
        <v>1500</v>
      </c>
      <c r="F308" s="23" t="s">
        <v>2671</v>
      </c>
      <c r="G308" s="23">
        <v>1500</v>
      </c>
      <c r="H308" s="23">
        <v>1500</v>
      </c>
      <c r="I308" s="394">
        <v>5.0000000000000004E-6</v>
      </c>
      <c r="J308" s="394">
        <v>5.0000000000000004E-6</v>
      </c>
      <c r="K308" s="290">
        <v>1</v>
      </c>
      <c r="L308" s="291" t="s">
        <v>2619</v>
      </c>
      <c r="M308" s="23">
        <v>2015</v>
      </c>
      <c r="N308" s="23">
        <v>2100</v>
      </c>
      <c r="O308" s="292">
        <v>25</v>
      </c>
      <c r="P308" s="293">
        <v>2700</v>
      </c>
      <c r="Q308" s="294">
        <v>1</v>
      </c>
      <c r="R308" s="23"/>
      <c r="S308" s="148">
        <f t="shared" si="33"/>
        <v>2700</v>
      </c>
      <c r="T308" s="148">
        <f ca="1">IF(S308=0,"",S308*(OFFSET(cod_desembolso!$A$1,Q308,23)))</f>
        <v>2805.9223082615817</v>
      </c>
      <c r="U308" s="149">
        <f>(constantes!$B$3*(1+constantes!$B$3)^(O308))/((1+constantes!$B$3)^(O308)-1)</f>
        <v>9.3678779051968114E-2</v>
      </c>
      <c r="V308" s="148">
        <f t="shared" ca="1" si="34"/>
        <v>262.85537595262508</v>
      </c>
      <c r="W308" s="148">
        <f ca="1">(IF(S308=0,"",V308/constantes!$B$3))*1</f>
        <v>3285.6921994078134</v>
      </c>
      <c r="X308" s="150">
        <f ca="1">IF(S308=0,"",PV(constantes!$B$3,O308,-V308)*constantes!$B$3)</f>
        <v>224.47378466092658</v>
      </c>
      <c r="Y308" s="85">
        <f t="shared" si="35"/>
        <v>1800</v>
      </c>
      <c r="Z308">
        <v>317</v>
      </c>
    </row>
    <row r="309" spans="1:26">
      <c r="A309" s="290">
        <v>7318</v>
      </c>
      <c r="B309" s="23" t="str">
        <f t="shared" si="32"/>
        <v>SE-Imp_1500__kV_318</v>
      </c>
      <c r="C309" s="23">
        <v>805</v>
      </c>
      <c r="D309" s="142" t="str">
        <f>VLOOKUP(C309,tab_corredor!$A$2:$B$50,2,0)</f>
        <v>SE-Imp</v>
      </c>
      <c r="E309" s="23">
        <v>1500</v>
      </c>
      <c r="F309" s="23" t="s">
        <v>2671</v>
      </c>
      <c r="G309" s="23">
        <v>1500</v>
      </c>
      <c r="H309" s="23">
        <v>1500</v>
      </c>
      <c r="I309" s="394">
        <v>5.0000000000000004E-6</v>
      </c>
      <c r="J309" s="394">
        <v>5.0000000000000004E-6</v>
      </c>
      <c r="K309" s="290">
        <v>1</v>
      </c>
      <c r="L309" s="291" t="s">
        <v>2619</v>
      </c>
      <c r="M309" s="23">
        <v>2015</v>
      </c>
      <c r="N309" s="23">
        <v>2100</v>
      </c>
      <c r="O309" s="292">
        <v>25</v>
      </c>
      <c r="P309" s="293">
        <v>2700</v>
      </c>
      <c r="Q309" s="294">
        <v>1</v>
      </c>
      <c r="R309" s="23"/>
      <c r="S309" s="148">
        <f t="shared" si="33"/>
        <v>2700</v>
      </c>
      <c r="T309" s="148">
        <f ca="1">IF(S309=0,"",S309*(OFFSET(cod_desembolso!$A$1,Q309,23)))</f>
        <v>2805.9223082615817</v>
      </c>
      <c r="U309" s="149">
        <f>(constantes!$B$3*(1+constantes!$B$3)^(O309))/((1+constantes!$B$3)^(O309)-1)</f>
        <v>9.3678779051968114E-2</v>
      </c>
      <c r="V309" s="148">
        <f t="shared" ca="1" si="34"/>
        <v>262.85537595262508</v>
      </c>
      <c r="W309" s="148">
        <f ca="1">(IF(S309=0,"",V309/constantes!$B$3))*1</f>
        <v>3285.6921994078134</v>
      </c>
      <c r="X309" s="150">
        <f ca="1">IF(S309=0,"",PV(constantes!$B$3,O309,-V309)*constantes!$B$3)</f>
        <v>224.47378466092658</v>
      </c>
      <c r="Y309" s="85">
        <f t="shared" si="35"/>
        <v>1800</v>
      </c>
      <c r="Z309">
        <v>318</v>
      </c>
    </row>
    <row r="310" spans="1:26">
      <c r="A310" s="290">
        <v>7319</v>
      </c>
      <c r="B310" s="23" t="str">
        <f t="shared" si="32"/>
        <v>SE-Imp_1500__kV_319</v>
      </c>
      <c r="C310" s="23">
        <v>805</v>
      </c>
      <c r="D310" s="142" t="str">
        <f>VLOOKUP(C310,tab_corredor!$A$2:$B$50,2,0)</f>
        <v>SE-Imp</v>
      </c>
      <c r="E310" s="23">
        <v>1500</v>
      </c>
      <c r="F310" s="23" t="s">
        <v>2671</v>
      </c>
      <c r="G310" s="23">
        <v>1500</v>
      </c>
      <c r="H310" s="23">
        <v>1500</v>
      </c>
      <c r="I310" s="394">
        <v>5.0000000000000004E-6</v>
      </c>
      <c r="J310" s="394">
        <v>5.0000000000000004E-6</v>
      </c>
      <c r="K310" s="290">
        <v>1</v>
      </c>
      <c r="L310" s="291" t="s">
        <v>2619</v>
      </c>
      <c r="M310" s="23">
        <v>2015</v>
      </c>
      <c r="N310" s="23">
        <v>2100</v>
      </c>
      <c r="O310" s="292">
        <v>25</v>
      </c>
      <c r="P310" s="293">
        <v>2700</v>
      </c>
      <c r="Q310" s="294">
        <v>1</v>
      </c>
      <c r="R310" s="23"/>
      <c r="S310" s="148">
        <f t="shared" si="33"/>
        <v>2700</v>
      </c>
      <c r="T310" s="148">
        <f ca="1">IF(S310=0,"",S310*(OFFSET(cod_desembolso!$A$1,Q310,23)))</f>
        <v>2805.9223082615817</v>
      </c>
      <c r="U310" s="149">
        <f>(constantes!$B$3*(1+constantes!$B$3)^(O310))/((1+constantes!$B$3)^(O310)-1)</f>
        <v>9.3678779051968114E-2</v>
      </c>
      <c r="V310" s="148">
        <f t="shared" ca="1" si="34"/>
        <v>262.85537595262508</v>
      </c>
      <c r="W310" s="148">
        <f ca="1">(IF(S310=0,"",V310/constantes!$B$3))*1</f>
        <v>3285.6921994078134</v>
      </c>
      <c r="X310" s="150">
        <f ca="1">IF(S310=0,"",PV(constantes!$B$3,O310,-V310)*constantes!$B$3)</f>
        <v>224.47378466092658</v>
      </c>
      <c r="Y310" s="85">
        <f t="shared" si="35"/>
        <v>1800</v>
      </c>
      <c r="Z310">
        <v>319</v>
      </c>
    </row>
    <row r="311" spans="1:26">
      <c r="A311" s="290">
        <v>7320</v>
      </c>
      <c r="B311" s="23" t="str">
        <f t="shared" si="32"/>
        <v>SE-Imp_1500__kV_320</v>
      </c>
      <c r="C311" s="23">
        <v>805</v>
      </c>
      <c r="D311" s="142" t="str">
        <f>VLOOKUP(C311,tab_corredor!$A$2:$B$50,2,0)</f>
        <v>SE-Imp</v>
      </c>
      <c r="E311" s="23">
        <v>1500</v>
      </c>
      <c r="F311" s="23" t="s">
        <v>2671</v>
      </c>
      <c r="G311" s="23">
        <v>1500</v>
      </c>
      <c r="H311" s="23">
        <v>1500</v>
      </c>
      <c r="I311" s="394">
        <v>5.0000000000000004E-6</v>
      </c>
      <c r="J311" s="394">
        <v>5.0000000000000004E-6</v>
      </c>
      <c r="K311" s="290">
        <v>1</v>
      </c>
      <c r="L311" s="291" t="s">
        <v>2619</v>
      </c>
      <c r="M311" s="23">
        <v>2015</v>
      </c>
      <c r="N311" s="23">
        <v>2100</v>
      </c>
      <c r="O311" s="292">
        <v>25</v>
      </c>
      <c r="P311" s="293">
        <v>2700</v>
      </c>
      <c r="Q311" s="294">
        <v>1</v>
      </c>
      <c r="R311" s="23"/>
      <c r="S311" s="148">
        <f t="shared" si="33"/>
        <v>2700</v>
      </c>
      <c r="T311" s="148">
        <f ca="1">IF(S311=0,"",S311*(OFFSET(cod_desembolso!$A$1,Q311,23)))</f>
        <v>2805.9223082615817</v>
      </c>
      <c r="U311" s="149">
        <f>(constantes!$B$3*(1+constantes!$B$3)^(O311))/((1+constantes!$B$3)^(O311)-1)</f>
        <v>9.3678779051968114E-2</v>
      </c>
      <c r="V311" s="148">
        <f t="shared" ca="1" si="34"/>
        <v>262.85537595262508</v>
      </c>
      <c r="W311" s="148">
        <f ca="1">(IF(S311=0,"",V311/constantes!$B$3))*1</f>
        <v>3285.6921994078134</v>
      </c>
      <c r="X311" s="150">
        <f ca="1">IF(S311=0,"",PV(constantes!$B$3,O311,-V311)*constantes!$B$3)</f>
        <v>224.47378466092658</v>
      </c>
      <c r="Y311" s="85">
        <f t="shared" si="35"/>
        <v>1800</v>
      </c>
      <c r="Z311">
        <v>320</v>
      </c>
    </row>
    <row r="312" spans="1:26">
      <c r="A312" s="290">
        <v>7321</v>
      </c>
      <c r="B312" s="23" t="str">
        <f t="shared" si="32"/>
        <v>SE-Imp_1500__kV_321</v>
      </c>
      <c r="C312" s="23">
        <v>805</v>
      </c>
      <c r="D312" s="142" t="str">
        <f>VLOOKUP(C312,tab_corredor!$A$2:$B$50,2,0)</f>
        <v>SE-Imp</v>
      </c>
      <c r="E312" s="23">
        <v>1500</v>
      </c>
      <c r="F312" s="23" t="s">
        <v>2671</v>
      </c>
      <c r="G312" s="23">
        <v>1500</v>
      </c>
      <c r="H312" s="23">
        <v>1500</v>
      </c>
      <c r="I312" s="394">
        <v>5.0000000000000004E-6</v>
      </c>
      <c r="J312" s="394">
        <v>5.0000000000000004E-6</v>
      </c>
      <c r="K312" s="290">
        <v>1</v>
      </c>
      <c r="L312" s="291" t="s">
        <v>2619</v>
      </c>
      <c r="M312" s="23">
        <v>2015</v>
      </c>
      <c r="N312" s="23">
        <v>2100</v>
      </c>
      <c r="O312" s="292">
        <v>25</v>
      </c>
      <c r="P312" s="293">
        <v>2700</v>
      </c>
      <c r="Q312" s="294">
        <v>1</v>
      </c>
      <c r="R312" s="23"/>
      <c r="S312" s="148">
        <f t="shared" si="33"/>
        <v>2700</v>
      </c>
      <c r="T312" s="148">
        <f ca="1">IF(S312=0,"",S312*(OFFSET(cod_desembolso!$A$1,Q312,23)))</f>
        <v>2805.9223082615817</v>
      </c>
      <c r="U312" s="149">
        <f>(constantes!$B$3*(1+constantes!$B$3)^(O312))/((1+constantes!$B$3)^(O312)-1)</f>
        <v>9.3678779051968114E-2</v>
      </c>
      <c r="V312" s="148">
        <f t="shared" ca="1" si="34"/>
        <v>262.85537595262508</v>
      </c>
      <c r="W312" s="148">
        <f ca="1">(IF(S312=0,"",V312/constantes!$B$3))*1</f>
        <v>3285.6921994078134</v>
      </c>
      <c r="X312" s="150">
        <f ca="1">IF(S312=0,"",PV(constantes!$B$3,O312,-V312)*constantes!$B$3)</f>
        <v>224.47378466092658</v>
      </c>
      <c r="Y312" s="85">
        <f t="shared" si="35"/>
        <v>1800</v>
      </c>
      <c r="Z312">
        <v>321</v>
      </c>
    </row>
    <row r="313" spans="1:26">
      <c r="A313" s="290">
        <v>7322</v>
      </c>
      <c r="B313" s="23" t="str">
        <f t="shared" si="32"/>
        <v>SE-Imp_1500__kV_322</v>
      </c>
      <c r="C313" s="23">
        <v>805</v>
      </c>
      <c r="D313" s="142" t="str">
        <f>VLOOKUP(C313,tab_corredor!$A$2:$B$50,2,0)</f>
        <v>SE-Imp</v>
      </c>
      <c r="E313" s="23">
        <v>1500</v>
      </c>
      <c r="F313" s="23" t="s">
        <v>2671</v>
      </c>
      <c r="G313" s="23">
        <v>1500</v>
      </c>
      <c r="H313" s="23">
        <v>1500</v>
      </c>
      <c r="I313" s="394">
        <v>5.0000000000000004E-6</v>
      </c>
      <c r="J313" s="394">
        <v>5.0000000000000004E-6</v>
      </c>
      <c r="K313" s="290">
        <v>1</v>
      </c>
      <c r="L313" s="291" t="s">
        <v>2619</v>
      </c>
      <c r="M313" s="23">
        <v>2015</v>
      </c>
      <c r="N313" s="23">
        <v>2100</v>
      </c>
      <c r="O313" s="292">
        <v>25</v>
      </c>
      <c r="P313" s="293">
        <v>2700</v>
      </c>
      <c r="Q313" s="294">
        <v>1</v>
      </c>
      <c r="R313" s="23"/>
      <c r="S313" s="148">
        <f t="shared" si="33"/>
        <v>2700</v>
      </c>
      <c r="T313" s="148">
        <f ca="1">IF(S313=0,"",S313*(OFFSET(cod_desembolso!$A$1,Q313,23)))</f>
        <v>2805.9223082615817</v>
      </c>
      <c r="U313" s="149">
        <f>(constantes!$B$3*(1+constantes!$B$3)^(O313))/((1+constantes!$B$3)^(O313)-1)</f>
        <v>9.3678779051968114E-2</v>
      </c>
      <c r="V313" s="148">
        <f t="shared" ca="1" si="34"/>
        <v>262.85537595262508</v>
      </c>
      <c r="W313" s="148">
        <f ca="1">(IF(S313=0,"",V313/constantes!$B$3))*1</f>
        <v>3285.6921994078134</v>
      </c>
      <c r="X313" s="150">
        <f ca="1">IF(S313=0,"",PV(constantes!$B$3,O313,-V313)*constantes!$B$3)</f>
        <v>224.47378466092658</v>
      </c>
      <c r="Y313" s="85">
        <f t="shared" si="35"/>
        <v>1800</v>
      </c>
      <c r="Z313">
        <v>322</v>
      </c>
    </row>
    <row r="314" spans="1:26">
      <c r="A314" s="290">
        <v>7323</v>
      </c>
      <c r="B314" s="23" t="str">
        <f t="shared" si="32"/>
        <v>SE-Imp_1500__kV_323</v>
      </c>
      <c r="C314" s="23">
        <v>805</v>
      </c>
      <c r="D314" s="142" t="str">
        <f>VLOOKUP(C314,tab_corredor!$A$2:$B$50,2,0)</f>
        <v>SE-Imp</v>
      </c>
      <c r="E314" s="23">
        <v>1500</v>
      </c>
      <c r="F314" s="23" t="s">
        <v>2671</v>
      </c>
      <c r="G314" s="23">
        <v>1500</v>
      </c>
      <c r="H314" s="23">
        <v>1500</v>
      </c>
      <c r="I314" s="394">
        <v>5.0000000000000004E-6</v>
      </c>
      <c r="J314" s="394">
        <v>5.0000000000000004E-6</v>
      </c>
      <c r="K314" s="290">
        <v>1</v>
      </c>
      <c r="L314" s="291" t="s">
        <v>2619</v>
      </c>
      <c r="M314" s="23">
        <v>2015</v>
      </c>
      <c r="N314" s="23">
        <v>2100</v>
      </c>
      <c r="O314" s="292">
        <v>25</v>
      </c>
      <c r="P314" s="293">
        <v>2700</v>
      </c>
      <c r="Q314" s="294">
        <v>1</v>
      </c>
      <c r="R314" s="23"/>
      <c r="S314" s="148">
        <f t="shared" si="33"/>
        <v>2700</v>
      </c>
      <c r="T314" s="148">
        <f ca="1">IF(S314=0,"",S314*(OFFSET(cod_desembolso!$A$1,Q314,23)))</f>
        <v>2805.9223082615817</v>
      </c>
      <c r="U314" s="149">
        <f>(constantes!$B$3*(1+constantes!$B$3)^(O314))/((1+constantes!$B$3)^(O314)-1)</f>
        <v>9.3678779051968114E-2</v>
      </c>
      <c r="V314" s="148">
        <f t="shared" ca="1" si="34"/>
        <v>262.85537595262508</v>
      </c>
      <c r="W314" s="148">
        <f ca="1">(IF(S314=0,"",V314/constantes!$B$3))*1</f>
        <v>3285.6921994078134</v>
      </c>
      <c r="X314" s="150">
        <f ca="1">IF(S314=0,"",PV(constantes!$B$3,O314,-V314)*constantes!$B$3)</f>
        <v>224.47378466092658</v>
      </c>
      <c r="Y314" s="85">
        <f t="shared" si="35"/>
        <v>1800</v>
      </c>
      <c r="Z314">
        <v>323</v>
      </c>
    </row>
    <row r="315" spans="1:26">
      <c r="A315" s="290">
        <v>7324</v>
      </c>
      <c r="B315" s="23" t="str">
        <f t="shared" si="32"/>
        <v>SE-Imp_1500__kV_324</v>
      </c>
      <c r="C315" s="23">
        <v>805</v>
      </c>
      <c r="D315" s="142" t="str">
        <f>VLOOKUP(C315,tab_corredor!$A$2:$B$50,2,0)</f>
        <v>SE-Imp</v>
      </c>
      <c r="E315" s="23">
        <v>1500</v>
      </c>
      <c r="F315" s="23" t="s">
        <v>2671</v>
      </c>
      <c r="G315" s="23">
        <v>1500</v>
      </c>
      <c r="H315" s="23">
        <v>1500</v>
      </c>
      <c r="I315" s="394">
        <v>5.0000000000000004E-6</v>
      </c>
      <c r="J315" s="394">
        <v>5.0000000000000004E-6</v>
      </c>
      <c r="K315" s="290">
        <v>1</v>
      </c>
      <c r="L315" s="291" t="s">
        <v>2619</v>
      </c>
      <c r="M315" s="23">
        <v>2015</v>
      </c>
      <c r="N315" s="23">
        <v>2100</v>
      </c>
      <c r="O315" s="292">
        <v>25</v>
      </c>
      <c r="P315" s="293">
        <v>2700</v>
      </c>
      <c r="Q315" s="294">
        <v>1</v>
      </c>
      <c r="R315" s="23"/>
      <c r="S315" s="148">
        <f t="shared" si="33"/>
        <v>2700</v>
      </c>
      <c r="T315" s="148">
        <f ca="1">IF(S315=0,"",S315*(OFFSET(cod_desembolso!$A$1,Q315,23)))</f>
        <v>2805.9223082615817</v>
      </c>
      <c r="U315" s="149">
        <f>(constantes!$B$3*(1+constantes!$B$3)^(O315))/((1+constantes!$B$3)^(O315)-1)</f>
        <v>9.3678779051968114E-2</v>
      </c>
      <c r="V315" s="148">
        <f t="shared" ca="1" si="34"/>
        <v>262.85537595262508</v>
      </c>
      <c r="W315" s="148">
        <f ca="1">(IF(S315=0,"",V315/constantes!$B$3))*1</f>
        <v>3285.6921994078134</v>
      </c>
      <c r="X315" s="150">
        <f ca="1">IF(S315=0,"",PV(constantes!$B$3,O315,-V315)*constantes!$B$3)</f>
        <v>224.47378466092658</v>
      </c>
      <c r="Y315" s="85">
        <f t="shared" si="35"/>
        <v>1800</v>
      </c>
      <c r="Z315">
        <v>324</v>
      </c>
    </row>
    <row r="316" spans="1:26">
      <c r="A316" s="290">
        <v>7325</v>
      </c>
      <c r="B316" s="23" t="str">
        <f t="shared" si="32"/>
        <v>SE-Imp_1500__kV_325</v>
      </c>
      <c r="C316" s="23">
        <v>805</v>
      </c>
      <c r="D316" s="142" t="str">
        <f>VLOOKUP(C316,tab_corredor!$A$2:$B$50,2,0)</f>
        <v>SE-Imp</v>
      </c>
      <c r="E316" s="23">
        <v>1500</v>
      </c>
      <c r="F316" s="23" t="s">
        <v>2671</v>
      </c>
      <c r="G316" s="23">
        <v>1500</v>
      </c>
      <c r="H316" s="23">
        <v>1500</v>
      </c>
      <c r="I316" s="394">
        <v>5.0000000000000004E-6</v>
      </c>
      <c r="J316" s="394">
        <v>5.0000000000000004E-6</v>
      </c>
      <c r="K316" s="290">
        <v>1</v>
      </c>
      <c r="L316" s="291" t="s">
        <v>2619</v>
      </c>
      <c r="M316" s="23">
        <v>2015</v>
      </c>
      <c r="N316" s="23">
        <v>2100</v>
      </c>
      <c r="O316" s="292">
        <v>25</v>
      </c>
      <c r="P316" s="293">
        <v>2700</v>
      </c>
      <c r="Q316" s="294">
        <v>1</v>
      </c>
      <c r="R316" s="23"/>
      <c r="S316" s="148">
        <f t="shared" si="33"/>
        <v>2700</v>
      </c>
      <c r="T316" s="148">
        <f ca="1">IF(S316=0,"",S316*(OFFSET(cod_desembolso!$A$1,Q316,23)))</f>
        <v>2805.9223082615817</v>
      </c>
      <c r="U316" s="149">
        <f>(constantes!$B$3*(1+constantes!$B$3)^(O316))/((1+constantes!$B$3)^(O316)-1)</f>
        <v>9.3678779051968114E-2</v>
      </c>
      <c r="V316" s="148">
        <f t="shared" ca="1" si="34"/>
        <v>262.85537595262508</v>
      </c>
      <c r="W316" s="148">
        <f ca="1">(IF(S316=0,"",V316/constantes!$B$3))*1</f>
        <v>3285.6921994078134</v>
      </c>
      <c r="X316" s="150">
        <f ca="1">IF(S316=0,"",PV(constantes!$B$3,O316,-V316)*constantes!$B$3)</f>
        <v>224.47378466092658</v>
      </c>
      <c r="Y316" s="85">
        <f t="shared" si="35"/>
        <v>1800</v>
      </c>
      <c r="Z316">
        <v>325</v>
      </c>
    </row>
    <row r="317" spans="1:26">
      <c r="A317" s="290">
        <v>7326</v>
      </c>
      <c r="B317" s="23" t="str">
        <f t="shared" si="32"/>
        <v>SE-Imp_1500__kV_326</v>
      </c>
      <c r="C317" s="23">
        <v>805</v>
      </c>
      <c r="D317" s="142" t="str">
        <f>VLOOKUP(C317,tab_corredor!$A$2:$B$50,2,0)</f>
        <v>SE-Imp</v>
      </c>
      <c r="E317" s="23">
        <v>1500</v>
      </c>
      <c r="F317" s="23" t="s">
        <v>2671</v>
      </c>
      <c r="G317" s="23">
        <v>1500</v>
      </c>
      <c r="H317" s="23">
        <v>1500</v>
      </c>
      <c r="I317" s="394">
        <v>5.0000000000000004E-6</v>
      </c>
      <c r="J317" s="394">
        <v>5.0000000000000004E-6</v>
      </c>
      <c r="K317" s="290">
        <v>1</v>
      </c>
      <c r="L317" s="291" t="s">
        <v>2619</v>
      </c>
      <c r="M317" s="23">
        <v>2015</v>
      </c>
      <c r="N317" s="23">
        <v>2100</v>
      </c>
      <c r="O317" s="292">
        <v>25</v>
      </c>
      <c r="P317" s="293">
        <v>2700</v>
      </c>
      <c r="Q317" s="294">
        <v>1</v>
      </c>
      <c r="R317" s="23"/>
      <c r="S317" s="148">
        <f t="shared" si="33"/>
        <v>2700</v>
      </c>
      <c r="T317" s="148">
        <f ca="1">IF(S317=0,"",S317*(OFFSET(cod_desembolso!$A$1,Q317,23)))</f>
        <v>2805.9223082615817</v>
      </c>
      <c r="U317" s="149">
        <f>(constantes!$B$3*(1+constantes!$B$3)^(O317))/((1+constantes!$B$3)^(O317)-1)</f>
        <v>9.3678779051968114E-2</v>
      </c>
      <c r="V317" s="148">
        <f t="shared" ca="1" si="34"/>
        <v>262.85537595262508</v>
      </c>
      <c r="W317" s="148">
        <f ca="1">(IF(S317=0,"",V317/constantes!$B$3))*1</f>
        <v>3285.6921994078134</v>
      </c>
      <c r="X317" s="150">
        <f ca="1">IF(S317=0,"",PV(constantes!$B$3,O317,-V317)*constantes!$B$3)</f>
        <v>224.47378466092658</v>
      </c>
      <c r="Y317" s="85">
        <f t="shared" si="35"/>
        <v>1800</v>
      </c>
      <c r="Z317">
        <v>326</v>
      </c>
    </row>
    <row r="318" spans="1:26">
      <c r="A318" s="290">
        <v>7327</v>
      </c>
      <c r="B318" s="23" t="str">
        <f t="shared" si="32"/>
        <v>SE-Imp_1500__kV_327</v>
      </c>
      <c r="C318" s="23">
        <v>805</v>
      </c>
      <c r="D318" s="142" t="str">
        <f>VLOOKUP(C318,tab_corredor!$A$2:$B$50,2,0)</f>
        <v>SE-Imp</v>
      </c>
      <c r="E318" s="23">
        <v>1500</v>
      </c>
      <c r="F318" s="23" t="s">
        <v>2671</v>
      </c>
      <c r="G318" s="23">
        <v>1500</v>
      </c>
      <c r="H318" s="23">
        <v>1500</v>
      </c>
      <c r="I318" s="394">
        <v>5.0000000000000004E-6</v>
      </c>
      <c r="J318" s="394">
        <v>5.0000000000000004E-6</v>
      </c>
      <c r="K318" s="290">
        <v>1</v>
      </c>
      <c r="L318" s="291" t="s">
        <v>2619</v>
      </c>
      <c r="M318" s="23">
        <v>2015</v>
      </c>
      <c r="N318" s="23">
        <v>2100</v>
      </c>
      <c r="O318" s="292">
        <v>25</v>
      </c>
      <c r="P318" s="293">
        <v>2700</v>
      </c>
      <c r="Q318" s="294">
        <v>1</v>
      </c>
      <c r="R318" s="23"/>
      <c r="S318" s="148">
        <f t="shared" si="33"/>
        <v>2700</v>
      </c>
      <c r="T318" s="148">
        <f ca="1">IF(S318=0,"",S318*(OFFSET(cod_desembolso!$A$1,Q318,23)))</f>
        <v>2805.9223082615817</v>
      </c>
      <c r="U318" s="149">
        <f>(constantes!$B$3*(1+constantes!$B$3)^(O318))/((1+constantes!$B$3)^(O318)-1)</f>
        <v>9.3678779051968114E-2</v>
      </c>
      <c r="V318" s="148">
        <f t="shared" ca="1" si="34"/>
        <v>262.85537595262508</v>
      </c>
      <c r="W318" s="148">
        <f ca="1">(IF(S318=0,"",V318/constantes!$B$3))*1</f>
        <v>3285.6921994078134</v>
      </c>
      <c r="X318" s="150">
        <f ca="1">IF(S318=0,"",PV(constantes!$B$3,O318,-V318)*constantes!$B$3)</f>
        <v>224.47378466092658</v>
      </c>
      <c r="Y318" s="85">
        <f t="shared" si="35"/>
        <v>1800</v>
      </c>
      <c r="Z318">
        <v>327</v>
      </c>
    </row>
  </sheetData>
  <pageMargins left="0.511811024" right="0.511811024" top="0.78740157499999996" bottom="0.78740157499999996" header="0.31496062000000002" footer="0.31496062000000002"/>
  <legacy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Plan34"/>
  <dimension ref="A1:S77"/>
  <sheetViews>
    <sheetView topLeftCell="A42" workbookViewId="0">
      <selection activeCell="M35" sqref="M35"/>
    </sheetView>
  </sheetViews>
  <sheetFormatPr defaultRowHeight="12.75"/>
  <cols>
    <col min="2" max="6" width="13.85546875" customWidth="1"/>
  </cols>
  <sheetData>
    <row r="1" spans="1:19">
      <c r="A1" s="650" t="s">
        <v>2672</v>
      </c>
      <c r="B1" s="650"/>
      <c r="C1" s="650"/>
      <c r="D1" s="650"/>
      <c r="E1" s="650"/>
      <c r="F1" s="650"/>
      <c r="G1" s="650"/>
      <c r="H1" s="651" t="s">
        <v>2673</v>
      </c>
      <c r="I1" s="652"/>
      <c r="J1" s="652"/>
      <c r="K1" s="652"/>
      <c r="L1" s="652"/>
      <c r="M1" s="652"/>
      <c r="N1" s="652"/>
      <c r="O1" s="652"/>
      <c r="P1" s="652"/>
      <c r="Q1" s="652"/>
      <c r="R1" s="652"/>
      <c r="S1" s="653"/>
    </row>
    <row r="2" spans="1:19">
      <c r="A2" s="433" t="s">
        <v>2674</v>
      </c>
      <c r="B2" s="434" t="s">
        <v>1</v>
      </c>
      <c r="C2" s="434" t="s">
        <v>2675</v>
      </c>
      <c r="D2" s="434" t="s">
        <v>2676</v>
      </c>
      <c r="E2" s="434" t="s">
        <v>2677</v>
      </c>
      <c r="F2" s="435" t="s">
        <v>2678</v>
      </c>
      <c r="G2" s="434"/>
      <c r="H2" s="436">
        <v>1</v>
      </c>
      <c r="I2" s="436">
        <v>2</v>
      </c>
      <c r="J2" s="436">
        <v>3</v>
      </c>
      <c r="K2" s="436">
        <v>4</v>
      </c>
      <c r="L2" s="436">
        <v>5</v>
      </c>
      <c r="M2" s="436">
        <v>6</v>
      </c>
      <c r="N2" s="436">
        <v>7</v>
      </c>
      <c r="O2" s="436">
        <v>8</v>
      </c>
      <c r="P2" s="436">
        <v>9</v>
      </c>
      <c r="Q2" s="436">
        <v>10</v>
      </c>
      <c r="R2" s="436">
        <v>11</v>
      </c>
      <c r="S2" s="436">
        <v>12</v>
      </c>
    </row>
    <row r="3" spans="1:19">
      <c r="A3" s="437">
        <v>1</v>
      </c>
      <c r="B3" s="438" t="s">
        <v>23</v>
      </c>
      <c r="C3" s="439">
        <v>1</v>
      </c>
      <c r="D3" s="440">
        <v>53749.227096853974</v>
      </c>
      <c r="E3" s="441">
        <v>49</v>
      </c>
      <c r="F3" s="442"/>
      <c r="G3" s="443"/>
      <c r="H3" s="444">
        <v>3.5694695555675303E-2</v>
      </c>
      <c r="I3" s="444">
        <v>2.0451272263524452E-2</v>
      </c>
      <c r="J3" s="444">
        <v>5.9275301618096674E-2</v>
      </c>
      <c r="K3" s="444">
        <v>0.23251265823347814</v>
      </c>
      <c r="L3" s="444">
        <v>0.44005839537842051</v>
      </c>
      <c r="M3" s="444">
        <v>0.50816973282510847</v>
      </c>
      <c r="N3" s="444">
        <v>0.53638522577933201</v>
      </c>
      <c r="O3" s="444">
        <v>0.58743486775748166</v>
      </c>
      <c r="P3" s="444">
        <v>0.49190571239264402</v>
      </c>
      <c r="Q3" s="444">
        <v>0.47766916537433945</v>
      </c>
      <c r="R3" s="444">
        <v>0.36181261919563606</v>
      </c>
      <c r="S3" s="444">
        <v>0.19014658716640503</v>
      </c>
    </row>
    <row r="4" spans="1:19">
      <c r="A4" s="437">
        <v>2</v>
      </c>
      <c r="B4" s="438" t="s">
        <v>2679</v>
      </c>
      <c r="C4" s="439">
        <v>3</v>
      </c>
      <c r="D4" s="440">
        <v>48854.624457942067</v>
      </c>
      <c r="E4" s="441">
        <v>49</v>
      </c>
      <c r="F4" s="442"/>
      <c r="G4" s="443"/>
      <c r="H4" s="444">
        <v>0.2475</v>
      </c>
      <c r="I4" s="444">
        <v>0.245</v>
      </c>
      <c r="J4" s="444">
        <v>0.24</v>
      </c>
      <c r="K4" s="444">
        <v>0.2225</v>
      </c>
      <c r="L4" s="444">
        <v>0.24</v>
      </c>
      <c r="M4" s="444">
        <v>0.26500000000000001</v>
      </c>
      <c r="N4" s="444">
        <v>0.215</v>
      </c>
      <c r="O4" s="444">
        <v>0.25</v>
      </c>
      <c r="P4" s="444">
        <v>0.27500000000000002</v>
      </c>
      <c r="Q4" s="444">
        <v>0.27500000000000002</v>
      </c>
      <c r="R4" s="444">
        <v>0.26500000000000001</v>
      </c>
      <c r="S4" s="444">
        <v>0.25750000000000001</v>
      </c>
    </row>
    <row r="5" spans="1:19">
      <c r="A5" s="437">
        <v>3</v>
      </c>
      <c r="B5" s="438" t="s">
        <v>2680</v>
      </c>
      <c r="C5" s="439">
        <v>1</v>
      </c>
      <c r="D5" s="440">
        <v>48854.624457942067</v>
      </c>
      <c r="E5" s="445">
        <v>49</v>
      </c>
      <c r="F5" s="442"/>
      <c r="G5" s="443"/>
      <c r="H5" s="444">
        <v>0.2475</v>
      </c>
      <c r="I5" s="444">
        <v>0.26</v>
      </c>
      <c r="J5" s="444">
        <v>0.25</v>
      </c>
      <c r="K5" s="444">
        <v>0.2475</v>
      </c>
      <c r="L5" s="444">
        <v>0.25</v>
      </c>
      <c r="M5" s="444">
        <v>0.255</v>
      </c>
      <c r="N5" s="444">
        <v>0.22750000000000001</v>
      </c>
      <c r="O5" s="444">
        <v>0.25750000000000001</v>
      </c>
      <c r="P5" s="444">
        <v>0.25</v>
      </c>
      <c r="Q5" s="444">
        <v>0.2475</v>
      </c>
      <c r="R5" s="444">
        <v>0.255</v>
      </c>
      <c r="S5" s="444">
        <v>0.25</v>
      </c>
    </row>
    <row r="6" spans="1:19">
      <c r="A6" s="437">
        <v>4</v>
      </c>
      <c r="B6" s="438" t="s">
        <v>2681</v>
      </c>
      <c r="C6" s="439">
        <v>3</v>
      </c>
      <c r="D6" s="440">
        <v>22564180.258499257</v>
      </c>
      <c r="E6" s="445">
        <v>97</v>
      </c>
      <c r="F6" s="442"/>
      <c r="G6" s="443"/>
      <c r="H6" s="444">
        <v>0.2475</v>
      </c>
      <c r="I6" s="444">
        <v>0.245</v>
      </c>
      <c r="J6" s="444">
        <v>0.24</v>
      </c>
      <c r="K6" s="444">
        <v>0.2225</v>
      </c>
      <c r="L6" s="444">
        <v>0.24</v>
      </c>
      <c r="M6" s="444">
        <v>0.26500000000000001</v>
      </c>
      <c r="N6" s="444">
        <v>0.215</v>
      </c>
      <c r="O6" s="444">
        <v>0.25</v>
      </c>
      <c r="P6" s="444">
        <v>0.27500000000000002</v>
      </c>
      <c r="Q6" s="444">
        <v>0.27500000000000002</v>
      </c>
      <c r="R6" s="444">
        <v>0.26500000000000001</v>
      </c>
      <c r="S6" s="444">
        <v>0.25750000000000001</v>
      </c>
    </row>
    <row r="7" spans="1:19">
      <c r="A7" s="437">
        <v>5</v>
      </c>
      <c r="B7" s="438" t="s">
        <v>2682</v>
      </c>
      <c r="C7" s="439">
        <v>1</v>
      </c>
      <c r="D7" s="440">
        <v>22564180.258499257</v>
      </c>
      <c r="E7" s="445">
        <v>97</v>
      </c>
      <c r="F7" s="442"/>
      <c r="G7" s="443"/>
      <c r="H7" s="444">
        <v>0.2475</v>
      </c>
      <c r="I7" s="444">
        <v>0.26</v>
      </c>
      <c r="J7" s="444">
        <v>0.25</v>
      </c>
      <c r="K7" s="444">
        <v>0.2475</v>
      </c>
      <c r="L7" s="444">
        <v>0.25</v>
      </c>
      <c r="M7" s="444">
        <v>0.255</v>
      </c>
      <c r="N7" s="444">
        <v>0.22750000000000001</v>
      </c>
      <c r="O7" s="444">
        <v>0.25750000000000001</v>
      </c>
      <c r="P7" s="444">
        <v>0.25</v>
      </c>
      <c r="Q7" s="444">
        <v>0.2475</v>
      </c>
      <c r="R7" s="444">
        <v>0.255</v>
      </c>
      <c r="S7" s="444">
        <v>0.25</v>
      </c>
    </row>
    <row r="8" spans="1:19">
      <c r="A8" s="437">
        <v>6</v>
      </c>
      <c r="B8" s="438" t="s">
        <v>2683</v>
      </c>
      <c r="C8" s="439">
        <v>2</v>
      </c>
      <c r="D8" s="440">
        <v>66744.46646935161</v>
      </c>
      <c r="E8" s="445">
        <v>49</v>
      </c>
      <c r="F8" s="442"/>
      <c r="G8" s="443"/>
      <c r="H8" s="444">
        <v>0.38400000000000001</v>
      </c>
      <c r="I8" s="444">
        <v>0.36000000000000004</v>
      </c>
      <c r="J8" s="444">
        <v>0.36800000000000005</v>
      </c>
      <c r="K8" s="444">
        <v>0.32000000000000006</v>
      </c>
      <c r="L8" s="444">
        <v>0.37200000000000005</v>
      </c>
      <c r="M8" s="444">
        <v>0.40800000000000003</v>
      </c>
      <c r="N8" s="444">
        <v>0.42800000000000005</v>
      </c>
      <c r="O8" s="444">
        <v>0.45999999999999996</v>
      </c>
      <c r="P8" s="444">
        <v>0.45599999999999996</v>
      </c>
      <c r="Q8" s="444">
        <v>0.42000000000000004</v>
      </c>
      <c r="R8" s="444">
        <v>0.40800000000000003</v>
      </c>
      <c r="S8" s="444">
        <v>0.42000000000000004</v>
      </c>
    </row>
    <row r="9" spans="1:19">
      <c r="A9" s="437">
        <v>7</v>
      </c>
      <c r="B9" s="438" t="s">
        <v>2684</v>
      </c>
      <c r="C9" s="439">
        <v>3</v>
      </c>
      <c r="D9" s="440">
        <v>66744.46646935161</v>
      </c>
      <c r="E9" s="445">
        <v>49</v>
      </c>
      <c r="F9" s="442"/>
      <c r="G9" s="443"/>
      <c r="H9" s="444">
        <v>0.38539999999999996</v>
      </c>
      <c r="I9" s="444">
        <v>0.38539999999999996</v>
      </c>
      <c r="J9" s="444">
        <v>0.32429999999999998</v>
      </c>
      <c r="K9" s="444">
        <v>0.36659999999999998</v>
      </c>
      <c r="L9" s="444">
        <v>0.44649999999999995</v>
      </c>
      <c r="M9" s="444">
        <v>0.51700000000000002</v>
      </c>
      <c r="N9" s="444">
        <v>0.55929999999999991</v>
      </c>
      <c r="O9" s="444">
        <v>0.60160000000000002</v>
      </c>
      <c r="P9" s="444">
        <v>0.60629999999999995</v>
      </c>
      <c r="Q9" s="444">
        <v>0.54049999999999998</v>
      </c>
      <c r="R9" s="444">
        <v>0.49349999999999999</v>
      </c>
      <c r="S9" s="444">
        <v>0.41830000000000001</v>
      </c>
    </row>
    <row r="10" spans="1:19">
      <c r="A10" s="437"/>
      <c r="B10" s="438"/>
      <c r="C10" s="439"/>
      <c r="D10" s="440"/>
      <c r="E10" s="445"/>
      <c r="F10" s="442"/>
      <c r="G10" s="443"/>
      <c r="H10" s="446"/>
      <c r="I10" s="446"/>
      <c r="J10" s="446"/>
      <c r="K10" s="446"/>
      <c r="L10" s="446"/>
      <c r="M10" s="446"/>
      <c r="N10" s="446"/>
      <c r="O10" s="446"/>
      <c r="P10" s="446"/>
      <c r="Q10" s="446"/>
      <c r="R10" s="446"/>
      <c r="S10" s="446"/>
    </row>
    <row r="12" spans="1:19">
      <c r="B12" s="447" t="s">
        <v>2685</v>
      </c>
      <c r="C12" s="269" t="s">
        <v>2623</v>
      </c>
      <c r="D12" s="269" t="s">
        <v>2624</v>
      </c>
      <c r="E12" s="269" t="s">
        <v>2625</v>
      </c>
      <c r="F12" s="269" t="s">
        <v>2626</v>
      </c>
    </row>
    <row r="13" spans="1:19">
      <c r="B13" s="438" t="s">
        <v>23</v>
      </c>
      <c r="C13" s="448">
        <f>AVERAGE(H3:J3)</f>
        <v>3.8473756479098807E-2</v>
      </c>
      <c r="D13" s="448">
        <f>AVERAGE(K3:M3)</f>
        <v>0.39358026214566905</v>
      </c>
      <c r="E13" s="448">
        <f>AVERAGE(N3:P3)</f>
        <v>0.53857526864315253</v>
      </c>
      <c r="F13" s="448">
        <f>AVERAGE(Q3:S3)</f>
        <v>0.3432094572454602</v>
      </c>
    </row>
    <row r="14" spans="1:19" hidden="1">
      <c r="B14" s="438" t="s">
        <v>2679</v>
      </c>
      <c r="C14" s="448">
        <f t="shared" ref="C14:C19" si="0">AVERAGE(H4:J4)</f>
        <v>0.24416666666666664</v>
      </c>
      <c r="D14" s="448">
        <f t="shared" ref="D14:D19" si="1">AVERAGE(K4:M4)</f>
        <v>0.24250000000000002</v>
      </c>
      <c r="E14" s="448">
        <f t="shared" ref="E14:E19" si="2">AVERAGE(N4:P4)</f>
        <v>0.24666666666666667</v>
      </c>
      <c r="F14" s="448">
        <f t="shared" ref="F14:F18" si="3">AVERAGE(Q4:S4)</f>
        <v>0.26583333333333337</v>
      </c>
    </row>
    <row r="15" spans="1:19" hidden="1">
      <c r="B15" s="438" t="s">
        <v>2680</v>
      </c>
      <c r="C15" s="448">
        <f t="shared" si="0"/>
        <v>0.2525</v>
      </c>
      <c r="D15" s="448">
        <f t="shared" si="1"/>
        <v>0.2508333333333333</v>
      </c>
      <c r="E15" s="448">
        <f t="shared" si="2"/>
        <v>0.245</v>
      </c>
      <c r="F15" s="448">
        <f t="shared" si="3"/>
        <v>0.2508333333333333</v>
      </c>
    </row>
    <row r="16" spans="1:19" hidden="1">
      <c r="B16" s="438" t="s">
        <v>2681</v>
      </c>
      <c r="C16" s="448">
        <f t="shared" si="0"/>
        <v>0.24416666666666664</v>
      </c>
      <c r="D16" s="448">
        <f t="shared" si="1"/>
        <v>0.24250000000000002</v>
      </c>
      <c r="E16" s="448">
        <f t="shared" si="2"/>
        <v>0.24666666666666667</v>
      </c>
      <c r="F16" s="448">
        <f t="shared" si="3"/>
        <v>0.26583333333333337</v>
      </c>
    </row>
    <row r="17" spans="1:14" hidden="1">
      <c r="B17" s="438" t="s">
        <v>2682</v>
      </c>
      <c r="C17" s="448">
        <f t="shared" si="0"/>
        <v>0.2525</v>
      </c>
      <c r="D17" s="448">
        <f t="shared" si="1"/>
        <v>0.2508333333333333</v>
      </c>
      <c r="E17" s="448">
        <f t="shared" si="2"/>
        <v>0.245</v>
      </c>
      <c r="F17" s="448">
        <f t="shared" si="3"/>
        <v>0.2508333333333333</v>
      </c>
    </row>
    <row r="18" spans="1:14">
      <c r="B18" s="438" t="s">
        <v>2683</v>
      </c>
      <c r="C18" s="448">
        <f t="shared" si="0"/>
        <v>0.3706666666666667</v>
      </c>
      <c r="D18" s="448">
        <f t="shared" si="1"/>
        <v>0.3666666666666667</v>
      </c>
      <c r="E18" s="448">
        <f t="shared" si="2"/>
        <v>0.44799999999999995</v>
      </c>
      <c r="F18" s="448">
        <f t="shared" si="3"/>
        <v>0.41600000000000009</v>
      </c>
    </row>
    <row r="19" spans="1:14">
      <c r="B19" s="438" t="s">
        <v>2684</v>
      </c>
      <c r="C19" s="448">
        <f t="shared" si="0"/>
        <v>0.36503333333333332</v>
      </c>
      <c r="D19" s="448">
        <f t="shared" si="1"/>
        <v>0.44336666666666663</v>
      </c>
      <c r="E19" s="448">
        <f t="shared" si="2"/>
        <v>0.58906666666666663</v>
      </c>
      <c r="F19" s="448">
        <f>AVERAGE(Q9:S9)</f>
        <v>0.48410000000000003</v>
      </c>
    </row>
    <row r="22" spans="1:14">
      <c r="A22" s="449" t="s">
        <v>2686</v>
      </c>
      <c r="B22" s="449"/>
      <c r="C22" s="449"/>
      <c r="D22" s="449"/>
      <c r="E22" s="449"/>
      <c r="F22" s="449"/>
      <c r="G22" s="449"/>
      <c r="H22" s="449"/>
      <c r="I22" s="449"/>
      <c r="J22" s="449"/>
      <c r="K22" s="449"/>
      <c r="L22" s="449"/>
      <c r="M22" s="449"/>
    </row>
    <row r="23" spans="1:14">
      <c r="A23" s="450" t="s">
        <v>2675</v>
      </c>
      <c r="B23" s="450" t="s">
        <v>2687</v>
      </c>
      <c r="C23" s="450" t="s">
        <v>2688</v>
      </c>
      <c r="D23" s="450" t="s">
        <v>2689</v>
      </c>
      <c r="E23" s="450" t="s">
        <v>2690</v>
      </c>
      <c r="F23" s="450" t="s">
        <v>2691</v>
      </c>
      <c r="G23" s="450" t="s">
        <v>2692</v>
      </c>
      <c r="H23" s="450" t="s">
        <v>2693</v>
      </c>
      <c r="I23" s="450" t="s">
        <v>2694</v>
      </c>
      <c r="J23" s="450" t="s">
        <v>2695</v>
      </c>
      <c r="K23" s="450" t="s">
        <v>2696</v>
      </c>
      <c r="L23" s="450" t="s">
        <v>2697</v>
      </c>
      <c r="M23" s="450" t="s">
        <v>2698</v>
      </c>
      <c r="N23" s="467" t="s">
        <v>2699</v>
      </c>
    </row>
    <row r="24" spans="1:14">
      <c r="A24" s="451">
        <v>1</v>
      </c>
      <c r="B24" s="452">
        <v>0.85799999999999998</v>
      </c>
      <c r="C24" s="452">
        <v>0.876</v>
      </c>
      <c r="D24" s="452">
        <v>0.89600000000000002</v>
      </c>
      <c r="E24" s="452">
        <v>0.90100000000000002</v>
      </c>
      <c r="F24" s="452">
        <v>0.90600000000000003</v>
      </c>
      <c r="G24" s="452">
        <v>0.90600000000000003</v>
      </c>
      <c r="H24" s="452">
        <v>0.89700000000000002</v>
      </c>
      <c r="I24" s="452">
        <v>0.88400000000000001</v>
      </c>
      <c r="J24" s="452">
        <v>0.87</v>
      </c>
      <c r="K24" s="452">
        <v>0.86</v>
      </c>
      <c r="L24" s="452">
        <v>0.85799999999999998</v>
      </c>
      <c r="M24" s="452">
        <v>0.85699999999999998</v>
      </c>
    </row>
    <row r="25" spans="1:14">
      <c r="A25" s="451">
        <v>2</v>
      </c>
      <c r="B25" s="452">
        <v>0.89500000000000002</v>
      </c>
      <c r="C25" s="452">
        <v>0.88400000000000001</v>
      </c>
      <c r="D25" s="452">
        <v>0.88500000000000001</v>
      </c>
      <c r="E25" s="452">
        <v>0.88100000000000001</v>
      </c>
      <c r="F25" s="452">
        <v>0.88700000000000001</v>
      </c>
      <c r="G25" s="452">
        <v>0.89900000000000002</v>
      </c>
      <c r="H25" s="452">
        <v>0.89400000000000002</v>
      </c>
      <c r="I25" s="452">
        <v>0.90100000000000002</v>
      </c>
      <c r="J25" s="452">
        <v>0.89900000000000002</v>
      </c>
      <c r="K25" s="452">
        <v>0.90300000000000002</v>
      </c>
      <c r="L25" s="452">
        <v>0.9</v>
      </c>
      <c r="M25" s="452">
        <v>0.89700000000000002</v>
      </c>
    </row>
    <row r="26" spans="1:14">
      <c r="A26" s="451">
        <v>3</v>
      </c>
      <c r="B26" s="452">
        <v>0.86</v>
      </c>
      <c r="C26" s="452">
        <v>0.86399999999999999</v>
      </c>
      <c r="D26" s="452">
        <v>0.86399999999999999</v>
      </c>
      <c r="E26" s="452">
        <v>0.86399999999999999</v>
      </c>
      <c r="F26" s="452">
        <v>0.86399999999999999</v>
      </c>
      <c r="G26" s="452">
        <v>0.86399999999999999</v>
      </c>
      <c r="H26" s="452">
        <v>0.86399999999999999</v>
      </c>
      <c r="I26" s="452">
        <v>0.85899999999999999</v>
      </c>
      <c r="J26" s="452">
        <v>0.85499999999999998</v>
      </c>
      <c r="K26" s="452">
        <v>0.85</v>
      </c>
      <c r="L26" s="452">
        <v>0.85</v>
      </c>
      <c r="M26" s="452">
        <v>0.85199999999999998</v>
      </c>
    </row>
    <row r="27" spans="1:14">
      <c r="A27" s="451">
        <v>4</v>
      </c>
      <c r="B27" s="466">
        <v>0.53</v>
      </c>
      <c r="C27" s="466">
        <v>0.74199999999999999</v>
      </c>
      <c r="D27" s="466">
        <v>0.82499999999999996</v>
      </c>
      <c r="E27" s="466">
        <v>0.877</v>
      </c>
      <c r="F27" s="466">
        <v>0.90100000000000002</v>
      </c>
      <c r="G27" s="466">
        <v>0.91800000000000004</v>
      </c>
      <c r="H27" s="466">
        <v>0.91800000000000004</v>
      </c>
      <c r="I27" s="466">
        <v>0.88400000000000001</v>
      </c>
      <c r="J27" s="466">
        <v>0.47099999999999997</v>
      </c>
      <c r="K27" s="466">
        <v>0.53</v>
      </c>
      <c r="L27" s="466">
        <v>0.53</v>
      </c>
      <c r="M27" s="466">
        <v>0.53</v>
      </c>
    </row>
    <row r="28" spans="1:14">
      <c r="A28" s="451">
        <v>5</v>
      </c>
      <c r="B28" s="452">
        <v>0.69399999999999995</v>
      </c>
      <c r="C28" s="452">
        <v>0.69899999999999995</v>
      </c>
      <c r="D28" s="452">
        <v>0.71399999999999997</v>
      </c>
      <c r="E28" s="452">
        <v>0.746</v>
      </c>
      <c r="F28" s="452">
        <v>0.76200000000000001</v>
      </c>
      <c r="G28" s="452">
        <v>0.75600000000000001</v>
      </c>
      <c r="H28" s="452">
        <v>0.75600000000000001</v>
      </c>
      <c r="I28" s="452">
        <v>0.746</v>
      </c>
      <c r="J28" s="452">
        <v>0.74299999999999999</v>
      </c>
      <c r="K28" s="452">
        <v>0.73799999999999999</v>
      </c>
      <c r="L28" s="452">
        <v>0.73699999999999999</v>
      </c>
      <c r="M28" s="452">
        <v>0.73699999999999999</v>
      </c>
    </row>
    <row r="29" spans="1:14">
      <c r="A29" s="451">
        <v>6</v>
      </c>
      <c r="B29" s="452">
        <v>0.76900000000000002</v>
      </c>
      <c r="C29" s="452">
        <v>0.98199999999999998</v>
      </c>
      <c r="D29" s="452">
        <v>0.98799999999999999</v>
      </c>
      <c r="E29" s="452">
        <v>0.438</v>
      </c>
      <c r="F29" s="452">
        <v>0.13600000000000001</v>
      </c>
      <c r="G29" s="452">
        <v>0.58799999999999997</v>
      </c>
      <c r="H29" s="452">
        <v>0.374</v>
      </c>
      <c r="I29" s="452">
        <v>0.217</v>
      </c>
      <c r="J29" s="452">
        <v>0.14699999999999999</v>
      </c>
      <c r="K29" s="452">
        <v>0.17499999999999999</v>
      </c>
      <c r="L29" s="452">
        <v>0.26300000000000001</v>
      </c>
      <c r="M29" s="452">
        <v>0.501</v>
      </c>
    </row>
    <row r="30" spans="1:14">
      <c r="A30" s="451">
        <v>7</v>
      </c>
      <c r="B30" s="452">
        <v>0.90300000000000002</v>
      </c>
      <c r="C30" s="452">
        <v>0.88500000000000001</v>
      </c>
      <c r="D30" s="452">
        <v>0.88700000000000001</v>
      </c>
      <c r="E30" s="452">
        <v>0.89300000000000002</v>
      </c>
      <c r="F30" s="452">
        <v>0.90300000000000002</v>
      </c>
      <c r="G30" s="452">
        <v>0.90900000000000003</v>
      </c>
      <c r="H30" s="452">
        <v>0.90900000000000003</v>
      </c>
      <c r="I30" s="452">
        <v>0.90900000000000003</v>
      </c>
      <c r="J30" s="452">
        <v>0.90700000000000003</v>
      </c>
      <c r="K30" s="452">
        <v>0.90100000000000002</v>
      </c>
      <c r="L30" s="452" t="s">
        <v>2700</v>
      </c>
      <c r="M30" s="452">
        <v>0.89</v>
      </c>
    </row>
    <row r="31" spans="1:14">
      <c r="A31" s="451">
        <v>8</v>
      </c>
      <c r="B31" s="466">
        <v>0.16600000000000001</v>
      </c>
      <c r="C31" s="466">
        <v>0.16300000000000001</v>
      </c>
      <c r="D31" s="466">
        <v>0.156</v>
      </c>
      <c r="E31" s="466">
        <v>0</v>
      </c>
      <c r="F31" s="466">
        <v>0</v>
      </c>
      <c r="G31" s="466">
        <v>0.216</v>
      </c>
      <c r="H31" s="466">
        <v>8.5999999999999993E-2</v>
      </c>
      <c r="I31" s="466">
        <v>2.4E-2</v>
      </c>
      <c r="J31" s="466">
        <v>3.0000000000000001E-3</v>
      </c>
      <c r="K31" s="466">
        <v>0</v>
      </c>
      <c r="L31" s="466">
        <v>3.5000000000000003E-2</v>
      </c>
      <c r="M31" s="466">
        <v>0.111</v>
      </c>
    </row>
    <row r="32" spans="1:14">
      <c r="A32" s="451">
        <v>9</v>
      </c>
      <c r="B32" s="452">
        <v>0.89600000000000002</v>
      </c>
      <c r="C32" s="452">
        <v>0.89800000000000002</v>
      </c>
      <c r="D32" s="452">
        <v>0.89900000000000002</v>
      </c>
      <c r="E32" s="452">
        <v>0.89600000000000002</v>
      </c>
      <c r="F32" s="452">
        <v>0.218</v>
      </c>
      <c r="G32" s="452">
        <v>0.93100000000000005</v>
      </c>
      <c r="H32" s="452">
        <v>8.1000000000000003E-2</v>
      </c>
      <c r="I32" s="452">
        <v>0.93</v>
      </c>
      <c r="J32" s="452">
        <v>0.93100000000000005</v>
      </c>
      <c r="K32" s="452">
        <v>0.92900000000000005</v>
      </c>
      <c r="L32" s="452">
        <v>0.46899999999999997</v>
      </c>
      <c r="M32" s="452">
        <v>0.876</v>
      </c>
    </row>
    <row r="33" spans="1:16">
      <c r="A33" s="451">
        <v>10</v>
      </c>
      <c r="B33" s="452">
        <v>0.85799999999999998</v>
      </c>
      <c r="C33" s="452">
        <v>0.876</v>
      </c>
      <c r="D33" s="452">
        <v>0.89600000000000002</v>
      </c>
      <c r="E33" s="452">
        <v>0.90100000000000002</v>
      </c>
      <c r="F33" s="452">
        <v>0.90600000000000003</v>
      </c>
      <c r="G33" s="452">
        <v>0.90600000000000003</v>
      </c>
      <c r="H33" s="452">
        <v>0.89700000000000002</v>
      </c>
      <c r="I33" s="452">
        <v>0.88400000000000001</v>
      </c>
      <c r="J33" s="452">
        <v>0.87</v>
      </c>
      <c r="K33" s="452">
        <v>0.86</v>
      </c>
      <c r="L33" s="452">
        <v>0.85799999999999998</v>
      </c>
      <c r="M33" s="452">
        <v>0.85699999999999998</v>
      </c>
    </row>
    <row r="34" spans="1:16">
      <c r="A34" s="451">
        <v>11</v>
      </c>
      <c r="B34" s="452">
        <v>0.89600000000000002</v>
      </c>
      <c r="C34" s="452">
        <v>0.89800000000000002</v>
      </c>
      <c r="D34" s="452">
        <v>0.89900000000000002</v>
      </c>
      <c r="E34" s="452">
        <v>0.89600000000000002</v>
      </c>
      <c r="F34" s="452">
        <v>0.218</v>
      </c>
      <c r="G34" s="452">
        <v>0.93100000000000005</v>
      </c>
      <c r="H34" s="452">
        <v>8.1000000000000003E-2</v>
      </c>
      <c r="I34" s="452">
        <v>0.93</v>
      </c>
      <c r="J34" s="452">
        <v>0.93100000000000005</v>
      </c>
      <c r="K34" s="452">
        <v>0.92900000000000005</v>
      </c>
      <c r="L34" s="452">
        <v>0.46899999999999997</v>
      </c>
      <c r="M34" s="452">
        <v>0.876</v>
      </c>
    </row>
    <row r="35" spans="1:16">
      <c r="A35" s="451">
        <v>100</v>
      </c>
      <c r="B35" s="452">
        <v>0.85599999999999998</v>
      </c>
      <c r="C35" s="452">
        <v>0.873</v>
      </c>
      <c r="D35" s="452">
        <v>0.89300000000000002</v>
      </c>
      <c r="E35" s="452">
        <v>0.90200000000000002</v>
      </c>
      <c r="F35" s="452">
        <v>0.90600000000000003</v>
      </c>
      <c r="G35" s="452">
        <v>0.90600000000000003</v>
      </c>
      <c r="H35" s="452">
        <v>0.89700000000000002</v>
      </c>
      <c r="I35" s="452">
        <v>0.88300000000000001</v>
      </c>
      <c r="J35" s="452">
        <v>0.86799999999999999</v>
      </c>
      <c r="K35" s="452">
        <v>0.86099999999999999</v>
      </c>
      <c r="L35" s="452">
        <v>0.85299999999999998</v>
      </c>
      <c r="M35" s="452">
        <v>0.85699999999999998</v>
      </c>
    </row>
    <row r="36" spans="1:16">
      <c r="A36" s="451">
        <v>200</v>
      </c>
      <c r="B36" s="452">
        <v>0.85599999999999998</v>
      </c>
      <c r="C36" s="452">
        <v>0.873</v>
      </c>
      <c r="D36" s="452">
        <v>0.89300000000000002</v>
      </c>
      <c r="E36" s="452">
        <v>0.90200000000000002</v>
      </c>
      <c r="F36" s="452">
        <v>0.90600000000000003</v>
      </c>
      <c r="G36" s="452">
        <v>0.90600000000000003</v>
      </c>
      <c r="H36" s="452">
        <v>0.89700000000000002</v>
      </c>
      <c r="I36" s="452">
        <v>0.88300000000000001</v>
      </c>
      <c r="J36" s="452">
        <v>0.86799999999999999</v>
      </c>
      <c r="K36" s="452">
        <v>0.86099999999999999</v>
      </c>
      <c r="L36" s="452">
        <v>0.85299999999999998</v>
      </c>
      <c r="M36" s="452">
        <v>0.85699999999999998</v>
      </c>
    </row>
    <row r="37" spans="1:16">
      <c r="A37" s="451">
        <v>300</v>
      </c>
      <c r="B37" s="452">
        <v>0.85599999999999998</v>
      </c>
      <c r="C37" s="452">
        <v>0.873</v>
      </c>
      <c r="D37" s="452">
        <v>0.89300000000000002</v>
      </c>
      <c r="E37" s="452">
        <v>0.90200000000000002</v>
      </c>
      <c r="F37" s="452">
        <v>0.90600000000000003</v>
      </c>
      <c r="G37" s="452">
        <v>0.90600000000000003</v>
      </c>
      <c r="H37" s="452">
        <v>0.89700000000000002</v>
      </c>
      <c r="I37" s="452">
        <v>0.88300000000000001</v>
      </c>
      <c r="J37" s="452">
        <v>0.86799999999999999</v>
      </c>
      <c r="K37" s="452">
        <v>0.86099999999999999</v>
      </c>
      <c r="L37" s="452">
        <v>0.85299999999999998</v>
      </c>
      <c r="M37" s="452">
        <v>0.85699999999999998</v>
      </c>
    </row>
    <row r="38" spans="1:16">
      <c r="A38" s="453"/>
      <c r="B38" s="453"/>
      <c r="C38" s="454"/>
      <c r="D38" s="453"/>
      <c r="E38" s="453"/>
      <c r="F38" s="449"/>
      <c r="G38" s="453"/>
      <c r="H38" s="453"/>
      <c r="I38" s="454"/>
      <c r="J38" s="453"/>
      <c r="K38" s="453"/>
      <c r="L38" s="449"/>
      <c r="M38" s="449"/>
    </row>
    <row r="39" spans="1:16">
      <c r="A39" s="449" t="s">
        <v>2701</v>
      </c>
      <c r="B39" s="449"/>
      <c r="C39" s="449"/>
      <c r="D39" s="449"/>
      <c r="E39" s="449"/>
      <c r="F39" s="449"/>
      <c r="G39" s="449"/>
      <c r="H39" s="449"/>
      <c r="I39" s="449"/>
      <c r="J39" s="449"/>
      <c r="K39" s="449"/>
      <c r="L39" s="449"/>
      <c r="M39" s="449"/>
    </row>
    <row r="40" spans="1:16">
      <c r="A40" s="450" t="s">
        <v>2675</v>
      </c>
      <c r="B40" s="450" t="s">
        <v>2687</v>
      </c>
      <c r="C40" s="450" t="s">
        <v>2688</v>
      </c>
      <c r="D40" s="450" t="s">
        <v>2689</v>
      </c>
      <c r="E40" s="450" t="s">
        <v>2690</v>
      </c>
      <c r="F40" s="450" t="s">
        <v>2691</v>
      </c>
      <c r="G40" s="450" t="s">
        <v>2692</v>
      </c>
      <c r="H40" s="450" t="s">
        <v>2693</v>
      </c>
      <c r="I40" s="450" t="s">
        <v>2694</v>
      </c>
      <c r="J40" s="450" t="s">
        <v>2695</v>
      </c>
      <c r="K40" s="450" t="s">
        <v>2696</v>
      </c>
      <c r="L40" s="450" t="s">
        <v>2697</v>
      </c>
      <c r="M40" s="450" t="s">
        <v>2698</v>
      </c>
    </row>
    <row r="41" spans="1:16">
      <c r="A41" s="451">
        <v>2</v>
      </c>
      <c r="B41" s="455">
        <v>0.05</v>
      </c>
      <c r="C41" s="455">
        <v>0.04</v>
      </c>
      <c r="D41" s="455">
        <v>0.12</v>
      </c>
      <c r="E41" s="455">
        <v>0.05</v>
      </c>
      <c r="F41" s="455">
        <v>0.03</v>
      </c>
      <c r="G41" s="455">
        <v>0.03</v>
      </c>
      <c r="H41" s="455">
        <v>0.05</v>
      </c>
      <c r="I41" s="455">
        <v>0.04</v>
      </c>
      <c r="J41" s="455">
        <v>0.1</v>
      </c>
      <c r="K41" s="455">
        <v>0.12</v>
      </c>
      <c r="L41" s="455">
        <v>7.0000000000000007E-2</v>
      </c>
      <c r="M41" s="455">
        <v>0.06</v>
      </c>
    </row>
    <row r="42" spans="1:16">
      <c r="A42" s="451">
        <v>3</v>
      </c>
      <c r="B42" s="455">
        <v>0.34</v>
      </c>
      <c r="C42" s="455">
        <v>0.2</v>
      </c>
      <c r="D42" s="455">
        <v>0.09</v>
      </c>
      <c r="E42" s="455">
        <v>0.11</v>
      </c>
      <c r="F42" s="455">
        <v>0.15</v>
      </c>
      <c r="G42" s="455">
        <v>0.26</v>
      </c>
      <c r="H42" s="455">
        <v>0.31</v>
      </c>
      <c r="I42" s="455">
        <v>0.42</v>
      </c>
      <c r="J42" s="455">
        <v>0.32</v>
      </c>
      <c r="K42" s="455">
        <v>0.44</v>
      </c>
      <c r="L42" s="455">
        <v>0.27</v>
      </c>
      <c r="M42" s="455">
        <v>0.23</v>
      </c>
    </row>
    <row r="44" spans="1:16">
      <c r="C44" s="350" t="s">
        <v>2702</v>
      </c>
      <c r="D44" s="350"/>
      <c r="E44" s="350"/>
      <c r="F44" s="350"/>
      <c r="H44" s="350" t="s">
        <v>2703</v>
      </c>
      <c r="I44" s="350"/>
      <c r="J44" s="350"/>
      <c r="K44" s="350"/>
    </row>
    <row r="45" spans="1:16">
      <c r="B45" s="447" t="s">
        <v>2704</v>
      </c>
      <c r="C45" s="269" t="s">
        <v>2623</v>
      </c>
      <c r="D45" s="269" t="s">
        <v>2624</v>
      </c>
      <c r="E45" s="269" t="s">
        <v>2625</v>
      </c>
      <c r="F45" s="269" t="s">
        <v>2626</v>
      </c>
      <c r="H45" s="269" t="s">
        <v>2623</v>
      </c>
      <c r="I45" s="269" t="s">
        <v>2624</v>
      </c>
      <c r="J45" s="269" t="s">
        <v>2625</v>
      </c>
      <c r="K45" s="269" t="s">
        <v>2626</v>
      </c>
    </row>
    <row r="46" spans="1:16">
      <c r="B46" s="438" t="s">
        <v>2683</v>
      </c>
      <c r="C46" s="457">
        <f>AVERAGE(B41:D41)</f>
        <v>6.9999999999999993E-2</v>
      </c>
      <c r="D46" s="457">
        <f>AVERAGE(E41:G41)</f>
        <v>3.6666666666666667E-2</v>
      </c>
      <c r="E46" s="457">
        <f>AVERAGE(H41:J41)</f>
        <v>6.3333333333333339E-2</v>
      </c>
      <c r="F46" s="457">
        <f>AVERAGE(K41:M41)</f>
        <v>8.3333333333333329E-2</v>
      </c>
      <c r="G46" s="457"/>
      <c r="H46" s="457">
        <f>MIN(B41:D41)</f>
        <v>0.04</v>
      </c>
      <c r="I46" s="457">
        <f>MIN(E41:G41)</f>
        <v>0.03</v>
      </c>
      <c r="J46" s="457">
        <f>MIN(H41:J41)</f>
        <v>0.04</v>
      </c>
      <c r="K46" s="457">
        <f>MIN(K41:M41)</f>
        <v>0.06</v>
      </c>
      <c r="M46" s="456">
        <f t="shared" ref="M46:P47" si="4">C46-H46</f>
        <v>2.9999999999999992E-2</v>
      </c>
      <c r="N46" s="456">
        <f t="shared" si="4"/>
        <v>6.666666666666668E-3</v>
      </c>
      <c r="O46" s="456">
        <f t="shared" si="4"/>
        <v>2.3333333333333338E-2</v>
      </c>
      <c r="P46" s="456">
        <f t="shared" si="4"/>
        <v>2.3333333333333331E-2</v>
      </c>
    </row>
    <row r="47" spans="1:16">
      <c r="B47" s="438" t="s">
        <v>2684</v>
      </c>
      <c r="C47" s="457">
        <f>AVERAGE(B42:D42)</f>
        <v>0.21</v>
      </c>
      <c r="D47" s="457">
        <f>AVERAGE(E42:G42)</f>
        <v>0.17333333333333334</v>
      </c>
      <c r="E47" s="457">
        <f>AVERAGE(H42:J42)</f>
        <v>0.35000000000000003</v>
      </c>
      <c r="F47" s="457">
        <f>AVERAGE(K42:M42)</f>
        <v>0.3133333333333333</v>
      </c>
      <c r="G47" s="457"/>
      <c r="H47" s="457">
        <f>MIN(B42:D42)</f>
        <v>0.09</v>
      </c>
      <c r="I47" s="457">
        <f>MIN(E42:G42)</f>
        <v>0.11</v>
      </c>
      <c r="J47" s="457">
        <f>MIN(H42:J42)</f>
        <v>0.31</v>
      </c>
      <c r="K47" s="457">
        <f>MIN(K42:M42)</f>
        <v>0.23</v>
      </c>
      <c r="M47" s="456">
        <f t="shared" si="4"/>
        <v>0.12</v>
      </c>
      <c r="N47" s="456">
        <f t="shared" si="4"/>
        <v>6.3333333333333339E-2</v>
      </c>
      <c r="O47" s="456">
        <f t="shared" si="4"/>
        <v>4.0000000000000036E-2</v>
      </c>
      <c r="P47" s="456">
        <f t="shared" si="4"/>
        <v>8.3333333333333287E-2</v>
      </c>
    </row>
    <row r="50" spans="1:12" ht="13.5" thickBot="1">
      <c r="A50" s="458" t="s">
        <v>136</v>
      </c>
      <c r="B50" s="458" t="s">
        <v>2571</v>
      </c>
      <c r="C50" s="459" t="s">
        <v>2628</v>
      </c>
      <c r="D50" s="459" t="s">
        <v>2629</v>
      </c>
      <c r="E50" s="459" t="s">
        <v>2630</v>
      </c>
      <c r="F50" s="459" t="s">
        <v>2631</v>
      </c>
    </row>
    <row r="51" spans="1:12" ht="13.5" thickTop="1">
      <c r="A51" s="127">
        <v>1</v>
      </c>
      <c r="B51" s="124" t="s">
        <v>2572</v>
      </c>
      <c r="C51" s="153">
        <f>AVERAGE($B24:$D24)</f>
        <v>0.87666666666666659</v>
      </c>
      <c r="D51" s="153">
        <f>AVERAGE($E24:$G24)</f>
        <v>0.90433333333333332</v>
      </c>
      <c r="E51" s="153">
        <f>AVERAGE($H24:$J24)</f>
        <v>0.88366666666666671</v>
      </c>
      <c r="F51" s="153">
        <f>AVERAGE($K24:$M24)</f>
        <v>0.85833333333333339</v>
      </c>
    </row>
    <row r="52" spans="1:12">
      <c r="A52" s="127">
        <v>2</v>
      </c>
      <c r="B52" s="124" t="s">
        <v>64</v>
      </c>
      <c r="C52" s="153">
        <f>AVERAGE($B25:$D25)</f>
        <v>0.8879999999999999</v>
      </c>
      <c r="D52" s="153">
        <f>AVERAGE($E25:$G25)</f>
        <v>0.8889999999999999</v>
      </c>
      <c r="E52" s="153">
        <f>AVERAGE($H25:$J25)</f>
        <v>0.89800000000000002</v>
      </c>
      <c r="F52" s="153">
        <f>AVERAGE($K25:$M25)</f>
        <v>0.9</v>
      </c>
    </row>
    <row r="53" spans="1:12">
      <c r="A53" s="127">
        <v>3</v>
      </c>
      <c r="B53" s="124" t="s">
        <v>65</v>
      </c>
      <c r="C53" s="153">
        <f>AVERAGE($B26:$D26)</f>
        <v>0.86266666666666669</v>
      </c>
      <c r="D53" s="153">
        <f>AVERAGE($E26:$G26)</f>
        <v>0.86399999999999999</v>
      </c>
      <c r="E53" s="153">
        <f>AVERAGE($H26:$J26)</f>
        <v>0.85933333333333328</v>
      </c>
      <c r="F53" s="153">
        <f>AVERAGE($K26:$M26)</f>
        <v>0.85066666666666668</v>
      </c>
    </row>
    <row r="54" spans="1:12">
      <c r="A54" s="463">
        <v>4</v>
      </c>
      <c r="B54" s="464" t="s">
        <v>66</v>
      </c>
      <c r="C54" s="465">
        <f>AVERAGE($B27:$D27)</f>
        <v>0.69899999999999995</v>
      </c>
      <c r="D54" s="465">
        <f>AVERAGE($E27:$G27)</f>
        <v>0.89866666666666672</v>
      </c>
      <c r="E54" s="465">
        <f>AVERAGE($H27:$J27)</f>
        <v>0.75766666666666671</v>
      </c>
      <c r="F54" s="465">
        <f>AVERAGE($K27:$M27)</f>
        <v>0.53</v>
      </c>
    </row>
    <row r="55" spans="1:12">
      <c r="A55" s="127">
        <v>5</v>
      </c>
      <c r="B55" s="124" t="s">
        <v>2573</v>
      </c>
      <c r="C55" s="153">
        <f>AVERAGE($B28:$D28)</f>
        <v>0.70233333333333325</v>
      </c>
      <c r="D55" s="153">
        <f>AVERAGE($E28:$G28)</f>
        <v>0.75466666666666671</v>
      </c>
      <c r="E55" s="153">
        <f>AVERAGE($H28:$J28)</f>
        <v>0.74833333333333341</v>
      </c>
      <c r="F55" s="153">
        <f>AVERAGE($K28:$M28)</f>
        <v>0.7373333333333334</v>
      </c>
    </row>
    <row r="56" spans="1:12">
      <c r="A56" s="127">
        <v>6</v>
      </c>
      <c r="B56" s="124" t="s">
        <v>2574</v>
      </c>
      <c r="C56" s="153">
        <f t="shared" ref="C56:C57" si="5">AVERAGE($B29:$D29)</f>
        <v>0.91299999999999992</v>
      </c>
      <c r="D56" s="153">
        <f t="shared" ref="D56:D57" si="6">AVERAGE($E29:$G29)</f>
        <v>0.38733333333333331</v>
      </c>
      <c r="E56" s="153">
        <f t="shared" ref="E56:E57" si="7">AVERAGE($H29:$J29)</f>
        <v>0.246</v>
      </c>
      <c r="F56" s="153">
        <f t="shared" ref="F56:F57" si="8">AVERAGE($K29:$M29)</f>
        <v>0.313</v>
      </c>
    </row>
    <row r="57" spans="1:12">
      <c r="A57" s="127">
        <v>7</v>
      </c>
      <c r="B57" s="124" t="s">
        <v>67</v>
      </c>
      <c r="C57" s="153">
        <f t="shared" si="5"/>
        <v>0.89166666666666661</v>
      </c>
      <c r="D57" s="153">
        <f t="shared" si="6"/>
        <v>0.90166666666666673</v>
      </c>
      <c r="E57" s="153">
        <f t="shared" si="7"/>
        <v>0.90833333333333333</v>
      </c>
      <c r="F57" s="153">
        <f t="shared" si="8"/>
        <v>0.89549999999999996</v>
      </c>
    </row>
    <row r="58" spans="1:12">
      <c r="A58" s="127">
        <v>9</v>
      </c>
      <c r="B58" s="124" t="s">
        <v>2262</v>
      </c>
      <c r="C58" s="153">
        <f>AVERAGE($B34:$D34)</f>
        <v>0.89766666666666672</v>
      </c>
      <c r="D58" s="153">
        <f>AVERAGE($E34:$G34)</f>
        <v>0.68166666666666664</v>
      </c>
      <c r="E58" s="153">
        <f>AVERAGE($H34:$J34)</f>
        <v>0.64733333333333343</v>
      </c>
      <c r="F58" s="153">
        <f>AVERAGE($K34:$M34)</f>
        <v>0.75800000000000001</v>
      </c>
    </row>
    <row r="59" spans="1:12">
      <c r="A59" s="127">
        <v>10</v>
      </c>
      <c r="B59" s="128" t="s">
        <v>2152</v>
      </c>
      <c r="C59" s="153">
        <f>AVERAGE($B32:$D32)</f>
        <v>0.89766666666666672</v>
      </c>
      <c r="D59" s="153">
        <f>AVERAGE($E32:$G32)</f>
        <v>0.68166666666666664</v>
      </c>
      <c r="E59" s="153">
        <f>AVERAGE($H32:$J32)</f>
        <v>0.64733333333333343</v>
      </c>
      <c r="F59" s="153">
        <f>AVERAGE($K32:$M32)</f>
        <v>0.75800000000000001</v>
      </c>
    </row>
    <row r="60" spans="1:12">
      <c r="A60" s="127">
        <v>100</v>
      </c>
      <c r="B60" s="124" t="s">
        <v>2575</v>
      </c>
      <c r="C60" s="153">
        <v>1</v>
      </c>
      <c r="D60" s="153">
        <v>1</v>
      </c>
      <c r="E60" s="153">
        <v>1</v>
      </c>
      <c r="F60" s="153">
        <v>1</v>
      </c>
    </row>
    <row r="61" spans="1:12">
      <c r="A61" s="127">
        <v>200</v>
      </c>
      <c r="B61" s="124" t="s">
        <v>2576</v>
      </c>
      <c r="C61" s="153">
        <v>1</v>
      </c>
      <c r="D61" s="153">
        <v>1</v>
      </c>
      <c r="E61" s="153">
        <v>1</v>
      </c>
      <c r="F61" s="153">
        <v>1</v>
      </c>
    </row>
    <row r="63" spans="1:12">
      <c r="I63" s="460"/>
      <c r="J63" s="461" t="s">
        <v>2705</v>
      </c>
      <c r="K63" s="460" t="s">
        <v>2706</v>
      </c>
      <c r="L63" s="460"/>
    </row>
    <row r="64" spans="1:12" ht="15">
      <c r="A64" s="127">
        <v>1</v>
      </c>
      <c r="B64" s="124" t="s">
        <v>2572</v>
      </c>
      <c r="C64" s="153">
        <v>0.87531853817157357</v>
      </c>
      <c r="D64" s="153">
        <v>0.8751161792789276</v>
      </c>
      <c r="E64" s="153">
        <v>0.8675623174773287</v>
      </c>
      <c r="F64" s="153">
        <v>0.85120958858595797</v>
      </c>
      <c r="I64" s="453">
        <v>1</v>
      </c>
      <c r="J64" s="462" t="s">
        <v>2707</v>
      </c>
      <c r="K64" s="124" t="s">
        <v>2572</v>
      </c>
      <c r="L64" s="127">
        <v>1</v>
      </c>
    </row>
    <row r="65" spans="1:12" ht="15">
      <c r="A65" s="127">
        <v>2</v>
      </c>
      <c r="B65" s="124" t="s">
        <v>64</v>
      </c>
      <c r="C65" s="153">
        <v>0.85760637291294717</v>
      </c>
      <c r="D65" s="153">
        <v>0.85824874757545011</v>
      </c>
      <c r="E65" s="153">
        <v>0.85193536012766458</v>
      </c>
      <c r="F65" s="153">
        <v>0.85386667537457983</v>
      </c>
      <c r="I65" s="453">
        <v>2</v>
      </c>
      <c r="J65" s="462" t="s">
        <v>2708</v>
      </c>
      <c r="K65" s="124" t="s">
        <v>64</v>
      </c>
      <c r="L65" s="127">
        <v>2</v>
      </c>
    </row>
    <row r="66" spans="1:12" ht="15">
      <c r="A66" s="127">
        <v>3</v>
      </c>
      <c r="B66" s="124" t="s">
        <v>65</v>
      </c>
      <c r="C66" s="153">
        <v>0.85954647332093626</v>
      </c>
      <c r="D66" s="153">
        <v>0.86465402670730118</v>
      </c>
      <c r="E66" s="153">
        <v>0.85990983098729912</v>
      </c>
      <c r="F66" s="153">
        <v>0.85398388727937868</v>
      </c>
      <c r="I66" s="453">
        <v>3</v>
      </c>
      <c r="J66" s="462" t="s">
        <v>2709</v>
      </c>
      <c r="K66" s="124" t="s">
        <v>65</v>
      </c>
      <c r="L66" s="127">
        <v>3</v>
      </c>
    </row>
    <row r="67" spans="1:12" ht="15">
      <c r="A67" s="127">
        <v>4</v>
      </c>
      <c r="B67" s="124" t="s">
        <v>66</v>
      </c>
      <c r="C67" s="153">
        <v>0.75023608794947416</v>
      </c>
      <c r="D67" s="153">
        <v>0.73031177647708123</v>
      </c>
      <c r="E67" s="153">
        <v>0.47036280282428616</v>
      </c>
      <c r="F67" s="153">
        <v>0.40720083810493191</v>
      </c>
      <c r="I67" s="453">
        <v>4</v>
      </c>
      <c r="J67" s="462" t="s">
        <v>2710</v>
      </c>
      <c r="K67" s="124" t="s">
        <v>66</v>
      </c>
      <c r="L67" s="127">
        <v>4</v>
      </c>
    </row>
    <row r="68" spans="1:12" ht="15">
      <c r="A68" s="127">
        <v>5</v>
      </c>
      <c r="B68" s="124" t="s">
        <v>2573</v>
      </c>
      <c r="C68" s="153">
        <v>0.79021595823375401</v>
      </c>
      <c r="D68" s="153">
        <v>0.83821387845681095</v>
      </c>
      <c r="E68" s="153">
        <v>0.83596511608057378</v>
      </c>
      <c r="F68" s="153">
        <v>0.79758462785933748</v>
      </c>
      <c r="I68" s="453">
        <v>5</v>
      </c>
      <c r="J68" s="462" t="s">
        <v>2051</v>
      </c>
      <c r="K68" s="124" t="s">
        <v>2573</v>
      </c>
      <c r="L68" s="127">
        <v>5</v>
      </c>
    </row>
    <row r="69" spans="1:12" ht="15">
      <c r="A69" s="127">
        <v>6</v>
      </c>
      <c r="B69" s="124" t="s">
        <v>2574</v>
      </c>
      <c r="C69" s="153">
        <v>0.90882911526791632</v>
      </c>
      <c r="D69" s="153">
        <v>0.8260905211490156</v>
      </c>
      <c r="E69" s="153">
        <v>0.37786804837668492</v>
      </c>
      <c r="F69" s="153">
        <v>0.51933731284529516</v>
      </c>
      <c r="I69" s="453">
        <v>6</v>
      </c>
      <c r="J69" s="462" t="s">
        <v>2711</v>
      </c>
      <c r="K69" s="124" t="s">
        <v>2574</v>
      </c>
      <c r="L69" s="127">
        <v>6</v>
      </c>
    </row>
    <row r="70" spans="1:12" ht="15">
      <c r="A70" s="127">
        <v>7</v>
      </c>
      <c r="B70" s="124" t="s">
        <v>67</v>
      </c>
      <c r="C70" s="153">
        <v>0.88088519784206909</v>
      </c>
      <c r="D70" s="153">
        <v>0.8908570957545856</v>
      </c>
      <c r="E70" s="153">
        <v>0.89523341814460489</v>
      </c>
      <c r="F70" s="153">
        <v>0.89284952626464154</v>
      </c>
      <c r="I70" s="453">
        <v>7</v>
      </c>
      <c r="J70" s="462" t="s">
        <v>2712</v>
      </c>
      <c r="K70" s="124" t="s">
        <v>67</v>
      </c>
      <c r="L70" s="127">
        <v>7</v>
      </c>
    </row>
    <row r="71" spans="1:12" ht="15">
      <c r="A71" s="127">
        <v>9</v>
      </c>
      <c r="B71" s="124" t="s">
        <v>2262</v>
      </c>
      <c r="C71" s="153">
        <v>0.88791000611643545</v>
      </c>
      <c r="D71" s="153">
        <v>0.8759560008300683</v>
      </c>
      <c r="E71" s="153">
        <v>0.74667196697075822</v>
      </c>
      <c r="F71" s="153">
        <v>0.82958312912667276</v>
      </c>
      <c r="I71" s="453">
        <v>8</v>
      </c>
      <c r="J71" s="462" t="s">
        <v>2713</v>
      </c>
      <c r="K71" s="449"/>
      <c r="L71" s="453"/>
    </row>
    <row r="72" spans="1:12" ht="15">
      <c r="A72" s="127">
        <v>10</v>
      </c>
      <c r="B72" s="128" t="s">
        <v>2152</v>
      </c>
      <c r="C72" s="153">
        <v>0.88791000611643545</v>
      </c>
      <c r="D72" s="153">
        <v>0.8759560008300683</v>
      </c>
      <c r="E72" s="153">
        <v>0.74667196697075822</v>
      </c>
      <c r="F72" s="153">
        <v>0.82958312912667276</v>
      </c>
      <c r="I72" s="453">
        <v>9</v>
      </c>
      <c r="J72" s="462" t="s">
        <v>2714</v>
      </c>
      <c r="K72" s="128" t="s">
        <v>2152</v>
      </c>
      <c r="L72" s="127">
        <v>10</v>
      </c>
    </row>
    <row r="73" spans="1:12" ht="15">
      <c r="A73" s="127">
        <v>100</v>
      </c>
      <c r="B73" s="124" t="s">
        <v>2575</v>
      </c>
      <c r="C73">
        <v>1</v>
      </c>
      <c r="D73">
        <v>1</v>
      </c>
      <c r="E73">
        <v>1</v>
      </c>
      <c r="F73">
        <v>1</v>
      </c>
      <c r="I73" s="453">
        <v>10</v>
      </c>
      <c r="J73" s="462" t="s">
        <v>2715</v>
      </c>
      <c r="K73" s="449"/>
      <c r="L73" s="453"/>
    </row>
    <row r="74" spans="1:12" ht="15">
      <c r="A74" s="127">
        <v>200</v>
      </c>
      <c r="B74" s="124" t="s">
        <v>2576</v>
      </c>
      <c r="C74">
        <v>1</v>
      </c>
      <c r="D74">
        <v>1</v>
      </c>
      <c r="E74">
        <v>1</v>
      </c>
      <c r="F74">
        <v>1</v>
      </c>
      <c r="I74" s="453">
        <v>11</v>
      </c>
      <c r="J74" s="462" t="s">
        <v>2716</v>
      </c>
      <c r="K74" s="124" t="s">
        <v>2262</v>
      </c>
      <c r="L74" s="127">
        <v>9</v>
      </c>
    </row>
    <row r="75" spans="1:12" ht="15">
      <c r="I75" s="453">
        <v>12</v>
      </c>
      <c r="J75" s="462" t="s">
        <v>2717</v>
      </c>
      <c r="K75" s="124" t="s">
        <v>2575</v>
      </c>
      <c r="L75" s="127">
        <v>100</v>
      </c>
    </row>
    <row r="76" spans="1:12" ht="15">
      <c r="I76" s="453">
        <v>13</v>
      </c>
      <c r="J76" s="462" t="s">
        <v>2718</v>
      </c>
      <c r="K76" s="124" t="s">
        <v>2576</v>
      </c>
      <c r="L76" s="127">
        <v>200</v>
      </c>
    </row>
    <row r="77" spans="1:12" ht="15">
      <c r="I77" s="453">
        <v>14</v>
      </c>
      <c r="J77" s="462" t="s">
        <v>2719</v>
      </c>
      <c r="K77" s="453"/>
      <c r="L77" s="453"/>
    </row>
  </sheetData>
  <mergeCells count="2">
    <mergeCell ref="A1:G1"/>
    <mergeCell ref="H1:S1"/>
  </mergeCells>
  <conditionalFormatting sqref="J8:S9">
    <cfRule type="cellIs" dxfId="0" priority="1" operator="lessThan">
      <formula>0</formula>
    </cfRule>
  </conditionalFormatting>
  <pageMargins left="0.511811024" right="0.511811024" top="0.78740157499999996" bottom="0.78740157499999996" header="0.31496062000000002" footer="0.31496062000000002"/>
  <ignoredErrors>
    <ignoredError sqref="C13:F18 C19:E19 C46:K47" formulaRange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Plan5"/>
  <dimension ref="A1:BH46"/>
  <sheetViews>
    <sheetView zoomScale="90" zoomScaleNormal="90" workbookViewId="0">
      <pane xSplit="1" ySplit="1" topLeftCell="B11" activePane="bottomRight" state="frozen"/>
      <selection pane="bottomRight" activeCell="D64" sqref="D64"/>
      <selection pane="bottomLeft" activeCell="A2" sqref="A2"/>
      <selection pane="topRight" activeCell="B1" sqref="B1"/>
    </sheetView>
  </sheetViews>
  <sheetFormatPr defaultRowHeight="12.75"/>
  <cols>
    <col min="2" max="2" width="18.42578125" bestFit="1" customWidth="1"/>
    <col min="3" max="5" width="26.5703125" bestFit="1" customWidth="1"/>
    <col min="6" max="6" width="23.7109375" bestFit="1" customWidth="1"/>
    <col min="7" max="7" width="29.7109375" bestFit="1" customWidth="1"/>
    <col min="8" max="8" width="22.42578125" style="295" bestFit="1" customWidth="1"/>
    <col min="9" max="9" width="21.7109375" style="295" bestFit="1" customWidth="1"/>
    <col min="10" max="10" width="20.85546875" style="295" bestFit="1" customWidth="1"/>
    <col min="11" max="11" width="22" customWidth="1"/>
    <col min="12" max="12" width="21.28515625" customWidth="1"/>
    <col min="13" max="16" width="20.85546875" customWidth="1"/>
    <col min="17" max="17" width="22" customWidth="1"/>
    <col min="18" max="18" width="21.28515625" customWidth="1"/>
    <col min="19" max="22" width="20.85546875" customWidth="1"/>
    <col min="23" max="23" width="22" customWidth="1"/>
    <col min="24" max="24" width="21.28515625" customWidth="1"/>
    <col min="25" max="29" width="20.85546875" customWidth="1"/>
    <col min="30" max="30" width="15.7109375" bestFit="1" customWidth="1"/>
    <col min="31" max="31" width="15.5703125" bestFit="1" customWidth="1"/>
    <col min="32" max="32" width="15" bestFit="1" customWidth="1"/>
    <col min="33" max="33" width="21.140625" bestFit="1" customWidth="1"/>
    <col min="34" max="35" width="17.85546875" bestFit="1" customWidth="1"/>
    <col min="36" max="36" width="22.5703125" bestFit="1" customWidth="1"/>
    <col min="37" max="37" width="16.140625" bestFit="1" customWidth="1"/>
    <col min="38" max="38" width="15.7109375" bestFit="1" customWidth="1"/>
    <col min="39" max="55" width="10.5703125" bestFit="1" customWidth="1"/>
    <col min="56" max="60" width="11.5703125" bestFit="1" customWidth="1"/>
  </cols>
  <sheetData>
    <row r="1" spans="1:38" s="135" customFormat="1">
      <c r="A1" s="269" t="s">
        <v>96</v>
      </c>
      <c r="B1" s="270" t="s">
        <v>58</v>
      </c>
      <c r="C1" s="271" t="s">
        <v>97</v>
      </c>
      <c r="D1" s="271" t="s">
        <v>98</v>
      </c>
      <c r="E1" s="271" t="s">
        <v>99</v>
      </c>
      <c r="F1" s="271" t="s">
        <v>100</v>
      </c>
      <c r="G1" s="271" t="s">
        <v>101</v>
      </c>
      <c r="H1" s="365" t="s">
        <v>102</v>
      </c>
      <c r="I1" s="365" t="s">
        <v>103</v>
      </c>
      <c r="J1" s="365" t="s">
        <v>104</v>
      </c>
      <c r="K1" s="364" t="s">
        <v>105</v>
      </c>
      <c r="L1" s="364" t="s">
        <v>106</v>
      </c>
      <c r="M1" s="364" t="s">
        <v>107</v>
      </c>
      <c r="N1" s="364" t="s">
        <v>108</v>
      </c>
      <c r="O1" s="364" t="s">
        <v>109</v>
      </c>
      <c r="P1" s="364" t="s">
        <v>110</v>
      </c>
      <c r="Q1" s="365" t="s">
        <v>111</v>
      </c>
      <c r="R1" s="365" t="s">
        <v>112</v>
      </c>
      <c r="S1" s="365" t="s">
        <v>113</v>
      </c>
      <c r="T1" s="365" t="s">
        <v>114</v>
      </c>
      <c r="U1" s="365" t="s">
        <v>115</v>
      </c>
      <c r="V1" s="365" t="s">
        <v>116</v>
      </c>
      <c r="W1" s="366" t="s">
        <v>117</v>
      </c>
      <c r="X1" s="366" t="s">
        <v>118</v>
      </c>
      <c r="Y1" s="366" t="s">
        <v>119</v>
      </c>
      <c r="Z1" s="366" t="s">
        <v>120</v>
      </c>
      <c r="AA1" s="366" t="s">
        <v>121</v>
      </c>
      <c r="AB1" s="366" t="s">
        <v>122</v>
      </c>
      <c r="AC1" s="272" t="s">
        <v>69</v>
      </c>
      <c r="AD1" s="273" t="s">
        <v>123</v>
      </c>
      <c r="AE1" s="273" t="s">
        <v>124</v>
      </c>
      <c r="AF1" s="273" t="s">
        <v>125</v>
      </c>
      <c r="AG1" s="273" t="s">
        <v>126</v>
      </c>
      <c r="AH1" s="273" t="s">
        <v>127</v>
      </c>
      <c r="AI1" s="273" t="s">
        <v>128</v>
      </c>
      <c r="AJ1" s="273" t="s">
        <v>129</v>
      </c>
      <c r="AK1" s="385" t="s">
        <v>130</v>
      </c>
      <c r="AL1" s="273" t="s">
        <v>131</v>
      </c>
    </row>
    <row r="2" spans="1:38">
      <c r="A2" s="274">
        <v>2012</v>
      </c>
      <c r="B2" s="154">
        <f>constantes!$B$17</f>
        <v>10000000</v>
      </c>
      <c r="C2">
        <f>constantes!$B$22</f>
        <v>0</v>
      </c>
      <c r="D2">
        <f>constantes!$B$23</f>
        <v>0</v>
      </c>
      <c r="E2">
        <f>constantes!$B$24</f>
        <v>0</v>
      </c>
      <c r="F2">
        <f>constantes!$B$25</f>
        <v>0</v>
      </c>
      <c r="G2">
        <f>constantes!$B$26</f>
        <v>0</v>
      </c>
      <c r="H2" s="376">
        <f>constantes!$B$106</f>
        <v>1250000</v>
      </c>
      <c r="I2" s="377">
        <f>constantes!$B$107</f>
        <v>1250000</v>
      </c>
      <c r="J2" s="376" t="str">
        <f>constantes!$B$108</f>
        <v xml:space="preserve"> </v>
      </c>
      <c r="K2" s="24">
        <f>constantes!$B$36</f>
        <v>30.838875708231104</v>
      </c>
      <c r="L2" s="24">
        <f>constantes!$B$37</f>
        <v>3.0021601764785366</v>
      </c>
      <c r="M2" s="24">
        <f>constantes!$B$38</f>
        <v>9.3348550724470964</v>
      </c>
      <c r="N2" s="24">
        <f>constantes!$B$39</f>
        <v>4.2102716256046095</v>
      </c>
      <c r="O2" s="24">
        <f>constantes!$B$40</f>
        <v>3.6495059333171662</v>
      </c>
      <c r="P2" s="24">
        <f>constantes!$B$41</f>
        <v>0</v>
      </c>
      <c r="Q2" s="24">
        <f>constantes!$B$66</f>
        <v>30.838875708231104</v>
      </c>
      <c r="R2" s="24">
        <f>constantes!$B$67</f>
        <v>3.0021601764785366</v>
      </c>
      <c r="S2" s="24">
        <f>constantes!$B$68</f>
        <v>9.3348550724470964</v>
      </c>
      <c r="T2" s="24">
        <f>constantes!$B$69</f>
        <v>4.2102716256046095</v>
      </c>
      <c r="U2" s="24">
        <f>constantes!$B$70</f>
        <v>3.6495059333171662</v>
      </c>
      <c r="V2" s="24">
        <f>constantes!$B$71</f>
        <v>0</v>
      </c>
      <c r="W2" s="24">
        <f>constantes!$B$76</f>
        <v>112.19877684501537</v>
      </c>
      <c r="X2" s="24">
        <f>constantes!$B$77</f>
        <v>83.594264776845549</v>
      </c>
      <c r="Y2" s="24">
        <f>constantes!$B$78</f>
        <v>73.525303263146526</v>
      </c>
      <c r="Z2" s="24">
        <f>constantes!$B$79</f>
        <v>53.92743493266547</v>
      </c>
      <c r="AA2" s="24">
        <f>constantes!$B$80</f>
        <v>43.413034811945707</v>
      </c>
      <c r="AB2" s="24">
        <f>constantes!$B$81</f>
        <v>2.8291333022314697</v>
      </c>
      <c r="AC2" s="5">
        <f>constantes!$B$31</f>
        <v>50000</v>
      </c>
      <c r="AD2">
        <f>constantes!$B$86</f>
        <v>1000000000000000</v>
      </c>
      <c r="AE2">
        <f>constantes!$B$88</f>
        <v>1000000000000000</v>
      </c>
      <c r="AF2">
        <f>constantes!$B$89</f>
        <v>1000000000000000</v>
      </c>
      <c r="AG2">
        <f>constantes!$B$90</f>
        <v>0</v>
      </c>
      <c r="AH2">
        <f>constantes!$B$91</f>
        <v>1000000000000000</v>
      </c>
      <c r="AI2">
        <f>constantes!$B$92</f>
        <v>1000000000000000</v>
      </c>
      <c r="AJ2">
        <f>constantes!$B$93</f>
        <v>1000000000000000</v>
      </c>
      <c r="AK2">
        <f>constantes!$B$98</f>
        <v>10000</v>
      </c>
      <c r="AL2" s="24">
        <f>constantes!$B$87</f>
        <v>300</v>
      </c>
    </row>
    <row r="3" spans="1:38">
      <c r="A3" s="274">
        <v>2013</v>
      </c>
      <c r="B3" s="154">
        <f>constantes!$C$17</f>
        <v>10000000</v>
      </c>
      <c r="C3">
        <f>constantes!$C$22</f>
        <v>0</v>
      </c>
      <c r="D3">
        <f>constantes!$C$23</f>
        <v>0</v>
      </c>
      <c r="E3">
        <f>constantes!$C$24</f>
        <v>0</v>
      </c>
      <c r="F3">
        <f>constantes!$C$25</f>
        <v>0</v>
      </c>
      <c r="G3">
        <f>constantes!$C$26</f>
        <v>0</v>
      </c>
      <c r="H3" s="376">
        <f>constantes!$C$106</f>
        <v>1250000</v>
      </c>
      <c r="I3" s="377">
        <f>constantes!$C$107</f>
        <v>1250000</v>
      </c>
      <c r="J3" s="376">
        <f>constantes!$C$108</f>
        <v>12500000000</v>
      </c>
      <c r="K3" s="24">
        <f>constantes!$C$36</f>
        <v>30.838875708231104</v>
      </c>
      <c r="L3" s="24">
        <f>constantes!$C$37</f>
        <v>3.0021601764785366</v>
      </c>
      <c r="M3" s="24">
        <f>constantes!$C$38</f>
        <v>9.3348550724470964</v>
      </c>
      <c r="N3" s="24">
        <f>constantes!$C$39</f>
        <v>4.2102716256046095</v>
      </c>
      <c r="O3" s="24">
        <f>constantes!$C$40</f>
        <v>3.6495059333171662</v>
      </c>
      <c r="P3" s="24">
        <f>constantes!$C$41</f>
        <v>0</v>
      </c>
      <c r="Q3" s="24">
        <f>constantes!$C$66</f>
        <v>30.838875708231104</v>
      </c>
      <c r="R3" s="24">
        <f>constantes!$C$67</f>
        <v>3.0021601764785366</v>
      </c>
      <c r="S3" s="24">
        <f>constantes!$C$68</f>
        <v>9.3348550724470964</v>
      </c>
      <c r="T3" s="24">
        <f>constantes!$C$69</f>
        <v>4.2102716256046095</v>
      </c>
      <c r="U3" s="24">
        <f>constantes!$C$70</f>
        <v>3.6495059333171662</v>
      </c>
      <c r="V3" s="24">
        <f>constantes!$C$71</f>
        <v>0</v>
      </c>
      <c r="W3" s="24">
        <f>constantes!$C$76</f>
        <v>112.19877684501537</v>
      </c>
      <c r="X3" s="24">
        <f>constantes!$C$77</f>
        <v>89.543089986228665</v>
      </c>
      <c r="Y3" s="24">
        <f>constantes!$C$78</f>
        <v>74.275191426348556</v>
      </c>
      <c r="Z3" s="24">
        <f>constantes!$C$79</f>
        <v>59.034204948248963</v>
      </c>
      <c r="AA3" s="24">
        <f>constantes!$C$80</f>
        <v>44.484506633842841</v>
      </c>
      <c r="AB3" s="24">
        <f>constantes!$C$81</f>
        <v>3.0600557645463415</v>
      </c>
      <c r="AC3" s="5">
        <f>constantes!$C$31</f>
        <v>50000</v>
      </c>
      <c r="AD3">
        <f>constantes!$C$86</f>
        <v>1000000000000000</v>
      </c>
      <c r="AE3">
        <f>constantes!$C$88</f>
        <v>1000000000000000</v>
      </c>
      <c r="AF3">
        <f>constantes!$C$89</f>
        <v>1000000000000000</v>
      </c>
      <c r="AG3">
        <f>constantes!$C$90</f>
        <v>0</v>
      </c>
      <c r="AH3">
        <f>constantes!$C$91</f>
        <v>1000000000000000</v>
      </c>
      <c r="AI3">
        <f>constantes!$C$92</f>
        <v>1000000000000000</v>
      </c>
      <c r="AJ3">
        <f>constantes!$C$93</f>
        <v>1000000000000000</v>
      </c>
      <c r="AK3">
        <f>constantes!$C$98</f>
        <v>10000</v>
      </c>
      <c r="AL3" s="24">
        <f>constantes!$C$87</f>
        <v>300</v>
      </c>
    </row>
    <row r="4" spans="1:38">
      <c r="A4" s="274">
        <v>2014</v>
      </c>
      <c r="B4" s="154">
        <f>constantes!$D$17</f>
        <v>10000000</v>
      </c>
      <c r="C4">
        <f>constantes!$D$22</f>
        <v>0</v>
      </c>
      <c r="D4">
        <f>constantes!$D$23</f>
        <v>0</v>
      </c>
      <c r="E4">
        <f>constantes!$D$24</f>
        <v>0</v>
      </c>
      <c r="F4">
        <f>constantes!$D$25</f>
        <v>0</v>
      </c>
      <c r="G4">
        <f>constantes!$D$26</f>
        <v>0</v>
      </c>
      <c r="H4" s="376">
        <f>constantes!$D$106</f>
        <v>1250000</v>
      </c>
      <c r="I4" s="377">
        <f>constantes!$D$107</f>
        <v>1250000</v>
      </c>
      <c r="J4" s="376">
        <f>constantes!$D$108</f>
        <v>12500000000</v>
      </c>
      <c r="K4" s="24">
        <f>constantes!$D$36</f>
        <v>33.064884544755401</v>
      </c>
      <c r="L4" s="24">
        <f>constantes!$D$37</f>
        <v>3.3276339572763627</v>
      </c>
      <c r="M4" s="24">
        <f>constantes!$D$38</f>
        <v>9.3348550724470964</v>
      </c>
      <c r="N4" s="24">
        <f>constantes!$D$39</f>
        <v>6.4660607164092285</v>
      </c>
      <c r="O4" s="24">
        <f>constantes!$D$40</f>
        <v>6.1561470782765824</v>
      </c>
      <c r="P4" s="24">
        <f>constantes!$D$41</f>
        <v>0</v>
      </c>
      <c r="Q4" s="24">
        <f>constantes!$D$66</f>
        <v>33.064884544755401</v>
      </c>
      <c r="R4" s="24">
        <f>constantes!$D$67</f>
        <v>3.3276339572763627</v>
      </c>
      <c r="S4" s="24">
        <f>constantes!$D$68</f>
        <v>9.3348550724470964</v>
      </c>
      <c r="T4" s="24">
        <f>constantes!$D$69</f>
        <v>6.4660607164092285</v>
      </c>
      <c r="U4" s="24">
        <f>constantes!$D$70</f>
        <v>6.1561470782765824</v>
      </c>
      <c r="V4" s="24">
        <f>constantes!$D$71</f>
        <v>0</v>
      </c>
      <c r="W4" s="24">
        <f>constantes!$D$76</f>
        <v>112.19877684501537</v>
      </c>
      <c r="X4" s="24">
        <f>constantes!$D$77</f>
        <v>95.405902517804151</v>
      </c>
      <c r="Y4" s="24">
        <f>constantes!$D$78</f>
        <v>74.922057153944237</v>
      </c>
      <c r="Z4" s="24">
        <f>constantes!$D$79</f>
        <v>64.037974963832454</v>
      </c>
      <c r="AA4" s="24">
        <f>constantes!$D$80</f>
        <v>45.551866257308248</v>
      </c>
      <c r="AB4" s="24">
        <f>constantes!$D$81</f>
        <v>3.2909782268612129</v>
      </c>
      <c r="AC4" s="5">
        <f>constantes!$D$31</f>
        <v>50000</v>
      </c>
      <c r="AD4">
        <f>constantes!$D$86</f>
        <v>1000000000000000</v>
      </c>
      <c r="AE4">
        <f>constantes!$D$88</f>
        <v>1000000000000000</v>
      </c>
      <c r="AF4">
        <f>constantes!$D$89</f>
        <v>1000000000000000</v>
      </c>
      <c r="AG4">
        <f>constantes!$D$90</f>
        <v>0</v>
      </c>
      <c r="AH4">
        <f>constantes!$D$91</f>
        <v>1000000000000000</v>
      </c>
      <c r="AI4">
        <f>constantes!$D$92</f>
        <v>1000000000000000</v>
      </c>
      <c r="AJ4">
        <f>constantes!$D$93</f>
        <v>1000000000000000</v>
      </c>
      <c r="AK4">
        <f>constantes!$D$98</f>
        <v>10000</v>
      </c>
      <c r="AL4" s="24">
        <f>constantes!$D$87</f>
        <v>300</v>
      </c>
    </row>
    <row r="5" spans="1:38">
      <c r="A5" s="274">
        <v>2015</v>
      </c>
      <c r="B5" s="154">
        <f>constantes!$E$17</f>
        <v>10000000</v>
      </c>
      <c r="C5">
        <f>constantes!$E$22</f>
        <v>0</v>
      </c>
      <c r="D5">
        <f>constantes!$E$23</f>
        <v>0</v>
      </c>
      <c r="E5">
        <f>constantes!$E$24</f>
        <v>0</v>
      </c>
      <c r="F5">
        <f>constantes!$E$25</f>
        <v>0</v>
      </c>
      <c r="G5">
        <f>constantes!$E$26</f>
        <v>0</v>
      </c>
      <c r="H5" s="376">
        <f>constantes!$E$106</f>
        <v>1250000</v>
      </c>
      <c r="I5" s="377">
        <f>constantes!$E$107</f>
        <v>1250000</v>
      </c>
      <c r="J5" s="376">
        <f>constantes!$E$108</f>
        <v>12500000000</v>
      </c>
      <c r="K5" s="24">
        <f>constantes!$E$36</f>
        <v>33.064884544755401</v>
      </c>
      <c r="L5" s="24">
        <f>constantes!$E$37</f>
        <v>3.3518713726801312</v>
      </c>
      <c r="M5" s="24">
        <f>constantes!$E$38</f>
        <v>9.3348550724470964</v>
      </c>
      <c r="N5" s="24">
        <f>constantes!$E$39</f>
        <v>6.4660607164092285</v>
      </c>
      <c r="O5" s="24">
        <f>constantes!$E$40</f>
        <v>6.5</v>
      </c>
      <c r="P5" s="24">
        <f>constantes!$E$41</f>
        <v>0</v>
      </c>
      <c r="Q5" s="24">
        <f>constantes!$E$66</f>
        <v>33.064884544755401</v>
      </c>
      <c r="R5" s="24">
        <f>constantes!$E$67</f>
        <v>3.3518713726801312</v>
      </c>
      <c r="S5" s="24">
        <f>constantes!$E$68</f>
        <v>9.3348550724470964</v>
      </c>
      <c r="T5" s="24">
        <f>constantes!$E$69</f>
        <v>6.4660607164092285</v>
      </c>
      <c r="U5" s="24">
        <f>constantes!$E$70</f>
        <v>6.5</v>
      </c>
      <c r="V5" s="24">
        <f>constantes!$E$71</f>
        <v>0</v>
      </c>
      <c r="W5" s="24">
        <f>constantes!$E$76</f>
        <v>112.19877684501537</v>
      </c>
      <c r="X5" s="24">
        <f>constantes!$E$77</f>
        <v>101.26591915638852</v>
      </c>
      <c r="Y5" s="24">
        <f>constantes!$E$78</f>
        <v>75.558469143047532</v>
      </c>
      <c r="Z5" s="24">
        <f>constantes!$E$79</f>
        <v>69.20074497941593</v>
      </c>
      <c r="AA5" s="24">
        <f>constantes!$E$80</f>
        <v>46.619092211330198</v>
      </c>
      <c r="AB5" s="24">
        <f>constantes!$E$81</f>
        <v>3.5219006891760847</v>
      </c>
      <c r="AC5" s="5">
        <f>constantes!$E$31</f>
        <v>50000</v>
      </c>
      <c r="AD5">
        <f>constantes!$E$86</f>
        <v>1000000000000000</v>
      </c>
      <c r="AE5">
        <f>constantes!$E$88</f>
        <v>1000000000000000</v>
      </c>
      <c r="AF5">
        <f>constantes!$E$89</f>
        <v>1000000000000000</v>
      </c>
      <c r="AG5">
        <f>constantes!$E$90</f>
        <v>0</v>
      </c>
      <c r="AH5">
        <f>constantes!$E$91</f>
        <v>1000000000000000</v>
      </c>
      <c r="AI5">
        <f>constantes!$E$92</f>
        <v>1000000000000000</v>
      </c>
      <c r="AJ5">
        <f>constantes!$E$93</f>
        <v>1000000000000000</v>
      </c>
      <c r="AK5">
        <f>constantes!$E$98</f>
        <v>10000</v>
      </c>
      <c r="AL5" s="24">
        <f>constantes!$E$87</f>
        <v>300</v>
      </c>
    </row>
    <row r="6" spans="1:38">
      <c r="A6" s="274">
        <v>2016</v>
      </c>
      <c r="B6" s="154">
        <f>constantes!$F$17</f>
        <v>10000000</v>
      </c>
      <c r="C6">
        <f>constantes!$F$22</f>
        <v>0</v>
      </c>
      <c r="D6">
        <f>constantes!$F$23</f>
        <v>0</v>
      </c>
      <c r="E6">
        <f>constantes!$F$24</f>
        <v>0</v>
      </c>
      <c r="F6">
        <f>constantes!$F$25</f>
        <v>0</v>
      </c>
      <c r="G6">
        <f>constantes!$F$26</f>
        <v>0</v>
      </c>
      <c r="H6" s="376">
        <f>constantes!$F$106</f>
        <v>1250000</v>
      </c>
      <c r="I6" s="377">
        <f>constantes!$F$107</f>
        <v>1250000</v>
      </c>
      <c r="J6" s="376">
        <f>constantes!$F$108</f>
        <v>12500000000</v>
      </c>
      <c r="K6" s="24">
        <f>constantes!$F$36</f>
        <v>33.064884544755401</v>
      </c>
      <c r="L6" s="24">
        <f>constantes!$F$37</f>
        <v>3.3518713726801312</v>
      </c>
      <c r="M6" s="24">
        <f>constantes!$F$38</f>
        <v>9.3348550724470964</v>
      </c>
      <c r="N6" s="24">
        <f>constantes!$F$39</f>
        <v>6.4660607164092285</v>
      </c>
      <c r="O6" s="24">
        <f>constantes!$F$40</f>
        <v>6.5</v>
      </c>
      <c r="P6" s="24">
        <f>constantes!$F$41</f>
        <v>0</v>
      </c>
      <c r="Q6" s="24">
        <f>constantes!$F$66</f>
        <v>33.064884544755401</v>
      </c>
      <c r="R6" s="24">
        <f>constantes!$F$67</f>
        <v>3.3518713726801312</v>
      </c>
      <c r="S6" s="24">
        <f>constantes!$F$68</f>
        <v>9.3348550724470964</v>
      </c>
      <c r="T6" s="24">
        <f>constantes!$F$69</f>
        <v>6.4660607164092285</v>
      </c>
      <c r="U6" s="24">
        <f>constantes!$F$70</f>
        <v>6.5</v>
      </c>
      <c r="V6" s="24">
        <f>constantes!$F$71</f>
        <v>0</v>
      </c>
      <c r="W6" s="24">
        <f>constantes!$F$76</f>
        <v>112.19877684501537</v>
      </c>
      <c r="X6" s="24">
        <f>constantes!$F$77</f>
        <v>107.21796173605873</v>
      </c>
      <c r="Y6" s="24">
        <f>constantes!$F$78</f>
        <v>76.308489590238011</v>
      </c>
      <c r="Z6" s="24">
        <f>constantes!$F$79</f>
        <v>74.769514994999426</v>
      </c>
      <c r="AA6" s="24">
        <f>constantes!$F$80</f>
        <v>47.6907178531686</v>
      </c>
      <c r="AB6" s="24">
        <f>constantes!$F$81</f>
        <v>3.7528231514909556</v>
      </c>
      <c r="AC6" s="5">
        <f>constantes!$F$31</f>
        <v>50000</v>
      </c>
      <c r="AD6">
        <f>constantes!$F$86</f>
        <v>1000000000000000</v>
      </c>
      <c r="AE6">
        <f>constantes!$F$88</f>
        <v>1000000000000000</v>
      </c>
      <c r="AF6">
        <f>constantes!$F$89</f>
        <v>1000000000000000</v>
      </c>
      <c r="AG6">
        <f>constantes!$F$90</f>
        <v>0</v>
      </c>
      <c r="AH6">
        <f>constantes!$F$91</f>
        <v>1000000000000000</v>
      </c>
      <c r="AI6">
        <f>constantes!$F$92</f>
        <v>54.388285212803396</v>
      </c>
      <c r="AJ6">
        <f>constantes!$F$93</f>
        <v>1000000000000000</v>
      </c>
      <c r="AK6">
        <f>constantes!$F$98</f>
        <v>10000</v>
      </c>
      <c r="AL6" s="24">
        <f>constantes!$F$87</f>
        <v>300</v>
      </c>
    </row>
    <row r="7" spans="1:38">
      <c r="A7" s="274">
        <v>2017</v>
      </c>
      <c r="B7" s="154">
        <f>constantes!$G$17</f>
        <v>10000000</v>
      </c>
      <c r="C7">
        <f>constantes!$G$22</f>
        <v>0</v>
      </c>
      <c r="D7">
        <f>constantes!$G$23</f>
        <v>0</v>
      </c>
      <c r="E7">
        <f>constantes!$G$24</f>
        <v>0</v>
      </c>
      <c r="F7">
        <f>constantes!$G$25</f>
        <v>0</v>
      </c>
      <c r="G7">
        <f>constantes!$G$26</f>
        <v>0</v>
      </c>
      <c r="H7" s="376">
        <f>constantes!$G$106</f>
        <v>1250000</v>
      </c>
      <c r="I7" s="377">
        <f>constantes!$G$107</f>
        <v>1250000</v>
      </c>
      <c r="J7" s="376">
        <f>constantes!$G$108</f>
        <v>12500000000</v>
      </c>
      <c r="K7" s="24">
        <f>constantes!$G$36</f>
        <v>33.064884544755401</v>
      </c>
      <c r="L7" s="24">
        <f>constantes!$G$37</f>
        <v>3.3518713726801312</v>
      </c>
      <c r="M7" s="24">
        <f>constantes!$G$38</f>
        <v>11.786953368879697</v>
      </c>
      <c r="N7" s="24">
        <f>constantes!$G$39</f>
        <v>6.4660607164092285</v>
      </c>
      <c r="O7" s="24">
        <f>constantes!$G$40</f>
        <v>6.5</v>
      </c>
      <c r="P7" s="24">
        <f>constantes!$G$41</f>
        <v>0</v>
      </c>
      <c r="Q7" s="24">
        <f>constantes!$G$66</f>
        <v>33.064884544755401</v>
      </c>
      <c r="R7" s="24">
        <f>constantes!$G$67</f>
        <v>3.3518713726801312</v>
      </c>
      <c r="S7" s="24">
        <f>constantes!$G$68</f>
        <v>11.786953368879697</v>
      </c>
      <c r="T7" s="24">
        <f>constantes!$G$69</f>
        <v>6.4660607164092285</v>
      </c>
      <c r="U7" s="24">
        <f>constantes!$G$70</f>
        <v>6.5</v>
      </c>
      <c r="V7" s="24">
        <f>constantes!$G$71</f>
        <v>0</v>
      </c>
      <c r="W7" s="24">
        <f>constantes!$G$76</f>
        <v>112.19877684501537</v>
      </c>
      <c r="X7" s="24">
        <f>constantes!$G$77</f>
        <v>108.39361542500035</v>
      </c>
      <c r="Y7" s="24">
        <f>constantes!$G$78</f>
        <v>77.316702416075373</v>
      </c>
      <c r="Z7" s="24">
        <f>constantes!$G$79</f>
        <v>78.697494539668298</v>
      </c>
      <c r="AA7" s="24">
        <f>constantes!$G$80</f>
        <v>48.19196440060162</v>
      </c>
      <c r="AB7" s="24">
        <f>constantes!$G$81</f>
        <v>3.9404721982758106</v>
      </c>
      <c r="AC7" s="5">
        <f>constantes!$G$31</f>
        <v>50000</v>
      </c>
      <c r="AD7">
        <f>constantes!$G$86</f>
        <v>1000000000000000</v>
      </c>
      <c r="AE7">
        <f>constantes!$G$88</f>
        <v>1000000000000000</v>
      </c>
      <c r="AF7">
        <f>constantes!$G$89</f>
        <v>1000000000000000</v>
      </c>
      <c r="AG7">
        <f>constantes!$G$90</f>
        <v>0</v>
      </c>
      <c r="AH7">
        <f>constantes!$G$91</f>
        <v>1000000000000000</v>
      </c>
      <c r="AI7">
        <f>constantes!$G$92</f>
        <v>1641.9636183874959</v>
      </c>
      <c r="AJ7">
        <f>constantes!$G$93</f>
        <v>1000000000000000</v>
      </c>
      <c r="AK7">
        <f>constantes!$G$98</f>
        <v>10000</v>
      </c>
      <c r="AL7" s="24">
        <f>constantes!$G$87</f>
        <v>233</v>
      </c>
    </row>
    <row r="8" spans="1:38">
      <c r="A8" s="274">
        <v>2018</v>
      </c>
      <c r="B8" s="154">
        <f>constantes!$H$17</f>
        <v>10000000</v>
      </c>
      <c r="C8">
        <f>constantes!$H$22</f>
        <v>0</v>
      </c>
      <c r="D8">
        <f>constantes!$H$23</f>
        <v>0</v>
      </c>
      <c r="E8">
        <f>constantes!$H$24</f>
        <v>0</v>
      </c>
      <c r="F8">
        <f>constantes!$H$25</f>
        <v>0</v>
      </c>
      <c r="G8">
        <f>constantes!$H$26</f>
        <v>0</v>
      </c>
      <c r="H8" s="376">
        <f>constantes!$H$106</f>
        <v>1250000</v>
      </c>
      <c r="I8" s="377">
        <f>constantes!$H$107</f>
        <v>1250000</v>
      </c>
      <c r="J8" s="376">
        <f>constantes!$H$108</f>
        <v>12500000000</v>
      </c>
      <c r="K8" s="24">
        <f>constantes!$H$36</f>
        <v>33.064884544755401</v>
      </c>
      <c r="L8" s="24">
        <f>constantes!$H$37</f>
        <v>3.3518713726801312</v>
      </c>
      <c r="M8" s="24">
        <f>constantes!$H$38</f>
        <v>11.786953368879697</v>
      </c>
      <c r="N8" s="24">
        <f>constantes!$H$39</f>
        <v>6.4660607164092285</v>
      </c>
      <c r="O8" s="24">
        <f>constantes!$H$40</f>
        <v>6.5</v>
      </c>
      <c r="P8" s="24">
        <f>constantes!$H$41</f>
        <v>0</v>
      </c>
      <c r="Q8" s="24">
        <f>constantes!$H$66</f>
        <v>33.064884544755401</v>
      </c>
      <c r="R8" s="24">
        <f>constantes!$H$67</f>
        <v>3.3518713726801312</v>
      </c>
      <c r="S8" s="24">
        <f>constantes!$H$68</f>
        <v>11.786953368879697</v>
      </c>
      <c r="T8" s="24">
        <f>constantes!$H$69</f>
        <v>6.4660607164092285</v>
      </c>
      <c r="U8" s="24">
        <f>constantes!$H$70</f>
        <v>6.5</v>
      </c>
      <c r="V8" s="24">
        <f>constantes!$H$71</f>
        <v>0</v>
      </c>
      <c r="W8" s="24">
        <f>constantes!$H$76</f>
        <v>112.19877684501537</v>
      </c>
      <c r="X8" s="24">
        <f>constantes!$H$77</f>
        <v>109.55377747778138</v>
      </c>
      <c r="Y8" s="24">
        <f>constantes!$H$78</f>
        <v>78.304623186780361</v>
      </c>
      <c r="Z8" s="24">
        <f>constantes!$H$79</f>
        <v>82.642474084337181</v>
      </c>
      <c r="AA8" s="24">
        <f>constantes!$H$80</f>
        <v>48.69247030510212</v>
      </c>
      <c r="AB8" s="24">
        <f>constantes!$H$81</f>
        <v>4.1281212450606652</v>
      </c>
      <c r="AC8" s="5">
        <f>constantes!$H$31</f>
        <v>50000</v>
      </c>
      <c r="AD8">
        <f>constantes!$H$86</f>
        <v>1000000000000000</v>
      </c>
      <c r="AE8">
        <f>constantes!$H$88</f>
        <v>1000000000000000</v>
      </c>
      <c r="AF8">
        <f>constantes!$H$89</f>
        <v>1000000000000000</v>
      </c>
      <c r="AG8">
        <f>constantes!$H$90</f>
        <v>0</v>
      </c>
      <c r="AH8">
        <f>constantes!$H$91</f>
        <v>1000000000000000</v>
      </c>
      <c r="AI8">
        <f>constantes!$H$92</f>
        <v>1432.1788315265721</v>
      </c>
      <c r="AJ8">
        <f>constantes!$H$93</f>
        <v>1000000000000000</v>
      </c>
      <c r="AK8">
        <f>constantes!$H$98</f>
        <v>10000</v>
      </c>
      <c r="AL8" s="24">
        <f>constantes!$H$87</f>
        <v>219</v>
      </c>
    </row>
    <row r="9" spans="1:38">
      <c r="A9" s="274">
        <v>2019</v>
      </c>
      <c r="B9" s="154">
        <f>constantes!$I$17</f>
        <v>10000000</v>
      </c>
      <c r="C9">
        <f>constantes!$I$22</f>
        <v>0</v>
      </c>
      <c r="D9">
        <f>constantes!$I$23</f>
        <v>0</v>
      </c>
      <c r="E9">
        <f>constantes!$I$24</f>
        <v>0</v>
      </c>
      <c r="F9">
        <f>constantes!$I$25</f>
        <v>0</v>
      </c>
      <c r="G9">
        <f>constantes!$I$26</f>
        <v>0</v>
      </c>
      <c r="H9" s="376">
        <f>constantes!$I$106</f>
        <v>1250000</v>
      </c>
      <c r="I9" s="377">
        <f>constantes!$I$107</f>
        <v>1250000</v>
      </c>
      <c r="J9" s="376">
        <f>constantes!$I$108</f>
        <v>12500000000</v>
      </c>
      <c r="K9" s="24">
        <f>constantes!$I$36</f>
        <v>33.064884544755401</v>
      </c>
      <c r="L9" s="24">
        <f>constantes!$I$37</f>
        <v>5.4936079102126278</v>
      </c>
      <c r="M9" s="24">
        <f>constantes!$I$38</f>
        <v>11.786953368879697</v>
      </c>
      <c r="N9" s="24">
        <f>constantes!$I$39</f>
        <v>6.4660607164092285</v>
      </c>
      <c r="O9" s="24">
        <f>constantes!$I$40</f>
        <v>6.5</v>
      </c>
      <c r="P9" s="24">
        <f>constantes!$I$41</f>
        <v>0</v>
      </c>
      <c r="Q9" s="24">
        <f>constantes!$I$66</f>
        <v>33.064884544755401</v>
      </c>
      <c r="R9" s="24">
        <f>constantes!$I$67</f>
        <v>5.4936079102126278</v>
      </c>
      <c r="S9" s="24">
        <f>constantes!$I$68</f>
        <v>11.786953368879697</v>
      </c>
      <c r="T9" s="24">
        <f>constantes!$I$69</f>
        <v>6.4660607164092285</v>
      </c>
      <c r="U9" s="24">
        <f>constantes!$I$70</f>
        <v>6.5</v>
      </c>
      <c r="V9" s="24">
        <f>constantes!$I$71</f>
        <v>0</v>
      </c>
      <c r="W9" s="24">
        <f>constantes!$I$76</f>
        <v>112.19877684501537</v>
      </c>
      <c r="X9" s="24">
        <f>constantes!$I$77</f>
        <v>110.65987610039778</v>
      </c>
      <c r="Y9" s="24">
        <f>constantes!$I$78</f>
        <v>79.221395497474163</v>
      </c>
      <c r="Z9" s="24">
        <f>constantes!$I$79</f>
        <v>86.627453629006069</v>
      </c>
      <c r="AA9" s="24">
        <f>constantes!$I$80</f>
        <v>49.190391479555814</v>
      </c>
      <c r="AB9" s="24">
        <f>constantes!$I$81</f>
        <v>4.3157702918455199</v>
      </c>
      <c r="AC9" s="5">
        <f>constantes!$I$31</f>
        <v>50000</v>
      </c>
      <c r="AD9">
        <f>constantes!$I$86</f>
        <v>1000000000000000</v>
      </c>
      <c r="AE9">
        <f>constantes!$I$88</f>
        <v>1000000000000000</v>
      </c>
      <c r="AF9">
        <f>constantes!$I$89</f>
        <v>1000000000000000</v>
      </c>
      <c r="AG9">
        <f>constantes!$I$90</f>
        <v>340</v>
      </c>
      <c r="AH9">
        <f>constantes!$I$91</f>
        <v>1000000000000000</v>
      </c>
      <c r="AI9">
        <f>constantes!$I$92</f>
        <v>6771.6977463939338</v>
      </c>
      <c r="AJ9">
        <f>constantes!$I$93</f>
        <v>1000000000000000</v>
      </c>
      <c r="AK9">
        <f>constantes!$I$98</f>
        <v>10000</v>
      </c>
      <c r="AL9" s="24">
        <f>constantes!$I$87</f>
        <v>124</v>
      </c>
    </row>
    <row r="10" spans="1:38">
      <c r="A10" s="274">
        <v>2020</v>
      </c>
      <c r="B10" s="154">
        <f>constantes!$J$17</f>
        <v>10000000</v>
      </c>
      <c r="C10">
        <f>constantes!$J$22</f>
        <v>0</v>
      </c>
      <c r="D10">
        <f>constantes!$J$23</f>
        <v>0</v>
      </c>
      <c r="E10">
        <f>constantes!$J$24</f>
        <v>0</v>
      </c>
      <c r="F10">
        <f>constantes!$J$25</f>
        <v>0</v>
      </c>
      <c r="G10">
        <f>constantes!$J$26</f>
        <v>0</v>
      </c>
      <c r="H10" s="376">
        <f>constantes!$J$106</f>
        <v>1250000</v>
      </c>
      <c r="I10" s="377">
        <f>constantes!$J$107</f>
        <v>1250000</v>
      </c>
      <c r="J10" s="376">
        <f>constantes!$J$108</f>
        <v>12500000000</v>
      </c>
      <c r="K10" s="24">
        <f>constantes!$J$36</f>
        <v>35.206621082287896</v>
      </c>
      <c r="L10" s="24">
        <f>constantes!$J$37</f>
        <v>5.4936079102126278</v>
      </c>
      <c r="M10" s="24">
        <f>constantes!$J$38</f>
        <v>11.786953368879697</v>
      </c>
      <c r="N10" s="24">
        <f>constantes!$J$39</f>
        <v>6.4660607164092285</v>
      </c>
      <c r="O10" s="24">
        <f>constantes!$J$40</f>
        <v>6.5</v>
      </c>
      <c r="P10" s="24">
        <f>constantes!$J$41</f>
        <v>0</v>
      </c>
      <c r="Q10" s="24">
        <f>constantes!$J$66</f>
        <v>35.206621082287896</v>
      </c>
      <c r="R10" s="24">
        <f>constantes!$J$67</f>
        <v>5.4936079102126278</v>
      </c>
      <c r="S10" s="24">
        <f>constantes!$J$68</f>
        <v>11.786953368879697</v>
      </c>
      <c r="T10" s="24">
        <f>constantes!$J$69</f>
        <v>6.4660607164092285</v>
      </c>
      <c r="U10" s="24">
        <f>constantes!$J$70</f>
        <v>6.5</v>
      </c>
      <c r="V10" s="24">
        <f>constantes!$J$71</f>
        <v>0</v>
      </c>
      <c r="W10" s="24">
        <f>constantes!$J$76</f>
        <v>112.19877684501537</v>
      </c>
      <c r="X10" s="24">
        <f>constantes!$J$77</f>
        <v>111.76110910964849</v>
      </c>
      <c r="Y10" s="24">
        <f>constantes!$J$78</f>
        <v>80.12958864905238</v>
      </c>
      <c r="Z10" s="24">
        <f>constantes!$J$79</f>
        <v>90.581433173674938</v>
      </c>
      <c r="AA10" s="24">
        <f>constantes!$J$80</f>
        <v>49.688080032863859</v>
      </c>
      <c r="AB10" s="24">
        <f>constantes!$J$81</f>
        <v>4.5034193386303745</v>
      </c>
      <c r="AC10" s="5">
        <f>constantes!$J$31</f>
        <v>50000</v>
      </c>
      <c r="AD10">
        <f>constantes!$J$86</f>
        <v>1000000000000000</v>
      </c>
      <c r="AE10">
        <f>constantes!$J$88</f>
        <v>1000000000000000</v>
      </c>
      <c r="AF10">
        <f>constantes!$J$89</f>
        <v>1000000000000000</v>
      </c>
      <c r="AG10">
        <f>constantes!$J$90</f>
        <v>1000000000000000</v>
      </c>
      <c r="AH10">
        <f>constantes!$J$91</f>
        <v>1000000000000000</v>
      </c>
      <c r="AI10">
        <f>constantes!$J$92</f>
        <v>4909.0388205191084</v>
      </c>
      <c r="AJ10">
        <f>constantes!$J$93</f>
        <v>1000000000000000</v>
      </c>
      <c r="AK10">
        <f>constantes!$J$98</f>
        <v>10000</v>
      </c>
      <c r="AL10" s="24">
        <f>constantes!$J$87</f>
        <v>266</v>
      </c>
    </row>
    <row r="11" spans="1:38">
      <c r="A11" s="274">
        <v>2021</v>
      </c>
      <c r="B11" s="154">
        <f>constantes!$K$17</f>
        <v>10000000</v>
      </c>
      <c r="C11">
        <f>constantes!$K$22</f>
        <v>0</v>
      </c>
      <c r="D11">
        <f>constantes!$K$23</f>
        <v>0</v>
      </c>
      <c r="E11">
        <f>constantes!$K$24</f>
        <v>0</v>
      </c>
      <c r="F11">
        <f>constantes!$K$25</f>
        <v>0</v>
      </c>
      <c r="G11">
        <f>constantes!$K$26</f>
        <v>0</v>
      </c>
      <c r="H11" s="376">
        <f>constantes!$K$106</f>
        <v>1250000</v>
      </c>
      <c r="I11" s="377">
        <f>constantes!$K$107</f>
        <v>1250000</v>
      </c>
      <c r="J11" s="376">
        <f>constantes!$K$108</f>
        <v>12500000000</v>
      </c>
      <c r="K11" s="24">
        <f>constantes!$K$36</f>
        <v>37.348357619820391</v>
      </c>
      <c r="L11" s="24">
        <f>constantes!$K$37</f>
        <v>5.4936079102126278</v>
      </c>
      <c r="M11" s="24">
        <f>constantes!$K$38</f>
        <v>11.786953368879697</v>
      </c>
      <c r="N11" s="24">
        <f>constantes!$K$39</f>
        <v>6.4660607164092285</v>
      </c>
      <c r="O11" s="24">
        <f>constantes!$K$40</f>
        <v>6.5</v>
      </c>
      <c r="P11" s="24">
        <f>constantes!$K$41</f>
        <v>0</v>
      </c>
      <c r="Q11" s="24">
        <f>constantes!$K$66</f>
        <v>37.348357619820391</v>
      </c>
      <c r="R11" s="24">
        <f>constantes!$K$67</f>
        <v>5.4936079102126278</v>
      </c>
      <c r="S11" s="24">
        <f>constantes!$K$68</f>
        <v>11.786953368879697</v>
      </c>
      <c r="T11" s="24">
        <f>constantes!$K$69</f>
        <v>6.4660607164092285</v>
      </c>
      <c r="U11" s="24">
        <f>constantes!$K$70</f>
        <v>6.5</v>
      </c>
      <c r="V11" s="24">
        <f>constantes!$K$71</f>
        <v>0</v>
      </c>
      <c r="W11" s="24">
        <f>constantes!$K$76</f>
        <v>112.19877684501537</v>
      </c>
      <c r="X11" s="24">
        <f>constantes!$K$77</f>
        <v>112.85107277817394</v>
      </c>
      <c r="Y11" s="24">
        <f>constantes!$K$78</f>
        <v>81.049238848049328</v>
      </c>
      <c r="Z11" s="24">
        <f>constantes!$K$79</f>
        <v>94.623412718343801</v>
      </c>
      <c r="AA11" s="24">
        <f>constantes!$K$80</f>
        <v>50.185229807861091</v>
      </c>
      <c r="AB11" s="24">
        <f>constantes!$K$81</f>
        <v>4.6910683854152291</v>
      </c>
      <c r="AC11" s="5">
        <f>constantes!$K$31</f>
        <v>50000</v>
      </c>
      <c r="AD11">
        <f>constantes!$K$86</f>
        <v>1000000000000000</v>
      </c>
      <c r="AE11">
        <f>constantes!$K$88</f>
        <v>1000000000000000</v>
      </c>
      <c r="AF11">
        <f>constantes!$K$89</f>
        <v>1000000000000000</v>
      </c>
      <c r="AG11">
        <f>constantes!$K$90</f>
        <v>1000000000000000</v>
      </c>
      <c r="AH11">
        <f>constantes!$K$91</f>
        <v>1000000000000000</v>
      </c>
      <c r="AI11">
        <f>constantes!$K$92</f>
        <v>5095.3013863893702</v>
      </c>
      <c r="AJ11">
        <f>constantes!$K$93</f>
        <v>1000000000000000</v>
      </c>
      <c r="AK11">
        <f>constantes!$K$98</f>
        <v>10000</v>
      </c>
      <c r="AL11" s="24">
        <f>constantes!$K$87</f>
        <v>1000000000000000</v>
      </c>
    </row>
    <row r="12" spans="1:38">
      <c r="A12" s="274">
        <v>2022</v>
      </c>
      <c r="B12" s="154">
        <f>constantes!$L$17</f>
        <v>10000000</v>
      </c>
      <c r="C12">
        <f>constantes!$L$22</f>
        <v>0</v>
      </c>
      <c r="D12">
        <f>constantes!$L$23</f>
        <v>0</v>
      </c>
      <c r="E12">
        <f>constantes!$L$24</f>
        <v>0</v>
      </c>
      <c r="F12">
        <f>constantes!$L$25</f>
        <v>0</v>
      </c>
      <c r="G12">
        <f>constantes!$L$26</f>
        <v>0</v>
      </c>
      <c r="H12" s="376">
        <f>constantes!$L$106</f>
        <v>1250000</v>
      </c>
      <c r="I12" s="377">
        <f>constantes!$L$107</f>
        <v>1250000</v>
      </c>
      <c r="J12" s="376">
        <f>constantes!$L$108</f>
        <v>12500000000</v>
      </c>
      <c r="K12" s="24">
        <f>constantes!$L$36</f>
        <v>39.490094157352885</v>
      </c>
      <c r="L12" s="24">
        <f>constantes!$L$37</f>
        <v>5.4936079102126278</v>
      </c>
      <c r="M12" s="24">
        <f>constantes!$L$38</f>
        <v>11.786953368879697</v>
      </c>
      <c r="N12" s="24">
        <f>constantes!$L$39</f>
        <v>6.4660607164092285</v>
      </c>
      <c r="O12" s="24">
        <f>constantes!$L$40</f>
        <v>6.5</v>
      </c>
      <c r="P12" s="24">
        <f>constantes!$L$41</f>
        <v>0</v>
      </c>
      <c r="Q12" s="24">
        <f>constantes!$L$66</f>
        <v>39.490094157352885</v>
      </c>
      <c r="R12" s="24">
        <f>constantes!$L$67</f>
        <v>5.4936079102126278</v>
      </c>
      <c r="S12" s="24">
        <f>constantes!$L$68</f>
        <v>11.786953368879697</v>
      </c>
      <c r="T12" s="24">
        <f>constantes!$L$69</f>
        <v>6.4660607164092285</v>
      </c>
      <c r="U12" s="24">
        <f>constantes!$L$70</f>
        <v>6.5</v>
      </c>
      <c r="V12" s="24">
        <f>constantes!$L$71</f>
        <v>0</v>
      </c>
      <c r="W12" s="24">
        <f>constantes!$L$76</f>
        <v>112.19877684501537</v>
      </c>
      <c r="X12" s="24">
        <f>constantes!$L$77</f>
        <v>112.69105865578959</v>
      </c>
      <c r="Y12" s="24">
        <f>constantes!$L$78</f>
        <v>78.465171823785184</v>
      </c>
      <c r="Z12" s="24">
        <f>constantes!$L$79</f>
        <v>95.615587102648405</v>
      </c>
      <c r="AA12" s="24">
        <f>constantes!$L$80</f>
        <v>50.363951649285546</v>
      </c>
      <c r="AB12" s="24">
        <f>constantes!$L$81</f>
        <v>4.723560493593447</v>
      </c>
      <c r="AC12" s="5">
        <f>constantes!$L$31</f>
        <v>50000</v>
      </c>
      <c r="AD12">
        <f>constantes!$L$86</f>
        <v>1000000000000000</v>
      </c>
      <c r="AE12">
        <f>constantes!$L$88</f>
        <v>1000000000000000</v>
      </c>
      <c r="AF12">
        <f>constantes!$L$89</f>
        <v>1000000000000000</v>
      </c>
      <c r="AG12">
        <f>constantes!$L$90</f>
        <v>1000000000000000</v>
      </c>
      <c r="AH12">
        <f>constantes!$L$91</f>
        <v>1000000000000000</v>
      </c>
      <c r="AI12">
        <f>constantes!$L$92</f>
        <v>4507.8594145450015</v>
      </c>
      <c r="AJ12">
        <f>constantes!$L$93</f>
        <v>1000000000000000</v>
      </c>
      <c r="AK12">
        <f>constantes!$L$98</f>
        <v>10000</v>
      </c>
      <c r="AL12" s="24">
        <f>constantes!$L$87</f>
        <v>1000000000000000</v>
      </c>
    </row>
    <row r="13" spans="1:38">
      <c r="A13" s="274">
        <v>2023</v>
      </c>
      <c r="B13" s="154">
        <f>constantes!$M$17</f>
        <v>10000000</v>
      </c>
      <c r="C13">
        <f>constantes!$M$22</f>
        <v>0</v>
      </c>
      <c r="D13">
        <f>constantes!$M$23</f>
        <v>0</v>
      </c>
      <c r="E13">
        <f>constantes!$M$24</f>
        <v>0</v>
      </c>
      <c r="F13">
        <f>constantes!$M$25</f>
        <v>0</v>
      </c>
      <c r="G13">
        <f>constantes!$M$26</f>
        <v>0</v>
      </c>
      <c r="H13" s="376">
        <f>constantes!$M$106</f>
        <v>1250000</v>
      </c>
      <c r="I13" s="377">
        <f>constantes!$M$107</f>
        <v>1250000</v>
      </c>
      <c r="J13" s="376">
        <f>constantes!$M$108</f>
        <v>12500000000</v>
      </c>
      <c r="K13" s="24">
        <f>constantes!$M$36</f>
        <v>50.198776845015367</v>
      </c>
      <c r="L13" s="24">
        <f>constantes!$M$37</f>
        <v>5.4936079102126278</v>
      </c>
      <c r="M13" s="24">
        <f>constantes!$M$38</f>
        <v>11.786953368879697</v>
      </c>
      <c r="N13" s="24">
        <f>constantes!$M$39</f>
        <v>6.4660607164092285</v>
      </c>
      <c r="O13" s="24">
        <f>constantes!$M$40</f>
        <v>6.5</v>
      </c>
      <c r="P13" s="24">
        <f>constantes!$M$41</f>
        <v>0</v>
      </c>
      <c r="Q13" s="24">
        <f>constantes!$M$66</f>
        <v>50.198776845015367</v>
      </c>
      <c r="R13" s="24">
        <f>constantes!$M$67</f>
        <v>5.4936079102126278</v>
      </c>
      <c r="S13" s="24">
        <f>constantes!$M$68</f>
        <v>11.786953368879697</v>
      </c>
      <c r="T13" s="24">
        <f>constantes!$M$69</f>
        <v>6.4660607164092285</v>
      </c>
      <c r="U13" s="24">
        <f>constantes!$M$70</f>
        <v>6.5</v>
      </c>
      <c r="V13" s="24">
        <f>constantes!$M$71</f>
        <v>0</v>
      </c>
      <c r="W13" s="24">
        <f>constantes!$M$76</f>
        <v>112.19877684501537</v>
      </c>
      <c r="X13" s="24">
        <f>constantes!$M$77</f>
        <v>112.54377642659838</v>
      </c>
      <c r="Y13" s="24">
        <f>constantes!$M$78</f>
        <v>75.897433478640437</v>
      </c>
      <c r="Z13" s="24">
        <f>constantes!$M$79</f>
        <v>96.607761486953024</v>
      </c>
      <c r="AA13" s="24">
        <f>constantes!$M$80</f>
        <v>50.543282192503234</v>
      </c>
      <c r="AB13" s="24">
        <f>constantes!$M$81</f>
        <v>4.7560526017716649</v>
      </c>
      <c r="AC13" s="5">
        <f>constantes!$M$31</f>
        <v>50000</v>
      </c>
      <c r="AD13">
        <f>constantes!$M$86</f>
        <v>1000000000000000</v>
      </c>
      <c r="AE13">
        <f>constantes!$M$88</f>
        <v>1000000000000000</v>
      </c>
      <c r="AF13">
        <f>constantes!$M$89</f>
        <v>1000000000000000</v>
      </c>
      <c r="AG13">
        <f>constantes!$M$90</f>
        <v>1000000000000000</v>
      </c>
      <c r="AH13">
        <f>constantes!$M$91</f>
        <v>1000000000000000</v>
      </c>
      <c r="AI13">
        <f>constantes!$M$92</f>
        <v>4607.0004166406788</v>
      </c>
      <c r="AJ13">
        <f>constantes!$M$93</f>
        <v>1000000000000000</v>
      </c>
      <c r="AK13">
        <f>constantes!$M$98</f>
        <v>10000</v>
      </c>
      <c r="AL13" s="24">
        <f>constantes!$M$87</f>
        <v>1000000000000000</v>
      </c>
    </row>
    <row r="14" spans="1:38">
      <c r="A14" s="274">
        <v>2024</v>
      </c>
      <c r="B14" s="154">
        <f>constantes!$N$17</f>
        <v>10000000</v>
      </c>
      <c r="C14">
        <f>constantes!$N$22</f>
        <v>0</v>
      </c>
      <c r="D14">
        <f>constantes!$N$23</f>
        <v>0</v>
      </c>
      <c r="E14">
        <f>constantes!$N$24</f>
        <v>0</v>
      </c>
      <c r="F14">
        <f>constantes!$N$25</f>
        <v>0</v>
      </c>
      <c r="G14">
        <f>constantes!$N$26</f>
        <v>0</v>
      </c>
      <c r="H14" s="376">
        <f>constantes!$N$106</f>
        <v>1250000</v>
      </c>
      <c r="I14" s="377">
        <f>constantes!$N$107</f>
        <v>1250000</v>
      </c>
      <c r="J14" s="376">
        <f>constantes!$N$108</f>
        <v>12500000000</v>
      </c>
      <c r="K14" s="24">
        <f>constantes!$N$36</f>
        <v>112.19877684501537</v>
      </c>
      <c r="L14" s="24">
        <f>constantes!$N$37</f>
        <v>72.373607910212627</v>
      </c>
      <c r="M14" s="24">
        <f>constantes!$N$38</f>
        <v>64.356953368879701</v>
      </c>
      <c r="N14" s="24">
        <f>constantes!$N$39</f>
        <v>23.881187840360482</v>
      </c>
      <c r="O14" s="24">
        <f>constantes!$N$40</f>
        <v>31.60619943512809</v>
      </c>
      <c r="P14" s="24">
        <f>constantes!$N$41</f>
        <v>0.64218281249833953</v>
      </c>
      <c r="Q14" s="24">
        <f>constantes!$N$66</f>
        <v>112.19877684501537</v>
      </c>
      <c r="R14" s="24">
        <f>constantes!$N$67</f>
        <v>72.373607910212627</v>
      </c>
      <c r="S14" s="24">
        <f>constantes!$N$68</f>
        <v>64.356953368879701</v>
      </c>
      <c r="T14" s="24">
        <f>constantes!$N$69</f>
        <v>23.881187840360482</v>
      </c>
      <c r="U14" s="24">
        <f>constantes!$N$70</f>
        <v>31.60619943512809</v>
      </c>
      <c r="V14" s="24">
        <f>constantes!$N$71</f>
        <v>0.64218281249833953</v>
      </c>
      <c r="W14" s="24">
        <f>constantes!$N$76</f>
        <v>112.19877684501537</v>
      </c>
      <c r="X14" s="24">
        <f>constantes!$N$77</f>
        <v>112.38522461956987</v>
      </c>
      <c r="Y14" s="24">
        <f>constantes!$N$78</f>
        <v>73.315241876817723</v>
      </c>
      <c r="Z14" s="24">
        <f>constantes!$N$79</f>
        <v>97.599935871257642</v>
      </c>
      <c r="AA14" s="24">
        <f>constantes!$N$80</f>
        <v>50.722073946073976</v>
      </c>
      <c r="AB14" s="24">
        <f>constantes!$N$81</f>
        <v>4.7885447099498828</v>
      </c>
      <c r="AC14" s="5">
        <f>constantes!$N$31</f>
        <v>50000</v>
      </c>
      <c r="AD14">
        <f>constantes!$N$86</f>
        <v>1000000000000000</v>
      </c>
      <c r="AE14">
        <f>constantes!$N$88</f>
        <v>1000000000000000</v>
      </c>
      <c r="AF14">
        <f>constantes!$N$89</f>
        <v>1000000000000000</v>
      </c>
      <c r="AG14">
        <f>constantes!$N$90</f>
        <v>1000000000000000</v>
      </c>
      <c r="AH14">
        <f>constantes!$N$91</f>
        <v>1000000000000000</v>
      </c>
      <c r="AI14">
        <f>constantes!$N$92</f>
        <v>4546.4635485846993</v>
      </c>
      <c r="AJ14">
        <f>constantes!$N$93</f>
        <v>1000000000000000</v>
      </c>
      <c r="AK14">
        <f>constantes!$N$98</f>
        <v>10000</v>
      </c>
      <c r="AL14" s="24">
        <f>constantes!$N$87</f>
        <v>1000000000000000</v>
      </c>
    </row>
    <row r="15" spans="1:38">
      <c r="A15" s="274">
        <v>2025</v>
      </c>
      <c r="B15" s="154">
        <f>constantes!$O$17</f>
        <v>10000000</v>
      </c>
      <c r="C15">
        <f>constantes!$O$22</f>
        <v>0</v>
      </c>
      <c r="D15">
        <f>constantes!$O$23</f>
        <v>0</v>
      </c>
      <c r="E15">
        <f>constantes!$O$24</f>
        <v>0</v>
      </c>
      <c r="F15">
        <f>constantes!$O$25</f>
        <v>0</v>
      </c>
      <c r="G15">
        <f>constantes!$O$26</f>
        <v>0</v>
      </c>
      <c r="H15" s="376">
        <f>constantes!$O$106</f>
        <v>1250000</v>
      </c>
      <c r="I15" s="377">
        <f>constantes!$O$107</f>
        <v>1250000</v>
      </c>
      <c r="J15" s="376">
        <f>constantes!$O$108</f>
        <v>12500000000</v>
      </c>
      <c r="K15" s="24">
        <f>constantes!$O$36</f>
        <v>112.19877684501537</v>
      </c>
      <c r="L15" s="24">
        <f>constantes!$O$37</f>
        <v>72.373607910212627</v>
      </c>
      <c r="M15" s="24">
        <f>constantes!$O$38</f>
        <v>66.686248230949801</v>
      </c>
      <c r="N15" s="24">
        <f>constantes!$O$39</f>
        <v>46.128740107146697</v>
      </c>
      <c r="O15" s="24">
        <f>constantes!$O$40</f>
        <v>31.266920206494341</v>
      </c>
      <c r="P15" s="24">
        <f>constantes!$O$41</f>
        <v>1.7664259372694027</v>
      </c>
      <c r="Q15" s="24">
        <f>constantes!$O$66</f>
        <v>112.19877684501537</v>
      </c>
      <c r="R15" s="24">
        <f>constantes!$O$67</f>
        <v>72.373607910212627</v>
      </c>
      <c r="S15" s="24">
        <f>constantes!$O$68</f>
        <v>66.686248230949801</v>
      </c>
      <c r="T15" s="24">
        <f>constantes!$O$69</f>
        <v>46.128740107146697</v>
      </c>
      <c r="U15" s="24">
        <f>constantes!$O$70</f>
        <v>31.266920206494341</v>
      </c>
      <c r="V15" s="24">
        <f>constantes!$O$71</f>
        <v>1.7664259372694027</v>
      </c>
      <c r="W15" s="24">
        <f>constantes!$O$76</f>
        <v>112.19877684501537</v>
      </c>
      <c r="X15" s="24">
        <f>constantes!$O$77</f>
        <v>112.22196876849006</v>
      </c>
      <c r="Y15" s="24">
        <f>constantes!$O$78</f>
        <v>70.727017328856348</v>
      </c>
      <c r="Z15" s="24">
        <f>constantes!$O$79</f>
        <v>98.592110255562247</v>
      </c>
      <c r="AA15" s="24">
        <f>constantes!$O$80</f>
        <v>50.900640803000826</v>
      </c>
      <c r="AB15" s="24">
        <f>constantes!$O$81</f>
        <v>4.8210368181280998</v>
      </c>
      <c r="AC15" s="5">
        <f>constantes!$O$31</f>
        <v>50000</v>
      </c>
      <c r="AD15">
        <f>constantes!$O$86</f>
        <v>1000000000000000</v>
      </c>
      <c r="AE15">
        <f>constantes!$O$88</f>
        <v>1000000000000000</v>
      </c>
      <c r="AF15">
        <f>constantes!$O$89</f>
        <v>1000000000000000</v>
      </c>
      <c r="AG15">
        <f>constantes!$O$90</f>
        <v>1000000000000000</v>
      </c>
      <c r="AH15">
        <f>constantes!$O$91</f>
        <v>1000000000000000</v>
      </c>
      <c r="AI15">
        <f>constantes!$O$92</f>
        <v>4682.9678999356729</v>
      </c>
      <c r="AJ15">
        <f>constantes!$O$93</f>
        <v>1000000000000000</v>
      </c>
      <c r="AK15">
        <f>constantes!$O$98</f>
        <v>10000</v>
      </c>
      <c r="AL15" s="24">
        <f>constantes!$O$87</f>
        <v>1000000000000000</v>
      </c>
    </row>
    <row r="16" spans="1:38">
      <c r="A16" s="274">
        <v>2026</v>
      </c>
      <c r="B16" s="154">
        <f>constantes!$P$17</f>
        <v>10000000</v>
      </c>
      <c r="C16">
        <f>constantes!$P$22</f>
        <v>0</v>
      </c>
      <c r="D16">
        <f>constantes!$P$23</f>
        <v>0</v>
      </c>
      <c r="E16">
        <f>constantes!$P$24</f>
        <v>0</v>
      </c>
      <c r="F16">
        <f>constantes!$P$25</f>
        <v>0</v>
      </c>
      <c r="G16">
        <f>constantes!$P$26</f>
        <v>0</v>
      </c>
      <c r="H16" s="376">
        <f>constantes!$P$106</f>
        <v>1250000</v>
      </c>
      <c r="I16" s="377">
        <f>constantes!$P$107</f>
        <v>1250000</v>
      </c>
      <c r="J16" s="376">
        <f>constantes!$P$108</f>
        <v>12500000000</v>
      </c>
      <c r="K16" s="24">
        <f>constantes!$P$36</f>
        <v>112.19877684501537</v>
      </c>
      <c r="L16" s="24">
        <f>constantes!$P$37</f>
        <v>72.373607910212627</v>
      </c>
      <c r="M16" s="24">
        <f>constantes!$P$38</f>
        <v>66.686248230949801</v>
      </c>
      <c r="N16" s="24">
        <f>constantes!$P$39</f>
        <v>46.128740107146697</v>
      </c>
      <c r="O16" s="24">
        <f>constantes!$P$40</f>
        <v>31.266920206494341</v>
      </c>
      <c r="P16" s="24">
        <f>constantes!$P$41</f>
        <v>1.7664259372694027</v>
      </c>
      <c r="Q16" s="24">
        <f>constantes!$P$66</f>
        <v>112.19877684501537</v>
      </c>
      <c r="R16" s="24">
        <f>constantes!$P$67</f>
        <v>72.373607910212627</v>
      </c>
      <c r="S16" s="24">
        <f>constantes!$P$68</f>
        <v>66.686248230949801</v>
      </c>
      <c r="T16" s="24">
        <f>constantes!$P$69</f>
        <v>46.128740107146697</v>
      </c>
      <c r="U16" s="24">
        <f>constantes!$P$70</f>
        <v>31.266920206494341</v>
      </c>
      <c r="V16" s="24">
        <f>constantes!$P$71</f>
        <v>1.7664259372694027</v>
      </c>
      <c r="W16" s="24">
        <f>constantes!$P$76</f>
        <v>112.19877684501537</v>
      </c>
      <c r="X16" s="24">
        <f>constantes!$P$77</f>
        <v>112.02233242388093</v>
      </c>
      <c r="Y16" s="24">
        <f>constantes!$P$78</f>
        <v>68.092134723367025</v>
      </c>
      <c r="Z16" s="24">
        <f>constantes!$P$79</f>
        <v>99.584284639866894</v>
      </c>
      <c r="AA16" s="24">
        <f>constantes!$P$80</f>
        <v>51.077468337164468</v>
      </c>
      <c r="AB16" s="24">
        <f>constantes!$P$81</f>
        <v>4.8535289263063186</v>
      </c>
      <c r="AC16" s="5">
        <f>constantes!$P$31</f>
        <v>50000</v>
      </c>
      <c r="AD16">
        <f>constantes!$P$86</f>
        <v>1000000000000000</v>
      </c>
      <c r="AE16">
        <f>constantes!$P$88</f>
        <v>1000000000000000</v>
      </c>
      <c r="AF16">
        <f>constantes!$P$89</f>
        <v>1000000000000000</v>
      </c>
      <c r="AG16">
        <f>constantes!$P$90</f>
        <v>1000000000000000</v>
      </c>
      <c r="AH16">
        <f>constantes!$P$91</f>
        <v>1000000000000000</v>
      </c>
      <c r="AI16">
        <f>constantes!$P$92</f>
        <v>3976.9361095250001</v>
      </c>
      <c r="AJ16">
        <f>constantes!$P$93</f>
        <v>1000000000000000</v>
      </c>
      <c r="AK16">
        <f>constantes!$P$98</f>
        <v>10000</v>
      </c>
      <c r="AL16" s="24">
        <f>constantes!$P$87</f>
        <v>1000000000000000</v>
      </c>
    </row>
    <row r="17" spans="1:38">
      <c r="A17" s="274">
        <v>2027</v>
      </c>
      <c r="B17" s="154">
        <f>constantes!$Q$17</f>
        <v>10000000</v>
      </c>
      <c r="C17">
        <f>constantes!$Q$22</f>
        <v>0</v>
      </c>
      <c r="D17">
        <f>constantes!$Q$23</f>
        <v>0</v>
      </c>
      <c r="E17">
        <f>constantes!$Q$24</f>
        <v>0</v>
      </c>
      <c r="F17">
        <f>constantes!$Q$25</f>
        <v>0</v>
      </c>
      <c r="G17">
        <f>constantes!$Q$26</f>
        <v>0</v>
      </c>
      <c r="H17" s="376">
        <f>constantes!$Q$106</f>
        <v>1250000</v>
      </c>
      <c r="I17" s="377">
        <f>constantes!$Q$107</f>
        <v>1250000</v>
      </c>
      <c r="J17" s="376">
        <f>constantes!$Q$108</f>
        <v>12500000000</v>
      </c>
      <c r="K17" s="24">
        <f>constantes!$Q$36</f>
        <v>112.19877684501537</v>
      </c>
      <c r="L17" s="24">
        <f>constantes!$Q$37</f>
        <v>72.373607910212627</v>
      </c>
      <c r="M17" s="24">
        <f>constantes!$Q$38</f>
        <v>66.686248230949801</v>
      </c>
      <c r="N17" s="24">
        <f>constantes!$Q$39</f>
        <v>46.128740107146697</v>
      </c>
      <c r="O17" s="24">
        <f>constantes!$Q$40</f>
        <v>31.266920206494341</v>
      </c>
      <c r="P17" s="24">
        <f>constantes!$Q$41</f>
        <v>1.7664259372694027</v>
      </c>
      <c r="Q17" s="24">
        <f>constantes!$Q$66</f>
        <v>112.19877684501537</v>
      </c>
      <c r="R17" s="24">
        <f>constantes!$Q$67</f>
        <v>72.373607910212627</v>
      </c>
      <c r="S17" s="24">
        <f>constantes!$Q$68</f>
        <v>66.686248230949801</v>
      </c>
      <c r="T17" s="24">
        <f>constantes!$Q$69</f>
        <v>46.128740107146697</v>
      </c>
      <c r="U17" s="24">
        <f>constantes!$Q$70</f>
        <v>31.266920206494341</v>
      </c>
      <c r="V17" s="24">
        <f>constantes!$Q$71</f>
        <v>1.7664259372694027</v>
      </c>
      <c r="W17" s="24">
        <f>constantes!$Q$76</f>
        <v>112.19877684501537</v>
      </c>
      <c r="X17" s="24">
        <f>constantes!$Q$77</f>
        <v>72.373607910212627</v>
      </c>
      <c r="Y17" s="24">
        <f>constantes!$Q$78</f>
        <v>66.686248230949801</v>
      </c>
      <c r="Z17" s="24">
        <f>constantes!$Q$79</f>
        <v>46.128740107146697</v>
      </c>
      <c r="AA17" s="24">
        <f>constantes!$Q$80</f>
        <v>31.266920206494341</v>
      </c>
      <c r="AB17" s="24">
        <f>constantes!$Q$81</f>
        <v>1.7664259372694027</v>
      </c>
      <c r="AC17" s="5">
        <f>constantes!$Q$31</f>
        <v>50000</v>
      </c>
      <c r="AD17">
        <f>constantes!$Q$86</f>
        <v>1000000000000000</v>
      </c>
      <c r="AE17">
        <f>constantes!$Q$88</f>
        <v>1000000000000000</v>
      </c>
      <c r="AF17">
        <f>constantes!$Q$89</f>
        <v>1000000000000000</v>
      </c>
      <c r="AG17">
        <f>constantes!$Q$90</f>
        <v>1000000000000000</v>
      </c>
      <c r="AH17">
        <f>constantes!$Q$91</f>
        <v>1000000000000000</v>
      </c>
      <c r="AI17">
        <f>constantes!$Q$92</f>
        <v>3717.7049690674307</v>
      </c>
      <c r="AJ17">
        <f>constantes!$Q$93</f>
        <v>1000000000000000</v>
      </c>
      <c r="AK17">
        <f>constantes!$Q$98</f>
        <v>10000</v>
      </c>
      <c r="AL17" s="24">
        <f>constantes!$Q$87</f>
        <v>1000000000000000</v>
      </c>
    </row>
    <row r="18" spans="1:38">
      <c r="A18" s="274">
        <v>2028</v>
      </c>
      <c r="B18" s="154">
        <f>constantes!$R$17</f>
        <v>10000000</v>
      </c>
      <c r="C18">
        <f>constantes!$R$22</f>
        <v>0</v>
      </c>
      <c r="D18">
        <f>constantes!$R$23</f>
        <v>0</v>
      </c>
      <c r="E18">
        <f>constantes!$R$24</f>
        <v>0</v>
      </c>
      <c r="F18">
        <f>constantes!$R$25</f>
        <v>0</v>
      </c>
      <c r="G18">
        <f>constantes!$R$26</f>
        <v>0</v>
      </c>
      <c r="H18" s="376">
        <f>constantes!$R$106</f>
        <v>1250000</v>
      </c>
      <c r="I18" s="377">
        <f>constantes!$R$107</f>
        <v>1250000</v>
      </c>
      <c r="J18" s="376">
        <f>constantes!$R$108</f>
        <v>12500000000</v>
      </c>
      <c r="K18" s="24">
        <f>constantes!$R$36</f>
        <v>112.19877684501537</v>
      </c>
      <c r="L18" s="24">
        <f>constantes!$R$37</f>
        <v>72.373607910212627</v>
      </c>
      <c r="M18" s="24">
        <f>constantes!$R$38</f>
        <v>66.686248230949801</v>
      </c>
      <c r="N18" s="24">
        <f>constantes!$R$39</f>
        <v>46.128740107146697</v>
      </c>
      <c r="O18" s="24">
        <f>constantes!$R$40</f>
        <v>31.266920206494341</v>
      </c>
      <c r="P18" s="24">
        <f>constantes!$R$41</f>
        <v>1.7664259372694027</v>
      </c>
      <c r="Q18" s="24">
        <f>constantes!$R$66</f>
        <v>112.19877684501537</v>
      </c>
      <c r="R18" s="24">
        <f>constantes!$R$67</f>
        <v>72.373607910212627</v>
      </c>
      <c r="S18" s="24">
        <f>constantes!$R$68</f>
        <v>66.686248230949801</v>
      </c>
      <c r="T18" s="24">
        <f>constantes!$R$69</f>
        <v>46.128740107146697</v>
      </c>
      <c r="U18" s="24">
        <f>constantes!$R$70</f>
        <v>31.266920206494341</v>
      </c>
      <c r="V18" s="24">
        <f>constantes!$R$71</f>
        <v>1.7664259372694027</v>
      </c>
      <c r="W18" s="24">
        <f>constantes!$R$76</f>
        <v>112.19877684501537</v>
      </c>
      <c r="X18" s="24">
        <f>constantes!$R$77</f>
        <v>72.373607910212627</v>
      </c>
      <c r="Y18" s="24">
        <f>constantes!$R$78</f>
        <v>66.686248230949801</v>
      </c>
      <c r="Z18" s="24">
        <f>constantes!$R$79</f>
        <v>46.128740107146697</v>
      </c>
      <c r="AA18" s="24">
        <f>constantes!$R$80</f>
        <v>31.266920206494341</v>
      </c>
      <c r="AB18" s="24">
        <f>constantes!$R$81</f>
        <v>1.7664259372694027</v>
      </c>
      <c r="AC18" s="5">
        <f>constantes!$R$31</f>
        <v>50000</v>
      </c>
      <c r="AD18">
        <f>constantes!$R$86</f>
        <v>1000000000000000</v>
      </c>
      <c r="AE18">
        <f>constantes!$R$88</f>
        <v>1000000000000000</v>
      </c>
      <c r="AF18">
        <f>constantes!$R$89</f>
        <v>1000000000000000</v>
      </c>
      <c r="AG18">
        <f>constantes!$R$90</f>
        <v>1000000000000000</v>
      </c>
      <c r="AH18">
        <f>constantes!$R$91</f>
        <v>1000000000000000</v>
      </c>
      <c r="AI18">
        <f>constantes!$R$92</f>
        <v>3885.6887211625804</v>
      </c>
      <c r="AJ18">
        <f>constantes!$R$93</f>
        <v>1000000000000000</v>
      </c>
      <c r="AK18">
        <f>constantes!$R$98</f>
        <v>10000</v>
      </c>
      <c r="AL18" s="24">
        <f>constantes!$R$87</f>
        <v>1000000000000000</v>
      </c>
    </row>
    <row r="19" spans="1:38">
      <c r="A19" s="274">
        <v>2029</v>
      </c>
      <c r="B19" s="154">
        <f>constantes!$S$17</f>
        <v>10000000</v>
      </c>
      <c r="C19">
        <f>constantes!$S$22</f>
        <v>0</v>
      </c>
      <c r="D19">
        <f>constantes!$S$23</f>
        <v>0</v>
      </c>
      <c r="E19">
        <f>constantes!$S$24</f>
        <v>0</v>
      </c>
      <c r="F19">
        <f>constantes!$S$25</f>
        <v>0</v>
      </c>
      <c r="G19">
        <f>constantes!$S$26</f>
        <v>0</v>
      </c>
      <c r="H19" s="376">
        <f>constantes!$S$106</f>
        <v>1250000</v>
      </c>
      <c r="I19" s="377">
        <f>constantes!$S$107</f>
        <v>1250000</v>
      </c>
      <c r="J19" s="376">
        <f>constantes!$S$108</f>
        <v>12500000000</v>
      </c>
      <c r="K19" s="24">
        <f>constantes!$S$36</f>
        <v>112.19877684501537</v>
      </c>
      <c r="L19" s="24">
        <f>constantes!$S$37</f>
        <v>72.373607910212627</v>
      </c>
      <c r="M19" s="24">
        <f>constantes!$S$38</f>
        <v>66.686248230949801</v>
      </c>
      <c r="N19" s="24">
        <f>constantes!$S$39</f>
        <v>46.128740107146697</v>
      </c>
      <c r="O19" s="24">
        <f>constantes!$S$40</f>
        <v>31.266920206494341</v>
      </c>
      <c r="P19" s="24">
        <f>constantes!$S$41</f>
        <v>1.7664259372694027</v>
      </c>
      <c r="Q19" s="24">
        <f>constantes!$S$66</f>
        <v>112.19877684501537</v>
      </c>
      <c r="R19" s="24">
        <f>constantes!$S$67</f>
        <v>72.373607910212627</v>
      </c>
      <c r="S19" s="24">
        <f>constantes!$S$68</f>
        <v>66.686248230949801</v>
      </c>
      <c r="T19" s="24">
        <f>constantes!$S$69</f>
        <v>46.128740107146697</v>
      </c>
      <c r="U19" s="24">
        <f>constantes!$S$70</f>
        <v>31.266920206494341</v>
      </c>
      <c r="V19" s="24">
        <f>constantes!$S$71</f>
        <v>1.7664259372694027</v>
      </c>
      <c r="W19" s="24">
        <f>constantes!$S$76</f>
        <v>112.19877684501537</v>
      </c>
      <c r="X19" s="24">
        <f>constantes!$S$77</f>
        <v>72.373607910212627</v>
      </c>
      <c r="Y19" s="24">
        <f>constantes!$S$78</f>
        <v>66.686248230949801</v>
      </c>
      <c r="Z19" s="24">
        <f>constantes!$S$79</f>
        <v>46.128740107146697</v>
      </c>
      <c r="AA19" s="24">
        <f>constantes!$S$80</f>
        <v>31.266920206494341</v>
      </c>
      <c r="AB19" s="24">
        <f>constantes!$S$81</f>
        <v>1.7664259372694027</v>
      </c>
      <c r="AC19" s="5">
        <f>constantes!$S$31</f>
        <v>50000</v>
      </c>
      <c r="AD19">
        <f>constantes!$S$86</f>
        <v>1000000000000000</v>
      </c>
      <c r="AE19">
        <f>constantes!$S$88</f>
        <v>1000000000000000</v>
      </c>
      <c r="AF19">
        <f>constantes!$S$89</f>
        <v>1000000000000000</v>
      </c>
      <c r="AG19">
        <f>constantes!$S$90</f>
        <v>1000000000000000</v>
      </c>
      <c r="AH19">
        <f>constantes!$S$91</f>
        <v>1000000000000000</v>
      </c>
      <c r="AI19">
        <f>constantes!$S$92</f>
        <v>4023.2507696964817</v>
      </c>
      <c r="AJ19">
        <f>constantes!$S$93</f>
        <v>1000000000000000</v>
      </c>
      <c r="AK19">
        <f>constantes!$S$98</f>
        <v>10000</v>
      </c>
      <c r="AL19" s="24">
        <f>constantes!$S$87</f>
        <v>1000000000000000</v>
      </c>
    </row>
    <row r="20" spans="1:38">
      <c r="A20" s="274">
        <v>2030</v>
      </c>
      <c r="B20" s="154">
        <f>constantes!$T$17</f>
        <v>10000000</v>
      </c>
      <c r="C20">
        <f>constantes!$T$22</f>
        <v>0</v>
      </c>
      <c r="D20">
        <f>constantes!$T$23</f>
        <v>0</v>
      </c>
      <c r="E20">
        <f>constantes!$T$24</f>
        <v>0</v>
      </c>
      <c r="F20">
        <f>constantes!$T$25</f>
        <v>0</v>
      </c>
      <c r="G20">
        <f>constantes!$T$26</f>
        <v>0</v>
      </c>
      <c r="H20" s="376">
        <f>constantes!$T$106</f>
        <v>1250000</v>
      </c>
      <c r="I20" s="377">
        <f>constantes!$T$107</f>
        <v>1250000</v>
      </c>
      <c r="J20" s="376">
        <f>constantes!$T$108</f>
        <v>12500000000</v>
      </c>
      <c r="K20" s="24">
        <f>constantes!$T$36</f>
        <v>112.19877684501537</v>
      </c>
      <c r="L20" s="24">
        <f>constantes!$T$37</f>
        <v>72.373607910212627</v>
      </c>
      <c r="M20" s="24">
        <f>constantes!$T$38</f>
        <v>66.686248230949801</v>
      </c>
      <c r="N20" s="24">
        <f>constantes!$T$39</f>
        <v>46.128740107146697</v>
      </c>
      <c r="O20" s="24">
        <f>constantes!$T$40</f>
        <v>31.266920206494341</v>
      </c>
      <c r="P20" s="24">
        <f>constantes!$T$41</f>
        <v>1.7664259372694027</v>
      </c>
      <c r="Q20" s="24">
        <f>constantes!$T$66</f>
        <v>112.19877684501537</v>
      </c>
      <c r="R20" s="24">
        <f>constantes!$T$67</f>
        <v>72.373607910212627</v>
      </c>
      <c r="S20" s="24">
        <f>constantes!$T$68</f>
        <v>66.686248230949801</v>
      </c>
      <c r="T20" s="24">
        <f>constantes!$T$69</f>
        <v>46.128740107146697</v>
      </c>
      <c r="U20" s="24">
        <f>constantes!$T$70</f>
        <v>31.266920206494341</v>
      </c>
      <c r="V20" s="24">
        <f>constantes!$T$71</f>
        <v>1.7664259372694027</v>
      </c>
      <c r="W20" s="24">
        <f>constantes!$T$76</f>
        <v>112.19877684501537</v>
      </c>
      <c r="X20" s="24">
        <f>constantes!$T$77</f>
        <v>72.373607910212627</v>
      </c>
      <c r="Y20" s="24">
        <f>constantes!$T$78</f>
        <v>66.686248230949801</v>
      </c>
      <c r="Z20" s="24">
        <f>constantes!$T$79</f>
        <v>46.128740107146697</v>
      </c>
      <c r="AA20" s="24">
        <f>constantes!$T$80</f>
        <v>31.266920206494341</v>
      </c>
      <c r="AB20" s="24">
        <f>constantes!$T$81</f>
        <v>1.7664259372694027</v>
      </c>
      <c r="AC20" s="5">
        <f>constantes!$T$31</f>
        <v>50000</v>
      </c>
      <c r="AD20">
        <f>constantes!$T$86</f>
        <v>1000000000000000</v>
      </c>
      <c r="AE20">
        <f>constantes!$T$88</f>
        <v>1000000000000000</v>
      </c>
      <c r="AF20">
        <f>constantes!$T$89</f>
        <v>1000000000000000</v>
      </c>
      <c r="AG20">
        <f>constantes!$T$90</f>
        <v>1000000000000000</v>
      </c>
      <c r="AH20">
        <f>constantes!$T$91</f>
        <v>1000000000000000</v>
      </c>
      <c r="AI20">
        <f>constantes!$T$92</f>
        <v>4182.7532596122619</v>
      </c>
      <c r="AJ20">
        <f>constantes!$T$93</f>
        <v>1000000000000000</v>
      </c>
      <c r="AK20">
        <f>constantes!$T$98</f>
        <v>10000</v>
      </c>
      <c r="AL20" s="24">
        <f>constantes!$T$87</f>
        <v>1000000000000000</v>
      </c>
    </row>
    <row r="21" spans="1:38">
      <c r="A21" s="274">
        <v>2031</v>
      </c>
      <c r="B21" s="154">
        <f>constantes!$U$17</f>
        <v>10000000</v>
      </c>
      <c r="C21">
        <f>constantes!$U$22</f>
        <v>0</v>
      </c>
      <c r="D21">
        <f>constantes!$U$23</f>
        <v>0</v>
      </c>
      <c r="E21">
        <f>constantes!$U$24</f>
        <v>0</v>
      </c>
      <c r="F21">
        <f>constantes!$U$25</f>
        <v>0</v>
      </c>
      <c r="G21">
        <f>constantes!$U$26</f>
        <v>0</v>
      </c>
      <c r="H21" s="376">
        <f>constantes!$U$106</f>
        <v>1450000</v>
      </c>
      <c r="I21" s="377">
        <f>constantes!$U$107</f>
        <v>1450000</v>
      </c>
      <c r="J21" s="376">
        <f>constantes!$U$108</f>
        <v>14500000000</v>
      </c>
      <c r="K21" s="24">
        <f>constantes!$U$36</f>
        <v>112.19877684501537</v>
      </c>
      <c r="L21" s="24">
        <f>constantes!$U$37</f>
        <v>72.373607910212627</v>
      </c>
      <c r="M21" s="24">
        <f>constantes!$U$38</f>
        <v>66.686248230949801</v>
      </c>
      <c r="N21" s="24">
        <f>constantes!$U$39</f>
        <v>46.128740107146697</v>
      </c>
      <c r="O21" s="24">
        <f>constantes!$U$40</f>
        <v>31.266920206494341</v>
      </c>
      <c r="P21" s="24">
        <f>constantes!$U$41</f>
        <v>1.7664259372694027</v>
      </c>
      <c r="Q21" s="24">
        <f>constantes!$U$66</f>
        <v>112.19877684501537</v>
      </c>
      <c r="R21" s="24">
        <f>constantes!$U$67</f>
        <v>72.373607910212627</v>
      </c>
      <c r="S21" s="24">
        <f>constantes!$U$68</f>
        <v>66.686248230949801</v>
      </c>
      <c r="T21" s="24">
        <f>constantes!$U$69</f>
        <v>46.128740107146697</v>
      </c>
      <c r="U21" s="24">
        <f>constantes!$U$70</f>
        <v>31.266920206494341</v>
      </c>
      <c r="V21" s="24">
        <f>constantes!$U$71</f>
        <v>1.7664259372694027</v>
      </c>
      <c r="W21" s="24">
        <f>constantes!$U$76</f>
        <v>112.19877684501537</v>
      </c>
      <c r="X21" s="24">
        <f>constantes!$U$77</f>
        <v>72.373607910212627</v>
      </c>
      <c r="Y21" s="24">
        <f>constantes!$U$78</f>
        <v>66.686248230949801</v>
      </c>
      <c r="Z21" s="24">
        <f>constantes!$U$79</f>
        <v>46.128740107146697</v>
      </c>
      <c r="AA21" s="24">
        <f>constantes!$U$80</f>
        <v>31.266920206494341</v>
      </c>
      <c r="AB21" s="24">
        <f>constantes!$U$81</f>
        <v>1.7664259372694027</v>
      </c>
      <c r="AC21" s="5">
        <f>constantes!$U$31</f>
        <v>50000</v>
      </c>
      <c r="AD21">
        <f>constantes!$U$86</f>
        <v>1000000000000000</v>
      </c>
      <c r="AE21">
        <f>constantes!$U$88</f>
        <v>1000000000000000</v>
      </c>
      <c r="AF21">
        <f>constantes!$U$89</f>
        <v>1000000000000000</v>
      </c>
      <c r="AG21">
        <f>constantes!$U$90</f>
        <v>1000000000000000</v>
      </c>
      <c r="AH21">
        <f>constantes!$U$91</f>
        <v>1000000000000000</v>
      </c>
      <c r="AI21">
        <f>constantes!$U$92</f>
        <v>4443.1050684578158</v>
      </c>
      <c r="AJ21">
        <f>constantes!$U$93</f>
        <v>1000000000000000</v>
      </c>
      <c r="AK21">
        <f>constantes!$U$98</f>
        <v>10000</v>
      </c>
      <c r="AL21" s="24">
        <f>constantes!$U$87</f>
        <v>1000000000000000</v>
      </c>
    </row>
    <row r="22" spans="1:38">
      <c r="A22" s="274">
        <v>2032</v>
      </c>
      <c r="B22" s="154">
        <f>constantes!$V$17</f>
        <v>10000000</v>
      </c>
      <c r="C22">
        <f>constantes!$V$22</f>
        <v>0</v>
      </c>
      <c r="D22">
        <f>constantes!$V$23</f>
        <v>0</v>
      </c>
      <c r="E22">
        <f>constantes!$V$24</f>
        <v>0</v>
      </c>
      <c r="F22">
        <f>constantes!$V$25</f>
        <v>0</v>
      </c>
      <c r="G22">
        <f>constantes!$V$26</f>
        <v>0</v>
      </c>
      <c r="H22" s="376">
        <f>constantes!$V$106</f>
        <v>1450000</v>
      </c>
      <c r="I22" s="377">
        <f>constantes!$V$107</f>
        <v>1450000</v>
      </c>
      <c r="J22" s="376">
        <f>constantes!$V$108</f>
        <v>14500000000</v>
      </c>
      <c r="K22" s="24">
        <f>constantes!$V$36</f>
        <v>112.19877684501537</v>
      </c>
      <c r="L22" s="24">
        <f>constantes!$V$37</f>
        <v>72.833905603395635</v>
      </c>
      <c r="M22" s="24">
        <f>constantes!$V$38</f>
        <v>68.229243703671955</v>
      </c>
      <c r="N22" s="24">
        <f>constantes!$V$39</f>
        <v>46.558971309630522</v>
      </c>
      <c r="O22" s="24">
        <f>constantes!$V$40</f>
        <v>34.034533985011066</v>
      </c>
      <c r="P22" s="24">
        <f>constantes!$V$41</f>
        <v>1.9743721629312017</v>
      </c>
      <c r="Q22" s="24">
        <f>constantes!$V$66</f>
        <v>112.19877684501537</v>
      </c>
      <c r="R22" s="24">
        <f>constantes!$V$67</f>
        <v>72.833905603395635</v>
      </c>
      <c r="S22" s="24">
        <f>constantes!$V$68</f>
        <v>68.229243703671955</v>
      </c>
      <c r="T22" s="24">
        <f>constantes!$V$69</f>
        <v>46.558971309630522</v>
      </c>
      <c r="U22" s="24">
        <f>constantes!$V$70</f>
        <v>34.034533985011066</v>
      </c>
      <c r="V22" s="24">
        <f>constantes!$V$71</f>
        <v>1.9743721629312017</v>
      </c>
      <c r="W22" s="24">
        <f>constantes!$V$76</f>
        <v>112.19877684501537</v>
      </c>
      <c r="X22" s="24">
        <f>constantes!$V$77</f>
        <v>72.833905603395635</v>
      </c>
      <c r="Y22" s="24">
        <f>constantes!$V$78</f>
        <v>68.229243703671955</v>
      </c>
      <c r="Z22" s="24">
        <f>constantes!$V$79</f>
        <v>46.558971309630522</v>
      </c>
      <c r="AA22" s="24">
        <f>constantes!$V$80</f>
        <v>34.034533985011066</v>
      </c>
      <c r="AB22" s="24">
        <f>constantes!$V$81</f>
        <v>1.9743721629312017</v>
      </c>
      <c r="AC22" s="5">
        <f>constantes!$V$31</f>
        <v>50000</v>
      </c>
      <c r="AD22">
        <f>constantes!$V$86</f>
        <v>1000000000000000</v>
      </c>
      <c r="AE22">
        <f>constantes!$V$88</f>
        <v>1000000000000000</v>
      </c>
      <c r="AF22">
        <f>constantes!$V$89</f>
        <v>1000000000000000</v>
      </c>
      <c r="AG22">
        <f>constantes!$V$90</f>
        <v>1000000000000000</v>
      </c>
      <c r="AH22">
        <f>constantes!$V$91</f>
        <v>1000000000000000</v>
      </c>
      <c r="AI22">
        <f>constantes!$V$92</f>
        <v>4564.0629217695378</v>
      </c>
      <c r="AJ22">
        <f>constantes!$V$93</f>
        <v>1000000000000000</v>
      </c>
      <c r="AK22">
        <f>constantes!$V$98</f>
        <v>10000</v>
      </c>
      <c r="AL22" s="24">
        <f>constantes!$V$87</f>
        <v>1000000000000000</v>
      </c>
    </row>
    <row r="23" spans="1:38">
      <c r="A23" s="274">
        <v>2033</v>
      </c>
      <c r="B23" s="154">
        <f>constantes!$W$17</f>
        <v>10000000</v>
      </c>
      <c r="C23">
        <f>constantes!$W$22</f>
        <v>0</v>
      </c>
      <c r="D23">
        <f>constantes!$W$23</f>
        <v>0</v>
      </c>
      <c r="E23">
        <f>constantes!$W$24</f>
        <v>0</v>
      </c>
      <c r="F23">
        <f>constantes!$W$25</f>
        <v>0</v>
      </c>
      <c r="G23">
        <f>constantes!$W$26</f>
        <v>0</v>
      </c>
      <c r="H23" s="376">
        <f>constantes!$W$106</f>
        <v>1450000</v>
      </c>
      <c r="I23" s="377">
        <f>constantes!$W$107</f>
        <v>1450000</v>
      </c>
      <c r="J23" s="376">
        <f>constantes!$W$108</f>
        <v>14500000000</v>
      </c>
      <c r="K23" s="24">
        <f>constantes!$W$36</f>
        <v>112.19877684501537</v>
      </c>
      <c r="L23" s="24">
        <f>constantes!$W$37</f>
        <v>74.465340862706299</v>
      </c>
      <c r="M23" s="24">
        <f>constantes!$W$38</f>
        <v>69.845069509415026</v>
      </c>
      <c r="N23" s="24">
        <f>constantes!$W$39</f>
        <v>46.389202512114345</v>
      </c>
      <c r="O23" s="24">
        <f>constantes!$W$40</f>
        <v>36.80486273844933</v>
      </c>
      <c r="P23" s="24">
        <f>constantes!$W$41</f>
        <v>2.1823183885930009</v>
      </c>
      <c r="Q23" s="24">
        <f>constantes!$W$66</f>
        <v>112.19877684501537</v>
      </c>
      <c r="R23" s="24">
        <f>constantes!$W$67</f>
        <v>74.465340862706299</v>
      </c>
      <c r="S23" s="24">
        <f>constantes!$W$68</f>
        <v>69.845069509415026</v>
      </c>
      <c r="T23" s="24">
        <f>constantes!$W$69</f>
        <v>46.389202512114345</v>
      </c>
      <c r="U23" s="24">
        <f>constantes!$W$70</f>
        <v>36.80486273844933</v>
      </c>
      <c r="V23" s="24">
        <f>constantes!$W$71</f>
        <v>2.1823183885930009</v>
      </c>
      <c r="W23" s="24">
        <f>constantes!$W$76</f>
        <v>112.19877684501537</v>
      </c>
      <c r="X23" s="24">
        <f>constantes!$W$77</f>
        <v>74.465340862706299</v>
      </c>
      <c r="Y23" s="24">
        <f>constantes!$W$78</f>
        <v>69.845069509415026</v>
      </c>
      <c r="Z23" s="24">
        <f>constantes!$W$79</f>
        <v>46.389202512114345</v>
      </c>
      <c r="AA23" s="24">
        <f>constantes!$W$80</f>
        <v>36.80486273844933</v>
      </c>
      <c r="AB23" s="24">
        <f>constantes!$W$81</f>
        <v>2.1823183885930009</v>
      </c>
      <c r="AC23" s="5">
        <f>constantes!$W$31</f>
        <v>50000</v>
      </c>
      <c r="AD23">
        <f>constantes!$W$86</f>
        <v>1000000000000000</v>
      </c>
      <c r="AE23">
        <f>constantes!$W$88</f>
        <v>1000000000000000</v>
      </c>
      <c r="AF23">
        <f>constantes!$W$89</f>
        <v>1000000000000000</v>
      </c>
      <c r="AG23">
        <f>constantes!$W$90</f>
        <v>1000000000000000</v>
      </c>
      <c r="AH23">
        <f>constantes!$W$91</f>
        <v>1000000000000000</v>
      </c>
      <c r="AI23">
        <f>constantes!$W$92</f>
        <v>4553.2620062418546</v>
      </c>
      <c r="AJ23">
        <f>constantes!$W$93</f>
        <v>1000000000000000</v>
      </c>
      <c r="AK23">
        <f>constantes!$W$98</f>
        <v>10000</v>
      </c>
      <c r="AL23" s="24">
        <f>constantes!$W$87</f>
        <v>1000000000000000</v>
      </c>
    </row>
    <row r="24" spans="1:38">
      <c r="A24" s="274">
        <v>2034</v>
      </c>
      <c r="B24" s="154">
        <f>constantes!$X$17</f>
        <v>10000000</v>
      </c>
      <c r="C24">
        <f>constantes!$X$22</f>
        <v>0</v>
      </c>
      <c r="D24">
        <f>constantes!$X$23</f>
        <v>0</v>
      </c>
      <c r="E24">
        <f>constantes!$X$24</f>
        <v>0</v>
      </c>
      <c r="F24">
        <f>constantes!$X$25</f>
        <v>0</v>
      </c>
      <c r="G24">
        <f>constantes!$X$26</f>
        <v>0</v>
      </c>
      <c r="H24" s="376">
        <f>constantes!$X$106</f>
        <v>1450000</v>
      </c>
      <c r="I24" s="377">
        <f>constantes!$X$107</f>
        <v>1450000</v>
      </c>
      <c r="J24" s="376">
        <f>constantes!$X$108</f>
        <v>14500000000</v>
      </c>
      <c r="K24" s="24">
        <f>constantes!$X$36</f>
        <v>112.19877684501537</v>
      </c>
      <c r="L24" s="24">
        <f>constantes!$X$37</f>
        <v>76.074166018131208</v>
      </c>
      <c r="M24" s="24">
        <f>constantes!$X$38</f>
        <v>71.431897810576032</v>
      </c>
      <c r="N24" s="24">
        <f>constantes!$X$39</f>
        <v>46.819433714598169</v>
      </c>
      <c r="O24" s="24">
        <f>constantes!$X$40</f>
        <v>39.574110520615562</v>
      </c>
      <c r="P24" s="24">
        <f>constantes!$X$41</f>
        <v>2.3902646142547996</v>
      </c>
      <c r="Q24" s="24">
        <f>constantes!$X$66</f>
        <v>112.19877684501537</v>
      </c>
      <c r="R24" s="24">
        <f>constantes!$X$67</f>
        <v>76.074166018131208</v>
      </c>
      <c r="S24" s="24">
        <f>constantes!$X$68</f>
        <v>71.431897810576032</v>
      </c>
      <c r="T24" s="24">
        <f>constantes!$X$69</f>
        <v>46.819433714598169</v>
      </c>
      <c r="U24" s="24">
        <f>constantes!$X$70</f>
        <v>39.574110520615562</v>
      </c>
      <c r="V24" s="24">
        <f>constantes!$X$71</f>
        <v>2.3902646142547996</v>
      </c>
      <c r="W24" s="24">
        <f>constantes!$X$76</f>
        <v>112.19877684501537</v>
      </c>
      <c r="X24" s="24">
        <f>constantes!$X$77</f>
        <v>76.074166018131208</v>
      </c>
      <c r="Y24" s="24">
        <f>constantes!$X$78</f>
        <v>71.431897810576032</v>
      </c>
      <c r="Z24" s="24">
        <f>constantes!$X$79</f>
        <v>46.819433714598169</v>
      </c>
      <c r="AA24" s="24">
        <f>constantes!$X$80</f>
        <v>39.574110520615562</v>
      </c>
      <c r="AB24" s="24">
        <f>constantes!$X$81</f>
        <v>2.3902646142547996</v>
      </c>
      <c r="AC24" s="5">
        <f>constantes!$X$31</f>
        <v>50000</v>
      </c>
      <c r="AD24">
        <f>constantes!$X$86</f>
        <v>1000000000000000</v>
      </c>
      <c r="AE24">
        <f>constantes!$X$88</f>
        <v>1000000000000000</v>
      </c>
      <c r="AF24">
        <f>constantes!$X$89</f>
        <v>1000000000000000</v>
      </c>
      <c r="AG24">
        <f>constantes!$X$90</f>
        <v>1000000000000000</v>
      </c>
      <c r="AH24">
        <f>constantes!$X$91</f>
        <v>1000000000000000</v>
      </c>
      <c r="AI24">
        <f>constantes!$X$92</f>
        <v>4676.8022271144846</v>
      </c>
      <c r="AJ24">
        <f>constantes!$X$93</f>
        <v>1000000000000000</v>
      </c>
      <c r="AK24">
        <f>constantes!$X$98</f>
        <v>10000</v>
      </c>
      <c r="AL24" s="24">
        <f>constantes!$X$87</f>
        <v>1000000000000000</v>
      </c>
    </row>
    <row r="25" spans="1:38">
      <c r="A25" s="274">
        <v>2035</v>
      </c>
      <c r="B25" s="154">
        <f>constantes!$Y$17</f>
        <v>10000000</v>
      </c>
      <c r="C25">
        <f>constantes!$Y$22</f>
        <v>0</v>
      </c>
      <c r="D25">
        <f>constantes!$Y$23</f>
        <v>0</v>
      </c>
      <c r="E25">
        <f>constantes!$Y$24</f>
        <v>0</v>
      </c>
      <c r="F25">
        <f>constantes!$Y$25</f>
        <v>0</v>
      </c>
      <c r="G25">
        <f>constantes!$Y$26</f>
        <v>0</v>
      </c>
      <c r="H25" s="376">
        <f>constantes!$Y$106</f>
        <v>1450000</v>
      </c>
      <c r="I25" s="377">
        <f>constantes!$Y$107</f>
        <v>1450000</v>
      </c>
      <c r="J25" s="376">
        <f>constantes!$Y$108</f>
        <v>14500000000</v>
      </c>
      <c r="K25" s="24">
        <f>constantes!$Y$36</f>
        <v>112.19877684501537</v>
      </c>
      <c r="L25" s="24">
        <f>constantes!$Y$37</f>
        <v>77.672025093672531</v>
      </c>
      <c r="M25" s="24">
        <f>constantes!$Y$38</f>
        <v>73.003862091806837</v>
      </c>
      <c r="N25" s="24">
        <f>constantes!$Y$39</f>
        <v>48.368664917081979</v>
      </c>
      <c r="O25" s="24">
        <f>constantes!$Y$40</f>
        <v>42.342834023133165</v>
      </c>
      <c r="P25" s="24">
        <f>constantes!$Y$41</f>
        <v>2.598210839916598</v>
      </c>
      <c r="Q25" s="24">
        <f>constantes!$Y$66</f>
        <v>112.19877684501537</v>
      </c>
      <c r="R25" s="24">
        <f>constantes!$Y$67</f>
        <v>77.672025093672531</v>
      </c>
      <c r="S25" s="24">
        <f>constantes!$Y$68</f>
        <v>73.003862091806837</v>
      </c>
      <c r="T25" s="24">
        <f>constantes!$Y$69</f>
        <v>48.368664917081979</v>
      </c>
      <c r="U25" s="24">
        <f>constantes!$Y$70</f>
        <v>42.342834023133165</v>
      </c>
      <c r="V25" s="24">
        <f>constantes!$Y$71</f>
        <v>2.598210839916598</v>
      </c>
      <c r="W25" s="24">
        <f>constantes!$Y$76</f>
        <v>112.19877684501537</v>
      </c>
      <c r="X25" s="24">
        <f>constantes!$Y$77</f>
        <v>77.672025093672531</v>
      </c>
      <c r="Y25" s="24">
        <f>constantes!$Y$78</f>
        <v>73.003862091806837</v>
      </c>
      <c r="Z25" s="24">
        <f>constantes!$Y$79</f>
        <v>48.368664917081979</v>
      </c>
      <c r="AA25" s="24">
        <f>constantes!$Y$80</f>
        <v>42.342834023133165</v>
      </c>
      <c r="AB25" s="24">
        <f>constantes!$Y$81</f>
        <v>2.598210839916598</v>
      </c>
      <c r="AC25" s="5">
        <f>constantes!$Y$31</f>
        <v>50000</v>
      </c>
      <c r="AD25">
        <f>constantes!$Y$86</f>
        <v>1000000000000000</v>
      </c>
      <c r="AE25">
        <f>constantes!$Y$88</f>
        <v>1000000000000000</v>
      </c>
      <c r="AF25">
        <f>constantes!$Y$89</f>
        <v>1000000000000000</v>
      </c>
      <c r="AG25">
        <f>constantes!$Y$90</f>
        <v>1000000000000000</v>
      </c>
      <c r="AH25">
        <f>constantes!$Y$91</f>
        <v>1000000000000000</v>
      </c>
      <c r="AI25">
        <f>constantes!$Y$92</f>
        <v>4821.3144468549544</v>
      </c>
      <c r="AJ25">
        <f>constantes!$Y$93</f>
        <v>1000000000000000</v>
      </c>
      <c r="AK25">
        <f>constantes!$Y$98</f>
        <v>10000</v>
      </c>
      <c r="AL25" s="24">
        <f>constantes!$Y$87</f>
        <v>1000000000000000</v>
      </c>
    </row>
    <row r="26" spans="1:38">
      <c r="A26" s="274">
        <v>2036</v>
      </c>
      <c r="B26" s="154">
        <f>constantes!$Z$17</f>
        <v>10000000</v>
      </c>
      <c r="C26">
        <f>constantes!$Z$22</f>
        <v>0</v>
      </c>
      <c r="D26">
        <f>constantes!$Z$23</f>
        <v>0</v>
      </c>
      <c r="E26">
        <f>constantes!$Z$24</f>
        <v>0</v>
      </c>
      <c r="F26">
        <f>constantes!$Z$25</f>
        <v>0</v>
      </c>
      <c r="G26">
        <f>constantes!$Z$26</f>
        <v>0</v>
      </c>
      <c r="H26" s="376">
        <f>constantes!$Z$106</f>
        <v>1950000</v>
      </c>
      <c r="I26" s="377">
        <f>constantes!$Z$107</f>
        <v>1950000</v>
      </c>
      <c r="J26" s="376">
        <f>constantes!$Z$108</f>
        <v>19500000000</v>
      </c>
      <c r="K26" s="24">
        <f>constantes!$Z$36</f>
        <v>112.19877684501537</v>
      </c>
      <c r="L26" s="24">
        <f>constantes!$Z$37</f>
        <v>83.594264776845549</v>
      </c>
      <c r="M26" s="24">
        <f>constantes!$Z$38</f>
        <v>73.525303263146526</v>
      </c>
      <c r="N26" s="24">
        <f>constantes!$Z$39</f>
        <v>53.92743493266547</v>
      </c>
      <c r="O26" s="24">
        <f>constantes!$Z$40</f>
        <v>43.413034811945707</v>
      </c>
      <c r="P26" s="24">
        <f>constantes!$Z$41</f>
        <v>2.8291333022314697</v>
      </c>
      <c r="Q26" s="24">
        <f>constantes!$Z$66</f>
        <v>112.19877684501537</v>
      </c>
      <c r="R26" s="24">
        <f>constantes!$Z$67</f>
        <v>83.594264776845549</v>
      </c>
      <c r="S26" s="24">
        <f>constantes!$Z$68</f>
        <v>73.525303263146526</v>
      </c>
      <c r="T26" s="24">
        <f>constantes!$Z$69</f>
        <v>53.92743493266547</v>
      </c>
      <c r="U26" s="24">
        <f>constantes!$Z$70</f>
        <v>43.413034811945707</v>
      </c>
      <c r="V26" s="24">
        <f>constantes!$Z$71</f>
        <v>2.8291333022314697</v>
      </c>
      <c r="W26" s="24">
        <f>constantes!$Z$76</f>
        <v>112.19877684501537</v>
      </c>
      <c r="X26" s="24">
        <f>constantes!$Z$77</f>
        <v>83.594264776845549</v>
      </c>
      <c r="Y26" s="24">
        <f>constantes!$Z$78</f>
        <v>73.525303263146526</v>
      </c>
      <c r="Z26" s="24">
        <f>constantes!$Z$79</f>
        <v>53.92743493266547</v>
      </c>
      <c r="AA26" s="24">
        <f>constantes!$Z$80</f>
        <v>43.413034811945707</v>
      </c>
      <c r="AB26" s="24">
        <f>constantes!$Z$81</f>
        <v>2.8291333022314697</v>
      </c>
      <c r="AC26" s="5">
        <f>constantes!$Z$31</f>
        <v>50000</v>
      </c>
      <c r="AD26">
        <f>constantes!$Z$86</f>
        <v>1000000000000000</v>
      </c>
      <c r="AE26">
        <f>constantes!$Z$88</f>
        <v>1000000000000000</v>
      </c>
      <c r="AF26">
        <f>constantes!$Z$89</f>
        <v>1000000000000000</v>
      </c>
      <c r="AG26">
        <f>constantes!$Z$90</f>
        <v>1000000000000000</v>
      </c>
      <c r="AH26">
        <f>constantes!$Z$91</f>
        <v>1000000000000000</v>
      </c>
      <c r="AI26">
        <f>constantes!$Z$92</f>
        <v>5121.3568666304354</v>
      </c>
      <c r="AJ26">
        <f>constantes!$Z$93</f>
        <v>1000000000000000</v>
      </c>
      <c r="AK26">
        <f>constantes!$Z$98</f>
        <v>10000</v>
      </c>
      <c r="AL26" s="24">
        <f>constantes!$Z$87</f>
        <v>1000000000000000</v>
      </c>
    </row>
    <row r="27" spans="1:38">
      <c r="A27" s="274">
        <v>2037</v>
      </c>
      <c r="B27" s="154">
        <f>constantes!$AA$17</f>
        <v>10000000</v>
      </c>
      <c r="C27">
        <f>constantes!$AA$22</f>
        <v>0</v>
      </c>
      <c r="D27">
        <f>constantes!$AA$23</f>
        <v>0</v>
      </c>
      <c r="E27">
        <f>constantes!$AA$24</f>
        <v>0</v>
      </c>
      <c r="F27">
        <f>constantes!$AA$25</f>
        <v>0</v>
      </c>
      <c r="G27">
        <f>constantes!$AA$26</f>
        <v>0</v>
      </c>
      <c r="H27" s="376">
        <f>constantes!$AA$106</f>
        <v>1950000</v>
      </c>
      <c r="I27" s="377">
        <f>constantes!$AA$107</f>
        <v>1950000</v>
      </c>
      <c r="J27" s="376">
        <f>constantes!$AA$108</f>
        <v>19500000000</v>
      </c>
      <c r="K27" s="24">
        <f>constantes!$AA$36</f>
        <v>112.19877684501537</v>
      </c>
      <c r="L27" s="24">
        <f>constantes!$AA$37</f>
        <v>89.543089986228665</v>
      </c>
      <c r="M27" s="24">
        <f>constantes!$AA$38</f>
        <v>74.275191426348556</v>
      </c>
      <c r="N27" s="24">
        <f>constantes!$AA$39</f>
        <v>59.034204948248963</v>
      </c>
      <c r="O27" s="24">
        <f>constantes!$AA$40</f>
        <v>44.484506633842841</v>
      </c>
      <c r="P27" s="24">
        <f>constantes!$AA$41</f>
        <v>3.0600557645463415</v>
      </c>
      <c r="Q27" s="24">
        <f>constantes!$AA$66</f>
        <v>112.19877684501537</v>
      </c>
      <c r="R27" s="24">
        <f>constantes!$AA$67</f>
        <v>89.543089986228665</v>
      </c>
      <c r="S27" s="24">
        <f>constantes!$AA$68</f>
        <v>74.275191426348556</v>
      </c>
      <c r="T27" s="24">
        <f>constantes!$AA$69</f>
        <v>59.034204948248963</v>
      </c>
      <c r="U27" s="24">
        <f>constantes!$AA$70</f>
        <v>44.484506633842841</v>
      </c>
      <c r="V27" s="24">
        <f>constantes!$AA$71</f>
        <v>3.0600557645463415</v>
      </c>
      <c r="W27" s="24">
        <f>constantes!$AA$76</f>
        <v>112.19877684501537</v>
      </c>
      <c r="X27" s="24">
        <f>constantes!$AA$77</f>
        <v>89.543089986228665</v>
      </c>
      <c r="Y27" s="24">
        <f>constantes!$AA$78</f>
        <v>74.275191426348556</v>
      </c>
      <c r="Z27" s="24">
        <f>constantes!$AA$79</f>
        <v>59.034204948248963</v>
      </c>
      <c r="AA27" s="24">
        <f>constantes!$AA$80</f>
        <v>44.484506633842841</v>
      </c>
      <c r="AB27" s="24">
        <f>constantes!$AA$81</f>
        <v>3.0600557645463415</v>
      </c>
      <c r="AC27" s="5">
        <f>constantes!$AA$31</f>
        <v>50000</v>
      </c>
      <c r="AD27">
        <f>constantes!$AA$86</f>
        <v>1000000000000000</v>
      </c>
      <c r="AE27">
        <f>constantes!$AA$88</f>
        <v>1000000000000000</v>
      </c>
      <c r="AF27">
        <f>constantes!$AA$89</f>
        <v>1000000000000000</v>
      </c>
      <c r="AG27">
        <f>constantes!$AA$90</f>
        <v>1000000000000000</v>
      </c>
      <c r="AH27">
        <f>constantes!$AA$91</f>
        <v>1000000000000000</v>
      </c>
      <c r="AI27">
        <f>constantes!$AA$92</f>
        <v>5022.2669046687042</v>
      </c>
      <c r="AJ27">
        <f>constantes!$AA$93</f>
        <v>1000000000000000</v>
      </c>
      <c r="AK27">
        <f>constantes!$AA$98</f>
        <v>10000</v>
      </c>
      <c r="AL27" s="24">
        <f>constantes!$AA$87</f>
        <v>1000000000000000</v>
      </c>
    </row>
    <row r="28" spans="1:38">
      <c r="A28" s="274">
        <v>2038</v>
      </c>
      <c r="B28" s="154">
        <f>constantes!$AB$17</f>
        <v>10000000</v>
      </c>
      <c r="C28">
        <f>constantes!$AB$22</f>
        <v>0</v>
      </c>
      <c r="D28">
        <f>constantes!$AB$23</f>
        <v>0</v>
      </c>
      <c r="E28">
        <f>constantes!$AB$24</f>
        <v>0</v>
      </c>
      <c r="F28">
        <f>constantes!$AB$25</f>
        <v>0</v>
      </c>
      <c r="G28">
        <f>constantes!$AB$26</f>
        <v>0</v>
      </c>
      <c r="H28" s="376">
        <f>constantes!$AB$106</f>
        <v>1950000</v>
      </c>
      <c r="I28" s="377">
        <f>constantes!$AB$107</f>
        <v>1950000</v>
      </c>
      <c r="J28" s="376">
        <f>constantes!$AB$108</f>
        <v>19500000000</v>
      </c>
      <c r="K28" s="24">
        <f>constantes!$AB$36</f>
        <v>112.19877684501537</v>
      </c>
      <c r="L28" s="24">
        <f>constantes!$AB$37</f>
        <v>95.405902517804151</v>
      </c>
      <c r="M28" s="24">
        <f>constantes!$AB$38</f>
        <v>74.922057153944237</v>
      </c>
      <c r="N28" s="24">
        <f>constantes!$AB$39</f>
        <v>64.037974963832454</v>
      </c>
      <c r="O28" s="24">
        <f>constantes!$AB$40</f>
        <v>45.551866257308248</v>
      </c>
      <c r="P28" s="24">
        <f>constantes!$AB$41</f>
        <v>3.2909782268612129</v>
      </c>
      <c r="Q28" s="24">
        <f>constantes!$AB$66</f>
        <v>112.19877684501537</v>
      </c>
      <c r="R28" s="24">
        <f>constantes!$AB$67</f>
        <v>95.405902517804151</v>
      </c>
      <c r="S28" s="24">
        <f>constantes!$AB$68</f>
        <v>74.922057153944237</v>
      </c>
      <c r="T28" s="24">
        <f>constantes!$AB$69</f>
        <v>64.037974963832454</v>
      </c>
      <c r="U28" s="24">
        <f>constantes!$AB$70</f>
        <v>45.551866257308248</v>
      </c>
      <c r="V28" s="24">
        <f>constantes!$AB$71</f>
        <v>3.2909782268612129</v>
      </c>
      <c r="W28" s="24">
        <f>constantes!$AB$76</f>
        <v>112.19877684501537</v>
      </c>
      <c r="X28" s="24">
        <f>constantes!$AB$77</f>
        <v>95.405902517804151</v>
      </c>
      <c r="Y28" s="24">
        <f>constantes!$AB$78</f>
        <v>74.922057153944237</v>
      </c>
      <c r="Z28" s="24">
        <f>constantes!$AB$79</f>
        <v>64.037974963832454</v>
      </c>
      <c r="AA28" s="24">
        <f>constantes!$AB$80</f>
        <v>45.551866257308248</v>
      </c>
      <c r="AB28" s="24">
        <f>constantes!$AB$81</f>
        <v>3.2909782268612129</v>
      </c>
      <c r="AC28" s="5">
        <f>constantes!$AB$31</f>
        <v>50000</v>
      </c>
      <c r="AD28">
        <f>constantes!$AB$86</f>
        <v>1000000000000000</v>
      </c>
      <c r="AE28">
        <f>constantes!$AB$88</f>
        <v>1000000000000000</v>
      </c>
      <c r="AF28">
        <f>constantes!$AB$89</f>
        <v>1000000000000000</v>
      </c>
      <c r="AG28">
        <f>constantes!$AB$90</f>
        <v>1000000000000000</v>
      </c>
      <c r="AH28">
        <f>constantes!$AB$91</f>
        <v>1000000000000000</v>
      </c>
      <c r="AI28">
        <f>constantes!$AB$92</f>
        <v>5035.0754715230069</v>
      </c>
      <c r="AJ28">
        <f>constantes!$AB$93</f>
        <v>1000000000000000</v>
      </c>
      <c r="AK28">
        <f>constantes!$AB$98</f>
        <v>10000</v>
      </c>
      <c r="AL28" s="24">
        <f>constantes!$AB$87</f>
        <v>1000000000000000</v>
      </c>
    </row>
    <row r="29" spans="1:38">
      <c r="A29" s="274">
        <v>2039</v>
      </c>
      <c r="B29" s="154">
        <f>constantes!$AC$17</f>
        <v>10000000</v>
      </c>
      <c r="C29">
        <f>constantes!$AC$22</f>
        <v>0</v>
      </c>
      <c r="D29">
        <f>constantes!$AC$23</f>
        <v>0</v>
      </c>
      <c r="E29">
        <f>constantes!$AC$24</f>
        <v>0</v>
      </c>
      <c r="F29">
        <f>constantes!$AC$25</f>
        <v>0</v>
      </c>
      <c r="G29">
        <f>constantes!$AC$26</f>
        <v>0</v>
      </c>
      <c r="H29" s="376">
        <f>constantes!$AC$106</f>
        <v>1950000</v>
      </c>
      <c r="I29" s="377">
        <f>constantes!$AC$107</f>
        <v>1950000</v>
      </c>
      <c r="J29" s="376">
        <f>constantes!$AC$108</f>
        <v>19500000000</v>
      </c>
      <c r="K29" s="24">
        <f>constantes!$AC$36</f>
        <v>112.19877684501537</v>
      </c>
      <c r="L29" s="24">
        <f>constantes!$AC$37</f>
        <v>101.26591915638852</v>
      </c>
      <c r="M29" s="24">
        <f>constantes!$AC$38</f>
        <v>75.558469143047532</v>
      </c>
      <c r="N29" s="24">
        <f>constantes!$AC$39</f>
        <v>69.20074497941593</v>
      </c>
      <c r="O29" s="24">
        <f>constantes!$AC$40</f>
        <v>46.619092211330198</v>
      </c>
      <c r="P29" s="24">
        <f>constantes!$AC$41</f>
        <v>3.5219006891760847</v>
      </c>
      <c r="Q29" s="24">
        <f>constantes!$AC$66</f>
        <v>112.19877684501537</v>
      </c>
      <c r="R29" s="24">
        <f>constantes!$AC$67</f>
        <v>101.26591915638852</v>
      </c>
      <c r="S29" s="24">
        <f>constantes!$AC$68</f>
        <v>75.558469143047532</v>
      </c>
      <c r="T29" s="24">
        <f>constantes!$AC$69</f>
        <v>69.20074497941593</v>
      </c>
      <c r="U29" s="24">
        <f>constantes!$AC$70</f>
        <v>46.619092211330198</v>
      </c>
      <c r="V29" s="24">
        <f>constantes!$AC$71</f>
        <v>3.5219006891760847</v>
      </c>
      <c r="W29" s="24">
        <f>constantes!$AC$76</f>
        <v>112.19877684501537</v>
      </c>
      <c r="X29" s="24">
        <f>constantes!$AC$77</f>
        <v>101.26591915638852</v>
      </c>
      <c r="Y29" s="24">
        <f>constantes!$AC$78</f>
        <v>75.558469143047532</v>
      </c>
      <c r="Z29" s="24">
        <f>constantes!$AC$79</f>
        <v>69.20074497941593</v>
      </c>
      <c r="AA29" s="24">
        <f>constantes!$AC$80</f>
        <v>46.619092211330198</v>
      </c>
      <c r="AB29" s="24">
        <f>constantes!$AC$81</f>
        <v>3.5219006891760847</v>
      </c>
      <c r="AC29" s="5">
        <f>constantes!$AC$31</f>
        <v>50000</v>
      </c>
      <c r="AD29">
        <f>constantes!$AC$86</f>
        <v>1000000000000000</v>
      </c>
      <c r="AE29">
        <f>constantes!$AC$88</f>
        <v>1000000000000000</v>
      </c>
      <c r="AF29">
        <f>constantes!$AC$89</f>
        <v>1000000000000000</v>
      </c>
      <c r="AG29">
        <f>constantes!$AC$90</f>
        <v>1000000000000000</v>
      </c>
      <c r="AH29">
        <f>constantes!$AC$91</f>
        <v>1000000000000000</v>
      </c>
      <c r="AI29">
        <f>constantes!$AC$92</f>
        <v>4801.2555768848351</v>
      </c>
      <c r="AJ29">
        <f>constantes!$AC$93</f>
        <v>1000000000000000</v>
      </c>
      <c r="AK29">
        <f>constantes!$AC$98</f>
        <v>10000</v>
      </c>
      <c r="AL29" s="24">
        <f>constantes!$AC$87</f>
        <v>1000000000000000</v>
      </c>
    </row>
    <row r="30" spans="1:38">
      <c r="A30" s="274">
        <v>2040</v>
      </c>
      <c r="B30" s="154">
        <f>constantes!$AD$17</f>
        <v>10000000</v>
      </c>
      <c r="C30">
        <f>constantes!$AD$22</f>
        <v>0</v>
      </c>
      <c r="D30">
        <f>constantes!$AD$23</f>
        <v>0</v>
      </c>
      <c r="E30">
        <f>constantes!$AD$24</f>
        <v>0</v>
      </c>
      <c r="F30">
        <f>constantes!$AD$25</f>
        <v>0</v>
      </c>
      <c r="G30">
        <f>constantes!$AD$26</f>
        <v>0</v>
      </c>
      <c r="H30" s="376">
        <f>constantes!$AD$106</f>
        <v>1950000</v>
      </c>
      <c r="I30" s="377">
        <f>constantes!$AD$107</f>
        <v>1950000</v>
      </c>
      <c r="J30" s="376">
        <f>constantes!$AD$108</f>
        <v>19500000000</v>
      </c>
      <c r="K30" s="24">
        <f>constantes!$AD$36</f>
        <v>112.19877684501537</v>
      </c>
      <c r="L30" s="24">
        <f>constantes!$AD$37</f>
        <v>107.21796173605873</v>
      </c>
      <c r="M30" s="24">
        <f>constantes!$AD$38</f>
        <v>76.308489590238011</v>
      </c>
      <c r="N30" s="24">
        <f>constantes!$AD$39</f>
        <v>74.769514994999426</v>
      </c>
      <c r="O30" s="24">
        <f>constantes!$AD$40</f>
        <v>47.6907178531686</v>
      </c>
      <c r="P30" s="24">
        <f>constantes!$AD$41</f>
        <v>3.7528231514909556</v>
      </c>
      <c r="Q30" s="24">
        <f>constantes!$AD$66</f>
        <v>112.19877684501537</v>
      </c>
      <c r="R30" s="24">
        <f>constantes!$AD$67</f>
        <v>107.21796173605873</v>
      </c>
      <c r="S30" s="24">
        <f>constantes!$AD$68</f>
        <v>76.308489590238011</v>
      </c>
      <c r="T30" s="24">
        <f>constantes!$AD$69</f>
        <v>74.769514994999426</v>
      </c>
      <c r="U30" s="24">
        <f>constantes!$AD$70</f>
        <v>47.6907178531686</v>
      </c>
      <c r="V30" s="24">
        <f>constantes!$AD$71</f>
        <v>3.7528231514909556</v>
      </c>
      <c r="W30" s="24">
        <f>constantes!$AD$76</f>
        <v>112.19877684501537</v>
      </c>
      <c r="X30" s="24">
        <f>constantes!$AD$77</f>
        <v>107.21796173605873</v>
      </c>
      <c r="Y30" s="24">
        <f>constantes!$AD$78</f>
        <v>76.308489590238011</v>
      </c>
      <c r="Z30" s="24">
        <f>constantes!$AD$79</f>
        <v>74.769514994999426</v>
      </c>
      <c r="AA30" s="24">
        <f>constantes!$AD$80</f>
        <v>47.6907178531686</v>
      </c>
      <c r="AB30" s="24">
        <f>constantes!$AD$81</f>
        <v>3.7528231514909556</v>
      </c>
      <c r="AC30" s="5">
        <f>constantes!$AD$31</f>
        <v>50000</v>
      </c>
      <c r="AD30">
        <f>constantes!$AD$86</f>
        <v>1000000000000000</v>
      </c>
      <c r="AE30">
        <f>constantes!$AD$88</f>
        <v>1000000000000000</v>
      </c>
      <c r="AF30">
        <f>constantes!$AD$89</f>
        <v>1000000000000000</v>
      </c>
      <c r="AG30">
        <f>constantes!$AD$90</f>
        <v>1000000000000000</v>
      </c>
      <c r="AH30">
        <f>constantes!$AD$91</f>
        <v>1000000000000000</v>
      </c>
      <c r="AI30">
        <f>constantes!$AD$92</f>
        <v>4718.6206778394298</v>
      </c>
      <c r="AJ30">
        <f>constantes!$AD$93</f>
        <v>1000000000000000</v>
      </c>
      <c r="AK30">
        <f>constantes!$AD$98</f>
        <v>10000</v>
      </c>
      <c r="AL30" s="24">
        <f>constantes!$AD$87</f>
        <v>1000000000000000</v>
      </c>
    </row>
    <row r="31" spans="1:38">
      <c r="A31" s="274">
        <v>2041</v>
      </c>
      <c r="B31" s="154">
        <f>constantes!$AE$17</f>
        <v>10000000</v>
      </c>
      <c r="C31">
        <f>constantes!$AE$22</f>
        <v>0</v>
      </c>
      <c r="D31">
        <f>constantes!$AE$23</f>
        <v>0</v>
      </c>
      <c r="E31">
        <f>constantes!$AE$24</f>
        <v>0</v>
      </c>
      <c r="F31">
        <f>constantes!$AE$25</f>
        <v>0</v>
      </c>
      <c r="G31">
        <f>constantes!$AE$26</f>
        <v>0</v>
      </c>
      <c r="H31" s="376">
        <f>constantes!$AE$106</f>
        <v>2600000</v>
      </c>
      <c r="I31" s="377">
        <f>constantes!$AE$107</f>
        <v>2600000</v>
      </c>
      <c r="J31" s="376">
        <f>constantes!$AE$108</f>
        <v>26000000000</v>
      </c>
      <c r="K31" s="24">
        <f>constantes!$AE$36</f>
        <v>112.19877684501537</v>
      </c>
      <c r="L31" s="24">
        <f>constantes!$AE$37</f>
        <v>108.39361542500035</v>
      </c>
      <c r="M31" s="24">
        <f>constantes!$AE$38</f>
        <v>77.316702416075373</v>
      </c>
      <c r="N31" s="24">
        <f>constantes!$AE$39</f>
        <v>78.697494539668298</v>
      </c>
      <c r="O31" s="24">
        <f>constantes!$AE$40</f>
        <v>48.19196440060162</v>
      </c>
      <c r="P31" s="24">
        <f>constantes!$AE$41</f>
        <v>3.9404721982758106</v>
      </c>
      <c r="Q31" s="24">
        <f>constantes!$AE$66</f>
        <v>112.19877684501537</v>
      </c>
      <c r="R31" s="24">
        <f>constantes!$AE$67</f>
        <v>108.39361542500035</v>
      </c>
      <c r="S31" s="24">
        <f>constantes!$AE$68</f>
        <v>77.316702416075373</v>
      </c>
      <c r="T31" s="24">
        <f>constantes!$AE$69</f>
        <v>78.697494539668298</v>
      </c>
      <c r="U31" s="24">
        <f>constantes!$AE$70</f>
        <v>48.19196440060162</v>
      </c>
      <c r="V31" s="24">
        <f>constantes!$AE$71</f>
        <v>3.9404721982758106</v>
      </c>
      <c r="W31" s="24">
        <f>constantes!$AE$76</f>
        <v>112.19877684501537</v>
      </c>
      <c r="X31" s="24">
        <f>constantes!$AE$77</f>
        <v>108.39361542500035</v>
      </c>
      <c r="Y31" s="24">
        <f>constantes!$AE$78</f>
        <v>77.316702416075373</v>
      </c>
      <c r="Z31" s="24">
        <f>constantes!$AE$79</f>
        <v>78.697494539668298</v>
      </c>
      <c r="AA31" s="24">
        <f>constantes!$AE$80</f>
        <v>48.19196440060162</v>
      </c>
      <c r="AB31" s="24">
        <f>constantes!$AE$81</f>
        <v>3.9404721982758106</v>
      </c>
      <c r="AC31" s="5">
        <f>constantes!$AE$31</f>
        <v>50000</v>
      </c>
      <c r="AD31">
        <f>constantes!$AE$86</f>
        <v>1000000000000000</v>
      </c>
      <c r="AE31">
        <f>constantes!$AE$88</f>
        <v>1000000000000000</v>
      </c>
      <c r="AF31">
        <f>constantes!$AE$89</f>
        <v>1000000000000000</v>
      </c>
      <c r="AG31">
        <f>constantes!$AE$90</f>
        <v>1000000000000000</v>
      </c>
      <c r="AH31">
        <f>constantes!$AE$91</f>
        <v>1000000000000000</v>
      </c>
      <c r="AI31">
        <f>constantes!$AE$92</f>
        <v>4136.1001272163203</v>
      </c>
      <c r="AJ31">
        <f>constantes!$AE$93</f>
        <v>1000000000000000</v>
      </c>
      <c r="AK31">
        <f>constantes!$AE$98</f>
        <v>10000</v>
      </c>
      <c r="AL31" s="24">
        <f>constantes!$AE$87</f>
        <v>1000000000000000</v>
      </c>
    </row>
    <row r="32" spans="1:38">
      <c r="A32" s="274">
        <v>2042</v>
      </c>
      <c r="B32" s="154">
        <f>constantes!$AF$17</f>
        <v>10000000</v>
      </c>
      <c r="C32">
        <f>constantes!$AF$22</f>
        <v>0</v>
      </c>
      <c r="D32">
        <f>constantes!$AF$23</f>
        <v>0</v>
      </c>
      <c r="E32">
        <f>constantes!$AF$24</f>
        <v>0</v>
      </c>
      <c r="F32">
        <f>constantes!$AF$25</f>
        <v>0</v>
      </c>
      <c r="G32">
        <f>constantes!$AF$26</f>
        <v>0</v>
      </c>
      <c r="H32" s="376">
        <f>constantes!$AF$106</f>
        <v>2600000</v>
      </c>
      <c r="I32" s="377">
        <f>constantes!$AF$107</f>
        <v>2600000</v>
      </c>
      <c r="J32" s="376">
        <f>constantes!$AF$108</f>
        <v>26000000000</v>
      </c>
      <c r="K32" s="24">
        <f>constantes!$AF$36</f>
        <v>112.19877684501537</v>
      </c>
      <c r="L32" s="24">
        <f>constantes!$AF$37</f>
        <v>109.55377747778138</v>
      </c>
      <c r="M32" s="24">
        <f>constantes!$AF$38</f>
        <v>78.304623186780361</v>
      </c>
      <c r="N32" s="24">
        <f>constantes!$AF$39</f>
        <v>82.642474084337181</v>
      </c>
      <c r="O32" s="24">
        <f>constantes!$AF$40</f>
        <v>48.69247030510212</v>
      </c>
      <c r="P32" s="24">
        <f>constantes!$AF$41</f>
        <v>4.1281212450606652</v>
      </c>
      <c r="Q32" s="24">
        <f>constantes!$AF$66</f>
        <v>112.19877684501537</v>
      </c>
      <c r="R32" s="24">
        <f>constantes!$AF$67</f>
        <v>109.55377747778138</v>
      </c>
      <c r="S32" s="24">
        <f>constantes!$AF$68</f>
        <v>78.304623186780361</v>
      </c>
      <c r="T32" s="24">
        <f>constantes!$AF$69</f>
        <v>82.642474084337181</v>
      </c>
      <c r="U32" s="24">
        <f>constantes!$AF$70</f>
        <v>48.69247030510212</v>
      </c>
      <c r="V32" s="24">
        <f>constantes!$AF$71</f>
        <v>4.1281212450606652</v>
      </c>
      <c r="W32" s="24">
        <f>constantes!$AF$76</f>
        <v>112.19877684501537</v>
      </c>
      <c r="X32" s="24">
        <f>constantes!$AF$77</f>
        <v>109.55377747778138</v>
      </c>
      <c r="Y32" s="24">
        <f>constantes!$AF$78</f>
        <v>78.304623186780361</v>
      </c>
      <c r="Z32" s="24">
        <f>constantes!$AF$79</f>
        <v>82.642474084337181</v>
      </c>
      <c r="AA32" s="24">
        <f>constantes!$AF$80</f>
        <v>48.69247030510212</v>
      </c>
      <c r="AB32" s="24">
        <f>constantes!$AF$81</f>
        <v>4.1281212450606652</v>
      </c>
      <c r="AC32" s="5">
        <f>constantes!$AF$31</f>
        <v>50000</v>
      </c>
      <c r="AD32">
        <f>constantes!$AF$86</f>
        <v>1000000000000000</v>
      </c>
      <c r="AE32">
        <f>constantes!$AF$88</f>
        <v>1000000000000000</v>
      </c>
      <c r="AF32">
        <f>constantes!$AF$89</f>
        <v>1000000000000000</v>
      </c>
      <c r="AG32">
        <f>constantes!$AF$90</f>
        <v>1000000000000000</v>
      </c>
      <c r="AH32">
        <f>constantes!$AF$91</f>
        <v>1000000000000000</v>
      </c>
      <c r="AI32">
        <f>constantes!$AF$92</f>
        <v>4156.5308193596493</v>
      </c>
      <c r="AJ32">
        <f>constantes!$AF$93</f>
        <v>1000000000000000</v>
      </c>
      <c r="AK32">
        <f>constantes!$AF$98</f>
        <v>10000</v>
      </c>
      <c r="AL32" s="24">
        <f>constantes!$AF$87</f>
        <v>1000000000000000</v>
      </c>
    </row>
    <row r="33" spans="1:60">
      <c r="A33" s="274">
        <v>2043</v>
      </c>
      <c r="B33" s="154">
        <f>constantes!$AG$17</f>
        <v>10000000</v>
      </c>
      <c r="C33">
        <f>constantes!$AG$22</f>
        <v>0</v>
      </c>
      <c r="D33">
        <f>constantes!$AG$23</f>
        <v>0</v>
      </c>
      <c r="E33">
        <f>constantes!$AG$24</f>
        <v>0</v>
      </c>
      <c r="F33">
        <f>constantes!$AG$25</f>
        <v>0</v>
      </c>
      <c r="G33">
        <f>constantes!$AG$26</f>
        <v>0</v>
      </c>
      <c r="H33" s="376">
        <f>constantes!$AG$106</f>
        <v>2600000</v>
      </c>
      <c r="I33" s="377">
        <f>constantes!$AG$107</f>
        <v>2600000</v>
      </c>
      <c r="J33" s="376">
        <f>constantes!$AG$108</f>
        <v>26000000000</v>
      </c>
      <c r="K33" s="24">
        <f>constantes!$AG$36</f>
        <v>112.19877684501537</v>
      </c>
      <c r="L33" s="24">
        <f>constantes!$AG$37</f>
        <v>110.65987610039778</v>
      </c>
      <c r="M33" s="24">
        <f>constantes!$AG$38</f>
        <v>79.221395497474163</v>
      </c>
      <c r="N33" s="24">
        <f>constantes!$AG$39</f>
        <v>86.627453629006069</v>
      </c>
      <c r="O33" s="24">
        <f>constantes!$AG$40</f>
        <v>49.190391479555814</v>
      </c>
      <c r="P33" s="24">
        <f>constantes!$AG$41</f>
        <v>4.3157702918455199</v>
      </c>
      <c r="Q33" s="24">
        <f>constantes!$AG$66</f>
        <v>112.19877684501537</v>
      </c>
      <c r="R33" s="24">
        <f>constantes!$AG$67</f>
        <v>110.65987610039778</v>
      </c>
      <c r="S33" s="24">
        <f>constantes!$AG$68</f>
        <v>79.221395497474163</v>
      </c>
      <c r="T33" s="24">
        <f>constantes!$AG$69</f>
        <v>86.627453629006069</v>
      </c>
      <c r="U33" s="24">
        <f>constantes!$AG$70</f>
        <v>49.190391479555814</v>
      </c>
      <c r="V33" s="24">
        <f>constantes!$AG$71</f>
        <v>4.3157702918455199</v>
      </c>
      <c r="W33" s="24">
        <f>constantes!$AG$76</f>
        <v>112.19877684501537</v>
      </c>
      <c r="X33" s="24">
        <f>constantes!$AG$77</f>
        <v>110.65987610039778</v>
      </c>
      <c r="Y33" s="24">
        <f>constantes!$AG$78</f>
        <v>79.221395497474163</v>
      </c>
      <c r="Z33" s="24">
        <f>constantes!$AG$79</f>
        <v>86.627453629006069</v>
      </c>
      <c r="AA33" s="24">
        <f>constantes!$AG$80</f>
        <v>49.190391479555814</v>
      </c>
      <c r="AB33" s="24">
        <f>constantes!$AG$81</f>
        <v>4.3157702918455199</v>
      </c>
      <c r="AC33" s="5">
        <f>constantes!$AG$31</f>
        <v>50000</v>
      </c>
      <c r="AD33">
        <f>constantes!$AG$86</f>
        <v>1000000000000000</v>
      </c>
      <c r="AE33">
        <f>constantes!$AG$88</f>
        <v>1000000000000000</v>
      </c>
      <c r="AF33">
        <f>constantes!$AG$89</f>
        <v>1000000000000000</v>
      </c>
      <c r="AG33">
        <f>constantes!$AG$90</f>
        <v>1000000000000000</v>
      </c>
      <c r="AH33">
        <f>constantes!$AG$91</f>
        <v>1000000000000000</v>
      </c>
      <c r="AI33">
        <f>constantes!$AG$92</f>
        <v>4143.2231104021903</v>
      </c>
      <c r="AJ33">
        <f>constantes!$AG$93</f>
        <v>1000000000000000</v>
      </c>
      <c r="AK33">
        <f>constantes!$AG$98</f>
        <v>10000</v>
      </c>
      <c r="AL33" s="24">
        <f>constantes!$AG$87</f>
        <v>1000000000000000</v>
      </c>
    </row>
    <row r="34" spans="1:60">
      <c r="A34" s="274">
        <v>2044</v>
      </c>
      <c r="B34" s="154">
        <f>constantes!$AH$17</f>
        <v>10000000</v>
      </c>
      <c r="C34">
        <f>constantes!$AH$22</f>
        <v>0</v>
      </c>
      <c r="D34">
        <f>constantes!$AH$23</f>
        <v>0</v>
      </c>
      <c r="E34">
        <f>constantes!$AH$24</f>
        <v>0</v>
      </c>
      <c r="F34">
        <f>constantes!$AH$25</f>
        <v>0</v>
      </c>
      <c r="G34">
        <f>constantes!$AH$26</f>
        <v>0</v>
      </c>
      <c r="H34" s="376">
        <f>constantes!$AH$106</f>
        <v>2600000</v>
      </c>
      <c r="I34" s="377">
        <f>constantes!$AH$107</f>
        <v>2600000</v>
      </c>
      <c r="J34" s="376">
        <f>constantes!$AH$108</f>
        <v>26000000000</v>
      </c>
      <c r="K34" s="24">
        <f>constantes!$AH$36</f>
        <v>112.19877684501537</v>
      </c>
      <c r="L34" s="24">
        <f>constantes!$AH$37</f>
        <v>111.76110910964849</v>
      </c>
      <c r="M34" s="24">
        <f>constantes!$AH$38</f>
        <v>80.12958864905238</v>
      </c>
      <c r="N34" s="24">
        <f>constantes!$AH$39</f>
        <v>90.581433173674938</v>
      </c>
      <c r="O34" s="24">
        <f>constantes!$AH$40</f>
        <v>49.688080032863859</v>
      </c>
      <c r="P34" s="24">
        <f>constantes!$AH$41</f>
        <v>4.5034193386303745</v>
      </c>
      <c r="Q34" s="24">
        <f>constantes!$AH$66</f>
        <v>112.19877684501537</v>
      </c>
      <c r="R34" s="24">
        <f>constantes!$AH$67</f>
        <v>111.76110910964849</v>
      </c>
      <c r="S34" s="24">
        <f>constantes!$AH$68</f>
        <v>80.12958864905238</v>
      </c>
      <c r="T34" s="24">
        <f>constantes!$AH$69</f>
        <v>90.581433173674938</v>
      </c>
      <c r="U34" s="24">
        <f>constantes!$AH$70</f>
        <v>49.688080032863859</v>
      </c>
      <c r="V34" s="24">
        <f>constantes!$AH$71</f>
        <v>4.5034193386303745</v>
      </c>
      <c r="W34" s="24">
        <f>constantes!$AH$76</f>
        <v>112.19877684501537</v>
      </c>
      <c r="X34" s="24">
        <f>constantes!$AH$77</f>
        <v>111.76110910964849</v>
      </c>
      <c r="Y34" s="24">
        <f>constantes!$AH$78</f>
        <v>80.12958864905238</v>
      </c>
      <c r="Z34" s="24">
        <f>constantes!$AH$79</f>
        <v>90.581433173674938</v>
      </c>
      <c r="AA34" s="24">
        <f>constantes!$AH$80</f>
        <v>49.688080032863859</v>
      </c>
      <c r="AB34" s="24">
        <f>constantes!$AH$81</f>
        <v>4.5034193386303745</v>
      </c>
      <c r="AC34" s="5">
        <f>constantes!$AH$31</f>
        <v>50000</v>
      </c>
      <c r="AD34">
        <f>constantes!$AH$86</f>
        <v>1000000000000000</v>
      </c>
      <c r="AE34">
        <f>constantes!$AH$88</f>
        <v>1000000000000000</v>
      </c>
      <c r="AF34">
        <f>constantes!$AH$89</f>
        <v>1000000000000000</v>
      </c>
      <c r="AG34">
        <f>constantes!$AH$90</f>
        <v>1000000000000000</v>
      </c>
      <c r="AH34">
        <f>constantes!$AH$91</f>
        <v>1000000000000000</v>
      </c>
      <c r="AI34">
        <f>constantes!$AH$92</f>
        <v>4209.6305080756556</v>
      </c>
      <c r="AJ34">
        <f>constantes!$AH$93</f>
        <v>1000000000000000</v>
      </c>
      <c r="AK34">
        <f>constantes!$AH$98</f>
        <v>10000</v>
      </c>
      <c r="AL34" s="24">
        <f>constantes!$AH$87</f>
        <v>1000000000000000</v>
      </c>
    </row>
    <row r="35" spans="1:60">
      <c r="A35" s="274">
        <v>2045</v>
      </c>
      <c r="B35" s="154">
        <f>constantes!$AI$17</f>
        <v>10000000</v>
      </c>
      <c r="C35">
        <f>constantes!$AI$22</f>
        <v>0</v>
      </c>
      <c r="D35">
        <f>constantes!$AI$23</f>
        <v>0</v>
      </c>
      <c r="E35">
        <f>constantes!$AI$24</f>
        <v>0</v>
      </c>
      <c r="F35">
        <f>constantes!$AI$25</f>
        <v>0</v>
      </c>
      <c r="G35">
        <f>constantes!$AI$26</f>
        <v>0</v>
      </c>
      <c r="H35" s="376">
        <f>constantes!$AI$106</f>
        <v>2600000</v>
      </c>
      <c r="I35" s="377">
        <f>constantes!$AI$107</f>
        <v>2600000</v>
      </c>
      <c r="J35" s="376">
        <f>constantes!$AI$108</f>
        <v>26000000000</v>
      </c>
      <c r="K35" s="24">
        <f>constantes!$AI$36</f>
        <v>112.19877684501537</v>
      </c>
      <c r="L35" s="24">
        <f>constantes!$AI$37</f>
        <v>112.85107277817394</v>
      </c>
      <c r="M35" s="24">
        <f>constantes!$AI$38</f>
        <v>81.049238848049328</v>
      </c>
      <c r="N35" s="24">
        <f>constantes!$AI$39</f>
        <v>94.623412718343801</v>
      </c>
      <c r="O35" s="24">
        <f>constantes!$AI$40</f>
        <v>50.185229807861091</v>
      </c>
      <c r="P35" s="24">
        <f>constantes!$AI$41</f>
        <v>4.6910683854152291</v>
      </c>
      <c r="Q35" s="24">
        <f>constantes!$AI$66</f>
        <v>112.19877684501537</v>
      </c>
      <c r="R35" s="24">
        <f>constantes!$AI$67</f>
        <v>112.85107277817394</v>
      </c>
      <c r="S35" s="24">
        <f>constantes!$AI$68</f>
        <v>81.049238848049328</v>
      </c>
      <c r="T35" s="24">
        <f>constantes!$AI$69</f>
        <v>94.623412718343801</v>
      </c>
      <c r="U35" s="24">
        <f>constantes!$AI$70</f>
        <v>50.185229807861091</v>
      </c>
      <c r="V35" s="24">
        <f>constantes!$AI$71</f>
        <v>4.6910683854152291</v>
      </c>
      <c r="W35" s="24">
        <f>constantes!$AI$76</f>
        <v>112.19877684501537</v>
      </c>
      <c r="X35" s="24">
        <f>constantes!$AI$77</f>
        <v>112.85107277817394</v>
      </c>
      <c r="Y35" s="24">
        <f>constantes!$AI$78</f>
        <v>81.049238848049328</v>
      </c>
      <c r="Z35" s="24">
        <f>constantes!$AI$79</f>
        <v>94.623412718343801</v>
      </c>
      <c r="AA35" s="24">
        <f>constantes!$AI$80</f>
        <v>50.185229807861091</v>
      </c>
      <c r="AB35" s="24">
        <f>constantes!$AI$81</f>
        <v>4.6910683854152291</v>
      </c>
      <c r="AC35" s="5">
        <f>constantes!$AI$31</f>
        <v>50000</v>
      </c>
      <c r="AD35">
        <f>constantes!$AI$86</f>
        <v>1000000000000000</v>
      </c>
      <c r="AE35">
        <f>constantes!$AI$88</f>
        <v>1000000000000000</v>
      </c>
      <c r="AF35">
        <f>constantes!$AI$89</f>
        <v>1000000000000000</v>
      </c>
      <c r="AG35">
        <f>constantes!$AI$90</f>
        <v>1000000000000000</v>
      </c>
      <c r="AH35">
        <f>constantes!$AI$91</f>
        <v>1000000000000000</v>
      </c>
      <c r="AI35">
        <f>constantes!$AI$92</f>
        <v>4270.8215729051244</v>
      </c>
      <c r="AJ35">
        <f>constantes!$AI$93</f>
        <v>1000000000000000</v>
      </c>
      <c r="AK35">
        <f>constantes!$AI$98</f>
        <v>10000</v>
      </c>
      <c r="AL35" s="24">
        <f>constantes!$AI$87</f>
        <v>1000000000000000</v>
      </c>
    </row>
    <row r="36" spans="1:60">
      <c r="A36" s="274">
        <v>2046</v>
      </c>
      <c r="B36" s="154">
        <f>constantes!$AJ$17</f>
        <v>10000000</v>
      </c>
      <c r="C36">
        <f>constantes!$AJ$22</f>
        <v>0</v>
      </c>
      <c r="D36">
        <f>constantes!$AJ$23</f>
        <v>0</v>
      </c>
      <c r="E36">
        <f>constantes!$AJ$24</f>
        <v>0</v>
      </c>
      <c r="F36">
        <f>constantes!$AJ$25</f>
        <v>0</v>
      </c>
      <c r="G36">
        <f>constantes!$AJ$26</f>
        <v>0</v>
      </c>
      <c r="H36" s="376">
        <f>constantes!$AJ$106</f>
        <v>2750000</v>
      </c>
      <c r="I36" s="377">
        <f>constantes!$AJ$107</f>
        <v>2750000</v>
      </c>
      <c r="J36" s="376">
        <f>constantes!$AJ$108</f>
        <v>27500000000</v>
      </c>
      <c r="K36" s="24">
        <f>constantes!$AJ$36</f>
        <v>112.19877684501537</v>
      </c>
      <c r="L36" s="24">
        <f>constantes!$AJ$37</f>
        <v>112.69105865578959</v>
      </c>
      <c r="M36" s="24">
        <f>constantes!$AJ$38</f>
        <v>78.465171823785184</v>
      </c>
      <c r="N36" s="24">
        <f>constantes!$AJ$39</f>
        <v>95.615587102648405</v>
      </c>
      <c r="O36" s="24">
        <f>constantes!$AJ$40</f>
        <v>50.363951649285546</v>
      </c>
      <c r="P36" s="24">
        <f>constantes!$AJ$41</f>
        <v>4.723560493593447</v>
      </c>
      <c r="Q36" s="24">
        <f>constantes!$AJ$66</f>
        <v>112.19877684501537</v>
      </c>
      <c r="R36" s="24">
        <f>constantes!$AJ$67</f>
        <v>112.69105865578959</v>
      </c>
      <c r="S36" s="24">
        <f>constantes!$AJ$68</f>
        <v>78.465171823785184</v>
      </c>
      <c r="T36" s="24">
        <f>constantes!$AJ$69</f>
        <v>95.615587102648405</v>
      </c>
      <c r="U36" s="24">
        <f>constantes!$AJ$70</f>
        <v>50.363951649285546</v>
      </c>
      <c r="V36" s="24">
        <f>constantes!$AJ$71</f>
        <v>4.723560493593447</v>
      </c>
      <c r="W36" s="24">
        <f>constantes!$AJ$76</f>
        <v>112.19877684501537</v>
      </c>
      <c r="X36" s="24">
        <f>constantes!$AJ$77</f>
        <v>112.69105865578959</v>
      </c>
      <c r="Y36" s="24">
        <f>constantes!$AJ$78</f>
        <v>78.465171823785184</v>
      </c>
      <c r="Z36" s="24">
        <f>constantes!$AJ$79</f>
        <v>95.615587102648405</v>
      </c>
      <c r="AA36" s="24">
        <f>constantes!$AJ$80</f>
        <v>50.363951649285546</v>
      </c>
      <c r="AB36" s="24">
        <f>constantes!$AJ$81</f>
        <v>4.723560493593447</v>
      </c>
      <c r="AC36" s="5">
        <f>constantes!$AJ$31</f>
        <v>50000</v>
      </c>
      <c r="AD36">
        <f>constantes!$AJ$86</f>
        <v>1000000000000000</v>
      </c>
      <c r="AE36">
        <f>constantes!$AJ$88</f>
        <v>1000000000000000</v>
      </c>
      <c r="AF36">
        <f>constantes!$AJ$89</f>
        <v>1000000000000000</v>
      </c>
      <c r="AG36">
        <f>constantes!$AJ$90</f>
        <v>1000000000000000</v>
      </c>
      <c r="AH36">
        <f>constantes!$AJ$91</f>
        <v>1000000000000000</v>
      </c>
      <c r="AI36">
        <f>constantes!$AJ$92</f>
        <v>4278.2214339867478</v>
      </c>
      <c r="AJ36">
        <f>constantes!$AJ$93</f>
        <v>1000000000000000</v>
      </c>
      <c r="AK36">
        <f>constantes!$AJ$98</f>
        <v>10000</v>
      </c>
      <c r="AL36" s="24">
        <f>constantes!$AJ$87</f>
        <v>1000000000000000</v>
      </c>
    </row>
    <row r="37" spans="1:60">
      <c r="A37" s="274">
        <v>2047</v>
      </c>
      <c r="B37" s="154">
        <f>constantes!$AK$17</f>
        <v>10000000</v>
      </c>
      <c r="C37">
        <f>constantes!$AK$22</f>
        <v>0</v>
      </c>
      <c r="D37">
        <f>constantes!$AK$23</f>
        <v>0</v>
      </c>
      <c r="E37">
        <f>constantes!$AK$24</f>
        <v>0</v>
      </c>
      <c r="F37">
        <f>constantes!$AK$25</f>
        <v>0</v>
      </c>
      <c r="G37">
        <f>constantes!$AK$26</f>
        <v>0</v>
      </c>
      <c r="H37" s="376">
        <f>constantes!$AK$106</f>
        <v>2750000</v>
      </c>
      <c r="I37" s="377">
        <f>constantes!$AK$107</f>
        <v>2750000</v>
      </c>
      <c r="J37" s="376">
        <f>constantes!$AK$108</f>
        <v>27500000000</v>
      </c>
      <c r="K37" s="24">
        <f>constantes!$AK$36</f>
        <v>112.19877684501537</v>
      </c>
      <c r="L37" s="24">
        <f>constantes!$AK$37</f>
        <v>112.54377642659838</v>
      </c>
      <c r="M37" s="24">
        <f>constantes!$AK$38</f>
        <v>75.897433478640437</v>
      </c>
      <c r="N37" s="24">
        <f>constantes!$AK$39</f>
        <v>96.607761486953024</v>
      </c>
      <c r="O37" s="24">
        <f>constantes!$AK$40</f>
        <v>50.543282192503234</v>
      </c>
      <c r="P37" s="24">
        <f>constantes!$AK$41</f>
        <v>4.7560526017716649</v>
      </c>
      <c r="Q37" s="24">
        <f>constantes!$AK$66</f>
        <v>112.19877684501537</v>
      </c>
      <c r="R37" s="24">
        <f>constantes!$AK$67</f>
        <v>112.54377642659838</v>
      </c>
      <c r="S37" s="24">
        <f>constantes!$AK$68</f>
        <v>75.897433478640437</v>
      </c>
      <c r="T37" s="24">
        <f>constantes!$AK$69</f>
        <v>96.607761486953024</v>
      </c>
      <c r="U37" s="24">
        <f>constantes!$AK$70</f>
        <v>50.543282192503234</v>
      </c>
      <c r="V37" s="24">
        <f>constantes!$AK$71</f>
        <v>4.7560526017716649</v>
      </c>
      <c r="W37" s="24">
        <f>constantes!$AK$76</f>
        <v>112.19877684501537</v>
      </c>
      <c r="X37" s="24">
        <f>constantes!$AK$77</f>
        <v>112.54377642659838</v>
      </c>
      <c r="Y37" s="24">
        <f>constantes!$AK$78</f>
        <v>75.897433478640437</v>
      </c>
      <c r="Z37" s="24">
        <f>constantes!$AK$79</f>
        <v>96.607761486953024</v>
      </c>
      <c r="AA37" s="24">
        <f>constantes!$AK$80</f>
        <v>50.543282192503234</v>
      </c>
      <c r="AB37" s="24">
        <f>constantes!$AK$81</f>
        <v>4.7560526017716649</v>
      </c>
      <c r="AC37" s="5">
        <f>constantes!$AK$31</f>
        <v>50000</v>
      </c>
      <c r="AD37">
        <f>constantes!$AK$86</f>
        <v>1000000000000000</v>
      </c>
      <c r="AE37">
        <f>constantes!$AK$88</f>
        <v>1000000000000000</v>
      </c>
      <c r="AF37">
        <f>constantes!$AK$89</f>
        <v>1000000000000000</v>
      </c>
      <c r="AG37">
        <f>constantes!$AK$90</f>
        <v>1000000000000000</v>
      </c>
      <c r="AH37">
        <f>constantes!$AK$91</f>
        <v>1000000000000000</v>
      </c>
      <c r="AI37">
        <f>constantes!$AK$92</f>
        <v>4227.820848821284</v>
      </c>
      <c r="AJ37">
        <f>constantes!$AK$93</f>
        <v>1000000000000000</v>
      </c>
      <c r="AK37">
        <f>constantes!$AK$98</f>
        <v>10000</v>
      </c>
      <c r="AL37" s="24">
        <f>constantes!$AK$87</f>
        <v>1000000000000000</v>
      </c>
    </row>
    <row r="38" spans="1:60">
      <c r="A38" s="274">
        <v>2048</v>
      </c>
      <c r="B38" s="154">
        <f>constantes!$AL$17</f>
        <v>10000000</v>
      </c>
      <c r="C38">
        <f>constantes!$AL$22</f>
        <v>0</v>
      </c>
      <c r="D38">
        <f>constantes!$AL$23</f>
        <v>0</v>
      </c>
      <c r="E38">
        <f>constantes!$AL$24</f>
        <v>0</v>
      </c>
      <c r="F38">
        <f>constantes!$AL$25</f>
        <v>0</v>
      </c>
      <c r="G38">
        <f>constantes!$AL$26</f>
        <v>0</v>
      </c>
      <c r="H38" s="376">
        <f>constantes!$AL$106</f>
        <v>2750000</v>
      </c>
      <c r="I38" s="377">
        <f>constantes!$AL$107</f>
        <v>2750000</v>
      </c>
      <c r="J38" s="376">
        <f>constantes!$AL$108</f>
        <v>27500000000</v>
      </c>
      <c r="K38" s="24">
        <f>constantes!$AL$36</f>
        <v>112.19877684501537</v>
      </c>
      <c r="L38" s="24">
        <f>constantes!$AL$37</f>
        <v>112.38522461956987</v>
      </c>
      <c r="M38" s="24">
        <f>constantes!$AL$38</f>
        <v>73.315241876817723</v>
      </c>
      <c r="N38" s="24">
        <f>constantes!$AL$39</f>
        <v>97.599935871257642</v>
      </c>
      <c r="O38" s="24">
        <f>constantes!$AL$40</f>
        <v>50.722073946073976</v>
      </c>
      <c r="P38" s="24">
        <f>constantes!$AL$41</f>
        <v>4.7885447099498828</v>
      </c>
      <c r="Q38" s="24">
        <f>constantes!$AL$66</f>
        <v>112.19877684501537</v>
      </c>
      <c r="R38" s="24">
        <f>constantes!$AL$67</f>
        <v>112.38522461956987</v>
      </c>
      <c r="S38" s="24">
        <f>constantes!$AL$68</f>
        <v>73.315241876817723</v>
      </c>
      <c r="T38" s="24">
        <f>constantes!$AL$69</f>
        <v>97.599935871257642</v>
      </c>
      <c r="U38" s="24">
        <f>constantes!$AL$70</f>
        <v>50.722073946073976</v>
      </c>
      <c r="V38" s="24">
        <f>constantes!$AL$71</f>
        <v>4.7885447099498828</v>
      </c>
      <c r="W38" s="24">
        <f>constantes!$AL$76</f>
        <v>112.19877684501537</v>
      </c>
      <c r="X38" s="24">
        <f>constantes!$AL$77</f>
        <v>112.38522461956987</v>
      </c>
      <c r="Y38" s="24">
        <f>constantes!$AL$78</f>
        <v>73.315241876817723</v>
      </c>
      <c r="Z38" s="24">
        <f>constantes!$AL$79</f>
        <v>97.599935871257642</v>
      </c>
      <c r="AA38" s="24">
        <f>constantes!$AL$80</f>
        <v>50.722073946073976</v>
      </c>
      <c r="AB38" s="24">
        <f>constantes!$AL$81</f>
        <v>4.7885447099498828</v>
      </c>
      <c r="AC38" s="5">
        <f>constantes!$AL$31</f>
        <v>50000</v>
      </c>
      <c r="AD38">
        <f>constantes!$AL$86</f>
        <v>1000000000000000</v>
      </c>
      <c r="AE38">
        <f>constantes!$AL$88</f>
        <v>1000000000000000</v>
      </c>
      <c r="AF38">
        <f>constantes!$AL$89</f>
        <v>1000000000000000</v>
      </c>
      <c r="AG38">
        <f>constantes!$AL$90</f>
        <v>1000000000000000</v>
      </c>
      <c r="AH38">
        <f>constantes!$AL$91</f>
        <v>1000000000000000</v>
      </c>
      <c r="AI38">
        <f>constantes!$AL$92</f>
        <v>4693.1502445840551</v>
      </c>
      <c r="AJ38">
        <f>constantes!$AL$93</f>
        <v>1000000000000000</v>
      </c>
      <c r="AK38">
        <f>constantes!$AL$98</f>
        <v>10000</v>
      </c>
      <c r="AL38" s="24">
        <f>constantes!$AL$87</f>
        <v>1000000000000000</v>
      </c>
    </row>
    <row r="39" spans="1:60">
      <c r="A39" s="274">
        <v>2049</v>
      </c>
      <c r="B39" s="154">
        <f>constantes!$AM$17</f>
        <v>10000000</v>
      </c>
      <c r="C39">
        <f>constantes!$AM$22</f>
        <v>0</v>
      </c>
      <c r="D39">
        <f>constantes!$AM$23</f>
        <v>0</v>
      </c>
      <c r="E39">
        <f>constantes!$AM$24</f>
        <v>0</v>
      </c>
      <c r="F39">
        <f>constantes!$AM$25</f>
        <v>0</v>
      </c>
      <c r="G39">
        <f>constantes!$AM$26</f>
        <v>0</v>
      </c>
      <c r="H39" s="376">
        <f>constantes!$AM$106</f>
        <v>2750000</v>
      </c>
      <c r="I39" s="377">
        <f>constantes!$AM$107</f>
        <v>2750000</v>
      </c>
      <c r="J39" s="376">
        <f>constantes!$AM$108</f>
        <v>27500000000</v>
      </c>
      <c r="K39" s="24">
        <f>constantes!$AM$36</f>
        <v>112.19877684501537</v>
      </c>
      <c r="L39" s="24">
        <f>constantes!$AM$37</f>
        <v>112.22196876849006</v>
      </c>
      <c r="M39" s="24">
        <f>constantes!$AM$38</f>
        <v>70.727017328856348</v>
      </c>
      <c r="N39" s="24">
        <f>constantes!$AM$39</f>
        <v>98.592110255562247</v>
      </c>
      <c r="O39" s="24">
        <f>constantes!$AM$40</f>
        <v>50.900640803000826</v>
      </c>
      <c r="P39" s="24">
        <f>constantes!$AM$41</f>
        <v>4.8210368181280998</v>
      </c>
      <c r="Q39" s="24">
        <f>constantes!$AM$66</f>
        <v>112.19877684501537</v>
      </c>
      <c r="R39" s="24">
        <f>constantes!$AM$67</f>
        <v>112.22196876849006</v>
      </c>
      <c r="S39" s="24">
        <f>constantes!$AM$68</f>
        <v>70.727017328856348</v>
      </c>
      <c r="T39" s="24">
        <f>constantes!$AM$69</f>
        <v>98.592110255562247</v>
      </c>
      <c r="U39" s="24">
        <f>constantes!$AM$70</f>
        <v>50.900640803000826</v>
      </c>
      <c r="V39" s="24">
        <f>constantes!$AM$71</f>
        <v>4.8210368181280998</v>
      </c>
      <c r="W39" s="24">
        <f>constantes!$AM$76</f>
        <v>112.19877684501537</v>
      </c>
      <c r="X39" s="24">
        <f>constantes!$AM$77</f>
        <v>112.22196876849006</v>
      </c>
      <c r="Y39" s="24">
        <f>constantes!$AM$78</f>
        <v>70.727017328856348</v>
      </c>
      <c r="Z39" s="24">
        <f>constantes!$AM$79</f>
        <v>98.592110255562247</v>
      </c>
      <c r="AA39" s="24">
        <f>constantes!$AM$80</f>
        <v>50.900640803000826</v>
      </c>
      <c r="AB39" s="24">
        <f>constantes!$AM$81</f>
        <v>4.8210368181280998</v>
      </c>
      <c r="AC39" s="5">
        <f>constantes!$AM$31</f>
        <v>50000</v>
      </c>
      <c r="AD39">
        <f>constantes!$AM$86</f>
        <v>1000000000000000</v>
      </c>
      <c r="AE39">
        <f>constantes!$AM$88</f>
        <v>1000000000000000</v>
      </c>
      <c r="AF39">
        <f>constantes!$AM$89</f>
        <v>1000000000000000</v>
      </c>
      <c r="AG39">
        <f>constantes!$AM$90</f>
        <v>1000000000000000</v>
      </c>
      <c r="AH39">
        <f>constantes!$AM$91</f>
        <v>1000000000000000</v>
      </c>
      <c r="AI39">
        <f>constantes!$AM$92</f>
        <v>4476.3521546136335</v>
      </c>
      <c r="AJ39">
        <f>constantes!$AM$93</f>
        <v>1000000000000000</v>
      </c>
      <c r="AK39">
        <f>constantes!$AM$98</f>
        <v>10000</v>
      </c>
      <c r="AL39" s="24">
        <f>constantes!$AM$87</f>
        <v>1000000000000000</v>
      </c>
    </row>
    <row r="40" spans="1:60">
      <c r="A40" s="274">
        <v>2050</v>
      </c>
      <c r="B40" s="154">
        <f>constantes!$AN$17</f>
        <v>10000000</v>
      </c>
      <c r="C40">
        <f>constantes!$AN$22</f>
        <v>0</v>
      </c>
      <c r="D40">
        <f>constantes!$AN$23</f>
        <v>0</v>
      </c>
      <c r="E40">
        <f>constantes!$AN$24</f>
        <v>0</v>
      </c>
      <c r="F40">
        <f>constantes!$AN$25</f>
        <v>0</v>
      </c>
      <c r="G40">
        <f>constantes!$AN$26</f>
        <v>0</v>
      </c>
      <c r="H40" s="376">
        <f>constantes!$AN$106</f>
        <v>2750000</v>
      </c>
      <c r="I40" s="377">
        <f>constantes!$AN$107</f>
        <v>2750000</v>
      </c>
      <c r="J40" s="376">
        <f>constantes!$AN$108</f>
        <v>27500000000</v>
      </c>
      <c r="K40" s="24">
        <f>constantes!$AN$36</f>
        <v>112.19877684501537</v>
      </c>
      <c r="L40" s="24">
        <f>constantes!$AN$37</f>
        <v>112.02233242388093</v>
      </c>
      <c r="M40" s="24">
        <f>constantes!$AN$38</f>
        <v>68.092134723367025</v>
      </c>
      <c r="N40" s="24">
        <f>constantes!$AN$39</f>
        <v>99.584284639866894</v>
      </c>
      <c r="O40" s="24">
        <f>constantes!$AN$40</f>
        <v>51.077468337164468</v>
      </c>
      <c r="P40" s="24">
        <f>constantes!$AN$41</f>
        <v>4.8535289263063186</v>
      </c>
      <c r="Q40" s="24">
        <f>constantes!$AN$66</f>
        <v>112.19877684501537</v>
      </c>
      <c r="R40" s="24">
        <f>constantes!$AN$67</f>
        <v>112.02233242388093</v>
      </c>
      <c r="S40" s="24">
        <f>constantes!$AN$68</f>
        <v>68.092134723367025</v>
      </c>
      <c r="T40" s="24">
        <f>constantes!$AN$69</f>
        <v>99.584284639866894</v>
      </c>
      <c r="U40" s="24">
        <f>constantes!$AN$70</f>
        <v>51.077468337164468</v>
      </c>
      <c r="V40" s="24">
        <f>constantes!$AN$71</f>
        <v>4.8535289263063186</v>
      </c>
      <c r="W40" s="24">
        <f>constantes!$AN$76</f>
        <v>112.19877684501537</v>
      </c>
      <c r="X40" s="24">
        <f>constantes!$AN$77</f>
        <v>112.02233242388093</v>
      </c>
      <c r="Y40" s="24">
        <f>constantes!$AN$78</f>
        <v>68.092134723367025</v>
      </c>
      <c r="Z40" s="24">
        <f>constantes!$AN$79</f>
        <v>99.584284639866894</v>
      </c>
      <c r="AA40" s="24">
        <f>constantes!$AN$80</f>
        <v>51.077468337164468</v>
      </c>
      <c r="AB40" s="24">
        <f>constantes!$AN$81</f>
        <v>4.8535289263063186</v>
      </c>
      <c r="AC40" s="5">
        <f>constantes!$AN$31</f>
        <v>50000</v>
      </c>
      <c r="AD40">
        <f>constantes!$AN$86</f>
        <v>1000000000000000</v>
      </c>
      <c r="AE40">
        <f>constantes!$AN$88</f>
        <v>1000000000000000</v>
      </c>
      <c r="AF40">
        <f>constantes!$AN$89</f>
        <v>1000000000000000</v>
      </c>
      <c r="AG40">
        <f>constantes!$AN$90</f>
        <v>1000000000000000</v>
      </c>
      <c r="AH40">
        <f>constantes!$AN$91</f>
        <v>1000000000000000</v>
      </c>
      <c r="AI40">
        <f>constantes!$AN$92</f>
        <v>4366.2318999529116</v>
      </c>
      <c r="AJ40">
        <f>constantes!$AN$93</f>
        <v>1000000000000000</v>
      </c>
      <c r="AK40">
        <f>constantes!$AN$98</f>
        <v>10000</v>
      </c>
      <c r="AL40" s="24">
        <f>constantes!$AN$87</f>
        <v>1000000000000000</v>
      </c>
    </row>
    <row r="42" spans="1:60">
      <c r="P42" s="24"/>
      <c r="V42" s="24"/>
      <c r="AB42" s="24"/>
      <c r="AC42" s="24"/>
      <c r="AD42" s="24"/>
      <c r="AE42" s="24"/>
      <c r="AF42" s="24"/>
      <c r="AG42" s="24"/>
      <c r="AH42" s="24"/>
      <c r="AI42" s="24"/>
      <c r="AJ42" s="24"/>
      <c r="AK42" s="24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24"/>
      <c r="AX42" s="24"/>
      <c r="AY42" s="24"/>
      <c r="AZ42" s="24"/>
      <c r="BA42" s="24"/>
      <c r="BB42" s="24"/>
      <c r="BC42" s="24"/>
      <c r="BD42" s="24"/>
      <c r="BE42" s="24"/>
      <c r="BF42" s="24"/>
      <c r="BG42" s="24"/>
      <c r="BH42" s="24"/>
    </row>
    <row r="46" spans="1:60">
      <c r="L46" s="24"/>
      <c r="R46" s="24"/>
      <c r="X46" s="24"/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Plan6">
    <tabColor theme="6" tint="0.39997558519241921"/>
  </sheetPr>
  <dimension ref="A1:O269"/>
  <sheetViews>
    <sheetView zoomScale="80" zoomScaleNormal="80" workbookViewId="0">
      <pane xSplit="3" ySplit="1" topLeftCell="D2" activePane="bottomRight" state="frozen"/>
      <selection pane="bottomRight" activeCell="K3" sqref="K3:K36"/>
      <selection pane="bottomLeft" activeCell="A2" sqref="A2"/>
      <selection pane="topRight" activeCell="D1" sqref="D1"/>
    </sheetView>
  </sheetViews>
  <sheetFormatPr defaultColWidth="9.140625" defaultRowHeight="12.75"/>
  <cols>
    <col min="1" max="1" width="10.28515625" customWidth="1"/>
    <col min="2" max="2" width="15.28515625" customWidth="1"/>
    <col min="3" max="3" width="44.5703125" customWidth="1"/>
    <col min="4" max="4" width="7.42578125" customWidth="1"/>
    <col min="5" max="5" width="8.7109375" customWidth="1"/>
    <col min="6" max="6" width="9.28515625" style="125" customWidth="1"/>
    <col min="7" max="7" width="48.7109375" customWidth="1"/>
    <col min="8" max="8" width="5.42578125" customWidth="1"/>
    <col min="9" max="9" width="14.5703125" bestFit="1" customWidth="1"/>
    <col min="10" max="10" width="14.7109375" customWidth="1"/>
    <col min="11" max="11" width="15" customWidth="1"/>
    <col min="12" max="12" width="12" customWidth="1"/>
    <col min="13" max="13" width="12.28515625" customWidth="1"/>
    <col min="14" max="14" width="8.85546875"/>
    <col min="15" max="15" width="20.7109375" customWidth="1"/>
  </cols>
  <sheetData>
    <row r="1" spans="1:15" ht="13.5" thickBot="1">
      <c r="A1" s="2" t="s">
        <v>132</v>
      </c>
      <c r="B1" s="67" t="s">
        <v>133</v>
      </c>
      <c r="C1" s="92" t="s">
        <v>134</v>
      </c>
      <c r="D1" s="61" t="s">
        <v>135</v>
      </c>
      <c r="E1" s="11" t="s">
        <v>136</v>
      </c>
      <c r="F1" s="93" t="s">
        <v>137</v>
      </c>
      <c r="G1" s="93" t="s">
        <v>138</v>
      </c>
      <c r="H1" s="2" t="s">
        <v>139</v>
      </c>
      <c r="I1" s="92" t="s">
        <v>140</v>
      </c>
      <c r="J1" s="61" t="s">
        <v>141</v>
      </c>
      <c r="K1" s="61" t="s">
        <v>142</v>
      </c>
      <c r="L1" s="94" t="s">
        <v>143</v>
      </c>
      <c r="M1" s="92" t="s">
        <v>144</v>
      </c>
      <c r="O1" s="2" t="s">
        <v>145</v>
      </c>
    </row>
    <row r="2" spans="1:15" ht="13.5" thickTop="1">
      <c r="A2" s="95">
        <v>5000</v>
      </c>
      <c r="B2" s="86">
        <v>311</v>
      </c>
      <c r="C2" s="96" t="str">
        <f>VLOOKUP(B2,tab_Tecnologias_TE_RE!$A$1:$B$101,2,0)</f>
        <v>CANA_condensação</v>
      </c>
      <c r="D2" s="152" t="s">
        <v>146</v>
      </c>
      <c r="E2" s="17">
        <v>1</v>
      </c>
      <c r="F2" s="125">
        <v>0</v>
      </c>
      <c r="G2" s="97" t="str">
        <f>C2&amp;"_"&amp;E2&amp;"_"&amp;H2&amp;"_"&amp;J2</f>
        <v>CANA_condensação_1_3_2015</v>
      </c>
      <c r="H2" s="23">
        <v>3</v>
      </c>
      <c r="I2" s="345" t="str">
        <f>VLOOKUP(H2,tab_tipo_expansao!$A$2:$B$4,2,0)</f>
        <v>não_considerar</v>
      </c>
      <c r="J2" s="59">
        <v>2015</v>
      </c>
      <c r="K2" s="59">
        <v>2050</v>
      </c>
      <c r="L2" s="98">
        <f>F2*VLOOKUP(B2,tab_Tecnologias_TE_RE!$A$2:$C$101,3,0)</f>
        <v>0</v>
      </c>
      <c r="M2" s="96">
        <f>VLOOKUP(B2,tab_Tecnologias_TE_RE!$A$2:$W$101,COLUMN(tab_Tecnologias_TE_RE!$W$1),0)</f>
        <v>7</v>
      </c>
    </row>
    <row r="3" spans="1:15">
      <c r="A3" s="95">
        <v>5001</v>
      </c>
      <c r="B3" s="86">
        <v>311</v>
      </c>
      <c r="C3" s="96" t="str">
        <f>VLOOKUP(B3,tab_Tecnologias_TE_RE!$A$1:$B$101,2,0)</f>
        <v>CANA_condensação</v>
      </c>
      <c r="D3" s="152" t="s">
        <v>146</v>
      </c>
      <c r="E3" s="17">
        <v>1</v>
      </c>
      <c r="F3" s="125">
        <v>0</v>
      </c>
      <c r="G3" s="97" t="str">
        <f t="shared" ref="G3:G66" si="0">C3&amp;"_"&amp;E3&amp;"_"&amp;H3&amp;"_"&amp;J3</f>
        <v>CANA_condensação_1_3_2016</v>
      </c>
      <c r="H3" s="23">
        <v>3</v>
      </c>
      <c r="I3" s="345" t="str">
        <f>VLOOKUP(H3,tab_tipo_expansao!$A$2:$B$4,2,0)</f>
        <v>não_considerar</v>
      </c>
      <c r="J3" s="59">
        <v>2016</v>
      </c>
      <c r="K3" s="59">
        <v>2050</v>
      </c>
      <c r="L3" s="98">
        <f>F3*VLOOKUP(B3,tab_Tecnologias_TE_RE!$A$2:$C$101,3,0)</f>
        <v>0</v>
      </c>
      <c r="M3" s="96">
        <f>VLOOKUP(B3,tab_Tecnologias_TE_RE!$A$2:$W$101,COLUMN(tab_Tecnologias_TE_RE!$W$1),0)</f>
        <v>7</v>
      </c>
    </row>
    <row r="4" spans="1:15">
      <c r="A4" s="95">
        <v>5002</v>
      </c>
      <c r="B4" s="86">
        <v>311</v>
      </c>
      <c r="C4" s="96" t="str">
        <f>VLOOKUP(B4,tab_Tecnologias_TE_RE!$A$1:$B$101,2,0)</f>
        <v>CANA_condensação</v>
      </c>
      <c r="D4" s="152" t="s">
        <v>146</v>
      </c>
      <c r="E4" s="17">
        <v>1</v>
      </c>
      <c r="F4" s="125">
        <v>0</v>
      </c>
      <c r="G4" s="97" t="str">
        <f t="shared" si="0"/>
        <v>CANA_condensação_1_3_2017</v>
      </c>
      <c r="H4" s="23">
        <v>3</v>
      </c>
      <c r="I4" s="345" t="str">
        <f>VLOOKUP(H4,tab_tipo_expansao!$A$2:$B$4,2,0)</f>
        <v>não_considerar</v>
      </c>
      <c r="J4" s="59">
        <v>2017</v>
      </c>
      <c r="K4" s="59">
        <v>2050</v>
      </c>
      <c r="L4" s="98">
        <f>F4*VLOOKUP(B4,tab_Tecnologias_TE_RE!$A$2:$C$101,3,0)</f>
        <v>0</v>
      </c>
      <c r="M4" s="96">
        <f>VLOOKUP(B4,tab_Tecnologias_TE_RE!$A$2:$W$101,COLUMN(tab_Tecnologias_TE_RE!$W$1),0)</f>
        <v>7</v>
      </c>
    </row>
    <row r="5" spans="1:15">
      <c r="A5" s="95">
        <v>5003</v>
      </c>
      <c r="B5" s="86">
        <v>311</v>
      </c>
      <c r="C5" s="96" t="str">
        <f>VLOOKUP(B5,tab_Tecnologias_TE_RE!$A$1:$B$101,2,0)</f>
        <v>CANA_condensação</v>
      </c>
      <c r="D5" s="152" t="s">
        <v>146</v>
      </c>
      <c r="E5" s="17">
        <v>1</v>
      </c>
      <c r="F5" s="125">
        <v>7255</v>
      </c>
      <c r="G5" s="97" t="str">
        <f t="shared" si="0"/>
        <v>CANA_condensação_1_1_2018</v>
      </c>
      <c r="H5" s="23">
        <v>1</v>
      </c>
      <c r="I5" s="345" t="str">
        <f>VLOOKUP(H5,tab_tipo_expansao!$A$2:$B$4,2,0)</f>
        <v>opcional</v>
      </c>
      <c r="J5" s="59">
        <v>2018</v>
      </c>
      <c r="K5" s="59">
        <v>2050</v>
      </c>
      <c r="L5" s="98">
        <f>F5*VLOOKUP(B5,tab_Tecnologias_TE_RE!$A$2:$C$101,3,0)</f>
        <v>7255</v>
      </c>
      <c r="M5" s="96">
        <f>VLOOKUP(B5,tab_Tecnologias_TE_RE!$A$2:$W$101,COLUMN(tab_Tecnologias_TE_RE!$W$1),0)</f>
        <v>7</v>
      </c>
    </row>
    <row r="6" spans="1:15">
      <c r="A6" s="95">
        <v>5004</v>
      </c>
      <c r="B6" s="86">
        <v>311</v>
      </c>
      <c r="C6" s="96" t="str">
        <f>VLOOKUP(B6,tab_Tecnologias_TE_RE!$A$1:$B$101,2,0)</f>
        <v>CANA_condensação</v>
      </c>
      <c r="D6" s="152" t="s">
        <v>146</v>
      </c>
      <c r="E6" s="17">
        <v>1</v>
      </c>
      <c r="F6" s="125">
        <v>890</v>
      </c>
      <c r="G6" s="97" t="str">
        <f t="shared" si="0"/>
        <v>CANA_condensação_1_1_2019</v>
      </c>
      <c r="H6" s="23">
        <v>1</v>
      </c>
      <c r="I6" s="345" t="str">
        <f>VLOOKUP(H6,tab_tipo_expansao!$A$2:$B$4,2,0)</f>
        <v>opcional</v>
      </c>
      <c r="J6" s="59">
        <v>2019</v>
      </c>
      <c r="K6" s="59">
        <v>2050</v>
      </c>
      <c r="L6" s="98">
        <f>F6*VLOOKUP(B6,tab_Tecnologias_TE_RE!$A$2:$C$101,3,0)</f>
        <v>890</v>
      </c>
      <c r="M6" s="96">
        <f>VLOOKUP(B6,tab_Tecnologias_TE_RE!$A$2:$W$101,COLUMN(tab_Tecnologias_TE_RE!$W$1),0)</f>
        <v>7</v>
      </c>
    </row>
    <row r="7" spans="1:15">
      <c r="A7" s="95">
        <v>5005</v>
      </c>
      <c r="B7" s="86">
        <v>311</v>
      </c>
      <c r="C7" s="96" t="str">
        <f>VLOOKUP(B7,tab_Tecnologias_TE_RE!$A$1:$B$101,2,0)</f>
        <v>CANA_condensação</v>
      </c>
      <c r="D7" s="152" t="s">
        <v>146</v>
      </c>
      <c r="E7" s="17">
        <v>1</v>
      </c>
      <c r="F7" s="125">
        <v>409</v>
      </c>
      <c r="G7" s="97" t="str">
        <f t="shared" si="0"/>
        <v>CANA_condensação_1_1_2020</v>
      </c>
      <c r="H7" s="23">
        <v>1</v>
      </c>
      <c r="I7" s="345" t="str">
        <f>VLOOKUP(H7,tab_tipo_expansao!$A$2:$B$4,2,0)</f>
        <v>opcional</v>
      </c>
      <c r="J7" s="59">
        <v>2020</v>
      </c>
      <c r="K7" s="59">
        <v>2050</v>
      </c>
      <c r="L7" s="98">
        <f>F7*VLOOKUP(B7,tab_Tecnologias_TE_RE!$A$2:$C$101,3,0)</f>
        <v>409</v>
      </c>
      <c r="M7" s="96">
        <f>VLOOKUP(B7,tab_Tecnologias_TE_RE!$A$2:$W$101,COLUMN(tab_Tecnologias_TE_RE!$W$1),0)</f>
        <v>7</v>
      </c>
    </row>
    <row r="8" spans="1:15">
      <c r="A8" s="95">
        <v>5006</v>
      </c>
      <c r="B8" s="86">
        <v>311</v>
      </c>
      <c r="C8" s="96" t="str">
        <f>VLOOKUP(B8,tab_Tecnologias_TE_RE!$A$1:$B$101,2,0)</f>
        <v>CANA_condensação</v>
      </c>
      <c r="D8" s="152" t="s">
        <v>146</v>
      </c>
      <c r="E8" s="17">
        <v>1</v>
      </c>
      <c r="F8" s="125">
        <v>384</v>
      </c>
      <c r="G8" s="97" t="str">
        <f t="shared" si="0"/>
        <v>CANA_condensação_1_1_2021</v>
      </c>
      <c r="H8" s="23">
        <v>1</v>
      </c>
      <c r="I8" s="345" t="str">
        <f>VLOOKUP(H8,tab_tipo_expansao!$A$2:$B$4,2,0)</f>
        <v>opcional</v>
      </c>
      <c r="J8" s="59">
        <v>2021</v>
      </c>
      <c r="K8" s="59">
        <v>2050</v>
      </c>
      <c r="L8" s="98">
        <f>F8*VLOOKUP(B8,tab_Tecnologias_TE_RE!$A$2:$C$101,3,0)</f>
        <v>384</v>
      </c>
      <c r="M8" s="96">
        <f>VLOOKUP(B8,tab_Tecnologias_TE_RE!$A$2:$W$101,COLUMN(tab_Tecnologias_TE_RE!$W$1),0)</f>
        <v>7</v>
      </c>
    </row>
    <row r="9" spans="1:15">
      <c r="A9" s="95">
        <v>5007</v>
      </c>
      <c r="B9" s="86">
        <v>311</v>
      </c>
      <c r="C9" s="96" t="str">
        <f>VLOOKUP(B9,tab_Tecnologias_TE_RE!$A$1:$B$101,2,0)</f>
        <v>CANA_condensação</v>
      </c>
      <c r="D9" s="152" t="s">
        <v>146</v>
      </c>
      <c r="E9" s="17">
        <v>1</v>
      </c>
      <c r="F9" s="125">
        <v>357</v>
      </c>
      <c r="G9" s="97" t="str">
        <f t="shared" si="0"/>
        <v>CANA_condensação_1_1_2022</v>
      </c>
      <c r="H9" s="23">
        <v>1</v>
      </c>
      <c r="I9" s="345" t="str">
        <f>VLOOKUP(H9,tab_tipo_expansao!$A$2:$B$4,2,0)</f>
        <v>opcional</v>
      </c>
      <c r="J9" s="59">
        <v>2022</v>
      </c>
      <c r="K9" s="59">
        <v>2050</v>
      </c>
      <c r="L9" s="98">
        <f>F9*VLOOKUP(B9,tab_Tecnologias_TE_RE!$A$2:$C$101,3,0)</f>
        <v>357</v>
      </c>
      <c r="M9" s="96">
        <f>VLOOKUP(B9,tab_Tecnologias_TE_RE!$A$2:$W$101,COLUMN(tab_Tecnologias_TE_RE!$W$1),0)</f>
        <v>7</v>
      </c>
    </row>
    <row r="10" spans="1:15">
      <c r="A10" s="95">
        <v>5008</v>
      </c>
      <c r="B10" s="86">
        <v>311</v>
      </c>
      <c r="C10" s="96" t="str">
        <f>VLOOKUP(B10,tab_Tecnologias_TE_RE!$A$1:$B$101,2,0)</f>
        <v>CANA_condensação</v>
      </c>
      <c r="D10" s="152" t="s">
        <v>146</v>
      </c>
      <c r="E10" s="17">
        <v>1</v>
      </c>
      <c r="F10" s="125">
        <v>268</v>
      </c>
      <c r="G10" s="97" t="str">
        <f t="shared" si="0"/>
        <v>CANA_condensação_1_1_2023</v>
      </c>
      <c r="H10" s="23">
        <v>1</v>
      </c>
      <c r="I10" s="345" t="str">
        <f>VLOOKUP(H10,tab_tipo_expansao!$A$2:$B$4,2,0)</f>
        <v>opcional</v>
      </c>
      <c r="J10" s="59">
        <v>2023</v>
      </c>
      <c r="K10" s="59">
        <v>2050</v>
      </c>
      <c r="L10" s="98">
        <f>F10*VLOOKUP(B10,tab_Tecnologias_TE_RE!$A$2:$C$101,3,0)</f>
        <v>268</v>
      </c>
      <c r="M10" s="96">
        <f>VLOOKUP(B10,tab_Tecnologias_TE_RE!$A$2:$W$101,COLUMN(tab_Tecnologias_TE_RE!$W$1),0)</f>
        <v>7</v>
      </c>
    </row>
    <row r="11" spans="1:15">
      <c r="A11" s="95">
        <v>5009</v>
      </c>
      <c r="B11" s="86">
        <v>311</v>
      </c>
      <c r="C11" s="96" t="str">
        <f>VLOOKUP(B11,tab_Tecnologias_TE_RE!$A$1:$B$101,2,0)</f>
        <v>CANA_condensação</v>
      </c>
      <c r="D11" s="152" t="s">
        <v>146</v>
      </c>
      <c r="E11" s="17">
        <v>1</v>
      </c>
      <c r="F11" s="125">
        <v>236</v>
      </c>
      <c r="G11" s="97" t="str">
        <f t="shared" si="0"/>
        <v>CANA_condensação_1_1_2024</v>
      </c>
      <c r="H11" s="23">
        <v>1</v>
      </c>
      <c r="I11" s="345" t="str">
        <f>VLOOKUP(H11,tab_tipo_expansao!$A$2:$B$4,2,0)</f>
        <v>opcional</v>
      </c>
      <c r="J11" s="59">
        <v>2024</v>
      </c>
      <c r="K11" s="59">
        <v>2050</v>
      </c>
      <c r="L11" s="98">
        <f>F11*VLOOKUP(B11,tab_Tecnologias_TE_RE!$A$2:$C$101,3,0)</f>
        <v>236</v>
      </c>
      <c r="M11" s="96">
        <f>VLOOKUP(B11,tab_Tecnologias_TE_RE!$A$2:$W$101,COLUMN(tab_Tecnologias_TE_RE!$W$1),0)</f>
        <v>7</v>
      </c>
    </row>
    <row r="12" spans="1:15">
      <c r="A12" s="95">
        <v>5010</v>
      </c>
      <c r="B12" s="86">
        <v>311</v>
      </c>
      <c r="C12" s="96" t="str">
        <f>VLOOKUP(B12,tab_Tecnologias_TE_RE!$A$1:$B$101,2,0)</f>
        <v>CANA_condensação</v>
      </c>
      <c r="D12" s="152" t="s">
        <v>146</v>
      </c>
      <c r="E12" s="17">
        <v>1</v>
      </c>
      <c r="F12" s="125">
        <v>279</v>
      </c>
      <c r="G12" s="97" t="str">
        <f t="shared" si="0"/>
        <v>CANA_condensação_1_1_2025</v>
      </c>
      <c r="H12" s="23">
        <v>1</v>
      </c>
      <c r="I12" s="345" t="str">
        <f>VLOOKUP(H12,tab_tipo_expansao!$A$2:$B$4,2,0)</f>
        <v>opcional</v>
      </c>
      <c r="J12" s="59">
        <v>2025</v>
      </c>
      <c r="K12" s="59">
        <v>2050</v>
      </c>
      <c r="L12" s="98">
        <f>F12*VLOOKUP(B12,tab_Tecnologias_TE_RE!$A$2:$C$101,3,0)</f>
        <v>279</v>
      </c>
      <c r="M12" s="96">
        <f>VLOOKUP(B12,tab_Tecnologias_TE_RE!$A$2:$W$101,COLUMN(tab_Tecnologias_TE_RE!$W$1),0)</f>
        <v>7</v>
      </c>
    </row>
    <row r="13" spans="1:15">
      <c r="A13" s="95">
        <v>5011</v>
      </c>
      <c r="B13" s="86">
        <v>311</v>
      </c>
      <c r="C13" s="96" t="str">
        <f>VLOOKUP(B13,tab_Tecnologias_TE_RE!$A$1:$B$101,2,0)</f>
        <v>CANA_condensação</v>
      </c>
      <c r="D13" s="152" t="s">
        <v>146</v>
      </c>
      <c r="E13" s="17">
        <v>1</v>
      </c>
      <c r="F13" s="125">
        <v>405</v>
      </c>
      <c r="G13" s="97" t="str">
        <f t="shared" si="0"/>
        <v>CANA_condensação_1_1_2026</v>
      </c>
      <c r="H13" s="23">
        <v>1</v>
      </c>
      <c r="I13" s="345" t="str">
        <f>VLOOKUP(H13,tab_tipo_expansao!$A$2:$B$4,2,0)</f>
        <v>opcional</v>
      </c>
      <c r="J13" s="59">
        <v>2026</v>
      </c>
      <c r="K13" s="59">
        <v>2050</v>
      </c>
      <c r="L13" s="98">
        <f>F13*VLOOKUP(B13,tab_Tecnologias_TE_RE!$A$2:$C$101,3,0)</f>
        <v>405</v>
      </c>
      <c r="M13" s="96">
        <f>VLOOKUP(B13,tab_Tecnologias_TE_RE!$A$2:$W$101,COLUMN(tab_Tecnologias_TE_RE!$W$1),0)</f>
        <v>7</v>
      </c>
    </row>
    <row r="14" spans="1:15">
      <c r="A14" s="95">
        <v>5012</v>
      </c>
      <c r="B14" s="86">
        <v>311</v>
      </c>
      <c r="C14" s="96" t="str">
        <f>VLOOKUP(B14,tab_Tecnologias_TE_RE!$A$1:$B$101,2,0)</f>
        <v>CANA_condensação</v>
      </c>
      <c r="D14" s="152" t="s">
        <v>146</v>
      </c>
      <c r="E14" s="17">
        <v>1</v>
      </c>
      <c r="F14" s="125">
        <v>398</v>
      </c>
      <c r="G14" s="97" t="str">
        <f t="shared" si="0"/>
        <v>CANA_condensação_1_1_2027</v>
      </c>
      <c r="H14" s="23">
        <v>1</v>
      </c>
      <c r="I14" s="345" t="str">
        <f>VLOOKUP(H14,tab_tipo_expansao!$A$2:$B$4,2,0)</f>
        <v>opcional</v>
      </c>
      <c r="J14" s="59">
        <v>2027</v>
      </c>
      <c r="K14" s="59">
        <v>2050</v>
      </c>
      <c r="L14" s="98">
        <f>F14*VLOOKUP(B14,tab_Tecnologias_TE_RE!$A$2:$C$101,3,0)</f>
        <v>398</v>
      </c>
      <c r="M14" s="96">
        <f>VLOOKUP(B14,tab_Tecnologias_TE_RE!$A$2:$W$101,COLUMN(tab_Tecnologias_TE_RE!$W$1),0)</f>
        <v>7</v>
      </c>
    </row>
    <row r="15" spans="1:15">
      <c r="A15" s="95">
        <v>5013</v>
      </c>
      <c r="B15" s="86">
        <v>311</v>
      </c>
      <c r="C15" s="96" t="str">
        <f>VLOOKUP(B15,tab_Tecnologias_TE_RE!$A$1:$B$101,2,0)</f>
        <v>CANA_condensação</v>
      </c>
      <c r="D15" s="152" t="s">
        <v>146</v>
      </c>
      <c r="E15" s="17">
        <v>1</v>
      </c>
      <c r="F15" s="125">
        <v>412</v>
      </c>
      <c r="G15" s="97" t="str">
        <f t="shared" si="0"/>
        <v>CANA_condensação_1_1_2028</v>
      </c>
      <c r="H15" s="23">
        <v>1</v>
      </c>
      <c r="I15" s="345" t="str">
        <f>VLOOKUP(H15,tab_tipo_expansao!$A$2:$B$4,2,0)</f>
        <v>opcional</v>
      </c>
      <c r="J15" s="59">
        <v>2028</v>
      </c>
      <c r="K15" s="59">
        <v>2050</v>
      </c>
      <c r="L15" s="98">
        <f>F15*VLOOKUP(B15,tab_Tecnologias_TE_RE!$A$2:$C$101,3,0)</f>
        <v>412</v>
      </c>
      <c r="M15" s="96">
        <f>VLOOKUP(B15,tab_Tecnologias_TE_RE!$A$2:$W$101,COLUMN(tab_Tecnologias_TE_RE!$W$1),0)</f>
        <v>7</v>
      </c>
    </row>
    <row r="16" spans="1:15">
      <c r="A16" s="95">
        <v>5014</v>
      </c>
      <c r="B16" s="86">
        <v>311</v>
      </c>
      <c r="C16" s="96" t="str">
        <f>VLOOKUP(B16,tab_Tecnologias_TE_RE!$A$1:$B$101,2,0)</f>
        <v>CANA_condensação</v>
      </c>
      <c r="D16" s="152" t="s">
        <v>146</v>
      </c>
      <c r="E16" s="17">
        <v>1</v>
      </c>
      <c r="F16" s="125">
        <v>408</v>
      </c>
      <c r="G16" s="97" t="str">
        <f t="shared" si="0"/>
        <v>CANA_condensação_1_1_2029</v>
      </c>
      <c r="H16" s="23">
        <v>1</v>
      </c>
      <c r="I16" s="345" t="str">
        <f>VLOOKUP(H16,tab_tipo_expansao!$A$2:$B$4,2,0)</f>
        <v>opcional</v>
      </c>
      <c r="J16" s="59">
        <v>2029</v>
      </c>
      <c r="K16" s="59">
        <v>2050</v>
      </c>
      <c r="L16" s="98">
        <f>F16*VLOOKUP(B16,tab_Tecnologias_TE_RE!$A$2:$C$101,3,0)</f>
        <v>408</v>
      </c>
      <c r="M16" s="96">
        <f>VLOOKUP(B16,tab_Tecnologias_TE_RE!$A$2:$W$101,COLUMN(tab_Tecnologias_TE_RE!$W$1),0)</f>
        <v>7</v>
      </c>
    </row>
    <row r="17" spans="1:13">
      <c r="A17" s="95">
        <v>5015</v>
      </c>
      <c r="B17" s="86">
        <v>311</v>
      </c>
      <c r="C17" s="96" t="str">
        <f>VLOOKUP(B17,tab_Tecnologias_TE_RE!$A$1:$B$101,2,0)</f>
        <v>CANA_condensação</v>
      </c>
      <c r="D17" s="152" t="s">
        <v>146</v>
      </c>
      <c r="E17" s="17">
        <v>1</v>
      </c>
      <c r="F17" s="125">
        <v>402</v>
      </c>
      <c r="G17" s="97" t="str">
        <f t="shared" si="0"/>
        <v>CANA_condensação_1_1_2030</v>
      </c>
      <c r="H17" s="23">
        <v>1</v>
      </c>
      <c r="I17" s="345" t="str">
        <f>VLOOKUP(H17,tab_tipo_expansao!$A$2:$B$4,2,0)</f>
        <v>opcional</v>
      </c>
      <c r="J17" s="59">
        <v>2030</v>
      </c>
      <c r="K17" s="59">
        <v>2050</v>
      </c>
      <c r="L17" s="98">
        <f>F17*VLOOKUP(B17,tab_Tecnologias_TE_RE!$A$2:$C$101,3,0)</f>
        <v>402</v>
      </c>
      <c r="M17" s="96">
        <f>VLOOKUP(B17,tab_Tecnologias_TE_RE!$A$2:$W$101,COLUMN(tab_Tecnologias_TE_RE!$W$1),0)</f>
        <v>7</v>
      </c>
    </row>
    <row r="18" spans="1:13">
      <c r="A18" s="95">
        <v>5016</v>
      </c>
      <c r="B18" s="86">
        <v>311</v>
      </c>
      <c r="C18" s="96" t="str">
        <f>VLOOKUP(B18,tab_Tecnologias_TE_RE!$A$1:$B$101,2,0)</f>
        <v>CANA_condensação</v>
      </c>
      <c r="D18" s="152" t="s">
        <v>146</v>
      </c>
      <c r="E18" s="17">
        <v>1</v>
      </c>
      <c r="F18" s="125">
        <v>277</v>
      </c>
      <c r="G18" s="97" t="str">
        <f t="shared" si="0"/>
        <v>CANA_condensação_1_1_2031</v>
      </c>
      <c r="H18" s="23">
        <v>1</v>
      </c>
      <c r="I18" s="345" t="str">
        <f>VLOOKUP(H18,tab_tipo_expansao!$A$2:$B$4,2,0)</f>
        <v>opcional</v>
      </c>
      <c r="J18" s="59">
        <v>2031</v>
      </c>
      <c r="K18" s="59">
        <v>2050</v>
      </c>
      <c r="L18" s="98">
        <f>F18*VLOOKUP(B18,tab_Tecnologias_TE_RE!$A$2:$C$101,3,0)</f>
        <v>277</v>
      </c>
      <c r="M18" s="96">
        <f>VLOOKUP(B18,tab_Tecnologias_TE_RE!$A$2:$W$101,COLUMN(tab_Tecnologias_TE_RE!$W$1),0)</f>
        <v>7</v>
      </c>
    </row>
    <row r="19" spans="1:13">
      <c r="A19" s="95">
        <v>5017</v>
      </c>
      <c r="B19" s="86">
        <v>311</v>
      </c>
      <c r="C19" s="96" t="str">
        <f>VLOOKUP(B19,tab_Tecnologias_TE_RE!$A$1:$B$101,2,0)</f>
        <v>CANA_condensação</v>
      </c>
      <c r="D19" s="152" t="s">
        <v>146</v>
      </c>
      <c r="E19" s="17">
        <v>1</v>
      </c>
      <c r="F19" s="125">
        <v>322</v>
      </c>
      <c r="G19" s="97" t="str">
        <f t="shared" si="0"/>
        <v>CANA_condensação_1_1_2032</v>
      </c>
      <c r="H19" s="23">
        <v>1</v>
      </c>
      <c r="I19" s="345" t="str">
        <f>VLOOKUP(H19,tab_tipo_expansao!$A$2:$B$4,2,0)</f>
        <v>opcional</v>
      </c>
      <c r="J19" s="59">
        <v>2032</v>
      </c>
      <c r="K19" s="59">
        <v>2050</v>
      </c>
      <c r="L19" s="98">
        <f>F19*VLOOKUP(B19,tab_Tecnologias_TE_RE!$A$2:$C$101,3,0)</f>
        <v>322</v>
      </c>
      <c r="M19" s="96">
        <f>VLOOKUP(B19,tab_Tecnologias_TE_RE!$A$2:$W$101,COLUMN(tab_Tecnologias_TE_RE!$W$1),0)</f>
        <v>7</v>
      </c>
    </row>
    <row r="20" spans="1:13">
      <c r="A20" s="95">
        <v>5018</v>
      </c>
      <c r="B20" s="86">
        <v>311</v>
      </c>
      <c r="C20" s="96" t="str">
        <f>VLOOKUP(B20,tab_Tecnologias_TE_RE!$A$1:$B$101,2,0)</f>
        <v>CANA_condensação</v>
      </c>
      <c r="D20" s="152" t="s">
        <v>146</v>
      </c>
      <c r="E20" s="17">
        <v>1</v>
      </c>
      <c r="F20" s="125">
        <v>280</v>
      </c>
      <c r="G20" s="97" t="str">
        <f t="shared" si="0"/>
        <v>CANA_condensação_1_1_2033</v>
      </c>
      <c r="H20" s="23">
        <v>1</v>
      </c>
      <c r="I20" s="345" t="str">
        <f>VLOOKUP(H20,tab_tipo_expansao!$A$2:$B$4,2,0)</f>
        <v>opcional</v>
      </c>
      <c r="J20" s="59">
        <v>2033</v>
      </c>
      <c r="K20" s="59">
        <v>2050</v>
      </c>
      <c r="L20" s="98">
        <f>F20*VLOOKUP(B20,tab_Tecnologias_TE_RE!$A$2:$C$101,3,0)</f>
        <v>280</v>
      </c>
      <c r="M20" s="96">
        <f>VLOOKUP(B20,tab_Tecnologias_TE_RE!$A$2:$W$101,COLUMN(tab_Tecnologias_TE_RE!$W$1),0)</f>
        <v>7</v>
      </c>
    </row>
    <row r="21" spans="1:13">
      <c r="A21" s="95">
        <v>5019</v>
      </c>
      <c r="B21" s="86">
        <v>311</v>
      </c>
      <c r="C21" s="96" t="str">
        <f>VLOOKUP(B21,tab_Tecnologias_TE_RE!$A$1:$B$101,2,0)</f>
        <v>CANA_condensação</v>
      </c>
      <c r="D21" s="152" t="s">
        <v>146</v>
      </c>
      <c r="E21" s="17">
        <v>1</v>
      </c>
      <c r="F21" s="125">
        <v>309</v>
      </c>
      <c r="G21" s="97" t="str">
        <f t="shared" si="0"/>
        <v>CANA_condensação_1_1_2034</v>
      </c>
      <c r="H21" s="23">
        <v>1</v>
      </c>
      <c r="I21" s="345" t="str">
        <f>VLOOKUP(H21,tab_tipo_expansao!$A$2:$B$4,2,0)</f>
        <v>opcional</v>
      </c>
      <c r="J21" s="59">
        <v>2034</v>
      </c>
      <c r="K21" s="59">
        <v>2050</v>
      </c>
      <c r="L21" s="98">
        <f>F21*VLOOKUP(B21,tab_Tecnologias_TE_RE!$A$2:$C$101,3,0)</f>
        <v>309</v>
      </c>
      <c r="M21" s="96">
        <f>VLOOKUP(B21,tab_Tecnologias_TE_RE!$A$2:$W$101,COLUMN(tab_Tecnologias_TE_RE!$W$1),0)</f>
        <v>7</v>
      </c>
    </row>
    <row r="22" spans="1:13">
      <c r="A22" s="95">
        <v>5020</v>
      </c>
      <c r="B22" s="86">
        <v>311</v>
      </c>
      <c r="C22" s="96" t="str">
        <f>VLOOKUP(B22,tab_Tecnologias_TE_RE!$A$1:$B$101,2,0)</f>
        <v>CANA_condensação</v>
      </c>
      <c r="D22" s="152" t="s">
        <v>146</v>
      </c>
      <c r="E22" s="17">
        <v>1</v>
      </c>
      <c r="F22" s="125">
        <v>271</v>
      </c>
      <c r="G22" s="97" t="str">
        <f t="shared" si="0"/>
        <v>CANA_condensação_1_1_2035</v>
      </c>
      <c r="H22" s="23">
        <v>1</v>
      </c>
      <c r="I22" s="345" t="str">
        <f>VLOOKUP(H22,tab_tipo_expansao!$A$2:$B$4,2,0)</f>
        <v>opcional</v>
      </c>
      <c r="J22" s="59">
        <v>2035</v>
      </c>
      <c r="K22" s="59">
        <v>2050</v>
      </c>
      <c r="L22" s="98">
        <f>F22*VLOOKUP(B22,tab_Tecnologias_TE_RE!$A$2:$C$101,3,0)</f>
        <v>271</v>
      </c>
      <c r="M22" s="96">
        <f>VLOOKUP(B22,tab_Tecnologias_TE_RE!$A$2:$W$101,COLUMN(tab_Tecnologias_TE_RE!$W$1),0)</f>
        <v>7</v>
      </c>
    </row>
    <row r="23" spans="1:13">
      <c r="A23" s="95">
        <v>5021</v>
      </c>
      <c r="B23" s="86">
        <v>311</v>
      </c>
      <c r="C23" s="96" t="str">
        <f>VLOOKUP(B23,tab_Tecnologias_TE_RE!$A$1:$B$101,2,0)</f>
        <v>CANA_condensação</v>
      </c>
      <c r="D23" s="152" t="s">
        <v>146</v>
      </c>
      <c r="E23" s="17">
        <v>1</v>
      </c>
      <c r="F23" s="125">
        <v>114</v>
      </c>
      <c r="G23" s="97" t="str">
        <f t="shared" si="0"/>
        <v>CANA_condensação_1_1_2036</v>
      </c>
      <c r="H23" s="23">
        <v>1</v>
      </c>
      <c r="I23" s="345" t="str">
        <f>VLOOKUP(H23,tab_tipo_expansao!$A$2:$B$4,2,0)</f>
        <v>opcional</v>
      </c>
      <c r="J23" s="59">
        <v>2036</v>
      </c>
      <c r="K23" s="59">
        <v>2050</v>
      </c>
      <c r="L23" s="98">
        <f>F23*VLOOKUP(B23,tab_Tecnologias_TE_RE!$A$2:$C$101,3,0)</f>
        <v>114</v>
      </c>
      <c r="M23" s="96">
        <f>VLOOKUP(B23,tab_Tecnologias_TE_RE!$A$2:$W$101,COLUMN(tab_Tecnologias_TE_RE!$W$1),0)</f>
        <v>7</v>
      </c>
    </row>
    <row r="24" spans="1:13">
      <c r="A24" s="95">
        <v>5022</v>
      </c>
      <c r="B24" s="86">
        <v>311</v>
      </c>
      <c r="C24" s="96" t="str">
        <f>VLOOKUP(B24,tab_Tecnologias_TE_RE!$A$1:$B$101,2,0)</f>
        <v>CANA_condensação</v>
      </c>
      <c r="D24" s="152" t="s">
        <v>146</v>
      </c>
      <c r="E24" s="17">
        <v>1</v>
      </c>
      <c r="F24" s="125">
        <v>87</v>
      </c>
      <c r="G24" s="97" t="str">
        <f t="shared" si="0"/>
        <v>CANA_condensação_1_1_2037</v>
      </c>
      <c r="H24" s="23">
        <v>1</v>
      </c>
      <c r="I24" s="345" t="str">
        <f>VLOOKUP(H24,tab_tipo_expansao!$A$2:$B$4,2,0)</f>
        <v>opcional</v>
      </c>
      <c r="J24" s="59">
        <v>2037</v>
      </c>
      <c r="K24" s="59">
        <v>2050</v>
      </c>
      <c r="L24" s="98">
        <f>F24*VLOOKUP(B24,tab_Tecnologias_TE_RE!$A$2:$C$101,3,0)</f>
        <v>87</v>
      </c>
      <c r="M24" s="96">
        <f>VLOOKUP(B24,tab_Tecnologias_TE_RE!$A$2:$W$101,COLUMN(tab_Tecnologias_TE_RE!$W$1),0)</f>
        <v>7</v>
      </c>
    </row>
    <row r="25" spans="1:13">
      <c r="A25" s="95">
        <v>5023</v>
      </c>
      <c r="B25" s="86">
        <v>311</v>
      </c>
      <c r="C25" s="96" t="str">
        <f>VLOOKUP(B25,tab_Tecnologias_TE_RE!$A$1:$B$101,2,0)</f>
        <v>CANA_condensação</v>
      </c>
      <c r="D25" s="152" t="s">
        <v>146</v>
      </c>
      <c r="E25" s="17">
        <v>1</v>
      </c>
      <c r="F25" s="125">
        <v>117</v>
      </c>
      <c r="G25" s="97" t="str">
        <f t="shared" si="0"/>
        <v>CANA_condensação_1_1_2038</v>
      </c>
      <c r="H25" s="23">
        <v>1</v>
      </c>
      <c r="I25" s="345" t="str">
        <f>VLOOKUP(H25,tab_tipo_expansao!$A$2:$B$4,2,0)</f>
        <v>opcional</v>
      </c>
      <c r="J25" s="59">
        <v>2038</v>
      </c>
      <c r="K25" s="59">
        <v>2050</v>
      </c>
      <c r="L25" s="98">
        <f>F25*VLOOKUP(B25,tab_Tecnologias_TE_RE!$A$2:$C$101,3,0)</f>
        <v>117</v>
      </c>
      <c r="M25" s="96">
        <f>VLOOKUP(B25,tab_Tecnologias_TE_RE!$A$2:$W$101,COLUMN(tab_Tecnologias_TE_RE!$W$1),0)</f>
        <v>7</v>
      </c>
    </row>
    <row r="26" spans="1:13">
      <c r="A26" s="95">
        <v>5024</v>
      </c>
      <c r="B26" s="86">
        <v>311</v>
      </c>
      <c r="C26" s="96" t="str">
        <f>VLOOKUP(B26,tab_Tecnologias_TE_RE!$A$1:$B$101,2,0)</f>
        <v>CANA_condensação</v>
      </c>
      <c r="D26" s="152" t="s">
        <v>146</v>
      </c>
      <c r="E26" s="17">
        <v>1</v>
      </c>
      <c r="F26" s="125">
        <v>97</v>
      </c>
      <c r="G26" s="97" t="str">
        <f t="shared" si="0"/>
        <v>CANA_condensação_1_1_2039</v>
      </c>
      <c r="H26" s="23">
        <v>1</v>
      </c>
      <c r="I26" s="345" t="str">
        <f>VLOOKUP(H26,tab_tipo_expansao!$A$2:$B$4,2,0)</f>
        <v>opcional</v>
      </c>
      <c r="J26" s="59">
        <v>2039</v>
      </c>
      <c r="K26" s="59">
        <v>2050</v>
      </c>
      <c r="L26" s="98">
        <f>F26*VLOOKUP(B26,tab_Tecnologias_TE_RE!$A$2:$C$101,3,0)</f>
        <v>97</v>
      </c>
      <c r="M26" s="96">
        <f>VLOOKUP(B26,tab_Tecnologias_TE_RE!$A$2:$W$101,COLUMN(tab_Tecnologias_TE_RE!$W$1),0)</f>
        <v>7</v>
      </c>
    </row>
    <row r="27" spans="1:13">
      <c r="A27" s="95">
        <v>5025</v>
      </c>
      <c r="B27" s="86">
        <v>311</v>
      </c>
      <c r="C27" s="96" t="str">
        <f>VLOOKUP(B27,tab_Tecnologias_TE_RE!$A$1:$B$101,2,0)</f>
        <v>CANA_condensação</v>
      </c>
      <c r="D27" s="152" t="s">
        <v>146</v>
      </c>
      <c r="E27" s="17">
        <v>1</v>
      </c>
      <c r="F27" s="125">
        <v>148</v>
      </c>
      <c r="G27" s="97" t="str">
        <f t="shared" si="0"/>
        <v>CANA_condensação_1_1_2040</v>
      </c>
      <c r="H27" s="23">
        <v>1</v>
      </c>
      <c r="I27" s="345" t="str">
        <f>VLOOKUP(H27,tab_tipo_expansao!$A$2:$B$4,2,0)</f>
        <v>opcional</v>
      </c>
      <c r="J27" s="59">
        <v>2040</v>
      </c>
      <c r="K27" s="59">
        <v>2050</v>
      </c>
      <c r="L27" s="98">
        <f>F27*VLOOKUP(B27,tab_Tecnologias_TE_RE!$A$2:$C$101,3,0)</f>
        <v>148</v>
      </c>
      <c r="M27" s="96">
        <f>VLOOKUP(B27,tab_Tecnologias_TE_RE!$A$2:$W$101,COLUMN(tab_Tecnologias_TE_RE!$W$1),0)</f>
        <v>7</v>
      </c>
    </row>
    <row r="28" spans="1:13">
      <c r="A28" s="95">
        <v>5026</v>
      </c>
      <c r="B28" s="86">
        <v>311</v>
      </c>
      <c r="C28" s="96" t="str">
        <f>VLOOKUP(B28,tab_Tecnologias_TE_RE!$A$1:$B$101,2,0)</f>
        <v>CANA_condensação</v>
      </c>
      <c r="D28" s="152" t="s">
        <v>146</v>
      </c>
      <c r="E28" s="17">
        <v>1</v>
      </c>
      <c r="F28" s="125">
        <v>96</v>
      </c>
      <c r="G28" s="97" t="str">
        <f t="shared" si="0"/>
        <v>CANA_condensação_1_1_2041</v>
      </c>
      <c r="H28" s="23">
        <v>1</v>
      </c>
      <c r="I28" s="345" t="str">
        <f>VLOOKUP(H28,tab_tipo_expansao!$A$2:$B$4,2,0)</f>
        <v>opcional</v>
      </c>
      <c r="J28" s="59">
        <v>2041</v>
      </c>
      <c r="K28" s="59">
        <v>2050</v>
      </c>
      <c r="L28" s="98">
        <f>F28*VLOOKUP(B28,tab_Tecnologias_TE_RE!$A$2:$C$101,3,0)</f>
        <v>96</v>
      </c>
      <c r="M28" s="96">
        <f>VLOOKUP(B28,tab_Tecnologias_TE_RE!$A$2:$W$101,COLUMN(tab_Tecnologias_TE_RE!$W$1),0)</f>
        <v>7</v>
      </c>
    </row>
    <row r="29" spans="1:13">
      <c r="A29" s="95">
        <v>5027</v>
      </c>
      <c r="B29" s="86">
        <v>311</v>
      </c>
      <c r="C29" s="96" t="str">
        <f>VLOOKUP(B29,tab_Tecnologias_TE_RE!$A$1:$B$101,2,0)</f>
        <v>CANA_condensação</v>
      </c>
      <c r="D29" s="152" t="s">
        <v>146</v>
      </c>
      <c r="E29" s="17">
        <v>1</v>
      </c>
      <c r="F29" s="125">
        <v>134</v>
      </c>
      <c r="G29" s="97" t="str">
        <f t="shared" si="0"/>
        <v>CANA_condensação_1_1_2042</v>
      </c>
      <c r="H29" s="23">
        <v>1</v>
      </c>
      <c r="I29" s="345" t="str">
        <f>VLOOKUP(H29,tab_tipo_expansao!$A$2:$B$4,2,0)</f>
        <v>opcional</v>
      </c>
      <c r="J29" s="59">
        <v>2042</v>
      </c>
      <c r="K29" s="59">
        <v>2050</v>
      </c>
      <c r="L29" s="98">
        <f>F29*VLOOKUP(B29,tab_Tecnologias_TE_RE!$A$2:$C$101,3,0)</f>
        <v>134</v>
      </c>
      <c r="M29" s="96">
        <f>VLOOKUP(B29,tab_Tecnologias_TE_RE!$A$2:$W$101,COLUMN(tab_Tecnologias_TE_RE!$W$1),0)</f>
        <v>7</v>
      </c>
    </row>
    <row r="30" spans="1:13">
      <c r="A30" s="95">
        <v>5028</v>
      </c>
      <c r="B30" s="86">
        <v>311</v>
      </c>
      <c r="C30" s="96" t="str">
        <f>VLOOKUP(B30,tab_Tecnologias_TE_RE!$A$1:$B$101,2,0)</f>
        <v>CANA_condensação</v>
      </c>
      <c r="D30" s="152" t="s">
        <v>146</v>
      </c>
      <c r="E30" s="17">
        <v>1</v>
      </c>
      <c r="F30" s="125">
        <v>112</v>
      </c>
      <c r="G30" s="97" t="str">
        <f t="shared" si="0"/>
        <v>CANA_condensação_1_1_2043</v>
      </c>
      <c r="H30" s="23">
        <v>1</v>
      </c>
      <c r="I30" s="345" t="str">
        <f>VLOOKUP(H30,tab_tipo_expansao!$A$2:$B$4,2,0)</f>
        <v>opcional</v>
      </c>
      <c r="J30" s="59">
        <v>2043</v>
      </c>
      <c r="K30" s="59">
        <v>2050</v>
      </c>
      <c r="L30" s="98">
        <f>F30*VLOOKUP(B30,tab_Tecnologias_TE_RE!$A$2:$C$101,3,0)</f>
        <v>112</v>
      </c>
      <c r="M30" s="96">
        <f>VLOOKUP(B30,tab_Tecnologias_TE_RE!$A$2:$W$101,COLUMN(tab_Tecnologias_TE_RE!$W$1),0)</f>
        <v>7</v>
      </c>
    </row>
    <row r="31" spans="1:13">
      <c r="A31" s="95">
        <v>5029</v>
      </c>
      <c r="B31" s="86">
        <v>311</v>
      </c>
      <c r="C31" s="96" t="str">
        <f>VLOOKUP(B31,tab_Tecnologias_TE_RE!$A$1:$B$101,2,0)</f>
        <v>CANA_condensação</v>
      </c>
      <c r="D31" s="152" t="s">
        <v>146</v>
      </c>
      <c r="E31" s="17">
        <v>1</v>
      </c>
      <c r="F31" s="125">
        <v>128</v>
      </c>
      <c r="G31" s="97" t="str">
        <f t="shared" si="0"/>
        <v>CANA_condensação_1_1_2044</v>
      </c>
      <c r="H31" s="23">
        <v>1</v>
      </c>
      <c r="I31" s="345" t="str">
        <f>VLOOKUP(H31,tab_tipo_expansao!$A$2:$B$4,2,0)</f>
        <v>opcional</v>
      </c>
      <c r="J31" s="59">
        <v>2044</v>
      </c>
      <c r="K31" s="59">
        <v>2050</v>
      </c>
      <c r="L31" s="98">
        <f>F31*VLOOKUP(B31,tab_Tecnologias_TE_RE!$A$2:$C$101,3,0)</f>
        <v>128</v>
      </c>
      <c r="M31" s="96">
        <f>VLOOKUP(B31,tab_Tecnologias_TE_RE!$A$2:$W$101,COLUMN(tab_Tecnologias_TE_RE!$W$1),0)</f>
        <v>7</v>
      </c>
    </row>
    <row r="32" spans="1:13">
      <c r="A32" s="95">
        <v>5030</v>
      </c>
      <c r="B32" s="86">
        <v>311</v>
      </c>
      <c r="C32" s="96" t="str">
        <f>VLOOKUP(B32,tab_Tecnologias_TE_RE!$A$1:$B$101,2,0)</f>
        <v>CANA_condensação</v>
      </c>
      <c r="D32" s="152" t="s">
        <v>146</v>
      </c>
      <c r="E32" s="17">
        <v>1</v>
      </c>
      <c r="F32" s="125">
        <v>60</v>
      </c>
      <c r="G32" s="97" t="str">
        <f t="shared" si="0"/>
        <v>CANA_condensação_1_1_2045</v>
      </c>
      <c r="H32" s="23">
        <v>1</v>
      </c>
      <c r="I32" s="345" t="str">
        <f>VLOOKUP(H32,tab_tipo_expansao!$A$2:$B$4,2,0)</f>
        <v>opcional</v>
      </c>
      <c r="J32" s="59">
        <v>2045</v>
      </c>
      <c r="K32" s="59">
        <v>2050</v>
      </c>
      <c r="L32" s="98">
        <f>F32*VLOOKUP(B32,tab_Tecnologias_TE_RE!$A$2:$C$101,3,0)</f>
        <v>60</v>
      </c>
      <c r="M32" s="96">
        <f>VLOOKUP(B32,tab_Tecnologias_TE_RE!$A$2:$W$101,COLUMN(tab_Tecnologias_TE_RE!$W$1),0)</f>
        <v>7</v>
      </c>
    </row>
    <row r="33" spans="1:13">
      <c r="A33" s="95">
        <v>5031</v>
      </c>
      <c r="B33" s="86">
        <v>311</v>
      </c>
      <c r="C33" s="96" t="str">
        <f>VLOOKUP(B33,tab_Tecnologias_TE_RE!$A$1:$B$101,2,0)</f>
        <v>CANA_condensação</v>
      </c>
      <c r="D33" s="152" t="s">
        <v>146</v>
      </c>
      <c r="E33" s="17">
        <v>1</v>
      </c>
      <c r="F33" s="125">
        <v>94</v>
      </c>
      <c r="G33" s="97" t="str">
        <f t="shared" si="0"/>
        <v>CANA_condensação_1_1_2046</v>
      </c>
      <c r="H33" s="23">
        <v>1</v>
      </c>
      <c r="I33" s="345" t="str">
        <f>VLOOKUP(H33,tab_tipo_expansao!$A$2:$B$4,2,0)</f>
        <v>opcional</v>
      </c>
      <c r="J33" s="59">
        <v>2046</v>
      </c>
      <c r="K33" s="59">
        <v>2050</v>
      </c>
      <c r="L33" s="98">
        <f>F33*VLOOKUP(B33,tab_Tecnologias_TE_RE!$A$2:$C$101,3,0)</f>
        <v>94</v>
      </c>
      <c r="M33" s="96">
        <f>VLOOKUP(B33,tab_Tecnologias_TE_RE!$A$2:$W$101,COLUMN(tab_Tecnologias_TE_RE!$W$1),0)</f>
        <v>7</v>
      </c>
    </row>
    <row r="34" spans="1:13">
      <c r="A34" s="95">
        <v>5032</v>
      </c>
      <c r="B34" s="86">
        <v>311</v>
      </c>
      <c r="C34" s="96" t="str">
        <f>VLOOKUP(B34,tab_Tecnologias_TE_RE!$A$1:$B$101,2,0)</f>
        <v>CANA_condensação</v>
      </c>
      <c r="D34" s="152" t="s">
        <v>146</v>
      </c>
      <c r="E34" s="17">
        <v>1</v>
      </c>
      <c r="F34" s="125">
        <v>75</v>
      </c>
      <c r="G34" s="97" t="str">
        <f t="shared" si="0"/>
        <v>CANA_condensação_1_1_2047</v>
      </c>
      <c r="H34" s="23">
        <v>1</v>
      </c>
      <c r="I34" s="345" t="str">
        <f>VLOOKUP(H34,tab_tipo_expansao!$A$2:$B$4,2,0)</f>
        <v>opcional</v>
      </c>
      <c r="J34" s="59">
        <v>2047</v>
      </c>
      <c r="K34" s="59">
        <v>2050</v>
      </c>
      <c r="L34" s="98">
        <f>F34*VLOOKUP(B34,tab_Tecnologias_TE_RE!$A$2:$C$101,3,0)</f>
        <v>75</v>
      </c>
      <c r="M34" s="96">
        <f>VLOOKUP(B34,tab_Tecnologias_TE_RE!$A$2:$W$101,COLUMN(tab_Tecnologias_TE_RE!$W$1),0)</f>
        <v>7</v>
      </c>
    </row>
    <row r="35" spans="1:13">
      <c r="A35" s="95">
        <v>5033</v>
      </c>
      <c r="B35" s="86">
        <v>311</v>
      </c>
      <c r="C35" s="96" t="str">
        <f>VLOOKUP(B35,tab_Tecnologias_TE_RE!$A$1:$B$101,2,0)</f>
        <v>CANA_condensação</v>
      </c>
      <c r="D35" s="152" t="s">
        <v>146</v>
      </c>
      <c r="E35" s="17">
        <v>1</v>
      </c>
      <c r="F35" s="125">
        <v>86</v>
      </c>
      <c r="G35" s="97" t="str">
        <f t="shared" si="0"/>
        <v>CANA_condensação_1_1_2048</v>
      </c>
      <c r="H35" s="23">
        <v>1</v>
      </c>
      <c r="I35" s="345" t="str">
        <f>VLOOKUP(H35,tab_tipo_expansao!$A$2:$B$4,2,0)</f>
        <v>opcional</v>
      </c>
      <c r="J35" s="59">
        <v>2048</v>
      </c>
      <c r="K35" s="59">
        <v>2050</v>
      </c>
      <c r="L35" s="98">
        <f>F35*VLOOKUP(B35,tab_Tecnologias_TE_RE!$A$2:$C$101,3,0)</f>
        <v>86</v>
      </c>
      <c r="M35" s="96">
        <f>VLOOKUP(B35,tab_Tecnologias_TE_RE!$A$2:$W$101,COLUMN(tab_Tecnologias_TE_RE!$W$1),0)</f>
        <v>7</v>
      </c>
    </row>
    <row r="36" spans="1:13">
      <c r="A36" s="95">
        <v>5034</v>
      </c>
      <c r="B36" s="86">
        <v>311</v>
      </c>
      <c r="C36" s="96" t="str">
        <f>VLOOKUP(B36,tab_Tecnologias_TE_RE!$A$1:$B$101,2,0)</f>
        <v>CANA_condensação</v>
      </c>
      <c r="D36" s="152" t="s">
        <v>146</v>
      </c>
      <c r="E36" s="17">
        <v>1</v>
      </c>
      <c r="F36" s="125">
        <v>133</v>
      </c>
      <c r="G36" s="97" t="str">
        <f t="shared" si="0"/>
        <v>CANA_condensação_1_1_2049</v>
      </c>
      <c r="H36" s="23">
        <v>1</v>
      </c>
      <c r="I36" s="345" t="str">
        <f>VLOOKUP(H36,tab_tipo_expansao!$A$2:$B$4,2,0)</f>
        <v>opcional</v>
      </c>
      <c r="J36" s="59">
        <v>2049</v>
      </c>
      <c r="K36" s="59">
        <v>2050</v>
      </c>
      <c r="L36" s="98">
        <f>F36*VLOOKUP(B36,tab_Tecnologias_TE_RE!$A$2:$C$101,3,0)</f>
        <v>133</v>
      </c>
      <c r="M36" s="96">
        <f>VLOOKUP(B36,tab_Tecnologias_TE_RE!$A$2:$W$101,COLUMN(tab_Tecnologias_TE_RE!$W$1),0)</f>
        <v>7</v>
      </c>
    </row>
    <row r="37" spans="1:13">
      <c r="A37" s="95">
        <v>5035</v>
      </c>
      <c r="B37" s="86">
        <v>311</v>
      </c>
      <c r="C37" s="96" t="str">
        <f>VLOOKUP(B37,tab_Tecnologias_TE_RE!$A$1:$B$101,2,0)</f>
        <v>CANA_condensação</v>
      </c>
      <c r="D37" s="152" t="s">
        <v>146</v>
      </c>
      <c r="E37" s="17">
        <v>1</v>
      </c>
      <c r="F37" s="125">
        <v>108</v>
      </c>
      <c r="G37" s="97" t="str">
        <f t="shared" si="0"/>
        <v>CANA_condensação_1_1_2050</v>
      </c>
      <c r="H37" s="23">
        <v>1</v>
      </c>
      <c r="I37" s="345" t="str">
        <f>VLOOKUP(H37,tab_tipo_expansao!$A$2:$B$4,2,0)</f>
        <v>opcional</v>
      </c>
      <c r="J37" s="59">
        <v>2050</v>
      </c>
      <c r="K37" s="59">
        <v>2050</v>
      </c>
      <c r="L37" s="98">
        <f>F37*VLOOKUP(B37,tab_Tecnologias_TE_RE!$A$2:$C$101,3,0)</f>
        <v>108</v>
      </c>
      <c r="M37" s="96">
        <f>VLOOKUP(B37,tab_Tecnologias_TE_RE!$A$2:$W$101,COLUMN(tab_Tecnologias_TE_RE!$W$1),0)</f>
        <v>7</v>
      </c>
    </row>
    <row r="38" spans="1:13">
      <c r="A38" s="95">
        <v>5036</v>
      </c>
      <c r="B38" s="86">
        <v>304</v>
      </c>
      <c r="C38" s="96" t="str">
        <f>VLOOKUP(B38,tab_Tecnologias_TE_RE!$A$1:$B$101,2,0)</f>
        <v>CARVÃO IMP_pulv</v>
      </c>
      <c r="D38" s="152" t="s">
        <v>147</v>
      </c>
      <c r="E38" s="17">
        <v>4</v>
      </c>
      <c r="F38" s="125">
        <v>15000</v>
      </c>
      <c r="G38" s="97" t="str">
        <f t="shared" si="0"/>
        <v>CARVÃO IMP_pulv_4_1_2015</v>
      </c>
      <c r="H38" s="23">
        <v>1</v>
      </c>
      <c r="I38" s="345" t="str">
        <f>VLOOKUP(H38,tab_tipo_expansao!$A$2:$B$4,2,0)</f>
        <v>opcional</v>
      </c>
      <c r="J38" s="59">
        <v>2015</v>
      </c>
      <c r="K38" s="59">
        <v>2050</v>
      </c>
      <c r="L38" s="98">
        <f>F38*VLOOKUP(B38,tab_Tecnologias_TE_RE!$A$2:$C$101,3,0)</f>
        <v>15000</v>
      </c>
      <c r="M38" s="96">
        <f>VLOOKUP(B38,tab_Tecnologias_TE_RE!$A$2:$W$101,COLUMN(tab_Tecnologias_TE_RE!$W$1),0)</f>
        <v>4</v>
      </c>
    </row>
    <row r="39" spans="1:13">
      <c r="A39" s="95">
        <v>5037</v>
      </c>
      <c r="B39" s="86">
        <v>304</v>
      </c>
      <c r="C39" s="96" t="str">
        <f>VLOOKUP(B39,tab_Tecnologias_TE_RE!$A$1:$B$101,2,0)</f>
        <v>CARVÃO IMP_pulv</v>
      </c>
      <c r="D39" s="152" t="s">
        <v>148</v>
      </c>
      <c r="E39" s="17">
        <v>3</v>
      </c>
      <c r="F39" s="125">
        <v>15000</v>
      </c>
      <c r="G39" s="97" t="str">
        <f t="shared" si="0"/>
        <v>CARVÃO IMP_pulv_3_1_2015</v>
      </c>
      <c r="H39" s="23">
        <v>1</v>
      </c>
      <c r="I39" s="345" t="str">
        <f>VLOOKUP(H39,tab_tipo_expansao!$A$2:$B$4,2,0)</f>
        <v>opcional</v>
      </c>
      <c r="J39" s="59">
        <v>2015</v>
      </c>
      <c r="K39" s="59">
        <v>2050</v>
      </c>
      <c r="L39" s="98">
        <f>F39*VLOOKUP(B39,tab_Tecnologias_TE_RE!$A$2:$C$101,3,0)</f>
        <v>15000</v>
      </c>
      <c r="M39" s="96">
        <f>VLOOKUP(B39,tab_Tecnologias_TE_RE!$A$2:$W$101,COLUMN(tab_Tecnologias_TE_RE!$W$1),0)</f>
        <v>4</v>
      </c>
    </row>
    <row r="40" spans="1:13">
      <c r="A40" s="95">
        <v>5038</v>
      </c>
      <c r="B40" s="86">
        <v>305</v>
      </c>
      <c r="C40" s="96" t="str">
        <f>VLOOKUP(B40,tab_Tecnologias_TE_RE!$A$1:$B$101,2,0)</f>
        <v>CARVÃO NAC_Supercritico</v>
      </c>
      <c r="D40" s="152" t="s">
        <v>149</v>
      </c>
      <c r="E40" s="17">
        <v>2</v>
      </c>
      <c r="F40" s="125">
        <f>17914+6000</f>
        <v>23914</v>
      </c>
      <c r="G40" s="97" t="str">
        <f t="shared" si="0"/>
        <v>CARVÃO NAC_Supercritico_2_1_2031</v>
      </c>
      <c r="H40" s="23">
        <v>1</v>
      </c>
      <c r="I40" s="345" t="str">
        <f>VLOOKUP(H40,tab_tipo_expansao!$A$2:$B$4,2,0)</f>
        <v>opcional</v>
      </c>
      <c r="J40" s="59">
        <v>2031</v>
      </c>
      <c r="K40" s="59">
        <v>2050</v>
      </c>
      <c r="L40" s="98">
        <f>F40*VLOOKUP(B40,tab_Tecnologias_TE_RE!$A$2:$C$101,3,0)</f>
        <v>23914</v>
      </c>
      <c r="M40" s="96">
        <f>VLOOKUP(B40,tab_Tecnologias_TE_RE!$A$2:$W$101,COLUMN(tab_Tecnologias_TE_RE!$W$1),0)</f>
        <v>4</v>
      </c>
    </row>
    <row r="41" spans="1:13">
      <c r="A41" s="95">
        <v>5039</v>
      </c>
      <c r="B41" s="86">
        <v>450</v>
      </c>
      <c r="C41" s="96" t="str">
        <f>VLOOKUP(B41,tab_Tecnologias_TE_RE!$A$1:$B$101,2,0)</f>
        <v>CARVÃO NAC_fluid_menorCAPEX</v>
      </c>
      <c r="D41" s="152" t="s">
        <v>149</v>
      </c>
      <c r="E41" s="17">
        <v>2</v>
      </c>
      <c r="F41" s="125">
        <v>2000</v>
      </c>
      <c r="G41" s="97" t="str">
        <f t="shared" si="0"/>
        <v>CARVÃO NAC_fluid_menorCAPEX_2_1_2015</v>
      </c>
      <c r="H41" s="23">
        <v>1</v>
      </c>
      <c r="I41" s="345" t="str">
        <f>VLOOKUP(H41,tab_tipo_expansao!$A$2:$B$4,2,0)</f>
        <v>opcional</v>
      </c>
      <c r="J41" s="59">
        <v>2015</v>
      </c>
      <c r="K41" s="59">
        <v>2030</v>
      </c>
      <c r="L41" s="98">
        <f>F41*VLOOKUP(B41,tab_Tecnologias_TE_RE!$A$2:$C$101,3,0)</f>
        <v>2000</v>
      </c>
      <c r="M41" s="96">
        <f>VLOOKUP(B41,tab_Tecnologias_TE_RE!$A$2:$W$101,COLUMN(tab_Tecnologias_TE_RE!$W$1),0)</f>
        <v>4</v>
      </c>
    </row>
    <row r="42" spans="1:13">
      <c r="A42" s="95">
        <v>5040</v>
      </c>
      <c r="B42" s="86">
        <v>317</v>
      </c>
      <c r="C42" s="96" t="str">
        <f>VLOOKUP(B42,tab_Tecnologias_TE_RE!$A$1:$B$101,2,0)</f>
        <v>PV_Bateria_2015-2029</v>
      </c>
      <c r="D42" s="152" t="s">
        <v>150</v>
      </c>
      <c r="E42" s="17">
        <v>1</v>
      </c>
      <c r="F42" s="125">
        <v>50000</v>
      </c>
      <c r="G42" s="97" t="str">
        <f t="shared" si="0"/>
        <v>PV_Bateria_2015-2029_1_1_2015</v>
      </c>
      <c r="H42" s="23">
        <v>1</v>
      </c>
      <c r="I42" s="345" t="str">
        <f>VLOOKUP(H42,tab_tipo_expansao!$A$2:$B$4,2,0)</f>
        <v>opcional</v>
      </c>
      <c r="J42" s="59">
        <v>2015</v>
      </c>
      <c r="K42" s="59">
        <v>2029</v>
      </c>
      <c r="L42" s="98">
        <f>F42*VLOOKUP(B42,tab_Tecnologias_TE_RE!$A$2:$C$101,3,0)</f>
        <v>50000</v>
      </c>
      <c r="M42" s="96">
        <f>VLOOKUP(B42,tab_Tecnologias_TE_RE!$A$2:$W$101,COLUMN(tab_Tecnologias_TE_RE!$W$1),0)</f>
        <v>9</v>
      </c>
    </row>
    <row r="43" spans="1:13">
      <c r="A43" s="95">
        <v>5041</v>
      </c>
      <c r="B43" s="86">
        <v>317</v>
      </c>
      <c r="C43" s="96" t="str">
        <f>VLOOKUP(B43,tab_Tecnologias_TE_RE!$A$1:$B$101,2,0)</f>
        <v>PV_Bateria_2015-2029</v>
      </c>
      <c r="D43" s="152" t="s">
        <v>151</v>
      </c>
      <c r="E43" s="17">
        <v>2</v>
      </c>
      <c r="F43" s="125">
        <v>50000</v>
      </c>
      <c r="G43" s="97" t="str">
        <f t="shared" si="0"/>
        <v>PV_Bateria_2015-2029_2_1_2015</v>
      </c>
      <c r="H43" s="23">
        <v>1</v>
      </c>
      <c r="I43" s="345" t="str">
        <f>VLOOKUP(H43,tab_tipo_expansao!$A$2:$B$4,2,0)</f>
        <v>opcional</v>
      </c>
      <c r="J43" s="59">
        <v>2015</v>
      </c>
      <c r="K43" s="59">
        <v>2029</v>
      </c>
      <c r="L43" s="98">
        <f>F43*VLOOKUP(B43,tab_Tecnologias_TE_RE!$A$2:$C$101,3,0)</f>
        <v>50000</v>
      </c>
      <c r="M43" s="96">
        <f>VLOOKUP(B43,tab_Tecnologias_TE_RE!$A$2:$W$101,COLUMN(tab_Tecnologias_TE_RE!$W$1),0)</f>
        <v>9</v>
      </c>
    </row>
    <row r="44" spans="1:13">
      <c r="A44" s="95">
        <v>5042</v>
      </c>
      <c r="B44" s="86">
        <v>317</v>
      </c>
      <c r="C44" s="96" t="str">
        <f>VLOOKUP(B44,tab_Tecnologias_TE_RE!$A$1:$B$101,2,0)</f>
        <v>PV_Bateria_2015-2029</v>
      </c>
      <c r="D44" s="152" t="s">
        <v>152</v>
      </c>
      <c r="E44" s="17">
        <v>3</v>
      </c>
      <c r="F44" s="125">
        <v>50000</v>
      </c>
      <c r="G44" s="97" t="str">
        <f t="shared" si="0"/>
        <v>PV_Bateria_2015-2029_3_1_2015</v>
      </c>
      <c r="H44" s="23">
        <v>1</v>
      </c>
      <c r="I44" s="345" t="str">
        <f>VLOOKUP(H44,tab_tipo_expansao!$A$2:$B$4,2,0)</f>
        <v>opcional</v>
      </c>
      <c r="J44" s="59">
        <v>2015</v>
      </c>
      <c r="K44" s="59">
        <v>2029</v>
      </c>
      <c r="L44" s="98">
        <f>F44*VLOOKUP(B44,tab_Tecnologias_TE_RE!$A$2:$C$101,3,0)</f>
        <v>50000</v>
      </c>
      <c r="M44" s="96">
        <f>VLOOKUP(B44,tab_Tecnologias_TE_RE!$A$2:$W$101,COLUMN(tab_Tecnologias_TE_RE!$W$1),0)</f>
        <v>9</v>
      </c>
    </row>
    <row r="45" spans="1:13">
      <c r="A45" s="95">
        <v>5043</v>
      </c>
      <c r="B45" s="86">
        <v>317</v>
      </c>
      <c r="C45" s="96" t="str">
        <f>VLOOKUP(B45,tab_Tecnologias_TE_RE!$A$1:$B$101,2,0)</f>
        <v>PV_Bateria_2015-2029</v>
      </c>
      <c r="D45" s="152" t="s">
        <v>147</v>
      </c>
      <c r="E45" s="17">
        <v>4</v>
      </c>
      <c r="F45" s="125">
        <v>50000</v>
      </c>
      <c r="G45" s="97" t="str">
        <f t="shared" si="0"/>
        <v>PV_Bateria_2015-2029_4_1_2015</v>
      </c>
      <c r="H45" s="23">
        <v>1</v>
      </c>
      <c r="I45" s="345" t="str">
        <f>VLOOKUP(H45,tab_tipo_expansao!$A$2:$B$4,2,0)</f>
        <v>opcional</v>
      </c>
      <c r="J45" s="59">
        <v>2015</v>
      </c>
      <c r="K45" s="59">
        <v>2029</v>
      </c>
      <c r="L45" s="98">
        <f>F45*VLOOKUP(B45,tab_Tecnologias_TE_RE!$A$2:$C$101,3,0)</f>
        <v>50000</v>
      </c>
      <c r="M45" s="96">
        <f>VLOOKUP(B45,tab_Tecnologias_TE_RE!$A$2:$W$101,COLUMN(tab_Tecnologias_TE_RE!$W$1),0)</f>
        <v>9</v>
      </c>
    </row>
    <row r="46" spans="1:13">
      <c r="A46" s="95">
        <v>5044</v>
      </c>
      <c r="B46" s="86">
        <v>327</v>
      </c>
      <c r="C46" s="96" t="str">
        <f>VLOOKUP(B46,tab_Tecnologias_TE_RE!$A$1:$B$101,2,0)</f>
        <v>PV_Bateria_2030-2039</v>
      </c>
      <c r="D46" s="152" t="s">
        <v>150</v>
      </c>
      <c r="E46" s="17">
        <v>1</v>
      </c>
      <c r="F46" s="125">
        <v>50000</v>
      </c>
      <c r="G46" s="97" t="str">
        <f t="shared" si="0"/>
        <v>PV_Bateria_2030-2039_1_1_2030</v>
      </c>
      <c r="H46" s="23">
        <v>1</v>
      </c>
      <c r="I46" s="345" t="str">
        <f>VLOOKUP(H46,tab_tipo_expansao!$A$2:$B$4,2,0)</f>
        <v>opcional</v>
      </c>
      <c r="J46" s="59">
        <v>2030</v>
      </c>
      <c r="K46" s="59">
        <v>2039</v>
      </c>
      <c r="L46" s="98">
        <f>F46*VLOOKUP(B46,tab_Tecnologias_TE_RE!$A$2:$C$101,3,0)</f>
        <v>50000</v>
      </c>
      <c r="M46" s="96">
        <f>VLOOKUP(B46,tab_Tecnologias_TE_RE!$A$2:$W$101,COLUMN(tab_Tecnologias_TE_RE!$W$1),0)</f>
        <v>9</v>
      </c>
    </row>
    <row r="47" spans="1:13">
      <c r="A47" s="95">
        <v>5045</v>
      </c>
      <c r="B47" s="86">
        <v>327</v>
      </c>
      <c r="C47" s="96" t="str">
        <f>VLOOKUP(B47,tab_Tecnologias_TE_RE!$A$1:$B$101,2,0)</f>
        <v>PV_Bateria_2030-2039</v>
      </c>
      <c r="D47" s="152" t="s">
        <v>151</v>
      </c>
      <c r="E47" s="17">
        <v>2</v>
      </c>
      <c r="F47" s="125">
        <v>50000</v>
      </c>
      <c r="G47" s="97" t="str">
        <f t="shared" si="0"/>
        <v>PV_Bateria_2030-2039_2_1_2030</v>
      </c>
      <c r="H47" s="23">
        <v>1</v>
      </c>
      <c r="I47" s="345" t="str">
        <f>VLOOKUP(H47,tab_tipo_expansao!$A$2:$B$4,2,0)</f>
        <v>opcional</v>
      </c>
      <c r="J47" s="59">
        <v>2030</v>
      </c>
      <c r="K47" s="59">
        <v>2039</v>
      </c>
      <c r="L47" s="98">
        <f>F47*VLOOKUP(B47,tab_Tecnologias_TE_RE!$A$2:$C$101,3,0)</f>
        <v>50000</v>
      </c>
      <c r="M47" s="96">
        <f>VLOOKUP(B47,tab_Tecnologias_TE_RE!$A$2:$W$101,COLUMN(tab_Tecnologias_TE_RE!$W$1),0)</f>
        <v>9</v>
      </c>
    </row>
    <row r="48" spans="1:13">
      <c r="A48" s="95">
        <v>5046</v>
      </c>
      <c r="B48" s="86">
        <v>327</v>
      </c>
      <c r="C48" s="96" t="str">
        <f>VLOOKUP(B48,tab_Tecnologias_TE_RE!$A$1:$B$101,2,0)</f>
        <v>PV_Bateria_2030-2039</v>
      </c>
      <c r="D48" s="152" t="s">
        <v>152</v>
      </c>
      <c r="E48" s="17">
        <v>3</v>
      </c>
      <c r="F48" s="125">
        <v>50000</v>
      </c>
      <c r="G48" s="97" t="str">
        <f t="shared" si="0"/>
        <v>PV_Bateria_2030-2039_3_1_2030</v>
      </c>
      <c r="H48" s="23">
        <v>1</v>
      </c>
      <c r="I48" s="345" t="str">
        <f>VLOOKUP(H48,tab_tipo_expansao!$A$2:$B$4,2,0)</f>
        <v>opcional</v>
      </c>
      <c r="J48" s="59">
        <v>2030</v>
      </c>
      <c r="K48" s="59">
        <v>2039</v>
      </c>
      <c r="L48" s="98">
        <f>F48*VLOOKUP(B48,tab_Tecnologias_TE_RE!$A$2:$C$101,3,0)</f>
        <v>50000</v>
      </c>
      <c r="M48" s="96">
        <f>VLOOKUP(B48,tab_Tecnologias_TE_RE!$A$2:$W$101,COLUMN(tab_Tecnologias_TE_RE!$W$1),0)</f>
        <v>9</v>
      </c>
    </row>
    <row r="49" spans="1:13">
      <c r="A49" s="95">
        <v>5047</v>
      </c>
      <c r="B49" s="86">
        <v>327</v>
      </c>
      <c r="C49" s="96" t="str">
        <f>VLOOKUP(B49,tab_Tecnologias_TE_RE!$A$1:$B$101,2,0)</f>
        <v>PV_Bateria_2030-2039</v>
      </c>
      <c r="D49" s="152" t="s">
        <v>147</v>
      </c>
      <c r="E49" s="17">
        <v>4</v>
      </c>
      <c r="F49" s="125">
        <v>50000</v>
      </c>
      <c r="G49" s="97" t="str">
        <f t="shared" si="0"/>
        <v>PV_Bateria_2030-2039_4_1_2030</v>
      </c>
      <c r="H49" s="23">
        <v>1</v>
      </c>
      <c r="I49" s="345" t="str">
        <f>VLOOKUP(H49,tab_tipo_expansao!$A$2:$B$4,2,0)</f>
        <v>opcional</v>
      </c>
      <c r="J49" s="59">
        <v>2030</v>
      </c>
      <c r="K49" s="59">
        <v>2039</v>
      </c>
      <c r="L49" s="98">
        <f>F49*VLOOKUP(B49,tab_Tecnologias_TE_RE!$A$2:$C$101,3,0)</f>
        <v>50000</v>
      </c>
      <c r="M49" s="96">
        <f>VLOOKUP(B49,tab_Tecnologias_TE_RE!$A$2:$W$101,COLUMN(tab_Tecnologias_TE_RE!$W$1),0)</f>
        <v>9</v>
      </c>
    </row>
    <row r="50" spans="1:13">
      <c r="A50" s="95">
        <v>5048</v>
      </c>
      <c r="B50" s="86">
        <v>337</v>
      </c>
      <c r="C50" s="96" t="str">
        <f>VLOOKUP(B50,tab_Tecnologias_TE_RE!$A$1:$B$101,2,0)</f>
        <v>PV_Bateria_2040-2050</v>
      </c>
      <c r="D50" s="152" t="s">
        <v>150</v>
      </c>
      <c r="E50" s="17">
        <v>1</v>
      </c>
      <c r="F50" s="125">
        <v>50000</v>
      </c>
      <c r="G50" s="97" t="str">
        <f t="shared" si="0"/>
        <v>PV_Bateria_2040-2050_1_1_2040</v>
      </c>
      <c r="H50" s="23">
        <v>1</v>
      </c>
      <c r="I50" s="345" t="str">
        <f>VLOOKUP(H50,tab_tipo_expansao!$A$2:$B$4,2,0)</f>
        <v>opcional</v>
      </c>
      <c r="J50" s="59">
        <v>2040</v>
      </c>
      <c r="K50" s="59">
        <v>2050</v>
      </c>
      <c r="L50" s="98">
        <f>F50*VLOOKUP(B50,tab_Tecnologias_TE_RE!$A$2:$C$101,3,0)</f>
        <v>50000</v>
      </c>
      <c r="M50" s="96">
        <f>VLOOKUP(B50,tab_Tecnologias_TE_RE!$A$2:$W$101,COLUMN(tab_Tecnologias_TE_RE!$W$1),0)</f>
        <v>9</v>
      </c>
    </row>
    <row r="51" spans="1:13">
      <c r="A51" s="95">
        <v>5049</v>
      </c>
      <c r="B51" s="86">
        <v>337</v>
      </c>
      <c r="C51" s="96" t="str">
        <f>VLOOKUP(B51,tab_Tecnologias_TE_RE!$A$1:$B$101,2,0)</f>
        <v>PV_Bateria_2040-2050</v>
      </c>
      <c r="D51" s="152" t="s">
        <v>151</v>
      </c>
      <c r="E51" s="17">
        <v>2</v>
      </c>
      <c r="F51" s="125">
        <v>50000</v>
      </c>
      <c r="G51" s="97" t="str">
        <f t="shared" si="0"/>
        <v>PV_Bateria_2040-2050_2_1_2040</v>
      </c>
      <c r="H51" s="23">
        <v>1</v>
      </c>
      <c r="I51" s="345" t="str">
        <f>VLOOKUP(H51,tab_tipo_expansao!$A$2:$B$4,2,0)</f>
        <v>opcional</v>
      </c>
      <c r="J51" s="59">
        <v>2040</v>
      </c>
      <c r="K51" s="59">
        <v>2050</v>
      </c>
      <c r="L51" s="98">
        <f>F51*VLOOKUP(B51,tab_Tecnologias_TE_RE!$A$2:$C$101,3,0)</f>
        <v>50000</v>
      </c>
      <c r="M51" s="96">
        <f>VLOOKUP(B51,tab_Tecnologias_TE_RE!$A$2:$W$101,COLUMN(tab_Tecnologias_TE_RE!$W$1),0)</f>
        <v>9</v>
      </c>
    </row>
    <row r="52" spans="1:13">
      <c r="A52" s="95">
        <v>5050</v>
      </c>
      <c r="B52" s="86">
        <v>337</v>
      </c>
      <c r="C52" s="96" t="str">
        <f>VLOOKUP(B52,tab_Tecnologias_TE_RE!$A$1:$B$101,2,0)</f>
        <v>PV_Bateria_2040-2050</v>
      </c>
      <c r="D52" s="152" t="s">
        <v>152</v>
      </c>
      <c r="E52" s="17">
        <v>3</v>
      </c>
      <c r="F52" s="125">
        <v>50000</v>
      </c>
      <c r="G52" s="97" t="str">
        <f t="shared" si="0"/>
        <v>PV_Bateria_2040-2050_3_1_2040</v>
      </c>
      <c r="H52" s="23">
        <v>1</v>
      </c>
      <c r="I52" s="345" t="str">
        <f>VLOOKUP(H52,tab_tipo_expansao!$A$2:$B$4,2,0)</f>
        <v>opcional</v>
      </c>
      <c r="J52" s="59">
        <v>2040</v>
      </c>
      <c r="K52" s="59">
        <v>2050</v>
      </c>
      <c r="L52" s="98">
        <f>F52*VLOOKUP(B52,tab_Tecnologias_TE_RE!$A$2:$C$101,3,0)</f>
        <v>50000</v>
      </c>
      <c r="M52" s="96">
        <f>VLOOKUP(B52,tab_Tecnologias_TE_RE!$A$2:$W$101,COLUMN(tab_Tecnologias_TE_RE!$W$1),0)</f>
        <v>9</v>
      </c>
    </row>
    <row r="53" spans="1:13">
      <c r="A53" s="95">
        <v>5051</v>
      </c>
      <c r="B53" s="86">
        <v>337</v>
      </c>
      <c r="C53" s="96" t="str">
        <f>VLOOKUP(B53,tab_Tecnologias_TE_RE!$A$1:$B$101,2,0)</f>
        <v>PV_Bateria_2040-2050</v>
      </c>
      <c r="D53" s="152" t="s">
        <v>147</v>
      </c>
      <c r="E53" s="17">
        <v>4</v>
      </c>
      <c r="F53" s="125">
        <v>50000</v>
      </c>
      <c r="G53" s="97" t="str">
        <f t="shared" si="0"/>
        <v>PV_Bateria_2040-2050_4_1_2040</v>
      </c>
      <c r="H53" s="23">
        <v>1</v>
      </c>
      <c r="I53" s="345" t="str">
        <f>VLOOKUP(H53,tab_tipo_expansao!$A$2:$B$4,2,0)</f>
        <v>opcional</v>
      </c>
      <c r="J53" s="59">
        <v>2040</v>
      </c>
      <c r="K53" s="59">
        <v>2050</v>
      </c>
      <c r="L53" s="98">
        <f>F53*VLOOKUP(B53,tab_Tecnologias_TE_RE!$A$2:$C$101,3,0)</f>
        <v>50000</v>
      </c>
      <c r="M53" s="96">
        <f>VLOOKUP(B53,tab_Tecnologias_TE_RE!$A$2:$W$101,COLUMN(tab_Tecnologias_TE_RE!$W$1),0)</f>
        <v>9</v>
      </c>
    </row>
    <row r="54" spans="1:13">
      <c r="A54" s="95">
        <v>5052</v>
      </c>
      <c r="B54" s="86">
        <v>387</v>
      </c>
      <c r="C54" s="96" t="str">
        <f>VLOOKUP(B54,tab_Tecnologias_TE_RE!$A$1:$B$101,2,0)</f>
        <v>CSP_2040_2050</v>
      </c>
      <c r="D54" s="152" t="s">
        <v>150</v>
      </c>
      <c r="E54" s="17">
        <v>1</v>
      </c>
      <c r="F54" s="125">
        <v>10000</v>
      </c>
      <c r="G54" s="97" t="str">
        <f t="shared" si="0"/>
        <v>CSP_2040_2050_1_1_2040</v>
      </c>
      <c r="H54" s="23">
        <v>1</v>
      </c>
      <c r="I54" s="345" t="str">
        <f>VLOOKUP(H54,tab_tipo_expansao!$A$2:$B$4,2,0)</f>
        <v>opcional</v>
      </c>
      <c r="J54" s="59">
        <v>2040</v>
      </c>
      <c r="K54" s="59">
        <v>2050</v>
      </c>
      <c r="L54" s="98">
        <f>F54*VLOOKUP(B54,tab_Tecnologias_TE_RE!$A$2:$C$101,3,0)</f>
        <v>10000</v>
      </c>
      <c r="M54" s="96">
        <f>VLOOKUP(B54,tab_Tecnologias_TE_RE!$A$2:$W$101,COLUMN(tab_Tecnologias_TE_RE!$W$1),0)</f>
        <v>9</v>
      </c>
    </row>
    <row r="55" spans="1:13">
      <c r="A55" s="95">
        <v>5053</v>
      </c>
      <c r="B55" s="86">
        <v>387</v>
      </c>
      <c r="C55" s="96" t="str">
        <f>VLOOKUP(B55,tab_Tecnologias_TE_RE!$A$1:$B$101,2,0)</f>
        <v>CSP_2040_2050</v>
      </c>
      <c r="D55" s="152" t="s">
        <v>151</v>
      </c>
      <c r="E55" s="17">
        <v>2</v>
      </c>
      <c r="F55" s="125">
        <v>10000</v>
      </c>
      <c r="G55" s="97" t="str">
        <f t="shared" si="0"/>
        <v>CSP_2040_2050_2_1_2040</v>
      </c>
      <c r="H55" s="23">
        <v>1</v>
      </c>
      <c r="I55" s="345" t="str">
        <f>VLOOKUP(H55,tab_tipo_expansao!$A$2:$B$4,2,0)</f>
        <v>opcional</v>
      </c>
      <c r="J55" s="59">
        <v>2040</v>
      </c>
      <c r="K55" s="59">
        <v>2050</v>
      </c>
      <c r="L55" s="98">
        <f>F55*VLOOKUP(B55,tab_Tecnologias_TE_RE!$A$2:$C$101,3,0)</f>
        <v>10000</v>
      </c>
      <c r="M55" s="96">
        <f>VLOOKUP(B55,tab_Tecnologias_TE_RE!$A$2:$W$101,COLUMN(tab_Tecnologias_TE_RE!$W$1),0)</f>
        <v>9</v>
      </c>
    </row>
    <row r="56" spans="1:13">
      <c r="A56" s="95">
        <v>5054</v>
      </c>
      <c r="B56" s="86">
        <v>387</v>
      </c>
      <c r="C56" s="96" t="str">
        <f>VLOOKUP(B56,tab_Tecnologias_TE_RE!$A$1:$B$101,2,0)</f>
        <v>CSP_2040_2050</v>
      </c>
      <c r="D56" s="152" t="s">
        <v>152</v>
      </c>
      <c r="E56" s="17">
        <v>3</v>
      </c>
      <c r="F56" s="125">
        <v>40000</v>
      </c>
      <c r="G56" s="97" t="str">
        <f t="shared" si="0"/>
        <v>CSP_2040_2050_3_1_2040</v>
      </c>
      <c r="H56" s="23">
        <v>1</v>
      </c>
      <c r="I56" s="345" t="str">
        <f>VLOOKUP(H56,tab_tipo_expansao!$A$2:$B$4,2,0)</f>
        <v>opcional</v>
      </c>
      <c r="J56" s="59">
        <v>2040</v>
      </c>
      <c r="K56" s="59">
        <v>2050</v>
      </c>
      <c r="L56" s="98">
        <f>F56*VLOOKUP(B56,tab_Tecnologias_TE_RE!$A$2:$C$101,3,0)</f>
        <v>40000</v>
      </c>
      <c r="M56" s="96">
        <f>VLOOKUP(B56,tab_Tecnologias_TE_RE!$A$2:$W$101,COLUMN(tab_Tecnologias_TE_RE!$W$1),0)</f>
        <v>9</v>
      </c>
    </row>
    <row r="57" spans="1:13">
      <c r="A57" s="95">
        <v>5055</v>
      </c>
      <c r="B57" s="86">
        <v>387</v>
      </c>
      <c r="C57" s="96" t="str">
        <f>VLOOKUP(B57,tab_Tecnologias_TE_RE!$A$1:$B$101,2,0)</f>
        <v>CSP_2040_2050</v>
      </c>
      <c r="D57" s="152" t="s">
        <v>147</v>
      </c>
      <c r="E57" s="17">
        <v>4</v>
      </c>
      <c r="F57" s="125">
        <v>10000</v>
      </c>
      <c r="G57" s="97" t="str">
        <f t="shared" si="0"/>
        <v>CSP_2040_2050_4_1_2040</v>
      </c>
      <c r="H57" s="23">
        <v>1</v>
      </c>
      <c r="I57" s="345" t="str">
        <f>VLOOKUP(H57,tab_tipo_expansao!$A$2:$B$4,2,0)</f>
        <v>opcional</v>
      </c>
      <c r="J57" s="59">
        <v>2040</v>
      </c>
      <c r="K57" s="59">
        <v>2050</v>
      </c>
      <c r="L57" s="98">
        <f>F57*VLOOKUP(B57,tab_Tecnologias_TE_RE!$A$2:$C$101,3,0)</f>
        <v>10000</v>
      </c>
      <c r="M57" s="96">
        <f>VLOOKUP(B57,tab_Tecnologias_TE_RE!$A$2:$W$101,COLUMN(tab_Tecnologias_TE_RE!$W$1),0)</f>
        <v>9</v>
      </c>
    </row>
    <row r="58" spans="1:13">
      <c r="A58" s="95">
        <v>5056</v>
      </c>
      <c r="B58" s="86">
        <v>302</v>
      </c>
      <c r="C58" s="96" t="str">
        <f>VLOOKUP(B58,tab_Tecnologias_TE_RE!$A$1:$B$101,2,0)</f>
        <v>GAS_CC_flexível_ate2030</v>
      </c>
      <c r="D58" s="152" t="s">
        <v>146</v>
      </c>
      <c r="E58" s="17">
        <v>1</v>
      </c>
      <c r="F58" s="125">
        <v>150000</v>
      </c>
      <c r="G58" s="97" t="str">
        <f t="shared" si="0"/>
        <v>GAS_CC_flexível_ate2030_1_1_2018</v>
      </c>
      <c r="H58" s="23">
        <v>1</v>
      </c>
      <c r="I58" s="345" t="str">
        <f>VLOOKUP(H58,tab_tipo_expansao!$A$2:$B$4,2,0)</f>
        <v>opcional</v>
      </c>
      <c r="J58" s="59">
        <v>2018</v>
      </c>
      <c r="K58" s="59">
        <v>2029</v>
      </c>
      <c r="L58" s="98">
        <f>F58*VLOOKUP(B58,tab_Tecnologias_TE_RE!$A$2:$C$101,3,0)</f>
        <v>150000</v>
      </c>
      <c r="M58" s="96">
        <f>VLOOKUP(B58,tab_Tecnologias_TE_RE!$A$2:$W$101,COLUMN(tab_Tecnologias_TE_RE!$W$1),0)</f>
        <v>3</v>
      </c>
    </row>
    <row r="59" spans="1:13">
      <c r="A59" s="95">
        <v>5057</v>
      </c>
      <c r="B59" s="86">
        <v>302</v>
      </c>
      <c r="C59" s="96" t="str">
        <f>VLOOKUP(B59,tab_Tecnologias_TE_RE!$A$1:$B$101,2,0)</f>
        <v>GAS_CC_flexível_ate2030</v>
      </c>
      <c r="D59" s="152" t="s">
        <v>151</v>
      </c>
      <c r="E59" s="17">
        <v>2</v>
      </c>
      <c r="F59" s="125">
        <v>150000</v>
      </c>
      <c r="G59" s="97" t="str">
        <f t="shared" si="0"/>
        <v>GAS_CC_flexível_ate2030_2_1_2018</v>
      </c>
      <c r="H59" s="23">
        <v>1</v>
      </c>
      <c r="I59" s="345" t="str">
        <f>VLOOKUP(H59,tab_tipo_expansao!$A$2:$B$4,2,0)</f>
        <v>opcional</v>
      </c>
      <c r="J59" s="59">
        <v>2018</v>
      </c>
      <c r="K59" s="59">
        <v>2029</v>
      </c>
      <c r="L59" s="98">
        <f>F59*VLOOKUP(B59,tab_Tecnologias_TE_RE!$A$2:$C$101,3,0)</f>
        <v>150000</v>
      </c>
      <c r="M59" s="96">
        <f>VLOOKUP(B59,tab_Tecnologias_TE_RE!$A$2:$W$101,COLUMN(tab_Tecnologias_TE_RE!$W$1),0)</f>
        <v>3</v>
      </c>
    </row>
    <row r="60" spans="1:13">
      <c r="A60" s="95">
        <v>5058</v>
      </c>
      <c r="B60" s="86">
        <v>302</v>
      </c>
      <c r="C60" s="96" t="str">
        <f>VLOOKUP(B60,tab_Tecnologias_TE_RE!$A$1:$B$101,2,0)</f>
        <v>GAS_CC_flexível_ate2030</v>
      </c>
      <c r="D60" s="152" t="s">
        <v>152</v>
      </c>
      <c r="E60" s="17">
        <v>3</v>
      </c>
      <c r="F60" s="125">
        <v>150000</v>
      </c>
      <c r="G60" s="97" t="str">
        <f t="shared" si="0"/>
        <v>GAS_CC_flexível_ate2030_3_1_2018</v>
      </c>
      <c r="H60" s="23">
        <v>1</v>
      </c>
      <c r="I60" s="345" t="str">
        <f>VLOOKUP(H60,tab_tipo_expansao!$A$2:$B$4,2,0)</f>
        <v>opcional</v>
      </c>
      <c r="J60" s="59">
        <v>2018</v>
      </c>
      <c r="K60" s="59">
        <v>2029</v>
      </c>
      <c r="L60" s="98">
        <f>F60*VLOOKUP(B60,tab_Tecnologias_TE_RE!$A$2:$C$101,3,0)</f>
        <v>150000</v>
      </c>
      <c r="M60" s="96">
        <f>VLOOKUP(B60,tab_Tecnologias_TE_RE!$A$2:$W$101,COLUMN(tab_Tecnologias_TE_RE!$W$1),0)</f>
        <v>3</v>
      </c>
    </row>
    <row r="61" spans="1:13">
      <c r="A61" s="95">
        <v>5059</v>
      </c>
      <c r="B61" s="86">
        <v>302</v>
      </c>
      <c r="C61" s="96" t="str">
        <f>VLOOKUP(B61,tab_Tecnologias_TE_RE!$A$1:$B$101,2,0)</f>
        <v>GAS_CC_flexível_ate2030</v>
      </c>
      <c r="D61" s="152" t="s">
        <v>153</v>
      </c>
      <c r="E61" s="17">
        <v>4</v>
      </c>
      <c r="F61" s="125">
        <v>150000</v>
      </c>
      <c r="G61" s="97" t="str">
        <f t="shared" si="0"/>
        <v>GAS_CC_flexível_ate2030_4_1_2018</v>
      </c>
      <c r="H61" s="23">
        <v>1</v>
      </c>
      <c r="I61" s="345" t="str">
        <f>VLOOKUP(H61,tab_tipo_expansao!$A$2:$B$4,2,0)</f>
        <v>opcional</v>
      </c>
      <c r="J61" s="59">
        <v>2018</v>
      </c>
      <c r="K61" s="59">
        <v>2029</v>
      </c>
      <c r="L61" s="98">
        <f>F61*VLOOKUP(B61,tab_Tecnologias_TE_RE!$A$2:$C$101,3,0)</f>
        <v>150000</v>
      </c>
      <c r="M61" s="96">
        <f>VLOOKUP(B61,tab_Tecnologias_TE_RE!$A$2:$W$101,COLUMN(tab_Tecnologias_TE_RE!$W$1),0)</f>
        <v>3</v>
      </c>
    </row>
    <row r="62" spans="1:13">
      <c r="A62" s="95">
        <v>5060</v>
      </c>
      <c r="B62" s="86">
        <v>302</v>
      </c>
      <c r="C62" s="96" t="str">
        <f>VLOOKUP(B62,tab_Tecnologias_TE_RE!$A$1:$B$101,2,0)</f>
        <v>GAS_CC_flexível_ate2030</v>
      </c>
      <c r="D62" s="152" t="s">
        <v>154</v>
      </c>
      <c r="E62" s="17">
        <v>7</v>
      </c>
      <c r="F62" s="125">
        <v>150000</v>
      </c>
      <c r="G62" s="97" t="str">
        <f t="shared" si="0"/>
        <v>GAS_CC_flexível_ate2030_7_1_2018</v>
      </c>
      <c r="H62" s="23">
        <v>1</v>
      </c>
      <c r="I62" s="345" t="str">
        <f>VLOOKUP(H62,tab_tipo_expansao!$A$2:$B$4,2,0)</f>
        <v>opcional</v>
      </c>
      <c r="J62" s="59">
        <v>2018</v>
      </c>
      <c r="K62" s="59">
        <v>2029</v>
      </c>
      <c r="L62" s="98">
        <f>F62*VLOOKUP(B62,tab_Tecnologias_TE_RE!$A$2:$C$101,3,0)</f>
        <v>150000</v>
      </c>
      <c r="M62" s="96">
        <f>VLOOKUP(B62,tab_Tecnologias_TE_RE!$A$2:$W$101,COLUMN(tab_Tecnologias_TE_RE!$W$1),0)</f>
        <v>3</v>
      </c>
    </row>
    <row r="63" spans="1:13">
      <c r="A63" s="95">
        <v>5061</v>
      </c>
      <c r="B63" s="86">
        <v>303</v>
      </c>
      <c r="C63" s="96" t="str">
        <f>VLOOKUP(B63,tab_Tecnologias_TE_RE!$A$1:$B$101,2,0)</f>
        <v>NUCLEAR</v>
      </c>
      <c r="D63" s="152" t="s">
        <v>146</v>
      </c>
      <c r="E63" s="17">
        <v>1</v>
      </c>
      <c r="F63" s="125">
        <v>10000</v>
      </c>
      <c r="G63" s="97" t="str">
        <f t="shared" si="0"/>
        <v>NUCLEAR_1_1_2027</v>
      </c>
      <c r="H63" s="23">
        <v>1</v>
      </c>
      <c r="I63" s="345" t="str">
        <f>VLOOKUP(H63,tab_tipo_expansao!$A$2:$B$4,2,0)</f>
        <v>opcional</v>
      </c>
      <c r="J63" s="59">
        <v>2027</v>
      </c>
      <c r="K63" s="59">
        <v>2050</v>
      </c>
      <c r="L63" s="98">
        <f>F63*VLOOKUP(B63,tab_Tecnologias_TE_RE!$A$2:$C$101,3,0)</f>
        <v>10000</v>
      </c>
      <c r="M63" s="96">
        <f>VLOOKUP(B63,tab_Tecnologias_TE_RE!$A$2:$W$101,COLUMN(tab_Tecnologias_TE_RE!$W$1),0)</f>
        <v>5</v>
      </c>
    </row>
    <row r="64" spans="1:13">
      <c r="A64" s="95">
        <v>5062</v>
      </c>
      <c r="B64" s="86">
        <v>313</v>
      </c>
      <c r="C64" s="96" t="str">
        <f>VLOOKUP(B64,tab_Tecnologias_TE_RE!$A$1:$B$101,2,0)</f>
        <v>Outras_Biomassas</v>
      </c>
      <c r="D64" s="152" t="s">
        <v>146</v>
      </c>
      <c r="E64" s="17">
        <v>1</v>
      </c>
      <c r="F64" s="125">
        <v>4500</v>
      </c>
      <c r="G64" s="97" t="str">
        <f t="shared" si="0"/>
        <v>Outras_Biomassas_1_1_2023</v>
      </c>
      <c r="H64" s="23">
        <v>1</v>
      </c>
      <c r="I64" s="345" t="str">
        <f>VLOOKUP(H64,tab_tipo_expansao!$A$2:$B$4,2,0)</f>
        <v>opcional</v>
      </c>
      <c r="J64" s="59">
        <v>2023</v>
      </c>
      <c r="K64" s="59">
        <v>2050</v>
      </c>
      <c r="L64" s="98">
        <f>F64*VLOOKUP(B64,tab_Tecnologias_TE_RE!$A$2:$C$101,3,0)</f>
        <v>4500</v>
      </c>
      <c r="M64" s="96">
        <f>VLOOKUP(B64,tab_Tecnologias_TE_RE!$A$2:$W$101,COLUMN(tab_Tecnologias_TE_RE!$W$1),0)</f>
        <v>7</v>
      </c>
    </row>
    <row r="65" spans="1:13">
      <c r="A65" s="95">
        <v>5063</v>
      </c>
      <c r="B65" s="86">
        <v>313</v>
      </c>
      <c r="C65" s="96" t="str">
        <f>VLOOKUP(B65,tab_Tecnologias_TE_RE!$A$1:$B$101,2,0)</f>
        <v>Outras_Biomassas</v>
      </c>
      <c r="D65" s="152" t="s">
        <v>153</v>
      </c>
      <c r="E65" s="17">
        <v>4</v>
      </c>
      <c r="F65" s="125">
        <v>5400</v>
      </c>
      <c r="G65" s="97" t="str">
        <f t="shared" si="0"/>
        <v>Outras_Biomassas_4_1_2015</v>
      </c>
      <c r="H65" s="23">
        <v>1</v>
      </c>
      <c r="I65" s="345" t="str">
        <f>VLOOKUP(H65,tab_tipo_expansao!$A$2:$B$4,2,0)</f>
        <v>opcional</v>
      </c>
      <c r="J65" s="59">
        <v>2015</v>
      </c>
      <c r="K65" s="59">
        <v>2050</v>
      </c>
      <c r="L65" s="98">
        <f>F65*VLOOKUP(B65,tab_Tecnologias_TE_RE!$A$2:$C$101,3,0)</f>
        <v>5400</v>
      </c>
      <c r="M65" s="96">
        <f>VLOOKUP(B65,tab_Tecnologias_TE_RE!$A$2:$W$101,COLUMN(tab_Tecnologias_TE_RE!$W$1),0)</f>
        <v>7</v>
      </c>
    </row>
    <row r="66" spans="1:13">
      <c r="A66" s="95">
        <v>5064</v>
      </c>
      <c r="B66" s="86">
        <v>313</v>
      </c>
      <c r="C66" s="96" t="str">
        <f>VLOOKUP(B66,tab_Tecnologias_TE_RE!$A$1:$B$101,2,0)</f>
        <v>Outras_Biomassas</v>
      </c>
      <c r="D66" s="152" t="s">
        <v>149</v>
      </c>
      <c r="E66" s="17">
        <v>2</v>
      </c>
      <c r="F66" s="125">
        <v>700</v>
      </c>
      <c r="G66" s="97" t="str">
        <f t="shared" si="0"/>
        <v>Outras_Biomassas_2_1_2015</v>
      </c>
      <c r="H66" s="23">
        <v>1</v>
      </c>
      <c r="I66" s="345" t="str">
        <f>VLOOKUP(H66,tab_tipo_expansao!$A$2:$B$4,2,0)</f>
        <v>opcional</v>
      </c>
      <c r="J66" s="59">
        <v>2015</v>
      </c>
      <c r="K66" s="59">
        <v>2050</v>
      </c>
      <c r="L66" s="98">
        <f>F66*VLOOKUP(B66,tab_Tecnologias_TE_RE!$A$2:$C$101,3,0)</f>
        <v>700</v>
      </c>
      <c r="M66" s="96">
        <f>VLOOKUP(B66,tab_Tecnologias_TE_RE!$A$2:$W$101,COLUMN(tab_Tecnologias_TE_RE!$W$1),0)</f>
        <v>7</v>
      </c>
    </row>
    <row r="67" spans="1:13">
      <c r="A67" s="95">
        <v>5065</v>
      </c>
      <c r="B67" s="86">
        <v>329</v>
      </c>
      <c r="C67" s="96" t="str">
        <f>VLOOKUP(B67,tab_Tecnologias_TE_RE!$A$1:$B$101,2,0)</f>
        <v>Potência_Complementar_2015-2029</v>
      </c>
      <c r="D67" s="152" t="s">
        <v>146</v>
      </c>
      <c r="E67" s="17">
        <v>1</v>
      </c>
      <c r="F67" s="125">
        <v>150000</v>
      </c>
      <c r="G67" s="97" t="str">
        <f t="shared" ref="G67:G130" si="1">C67&amp;"_"&amp;E67&amp;"_"&amp;H67&amp;"_"&amp;J67</f>
        <v>Potência_Complementar_2015-2029_1_1_2015</v>
      </c>
      <c r="H67" s="23">
        <v>1</v>
      </c>
      <c r="I67" s="345" t="str">
        <f>VLOOKUP(H67,tab_tipo_expansao!$A$2:$B$4,2,0)</f>
        <v>opcional</v>
      </c>
      <c r="J67" s="59">
        <v>2015</v>
      </c>
      <c r="K67" s="59">
        <v>2029</v>
      </c>
      <c r="L67" s="98">
        <f>F67*VLOOKUP(B67,tab_Tecnologias_TE_RE!$A$2:$C$101,3,0)</f>
        <v>150000</v>
      </c>
      <c r="M67" s="96">
        <f>VLOOKUP(B67,tab_Tecnologias_TE_RE!$A$2:$W$101,COLUMN(tab_Tecnologias_TE_RE!$W$1),0)</f>
        <v>10</v>
      </c>
    </row>
    <row r="68" spans="1:13">
      <c r="A68" s="95">
        <v>5066</v>
      </c>
      <c r="B68" s="86">
        <v>329</v>
      </c>
      <c r="C68" s="96" t="str">
        <f>VLOOKUP(B68,tab_Tecnologias_TE_RE!$A$1:$B$101,2,0)</f>
        <v>Potência_Complementar_2015-2029</v>
      </c>
      <c r="D68" s="152" t="s">
        <v>151</v>
      </c>
      <c r="E68" s="17">
        <v>2</v>
      </c>
      <c r="F68" s="125">
        <v>150000</v>
      </c>
      <c r="G68" s="97" t="str">
        <f t="shared" si="1"/>
        <v>Potência_Complementar_2015-2029_2_1_2015</v>
      </c>
      <c r="H68" s="23">
        <v>1</v>
      </c>
      <c r="I68" s="345" t="str">
        <f>VLOOKUP(H68,tab_tipo_expansao!$A$2:$B$4,2,0)</f>
        <v>opcional</v>
      </c>
      <c r="J68" s="59">
        <v>2015</v>
      </c>
      <c r="K68" s="59">
        <v>2029</v>
      </c>
      <c r="L68" s="98">
        <f>F68*VLOOKUP(B68,tab_Tecnologias_TE_RE!$A$2:$C$101,3,0)</f>
        <v>150000</v>
      </c>
      <c r="M68" s="96">
        <f>VLOOKUP(B68,tab_Tecnologias_TE_RE!$A$2:$W$101,COLUMN(tab_Tecnologias_TE_RE!$W$1),0)</f>
        <v>10</v>
      </c>
    </row>
    <row r="69" spans="1:13">
      <c r="A69" s="95">
        <v>5067</v>
      </c>
      <c r="B69" s="86">
        <v>329</v>
      </c>
      <c r="C69" s="96" t="str">
        <f>VLOOKUP(B69,tab_Tecnologias_TE_RE!$A$1:$B$101,2,0)</f>
        <v>Potência_Complementar_2015-2029</v>
      </c>
      <c r="D69" s="152" t="s">
        <v>152</v>
      </c>
      <c r="E69" s="17">
        <v>3</v>
      </c>
      <c r="F69" s="125">
        <v>150000</v>
      </c>
      <c r="G69" s="97" t="str">
        <f t="shared" si="1"/>
        <v>Potência_Complementar_2015-2029_3_1_2015</v>
      </c>
      <c r="H69" s="23">
        <v>1</v>
      </c>
      <c r="I69" s="345" t="str">
        <f>VLOOKUP(H69,tab_tipo_expansao!$A$2:$B$4,2,0)</f>
        <v>opcional</v>
      </c>
      <c r="J69" s="59">
        <v>2015</v>
      </c>
      <c r="K69" s="59">
        <v>2029</v>
      </c>
      <c r="L69" s="98">
        <f>F69*VLOOKUP(B69,tab_Tecnologias_TE_RE!$A$2:$C$101,3,0)</f>
        <v>150000</v>
      </c>
      <c r="M69" s="96">
        <f>VLOOKUP(B69,tab_Tecnologias_TE_RE!$A$2:$W$101,COLUMN(tab_Tecnologias_TE_RE!$W$1),0)</f>
        <v>10</v>
      </c>
    </row>
    <row r="70" spans="1:13">
      <c r="A70" s="95">
        <v>5068</v>
      </c>
      <c r="B70" s="86">
        <v>329</v>
      </c>
      <c r="C70" s="96" t="str">
        <f>VLOOKUP(B70,tab_Tecnologias_TE_RE!$A$1:$B$101,2,0)</f>
        <v>Potência_Complementar_2015-2029</v>
      </c>
      <c r="D70" s="152" t="s">
        <v>153</v>
      </c>
      <c r="E70" s="17">
        <v>4</v>
      </c>
      <c r="F70" s="125">
        <v>150000</v>
      </c>
      <c r="G70" s="97" t="str">
        <f t="shared" si="1"/>
        <v>Potência_Complementar_2015-2029_4_1_2015</v>
      </c>
      <c r="H70" s="23">
        <v>1</v>
      </c>
      <c r="I70" s="345" t="str">
        <f>VLOOKUP(H70,tab_tipo_expansao!$A$2:$B$4,2,0)</f>
        <v>opcional</v>
      </c>
      <c r="J70" s="59">
        <v>2015</v>
      </c>
      <c r="K70" s="59">
        <v>2029</v>
      </c>
      <c r="L70" s="98">
        <f>F70*VLOOKUP(B70,tab_Tecnologias_TE_RE!$A$2:$C$101,3,0)</f>
        <v>150000</v>
      </c>
      <c r="M70" s="96">
        <f>VLOOKUP(B70,tab_Tecnologias_TE_RE!$A$2:$W$101,COLUMN(tab_Tecnologias_TE_RE!$W$1),0)</f>
        <v>10</v>
      </c>
    </row>
    <row r="71" spans="1:13">
      <c r="A71" s="95">
        <v>5069</v>
      </c>
      <c r="B71" s="86">
        <v>329</v>
      </c>
      <c r="C71" s="96" t="str">
        <f>VLOOKUP(B71,tab_Tecnologias_TE_RE!$A$1:$B$101,2,0)</f>
        <v>Potência_Complementar_2015-2029</v>
      </c>
      <c r="D71" s="152" t="s">
        <v>155</v>
      </c>
      <c r="E71" s="17">
        <v>6</v>
      </c>
      <c r="F71" s="125">
        <v>150000</v>
      </c>
      <c r="G71" s="97" t="str">
        <f t="shared" si="1"/>
        <v>Potência_Complementar_2015-2029_6_1_2015</v>
      </c>
      <c r="H71" s="23">
        <v>1</v>
      </c>
      <c r="I71" s="345" t="str">
        <f>VLOOKUP(H71,tab_tipo_expansao!$A$2:$B$4,2,0)</f>
        <v>opcional</v>
      </c>
      <c r="J71" s="59">
        <v>2015</v>
      </c>
      <c r="K71" s="59">
        <v>2029</v>
      </c>
      <c r="L71" s="98">
        <f>F71*VLOOKUP(B71,tab_Tecnologias_TE_RE!$A$2:$C$101,3,0)</f>
        <v>150000</v>
      </c>
      <c r="M71" s="96">
        <f>VLOOKUP(B71,tab_Tecnologias_TE_RE!$A$2:$W$101,COLUMN(tab_Tecnologias_TE_RE!$W$1),0)</f>
        <v>10</v>
      </c>
    </row>
    <row r="72" spans="1:13">
      <c r="A72" s="95">
        <v>5070</v>
      </c>
      <c r="B72" s="86">
        <v>347</v>
      </c>
      <c r="C72" s="96" t="str">
        <f>VLOOKUP(B72,tab_Tecnologias_TE_RE!$A$1:$B$101,2,0)</f>
        <v>Solar_PV_2015_2019_S/SE</v>
      </c>
      <c r="D72" s="152" t="s">
        <v>150</v>
      </c>
      <c r="E72" s="17">
        <v>1</v>
      </c>
      <c r="F72" s="135">
        <v>5000</v>
      </c>
      <c r="G72" s="97" t="str">
        <f t="shared" si="1"/>
        <v>Solar_PV_2015_2019_S/SE_1_1_2015</v>
      </c>
      <c r="H72" s="23">
        <v>1</v>
      </c>
      <c r="I72" s="345" t="str">
        <f>VLOOKUP(H72,tab_tipo_expansao!$A$2:$B$4,2,0)</f>
        <v>opcional</v>
      </c>
      <c r="J72" s="59">
        <v>2015</v>
      </c>
      <c r="K72" s="59">
        <v>2019</v>
      </c>
      <c r="L72" s="98">
        <f>F72*VLOOKUP(B72,tab_Tecnologias_TE_RE!$A$2:$C$101,3,0)</f>
        <v>5000</v>
      </c>
      <c r="M72" s="96">
        <f>VLOOKUP(B72,tab_Tecnologias_TE_RE!$A$2:$W$101,COLUMN(tab_Tecnologias_TE_RE!$W$1),0)</f>
        <v>9</v>
      </c>
    </row>
    <row r="73" spans="1:13">
      <c r="A73" s="95">
        <v>5071</v>
      </c>
      <c r="B73" s="86">
        <v>370</v>
      </c>
      <c r="C73" s="96" t="str">
        <f>VLOOKUP(B73,tab_Tecnologias_TE_RE!$A$1:$B$101,2,0)</f>
        <v>Solar_PV_2015_2019_NE</v>
      </c>
      <c r="D73" s="152" t="s">
        <v>152</v>
      </c>
      <c r="E73" s="17">
        <v>3</v>
      </c>
      <c r="F73" s="135">
        <v>12000</v>
      </c>
      <c r="G73" s="97" t="str">
        <f t="shared" si="1"/>
        <v>Solar_PV_2015_2019_NE_3_1_2015</v>
      </c>
      <c r="H73" s="23">
        <v>1</v>
      </c>
      <c r="I73" s="345" t="str">
        <f>VLOOKUP(H73,tab_tipo_expansao!$A$2:$B$4,2,0)</f>
        <v>opcional</v>
      </c>
      <c r="J73" s="59">
        <v>2015</v>
      </c>
      <c r="K73" s="59">
        <v>2019</v>
      </c>
      <c r="L73" s="98">
        <f>F73*VLOOKUP(B73,tab_Tecnologias_TE_RE!$A$2:$C$101,3,0)</f>
        <v>12000</v>
      </c>
      <c r="M73" s="96">
        <f>VLOOKUP(B73,tab_Tecnologias_TE_RE!$A$2:$W$101,COLUMN(tab_Tecnologias_TE_RE!$W$1),0)</f>
        <v>9</v>
      </c>
    </row>
    <row r="74" spans="1:13">
      <c r="A74" s="95">
        <v>5072</v>
      </c>
      <c r="B74" s="86">
        <v>357</v>
      </c>
      <c r="C74" s="96" t="str">
        <f>VLOOKUP(B74,tab_Tecnologias_TE_RE!$A$1:$B$101,2,0)</f>
        <v>Solar_PV_2020_2029_S/SE</v>
      </c>
      <c r="D74" s="152" t="s">
        <v>150</v>
      </c>
      <c r="E74" s="17">
        <v>1</v>
      </c>
      <c r="F74" s="135">
        <v>7000</v>
      </c>
      <c r="G74" s="97" t="str">
        <f t="shared" si="1"/>
        <v>Solar_PV_2020_2029_S/SE_1_1_2020</v>
      </c>
      <c r="H74" s="23">
        <v>1</v>
      </c>
      <c r="I74" s="345" t="str">
        <f>VLOOKUP(H74,tab_tipo_expansao!$A$2:$B$4,2,0)</f>
        <v>opcional</v>
      </c>
      <c r="J74" s="59">
        <v>2020</v>
      </c>
      <c r="K74" s="59">
        <v>2029</v>
      </c>
      <c r="L74" s="98">
        <f>F74*VLOOKUP(B74,tab_Tecnologias_TE_RE!$A$2:$C$101,3,0)</f>
        <v>7000</v>
      </c>
      <c r="M74" s="96">
        <f>VLOOKUP(B74,tab_Tecnologias_TE_RE!$A$2:$W$101,COLUMN(tab_Tecnologias_TE_RE!$W$1),0)</f>
        <v>9</v>
      </c>
    </row>
    <row r="75" spans="1:13">
      <c r="A75" s="95">
        <v>5073</v>
      </c>
      <c r="B75" s="86">
        <v>371</v>
      </c>
      <c r="C75" s="96" t="str">
        <f>VLOOKUP(B75,tab_Tecnologias_TE_RE!$A$1:$B$101,2,0)</f>
        <v>Solar_PV_2020_2029_NE</v>
      </c>
      <c r="D75" s="152" t="s">
        <v>152</v>
      </c>
      <c r="E75" s="17">
        <v>3</v>
      </c>
      <c r="F75" s="135">
        <v>40000</v>
      </c>
      <c r="G75" s="97" t="str">
        <f t="shared" si="1"/>
        <v>Solar_PV_2020_2029_NE_3_1_2020</v>
      </c>
      <c r="H75" s="23">
        <v>1</v>
      </c>
      <c r="I75" s="345" t="str">
        <f>VLOOKUP(H75,tab_tipo_expansao!$A$2:$B$4,2,0)</f>
        <v>opcional</v>
      </c>
      <c r="J75" s="59">
        <v>2020</v>
      </c>
      <c r="K75" s="59">
        <v>2029</v>
      </c>
      <c r="L75" s="98">
        <f>F75*VLOOKUP(B75,tab_Tecnologias_TE_RE!$A$2:$C$101,3,0)</f>
        <v>40000</v>
      </c>
      <c r="M75" s="96">
        <f>VLOOKUP(B75,tab_Tecnologias_TE_RE!$A$2:$W$101,COLUMN(tab_Tecnologias_TE_RE!$W$1),0)</f>
        <v>9</v>
      </c>
    </row>
    <row r="76" spans="1:13">
      <c r="A76" s="95">
        <v>5074</v>
      </c>
      <c r="B76" s="86">
        <v>358</v>
      </c>
      <c r="C76" s="96" t="str">
        <f>VLOOKUP(B76,tab_Tecnologias_TE_RE!$A$1:$B$101,2,0)</f>
        <v>Solar_PV_2030_2039_S/SE</v>
      </c>
      <c r="D76" s="152" t="s">
        <v>150</v>
      </c>
      <c r="E76" s="17">
        <v>1</v>
      </c>
      <c r="F76" s="135">
        <v>55000</v>
      </c>
      <c r="G76" s="97" t="str">
        <f t="shared" si="1"/>
        <v>Solar_PV_2030_2039_S/SE_1_1_2030</v>
      </c>
      <c r="H76" s="23">
        <v>1</v>
      </c>
      <c r="I76" s="345" t="str">
        <f>VLOOKUP(H76,tab_tipo_expansao!$A$2:$B$4,2,0)</f>
        <v>opcional</v>
      </c>
      <c r="J76" s="59">
        <v>2030</v>
      </c>
      <c r="K76" s="59">
        <v>2039</v>
      </c>
      <c r="L76" s="98">
        <f>F76*VLOOKUP(B76,tab_Tecnologias_TE_RE!$A$2:$C$101,3,0)</f>
        <v>55000</v>
      </c>
      <c r="M76" s="96">
        <f>VLOOKUP(B76,tab_Tecnologias_TE_RE!$A$2:$W$101,COLUMN(tab_Tecnologias_TE_RE!$W$1),0)</f>
        <v>9</v>
      </c>
    </row>
    <row r="77" spans="1:13">
      <c r="A77" s="95">
        <v>5075</v>
      </c>
      <c r="B77" s="86">
        <v>372</v>
      </c>
      <c r="C77" s="96" t="str">
        <f>VLOOKUP(B77,tab_Tecnologias_TE_RE!$A$1:$B$101,2,0)</f>
        <v>Solar_PV_2030_2039_NE</v>
      </c>
      <c r="D77" s="152" t="s">
        <v>152</v>
      </c>
      <c r="E77" s="17">
        <v>3</v>
      </c>
      <c r="F77" s="135">
        <v>60000</v>
      </c>
      <c r="G77" s="97" t="str">
        <f t="shared" si="1"/>
        <v>Solar_PV_2030_2039_NE_3_1_2030</v>
      </c>
      <c r="H77" s="23">
        <v>1</v>
      </c>
      <c r="I77" s="345" t="str">
        <f>VLOOKUP(H77,tab_tipo_expansao!$A$2:$B$4,2,0)</f>
        <v>opcional</v>
      </c>
      <c r="J77" s="59">
        <v>2030</v>
      </c>
      <c r="K77" s="59">
        <v>2039</v>
      </c>
      <c r="L77" s="98">
        <f>F77*VLOOKUP(B77,tab_Tecnologias_TE_RE!$A$2:$C$101,3,0)</f>
        <v>60000</v>
      </c>
      <c r="M77" s="96">
        <f>VLOOKUP(B77,tab_Tecnologias_TE_RE!$A$2:$W$101,COLUMN(tab_Tecnologias_TE_RE!$W$1),0)</f>
        <v>9</v>
      </c>
    </row>
    <row r="78" spans="1:13">
      <c r="A78" s="95">
        <v>5076</v>
      </c>
      <c r="B78" s="86">
        <v>359</v>
      </c>
      <c r="C78" s="96" t="str">
        <f>VLOOKUP(B78,tab_Tecnologias_TE_RE!$A$1:$B$101,2,0)</f>
        <v>Solar_PV_2040_2050_S/SE</v>
      </c>
      <c r="D78" s="152" t="s">
        <v>150</v>
      </c>
      <c r="E78" s="17">
        <v>1</v>
      </c>
      <c r="F78" s="135">
        <v>55000</v>
      </c>
      <c r="G78" s="97" t="str">
        <f t="shared" si="1"/>
        <v>Solar_PV_2040_2050_S/SE_1_1_2040</v>
      </c>
      <c r="H78" s="23">
        <v>1</v>
      </c>
      <c r="I78" s="345" t="str">
        <f>VLOOKUP(H78,tab_tipo_expansao!$A$2:$B$4,2,0)</f>
        <v>opcional</v>
      </c>
      <c r="J78" s="59">
        <v>2040</v>
      </c>
      <c r="K78" s="59">
        <v>2050</v>
      </c>
      <c r="L78" s="98">
        <f>F78*VLOOKUP(B78,tab_Tecnologias_TE_RE!$A$2:$C$101,3,0)</f>
        <v>55000</v>
      </c>
      <c r="M78" s="96">
        <f>VLOOKUP(B78,tab_Tecnologias_TE_RE!$A$2:$W$101,COLUMN(tab_Tecnologias_TE_RE!$W$1),0)</f>
        <v>9</v>
      </c>
    </row>
    <row r="79" spans="1:13">
      <c r="A79" s="95">
        <v>5077</v>
      </c>
      <c r="B79" s="86">
        <v>373</v>
      </c>
      <c r="C79" s="96" t="str">
        <f>VLOOKUP(B79,tab_Tecnologias_TE_RE!$A$1:$B$101,2,0)</f>
        <v>Solar_PV_2040_2050_NE</v>
      </c>
      <c r="D79" s="152" t="s">
        <v>152</v>
      </c>
      <c r="E79" s="17">
        <v>3</v>
      </c>
      <c r="F79" s="135">
        <v>72000</v>
      </c>
      <c r="G79" s="97" t="str">
        <f t="shared" si="1"/>
        <v>Solar_PV_2040_2050_NE_3_1_2040</v>
      </c>
      <c r="H79" s="23">
        <v>1</v>
      </c>
      <c r="I79" s="345" t="str">
        <f>VLOOKUP(H79,tab_tipo_expansao!$A$2:$B$4,2,0)</f>
        <v>opcional</v>
      </c>
      <c r="J79" s="59">
        <v>2040</v>
      </c>
      <c r="K79" s="59">
        <v>2050</v>
      </c>
      <c r="L79" s="98">
        <f>F79*VLOOKUP(B79,tab_Tecnologias_TE_RE!$A$2:$C$101,3,0)</f>
        <v>72000</v>
      </c>
      <c r="M79" s="96">
        <f>VLOOKUP(B79,tab_Tecnologias_TE_RE!$A$2:$W$101,COLUMN(tab_Tecnologias_TE_RE!$W$1),0)</f>
        <v>9</v>
      </c>
    </row>
    <row r="80" spans="1:13">
      <c r="A80" s="95">
        <v>5078</v>
      </c>
      <c r="B80" s="519">
        <v>360</v>
      </c>
      <c r="C80" s="96" t="str">
        <f>VLOOKUP(B80,tab_Tecnologias_TE_RE!$A$1:$B$101,2,0)</f>
        <v>EOLICA S/SE_2015-2019</v>
      </c>
      <c r="D80" s="152" t="s">
        <v>150</v>
      </c>
      <c r="E80" s="17">
        <v>2</v>
      </c>
      <c r="F80" s="125">
        <v>10000</v>
      </c>
      <c r="G80" s="97" t="str">
        <f t="shared" si="1"/>
        <v>EOLICA S/SE_2015-2019_2_1_2015</v>
      </c>
      <c r="H80" s="23">
        <v>1</v>
      </c>
      <c r="I80" s="345" t="str">
        <f>VLOOKUP(H80,tab_tipo_expansao!$A$2:$B$4,2,0)</f>
        <v>opcional</v>
      </c>
      <c r="J80" s="59">
        <v>2015</v>
      </c>
      <c r="K80" s="59">
        <v>2019</v>
      </c>
      <c r="L80" s="98">
        <f>F80*VLOOKUP(B80,tab_Tecnologias_TE_RE!$A$2:$C$101,3,0)</f>
        <v>10000</v>
      </c>
      <c r="M80" s="96">
        <f>VLOOKUP(B80,tab_Tecnologias_TE_RE!$A$2:$W$101,COLUMN(tab_Tecnologias_TE_RE!$W$1),0)</f>
        <v>8</v>
      </c>
    </row>
    <row r="81" spans="1:13">
      <c r="A81" s="95">
        <v>5079</v>
      </c>
      <c r="B81" s="519">
        <v>361</v>
      </c>
      <c r="C81" s="96" t="str">
        <f>VLOOKUP(B81,tab_Tecnologias_TE_RE!$A$1:$B$101,2,0)</f>
        <v>EOLICA-NE/N_2015-2019</v>
      </c>
      <c r="D81" s="152" t="s">
        <v>152</v>
      </c>
      <c r="E81" s="17">
        <v>3</v>
      </c>
      <c r="F81" s="125">
        <v>20000</v>
      </c>
      <c r="G81" s="97" t="str">
        <f t="shared" si="1"/>
        <v>EOLICA-NE/N_2015-2019_3_1_2015</v>
      </c>
      <c r="H81" s="23">
        <v>1</v>
      </c>
      <c r="I81" s="345" t="str">
        <f>VLOOKUP(H81,tab_tipo_expansao!$A$2:$B$4,2,0)</f>
        <v>opcional</v>
      </c>
      <c r="J81" s="59">
        <v>2015</v>
      </c>
      <c r="K81" s="59">
        <v>2019</v>
      </c>
      <c r="L81" s="98">
        <f>F81*VLOOKUP(B81,tab_Tecnologias_TE_RE!$A$2:$C$101,3,0)</f>
        <v>20000</v>
      </c>
      <c r="M81" s="96">
        <f>VLOOKUP(B81,tab_Tecnologias_TE_RE!$A$2:$W$101,COLUMN(tab_Tecnologias_TE_RE!$W$1),0)</f>
        <v>8</v>
      </c>
    </row>
    <row r="82" spans="1:13">
      <c r="A82" s="95">
        <v>5080</v>
      </c>
      <c r="B82" s="519">
        <v>362</v>
      </c>
      <c r="C82" s="96" t="str">
        <f>VLOOKUP(B82,tab_Tecnologias_TE_RE!$A$1:$B$101,2,0)</f>
        <v>EOLICA S/SE_2020-2029</v>
      </c>
      <c r="D82" s="152" t="s">
        <v>150</v>
      </c>
      <c r="E82" s="17">
        <v>2</v>
      </c>
      <c r="F82" s="125">
        <v>30000</v>
      </c>
      <c r="G82" s="97" t="str">
        <f t="shared" si="1"/>
        <v>EOLICA S/SE_2020-2029_2_1_2020</v>
      </c>
      <c r="H82" s="23">
        <v>1</v>
      </c>
      <c r="I82" s="345" t="str">
        <f>VLOOKUP(H82,tab_tipo_expansao!$A$2:$B$4,2,0)</f>
        <v>opcional</v>
      </c>
      <c r="J82" s="59">
        <v>2020</v>
      </c>
      <c r="K82" s="59">
        <v>2029</v>
      </c>
      <c r="L82" s="98">
        <f>F82*VLOOKUP(B82,tab_Tecnologias_TE_RE!$A$2:$C$101,3,0)</f>
        <v>30000</v>
      </c>
      <c r="M82" s="96">
        <f>VLOOKUP(B82,tab_Tecnologias_TE_RE!$A$2:$W$101,COLUMN(tab_Tecnologias_TE_RE!$W$1),0)</f>
        <v>8</v>
      </c>
    </row>
    <row r="83" spans="1:13">
      <c r="A83" s="95">
        <v>5081</v>
      </c>
      <c r="B83" s="519">
        <v>363</v>
      </c>
      <c r="C83" s="96" t="str">
        <f>VLOOKUP(B83,tab_Tecnologias_TE_RE!$A$1:$B$101,2,0)</f>
        <v>EOLICA-NE/N_2020-2029</v>
      </c>
      <c r="D83" s="152" t="s">
        <v>152</v>
      </c>
      <c r="E83" s="17">
        <v>3</v>
      </c>
      <c r="F83" s="125">
        <v>50000</v>
      </c>
      <c r="G83" s="97" t="str">
        <f t="shared" si="1"/>
        <v>EOLICA-NE/N_2020-2029_3_1_2020</v>
      </c>
      <c r="H83" s="23">
        <v>1</v>
      </c>
      <c r="I83" s="345" t="str">
        <f>VLOOKUP(H83,tab_tipo_expansao!$A$2:$B$4,2,0)</f>
        <v>opcional</v>
      </c>
      <c r="J83" s="59">
        <v>2020</v>
      </c>
      <c r="K83" s="59">
        <v>2029</v>
      </c>
      <c r="L83" s="98">
        <f>F83*VLOOKUP(B83,tab_Tecnologias_TE_RE!$A$2:$C$101,3,0)</f>
        <v>50000</v>
      </c>
      <c r="M83" s="96">
        <f>VLOOKUP(B83,tab_Tecnologias_TE_RE!$A$2:$W$101,COLUMN(tab_Tecnologias_TE_RE!$W$1),0)</f>
        <v>8</v>
      </c>
    </row>
    <row r="84" spans="1:13">
      <c r="A84" s="95">
        <v>5082</v>
      </c>
      <c r="B84" s="519">
        <v>364</v>
      </c>
      <c r="C84" s="96" t="str">
        <f>VLOOKUP(B84,tab_Tecnologias_TE_RE!$A$1:$B$101,2,0)</f>
        <v>EOLICA S/SE_2030-2039</v>
      </c>
      <c r="D84" s="152" t="s">
        <v>150</v>
      </c>
      <c r="E84" s="17">
        <v>2</v>
      </c>
      <c r="F84" s="125">
        <v>50000</v>
      </c>
      <c r="G84" s="97" t="str">
        <f t="shared" si="1"/>
        <v>EOLICA S/SE_2030-2039_2_1_2030</v>
      </c>
      <c r="H84" s="23">
        <v>1</v>
      </c>
      <c r="I84" s="345" t="str">
        <f>VLOOKUP(H84,tab_tipo_expansao!$A$2:$B$4,2,0)</f>
        <v>opcional</v>
      </c>
      <c r="J84" s="59">
        <v>2030</v>
      </c>
      <c r="K84" s="59">
        <v>2039</v>
      </c>
      <c r="L84" s="98">
        <f>F84*VLOOKUP(B84,tab_Tecnologias_TE_RE!$A$2:$C$101,3,0)</f>
        <v>50000</v>
      </c>
      <c r="M84" s="96">
        <f>VLOOKUP(B84,tab_Tecnologias_TE_RE!$A$2:$W$101,COLUMN(tab_Tecnologias_TE_RE!$W$1),0)</f>
        <v>8</v>
      </c>
    </row>
    <row r="85" spans="1:13">
      <c r="A85" s="95">
        <v>5083</v>
      </c>
      <c r="B85" s="519">
        <v>365</v>
      </c>
      <c r="C85" s="96" t="str">
        <f>VLOOKUP(B85,tab_Tecnologias_TE_RE!$A$1:$B$101,2,0)</f>
        <v>EOLICA-NE/N_2030-2039</v>
      </c>
      <c r="D85" s="152" t="s">
        <v>152</v>
      </c>
      <c r="E85" s="17">
        <v>3</v>
      </c>
      <c r="F85" s="125">
        <v>60000</v>
      </c>
      <c r="G85" s="97" t="str">
        <f t="shared" si="1"/>
        <v>EOLICA-NE/N_2030-2039_3_1_2030</v>
      </c>
      <c r="H85" s="23">
        <v>1</v>
      </c>
      <c r="I85" s="345" t="str">
        <f>VLOOKUP(H85,tab_tipo_expansao!$A$2:$B$4,2,0)</f>
        <v>opcional</v>
      </c>
      <c r="J85" s="59">
        <v>2030</v>
      </c>
      <c r="K85" s="59">
        <v>2039</v>
      </c>
      <c r="L85" s="98">
        <f>F85*VLOOKUP(B85,tab_Tecnologias_TE_RE!$A$2:$C$101,3,0)</f>
        <v>60000</v>
      </c>
      <c r="M85" s="96">
        <f>VLOOKUP(B85,tab_Tecnologias_TE_RE!$A$2:$W$101,COLUMN(tab_Tecnologias_TE_RE!$W$1),0)</f>
        <v>8</v>
      </c>
    </row>
    <row r="86" spans="1:13">
      <c r="A86" s="95">
        <v>5084</v>
      </c>
      <c r="B86" s="519">
        <v>366</v>
      </c>
      <c r="C86" s="96" t="str">
        <f>VLOOKUP(B86,tab_Tecnologias_TE_RE!$A$1:$B$101,2,0)</f>
        <v>EOLICA S/SE_2040-2050</v>
      </c>
      <c r="D86" s="152" t="s">
        <v>150</v>
      </c>
      <c r="E86" s="17">
        <v>2</v>
      </c>
      <c r="F86" s="125">
        <v>56000</v>
      </c>
      <c r="G86" s="97" t="str">
        <f t="shared" si="1"/>
        <v>EOLICA S/SE_2040-2050_2_1_2040</v>
      </c>
      <c r="H86" s="23">
        <v>1</v>
      </c>
      <c r="I86" s="345" t="str">
        <f>VLOOKUP(H86,tab_tipo_expansao!$A$2:$B$4,2,0)</f>
        <v>opcional</v>
      </c>
      <c r="J86" s="59">
        <v>2040</v>
      </c>
      <c r="K86" s="59">
        <v>2050</v>
      </c>
      <c r="L86" s="98">
        <f>F86*VLOOKUP(B86,tab_Tecnologias_TE_RE!$A$2:$C$101,3,0)</f>
        <v>56000</v>
      </c>
      <c r="M86" s="96">
        <f>VLOOKUP(B86,tab_Tecnologias_TE_RE!$A$2:$W$101,COLUMN(tab_Tecnologias_TE_RE!$W$1),0)</f>
        <v>8</v>
      </c>
    </row>
    <row r="87" spans="1:13">
      <c r="A87" s="95">
        <v>5085</v>
      </c>
      <c r="B87" s="519">
        <v>367</v>
      </c>
      <c r="C87" s="96" t="str">
        <f>VLOOKUP(B87,tab_Tecnologias_TE_RE!$A$1:$B$101,2,0)</f>
        <v>EOLICA-NE/N_2040-2050</v>
      </c>
      <c r="D87" s="152" t="s">
        <v>152</v>
      </c>
      <c r="E87" s="17">
        <v>3</v>
      </c>
      <c r="F87" s="125">
        <v>80000</v>
      </c>
      <c r="G87" s="97" t="str">
        <f t="shared" si="1"/>
        <v>EOLICA-NE/N_2040-2050_3_1_2040</v>
      </c>
      <c r="H87" s="23">
        <v>1</v>
      </c>
      <c r="I87" s="345" t="str">
        <f>VLOOKUP(H87,tab_tipo_expansao!$A$2:$B$4,2,0)</f>
        <v>opcional</v>
      </c>
      <c r="J87" s="59">
        <v>2040</v>
      </c>
      <c r="K87" s="59">
        <v>2050</v>
      </c>
      <c r="L87" s="98">
        <f>F87*VLOOKUP(B87,tab_Tecnologias_TE_RE!$A$2:$C$101,3,0)</f>
        <v>80000</v>
      </c>
      <c r="M87" s="96">
        <f>VLOOKUP(B87,tab_Tecnologias_TE_RE!$A$2:$W$101,COLUMN(tab_Tecnologias_TE_RE!$W$1),0)</f>
        <v>8</v>
      </c>
    </row>
    <row r="88" spans="1:13">
      <c r="A88" s="95">
        <v>5086</v>
      </c>
      <c r="B88">
        <v>401</v>
      </c>
      <c r="C88" s="96" t="str">
        <f>VLOOKUP(B88,tab_Tecnologias_TE_RE!$A$1:$B$101,2,0)</f>
        <v>EOL Offshore_SE_2015-2019</v>
      </c>
      <c r="D88" s="152" t="s">
        <v>156</v>
      </c>
      <c r="E88" s="17">
        <v>1</v>
      </c>
      <c r="F88" s="125">
        <v>2000</v>
      </c>
      <c r="G88" s="97" t="str">
        <f t="shared" si="1"/>
        <v>EOL Offshore_SE_2015-2019_1_1_2015</v>
      </c>
      <c r="H88" s="23">
        <v>1</v>
      </c>
      <c r="I88" s="345" t="str">
        <f>VLOOKUP(H88,tab_tipo_expansao!$A$2:$B$4,2,0)</f>
        <v>opcional</v>
      </c>
      <c r="J88" s="59">
        <v>2015</v>
      </c>
      <c r="K88" s="59">
        <v>2019</v>
      </c>
      <c r="L88" s="98">
        <f>F88*VLOOKUP(B88,tab_Tecnologias_TE_RE!$A$2:$C$101,3,0)</f>
        <v>2000</v>
      </c>
      <c r="M88" s="96">
        <f>VLOOKUP(B88,tab_Tecnologias_TE_RE!$A$2:$W$101,COLUMN(tab_Tecnologias_TE_RE!$W$1),0)</f>
        <v>8</v>
      </c>
    </row>
    <row r="89" spans="1:13">
      <c r="A89" s="95">
        <v>5087</v>
      </c>
      <c r="B89">
        <v>402</v>
      </c>
      <c r="C89" s="96" t="str">
        <f>VLOOKUP(B89,tab_Tecnologias_TE_RE!$A$1:$B$101,2,0)</f>
        <v>EOL Offshore_SE_2020-2029</v>
      </c>
      <c r="D89" s="152" t="s">
        <v>156</v>
      </c>
      <c r="E89" s="17">
        <v>1</v>
      </c>
      <c r="F89" s="125">
        <v>7000</v>
      </c>
      <c r="G89" s="97" t="str">
        <f t="shared" si="1"/>
        <v>EOL Offshore_SE_2020-2029_1_1_2020</v>
      </c>
      <c r="H89" s="23">
        <v>1</v>
      </c>
      <c r="I89" s="345" t="str">
        <f>VLOOKUP(H89,tab_tipo_expansao!$A$2:$B$4,2,0)</f>
        <v>opcional</v>
      </c>
      <c r="J89" s="59">
        <v>2020</v>
      </c>
      <c r="K89" s="59">
        <v>2029</v>
      </c>
      <c r="L89" s="98">
        <f>F89*VLOOKUP(B89,tab_Tecnologias_TE_RE!$A$2:$C$101,3,0)</f>
        <v>7000</v>
      </c>
      <c r="M89" s="96">
        <f>VLOOKUP(B89,tab_Tecnologias_TE_RE!$A$2:$W$101,COLUMN(tab_Tecnologias_TE_RE!$W$1),0)</f>
        <v>8</v>
      </c>
    </row>
    <row r="90" spans="1:13">
      <c r="A90" s="95">
        <v>5088</v>
      </c>
      <c r="B90">
        <v>403</v>
      </c>
      <c r="C90" s="96" t="str">
        <f>VLOOKUP(B90,tab_Tecnologias_TE_RE!$A$1:$B$101,2,0)</f>
        <v>EOL Offshore_SE_2030-2039</v>
      </c>
      <c r="D90" s="152" t="s">
        <v>156</v>
      </c>
      <c r="E90" s="17">
        <v>1</v>
      </c>
      <c r="F90" s="125">
        <v>15000</v>
      </c>
      <c r="G90" s="97" t="str">
        <f t="shared" si="1"/>
        <v>EOL Offshore_SE_2030-2039_1_1_2030</v>
      </c>
      <c r="H90" s="23">
        <v>1</v>
      </c>
      <c r="I90" s="345" t="str">
        <f>VLOOKUP(H90,tab_tipo_expansao!$A$2:$B$4,2,0)</f>
        <v>opcional</v>
      </c>
      <c r="J90" s="59">
        <v>2030</v>
      </c>
      <c r="K90" s="59">
        <v>2039</v>
      </c>
      <c r="L90" s="98">
        <f>F90*VLOOKUP(B90,tab_Tecnologias_TE_RE!$A$2:$C$101,3,0)</f>
        <v>15000</v>
      </c>
      <c r="M90" s="96">
        <f>VLOOKUP(B90,tab_Tecnologias_TE_RE!$A$2:$W$101,COLUMN(tab_Tecnologias_TE_RE!$W$1),0)</f>
        <v>8</v>
      </c>
    </row>
    <row r="91" spans="1:13">
      <c r="A91" s="95">
        <v>5089</v>
      </c>
      <c r="B91">
        <v>404</v>
      </c>
      <c r="C91" s="96" t="str">
        <f>VLOOKUP(B91,tab_Tecnologias_TE_RE!$A$1:$B$101,2,0)</f>
        <v>EOL Offshore_SE_2040-2050</v>
      </c>
      <c r="D91" s="152" t="s">
        <v>156</v>
      </c>
      <c r="E91" s="17">
        <v>1</v>
      </c>
      <c r="F91" s="125">
        <v>20000</v>
      </c>
      <c r="G91" s="97" t="str">
        <f t="shared" si="1"/>
        <v>EOL Offshore_SE_2040-2050_1_1_2040</v>
      </c>
      <c r="H91" s="23">
        <v>1</v>
      </c>
      <c r="I91" s="345" t="str">
        <f>VLOOKUP(H91,tab_tipo_expansao!$A$2:$B$4,2,0)</f>
        <v>opcional</v>
      </c>
      <c r="J91" s="59">
        <v>2040</v>
      </c>
      <c r="K91" s="59">
        <v>2050</v>
      </c>
      <c r="L91" s="98">
        <f>F91*VLOOKUP(B91,tab_Tecnologias_TE_RE!$A$2:$C$101,3,0)</f>
        <v>20000</v>
      </c>
      <c r="M91" s="96">
        <f>VLOOKUP(B91,tab_Tecnologias_TE_RE!$A$2:$W$101,COLUMN(tab_Tecnologias_TE_RE!$W$1),0)</f>
        <v>8</v>
      </c>
    </row>
    <row r="92" spans="1:13">
      <c r="A92" s="95">
        <v>5090</v>
      </c>
      <c r="B92">
        <v>405</v>
      </c>
      <c r="C92" s="96" t="str">
        <f>VLOOKUP(B92,tab_Tecnologias_TE_RE!$A$1:$B$101,2,0)</f>
        <v>EOL Offshore_Sul_2015-2019</v>
      </c>
      <c r="D92" s="152" t="s">
        <v>149</v>
      </c>
      <c r="E92" s="17">
        <v>2</v>
      </c>
      <c r="F92" s="125">
        <v>2000</v>
      </c>
      <c r="G92" s="97" t="str">
        <f t="shared" si="1"/>
        <v>EOL Offshore_Sul_2015-2019_2_1_2015</v>
      </c>
      <c r="H92" s="23">
        <v>1</v>
      </c>
      <c r="I92" s="345" t="str">
        <f>VLOOKUP(H92,tab_tipo_expansao!$A$2:$B$4,2,0)</f>
        <v>opcional</v>
      </c>
      <c r="J92" s="59">
        <v>2015</v>
      </c>
      <c r="K92" s="59">
        <v>2019</v>
      </c>
      <c r="L92" s="98">
        <f>F92*VLOOKUP(B92,tab_Tecnologias_TE_RE!$A$2:$C$101,3,0)</f>
        <v>2000</v>
      </c>
      <c r="M92" s="96">
        <f>VLOOKUP(B92,tab_Tecnologias_TE_RE!$A$2:$W$101,COLUMN(tab_Tecnologias_TE_RE!$W$1),0)</f>
        <v>8</v>
      </c>
    </row>
    <row r="93" spans="1:13">
      <c r="A93" s="95">
        <v>5091</v>
      </c>
      <c r="B93">
        <v>406</v>
      </c>
      <c r="C93" s="96" t="str">
        <f>VLOOKUP(B93,tab_Tecnologias_TE_RE!$A$1:$B$101,2,0)</f>
        <v>EOL Offshore_Sul_2020-2029</v>
      </c>
      <c r="D93" s="152" t="s">
        <v>149</v>
      </c>
      <c r="E93" s="17">
        <v>2</v>
      </c>
      <c r="F93" s="125">
        <v>7000</v>
      </c>
      <c r="G93" s="97" t="str">
        <f t="shared" si="1"/>
        <v>EOL Offshore_Sul_2020-2029_2_1_2020</v>
      </c>
      <c r="H93" s="23">
        <v>1</v>
      </c>
      <c r="I93" s="345" t="str">
        <f>VLOOKUP(H93,tab_tipo_expansao!$A$2:$B$4,2,0)</f>
        <v>opcional</v>
      </c>
      <c r="J93" s="59">
        <v>2020</v>
      </c>
      <c r="K93" s="59">
        <v>2029</v>
      </c>
      <c r="L93" s="98">
        <f>F93*VLOOKUP(B93,tab_Tecnologias_TE_RE!$A$2:$C$101,3,0)</f>
        <v>7000</v>
      </c>
      <c r="M93" s="96">
        <f>VLOOKUP(B93,tab_Tecnologias_TE_RE!$A$2:$W$101,COLUMN(tab_Tecnologias_TE_RE!$W$1),0)</f>
        <v>8</v>
      </c>
    </row>
    <row r="94" spans="1:13">
      <c r="A94" s="95">
        <v>5092</v>
      </c>
      <c r="B94">
        <v>407</v>
      </c>
      <c r="C94" s="96" t="str">
        <f>VLOOKUP(B94,tab_Tecnologias_TE_RE!$A$1:$B$101,2,0)</f>
        <v>EOL Offshore_Sul_2030-2039</v>
      </c>
      <c r="D94" s="152" t="s">
        <v>149</v>
      </c>
      <c r="E94" s="17">
        <v>2</v>
      </c>
      <c r="F94" s="125">
        <v>15000</v>
      </c>
      <c r="G94" s="97" t="str">
        <f t="shared" si="1"/>
        <v>EOL Offshore_Sul_2030-2039_2_1_2030</v>
      </c>
      <c r="H94" s="23">
        <v>1</v>
      </c>
      <c r="I94" s="345" t="str">
        <f>VLOOKUP(H94,tab_tipo_expansao!$A$2:$B$4,2,0)</f>
        <v>opcional</v>
      </c>
      <c r="J94" s="59">
        <v>2030</v>
      </c>
      <c r="K94" s="59">
        <v>2039</v>
      </c>
      <c r="L94" s="98">
        <f>F94*VLOOKUP(B94,tab_Tecnologias_TE_RE!$A$2:$C$101,3,0)</f>
        <v>15000</v>
      </c>
      <c r="M94" s="96">
        <f>VLOOKUP(B94,tab_Tecnologias_TE_RE!$A$2:$W$101,COLUMN(tab_Tecnologias_TE_RE!$W$1),0)</f>
        <v>8</v>
      </c>
    </row>
    <row r="95" spans="1:13">
      <c r="A95" s="95">
        <v>5093</v>
      </c>
      <c r="B95">
        <v>408</v>
      </c>
      <c r="C95" s="96" t="str">
        <f>VLOOKUP(B95,tab_Tecnologias_TE_RE!$A$1:$B$101,2,0)</f>
        <v>EOL Offshore_Sul_2040-2050</v>
      </c>
      <c r="D95" s="152" t="s">
        <v>149</v>
      </c>
      <c r="E95" s="17">
        <v>2</v>
      </c>
      <c r="F95" s="125">
        <v>20000</v>
      </c>
      <c r="G95" s="97" t="str">
        <f t="shared" si="1"/>
        <v>EOL Offshore_Sul_2040-2050_2_1_2040</v>
      </c>
      <c r="H95" s="23">
        <v>1</v>
      </c>
      <c r="I95" s="345" t="str">
        <f>VLOOKUP(H95,tab_tipo_expansao!$A$2:$B$4,2,0)</f>
        <v>opcional</v>
      </c>
      <c r="J95" s="59">
        <v>2040</v>
      </c>
      <c r="K95" s="59">
        <v>2050</v>
      </c>
      <c r="L95" s="98">
        <f>F95*VLOOKUP(B95,tab_Tecnologias_TE_RE!$A$2:$C$101,3,0)</f>
        <v>20000</v>
      </c>
      <c r="M95" s="96">
        <f>VLOOKUP(B95,tab_Tecnologias_TE_RE!$A$2:$W$101,COLUMN(tab_Tecnologias_TE_RE!$W$1),0)</f>
        <v>8</v>
      </c>
    </row>
    <row r="96" spans="1:13">
      <c r="A96" s="95">
        <v>5094</v>
      </c>
      <c r="B96">
        <v>409</v>
      </c>
      <c r="C96" s="96" t="str">
        <f>VLOOKUP(B96,tab_Tecnologias_TE_RE!$A$1:$B$101,2,0)</f>
        <v>EOL Offshore_NE_2015-2019</v>
      </c>
      <c r="D96" s="152" t="s">
        <v>148</v>
      </c>
      <c r="E96" s="17">
        <v>3</v>
      </c>
      <c r="F96" s="125">
        <v>6000</v>
      </c>
      <c r="G96" s="97" t="str">
        <f t="shared" si="1"/>
        <v>EOL Offshore_NE_2015-2019_3_1_2015</v>
      </c>
      <c r="H96" s="23">
        <v>1</v>
      </c>
      <c r="I96" s="345" t="str">
        <f>VLOOKUP(H96,tab_tipo_expansao!$A$2:$B$4,2,0)</f>
        <v>opcional</v>
      </c>
      <c r="J96" s="59">
        <v>2015</v>
      </c>
      <c r="K96" s="59">
        <v>2019</v>
      </c>
      <c r="L96" s="98">
        <f>F96*VLOOKUP(B96,tab_Tecnologias_TE_RE!$A$2:$C$101,3,0)</f>
        <v>6000</v>
      </c>
      <c r="M96" s="96">
        <f>VLOOKUP(B96,tab_Tecnologias_TE_RE!$A$2:$W$101,COLUMN(tab_Tecnologias_TE_RE!$W$1),0)</f>
        <v>8</v>
      </c>
    </row>
    <row r="97" spans="1:13">
      <c r="A97" s="95">
        <v>5095</v>
      </c>
      <c r="B97">
        <v>410</v>
      </c>
      <c r="C97" s="96" t="str">
        <f>VLOOKUP(B97,tab_Tecnologias_TE_RE!$A$1:$B$101,2,0)</f>
        <v>EOL Offshore_NE_2020-2029</v>
      </c>
      <c r="D97" s="152" t="s">
        <v>148</v>
      </c>
      <c r="E97" s="17">
        <v>3</v>
      </c>
      <c r="F97" s="125">
        <v>18000</v>
      </c>
      <c r="G97" s="97" t="str">
        <f t="shared" si="1"/>
        <v>EOL Offshore_NE_2020-2029_3_1_2020</v>
      </c>
      <c r="H97" s="23">
        <v>1</v>
      </c>
      <c r="I97" s="345" t="str">
        <f>VLOOKUP(H97,tab_tipo_expansao!$A$2:$B$4,2,0)</f>
        <v>opcional</v>
      </c>
      <c r="J97" s="59">
        <v>2020</v>
      </c>
      <c r="K97" s="59">
        <v>2029</v>
      </c>
      <c r="L97" s="98">
        <f>F97*VLOOKUP(B97,tab_Tecnologias_TE_RE!$A$2:$C$101,3,0)</f>
        <v>18000</v>
      </c>
      <c r="M97" s="96">
        <f>VLOOKUP(B97,tab_Tecnologias_TE_RE!$A$2:$W$101,COLUMN(tab_Tecnologias_TE_RE!$W$1),0)</f>
        <v>8</v>
      </c>
    </row>
    <row r="98" spans="1:13">
      <c r="A98" s="95">
        <v>5096</v>
      </c>
      <c r="B98">
        <v>411</v>
      </c>
      <c r="C98" s="96" t="str">
        <f>VLOOKUP(B98,tab_Tecnologias_TE_RE!$A$1:$B$101,2,0)</f>
        <v>EOL Offshore_NE_2030-2039</v>
      </c>
      <c r="D98" s="152" t="s">
        <v>148</v>
      </c>
      <c r="E98" s="17">
        <v>3</v>
      </c>
      <c r="F98" s="125">
        <v>30000</v>
      </c>
      <c r="G98" s="97" t="str">
        <f t="shared" si="1"/>
        <v>EOL Offshore_NE_2030-2039_3_1_2030</v>
      </c>
      <c r="H98" s="23">
        <v>1</v>
      </c>
      <c r="I98" s="345" t="str">
        <f>VLOOKUP(H98,tab_tipo_expansao!$A$2:$B$4,2,0)</f>
        <v>opcional</v>
      </c>
      <c r="J98" s="59">
        <v>2030</v>
      </c>
      <c r="K98" s="59">
        <v>2039</v>
      </c>
      <c r="L98" s="98">
        <f>F98*VLOOKUP(B98,tab_Tecnologias_TE_RE!$A$2:$C$101,3,0)</f>
        <v>30000</v>
      </c>
      <c r="M98" s="96">
        <f>VLOOKUP(B98,tab_Tecnologias_TE_RE!$A$2:$W$101,COLUMN(tab_Tecnologias_TE_RE!$W$1),0)</f>
        <v>8</v>
      </c>
    </row>
    <row r="99" spans="1:13">
      <c r="A99" s="95">
        <v>5097</v>
      </c>
      <c r="B99">
        <v>412</v>
      </c>
      <c r="C99" s="96" t="str">
        <f>VLOOKUP(B99,tab_Tecnologias_TE_RE!$A$1:$B$101,2,0)</f>
        <v>EOL Offshore_NE_2040-2050</v>
      </c>
      <c r="D99" s="152" t="s">
        <v>148</v>
      </c>
      <c r="E99" s="17">
        <v>3</v>
      </c>
      <c r="F99" s="125">
        <v>40000</v>
      </c>
      <c r="G99" s="97" t="str">
        <f t="shared" si="1"/>
        <v>EOL Offshore_NE_2040-2050_3_1_2040</v>
      </c>
      <c r="H99" s="23">
        <v>1</v>
      </c>
      <c r="I99" s="345" t="str">
        <f>VLOOKUP(H99,tab_tipo_expansao!$A$2:$B$4,2,0)</f>
        <v>opcional</v>
      </c>
      <c r="J99" s="59">
        <v>2040</v>
      </c>
      <c r="K99" s="59">
        <v>2050</v>
      </c>
      <c r="L99" s="98">
        <f>F99*VLOOKUP(B99,tab_Tecnologias_TE_RE!$A$2:$C$101,3,0)</f>
        <v>40000</v>
      </c>
      <c r="M99" s="96">
        <f>VLOOKUP(B99,tab_Tecnologias_TE_RE!$A$2:$W$101,COLUMN(tab_Tecnologias_TE_RE!$W$1),0)</f>
        <v>8</v>
      </c>
    </row>
    <row r="100" spans="1:13">
      <c r="A100" s="95">
        <v>5098</v>
      </c>
      <c r="B100" s="86">
        <v>315</v>
      </c>
      <c r="C100" s="96" t="str">
        <f>VLOOKUP(B100,tab_Tecnologias_TE_RE!$A$1:$B$101,2,0)</f>
        <v>CANA_cond_BagaçoPalha</v>
      </c>
      <c r="D100" s="152" t="s">
        <v>146</v>
      </c>
      <c r="E100" s="17">
        <v>1</v>
      </c>
      <c r="F100" s="125">
        <v>400</v>
      </c>
      <c r="G100" s="97" t="str">
        <f t="shared" si="1"/>
        <v>CANA_cond_BagaçoPalha_1_3_2030</v>
      </c>
      <c r="H100" s="23">
        <v>3</v>
      </c>
      <c r="I100" s="345" t="str">
        <f>VLOOKUP(H100,tab_tipo_expansao!$A$2:$B$4,2,0)</f>
        <v>não_considerar</v>
      </c>
      <c r="J100" s="59">
        <v>2030</v>
      </c>
      <c r="K100" s="59">
        <v>2050</v>
      </c>
      <c r="L100" s="98">
        <f>F100*VLOOKUP(B100,tab_Tecnologias_TE_RE!$A$2:$C$101,3,0)</f>
        <v>400</v>
      </c>
      <c r="M100" s="96">
        <f>VLOOKUP(B100,tab_Tecnologias_TE_RE!$A$2:$W$101,COLUMN(tab_Tecnologias_TE_RE!$W$1),0)</f>
        <v>7</v>
      </c>
    </row>
    <row r="101" spans="1:13">
      <c r="A101" s="95">
        <v>5099</v>
      </c>
      <c r="B101" s="86">
        <v>315</v>
      </c>
      <c r="C101" s="96" t="str">
        <f>VLOOKUP(B101,tab_Tecnologias_TE_RE!$A$1:$B$101,2,0)</f>
        <v>CANA_cond_BagaçoPalha</v>
      </c>
      <c r="D101" s="152" t="s">
        <v>146</v>
      </c>
      <c r="E101" s="17">
        <v>1</v>
      </c>
      <c r="F101" s="125">
        <v>400</v>
      </c>
      <c r="G101" s="97" t="str">
        <f t="shared" si="1"/>
        <v>CANA_cond_BagaçoPalha_1_3_2031</v>
      </c>
      <c r="H101" s="23">
        <v>3</v>
      </c>
      <c r="I101" s="345" t="str">
        <f>VLOOKUP(H101,tab_tipo_expansao!$A$2:$B$4,2,0)</f>
        <v>não_considerar</v>
      </c>
      <c r="J101" s="59">
        <v>2031</v>
      </c>
      <c r="K101" s="59">
        <v>2050</v>
      </c>
      <c r="L101" s="98">
        <f>F101*VLOOKUP(B101,tab_Tecnologias_TE_RE!$A$2:$C$101,3,0)</f>
        <v>400</v>
      </c>
      <c r="M101" s="96">
        <f>VLOOKUP(B101,tab_Tecnologias_TE_RE!$A$2:$W$101,COLUMN(tab_Tecnologias_TE_RE!$W$1),0)</f>
        <v>7</v>
      </c>
    </row>
    <row r="102" spans="1:13">
      <c r="A102" s="95">
        <v>5100</v>
      </c>
      <c r="B102" s="86">
        <v>315</v>
      </c>
      <c r="C102" s="96" t="str">
        <f>VLOOKUP(B102,tab_Tecnologias_TE_RE!$A$1:$B$101,2,0)</f>
        <v>CANA_cond_BagaçoPalha</v>
      </c>
      <c r="D102" s="152" t="s">
        <v>146</v>
      </c>
      <c r="E102" s="17">
        <v>1</v>
      </c>
      <c r="F102" s="125">
        <v>400</v>
      </c>
      <c r="G102" s="97" t="str">
        <f t="shared" si="1"/>
        <v>CANA_cond_BagaçoPalha_1_3_2032</v>
      </c>
      <c r="H102" s="23">
        <v>3</v>
      </c>
      <c r="I102" s="345" t="str">
        <f>VLOOKUP(H102,tab_tipo_expansao!$A$2:$B$4,2,0)</f>
        <v>não_considerar</v>
      </c>
      <c r="J102" s="59">
        <v>2032</v>
      </c>
      <c r="K102" s="59">
        <v>2050</v>
      </c>
      <c r="L102" s="98">
        <f>F102*VLOOKUP(B102,tab_Tecnologias_TE_RE!$A$2:$C$101,3,0)</f>
        <v>400</v>
      </c>
      <c r="M102" s="96">
        <f>VLOOKUP(B102,tab_Tecnologias_TE_RE!$A$2:$W$101,COLUMN(tab_Tecnologias_TE_RE!$W$1),0)</f>
        <v>7</v>
      </c>
    </row>
    <row r="103" spans="1:13">
      <c r="A103" s="95">
        <v>5101</v>
      </c>
      <c r="B103" s="86">
        <v>315</v>
      </c>
      <c r="C103" s="96" t="str">
        <f>VLOOKUP(B103,tab_Tecnologias_TE_RE!$A$1:$B$101,2,0)</f>
        <v>CANA_cond_BagaçoPalha</v>
      </c>
      <c r="D103" s="152" t="s">
        <v>146</v>
      </c>
      <c r="E103" s="17">
        <v>1</v>
      </c>
      <c r="F103" s="125">
        <v>400</v>
      </c>
      <c r="G103" s="97" t="str">
        <f t="shared" si="1"/>
        <v>CANA_cond_BagaçoPalha_1_3_2033</v>
      </c>
      <c r="H103" s="23">
        <v>3</v>
      </c>
      <c r="I103" s="345" t="str">
        <f>VLOOKUP(H103,tab_tipo_expansao!$A$2:$B$4,2,0)</f>
        <v>não_considerar</v>
      </c>
      <c r="J103" s="59">
        <v>2033</v>
      </c>
      <c r="K103" s="59">
        <v>2050</v>
      </c>
      <c r="L103" s="98">
        <f>F103*VLOOKUP(B103,tab_Tecnologias_TE_RE!$A$2:$C$101,3,0)</f>
        <v>400</v>
      </c>
      <c r="M103" s="96">
        <f>VLOOKUP(B103,tab_Tecnologias_TE_RE!$A$2:$W$101,COLUMN(tab_Tecnologias_TE_RE!$W$1),0)</f>
        <v>7</v>
      </c>
    </row>
    <row r="104" spans="1:13">
      <c r="A104" s="95">
        <v>5102</v>
      </c>
      <c r="B104" s="86">
        <v>315</v>
      </c>
      <c r="C104" s="96" t="str">
        <f>VLOOKUP(B104,tab_Tecnologias_TE_RE!$A$1:$B$101,2,0)</f>
        <v>CANA_cond_BagaçoPalha</v>
      </c>
      <c r="D104" s="152" t="s">
        <v>146</v>
      </c>
      <c r="E104" s="17">
        <v>1</v>
      </c>
      <c r="F104" s="125">
        <v>400</v>
      </c>
      <c r="G104" s="97" t="str">
        <f t="shared" si="1"/>
        <v>CANA_cond_BagaçoPalha_1_3_2034</v>
      </c>
      <c r="H104" s="23">
        <v>3</v>
      </c>
      <c r="I104" s="345" t="str">
        <f>VLOOKUP(H104,tab_tipo_expansao!$A$2:$B$4,2,0)</f>
        <v>não_considerar</v>
      </c>
      <c r="J104" s="59">
        <v>2034</v>
      </c>
      <c r="K104" s="59">
        <v>2050</v>
      </c>
      <c r="L104" s="98">
        <f>F104*VLOOKUP(B104,tab_Tecnologias_TE_RE!$A$2:$C$101,3,0)</f>
        <v>400</v>
      </c>
      <c r="M104" s="96">
        <f>VLOOKUP(B104,tab_Tecnologias_TE_RE!$A$2:$W$101,COLUMN(tab_Tecnologias_TE_RE!$W$1),0)</f>
        <v>7</v>
      </c>
    </row>
    <row r="105" spans="1:13">
      <c r="A105" s="95">
        <v>5103</v>
      </c>
      <c r="B105" s="86">
        <v>315</v>
      </c>
      <c r="C105" s="96" t="str">
        <f>VLOOKUP(B105,tab_Tecnologias_TE_RE!$A$1:$B$101,2,0)</f>
        <v>CANA_cond_BagaçoPalha</v>
      </c>
      <c r="D105" s="152" t="s">
        <v>146</v>
      </c>
      <c r="E105" s="17">
        <v>1</v>
      </c>
      <c r="F105" s="125">
        <v>400</v>
      </c>
      <c r="G105" s="97" t="str">
        <f t="shared" si="1"/>
        <v>CANA_cond_BagaçoPalha_1_3_2035</v>
      </c>
      <c r="H105" s="23">
        <v>3</v>
      </c>
      <c r="I105" s="345" t="str">
        <f>VLOOKUP(H105,tab_tipo_expansao!$A$2:$B$4,2,0)</f>
        <v>não_considerar</v>
      </c>
      <c r="J105" s="59">
        <v>2035</v>
      </c>
      <c r="K105" s="59">
        <v>2050</v>
      </c>
      <c r="L105" s="98">
        <f>F105*VLOOKUP(B105,tab_Tecnologias_TE_RE!$A$2:$C$101,3,0)</f>
        <v>400</v>
      </c>
      <c r="M105" s="96">
        <f>VLOOKUP(B105,tab_Tecnologias_TE_RE!$A$2:$W$101,COLUMN(tab_Tecnologias_TE_RE!$W$1),0)</f>
        <v>7</v>
      </c>
    </row>
    <row r="106" spans="1:13">
      <c r="A106" s="95">
        <v>5104</v>
      </c>
      <c r="B106" s="86">
        <v>315</v>
      </c>
      <c r="C106" s="96" t="str">
        <f>VLOOKUP(B106,tab_Tecnologias_TE_RE!$A$1:$B$101,2,0)</f>
        <v>CANA_cond_BagaçoPalha</v>
      </c>
      <c r="D106" s="152" t="s">
        <v>146</v>
      </c>
      <c r="E106" s="17">
        <v>1</v>
      </c>
      <c r="F106" s="125">
        <v>400</v>
      </c>
      <c r="G106" s="97" t="str">
        <f t="shared" si="1"/>
        <v>CANA_cond_BagaçoPalha_1_3_2036</v>
      </c>
      <c r="H106" s="23">
        <v>3</v>
      </c>
      <c r="I106" s="345" t="str">
        <f>VLOOKUP(H106,tab_tipo_expansao!$A$2:$B$4,2,0)</f>
        <v>não_considerar</v>
      </c>
      <c r="J106" s="59">
        <v>2036</v>
      </c>
      <c r="K106" s="59">
        <v>2050</v>
      </c>
      <c r="L106" s="98">
        <f>F106*VLOOKUP(B106,tab_Tecnologias_TE_RE!$A$2:$C$101,3,0)</f>
        <v>400</v>
      </c>
      <c r="M106" s="96">
        <f>VLOOKUP(B106,tab_Tecnologias_TE_RE!$A$2:$W$101,COLUMN(tab_Tecnologias_TE_RE!$W$1),0)</f>
        <v>7</v>
      </c>
    </row>
    <row r="107" spans="1:13">
      <c r="A107" s="95">
        <v>5105</v>
      </c>
      <c r="B107" s="86">
        <v>315</v>
      </c>
      <c r="C107" s="96" t="str">
        <f>VLOOKUP(B107,tab_Tecnologias_TE_RE!$A$1:$B$101,2,0)</f>
        <v>CANA_cond_BagaçoPalha</v>
      </c>
      <c r="D107" s="152" t="s">
        <v>146</v>
      </c>
      <c r="E107" s="17">
        <v>1</v>
      </c>
      <c r="F107" s="125">
        <v>400</v>
      </c>
      <c r="G107" s="97" t="str">
        <f t="shared" si="1"/>
        <v>CANA_cond_BagaçoPalha_1_3_2037</v>
      </c>
      <c r="H107" s="23">
        <v>3</v>
      </c>
      <c r="I107" s="345" t="str">
        <f>VLOOKUP(H107,tab_tipo_expansao!$A$2:$B$4,2,0)</f>
        <v>não_considerar</v>
      </c>
      <c r="J107" s="59">
        <v>2037</v>
      </c>
      <c r="K107" s="59">
        <v>2050</v>
      </c>
      <c r="L107" s="98">
        <f>F107*VLOOKUP(B107,tab_Tecnologias_TE_RE!$A$2:$C$101,3,0)</f>
        <v>400</v>
      </c>
      <c r="M107" s="96">
        <f>VLOOKUP(B107,tab_Tecnologias_TE_RE!$A$2:$W$101,COLUMN(tab_Tecnologias_TE_RE!$W$1),0)</f>
        <v>7</v>
      </c>
    </row>
    <row r="108" spans="1:13">
      <c r="A108" s="95">
        <v>5106</v>
      </c>
      <c r="B108" s="86">
        <v>315</v>
      </c>
      <c r="C108" s="96" t="str">
        <f>VLOOKUP(B108,tab_Tecnologias_TE_RE!$A$1:$B$101,2,0)</f>
        <v>CANA_cond_BagaçoPalha</v>
      </c>
      <c r="D108" s="152" t="s">
        <v>146</v>
      </c>
      <c r="E108" s="17">
        <v>1</v>
      </c>
      <c r="F108" s="125">
        <v>400</v>
      </c>
      <c r="G108" s="97" t="str">
        <f t="shared" si="1"/>
        <v>CANA_cond_BagaçoPalha_1_3_2038</v>
      </c>
      <c r="H108" s="23">
        <v>3</v>
      </c>
      <c r="I108" s="345" t="str">
        <f>VLOOKUP(H108,tab_tipo_expansao!$A$2:$B$4,2,0)</f>
        <v>não_considerar</v>
      </c>
      <c r="J108" s="59">
        <v>2038</v>
      </c>
      <c r="K108" s="59">
        <v>2050</v>
      </c>
      <c r="L108" s="98">
        <f>F108*VLOOKUP(B108,tab_Tecnologias_TE_RE!$A$2:$C$101,3,0)</f>
        <v>400</v>
      </c>
      <c r="M108" s="96">
        <f>VLOOKUP(B108,tab_Tecnologias_TE_RE!$A$2:$W$101,COLUMN(tab_Tecnologias_TE_RE!$W$1),0)</f>
        <v>7</v>
      </c>
    </row>
    <row r="109" spans="1:13">
      <c r="A109" s="95">
        <v>5107</v>
      </c>
      <c r="B109" s="86">
        <v>315</v>
      </c>
      <c r="C109" s="96" t="str">
        <f>VLOOKUP(B109,tab_Tecnologias_TE_RE!$A$1:$B$101,2,0)</f>
        <v>CANA_cond_BagaçoPalha</v>
      </c>
      <c r="D109" s="152" t="s">
        <v>146</v>
      </c>
      <c r="E109" s="17">
        <v>1</v>
      </c>
      <c r="F109" s="125">
        <v>400</v>
      </c>
      <c r="G109" s="97" t="str">
        <f t="shared" si="1"/>
        <v>CANA_cond_BagaçoPalha_1_3_2039</v>
      </c>
      <c r="H109" s="23">
        <v>3</v>
      </c>
      <c r="I109" s="345" t="str">
        <f>VLOOKUP(H109,tab_tipo_expansao!$A$2:$B$4,2,0)</f>
        <v>não_considerar</v>
      </c>
      <c r="J109" s="59">
        <v>2039</v>
      </c>
      <c r="K109" s="59">
        <v>2050</v>
      </c>
      <c r="L109" s="98">
        <f>F109*VLOOKUP(B109,tab_Tecnologias_TE_RE!$A$2:$C$101,3,0)</f>
        <v>400</v>
      </c>
      <c r="M109" s="96">
        <f>VLOOKUP(B109,tab_Tecnologias_TE_RE!$A$2:$W$101,COLUMN(tab_Tecnologias_TE_RE!$W$1),0)</f>
        <v>7</v>
      </c>
    </row>
    <row r="110" spans="1:13">
      <c r="A110" s="95">
        <v>5108</v>
      </c>
      <c r="B110" s="86">
        <v>315</v>
      </c>
      <c r="C110" s="96" t="str">
        <f>VLOOKUP(B110,tab_Tecnologias_TE_RE!$A$1:$B$101,2,0)</f>
        <v>CANA_cond_BagaçoPalha</v>
      </c>
      <c r="D110" s="152" t="s">
        <v>146</v>
      </c>
      <c r="E110" s="17">
        <v>1</v>
      </c>
      <c r="F110" s="125">
        <v>400</v>
      </c>
      <c r="G110" s="97" t="str">
        <f t="shared" si="1"/>
        <v>CANA_cond_BagaçoPalha_1_3_2040</v>
      </c>
      <c r="H110" s="23">
        <v>3</v>
      </c>
      <c r="I110" s="345" t="str">
        <f>VLOOKUP(H110,tab_tipo_expansao!$A$2:$B$4,2,0)</f>
        <v>não_considerar</v>
      </c>
      <c r="J110" s="59">
        <v>2040</v>
      </c>
      <c r="K110" s="59">
        <v>2050</v>
      </c>
      <c r="L110" s="98">
        <f>F110*VLOOKUP(B110,tab_Tecnologias_TE_RE!$A$2:$C$101,3,0)</f>
        <v>400</v>
      </c>
      <c r="M110" s="96">
        <f>VLOOKUP(B110,tab_Tecnologias_TE_RE!$A$2:$W$101,COLUMN(tab_Tecnologias_TE_RE!$W$1),0)</f>
        <v>7</v>
      </c>
    </row>
    <row r="111" spans="1:13">
      <c r="A111" s="95">
        <v>5109</v>
      </c>
      <c r="B111" s="86">
        <v>315</v>
      </c>
      <c r="C111" s="96" t="str">
        <f>VLOOKUP(B111,tab_Tecnologias_TE_RE!$A$1:$B$101,2,0)</f>
        <v>CANA_cond_BagaçoPalha</v>
      </c>
      <c r="D111" s="152" t="s">
        <v>146</v>
      </c>
      <c r="E111" s="17">
        <v>1</v>
      </c>
      <c r="F111" s="125">
        <v>400</v>
      </c>
      <c r="G111" s="97" t="str">
        <f t="shared" si="1"/>
        <v>CANA_cond_BagaçoPalha_1_3_2041</v>
      </c>
      <c r="H111" s="23">
        <v>3</v>
      </c>
      <c r="I111" s="345" t="str">
        <f>VLOOKUP(H111,tab_tipo_expansao!$A$2:$B$4,2,0)</f>
        <v>não_considerar</v>
      </c>
      <c r="J111" s="59">
        <v>2041</v>
      </c>
      <c r="K111" s="59">
        <v>2050</v>
      </c>
      <c r="L111" s="98">
        <f>F111*VLOOKUP(B111,tab_Tecnologias_TE_RE!$A$2:$C$101,3,0)</f>
        <v>400</v>
      </c>
      <c r="M111" s="96">
        <f>VLOOKUP(B111,tab_Tecnologias_TE_RE!$A$2:$W$101,COLUMN(tab_Tecnologias_TE_RE!$W$1),0)</f>
        <v>7</v>
      </c>
    </row>
    <row r="112" spans="1:13">
      <c r="A112" s="95">
        <v>5110</v>
      </c>
      <c r="B112" s="86">
        <v>315</v>
      </c>
      <c r="C112" s="96" t="str">
        <f>VLOOKUP(B112,tab_Tecnologias_TE_RE!$A$1:$B$101,2,0)</f>
        <v>CANA_cond_BagaçoPalha</v>
      </c>
      <c r="D112" s="152" t="s">
        <v>146</v>
      </c>
      <c r="E112" s="17">
        <v>1</v>
      </c>
      <c r="F112" s="125">
        <v>400</v>
      </c>
      <c r="G112" s="97" t="str">
        <f t="shared" si="1"/>
        <v>CANA_cond_BagaçoPalha_1_3_2042</v>
      </c>
      <c r="H112" s="23">
        <v>3</v>
      </c>
      <c r="I112" s="345" t="str">
        <f>VLOOKUP(H112,tab_tipo_expansao!$A$2:$B$4,2,0)</f>
        <v>não_considerar</v>
      </c>
      <c r="J112" s="59">
        <v>2042</v>
      </c>
      <c r="K112" s="59">
        <v>2050</v>
      </c>
      <c r="L112" s="98">
        <f>F112*VLOOKUP(B112,tab_Tecnologias_TE_RE!$A$2:$C$101,3,0)</f>
        <v>400</v>
      </c>
      <c r="M112" s="96">
        <f>VLOOKUP(B112,tab_Tecnologias_TE_RE!$A$2:$W$101,COLUMN(tab_Tecnologias_TE_RE!$W$1),0)</f>
        <v>7</v>
      </c>
    </row>
    <row r="113" spans="1:13">
      <c r="A113" s="95">
        <v>5111</v>
      </c>
      <c r="B113" s="86">
        <v>315</v>
      </c>
      <c r="C113" s="96" t="str">
        <f>VLOOKUP(B113,tab_Tecnologias_TE_RE!$A$1:$B$101,2,0)</f>
        <v>CANA_cond_BagaçoPalha</v>
      </c>
      <c r="D113" s="152" t="s">
        <v>146</v>
      </c>
      <c r="E113" s="17">
        <v>1</v>
      </c>
      <c r="F113" s="125">
        <v>400</v>
      </c>
      <c r="G113" s="97" t="str">
        <f t="shared" si="1"/>
        <v>CANA_cond_BagaçoPalha_1_3_2043</v>
      </c>
      <c r="H113" s="23">
        <v>3</v>
      </c>
      <c r="I113" s="345" t="str">
        <f>VLOOKUP(H113,tab_tipo_expansao!$A$2:$B$4,2,0)</f>
        <v>não_considerar</v>
      </c>
      <c r="J113" s="59">
        <v>2043</v>
      </c>
      <c r="K113" s="59">
        <v>2050</v>
      </c>
      <c r="L113" s="98">
        <f>F113*VLOOKUP(B113,tab_Tecnologias_TE_RE!$A$2:$C$101,3,0)</f>
        <v>400</v>
      </c>
      <c r="M113" s="96">
        <f>VLOOKUP(B113,tab_Tecnologias_TE_RE!$A$2:$W$101,COLUMN(tab_Tecnologias_TE_RE!$W$1),0)</f>
        <v>7</v>
      </c>
    </row>
    <row r="114" spans="1:13">
      <c r="A114" s="95">
        <v>5112</v>
      </c>
      <c r="B114" s="86">
        <v>315</v>
      </c>
      <c r="C114" s="96" t="str">
        <f>VLOOKUP(B114,tab_Tecnologias_TE_RE!$A$1:$B$101,2,0)</f>
        <v>CANA_cond_BagaçoPalha</v>
      </c>
      <c r="D114" s="152" t="s">
        <v>146</v>
      </c>
      <c r="E114" s="17">
        <v>1</v>
      </c>
      <c r="F114" s="125">
        <v>400</v>
      </c>
      <c r="G114" s="97" t="str">
        <f t="shared" si="1"/>
        <v>CANA_cond_BagaçoPalha_1_3_2044</v>
      </c>
      <c r="H114" s="23">
        <v>3</v>
      </c>
      <c r="I114" s="345" t="str">
        <f>VLOOKUP(H114,tab_tipo_expansao!$A$2:$B$4,2,0)</f>
        <v>não_considerar</v>
      </c>
      <c r="J114" s="59">
        <v>2044</v>
      </c>
      <c r="K114" s="59">
        <v>2050</v>
      </c>
      <c r="L114" s="98">
        <f>F114*VLOOKUP(B114,tab_Tecnologias_TE_RE!$A$2:$C$101,3,0)</f>
        <v>400</v>
      </c>
      <c r="M114" s="96">
        <f>VLOOKUP(B114,tab_Tecnologias_TE_RE!$A$2:$W$101,COLUMN(tab_Tecnologias_TE_RE!$W$1),0)</f>
        <v>7</v>
      </c>
    </row>
    <row r="115" spans="1:13">
      <c r="A115" s="95">
        <v>5113</v>
      </c>
      <c r="B115" s="86">
        <v>315</v>
      </c>
      <c r="C115" s="96" t="str">
        <f>VLOOKUP(B115,tab_Tecnologias_TE_RE!$A$1:$B$101,2,0)</f>
        <v>CANA_cond_BagaçoPalha</v>
      </c>
      <c r="D115" s="152" t="s">
        <v>146</v>
      </c>
      <c r="E115" s="17">
        <v>1</v>
      </c>
      <c r="F115" s="125">
        <v>400</v>
      </c>
      <c r="G115" s="97" t="str">
        <f t="shared" si="1"/>
        <v>CANA_cond_BagaçoPalha_1_3_2045</v>
      </c>
      <c r="H115" s="23">
        <v>3</v>
      </c>
      <c r="I115" s="345" t="str">
        <f>VLOOKUP(H115,tab_tipo_expansao!$A$2:$B$4,2,0)</f>
        <v>não_considerar</v>
      </c>
      <c r="J115" s="59">
        <v>2045</v>
      </c>
      <c r="K115" s="59">
        <v>2050</v>
      </c>
      <c r="L115" s="98">
        <f>F115*VLOOKUP(B115,tab_Tecnologias_TE_RE!$A$2:$C$101,3,0)</f>
        <v>400</v>
      </c>
      <c r="M115" s="96">
        <f>VLOOKUP(B115,tab_Tecnologias_TE_RE!$A$2:$W$101,COLUMN(tab_Tecnologias_TE_RE!$W$1),0)</f>
        <v>7</v>
      </c>
    </row>
    <row r="116" spans="1:13">
      <c r="A116" s="95">
        <v>5114</v>
      </c>
      <c r="B116" s="86">
        <v>315</v>
      </c>
      <c r="C116" s="96" t="str">
        <f>VLOOKUP(B116,tab_Tecnologias_TE_RE!$A$1:$B$101,2,0)</f>
        <v>CANA_cond_BagaçoPalha</v>
      </c>
      <c r="D116" s="152" t="s">
        <v>146</v>
      </c>
      <c r="E116" s="17">
        <v>1</v>
      </c>
      <c r="F116" s="125">
        <v>400</v>
      </c>
      <c r="G116" s="97" t="str">
        <f t="shared" si="1"/>
        <v>CANA_cond_BagaçoPalha_1_3_2046</v>
      </c>
      <c r="H116" s="23">
        <v>3</v>
      </c>
      <c r="I116" s="345" t="str">
        <f>VLOOKUP(H116,tab_tipo_expansao!$A$2:$B$4,2,0)</f>
        <v>não_considerar</v>
      </c>
      <c r="J116" s="59">
        <v>2046</v>
      </c>
      <c r="K116" s="59">
        <v>2050</v>
      </c>
      <c r="L116" s="98">
        <f>F116*VLOOKUP(B116,tab_Tecnologias_TE_RE!$A$2:$C$101,3,0)</f>
        <v>400</v>
      </c>
      <c r="M116" s="96">
        <f>VLOOKUP(B116,tab_Tecnologias_TE_RE!$A$2:$W$101,COLUMN(tab_Tecnologias_TE_RE!$W$1),0)</f>
        <v>7</v>
      </c>
    </row>
    <row r="117" spans="1:13">
      <c r="A117" s="95">
        <v>5115</v>
      </c>
      <c r="B117" s="86">
        <v>315</v>
      </c>
      <c r="C117" s="96" t="str">
        <f>VLOOKUP(B117,tab_Tecnologias_TE_RE!$A$1:$B$101,2,0)</f>
        <v>CANA_cond_BagaçoPalha</v>
      </c>
      <c r="D117" s="152" t="s">
        <v>146</v>
      </c>
      <c r="E117" s="17">
        <v>1</v>
      </c>
      <c r="F117" s="125">
        <v>400</v>
      </c>
      <c r="G117" s="97" t="str">
        <f t="shared" si="1"/>
        <v>CANA_cond_BagaçoPalha_1_3_2047</v>
      </c>
      <c r="H117" s="23">
        <v>3</v>
      </c>
      <c r="I117" s="345" t="str">
        <f>VLOOKUP(H117,tab_tipo_expansao!$A$2:$B$4,2,0)</f>
        <v>não_considerar</v>
      </c>
      <c r="J117" s="59">
        <v>2047</v>
      </c>
      <c r="K117" s="59">
        <v>2050</v>
      </c>
      <c r="L117" s="98">
        <f>F117*VLOOKUP(B117,tab_Tecnologias_TE_RE!$A$2:$C$101,3,0)</f>
        <v>400</v>
      </c>
      <c r="M117" s="96">
        <f>VLOOKUP(B117,tab_Tecnologias_TE_RE!$A$2:$W$101,COLUMN(tab_Tecnologias_TE_RE!$W$1),0)</f>
        <v>7</v>
      </c>
    </row>
    <row r="118" spans="1:13">
      <c r="A118" s="95">
        <v>5116</v>
      </c>
      <c r="B118" s="86">
        <v>315</v>
      </c>
      <c r="C118" s="96" t="str">
        <f>VLOOKUP(B118,tab_Tecnologias_TE_RE!$A$1:$B$101,2,0)</f>
        <v>CANA_cond_BagaçoPalha</v>
      </c>
      <c r="D118" s="152" t="s">
        <v>146</v>
      </c>
      <c r="E118" s="17">
        <v>1</v>
      </c>
      <c r="F118" s="125">
        <v>400</v>
      </c>
      <c r="G118" s="97" t="str">
        <f t="shared" si="1"/>
        <v>CANA_cond_BagaçoPalha_1_3_2048</v>
      </c>
      <c r="H118" s="23">
        <v>3</v>
      </c>
      <c r="I118" s="345" t="str">
        <f>VLOOKUP(H118,tab_tipo_expansao!$A$2:$B$4,2,0)</f>
        <v>não_considerar</v>
      </c>
      <c r="J118" s="59">
        <v>2048</v>
      </c>
      <c r="K118" s="59">
        <v>2050</v>
      </c>
      <c r="L118" s="98">
        <f>F118*VLOOKUP(B118,tab_Tecnologias_TE_RE!$A$2:$C$101,3,0)</f>
        <v>400</v>
      </c>
      <c r="M118" s="96">
        <f>VLOOKUP(B118,tab_Tecnologias_TE_RE!$A$2:$W$101,COLUMN(tab_Tecnologias_TE_RE!$W$1),0)</f>
        <v>7</v>
      </c>
    </row>
    <row r="119" spans="1:13">
      <c r="A119" s="95">
        <v>5117</v>
      </c>
      <c r="B119" s="86">
        <v>315</v>
      </c>
      <c r="C119" s="96" t="str">
        <f>VLOOKUP(B119,tab_Tecnologias_TE_RE!$A$1:$B$101,2,0)</f>
        <v>CANA_cond_BagaçoPalha</v>
      </c>
      <c r="D119" s="152" t="s">
        <v>146</v>
      </c>
      <c r="E119" s="17">
        <v>1</v>
      </c>
      <c r="F119" s="125">
        <v>400</v>
      </c>
      <c r="G119" s="97" t="str">
        <f t="shared" si="1"/>
        <v>CANA_cond_BagaçoPalha_1_3_2049</v>
      </c>
      <c r="H119" s="23">
        <v>3</v>
      </c>
      <c r="I119" s="345" t="str">
        <f>VLOOKUP(H119,tab_tipo_expansao!$A$2:$B$4,2,0)</f>
        <v>não_considerar</v>
      </c>
      <c r="J119" s="59">
        <v>2049</v>
      </c>
      <c r="K119" s="59">
        <v>2050</v>
      </c>
      <c r="L119" s="98">
        <f>F119*VLOOKUP(B119,tab_Tecnologias_TE_RE!$A$2:$C$101,3,0)</f>
        <v>400</v>
      </c>
      <c r="M119" s="96">
        <f>VLOOKUP(B119,tab_Tecnologias_TE_RE!$A$2:$W$101,COLUMN(tab_Tecnologias_TE_RE!$W$1),0)</f>
        <v>7</v>
      </c>
    </row>
    <row r="120" spans="1:13">
      <c r="A120" s="95">
        <v>5118</v>
      </c>
      <c r="B120" s="86">
        <v>315</v>
      </c>
      <c r="C120" s="96" t="str">
        <f>VLOOKUP(B120,tab_Tecnologias_TE_RE!$A$1:$B$101,2,0)</f>
        <v>CANA_cond_BagaçoPalha</v>
      </c>
      <c r="D120" s="152" t="s">
        <v>146</v>
      </c>
      <c r="E120" s="17">
        <v>1</v>
      </c>
      <c r="F120" s="125">
        <v>400</v>
      </c>
      <c r="G120" s="97" t="str">
        <f t="shared" si="1"/>
        <v>CANA_cond_BagaçoPalha_1_3_2050</v>
      </c>
      <c r="H120" s="23">
        <v>3</v>
      </c>
      <c r="I120" s="345" t="str">
        <f>VLOOKUP(H120,tab_tipo_expansao!$A$2:$B$4,2,0)</f>
        <v>não_considerar</v>
      </c>
      <c r="J120" s="59">
        <v>2050</v>
      </c>
      <c r="K120" s="59">
        <v>2050</v>
      </c>
      <c r="L120" s="98">
        <f>F120*VLOOKUP(B120,tab_Tecnologias_TE_RE!$A$2:$C$101,3,0)</f>
        <v>400</v>
      </c>
      <c r="M120" s="96">
        <f>VLOOKUP(B120,tab_Tecnologias_TE_RE!$A$2:$W$101,COLUMN(tab_Tecnologias_TE_RE!$W$1),0)</f>
        <v>7</v>
      </c>
    </row>
    <row r="121" spans="1:13">
      <c r="A121" s="95">
        <v>5119</v>
      </c>
      <c r="B121" s="86">
        <v>500</v>
      </c>
      <c r="C121" s="96" t="str">
        <f>VLOOKUP(B121,tab_Tecnologias_TE_RE!$A$1:$B$101,2,0)</f>
        <v>Potência_Complementar_2030-2050</v>
      </c>
      <c r="D121" s="152" t="s">
        <v>146</v>
      </c>
      <c r="E121" s="17">
        <v>1</v>
      </c>
      <c r="F121" s="125">
        <v>150000</v>
      </c>
      <c r="G121" s="97" t="str">
        <f t="shared" si="1"/>
        <v>Potência_Complementar_2030-2050_1_1_2030</v>
      </c>
      <c r="H121" s="23">
        <v>1</v>
      </c>
      <c r="I121" s="345" t="str">
        <f>VLOOKUP(H121,tab_tipo_expansao!$A$2:$B$4,2,0)</f>
        <v>opcional</v>
      </c>
      <c r="J121" s="59">
        <v>2030</v>
      </c>
      <c r="K121" s="59">
        <v>2050</v>
      </c>
      <c r="L121" s="98">
        <f>F121*VLOOKUP(B121,tab_Tecnologias_TE_RE!$A$2:$C$101,3,0)</f>
        <v>150000</v>
      </c>
      <c r="M121" s="96">
        <f>VLOOKUP(B121,tab_Tecnologias_TE_RE!$A$2:$W$101,COLUMN(tab_Tecnologias_TE_RE!$W$1),0)</f>
        <v>10</v>
      </c>
    </row>
    <row r="122" spans="1:13">
      <c r="A122" s="95">
        <v>5120</v>
      </c>
      <c r="B122" s="86">
        <v>500</v>
      </c>
      <c r="C122" s="96" t="str">
        <f>VLOOKUP(B122,tab_Tecnologias_TE_RE!$A$1:$B$101,2,0)</f>
        <v>Potência_Complementar_2030-2050</v>
      </c>
      <c r="D122" s="152" t="s">
        <v>151</v>
      </c>
      <c r="E122" s="17">
        <v>2</v>
      </c>
      <c r="F122" s="125">
        <v>150000</v>
      </c>
      <c r="G122" s="97" t="str">
        <f t="shared" si="1"/>
        <v>Potência_Complementar_2030-2050_2_1_2030</v>
      </c>
      <c r="H122" s="23">
        <v>1</v>
      </c>
      <c r="I122" s="345" t="str">
        <f>VLOOKUP(H122,tab_tipo_expansao!$A$2:$B$4,2,0)</f>
        <v>opcional</v>
      </c>
      <c r="J122" s="59">
        <v>2030</v>
      </c>
      <c r="K122" s="59">
        <v>2050</v>
      </c>
      <c r="L122" s="98">
        <f>F122*VLOOKUP(B122,tab_Tecnologias_TE_RE!$A$2:$C$101,3,0)</f>
        <v>150000</v>
      </c>
      <c r="M122" s="96">
        <f>VLOOKUP(B122,tab_Tecnologias_TE_RE!$A$2:$W$101,COLUMN(tab_Tecnologias_TE_RE!$W$1),0)</f>
        <v>10</v>
      </c>
    </row>
    <row r="123" spans="1:13">
      <c r="A123" s="95">
        <v>5121</v>
      </c>
      <c r="B123" s="86">
        <v>500</v>
      </c>
      <c r="C123" s="96" t="str">
        <f>VLOOKUP(B123,tab_Tecnologias_TE_RE!$A$1:$B$101,2,0)</f>
        <v>Potência_Complementar_2030-2050</v>
      </c>
      <c r="D123" s="152" t="s">
        <v>152</v>
      </c>
      <c r="E123" s="17">
        <v>3</v>
      </c>
      <c r="F123" s="125">
        <v>150000</v>
      </c>
      <c r="G123" s="97" t="str">
        <f t="shared" si="1"/>
        <v>Potência_Complementar_2030-2050_3_1_2030</v>
      </c>
      <c r="H123" s="23">
        <v>1</v>
      </c>
      <c r="I123" s="345" t="str">
        <f>VLOOKUP(H123,tab_tipo_expansao!$A$2:$B$4,2,0)</f>
        <v>opcional</v>
      </c>
      <c r="J123" s="59">
        <v>2030</v>
      </c>
      <c r="K123" s="59">
        <v>2050</v>
      </c>
      <c r="L123" s="98">
        <f>F123*VLOOKUP(B123,tab_Tecnologias_TE_RE!$A$2:$C$101,3,0)</f>
        <v>150000</v>
      </c>
      <c r="M123" s="96">
        <f>VLOOKUP(B123,tab_Tecnologias_TE_RE!$A$2:$W$101,COLUMN(tab_Tecnologias_TE_RE!$W$1),0)</f>
        <v>10</v>
      </c>
    </row>
    <row r="124" spans="1:13">
      <c r="A124" s="95">
        <v>5122</v>
      </c>
      <c r="B124" s="86">
        <v>500</v>
      </c>
      <c r="C124" s="96" t="str">
        <f>VLOOKUP(B124,tab_Tecnologias_TE_RE!$A$1:$B$101,2,0)</f>
        <v>Potência_Complementar_2030-2050</v>
      </c>
      <c r="D124" s="152" t="s">
        <v>153</v>
      </c>
      <c r="E124" s="17">
        <v>4</v>
      </c>
      <c r="F124" s="125">
        <v>150000</v>
      </c>
      <c r="G124" s="97" t="str">
        <f t="shared" si="1"/>
        <v>Potência_Complementar_2030-2050_4_1_2030</v>
      </c>
      <c r="H124" s="23">
        <v>1</v>
      </c>
      <c r="I124" s="345" t="str">
        <f>VLOOKUP(H124,tab_tipo_expansao!$A$2:$B$4,2,0)</f>
        <v>opcional</v>
      </c>
      <c r="J124" s="59">
        <v>2030</v>
      </c>
      <c r="K124" s="59">
        <v>2050</v>
      </c>
      <c r="L124" s="98">
        <f>F124*VLOOKUP(B124,tab_Tecnologias_TE_RE!$A$2:$C$101,3,0)</f>
        <v>150000</v>
      </c>
      <c r="M124" s="96">
        <f>VLOOKUP(B124,tab_Tecnologias_TE_RE!$A$2:$W$101,COLUMN(tab_Tecnologias_TE_RE!$W$1),0)</f>
        <v>10</v>
      </c>
    </row>
    <row r="125" spans="1:13">
      <c r="A125" s="95">
        <v>5123</v>
      </c>
      <c r="B125" s="86">
        <v>500</v>
      </c>
      <c r="C125" s="96" t="str">
        <f>VLOOKUP(B125,tab_Tecnologias_TE_RE!$A$1:$B$101,2,0)</f>
        <v>Potência_Complementar_2030-2050</v>
      </c>
      <c r="D125" s="152" t="s">
        <v>155</v>
      </c>
      <c r="E125" s="17">
        <v>6</v>
      </c>
      <c r="F125" s="125">
        <v>150000</v>
      </c>
      <c r="G125" s="97" t="str">
        <f t="shared" si="1"/>
        <v>Potência_Complementar_2030-2050_6_1_2030</v>
      </c>
      <c r="H125" s="23">
        <v>1</v>
      </c>
      <c r="I125" s="345" t="str">
        <f>VLOOKUP(H125,tab_tipo_expansao!$A$2:$B$4,2,0)</f>
        <v>opcional</v>
      </c>
      <c r="J125" s="59">
        <v>2030</v>
      </c>
      <c r="K125" s="59">
        <v>2050</v>
      </c>
      <c r="L125" s="98">
        <f>F125*VLOOKUP(B125,tab_Tecnologias_TE_RE!$A$2:$C$101,3,0)</f>
        <v>150000</v>
      </c>
      <c r="M125" s="96">
        <f>VLOOKUP(B125,tab_Tecnologias_TE_RE!$A$2:$W$101,COLUMN(tab_Tecnologias_TE_RE!$W$1),0)</f>
        <v>10</v>
      </c>
    </row>
    <row r="126" spans="1:13">
      <c r="A126" s="95">
        <v>5124</v>
      </c>
      <c r="B126" s="86">
        <v>371</v>
      </c>
      <c r="C126" s="96" t="str">
        <f>VLOOKUP(B126,tab_Tecnologias_TE_RE!$A$1:$B$101,2,0)</f>
        <v>Solar_PV_2020_2029_NE</v>
      </c>
      <c r="D126" s="152" t="s">
        <v>150</v>
      </c>
      <c r="E126" s="17">
        <v>1</v>
      </c>
      <c r="F126" s="135">
        <v>1000</v>
      </c>
      <c r="G126" s="97" t="str">
        <f t="shared" si="1"/>
        <v>Solar_PV_2020_2029_NE_1_3_2020</v>
      </c>
      <c r="H126" s="23">
        <v>3</v>
      </c>
      <c r="I126" s="345" t="str">
        <f>VLOOKUP(H126,tab_tipo_expansao!$A$2:$B$4,2,0)</f>
        <v>não_considerar</v>
      </c>
      <c r="J126" s="59">
        <v>2020</v>
      </c>
      <c r="K126" s="59">
        <v>2020</v>
      </c>
      <c r="L126" s="98">
        <f>F126*VLOOKUP(B126,tab_Tecnologias_TE_RE!$A$2:$C$101,3,0)</f>
        <v>1000</v>
      </c>
      <c r="M126" s="96">
        <f>VLOOKUP(B126,tab_Tecnologias_TE_RE!$A$2:$W$101,COLUMN(tab_Tecnologias_TE_RE!$W$1),0)</f>
        <v>9</v>
      </c>
    </row>
    <row r="127" spans="1:13">
      <c r="A127" s="95">
        <v>5125</v>
      </c>
      <c r="B127" s="86">
        <v>371</v>
      </c>
      <c r="C127" s="96" t="str">
        <f>VLOOKUP(B127,tab_Tecnologias_TE_RE!$A$1:$B$101,2,0)</f>
        <v>Solar_PV_2020_2029_NE</v>
      </c>
      <c r="D127" s="152" t="s">
        <v>150</v>
      </c>
      <c r="E127" s="17">
        <v>1</v>
      </c>
      <c r="F127" s="135">
        <v>1000</v>
      </c>
      <c r="G127" s="97" t="str">
        <f t="shared" si="1"/>
        <v>Solar_PV_2020_2029_NE_1_3_2021</v>
      </c>
      <c r="H127" s="23">
        <v>3</v>
      </c>
      <c r="I127" s="345" t="str">
        <f>VLOOKUP(H127,tab_tipo_expansao!$A$2:$B$4,2,0)</f>
        <v>não_considerar</v>
      </c>
      <c r="J127" s="59">
        <v>2021</v>
      </c>
      <c r="K127" s="59">
        <v>2021</v>
      </c>
      <c r="L127" s="98">
        <f>F127*VLOOKUP(B127,tab_Tecnologias_TE_RE!$A$2:$C$101,3,0)</f>
        <v>1000</v>
      </c>
      <c r="M127" s="96">
        <f>VLOOKUP(B127,tab_Tecnologias_TE_RE!$A$2:$W$101,COLUMN(tab_Tecnologias_TE_RE!$W$1),0)</f>
        <v>9</v>
      </c>
    </row>
    <row r="128" spans="1:13">
      <c r="A128" s="95">
        <v>5126</v>
      </c>
      <c r="B128" s="86">
        <v>371</v>
      </c>
      <c r="C128" s="96" t="str">
        <f>VLOOKUP(B128,tab_Tecnologias_TE_RE!$A$1:$B$101,2,0)</f>
        <v>Solar_PV_2020_2029_NE</v>
      </c>
      <c r="D128" s="152" t="s">
        <v>150</v>
      </c>
      <c r="E128" s="17">
        <v>1</v>
      </c>
      <c r="F128" s="135">
        <v>1000</v>
      </c>
      <c r="G128" s="97" t="str">
        <f t="shared" si="1"/>
        <v>Solar_PV_2020_2029_NE_1_3_2022</v>
      </c>
      <c r="H128" s="23">
        <v>3</v>
      </c>
      <c r="I128" s="345" t="str">
        <f>VLOOKUP(H128,tab_tipo_expansao!$A$2:$B$4,2,0)</f>
        <v>não_considerar</v>
      </c>
      <c r="J128" s="59">
        <v>2022</v>
      </c>
      <c r="K128" s="59">
        <v>2022</v>
      </c>
      <c r="L128" s="98">
        <f>F128*VLOOKUP(B128,tab_Tecnologias_TE_RE!$A$2:$C$101,3,0)</f>
        <v>1000</v>
      </c>
      <c r="M128" s="96">
        <f>VLOOKUP(B128,tab_Tecnologias_TE_RE!$A$2:$W$101,COLUMN(tab_Tecnologias_TE_RE!$W$1),0)</f>
        <v>9</v>
      </c>
    </row>
    <row r="129" spans="1:13">
      <c r="A129" s="95">
        <v>5127</v>
      </c>
      <c r="B129" s="86">
        <v>371</v>
      </c>
      <c r="C129" s="96" t="str">
        <f>VLOOKUP(B129,tab_Tecnologias_TE_RE!$A$1:$B$101,2,0)</f>
        <v>Solar_PV_2020_2029_NE</v>
      </c>
      <c r="D129" s="152" t="s">
        <v>150</v>
      </c>
      <c r="E129" s="17">
        <v>1</v>
      </c>
      <c r="F129" s="135">
        <v>1000</v>
      </c>
      <c r="G129" s="97" t="str">
        <f t="shared" si="1"/>
        <v>Solar_PV_2020_2029_NE_1_3_2023</v>
      </c>
      <c r="H129" s="23">
        <v>3</v>
      </c>
      <c r="I129" s="345" t="str">
        <f>VLOOKUP(H129,tab_tipo_expansao!$A$2:$B$4,2,0)</f>
        <v>não_considerar</v>
      </c>
      <c r="J129" s="59">
        <v>2023</v>
      </c>
      <c r="K129" s="59">
        <v>2023</v>
      </c>
      <c r="L129" s="98">
        <f>F129*VLOOKUP(B129,tab_Tecnologias_TE_RE!$A$2:$C$101,3,0)</f>
        <v>1000</v>
      </c>
      <c r="M129" s="96">
        <f>VLOOKUP(B129,tab_Tecnologias_TE_RE!$A$2:$W$101,COLUMN(tab_Tecnologias_TE_RE!$W$1),0)</f>
        <v>9</v>
      </c>
    </row>
    <row r="130" spans="1:13">
      <c r="A130" s="95">
        <v>5128</v>
      </c>
      <c r="B130" s="86">
        <v>371</v>
      </c>
      <c r="C130" s="96" t="str">
        <f>VLOOKUP(B130,tab_Tecnologias_TE_RE!$A$1:$B$101,2,0)</f>
        <v>Solar_PV_2020_2029_NE</v>
      </c>
      <c r="D130" s="152" t="s">
        <v>150</v>
      </c>
      <c r="E130" s="17">
        <v>1</v>
      </c>
      <c r="F130" s="135">
        <v>1000</v>
      </c>
      <c r="G130" s="97" t="str">
        <f t="shared" si="1"/>
        <v>Solar_PV_2020_2029_NE_1_3_2024</v>
      </c>
      <c r="H130" s="23">
        <v>3</v>
      </c>
      <c r="I130" s="345" t="str">
        <f>VLOOKUP(H130,tab_tipo_expansao!$A$2:$B$4,2,0)</f>
        <v>não_considerar</v>
      </c>
      <c r="J130" s="59">
        <v>2024</v>
      </c>
      <c r="K130" s="59">
        <v>2024</v>
      </c>
      <c r="L130" s="98">
        <f>F130*VLOOKUP(B130,tab_Tecnologias_TE_RE!$A$2:$C$101,3,0)</f>
        <v>1000</v>
      </c>
      <c r="M130" s="96">
        <f>VLOOKUP(B130,tab_Tecnologias_TE_RE!$A$2:$W$101,COLUMN(tab_Tecnologias_TE_RE!$W$1),0)</f>
        <v>9</v>
      </c>
    </row>
    <row r="131" spans="1:13">
      <c r="A131" s="95">
        <v>5129</v>
      </c>
      <c r="B131" s="86">
        <v>371</v>
      </c>
      <c r="C131" s="96" t="str">
        <f>VLOOKUP(B131,tab_Tecnologias_TE_RE!$A$1:$B$101,2,0)</f>
        <v>Solar_PV_2020_2029_NE</v>
      </c>
      <c r="D131" s="152" t="s">
        <v>150</v>
      </c>
      <c r="E131" s="17">
        <v>1</v>
      </c>
      <c r="F131" s="135">
        <v>1000</v>
      </c>
      <c r="G131" s="97" t="str">
        <f t="shared" ref="G131:G194" si="2">C131&amp;"_"&amp;E131&amp;"_"&amp;H131&amp;"_"&amp;J131</f>
        <v>Solar_PV_2020_2029_NE_1_3_2025</v>
      </c>
      <c r="H131" s="23">
        <v>3</v>
      </c>
      <c r="I131" s="345" t="str">
        <f>VLOOKUP(H131,tab_tipo_expansao!$A$2:$B$4,2,0)</f>
        <v>não_considerar</v>
      </c>
      <c r="J131" s="59">
        <v>2025</v>
      </c>
      <c r="K131" s="59">
        <v>2025</v>
      </c>
      <c r="L131" s="98">
        <f>F131*VLOOKUP(B131,tab_Tecnologias_TE_RE!$A$2:$C$101,3,0)</f>
        <v>1000</v>
      </c>
      <c r="M131" s="96">
        <f>VLOOKUP(B131,tab_Tecnologias_TE_RE!$A$2:$W$101,COLUMN(tab_Tecnologias_TE_RE!$W$1),0)</f>
        <v>9</v>
      </c>
    </row>
    <row r="132" spans="1:13">
      <c r="A132" s="95">
        <v>5130</v>
      </c>
      <c r="B132" s="86">
        <v>371</v>
      </c>
      <c r="C132" s="96" t="str">
        <f>VLOOKUP(B132,tab_Tecnologias_TE_RE!$A$1:$B$101,2,0)</f>
        <v>Solar_PV_2020_2029_NE</v>
      </c>
      <c r="D132" s="152" t="s">
        <v>150</v>
      </c>
      <c r="E132" s="17">
        <v>1</v>
      </c>
      <c r="F132" s="135">
        <v>1000</v>
      </c>
      <c r="G132" s="97" t="str">
        <f t="shared" si="2"/>
        <v>Solar_PV_2020_2029_NE_1_3_2026</v>
      </c>
      <c r="H132" s="23">
        <v>3</v>
      </c>
      <c r="I132" s="345" t="str">
        <f>VLOOKUP(H132,tab_tipo_expansao!$A$2:$B$4,2,0)</f>
        <v>não_considerar</v>
      </c>
      <c r="J132" s="59">
        <v>2026</v>
      </c>
      <c r="K132" s="59">
        <v>2026</v>
      </c>
      <c r="L132" s="98">
        <f>F132*VLOOKUP(B132,tab_Tecnologias_TE_RE!$A$2:$C$101,3,0)</f>
        <v>1000</v>
      </c>
      <c r="M132" s="96">
        <f>VLOOKUP(B132,tab_Tecnologias_TE_RE!$A$2:$W$101,COLUMN(tab_Tecnologias_TE_RE!$W$1),0)</f>
        <v>9</v>
      </c>
    </row>
    <row r="133" spans="1:13">
      <c r="A133" s="95">
        <v>5131</v>
      </c>
      <c r="B133" s="519">
        <v>362</v>
      </c>
      <c r="C133" s="96" t="str">
        <f>VLOOKUP(B133,tab_Tecnologias_TE_RE!$A$1:$B$101,2,0)</f>
        <v>EOLICA S/SE_2020-2029</v>
      </c>
      <c r="D133" s="152" t="s">
        <v>149</v>
      </c>
      <c r="E133" s="17">
        <v>2</v>
      </c>
      <c r="F133" s="125">
        <v>200</v>
      </c>
      <c r="G133" s="97" t="str">
        <f t="shared" si="2"/>
        <v>EOLICA S/SE_2020-2029_2_3_2020</v>
      </c>
      <c r="H133" s="23">
        <v>3</v>
      </c>
      <c r="I133" s="345" t="str">
        <f>VLOOKUP(H133,tab_tipo_expansao!$A$2:$B$4,2,0)</f>
        <v>não_considerar</v>
      </c>
      <c r="J133" s="59">
        <v>2020</v>
      </c>
      <c r="K133" s="59">
        <v>2020</v>
      </c>
      <c r="L133" s="98">
        <f>F133*VLOOKUP(B133,tab_Tecnologias_TE_RE!$A$2:$C$101,3,0)</f>
        <v>200</v>
      </c>
      <c r="M133" s="96">
        <f>VLOOKUP(B133,tab_Tecnologias_TE_RE!$A$2:$W$101,COLUMN(tab_Tecnologias_TE_RE!$W$1),0)</f>
        <v>8</v>
      </c>
    </row>
    <row r="134" spans="1:13">
      <c r="A134" s="95">
        <v>5132</v>
      </c>
      <c r="B134" s="519">
        <v>362</v>
      </c>
      <c r="C134" s="96" t="str">
        <f>VLOOKUP(B134,tab_Tecnologias_TE_RE!$A$1:$B$101,2,0)</f>
        <v>EOLICA S/SE_2020-2029</v>
      </c>
      <c r="D134" s="152" t="s">
        <v>150</v>
      </c>
      <c r="E134" s="17">
        <v>2</v>
      </c>
      <c r="F134" s="125">
        <v>200</v>
      </c>
      <c r="G134" s="97" t="str">
        <f t="shared" si="2"/>
        <v>EOLICA S/SE_2020-2029_2_3_2021</v>
      </c>
      <c r="H134" s="23">
        <v>3</v>
      </c>
      <c r="I134" s="345" t="str">
        <f>VLOOKUP(H134,tab_tipo_expansao!$A$2:$B$4,2,0)</f>
        <v>não_considerar</v>
      </c>
      <c r="J134" s="59">
        <v>2021</v>
      </c>
      <c r="K134" s="59">
        <v>2021</v>
      </c>
      <c r="L134" s="98">
        <f>F134*VLOOKUP(B134,tab_Tecnologias_TE_RE!$A$2:$C$101,3,0)</f>
        <v>200</v>
      </c>
      <c r="M134" s="96">
        <f>VLOOKUP(B134,tab_Tecnologias_TE_RE!$A$2:$W$101,COLUMN(tab_Tecnologias_TE_RE!$W$1),0)</f>
        <v>8</v>
      </c>
    </row>
    <row r="135" spans="1:13">
      <c r="A135" s="95">
        <v>5133</v>
      </c>
      <c r="B135" s="519">
        <v>362</v>
      </c>
      <c r="C135" s="96" t="str">
        <f>VLOOKUP(B135,tab_Tecnologias_TE_RE!$A$1:$B$101,2,0)</f>
        <v>EOLICA S/SE_2020-2029</v>
      </c>
      <c r="D135" s="152" t="s">
        <v>150</v>
      </c>
      <c r="E135" s="17">
        <v>2</v>
      </c>
      <c r="F135" s="125">
        <v>200</v>
      </c>
      <c r="G135" s="97" t="str">
        <f t="shared" si="2"/>
        <v>EOLICA S/SE_2020-2029_2_3_2022</v>
      </c>
      <c r="H135" s="23">
        <v>3</v>
      </c>
      <c r="I135" s="345" t="str">
        <f>VLOOKUP(H135,tab_tipo_expansao!$A$2:$B$4,2,0)</f>
        <v>não_considerar</v>
      </c>
      <c r="J135" s="59">
        <v>2022</v>
      </c>
      <c r="K135" s="59">
        <v>2022</v>
      </c>
      <c r="L135" s="98">
        <f>F135*VLOOKUP(B135,tab_Tecnologias_TE_RE!$A$2:$C$101,3,0)</f>
        <v>200</v>
      </c>
      <c r="M135" s="96">
        <f>VLOOKUP(B135,tab_Tecnologias_TE_RE!$A$2:$W$101,COLUMN(tab_Tecnologias_TE_RE!$W$1),0)</f>
        <v>8</v>
      </c>
    </row>
    <row r="136" spans="1:13">
      <c r="A136" s="95">
        <v>5134</v>
      </c>
      <c r="B136" s="519">
        <v>362</v>
      </c>
      <c r="C136" s="96" t="str">
        <f>VLOOKUP(B136,tab_Tecnologias_TE_RE!$A$1:$B$101,2,0)</f>
        <v>EOLICA S/SE_2020-2029</v>
      </c>
      <c r="D136" s="152" t="s">
        <v>150</v>
      </c>
      <c r="E136" s="17">
        <v>2</v>
      </c>
      <c r="F136" s="125">
        <v>200</v>
      </c>
      <c r="G136" s="97" t="str">
        <f t="shared" si="2"/>
        <v>EOLICA S/SE_2020-2029_2_3_2023</v>
      </c>
      <c r="H136" s="23">
        <v>3</v>
      </c>
      <c r="I136" s="345" t="str">
        <f>VLOOKUP(H136,tab_tipo_expansao!$A$2:$B$4,2,0)</f>
        <v>não_considerar</v>
      </c>
      <c r="J136" s="59">
        <v>2023</v>
      </c>
      <c r="K136" s="59">
        <v>2023</v>
      </c>
      <c r="L136" s="98">
        <f>F136*VLOOKUP(B136,tab_Tecnologias_TE_RE!$A$2:$C$101,3,0)</f>
        <v>200</v>
      </c>
      <c r="M136" s="96">
        <f>VLOOKUP(B136,tab_Tecnologias_TE_RE!$A$2:$W$101,COLUMN(tab_Tecnologias_TE_RE!$W$1),0)</f>
        <v>8</v>
      </c>
    </row>
    <row r="137" spans="1:13">
      <c r="A137" s="95">
        <v>5135</v>
      </c>
      <c r="B137" s="519">
        <v>362</v>
      </c>
      <c r="C137" s="96" t="str">
        <f>VLOOKUP(B137,tab_Tecnologias_TE_RE!$A$1:$B$101,2,0)</f>
        <v>EOLICA S/SE_2020-2029</v>
      </c>
      <c r="D137" s="152" t="s">
        <v>150</v>
      </c>
      <c r="E137" s="17">
        <v>2</v>
      </c>
      <c r="F137" s="125">
        <v>200</v>
      </c>
      <c r="G137" s="97" t="str">
        <f t="shared" si="2"/>
        <v>EOLICA S/SE_2020-2029_2_3_2024</v>
      </c>
      <c r="H137" s="23">
        <v>3</v>
      </c>
      <c r="I137" s="345" t="str">
        <f>VLOOKUP(H137,tab_tipo_expansao!$A$2:$B$4,2,0)</f>
        <v>não_considerar</v>
      </c>
      <c r="J137" s="59">
        <v>2024</v>
      </c>
      <c r="K137" s="59">
        <v>2024</v>
      </c>
      <c r="L137" s="98">
        <f>F137*VLOOKUP(B137,tab_Tecnologias_TE_RE!$A$2:$C$101,3,0)</f>
        <v>200</v>
      </c>
      <c r="M137" s="96">
        <f>VLOOKUP(B137,tab_Tecnologias_TE_RE!$A$2:$W$101,COLUMN(tab_Tecnologias_TE_RE!$W$1),0)</f>
        <v>8</v>
      </c>
    </row>
    <row r="138" spans="1:13">
      <c r="A138" s="95">
        <v>5136</v>
      </c>
      <c r="B138" s="519">
        <v>362</v>
      </c>
      <c r="C138" s="96" t="str">
        <f>VLOOKUP(B138,tab_Tecnologias_TE_RE!$A$1:$B$101,2,0)</f>
        <v>EOLICA S/SE_2020-2029</v>
      </c>
      <c r="D138" s="152" t="s">
        <v>150</v>
      </c>
      <c r="E138" s="17">
        <v>2</v>
      </c>
      <c r="F138" s="125">
        <v>200</v>
      </c>
      <c r="G138" s="97" t="str">
        <f t="shared" si="2"/>
        <v>EOLICA S/SE_2020-2029_2_3_2025</v>
      </c>
      <c r="H138" s="23">
        <v>3</v>
      </c>
      <c r="I138" s="345" t="str">
        <f>VLOOKUP(H138,tab_tipo_expansao!$A$2:$B$4,2,0)</f>
        <v>não_considerar</v>
      </c>
      <c r="J138" s="59">
        <v>2025</v>
      </c>
      <c r="K138" s="59">
        <v>2025</v>
      </c>
      <c r="L138" s="98">
        <f>F138*VLOOKUP(B138,tab_Tecnologias_TE_RE!$A$2:$C$101,3,0)</f>
        <v>200</v>
      </c>
      <c r="M138" s="96">
        <f>VLOOKUP(B138,tab_Tecnologias_TE_RE!$A$2:$W$101,COLUMN(tab_Tecnologias_TE_RE!$W$1),0)</f>
        <v>8</v>
      </c>
    </row>
    <row r="139" spans="1:13">
      <c r="A139" s="95">
        <v>5137</v>
      </c>
      <c r="B139" s="519">
        <v>362</v>
      </c>
      <c r="C139" s="96" t="str">
        <f>VLOOKUP(B139,tab_Tecnologias_TE_RE!$A$1:$B$101,2,0)</f>
        <v>EOLICA S/SE_2020-2029</v>
      </c>
      <c r="D139" s="152" t="s">
        <v>150</v>
      </c>
      <c r="E139" s="17">
        <v>2</v>
      </c>
      <c r="F139" s="125">
        <v>200</v>
      </c>
      <c r="G139" s="97" t="str">
        <f t="shared" si="2"/>
        <v>EOLICA S/SE_2020-2029_2_3_2026</v>
      </c>
      <c r="H139" s="23">
        <v>3</v>
      </c>
      <c r="I139" s="345" t="str">
        <f>VLOOKUP(H139,tab_tipo_expansao!$A$2:$B$4,2,0)</f>
        <v>não_considerar</v>
      </c>
      <c r="J139" s="59">
        <v>2026</v>
      </c>
      <c r="K139" s="59">
        <v>2026</v>
      </c>
      <c r="L139" s="98">
        <f>F139*VLOOKUP(B139,tab_Tecnologias_TE_RE!$A$2:$C$101,3,0)</f>
        <v>200</v>
      </c>
      <c r="M139" s="96">
        <f>VLOOKUP(B139,tab_Tecnologias_TE_RE!$A$2:$W$101,COLUMN(tab_Tecnologias_TE_RE!$W$1),0)</f>
        <v>8</v>
      </c>
    </row>
    <row r="140" spans="1:13">
      <c r="A140" s="95">
        <v>5138</v>
      </c>
      <c r="B140" s="519">
        <v>363</v>
      </c>
      <c r="C140" s="96" t="str">
        <f>VLOOKUP(B140,tab_Tecnologias_TE_RE!$A$1:$B$101,2,0)</f>
        <v>EOLICA-NE/N_2020-2029</v>
      </c>
      <c r="D140" s="152" t="s">
        <v>152</v>
      </c>
      <c r="E140" s="17">
        <v>3</v>
      </c>
      <c r="F140" s="125">
        <v>800</v>
      </c>
      <c r="G140" s="97" t="str">
        <f t="shared" si="2"/>
        <v>EOLICA-NE/N_2020-2029_3_3_2020</v>
      </c>
      <c r="H140" s="23">
        <v>3</v>
      </c>
      <c r="I140" s="345" t="str">
        <f>VLOOKUP(H140,tab_tipo_expansao!$A$2:$B$4,2,0)</f>
        <v>não_considerar</v>
      </c>
      <c r="J140" s="59">
        <v>2020</v>
      </c>
      <c r="K140" s="59">
        <v>2020</v>
      </c>
      <c r="L140" s="98">
        <f>F140*VLOOKUP(B140,tab_Tecnologias_TE_RE!$A$2:$C$101,3,0)</f>
        <v>800</v>
      </c>
      <c r="M140" s="96">
        <f>VLOOKUP(B140,tab_Tecnologias_TE_RE!$A$2:$W$101,COLUMN(tab_Tecnologias_TE_RE!$W$1),0)</f>
        <v>8</v>
      </c>
    </row>
    <row r="141" spans="1:13">
      <c r="A141" s="95">
        <v>5139</v>
      </c>
      <c r="B141" s="519">
        <v>363</v>
      </c>
      <c r="C141" s="96" t="str">
        <f>VLOOKUP(B141,tab_Tecnologias_TE_RE!$A$1:$B$101,2,0)</f>
        <v>EOLICA-NE/N_2020-2029</v>
      </c>
      <c r="D141" s="152" t="s">
        <v>152</v>
      </c>
      <c r="E141" s="17">
        <v>3</v>
      </c>
      <c r="F141" s="125">
        <v>800</v>
      </c>
      <c r="G141" s="97" t="str">
        <f t="shared" si="2"/>
        <v>EOLICA-NE/N_2020-2029_3_3_2021</v>
      </c>
      <c r="H141" s="23">
        <v>3</v>
      </c>
      <c r="I141" s="345" t="str">
        <f>VLOOKUP(H141,tab_tipo_expansao!$A$2:$B$4,2,0)</f>
        <v>não_considerar</v>
      </c>
      <c r="J141" s="59">
        <v>2021</v>
      </c>
      <c r="K141" s="59">
        <v>2021</v>
      </c>
      <c r="L141" s="98">
        <f>F141*VLOOKUP(B141,tab_Tecnologias_TE_RE!$A$2:$C$101,3,0)</f>
        <v>800</v>
      </c>
      <c r="M141" s="96">
        <f>VLOOKUP(B141,tab_Tecnologias_TE_RE!$A$2:$W$101,COLUMN(tab_Tecnologias_TE_RE!$W$1),0)</f>
        <v>8</v>
      </c>
    </row>
    <row r="142" spans="1:13">
      <c r="A142" s="95">
        <v>5140</v>
      </c>
      <c r="B142" s="519">
        <v>363</v>
      </c>
      <c r="C142" s="96" t="str">
        <f>VLOOKUP(B142,tab_Tecnologias_TE_RE!$A$1:$B$101,2,0)</f>
        <v>EOLICA-NE/N_2020-2029</v>
      </c>
      <c r="D142" s="152" t="s">
        <v>152</v>
      </c>
      <c r="E142" s="17">
        <v>3</v>
      </c>
      <c r="F142" s="125">
        <v>800</v>
      </c>
      <c r="G142" s="97" t="str">
        <f t="shared" si="2"/>
        <v>EOLICA-NE/N_2020-2029_3_3_2022</v>
      </c>
      <c r="H142" s="23">
        <v>3</v>
      </c>
      <c r="I142" s="345" t="str">
        <f>VLOOKUP(H142,tab_tipo_expansao!$A$2:$B$4,2,0)</f>
        <v>não_considerar</v>
      </c>
      <c r="J142" s="59">
        <v>2022</v>
      </c>
      <c r="K142" s="59">
        <v>2022</v>
      </c>
      <c r="L142" s="98">
        <f>F142*VLOOKUP(B142,tab_Tecnologias_TE_RE!$A$2:$C$101,3,0)</f>
        <v>800</v>
      </c>
      <c r="M142" s="96">
        <f>VLOOKUP(B142,tab_Tecnologias_TE_RE!$A$2:$W$101,COLUMN(tab_Tecnologias_TE_RE!$W$1),0)</f>
        <v>8</v>
      </c>
    </row>
    <row r="143" spans="1:13">
      <c r="A143" s="95">
        <v>5141</v>
      </c>
      <c r="B143" s="519">
        <v>363</v>
      </c>
      <c r="C143" s="96" t="str">
        <f>VLOOKUP(B143,tab_Tecnologias_TE_RE!$A$1:$B$101,2,0)</f>
        <v>EOLICA-NE/N_2020-2029</v>
      </c>
      <c r="D143" s="152" t="s">
        <v>152</v>
      </c>
      <c r="E143" s="17">
        <v>3</v>
      </c>
      <c r="F143" s="125">
        <v>800</v>
      </c>
      <c r="G143" s="97" t="str">
        <f t="shared" si="2"/>
        <v>EOLICA-NE/N_2020-2029_3_3_2023</v>
      </c>
      <c r="H143" s="23">
        <v>3</v>
      </c>
      <c r="I143" s="345" t="str">
        <f>VLOOKUP(H143,tab_tipo_expansao!$A$2:$B$4,2,0)</f>
        <v>não_considerar</v>
      </c>
      <c r="J143" s="59">
        <v>2023</v>
      </c>
      <c r="K143" s="59">
        <v>2023</v>
      </c>
      <c r="L143" s="98">
        <f>F143*VLOOKUP(B143,tab_Tecnologias_TE_RE!$A$2:$C$101,3,0)</f>
        <v>800</v>
      </c>
      <c r="M143" s="96">
        <f>VLOOKUP(B143,tab_Tecnologias_TE_RE!$A$2:$W$101,COLUMN(tab_Tecnologias_TE_RE!$W$1),0)</f>
        <v>8</v>
      </c>
    </row>
    <row r="144" spans="1:13">
      <c r="A144" s="95">
        <v>5142</v>
      </c>
      <c r="B144" s="519">
        <v>363</v>
      </c>
      <c r="C144" s="96" t="str">
        <f>VLOOKUP(B144,tab_Tecnologias_TE_RE!$A$1:$B$101,2,0)</f>
        <v>EOLICA-NE/N_2020-2029</v>
      </c>
      <c r="D144" s="152" t="s">
        <v>152</v>
      </c>
      <c r="E144" s="17">
        <v>3</v>
      </c>
      <c r="F144" s="125">
        <v>800</v>
      </c>
      <c r="G144" s="97" t="str">
        <f t="shared" si="2"/>
        <v>EOLICA-NE/N_2020-2029_3_3_2024</v>
      </c>
      <c r="H144" s="23">
        <v>3</v>
      </c>
      <c r="I144" s="345" t="str">
        <f>VLOOKUP(H144,tab_tipo_expansao!$A$2:$B$4,2,0)</f>
        <v>não_considerar</v>
      </c>
      <c r="J144" s="59">
        <v>2024</v>
      </c>
      <c r="K144" s="59">
        <v>2024</v>
      </c>
      <c r="L144" s="98">
        <f>F144*VLOOKUP(B144,tab_Tecnologias_TE_RE!$A$2:$C$101,3,0)</f>
        <v>800</v>
      </c>
      <c r="M144" s="96">
        <f>VLOOKUP(B144,tab_Tecnologias_TE_RE!$A$2:$W$101,COLUMN(tab_Tecnologias_TE_RE!$W$1),0)</f>
        <v>8</v>
      </c>
    </row>
    <row r="145" spans="1:13">
      <c r="A145" s="95">
        <v>5143</v>
      </c>
      <c r="B145" s="519">
        <v>363</v>
      </c>
      <c r="C145" s="96" t="str">
        <f>VLOOKUP(B145,tab_Tecnologias_TE_RE!$A$1:$B$101,2,0)</f>
        <v>EOLICA-NE/N_2020-2029</v>
      </c>
      <c r="D145" s="152" t="s">
        <v>152</v>
      </c>
      <c r="E145" s="17">
        <v>3</v>
      </c>
      <c r="F145" s="125">
        <v>800</v>
      </c>
      <c r="G145" s="97" t="str">
        <f t="shared" si="2"/>
        <v>EOLICA-NE/N_2020-2029_3_3_2025</v>
      </c>
      <c r="H145" s="23">
        <v>3</v>
      </c>
      <c r="I145" s="345" t="str">
        <f>VLOOKUP(H145,tab_tipo_expansao!$A$2:$B$4,2,0)</f>
        <v>não_considerar</v>
      </c>
      <c r="J145" s="59">
        <v>2025</v>
      </c>
      <c r="K145" s="59">
        <v>2025</v>
      </c>
      <c r="L145" s="98">
        <f>F145*VLOOKUP(B145,tab_Tecnologias_TE_RE!$A$2:$C$101,3,0)</f>
        <v>800</v>
      </c>
      <c r="M145" s="96">
        <f>VLOOKUP(B145,tab_Tecnologias_TE_RE!$A$2:$W$101,COLUMN(tab_Tecnologias_TE_RE!$W$1),0)</f>
        <v>8</v>
      </c>
    </row>
    <row r="146" spans="1:13">
      <c r="A146" s="95">
        <v>5144</v>
      </c>
      <c r="B146" s="519">
        <v>363</v>
      </c>
      <c r="C146" s="96" t="str">
        <f>VLOOKUP(B146,tab_Tecnologias_TE_RE!$A$1:$B$101,2,0)</f>
        <v>EOLICA-NE/N_2020-2029</v>
      </c>
      <c r="D146" s="152" t="s">
        <v>152</v>
      </c>
      <c r="E146" s="17">
        <v>3</v>
      </c>
      <c r="F146" s="125">
        <v>800</v>
      </c>
      <c r="G146" s="97" t="str">
        <f t="shared" si="2"/>
        <v>EOLICA-NE/N_2020-2029_3_3_2026</v>
      </c>
      <c r="H146" s="23">
        <v>3</v>
      </c>
      <c r="I146" s="345" t="str">
        <f>VLOOKUP(H146,tab_tipo_expansao!$A$2:$B$4,2,0)</f>
        <v>não_considerar</v>
      </c>
      <c r="J146" s="59">
        <v>2026</v>
      </c>
      <c r="K146" s="59">
        <v>2026</v>
      </c>
      <c r="L146" s="98">
        <f>F146*VLOOKUP(B146,tab_Tecnologias_TE_RE!$A$2:$C$101,3,0)</f>
        <v>800</v>
      </c>
      <c r="M146" s="96">
        <f>VLOOKUP(B146,tab_Tecnologias_TE_RE!$A$2:$W$101,COLUMN(tab_Tecnologias_TE_RE!$W$1),0)</f>
        <v>8</v>
      </c>
    </row>
    <row r="147" spans="1:13">
      <c r="A147" s="95">
        <v>5146</v>
      </c>
      <c r="B147" s="86">
        <v>501</v>
      </c>
      <c r="C147" s="96" t="str">
        <f>VLOOKUP(B147,tab_Tecnologias_TE_RE!$A$1:$B$101,2,0)</f>
        <v>GAS_CC_CAPEX40_ate2030</v>
      </c>
      <c r="D147" s="152" t="s">
        <v>152</v>
      </c>
      <c r="E147" s="17">
        <v>3</v>
      </c>
      <c r="F147" s="125">
        <v>554</v>
      </c>
      <c r="G147" s="97" t="str">
        <f t="shared" si="2"/>
        <v>GAS_CC_CAPEX40_ate2030_3_1_2022</v>
      </c>
      <c r="H147" s="23">
        <v>1</v>
      </c>
      <c r="I147" s="345" t="str">
        <f>VLOOKUP(H147,tab_tipo_expansao!$A$2:$B$4,2,0)</f>
        <v>opcional</v>
      </c>
      <c r="J147" s="59">
        <v>2022</v>
      </c>
      <c r="K147" s="59">
        <v>2023</v>
      </c>
      <c r="L147" s="98">
        <f>F147*VLOOKUP(B147,tab_Tecnologias_TE_RE!$A$2:$C$101,3,0)</f>
        <v>554</v>
      </c>
      <c r="M147" s="96">
        <f>VLOOKUP(B147,tab_Tecnologias_TE_RE!$A$2:$W$101,COLUMN(tab_Tecnologias_TE_RE!$W$1),0)</f>
        <v>3</v>
      </c>
    </row>
    <row r="148" spans="1:13">
      <c r="A148" s="95">
        <v>5147</v>
      </c>
      <c r="B148" s="519">
        <v>501</v>
      </c>
      <c r="C148" s="96" t="str">
        <f>VLOOKUP(B148,tab_Tecnologias_TE_RE!$A$1:$B$101,2,0)</f>
        <v>GAS_CC_CAPEX40_ate2030</v>
      </c>
      <c r="D148" s="152" t="s">
        <v>149</v>
      </c>
      <c r="E148" s="17">
        <v>2</v>
      </c>
      <c r="F148" s="125">
        <v>249</v>
      </c>
      <c r="G148" s="97" t="str">
        <f t="shared" si="2"/>
        <v>GAS_CC_CAPEX40_ate2030_2_1_2022</v>
      </c>
      <c r="H148" s="23">
        <v>1</v>
      </c>
      <c r="I148" s="345" t="str">
        <f>VLOOKUP(H148,tab_tipo_expansao!$A$2:$B$4,2,0)</f>
        <v>opcional</v>
      </c>
      <c r="J148" s="59">
        <v>2022</v>
      </c>
      <c r="K148" s="59">
        <v>2023</v>
      </c>
      <c r="L148" s="98">
        <f>F148*VLOOKUP(B148,tab_Tecnologias_TE_RE!$A$2:$C$101,3,0)</f>
        <v>249</v>
      </c>
      <c r="M148" s="96">
        <f>VLOOKUP(B148,tab_Tecnologias_TE_RE!$A$2:$W$101,COLUMN(tab_Tecnologias_TE_RE!$W$1),0)</f>
        <v>3</v>
      </c>
    </row>
    <row r="149" spans="1:13">
      <c r="A149" s="95">
        <v>5148</v>
      </c>
      <c r="B149" s="519">
        <v>502</v>
      </c>
      <c r="C149" s="96" t="str">
        <f>VLOOKUP(B149,tab_Tecnologias_TE_RE!$A$1:$B$101,2,0)</f>
        <v>GAS_CS_CAPEX40_ate2030</v>
      </c>
      <c r="D149" s="152" t="s">
        <v>146</v>
      </c>
      <c r="E149" s="17">
        <v>1</v>
      </c>
      <c r="F149" s="125">
        <v>226</v>
      </c>
      <c r="G149" s="97" t="str">
        <f t="shared" si="2"/>
        <v>GAS_CS_CAPEX40_ate2030_1_1_2023</v>
      </c>
      <c r="H149" s="23">
        <v>1</v>
      </c>
      <c r="I149" s="345" t="str">
        <f>VLOOKUP(H149,tab_tipo_expansao!$A$2:$B$4,2,0)</f>
        <v>opcional</v>
      </c>
      <c r="J149" s="59">
        <v>2023</v>
      </c>
      <c r="K149" s="59">
        <v>2024</v>
      </c>
      <c r="L149" s="98">
        <f>F149*VLOOKUP(B149,tab_Tecnologias_TE_RE!$A$2:$C$101,3,0)</f>
        <v>226</v>
      </c>
      <c r="M149" s="96">
        <f>VLOOKUP(B149,tab_Tecnologias_TE_RE!$A$2:$W$101,COLUMN(tab_Tecnologias_TE_RE!$W$1),0)</f>
        <v>3</v>
      </c>
    </row>
    <row r="150" spans="1:13">
      <c r="A150" s="95">
        <v>5149</v>
      </c>
      <c r="B150" s="519">
        <v>501</v>
      </c>
      <c r="C150" s="96" t="str">
        <f>VLOOKUP(B150,tab_Tecnologias_TE_RE!$A$1:$B$101,2,0)</f>
        <v>GAS_CC_CAPEX40_ate2030</v>
      </c>
      <c r="D150" s="152" t="s">
        <v>146</v>
      </c>
      <c r="E150" s="17">
        <v>1</v>
      </c>
      <c r="F150" s="125">
        <v>87</v>
      </c>
      <c r="G150" s="97" t="str">
        <f t="shared" si="2"/>
        <v>GAS_CC_CAPEX40_ate2030_1_1_2023</v>
      </c>
      <c r="H150" s="23">
        <v>1</v>
      </c>
      <c r="I150" s="345" t="str">
        <f>VLOOKUP(H150,tab_tipo_expansao!$A$2:$B$4,2,0)</f>
        <v>opcional</v>
      </c>
      <c r="J150" s="59">
        <v>2023</v>
      </c>
      <c r="K150" s="59">
        <v>2024</v>
      </c>
      <c r="L150" s="98">
        <f>F150*VLOOKUP(B150,tab_Tecnologias_TE_RE!$A$2:$C$101,3,0)</f>
        <v>87</v>
      </c>
      <c r="M150" s="96">
        <f>VLOOKUP(B150,tab_Tecnologias_TE_RE!$A$2:$W$101,COLUMN(tab_Tecnologias_TE_RE!$W$1),0)</f>
        <v>3</v>
      </c>
    </row>
    <row r="151" spans="1:13">
      <c r="A151" s="95">
        <v>5150</v>
      </c>
      <c r="B151" s="519">
        <v>502</v>
      </c>
      <c r="C151" s="96" t="str">
        <f>VLOOKUP(B151,tab_Tecnologias_TE_RE!$A$1:$B$101,2,0)</f>
        <v>GAS_CS_CAPEX40_ate2030</v>
      </c>
      <c r="D151" s="152" t="s">
        <v>146</v>
      </c>
      <c r="E151" s="17">
        <v>1</v>
      </c>
      <c r="F151" s="125">
        <v>386</v>
      </c>
      <c r="G151" s="97" t="str">
        <f t="shared" si="2"/>
        <v>GAS_CS_CAPEX40_ate2030_1_1_2024</v>
      </c>
      <c r="H151" s="23">
        <v>1</v>
      </c>
      <c r="I151" s="345" t="str">
        <f>VLOOKUP(H151,tab_tipo_expansao!$A$2:$B$4,2,0)</f>
        <v>opcional</v>
      </c>
      <c r="J151" s="59">
        <v>2024</v>
      </c>
      <c r="K151" s="59">
        <v>2025</v>
      </c>
      <c r="L151" s="98">
        <f>F151*VLOOKUP(B151,tab_Tecnologias_TE_RE!$A$2:$C$101,3,0)</f>
        <v>386</v>
      </c>
      <c r="M151" s="96">
        <f>VLOOKUP(B151,tab_Tecnologias_TE_RE!$A$2:$W$101,COLUMN(tab_Tecnologias_TE_RE!$W$1),0)</f>
        <v>3</v>
      </c>
    </row>
    <row r="152" spans="1:13">
      <c r="A152" s="95">
        <v>5151</v>
      </c>
      <c r="B152" s="519">
        <v>501</v>
      </c>
      <c r="C152" s="96" t="str">
        <f>VLOOKUP(B152,tab_Tecnologias_TE_RE!$A$1:$B$101,2,0)</f>
        <v>GAS_CC_CAPEX40_ate2030</v>
      </c>
      <c r="D152" s="152" t="s">
        <v>146</v>
      </c>
      <c r="E152" s="17">
        <v>1</v>
      </c>
      <c r="F152" s="125">
        <v>350</v>
      </c>
      <c r="G152" s="97" t="str">
        <f t="shared" si="2"/>
        <v>GAS_CC_CAPEX40_ate2030_1_1_2024</v>
      </c>
      <c r="H152" s="23">
        <v>1</v>
      </c>
      <c r="I152" s="345" t="str">
        <f>VLOOKUP(H152,tab_tipo_expansao!$A$2:$B$4,2,0)</f>
        <v>opcional</v>
      </c>
      <c r="J152" s="59">
        <v>2024</v>
      </c>
      <c r="K152" s="59">
        <v>2025</v>
      </c>
      <c r="L152" s="98">
        <f>F152*VLOOKUP(B152,tab_Tecnologias_TE_RE!$A$2:$C$101,3,0)</f>
        <v>350</v>
      </c>
      <c r="M152" s="96">
        <f>VLOOKUP(B152,tab_Tecnologias_TE_RE!$A$2:$W$101,COLUMN(tab_Tecnologias_TE_RE!$W$1),0)</f>
        <v>3</v>
      </c>
    </row>
    <row r="153" spans="1:13">
      <c r="A153" s="95">
        <v>5152</v>
      </c>
      <c r="B153" s="519">
        <v>501</v>
      </c>
      <c r="C153" s="96" t="str">
        <f>VLOOKUP(B153,tab_Tecnologias_TE_RE!$A$1:$B$101,2,0)</f>
        <v>GAS_CC_CAPEX40_ate2030</v>
      </c>
      <c r="D153" s="152" t="s">
        <v>152</v>
      </c>
      <c r="E153" s="17">
        <v>3</v>
      </c>
      <c r="F153" s="125">
        <v>465</v>
      </c>
      <c r="G153" s="97" t="str">
        <f t="shared" si="2"/>
        <v>GAS_CC_CAPEX40_ate2030_3_1_2024</v>
      </c>
      <c r="H153" s="23">
        <v>1</v>
      </c>
      <c r="I153" s="345" t="str">
        <f>VLOOKUP(H153,tab_tipo_expansao!$A$2:$B$4,2,0)</f>
        <v>opcional</v>
      </c>
      <c r="J153" s="59">
        <v>2024</v>
      </c>
      <c r="K153" s="59">
        <v>2025</v>
      </c>
      <c r="L153" s="98">
        <f>F153*VLOOKUP(B153,tab_Tecnologias_TE_RE!$A$2:$C$101,3,0)</f>
        <v>465</v>
      </c>
      <c r="M153" s="96">
        <f>VLOOKUP(B153,tab_Tecnologias_TE_RE!$A$2:$W$101,COLUMN(tab_Tecnologias_TE_RE!$W$1),0)</f>
        <v>3</v>
      </c>
    </row>
    <row r="154" spans="1:13">
      <c r="A154" s="95">
        <v>5153</v>
      </c>
      <c r="B154" s="519">
        <v>502</v>
      </c>
      <c r="C154" s="96" t="str">
        <f>VLOOKUP(B154,tab_Tecnologias_TE_RE!$A$1:$B$101,2,0)</f>
        <v>GAS_CS_CAPEX40_ate2030</v>
      </c>
      <c r="D154" s="152" t="s">
        <v>146</v>
      </c>
      <c r="E154" s="17">
        <v>1</v>
      </c>
      <c r="F154" s="125">
        <v>427</v>
      </c>
      <c r="G154" s="97" t="str">
        <f t="shared" si="2"/>
        <v>GAS_CS_CAPEX40_ate2030_1_1_2025</v>
      </c>
      <c r="H154" s="23">
        <v>1</v>
      </c>
      <c r="I154" s="345" t="str">
        <f>VLOOKUP(H154,tab_tipo_expansao!$A$2:$B$4,2,0)</f>
        <v>opcional</v>
      </c>
      <c r="J154" s="59">
        <v>2025</v>
      </c>
      <c r="K154" s="59">
        <v>2026</v>
      </c>
      <c r="L154" s="98">
        <f>F154*VLOOKUP(B154,tab_Tecnologias_TE_RE!$A$2:$C$101,3,0)</f>
        <v>427</v>
      </c>
      <c r="M154" s="96">
        <f>VLOOKUP(B154,tab_Tecnologias_TE_RE!$A$2:$W$101,COLUMN(tab_Tecnologias_TE_RE!$W$1),0)</f>
        <v>3</v>
      </c>
    </row>
    <row r="155" spans="1:13">
      <c r="A155" s="95">
        <v>5154</v>
      </c>
      <c r="B155" s="519">
        <v>502</v>
      </c>
      <c r="C155" s="96" t="str">
        <f>VLOOKUP(B155,tab_Tecnologias_TE_RE!$A$1:$B$101,2,0)</f>
        <v>GAS_CS_CAPEX40_ate2030</v>
      </c>
      <c r="D155" s="152" t="s">
        <v>152</v>
      </c>
      <c r="E155" s="17">
        <v>3</v>
      </c>
      <c r="F155" s="125">
        <v>223</v>
      </c>
      <c r="G155" s="97" t="str">
        <f t="shared" si="2"/>
        <v>GAS_CS_CAPEX40_ate2030_3_1_2025</v>
      </c>
      <c r="H155" s="23">
        <v>1</v>
      </c>
      <c r="I155" s="345" t="str">
        <f>VLOOKUP(H155,tab_tipo_expansao!$A$2:$B$4,2,0)</f>
        <v>opcional</v>
      </c>
      <c r="J155" s="59">
        <v>2025</v>
      </c>
      <c r="K155" s="59">
        <v>2026</v>
      </c>
      <c r="L155" s="98">
        <f>F155*VLOOKUP(B155,tab_Tecnologias_TE_RE!$A$2:$C$101,3,0)</f>
        <v>223</v>
      </c>
      <c r="M155" s="96">
        <f>VLOOKUP(B155,tab_Tecnologias_TE_RE!$A$2:$W$101,COLUMN(tab_Tecnologias_TE_RE!$W$1),0)</f>
        <v>3</v>
      </c>
    </row>
    <row r="156" spans="1:13">
      <c r="A156" s="95">
        <v>5154</v>
      </c>
      <c r="B156" s="519">
        <v>505</v>
      </c>
      <c r="C156" s="96" t="str">
        <f>VLOOKUP(B156,tab_Tecnologias_TE_RE!$A$1:$B$101,2,0)</f>
        <v>GAS_CC_CAPEX40_pos2030</v>
      </c>
      <c r="D156" s="152" t="s">
        <v>146</v>
      </c>
      <c r="E156" s="17">
        <v>1</v>
      </c>
      <c r="F156" s="125">
        <v>1435</v>
      </c>
      <c r="G156" s="97" t="str">
        <f t="shared" si="2"/>
        <v>GAS_CC_CAPEX40_pos2030_1_1_2031</v>
      </c>
      <c r="H156" s="23">
        <v>1</v>
      </c>
      <c r="I156" s="345" t="str">
        <f>VLOOKUP(H156,tab_tipo_expansao!$A$2:$B$4,2,0)</f>
        <v>opcional</v>
      </c>
      <c r="J156" s="59">
        <v>2031</v>
      </c>
      <c r="K156" s="59">
        <v>2032</v>
      </c>
      <c r="L156" s="98">
        <f>F156*VLOOKUP(B156,tab_Tecnologias_TE_RE!$A$2:$C$101,3,0)</f>
        <v>1435</v>
      </c>
      <c r="M156" s="96">
        <f>VLOOKUP(B156,tab_Tecnologias_TE_RE!$A$2:$W$101,COLUMN(tab_Tecnologias_TE_RE!$W$1),0)</f>
        <v>3</v>
      </c>
    </row>
    <row r="157" spans="1:13">
      <c r="A157" s="95">
        <v>5154</v>
      </c>
      <c r="B157" s="519">
        <v>509</v>
      </c>
      <c r="C157" s="96" t="str">
        <f>VLOOKUP(B157,tab_Tecnologias_TE_RE!$A$1:$B$101,2,0)</f>
        <v>GAS_CC_CAPEX40_6USD</v>
      </c>
      <c r="D157" s="152" t="s">
        <v>149</v>
      </c>
      <c r="E157" s="17">
        <v>2</v>
      </c>
      <c r="F157" s="125">
        <v>1125</v>
      </c>
      <c r="G157" s="97" t="str">
        <f t="shared" si="2"/>
        <v>GAS_CC_CAPEX40_6USD_2_1_2031</v>
      </c>
      <c r="H157" s="23">
        <v>1</v>
      </c>
      <c r="I157" s="345" t="str">
        <f>VLOOKUP(H157,tab_tipo_expansao!$A$2:$B$4,2,0)</f>
        <v>opcional</v>
      </c>
      <c r="J157" s="59">
        <v>2031</v>
      </c>
      <c r="K157" s="59">
        <v>2032</v>
      </c>
      <c r="L157" s="98">
        <f>F157*VLOOKUP(B157,tab_Tecnologias_TE_RE!$A$2:$C$101,3,0)</f>
        <v>1125</v>
      </c>
      <c r="M157" s="96">
        <f>VLOOKUP(B157,tab_Tecnologias_TE_RE!$A$2:$W$101,COLUMN(tab_Tecnologias_TE_RE!$W$1),0)</f>
        <v>3</v>
      </c>
    </row>
    <row r="158" spans="1:13" ht="15" customHeight="1">
      <c r="A158" s="95">
        <v>5155</v>
      </c>
      <c r="B158" s="519">
        <v>501</v>
      </c>
      <c r="C158" s="96" t="str">
        <f>VLOOKUP(B158,tab_Tecnologias_TE_RE!$A$1:$B$101,2,0)</f>
        <v>GAS_CC_CAPEX40_ate2030</v>
      </c>
      <c r="D158" s="152" t="s">
        <v>146</v>
      </c>
      <c r="E158" s="17">
        <v>1</v>
      </c>
      <c r="F158" s="125">
        <v>2224</v>
      </c>
      <c r="G158" s="97" t="str">
        <f t="shared" si="2"/>
        <v>GAS_CC_CAPEX40_ate2030_1_1_2025</v>
      </c>
      <c r="H158" s="23">
        <v>1</v>
      </c>
      <c r="I158" s="345" t="str">
        <f>VLOOKUP(H158,tab_tipo_expansao!$A$2:$B$4,2,0)</f>
        <v>opcional</v>
      </c>
      <c r="J158" s="59">
        <v>2025</v>
      </c>
      <c r="K158" s="59">
        <v>2026</v>
      </c>
      <c r="L158" s="98">
        <f>F158*VLOOKUP(B158,tab_Tecnologias_TE_RE!$A$2:$C$101,3,0)</f>
        <v>2224</v>
      </c>
      <c r="M158" s="96">
        <f>VLOOKUP(B158,tab_Tecnologias_TE_RE!$A$2:$W$101,COLUMN(tab_Tecnologias_TE_RE!$W$1),0)</f>
        <v>3</v>
      </c>
    </row>
    <row r="159" spans="1:13">
      <c r="A159" s="95">
        <v>5155</v>
      </c>
      <c r="B159" s="519">
        <v>501</v>
      </c>
      <c r="C159" s="96" t="str">
        <f>VLOOKUP(B159,tab_Tecnologias_TE_RE!$A$1:$B$101,2,0)</f>
        <v>GAS_CC_CAPEX40_ate2030</v>
      </c>
      <c r="D159" s="152" t="s">
        <v>146</v>
      </c>
      <c r="E159" s="17">
        <v>3</v>
      </c>
      <c r="F159" s="125">
        <v>533</v>
      </c>
      <c r="G159" s="97" t="str">
        <f t="shared" si="2"/>
        <v>GAS_CC_CAPEX40_ate2030_3_1_2025</v>
      </c>
      <c r="H159" s="23">
        <v>1</v>
      </c>
      <c r="I159" s="345" t="str">
        <f>VLOOKUP(H159,tab_tipo_expansao!$A$2:$B$4,2,0)</f>
        <v>opcional</v>
      </c>
      <c r="J159" s="59">
        <v>2025</v>
      </c>
      <c r="K159" s="59">
        <v>2026</v>
      </c>
      <c r="L159" s="98">
        <f>F159*VLOOKUP(B159,tab_Tecnologias_TE_RE!$A$2:$C$101,3,0)</f>
        <v>533</v>
      </c>
      <c r="M159" s="96">
        <f>VLOOKUP(B159,tab_Tecnologias_TE_RE!$A$2:$W$101,COLUMN(tab_Tecnologias_TE_RE!$W$1),0)</f>
        <v>3</v>
      </c>
    </row>
    <row r="160" spans="1:13">
      <c r="A160" s="95">
        <v>5156</v>
      </c>
      <c r="B160" s="519">
        <v>502</v>
      </c>
      <c r="C160" s="96" t="str">
        <f>VLOOKUP(B160,tab_Tecnologias_TE_RE!$A$1:$B$101,2,0)</f>
        <v>GAS_CS_CAPEX40_ate2030</v>
      </c>
      <c r="D160" s="152" t="s">
        <v>146</v>
      </c>
      <c r="E160" s="17">
        <v>1</v>
      </c>
      <c r="F160" s="125">
        <v>929</v>
      </c>
      <c r="G160" s="97" t="str">
        <f t="shared" si="2"/>
        <v>GAS_CS_CAPEX40_ate2030_1_1_2026</v>
      </c>
      <c r="H160" s="23">
        <v>1</v>
      </c>
      <c r="I160" s="345" t="str">
        <f>VLOOKUP(H160,tab_tipo_expansao!$A$2:$B$4,2,0)</f>
        <v>opcional</v>
      </c>
      <c r="J160" s="59">
        <v>2026</v>
      </c>
      <c r="K160" s="59">
        <v>2027</v>
      </c>
      <c r="L160" s="98">
        <f>F160*VLOOKUP(B160,tab_Tecnologias_TE_RE!$A$2:$C$101,3,0)</f>
        <v>929</v>
      </c>
      <c r="M160" s="96">
        <f>VLOOKUP(B160,tab_Tecnologias_TE_RE!$A$2:$W$101,COLUMN(tab_Tecnologias_TE_RE!$W$1),0)</f>
        <v>3</v>
      </c>
    </row>
    <row r="161" spans="1:13">
      <c r="A161" s="95">
        <v>5157</v>
      </c>
      <c r="B161" s="519">
        <v>501</v>
      </c>
      <c r="C161" s="96" t="str">
        <f>VLOOKUP(B161,tab_Tecnologias_TE_RE!$A$1:$B$101,2,0)</f>
        <v>GAS_CC_CAPEX40_ate2030</v>
      </c>
      <c r="D161" s="152" t="s">
        <v>146</v>
      </c>
      <c r="E161" s="17">
        <v>1</v>
      </c>
      <c r="F161" s="125">
        <v>204</v>
      </c>
      <c r="G161" s="97" t="str">
        <f t="shared" si="2"/>
        <v>GAS_CC_CAPEX40_ate2030_1_1_2026</v>
      </c>
      <c r="H161" s="23">
        <v>1</v>
      </c>
      <c r="I161" s="345" t="str">
        <f>VLOOKUP(H161,tab_tipo_expansao!$A$2:$B$4,2,0)</f>
        <v>opcional</v>
      </c>
      <c r="J161" s="59">
        <v>2026</v>
      </c>
      <c r="K161" s="59">
        <v>2027</v>
      </c>
      <c r="L161" s="98">
        <f>F161*VLOOKUP(B161,tab_Tecnologias_TE_RE!$A$2:$C$101,3,0)</f>
        <v>204</v>
      </c>
      <c r="M161" s="96">
        <f>VLOOKUP(B161,tab_Tecnologias_TE_RE!$A$2:$W$101,COLUMN(tab_Tecnologias_TE_RE!$W$1),0)</f>
        <v>3</v>
      </c>
    </row>
    <row r="162" spans="1:13">
      <c r="A162" s="95">
        <v>5158</v>
      </c>
      <c r="B162" s="519">
        <v>501</v>
      </c>
      <c r="C162" s="96" t="str">
        <f>VLOOKUP(B162,tab_Tecnologias_TE_RE!$A$1:$B$101,2,0)</f>
        <v>GAS_CC_CAPEX40_ate2030</v>
      </c>
      <c r="D162" s="152" t="s">
        <v>154</v>
      </c>
      <c r="E162" s="17">
        <v>4</v>
      </c>
      <c r="F162" s="125">
        <v>178</v>
      </c>
      <c r="G162" s="97" t="str">
        <f t="shared" si="2"/>
        <v>GAS_CC_CAPEX40_ate2030_4_1_2028</v>
      </c>
      <c r="H162" s="23">
        <v>1</v>
      </c>
      <c r="I162" s="345" t="str">
        <f>VLOOKUP(H162,tab_tipo_expansao!$A$2:$B$4,2,0)</f>
        <v>opcional</v>
      </c>
      <c r="J162" s="59">
        <v>2028</v>
      </c>
      <c r="K162" s="59">
        <v>2029</v>
      </c>
      <c r="L162" s="98">
        <f>F162*VLOOKUP(B162,tab_Tecnologias_TE_RE!$A$2:$C$101,3,0)</f>
        <v>178</v>
      </c>
      <c r="M162" s="96">
        <f>VLOOKUP(B162,tab_Tecnologias_TE_RE!$A$2:$W$101,COLUMN(tab_Tecnologias_TE_RE!$W$1),0)</f>
        <v>3</v>
      </c>
    </row>
    <row r="163" spans="1:13">
      <c r="A163" s="95">
        <v>5158</v>
      </c>
      <c r="B163" s="519">
        <v>509</v>
      </c>
      <c r="C163" s="96" t="str">
        <f>VLOOKUP(B163,tab_Tecnologias_TE_RE!$A$1:$B$101,2,0)</f>
        <v>GAS_CC_CAPEX40_6USD</v>
      </c>
      <c r="D163" s="152" t="s">
        <v>154</v>
      </c>
      <c r="E163" s="17">
        <v>4</v>
      </c>
      <c r="F163" s="125">
        <v>732</v>
      </c>
      <c r="G163" s="97" t="str">
        <f t="shared" si="2"/>
        <v>GAS_CC_CAPEX40_6USD_4_1_2031</v>
      </c>
      <c r="H163" s="23">
        <v>1</v>
      </c>
      <c r="I163" s="345" t="str">
        <f>VLOOKUP(H163,tab_tipo_expansao!$A$2:$B$4,2,0)</f>
        <v>opcional</v>
      </c>
      <c r="J163" s="59">
        <v>2031</v>
      </c>
      <c r="K163" s="59">
        <v>2032</v>
      </c>
      <c r="L163" s="98">
        <f>F163*VLOOKUP(B163,tab_Tecnologias_TE_RE!$A$2:$C$101,3,0)</f>
        <v>732</v>
      </c>
      <c r="M163" s="96">
        <f>VLOOKUP(B163,tab_Tecnologias_TE_RE!$A$2:$W$101,COLUMN(tab_Tecnologias_TE_RE!$W$1),0)</f>
        <v>3</v>
      </c>
    </row>
    <row r="164" spans="1:13">
      <c r="A164" s="95">
        <v>5159</v>
      </c>
      <c r="B164" s="519">
        <v>509</v>
      </c>
      <c r="C164" s="96" t="str">
        <f>VLOOKUP(B164,tab_Tecnologias_TE_RE!$A$1:$B$101,2,0)</f>
        <v>GAS_CC_CAPEX40_6USD</v>
      </c>
      <c r="D164" s="152" t="s">
        <v>154</v>
      </c>
      <c r="E164" s="17">
        <v>4</v>
      </c>
      <c r="F164" s="125">
        <v>519</v>
      </c>
      <c r="G164" s="97" t="str">
        <f t="shared" si="2"/>
        <v>GAS_CC_CAPEX40_6USD_4_1_2034</v>
      </c>
      <c r="H164" s="23">
        <v>1</v>
      </c>
      <c r="I164" s="345" t="str">
        <f>VLOOKUP(H164,tab_tipo_expansao!$A$2:$B$4,2,0)</f>
        <v>opcional</v>
      </c>
      <c r="J164" s="59">
        <v>2034</v>
      </c>
      <c r="K164" s="59">
        <v>2035</v>
      </c>
      <c r="L164" s="98">
        <f>F164*VLOOKUP(B164,tab_Tecnologias_TE_RE!$A$2:$C$101,3,0)</f>
        <v>519</v>
      </c>
      <c r="M164" s="96">
        <f>VLOOKUP(B164,tab_Tecnologias_TE_RE!$A$2:$W$101,COLUMN(tab_Tecnologias_TE_RE!$W$1),0)</f>
        <v>3</v>
      </c>
    </row>
    <row r="165" spans="1:13">
      <c r="A165" s="95">
        <v>5159</v>
      </c>
      <c r="B165" s="519">
        <v>509</v>
      </c>
      <c r="C165" s="96" t="str">
        <f>VLOOKUP(B165,tab_Tecnologias_TE_RE!$A$1:$B$101,2,0)</f>
        <v>GAS_CC_CAPEX40_6USD</v>
      </c>
      <c r="D165" s="152" t="s">
        <v>154</v>
      </c>
      <c r="E165" s="17">
        <v>7</v>
      </c>
      <c r="F165" s="125">
        <v>387</v>
      </c>
      <c r="G165" s="97" t="str">
        <f t="shared" si="2"/>
        <v>GAS_CC_CAPEX40_6USD_7_1_2031</v>
      </c>
      <c r="H165" s="23">
        <v>1</v>
      </c>
      <c r="I165" s="345" t="str">
        <f>VLOOKUP(H165,tab_tipo_expansao!$A$2:$B$4,2,0)</f>
        <v>opcional</v>
      </c>
      <c r="J165" s="59">
        <v>2031</v>
      </c>
      <c r="K165" s="59">
        <v>2032</v>
      </c>
      <c r="L165" s="98">
        <f>F165*VLOOKUP(B165,tab_Tecnologias_TE_RE!$A$2:$C$101,3,0)</f>
        <v>387</v>
      </c>
      <c r="M165" s="96">
        <f>VLOOKUP(B165,tab_Tecnologias_TE_RE!$A$2:$W$101,COLUMN(tab_Tecnologias_TE_RE!$W$1),0)</f>
        <v>3</v>
      </c>
    </row>
    <row r="166" spans="1:13">
      <c r="A166" s="95">
        <v>5160</v>
      </c>
      <c r="B166" s="519">
        <v>505</v>
      </c>
      <c r="C166" s="96" t="str">
        <f>VLOOKUP(B166,tab_Tecnologias_TE_RE!$A$1:$B$101,2,0)</f>
        <v>GAS_CC_CAPEX40_pos2030</v>
      </c>
      <c r="D166" s="152" t="s">
        <v>146</v>
      </c>
      <c r="E166" s="17">
        <v>1</v>
      </c>
      <c r="F166" s="125">
        <v>530</v>
      </c>
      <c r="G166" s="97" t="str">
        <f t="shared" si="2"/>
        <v>GAS_CC_CAPEX40_pos2030_1_1_2034</v>
      </c>
      <c r="H166" s="23">
        <v>1</v>
      </c>
      <c r="I166" s="345" t="str">
        <f>VLOOKUP(H166,tab_tipo_expansao!$A$2:$B$4,2,0)</f>
        <v>opcional</v>
      </c>
      <c r="J166" s="59">
        <v>2034</v>
      </c>
      <c r="K166" s="59">
        <v>2035</v>
      </c>
      <c r="L166" s="98">
        <f>F166*VLOOKUP(B166,tab_Tecnologias_TE_RE!$A$2:$C$101,3,0)</f>
        <v>530</v>
      </c>
      <c r="M166" s="96">
        <f>VLOOKUP(B166,tab_Tecnologias_TE_RE!$A$2:$W$101,COLUMN(tab_Tecnologias_TE_RE!$W$1),0)</f>
        <v>3</v>
      </c>
    </row>
    <row r="167" spans="1:13">
      <c r="A167" s="95">
        <v>5160</v>
      </c>
      <c r="B167" s="519">
        <v>505</v>
      </c>
      <c r="C167" s="96" t="str">
        <f>VLOOKUP(B167,tab_Tecnologias_TE_RE!$A$1:$B$101,2,0)</f>
        <v>GAS_CC_CAPEX40_pos2030</v>
      </c>
      <c r="D167" s="152" t="s">
        <v>146</v>
      </c>
      <c r="E167" s="17">
        <v>3</v>
      </c>
      <c r="F167" s="125">
        <v>28</v>
      </c>
      <c r="G167" s="97" t="str">
        <f t="shared" si="2"/>
        <v>GAS_CC_CAPEX40_pos2030_3_1_2039</v>
      </c>
      <c r="H167" s="23">
        <v>1</v>
      </c>
      <c r="I167" s="345" t="str">
        <f>VLOOKUP(H167,tab_tipo_expansao!$A$2:$B$4,2,0)</f>
        <v>opcional</v>
      </c>
      <c r="J167" s="59">
        <v>2039</v>
      </c>
      <c r="K167" s="59">
        <v>2040</v>
      </c>
      <c r="L167" s="98">
        <f>F167*VLOOKUP(B167,tab_Tecnologias_TE_RE!$A$2:$C$101,3,0)</f>
        <v>28</v>
      </c>
      <c r="M167" s="96">
        <f>VLOOKUP(B167,tab_Tecnologias_TE_RE!$A$2:$W$101,COLUMN(tab_Tecnologias_TE_RE!$W$1),0)</f>
        <v>3</v>
      </c>
    </row>
    <row r="168" spans="1:13">
      <c r="A168" s="95">
        <v>5160</v>
      </c>
      <c r="B168" s="519">
        <v>509</v>
      </c>
      <c r="C168" s="96" t="str">
        <f>VLOOKUP(B168,tab_Tecnologias_TE_RE!$A$1:$B$101,2,0)</f>
        <v>GAS_CC_CAPEX40_6USD</v>
      </c>
      <c r="D168" s="152" t="s">
        <v>154</v>
      </c>
      <c r="E168" s="17">
        <v>4</v>
      </c>
      <c r="F168" s="125">
        <v>6</v>
      </c>
      <c r="G168" s="97" t="str">
        <f t="shared" si="2"/>
        <v>GAS_CC_CAPEX40_6USD_4_1_2041</v>
      </c>
      <c r="H168" s="23">
        <v>1</v>
      </c>
      <c r="I168" s="345" t="str">
        <f>VLOOKUP(H168,tab_tipo_expansao!$A$2:$B$4,2,0)</f>
        <v>opcional</v>
      </c>
      <c r="J168" s="59">
        <v>2041</v>
      </c>
      <c r="K168" s="59">
        <v>2042</v>
      </c>
      <c r="L168" s="98">
        <f>F168*VLOOKUP(B168,tab_Tecnologias_TE_RE!$A$2:$C$101,3,0)</f>
        <v>6</v>
      </c>
      <c r="M168" s="96">
        <f>VLOOKUP(B168,tab_Tecnologias_TE_RE!$A$2:$W$101,COLUMN(tab_Tecnologias_TE_RE!$W$1),0)</f>
        <v>3</v>
      </c>
    </row>
    <row r="169" spans="1:13">
      <c r="A169" s="95">
        <v>5160</v>
      </c>
      <c r="B169" s="519">
        <v>509</v>
      </c>
      <c r="C169" s="96" t="str">
        <f>VLOOKUP(B169,tab_Tecnologias_TE_RE!$A$1:$B$101,2,0)</f>
        <v>GAS_CC_CAPEX40_6USD</v>
      </c>
      <c r="D169" s="152" t="s">
        <v>157</v>
      </c>
      <c r="E169" s="17">
        <v>7</v>
      </c>
      <c r="F169" s="125">
        <v>591</v>
      </c>
      <c r="G169" s="97" t="str">
        <f t="shared" si="2"/>
        <v>GAS_CC_CAPEX40_6USD_7_1_2037</v>
      </c>
      <c r="H169" s="23">
        <v>1</v>
      </c>
      <c r="I169" s="345" t="str">
        <f>VLOOKUP(H169,tab_tipo_expansao!$A$2:$B$4,2,0)</f>
        <v>opcional</v>
      </c>
      <c r="J169" s="59">
        <v>2037</v>
      </c>
      <c r="K169" s="59">
        <v>2038</v>
      </c>
      <c r="L169" s="98">
        <f>F169*VLOOKUP(B169,tab_Tecnologias_TE_RE!$A$2:$C$101,3,0)</f>
        <v>591</v>
      </c>
      <c r="M169" s="96">
        <f>VLOOKUP(B169,tab_Tecnologias_TE_RE!$A$2:$W$101,COLUMN(tab_Tecnologias_TE_RE!$W$1),0)</f>
        <v>3</v>
      </c>
    </row>
    <row r="170" spans="1:13">
      <c r="A170" s="95">
        <v>5160</v>
      </c>
      <c r="B170" s="519">
        <v>505</v>
      </c>
      <c r="C170" s="96" t="str">
        <f>VLOOKUP(B170,tab_Tecnologias_TE_RE!$A$1:$B$101,2,0)</f>
        <v>GAS_CC_CAPEX40_pos2030</v>
      </c>
      <c r="D170" s="152" t="s">
        <v>146</v>
      </c>
      <c r="E170" s="17">
        <v>3</v>
      </c>
      <c r="F170" s="125">
        <v>1208</v>
      </c>
      <c r="G170" s="97" t="str">
        <f t="shared" si="2"/>
        <v>GAS_CC_CAPEX40_pos2030_3_1_2041</v>
      </c>
      <c r="H170" s="23">
        <v>1</v>
      </c>
      <c r="I170" s="345" t="str">
        <f>VLOOKUP(H170,tab_tipo_expansao!$A$2:$B$4,2,0)</f>
        <v>opcional</v>
      </c>
      <c r="J170" s="59">
        <v>2041</v>
      </c>
      <c r="K170" s="59">
        <v>2042</v>
      </c>
      <c r="L170" s="98">
        <f>F170*VLOOKUP(B170,tab_Tecnologias_TE_RE!$A$2:$C$101,3,0)</f>
        <v>1208</v>
      </c>
      <c r="M170" s="96">
        <f>VLOOKUP(B170,tab_Tecnologias_TE_RE!$A$2:$W$101,COLUMN(tab_Tecnologias_TE_RE!$W$1),0)</f>
        <v>3</v>
      </c>
    </row>
    <row r="171" spans="1:13">
      <c r="A171" s="95">
        <v>5160</v>
      </c>
      <c r="B171" s="519">
        <v>509</v>
      </c>
      <c r="C171" s="96" t="str">
        <f>VLOOKUP(B171,tab_Tecnologias_TE_RE!$A$1:$B$101,2,0)</f>
        <v>GAS_CC_CAPEX40_6USD</v>
      </c>
      <c r="D171" s="152" t="s">
        <v>154</v>
      </c>
      <c r="E171" s="17">
        <v>4</v>
      </c>
      <c r="F171" s="125">
        <v>363</v>
      </c>
      <c r="G171" s="97" t="str">
        <f t="shared" si="2"/>
        <v>GAS_CC_CAPEX40_6USD_4_1_2045</v>
      </c>
      <c r="H171" s="23">
        <v>1</v>
      </c>
      <c r="I171" s="345" t="str">
        <f>VLOOKUP(H171,tab_tipo_expansao!$A$2:$B$4,2,0)</f>
        <v>opcional</v>
      </c>
      <c r="J171" s="59">
        <v>2045</v>
      </c>
      <c r="K171" s="59">
        <v>2046</v>
      </c>
      <c r="L171" s="98">
        <f>F171*VLOOKUP(B171,tab_Tecnologias_TE_RE!$A$2:$C$101,3,0)</f>
        <v>363</v>
      </c>
      <c r="M171" s="96">
        <f>VLOOKUP(B171,tab_Tecnologias_TE_RE!$A$2:$W$101,COLUMN(tab_Tecnologias_TE_RE!$W$1),0)</f>
        <v>3</v>
      </c>
    </row>
    <row r="172" spans="1:13">
      <c r="A172" s="95">
        <v>5161</v>
      </c>
      <c r="B172" s="519">
        <v>504</v>
      </c>
      <c r="C172" s="96" t="str">
        <f>VLOOKUP(B172,tab_Tecnologias_TE_RE!$A$1:$B$101,2,0)</f>
        <v>CANA_condensação_CAPEX40</v>
      </c>
      <c r="D172" s="152" t="s">
        <v>146</v>
      </c>
      <c r="E172" s="17">
        <v>1</v>
      </c>
      <c r="F172" s="125">
        <v>7856</v>
      </c>
      <c r="G172" s="97" t="str">
        <f t="shared" si="2"/>
        <v>CANA_condensação_CAPEX40_1_1_2024</v>
      </c>
      <c r="H172" s="23">
        <v>1</v>
      </c>
      <c r="I172" s="345" t="str">
        <f>VLOOKUP(H172,tab_tipo_expansao!$A$2:$B$4,2,0)</f>
        <v>opcional</v>
      </c>
      <c r="J172" s="59">
        <v>2024</v>
      </c>
      <c r="K172" s="59">
        <v>2024</v>
      </c>
      <c r="L172" s="98">
        <f>F172*VLOOKUP(B172,tab_Tecnologias_TE_RE!$A$2:$C$101,3,0)</f>
        <v>7856</v>
      </c>
      <c r="M172" s="96">
        <f>VLOOKUP(B172,tab_Tecnologias_TE_RE!$A$2:$W$101,COLUMN(tab_Tecnologias_TE_RE!$W$1),0)</f>
        <v>7</v>
      </c>
    </row>
    <row r="173" spans="1:13">
      <c r="A173" s="95">
        <v>5162</v>
      </c>
      <c r="B173" s="519">
        <v>504</v>
      </c>
      <c r="C173" s="96" t="str">
        <f>VLOOKUP(B173,tab_Tecnologias_TE_RE!$A$1:$B$101,2,0)</f>
        <v>CANA_condensação_CAPEX40</v>
      </c>
      <c r="D173" s="152" t="s">
        <v>146</v>
      </c>
      <c r="E173" s="17">
        <v>1</v>
      </c>
      <c r="F173" s="125">
        <v>3936</v>
      </c>
      <c r="G173" s="97" t="str">
        <f t="shared" si="2"/>
        <v>CANA_condensação_CAPEX40_1_1_2031</v>
      </c>
      <c r="H173" s="23">
        <v>1</v>
      </c>
      <c r="I173" s="345" t="str">
        <f>VLOOKUP(H173,tab_tipo_expansao!$A$2:$B$4,2,0)</f>
        <v>opcional</v>
      </c>
      <c r="J173" s="59">
        <v>2031</v>
      </c>
      <c r="K173" s="59">
        <v>2031</v>
      </c>
      <c r="L173" s="98">
        <f>F173*VLOOKUP(B173,tab_Tecnologias_TE_RE!$A$2:$C$101,3,0)</f>
        <v>3936</v>
      </c>
      <c r="M173" s="96">
        <f>VLOOKUP(B173,tab_Tecnologias_TE_RE!$A$2:$W$101,COLUMN(tab_Tecnologias_TE_RE!$W$1),0)</f>
        <v>7</v>
      </c>
    </row>
    <row r="174" spans="1:13">
      <c r="A174" s="95">
        <v>5163</v>
      </c>
      <c r="B174" s="519">
        <v>504</v>
      </c>
      <c r="C174" s="96" t="str">
        <f>VLOOKUP(B174,tab_Tecnologias_TE_RE!$A$1:$B$101,2,0)</f>
        <v>CANA_condensação_CAPEX40</v>
      </c>
      <c r="D174" s="152" t="s">
        <v>146</v>
      </c>
      <c r="E174" s="17">
        <v>1</v>
      </c>
      <c r="F174" s="125">
        <v>1217</v>
      </c>
      <c r="G174" s="97" t="str">
        <f t="shared" si="2"/>
        <v>CANA_condensação_CAPEX40_1_1_2036</v>
      </c>
      <c r="H174" s="23">
        <v>1</v>
      </c>
      <c r="I174" s="345" t="str">
        <f>VLOOKUP(H174,tab_tipo_expansao!$A$2:$B$4,2,0)</f>
        <v>opcional</v>
      </c>
      <c r="J174" s="59">
        <v>2036</v>
      </c>
      <c r="K174" s="59">
        <v>2036</v>
      </c>
      <c r="L174" s="98">
        <f>F174*VLOOKUP(B174,tab_Tecnologias_TE_RE!$A$2:$C$101,3,0)</f>
        <v>1217</v>
      </c>
      <c r="M174" s="96">
        <f>VLOOKUP(B174,tab_Tecnologias_TE_RE!$A$2:$W$101,COLUMN(tab_Tecnologias_TE_RE!$W$1),0)</f>
        <v>7</v>
      </c>
    </row>
    <row r="175" spans="1:13">
      <c r="A175" s="95">
        <v>5164</v>
      </c>
      <c r="B175" s="519">
        <v>504</v>
      </c>
      <c r="C175" s="96" t="str">
        <f>VLOOKUP(B175,tab_Tecnologias_TE_RE!$A$1:$B$101,2,0)</f>
        <v>CANA_condensação_CAPEX40</v>
      </c>
      <c r="D175" s="152" t="s">
        <v>146</v>
      </c>
      <c r="E175" s="17">
        <v>1</v>
      </c>
      <c r="F175" s="125">
        <v>386</v>
      </c>
      <c r="G175" s="97" t="str">
        <f t="shared" si="2"/>
        <v>CANA_condensação_CAPEX40_1_1_2046</v>
      </c>
      <c r="H175" s="23">
        <v>1</v>
      </c>
      <c r="I175" s="345" t="str">
        <f>VLOOKUP(H175,tab_tipo_expansao!$A$2:$B$4,2,0)</f>
        <v>opcional</v>
      </c>
      <c r="J175" s="59">
        <v>2046</v>
      </c>
      <c r="K175" s="59">
        <v>2046</v>
      </c>
      <c r="L175" s="98">
        <f>F175*VLOOKUP(B175,tab_Tecnologias_TE_RE!$A$2:$C$101,3,0)</f>
        <v>386</v>
      </c>
      <c r="M175" s="96">
        <f>VLOOKUP(B175,tab_Tecnologias_TE_RE!$A$2:$W$101,COLUMN(tab_Tecnologias_TE_RE!$W$1),0)</f>
        <v>7</v>
      </c>
    </row>
    <row r="176" spans="1:13">
      <c r="A176" s="95">
        <v>5165</v>
      </c>
      <c r="B176" s="519">
        <v>503</v>
      </c>
      <c r="C176" s="96" t="str">
        <f>VLOOKUP(B176,tab_Tecnologias_TE_RE!$A$1:$B$101,2,0)</f>
        <v>CARVÃO NAC_CAPEX40</v>
      </c>
      <c r="D176" s="152" t="s">
        <v>146</v>
      </c>
      <c r="E176" s="17">
        <v>2</v>
      </c>
      <c r="F176" s="125">
        <v>1262</v>
      </c>
      <c r="G176" s="97" t="str">
        <f t="shared" si="2"/>
        <v>CARVÃO NAC_CAPEX40_2_3_2029</v>
      </c>
      <c r="H176" s="23">
        <v>3</v>
      </c>
      <c r="I176" s="345" t="str">
        <f>VLOOKUP(H176,tab_tipo_expansao!$A$2:$B$4,2,0)</f>
        <v>não_considerar</v>
      </c>
      <c r="J176" s="59">
        <v>2029</v>
      </c>
      <c r="K176" s="59">
        <v>2030</v>
      </c>
      <c r="L176" s="98">
        <f>F176*VLOOKUP(B176,tab_Tecnologias_TE_RE!$A$2:$C$101,3,0)</f>
        <v>1262</v>
      </c>
      <c r="M176" s="96">
        <f>VLOOKUP(B176,tab_Tecnologias_TE_RE!$A$2:$W$101,COLUMN(tab_Tecnologias_TE_RE!$W$1),0)</f>
        <v>4</v>
      </c>
    </row>
    <row r="177" spans="1:13">
      <c r="A177" s="95">
        <v>5166</v>
      </c>
      <c r="B177" s="519">
        <v>503</v>
      </c>
      <c r="C177" s="96" t="str">
        <f>VLOOKUP(B177,tab_Tecnologias_TE_RE!$A$1:$B$101,2,0)</f>
        <v>CARVÃO NAC_CAPEX40</v>
      </c>
      <c r="D177" s="152" t="s">
        <v>146</v>
      </c>
      <c r="E177" s="17">
        <v>2</v>
      </c>
      <c r="F177" s="125">
        <v>466</v>
      </c>
      <c r="G177" s="97" t="str">
        <f t="shared" si="2"/>
        <v>CARVÃO NAC_CAPEX40_2_3_2031</v>
      </c>
      <c r="H177" s="23">
        <v>3</v>
      </c>
      <c r="I177" s="345" t="str">
        <f>VLOOKUP(H177,tab_tipo_expansao!$A$2:$B$4,2,0)</f>
        <v>não_considerar</v>
      </c>
      <c r="J177" s="59">
        <v>2031</v>
      </c>
      <c r="K177" s="59">
        <v>2032</v>
      </c>
      <c r="L177" s="98">
        <f>F177*VLOOKUP(B177,tab_Tecnologias_TE_RE!$A$2:$C$101,3,0)</f>
        <v>466</v>
      </c>
      <c r="M177" s="96">
        <f>VLOOKUP(B177,tab_Tecnologias_TE_RE!$A$2:$W$101,COLUMN(tab_Tecnologias_TE_RE!$W$1),0)</f>
        <v>4</v>
      </c>
    </row>
    <row r="178" spans="1:13">
      <c r="A178" s="95">
        <v>5166</v>
      </c>
      <c r="B178" s="519">
        <v>503</v>
      </c>
      <c r="C178" s="96" t="str">
        <f>VLOOKUP(B178,tab_Tecnologias_TE_RE!$A$1:$B$101,2,0)</f>
        <v>CARVÃO NAC_CAPEX40</v>
      </c>
      <c r="D178" s="152" t="s">
        <v>146</v>
      </c>
      <c r="E178" s="17">
        <v>2</v>
      </c>
      <c r="F178" s="125">
        <v>340</v>
      </c>
      <c r="G178" s="97" t="str">
        <f t="shared" si="2"/>
        <v>CARVÃO NAC_CAPEX40_2_3_2045</v>
      </c>
      <c r="H178" s="23">
        <v>3</v>
      </c>
      <c r="I178" s="345" t="str">
        <f>VLOOKUP(H178,tab_tipo_expansao!$A$2:$B$4,2,0)</f>
        <v>não_considerar</v>
      </c>
      <c r="J178" s="59">
        <v>2045</v>
      </c>
      <c r="K178" s="59">
        <v>2046</v>
      </c>
      <c r="L178" s="98">
        <f>F178*VLOOKUP(B178,tab_Tecnologias_TE_RE!$A$2:$C$101,3,0)</f>
        <v>340</v>
      </c>
      <c r="M178" s="96">
        <f>VLOOKUP(B178,tab_Tecnologias_TE_RE!$A$2:$W$101,COLUMN(tab_Tecnologias_TE_RE!$W$1),0)</f>
        <v>4</v>
      </c>
    </row>
    <row r="179" spans="1:13">
      <c r="A179" s="95">
        <v>5167</v>
      </c>
      <c r="B179" s="519">
        <v>507</v>
      </c>
      <c r="C179" s="96" t="str">
        <f>VLOOKUP(B179,tab_Tecnologias_TE_RE!$A$1:$B$101,2,0)</f>
        <v>CARVÃO IMP_CAPEX40</v>
      </c>
      <c r="D179" s="152" t="s">
        <v>146</v>
      </c>
      <c r="E179" s="17">
        <v>4</v>
      </c>
      <c r="F179" s="125">
        <v>360</v>
      </c>
      <c r="G179" s="97" t="str">
        <f t="shared" si="2"/>
        <v>CARVÃO IMP_CAPEX40_4_3_2031</v>
      </c>
      <c r="H179" s="23">
        <v>3</v>
      </c>
      <c r="I179" s="345" t="str">
        <f>VLOOKUP(H179,tab_tipo_expansao!$A$2:$B$4,2,0)</f>
        <v>não_considerar</v>
      </c>
      <c r="J179" s="59">
        <v>2031</v>
      </c>
      <c r="K179" s="59">
        <v>2032</v>
      </c>
      <c r="L179" s="98">
        <f>F179*VLOOKUP(B179,tab_Tecnologias_TE_RE!$A$2:$C$101,3,0)</f>
        <v>360</v>
      </c>
      <c r="M179" s="96">
        <f>VLOOKUP(B179,tab_Tecnologias_TE_RE!$A$2:$W$101,COLUMN(tab_Tecnologias_TE_RE!$W$1),0)</f>
        <v>4</v>
      </c>
    </row>
    <row r="180" spans="1:13">
      <c r="A180" s="95">
        <v>5168</v>
      </c>
      <c r="B180" s="519">
        <v>507</v>
      </c>
      <c r="C180" s="96" t="str">
        <f>VLOOKUP(B180,tab_Tecnologias_TE_RE!$A$1:$B$101,2,0)</f>
        <v>CARVÃO IMP_CAPEX40</v>
      </c>
      <c r="D180" s="152" t="s">
        <v>146</v>
      </c>
      <c r="E180" s="17">
        <v>3</v>
      </c>
      <c r="F180" s="125">
        <v>1085</v>
      </c>
      <c r="G180" s="97" t="str">
        <f t="shared" si="2"/>
        <v>CARVÃO IMP_CAPEX40_3_3_2031</v>
      </c>
      <c r="H180" s="23">
        <v>3</v>
      </c>
      <c r="I180" s="345" t="str">
        <f>VLOOKUP(H180,tab_tipo_expansao!$A$2:$B$4,2,0)</f>
        <v>não_considerar</v>
      </c>
      <c r="J180" s="59">
        <v>2031</v>
      </c>
      <c r="K180" s="59">
        <v>2032</v>
      </c>
      <c r="L180" s="98">
        <f>F180*VLOOKUP(B180,tab_Tecnologias_TE_RE!$A$2:$C$101,3,0)</f>
        <v>1085</v>
      </c>
      <c r="M180" s="96">
        <f>VLOOKUP(B180,tab_Tecnologias_TE_RE!$A$2:$W$101,COLUMN(tab_Tecnologias_TE_RE!$W$1),0)</f>
        <v>4</v>
      </c>
    </row>
    <row r="181" spans="1:13">
      <c r="A181" s="95">
        <v>5169</v>
      </c>
      <c r="B181" s="519">
        <v>308</v>
      </c>
      <c r="C181" s="96" t="str">
        <f>VLOOKUP(B181,tab_Tecnologias_TE_RE!$A$1:$B$101,2,0)</f>
        <v>GAS_CC_flexível_pos2040</v>
      </c>
      <c r="D181" s="152" t="s">
        <v>146</v>
      </c>
      <c r="E181" s="17">
        <v>3</v>
      </c>
      <c r="F181" s="125">
        <v>190</v>
      </c>
      <c r="G181" s="97" t="str">
        <f t="shared" si="2"/>
        <v>GAS_CC_flexível_pos2040_3_1_2041</v>
      </c>
      <c r="H181" s="23">
        <v>1</v>
      </c>
      <c r="I181" s="345" t="str">
        <f>VLOOKUP(H181,tab_tipo_expansao!$A$2:$B$4,2,0)</f>
        <v>opcional</v>
      </c>
      <c r="J181" s="59">
        <v>2041</v>
      </c>
      <c r="K181" s="59">
        <v>2050</v>
      </c>
      <c r="L181" s="98">
        <f>F181*VLOOKUP(B181,tab_Tecnologias_TE_RE!$A$2:$C$101,3,0)</f>
        <v>190</v>
      </c>
      <c r="M181" s="96">
        <f>VLOOKUP(B181,tab_Tecnologias_TE_RE!$A$2:$W$101,COLUMN(tab_Tecnologias_TE_RE!$W$1),0)</f>
        <v>3</v>
      </c>
    </row>
    <row r="182" spans="1:13">
      <c r="A182" s="95">
        <v>5170</v>
      </c>
      <c r="B182" s="86">
        <v>308</v>
      </c>
      <c r="C182" s="96" t="str">
        <f>VLOOKUP(B182,tab_Tecnologias_TE_RE!$A$1:$B$101,2,0)</f>
        <v>GAS_CC_flexível_pos2040</v>
      </c>
      <c r="D182" s="152" t="s">
        <v>146</v>
      </c>
      <c r="E182" s="17">
        <v>3</v>
      </c>
      <c r="F182" s="125">
        <v>190</v>
      </c>
      <c r="G182" s="97" t="str">
        <f t="shared" si="2"/>
        <v>GAS_CC_flexível_pos2040_3_1_2042</v>
      </c>
      <c r="H182" s="23">
        <v>1</v>
      </c>
      <c r="I182" s="345" t="str">
        <f>VLOOKUP(H182,tab_tipo_expansao!$A$2:$B$4,2,0)</f>
        <v>opcional</v>
      </c>
      <c r="J182" s="59">
        <v>2042</v>
      </c>
      <c r="K182" s="59">
        <v>2050</v>
      </c>
      <c r="L182" s="98">
        <f>F182*VLOOKUP(B182,tab_Tecnologias_TE_RE!$A$2:$C$101,3,0)</f>
        <v>190</v>
      </c>
      <c r="M182" s="96">
        <f>VLOOKUP(B182,tab_Tecnologias_TE_RE!$A$2:$W$101,COLUMN(tab_Tecnologias_TE_RE!$W$1),0)</f>
        <v>3</v>
      </c>
    </row>
    <row r="183" spans="1:13">
      <c r="A183" s="95">
        <v>5171</v>
      </c>
      <c r="B183" s="86">
        <v>308</v>
      </c>
      <c r="C183" s="96" t="str">
        <f>VLOOKUP(B183,tab_Tecnologias_TE_RE!$A$1:$B$101,2,0)</f>
        <v>GAS_CC_flexível_pos2040</v>
      </c>
      <c r="D183" s="152" t="s">
        <v>146</v>
      </c>
      <c r="E183" s="17">
        <v>3</v>
      </c>
      <c r="F183" s="125">
        <v>190</v>
      </c>
      <c r="G183" s="97" t="str">
        <f t="shared" si="2"/>
        <v>GAS_CC_flexível_pos2040_3_1_2043</v>
      </c>
      <c r="H183" s="23">
        <v>1</v>
      </c>
      <c r="I183" s="345" t="str">
        <f>VLOOKUP(H183,tab_tipo_expansao!$A$2:$B$4,2,0)</f>
        <v>opcional</v>
      </c>
      <c r="J183" s="59">
        <v>2043</v>
      </c>
      <c r="K183" s="59">
        <v>2050</v>
      </c>
      <c r="L183" s="98">
        <f>F183*VLOOKUP(B183,tab_Tecnologias_TE_RE!$A$2:$C$101,3,0)</f>
        <v>190</v>
      </c>
      <c r="M183" s="96">
        <f>VLOOKUP(B183,tab_Tecnologias_TE_RE!$A$2:$W$101,COLUMN(tab_Tecnologias_TE_RE!$W$1),0)</f>
        <v>3</v>
      </c>
    </row>
    <row r="184" spans="1:13">
      <c r="A184" s="95">
        <v>5172</v>
      </c>
      <c r="B184" s="86">
        <v>308</v>
      </c>
      <c r="C184" s="96" t="str">
        <f>VLOOKUP(B184,tab_Tecnologias_TE_RE!$A$1:$B$101,2,0)</f>
        <v>GAS_CC_flexível_pos2040</v>
      </c>
      <c r="D184" s="152" t="s">
        <v>146</v>
      </c>
      <c r="E184" s="17">
        <v>3</v>
      </c>
      <c r="F184" s="125">
        <v>190</v>
      </c>
      <c r="G184" s="97" t="str">
        <f t="shared" si="2"/>
        <v>GAS_CC_flexível_pos2040_3_1_2044</v>
      </c>
      <c r="H184" s="23">
        <v>1</v>
      </c>
      <c r="I184" s="345" t="str">
        <f>VLOOKUP(H184,tab_tipo_expansao!$A$2:$B$4,2,0)</f>
        <v>opcional</v>
      </c>
      <c r="J184" s="59">
        <v>2044</v>
      </c>
      <c r="K184" s="59">
        <v>2050</v>
      </c>
      <c r="L184" s="98">
        <f>F184*VLOOKUP(B184,tab_Tecnologias_TE_RE!$A$2:$C$101,3,0)</f>
        <v>190</v>
      </c>
      <c r="M184" s="96">
        <f>VLOOKUP(B184,tab_Tecnologias_TE_RE!$A$2:$W$101,COLUMN(tab_Tecnologias_TE_RE!$W$1),0)</f>
        <v>3</v>
      </c>
    </row>
    <row r="185" spans="1:13">
      <c r="A185" s="95">
        <v>5173</v>
      </c>
      <c r="B185" s="86">
        <v>308</v>
      </c>
      <c r="C185" s="96" t="str">
        <f>VLOOKUP(B185,tab_Tecnologias_TE_RE!$A$1:$B$101,2,0)</f>
        <v>GAS_CC_flexível_pos2040</v>
      </c>
      <c r="D185" s="152" t="s">
        <v>146</v>
      </c>
      <c r="E185" s="17">
        <v>3</v>
      </c>
      <c r="F185" s="125">
        <v>190</v>
      </c>
      <c r="G185" s="97" t="str">
        <f t="shared" si="2"/>
        <v>GAS_CC_flexível_pos2040_3_1_2045</v>
      </c>
      <c r="H185" s="23">
        <v>1</v>
      </c>
      <c r="I185" s="345" t="str">
        <f>VLOOKUP(H185,tab_tipo_expansao!$A$2:$B$4,2,0)</f>
        <v>opcional</v>
      </c>
      <c r="J185" s="59">
        <v>2045</v>
      </c>
      <c r="K185" s="59">
        <v>2050</v>
      </c>
      <c r="L185" s="98">
        <f>F185*VLOOKUP(B185,tab_Tecnologias_TE_RE!$A$2:$C$101,3,0)</f>
        <v>190</v>
      </c>
      <c r="M185" s="96">
        <f>VLOOKUP(B185,tab_Tecnologias_TE_RE!$A$2:$W$101,COLUMN(tab_Tecnologias_TE_RE!$W$1),0)</f>
        <v>3</v>
      </c>
    </row>
    <row r="186" spans="1:13">
      <c r="A186" s="95">
        <v>5174</v>
      </c>
      <c r="B186" s="86">
        <v>308</v>
      </c>
      <c r="C186" s="96" t="str">
        <f>VLOOKUP(B186,tab_Tecnologias_TE_RE!$A$1:$B$101,2,0)</f>
        <v>GAS_CC_flexível_pos2040</v>
      </c>
      <c r="D186" s="152" t="s">
        <v>146</v>
      </c>
      <c r="E186" s="17">
        <v>3</v>
      </c>
      <c r="F186" s="125">
        <v>190</v>
      </c>
      <c r="G186" s="97" t="str">
        <f t="shared" si="2"/>
        <v>GAS_CC_flexível_pos2040_3_1_2046</v>
      </c>
      <c r="H186" s="23">
        <v>1</v>
      </c>
      <c r="I186" s="345" t="str">
        <f>VLOOKUP(H186,tab_tipo_expansao!$A$2:$B$4,2,0)</f>
        <v>opcional</v>
      </c>
      <c r="J186" s="59">
        <v>2046</v>
      </c>
      <c r="K186" s="59">
        <v>2050</v>
      </c>
      <c r="L186" s="98">
        <f>F186*VLOOKUP(B186,tab_Tecnologias_TE_RE!$A$2:$C$101,3,0)</f>
        <v>190</v>
      </c>
      <c r="M186" s="96">
        <f>VLOOKUP(B186,tab_Tecnologias_TE_RE!$A$2:$W$101,COLUMN(tab_Tecnologias_TE_RE!$W$1),0)</f>
        <v>3</v>
      </c>
    </row>
    <row r="187" spans="1:13">
      <c r="A187" s="95">
        <v>5175</v>
      </c>
      <c r="B187" s="86">
        <v>308</v>
      </c>
      <c r="C187" s="96" t="str">
        <f>VLOOKUP(B187,tab_Tecnologias_TE_RE!$A$1:$B$101,2,0)</f>
        <v>GAS_CC_flexível_pos2040</v>
      </c>
      <c r="D187" s="152" t="s">
        <v>146</v>
      </c>
      <c r="E187" s="17">
        <v>3</v>
      </c>
      <c r="F187" s="125">
        <v>190</v>
      </c>
      <c r="G187" s="97" t="str">
        <f t="shared" si="2"/>
        <v>GAS_CC_flexível_pos2040_3_1_2047</v>
      </c>
      <c r="H187" s="23">
        <v>1</v>
      </c>
      <c r="I187" s="345" t="str">
        <f>VLOOKUP(H187,tab_tipo_expansao!$A$2:$B$4,2,0)</f>
        <v>opcional</v>
      </c>
      <c r="J187" s="59">
        <v>2047</v>
      </c>
      <c r="K187" s="59">
        <v>2050</v>
      </c>
      <c r="L187" s="98">
        <f>F187*VLOOKUP(B187,tab_Tecnologias_TE_RE!$A$2:$C$101,3,0)</f>
        <v>190</v>
      </c>
      <c r="M187" s="96">
        <f>VLOOKUP(B187,tab_Tecnologias_TE_RE!$A$2:$W$101,COLUMN(tab_Tecnologias_TE_RE!$W$1),0)</f>
        <v>3</v>
      </c>
    </row>
    <row r="188" spans="1:13">
      <c r="A188" s="95">
        <v>5176</v>
      </c>
      <c r="B188" s="86">
        <v>308</v>
      </c>
      <c r="C188" s="96" t="str">
        <f>VLOOKUP(B188,tab_Tecnologias_TE_RE!$A$1:$B$101,2,0)</f>
        <v>GAS_CC_flexível_pos2040</v>
      </c>
      <c r="D188" s="152" t="s">
        <v>146</v>
      </c>
      <c r="E188" s="17">
        <v>3</v>
      </c>
      <c r="F188" s="125">
        <v>190</v>
      </c>
      <c r="G188" s="97" t="str">
        <f t="shared" si="2"/>
        <v>GAS_CC_flexível_pos2040_3_1_2048</v>
      </c>
      <c r="H188" s="23">
        <v>1</v>
      </c>
      <c r="I188" s="345" t="str">
        <f>VLOOKUP(H188,tab_tipo_expansao!$A$2:$B$4,2,0)</f>
        <v>opcional</v>
      </c>
      <c r="J188" s="59">
        <v>2048</v>
      </c>
      <c r="K188" s="59">
        <v>2050</v>
      </c>
      <c r="L188" s="98">
        <f>F188*VLOOKUP(B188,tab_Tecnologias_TE_RE!$A$2:$C$101,3,0)</f>
        <v>190</v>
      </c>
      <c r="M188" s="96">
        <f>VLOOKUP(B188,tab_Tecnologias_TE_RE!$A$2:$W$101,COLUMN(tab_Tecnologias_TE_RE!$W$1),0)</f>
        <v>3</v>
      </c>
    </row>
    <row r="189" spans="1:13">
      <c r="A189" s="95">
        <v>5177</v>
      </c>
      <c r="B189" s="86">
        <v>308</v>
      </c>
      <c r="C189" s="96" t="str">
        <f>VLOOKUP(B189,tab_Tecnologias_TE_RE!$A$1:$B$101,2,0)</f>
        <v>GAS_CC_flexível_pos2040</v>
      </c>
      <c r="D189" s="152" t="s">
        <v>146</v>
      </c>
      <c r="E189" s="17">
        <v>3</v>
      </c>
      <c r="F189" s="125">
        <v>190</v>
      </c>
      <c r="G189" s="97" t="str">
        <f t="shared" si="2"/>
        <v>GAS_CC_flexível_pos2040_3_1_2049</v>
      </c>
      <c r="H189" s="23">
        <v>1</v>
      </c>
      <c r="I189" s="345" t="str">
        <f>VLOOKUP(H189,tab_tipo_expansao!$A$2:$B$4,2,0)</f>
        <v>opcional</v>
      </c>
      <c r="J189" s="59">
        <v>2049</v>
      </c>
      <c r="K189" s="59">
        <v>2050</v>
      </c>
      <c r="L189" s="98">
        <f>F189*VLOOKUP(B189,tab_Tecnologias_TE_RE!$A$2:$C$101,3,0)</f>
        <v>190</v>
      </c>
      <c r="M189" s="96">
        <f>VLOOKUP(B189,tab_Tecnologias_TE_RE!$A$2:$W$101,COLUMN(tab_Tecnologias_TE_RE!$W$1),0)</f>
        <v>3</v>
      </c>
    </row>
    <row r="190" spans="1:13">
      <c r="A190" s="95">
        <v>5178</v>
      </c>
      <c r="B190" s="86">
        <v>308</v>
      </c>
      <c r="C190" s="96" t="str">
        <f>VLOOKUP(B190,tab_Tecnologias_TE_RE!$A$1:$B$101,2,0)</f>
        <v>GAS_CC_flexível_pos2040</v>
      </c>
      <c r="D190" s="152" t="s">
        <v>146</v>
      </c>
      <c r="E190" s="17">
        <v>3</v>
      </c>
      <c r="F190" s="125">
        <v>190</v>
      </c>
      <c r="G190" s="97" t="str">
        <f t="shared" si="2"/>
        <v>GAS_CC_flexível_pos2040_3_1_2050</v>
      </c>
      <c r="H190" s="23">
        <v>1</v>
      </c>
      <c r="I190" s="345" t="str">
        <f>VLOOKUP(H190,tab_tipo_expansao!$A$2:$B$4,2,0)</f>
        <v>opcional</v>
      </c>
      <c r="J190" s="59">
        <v>2050</v>
      </c>
      <c r="K190" s="59">
        <v>2050</v>
      </c>
      <c r="L190" s="98">
        <f>F190*VLOOKUP(B190,tab_Tecnologias_TE_RE!$A$2:$C$101,3,0)</f>
        <v>190</v>
      </c>
      <c r="M190" s="96">
        <f>VLOOKUP(B190,tab_Tecnologias_TE_RE!$A$2:$W$101,COLUMN(tab_Tecnologias_TE_RE!$W$1),0)</f>
        <v>3</v>
      </c>
    </row>
    <row r="191" spans="1:13">
      <c r="A191" s="95">
        <v>5169</v>
      </c>
      <c r="B191" s="86">
        <v>509</v>
      </c>
      <c r="C191" s="96" t="str">
        <f>VLOOKUP(B191,tab_Tecnologias_TE_RE!$A$1:$B$101,2,0)</f>
        <v>GAS_CC_CAPEX40_6USD</v>
      </c>
      <c r="D191" s="152" t="s">
        <v>146</v>
      </c>
      <c r="E191" s="17">
        <v>2</v>
      </c>
      <c r="F191" s="125">
        <v>200</v>
      </c>
      <c r="G191" s="97" t="str">
        <f t="shared" si="2"/>
        <v>GAS_CC_CAPEX40_6USD_2_1_2041</v>
      </c>
      <c r="H191" s="23">
        <v>1</v>
      </c>
      <c r="I191" s="345" t="str">
        <f>VLOOKUP(H191,tab_tipo_expansao!$A$2:$B$4,2,0)</f>
        <v>opcional</v>
      </c>
      <c r="J191" s="59">
        <v>2041</v>
      </c>
      <c r="K191" s="59">
        <v>2050</v>
      </c>
      <c r="L191" s="98">
        <f>F191*VLOOKUP(B191,tab_Tecnologias_TE_RE!$A$2:$C$101,3,0)</f>
        <v>200</v>
      </c>
      <c r="M191" s="96">
        <f>VLOOKUP(B191,tab_Tecnologias_TE_RE!$A$2:$W$101,COLUMN(tab_Tecnologias_TE_RE!$W$1),0)</f>
        <v>3</v>
      </c>
    </row>
    <row r="192" spans="1:13">
      <c r="A192" s="95">
        <v>5170</v>
      </c>
      <c r="B192" s="86">
        <v>509</v>
      </c>
      <c r="C192" s="96" t="str">
        <f>VLOOKUP(B192,tab_Tecnologias_TE_RE!$A$1:$B$101,2,0)</f>
        <v>GAS_CC_CAPEX40_6USD</v>
      </c>
      <c r="D192" s="152" t="s">
        <v>146</v>
      </c>
      <c r="E192" s="17">
        <v>2</v>
      </c>
      <c r="F192" s="125">
        <v>200</v>
      </c>
      <c r="G192" s="97" t="str">
        <f t="shared" si="2"/>
        <v>GAS_CC_CAPEX40_6USD_2_1_2042</v>
      </c>
      <c r="H192" s="23">
        <v>1</v>
      </c>
      <c r="I192" s="345" t="str">
        <f>VLOOKUP(H192,tab_tipo_expansao!$A$2:$B$4,2,0)</f>
        <v>opcional</v>
      </c>
      <c r="J192" s="59">
        <v>2042</v>
      </c>
      <c r="K192" s="59">
        <v>2050</v>
      </c>
      <c r="L192" s="98">
        <f>F192*VLOOKUP(B192,tab_Tecnologias_TE_RE!$A$2:$C$101,3,0)</f>
        <v>200</v>
      </c>
      <c r="M192" s="96">
        <f>VLOOKUP(B192,tab_Tecnologias_TE_RE!$A$2:$W$101,COLUMN(tab_Tecnologias_TE_RE!$W$1),0)</f>
        <v>3</v>
      </c>
    </row>
    <row r="193" spans="1:13">
      <c r="A193" s="95">
        <v>5171</v>
      </c>
      <c r="B193" s="86">
        <v>509</v>
      </c>
      <c r="C193" s="96" t="str">
        <f>VLOOKUP(B193,tab_Tecnologias_TE_RE!$A$1:$B$101,2,0)</f>
        <v>GAS_CC_CAPEX40_6USD</v>
      </c>
      <c r="D193" s="152" t="s">
        <v>146</v>
      </c>
      <c r="E193" s="17">
        <v>2</v>
      </c>
      <c r="F193" s="125">
        <v>200</v>
      </c>
      <c r="G193" s="97" t="str">
        <f t="shared" si="2"/>
        <v>GAS_CC_CAPEX40_6USD_2_1_2043</v>
      </c>
      <c r="H193" s="23">
        <v>1</v>
      </c>
      <c r="I193" s="345" t="str">
        <f>VLOOKUP(H193,tab_tipo_expansao!$A$2:$B$4,2,0)</f>
        <v>opcional</v>
      </c>
      <c r="J193" s="59">
        <v>2043</v>
      </c>
      <c r="K193" s="59">
        <v>2050</v>
      </c>
      <c r="L193" s="98">
        <f>F193*VLOOKUP(B193,tab_Tecnologias_TE_RE!$A$2:$C$101,3,0)</f>
        <v>200</v>
      </c>
      <c r="M193" s="96">
        <f>VLOOKUP(B193,tab_Tecnologias_TE_RE!$A$2:$W$101,COLUMN(tab_Tecnologias_TE_RE!$W$1),0)</f>
        <v>3</v>
      </c>
    </row>
    <row r="194" spans="1:13">
      <c r="A194" s="95">
        <v>5172</v>
      </c>
      <c r="B194" s="86">
        <v>509</v>
      </c>
      <c r="C194" s="96" t="str">
        <f>VLOOKUP(B194,tab_Tecnologias_TE_RE!$A$1:$B$101,2,0)</f>
        <v>GAS_CC_CAPEX40_6USD</v>
      </c>
      <c r="D194" s="152" t="s">
        <v>146</v>
      </c>
      <c r="E194" s="17">
        <v>2</v>
      </c>
      <c r="F194" s="125">
        <v>200</v>
      </c>
      <c r="G194" s="97" t="str">
        <f t="shared" si="2"/>
        <v>GAS_CC_CAPEX40_6USD_2_1_2044</v>
      </c>
      <c r="H194" s="23">
        <v>1</v>
      </c>
      <c r="I194" s="345" t="str">
        <f>VLOOKUP(H194,tab_tipo_expansao!$A$2:$B$4,2,0)</f>
        <v>opcional</v>
      </c>
      <c r="J194" s="59">
        <v>2044</v>
      </c>
      <c r="K194" s="59">
        <v>2050</v>
      </c>
      <c r="L194" s="98">
        <f>F194*VLOOKUP(B194,tab_Tecnologias_TE_RE!$A$2:$C$101,3,0)</f>
        <v>200</v>
      </c>
      <c r="M194" s="96">
        <f>VLOOKUP(B194,tab_Tecnologias_TE_RE!$A$2:$W$101,COLUMN(tab_Tecnologias_TE_RE!$W$1),0)</f>
        <v>3</v>
      </c>
    </row>
    <row r="195" spans="1:13">
      <c r="A195" s="95">
        <v>5173</v>
      </c>
      <c r="B195" s="86">
        <v>509</v>
      </c>
      <c r="C195" s="96" t="str">
        <f>VLOOKUP(B195,tab_Tecnologias_TE_RE!$A$1:$B$101,2,0)</f>
        <v>GAS_CC_CAPEX40_6USD</v>
      </c>
      <c r="D195" s="152" t="s">
        <v>146</v>
      </c>
      <c r="E195" s="17">
        <v>2</v>
      </c>
      <c r="F195" s="125">
        <v>200</v>
      </c>
      <c r="G195" s="97" t="str">
        <f t="shared" ref="G195:G258" si="3">C195&amp;"_"&amp;E195&amp;"_"&amp;H195&amp;"_"&amp;J195</f>
        <v>GAS_CC_CAPEX40_6USD_2_1_2045</v>
      </c>
      <c r="H195" s="23">
        <v>1</v>
      </c>
      <c r="I195" s="345" t="str">
        <f>VLOOKUP(H195,tab_tipo_expansao!$A$2:$B$4,2,0)</f>
        <v>opcional</v>
      </c>
      <c r="J195" s="59">
        <v>2045</v>
      </c>
      <c r="K195" s="59">
        <v>2050</v>
      </c>
      <c r="L195" s="98">
        <f>F195*VLOOKUP(B195,tab_Tecnologias_TE_RE!$A$2:$C$101,3,0)</f>
        <v>200</v>
      </c>
      <c r="M195" s="96">
        <f>VLOOKUP(B195,tab_Tecnologias_TE_RE!$A$2:$W$101,COLUMN(tab_Tecnologias_TE_RE!$W$1),0)</f>
        <v>3</v>
      </c>
    </row>
    <row r="196" spans="1:13">
      <c r="A196" s="95">
        <v>5174</v>
      </c>
      <c r="B196" s="86">
        <v>509</v>
      </c>
      <c r="C196" s="96" t="str">
        <f>VLOOKUP(B196,tab_Tecnologias_TE_RE!$A$1:$B$101,2,0)</f>
        <v>GAS_CC_CAPEX40_6USD</v>
      </c>
      <c r="D196" s="152" t="s">
        <v>146</v>
      </c>
      <c r="E196" s="17">
        <v>2</v>
      </c>
      <c r="F196" s="125">
        <v>200</v>
      </c>
      <c r="G196" s="97" t="str">
        <f t="shared" si="3"/>
        <v>GAS_CC_CAPEX40_6USD_2_1_2046</v>
      </c>
      <c r="H196" s="23">
        <v>1</v>
      </c>
      <c r="I196" s="345" t="str">
        <f>VLOOKUP(H196,tab_tipo_expansao!$A$2:$B$4,2,0)</f>
        <v>opcional</v>
      </c>
      <c r="J196" s="59">
        <v>2046</v>
      </c>
      <c r="K196" s="59">
        <v>2050</v>
      </c>
      <c r="L196" s="98">
        <f>F196*VLOOKUP(B196,tab_Tecnologias_TE_RE!$A$2:$C$101,3,0)</f>
        <v>200</v>
      </c>
      <c r="M196" s="96">
        <f>VLOOKUP(B196,tab_Tecnologias_TE_RE!$A$2:$W$101,COLUMN(tab_Tecnologias_TE_RE!$W$1),0)</f>
        <v>3</v>
      </c>
    </row>
    <row r="197" spans="1:13">
      <c r="A197" s="95">
        <v>5175</v>
      </c>
      <c r="B197" s="86">
        <v>509</v>
      </c>
      <c r="C197" s="96" t="str">
        <f>VLOOKUP(B197,tab_Tecnologias_TE_RE!$A$1:$B$101,2,0)</f>
        <v>GAS_CC_CAPEX40_6USD</v>
      </c>
      <c r="D197" s="152" t="s">
        <v>146</v>
      </c>
      <c r="E197" s="17">
        <v>2</v>
      </c>
      <c r="F197" s="125">
        <v>200</v>
      </c>
      <c r="G197" s="97" t="str">
        <f t="shared" si="3"/>
        <v>GAS_CC_CAPEX40_6USD_2_1_2047</v>
      </c>
      <c r="H197" s="23">
        <v>1</v>
      </c>
      <c r="I197" s="345" t="str">
        <f>VLOOKUP(H197,tab_tipo_expansao!$A$2:$B$4,2,0)</f>
        <v>opcional</v>
      </c>
      <c r="J197" s="59">
        <v>2047</v>
      </c>
      <c r="K197" s="59">
        <v>2050</v>
      </c>
      <c r="L197" s="98">
        <f>F197*VLOOKUP(B197,tab_Tecnologias_TE_RE!$A$2:$C$101,3,0)</f>
        <v>200</v>
      </c>
      <c r="M197" s="96">
        <f>VLOOKUP(B197,tab_Tecnologias_TE_RE!$A$2:$W$101,COLUMN(tab_Tecnologias_TE_RE!$W$1),0)</f>
        <v>3</v>
      </c>
    </row>
    <row r="198" spans="1:13">
      <c r="A198" s="95">
        <v>5176</v>
      </c>
      <c r="B198" s="86">
        <v>509</v>
      </c>
      <c r="C198" s="96" t="str">
        <f>VLOOKUP(B198,tab_Tecnologias_TE_RE!$A$1:$B$101,2,0)</f>
        <v>GAS_CC_CAPEX40_6USD</v>
      </c>
      <c r="D198" s="152" t="s">
        <v>146</v>
      </c>
      <c r="E198" s="17">
        <v>2</v>
      </c>
      <c r="F198" s="125">
        <v>200</v>
      </c>
      <c r="G198" s="97" t="str">
        <f t="shared" si="3"/>
        <v>GAS_CC_CAPEX40_6USD_2_1_2048</v>
      </c>
      <c r="H198" s="23">
        <v>1</v>
      </c>
      <c r="I198" s="345" t="str">
        <f>VLOOKUP(H198,tab_tipo_expansao!$A$2:$B$4,2,0)</f>
        <v>opcional</v>
      </c>
      <c r="J198" s="59">
        <v>2048</v>
      </c>
      <c r="K198" s="59">
        <v>2050</v>
      </c>
      <c r="L198" s="98">
        <f>F198*VLOOKUP(B198,tab_Tecnologias_TE_RE!$A$2:$C$101,3,0)</f>
        <v>200</v>
      </c>
      <c r="M198" s="96">
        <f>VLOOKUP(B198,tab_Tecnologias_TE_RE!$A$2:$W$101,COLUMN(tab_Tecnologias_TE_RE!$W$1),0)</f>
        <v>3</v>
      </c>
    </row>
    <row r="199" spans="1:13">
      <c r="A199" s="95">
        <v>5177</v>
      </c>
      <c r="B199" s="86">
        <v>509</v>
      </c>
      <c r="C199" s="96" t="str">
        <f>VLOOKUP(B199,tab_Tecnologias_TE_RE!$A$1:$B$101,2,0)</f>
        <v>GAS_CC_CAPEX40_6USD</v>
      </c>
      <c r="D199" s="152" t="s">
        <v>146</v>
      </c>
      <c r="E199" s="17">
        <v>2</v>
      </c>
      <c r="F199" s="125">
        <v>200</v>
      </c>
      <c r="G199" s="97" t="str">
        <f t="shared" si="3"/>
        <v>GAS_CC_CAPEX40_6USD_2_1_2049</v>
      </c>
      <c r="H199" s="23">
        <v>1</v>
      </c>
      <c r="I199" s="345" t="str">
        <f>VLOOKUP(H199,tab_tipo_expansao!$A$2:$B$4,2,0)</f>
        <v>opcional</v>
      </c>
      <c r="J199" s="59">
        <v>2049</v>
      </c>
      <c r="K199" s="59">
        <v>2050</v>
      </c>
      <c r="L199" s="98">
        <f>F199*VLOOKUP(B199,tab_Tecnologias_TE_RE!$A$2:$C$101,3,0)</f>
        <v>200</v>
      </c>
      <c r="M199" s="96">
        <f>VLOOKUP(B199,tab_Tecnologias_TE_RE!$A$2:$W$101,COLUMN(tab_Tecnologias_TE_RE!$W$1),0)</f>
        <v>3</v>
      </c>
    </row>
    <row r="200" spans="1:13">
      <c r="A200" s="95">
        <v>5178</v>
      </c>
      <c r="B200" s="86">
        <v>509</v>
      </c>
      <c r="C200" s="96" t="str">
        <f>VLOOKUP(B200,tab_Tecnologias_TE_RE!$A$1:$B$101,2,0)</f>
        <v>GAS_CC_CAPEX40_6USD</v>
      </c>
      <c r="D200" s="152" t="s">
        <v>146</v>
      </c>
      <c r="E200" s="17">
        <v>2</v>
      </c>
      <c r="F200" s="125">
        <v>200</v>
      </c>
      <c r="G200" s="97" t="str">
        <f t="shared" si="3"/>
        <v>GAS_CC_CAPEX40_6USD_2_1_2050</v>
      </c>
      <c r="H200" s="23">
        <v>1</v>
      </c>
      <c r="I200" s="345" t="str">
        <f>VLOOKUP(H200,tab_tipo_expansao!$A$2:$B$4,2,0)</f>
        <v>opcional</v>
      </c>
      <c r="J200" s="59">
        <v>2050</v>
      </c>
      <c r="K200" s="59">
        <v>2050</v>
      </c>
      <c r="L200" s="98">
        <f>F200*VLOOKUP(B200,tab_Tecnologias_TE_RE!$A$2:$C$101,3,0)</f>
        <v>200</v>
      </c>
      <c r="M200" s="96">
        <f>VLOOKUP(B200,tab_Tecnologias_TE_RE!$A$2:$W$101,COLUMN(tab_Tecnologias_TE_RE!$W$1),0)</f>
        <v>3</v>
      </c>
    </row>
    <row r="201" spans="1:13">
      <c r="A201" s="95">
        <v>5169</v>
      </c>
      <c r="B201" s="86">
        <v>308</v>
      </c>
      <c r="C201" s="96" t="str">
        <f>VLOOKUP(B201,tab_Tecnologias_TE_RE!$A$1:$B$101,2,0)</f>
        <v>GAS_CC_flexível_pos2040</v>
      </c>
      <c r="D201" s="152" t="s">
        <v>146</v>
      </c>
      <c r="E201" s="17">
        <v>1</v>
      </c>
      <c r="F201" s="125">
        <v>535</v>
      </c>
      <c r="G201" s="97" t="str">
        <f t="shared" si="3"/>
        <v>GAS_CC_flexível_pos2040_1_1_2041</v>
      </c>
      <c r="H201" s="23">
        <v>1</v>
      </c>
      <c r="I201" s="345" t="str">
        <f>VLOOKUP(H201,tab_tipo_expansao!$A$2:$B$4,2,0)</f>
        <v>opcional</v>
      </c>
      <c r="J201" s="59">
        <v>2041</v>
      </c>
      <c r="K201" s="59">
        <v>2050</v>
      </c>
      <c r="L201" s="98">
        <f>F201*VLOOKUP(B201,tab_Tecnologias_TE_RE!$A$2:$C$101,3,0)</f>
        <v>535</v>
      </c>
      <c r="M201" s="96">
        <f>VLOOKUP(B201,tab_Tecnologias_TE_RE!$A$2:$W$101,COLUMN(tab_Tecnologias_TE_RE!$W$1),0)</f>
        <v>3</v>
      </c>
    </row>
    <row r="202" spans="1:13">
      <c r="A202" s="95">
        <v>5170</v>
      </c>
      <c r="B202" s="86">
        <v>308</v>
      </c>
      <c r="C202" s="96" t="str">
        <f>VLOOKUP(B202,tab_Tecnologias_TE_RE!$A$1:$B$101,2,0)</f>
        <v>GAS_CC_flexível_pos2040</v>
      </c>
      <c r="D202" s="152" t="s">
        <v>146</v>
      </c>
      <c r="E202" s="17">
        <v>1</v>
      </c>
      <c r="F202" s="125">
        <v>535</v>
      </c>
      <c r="G202" s="97" t="str">
        <f t="shared" si="3"/>
        <v>GAS_CC_flexível_pos2040_1_1_2042</v>
      </c>
      <c r="H202" s="23">
        <v>1</v>
      </c>
      <c r="I202" s="345" t="str">
        <f>VLOOKUP(H202,tab_tipo_expansao!$A$2:$B$4,2,0)</f>
        <v>opcional</v>
      </c>
      <c r="J202" s="59">
        <v>2042</v>
      </c>
      <c r="K202" s="59">
        <v>2050</v>
      </c>
      <c r="L202" s="98">
        <f>F202*VLOOKUP(B202,tab_Tecnologias_TE_RE!$A$2:$C$101,3,0)</f>
        <v>535</v>
      </c>
      <c r="M202" s="96">
        <f>VLOOKUP(B202,tab_Tecnologias_TE_RE!$A$2:$W$101,COLUMN(tab_Tecnologias_TE_RE!$W$1),0)</f>
        <v>3</v>
      </c>
    </row>
    <row r="203" spans="1:13">
      <c r="A203" s="95">
        <v>5171</v>
      </c>
      <c r="B203" s="86">
        <v>308</v>
      </c>
      <c r="C203" s="96" t="str">
        <f>VLOOKUP(B203,tab_Tecnologias_TE_RE!$A$1:$B$101,2,0)</f>
        <v>GAS_CC_flexível_pos2040</v>
      </c>
      <c r="D203" s="152" t="s">
        <v>146</v>
      </c>
      <c r="E203" s="17">
        <v>1</v>
      </c>
      <c r="F203" s="125">
        <v>535</v>
      </c>
      <c r="G203" s="97" t="str">
        <f t="shared" si="3"/>
        <v>GAS_CC_flexível_pos2040_1_1_2043</v>
      </c>
      <c r="H203" s="23">
        <v>1</v>
      </c>
      <c r="I203" s="345" t="str">
        <f>VLOOKUP(H203,tab_tipo_expansao!$A$2:$B$4,2,0)</f>
        <v>opcional</v>
      </c>
      <c r="J203" s="59">
        <v>2043</v>
      </c>
      <c r="K203" s="59">
        <v>2050</v>
      </c>
      <c r="L203" s="98">
        <f>F203*VLOOKUP(B203,tab_Tecnologias_TE_RE!$A$2:$C$101,3,0)</f>
        <v>535</v>
      </c>
      <c r="M203" s="96">
        <f>VLOOKUP(B203,tab_Tecnologias_TE_RE!$A$2:$W$101,COLUMN(tab_Tecnologias_TE_RE!$W$1),0)</f>
        <v>3</v>
      </c>
    </row>
    <row r="204" spans="1:13">
      <c r="A204" s="95">
        <v>5172</v>
      </c>
      <c r="B204" s="86">
        <v>308</v>
      </c>
      <c r="C204" s="96" t="str">
        <f>VLOOKUP(B204,tab_Tecnologias_TE_RE!$A$1:$B$101,2,0)</f>
        <v>GAS_CC_flexível_pos2040</v>
      </c>
      <c r="D204" s="152" t="s">
        <v>146</v>
      </c>
      <c r="E204" s="17">
        <v>1</v>
      </c>
      <c r="F204" s="125">
        <v>535</v>
      </c>
      <c r="G204" s="97" t="str">
        <f t="shared" si="3"/>
        <v>GAS_CC_flexível_pos2040_1_1_2044</v>
      </c>
      <c r="H204" s="23">
        <v>1</v>
      </c>
      <c r="I204" s="345" t="str">
        <f>VLOOKUP(H204,tab_tipo_expansao!$A$2:$B$4,2,0)</f>
        <v>opcional</v>
      </c>
      <c r="J204" s="59">
        <v>2044</v>
      </c>
      <c r="K204" s="59">
        <v>2050</v>
      </c>
      <c r="L204" s="98">
        <f>F204*VLOOKUP(B204,tab_Tecnologias_TE_RE!$A$2:$C$101,3,0)</f>
        <v>535</v>
      </c>
      <c r="M204" s="96">
        <f>VLOOKUP(B204,tab_Tecnologias_TE_RE!$A$2:$W$101,COLUMN(tab_Tecnologias_TE_RE!$W$1),0)</f>
        <v>3</v>
      </c>
    </row>
    <row r="205" spans="1:13">
      <c r="A205" s="95">
        <v>5173</v>
      </c>
      <c r="B205" s="86">
        <v>308</v>
      </c>
      <c r="C205" s="96" t="str">
        <f>VLOOKUP(B205,tab_Tecnologias_TE_RE!$A$1:$B$101,2,0)</f>
        <v>GAS_CC_flexível_pos2040</v>
      </c>
      <c r="D205" s="152" t="s">
        <v>146</v>
      </c>
      <c r="E205" s="17">
        <v>1</v>
      </c>
      <c r="F205" s="125">
        <v>535</v>
      </c>
      <c r="G205" s="97" t="str">
        <f t="shared" si="3"/>
        <v>GAS_CC_flexível_pos2040_1_1_2045</v>
      </c>
      <c r="H205" s="23">
        <v>1</v>
      </c>
      <c r="I205" s="345" t="str">
        <f>VLOOKUP(H205,tab_tipo_expansao!$A$2:$B$4,2,0)</f>
        <v>opcional</v>
      </c>
      <c r="J205" s="59">
        <v>2045</v>
      </c>
      <c r="K205" s="59">
        <v>2050</v>
      </c>
      <c r="L205" s="98">
        <f>F205*VLOOKUP(B205,tab_Tecnologias_TE_RE!$A$2:$C$101,3,0)</f>
        <v>535</v>
      </c>
      <c r="M205" s="96">
        <f>VLOOKUP(B205,tab_Tecnologias_TE_RE!$A$2:$W$101,COLUMN(tab_Tecnologias_TE_RE!$W$1),0)</f>
        <v>3</v>
      </c>
    </row>
    <row r="206" spans="1:13">
      <c r="A206" s="95">
        <v>5174</v>
      </c>
      <c r="B206" s="86">
        <v>308</v>
      </c>
      <c r="C206" s="96" t="str">
        <f>VLOOKUP(B206,tab_Tecnologias_TE_RE!$A$1:$B$101,2,0)</f>
        <v>GAS_CC_flexível_pos2040</v>
      </c>
      <c r="D206" s="152" t="s">
        <v>146</v>
      </c>
      <c r="E206" s="17">
        <v>1</v>
      </c>
      <c r="F206" s="125">
        <v>535</v>
      </c>
      <c r="G206" s="97" t="str">
        <f t="shared" si="3"/>
        <v>GAS_CC_flexível_pos2040_1_1_2046</v>
      </c>
      <c r="H206" s="23">
        <v>1</v>
      </c>
      <c r="I206" s="345" t="str">
        <f>VLOOKUP(H206,tab_tipo_expansao!$A$2:$B$4,2,0)</f>
        <v>opcional</v>
      </c>
      <c r="J206" s="59">
        <v>2046</v>
      </c>
      <c r="K206" s="59">
        <v>2050</v>
      </c>
      <c r="L206" s="98">
        <f>F206*VLOOKUP(B206,tab_Tecnologias_TE_RE!$A$2:$C$101,3,0)</f>
        <v>535</v>
      </c>
      <c r="M206" s="96">
        <f>VLOOKUP(B206,tab_Tecnologias_TE_RE!$A$2:$W$101,COLUMN(tab_Tecnologias_TE_RE!$W$1),0)</f>
        <v>3</v>
      </c>
    </row>
    <row r="207" spans="1:13">
      <c r="A207" s="95">
        <v>5175</v>
      </c>
      <c r="B207" s="86">
        <v>308</v>
      </c>
      <c r="C207" s="96" t="str">
        <f>VLOOKUP(B207,tab_Tecnologias_TE_RE!$A$1:$B$101,2,0)</f>
        <v>GAS_CC_flexível_pos2040</v>
      </c>
      <c r="D207" s="152" t="s">
        <v>146</v>
      </c>
      <c r="E207" s="17">
        <v>1</v>
      </c>
      <c r="F207" s="125">
        <v>535</v>
      </c>
      <c r="G207" s="97" t="str">
        <f t="shared" si="3"/>
        <v>GAS_CC_flexível_pos2040_1_1_2047</v>
      </c>
      <c r="H207" s="23">
        <v>1</v>
      </c>
      <c r="I207" s="345" t="str">
        <f>VLOOKUP(H207,tab_tipo_expansao!$A$2:$B$4,2,0)</f>
        <v>opcional</v>
      </c>
      <c r="J207" s="59">
        <v>2047</v>
      </c>
      <c r="K207" s="59">
        <v>2050</v>
      </c>
      <c r="L207" s="98">
        <f>F207*VLOOKUP(B207,tab_Tecnologias_TE_RE!$A$2:$C$101,3,0)</f>
        <v>535</v>
      </c>
      <c r="M207" s="96">
        <f>VLOOKUP(B207,tab_Tecnologias_TE_RE!$A$2:$W$101,COLUMN(tab_Tecnologias_TE_RE!$W$1),0)</f>
        <v>3</v>
      </c>
    </row>
    <row r="208" spans="1:13">
      <c r="A208" s="95">
        <v>5176</v>
      </c>
      <c r="B208" s="86">
        <v>308</v>
      </c>
      <c r="C208" s="96" t="str">
        <f>VLOOKUP(B208,tab_Tecnologias_TE_RE!$A$1:$B$101,2,0)</f>
        <v>GAS_CC_flexível_pos2040</v>
      </c>
      <c r="D208" s="152" t="s">
        <v>146</v>
      </c>
      <c r="E208" s="17">
        <v>1</v>
      </c>
      <c r="F208" s="125">
        <v>535</v>
      </c>
      <c r="G208" s="97" t="str">
        <f t="shared" si="3"/>
        <v>GAS_CC_flexível_pos2040_1_1_2048</v>
      </c>
      <c r="H208" s="23">
        <v>1</v>
      </c>
      <c r="I208" s="345" t="str">
        <f>VLOOKUP(H208,tab_tipo_expansao!$A$2:$B$4,2,0)</f>
        <v>opcional</v>
      </c>
      <c r="J208" s="59">
        <v>2048</v>
      </c>
      <c r="K208" s="59">
        <v>2050</v>
      </c>
      <c r="L208" s="98">
        <f>F208*VLOOKUP(B208,tab_Tecnologias_TE_RE!$A$2:$C$101,3,0)</f>
        <v>535</v>
      </c>
      <c r="M208" s="96">
        <f>VLOOKUP(B208,tab_Tecnologias_TE_RE!$A$2:$W$101,COLUMN(tab_Tecnologias_TE_RE!$W$1),0)</f>
        <v>3</v>
      </c>
    </row>
    <row r="209" spans="1:13">
      <c r="A209" s="95">
        <v>5177</v>
      </c>
      <c r="B209" s="86">
        <v>308</v>
      </c>
      <c r="C209" s="96" t="str">
        <f>VLOOKUP(B209,tab_Tecnologias_TE_RE!$A$1:$B$101,2,0)</f>
        <v>GAS_CC_flexível_pos2040</v>
      </c>
      <c r="D209" s="152" t="s">
        <v>146</v>
      </c>
      <c r="E209" s="17">
        <v>1</v>
      </c>
      <c r="F209" s="125">
        <v>535</v>
      </c>
      <c r="G209" s="97" t="str">
        <f t="shared" si="3"/>
        <v>GAS_CC_flexível_pos2040_1_1_2049</v>
      </c>
      <c r="H209" s="23">
        <v>1</v>
      </c>
      <c r="I209" s="345" t="str">
        <f>VLOOKUP(H209,tab_tipo_expansao!$A$2:$B$4,2,0)</f>
        <v>opcional</v>
      </c>
      <c r="J209" s="59">
        <v>2049</v>
      </c>
      <c r="K209" s="59">
        <v>2050</v>
      </c>
      <c r="L209" s="98">
        <f>F209*VLOOKUP(B209,tab_Tecnologias_TE_RE!$A$2:$C$101,3,0)</f>
        <v>535</v>
      </c>
      <c r="M209" s="96">
        <f>VLOOKUP(B209,tab_Tecnologias_TE_RE!$A$2:$W$101,COLUMN(tab_Tecnologias_TE_RE!$W$1),0)</f>
        <v>3</v>
      </c>
    </row>
    <row r="210" spans="1:13">
      <c r="A210" s="95">
        <v>5178</v>
      </c>
      <c r="B210" s="86">
        <v>308</v>
      </c>
      <c r="C210" s="96" t="str">
        <f>VLOOKUP(B210,tab_Tecnologias_TE_RE!$A$1:$B$101,2,0)</f>
        <v>GAS_CC_flexível_pos2040</v>
      </c>
      <c r="D210" s="152" t="s">
        <v>146</v>
      </c>
      <c r="E210" s="17">
        <v>1</v>
      </c>
      <c r="F210" s="125">
        <v>535</v>
      </c>
      <c r="G210" s="97" t="str">
        <f t="shared" si="3"/>
        <v>GAS_CC_flexível_pos2040_1_1_2050</v>
      </c>
      <c r="H210" s="23">
        <v>1</v>
      </c>
      <c r="I210" s="345" t="str">
        <f>VLOOKUP(H210,tab_tipo_expansao!$A$2:$B$4,2,0)</f>
        <v>opcional</v>
      </c>
      <c r="J210" s="59">
        <v>2050</v>
      </c>
      <c r="K210" s="59">
        <v>2050</v>
      </c>
      <c r="L210" s="98">
        <f>F210*VLOOKUP(B210,tab_Tecnologias_TE_RE!$A$2:$C$101,3,0)</f>
        <v>535</v>
      </c>
      <c r="M210" s="96">
        <f>VLOOKUP(B210,tab_Tecnologias_TE_RE!$A$2:$W$101,COLUMN(tab_Tecnologias_TE_RE!$W$1),0)</f>
        <v>3</v>
      </c>
    </row>
    <row r="211" spans="1:13">
      <c r="A211" s="95">
        <v>5179</v>
      </c>
      <c r="B211" s="86">
        <v>509</v>
      </c>
      <c r="C211" s="96" t="str">
        <f>VLOOKUP(B211,tab_Tecnologias_TE_RE!$A$1:$B$101,2,0)</f>
        <v>GAS_CC_CAPEX40_6USD</v>
      </c>
      <c r="D211" s="152" t="s">
        <v>146</v>
      </c>
      <c r="E211" s="17">
        <v>2</v>
      </c>
      <c r="F211" s="125">
        <v>200</v>
      </c>
      <c r="G211" s="97" t="str">
        <f t="shared" si="3"/>
        <v>GAS_CC_CAPEX40_6USD_2_1_2031</v>
      </c>
      <c r="H211" s="23">
        <v>1</v>
      </c>
      <c r="I211" s="345" t="str">
        <f>VLOOKUP(H211,tab_tipo_expansao!$A$2:$B$4,2,0)</f>
        <v>opcional</v>
      </c>
      <c r="J211" s="59">
        <v>2031</v>
      </c>
      <c r="K211" s="59">
        <v>2040</v>
      </c>
      <c r="L211" s="98">
        <f>F211*VLOOKUP(B211,tab_Tecnologias_TE_RE!$A$2:$C$101,3,0)</f>
        <v>200</v>
      </c>
      <c r="M211" s="96">
        <f>VLOOKUP(B211,tab_Tecnologias_TE_RE!$A$2:$W$101,COLUMN(tab_Tecnologias_TE_RE!$W$1),0)</f>
        <v>3</v>
      </c>
    </row>
    <row r="212" spans="1:13">
      <c r="A212" s="95">
        <v>5180</v>
      </c>
      <c r="B212" s="86">
        <v>509</v>
      </c>
      <c r="C212" s="96" t="str">
        <f>VLOOKUP(B212,tab_Tecnologias_TE_RE!$A$1:$B$101,2,0)</f>
        <v>GAS_CC_CAPEX40_6USD</v>
      </c>
      <c r="D212" s="152" t="s">
        <v>146</v>
      </c>
      <c r="E212" s="17">
        <v>2</v>
      </c>
      <c r="F212" s="125">
        <v>200</v>
      </c>
      <c r="G212" s="97" t="str">
        <f t="shared" si="3"/>
        <v>GAS_CC_CAPEX40_6USD_2_1_2032</v>
      </c>
      <c r="H212" s="23">
        <v>1</v>
      </c>
      <c r="I212" s="345" t="str">
        <f>VLOOKUP(H212,tab_tipo_expansao!$A$2:$B$4,2,0)</f>
        <v>opcional</v>
      </c>
      <c r="J212" s="59">
        <v>2032</v>
      </c>
      <c r="K212" s="59">
        <v>2040</v>
      </c>
      <c r="L212" s="98">
        <f>F212*VLOOKUP(B212,tab_Tecnologias_TE_RE!$A$2:$C$101,3,0)</f>
        <v>200</v>
      </c>
      <c r="M212" s="96">
        <f>VLOOKUP(B212,tab_Tecnologias_TE_RE!$A$2:$W$101,COLUMN(tab_Tecnologias_TE_RE!$W$1),0)</f>
        <v>3</v>
      </c>
    </row>
    <row r="213" spans="1:13">
      <c r="A213" s="95">
        <v>5181</v>
      </c>
      <c r="B213" s="86">
        <v>509</v>
      </c>
      <c r="C213" s="96" t="str">
        <f>VLOOKUP(B213,tab_Tecnologias_TE_RE!$A$1:$B$101,2,0)</f>
        <v>GAS_CC_CAPEX40_6USD</v>
      </c>
      <c r="D213" s="152" t="s">
        <v>146</v>
      </c>
      <c r="E213" s="17">
        <v>2</v>
      </c>
      <c r="F213" s="125">
        <v>200</v>
      </c>
      <c r="G213" s="97" t="str">
        <f t="shared" si="3"/>
        <v>GAS_CC_CAPEX40_6USD_2_1_2033</v>
      </c>
      <c r="H213" s="23">
        <v>1</v>
      </c>
      <c r="I213" s="345" t="str">
        <f>VLOOKUP(H213,tab_tipo_expansao!$A$2:$B$4,2,0)</f>
        <v>opcional</v>
      </c>
      <c r="J213" s="59">
        <v>2033</v>
      </c>
      <c r="K213" s="59">
        <v>2040</v>
      </c>
      <c r="L213" s="98">
        <f>F213*VLOOKUP(B213,tab_Tecnologias_TE_RE!$A$2:$C$101,3,0)</f>
        <v>200</v>
      </c>
      <c r="M213" s="96">
        <f>VLOOKUP(B213,tab_Tecnologias_TE_RE!$A$2:$W$101,COLUMN(tab_Tecnologias_TE_RE!$W$1),0)</f>
        <v>3</v>
      </c>
    </row>
    <row r="214" spans="1:13">
      <c r="A214" s="95">
        <v>5182</v>
      </c>
      <c r="B214" s="86">
        <v>509</v>
      </c>
      <c r="C214" s="96" t="str">
        <f>VLOOKUP(B214,tab_Tecnologias_TE_RE!$A$1:$B$101,2,0)</f>
        <v>GAS_CC_CAPEX40_6USD</v>
      </c>
      <c r="D214" s="152" t="s">
        <v>146</v>
      </c>
      <c r="E214" s="17">
        <v>2</v>
      </c>
      <c r="F214" s="125">
        <v>200</v>
      </c>
      <c r="G214" s="97" t="str">
        <f t="shared" si="3"/>
        <v>GAS_CC_CAPEX40_6USD_2_1_2034</v>
      </c>
      <c r="H214" s="23">
        <v>1</v>
      </c>
      <c r="I214" s="345" t="str">
        <f>VLOOKUP(H214,tab_tipo_expansao!$A$2:$B$4,2,0)</f>
        <v>opcional</v>
      </c>
      <c r="J214" s="59">
        <v>2034</v>
      </c>
      <c r="K214" s="59">
        <v>2040</v>
      </c>
      <c r="L214" s="98">
        <f>F214*VLOOKUP(B214,tab_Tecnologias_TE_RE!$A$2:$C$101,3,0)</f>
        <v>200</v>
      </c>
      <c r="M214" s="96">
        <f>VLOOKUP(B214,tab_Tecnologias_TE_RE!$A$2:$W$101,COLUMN(tab_Tecnologias_TE_RE!$W$1),0)</f>
        <v>3</v>
      </c>
    </row>
    <row r="215" spans="1:13">
      <c r="A215" s="95">
        <v>5183</v>
      </c>
      <c r="B215" s="86">
        <v>509</v>
      </c>
      <c r="C215" s="96" t="str">
        <f>VLOOKUP(B215,tab_Tecnologias_TE_RE!$A$1:$B$101,2,0)</f>
        <v>GAS_CC_CAPEX40_6USD</v>
      </c>
      <c r="D215" s="152" t="s">
        <v>146</v>
      </c>
      <c r="E215" s="17">
        <v>2</v>
      </c>
      <c r="F215" s="125">
        <v>200</v>
      </c>
      <c r="G215" s="97" t="str">
        <f t="shared" si="3"/>
        <v>GAS_CC_CAPEX40_6USD_2_1_2035</v>
      </c>
      <c r="H215" s="23">
        <v>1</v>
      </c>
      <c r="I215" s="345" t="str">
        <f>VLOOKUP(H215,tab_tipo_expansao!$A$2:$B$4,2,0)</f>
        <v>opcional</v>
      </c>
      <c r="J215" s="59">
        <v>2035</v>
      </c>
      <c r="K215" s="59">
        <v>2040</v>
      </c>
      <c r="L215" s="98">
        <f>F215*VLOOKUP(B215,tab_Tecnologias_TE_RE!$A$2:$C$101,3,0)</f>
        <v>200</v>
      </c>
      <c r="M215" s="96">
        <f>VLOOKUP(B215,tab_Tecnologias_TE_RE!$A$2:$W$101,COLUMN(tab_Tecnologias_TE_RE!$W$1),0)</f>
        <v>3</v>
      </c>
    </row>
    <row r="216" spans="1:13">
      <c r="A216" s="95">
        <v>5184</v>
      </c>
      <c r="B216" s="86">
        <v>509</v>
      </c>
      <c r="C216" s="96" t="str">
        <f>VLOOKUP(B216,tab_Tecnologias_TE_RE!$A$1:$B$101,2,0)</f>
        <v>GAS_CC_CAPEX40_6USD</v>
      </c>
      <c r="D216" s="152" t="s">
        <v>146</v>
      </c>
      <c r="E216" s="17">
        <v>2</v>
      </c>
      <c r="F216" s="125">
        <v>200</v>
      </c>
      <c r="G216" s="97" t="str">
        <f t="shared" si="3"/>
        <v>GAS_CC_CAPEX40_6USD_2_1_2036</v>
      </c>
      <c r="H216" s="23">
        <v>1</v>
      </c>
      <c r="I216" s="345" t="str">
        <f>VLOOKUP(H216,tab_tipo_expansao!$A$2:$B$4,2,0)</f>
        <v>opcional</v>
      </c>
      <c r="J216" s="59">
        <v>2036</v>
      </c>
      <c r="K216" s="59">
        <v>2040</v>
      </c>
      <c r="L216" s="98">
        <f>F216*VLOOKUP(B216,tab_Tecnologias_TE_RE!$A$2:$C$101,3,0)</f>
        <v>200</v>
      </c>
      <c r="M216" s="96">
        <f>VLOOKUP(B216,tab_Tecnologias_TE_RE!$A$2:$W$101,COLUMN(tab_Tecnologias_TE_RE!$W$1),0)</f>
        <v>3</v>
      </c>
    </row>
    <row r="217" spans="1:13">
      <c r="A217" s="95">
        <v>5185</v>
      </c>
      <c r="B217" s="86">
        <v>509</v>
      </c>
      <c r="C217" s="96" t="str">
        <f>VLOOKUP(B217,tab_Tecnologias_TE_RE!$A$1:$B$101,2,0)</f>
        <v>GAS_CC_CAPEX40_6USD</v>
      </c>
      <c r="D217" s="152" t="s">
        <v>146</v>
      </c>
      <c r="E217" s="17">
        <v>2</v>
      </c>
      <c r="F217" s="125">
        <v>200</v>
      </c>
      <c r="G217" s="97" t="str">
        <f t="shared" si="3"/>
        <v>GAS_CC_CAPEX40_6USD_2_1_2037</v>
      </c>
      <c r="H217" s="23">
        <v>1</v>
      </c>
      <c r="I217" s="345" t="str">
        <f>VLOOKUP(H217,tab_tipo_expansao!$A$2:$B$4,2,0)</f>
        <v>opcional</v>
      </c>
      <c r="J217" s="59">
        <v>2037</v>
      </c>
      <c r="K217" s="59">
        <v>2040</v>
      </c>
      <c r="L217" s="98">
        <f>F217*VLOOKUP(B217,tab_Tecnologias_TE_RE!$A$2:$C$101,3,0)</f>
        <v>200</v>
      </c>
      <c r="M217" s="96">
        <f>VLOOKUP(B217,tab_Tecnologias_TE_RE!$A$2:$W$101,COLUMN(tab_Tecnologias_TE_RE!$W$1),0)</f>
        <v>3</v>
      </c>
    </row>
    <row r="218" spans="1:13">
      <c r="A218" s="95">
        <v>5186</v>
      </c>
      <c r="B218" s="86">
        <v>509</v>
      </c>
      <c r="C218" s="96" t="str">
        <f>VLOOKUP(B218,tab_Tecnologias_TE_RE!$A$1:$B$101,2,0)</f>
        <v>GAS_CC_CAPEX40_6USD</v>
      </c>
      <c r="D218" s="152" t="s">
        <v>146</v>
      </c>
      <c r="E218" s="17">
        <v>2</v>
      </c>
      <c r="F218" s="125">
        <v>200</v>
      </c>
      <c r="G218" s="97" t="str">
        <f t="shared" si="3"/>
        <v>GAS_CC_CAPEX40_6USD_2_1_2038</v>
      </c>
      <c r="H218" s="23">
        <v>1</v>
      </c>
      <c r="I218" s="345" t="str">
        <f>VLOOKUP(H218,tab_tipo_expansao!$A$2:$B$4,2,0)</f>
        <v>opcional</v>
      </c>
      <c r="J218" s="59">
        <v>2038</v>
      </c>
      <c r="K218" s="59">
        <v>2040</v>
      </c>
      <c r="L218" s="98">
        <f>F218*VLOOKUP(B218,tab_Tecnologias_TE_RE!$A$2:$C$101,3,0)</f>
        <v>200</v>
      </c>
      <c r="M218" s="96">
        <f>VLOOKUP(B218,tab_Tecnologias_TE_RE!$A$2:$W$101,COLUMN(tab_Tecnologias_TE_RE!$W$1),0)</f>
        <v>3</v>
      </c>
    </row>
    <row r="219" spans="1:13">
      <c r="A219" s="95">
        <v>5187</v>
      </c>
      <c r="B219" s="86">
        <v>509</v>
      </c>
      <c r="C219" s="96" t="str">
        <f>VLOOKUP(B219,tab_Tecnologias_TE_RE!$A$1:$B$101,2,0)</f>
        <v>GAS_CC_CAPEX40_6USD</v>
      </c>
      <c r="D219" s="152" t="s">
        <v>146</v>
      </c>
      <c r="E219" s="17">
        <v>2</v>
      </c>
      <c r="F219" s="125">
        <v>200</v>
      </c>
      <c r="G219" s="97" t="str">
        <f t="shared" si="3"/>
        <v>GAS_CC_CAPEX40_6USD_2_1_2039</v>
      </c>
      <c r="H219" s="23">
        <v>1</v>
      </c>
      <c r="I219" s="345" t="str">
        <f>VLOOKUP(H219,tab_tipo_expansao!$A$2:$B$4,2,0)</f>
        <v>opcional</v>
      </c>
      <c r="J219" s="59">
        <v>2039</v>
      </c>
      <c r="K219" s="59">
        <v>2040</v>
      </c>
      <c r="L219" s="98">
        <f>F219*VLOOKUP(B219,tab_Tecnologias_TE_RE!$A$2:$C$101,3,0)</f>
        <v>200</v>
      </c>
      <c r="M219" s="96">
        <f>VLOOKUP(B219,tab_Tecnologias_TE_RE!$A$2:$W$101,COLUMN(tab_Tecnologias_TE_RE!$W$1),0)</f>
        <v>3</v>
      </c>
    </row>
    <row r="220" spans="1:13">
      <c r="A220" s="95">
        <v>5188</v>
      </c>
      <c r="B220" s="86">
        <v>509</v>
      </c>
      <c r="C220" s="96" t="str">
        <f>VLOOKUP(B220,tab_Tecnologias_TE_RE!$A$1:$B$101,2,0)</f>
        <v>GAS_CC_CAPEX40_6USD</v>
      </c>
      <c r="D220" s="152" t="s">
        <v>146</v>
      </c>
      <c r="E220" s="17">
        <v>2</v>
      </c>
      <c r="F220" s="125">
        <v>200</v>
      </c>
      <c r="G220" s="97" t="str">
        <f t="shared" si="3"/>
        <v>GAS_CC_CAPEX40_6USD_2_1_2040</v>
      </c>
      <c r="H220" s="23">
        <v>1</v>
      </c>
      <c r="I220" s="345" t="str">
        <f>VLOOKUP(H220,tab_tipo_expansao!$A$2:$B$4,2,0)</f>
        <v>opcional</v>
      </c>
      <c r="J220" s="59">
        <v>2040</v>
      </c>
      <c r="K220" s="59">
        <v>2040</v>
      </c>
      <c r="L220" s="98">
        <f>F220*VLOOKUP(B220,tab_Tecnologias_TE_RE!$A$2:$C$101,3,0)</f>
        <v>200</v>
      </c>
      <c r="M220" s="96">
        <f>VLOOKUP(B220,tab_Tecnologias_TE_RE!$A$2:$W$101,COLUMN(tab_Tecnologias_TE_RE!$W$1),0)</f>
        <v>3</v>
      </c>
    </row>
    <row r="221" spans="1:13">
      <c r="A221" s="95">
        <v>5179</v>
      </c>
      <c r="B221" s="86">
        <v>320</v>
      </c>
      <c r="C221" s="96" t="str">
        <f>VLOOKUP(B221,tab_Tecnologias_TE_RE!$A$1:$B$101,2,0)</f>
        <v>GAS_CC_flexível_30_40</v>
      </c>
      <c r="D221" s="152" t="s">
        <v>146</v>
      </c>
      <c r="E221" s="17">
        <v>3</v>
      </c>
      <c r="F221" s="125">
        <v>190</v>
      </c>
      <c r="G221" s="97" t="str">
        <f t="shared" si="3"/>
        <v>GAS_CC_flexível_30_40_3_1_2031</v>
      </c>
      <c r="H221" s="23">
        <v>1</v>
      </c>
      <c r="I221" s="345" t="str">
        <f>VLOOKUP(H221,tab_tipo_expansao!$A$2:$B$4,2,0)</f>
        <v>opcional</v>
      </c>
      <c r="J221" s="59">
        <v>2031</v>
      </c>
      <c r="K221" s="59">
        <v>2040</v>
      </c>
      <c r="L221" s="98">
        <f>F221*VLOOKUP(B221,tab_Tecnologias_TE_RE!$A$2:$C$101,3,0)</f>
        <v>190</v>
      </c>
      <c r="M221" s="96">
        <f>VLOOKUP(B221,tab_Tecnologias_TE_RE!$A$2:$W$101,COLUMN(tab_Tecnologias_TE_RE!$W$1),0)</f>
        <v>3</v>
      </c>
    </row>
    <row r="222" spans="1:13">
      <c r="A222" s="95">
        <v>5180</v>
      </c>
      <c r="B222" s="86">
        <v>320</v>
      </c>
      <c r="C222" s="96" t="str">
        <f>VLOOKUP(B222,tab_Tecnologias_TE_RE!$A$1:$B$101,2,0)</f>
        <v>GAS_CC_flexível_30_40</v>
      </c>
      <c r="D222" s="152" t="s">
        <v>146</v>
      </c>
      <c r="E222" s="17">
        <v>3</v>
      </c>
      <c r="F222" s="125">
        <v>190</v>
      </c>
      <c r="G222" s="97" t="str">
        <f t="shared" si="3"/>
        <v>GAS_CC_flexível_30_40_3_1_2032</v>
      </c>
      <c r="H222" s="23">
        <v>1</v>
      </c>
      <c r="I222" s="345" t="str">
        <f>VLOOKUP(H222,tab_tipo_expansao!$A$2:$B$4,2,0)</f>
        <v>opcional</v>
      </c>
      <c r="J222" s="59">
        <v>2032</v>
      </c>
      <c r="K222" s="59">
        <v>2040</v>
      </c>
      <c r="L222" s="98">
        <f>F222*VLOOKUP(B222,tab_Tecnologias_TE_RE!$A$2:$C$101,3,0)</f>
        <v>190</v>
      </c>
      <c r="M222" s="96">
        <f>VLOOKUP(B222,tab_Tecnologias_TE_RE!$A$2:$W$101,COLUMN(tab_Tecnologias_TE_RE!$W$1),0)</f>
        <v>3</v>
      </c>
    </row>
    <row r="223" spans="1:13">
      <c r="A223" s="95">
        <v>5181</v>
      </c>
      <c r="B223" s="86">
        <v>320</v>
      </c>
      <c r="C223" s="96" t="str">
        <f>VLOOKUP(B223,tab_Tecnologias_TE_RE!$A$1:$B$101,2,0)</f>
        <v>GAS_CC_flexível_30_40</v>
      </c>
      <c r="D223" s="152" t="s">
        <v>146</v>
      </c>
      <c r="E223" s="17">
        <v>3</v>
      </c>
      <c r="F223" s="125">
        <v>190</v>
      </c>
      <c r="G223" s="97" t="str">
        <f t="shared" si="3"/>
        <v>GAS_CC_flexível_30_40_3_1_2033</v>
      </c>
      <c r="H223" s="23">
        <v>1</v>
      </c>
      <c r="I223" s="345" t="str">
        <f>VLOOKUP(H223,tab_tipo_expansao!$A$2:$B$4,2,0)</f>
        <v>opcional</v>
      </c>
      <c r="J223" s="59">
        <v>2033</v>
      </c>
      <c r="K223" s="59">
        <v>2040</v>
      </c>
      <c r="L223" s="98">
        <f>F223*VLOOKUP(B223,tab_Tecnologias_TE_RE!$A$2:$C$101,3,0)</f>
        <v>190</v>
      </c>
      <c r="M223" s="96">
        <f>VLOOKUP(B223,tab_Tecnologias_TE_RE!$A$2:$W$101,COLUMN(tab_Tecnologias_TE_RE!$W$1),0)</f>
        <v>3</v>
      </c>
    </row>
    <row r="224" spans="1:13">
      <c r="A224" s="95">
        <v>5182</v>
      </c>
      <c r="B224" s="86">
        <v>320</v>
      </c>
      <c r="C224" s="96" t="str">
        <f>VLOOKUP(B224,tab_Tecnologias_TE_RE!$A$1:$B$101,2,0)</f>
        <v>GAS_CC_flexível_30_40</v>
      </c>
      <c r="D224" s="152" t="s">
        <v>146</v>
      </c>
      <c r="E224" s="17">
        <v>3</v>
      </c>
      <c r="F224" s="125">
        <v>190</v>
      </c>
      <c r="G224" s="97" t="str">
        <f t="shared" si="3"/>
        <v>GAS_CC_flexível_30_40_3_1_2034</v>
      </c>
      <c r="H224" s="23">
        <v>1</v>
      </c>
      <c r="I224" s="345" t="str">
        <f>VLOOKUP(H224,tab_tipo_expansao!$A$2:$B$4,2,0)</f>
        <v>opcional</v>
      </c>
      <c r="J224" s="59">
        <v>2034</v>
      </c>
      <c r="K224" s="59">
        <v>2040</v>
      </c>
      <c r="L224" s="98">
        <f>F224*VLOOKUP(B224,tab_Tecnologias_TE_RE!$A$2:$C$101,3,0)</f>
        <v>190</v>
      </c>
      <c r="M224" s="96">
        <f>VLOOKUP(B224,tab_Tecnologias_TE_RE!$A$2:$W$101,COLUMN(tab_Tecnologias_TE_RE!$W$1),0)</f>
        <v>3</v>
      </c>
    </row>
    <row r="225" spans="1:13">
      <c r="A225" s="95">
        <v>5183</v>
      </c>
      <c r="B225" s="86">
        <v>320</v>
      </c>
      <c r="C225" s="96" t="str">
        <f>VLOOKUP(B225,tab_Tecnologias_TE_RE!$A$1:$B$101,2,0)</f>
        <v>GAS_CC_flexível_30_40</v>
      </c>
      <c r="D225" s="152" t="s">
        <v>146</v>
      </c>
      <c r="E225" s="17">
        <v>3</v>
      </c>
      <c r="F225" s="125">
        <v>190</v>
      </c>
      <c r="G225" s="97" t="str">
        <f t="shared" si="3"/>
        <v>GAS_CC_flexível_30_40_3_1_2035</v>
      </c>
      <c r="H225" s="23">
        <v>1</v>
      </c>
      <c r="I225" s="345" t="str">
        <f>VLOOKUP(H225,tab_tipo_expansao!$A$2:$B$4,2,0)</f>
        <v>opcional</v>
      </c>
      <c r="J225" s="59">
        <v>2035</v>
      </c>
      <c r="K225" s="59">
        <v>2040</v>
      </c>
      <c r="L225" s="98">
        <f>F225*VLOOKUP(B225,tab_Tecnologias_TE_RE!$A$2:$C$101,3,0)</f>
        <v>190</v>
      </c>
      <c r="M225" s="96">
        <f>VLOOKUP(B225,tab_Tecnologias_TE_RE!$A$2:$W$101,COLUMN(tab_Tecnologias_TE_RE!$W$1),0)</f>
        <v>3</v>
      </c>
    </row>
    <row r="226" spans="1:13">
      <c r="A226" s="95">
        <v>5184</v>
      </c>
      <c r="B226" s="86">
        <v>320</v>
      </c>
      <c r="C226" s="96" t="str">
        <f>VLOOKUP(B226,tab_Tecnologias_TE_RE!$A$1:$B$101,2,0)</f>
        <v>GAS_CC_flexível_30_40</v>
      </c>
      <c r="D226" s="152" t="s">
        <v>146</v>
      </c>
      <c r="E226" s="17">
        <v>3</v>
      </c>
      <c r="F226" s="125">
        <v>190</v>
      </c>
      <c r="G226" s="97" t="str">
        <f t="shared" si="3"/>
        <v>GAS_CC_flexível_30_40_3_1_2036</v>
      </c>
      <c r="H226" s="23">
        <v>1</v>
      </c>
      <c r="I226" s="345" t="str">
        <f>VLOOKUP(H226,tab_tipo_expansao!$A$2:$B$4,2,0)</f>
        <v>opcional</v>
      </c>
      <c r="J226" s="59">
        <v>2036</v>
      </c>
      <c r="K226" s="59">
        <v>2040</v>
      </c>
      <c r="L226" s="98">
        <f>F226*VLOOKUP(B226,tab_Tecnologias_TE_RE!$A$2:$C$101,3,0)</f>
        <v>190</v>
      </c>
      <c r="M226" s="96">
        <f>VLOOKUP(B226,tab_Tecnologias_TE_RE!$A$2:$W$101,COLUMN(tab_Tecnologias_TE_RE!$W$1),0)</f>
        <v>3</v>
      </c>
    </row>
    <row r="227" spans="1:13">
      <c r="A227" s="95">
        <v>5185</v>
      </c>
      <c r="B227" s="86">
        <v>320</v>
      </c>
      <c r="C227" s="96" t="str">
        <f>VLOOKUP(B227,tab_Tecnologias_TE_RE!$A$1:$B$101,2,0)</f>
        <v>GAS_CC_flexível_30_40</v>
      </c>
      <c r="D227" s="152" t="s">
        <v>146</v>
      </c>
      <c r="E227" s="17">
        <v>3</v>
      </c>
      <c r="F227" s="125">
        <v>190</v>
      </c>
      <c r="G227" s="97" t="str">
        <f t="shared" si="3"/>
        <v>GAS_CC_flexível_30_40_3_1_2037</v>
      </c>
      <c r="H227" s="23">
        <v>1</v>
      </c>
      <c r="I227" s="345" t="str">
        <f>VLOOKUP(H227,tab_tipo_expansao!$A$2:$B$4,2,0)</f>
        <v>opcional</v>
      </c>
      <c r="J227" s="59">
        <v>2037</v>
      </c>
      <c r="K227" s="59">
        <v>2040</v>
      </c>
      <c r="L227" s="98">
        <f>F227*VLOOKUP(B227,tab_Tecnologias_TE_RE!$A$2:$C$101,3,0)</f>
        <v>190</v>
      </c>
      <c r="M227" s="96">
        <f>VLOOKUP(B227,tab_Tecnologias_TE_RE!$A$2:$W$101,COLUMN(tab_Tecnologias_TE_RE!$W$1),0)</f>
        <v>3</v>
      </c>
    </row>
    <row r="228" spans="1:13">
      <c r="A228" s="95">
        <v>5186</v>
      </c>
      <c r="B228" s="86">
        <v>320</v>
      </c>
      <c r="C228" s="96" t="str">
        <f>VLOOKUP(B228,tab_Tecnologias_TE_RE!$A$1:$B$101,2,0)</f>
        <v>GAS_CC_flexível_30_40</v>
      </c>
      <c r="D228" s="152" t="s">
        <v>146</v>
      </c>
      <c r="E228" s="17">
        <v>3</v>
      </c>
      <c r="F228" s="125">
        <v>190</v>
      </c>
      <c r="G228" s="97" t="str">
        <f t="shared" si="3"/>
        <v>GAS_CC_flexível_30_40_3_1_2038</v>
      </c>
      <c r="H228" s="23">
        <v>1</v>
      </c>
      <c r="I228" s="345" t="str">
        <f>VLOOKUP(H228,tab_tipo_expansao!$A$2:$B$4,2,0)</f>
        <v>opcional</v>
      </c>
      <c r="J228" s="59">
        <v>2038</v>
      </c>
      <c r="K228" s="59">
        <v>2040</v>
      </c>
      <c r="L228" s="98">
        <f>F228*VLOOKUP(B228,tab_Tecnologias_TE_RE!$A$2:$C$101,3,0)</f>
        <v>190</v>
      </c>
      <c r="M228" s="96">
        <f>VLOOKUP(B228,tab_Tecnologias_TE_RE!$A$2:$W$101,COLUMN(tab_Tecnologias_TE_RE!$W$1),0)</f>
        <v>3</v>
      </c>
    </row>
    <row r="229" spans="1:13">
      <c r="A229" s="95">
        <v>5187</v>
      </c>
      <c r="B229" s="86">
        <v>320</v>
      </c>
      <c r="C229" s="96" t="str">
        <f>VLOOKUP(B229,tab_Tecnologias_TE_RE!$A$1:$B$101,2,0)</f>
        <v>GAS_CC_flexível_30_40</v>
      </c>
      <c r="D229" s="152" t="s">
        <v>146</v>
      </c>
      <c r="E229" s="17">
        <v>3</v>
      </c>
      <c r="F229" s="125">
        <v>190</v>
      </c>
      <c r="G229" s="97" t="str">
        <f t="shared" si="3"/>
        <v>GAS_CC_flexível_30_40_3_1_2039</v>
      </c>
      <c r="H229" s="23">
        <v>1</v>
      </c>
      <c r="I229" s="345" t="str">
        <f>VLOOKUP(H229,tab_tipo_expansao!$A$2:$B$4,2,0)</f>
        <v>opcional</v>
      </c>
      <c r="J229" s="59">
        <v>2039</v>
      </c>
      <c r="K229" s="59">
        <v>2040</v>
      </c>
      <c r="L229" s="98">
        <f>F229*VLOOKUP(B229,tab_Tecnologias_TE_RE!$A$2:$C$101,3,0)</f>
        <v>190</v>
      </c>
      <c r="M229" s="96">
        <f>VLOOKUP(B229,tab_Tecnologias_TE_RE!$A$2:$W$101,COLUMN(tab_Tecnologias_TE_RE!$W$1),0)</f>
        <v>3</v>
      </c>
    </row>
    <row r="230" spans="1:13">
      <c r="A230" s="95">
        <v>5188</v>
      </c>
      <c r="B230" s="86">
        <v>320</v>
      </c>
      <c r="C230" s="96" t="str">
        <f>VLOOKUP(B230,tab_Tecnologias_TE_RE!$A$1:$B$101,2,0)</f>
        <v>GAS_CC_flexível_30_40</v>
      </c>
      <c r="D230" s="152" t="s">
        <v>146</v>
      </c>
      <c r="E230" s="17">
        <v>3</v>
      </c>
      <c r="F230" s="125">
        <v>190</v>
      </c>
      <c r="G230" s="97" t="str">
        <f t="shared" si="3"/>
        <v>GAS_CC_flexível_30_40_3_1_2040</v>
      </c>
      <c r="H230" s="23">
        <v>1</v>
      </c>
      <c r="I230" s="345" t="str">
        <f>VLOOKUP(H230,tab_tipo_expansao!$A$2:$B$4,2,0)</f>
        <v>opcional</v>
      </c>
      <c r="J230" s="59">
        <v>2040</v>
      </c>
      <c r="K230" s="59">
        <v>2040</v>
      </c>
      <c r="L230" s="98">
        <f>F230*VLOOKUP(B230,tab_Tecnologias_TE_RE!$A$2:$C$101,3,0)</f>
        <v>190</v>
      </c>
      <c r="M230" s="96">
        <f>VLOOKUP(B230,tab_Tecnologias_TE_RE!$A$2:$W$101,COLUMN(tab_Tecnologias_TE_RE!$W$1),0)</f>
        <v>3</v>
      </c>
    </row>
    <row r="231" spans="1:13">
      <c r="A231">
        <v>5179</v>
      </c>
      <c r="B231">
        <v>320</v>
      </c>
      <c r="C231" s="96" t="str">
        <f>VLOOKUP(B231,tab_Tecnologias_TE_RE!$A$1:$B$101,2,0)</f>
        <v>GAS_CC_flexível_30_40</v>
      </c>
      <c r="D231" t="s">
        <v>146</v>
      </c>
      <c r="E231">
        <v>1</v>
      </c>
      <c r="F231" s="125">
        <v>535</v>
      </c>
      <c r="G231" s="97" t="str">
        <f t="shared" si="3"/>
        <v>GAS_CC_flexível_30_40_1_1_2031</v>
      </c>
      <c r="H231">
        <v>1</v>
      </c>
      <c r="I231" s="345" t="str">
        <f>VLOOKUP(H231,tab_tipo_expansao!$A$2:$B$4,2,0)</f>
        <v>opcional</v>
      </c>
      <c r="J231">
        <v>2031</v>
      </c>
      <c r="K231">
        <v>2040</v>
      </c>
      <c r="L231" s="98">
        <f>F231*VLOOKUP(B231,tab_Tecnologias_TE_RE!$A$2:$C$101,3,0)</f>
        <v>535</v>
      </c>
      <c r="M231" s="96">
        <f>VLOOKUP(B231,tab_Tecnologias_TE_RE!$A$2:$W$101,COLUMN(tab_Tecnologias_TE_RE!$W$1),0)</f>
        <v>3</v>
      </c>
    </row>
    <row r="232" spans="1:13">
      <c r="A232">
        <v>5180</v>
      </c>
      <c r="B232">
        <v>320</v>
      </c>
      <c r="C232" s="96" t="str">
        <f>VLOOKUP(B232,tab_Tecnologias_TE_RE!$A$1:$B$101,2,0)</f>
        <v>GAS_CC_flexível_30_40</v>
      </c>
      <c r="D232" t="s">
        <v>146</v>
      </c>
      <c r="E232">
        <v>1</v>
      </c>
      <c r="F232" s="125">
        <v>535</v>
      </c>
      <c r="G232" s="97" t="str">
        <f t="shared" si="3"/>
        <v>GAS_CC_flexível_30_40_1_1_2032</v>
      </c>
      <c r="H232">
        <v>1</v>
      </c>
      <c r="I232" s="345" t="str">
        <f>VLOOKUP(H232,tab_tipo_expansao!$A$2:$B$4,2,0)</f>
        <v>opcional</v>
      </c>
      <c r="J232">
        <v>2032</v>
      </c>
      <c r="K232">
        <v>2040</v>
      </c>
      <c r="L232" s="98">
        <f>F232*VLOOKUP(B232,tab_Tecnologias_TE_RE!$A$2:$C$101,3,0)</f>
        <v>535</v>
      </c>
      <c r="M232" s="96">
        <f>VLOOKUP(B232,tab_Tecnologias_TE_RE!$A$2:$W$101,COLUMN(tab_Tecnologias_TE_RE!$W$1),0)</f>
        <v>3</v>
      </c>
    </row>
    <row r="233" spans="1:13">
      <c r="A233">
        <v>5181</v>
      </c>
      <c r="B233">
        <v>320</v>
      </c>
      <c r="C233" s="96" t="str">
        <f>VLOOKUP(B233,tab_Tecnologias_TE_RE!$A$1:$B$101,2,0)</f>
        <v>GAS_CC_flexível_30_40</v>
      </c>
      <c r="D233" t="s">
        <v>146</v>
      </c>
      <c r="E233">
        <v>1</v>
      </c>
      <c r="F233" s="125">
        <v>535</v>
      </c>
      <c r="G233" s="97" t="str">
        <f t="shared" si="3"/>
        <v>GAS_CC_flexível_30_40_1_1_2033</v>
      </c>
      <c r="H233">
        <v>1</v>
      </c>
      <c r="I233" s="345" t="str">
        <f>VLOOKUP(H233,tab_tipo_expansao!$A$2:$B$4,2,0)</f>
        <v>opcional</v>
      </c>
      <c r="J233">
        <v>2033</v>
      </c>
      <c r="K233">
        <v>2040</v>
      </c>
      <c r="L233" s="98">
        <f>F233*VLOOKUP(B233,tab_Tecnologias_TE_RE!$A$2:$C$101,3,0)</f>
        <v>535</v>
      </c>
      <c r="M233" s="96">
        <f>VLOOKUP(B233,tab_Tecnologias_TE_RE!$A$2:$W$101,COLUMN(tab_Tecnologias_TE_RE!$W$1),0)</f>
        <v>3</v>
      </c>
    </row>
    <row r="234" spans="1:13">
      <c r="A234">
        <v>5182</v>
      </c>
      <c r="B234">
        <v>320</v>
      </c>
      <c r="C234" s="96" t="str">
        <f>VLOOKUP(B234,tab_Tecnologias_TE_RE!$A$1:$B$101,2,0)</f>
        <v>GAS_CC_flexível_30_40</v>
      </c>
      <c r="D234" t="s">
        <v>146</v>
      </c>
      <c r="E234">
        <v>1</v>
      </c>
      <c r="F234" s="125">
        <v>535</v>
      </c>
      <c r="G234" s="97" t="str">
        <f t="shared" si="3"/>
        <v>GAS_CC_flexível_30_40_1_1_2034</v>
      </c>
      <c r="H234">
        <v>1</v>
      </c>
      <c r="I234" s="345" t="str">
        <f>VLOOKUP(H234,tab_tipo_expansao!$A$2:$B$4,2,0)</f>
        <v>opcional</v>
      </c>
      <c r="J234">
        <v>2034</v>
      </c>
      <c r="K234">
        <v>2040</v>
      </c>
      <c r="L234" s="98">
        <f>F234*VLOOKUP(B234,tab_Tecnologias_TE_RE!$A$2:$C$101,3,0)</f>
        <v>535</v>
      </c>
      <c r="M234" s="96">
        <f>VLOOKUP(B234,tab_Tecnologias_TE_RE!$A$2:$W$101,COLUMN(tab_Tecnologias_TE_RE!$W$1),0)</f>
        <v>3</v>
      </c>
    </row>
    <row r="235" spans="1:13">
      <c r="A235">
        <v>5183</v>
      </c>
      <c r="B235">
        <v>320</v>
      </c>
      <c r="C235" s="96" t="str">
        <f>VLOOKUP(B235,tab_Tecnologias_TE_RE!$A$1:$B$101,2,0)</f>
        <v>GAS_CC_flexível_30_40</v>
      </c>
      <c r="D235" t="s">
        <v>146</v>
      </c>
      <c r="E235">
        <v>1</v>
      </c>
      <c r="F235" s="125">
        <v>535</v>
      </c>
      <c r="G235" s="97" t="str">
        <f t="shared" si="3"/>
        <v>GAS_CC_flexível_30_40_1_1_2035</v>
      </c>
      <c r="H235">
        <v>1</v>
      </c>
      <c r="I235" s="345" t="str">
        <f>VLOOKUP(H235,tab_tipo_expansao!$A$2:$B$4,2,0)</f>
        <v>opcional</v>
      </c>
      <c r="J235">
        <v>2035</v>
      </c>
      <c r="K235">
        <v>2040</v>
      </c>
      <c r="L235" s="98">
        <f>F235*VLOOKUP(B235,tab_Tecnologias_TE_RE!$A$2:$C$101,3,0)</f>
        <v>535</v>
      </c>
      <c r="M235" s="96">
        <f>VLOOKUP(B235,tab_Tecnologias_TE_RE!$A$2:$W$101,COLUMN(tab_Tecnologias_TE_RE!$W$1),0)</f>
        <v>3</v>
      </c>
    </row>
    <row r="236" spans="1:13">
      <c r="A236">
        <v>5184</v>
      </c>
      <c r="B236">
        <v>320</v>
      </c>
      <c r="C236" s="96" t="str">
        <f>VLOOKUP(B236,tab_Tecnologias_TE_RE!$A$1:$B$101,2,0)</f>
        <v>GAS_CC_flexível_30_40</v>
      </c>
      <c r="D236" t="s">
        <v>146</v>
      </c>
      <c r="E236">
        <v>1</v>
      </c>
      <c r="F236" s="125">
        <v>535</v>
      </c>
      <c r="G236" s="97" t="str">
        <f t="shared" si="3"/>
        <v>GAS_CC_flexível_30_40_1_1_2036</v>
      </c>
      <c r="H236">
        <v>1</v>
      </c>
      <c r="I236" s="345" t="str">
        <f>VLOOKUP(H236,tab_tipo_expansao!$A$2:$B$4,2,0)</f>
        <v>opcional</v>
      </c>
      <c r="J236">
        <v>2036</v>
      </c>
      <c r="K236">
        <v>2040</v>
      </c>
      <c r="L236" s="98">
        <f>F236*VLOOKUP(B236,tab_Tecnologias_TE_RE!$A$2:$C$101,3,0)</f>
        <v>535</v>
      </c>
      <c r="M236" s="96">
        <f>VLOOKUP(B236,tab_Tecnologias_TE_RE!$A$2:$W$101,COLUMN(tab_Tecnologias_TE_RE!$W$1),0)</f>
        <v>3</v>
      </c>
    </row>
    <row r="237" spans="1:13">
      <c r="A237">
        <v>5185</v>
      </c>
      <c r="B237">
        <v>320</v>
      </c>
      <c r="C237" s="96" t="str">
        <f>VLOOKUP(B237,tab_Tecnologias_TE_RE!$A$1:$B$101,2,0)</f>
        <v>GAS_CC_flexível_30_40</v>
      </c>
      <c r="D237" t="s">
        <v>146</v>
      </c>
      <c r="E237">
        <v>1</v>
      </c>
      <c r="F237" s="125">
        <v>535</v>
      </c>
      <c r="G237" s="97" t="str">
        <f t="shared" si="3"/>
        <v>GAS_CC_flexível_30_40_1_1_2037</v>
      </c>
      <c r="H237">
        <v>1</v>
      </c>
      <c r="I237" s="345" t="str">
        <f>VLOOKUP(H237,tab_tipo_expansao!$A$2:$B$4,2,0)</f>
        <v>opcional</v>
      </c>
      <c r="J237">
        <v>2037</v>
      </c>
      <c r="K237">
        <v>2040</v>
      </c>
      <c r="L237" s="98">
        <f>F237*VLOOKUP(B237,tab_Tecnologias_TE_RE!$A$2:$C$101,3,0)</f>
        <v>535</v>
      </c>
      <c r="M237" s="96">
        <f>VLOOKUP(B237,tab_Tecnologias_TE_RE!$A$2:$W$101,COLUMN(tab_Tecnologias_TE_RE!$W$1),0)</f>
        <v>3</v>
      </c>
    </row>
    <row r="238" spans="1:13">
      <c r="A238">
        <v>5186</v>
      </c>
      <c r="B238">
        <v>320</v>
      </c>
      <c r="C238" s="96" t="str">
        <f>VLOOKUP(B238,tab_Tecnologias_TE_RE!$A$1:$B$101,2,0)</f>
        <v>GAS_CC_flexível_30_40</v>
      </c>
      <c r="D238" t="s">
        <v>146</v>
      </c>
      <c r="E238">
        <v>1</v>
      </c>
      <c r="F238" s="125">
        <v>535</v>
      </c>
      <c r="G238" s="97" t="str">
        <f t="shared" si="3"/>
        <v>GAS_CC_flexível_30_40_1_1_2038</v>
      </c>
      <c r="H238">
        <v>1</v>
      </c>
      <c r="I238" s="345" t="str">
        <f>VLOOKUP(H238,tab_tipo_expansao!$A$2:$B$4,2,0)</f>
        <v>opcional</v>
      </c>
      <c r="J238">
        <v>2038</v>
      </c>
      <c r="K238">
        <v>2040</v>
      </c>
      <c r="L238" s="98">
        <f>F238*VLOOKUP(B238,tab_Tecnologias_TE_RE!$A$2:$C$101,3,0)</f>
        <v>535</v>
      </c>
      <c r="M238" s="96">
        <f>VLOOKUP(B238,tab_Tecnologias_TE_RE!$A$2:$W$101,COLUMN(tab_Tecnologias_TE_RE!$W$1),0)</f>
        <v>3</v>
      </c>
    </row>
    <row r="239" spans="1:13">
      <c r="A239">
        <v>5187</v>
      </c>
      <c r="B239">
        <v>320</v>
      </c>
      <c r="C239" s="96" t="str">
        <f>VLOOKUP(B239,tab_Tecnologias_TE_RE!$A$1:$B$101,2,0)</f>
        <v>GAS_CC_flexível_30_40</v>
      </c>
      <c r="D239" t="s">
        <v>146</v>
      </c>
      <c r="E239">
        <v>1</v>
      </c>
      <c r="F239" s="125">
        <v>535</v>
      </c>
      <c r="G239" s="97" t="str">
        <f t="shared" si="3"/>
        <v>GAS_CC_flexível_30_40_1_1_2039</v>
      </c>
      <c r="H239">
        <v>1</v>
      </c>
      <c r="I239" s="345" t="str">
        <f>VLOOKUP(H239,tab_tipo_expansao!$A$2:$B$4,2,0)</f>
        <v>opcional</v>
      </c>
      <c r="J239">
        <v>2039</v>
      </c>
      <c r="K239">
        <v>2040</v>
      </c>
      <c r="L239" s="98">
        <f>F239*VLOOKUP(B239,tab_Tecnologias_TE_RE!$A$2:$C$101,3,0)</f>
        <v>535</v>
      </c>
      <c r="M239" s="96">
        <f>VLOOKUP(B239,tab_Tecnologias_TE_RE!$A$2:$W$101,COLUMN(tab_Tecnologias_TE_RE!$W$1),0)</f>
        <v>3</v>
      </c>
    </row>
    <row r="240" spans="1:13">
      <c r="A240">
        <v>5188</v>
      </c>
      <c r="B240">
        <v>320</v>
      </c>
      <c r="C240" s="96" t="str">
        <f>VLOOKUP(B240,tab_Tecnologias_TE_RE!$A$1:$B$101,2,0)</f>
        <v>GAS_CC_flexível_30_40</v>
      </c>
      <c r="D240" t="s">
        <v>146</v>
      </c>
      <c r="E240">
        <v>1</v>
      </c>
      <c r="F240" s="125">
        <v>535</v>
      </c>
      <c r="G240" s="97" t="str">
        <f t="shared" si="3"/>
        <v>GAS_CC_flexível_30_40_1_1_2040</v>
      </c>
      <c r="H240">
        <v>1</v>
      </c>
      <c r="I240" s="345" t="str">
        <f>VLOOKUP(H240,tab_tipo_expansao!$A$2:$B$4,2,0)</f>
        <v>opcional</v>
      </c>
      <c r="J240">
        <v>2040</v>
      </c>
      <c r="K240">
        <v>2040</v>
      </c>
      <c r="L240" s="98">
        <f>F240*VLOOKUP(B240,tab_Tecnologias_TE_RE!$A$2:$C$101,3,0)</f>
        <v>535</v>
      </c>
      <c r="M240" s="96">
        <f>VLOOKUP(B240,tab_Tecnologias_TE_RE!$A$2:$W$101,COLUMN(tab_Tecnologias_TE_RE!$W$1),0)</f>
        <v>3</v>
      </c>
    </row>
    <row r="241" spans="1:13">
      <c r="A241">
        <v>5189</v>
      </c>
      <c r="B241">
        <v>506</v>
      </c>
      <c r="C241" s="96" t="str">
        <f>VLOOKUP(B241,tab_Tecnologias_TE_RE!$A$1:$B$101,2,0)</f>
        <v>GAS_CC_NAC_Não_Conv</v>
      </c>
      <c r="D241" t="s">
        <v>146</v>
      </c>
      <c r="E241">
        <v>1</v>
      </c>
      <c r="F241" s="125">
        <v>3400</v>
      </c>
      <c r="G241" s="97" t="str">
        <f t="shared" si="3"/>
        <v>GAS_CC_NAC_Não_Conv_1_1_2030</v>
      </c>
      <c r="H241">
        <v>1</v>
      </c>
      <c r="I241" s="345" t="str">
        <f>VLOOKUP(H241,tab_tipo_expansao!$A$2:$B$4,2,0)</f>
        <v>opcional</v>
      </c>
      <c r="J241">
        <v>2030</v>
      </c>
      <c r="K241">
        <v>2040</v>
      </c>
      <c r="L241" s="98">
        <f>F241*VLOOKUP(B241,tab_Tecnologias_TE_RE!$A$2:$C$101,3,0)</f>
        <v>3400</v>
      </c>
      <c r="M241" s="96">
        <f>VLOOKUP(B241,tab_Tecnologias_TE_RE!$A$2:$W$101,COLUMN(tab_Tecnologias_TE_RE!$W$1),0)</f>
        <v>3</v>
      </c>
    </row>
    <row r="242" spans="1:13">
      <c r="A242">
        <v>5190</v>
      </c>
      <c r="B242">
        <v>506</v>
      </c>
      <c r="C242" s="96" t="str">
        <f>VLOOKUP(B242,tab_Tecnologias_TE_RE!$A$1:$B$101,2,0)</f>
        <v>GAS_CC_NAC_Não_Conv</v>
      </c>
      <c r="D242" t="s">
        <v>146</v>
      </c>
      <c r="E242">
        <v>1</v>
      </c>
      <c r="F242" s="125">
        <v>3400</v>
      </c>
      <c r="G242" s="97" t="str">
        <f t="shared" si="3"/>
        <v>GAS_CC_NAC_Não_Conv_1_1_2031</v>
      </c>
      <c r="H242">
        <v>1</v>
      </c>
      <c r="I242" s="345" t="str">
        <f>VLOOKUP(H242,tab_tipo_expansao!$A$2:$B$4,2,0)</f>
        <v>opcional</v>
      </c>
      <c r="J242">
        <v>2031</v>
      </c>
      <c r="K242">
        <v>2040</v>
      </c>
      <c r="L242" s="98">
        <f>F242*VLOOKUP(B242,tab_Tecnologias_TE_RE!$A$2:$C$101,3,0)</f>
        <v>3400</v>
      </c>
      <c r="M242" s="96">
        <f>VLOOKUP(B242,tab_Tecnologias_TE_RE!$A$2:$W$101,COLUMN(tab_Tecnologias_TE_RE!$W$1),0)</f>
        <v>3</v>
      </c>
    </row>
    <row r="243" spans="1:13">
      <c r="A243">
        <v>5191</v>
      </c>
      <c r="B243">
        <v>506</v>
      </c>
      <c r="C243" s="96" t="str">
        <f>VLOOKUP(B243,tab_Tecnologias_TE_RE!$A$1:$B$101,2,0)</f>
        <v>GAS_CC_NAC_Não_Conv</v>
      </c>
      <c r="D243" t="s">
        <v>146</v>
      </c>
      <c r="E243">
        <v>1</v>
      </c>
      <c r="F243" s="125">
        <v>3400</v>
      </c>
      <c r="G243" s="97" t="str">
        <f t="shared" si="3"/>
        <v>GAS_CC_NAC_Não_Conv_1_1_2032</v>
      </c>
      <c r="H243">
        <v>1</v>
      </c>
      <c r="I243" s="345" t="str">
        <f>VLOOKUP(H243,tab_tipo_expansao!$A$2:$B$4,2,0)</f>
        <v>opcional</v>
      </c>
      <c r="J243">
        <v>2032</v>
      </c>
      <c r="K243">
        <v>2040</v>
      </c>
      <c r="L243" s="98">
        <f>F243*VLOOKUP(B243,tab_Tecnologias_TE_RE!$A$2:$C$101,3,0)</f>
        <v>3400</v>
      </c>
      <c r="M243" s="96">
        <f>VLOOKUP(B243,tab_Tecnologias_TE_RE!$A$2:$W$101,COLUMN(tab_Tecnologias_TE_RE!$W$1),0)</f>
        <v>3</v>
      </c>
    </row>
    <row r="244" spans="1:13">
      <c r="A244">
        <v>5192</v>
      </c>
      <c r="B244">
        <v>506</v>
      </c>
      <c r="C244" s="96" t="str">
        <f>VLOOKUP(B244,tab_Tecnologias_TE_RE!$A$1:$B$101,2,0)</f>
        <v>GAS_CC_NAC_Não_Conv</v>
      </c>
      <c r="D244" t="s">
        <v>146</v>
      </c>
      <c r="E244">
        <v>1</v>
      </c>
      <c r="F244" s="125">
        <v>3400</v>
      </c>
      <c r="G244" s="97" t="str">
        <f t="shared" si="3"/>
        <v>GAS_CC_NAC_Não_Conv_1_1_2033</v>
      </c>
      <c r="H244">
        <v>1</v>
      </c>
      <c r="I244" s="345" t="str">
        <f>VLOOKUP(H244,tab_tipo_expansao!$A$2:$B$4,2,0)</f>
        <v>opcional</v>
      </c>
      <c r="J244">
        <v>2033</v>
      </c>
      <c r="K244">
        <v>2040</v>
      </c>
      <c r="L244" s="98">
        <f>F244*VLOOKUP(B244,tab_Tecnologias_TE_RE!$A$2:$C$101,3,0)</f>
        <v>3400</v>
      </c>
      <c r="M244" s="96">
        <f>VLOOKUP(B244,tab_Tecnologias_TE_RE!$A$2:$W$101,COLUMN(tab_Tecnologias_TE_RE!$W$1),0)</f>
        <v>3</v>
      </c>
    </row>
    <row r="245" spans="1:13">
      <c r="A245">
        <v>5193</v>
      </c>
      <c r="B245">
        <v>506</v>
      </c>
      <c r="C245" s="96" t="str">
        <f>VLOOKUP(B245,tab_Tecnologias_TE_RE!$A$1:$B$101,2,0)</f>
        <v>GAS_CC_NAC_Não_Conv</v>
      </c>
      <c r="D245" t="s">
        <v>146</v>
      </c>
      <c r="E245">
        <v>1</v>
      </c>
      <c r="F245" s="125">
        <v>3400</v>
      </c>
      <c r="G245" s="97" t="str">
        <f t="shared" si="3"/>
        <v>GAS_CC_NAC_Não_Conv_1_1_2034</v>
      </c>
      <c r="H245">
        <v>1</v>
      </c>
      <c r="I245" s="345" t="str">
        <f>VLOOKUP(H245,tab_tipo_expansao!$A$2:$B$4,2,0)</f>
        <v>opcional</v>
      </c>
      <c r="J245">
        <v>2034</v>
      </c>
      <c r="K245">
        <v>2040</v>
      </c>
      <c r="L245" s="98">
        <f>F245*VLOOKUP(B245,tab_Tecnologias_TE_RE!$A$2:$C$101,3,0)</f>
        <v>3400</v>
      </c>
      <c r="M245" s="96">
        <f>VLOOKUP(B245,tab_Tecnologias_TE_RE!$A$2:$W$101,COLUMN(tab_Tecnologias_TE_RE!$W$1),0)</f>
        <v>3</v>
      </c>
    </row>
    <row r="246" spans="1:13">
      <c r="A246">
        <v>5194</v>
      </c>
      <c r="B246">
        <v>506</v>
      </c>
      <c r="C246" s="96" t="str">
        <f>VLOOKUP(B246,tab_Tecnologias_TE_RE!$A$1:$B$101,2,0)</f>
        <v>GAS_CC_NAC_Não_Conv</v>
      </c>
      <c r="D246" t="s">
        <v>146</v>
      </c>
      <c r="E246">
        <v>1</v>
      </c>
      <c r="F246" s="125">
        <v>3400</v>
      </c>
      <c r="G246" s="97" t="str">
        <f t="shared" si="3"/>
        <v>GAS_CC_NAC_Não_Conv_1_1_2035</v>
      </c>
      <c r="H246">
        <v>1</v>
      </c>
      <c r="I246" s="345" t="str">
        <f>VLOOKUP(H246,tab_tipo_expansao!$A$2:$B$4,2,0)</f>
        <v>opcional</v>
      </c>
      <c r="J246">
        <v>2035</v>
      </c>
      <c r="K246">
        <v>2040</v>
      </c>
      <c r="L246" s="98">
        <f>F246*VLOOKUP(B246,tab_Tecnologias_TE_RE!$A$2:$C$101,3,0)</f>
        <v>3400</v>
      </c>
      <c r="M246" s="96">
        <f>VLOOKUP(B246,tab_Tecnologias_TE_RE!$A$2:$W$101,COLUMN(tab_Tecnologias_TE_RE!$W$1),0)</f>
        <v>3</v>
      </c>
    </row>
    <row r="247" spans="1:13">
      <c r="A247">
        <v>5195</v>
      </c>
      <c r="B247">
        <v>506</v>
      </c>
      <c r="C247" s="96" t="str">
        <f>VLOOKUP(B247,tab_Tecnologias_TE_RE!$A$1:$B$101,2,0)</f>
        <v>GAS_CC_NAC_Não_Conv</v>
      </c>
      <c r="D247" t="s">
        <v>146</v>
      </c>
      <c r="E247">
        <v>1</v>
      </c>
      <c r="F247" s="125">
        <v>3400</v>
      </c>
      <c r="G247" s="97" t="str">
        <f t="shared" si="3"/>
        <v>GAS_CC_NAC_Não_Conv_1_1_2036</v>
      </c>
      <c r="H247">
        <v>1</v>
      </c>
      <c r="I247" s="345" t="str">
        <f>VLOOKUP(H247,tab_tipo_expansao!$A$2:$B$4,2,0)</f>
        <v>opcional</v>
      </c>
      <c r="J247">
        <v>2036</v>
      </c>
      <c r="K247">
        <v>2040</v>
      </c>
      <c r="L247" s="98">
        <f>F247*VLOOKUP(B247,tab_Tecnologias_TE_RE!$A$2:$C$101,3,0)</f>
        <v>3400</v>
      </c>
      <c r="M247" s="96">
        <f>VLOOKUP(B247,tab_Tecnologias_TE_RE!$A$2:$W$101,COLUMN(tab_Tecnologias_TE_RE!$W$1),0)</f>
        <v>3</v>
      </c>
    </row>
    <row r="248" spans="1:13">
      <c r="A248">
        <v>5196</v>
      </c>
      <c r="B248">
        <v>506</v>
      </c>
      <c r="C248" s="96" t="str">
        <f>VLOOKUP(B248,tab_Tecnologias_TE_RE!$A$1:$B$101,2,0)</f>
        <v>GAS_CC_NAC_Não_Conv</v>
      </c>
      <c r="D248" t="s">
        <v>146</v>
      </c>
      <c r="E248">
        <v>1</v>
      </c>
      <c r="F248" s="125">
        <v>3400</v>
      </c>
      <c r="G248" s="97" t="str">
        <f t="shared" si="3"/>
        <v>GAS_CC_NAC_Não_Conv_1_1_2037</v>
      </c>
      <c r="H248">
        <v>1</v>
      </c>
      <c r="I248" s="345" t="str">
        <f>VLOOKUP(H248,tab_tipo_expansao!$A$2:$B$4,2,0)</f>
        <v>opcional</v>
      </c>
      <c r="J248">
        <v>2037</v>
      </c>
      <c r="K248">
        <v>2040</v>
      </c>
      <c r="L248" s="98">
        <f>F248*VLOOKUP(B248,tab_Tecnologias_TE_RE!$A$2:$C$101,3,0)</f>
        <v>3400</v>
      </c>
      <c r="M248" s="96">
        <f>VLOOKUP(B248,tab_Tecnologias_TE_RE!$A$2:$W$101,COLUMN(tab_Tecnologias_TE_RE!$W$1),0)</f>
        <v>3</v>
      </c>
    </row>
    <row r="249" spans="1:13">
      <c r="A249">
        <v>5197</v>
      </c>
      <c r="B249">
        <v>506</v>
      </c>
      <c r="C249" s="96" t="str">
        <f>VLOOKUP(B249,tab_Tecnologias_TE_RE!$A$1:$B$101,2,0)</f>
        <v>GAS_CC_NAC_Não_Conv</v>
      </c>
      <c r="D249" t="s">
        <v>146</v>
      </c>
      <c r="E249">
        <v>1</v>
      </c>
      <c r="F249" s="125">
        <v>3400</v>
      </c>
      <c r="G249" s="97" t="str">
        <f t="shared" si="3"/>
        <v>GAS_CC_NAC_Não_Conv_1_1_2038</v>
      </c>
      <c r="H249">
        <v>1</v>
      </c>
      <c r="I249" s="345" t="str">
        <f>VLOOKUP(H249,tab_tipo_expansao!$A$2:$B$4,2,0)</f>
        <v>opcional</v>
      </c>
      <c r="J249">
        <v>2038</v>
      </c>
      <c r="K249">
        <v>2040</v>
      </c>
      <c r="L249" s="98">
        <f>F249*VLOOKUP(B249,tab_Tecnologias_TE_RE!$A$2:$C$101,3,0)</f>
        <v>3400</v>
      </c>
      <c r="M249" s="96">
        <f>VLOOKUP(B249,tab_Tecnologias_TE_RE!$A$2:$W$101,COLUMN(tab_Tecnologias_TE_RE!$W$1),0)</f>
        <v>3</v>
      </c>
    </row>
    <row r="250" spans="1:13">
      <c r="A250">
        <v>5198</v>
      </c>
      <c r="B250">
        <v>506</v>
      </c>
      <c r="C250" s="96" t="str">
        <f>VLOOKUP(B250,tab_Tecnologias_TE_RE!$A$1:$B$101,2,0)</f>
        <v>GAS_CC_NAC_Não_Conv</v>
      </c>
      <c r="D250" t="s">
        <v>146</v>
      </c>
      <c r="E250">
        <v>1</v>
      </c>
      <c r="F250" s="125">
        <v>3400</v>
      </c>
      <c r="G250" s="97" t="str">
        <f t="shared" si="3"/>
        <v>GAS_CC_NAC_Não_Conv_1_1_2039</v>
      </c>
      <c r="H250">
        <v>1</v>
      </c>
      <c r="I250" s="345" t="str">
        <f>VLOOKUP(H250,tab_tipo_expansao!$A$2:$B$4,2,0)</f>
        <v>opcional</v>
      </c>
      <c r="J250">
        <v>2039</v>
      </c>
      <c r="K250">
        <v>2040</v>
      </c>
      <c r="L250" s="98">
        <f>F250*VLOOKUP(B250,tab_Tecnologias_TE_RE!$A$2:$C$101,3,0)</f>
        <v>3400</v>
      </c>
      <c r="M250" s="96">
        <f>VLOOKUP(B250,tab_Tecnologias_TE_RE!$A$2:$W$101,COLUMN(tab_Tecnologias_TE_RE!$W$1),0)</f>
        <v>3</v>
      </c>
    </row>
    <row r="251" spans="1:13">
      <c r="A251">
        <v>5199</v>
      </c>
      <c r="B251">
        <v>506</v>
      </c>
      <c r="C251" s="96" t="str">
        <f>VLOOKUP(B251,tab_Tecnologias_TE_RE!$A$1:$B$101,2,0)</f>
        <v>GAS_CC_NAC_Não_Conv</v>
      </c>
      <c r="D251" t="s">
        <v>146</v>
      </c>
      <c r="E251">
        <v>1</v>
      </c>
      <c r="F251" s="125">
        <v>3400</v>
      </c>
      <c r="G251" s="97" t="str">
        <f t="shared" si="3"/>
        <v>GAS_CC_NAC_Não_Conv_1_1_2040</v>
      </c>
      <c r="H251">
        <v>1</v>
      </c>
      <c r="I251" s="345" t="str">
        <f>VLOOKUP(H251,tab_tipo_expansao!$A$2:$B$4,2,0)</f>
        <v>opcional</v>
      </c>
      <c r="J251">
        <v>2040</v>
      </c>
      <c r="K251">
        <v>2040</v>
      </c>
      <c r="L251" s="98">
        <f>F251*VLOOKUP(B251,tab_Tecnologias_TE_RE!$A$2:$C$101,3,0)</f>
        <v>3400</v>
      </c>
      <c r="M251" s="96">
        <f>VLOOKUP(B251,tab_Tecnologias_TE_RE!$A$2:$W$101,COLUMN(tab_Tecnologias_TE_RE!$W$1),0)</f>
        <v>3</v>
      </c>
    </row>
    <row r="252" spans="1:13">
      <c r="A252">
        <v>5200</v>
      </c>
      <c r="B252">
        <v>506</v>
      </c>
      <c r="C252" s="96" t="str">
        <f>VLOOKUP(B252,tab_Tecnologias_TE_RE!$A$1:$B$101,2,0)</f>
        <v>GAS_CC_NAC_Não_Conv</v>
      </c>
      <c r="D252" t="s">
        <v>146</v>
      </c>
      <c r="E252">
        <v>1</v>
      </c>
      <c r="F252" s="125">
        <v>1550</v>
      </c>
      <c r="G252" s="97" t="str">
        <f t="shared" si="3"/>
        <v>GAS_CC_NAC_Não_Conv_1_1_2041</v>
      </c>
      <c r="H252">
        <v>1</v>
      </c>
      <c r="I252" s="345" t="str">
        <f>VLOOKUP(H252,tab_tipo_expansao!$A$2:$B$4,2,0)</f>
        <v>opcional</v>
      </c>
      <c r="J252">
        <v>2041</v>
      </c>
      <c r="K252">
        <v>2050</v>
      </c>
      <c r="L252" s="98">
        <f>F252*VLOOKUP(B252,tab_Tecnologias_TE_RE!$A$2:$C$101,3,0)</f>
        <v>1550</v>
      </c>
      <c r="M252" s="96">
        <f>VLOOKUP(B252,tab_Tecnologias_TE_RE!$A$2:$W$101,COLUMN(tab_Tecnologias_TE_RE!$W$1),0)</f>
        <v>3</v>
      </c>
    </row>
    <row r="253" spans="1:13">
      <c r="A253">
        <v>5201</v>
      </c>
      <c r="B253">
        <v>506</v>
      </c>
      <c r="C253" s="96" t="str">
        <f>VLOOKUP(B253,tab_Tecnologias_TE_RE!$A$1:$B$101,2,0)</f>
        <v>GAS_CC_NAC_Não_Conv</v>
      </c>
      <c r="D253" t="s">
        <v>146</v>
      </c>
      <c r="E253">
        <v>1</v>
      </c>
      <c r="F253" s="125">
        <v>1550</v>
      </c>
      <c r="G253" s="97" t="str">
        <f t="shared" si="3"/>
        <v>GAS_CC_NAC_Não_Conv_1_1_2042</v>
      </c>
      <c r="H253">
        <v>1</v>
      </c>
      <c r="I253" s="345" t="str">
        <f>VLOOKUP(H253,tab_tipo_expansao!$A$2:$B$4,2,0)</f>
        <v>opcional</v>
      </c>
      <c r="J253">
        <v>2042</v>
      </c>
      <c r="K253">
        <v>2050</v>
      </c>
      <c r="L253" s="98">
        <f>F253*VLOOKUP(B253,tab_Tecnologias_TE_RE!$A$2:$C$101,3,0)</f>
        <v>1550</v>
      </c>
      <c r="M253" s="96">
        <f>VLOOKUP(B253,tab_Tecnologias_TE_RE!$A$2:$W$101,COLUMN(tab_Tecnologias_TE_RE!$W$1),0)</f>
        <v>3</v>
      </c>
    </row>
    <row r="254" spans="1:13">
      <c r="A254">
        <v>5202</v>
      </c>
      <c r="B254">
        <v>506</v>
      </c>
      <c r="C254" s="96" t="str">
        <f>VLOOKUP(B254,tab_Tecnologias_TE_RE!$A$1:$B$101,2,0)</f>
        <v>GAS_CC_NAC_Não_Conv</v>
      </c>
      <c r="D254" t="s">
        <v>146</v>
      </c>
      <c r="E254">
        <v>1</v>
      </c>
      <c r="F254" s="125">
        <v>1550</v>
      </c>
      <c r="G254" s="97" t="str">
        <f t="shared" si="3"/>
        <v>GAS_CC_NAC_Não_Conv_1_1_2043</v>
      </c>
      <c r="H254">
        <v>1</v>
      </c>
      <c r="I254" s="345" t="str">
        <f>VLOOKUP(H254,tab_tipo_expansao!$A$2:$B$4,2,0)</f>
        <v>opcional</v>
      </c>
      <c r="J254">
        <v>2043</v>
      </c>
      <c r="K254">
        <v>2050</v>
      </c>
      <c r="L254" s="98">
        <f>F254*VLOOKUP(B254,tab_Tecnologias_TE_RE!$A$2:$C$101,3,0)</f>
        <v>1550</v>
      </c>
      <c r="M254" s="96">
        <f>VLOOKUP(B254,tab_Tecnologias_TE_RE!$A$2:$W$101,COLUMN(tab_Tecnologias_TE_RE!$W$1),0)</f>
        <v>3</v>
      </c>
    </row>
    <row r="255" spans="1:13">
      <c r="A255">
        <v>5203</v>
      </c>
      <c r="B255">
        <v>506</v>
      </c>
      <c r="C255" s="96" t="str">
        <f>VLOOKUP(B255,tab_Tecnologias_TE_RE!$A$1:$B$101,2,0)</f>
        <v>GAS_CC_NAC_Não_Conv</v>
      </c>
      <c r="D255" t="s">
        <v>146</v>
      </c>
      <c r="E255">
        <v>1</v>
      </c>
      <c r="F255" s="125">
        <v>1550</v>
      </c>
      <c r="G255" s="97" t="str">
        <f t="shared" si="3"/>
        <v>GAS_CC_NAC_Não_Conv_1_1_2044</v>
      </c>
      <c r="H255">
        <v>1</v>
      </c>
      <c r="I255" s="345" t="str">
        <f>VLOOKUP(H255,tab_tipo_expansao!$A$2:$B$4,2,0)</f>
        <v>opcional</v>
      </c>
      <c r="J255">
        <v>2044</v>
      </c>
      <c r="K255">
        <v>2050</v>
      </c>
      <c r="L255" s="98">
        <f>F255*VLOOKUP(B255,tab_Tecnologias_TE_RE!$A$2:$C$101,3,0)</f>
        <v>1550</v>
      </c>
      <c r="M255" s="96">
        <f>VLOOKUP(B255,tab_Tecnologias_TE_RE!$A$2:$W$101,COLUMN(tab_Tecnologias_TE_RE!$W$1),0)</f>
        <v>3</v>
      </c>
    </row>
    <row r="256" spans="1:13">
      <c r="A256">
        <v>5204</v>
      </c>
      <c r="B256">
        <v>506</v>
      </c>
      <c r="C256" s="96" t="str">
        <f>VLOOKUP(B256,tab_Tecnologias_TE_RE!$A$1:$B$101,2,0)</f>
        <v>GAS_CC_NAC_Não_Conv</v>
      </c>
      <c r="D256" t="s">
        <v>146</v>
      </c>
      <c r="E256">
        <v>1</v>
      </c>
      <c r="F256" s="125">
        <v>1550</v>
      </c>
      <c r="G256" s="97" t="str">
        <f t="shared" si="3"/>
        <v>GAS_CC_NAC_Não_Conv_1_1_2045</v>
      </c>
      <c r="H256">
        <v>1</v>
      </c>
      <c r="I256" s="345" t="str">
        <f>VLOOKUP(H256,tab_tipo_expansao!$A$2:$B$4,2,0)</f>
        <v>opcional</v>
      </c>
      <c r="J256">
        <v>2045</v>
      </c>
      <c r="K256">
        <v>2050</v>
      </c>
      <c r="L256" s="98">
        <f>F256*VLOOKUP(B256,tab_Tecnologias_TE_RE!$A$2:$C$101,3,0)</f>
        <v>1550</v>
      </c>
      <c r="M256" s="96">
        <f>VLOOKUP(B256,tab_Tecnologias_TE_RE!$A$2:$W$101,COLUMN(tab_Tecnologias_TE_RE!$W$1),0)</f>
        <v>3</v>
      </c>
    </row>
    <row r="257" spans="1:13">
      <c r="A257">
        <v>5205</v>
      </c>
      <c r="B257">
        <v>506</v>
      </c>
      <c r="C257" s="96" t="str">
        <f>VLOOKUP(B257,tab_Tecnologias_TE_RE!$A$1:$B$101,2,0)</f>
        <v>GAS_CC_NAC_Não_Conv</v>
      </c>
      <c r="D257" t="s">
        <v>146</v>
      </c>
      <c r="E257">
        <v>1</v>
      </c>
      <c r="F257" s="125">
        <v>1550</v>
      </c>
      <c r="G257" s="97" t="str">
        <f t="shared" si="3"/>
        <v>GAS_CC_NAC_Não_Conv_1_1_2046</v>
      </c>
      <c r="H257">
        <v>1</v>
      </c>
      <c r="I257" s="345" t="str">
        <f>VLOOKUP(H257,tab_tipo_expansao!$A$2:$B$4,2,0)</f>
        <v>opcional</v>
      </c>
      <c r="J257">
        <v>2046</v>
      </c>
      <c r="K257">
        <v>2050</v>
      </c>
      <c r="L257" s="98">
        <f>F257*VLOOKUP(B257,tab_Tecnologias_TE_RE!$A$2:$C$101,3,0)</f>
        <v>1550</v>
      </c>
      <c r="M257" s="96">
        <f>VLOOKUP(B257,tab_Tecnologias_TE_RE!$A$2:$W$101,COLUMN(tab_Tecnologias_TE_RE!$W$1),0)</f>
        <v>3</v>
      </c>
    </row>
    <row r="258" spans="1:13">
      <c r="A258">
        <v>5206</v>
      </c>
      <c r="B258">
        <v>506</v>
      </c>
      <c r="C258" s="96" t="str">
        <f>VLOOKUP(B258,tab_Tecnologias_TE_RE!$A$1:$B$101,2,0)</f>
        <v>GAS_CC_NAC_Não_Conv</v>
      </c>
      <c r="D258" t="s">
        <v>146</v>
      </c>
      <c r="E258">
        <v>1</v>
      </c>
      <c r="F258" s="125">
        <v>1550</v>
      </c>
      <c r="G258" s="97" t="str">
        <f t="shared" si="3"/>
        <v>GAS_CC_NAC_Não_Conv_1_1_2047</v>
      </c>
      <c r="H258">
        <v>1</v>
      </c>
      <c r="I258" s="345" t="str">
        <f>VLOOKUP(H258,tab_tipo_expansao!$A$2:$B$4,2,0)</f>
        <v>opcional</v>
      </c>
      <c r="J258">
        <v>2047</v>
      </c>
      <c r="K258">
        <v>2050</v>
      </c>
      <c r="L258" s="98">
        <f>F258*VLOOKUP(B258,tab_Tecnologias_TE_RE!$A$2:$C$101,3,0)</f>
        <v>1550</v>
      </c>
      <c r="M258" s="96">
        <f>VLOOKUP(B258,tab_Tecnologias_TE_RE!$A$2:$W$101,COLUMN(tab_Tecnologias_TE_RE!$W$1),0)</f>
        <v>3</v>
      </c>
    </row>
    <row r="259" spans="1:13">
      <c r="A259">
        <v>5207</v>
      </c>
      <c r="B259">
        <v>506</v>
      </c>
      <c r="C259" s="96" t="str">
        <f>VLOOKUP(B259,tab_Tecnologias_TE_RE!$A$1:$B$101,2,0)</f>
        <v>GAS_CC_NAC_Não_Conv</v>
      </c>
      <c r="D259" t="s">
        <v>146</v>
      </c>
      <c r="E259">
        <v>1</v>
      </c>
      <c r="F259" s="125">
        <v>1550</v>
      </c>
      <c r="G259" s="97" t="str">
        <f t="shared" ref="G259:G269" si="4">C259&amp;"_"&amp;E259&amp;"_"&amp;H259&amp;"_"&amp;J259</f>
        <v>GAS_CC_NAC_Não_Conv_1_1_2048</v>
      </c>
      <c r="H259">
        <v>1</v>
      </c>
      <c r="I259" s="345" t="str">
        <f>VLOOKUP(H259,tab_tipo_expansao!$A$2:$B$4,2,0)</f>
        <v>opcional</v>
      </c>
      <c r="J259">
        <v>2048</v>
      </c>
      <c r="K259">
        <v>2050</v>
      </c>
      <c r="L259" s="98">
        <f>F259*VLOOKUP(B259,tab_Tecnologias_TE_RE!$A$2:$C$101,3,0)</f>
        <v>1550</v>
      </c>
      <c r="M259" s="96">
        <f>VLOOKUP(B259,tab_Tecnologias_TE_RE!$A$2:$W$101,COLUMN(tab_Tecnologias_TE_RE!$W$1),0)</f>
        <v>3</v>
      </c>
    </row>
    <row r="260" spans="1:13">
      <c r="A260">
        <v>5208</v>
      </c>
      <c r="B260">
        <v>506</v>
      </c>
      <c r="C260" s="96" t="str">
        <f>VLOOKUP(B260,tab_Tecnologias_TE_RE!$A$1:$B$101,2,0)</f>
        <v>GAS_CC_NAC_Não_Conv</v>
      </c>
      <c r="D260" t="s">
        <v>146</v>
      </c>
      <c r="E260">
        <v>1</v>
      </c>
      <c r="F260" s="125">
        <v>1550</v>
      </c>
      <c r="G260" s="97" t="str">
        <f t="shared" si="4"/>
        <v>GAS_CC_NAC_Não_Conv_1_1_2049</v>
      </c>
      <c r="H260">
        <v>1</v>
      </c>
      <c r="I260" s="345" t="str">
        <f>VLOOKUP(H260,tab_tipo_expansao!$A$2:$B$4,2,0)</f>
        <v>opcional</v>
      </c>
      <c r="J260">
        <v>2049</v>
      </c>
      <c r="K260">
        <v>2050</v>
      </c>
      <c r="L260" s="98">
        <f>F260*VLOOKUP(B260,tab_Tecnologias_TE_RE!$A$2:$C$101,3,0)</f>
        <v>1550</v>
      </c>
      <c r="M260" s="96">
        <f>VLOOKUP(B260,tab_Tecnologias_TE_RE!$A$2:$W$101,COLUMN(tab_Tecnologias_TE_RE!$W$1),0)</f>
        <v>3</v>
      </c>
    </row>
    <row r="261" spans="1:13">
      <c r="A261">
        <v>5209</v>
      </c>
      <c r="B261">
        <v>506</v>
      </c>
      <c r="C261" s="96" t="str">
        <f>VLOOKUP(B261,tab_Tecnologias_TE_RE!$A$1:$B$101,2,0)</f>
        <v>GAS_CC_NAC_Não_Conv</v>
      </c>
      <c r="D261" t="s">
        <v>146</v>
      </c>
      <c r="E261">
        <v>1</v>
      </c>
      <c r="F261" s="125">
        <v>1550</v>
      </c>
      <c r="G261" s="97" t="str">
        <f t="shared" si="4"/>
        <v>GAS_CC_NAC_Não_Conv_1_1_2050</v>
      </c>
      <c r="H261">
        <v>1</v>
      </c>
      <c r="I261" s="345" t="str">
        <f>VLOOKUP(H261,tab_tipo_expansao!$A$2:$B$4,2,0)</f>
        <v>opcional</v>
      </c>
      <c r="J261">
        <v>2050</v>
      </c>
      <c r="K261">
        <v>2050</v>
      </c>
      <c r="L261" s="98">
        <f>F261*VLOOKUP(B261,tab_Tecnologias_TE_RE!$A$2:$C$101,3,0)</f>
        <v>1550</v>
      </c>
      <c r="M261" s="96">
        <f>VLOOKUP(B261,tab_Tecnologias_TE_RE!$A$2:$W$101,COLUMN(tab_Tecnologias_TE_RE!$W$1),0)</f>
        <v>3</v>
      </c>
    </row>
    <row r="262" spans="1:13">
      <c r="A262">
        <v>5210</v>
      </c>
      <c r="B262">
        <v>508</v>
      </c>
      <c r="C262" s="96" t="str">
        <f>VLOOKUP(B262,tab_Tecnologias_TE_RE!$A$1:$B$101,2,0)</f>
        <v>UHE_repotenciação</v>
      </c>
      <c r="D262" t="s">
        <v>146</v>
      </c>
      <c r="E262">
        <v>1</v>
      </c>
      <c r="F262" s="125">
        <v>7945</v>
      </c>
      <c r="G262" s="97" t="str">
        <f t="shared" si="4"/>
        <v>UHE_repotenciação_1_1_2030</v>
      </c>
      <c r="H262">
        <v>1</v>
      </c>
      <c r="I262" s="345" t="str">
        <f>VLOOKUP(H262,tab_tipo_expansao!$A$2:$B$4,2,0)</f>
        <v>opcional</v>
      </c>
      <c r="J262">
        <v>2030</v>
      </c>
      <c r="K262">
        <v>2050</v>
      </c>
      <c r="L262" s="98">
        <f>F262*VLOOKUP(B262,tab_Tecnologias_TE_RE!$A$2:$C$101,3,0)</f>
        <v>7945</v>
      </c>
      <c r="M262" s="96">
        <f>VLOOKUP(B262,tab_Tecnologias_TE_RE!$A$2:$W$101,COLUMN(tab_Tecnologias_TE_RE!$W$1),0)</f>
        <v>1</v>
      </c>
    </row>
    <row r="263" spans="1:13">
      <c r="A263">
        <v>5211</v>
      </c>
      <c r="B263">
        <v>508</v>
      </c>
      <c r="C263" s="96" t="str">
        <f>VLOOKUP(B263,tab_Tecnologias_TE_RE!$A$1:$B$101,2,0)</f>
        <v>UHE_repotenciação</v>
      </c>
      <c r="D263" t="s">
        <v>149</v>
      </c>
      <c r="E263">
        <v>2</v>
      </c>
      <c r="F263" s="125">
        <v>3428</v>
      </c>
      <c r="G263" s="97" t="str">
        <f t="shared" si="4"/>
        <v>UHE_repotenciação_2_1_2030</v>
      </c>
      <c r="H263">
        <v>1</v>
      </c>
      <c r="I263" s="345" t="str">
        <f>VLOOKUP(H263,tab_tipo_expansao!$A$2:$B$4,2,0)</f>
        <v>opcional</v>
      </c>
      <c r="J263">
        <v>2030</v>
      </c>
      <c r="K263">
        <v>2050</v>
      </c>
      <c r="L263" s="98">
        <f>F263*VLOOKUP(B263,tab_Tecnologias_TE_RE!$A$2:$C$101,3,0)</f>
        <v>3428</v>
      </c>
      <c r="M263" s="96">
        <f>VLOOKUP(B263,tab_Tecnologias_TE_RE!$A$2:$W$101,COLUMN(tab_Tecnologias_TE_RE!$W$1),0)</f>
        <v>1</v>
      </c>
    </row>
    <row r="264" spans="1:13">
      <c r="A264">
        <v>5212</v>
      </c>
      <c r="B264">
        <v>508</v>
      </c>
      <c r="C264" s="96" t="str">
        <f>VLOOKUP(B264,tab_Tecnologias_TE_RE!$A$1:$B$101,2,0)</f>
        <v>UHE_repotenciação</v>
      </c>
      <c r="D264" t="s">
        <v>152</v>
      </c>
      <c r="E264">
        <v>3</v>
      </c>
      <c r="F264" s="125">
        <v>2216</v>
      </c>
      <c r="G264" s="97" t="str">
        <f t="shared" si="4"/>
        <v>UHE_repotenciação_3_1_2030</v>
      </c>
      <c r="H264">
        <v>1</v>
      </c>
      <c r="I264" s="345" t="str">
        <f>VLOOKUP(H264,tab_tipo_expansao!$A$2:$B$4,2,0)</f>
        <v>opcional</v>
      </c>
      <c r="J264">
        <v>2030</v>
      </c>
      <c r="K264">
        <v>2050</v>
      </c>
      <c r="L264" s="98">
        <f>F264*VLOOKUP(B264,tab_Tecnologias_TE_RE!$A$2:$C$101,3,0)</f>
        <v>2216</v>
      </c>
      <c r="M264" s="96">
        <f>VLOOKUP(B264,tab_Tecnologias_TE_RE!$A$2:$W$101,COLUMN(tab_Tecnologias_TE_RE!$W$1),0)</f>
        <v>1</v>
      </c>
    </row>
    <row r="265" spans="1:13">
      <c r="A265">
        <v>5213</v>
      </c>
      <c r="B265">
        <v>508</v>
      </c>
      <c r="C265" s="96" t="str">
        <f>VLOOKUP(B265,tab_Tecnologias_TE_RE!$A$1:$B$101,2,0)</f>
        <v>UHE_repotenciação</v>
      </c>
      <c r="D265" t="s">
        <v>153</v>
      </c>
      <c r="E265">
        <v>4</v>
      </c>
      <c r="F265" s="125">
        <v>4341</v>
      </c>
      <c r="G265" s="97" t="str">
        <f t="shared" si="4"/>
        <v>UHE_repotenciação_4_1_2030</v>
      </c>
      <c r="H265">
        <v>1</v>
      </c>
      <c r="I265" s="345" t="str">
        <f>VLOOKUP(H265,tab_tipo_expansao!$A$2:$B$4,2,0)</f>
        <v>opcional</v>
      </c>
      <c r="J265">
        <v>2030</v>
      </c>
      <c r="K265">
        <v>2050</v>
      </c>
      <c r="L265" s="98">
        <f>F265*VLOOKUP(B265,tab_Tecnologias_TE_RE!$A$2:$C$101,3,0)</f>
        <v>4341</v>
      </c>
      <c r="M265" s="96">
        <f>VLOOKUP(B265,tab_Tecnologias_TE_RE!$A$2:$W$101,COLUMN(tab_Tecnologias_TE_RE!$W$1),0)</f>
        <v>1</v>
      </c>
    </row>
    <row r="266" spans="1:13">
      <c r="A266">
        <v>5214</v>
      </c>
      <c r="B266">
        <v>508</v>
      </c>
      <c r="C266" s="96" t="str">
        <f>VLOOKUP(B266,tab_Tecnologias_TE_RE!$A$1:$B$101,2,0)</f>
        <v>UHE_repotenciação</v>
      </c>
      <c r="D266" t="s">
        <v>151</v>
      </c>
      <c r="E266">
        <v>5</v>
      </c>
      <c r="F266" s="125">
        <v>2800</v>
      </c>
      <c r="G266" s="97" t="str">
        <f t="shared" si="4"/>
        <v>UHE_repotenciação_5_1_2030</v>
      </c>
      <c r="H266">
        <v>1</v>
      </c>
      <c r="I266" s="345" t="str">
        <f>VLOOKUP(H266,tab_tipo_expansao!$A$2:$B$4,2,0)</f>
        <v>opcional</v>
      </c>
      <c r="J266">
        <v>2030</v>
      </c>
      <c r="K266">
        <v>2050</v>
      </c>
      <c r="L266" s="98">
        <f>F266*VLOOKUP(B266,tab_Tecnologias_TE_RE!$A$2:$C$101,3,0)</f>
        <v>2800</v>
      </c>
      <c r="M266" s="96">
        <f>VLOOKUP(B266,tab_Tecnologias_TE_RE!$A$2:$W$101,COLUMN(tab_Tecnologias_TE_RE!$W$1),0)</f>
        <v>1</v>
      </c>
    </row>
    <row r="267" spans="1:13">
      <c r="A267">
        <v>5215</v>
      </c>
      <c r="B267">
        <v>508</v>
      </c>
      <c r="C267" s="96" t="str">
        <f>VLOOKUP(B267,tab_Tecnologias_TE_RE!$A$1:$B$101,2,0)</f>
        <v>UHE_repotenciação</v>
      </c>
      <c r="D267" t="s">
        <v>155</v>
      </c>
      <c r="E267">
        <v>6</v>
      </c>
      <c r="F267" s="125">
        <v>1532</v>
      </c>
      <c r="G267" s="97" t="str">
        <f t="shared" si="4"/>
        <v>UHE_repotenciação_6_1_2030</v>
      </c>
      <c r="H267">
        <v>1</v>
      </c>
      <c r="I267" s="345" t="str">
        <f>VLOOKUP(H267,tab_tipo_expansao!$A$2:$B$4,2,0)</f>
        <v>opcional</v>
      </c>
      <c r="J267">
        <v>2030</v>
      </c>
      <c r="K267">
        <v>2050</v>
      </c>
      <c r="L267" s="98">
        <f>F267*VLOOKUP(B267,tab_Tecnologias_TE_RE!$A$2:$C$101,3,0)</f>
        <v>1532</v>
      </c>
      <c r="M267" s="96">
        <f>VLOOKUP(B267,tab_Tecnologias_TE_RE!$A$2:$W$101,COLUMN(tab_Tecnologias_TE_RE!$W$1),0)</f>
        <v>1</v>
      </c>
    </row>
    <row r="268" spans="1:13">
      <c r="A268">
        <v>5216</v>
      </c>
      <c r="B268">
        <v>508</v>
      </c>
      <c r="C268" s="96" t="str">
        <f>VLOOKUP(B268,tab_Tecnologias_TE_RE!$A$1:$B$101,2,0)</f>
        <v>UHE_repotenciação</v>
      </c>
      <c r="D268" t="s">
        <v>154</v>
      </c>
      <c r="E268">
        <v>7</v>
      </c>
      <c r="F268" s="125">
        <v>124</v>
      </c>
      <c r="G268" s="97" t="str">
        <f t="shared" si="4"/>
        <v>UHE_repotenciação_7_1_2030</v>
      </c>
      <c r="H268">
        <v>1</v>
      </c>
      <c r="I268" s="345" t="str">
        <f>VLOOKUP(H268,tab_tipo_expansao!$A$2:$B$4,2,0)</f>
        <v>opcional</v>
      </c>
      <c r="J268">
        <v>2030</v>
      </c>
      <c r="K268">
        <v>2050</v>
      </c>
      <c r="L268" s="98">
        <f>F268*VLOOKUP(B268,tab_Tecnologias_TE_RE!$A$2:$C$101,3,0)</f>
        <v>124</v>
      </c>
      <c r="M268" s="96">
        <f>VLOOKUP(B268,tab_Tecnologias_TE_RE!$A$2:$W$101,COLUMN(tab_Tecnologias_TE_RE!$W$1),0)</f>
        <v>1</v>
      </c>
    </row>
    <row r="269" spans="1:13">
      <c r="A269">
        <v>5217</v>
      </c>
      <c r="B269">
        <v>508</v>
      </c>
      <c r="C269" s="96" t="str">
        <f>VLOOKUP(B269,tab_Tecnologias_TE_RE!$A$1:$B$101,2,0)</f>
        <v>UHE_repotenciação</v>
      </c>
      <c r="D269" t="s">
        <v>158</v>
      </c>
      <c r="E269">
        <v>10</v>
      </c>
      <c r="F269" s="125">
        <v>655</v>
      </c>
      <c r="G269" s="97" t="str">
        <f t="shared" si="4"/>
        <v>UHE_repotenciação_10_1_2030</v>
      </c>
      <c r="H269">
        <v>1</v>
      </c>
      <c r="I269" s="345" t="str">
        <f>VLOOKUP(H269,tab_tipo_expansao!$A$2:$B$4,2,0)</f>
        <v>opcional</v>
      </c>
      <c r="J269">
        <v>2030</v>
      </c>
      <c r="K269">
        <v>2050</v>
      </c>
      <c r="L269" s="98">
        <f>F269*VLOOKUP(B269,tab_Tecnologias_TE_RE!$A$2:$C$101,3,0)</f>
        <v>655</v>
      </c>
      <c r="M269" s="96">
        <f>VLOOKUP(B269,tab_Tecnologias_TE_RE!$A$2:$W$101,COLUMN(tab_Tecnologias_TE_RE!$W$1),0)</f>
        <v>1</v>
      </c>
    </row>
  </sheetData>
  <autoFilter ref="A1:O269" xr:uid="{00000000-0009-0000-0000-000004000000}"/>
  <pageMargins left="0.511811024" right="0.511811024" top="0.78740157499999996" bottom="0.78740157499999996" header="0.31496062000000002" footer="0.31496062000000002"/>
  <pageSetup paperSize="9" orientation="portrait" horizontalDpi="300" verticalDpi="300"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Plan7">
    <tabColor theme="1" tint="4.9989318521683403E-2"/>
  </sheetPr>
  <dimension ref="A1:AW64"/>
  <sheetViews>
    <sheetView zoomScale="80" zoomScaleNormal="80" workbookViewId="0">
      <pane xSplit="3" ySplit="1" topLeftCell="M17" activePane="bottomRight" state="frozen"/>
      <selection pane="bottomRight" activeCell="AE1" sqref="AE1:AE1048576"/>
      <selection pane="bottomLeft" activeCell="A2" sqref="A2"/>
      <selection pane="topRight" activeCell="D1" sqref="D1"/>
    </sheetView>
  </sheetViews>
  <sheetFormatPr defaultRowHeight="12.75"/>
  <cols>
    <col min="1" max="1" width="15" style="135" bestFit="1" customWidth="1"/>
    <col min="2" max="2" width="42" customWidth="1"/>
    <col min="5" max="5" width="14.7109375" customWidth="1"/>
    <col min="6" max="9" width="12.85546875" bestFit="1" customWidth="1"/>
    <col min="10" max="10" width="12.5703125" customWidth="1"/>
    <col min="11" max="14" width="11.85546875" bestFit="1" customWidth="1"/>
    <col min="16" max="19" width="13.140625" bestFit="1" customWidth="1"/>
    <col min="22" max="22" width="17.5703125" customWidth="1"/>
    <col min="23" max="23" width="15.5703125" customWidth="1"/>
    <col min="24" max="24" width="16" bestFit="1" customWidth="1"/>
    <col min="25" max="25" width="16.28515625" bestFit="1" customWidth="1"/>
    <col min="26" max="26" width="13.5703125" customWidth="1"/>
    <col min="29" max="29" width="16.7109375" customWidth="1"/>
    <col min="30" max="30" width="19.28515625" customWidth="1"/>
    <col min="31" max="31" width="21.140625" customWidth="1"/>
    <col min="32" max="32" width="22.7109375" customWidth="1"/>
    <col min="33" max="33" width="20.7109375" customWidth="1"/>
    <col min="35" max="35" width="16" bestFit="1" customWidth="1"/>
    <col min="36" max="36" width="22" customWidth="1"/>
    <col min="37" max="37" width="9.5703125" bestFit="1" customWidth="1"/>
    <col min="42" max="42" width="13.7109375" customWidth="1"/>
    <col min="43" max="44" width="12.140625" bestFit="1" customWidth="1"/>
    <col min="45" max="45" width="11.5703125" bestFit="1" customWidth="1"/>
    <col min="46" max="46" width="11.42578125" bestFit="1" customWidth="1"/>
  </cols>
  <sheetData>
    <row r="1" spans="1:49" ht="40.5" customHeight="1" thickBot="1">
      <c r="A1" s="15" t="s">
        <v>133</v>
      </c>
      <c r="B1" s="2" t="s">
        <v>159</v>
      </c>
      <c r="C1" s="67" t="s">
        <v>160</v>
      </c>
      <c r="D1" s="2" t="s">
        <v>4</v>
      </c>
      <c r="E1" s="2" t="s">
        <v>5</v>
      </c>
      <c r="F1" s="386" t="s">
        <v>161</v>
      </c>
      <c r="G1" s="386" t="s">
        <v>162</v>
      </c>
      <c r="H1" s="386" t="s">
        <v>163</v>
      </c>
      <c r="I1" s="386" t="s">
        <v>164</v>
      </c>
      <c r="J1" s="68" t="s">
        <v>165</v>
      </c>
      <c r="K1" s="60" t="s">
        <v>166</v>
      </c>
      <c r="L1" s="60" t="s">
        <v>167</v>
      </c>
      <c r="M1" s="60" t="s">
        <v>168</v>
      </c>
      <c r="N1" s="60" t="s">
        <v>169</v>
      </c>
      <c r="O1" s="69" t="s">
        <v>170</v>
      </c>
      <c r="P1" s="60" t="s">
        <v>171</v>
      </c>
      <c r="Q1" s="60" t="s">
        <v>172</v>
      </c>
      <c r="R1" s="60" t="s">
        <v>173</v>
      </c>
      <c r="S1" s="60" t="s">
        <v>174</v>
      </c>
      <c r="T1" s="2" t="s">
        <v>175</v>
      </c>
      <c r="U1" s="2" t="s">
        <v>176</v>
      </c>
      <c r="V1" s="2" t="s">
        <v>177</v>
      </c>
      <c r="W1" s="15" t="s">
        <v>178</v>
      </c>
      <c r="X1" s="27" t="s">
        <v>179</v>
      </c>
      <c r="Y1" s="15" t="s">
        <v>180</v>
      </c>
      <c r="Z1" s="26" t="s">
        <v>181</v>
      </c>
      <c r="AA1" s="26" t="s">
        <v>182</v>
      </c>
      <c r="AB1" s="63" t="s">
        <v>183</v>
      </c>
      <c r="AC1" s="63" t="s">
        <v>184</v>
      </c>
      <c r="AD1" s="2" t="s">
        <v>185</v>
      </c>
      <c r="AE1" s="70" t="s">
        <v>186</v>
      </c>
      <c r="AF1" s="70" t="s">
        <v>187</v>
      </c>
      <c r="AG1" s="2" t="s">
        <v>188</v>
      </c>
      <c r="AH1" s="2" t="s">
        <v>189</v>
      </c>
      <c r="AI1" s="2" t="s">
        <v>190</v>
      </c>
      <c r="AJ1" s="71" t="s">
        <v>191</v>
      </c>
      <c r="AK1" s="71" t="s">
        <v>192</v>
      </c>
      <c r="AL1" s="71" t="s">
        <v>193</v>
      </c>
      <c r="AM1" s="71" t="s">
        <v>194</v>
      </c>
      <c r="AN1" s="71" t="s">
        <v>195</v>
      </c>
      <c r="AO1" s="71" t="s">
        <v>196</v>
      </c>
      <c r="AP1" s="28" t="s">
        <v>197</v>
      </c>
      <c r="AQ1" s="29" t="s">
        <v>198</v>
      </c>
      <c r="AR1" s="72" t="s">
        <v>198</v>
      </c>
      <c r="AS1" s="72" t="s">
        <v>199</v>
      </c>
      <c r="AT1" s="72" t="s">
        <v>200</v>
      </c>
      <c r="AU1" s="397" t="s">
        <v>201</v>
      </c>
    </row>
    <row r="2" spans="1:49" ht="13.5" thickTop="1">
      <c r="A2" s="23">
        <v>311</v>
      </c>
      <c r="B2" s="342" t="s">
        <v>202</v>
      </c>
      <c r="C2" s="73">
        <v>1</v>
      </c>
      <c r="D2" s="77">
        <v>1</v>
      </c>
      <c r="E2" s="77">
        <v>1</v>
      </c>
      <c r="F2" s="387">
        <v>0.66</v>
      </c>
      <c r="G2" s="387">
        <v>0.66</v>
      </c>
      <c r="H2" s="387">
        <v>0.54</v>
      </c>
      <c r="I2" s="387">
        <v>0.71</v>
      </c>
      <c r="J2" s="66">
        <f>AVERAGE(K2:N2)</f>
        <v>0.64250000000000007</v>
      </c>
      <c r="K2" s="33">
        <v>0.66</v>
      </c>
      <c r="L2" s="33">
        <v>0.66</v>
      </c>
      <c r="M2" s="33">
        <v>0.54</v>
      </c>
      <c r="N2" s="33">
        <v>0.71</v>
      </c>
      <c r="O2" s="66">
        <f t="shared" ref="O2" si="0">AVERAGE(P2:S2)</f>
        <v>0.64250000000000007</v>
      </c>
      <c r="P2" s="33">
        <v>0.66</v>
      </c>
      <c r="Q2" s="33">
        <v>0.66</v>
      </c>
      <c r="R2" s="33">
        <v>0.54</v>
      </c>
      <c r="S2" s="33">
        <v>0.71</v>
      </c>
      <c r="T2" s="74">
        <v>2.4E-2</v>
      </c>
      <c r="U2" s="74">
        <v>4.5999999999999999E-2</v>
      </c>
      <c r="V2" s="593">
        <f>(1-$T2)*(1-$U2)</f>
        <v>0.93110399999999993</v>
      </c>
      <c r="W2" s="20">
        <v>7</v>
      </c>
      <c r="X2" s="32" t="str">
        <f>IF(W2="","",VLOOKUP(W2,[2]tab_cod_categoria!$A$2:$B$30,2,0))</f>
        <v>Biomassa</v>
      </c>
      <c r="Y2" s="64">
        <v>1304</v>
      </c>
      <c r="Z2" s="75">
        <v>2</v>
      </c>
      <c r="AA2" s="76">
        <v>20</v>
      </c>
      <c r="AB2" s="77">
        <v>0.2</v>
      </c>
      <c r="AC2" s="65">
        <v>0</v>
      </c>
      <c r="AD2" s="77">
        <f>(AF2*C2/1000)*0.65</f>
        <v>3.0419999999999998</v>
      </c>
      <c r="AE2" s="552">
        <v>1200</v>
      </c>
      <c r="AF2" s="78">
        <f>AE2*[2]constantes!$B$4</f>
        <v>4680</v>
      </c>
      <c r="AG2" s="23">
        <v>10</v>
      </c>
      <c r="AH2" s="23"/>
      <c r="AI2" s="23"/>
      <c r="AJ2" s="636">
        <f t="shared" ref="AJ2" si="1">AD2+AH2+AI2</f>
        <v>3.0419999999999998</v>
      </c>
      <c r="AK2" s="79">
        <f t="shared" ref="AK2" si="2">AJ2*1000/C2</f>
        <v>3042</v>
      </c>
      <c r="AL2" s="80" t="e">
        <f ca="1">IF(AJ2=0,"",AJ2*(OFFSET([2]cod_desembolso!$A$1,AG2,23)))</f>
        <v>#VALUE!</v>
      </c>
      <c r="AM2" s="81">
        <f>([2]constantes!$B$3*(1+[2]constantes!$B$3)^(AA2))/((1+[2]constantes!$B$3)^(AA2)-1)</f>
        <v>0.10185220882315059</v>
      </c>
      <c r="AN2" s="82" t="e">
        <f t="shared" ref="AN2" ca="1" si="3">IF(AD2=0,"",AL2*AM2+AQ2)</f>
        <v>#VALUE!</v>
      </c>
      <c r="AO2" s="80" t="e">
        <f ca="1">IF(AJ2=0,"",AN2/[2]constantes!$B$3)</f>
        <v>#VALUE!</v>
      </c>
      <c r="AP2" s="83" t="e">
        <f ca="1">IF(AJ2=0,"",PV([2]constantes!$B$3,AA2,-AN2)*[2]constantes!$B$3)</f>
        <v>#VALUE!</v>
      </c>
      <c r="AQ2" s="84">
        <f t="shared" ref="AQ2" si="4">AR2*C2/1000</f>
        <v>0.09</v>
      </c>
      <c r="AR2" s="484">
        <v>90</v>
      </c>
      <c r="AS2" s="384">
        <v>0</v>
      </c>
      <c r="AT2" s="384">
        <v>2390.0573613766728</v>
      </c>
      <c r="AU2" s="399">
        <v>0.21299999999999999</v>
      </c>
    </row>
    <row r="3" spans="1:49">
      <c r="A3" s="23">
        <v>312</v>
      </c>
      <c r="B3" s="343" t="s">
        <v>203</v>
      </c>
      <c r="C3" s="86">
        <v>1</v>
      </c>
      <c r="D3" s="77">
        <v>1</v>
      </c>
      <c r="E3" s="77">
        <v>1</v>
      </c>
      <c r="F3" s="387">
        <v>0.04</v>
      </c>
      <c r="G3" s="387">
        <v>0.39</v>
      </c>
      <c r="H3" s="387">
        <v>0.54</v>
      </c>
      <c r="I3" s="387">
        <v>0.34</v>
      </c>
      <c r="J3" s="66">
        <f t="shared" ref="J3:J23" si="5">AVERAGE(K3:N3)</f>
        <v>0.32845968612834514</v>
      </c>
      <c r="K3" s="33">
        <v>3.8473756479098807E-2</v>
      </c>
      <c r="L3" s="33">
        <v>0.39358026214566905</v>
      </c>
      <c r="M3" s="33">
        <v>0.53857526864315253</v>
      </c>
      <c r="N3" s="33">
        <v>0.3432094572454602</v>
      </c>
      <c r="O3" s="66">
        <f t="shared" ref="O3:O23" si="6">AVERAGE(P3:S3)</f>
        <v>0.32845968612834514</v>
      </c>
      <c r="P3" s="33">
        <v>3.8473756479098807E-2</v>
      </c>
      <c r="Q3" s="33">
        <v>0.39358026214566905</v>
      </c>
      <c r="R3" s="33">
        <v>0.53857526864315253</v>
      </c>
      <c r="S3" s="33">
        <v>0.3432094572454602</v>
      </c>
      <c r="T3" s="74">
        <v>2.4E-2</v>
      </c>
      <c r="U3" s="74">
        <v>4.5999999999999999E-2</v>
      </c>
      <c r="V3" s="593">
        <f t="shared" ref="V3:V55" si="7">(1-$T3)*(1-$U3)</f>
        <v>0.93110399999999993</v>
      </c>
      <c r="W3" s="20">
        <v>7</v>
      </c>
      <c r="X3" s="32" t="str">
        <f>IF(W3="","",VLOOKUP(W3,tab_cod_categoria!$A$2:$B$30,2,0))</f>
        <v>Biomassa</v>
      </c>
      <c r="Y3" s="23">
        <v>1325</v>
      </c>
      <c r="Z3" s="75">
        <v>2</v>
      </c>
      <c r="AA3" s="75">
        <v>20</v>
      </c>
      <c r="AB3" s="77">
        <v>0.42</v>
      </c>
      <c r="AC3" s="65">
        <v>0</v>
      </c>
      <c r="AD3" s="77">
        <f t="shared" ref="AD3:AD52" si="8">AF3*C3/1000</f>
        <v>7.02</v>
      </c>
      <c r="AE3" s="552">
        <v>1800</v>
      </c>
      <c r="AF3" s="78">
        <f>AE3*constantes!$B$4</f>
        <v>7020</v>
      </c>
      <c r="AG3" s="23">
        <v>10</v>
      </c>
      <c r="AH3" s="23"/>
      <c r="AI3" s="23"/>
      <c r="AJ3" s="636">
        <f t="shared" ref="AJ3:AJ26" si="9">AD3+AH3+AI3</f>
        <v>7.02</v>
      </c>
      <c r="AK3" s="79">
        <f t="shared" ref="AK3:AK40" si="10">AJ3*1000/C3</f>
        <v>7020</v>
      </c>
      <c r="AL3" s="80">
        <f ca="1">IF(AJ3=0,"",AJ3*(OFFSET(cod_desembolso!$A$1,AG3,23)))</f>
        <v>7.4704875535156345</v>
      </c>
      <c r="AM3" s="81">
        <f>(constantes!$B$3*(1+constantes!$B$3)^(AA3))/((1+constantes!$B$3)^(AA3)-1)</f>
        <v>0.10185220882315059</v>
      </c>
      <c r="AN3" s="82">
        <f t="shared" ref="AN3:AN26" ca="1" si="11">IF(AD3=0,"",AL3*AM3+AQ3)</f>
        <v>0.85088565831142171</v>
      </c>
      <c r="AO3" s="80">
        <f ca="1">IF(AJ3=0,"",AN3/constantes!$B$3)</f>
        <v>10.636070728892772</v>
      </c>
      <c r="AP3" s="83">
        <f ca="1">IF(AJ3=0,"",PV(constantes!$B$3,AA3,-AN3)*constantes!$B$3)</f>
        <v>0.6683296656148856</v>
      </c>
      <c r="AQ3" s="84">
        <f t="shared" ref="AQ3:AQ40" si="12">AR3*C3/1000</f>
        <v>0.09</v>
      </c>
      <c r="AR3" s="384">
        <v>90</v>
      </c>
      <c r="AS3" s="384">
        <v>0</v>
      </c>
      <c r="AT3" s="384">
        <v>961.13798737705463</v>
      </c>
      <c r="AU3" s="399">
        <v>0.21299999999999999</v>
      </c>
    </row>
    <row r="4" spans="1:49">
      <c r="A4" s="23">
        <v>304</v>
      </c>
      <c r="B4" s="341" t="s">
        <v>204</v>
      </c>
      <c r="C4" s="86">
        <v>1</v>
      </c>
      <c r="D4" s="77">
        <v>0.5</v>
      </c>
      <c r="E4" s="77">
        <v>1</v>
      </c>
      <c r="F4" s="387">
        <v>0.75</v>
      </c>
      <c r="G4" s="387">
        <v>0.75</v>
      </c>
      <c r="H4" s="387">
        <v>0.75</v>
      </c>
      <c r="I4" s="387">
        <v>0.75</v>
      </c>
      <c r="J4" s="66">
        <f t="shared" si="5"/>
        <v>1</v>
      </c>
      <c r="K4" s="559">
        <v>1</v>
      </c>
      <c r="L4" s="559">
        <v>1</v>
      </c>
      <c r="M4" s="559">
        <v>1</v>
      </c>
      <c r="N4" s="559">
        <v>1</v>
      </c>
      <c r="O4" s="66">
        <f t="shared" si="6"/>
        <v>1</v>
      </c>
      <c r="P4" s="559">
        <v>1</v>
      </c>
      <c r="Q4" s="559">
        <v>1</v>
      </c>
      <c r="R4" s="559">
        <v>1</v>
      </c>
      <c r="S4" s="559">
        <v>1</v>
      </c>
      <c r="T4" s="74">
        <v>3.7499999999999999E-2</v>
      </c>
      <c r="U4" s="74">
        <v>4.2500000000000003E-2</v>
      </c>
      <c r="V4" s="593">
        <f t="shared" si="7"/>
        <v>0.92159374999999999</v>
      </c>
      <c r="W4" s="20">
        <v>4</v>
      </c>
      <c r="X4" s="32" t="str">
        <f>IF(W4="","",VLOOKUP(W4,tab_cod_categoria!$A$2:$B$30,2,0))</f>
        <v>Carvão</v>
      </c>
      <c r="Y4" s="23">
        <v>1322</v>
      </c>
      <c r="Z4" s="75">
        <v>4</v>
      </c>
      <c r="AA4" s="75">
        <v>25</v>
      </c>
      <c r="AB4" s="77">
        <v>0.35</v>
      </c>
      <c r="AC4" s="65">
        <v>0.85576615384615384</v>
      </c>
      <c r="AD4" s="77">
        <f t="shared" si="8"/>
        <v>8.9700000000000006</v>
      </c>
      <c r="AE4" s="552">
        <f>2300</f>
        <v>2300</v>
      </c>
      <c r="AF4" s="78">
        <f>AE4*constantes!$B$4</f>
        <v>8970</v>
      </c>
      <c r="AG4" s="23">
        <v>9</v>
      </c>
      <c r="AH4" s="23"/>
      <c r="AI4" s="87"/>
      <c r="AJ4" s="636">
        <f t="shared" si="9"/>
        <v>8.9700000000000006</v>
      </c>
      <c r="AK4" s="79">
        <f t="shared" si="10"/>
        <v>8970</v>
      </c>
      <c r="AL4" s="80">
        <f ca="1">IF(AJ4=0,"",AJ4*(OFFSET(cod_desembolso!$A$1,AG4,23)))</f>
        <v>10.212802371558938</v>
      </c>
      <c r="AM4" s="81">
        <f>(constantes!$B$3*(1+constantes!$B$3)^(AA4))/((1+constantes!$B$3)^(AA4)-1)</f>
        <v>9.3678779051968114E-2</v>
      </c>
      <c r="AN4" s="82">
        <f t="shared" ca="1" si="11"/>
        <v>1.3347716373544907</v>
      </c>
      <c r="AO4" s="80">
        <f ca="1">IF(AJ4=0,"",AN4/constantes!$B$3)</f>
        <v>16.684645466931133</v>
      </c>
      <c r="AP4" s="83">
        <f ca="1">IF(AJ4=0,"",PV(constantes!$B$3,AA4,-AN4)*constantes!$B$3)</f>
        <v>1.1398710793308089</v>
      </c>
      <c r="AQ4" s="84">
        <f t="shared" si="12"/>
        <v>0.37804878048780488</v>
      </c>
      <c r="AR4" s="484">
        <f t="shared" ref="AR4:AR7" si="13">120+230*(AE4/2050)</f>
        <v>378.04878048780489</v>
      </c>
      <c r="AS4" s="384">
        <v>0</v>
      </c>
      <c r="AT4" s="384">
        <v>480</v>
      </c>
      <c r="AU4" s="399">
        <v>0.56999999999999995</v>
      </c>
    </row>
    <row r="5" spans="1:49">
      <c r="A5" s="23">
        <v>307</v>
      </c>
      <c r="B5" s="341" t="s">
        <v>205</v>
      </c>
      <c r="C5" s="86">
        <v>1</v>
      </c>
      <c r="D5" s="77">
        <v>0.5</v>
      </c>
      <c r="E5" s="77">
        <v>1</v>
      </c>
      <c r="F5" s="387">
        <v>0.75</v>
      </c>
      <c r="G5" s="387">
        <v>0.75</v>
      </c>
      <c r="H5" s="387">
        <v>0.75</v>
      </c>
      <c r="I5" s="387">
        <v>0.75</v>
      </c>
      <c r="J5" s="66">
        <f t="shared" si="5"/>
        <v>1</v>
      </c>
      <c r="K5" s="559">
        <v>1</v>
      </c>
      <c r="L5" s="559">
        <v>1</v>
      </c>
      <c r="M5" s="559">
        <v>1</v>
      </c>
      <c r="N5" s="559">
        <v>1</v>
      </c>
      <c r="O5" s="66">
        <f t="shared" si="6"/>
        <v>1</v>
      </c>
      <c r="P5" s="559">
        <v>1</v>
      </c>
      <c r="Q5" s="559">
        <v>1</v>
      </c>
      <c r="R5" s="559">
        <v>1</v>
      </c>
      <c r="S5" s="559">
        <v>1</v>
      </c>
      <c r="T5" s="74">
        <v>3.7499999999999999E-2</v>
      </c>
      <c r="U5" s="74">
        <v>4.2500000000000003E-2</v>
      </c>
      <c r="V5" s="593">
        <f t="shared" si="7"/>
        <v>0.92159374999999999</v>
      </c>
      <c r="W5" s="20">
        <v>4</v>
      </c>
      <c r="X5" s="32" t="str">
        <f>IF(W5="","",VLOOKUP(W5,tab_cod_categoria!$A$2:$B$30,2,0))</f>
        <v>Carvão</v>
      </c>
      <c r="Y5" s="23">
        <v>1322</v>
      </c>
      <c r="Z5" s="75">
        <v>4</v>
      </c>
      <c r="AA5" s="75">
        <v>25</v>
      </c>
      <c r="AB5" s="77">
        <v>0.23</v>
      </c>
      <c r="AC5" s="65">
        <v>8.5576615384615404E-2</v>
      </c>
      <c r="AD5" s="77">
        <f t="shared" si="8"/>
        <v>14.352</v>
      </c>
      <c r="AE5" s="552">
        <v>3680</v>
      </c>
      <c r="AF5" s="78">
        <f>AE5*constantes!$B$4</f>
        <v>14352</v>
      </c>
      <c r="AG5" s="23">
        <v>9</v>
      </c>
      <c r="AH5" s="23"/>
      <c r="AI5" s="87"/>
      <c r="AJ5" s="636">
        <f t="shared" si="9"/>
        <v>14.352</v>
      </c>
      <c r="AK5" s="79">
        <f t="shared" si="10"/>
        <v>14352</v>
      </c>
      <c r="AL5" s="80">
        <f ca="1">IF(AJ5=0,"",AJ5*(OFFSET(cod_desembolso!$A$1,AG5,23)))</f>
        <v>16.3404837944943</v>
      </c>
      <c r="AM5" s="81">
        <f>(constantes!$B$3*(1+constantes!$B$3)^(AA5))/((1+constantes!$B$3)^(AA5)-1)</f>
        <v>9.3678779051968114E-2</v>
      </c>
      <c r="AN5" s="82">
        <f t="shared" ca="1" si="11"/>
        <v>2.0636346197671847</v>
      </c>
      <c r="AO5" s="80">
        <f ca="1">IF(AJ5=0,"",AN5/constantes!$B$3)</f>
        <v>25.795432747089809</v>
      </c>
      <c r="AP5" s="83">
        <f ca="1">IF(AJ5=0,"",PV(constantes!$B$3,AA5,-AN5)*constantes!$B$3)</f>
        <v>1.7623070160830236</v>
      </c>
      <c r="AQ5" s="84">
        <f t="shared" si="12"/>
        <v>0.53287804878048783</v>
      </c>
      <c r="AR5" s="484">
        <f t="shared" si="13"/>
        <v>532.8780487804878</v>
      </c>
      <c r="AS5" s="384">
        <v>0</v>
      </c>
      <c r="AT5" s="384">
        <v>480</v>
      </c>
      <c r="AU5" s="399">
        <v>0.56999999999999995</v>
      </c>
    </row>
    <row r="6" spans="1:49">
      <c r="A6" s="23">
        <v>305</v>
      </c>
      <c r="B6" s="341" t="s">
        <v>206</v>
      </c>
      <c r="C6" s="73">
        <v>1</v>
      </c>
      <c r="D6" s="77">
        <v>0.5</v>
      </c>
      <c r="E6" s="77">
        <v>1</v>
      </c>
      <c r="F6" s="387">
        <v>0.75</v>
      </c>
      <c r="G6" s="387">
        <v>0.75</v>
      </c>
      <c r="H6" s="387">
        <v>0.75</v>
      </c>
      <c r="I6" s="387">
        <v>0.75</v>
      </c>
      <c r="J6" s="66">
        <f t="shared" si="5"/>
        <v>1</v>
      </c>
      <c r="K6" s="559">
        <v>1</v>
      </c>
      <c r="L6" s="559">
        <v>1</v>
      </c>
      <c r="M6" s="559">
        <v>1</v>
      </c>
      <c r="N6" s="559">
        <v>1</v>
      </c>
      <c r="O6" s="66">
        <f t="shared" si="6"/>
        <v>1</v>
      </c>
      <c r="P6" s="559">
        <v>1</v>
      </c>
      <c r="Q6" s="559">
        <v>1</v>
      </c>
      <c r="R6" s="559">
        <v>1</v>
      </c>
      <c r="S6" s="559">
        <v>1</v>
      </c>
      <c r="T6" s="74">
        <v>3.7499999999999999E-2</v>
      </c>
      <c r="U6" s="74">
        <v>4.2500000000000003E-2</v>
      </c>
      <c r="V6" s="593">
        <f t="shared" si="7"/>
        <v>0.92159374999999999</v>
      </c>
      <c r="W6" s="20">
        <v>4</v>
      </c>
      <c r="X6" s="32" t="str">
        <f>IF(W6="","",VLOOKUP(W6,tab_cod_categoria!$A$2:$B$30,2,0))</f>
        <v>Carvão</v>
      </c>
      <c r="Y6" s="23">
        <v>1323</v>
      </c>
      <c r="Z6" s="75">
        <v>4</v>
      </c>
      <c r="AA6" s="75">
        <v>25</v>
      </c>
      <c r="AB6" s="77">
        <v>0.45</v>
      </c>
      <c r="AC6" s="65">
        <v>0.96835199999999999</v>
      </c>
      <c r="AD6" s="77">
        <f t="shared" si="8"/>
        <v>9.75</v>
      </c>
      <c r="AE6" s="552">
        <v>2500</v>
      </c>
      <c r="AF6" s="78">
        <f>AE6*constantes!$B$4</f>
        <v>9750</v>
      </c>
      <c r="AG6" s="23">
        <v>9</v>
      </c>
      <c r="AH6" s="23"/>
      <c r="AI6" s="87"/>
      <c r="AJ6" s="636">
        <f t="shared" si="9"/>
        <v>9.75</v>
      </c>
      <c r="AK6" s="79">
        <f t="shared" si="10"/>
        <v>9750</v>
      </c>
      <c r="AL6" s="80">
        <f ca="1">IF(AJ6=0,"",AJ6*(OFFSET(cod_desembolso!$A$1,AG6,23)))</f>
        <v>11.100872142998846</v>
      </c>
      <c r="AM6" s="81">
        <f>(constantes!$B$3*(1+constantes!$B$3)^(AA6))/((1+constantes!$B$3)^(AA6)-1)</f>
        <v>9.3678779051968114E-2</v>
      </c>
      <c r="AN6" s="82">
        <f t="shared" ca="1" si="11"/>
        <v>1.4404039536461855</v>
      </c>
      <c r="AO6" s="80">
        <f ca="1">IF(AJ6=0,"",AN6/constantes!$B$3)</f>
        <v>18.005049420577318</v>
      </c>
      <c r="AP6" s="83">
        <f ca="1">IF(AJ6=0,"",PV(constantes!$B$3,AA6,-AN6)*constantes!$B$3)</f>
        <v>1.2300791861064921</v>
      </c>
      <c r="AQ6" s="84">
        <f t="shared" si="12"/>
        <v>0.4004878048780488</v>
      </c>
      <c r="AR6" s="484">
        <f t="shared" si="13"/>
        <v>400.48780487804879</v>
      </c>
      <c r="AS6" s="384">
        <v>0</v>
      </c>
      <c r="AT6" s="384">
        <v>900</v>
      </c>
      <c r="AU6" s="399">
        <v>0.42499999999999999</v>
      </c>
    </row>
    <row r="7" spans="1:49">
      <c r="A7" s="23">
        <v>309</v>
      </c>
      <c r="B7" s="341" t="s">
        <v>207</v>
      </c>
      <c r="C7" s="73">
        <v>1</v>
      </c>
      <c r="D7" s="77">
        <v>0.5</v>
      </c>
      <c r="E7" s="77">
        <v>1</v>
      </c>
      <c r="F7" s="387">
        <v>0.75</v>
      </c>
      <c r="G7" s="387">
        <v>0.75</v>
      </c>
      <c r="H7" s="387">
        <v>0.75</v>
      </c>
      <c r="I7" s="387">
        <v>0.75</v>
      </c>
      <c r="J7" s="66">
        <f t="shared" ref="J7" si="14">AVERAGE(K7:N7)</f>
        <v>1</v>
      </c>
      <c r="K7" s="559">
        <v>1</v>
      </c>
      <c r="L7" s="559">
        <v>1</v>
      </c>
      <c r="M7" s="559">
        <v>1</v>
      </c>
      <c r="N7" s="559">
        <v>1</v>
      </c>
      <c r="O7" s="66">
        <f t="shared" ref="O7" si="15">AVERAGE(P7:S7)</f>
        <v>1</v>
      </c>
      <c r="P7" s="559">
        <v>1</v>
      </c>
      <c r="Q7" s="559">
        <v>1</v>
      </c>
      <c r="R7" s="559">
        <v>1</v>
      </c>
      <c r="S7" s="559">
        <v>1</v>
      </c>
      <c r="T7" s="74">
        <v>3.7499999999999999E-2</v>
      </c>
      <c r="U7" s="74">
        <v>4.2500000000000003E-2</v>
      </c>
      <c r="V7" s="593">
        <f t="shared" si="7"/>
        <v>0.92159374999999999</v>
      </c>
      <c r="W7" s="20">
        <v>4</v>
      </c>
      <c r="X7" s="32" t="str">
        <f>IF(W7="","",VLOOKUP(W7,tab_cod_categoria!$A$2:$B$30,2,0))</f>
        <v>Carvão</v>
      </c>
      <c r="Y7" s="23">
        <v>1321</v>
      </c>
      <c r="Z7" s="75">
        <v>4</v>
      </c>
      <c r="AA7" s="75">
        <v>25</v>
      </c>
      <c r="AB7" s="77">
        <v>0.35</v>
      </c>
      <c r="AC7" s="65">
        <v>9.6835199999999996E-2</v>
      </c>
      <c r="AD7" s="77">
        <f t="shared" si="8"/>
        <v>15.561</v>
      </c>
      <c r="AE7" s="552">
        <v>3990</v>
      </c>
      <c r="AF7" s="78">
        <f>AE7*constantes!$B$4</f>
        <v>15561</v>
      </c>
      <c r="AG7" s="23">
        <v>9</v>
      </c>
      <c r="AH7" s="23"/>
      <c r="AI7" s="87"/>
      <c r="AJ7" s="636">
        <f t="shared" ref="AJ7" si="16">AD7+AH7+AI7</f>
        <v>15.561</v>
      </c>
      <c r="AK7" s="79">
        <f t="shared" si="10"/>
        <v>15561</v>
      </c>
      <c r="AL7" s="80">
        <f ca="1">IF(AJ7=0,"",AJ7*(OFFSET(cod_desembolso!$A$1,AG7,23)))</f>
        <v>17.716991940226155</v>
      </c>
      <c r="AM7" s="81">
        <f>(constantes!$B$3*(1+constantes!$B$3)^(AA7))/((1+constantes!$B$3)^(AA7)-1)</f>
        <v>9.3678779051968114E-2</v>
      </c>
      <c r="AN7" s="82">
        <f t="shared" ref="AN7" ca="1" si="17">IF(AD7=0,"",AL7*AM7+AQ7)</f>
        <v>2.2273647100193115</v>
      </c>
      <c r="AO7" s="80">
        <f ca="1">IF(AJ7=0,"",AN7/constantes!$B$3)</f>
        <v>27.842058875241392</v>
      </c>
      <c r="AP7" s="83">
        <f ca="1">IF(AJ7=0,"",PV(constantes!$B$3,AA7,-AN7)*constantes!$B$3)</f>
        <v>1.9021295815853327</v>
      </c>
      <c r="AQ7" s="84">
        <f t="shared" si="12"/>
        <v>0.5676585365853658</v>
      </c>
      <c r="AR7" s="484">
        <f t="shared" si="13"/>
        <v>567.65853658536582</v>
      </c>
      <c r="AS7" s="384">
        <v>0</v>
      </c>
      <c r="AT7" s="384">
        <v>900</v>
      </c>
      <c r="AU7" s="399">
        <v>0.42499999999999999</v>
      </c>
    </row>
    <row r="8" spans="1:49">
      <c r="A8" s="23">
        <v>306</v>
      </c>
      <c r="B8" s="341" t="s">
        <v>208</v>
      </c>
      <c r="C8" s="86">
        <v>1</v>
      </c>
      <c r="D8" s="77">
        <v>0.5</v>
      </c>
      <c r="E8" s="77">
        <v>1</v>
      </c>
      <c r="F8" s="387">
        <v>0.75</v>
      </c>
      <c r="G8" s="387">
        <v>0.75</v>
      </c>
      <c r="H8" s="387">
        <v>0.75</v>
      </c>
      <c r="I8" s="387">
        <v>0.75</v>
      </c>
      <c r="J8" s="66">
        <f t="shared" si="5"/>
        <v>1</v>
      </c>
      <c r="K8" s="559">
        <v>1</v>
      </c>
      <c r="L8" s="559">
        <v>1</v>
      </c>
      <c r="M8" s="559">
        <v>1</v>
      </c>
      <c r="N8" s="559">
        <v>1</v>
      </c>
      <c r="O8" s="66">
        <f t="shared" si="6"/>
        <v>1</v>
      </c>
      <c r="P8" s="559">
        <v>1</v>
      </c>
      <c r="Q8" s="559">
        <v>1</v>
      </c>
      <c r="R8" s="559">
        <v>1</v>
      </c>
      <c r="S8" s="559">
        <v>1</v>
      </c>
      <c r="T8" s="74">
        <v>3.7499999999999999E-2</v>
      </c>
      <c r="U8" s="74">
        <v>4.2500000000000003E-2</v>
      </c>
      <c r="V8" s="593">
        <f t="shared" si="7"/>
        <v>0.92159374999999999</v>
      </c>
      <c r="W8" s="20">
        <v>4</v>
      </c>
      <c r="X8" s="32" t="str">
        <f>IF(W8="","",VLOOKUP(W8,tab_cod_categoria!$A$2:$B$30,2,0))</f>
        <v>Carvão</v>
      </c>
      <c r="Y8" s="23">
        <v>1323</v>
      </c>
      <c r="Z8" s="75">
        <v>4</v>
      </c>
      <c r="AA8" s="75">
        <v>25</v>
      </c>
      <c r="AB8" s="77">
        <v>0.45</v>
      </c>
      <c r="AC8" s="65">
        <v>0.74166399999999988</v>
      </c>
      <c r="AD8" s="77">
        <f t="shared" si="8"/>
        <v>11.973000000000001</v>
      </c>
      <c r="AE8" s="552">
        <v>3070</v>
      </c>
      <c r="AF8" s="78">
        <f>AE8*constantes!$B$4</f>
        <v>11973</v>
      </c>
      <c r="AG8" s="23">
        <v>9</v>
      </c>
      <c r="AH8" s="23"/>
      <c r="AI8" s="87"/>
      <c r="AJ8" s="636">
        <f t="shared" si="9"/>
        <v>11.973000000000001</v>
      </c>
      <c r="AK8" s="79">
        <f t="shared" si="10"/>
        <v>11973</v>
      </c>
      <c r="AL8" s="80">
        <f ca="1">IF(AJ8=0,"",AJ8*(OFFSET(cod_desembolso!$A$1,AG8,23)))</f>
        <v>13.631870991602582</v>
      </c>
      <c r="AM8" s="81">
        <f>(constantes!$B$3*(1+constantes!$B$3)^(AA8))/((1+constantes!$B$3)^(AA8)-1)</f>
        <v>9.3678779051968114E-2</v>
      </c>
      <c r="AN8" s="82">
        <f t="shared" ca="1" si="11"/>
        <v>1.7414560550775158</v>
      </c>
      <c r="AO8" s="80">
        <f ca="1">IF(AJ8=0,"",AN8/constantes!$B$3)</f>
        <v>21.768200688468948</v>
      </c>
      <c r="AP8" s="83">
        <f ca="1">IF(AJ8=0,"",PV(constantes!$B$3,AA8,-AN8)*constantes!$B$3)</f>
        <v>1.4871722904171898</v>
      </c>
      <c r="AQ8" s="84">
        <f t="shared" si="12"/>
        <v>0.46443902439024393</v>
      </c>
      <c r="AR8" s="484">
        <f>120+230*(AE8/2050)</f>
        <v>464.4390243902439</v>
      </c>
      <c r="AS8" s="384">
        <v>0</v>
      </c>
      <c r="AT8" s="384">
        <v>900</v>
      </c>
      <c r="AU8" s="399">
        <v>0.42499999999999999</v>
      </c>
    </row>
    <row r="9" spans="1:49" s="578" customFormat="1">
      <c r="A9" s="565">
        <v>329</v>
      </c>
      <c r="B9" s="621" t="s">
        <v>209</v>
      </c>
      <c r="C9" s="73">
        <v>1</v>
      </c>
      <c r="D9" s="77">
        <v>0</v>
      </c>
      <c r="E9" s="557">
        <v>0</v>
      </c>
      <c r="F9" s="387">
        <v>1</v>
      </c>
      <c r="G9" s="387">
        <v>1</v>
      </c>
      <c r="H9" s="387">
        <v>1</v>
      </c>
      <c r="I9" s="387">
        <v>1</v>
      </c>
      <c r="J9" s="66">
        <v>1</v>
      </c>
      <c r="K9" s="33">
        <v>0</v>
      </c>
      <c r="L9" s="33">
        <v>0</v>
      </c>
      <c r="M9" s="33">
        <v>0</v>
      </c>
      <c r="N9" s="33">
        <v>0</v>
      </c>
      <c r="O9" s="66">
        <f t="shared" si="6"/>
        <v>0</v>
      </c>
      <c r="P9" s="33">
        <v>0</v>
      </c>
      <c r="Q9" s="33">
        <v>0</v>
      </c>
      <c r="R9" s="33">
        <v>0</v>
      </c>
      <c r="S9" s="33">
        <v>0</v>
      </c>
      <c r="T9" s="74">
        <v>0.02</v>
      </c>
      <c r="U9" s="74">
        <v>0.01</v>
      </c>
      <c r="V9" s="593">
        <f t="shared" si="7"/>
        <v>0.97019999999999995</v>
      </c>
      <c r="W9" s="20">
        <v>10</v>
      </c>
      <c r="X9" s="32" t="str">
        <f>IF(W9="","",VLOOKUP(W9,tab_cod_categoria!$A$2:$B$30,2,0))</f>
        <v>Outros</v>
      </c>
      <c r="Y9" s="64">
        <v>1315</v>
      </c>
      <c r="Z9" s="75">
        <v>1</v>
      </c>
      <c r="AA9" s="76">
        <v>20</v>
      </c>
      <c r="AB9" s="23">
        <v>1</v>
      </c>
      <c r="AC9" s="65">
        <v>0</v>
      </c>
      <c r="AD9" s="77">
        <f t="shared" si="8"/>
        <v>2.34</v>
      </c>
      <c r="AE9" s="552">
        <v>600</v>
      </c>
      <c r="AF9" s="78">
        <f>AE9*constantes!$B$4</f>
        <v>2340</v>
      </c>
      <c r="AG9" s="23">
        <v>1</v>
      </c>
      <c r="AH9" s="569"/>
      <c r="AI9" s="569"/>
      <c r="AJ9" s="637">
        <f>AD9+AH9+AI9</f>
        <v>2.34</v>
      </c>
      <c r="AK9" s="570">
        <f t="shared" si="10"/>
        <v>2340</v>
      </c>
      <c r="AL9" s="571">
        <f ca="1">IF(AJ9=0,"",AJ9*(OFFSET(cod_desembolso!$A$1,AG9,23)))</f>
        <v>2.4317993338267039</v>
      </c>
      <c r="AM9" s="572">
        <f>(constantes!$B$3*(1+constantes!$B$3)^(AA9))/((1+constantes!$B$3)^(AA9)-1)</f>
        <v>0.10185220882315059</v>
      </c>
      <c r="AN9" s="591">
        <f ca="1">IF(AD9=0,"",AL9*AM9+AQ9)</f>
        <v>0.44768413356491593</v>
      </c>
      <c r="AO9" s="573">
        <f ca="1">IF(AJ9=0,AQ9/constantes!$B$3,AN9/constantes!$B$3)</f>
        <v>5.5960516695614491</v>
      </c>
      <c r="AP9" s="574">
        <f ca="1">IF(AJ9=0,"",PV(constantes!$B$3,AA9,-AN9)*constantes!$B$3)</f>
        <v>0.35163430522532502</v>
      </c>
      <c r="AQ9" s="575">
        <f t="shared" si="12"/>
        <v>0.2</v>
      </c>
      <c r="AR9" s="623">
        <v>200</v>
      </c>
      <c r="AS9" s="577">
        <v>0</v>
      </c>
      <c r="AT9" s="576">
        <v>0</v>
      </c>
      <c r="AU9" s="592"/>
      <c r="AV9" s="578">
        <f ca="1">AP9/C9</f>
        <v>0.35163430522532502</v>
      </c>
    </row>
    <row r="10" spans="1:49">
      <c r="A10" s="23">
        <v>302</v>
      </c>
      <c r="B10" s="297" t="s">
        <v>210</v>
      </c>
      <c r="C10" s="73">
        <v>1</v>
      </c>
      <c r="D10" s="77">
        <v>0</v>
      </c>
      <c r="E10" s="77">
        <v>1</v>
      </c>
      <c r="F10" s="387">
        <v>0.9474715600000001</v>
      </c>
      <c r="G10" s="387">
        <v>0.9474715600000001</v>
      </c>
      <c r="H10" s="387">
        <v>0.9474715600000001</v>
      </c>
      <c r="I10" s="387">
        <v>0.9474715600000001</v>
      </c>
      <c r="J10" s="66">
        <f t="shared" si="5"/>
        <v>1</v>
      </c>
      <c r="K10" s="559">
        <v>1</v>
      </c>
      <c r="L10" s="559">
        <v>1</v>
      </c>
      <c r="M10" s="559">
        <v>1</v>
      </c>
      <c r="N10" s="559">
        <v>1</v>
      </c>
      <c r="O10" s="66">
        <f t="shared" si="6"/>
        <v>1</v>
      </c>
      <c r="P10" s="559">
        <v>1</v>
      </c>
      <c r="Q10" s="559">
        <v>1</v>
      </c>
      <c r="R10" s="559">
        <v>1</v>
      </c>
      <c r="S10" s="559">
        <v>1</v>
      </c>
      <c r="T10" s="74">
        <v>2.06E-2</v>
      </c>
      <c r="U10" s="74">
        <v>3.2599999999999997E-2</v>
      </c>
      <c r="V10" s="593">
        <f t="shared" si="7"/>
        <v>0.9474715600000001</v>
      </c>
      <c r="W10" s="20">
        <v>3</v>
      </c>
      <c r="X10" s="32" t="str">
        <f>IF(W10="","",VLOOKUP(W10,tab_cod_categoria!$A$2:$B$30,2,0))</f>
        <v>Gás Natural</v>
      </c>
      <c r="Y10" s="64">
        <v>1302</v>
      </c>
      <c r="Z10" s="75">
        <v>3</v>
      </c>
      <c r="AA10" s="76">
        <v>20</v>
      </c>
      <c r="AB10" s="77">
        <v>0.55000000000000004</v>
      </c>
      <c r="AC10" s="65">
        <v>0.37212999999999996</v>
      </c>
      <c r="AD10" s="77">
        <f t="shared" si="8"/>
        <v>3.9</v>
      </c>
      <c r="AE10" s="552">
        <v>1000</v>
      </c>
      <c r="AF10" s="78">
        <f>AE10*constantes!$B$4</f>
        <v>3900</v>
      </c>
      <c r="AG10" s="23">
        <v>7</v>
      </c>
      <c r="AH10" s="23"/>
      <c r="AI10" s="23"/>
      <c r="AJ10" s="636">
        <f>AD10+AH10+AI10</f>
        <v>3.9</v>
      </c>
      <c r="AK10" s="79">
        <f t="shared" si="10"/>
        <v>3900</v>
      </c>
      <c r="AL10" s="80">
        <f ca="1">IF(AJ10=0,"",AJ10*(OFFSET(cod_desembolso!$A$1,AG10,23)))</f>
        <v>4.3525965676386225</v>
      </c>
      <c r="AM10" s="81">
        <f>(constantes!$B$3*(1+constantes!$B$3)^(AA10))/((1+constantes!$B$3)^(AA10)-1)</f>
        <v>0.10185220882315059</v>
      </c>
      <c r="AN10" s="82">
        <f t="shared" ca="1" si="11"/>
        <v>0.61332157453005753</v>
      </c>
      <c r="AO10" s="80">
        <f ca="1">IF(AJ10=0,AQ10/constantes!$B$3,AN10/constantes!$B$3)</f>
        <v>7.6665196816257186</v>
      </c>
      <c r="AP10" s="83">
        <f ca="1">IF(AJ10=0,"",PV(constantes!$B$3,AA10,-AN10)*constantes!$B$3)</f>
        <v>0.4817345301524002</v>
      </c>
      <c r="AQ10" s="84">
        <f t="shared" si="12"/>
        <v>0.17</v>
      </c>
      <c r="AR10" s="484">
        <v>170</v>
      </c>
      <c r="AS10" s="384">
        <v>20</v>
      </c>
      <c r="AT10" s="384">
        <v>177.73</v>
      </c>
      <c r="AU10" s="400">
        <v>0.88</v>
      </c>
    </row>
    <row r="11" spans="1:49">
      <c r="A11" s="23">
        <v>308</v>
      </c>
      <c r="B11" s="297" t="s">
        <v>211</v>
      </c>
      <c r="C11" s="73">
        <v>1</v>
      </c>
      <c r="D11" s="77">
        <v>0</v>
      </c>
      <c r="E11" s="77">
        <v>1</v>
      </c>
      <c r="F11" s="387">
        <v>0.9474715600000001</v>
      </c>
      <c r="G11" s="387">
        <v>0.9474715600000001</v>
      </c>
      <c r="H11" s="387">
        <v>0.9474715600000001</v>
      </c>
      <c r="I11" s="387">
        <v>0.9474715600000001</v>
      </c>
      <c r="J11" s="66">
        <f t="shared" ref="J11" si="18">AVERAGE(K11:N11)</f>
        <v>1</v>
      </c>
      <c r="K11" s="559">
        <v>1</v>
      </c>
      <c r="L11" s="559">
        <v>1</v>
      </c>
      <c r="M11" s="559">
        <v>1</v>
      </c>
      <c r="N11" s="559">
        <v>1</v>
      </c>
      <c r="O11" s="66">
        <f t="shared" ref="O11" si="19">AVERAGE(P11:S11)</f>
        <v>1</v>
      </c>
      <c r="P11" s="559">
        <v>1</v>
      </c>
      <c r="Q11" s="559">
        <v>1</v>
      </c>
      <c r="R11" s="559">
        <v>1</v>
      </c>
      <c r="S11" s="559">
        <v>1</v>
      </c>
      <c r="T11" s="74">
        <v>2.06E-2</v>
      </c>
      <c r="U11" s="74">
        <v>3.2599999999999997E-2</v>
      </c>
      <c r="V11" s="593">
        <f t="shared" si="7"/>
        <v>0.9474715600000001</v>
      </c>
      <c r="W11" s="20">
        <v>3</v>
      </c>
      <c r="X11" s="32" t="str">
        <f>IF(W11="","",VLOOKUP(W11,tab_cod_categoria!$A$2:$B$30,2,0))</f>
        <v>Gás Natural</v>
      </c>
      <c r="Y11" s="64">
        <v>1503</v>
      </c>
      <c r="Z11" s="75">
        <v>3</v>
      </c>
      <c r="AA11" s="76">
        <v>20</v>
      </c>
      <c r="AB11" s="77">
        <v>0.55000000000000004</v>
      </c>
      <c r="AC11" s="65">
        <v>0.37212999999999996</v>
      </c>
      <c r="AD11" s="77">
        <f t="shared" ref="AD11" si="20">AF11*C11/1000</f>
        <v>3.9</v>
      </c>
      <c r="AE11" s="552">
        <v>1000</v>
      </c>
      <c r="AF11" s="78">
        <f>AE11*constantes!$B$4</f>
        <v>3900</v>
      </c>
      <c r="AG11" s="23">
        <v>7</v>
      </c>
      <c r="AH11" s="23"/>
      <c r="AI11" s="23"/>
      <c r="AJ11" s="636">
        <f>AD11+AH11+AI11</f>
        <v>3.9</v>
      </c>
      <c r="AK11" s="79">
        <f t="shared" ref="AK11" si="21">AJ11*1000/C11</f>
        <v>3900</v>
      </c>
      <c r="AL11" s="80">
        <f ca="1">IF(AJ11=0,"",AJ11*(OFFSET(cod_desembolso!$A$1,AG11,23)))</f>
        <v>4.3525965676386225</v>
      </c>
      <c r="AM11" s="81">
        <f>(constantes!$B$3*(1+constantes!$B$3)^(AA11))/((1+constantes!$B$3)^(AA11)-1)</f>
        <v>0.10185220882315059</v>
      </c>
      <c r="AN11" s="82">
        <f t="shared" ref="AN11" ca="1" si="22">IF(AD11=0,"",AL11*AM11+AQ11)</f>
        <v>0.61332157453005753</v>
      </c>
      <c r="AO11" s="80">
        <f ca="1">IF(AJ11=0,AQ11/constantes!$B$3,AN11/constantes!$B$3)</f>
        <v>7.6665196816257186</v>
      </c>
      <c r="AP11" s="83">
        <f ca="1">IF(AJ11=0,"",PV(constantes!$B$3,AA11,-AN11)*constantes!$B$3)</f>
        <v>0.4817345301524002</v>
      </c>
      <c r="AQ11" s="84">
        <f t="shared" ref="AQ11" si="23">AR11*C11/1000</f>
        <v>0.17</v>
      </c>
      <c r="AR11" s="484">
        <v>170</v>
      </c>
      <c r="AS11" s="384">
        <v>20</v>
      </c>
      <c r="AT11" s="384">
        <v>177.73</v>
      </c>
      <c r="AU11" s="400">
        <v>0.88</v>
      </c>
    </row>
    <row r="12" spans="1:49">
      <c r="A12" s="23">
        <v>320</v>
      </c>
      <c r="B12" s="297" t="s">
        <v>212</v>
      </c>
      <c r="C12" s="73">
        <v>1</v>
      </c>
      <c r="D12" s="77">
        <v>0</v>
      </c>
      <c r="E12" s="77">
        <v>1</v>
      </c>
      <c r="F12" s="387">
        <v>0.9474715600000001</v>
      </c>
      <c r="G12" s="387">
        <v>0.9474715600000001</v>
      </c>
      <c r="H12" s="387">
        <v>0.9474715600000001</v>
      </c>
      <c r="I12" s="387">
        <v>0.9474715600000001</v>
      </c>
      <c r="J12" s="66">
        <f t="shared" si="5"/>
        <v>1</v>
      </c>
      <c r="K12" s="559">
        <v>1</v>
      </c>
      <c r="L12" s="559">
        <v>1</v>
      </c>
      <c r="M12" s="559">
        <v>1</v>
      </c>
      <c r="N12" s="559">
        <v>1</v>
      </c>
      <c r="O12" s="66">
        <f t="shared" si="6"/>
        <v>1</v>
      </c>
      <c r="P12" s="559">
        <v>1</v>
      </c>
      <c r="Q12" s="559">
        <v>1</v>
      </c>
      <c r="R12" s="559">
        <v>1</v>
      </c>
      <c r="S12" s="559">
        <v>1</v>
      </c>
      <c r="T12" s="74">
        <v>2.06E-2</v>
      </c>
      <c r="U12" s="74">
        <v>3.2599999999999997E-2</v>
      </c>
      <c r="V12" s="593">
        <f t="shared" si="7"/>
        <v>0.9474715600000001</v>
      </c>
      <c r="W12" s="20">
        <v>3</v>
      </c>
      <c r="X12" s="32" t="str">
        <f>IF(W12="","",VLOOKUP(W12,tab_cod_categoria!$A$2:$B$30,2,0))</f>
        <v>Gás Natural</v>
      </c>
      <c r="Y12" s="298">
        <v>1503</v>
      </c>
      <c r="Z12" s="75">
        <v>3</v>
      </c>
      <c r="AA12" s="76">
        <v>20</v>
      </c>
      <c r="AB12" s="77">
        <v>0.55000000000000004</v>
      </c>
      <c r="AC12" s="65">
        <v>0.37212999999999996</v>
      </c>
      <c r="AD12" s="77">
        <f t="shared" si="8"/>
        <v>3.9</v>
      </c>
      <c r="AE12" s="552">
        <v>1000</v>
      </c>
      <c r="AF12" s="78">
        <f>AE12*constantes!$B$4</f>
        <v>3900</v>
      </c>
      <c r="AG12" s="23">
        <v>7</v>
      </c>
      <c r="AH12" s="23"/>
      <c r="AI12" s="23"/>
      <c r="AJ12" s="636">
        <f t="shared" si="9"/>
        <v>3.9</v>
      </c>
      <c r="AK12" s="79">
        <f t="shared" si="10"/>
        <v>3900</v>
      </c>
      <c r="AL12" s="80">
        <f ca="1">IF(AJ12=0,"",AJ12*(OFFSET(cod_desembolso!$A$1,AG12,23)))</f>
        <v>4.3525965676386225</v>
      </c>
      <c r="AM12" s="81">
        <f>(constantes!$B$3*(1+constantes!$B$3)^(AA12))/((1+constantes!$B$3)^(AA12)-1)</f>
        <v>0.10185220882315059</v>
      </c>
      <c r="AN12" s="82">
        <f t="shared" ca="1" si="11"/>
        <v>0.61332157453005753</v>
      </c>
      <c r="AO12" s="80">
        <f ca="1">IF(AJ12=0,AQ12/constantes!$B$3,AN12/constantes!$B$3)</f>
        <v>7.6665196816257186</v>
      </c>
      <c r="AP12" s="83">
        <f ca="1">IF(AJ12=0,"",PV(constantes!$B$3,AA12,-AN12)*constantes!$B$3)</f>
        <v>0.4817345301524002</v>
      </c>
      <c r="AQ12" s="84">
        <f t="shared" si="12"/>
        <v>0.17</v>
      </c>
      <c r="AR12" s="484">
        <v>170</v>
      </c>
      <c r="AS12" s="384">
        <v>20</v>
      </c>
      <c r="AT12" s="384">
        <v>177.73</v>
      </c>
      <c r="AU12" s="400">
        <v>0.88</v>
      </c>
    </row>
    <row r="13" spans="1:49" s="578" customFormat="1">
      <c r="A13" s="565">
        <v>301</v>
      </c>
      <c r="B13" s="388" t="s">
        <v>213</v>
      </c>
      <c r="C13" s="579">
        <v>1</v>
      </c>
      <c r="D13" s="580">
        <v>0</v>
      </c>
      <c r="E13" s="581">
        <v>1</v>
      </c>
      <c r="F13" s="566">
        <v>0.9474715600000001</v>
      </c>
      <c r="G13" s="566">
        <v>0.9474715600000001</v>
      </c>
      <c r="H13" s="566">
        <v>0.9474715600000001</v>
      </c>
      <c r="I13" s="566">
        <v>0.9474715600000001</v>
      </c>
      <c r="J13" s="582">
        <f>AVERAGE(K13:N13)</f>
        <v>1</v>
      </c>
      <c r="K13" s="567">
        <v>1</v>
      </c>
      <c r="L13" s="567">
        <v>1</v>
      </c>
      <c r="M13" s="567">
        <v>1</v>
      </c>
      <c r="N13" s="567">
        <v>1</v>
      </c>
      <c r="O13" s="582">
        <f>AVERAGE(P13:S13)</f>
        <v>1</v>
      </c>
      <c r="P13" s="567">
        <v>1</v>
      </c>
      <c r="Q13" s="567">
        <v>1</v>
      </c>
      <c r="R13" s="567">
        <v>1</v>
      </c>
      <c r="S13" s="567">
        <v>1</v>
      </c>
      <c r="T13" s="583">
        <v>2.06E-2</v>
      </c>
      <c r="U13" s="583">
        <v>3.2599999999999997E-2</v>
      </c>
      <c r="V13" s="593">
        <f t="shared" si="7"/>
        <v>0.9474715600000001</v>
      </c>
      <c r="W13" s="584">
        <v>3</v>
      </c>
      <c r="X13" s="585" t="str">
        <f>IF(W13="","",VLOOKUP(W13,tab_cod_categoria!$A$2:$B$30,2,0))</f>
        <v>Gás Natural</v>
      </c>
      <c r="Y13" s="586">
        <v>1301</v>
      </c>
      <c r="Z13" s="569">
        <v>2</v>
      </c>
      <c r="AA13" s="569">
        <v>20</v>
      </c>
      <c r="AB13" s="587">
        <v>1</v>
      </c>
      <c r="AC13" s="588">
        <v>0</v>
      </c>
      <c r="AD13" s="587">
        <f t="shared" si="8"/>
        <v>3.12</v>
      </c>
      <c r="AE13" s="568">
        <v>800</v>
      </c>
      <c r="AF13" s="589">
        <f>AE13*constantes!$B$4</f>
        <v>3120</v>
      </c>
      <c r="AG13" s="23">
        <v>7</v>
      </c>
      <c r="AH13" s="569"/>
      <c r="AI13" s="569"/>
      <c r="AJ13" s="637">
        <f>AD13+AH13+AI13</f>
        <v>3.12</v>
      </c>
      <c r="AK13" s="570">
        <f t="shared" si="10"/>
        <v>3120</v>
      </c>
      <c r="AL13" s="571">
        <f ca="1">IF(AJ13=0,"",AJ13*(OFFSET(cod_desembolso!$A$1,AG13,23)))</f>
        <v>3.4820772541108984</v>
      </c>
      <c r="AM13" s="572">
        <f>(constantes!$B$3*(1+constantes!$B$3)^(AA13))/((1+constantes!$B$3)^(AA13)-1)</f>
        <v>0.10185220882315059</v>
      </c>
      <c r="AN13" s="591">
        <f ca="1">IF(AD13=0,"",AL13*AM13+AQ13)</f>
        <v>0.62465725962404606</v>
      </c>
      <c r="AO13" s="573">
        <f ca="1">IF(AJ13=0,AQ13/constantes!$B$3,AN13/constantes!$B$3)</f>
        <v>7.8082157453005756</v>
      </c>
      <c r="AP13" s="574">
        <f ca="1">IF(AJ13=0,"",PV(constantes!$B$3,AA13,-AN13)*constantes!$B$3)</f>
        <v>0.49063816432977664</v>
      </c>
      <c r="AQ13" s="575">
        <f t="shared" si="12"/>
        <v>0.27</v>
      </c>
      <c r="AR13" s="576">
        <f>270</f>
        <v>270</v>
      </c>
      <c r="AS13" s="384">
        <v>20</v>
      </c>
      <c r="AT13" s="576">
        <v>279.29000000000002</v>
      </c>
      <c r="AU13" s="592"/>
      <c r="AV13" s="578">
        <f ca="1">AP13/C13</f>
        <v>0.49063816432977664</v>
      </c>
      <c r="AW13" s="576">
        <v>271.42525427074401</v>
      </c>
    </row>
    <row r="14" spans="1:49">
      <c r="A14" s="23">
        <v>303</v>
      </c>
      <c r="B14" s="382" t="s">
        <v>214</v>
      </c>
      <c r="C14" s="73">
        <v>1</v>
      </c>
      <c r="D14" s="404">
        <v>0.8</v>
      </c>
      <c r="E14" s="404">
        <v>1</v>
      </c>
      <c r="F14" s="387">
        <v>0.91112500000000007</v>
      </c>
      <c r="G14" s="387">
        <v>0.83014876562500017</v>
      </c>
      <c r="H14" s="387">
        <v>0.83014876562500017</v>
      </c>
      <c r="I14" s="387">
        <v>0.83014876562500017</v>
      </c>
      <c r="J14" s="66">
        <f t="shared" si="5"/>
        <v>1</v>
      </c>
      <c r="K14" s="559">
        <v>1</v>
      </c>
      <c r="L14" s="559">
        <v>1</v>
      </c>
      <c r="M14" s="559">
        <v>1</v>
      </c>
      <c r="N14" s="559">
        <v>1</v>
      </c>
      <c r="O14" s="66">
        <f t="shared" si="6"/>
        <v>1</v>
      </c>
      <c r="P14" s="559">
        <v>1</v>
      </c>
      <c r="Q14" s="559">
        <v>1</v>
      </c>
      <c r="R14" s="559">
        <v>1</v>
      </c>
      <c r="S14" s="559">
        <v>1</v>
      </c>
      <c r="T14" s="74">
        <v>1.4999999999999999E-2</v>
      </c>
      <c r="U14" s="74">
        <v>7.4999999999999997E-2</v>
      </c>
      <c r="V14" s="593">
        <f t="shared" si="7"/>
        <v>0.91112500000000007</v>
      </c>
      <c r="W14" s="20">
        <v>5</v>
      </c>
      <c r="X14" s="32" t="str">
        <f>IF(W14="","",VLOOKUP(W14,tab_cod_categoria!$A$2:$B$30,2,0))</f>
        <v>Nuclear</v>
      </c>
      <c r="Y14" s="64">
        <v>1303</v>
      </c>
      <c r="Z14" s="75">
        <v>6</v>
      </c>
      <c r="AA14" s="76">
        <v>30</v>
      </c>
      <c r="AB14" s="77">
        <v>0.33</v>
      </c>
      <c r="AC14" s="65">
        <v>0</v>
      </c>
      <c r="AD14" s="77">
        <f t="shared" si="8"/>
        <v>19.5</v>
      </c>
      <c r="AE14" s="552">
        <v>5000</v>
      </c>
      <c r="AF14" s="78">
        <f>AE14*constantes!$B$4</f>
        <v>19500</v>
      </c>
      <c r="AG14" s="23">
        <v>12</v>
      </c>
      <c r="AH14" s="23"/>
      <c r="AI14" s="23"/>
      <c r="AJ14" s="636">
        <f t="shared" si="9"/>
        <v>19.5</v>
      </c>
      <c r="AK14" s="79">
        <f t="shared" si="10"/>
        <v>19500</v>
      </c>
      <c r="AL14" s="80">
        <f ca="1">IF(AJ14=0,"",AJ14*(OFFSET(cod_desembolso!$A$1,AG14,23)))</f>
        <v>23.296461231548147</v>
      </c>
      <c r="AM14" s="81">
        <f>(constantes!$B$3*(1+constantes!$B$3)^(AA14))/((1+constantes!$B$3)^(AA14)-1)</f>
        <v>8.8827433387272267E-2</v>
      </c>
      <c r="AN14" s="82">
        <f t="shared" ca="1" si="11"/>
        <v>2.395244858204514</v>
      </c>
      <c r="AO14" s="80">
        <f ca="1">IF(AJ14=0,AQ14/constantes!$B$3,AN14/constantes!$B$3)</f>
        <v>29.940560727556424</v>
      </c>
      <c r="AP14" s="83">
        <f ca="1">IF(AJ14=0,"",PV(constantes!$B$3,AA14,-AN14)*constantes!$B$3)</f>
        <v>2.1572118133925224</v>
      </c>
      <c r="AQ14" s="84">
        <f t="shared" si="12"/>
        <v>0.32588</v>
      </c>
      <c r="AR14" s="384">
        <v>325.88</v>
      </c>
      <c r="AS14" s="384">
        <v>0</v>
      </c>
      <c r="AT14" s="384">
        <v>4.0000000000000001E-3</v>
      </c>
      <c r="AU14" s="399">
        <v>10.138999999999999</v>
      </c>
    </row>
    <row r="15" spans="1:49">
      <c r="A15" s="23">
        <v>341</v>
      </c>
      <c r="B15" s="333" t="s">
        <v>215</v>
      </c>
      <c r="C15" s="73">
        <v>1</v>
      </c>
      <c r="D15" s="77">
        <v>0</v>
      </c>
      <c r="E15" s="77">
        <v>1</v>
      </c>
      <c r="F15" s="387">
        <v>0.9474715600000001</v>
      </c>
      <c r="G15" s="387">
        <v>0.9474715600000001</v>
      </c>
      <c r="H15" s="387">
        <v>0.9474715600000001</v>
      </c>
      <c r="I15" s="387">
        <v>0.9474715600000001</v>
      </c>
      <c r="J15" s="66">
        <f t="shared" si="5"/>
        <v>1</v>
      </c>
      <c r="K15" s="559">
        <v>1</v>
      </c>
      <c r="L15" s="559">
        <v>1</v>
      </c>
      <c r="M15" s="559">
        <v>1</v>
      </c>
      <c r="N15" s="559">
        <v>1</v>
      </c>
      <c r="O15" s="66">
        <f t="shared" si="6"/>
        <v>1</v>
      </c>
      <c r="P15" s="559">
        <v>1</v>
      </c>
      <c r="Q15" s="559">
        <v>1</v>
      </c>
      <c r="R15" s="559">
        <v>1</v>
      </c>
      <c r="S15" s="559">
        <v>1</v>
      </c>
      <c r="T15" s="74">
        <v>2.06E-2</v>
      </c>
      <c r="U15" s="74">
        <v>3.2599999999999997E-2</v>
      </c>
      <c r="V15" s="593">
        <f t="shared" si="7"/>
        <v>0.9474715600000001</v>
      </c>
      <c r="W15" s="20">
        <v>6</v>
      </c>
      <c r="X15" s="32" t="str">
        <f>IF(W15="","",VLOOKUP(W15,tab_cod_categoria!$A$2:$B$30,2,0))</f>
        <v>Óleos Comb</v>
      </c>
      <c r="Y15" s="64">
        <v>1313</v>
      </c>
      <c r="Z15" s="75">
        <v>3</v>
      </c>
      <c r="AA15" s="76">
        <v>20</v>
      </c>
      <c r="AB15" s="77">
        <v>0.36</v>
      </c>
      <c r="AC15" s="65">
        <v>0.73326000000000002</v>
      </c>
      <c r="AD15" s="77">
        <f t="shared" si="8"/>
        <v>4.68</v>
      </c>
      <c r="AE15" s="552">
        <v>1200</v>
      </c>
      <c r="AF15" s="78">
        <f>AE15*constantes!$B$4</f>
        <v>4680</v>
      </c>
      <c r="AG15" s="23">
        <v>8</v>
      </c>
      <c r="AH15" s="23"/>
      <c r="AI15" s="23"/>
      <c r="AJ15" s="636">
        <f t="shared" si="9"/>
        <v>4.68</v>
      </c>
      <c r="AK15" s="79">
        <f t="shared" si="10"/>
        <v>4680</v>
      </c>
      <c r="AL15" s="80">
        <f ca="1">IF(AJ15=0,"",AJ15*(OFFSET(cod_desembolso!$A$1,AG15,23)))</f>
        <v>5.0192338250183166</v>
      </c>
      <c r="AM15" s="81">
        <f>(constantes!$B$3*(1+constantes!$B$3)^(AA15))/((1+constantes!$B$3)^(AA15)-1)</f>
        <v>0.10185220882315059</v>
      </c>
      <c r="AN15" s="82">
        <f t="shared" ca="1" si="11"/>
        <v>0.78122005167798647</v>
      </c>
      <c r="AO15" s="80">
        <f ca="1">IF(AJ15=0,AQ15/constantes!$B$3,AN15/constantes!$B$3)</f>
        <v>9.7652506459748309</v>
      </c>
      <c r="AP15" s="83">
        <f ca="1">IF(AJ15=0,"",PV(constantes!$B$3,AA15,-AN15)*constantes!$B$3)</f>
        <v>0.61361069000237012</v>
      </c>
      <c r="AQ15" s="84">
        <f t="shared" si="12"/>
        <v>0.27</v>
      </c>
      <c r="AR15" s="384">
        <v>270</v>
      </c>
      <c r="AS15" s="384">
        <v>0</v>
      </c>
      <c r="AT15" s="384">
        <v>212.3</v>
      </c>
      <c r="AU15" s="399">
        <v>0.95699999999999996</v>
      </c>
    </row>
    <row r="16" spans="1:49">
      <c r="A16" s="23">
        <v>351</v>
      </c>
      <c r="B16" s="333" t="s">
        <v>216</v>
      </c>
      <c r="C16" s="73">
        <v>1</v>
      </c>
      <c r="D16" s="77">
        <v>0</v>
      </c>
      <c r="E16" s="77">
        <v>1</v>
      </c>
      <c r="F16" s="387">
        <v>0.9474715600000001</v>
      </c>
      <c r="G16" s="387">
        <v>0.9474715600000001</v>
      </c>
      <c r="H16" s="387">
        <v>0.9474715600000001</v>
      </c>
      <c r="I16" s="387">
        <v>0.9474715600000001</v>
      </c>
      <c r="J16" s="66">
        <f t="shared" si="5"/>
        <v>1</v>
      </c>
      <c r="K16" s="559">
        <v>1</v>
      </c>
      <c r="L16" s="559">
        <v>1</v>
      </c>
      <c r="M16" s="559">
        <v>1</v>
      </c>
      <c r="N16" s="559">
        <v>1</v>
      </c>
      <c r="O16" s="66">
        <f t="shared" si="6"/>
        <v>1</v>
      </c>
      <c r="P16" s="559">
        <v>1</v>
      </c>
      <c r="Q16" s="559">
        <v>1</v>
      </c>
      <c r="R16" s="559">
        <v>1</v>
      </c>
      <c r="S16" s="559">
        <v>1</v>
      </c>
      <c r="T16" s="74">
        <v>2.06E-2</v>
      </c>
      <c r="U16" s="74">
        <v>3.2599999999999997E-2</v>
      </c>
      <c r="V16" s="593">
        <f t="shared" si="7"/>
        <v>0.9474715600000001</v>
      </c>
      <c r="W16" s="20">
        <v>6</v>
      </c>
      <c r="X16" s="32" t="str">
        <f>IF(W16="","",VLOOKUP(W16,tab_cod_categoria!$A$2:$B$30,2,0))</f>
        <v>Óleos Comb</v>
      </c>
      <c r="Y16" s="64">
        <v>1313</v>
      </c>
      <c r="Z16" s="75">
        <v>3</v>
      </c>
      <c r="AA16" s="76">
        <v>20</v>
      </c>
      <c r="AB16" s="77">
        <v>0.36</v>
      </c>
      <c r="AC16" s="65">
        <v>0.73326000000000002</v>
      </c>
      <c r="AD16" s="77">
        <f t="shared" si="8"/>
        <v>4.68</v>
      </c>
      <c r="AE16" s="552">
        <v>1200</v>
      </c>
      <c r="AF16" s="78">
        <f>AE16*constantes!$B$4</f>
        <v>4680</v>
      </c>
      <c r="AG16" s="23">
        <v>8</v>
      </c>
      <c r="AH16" s="23"/>
      <c r="AI16" s="23"/>
      <c r="AJ16" s="636">
        <f t="shared" si="9"/>
        <v>4.68</v>
      </c>
      <c r="AK16" s="79">
        <f>AJ16*1000/C16</f>
        <v>4680</v>
      </c>
      <c r="AL16" s="80">
        <f ca="1">IF(AJ16=0,"",AJ16*(OFFSET(cod_desembolso!$A$1,AG16,23)))</f>
        <v>5.0192338250183166</v>
      </c>
      <c r="AM16" s="81">
        <f>(constantes!$B$3*(1+constantes!$B$3)^(AA16))/((1+constantes!$B$3)^(AA16)-1)</f>
        <v>0.10185220882315059</v>
      </c>
      <c r="AN16" s="82">
        <f t="shared" ca="1" si="11"/>
        <v>0.78122005167798647</v>
      </c>
      <c r="AO16" s="80">
        <f ca="1">IF(AJ16=0,AQ16/constantes!$B$3,AN16/constantes!$B$3)</f>
        <v>9.7652506459748309</v>
      </c>
      <c r="AP16" s="83">
        <f ca="1">IF(AJ16=0,"",PV(constantes!$B$3,AA16,-AN16)*constantes!$B$3)</f>
        <v>0.61361069000237012</v>
      </c>
      <c r="AQ16" s="84">
        <f t="shared" si="12"/>
        <v>0.27</v>
      </c>
      <c r="AR16" s="384">
        <v>270</v>
      </c>
      <c r="AS16" s="384">
        <v>0</v>
      </c>
      <c r="AT16" s="384">
        <v>229.5</v>
      </c>
      <c r="AU16" s="399">
        <v>0.84799999999999998</v>
      </c>
    </row>
    <row r="17" spans="1:48">
      <c r="A17" s="23">
        <v>317</v>
      </c>
      <c r="B17" s="300" t="s">
        <v>217</v>
      </c>
      <c r="C17" s="73">
        <v>1</v>
      </c>
      <c r="D17" s="77">
        <v>1</v>
      </c>
      <c r="E17" s="557">
        <v>1</v>
      </c>
      <c r="F17" s="387">
        <v>1</v>
      </c>
      <c r="G17" s="387">
        <v>1</v>
      </c>
      <c r="H17" s="387">
        <v>1</v>
      </c>
      <c r="I17" s="387">
        <v>1</v>
      </c>
      <c r="J17" s="66">
        <v>1</v>
      </c>
      <c r="K17" s="33">
        <v>0.75</v>
      </c>
      <c r="L17" s="33">
        <v>0.75</v>
      </c>
      <c r="M17" s="33">
        <v>0.75</v>
      </c>
      <c r="N17" s="33">
        <v>0.75</v>
      </c>
      <c r="O17" s="66">
        <f t="shared" ref="O17:O18" si="24">AVERAGE(P17:S17)</f>
        <v>0.75</v>
      </c>
      <c r="P17" s="33">
        <v>0.75</v>
      </c>
      <c r="Q17" s="33">
        <v>0.75</v>
      </c>
      <c r="R17" s="33">
        <v>0.75</v>
      </c>
      <c r="S17" s="33">
        <v>0.75</v>
      </c>
      <c r="T17" s="74">
        <v>0.02</v>
      </c>
      <c r="U17" s="74">
        <v>0.01</v>
      </c>
      <c r="V17" s="593">
        <f t="shared" si="7"/>
        <v>0.97019999999999995</v>
      </c>
      <c r="W17" s="20">
        <v>9</v>
      </c>
      <c r="X17" s="32" t="str">
        <f>IF(W17="","",VLOOKUP(W17,tab_cod_categoria!$A$2:$B$30,2,0))</f>
        <v>Solar</v>
      </c>
      <c r="Y17" s="64">
        <v>1315</v>
      </c>
      <c r="Z17" s="75">
        <v>1</v>
      </c>
      <c r="AA17" s="76">
        <v>20</v>
      </c>
      <c r="AB17" s="23">
        <v>1</v>
      </c>
      <c r="AC17" s="65">
        <v>0</v>
      </c>
      <c r="AD17" s="77">
        <f t="shared" ref="AD17:AD18" si="25">AF17*C17/1000</f>
        <v>22.518599999999999</v>
      </c>
      <c r="AE17" s="552">
        <v>5774</v>
      </c>
      <c r="AF17" s="78">
        <f>AE17*constantes!$B$4</f>
        <v>22518.6</v>
      </c>
      <c r="AG17" s="23">
        <v>1</v>
      </c>
      <c r="AH17" s="569"/>
      <c r="AI17" s="569"/>
      <c r="AJ17" s="637">
        <f>AD17+AH17+AI17</f>
        <v>22.518599999999999</v>
      </c>
      <c r="AK17" s="570">
        <f t="shared" ref="AK17:AK18" si="26">AJ17*1000/C17</f>
        <v>22518.6</v>
      </c>
      <c r="AL17" s="571">
        <f ca="1">IF(AJ17=0,"",AJ17*(OFFSET(cod_desembolso!$A$1,AG17,23)))</f>
        <v>23.402015589192313</v>
      </c>
      <c r="AM17" s="572">
        <f>(constantes!$B$3*(1+constantes!$B$3)^(AA17))/((1+constantes!$B$3)^(AA17)-1)</f>
        <v>0.10185220882315059</v>
      </c>
      <c r="AN17" s="591">
        <f ca="1">IF(AD17=0,"",AL17*AM17+AQ17)</f>
        <v>2.4225469786730409</v>
      </c>
      <c r="AO17" s="573">
        <f ca="1">IF(AJ17=0,AQ17/constantes!$B$3,AN17/constantes!$B$3)</f>
        <v>30.281837233413011</v>
      </c>
      <c r="AP17" s="574">
        <f ca="1">IF(AJ17=0,"",PV(constantes!$B$3,AA17,-AN17)*constantes!$B$3)</f>
        <v>1.9027938670466267</v>
      </c>
      <c r="AQ17" s="575">
        <f t="shared" ref="AQ17:AQ18" si="27">AR17*C17/1000</f>
        <v>3.9E-2</v>
      </c>
      <c r="AR17" s="622">
        <f>10*constantes!$B$4</f>
        <v>39</v>
      </c>
      <c r="AS17" s="577">
        <f>3*constantes!$B$4</f>
        <v>11.7</v>
      </c>
      <c r="AT17" s="576">
        <v>0</v>
      </c>
      <c r="AU17" s="592"/>
      <c r="AV17" s="24">
        <v>70</v>
      </c>
    </row>
    <row r="18" spans="1:48">
      <c r="A18" s="23">
        <v>327</v>
      </c>
      <c r="B18" s="300" t="s">
        <v>218</v>
      </c>
      <c r="C18" s="73">
        <v>1</v>
      </c>
      <c r="D18" s="77">
        <v>1</v>
      </c>
      <c r="E18" s="557">
        <v>1</v>
      </c>
      <c r="F18" s="387">
        <v>1</v>
      </c>
      <c r="G18" s="387">
        <v>1</v>
      </c>
      <c r="H18" s="387">
        <v>1</v>
      </c>
      <c r="I18" s="387">
        <v>1</v>
      </c>
      <c r="J18" s="66">
        <v>1</v>
      </c>
      <c r="K18" s="33">
        <v>0.75</v>
      </c>
      <c r="L18" s="33">
        <v>0.75</v>
      </c>
      <c r="M18" s="33">
        <v>0.75</v>
      </c>
      <c r="N18" s="33">
        <v>0.75</v>
      </c>
      <c r="O18" s="66">
        <f t="shared" si="24"/>
        <v>0.75</v>
      </c>
      <c r="P18" s="33">
        <v>0.75</v>
      </c>
      <c r="Q18" s="33">
        <v>0.75</v>
      </c>
      <c r="R18" s="33">
        <v>0.75</v>
      </c>
      <c r="S18" s="33">
        <v>0.75</v>
      </c>
      <c r="T18" s="74">
        <v>0.02</v>
      </c>
      <c r="U18" s="74">
        <v>0.01</v>
      </c>
      <c r="V18" s="593">
        <f t="shared" si="7"/>
        <v>0.97019999999999995</v>
      </c>
      <c r="W18" s="20">
        <v>9</v>
      </c>
      <c r="X18" s="32" t="str">
        <f>IF(W18="","",VLOOKUP(W18,tab_cod_categoria!$A$2:$B$30,2,0))</f>
        <v>Solar</v>
      </c>
      <c r="Y18" s="64">
        <v>1315</v>
      </c>
      <c r="Z18" s="75">
        <v>1</v>
      </c>
      <c r="AA18" s="76">
        <v>20</v>
      </c>
      <c r="AB18" s="23">
        <v>1</v>
      </c>
      <c r="AC18" s="65">
        <v>0</v>
      </c>
      <c r="AD18" s="77">
        <f t="shared" si="25"/>
        <v>15.904199999999999</v>
      </c>
      <c r="AE18" s="552">
        <v>4078</v>
      </c>
      <c r="AF18" s="78">
        <f>AE18*constantes!$B$4</f>
        <v>15904.199999999999</v>
      </c>
      <c r="AG18" s="23">
        <v>1</v>
      </c>
      <c r="AH18" s="23"/>
      <c r="AI18" s="23"/>
      <c r="AJ18" s="636">
        <f t="shared" ref="AJ18" si="28">AD18+AH18+AI18</f>
        <v>15.904199999999999</v>
      </c>
      <c r="AK18" s="88">
        <f t="shared" si="26"/>
        <v>15904.199999999999</v>
      </c>
      <c r="AL18" s="80">
        <f ca="1">IF(AJ18=0,"",AJ18*(OFFSET(cod_desembolso!$A$1,AG18,23)))</f>
        <v>16.528129472242163</v>
      </c>
      <c r="AM18" s="81">
        <f>(constantes!$B$3*(1+constantes!$B$3)^(AA18))/((1+constantes!$B$3)^(AA18)-1)</f>
        <v>0.10185220882315059</v>
      </c>
      <c r="AN18" s="80">
        <f t="shared" ref="AN18" ca="1" si="29">IF(AD18=0,"",AL18*AM18+AQ18)</f>
        <v>1.7224264944628784</v>
      </c>
      <c r="AO18" s="80">
        <f ca="1">IF(AJ18=0,AQ18/constantes!$B$3,AN18/constantes!$B$3)</f>
        <v>21.530331180785979</v>
      </c>
      <c r="AP18" s="83">
        <f ca="1">IF(AJ18=0,"",PV(constantes!$B$3,AA18,-AN18)*constantes!$B$3)</f>
        <v>1.3528829776906148</v>
      </c>
      <c r="AQ18" s="84">
        <f t="shared" si="27"/>
        <v>3.9E-2</v>
      </c>
      <c r="AR18" s="622">
        <f>10*constantes!$B$4</f>
        <v>39</v>
      </c>
      <c r="AS18" s="577">
        <f>3*constantes!$B$4</f>
        <v>11.7</v>
      </c>
      <c r="AT18" s="384">
        <v>0</v>
      </c>
      <c r="AU18" s="592"/>
      <c r="AV18" s="24">
        <v>60</v>
      </c>
    </row>
    <row r="19" spans="1:48">
      <c r="A19" s="23">
        <v>337</v>
      </c>
      <c r="B19" s="300" t="s">
        <v>219</v>
      </c>
      <c r="C19" s="73">
        <v>1</v>
      </c>
      <c r="D19" s="77">
        <v>1</v>
      </c>
      <c r="E19" s="557">
        <v>1</v>
      </c>
      <c r="F19" s="387">
        <v>1</v>
      </c>
      <c r="G19" s="387">
        <v>1</v>
      </c>
      <c r="H19" s="387">
        <v>1</v>
      </c>
      <c r="I19" s="387">
        <v>1</v>
      </c>
      <c r="J19" s="66">
        <v>1</v>
      </c>
      <c r="K19" s="33">
        <v>0.75</v>
      </c>
      <c r="L19" s="33">
        <v>0.75</v>
      </c>
      <c r="M19" s="33">
        <v>0.75</v>
      </c>
      <c r="N19" s="33">
        <v>0.75</v>
      </c>
      <c r="O19" s="66">
        <f t="shared" ref="O19" si="30">AVERAGE(P19:S19)</f>
        <v>0.75</v>
      </c>
      <c r="P19" s="33">
        <v>0.75</v>
      </c>
      <c r="Q19" s="33">
        <v>0.75</v>
      </c>
      <c r="R19" s="33">
        <v>0.75</v>
      </c>
      <c r="S19" s="33">
        <v>0.75</v>
      </c>
      <c r="T19" s="74">
        <v>0.02</v>
      </c>
      <c r="U19" s="74">
        <v>0.01</v>
      </c>
      <c r="V19" s="593">
        <f t="shared" si="7"/>
        <v>0.97019999999999995</v>
      </c>
      <c r="W19" s="20">
        <v>9</v>
      </c>
      <c r="X19" s="32" t="str">
        <f>IF(W19="","",VLOOKUP(W19,tab_cod_categoria!$A$2:$B$30,2,0))</f>
        <v>Solar</v>
      </c>
      <c r="Y19" s="64">
        <v>1315</v>
      </c>
      <c r="Z19" s="75">
        <v>1</v>
      </c>
      <c r="AA19" s="76">
        <v>20</v>
      </c>
      <c r="AB19" s="23">
        <v>1</v>
      </c>
      <c r="AC19" s="65">
        <v>0</v>
      </c>
      <c r="AD19" s="77">
        <f t="shared" ref="AD19" si="31">AF19*C19/1000</f>
        <v>12.702299999999999</v>
      </c>
      <c r="AE19" s="552">
        <v>3257</v>
      </c>
      <c r="AF19" s="78">
        <f>AE19*constantes!$B$4</f>
        <v>12702.3</v>
      </c>
      <c r="AG19" s="23">
        <v>1</v>
      </c>
      <c r="AH19" s="23"/>
      <c r="AI19" s="23"/>
      <c r="AJ19" s="636">
        <f t="shared" ref="AJ19" si="32">AD19+AH19+AI19</f>
        <v>12.702299999999999</v>
      </c>
      <c r="AK19" s="88">
        <f t="shared" ref="AK19" si="33">AJ19*1000/C19</f>
        <v>12702.3</v>
      </c>
      <c r="AL19" s="80">
        <f ca="1">IF(AJ19=0,"",AJ19*(OFFSET(cod_desembolso!$A$1,AG19,23)))</f>
        <v>13.200617383789291</v>
      </c>
      <c r="AM19" s="81">
        <f>(constantes!$B$3*(1+constantes!$B$3)^(AA19))/((1+constantes!$B$3)^(AA19)-1)</f>
        <v>0.10185220882315059</v>
      </c>
      <c r="AN19" s="80">
        <f t="shared" ref="AN19" ca="1" si="34">IF(AD19=0,"",AL19*AM19+AQ19)</f>
        <v>1.3835120383682187</v>
      </c>
      <c r="AO19" s="80">
        <f ca="1">IF(AJ19=0,AQ19/constantes!$B$3,AN19/constantes!$B$3)</f>
        <v>17.293900479602733</v>
      </c>
      <c r="AP19" s="83">
        <f ca="1">IF(AJ19=0,"",PV(constantes!$B$3,AA19,-AN19)*constantes!$B$3)</f>
        <v>1.0866820106143851</v>
      </c>
      <c r="AQ19" s="84">
        <f t="shared" ref="AQ19" si="35">AR19*C19/1000</f>
        <v>3.9E-2</v>
      </c>
      <c r="AR19" s="622">
        <f>10*constantes!$B$4</f>
        <v>39</v>
      </c>
      <c r="AS19" s="577">
        <f>3*constantes!$B$4</f>
        <v>11.7</v>
      </c>
      <c r="AT19" s="384">
        <v>0</v>
      </c>
      <c r="AU19" s="592"/>
      <c r="AV19" s="24">
        <v>60</v>
      </c>
    </row>
    <row r="20" spans="1:48">
      <c r="A20" s="23">
        <v>387</v>
      </c>
      <c r="B20" s="300" t="s">
        <v>220</v>
      </c>
      <c r="C20">
        <v>1</v>
      </c>
      <c r="D20" s="77">
        <v>1</v>
      </c>
      <c r="E20" s="557">
        <v>1</v>
      </c>
      <c r="F20" s="387">
        <v>0.95039999999999991</v>
      </c>
      <c r="G20" s="387">
        <v>0.95039999999999991</v>
      </c>
      <c r="H20" s="387">
        <v>0.95039999999999991</v>
      </c>
      <c r="I20" s="387">
        <v>0.95039999999999991</v>
      </c>
      <c r="J20" s="66">
        <f t="shared" ref="J20" si="36">AVERAGE(K20:N20)</f>
        <v>0.41</v>
      </c>
      <c r="K20" s="3">
        <v>0.41</v>
      </c>
      <c r="L20" s="3">
        <v>0.41</v>
      </c>
      <c r="M20" s="3">
        <v>0.41</v>
      </c>
      <c r="N20" s="3">
        <v>0.41</v>
      </c>
      <c r="O20" s="66">
        <f t="shared" ref="O20" si="37">AVERAGE(P20:S20)</f>
        <v>0.41</v>
      </c>
      <c r="P20" s="3">
        <v>0.41</v>
      </c>
      <c r="Q20" s="3">
        <v>0.41</v>
      </c>
      <c r="R20" s="3">
        <v>0.41</v>
      </c>
      <c r="S20" s="3">
        <v>0.41</v>
      </c>
      <c r="T20" s="74">
        <v>0.04</v>
      </c>
      <c r="U20" s="74">
        <v>0.01</v>
      </c>
      <c r="V20" s="593">
        <f t="shared" si="7"/>
        <v>0.95039999999999991</v>
      </c>
      <c r="W20" s="91">
        <v>9</v>
      </c>
      <c r="X20" s="32" t="str">
        <f>IF(W20="","",VLOOKUP(W20,tab_cod_categoria!$A$2:$B$30,2,0))</f>
        <v>Solar</v>
      </c>
      <c r="Y20" s="64">
        <v>1315</v>
      </c>
      <c r="Z20" s="75">
        <v>3</v>
      </c>
      <c r="AA20" s="135">
        <v>20</v>
      </c>
      <c r="AB20" s="334">
        <v>1</v>
      </c>
      <c r="AC20" s="65">
        <v>0</v>
      </c>
      <c r="AD20" s="77">
        <f t="shared" si="8"/>
        <v>12.09</v>
      </c>
      <c r="AE20" s="552">
        <f>3100</f>
        <v>3100</v>
      </c>
      <c r="AF20" s="78">
        <f>AE20*constantes!$B$4</f>
        <v>12090</v>
      </c>
      <c r="AG20" s="23">
        <v>10</v>
      </c>
      <c r="AH20" s="75"/>
      <c r="AI20" s="23"/>
      <c r="AJ20" s="636">
        <f t="shared" ref="AJ20" si="38">AD20+AH20+AI20</f>
        <v>12.09</v>
      </c>
      <c r="AK20" s="79">
        <f t="shared" si="10"/>
        <v>12090</v>
      </c>
      <c r="AL20" s="80">
        <f ca="1">IF(AJ20=0,"",AJ20*(OFFSET(cod_desembolso!$A$1,AG20,23)))</f>
        <v>12.865839675499148</v>
      </c>
      <c r="AM20" s="81">
        <f>(constantes!$B$3*(1+constantes!$B$3)^(AA20))/((1+constantes!$B$3)^(AA20)-1)</f>
        <v>0.10185220882315059</v>
      </c>
      <c r="AN20" s="82">
        <f t="shared" ca="1" si="11"/>
        <v>1.3104141893141152</v>
      </c>
      <c r="AO20" s="80">
        <f ca="1">IF(AJ20=0,AQ20/constantes!$B$3,AN20/constantes!$B$3)</f>
        <v>16.380177366426441</v>
      </c>
      <c r="AP20" s="83">
        <f ca="1">IF(AJ20=0,"",PV(constantes!$B$3,AA20,-AN20)*constantes!$B$3)</f>
        <v>1.0292671740399317</v>
      </c>
      <c r="AQ20" s="84">
        <f t="shared" si="12"/>
        <v>0</v>
      </c>
      <c r="AR20" s="550">
        <v>0</v>
      </c>
      <c r="AS20" s="384">
        <f>30*constantes!$B$4</f>
        <v>117</v>
      </c>
      <c r="AT20" s="384">
        <v>0</v>
      </c>
      <c r="AU20" s="398"/>
      <c r="AV20" s="24">
        <v>47.142857142857139</v>
      </c>
    </row>
    <row r="21" spans="1:48">
      <c r="A21" s="23">
        <v>318</v>
      </c>
      <c r="B21" s="21" t="s">
        <v>21</v>
      </c>
      <c r="C21" s="73">
        <v>1</v>
      </c>
      <c r="D21" s="77">
        <v>0</v>
      </c>
      <c r="E21" s="557">
        <v>1</v>
      </c>
      <c r="F21" s="387">
        <v>0.97019999999999995</v>
      </c>
      <c r="G21" s="387">
        <v>0.97019999999999995</v>
      </c>
      <c r="H21" s="387">
        <v>0.97019999999999995</v>
      </c>
      <c r="I21" s="387">
        <v>0.97019999999999995</v>
      </c>
      <c r="J21" s="66">
        <f t="shared" si="5"/>
        <v>0.51075227456561911</v>
      </c>
      <c r="K21" s="559">
        <v>0.58487065377698244</v>
      </c>
      <c r="L21" s="559">
        <v>0.57552916156834211</v>
      </c>
      <c r="M21" s="559">
        <v>0.44621983189814091</v>
      </c>
      <c r="N21" s="559">
        <v>0.43638945101901089</v>
      </c>
      <c r="O21" s="66">
        <f t="shared" si="6"/>
        <v>0.51075227456561911</v>
      </c>
      <c r="P21" s="559">
        <v>0.58487065377698244</v>
      </c>
      <c r="Q21" s="559">
        <v>0.57552916156834211</v>
      </c>
      <c r="R21" s="559">
        <v>0.44621983189814091</v>
      </c>
      <c r="S21" s="559">
        <v>0.43638945101901089</v>
      </c>
      <c r="T21" s="389">
        <v>0.01</v>
      </c>
      <c r="U21" s="389">
        <v>0.02</v>
      </c>
      <c r="V21" s="593">
        <f t="shared" si="7"/>
        <v>0.97019999999999995</v>
      </c>
      <c r="W21" s="20">
        <v>1</v>
      </c>
      <c r="X21" s="32" t="str">
        <f>IF(W21="","",VLOOKUP(W21,tab_cod_categoria!$A$2:$B$30,2,0))</f>
        <v>UHE</v>
      </c>
      <c r="Y21" s="64">
        <v>1315</v>
      </c>
      <c r="Z21" s="75">
        <v>5</v>
      </c>
      <c r="AA21" s="76">
        <v>30</v>
      </c>
      <c r="AB21" s="77">
        <v>1</v>
      </c>
      <c r="AC21" s="65">
        <v>0</v>
      </c>
      <c r="AD21" s="77">
        <f t="shared" si="8"/>
        <v>7.02</v>
      </c>
      <c r="AE21" s="552">
        <v>1800</v>
      </c>
      <c r="AF21" s="78">
        <f>AE21*constantes!$B$4</f>
        <v>7020</v>
      </c>
      <c r="AG21" s="23">
        <v>1</v>
      </c>
      <c r="AH21" s="23"/>
      <c r="AI21" s="23"/>
      <c r="AJ21" s="636">
        <f t="shared" si="9"/>
        <v>7.02</v>
      </c>
      <c r="AK21" s="79">
        <f t="shared" si="10"/>
        <v>7020</v>
      </c>
      <c r="AL21" s="80">
        <f ca="1">IF(AJ21=0,"",AJ21*(OFFSET(cod_desembolso!$A$1,AG21,23)))</f>
        <v>7.2953980014801116</v>
      </c>
      <c r="AM21" s="81">
        <f>(constantes!$B$3*(1+constantes!$B$3)^(AA21))/((1+constantes!$B$3)^(AA21)-1)</f>
        <v>8.8827433387272267E-2</v>
      </c>
      <c r="AN21" s="82">
        <f t="shared" ca="1" si="11"/>
        <v>0.69803148001011384</v>
      </c>
      <c r="AO21" s="80">
        <f ca="1">IF(AJ21=0,AQ21/constantes!$B$3,AN21/constantes!$B$3)</f>
        <v>8.7253935001264225</v>
      </c>
      <c r="AP21" s="83">
        <f ca="1">IF(AJ21=0,"",PV(constantes!$B$3,AA21,-AN21)*constantes!$B$3)</f>
        <v>0.62866297349091882</v>
      </c>
      <c r="AQ21" s="84">
        <f t="shared" si="12"/>
        <v>0.05</v>
      </c>
      <c r="AR21" s="384">
        <f>constantes!B10</f>
        <v>50</v>
      </c>
      <c r="AS21" s="384">
        <v>0</v>
      </c>
      <c r="AT21" s="384">
        <v>0</v>
      </c>
      <c r="AU21" s="398"/>
    </row>
    <row r="22" spans="1:48">
      <c r="A22" s="23">
        <v>319</v>
      </c>
      <c r="B22" s="89" t="s">
        <v>221</v>
      </c>
      <c r="C22" s="90">
        <v>1</v>
      </c>
      <c r="D22" s="558">
        <v>0</v>
      </c>
      <c r="E22" s="557">
        <v>1</v>
      </c>
      <c r="F22" s="387">
        <v>0.97019999999999995</v>
      </c>
      <c r="G22" s="387">
        <v>0.97019999999999995</v>
      </c>
      <c r="H22" s="387">
        <v>0.97019999999999995</v>
      </c>
      <c r="I22" s="387">
        <v>0.97019999999999995</v>
      </c>
      <c r="J22" s="66">
        <f t="shared" si="5"/>
        <v>0.55000000000000004</v>
      </c>
      <c r="K22" s="559">
        <v>0.55000000000000004</v>
      </c>
      <c r="L22" s="559">
        <v>0.55000000000000004</v>
      </c>
      <c r="M22" s="559">
        <v>0.55000000000000004</v>
      </c>
      <c r="N22" s="559">
        <v>0.55000000000000004</v>
      </c>
      <c r="O22" s="66">
        <f t="shared" si="6"/>
        <v>0.55000000000000004</v>
      </c>
      <c r="P22" s="559">
        <v>0.55000000000000004</v>
      </c>
      <c r="Q22" s="559">
        <v>0.55000000000000004</v>
      </c>
      <c r="R22" s="559">
        <v>0.55000000000000004</v>
      </c>
      <c r="S22" s="559">
        <v>0.55000000000000004</v>
      </c>
      <c r="T22" s="389">
        <v>0.01</v>
      </c>
      <c r="U22" s="389">
        <v>0.02</v>
      </c>
      <c r="V22" s="593">
        <f t="shared" si="7"/>
        <v>0.97019999999999995</v>
      </c>
      <c r="W22" s="91">
        <v>2</v>
      </c>
      <c r="X22" s="32" t="str">
        <f>IF(W22="","",VLOOKUP(W22,tab_cod_categoria!$A$2:$B$30,2,0))</f>
        <v>PCH</v>
      </c>
      <c r="Y22" s="64">
        <v>1315</v>
      </c>
      <c r="Z22" s="75">
        <v>5</v>
      </c>
      <c r="AA22" s="75">
        <v>30</v>
      </c>
      <c r="AB22" s="77">
        <v>0.36</v>
      </c>
      <c r="AC22" s="65">
        <v>0</v>
      </c>
      <c r="AD22" s="77">
        <f t="shared" si="8"/>
        <v>8.9700000000000006</v>
      </c>
      <c r="AE22" s="552">
        <v>2300</v>
      </c>
      <c r="AF22" s="78">
        <f>AE22*constantes!$B$4</f>
        <v>8970</v>
      </c>
      <c r="AG22" s="23">
        <v>1</v>
      </c>
      <c r="AH22" s="75"/>
      <c r="AI22" s="75"/>
      <c r="AJ22" s="636">
        <f t="shared" si="9"/>
        <v>8.9700000000000006</v>
      </c>
      <c r="AK22" s="79">
        <f t="shared" si="10"/>
        <v>8970</v>
      </c>
      <c r="AL22" s="80">
        <f ca="1">IF(AJ22=0,"",AJ22*(OFFSET(cod_desembolso!$A$1,AG22,23)))</f>
        <v>9.3218974463356989</v>
      </c>
      <c r="AM22" s="81">
        <f>(constantes!$B$3*(1+constantes!$B$3)^(AA22))/((1+constantes!$B$3)^(AA22)-1)</f>
        <v>8.8827433387272267E-2</v>
      </c>
      <c r="AN22" s="82">
        <f t="shared" ca="1" si="11"/>
        <v>0.92804022445736778</v>
      </c>
      <c r="AO22" s="80">
        <f ca="1">IF(AJ22=0,AQ22/constantes!$B$3,AN22/constantes!$B$3)</f>
        <v>11.600502805717097</v>
      </c>
      <c r="AP22" s="83">
        <f ca="1">IF(AJ22=0,"",PV(constantes!$B$3,AA22,-AN22)*constantes!$B$3)</f>
        <v>0.83581406245187584</v>
      </c>
      <c r="AQ22" s="84">
        <f t="shared" si="12"/>
        <v>0.1</v>
      </c>
      <c r="AR22" s="384">
        <f>2*constantes!B10</f>
        <v>100</v>
      </c>
      <c r="AS22" s="384">
        <v>0</v>
      </c>
      <c r="AT22" s="384">
        <v>0</v>
      </c>
      <c r="AU22" s="398"/>
    </row>
    <row r="23" spans="1:48">
      <c r="A23" s="23">
        <v>314</v>
      </c>
      <c r="B23" s="21" t="s">
        <v>222</v>
      </c>
      <c r="C23" s="73">
        <v>1</v>
      </c>
      <c r="D23" s="77">
        <v>0</v>
      </c>
      <c r="E23" s="557">
        <v>1</v>
      </c>
      <c r="F23" s="387">
        <v>0.92149999999999999</v>
      </c>
      <c r="G23" s="387">
        <v>0.92149999999999999</v>
      </c>
      <c r="H23" s="387">
        <v>0.92149999999999999</v>
      </c>
      <c r="I23" s="387">
        <v>0.92149999999999999</v>
      </c>
      <c r="J23" s="66">
        <f t="shared" si="5"/>
        <v>0.8</v>
      </c>
      <c r="K23" s="33">
        <v>0.8</v>
      </c>
      <c r="L23" s="33">
        <v>0.8</v>
      </c>
      <c r="M23" s="33">
        <v>0.8</v>
      </c>
      <c r="N23" s="33">
        <v>0.8</v>
      </c>
      <c r="O23" s="66">
        <f t="shared" si="6"/>
        <v>0.8</v>
      </c>
      <c r="P23" s="33">
        <v>0.8</v>
      </c>
      <c r="Q23" s="33">
        <v>0.8</v>
      </c>
      <c r="R23" s="33">
        <v>0.8</v>
      </c>
      <c r="S23" s="33">
        <v>0.8</v>
      </c>
      <c r="T23" s="74">
        <v>0.03</v>
      </c>
      <c r="U23" s="74">
        <v>0.05</v>
      </c>
      <c r="V23" s="593">
        <f t="shared" si="7"/>
        <v>0.92149999999999999</v>
      </c>
      <c r="W23" s="20">
        <v>10</v>
      </c>
      <c r="X23" s="32" t="str">
        <f>IF(W23="","",VLOOKUP(W23,tab_cod_categoria!$A$2:$B$30,2,0))</f>
        <v>Outros</v>
      </c>
      <c r="Y23" s="64">
        <v>1316</v>
      </c>
      <c r="Z23" s="75">
        <v>2</v>
      </c>
      <c r="AA23" s="76">
        <v>20</v>
      </c>
      <c r="AB23" s="23">
        <v>0.36</v>
      </c>
      <c r="AC23" s="65">
        <v>0</v>
      </c>
      <c r="AD23" s="77">
        <f t="shared" si="8"/>
        <v>10.53</v>
      </c>
      <c r="AE23" s="552">
        <v>2700</v>
      </c>
      <c r="AF23" s="78">
        <f>AE23*constantes!$B$4</f>
        <v>10530</v>
      </c>
      <c r="AG23" s="23">
        <v>1</v>
      </c>
      <c r="AH23" s="23"/>
      <c r="AI23" s="23"/>
      <c r="AJ23" s="636">
        <f t="shared" si="9"/>
        <v>10.53</v>
      </c>
      <c r="AK23" s="88">
        <f t="shared" si="10"/>
        <v>10530</v>
      </c>
      <c r="AL23" s="80">
        <f ca="1">IF(AJ23=0,"",AJ23*(OFFSET(cod_desembolso!$A$1,AG23,23)))</f>
        <v>10.943097002220167</v>
      </c>
      <c r="AM23" s="81">
        <f>(constantes!$B$3*(1+constantes!$B$3)^(AA23))/((1+constantes!$B$3)^(AA23)-1)</f>
        <v>0.10185220882315059</v>
      </c>
      <c r="AN23" s="80">
        <f t="shared" ca="1" si="11"/>
        <v>1.1505786010421217</v>
      </c>
      <c r="AO23" s="80">
        <f ca="1">IF(AJ23=0,AQ23/constantes!$B$3,AN23/constantes!$B$3)</f>
        <v>14.382232513026521</v>
      </c>
      <c r="AP23" s="83">
        <f ca="1">IF(AJ23=0,"",PV(constantes!$B$3,AA23,-AN23)*constantes!$B$3)</f>
        <v>0.90372402471106739</v>
      </c>
      <c r="AQ23" s="84">
        <f t="shared" si="12"/>
        <v>3.5999999999999997E-2</v>
      </c>
      <c r="AR23" s="384">
        <v>36</v>
      </c>
      <c r="AS23" s="384">
        <v>0</v>
      </c>
      <c r="AT23" s="384">
        <v>1058.8235294117646</v>
      </c>
      <c r="AU23" s="398"/>
    </row>
    <row r="24" spans="1:48">
      <c r="A24" s="23">
        <v>347</v>
      </c>
      <c r="B24" s="403" t="s">
        <v>223</v>
      </c>
      <c r="C24" s="73">
        <v>1</v>
      </c>
      <c r="D24" s="77">
        <v>1</v>
      </c>
      <c r="E24" s="557">
        <v>1</v>
      </c>
      <c r="F24" s="387">
        <v>0.26</v>
      </c>
      <c r="G24" s="387">
        <v>0</v>
      </c>
      <c r="H24" s="387">
        <v>0</v>
      </c>
      <c r="I24" s="387">
        <v>0.2</v>
      </c>
      <c r="J24" s="66">
        <f>AVERAGE(K24:N24)</f>
        <v>0.28996666666666665</v>
      </c>
      <c r="K24" s="33">
        <v>0.2931333333333333</v>
      </c>
      <c r="L24" s="33">
        <v>0.29116666666666663</v>
      </c>
      <c r="M24" s="33">
        <v>0.28439999999999999</v>
      </c>
      <c r="N24" s="33">
        <v>0.29116666666666663</v>
      </c>
      <c r="O24" s="66">
        <f>AVERAGE(P24:S24)</f>
        <v>0.28996666666666665</v>
      </c>
      <c r="P24" s="33">
        <v>0.2931333333333333</v>
      </c>
      <c r="Q24" s="33">
        <v>0.29116666666666663</v>
      </c>
      <c r="R24" s="33">
        <v>0.28439999999999999</v>
      </c>
      <c r="S24" s="33">
        <v>0.29116666666666663</v>
      </c>
      <c r="T24" s="74">
        <v>0.02</v>
      </c>
      <c r="U24" s="74">
        <v>0.01</v>
      </c>
      <c r="V24" s="593">
        <f t="shared" si="7"/>
        <v>0.97019999999999995</v>
      </c>
      <c r="W24" s="20">
        <v>9</v>
      </c>
      <c r="X24" s="32" t="str">
        <f>IF(W24="","",VLOOKUP(W24,tab_cod_categoria!$A$2:$B$30,2,0))</f>
        <v>Solar</v>
      </c>
      <c r="Y24" s="64">
        <v>1315</v>
      </c>
      <c r="Z24" s="75">
        <v>1</v>
      </c>
      <c r="AA24" s="76">
        <v>20</v>
      </c>
      <c r="AB24" s="23">
        <v>1</v>
      </c>
      <c r="AC24" s="65">
        <v>0</v>
      </c>
      <c r="AD24" s="77">
        <f t="shared" si="8"/>
        <v>5.2649999999999997</v>
      </c>
      <c r="AE24" s="552">
        <v>1350</v>
      </c>
      <c r="AF24" s="78">
        <f>AE24*constantes!$B$4</f>
        <v>5265</v>
      </c>
      <c r="AG24" s="23">
        <v>1</v>
      </c>
      <c r="AH24" s="23"/>
      <c r="AI24" s="23"/>
      <c r="AJ24" s="636">
        <f t="shared" si="9"/>
        <v>5.2649999999999997</v>
      </c>
      <c r="AK24" s="88">
        <f t="shared" si="10"/>
        <v>5265</v>
      </c>
      <c r="AL24" s="80">
        <f ca="1">IF(AJ24=0,"",AJ24*(OFFSET(cod_desembolso!$A$1,AG24,23)))</f>
        <v>5.4715485011100835</v>
      </c>
      <c r="AM24" s="81">
        <f>(constantes!$B$3*(1+constantes!$B$3)^(AA24))/((1+constantes!$B$3)^(AA24)-1)</f>
        <v>0.10185220882315059</v>
      </c>
      <c r="AN24" s="80">
        <f t="shared" ca="1" si="11"/>
        <v>0.62311706052106086</v>
      </c>
      <c r="AO24" s="80">
        <f ca="1">IF(AJ24=0,AQ24/constantes!$B$3,AN24/constantes!$B$3)</f>
        <v>7.7889632565132603</v>
      </c>
      <c r="AP24" s="83">
        <f ca="1">IF(AJ24=0,"",PV(constantes!$B$3,AA24,-AN24)*constantes!$B$3)</f>
        <v>0.48942841218338234</v>
      </c>
      <c r="AQ24" s="84">
        <f t="shared" si="12"/>
        <v>6.5827759999999999E-2</v>
      </c>
      <c r="AR24" s="384">
        <v>65.827759999999998</v>
      </c>
      <c r="AS24" s="384">
        <v>0</v>
      </c>
      <c r="AT24" s="384">
        <v>0</v>
      </c>
      <c r="AU24" s="398"/>
    </row>
    <row r="25" spans="1:48">
      <c r="A25" s="23">
        <v>357</v>
      </c>
      <c r="B25" s="403" t="s">
        <v>224</v>
      </c>
      <c r="C25" s="73">
        <v>1</v>
      </c>
      <c r="D25" s="77">
        <v>1</v>
      </c>
      <c r="E25" s="557">
        <v>1</v>
      </c>
      <c r="F25" s="387">
        <v>0.26</v>
      </c>
      <c r="G25" s="387">
        <v>0</v>
      </c>
      <c r="H25" s="387">
        <v>0</v>
      </c>
      <c r="I25" s="387">
        <v>0.2</v>
      </c>
      <c r="J25" s="66">
        <f t="shared" ref="J25:J31" si="39">AVERAGE(K25:N25)</f>
        <v>0.28996666666666665</v>
      </c>
      <c r="K25" s="33">
        <v>0.2931333333333333</v>
      </c>
      <c r="L25" s="33">
        <v>0.29116666666666663</v>
      </c>
      <c r="M25" s="33">
        <v>0.28439999999999999</v>
      </c>
      <c r="N25" s="33">
        <v>0.29116666666666663</v>
      </c>
      <c r="O25" s="66">
        <f t="shared" ref="O25:O31" si="40">AVERAGE(P25:S25)</f>
        <v>0.28996666666666665</v>
      </c>
      <c r="P25" s="33">
        <v>0.2931333333333333</v>
      </c>
      <c r="Q25" s="33">
        <v>0.29116666666666663</v>
      </c>
      <c r="R25" s="33">
        <v>0.28439999999999999</v>
      </c>
      <c r="S25" s="33">
        <v>0.29116666666666663</v>
      </c>
      <c r="T25" s="74">
        <v>0.02</v>
      </c>
      <c r="U25" s="74">
        <v>0.01</v>
      </c>
      <c r="V25" s="593">
        <f t="shared" si="7"/>
        <v>0.97019999999999995</v>
      </c>
      <c r="W25" s="20">
        <v>9</v>
      </c>
      <c r="X25" s="32" t="str">
        <f>IF(W25="","",VLOOKUP(W25,tab_cod_categoria!$A$2:$B$30,2,0))</f>
        <v>Solar</v>
      </c>
      <c r="Y25" s="64">
        <v>1315</v>
      </c>
      <c r="Z25" s="75">
        <v>1</v>
      </c>
      <c r="AA25" s="76">
        <v>20</v>
      </c>
      <c r="AB25" s="23">
        <v>1</v>
      </c>
      <c r="AC25" s="65">
        <v>0</v>
      </c>
      <c r="AD25" s="77">
        <f t="shared" si="8"/>
        <v>4.0949999999999998</v>
      </c>
      <c r="AE25" s="552">
        <v>1050</v>
      </c>
      <c r="AF25" s="78">
        <f>AE25*constantes!$B$4</f>
        <v>4095</v>
      </c>
      <c r="AG25" s="23">
        <v>1</v>
      </c>
      <c r="AH25" s="23"/>
      <c r="AI25" s="23"/>
      <c r="AJ25" s="636">
        <f t="shared" si="9"/>
        <v>4.0949999999999998</v>
      </c>
      <c r="AK25" s="88">
        <f t="shared" si="10"/>
        <v>4094.9999999999995</v>
      </c>
      <c r="AL25" s="80">
        <f ca="1">IF(AJ25=0,"",AJ25*(OFFSET(cod_desembolso!$A$1,AG25,23)))</f>
        <v>4.255648834196732</v>
      </c>
      <c r="AM25" s="81">
        <f>(constantes!$B$3*(1+constantes!$B$3)^(AA25))/((1+constantes!$B$3)^(AA25)-1)</f>
        <v>0.10185220882315059</v>
      </c>
      <c r="AN25" s="80">
        <f t="shared" ca="1" si="11"/>
        <v>0.48493627373860287</v>
      </c>
      <c r="AO25" s="80">
        <f ca="1">IF(AJ25=0,AQ25/constantes!$B$3,AN25/constantes!$B$3)</f>
        <v>6.0617034217325356</v>
      </c>
      <c r="AP25" s="83">
        <f ca="1">IF(AJ25=0,"",PV(constantes!$B$3,AA25,-AN25)*constantes!$B$3)</f>
        <v>0.38089406550278276</v>
      </c>
      <c r="AQ25" s="84">
        <f t="shared" si="12"/>
        <v>5.1489040000000007E-2</v>
      </c>
      <c r="AR25" s="384">
        <v>51.48904000000001</v>
      </c>
      <c r="AS25" s="384">
        <v>0</v>
      </c>
      <c r="AT25" s="384">
        <v>0</v>
      </c>
      <c r="AU25" s="398"/>
    </row>
    <row r="26" spans="1:48">
      <c r="A26" s="23">
        <v>358</v>
      </c>
      <c r="B26" s="403" t="s">
        <v>225</v>
      </c>
      <c r="C26" s="73">
        <v>1</v>
      </c>
      <c r="D26" s="77">
        <v>1</v>
      </c>
      <c r="E26" s="557">
        <v>1</v>
      </c>
      <c r="F26" s="387">
        <v>0.26</v>
      </c>
      <c r="G26" s="387">
        <v>0</v>
      </c>
      <c r="H26" s="387">
        <v>0</v>
      </c>
      <c r="I26" s="387">
        <v>0.2</v>
      </c>
      <c r="J26" s="66">
        <f t="shared" si="39"/>
        <v>0.28996666666666665</v>
      </c>
      <c r="K26" s="33">
        <v>0.2931333333333333</v>
      </c>
      <c r="L26" s="33">
        <v>0.29116666666666663</v>
      </c>
      <c r="M26" s="33">
        <v>0.28439999999999999</v>
      </c>
      <c r="N26" s="33">
        <v>0.29116666666666663</v>
      </c>
      <c r="O26" s="66">
        <f t="shared" si="40"/>
        <v>0.28996666666666665</v>
      </c>
      <c r="P26" s="33">
        <v>0.2931333333333333</v>
      </c>
      <c r="Q26" s="33">
        <v>0.29116666666666663</v>
      </c>
      <c r="R26" s="33">
        <v>0.28439999999999999</v>
      </c>
      <c r="S26" s="33">
        <v>0.29116666666666663</v>
      </c>
      <c r="T26" s="74">
        <v>0.02</v>
      </c>
      <c r="U26" s="74">
        <v>0.01</v>
      </c>
      <c r="V26" s="593">
        <f t="shared" si="7"/>
        <v>0.97019999999999995</v>
      </c>
      <c r="W26" s="20">
        <v>9</v>
      </c>
      <c r="X26" s="32" t="str">
        <f>IF(W26="","",VLOOKUP(W26,tab_cod_categoria!$A$2:$B$30,2,0))</f>
        <v>Solar</v>
      </c>
      <c r="Y26" s="64">
        <v>1315</v>
      </c>
      <c r="Z26" s="75">
        <v>1</v>
      </c>
      <c r="AA26" s="76">
        <v>20</v>
      </c>
      <c r="AB26" s="23">
        <v>1</v>
      </c>
      <c r="AC26" s="65">
        <v>0</v>
      </c>
      <c r="AD26" s="77">
        <f t="shared" si="8"/>
        <v>3.3149999999999999</v>
      </c>
      <c r="AE26" s="552">
        <v>850</v>
      </c>
      <c r="AF26" s="78">
        <f>AE26*constantes!$B$4</f>
        <v>3315</v>
      </c>
      <c r="AG26" s="23">
        <v>1</v>
      </c>
      <c r="AH26" s="23"/>
      <c r="AI26" s="23"/>
      <c r="AJ26" s="636">
        <f t="shared" si="9"/>
        <v>3.3149999999999999</v>
      </c>
      <c r="AK26" s="88">
        <f t="shared" si="10"/>
        <v>3315</v>
      </c>
      <c r="AL26" s="80">
        <f ca="1">IF(AJ26=0,"",AJ26*(OFFSET(cod_desembolso!$A$1,AG26,23)))</f>
        <v>3.4450490562544971</v>
      </c>
      <c r="AM26" s="81">
        <f>(constantes!$B$3*(1+constantes!$B$3)^(AA26))/((1+constantes!$B$3)^(AA26)-1)</f>
        <v>0.10185220882315059</v>
      </c>
      <c r="AN26" s="80">
        <f t="shared" ca="1" si="11"/>
        <v>0.39259849588363094</v>
      </c>
      <c r="AO26" s="80">
        <f ca="1">IF(AJ26=0,AQ26/constantes!$B$3,AN26/constantes!$B$3)</f>
        <v>4.907481198545387</v>
      </c>
      <c r="AP26" s="83">
        <f ca="1">IF(AJ26=0,"",PV(constantes!$B$3,AA26,-AN26)*constantes!$B$3)</f>
        <v>0.30836719236226912</v>
      </c>
      <c r="AQ26" s="84">
        <f t="shared" si="12"/>
        <v>4.1712640000000002E-2</v>
      </c>
      <c r="AR26" s="384">
        <v>41.71264</v>
      </c>
      <c r="AS26" s="384">
        <v>0</v>
      </c>
      <c r="AT26" s="384">
        <v>0</v>
      </c>
      <c r="AU26" s="398"/>
    </row>
    <row r="27" spans="1:48">
      <c r="A27" s="23">
        <v>359</v>
      </c>
      <c r="B27" s="403" t="s">
        <v>226</v>
      </c>
      <c r="C27" s="73">
        <v>1</v>
      </c>
      <c r="D27" s="77">
        <v>1</v>
      </c>
      <c r="E27" s="557">
        <v>1</v>
      </c>
      <c r="F27" s="387">
        <v>0.26</v>
      </c>
      <c r="G27" s="387">
        <v>0</v>
      </c>
      <c r="H27" s="387">
        <v>0</v>
      </c>
      <c r="I27" s="387">
        <v>0.2</v>
      </c>
      <c r="J27" s="66">
        <f t="shared" si="39"/>
        <v>0.28996666666666665</v>
      </c>
      <c r="K27" s="33">
        <v>0.2931333333333333</v>
      </c>
      <c r="L27" s="33">
        <v>0.29116666666666663</v>
      </c>
      <c r="M27" s="33">
        <v>0.28439999999999999</v>
      </c>
      <c r="N27" s="33">
        <v>0.29116666666666663</v>
      </c>
      <c r="O27" s="66">
        <f t="shared" si="40"/>
        <v>0.28996666666666665</v>
      </c>
      <c r="P27" s="33">
        <v>0.2931333333333333</v>
      </c>
      <c r="Q27" s="33">
        <v>0.29116666666666663</v>
      </c>
      <c r="R27" s="33">
        <v>0.28439999999999999</v>
      </c>
      <c r="S27" s="33">
        <v>0.29116666666666663</v>
      </c>
      <c r="T27" s="74">
        <v>0.02</v>
      </c>
      <c r="U27" s="74">
        <v>0.01</v>
      </c>
      <c r="V27" s="593">
        <f t="shared" si="7"/>
        <v>0.97019999999999995</v>
      </c>
      <c r="W27" s="20">
        <v>9</v>
      </c>
      <c r="X27" s="32" t="str">
        <f>IF(W27="","",VLOOKUP(W27,tab_cod_categoria!$A$2:$B$30,2,0))</f>
        <v>Solar</v>
      </c>
      <c r="Y27" s="64">
        <v>1315</v>
      </c>
      <c r="Z27" s="75">
        <v>1</v>
      </c>
      <c r="AA27" s="76">
        <v>20</v>
      </c>
      <c r="AB27" s="23">
        <v>1</v>
      </c>
      <c r="AC27" s="65">
        <v>0</v>
      </c>
      <c r="AD27" s="77">
        <f t="shared" si="8"/>
        <v>2.4999000000000002</v>
      </c>
      <c r="AE27" s="552">
        <v>641</v>
      </c>
      <c r="AF27" s="78">
        <f>AE27*constantes!$B$4</f>
        <v>2499.9</v>
      </c>
      <c r="AG27" s="23">
        <v>1</v>
      </c>
      <c r="AH27" s="23"/>
      <c r="AI27" s="23"/>
      <c r="AJ27" s="636">
        <f t="shared" ref="AJ27:AJ32" si="41">AD27+AH27+AI27</f>
        <v>2.4999000000000002</v>
      </c>
      <c r="AK27" s="88">
        <f t="shared" si="10"/>
        <v>2499.9</v>
      </c>
      <c r="AL27" s="80">
        <f ca="1">IF(AJ27=0,"",AJ27*(OFFSET(cod_desembolso!$A$1,AG27,23)))</f>
        <v>2.5979722883048622</v>
      </c>
      <c r="AM27" s="81">
        <f>(constantes!$B$3*(1+constantes!$B$3)^(AA27))/((1+constantes!$B$3)^(AA27)-1)</f>
        <v>0.10185220882315059</v>
      </c>
      <c r="AN27" s="80">
        <f t="shared" ref="AN27:AN32" ca="1" si="42">IF(AD27=0,"",AL27*AM27+AQ27)</f>
        <v>0.30371481602518524</v>
      </c>
      <c r="AO27" s="80">
        <f ca="1">IF(AJ27=0,AQ27/constantes!$B$3,AN27/constantes!$B$3)</f>
        <v>3.7964352003148156</v>
      </c>
      <c r="AP27" s="83">
        <f ca="1">IF(AJ27=0,"",PV(constantes!$B$3,AA27,-AN27)*constantes!$B$3)</f>
        <v>0.23855334668492895</v>
      </c>
      <c r="AQ27" s="84">
        <f t="shared" si="12"/>
        <v>3.9105599999999997E-2</v>
      </c>
      <c r="AR27" s="384">
        <v>39.105599999999995</v>
      </c>
      <c r="AS27" s="384">
        <v>0</v>
      </c>
      <c r="AT27" s="384">
        <v>0</v>
      </c>
      <c r="AU27" s="398"/>
    </row>
    <row r="28" spans="1:48">
      <c r="A28" s="23">
        <v>370</v>
      </c>
      <c r="B28" s="403" t="s">
        <v>227</v>
      </c>
      <c r="C28" s="73">
        <v>1</v>
      </c>
      <c r="D28" s="77">
        <v>1</v>
      </c>
      <c r="E28" s="557">
        <v>1</v>
      </c>
      <c r="F28" s="387">
        <v>0.16</v>
      </c>
      <c r="G28" s="387">
        <v>0</v>
      </c>
      <c r="H28" s="387">
        <v>0</v>
      </c>
      <c r="I28" s="387">
        <v>0.08</v>
      </c>
      <c r="J28" s="66">
        <f t="shared" si="39"/>
        <v>0.30000000000000004</v>
      </c>
      <c r="K28" s="33">
        <v>0.29320000000000002</v>
      </c>
      <c r="L28" s="33">
        <v>0.29123333333333334</v>
      </c>
      <c r="M28" s="33">
        <v>0.29626666666666668</v>
      </c>
      <c r="N28" s="33">
        <v>0.31930000000000003</v>
      </c>
      <c r="O28" s="66">
        <f t="shared" si="40"/>
        <v>0.30000000000000004</v>
      </c>
      <c r="P28" s="33">
        <v>0.29320000000000002</v>
      </c>
      <c r="Q28" s="33">
        <v>0.29123333333333334</v>
      </c>
      <c r="R28" s="33">
        <v>0.29626666666666668</v>
      </c>
      <c r="S28" s="33">
        <v>0.31930000000000003</v>
      </c>
      <c r="T28" s="74">
        <v>0.02</v>
      </c>
      <c r="U28" s="74">
        <v>0.01</v>
      </c>
      <c r="V28" s="593">
        <f t="shared" si="7"/>
        <v>0.97019999999999995</v>
      </c>
      <c r="W28" s="20">
        <v>9</v>
      </c>
      <c r="X28" s="32" t="str">
        <f>IF(W28="","",VLOOKUP(W28,tab_cod_categoria!$A$2:$B$30,2,0))</f>
        <v>Solar</v>
      </c>
      <c r="Y28" s="64">
        <v>1315</v>
      </c>
      <c r="Z28" s="75">
        <v>1</v>
      </c>
      <c r="AA28" s="76">
        <v>20</v>
      </c>
      <c r="AB28" s="23">
        <v>1</v>
      </c>
      <c r="AC28" s="65">
        <v>0</v>
      </c>
      <c r="AD28" s="77">
        <f t="shared" si="8"/>
        <v>5.2649999999999997</v>
      </c>
      <c r="AE28" s="552">
        <v>1350</v>
      </c>
      <c r="AF28" s="78">
        <f>AE28*constantes!$B$4</f>
        <v>5265</v>
      </c>
      <c r="AG28" s="23">
        <v>1</v>
      </c>
      <c r="AH28" s="23"/>
      <c r="AI28" s="23"/>
      <c r="AJ28" s="636">
        <f t="shared" si="41"/>
        <v>5.2649999999999997</v>
      </c>
      <c r="AK28" s="88">
        <f t="shared" si="10"/>
        <v>5265</v>
      </c>
      <c r="AL28" s="80">
        <f ca="1">IF(AJ28=0,"",AJ28*(OFFSET(cod_desembolso!$A$1,AG28,23)))</f>
        <v>5.4715485011100835</v>
      </c>
      <c r="AM28" s="81">
        <f>(constantes!$B$3*(1+constantes!$B$3)^(AA28))/((1+constantes!$B$3)^(AA28)-1)</f>
        <v>0.10185220882315059</v>
      </c>
      <c r="AN28" s="80">
        <f t="shared" ca="1" si="42"/>
        <v>0.62311706052106086</v>
      </c>
      <c r="AO28" s="80">
        <f ca="1">IF(AJ28=0,AQ28/constantes!$B$3,AN28/constantes!$B$3)</f>
        <v>7.7889632565132603</v>
      </c>
      <c r="AP28" s="83">
        <f ca="1">IF(AJ28=0,"",PV(constantes!$B$3,AA28,-AN28)*constantes!$B$3)</f>
        <v>0.48942841218338234</v>
      </c>
      <c r="AQ28" s="84">
        <f t="shared" si="12"/>
        <v>6.5827759999999999E-2</v>
      </c>
      <c r="AR28" s="384">
        <v>65.827759999999998</v>
      </c>
      <c r="AS28" s="384">
        <v>0</v>
      </c>
      <c r="AT28" s="384">
        <v>0</v>
      </c>
      <c r="AU28" s="398"/>
    </row>
    <row r="29" spans="1:48">
      <c r="A29" s="23">
        <v>371</v>
      </c>
      <c r="B29" s="403" t="s">
        <v>228</v>
      </c>
      <c r="C29" s="73">
        <v>1</v>
      </c>
      <c r="D29" s="77">
        <v>1</v>
      </c>
      <c r="E29" s="557">
        <v>1</v>
      </c>
      <c r="F29" s="387">
        <v>0.16</v>
      </c>
      <c r="G29" s="387">
        <v>0</v>
      </c>
      <c r="H29" s="387">
        <v>0</v>
      </c>
      <c r="I29" s="387">
        <v>0.08</v>
      </c>
      <c r="J29" s="66">
        <f t="shared" si="39"/>
        <v>0.30000000000000004</v>
      </c>
      <c r="K29" s="33">
        <v>0.29320000000000002</v>
      </c>
      <c r="L29" s="33">
        <v>0.29123333333333334</v>
      </c>
      <c r="M29" s="33">
        <v>0.29626666666666668</v>
      </c>
      <c r="N29" s="33">
        <v>0.31930000000000003</v>
      </c>
      <c r="O29" s="66">
        <f t="shared" si="40"/>
        <v>0.30000000000000004</v>
      </c>
      <c r="P29" s="33">
        <v>0.29320000000000002</v>
      </c>
      <c r="Q29" s="33">
        <v>0.29123333333333334</v>
      </c>
      <c r="R29" s="33">
        <v>0.29626666666666668</v>
      </c>
      <c r="S29" s="33">
        <v>0.31930000000000003</v>
      </c>
      <c r="T29" s="74">
        <v>0.02</v>
      </c>
      <c r="U29" s="74">
        <v>0.01</v>
      </c>
      <c r="V29" s="593">
        <f t="shared" si="7"/>
        <v>0.97019999999999995</v>
      </c>
      <c r="W29" s="20">
        <v>9</v>
      </c>
      <c r="X29" s="32" t="str">
        <f>IF(W29="","",VLOOKUP(W29,tab_cod_categoria!$A$2:$B$30,2,0))</f>
        <v>Solar</v>
      </c>
      <c r="Y29" s="64">
        <v>1315</v>
      </c>
      <c r="Z29" s="75">
        <v>1</v>
      </c>
      <c r="AA29" s="76">
        <v>20</v>
      </c>
      <c r="AB29" s="23">
        <v>1</v>
      </c>
      <c r="AC29" s="65">
        <v>0</v>
      </c>
      <c r="AD29" s="77">
        <f t="shared" si="8"/>
        <v>4.0949999999999998</v>
      </c>
      <c r="AE29" s="552">
        <v>1050</v>
      </c>
      <c r="AF29" s="78">
        <f>AE29*constantes!$B$4</f>
        <v>4095</v>
      </c>
      <c r="AG29" s="23">
        <v>1</v>
      </c>
      <c r="AH29" s="23"/>
      <c r="AI29" s="23"/>
      <c r="AJ29" s="636">
        <f t="shared" si="41"/>
        <v>4.0949999999999998</v>
      </c>
      <c r="AK29" s="88">
        <f t="shared" si="10"/>
        <v>4094.9999999999995</v>
      </c>
      <c r="AL29" s="80">
        <f ca="1">IF(AJ29=0,"",AJ29*(OFFSET(cod_desembolso!$A$1,AG29,23)))</f>
        <v>4.255648834196732</v>
      </c>
      <c r="AM29" s="81">
        <f>(constantes!$B$3*(1+constantes!$B$3)^(AA29))/((1+constantes!$B$3)^(AA29)-1)</f>
        <v>0.10185220882315059</v>
      </c>
      <c r="AN29" s="80">
        <f t="shared" ca="1" si="42"/>
        <v>0.48493627373860287</v>
      </c>
      <c r="AO29" s="80">
        <f ca="1">IF(AJ29=0,AQ29/constantes!$B$3,AN29/constantes!$B$3)</f>
        <v>6.0617034217325356</v>
      </c>
      <c r="AP29" s="83">
        <f ca="1">IF(AJ29=0,"",PV(constantes!$B$3,AA29,-AN29)*constantes!$B$3)</f>
        <v>0.38089406550278276</v>
      </c>
      <c r="AQ29" s="84">
        <f t="shared" si="12"/>
        <v>5.1489040000000007E-2</v>
      </c>
      <c r="AR29" s="384">
        <v>51.48904000000001</v>
      </c>
      <c r="AS29" s="384">
        <v>0</v>
      </c>
      <c r="AT29" s="384">
        <v>0</v>
      </c>
      <c r="AU29" s="398"/>
    </row>
    <row r="30" spans="1:48">
      <c r="A30" s="23">
        <v>372</v>
      </c>
      <c r="B30" s="403" t="s">
        <v>229</v>
      </c>
      <c r="C30" s="73">
        <v>1</v>
      </c>
      <c r="D30" s="77">
        <v>1</v>
      </c>
      <c r="E30" s="557">
        <v>1</v>
      </c>
      <c r="F30" s="387">
        <v>0.16</v>
      </c>
      <c r="G30" s="387">
        <v>0</v>
      </c>
      <c r="H30" s="387">
        <v>0</v>
      </c>
      <c r="I30" s="387">
        <v>0.08</v>
      </c>
      <c r="J30" s="66">
        <f t="shared" si="39"/>
        <v>0.30000000000000004</v>
      </c>
      <c r="K30" s="33">
        <v>0.29320000000000002</v>
      </c>
      <c r="L30" s="33">
        <v>0.29123333333333334</v>
      </c>
      <c r="M30" s="33">
        <v>0.29626666666666668</v>
      </c>
      <c r="N30" s="33">
        <v>0.31930000000000003</v>
      </c>
      <c r="O30" s="66">
        <f t="shared" si="40"/>
        <v>0.30000000000000004</v>
      </c>
      <c r="P30" s="33">
        <v>0.29320000000000002</v>
      </c>
      <c r="Q30" s="33">
        <v>0.29123333333333334</v>
      </c>
      <c r="R30" s="33">
        <v>0.29626666666666668</v>
      </c>
      <c r="S30" s="33">
        <v>0.31930000000000003</v>
      </c>
      <c r="T30" s="74">
        <v>0.02</v>
      </c>
      <c r="U30" s="74">
        <v>0.01</v>
      </c>
      <c r="V30" s="593">
        <f t="shared" si="7"/>
        <v>0.97019999999999995</v>
      </c>
      <c r="W30" s="20">
        <v>9</v>
      </c>
      <c r="X30" s="32" t="str">
        <f>IF(W30="","",VLOOKUP(W30,tab_cod_categoria!$A$2:$B$30,2,0))</f>
        <v>Solar</v>
      </c>
      <c r="Y30" s="64">
        <v>1315</v>
      </c>
      <c r="Z30" s="75">
        <v>1</v>
      </c>
      <c r="AA30" s="76">
        <v>20</v>
      </c>
      <c r="AB30" s="23">
        <v>1</v>
      </c>
      <c r="AC30" s="65">
        <v>0</v>
      </c>
      <c r="AD30" s="77">
        <f t="shared" si="8"/>
        <v>3.3149999999999999</v>
      </c>
      <c r="AE30" s="552">
        <v>850</v>
      </c>
      <c r="AF30" s="78">
        <f>AE30*constantes!$B$4</f>
        <v>3315</v>
      </c>
      <c r="AG30" s="23">
        <v>1</v>
      </c>
      <c r="AH30" s="23"/>
      <c r="AI30" s="23"/>
      <c r="AJ30" s="636">
        <f t="shared" si="41"/>
        <v>3.3149999999999999</v>
      </c>
      <c r="AK30" s="88">
        <f t="shared" si="10"/>
        <v>3315</v>
      </c>
      <c r="AL30" s="80">
        <f ca="1">IF(AJ30=0,"",AJ30*(OFFSET(cod_desembolso!$A$1,AG30,23)))</f>
        <v>3.4450490562544971</v>
      </c>
      <c r="AM30" s="81">
        <f>(constantes!$B$3*(1+constantes!$B$3)^(AA30))/((1+constantes!$B$3)^(AA30)-1)</f>
        <v>0.10185220882315059</v>
      </c>
      <c r="AN30" s="80">
        <f t="shared" ca="1" si="42"/>
        <v>0.39259849588363094</v>
      </c>
      <c r="AO30" s="80">
        <f ca="1">IF(AJ30=0,AQ30/constantes!$B$3,AN30/constantes!$B$3)</f>
        <v>4.907481198545387</v>
      </c>
      <c r="AP30" s="83">
        <f ca="1">IF(AJ30=0,"",PV(constantes!$B$3,AA30,-AN30)*constantes!$B$3)</f>
        <v>0.30836719236226912</v>
      </c>
      <c r="AQ30" s="84">
        <f t="shared" si="12"/>
        <v>4.1712640000000002E-2</v>
      </c>
      <c r="AR30" s="384">
        <v>41.71264</v>
      </c>
      <c r="AS30" s="384">
        <v>0</v>
      </c>
      <c r="AT30" s="384">
        <v>0</v>
      </c>
      <c r="AU30" s="398"/>
    </row>
    <row r="31" spans="1:48">
      <c r="A31" s="23">
        <v>373</v>
      </c>
      <c r="B31" s="403" t="s">
        <v>230</v>
      </c>
      <c r="C31" s="73">
        <v>1</v>
      </c>
      <c r="D31" s="77">
        <v>1</v>
      </c>
      <c r="E31" s="557">
        <v>1</v>
      </c>
      <c r="F31" s="387">
        <v>0.16</v>
      </c>
      <c r="G31" s="387">
        <v>0</v>
      </c>
      <c r="H31" s="387">
        <v>0</v>
      </c>
      <c r="I31" s="387">
        <v>0.08</v>
      </c>
      <c r="J31" s="66">
        <f t="shared" si="39"/>
        <v>0.30000000000000004</v>
      </c>
      <c r="K31" s="33">
        <v>0.29320000000000002</v>
      </c>
      <c r="L31" s="33">
        <v>0.29123333333333334</v>
      </c>
      <c r="M31" s="33">
        <v>0.29626666666666668</v>
      </c>
      <c r="N31" s="33">
        <v>0.31930000000000003</v>
      </c>
      <c r="O31" s="66">
        <f t="shared" si="40"/>
        <v>0.30000000000000004</v>
      </c>
      <c r="P31" s="33">
        <v>0.29320000000000002</v>
      </c>
      <c r="Q31" s="33">
        <v>0.29123333333333334</v>
      </c>
      <c r="R31" s="33">
        <v>0.29626666666666668</v>
      </c>
      <c r="S31" s="33">
        <v>0.31930000000000003</v>
      </c>
      <c r="T31" s="74">
        <v>0.02</v>
      </c>
      <c r="U31" s="74">
        <v>0.01</v>
      </c>
      <c r="V31" s="593">
        <f t="shared" si="7"/>
        <v>0.97019999999999995</v>
      </c>
      <c r="W31" s="20">
        <v>9</v>
      </c>
      <c r="X31" s="32" t="str">
        <f>IF(W31="","",VLOOKUP(W31,tab_cod_categoria!$A$2:$B$30,2,0))</f>
        <v>Solar</v>
      </c>
      <c r="Y31" s="64">
        <v>1315</v>
      </c>
      <c r="Z31" s="75">
        <v>1</v>
      </c>
      <c r="AA31" s="76">
        <v>20</v>
      </c>
      <c r="AB31" s="23">
        <v>1</v>
      </c>
      <c r="AC31" s="65">
        <v>0</v>
      </c>
      <c r="AD31" s="77">
        <f t="shared" si="8"/>
        <v>2.4999000000000002</v>
      </c>
      <c r="AE31" s="552">
        <v>641</v>
      </c>
      <c r="AF31" s="78">
        <f>AE31*constantes!$B$4</f>
        <v>2499.9</v>
      </c>
      <c r="AG31" s="23">
        <v>1</v>
      </c>
      <c r="AH31" s="23"/>
      <c r="AI31" s="23"/>
      <c r="AJ31" s="636">
        <f t="shared" ref="AJ31" si="43">AD31+AH31+AI31</f>
        <v>2.4999000000000002</v>
      </c>
      <c r="AK31" s="88">
        <f t="shared" si="10"/>
        <v>2499.9</v>
      </c>
      <c r="AL31" s="80">
        <f ca="1">IF(AJ31=0,"",AJ31*(OFFSET(cod_desembolso!$A$1,AG31,23)))</f>
        <v>2.5979722883048622</v>
      </c>
      <c r="AM31" s="81">
        <f>(constantes!$B$3*(1+constantes!$B$3)^(AA31))/((1+constantes!$B$3)^(AA31)-1)</f>
        <v>0.10185220882315059</v>
      </c>
      <c r="AN31" s="80">
        <f t="shared" ref="AN31" ca="1" si="44">IF(AD31=0,"",AL31*AM31+AQ31)</f>
        <v>0.30371481602518524</v>
      </c>
      <c r="AO31" s="80">
        <f ca="1">IF(AJ31=0,AQ31/constantes!$B$3,AN31/constantes!$B$3)</f>
        <v>3.7964352003148156</v>
      </c>
      <c r="AP31" s="83">
        <f ca="1">IF(AJ31=0,"",PV(constantes!$B$3,AA31,-AN31)*constantes!$B$3)</f>
        <v>0.23855334668492895</v>
      </c>
      <c r="AQ31" s="84">
        <f t="shared" si="12"/>
        <v>3.9105599999999997E-2</v>
      </c>
      <c r="AR31" s="384">
        <v>39.105599999999995</v>
      </c>
      <c r="AS31" s="384">
        <v>0</v>
      </c>
      <c r="AT31" s="384">
        <v>0</v>
      </c>
      <c r="AU31" s="398"/>
    </row>
    <row r="32" spans="1:48">
      <c r="A32" s="23">
        <v>313</v>
      </c>
      <c r="B32" s="390" t="s">
        <v>231</v>
      </c>
      <c r="C32" s="73">
        <v>1</v>
      </c>
      <c r="D32" s="77">
        <v>0.3</v>
      </c>
      <c r="E32" s="77">
        <v>1</v>
      </c>
      <c r="F32" s="387">
        <v>0.90249999999999997</v>
      </c>
      <c r="G32" s="387">
        <v>0.90249999999999997</v>
      </c>
      <c r="H32" s="387">
        <v>0.90249999999999997</v>
      </c>
      <c r="I32" s="387">
        <v>0.90249999999999997</v>
      </c>
      <c r="J32" s="66">
        <f t="shared" ref="J32" si="45">AVERAGE(K32:N32)</f>
        <v>0.998</v>
      </c>
      <c r="K32" s="33">
        <v>0.998</v>
      </c>
      <c r="L32" s="559">
        <v>0.998</v>
      </c>
      <c r="M32" s="559">
        <v>0.998</v>
      </c>
      <c r="N32" s="559">
        <v>0.998</v>
      </c>
      <c r="O32" s="66">
        <f t="shared" ref="O32" si="46">AVERAGE(P32:S32)</f>
        <v>0.998</v>
      </c>
      <c r="P32" s="33">
        <v>0.998</v>
      </c>
      <c r="Q32" s="559">
        <v>0.998</v>
      </c>
      <c r="R32" s="559">
        <v>0.998</v>
      </c>
      <c r="S32" s="559">
        <v>0.998</v>
      </c>
      <c r="T32" s="74">
        <v>0.05</v>
      </c>
      <c r="U32" s="74">
        <v>0.05</v>
      </c>
      <c r="V32" s="593">
        <f t="shared" si="7"/>
        <v>0.90249999999999997</v>
      </c>
      <c r="W32" s="20">
        <v>7</v>
      </c>
      <c r="X32" s="32" t="str">
        <f>IF(W32="","",VLOOKUP(W32,tab_cod_categoria!$A$2:$B$30,2,0))</f>
        <v>Biomassa</v>
      </c>
      <c r="Y32" s="64">
        <v>1318</v>
      </c>
      <c r="Z32" s="75">
        <v>2</v>
      </c>
      <c r="AA32" s="75">
        <v>20</v>
      </c>
      <c r="AB32" s="77">
        <v>0.27</v>
      </c>
      <c r="AC32" s="65">
        <v>0</v>
      </c>
      <c r="AD32" s="77">
        <f t="shared" si="8"/>
        <v>5.85</v>
      </c>
      <c r="AE32" s="553">
        <v>1500</v>
      </c>
      <c r="AF32" s="78">
        <f>AE32*constantes!$B$4</f>
        <v>5850</v>
      </c>
      <c r="AG32" s="23">
        <v>10</v>
      </c>
      <c r="AH32" s="23"/>
      <c r="AJ32" s="636">
        <f t="shared" si="41"/>
        <v>5.85</v>
      </c>
      <c r="AK32" s="79">
        <f t="shared" si="10"/>
        <v>5850</v>
      </c>
      <c r="AL32" s="80">
        <f ca="1">IF(AJ32=0,"",AJ32*(OFFSET(cod_desembolso!$A$1,AG32,23)))</f>
        <v>6.225406294596362</v>
      </c>
      <c r="AM32" s="81">
        <f>(constantes!$B$3*(1+constantes!$B$3)^(AA32))/((1+constantes!$B$3)^(AA32)-1)</f>
        <v>0.10185220882315059</v>
      </c>
      <c r="AN32" s="82">
        <f t="shared" ca="1" si="42"/>
        <v>0.75407138192618484</v>
      </c>
      <c r="AO32" s="80">
        <f ca="1">IF(AJ32=0,"",AN32/constantes!$B$3)</f>
        <v>9.4258922740773095</v>
      </c>
      <c r="AP32" s="83">
        <f ca="1">IF(AJ32=0,"",PV(constantes!$B$3,AA32,-AN32)*constantes!$B$3)</f>
        <v>0.59228671867922222</v>
      </c>
      <c r="AQ32" s="84">
        <f t="shared" si="12"/>
        <v>0.12</v>
      </c>
      <c r="AR32" s="77">
        <v>120</v>
      </c>
      <c r="AS32" s="384">
        <v>0</v>
      </c>
      <c r="AT32" s="384">
        <v>2390.0573613766728</v>
      </c>
      <c r="AU32" s="401">
        <f>0.31/(1/0.39)</f>
        <v>0.12090000000000001</v>
      </c>
    </row>
    <row r="33" spans="1:47">
      <c r="A33" s="23">
        <v>360</v>
      </c>
      <c r="B33" s="336" t="s">
        <v>232</v>
      </c>
      <c r="C33" s="73">
        <v>1</v>
      </c>
      <c r="D33" s="77">
        <v>1</v>
      </c>
      <c r="E33" s="77">
        <v>1</v>
      </c>
      <c r="F33" s="387">
        <v>3.8808000000000002E-2</v>
      </c>
      <c r="G33" s="387">
        <v>2.9105999999999996E-2</v>
      </c>
      <c r="H33" s="387">
        <v>3.8808000000000002E-2</v>
      </c>
      <c r="I33" s="387">
        <v>5.8211999999999993E-2</v>
      </c>
      <c r="J33" s="66">
        <f t="shared" ref="J33" si="47">AVERAGE(K33:N33)</f>
        <v>0.40083333333333332</v>
      </c>
      <c r="K33" s="559">
        <v>0.36999999999999994</v>
      </c>
      <c r="L33" s="559">
        <v>0.36666666666666664</v>
      </c>
      <c r="M33" s="559">
        <v>0.45</v>
      </c>
      <c r="N33" s="559">
        <v>0.41666666666666669</v>
      </c>
      <c r="O33" s="66">
        <f t="shared" ref="O33" si="48">AVERAGE(P33:S33)</f>
        <v>0.40033333333333337</v>
      </c>
      <c r="P33" s="559">
        <v>0.3706666666666667</v>
      </c>
      <c r="Q33" s="559">
        <v>0.3666666666666667</v>
      </c>
      <c r="R33" s="559">
        <v>0.44799999999999995</v>
      </c>
      <c r="S33" s="559">
        <v>0.41600000000000009</v>
      </c>
      <c r="T33" s="74">
        <v>0.01</v>
      </c>
      <c r="U33" s="74">
        <v>0.02</v>
      </c>
      <c r="V33" s="593">
        <f t="shared" si="7"/>
        <v>0.97019999999999995</v>
      </c>
      <c r="W33" s="20">
        <v>8</v>
      </c>
      <c r="X33" s="32" t="str">
        <f>IF(W33="","",VLOOKUP(W33,tab_cod_categoria!$A$2:$B$30,2,0))</f>
        <v>Eólica</v>
      </c>
      <c r="Y33" s="64">
        <v>1315</v>
      </c>
      <c r="Z33" s="75">
        <v>2</v>
      </c>
      <c r="AA33" s="76">
        <v>20</v>
      </c>
      <c r="AB33" s="77">
        <v>1</v>
      </c>
      <c r="AC33" s="65">
        <v>0</v>
      </c>
      <c r="AD33" s="77">
        <f t="shared" si="8"/>
        <v>4.68</v>
      </c>
      <c r="AE33" s="553">
        <v>1200</v>
      </c>
      <c r="AF33" s="78">
        <f>AE33*constantes!$B$4</f>
        <v>4680</v>
      </c>
      <c r="AG33" s="23">
        <v>5</v>
      </c>
      <c r="AH33" s="23"/>
      <c r="AI33" s="23"/>
      <c r="AJ33" s="636">
        <f t="shared" ref="AJ33" si="49">AD33+AH33+AI33</f>
        <v>4.68</v>
      </c>
      <c r="AK33" s="79">
        <f t="shared" si="10"/>
        <v>4680</v>
      </c>
      <c r="AL33" s="80">
        <f ca="1">IF(AJ33=0,"",AJ33*(OFFSET(cod_desembolso!$A$1,AG33,23)))</f>
        <v>4.9803250356770894</v>
      </c>
      <c r="AM33" s="81">
        <f>(constantes!$B$3*(1+constantes!$B$3)^(AA33))/((1+constantes!$B$3)^(AA33)-1)</f>
        <v>0.10185220882315059</v>
      </c>
      <c r="AN33" s="82">
        <f t="shared" ref="AN33" ca="1" si="50">IF(AD33=0,"",AL33*AM33+AQ33)</f>
        <v>0.60725710554094781</v>
      </c>
      <c r="AO33" s="80">
        <f ca="1">IF(AJ33=0,AQ33/constantes!$B$3,AN33/constantes!$B$3)</f>
        <v>7.5907138192618477</v>
      </c>
      <c r="AP33" s="83">
        <f ca="1">IF(AJ33=0,"",PV(constantes!$B$3,AA33,-AN33)*constantes!$B$3)</f>
        <v>0.47697118211376149</v>
      </c>
      <c r="AQ33" s="84">
        <f t="shared" si="12"/>
        <v>0.1</v>
      </c>
      <c r="AR33" s="384">
        <v>100</v>
      </c>
      <c r="AS33" s="384">
        <v>0</v>
      </c>
      <c r="AT33" s="384">
        <v>0</v>
      </c>
      <c r="AU33" s="398"/>
    </row>
    <row r="34" spans="1:47">
      <c r="A34" s="23">
        <v>361</v>
      </c>
      <c r="B34" s="336" t="s">
        <v>233</v>
      </c>
      <c r="C34" s="73">
        <v>1</v>
      </c>
      <c r="D34" s="77">
        <v>1</v>
      </c>
      <c r="E34" s="77">
        <v>1</v>
      </c>
      <c r="F34" s="387">
        <v>0.22</v>
      </c>
      <c r="G34" s="387">
        <v>0.25</v>
      </c>
      <c r="H34" s="387">
        <v>0.35</v>
      </c>
      <c r="I34" s="387">
        <v>0.3</v>
      </c>
      <c r="J34" s="66">
        <f>AVERAGE(K34:N34)</f>
        <v>0.47166666666666668</v>
      </c>
      <c r="K34" s="560">
        <v>0.3666666666666667</v>
      </c>
      <c r="L34" s="560">
        <v>0.44666666666666671</v>
      </c>
      <c r="M34" s="560">
        <v>0.59</v>
      </c>
      <c r="N34" s="560">
        <v>0.48333333333333334</v>
      </c>
      <c r="O34" s="66">
        <f>AVERAGE(P34:S34)</f>
        <v>0.47039166666666665</v>
      </c>
      <c r="P34" s="560">
        <v>0.36503333333333332</v>
      </c>
      <c r="Q34" s="560">
        <v>0.44336666666666663</v>
      </c>
      <c r="R34" s="560">
        <v>0.58906666666666663</v>
      </c>
      <c r="S34" s="560">
        <v>0.48410000000000003</v>
      </c>
      <c r="T34" s="74">
        <v>0.01</v>
      </c>
      <c r="U34" s="74">
        <v>0.02</v>
      </c>
      <c r="V34" s="593">
        <f t="shared" si="7"/>
        <v>0.97019999999999995</v>
      </c>
      <c r="W34" s="20">
        <v>8</v>
      </c>
      <c r="X34" s="32" t="str">
        <f>IF(W34="","",VLOOKUP(W34,tab_cod_categoria!$A$2:$B$30,2,0))</f>
        <v>Eólica</v>
      </c>
      <c r="Y34" s="64">
        <v>1315</v>
      </c>
      <c r="Z34" s="75">
        <v>2</v>
      </c>
      <c r="AA34" s="76">
        <v>20</v>
      </c>
      <c r="AB34" s="77">
        <v>1</v>
      </c>
      <c r="AC34" s="65">
        <v>0</v>
      </c>
      <c r="AD34" s="77">
        <f t="shared" si="8"/>
        <v>4.68</v>
      </c>
      <c r="AE34" s="553">
        <v>1200</v>
      </c>
      <c r="AF34" s="78">
        <f>AE34*constantes!$B$4</f>
        <v>4680</v>
      </c>
      <c r="AG34" s="23">
        <v>5</v>
      </c>
      <c r="AH34" s="23"/>
      <c r="AI34" s="23"/>
      <c r="AJ34" s="636">
        <f>AD34+AH34+AI34</f>
        <v>4.68</v>
      </c>
      <c r="AK34" s="79">
        <f t="shared" si="10"/>
        <v>4680</v>
      </c>
      <c r="AL34" s="80">
        <f ca="1">IF(AJ34=0,"",AJ34*(OFFSET(cod_desembolso!$A$1,AG34,23)))</f>
        <v>4.9803250356770894</v>
      </c>
      <c r="AM34" s="81">
        <f>(constantes!$B$3*(1+constantes!$B$3)^(AA34))/((1+constantes!$B$3)^(AA34)-1)</f>
        <v>0.10185220882315059</v>
      </c>
      <c r="AN34" s="82">
        <f ca="1">IF(AD34=0,"",AL34*AM34+AQ34)</f>
        <v>0.60725710554094781</v>
      </c>
      <c r="AO34" s="80">
        <f ca="1">IF(AJ34=0,AQ34/constantes!$B$3,AN34/constantes!$B$3)</f>
        <v>7.5907138192618477</v>
      </c>
      <c r="AP34" s="83">
        <f ca="1">IF(AJ34=0,"",PV(constantes!$B$3,AA34,-AN34)*constantes!$B$3)</f>
        <v>0.47697118211376149</v>
      </c>
      <c r="AQ34" s="84">
        <f t="shared" si="12"/>
        <v>0.1</v>
      </c>
      <c r="AR34" s="384">
        <v>100</v>
      </c>
      <c r="AS34" s="384">
        <v>0</v>
      </c>
      <c r="AT34" s="384">
        <v>0</v>
      </c>
      <c r="AU34" s="398"/>
    </row>
    <row r="35" spans="1:47">
      <c r="A35" s="23">
        <v>362</v>
      </c>
      <c r="B35" s="336" t="s">
        <v>234</v>
      </c>
      <c r="C35" s="73">
        <v>1</v>
      </c>
      <c r="D35" s="77">
        <v>1</v>
      </c>
      <c r="E35" s="77">
        <v>1</v>
      </c>
      <c r="F35" s="387">
        <v>3.8808000000000002E-2</v>
      </c>
      <c r="G35" s="387">
        <v>2.9105999999999996E-2</v>
      </c>
      <c r="H35" s="387">
        <v>3.8808000000000002E-2</v>
      </c>
      <c r="I35" s="387">
        <v>5.8211999999999993E-2</v>
      </c>
      <c r="J35" s="66">
        <f t="shared" ref="J35" si="51">AVERAGE(K35:N35)</f>
        <v>0.40083333333333332</v>
      </c>
      <c r="K35" s="559">
        <v>0.36999999999999994</v>
      </c>
      <c r="L35" s="559">
        <v>0.36666666666666664</v>
      </c>
      <c r="M35" s="559">
        <v>0.45</v>
      </c>
      <c r="N35" s="559">
        <v>0.41666666666666669</v>
      </c>
      <c r="O35" s="66">
        <f t="shared" ref="O35" si="52">AVERAGE(P35:S35)</f>
        <v>0.40033333333333337</v>
      </c>
      <c r="P35" s="559">
        <v>0.3706666666666667</v>
      </c>
      <c r="Q35" s="559">
        <v>0.3666666666666667</v>
      </c>
      <c r="R35" s="559">
        <v>0.44799999999999995</v>
      </c>
      <c r="S35" s="559">
        <v>0.41600000000000009</v>
      </c>
      <c r="T35" s="74">
        <v>0.01</v>
      </c>
      <c r="U35" s="74">
        <v>0.02</v>
      </c>
      <c r="V35" s="593">
        <f t="shared" si="7"/>
        <v>0.97019999999999995</v>
      </c>
      <c r="W35" s="20">
        <v>8</v>
      </c>
      <c r="X35" s="32" t="str">
        <f>IF(W35="","",VLOOKUP(W35,tab_cod_categoria!$A$2:$B$30,2,0))</f>
        <v>Eólica</v>
      </c>
      <c r="Y35" s="64">
        <v>1315</v>
      </c>
      <c r="Z35" s="75">
        <v>2</v>
      </c>
      <c r="AA35" s="76">
        <v>20</v>
      </c>
      <c r="AB35" s="77">
        <v>1</v>
      </c>
      <c r="AC35" s="65">
        <v>0</v>
      </c>
      <c r="AD35" s="77">
        <f t="shared" si="8"/>
        <v>4.68</v>
      </c>
      <c r="AE35" s="553">
        <v>1200</v>
      </c>
      <c r="AF35" s="78">
        <f>AE35*constantes!$B$4</f>
        <v>4680</v>
      </c>
      <c r="AG35" s="23">
        <v>5</v>
      </c>
      <c r="AH35" s="23"/>
      <c r="AI35" s="23"/>
      <c r="AJ35" s="636">
        <f t="shared" ref="AJ35" si="53">AD35+AH35+AI35</f>
        <v>4.68</v>
      </c>
      <c r="AK35" s="79">
        <f t="shared" si="10"/>
        <v>4680</v>
      </c>
      <c r="AL35" s="80">
        <f ca="1">IF(AJ35=0,"",AJ35*(OFFSET(cod_desembolso!$A$1,AG35,23)))</f>
        <v>4.9803250356770894</v>
      </c>
      <c r="AM35" s="81">
        <f>(constantes!$B$3*(1+constantes!$B$3)^(AA35))/((1+constantes!$B$3)^(AA35)-1)</f>
        <v>0.10185220882315059</v>
      </c>
      <c r="AN35" s="82">
        <f t="shared" ref="AN35" ca="1" si="54">IF(AD35=0,"",AL35*AM35+AQ35)</f>
        <v>0.60725710554094781</v>
      </c>
      <c r="AO35" s="80">
        <f ca="1">IF(AJ35=0,AQ35/constantes!$B$3,AN35/constantes!$B$3)</f>
        <v>7.5907138192618477</v>
      </c>
      <c r="AP35" s="83">
        <f ca="1">IF(AJ35=0,"",PV(constantes!$B$3,AA35,-AN35)*constantes!$B$3)</f>
        <v>0.47697118211376149</v>
      </c>
      <c r="AQ35" s="84">
        <f t="shared" si="12"/>
        <v>0.1</v>
      </c>
      <c r="AR35" s="384">
        <v>100</v>
      </c>
      <c r="AS35" s="384">
        <v>0</v>
      </c>
      <c r="AT35" s="384">
        <v>0</v>
      </c>
      <c r="AU35" s="398"/>
    </row>
    <row r="36" spans="1:47">
      <c r="A36" s="23">
        <v>363</v>
      </c>
      <c r="B36" s="336" t="s">
        <v>235</v>
      </c>
      <c r="C36" s="73">
        <v>1</v>
      </c>
      <c r="D36" s="77">
        <v>1</v>
      </c>
      <c r="E36" s="77">
        <v>1</v>
      </c>
      <c r="F36" s="387">
        <v>0.22</v>
      </c>
      <c r="G36" s="387">
        <v>0.25</v>
      </c>
      <c r="H36" s="387">
        <v>0.35</v>
      </c>
      <c r="I36" s="387">
        <v>0.3</v>
      </c>
      <c r="J36" s="66">
        <f t="shared" ref="J36:J53" si="55">AVERAGE(K36:N36)</f>
        <v>0.47166666666666668</v>
      </c>
      <c r="K36" s="560">
        <v>0.3666666666666667</v>
      </c>
      <c r="L36" s="560">
        <v>0.44666666666666671</v>
      </c>
      <c r="M36" s="560">
        <v>0.59</v>
      </c>
      <c r="N36" s="560">
        <v>0.48333333333333334</v>
      </c>
      <c r="O36" s="66">
        <f>AVERAGE(P36:S36)</f>
        <v>0.47039166666666665</v>
      </c>
      <c r="P36" s="560">
        <v>0.36503333333333332</v>
      </c>
      <c r="Q36" s="560">
        <v>0.44336666666666663</v>
      </c>
      <c r="R36" s="560">
        <v>0.58906666666666663</v>
      </c>
      <c r="S36" s="560">
        <v>0.48410000000000003</v>
      </c>
      <c r="T36" s="74">
        <v>0.01</v>
      </c>
      <c r="U36" s="74">
        <v>0.02</v>
      </c>
      <c r="V36" s="593">
        <f t="shared" si="7"/>
        <v>0.97019999999999995</v>
      </c>
      <c r="W36" s="20">
        <v>8</v>
      </c>
      <c r="X36" s="32" t="str">
        <f>IF(W36="","",VLOOKUP(W36,tab_cod_categoria!$A$2:$B$30,2,0))</f>
        <v>Eólica</v>
      </c>
      <c r="Y36" s="64">
        <v>1315</v>
      </c>
      <c r="Z36" s="75">
        <v>2</v>
      </c>
      <c r="AA36" s="76">
        <v>20</v>
      </c>
      <c r="AB36" s="77">
        <v>1</v>
      </c>
      <c r="AC36" s="65">
        <v>0</v>
      </c>
      <c r="AD36" s="77">
        <f t="shared" si="8"/>
        <v>4.68</v>
      </c>
      <c r="AE36" s="553">
        <v>1200</v>
      </c>
      <c r="AF36" s="78">
        <f>AE36*constantes!$B$4</f>
        <v>4680</v>
      </c>
      <c r="AG36" s="23">
        <v>5</v>
      </c>
      <c r="AH36" s="23"/>
      <c r="AI36" s="23"/>
      <c r="AJ36" s="636">
        <f t="shared" ref="AJ36" si="56">AD36+AH36+AI36</f>
        <v>4.68</v>
      </c>
      <c r="AK36" s="79">
        <f t="shared" si="10"/>
        <v>4680</v>
      </c>
      <c r="AL36" s="80">
        <f ca="1">IF(AJ36=0,"",AJ36*(OFFSET(cod_desembolso!$A$1,AG36,23)))</f>
        <v>4.9803250356770894</v>
      </c>
      <c r="AM36" s="81">
        <f>(constantes!$B$3*(1+constantes!$B$3)^(AA36))/((1+constantes!$B$3)^(AA36)-1)</f>
        <v>0.10185220882315059</v>
      </c>
      <c r="AN36" s="82">
        <f t="shared" ref="AN36" ca="1" si="57">IF(AD36=0,"",AL36*AM36+AQ36)</f>
        <v>0.60725710554094781</v>
      </c>
      <c r="AO36" s="80">
        <f ca="1">IF(AJ36=0,AQ36/constantes!$B$3,AN36/constantes!$B$3)</f>
        <v>7.5907138192618477</v>
      </c>
      <c r="AP36" s="83">
        <f ca="1">IF(AJ36=0,"",PV(constantes!$B$3,AA36,-AN36)*constantes!$B$3)</f>
        <v>0.47697118211376149</v>
      </c>
      <c r="AQ36" s="84">
        <f t="shared" si="12"/>
        <v>0.1</v>
      </c>
      <c r="AR36" s="384">
        <v>100</v>
      </c>
      <c r="AS36" s="384">
        <v>0</v>
      </c>
      <c r="AT36" s="384">
        <v>0</v>
      </c>
      <c r="AU36" s="398"/>
    </row>
    <row r="37" spans="1:47">
      <c r="A37" s="23">
        <v>364</v>
      </c>
      <c r="B37" s="336" t="s">
        <v>236</v>
      </c>
      <c r="C37" s="73">
        <v>1</v>
      </c>
      <c r="D37" s="77">
        <v>1</v>
      </c>
      <c r="E37" s="77">
        <v>1</v>
      </c>
      <c r="F37" s="387">
        <v>3.8808000000000002E-2</v>
      </c>
      <c r="G37" s="387">
        <v>2.9105999999999996E-2</v>
      </c>
      <c r="H37" s="387">
        <v>3.8808000000000002E-2</v>
      </c>
      <c r="I37" s="387">
        <v>5.8211999999999993E-2</v>
      </c>
      <c r="J37" s="66">
        <f t="shared" si="55"/>
        <v>0.40083333333333332</v>
      </c>
      <c r="K37" s="559">
        <v>0.36999999999999994</v>
      </c>
      <c r="L37" s="559">
        <v>0.36666666666666664</v>
      </c>
      <c r="M37" s="559">
        <v>0.45</v>
      </c>
      <c r="N37" s="559">
        <v>0.41666666666666669</v>
      </c>
      <c r="O37" s="66">
        <f t="shared" ref="O37:O53" si="58">AVERAGE(P37:S37)</f>
        <v>0.40033333333333337</v>
      </c>
      <c r="P37" s="559">
        <v>0.3706666666666667</v>
      </c>
      <c r="Q37" s="559">
        <v>0.3666666666666667</v>
      </c>
      <c r="R37" s="559">
        <v>0.44799999999999995</v>
      </c>
      <c r="S37" s="559">
        <v>0.41600000000000009</v>
      </c>
      <c r="T37" s="74">
        <v>0.01</v>
      </c>
      <c r="U37" s="74">
        <v>0.02</v>
      </c>
      <c r="V37" s="593">
        <f t="shared" si="7"/>
        <v>0.97019999999999995</v>
      </c>
      <c r="W37" s="20">
        <v>8</v>
      </c>
      <c r="X37" s="32" t="str">
        <f>IF(W37="","",VLOOKUP(W37,tab_cod_categoria!$A$2:$B$30,2,0))</f>
        <v>Eólica</v>
      </c>
      <c r="Y37" s="64">
        <v>1315</v>
      </c>
      <c r="Z37" s="75">
        <v>2</v>
      </c>
      <c r="AA37" s="76">
        <v>20</v>
      </c>
      <c r="AB37" s="77">
        <v>1</v>
      </c>
      <c r="AC37" s="65">
        <v>0</v>
      </c>
      <c r="AD37" s="77">
        <f t="shared" si="8"/>
        <v>3.7050000000000001</v>
      </c>
      <c r="AE37" s="553">
        <v>950</v>
      </c>
      <c r="AF37" s="78">
        <f>AE37*constantes!$B$4</f>
        <v>3705</v>
      </c>
      <c r="AG37" s="23">
        <v>5</v>
      </c>
      <c r="AH37" s="23"/>
      <c r="AI37" s="23"/>
      <c r="AJ37" s="636">
        <f t="shared" ref="AJ37:AJ40" si="59">AD37+AH37+AI37</f>
        <v>3.7050000000000001</v>
      </c>
      <c r="AK37" s="79">
        <f t="shared" si="10"/>
        <v>3705</v>
      </c>
      <c r="AL37" s="80">
        <f ca="1">IF(AJ37=0,"",AJ37*(OFFSET(cod_desembolso!$A$1,AG37,23)))</f>
        <v>3.9427573199110295</v>
      </c>
      <c r="AM37" s="81">
        <f>(constantes!$B$3*(1+constantes!$B$3)^(AA37))/((1+constantes!$B$3)^(AA37)-1)</f>
        <v>0.10185220882315059</v>
      </c>
      <c r="AN37" s="82">
        <f t="shared" ref="AN37:AN40" ca="1" si="60">IF(AD37=0,"",AL37*AM37+AQ37)</f>
        <v>0.50157854188658368</v>
      </c>
      <c r="AO37" s="80">
        <f ca="1">IF(AJ37=0,AQ37/constantes!$B$3,AN37/constantes!$B$3)</f>
        <v>6.2697317735822962</v>
      </c>
      <c r="AP37" s="83">
        <f ca="1">IF(AJ37=0,"",PV(constantes!$B$3,AA37,-AN37)*constantes!$B$3)</f>
        <v>0.39396576485247664</v>
      </c>
      <c r="AQ37" s="84">
        <f t="shared" si="12"/>
        <v>0.1</v>
      </c>
      <c r="AR37" s="384">
        <v>100</v>
      </c>
      <c r="AS37" s="384">
        <v>0</v>
      </c>
      <c r="AT37" s="384">
        <v>0</v>
      </c>
      <c r="AU37" s="398"/>
    </row>
    <row r="38" spans="1:47">
      <c r="A38" s="23">
        <v>365</v>
      </c>
      <c r="B38" s="336" t="s">
        <v>237</v>
      </c>
      <c r="C38" s="73">
        <v>1</v>
      </c>
      <c r="D38" s="77">
        <v>1</v>
      </c>
      <c r="E38" s="77">
        <v>1</v>
      </c>
      <c r="F38" s="387">
        <v>0.22</v>
      </c>
      <c r="G38" s="387">
        <v>0.25</v>
      </c>
      <c r="H38" s="387">
        <v>0.35</v>
      </c>
      <c r="I38" s="387">
        <v>0.3</v>
      </c>
      <c r="J38" s="66">
        <f>AVERAGE(K38:N38)</f>
        <v>0.47166666666666668</v>
      </c>
      <c r="K38" s="560">
        <v>0.3666666666666667</v>
      </c>
      <c r="L38" s="560">
        <v>0.44666666666666671</v>
      </c>
      <c r="M38" s="560">
        <v>0.59</v>
      </c>
      <c r="N38" s="560">
        <v>0.48333333333333334</v>
      </c>
      <c r="O38" s="66">
        <f t="shared" si="58"/>
        <v>0.47039166666666665</v>
      </c>
      <c r="P38" s="560">
        <v>0.36503333333333332</v>
      </c>
      <c r="Q38" s="560">
        <v>0.44336666666666663</v>
      </c>
      <c r="R38" s="560">
        <v>0.58906666666666663</v>
      </c>
      <c r="S38" s="560">
        <v>0.48410000000000003</v>
      </c>
      <c r="T38" s="74">
        <v>0.01</v>
      </c>
      <c r="U38" s="74">
        <v>0.02</v>
      </c>
      <c r="V38" s="593">
        <f t="shared" si="7"/>
        <v>0.97019999999999995</v>
      </c>
      <c r="W38" s="20">
        <v>8</v>
      </c>
      <c r="X38" s="32" t="str">
        <f>IF(W38="","",VLOOKUP(W38,tab_cod_categoria!$A$2:$B$30,2,0))</f>
        <v>Eólica</v>
      </c>
      <c r="Y38" s="64">
        <v>1315</v>
      </c>
      <c r="Z38" s="75">
        <v>2</v>
      </c>
      <c r="AA38" s="76">
        <v>20</v>
      </c>
      <c r="AB38" s="77">
        <v>1</v>
      </c>
      <c r="AC38" s="65">
        <v>0</v>
      </c>
      <c r="AD38" s="77">
        <f t="shared" si="8"/>
        <v>3.7050000000000001</v>
      </c>
      <c r="AE38" s="553">
        <v>950</v>
      </c>
      <c r="AF38" s="78">
        <f>AE38*constantes!$B$4</f>
        <v>3705</v>
      </c>
      <c r="AG38" s="23">
        <v>5</v>
      </c>
      <c r="AH38" s="23"/>
      <c r="AI38" s="23"/>
      <c r="AJ38" s="636">
        <f t="shared" si="59"/>
        <v>3.7050000000000001</v>
      </c>
      <c r="AK38" s="79">
        <f t="shared" si="10"/>
        <v>3705</v>
      </c>
      <c r="AL38" s="80">
        <f ca="1">IF(AJ38=0,"",AJ38*(OFFSET(cod_desembolso!$A$1,AG38,23)))</f>
        <v>3.9427573199110295</v>
      </c>
      <c r="AM38" s="81">
        <f>(constantes!$B$3*(1+constantes!$B$3)^(AA38))/((1+constantes!$B$3)^(AA38)-1)</f>
        <v>0.10185220882315059</v>
      </c>
      <c r="AN38" s="82">
        <f t="shared" ca="1" si="60"/>
        <v>0.50157854188658368</v>
      </c>
      <c r="AO38" s="80">
        <f ca="1">IF(AJ38=0,AQ38/constantes!$B$3,AN38/constantes!$B$3)</f>
        <v>6.2697317735822962</v>
      </c>
      <c r="AP38" s="83">
        <f ca="1">IF(AJ38=0,"",PV(constantes!$B$3,AA38,-AN38)*constantes!$B$3)</f>
        <v>0.39396576485247664</v>
      </c>
      <c r="AQ38" s="84">
        <f t="shared" si="12"/>
        <v>0.1</v>
      </c>
      <c r="AR38" s="384">
        <v>100</v>
      </c>
      <c r="AS38" s="384">
        <v>0</v>
      </c>
      <c r="AT38" s="384">
        <v>0</v>
      </c>
      <c r="AU38" s="398"/>
    </row>
    <row r="39" spans="1:47">
      <c r="A39" s="23">
        <v>366</v>
      </c>
      <c r="B39" s="336" t="s">
        <v>238</v>
      </c>
      <c r="C39" s="73">
        <v>1</v>
      </c>
      <c r="D39" s="77">
        <v>1</v>
      </c>
      <c r="E39" s="77">
        <v>1</v>
      </c>
      <c r="F39" s="387">
        <v>3.8808000000000002E-2</v>
      </c>
      <c r="G39" s="387">
        <v>2.9105999999999996E-2</v>
      </c>
      <c r="H39" s="387">
        <v>3.8808000000000002E-2</v>
      </c>
      <c r="I39" s="387">
        <v>5.8211999999999993E-2</v>
      </c>
      <c r="J39" s="66">
        <f t="shared" ref="J39" si="61">AVERAGE(K39:N39)</f>
        <v>0.40083333333333332</v>
      </c>
      <c r="K39" s="559">
        <v>0.36999999999999994</v>
      </c>
      <c r="L39" s="559">
        <v>0.36666666666666664</v>
      </c>
      <c r="M39" s="559">
        <v>0.45</v>
      </c>
      <c r="N39" s="559">
        <v>0.41666666666666669</v>
      </c>
      <c r="O39" s="66">
        <f t="shared" si="58"/>
        <v>0.40033333333333337</v>
      </c>
      <c r="P39" s="559">
        <v>0.3706666666666667</v>
      </c>
      <c r="Q39" s="559">
        <v>0.3666666666666667</v>
      </c>
      <c r="R39" s="559">
        <v>0.44799999999999995</v>
      </c>
      <c r="S39" s="559">
        <v>0.41600000000000009</v>
      </c>
      <c r="T39" s="74">
        <v>0.01</v>
      </c>
      <c r="U39" s="74">
        <v>0.02</v>
      </c>
      <c r="V39" s="593">
        <f t="shared" si="7"/>
        <v>0.97019999999999995</v>
      </c>
      <c r="W39" s="20">
        <v>8</v>
      </c>
      <c r="X39" s="32" t="str">
        <f>IF(W39="","",VLOOKUP(W39,tab_cod_categoria!$A$2:$B$30,2,0))</f>
        <v>Eólica</v>
      </c>
      <c r="Y39" s="64">
        <v>1315</v>
      </c>
      <c r="Z39" s="75">
        <v>2</v>
      </c>
      <c r="AA39" s="76">
        <v>20</v>
      </c>
      <c r="AB39" s="77">
        <v>1</v>
      </c>
      <c r="AC39" s="65">
        <v>0</v>
      </c>
      <c r="AD39" s="77">
        <f t="shared" si="8"/>
        <v>3.4007999999999998</v>
      </c>
      <c r="AE39" s="553">
        <v>872</v>
      </c>
      <c r="AF39" s="78">
        <f>AE39*constantes!$B$4</f>
        <v>3400.7999999999997</v>
      </c>
      <c r="AG39" s="23">
        <v>5</v>
      </c>
      <c r="AH39" s="23"/>
      <c r="AI39" s="23"/>
      <c r="AJ39" s="636">
        <f t="shared" si="59"/>
        <v>3.4007999999999998</v>
      </c>
      <c r="AK39" s="79">
        <f t="shared" si="10"/>
        <v>3400.7999999999997</v>
      </c>
      <c r="AL39" s="80">
        <f ca="1">IF(AJ39=0,"",AJ39*(OFFSET(cod_desembolso!$A$1,AG39,23)))</f>
        <v>3.6190361925920183</v>
      </c>
      <c r="AM39" s="81">
        <f>(constantes!$B$3*(1+constantes!$B$3)^(AA39))/((1+constantes!$B$3)^(AA39)-1)</f>
        <v>0.10185220882315059</v>
      </c>
      <c r="AN39" s="82">
        <f t="shared" ca="1" si="60"/>
        <v>0.46860683002642212</v>
      </c>
      <c r="AO39" s="80">
        <f ca="1">IF(AJ39=0,AQ39/constantes!$B$3,AN39/constantes!$B$3)</f>
        <v>5.8575853753302765</v>
      </c>
      <c r="AP39" s="83">
        <f ca="1">IF(AJ39=0,"",PV(constantes!$B$3,AA39,-AN39)*constantes!$B$3)</f>
        <v>0.36806807466695579</v>
      </c>
      <c r="AQ39" s="84">
        <f t="shared" si="12"/>
        <v>0.1</v>
      </c>
      <c r="AR39" s="384">
        <v>100</v>
      </c>
      <c r="AS39" s="384">
        <v>0</v>
      </c>
      <c r="AT39" s="384">
        <v>0</v>
      </c>
      <c r="AU39" s="398"/>
    </row>
    <row r="40" spans="1:47">
      <c r="A40" s="23">
        <v>367</v>
      </c>
      <c r="B40" s="336" t="s">
        <v>239</v>
      </c>
      <c r="C40" s="73">
        <v>1</v>
      </c>
      <c r="D40" s="77">
        <v>1</v>
      </c>
      <c r="E40" s="77">
        <v>1</v>
      </c>
      <c r="F40" s="387">
        <v>0.22</v>
      </c>
      <c r="G40" s="387">
        <v>0.25</v>
      </c>
      <c r="H40" s="387">
        <v>0.35</v>
      </c>
      <c r="I40" s="387">
        <v>0.3</v>
      </c>
      <c r="J40" s="66">
        <f t="shared" si="55"/>
        <v>0.47166666666666668</v>
      </c>
      <c r="K40" s="560">
        <v>0.3666666666666667</v>
      </c>
      <c r="L40" s="560">
        <v>0.44666666666666671</v>
      </c>
      <c r="M40" s="560">
        <v>0.59</v>
      </c>
      <c r="N40" s="560">
        <v>0.48333333333333334</v>
      </c>
      <c r="O40" s="66">
        <f t="shared" si="58"/>
        <v>0.47039166666666665</v>
      </c>
      <c r="P40" s="560">
        <v>0.36503333333333332</v>
      </c>
      <c r="Q40" s="560">
        <v>0.44336666666666663</v>
      </c>
      <c r="R40" s="560">
        <v>0.58906666666666663</v>
      </c>
      <c r="S40" s="560">
        <v>0.48410000000000003</v>
      </c>
      <c r="T40" s="74">
        <v>0.01</v>
      </c>
      <c r="U40" s="74">
        <v>0.02</v>
      </c>
      <c r="V40" s="593">
        <f t="shared" si="7"/>
        <v>0.97019999999999995</v>
      </c>
      <c r="W40" s="20">
        <v>8</v>
      </c>
      <c r="X40" s="32" t="str">
        <f>IF(W40="","",VLOOKUP(W40,tab_cod_categoria!$A$2:$B$30,2,0))</f>
        <v>Eólica</v>
      </c>
      <c r="Y40" s="64">
        <v>1315</v>
      </c>
      <c r="Z40" s="75">
        <v>2</v>
      </c>
      <c r="AA40" s="76">
        <v>20</v>
      </c>
      <c r="AB40" s="77">
        <v>1</v>
      </c>
      <c r="AC40" s="65">
        <v>0</v>
      </c>
      <c r="AD40" s="77">
        <f t="shared" si="8"/>
        <v>3.4007999999999998</v>
      </c>
      <c r="AE40" s="553">
        <v>872</v>
      </c>
      <c r="AF40" s="78">
        <f>AE40*constantes!$B$4</f>
        <v>3400.7999999999997</v>
      </c>
      <c r="AG40" s="23">
        <v>5</v>
      </c>
      <c r="AH40" s="23"/>
      <c r="AI40" s="23"/>
      <c r="AJ40" s="636">
        <f t="shared" si="59"/>
        <v>3.4007999999999998</v>
      </c>
      <c r="AK40" s="79">
        <f t="shared" si="10"/>
        <v>3400.7999999999997</v>
      </c>
      <c r="AL40" s="80">
        <f ca="1">IF(AJ40=0,"",AJ40*(OFFSET(cod_desembolso!$A$1,AG40,23)))</f>
        <v>3.6190361925920183</v>
      </c>
      <c r="AM40" s="81">
        <f>(constantes!$B$3*(1+constantes!$B$3)^(AA40))/((1+constantes!$B$3)^(AA40)-1)</f>
        <v>0.10185220882315059</v>
      </c>
      <c r="AN40" s="82">
        <f t="shared" ca="1" si="60"/>
        <v>0.46860683002642212</v>
      </c>
      <c r="AO40" s="80">
        <f ca="1">IF(AJ40=0,AQ40/constantes!$B$3,AN40/constantes!$B$3)</f>
        <v>5.8575853753302765</v>
      </c>
      <c r="AP40" s="83">
        <f ca="1">IF(AJ40=0,"",PV(constantes!$B$3,AA40,-AN40)*constantes!$B$3)</f>
        <v>0.36806807466695579</v>
      </c>
      <c r="AQ40" s="84">
        <f t="shared" si="12"/>
        <v>0.1</v>
      </c>
      <c r="AR40" s="384">
        <v>100</v>
      </c>
      <c r="AS40" s="384">
        <v>0</v>
      </c>
      <c r="AT40" s="384">
        <v>0</v>
      </c>
      <c r="AU40" s="398"/>
    </row>
    <row r="41" spans="1:47">
      <c r="A41" s="23">
        <v>401</v>
      </c>
      <c r="B41" s="601" t="s">
        <v>240</v>
      </c>
      <c r="C41" s="73">
        <v>1</v>
      </c>
      <c r="D41" s="77">
        <v>1</v>
      </c>
      <c r="E41" s="77">
        <v>1</v>
      </c>
      <c r="F41" s="387">
        <v>0.44</v>
      </c>
      <c r="G41" s="387">
        <v>0.5</v>
      </c>
      <c r="H41" s="387">
        <v>0.7</v>
      </c>
      <c r="I41" s="387">
        <v>0.6</v>
      </c>
      <c r="J41" s="66">
        <f t="shared" si="55"/>
        <v>0.63500000000000001</v>
      </c>
      <c r="K41" s="603">
        <v>0.48</v>
      </c>
      <c r="L41" s="603">
        <v>0.55000000000000004</v>
      </c>
      <c r="M41" s="603">
        <v>0.78</v>
      </c>
      <c r="N41" s="603">
        <v>0.73</v>
      </c>
      <c r="O41" s="66">
        <f t="shared" si="58"/>
        <v>0.63500000000000001</v>
      </c>
      <c r="P41" s="603">
        <v>0.48</v>
      </c>
      <c r="Q41" s="603">
        <v>0.55000000000000004</v>
      </c>
      <c r="R41" s="603">
        <v>0.78</v>
      </c>
      <c r="S41" s="603">
        <v>0.73</v>
      </c>
      <c r="T41" s="604">
        <v>0.01</v>
      </c>
      <c r="U41" s="604">
        <v>0.02</v>
      </c>
      <c r="V41" s="593">
        <f t="shared" si="7"/>
        <v>0.97019999999999995</v>
      </c>
      <c r="W41" s="20">
        <v>8</v>
      </c>
      <c r="X41" s="32" t="s">
        <v>24</v>
      </c>
      <c r="Y41" s="64">
        <v>1315</v>
      </c>
      <c r="Z41" s="75">
        <v>2</v>
      </c>
      <c r="AA41" s="76">
        <v>20</v>
      </c>
      <c r="AB41" s="77">
        <v>1</v>
      </c>
      <c r="AC41" s="65">
        <v>0</v>
      </c>
      <c r="AD41" s="77">
        <f t="shared" si="8"/>
        <v>13.65</v>
      </c>
      <c r="AE41" s="553">
        <v>3500</v>
      </c>
      <c r="AF41" s="78">
        <f>AE41*constantes!$B$4</f>
        <v>13650</v>
      </c>
      <c r="AG41" s="23">
        <v>5</v>
      </c>
      <c r="AJ41" s="636">
        <f t="shared" ref="AJ41:AJ52" si="62">AD41+AH41+AI41</f>
        <v>13.65</v>
      </c>
      <c r="AK41" s="79">
        <f t="shared" ref="AK41:AK52" si="63">AJ41*1000/C41</f>
        <v>13650</v>
      </c>
      <c r="AL41" s="80">
        <f ca="1">IF(AJ41=0,"",AJ41*(OFFSET(cod_desembolso!$A$1,AG41,23)))</f>
        <v>14.525948020724845</v>
      </c>
      <c r="AM41" s="81">
        <f>(constantes!$B$3*(1+constantes!$B$3)^(AA41))/((1+constantes!$B$3)^(AA41)-1)</f>
        <v>0.10185220882315059</v>
      </c>
      <c r="AN41" s="82">
        <f t="shared" ref="AN41:AN52" ca="1" si="64">IF(AD41=0,"",AL41*AM41+AQ41)</f>
        <v>1.7094998911610979</v>
      </c>
      <c r="AO41" s="80">
        <f ca="1">IF(AJ41=0,AQ41/constantes!$B$3,AN41/constantes!$B$3)</f>
        <v>21.368748639513722</v>
      </c>
      <c r="AP41" s="83">
        <f ca="1">IF(AJ41=0,"",PV(constantes!$B$3,AA41,-AN41)*constantes!$B$3)</f>
        <v>1.3427297539550547</v>
      </c>
      <c r="AQ41" s="84">
        <f t="shared" ref="AQ41:AQ52" si="65">AR41*C41/1000</f>
        <v>0.23</v>
      </c>
      <c r="AR41" s="384">
        <v>230</v>
      </c>
      <c r="AS41" s="384">
        <v>0</v>
      </c>
      <c r="AT41" s="384">
        <v>0</v>
      </c>
      <c r="AU41" s="398"/>
    </row>
    <row r="42" spans="1:47">
      <c r="A42" s="23">
        <v>402</v>
      </c>
      <c r="B42" s="601" t="s">
        <v>241</v>
      </c>
      <c r="C42" s="73">
        <v>1</v>
      </c>
      <c r="D42" s="77">
        <v>1</v>
      </c>
      <c r="E42" s="77">
        <v>1</v>
      </c>
      <c r="F42" s="387">
        <v>0.44</v>
      </c>
      <c r="G42" s="387">
        <v>0.5</v>
      </c>
      <c r="H42" s="387">
        <v>0.7</v>
      </c>
      <c r="I42" s="387">
        <v>0.6</v>
      </c>
      <c r="J42" s="66">
        <f t="shared" si="55"/>
        <v>0.63500000000000001</v>
      </c>
      <c r="K42" s="603">
        <v>0.48</v>
      </c>
      <c r="L42" s="603">
        <v>0.55000000000000004</v>
      </c>
      <c r="M42" s="603">
        <v>0.78</v>
      </c>
      <c r="N42" s="603">
        <v>0.73</v>
      </c>
      <c r="O42" s="66">
        <f t="shared" si="58"/>
        <v>0.63500000000000001</v>
      </c>
      <c r="P42" s="603">
        <v>0.48</v>
      </c>
      <c r="Q42" s="603">
        <v>0.55000000000000004</v>
      </c>
      <c r="R42" s="603">
        <v>0.78</v>
      </c>
      <c r="S42" s="603">
        <v>0.73</v>
      </c>
      <c r="T42" s="604">
        <v>0.01</v>
      </c>
      <c r="U42" s="604">
        <v>0.02</v>
      </c>
      <c r="V42" s="593">
        <f t="shared" si="7"/>
        <v>0.97019999999999995</v>
      </c>
      <c r="W42" s="20">
        <v>8</v>
      </c>
      <c r="X42" s="32" t="s">
        <v>24</v>
      </c>
      <c r="Y42" s="64">
        <v>1315</v>
      </c>
      <c r="Z42" s="75">
        <v>2</v>
      </c>
      <c r="AA42" s="76">
        <v>20</v>
      </c>
      <c r="AB42" s="77">
        <v>1</v>
      </c>
      <c r="AC42" s="65">
        <v>0</v>
      </c>
      <c r="AD42" s="77">
        <f t="shared" si="8"/>
        <v>12.09</v>
      </c>
      <c r="AE42" s="553">
        <v>3100</v>
      </c>
      <c r="AF42" s="78">
        <f>AE42*constantes!$B$4</f>
        <v>12090</v>
      </c>
      <c r="AG42" s="23">
        <v>5</v>
      </c>
      <c r="AJ42" s="636">
        <f t="shared" si="62"/>
        <v>12.09</v>
      </c>
      <c r="AK42" s="79">
        <f t="shared" si="63"/>
        <v>12090</v>
      </c>
      <c r="AL42" s="80">
        <f ca="1">IF(AJ42=0,"",AJ42*(OFFSET(cod_desembolso!$A$1,AG42,23)))</f>
        <v>12.865839675499148</v>
      </c>
      <c r="AM42" s="81">
        <f>(constantes!$B$3*(1+constantes!$B$3)^(AA42))/((1+constantes!$B$3)^(AA42)-1)</f>
        <v>0.10185220882315059</v>
      </c>
      <c r="AN42" s="82">
        <f t="shared" ca="1" si="64"/>
        <v>1.5404141893141152</v>
      </c>
      <c r="AO42" s="80">
        <f ca="1">IF(AJ42=0,AQ42/constantes!$B$3,AN42/constantes!$B$3)</f>
        <v>19.255177366426441</v>
      </c>
      <c r="AP42" s="83">
        <f ca="1">IF(AJ42=0,"",PV(constantes!$B$3,AA42,-AN42)*constantes!$B$3)</f>
        <v>1.2099210863369989</v>
      </c>
      <c r="AQ42" s="84">
        <f t="shared" si="65"/>
        <v>0.23</v>
      </c>
      <c r="AR42" s="384">
        <v>230</v>
      </c>
      <c r="AS42" s="384">
        <v>0</v>
      </c>
      <c r="AT42" s="384">
        <v>0</v>
      </c>
      <c r="AU42" s="398"/>
    </row>
    <row r="43" spans="1:47">
      <c r="A43" s="23">
        <v>403</v>
      </c>
      <c r="B43" s="601" t="s">
        <v>242</v>
      </c>
      <c r="C43" s="73">
        <v>1</v>
      </c>
      <c r="D43" s="77">
        <v>1</v>
      </c>
      <c r="E43" s="77">
        <v>1</v>
      </c>
      <c r="F43" s="387">
        <v>0.44</v>
      </c>
      <c r="G43" s="387">
        <v>0.5</v>
      </c>
      <c r="H43" s="387">
        <v>0.7</v>
      </c>
      <c r="I43" s="387">
        <v>0.6</v>
      </c>
      <c r="J43" s="66">
        <f t="shared" si="55"/>
        <v>0.63500000000000001</v>
      </c>
      <c r="K43" s="603">
        <v>0.48</v>
      </c>
      <c r="L43" s="603">
        <v>0.55000000000000004</v>
      </c>
      <c r="M43" s="603">
        <v>0.78</v>
      </c>
      <c r="N43" s="603">
        <v>0.73</v>
      </c>
      <c r="O43" s="66">
        <f t="shared" si="58"/>
        <v>0.63500000000000001</v>
      </c>
      <c r="P43" s="603">
        <v>0.48</v>
      </c>
      <c r="Q43" s="603">
        <v>0.55000000000000004</v>
      </c>
      <c r="R43" s="603">
        <v>0.78</v>
      </c>
      <c r="S43" s="603">
        <v>0.73</v>
      </c>
      <c r="T43" s="604">
        <v>0.01</v>
      </c>
      <c r="U43" s="604">
        <v>0.02</v>
      </c>
      <c r="V43" s="593">
        <f t="shared" si="7"/>
        <v>0.97019999999999995</v>
      </c>
      <c r="W43" s="20">
        <v>8</v>
      </c>
      <c r="X43" s="32" t="s">
        <v>24</v>
      </c>
      <c r="Y43" s="64">
        <v>1315</v>
      </c>
      <c r="Z43" s="75">
        <v>2</v>
      </c>
      <c r="AA43" s="76">
        <v>20</v>
      </c>
      <c r="AB43" s="77">
        <v>1</v>
      </c>
      <c r="AC43" s="65">
        <v>0</v>
      </c>
      <c r="AD43" s="77">
        <f t="shared" si="8"/>
        <v>9.75</v>
      </c>
      <c r="AE43" s="553">
        <v>2500</v>
      </c>
      <c r="AF43" s="78">
        <f>AE43*constantes!$B$4</f>
        <v>9750</v>
      </c>
      <c r="AG43" s="23">
        <v>5</v>
      </c>
      <c r="AJ43" s="636">
        <f t="shared" si="62"/>
        <v>9.75</v>
      </c>
      <c r="AK43" s="79">
        <f t="shared" si="63"/>
        <v>9750</v>
      </c>
      <c r="AL43" s="80">
        <f ca="1">IF(AJ43=0,"",AJ43*(OFFSET(cod_desembolso!$A$1,AG43,23)))</f>
        <v>10.375677157660604</v>
      </c>
      <c r="AM43" s="81">
        <f>(constantes!$B$3*(1+constantes!$B$3)^(AA43))/((1+constantes!$B$3)^(AA43)-1)</f>
        <v>0.10185220882315059</v>
      </c>
      <c r="AN43" s="82">
        <f t="shared" ca="1" si="64"/>
        <v>1.2567856365436414</v>
      </c>
      <c r="AO43" s="80">
        <f ca="1">IF(AJ43=0,AQ43/constantes!$B$3,AN43/constantes!$B$3)</f>
        <v>15.709820456795518</v>
      </c>
      <c r="AP43" s="83">
        <f ca="1">IF(AJ43=0,"",PV(constantes!$B$3,AA43,-AN43)*constantes!$B$3)</f>
        <v>0.98714453113203704</v>
      </c>
      <c r="AQ43" s="84">
        <f t="shared" si="65"/>
        <v>0.2</v>
      </c>
      <c r="AR43" s="384">
        <v>200</v>
      </c>
      <c r="AS43" s="384">
        <v>0</v>
      </c>
      <c r="AT43" s="384">
        <v>0</v>
      </c>
      <c r="AU43" s="398"/>
    </row>
    <row r="44" spans="1:47">
      <c r="A44" s="23">
        <v>404</v>
      </c>
      <c r="B44" s="601" t="s">
        <v>243</v>
      </c>
      <c r="C44" s="73">
        <v>1</v>
      </c>
      <c r="D44" s="77">
        <v>1</v>
      </c>
      <c r="E44" s="77">
        <v>1</v>
      </c>
      <c r="F44" s="387">
        <v>0.44</v>
      </c>
      <c r="G44" s="387">
        <v>0.5</v>
      </c>
      <c r="H44" s="387">
        <v>0.7</v>
      </c>
      <c r="I44" s="387">
        <v>0.6</v>
      </c>
      <c r="J44" s="66">
        <f t="shared" si="55"/>
        <v>0.63500000000000001</v>
      </c>
      <c r="K44" s="603">
        <v>0.48</v>
      </c>
      <c r="L44" s="603">
        <v>0.55000000000000004</v>
      </c>
      <c r="M44" s="603">
        <v>0.78</v>
      </c>
      <c r="N44" s="603">
        <v>0.73</v>
      </c>
      <c r="O44" s="66">
        <f t="shared" si="58"/>
        <v>0.63500000000000001</v>
      </c>
      <c r="P44" s="603">
        <v>0.48</v>
      </c>
      <c r="Q44" s="603">
        <v>0.55000000000000004</v>
      </c>
      <c r="R44" s="603">
        <v>0.78</v>
      </c>
      <c r="S44" s="603">
        <v>0.73</v>
      </c>
      <c r="T44" s="604">
        <v>0.01</v>
      </c>
      <c r="U44" s="604">
        <v>0.02</v>
      </c>
      <c r="V44" s="593">
        <f t="shared" si="7"/>
        <v>0.97019999999999995</v>
      </c>
      <c r="W44" s="20">
        <v>8</v>
      </c>
      <c r="X44" s="32" t="s">
        <v>24</v>
      </c>
      <c r="Y44" s="64">
        <v>1315</v>
      </c>
      <c r="Z44" s="75">
        <v>2</v>
      </c>
      <c r="AA44" s="76">
        <v>20</v>
      </c>
      <c r="AB44" s="77">
        <v>1</v>
      </c>
      <c r="AC44" s="65">
        <v>0</v>
      </c>
      <c r="AD44" s="77">
        <f t="shared" si="8"/>
        <v>7.41</v>
      </c>
      <c r="AE44" s="553">
        <v>1900</v>
      </c>
      <c r="AF44" s="78">
        <f>AE44*constantes!$B$4</f>
        <v>7410</v>
      </c>
      <c r="AG44" s="23">
        <v>5</v>
      </c>
      <c r="AJ44" s="636">
        <f t="shared" si="62"/>
        <v>7.41</v>
      </c>
      <c r="AK44" s="79">
        <f t="shared" si="63"/>
        <v>7410</v>
      </c>
      <c r="AL44" s="80">
        <f ca="1">IF(AJ44=0,"",AJ44*(OFFSET(cod_desembolso!$A$1,AG44,23)))</f>
        <v>7.885514639822059</v>
      </c>
      <c r="AM44" s="81">
        <f>(constantes!$B$3*(1+constantes!$B$3)^(AA44))/((1+constantes!$B$3)^(AA44)-1)</f>
        <v>0.10185220882315059</v>
      </c>
      <c r="AN44" s="82">
        <f t="shared" ca="1" si="64"/>
        <v>0.97815708377316746</v>
      </c>
      <c r="AO44" s="80">
        <f ca="1">IF(AJ44=0,AQ44/constantes!$B$3,AN44/constantes!$B$3)</f>
        <v>12.226963547164592</v>
      </c>
      <c r="AP44" s="83">
        <f ca="1">IF(AJ44=0,"",PV(constantes!$B$3,AA44,-AN44)*constantes!$B$3)</f>
        <v>0.7682952348900548</v>
      </c>
      <c r="AQ44" s="84">
        <f t="shared" si="65"/>
        <v>0.17499999999999999</v>
      </c>
      <c r="AR44" s="384">
        <v>175</v>
      </c>
      <c r="AS44" s="384">
        <v>0</v>
      </c>
      <c r="AT44" s="384">
        <v>0</v>
      </c>
      <c r="AU44" s="398"/>
    </row>
    <row r="45" spans="1:47">
      <c r="A45" s="23">
        <v>405</v>
      </c>
      <c r="B45" s="601" t="s">
        <v>244</v>
      </c>
      <c r="C45" s="73">
        <v>1</v>
      </c>
      <c r="D45" s="77">
        <v>1</v>
      </c>
      <c r="E45" s="77">
        <v>1</v>
      </c>
      <c r="F45" s="387">
        <v>0.44</v>
      </c>
      <c r="G45" s="387">
        <v>0.5</v>
      </c>
      <c r="H45" s="387">
        <v>0.7</v>
      </c>
      <c r="I45" s="387">
        <v>0.6</v>
      </c>
      <c r="J45" s="66">
        <f t="shared" si="55"/>
        <v>0.63500000000000001</v>
      </c>
      <c r="K45" s="603">
        <v>0.48</v>
      </c>
      <c r="L45" s="603">
        <v>0.55000000000000004</v>
      </c>
      <c r="M45" s="603">
        <v>0.78</v>
      </c>
      <c r="N45" s="603">
        <v>0.73</v>
      </c>
      <c r="O45" s="66">
        <f t="shared" si="58"/>
        <v>0.63500000000000001</v>
      </c>
      <c r="P45" s="603">
        <v>0.48</v>
      </c>
      <c r="Q45" s="603">
        <v>0.55000000000000004</v>
      </c>
      <c r="R45" s="603">
        <v>0.78</v>
      </c>
      <c r="S45" s="603">
        <v>0.73</v>
      </c>
      <c r="T45" s="604">
        <v>0.01</v>
      </c>
      <c r="U45" s="604">
        <v>0.02</v>
      </c>
      <c r="V45" s="593">
        <f t="shared" si="7"/>
        <v>0.97019999999999995</v>
      </c>
      <c r="W45" s="20">
        <v>8</v>
      </c>
      <c r="X45" s="32" t="s">
        <v>24</v>
      </c>
      <c r="Y45" s="64">
        <v>1315</v>
      </c>
      <c r="Z45" s="75">
        <v>2</v>
      </c>
      <c r="AA45" s="76">
        <v>20</v>
      </c>
      <c r="AB45" s="77">
        <v>1</v>
      </c>
      <c r="AC45" s="65">
        <v>0</v>
      </c>
      <c r="AD45" s="77">
        <f t="shared" si="8"/>
        <v>13.65</v>
      </c>
      <c r="AE45" s="553">
        <v>3500</v>
      </c>
      <c r="AF45" s="78">
        <f>AE45*constantes!$B$4</f>
        <v>13650</v>
      </c>
      <c r="AG45" s="23">
        <v>5</v>
      </c>
      <c r="AJ45" s="636">
        <f t="shared" si="62"/>
        <v>13.65</v>
      </c>
      <c r="AK45" s="79">
        <f t="shared" si="63"/>
        <v>13650</v>
      </c>
      <c r="AL45" s="80">
        <f ca="1">IF(AJ45=0,"",AJ45*(OFFSET(cod_desembolso!$A$1,AG45,23)))</f>
        <v>14.525948020724845</v>
      </c>
      <c r="AM45" s="81">
        <f>(constantes!$B$3*(1+constantes!$B$3)^(AA45))/((1+constantes!$B$3)^(AA45)-1)</f>
        <v>0.10185220882315059</v>
      </c>
      <c r="AN45" s="82">
        <f t="shared" ca="1" si="64"/>
        <v>1.7094998911610979</v>
      </c>
      <c r="AO45" s="80">
        <f ca="1">IF(AJ45=0,AQ45/constantes!$B$3,AN45/constantes!$B$3)</f>
        <v>21.368748639513722</v>
      </c>
      <c r="AP45" s="83">
        <f ca="1">IF(AJ45=0,"",PV(constantes!$B$3,AA45,-AN45)*constantes!$B$3)</f>
        <v>1.3427297539550547</v>
      </c>
      <c r="AQ45" s="84">
        <f t="shared" si="65"/>
        <v>0.23</v>
      </c>
      <c r="AR45" s="384">
        <v>230</v>
      </c>
      <c r="AS45" s="384">
        <v>0</v>
      </c>
      <c r="AT45" s="384">
        <v>0</v>
      </c>
      <c r="AU45" s="398"/>
    </row>
    <row r="46" spans="1:47">
      <c r="A46" s="23">
        <v>406</v>
      </c>
      <c r="B46" s="601" t="s">
        <v>245</v>
      </c>
      <c r="C46" s="73">
        <v>1</v>
      </c>
      <c r="D46" s="77">
        <v>1</v>
      </c>
      <c r="E46" s="77">
        <v>1</v>
      </c>
      <c r="F46" s="387">
        <v>0.44</v>
      </c>
      <c r="G46" s="387">
        <v>0.5</v>
      </c>
      <c r="H46" s="387">
        <v>0.7</v>
      </c>
      <c r="I46" s="387">
        <v>0.6</v>
      </c>
      <c r="J46" s="66">
        <f t="shared" si="55"/>
        <v>0.63500000000000001</v>
      </c>
      <c r="K46" s="603">
        <v>0.48</v>
      </c>
      <c r="L46" s="603">
        <v>0.55000000000000004</v>
      </c>
      <c r="M46" s="603">
        <v>0.78</v>
      </c>
      <c r="N46" s="603">
        <v>0.73</v>
      </c>
      <c r="O46" s="66">
        <f t="shared" si="58"/>
        <v>0.63500000000000001</v>
      </c>
      <c r="P46" s="603">
        <v>0.48</v>
      </c>
      <c r="Q46" s="603">
        <v>0.55000000000000004</v>
      </c>
      <c r="R46" s="603">
        <v>0.78</v>
      </c>
      <c r="S46" s="603">
        <v>0.73</v>
      </c>
      <c r="T46" s="604">
        <v>0.01</v>
      </c>
      <c r="U46" s="604">
        <v>0.02</v>
      </c>
      <c r="V46" s="593">
        <f t="shared" si="7"/>
        <v>0.97019999999999995</v>
      </c>
      <c r="W46" s="20">
        <v>8</v>
      </c>
      <c r="X46" s="32" t="s">
        <v>24</v>
      </c>
      <c r="Y46" s="64">
        <v>1315</v>
      </c>
      <c r="Z46" s="75">
        <v>2</v>
      </c>
      <c r="AA46" s="76">
        <v>20</v>
      </c>
      <c r="AB46" s="77">
        <v>1</v>
      </c>
      <c r="AC46" s="65">
        <v>0</v>
      </c>
      <c r="AD46" s="77">
        <f t="shared" si="8"/>
        <v>12.09</v>
      </c>
      <c r="AE46" s="553">
        <v>3100</v>
      </c>
      <c r="AF46" s="78">
        <f>AE46*constantes!$B$4</f>
        <v>12090</v>
      </c>
      <c r="AG46" s="23">
        <v>5</v>
      </c>
      <c r="AJ46" s="636">
        <f t="shared" si="62"/>
        <v>12.09</v>
      </c>
      <c r="AK46" s="79">
        <f t="shared" si="63"/>
        <v>12090</v>
      </c>
      <c r="AL46" s="80">
        <f ca="1">IF(AJ46=0,"",AJ46*(OFFSET(cod_desembolso!$A$1,AG46,23)))</f>
        <v>12.865839675499148</v>
      </c>
      <c r="AM46" s="81">
        <f>(constantes!$B$3*(1+constantes!$B$3)^(AA46))/((1+constantes!$B$3)^(AA46)-1)</f>
        <v>0.10185220882315059</v>
      </c>
      <c r="AN46" s="82">
        <f t="shared" ca="1" si="64"/>
        <v>1.5404141893141152</v>
      </c>
      <c r="AO46" s="80">
        <f ca="1">IF(AJ46=0,AQ46/constantes!$B$3,AN46/constantes!$B$3)</f>
        <v>19.255177366426441</v>
      </c>
      <c r="AP46" s="83">
        <f ca="1">IF(AJ46=0,"",PV(constantes!$B$3,AA46,-AN46)*constantes!$B$3)</f>
        <v>1.2099210863369989</v>
      </c>
      <c r="AQ46" s="84">
        <f t="shared" si="65"/>
        <v>0.23</v>
      </c>
      <c r="AR46" s="384">
        <v>230</v>
      </c>
      <c r="AS46" s="384">
        <v>0</v>
      </c>
      <c r="AT46" s="384">
        <v>0</v>
      </c>
      <c r="AU46" s="398"/>
    </row>
    <row r="47" spans="1:47">
      <c r="A47" s="23">
        <v>407</v>
      </c>
      <c r="B47" s="601" t="s">
        <v>246</v>
      </c>
      <c r="C47" s="73">
        <v>1</v>
      </c>
      <c r="D47" s="77">
        <v>1</v>
      </c>
      <c r="E47" s="77">
        <v>1</v>
      </c>
      <c r="F47" s="387">
        <v>0.44</v>
      </c>
      <c r="G47" s="387">
        <v>0.5</v>
      </c>
      <c r="H47" s="387">
        <v>0.7</v>
      </c>
      <c r="I47" s="387">
        <v>0.6</v>
      </c>
      <c r="J47" s="66">
        <f t="shared" si="55"/>
        <v>0.63500000000000001</v>
      </c>
      <c r="K47" s="603">
        <v>0.48</v>
      </c>
      <c r="L47" s="603">
        <v>0.55000000000000004</v>
      </c>
      <c r="M47" s="603">
        <v>0.78</v>
      </c>
      <c r="N47" s="603">
        <v>0.73</v>
      </c>
      <c r="O47" s="66">
        <f t="shared" si="58"/>
        <v>0.63500000000000001</v>
      </c>
      <c r="P47" s="603">
        <v>0.48</v>
      </c>
      <c r="Q47" s="603">
        <v>0.55000000000000004</v>
      </c>
      <c r="R47" s="603">
        <v>0.78</v>
      </c>
      <c r="S47" s="603">
        <v>0.73</v>
      </c>
      <c r="T47" s="604">
        <v>0.01</v>
      </c>
      <c r="U47" s="604">
        <v>0.02</v>
      </c>
      <c r="V47" s="593">
        <f t="shared" si="7"/>
        <v>0.97019999999999995</v>
      </c>
      <c r="W47" s="20">
        <v>8</v>
      </c>
      <c r="X47" s="32" t="s">
        <v>24</v>
      </c>
      <c r="Y47" s="64">
        <v>1315</v>
      </c>
      <c r="Z47" s="75">
        <v>2</v>
      </c>
      <c r="AA47" s="76">
        <v>20</v>
      </c>
      <c r="AB47" s="77">
        <v>1</v>
      </c>
      <c r="AC47" s="65">
        <v>0</v>
      </c>
      <c r="AD47" s="77">
        <f t="shared" si="8"/>
        <v>9.75</v>
      </c>
      <c r="AE47" s="553">
        <v>2500</v>
      </c>
      <c r="AF47" s="78">
        <f>AE47*constantes!$B$4</f>
        <v>9750</v>
      </c>
      <c r="AG47" s="23">
        <v>5</v>
      </c>
      <c r="AJ47" s="636">
        <f t="shared" si="62"/>
        <v>9.75</v>
      </c>
      <c r="AK47" s="79">
        <f t="shared" si="63"/>
        <v>9750</v>
      </c>
      <c r="AL47" s="80">
        <f ca="1">IF(AJ47=0,"",AJ47*(OFFSET(cod_desembolso!$A$1,AG47,23)))</f>
        <v>10.375677157660604</v>
      </c>
      <c r="AM47" s="81">
        <f>(constantes!$B$3*(1+constantes!$B$3)^(AA47))/((1+constantes!$B$3)^(AA47)-1)</f>
        <v>0.10185220882315059</v>
      </c>
      <c r="AN47" s="82">
        <f t="shared" ca="1" si="64"/>
        <v>1.2567856365436414</v>
      </c>
      <c r="AO47" s="80">
        <f ca="1">IF(AJ47=0,AQ47/constantes!$B$3,AN47/constantes!$B$3)</f>
        <v>15.709820456795518</v>
      </c>
      <c r="AP47" s="83">
        <f ca="1">IF(AJ47=0,"",PV(constantes!$B$3,AA47,-AN47)*constantes!$B$3)</f>
        <v>0.98714453113203704</v>
      </c>
      <c r="AQ47" s="84">
        <f t="shared" si="65"/>
        <v>0.2</v>
      </c>
      <c r="AR47" s="384">
        <v>200</v>
      </c>
      <c r="AS47" s="384">
        <v>0</v>
      </c>
      <c r="AT47" s="384">
        <v>0</v>
      </c>
      <c r="AU47" s="398"/>
    </row>
    <row r="48" spans="1:47">
      <c r="A48" s="23">
        <v>408</v>
      </c>
      <c r="B48" s="601" t="s">
        <v>247</v>
      </c>
      <c r="C48" s="73">
        <v>1</v>
      </c>
      <c r="D48" s="77">
        <v>1</v>
      </c>
      <c r="E48" s="77">
        <v>1</v>
      </c>
      <c r="F48" s="387">
        <v>0.44</v>
      </c>
      <c r="G48" s="387">
        <v>0.5</v>
      </c>
      <c r="H48" s="387">
        <v>0.7</v>
      </c>
      <c r="I48" s="387">
        <v>0.6</v>
      </c>
      <c r="J48" s="66">
        <f t="shared" si="55"/>
        <v>0.63500000000000001</v>
      </c>
      <c r="K48" s="603">
        <v>0.48</v>
      </c>
      <c r="L48" s="603">
        <v>0.55000000000000004</v>
      </c>
      <c r="M48" s="603">
        <v>0.78</v>
      </c>
      <c r="N48" s="603">
        <v>0.73</v>
      </c>
      <c r="O48" s="66">
        <f t="shared" si="58"/>
        <v>0.63500000000000001</v>
      </c>
      <c r="P48" s="603">
        <v>0.48</v>
      </c>
      <c r="Q48" s="603">
        <v>0.55000000000000004</v>
      </c>
      <c r="R48" s="603">
        <v>0.78</v>
      </c>
      <c r="S48" s="603">
        <v>0.73</v>
      </c>
      <c r="T48" s="604">
        <v>0.01</v>
      </c>
      <c r="U48" s="604">
        <v>0.02</v>
      </c>
      <c r="V48" s="593">
        <f t="shared" si="7"/>
        <v>0.97019999999999995</v>
      </c>
      <c r="W48" s="20">
        <v>8</v>
      </c>
      <c r="X48" s="32" t="s">
        <v>24</v>
      </c>
      <c r="Y48" s="64">
        <v>1315</v>
      </c>
      <c r="Z48" s="75">
        <v>2</v>
      </c>
      <c r="AA48" s="76">
        <v>20</v>
      </c>
      <c r="AB48" s="77">
        <v>1</v>
      </c>
      <c r="AC48" s="65">
        <v>0</v>
      </c>
      <c r="AD48" s="77">
        <f t="shared" si="8"/>
        <v>7.41</v>
      </c>
      <c r="AE48" s="553">
        <v>1900</v>
      </c>
      <c r="AF48" s="78">
        <f>AE48*constantes!$B$4</f>
        <v>7410</v>
      </c>
      <c r="AG48" s="23">
        <v>5</v>
      </c>
      <c r="AJ48" s="636">
        <f t="shared" si="62"/>
        <v>7.41</v>
      </c>
      <c r="AK48" s="79">
        <f t="shared" si="63"/>
        <v>7410</v>
      </c>
      <c r="AL48" s="80">
        <f ca="1">IF(AJ48=0,"",AJ48*(OFFSET(cod_desembolso!$A$1,AG48,23)))</f>
        <v>7.885514639822059</v>
      </c>
      <c r="AM48" s="81">
        <f>(constantes!$B$3*(1+constantes!$B$3)^(AA48))/((1+constantes!$B$3)^(AA48)-1)</f>
        <v>0.10185220882315059</v>
      </c>
      <c r="AN48" s="82">
        <f t="shared" ca="1" si="64"/>
        <v>0.97815708377316746</v>
      </c>
      <c r="AO48" s="80">
        <f ca="1">IF(AJ48=0,AQ48/constantes!$B$3,AN48/constantes!$B$3)</f>
        <v>12.226963547164592</v>
      </c>
      <c r="AP48" s="83">
        <f ca="1">IF(AJ48=0,"",PV(constantes!$B$3,AA48,-AN48)*constantes!$B$3)</f>
        <v>0.7682952348900548</v>
      </c>
      <c r="AQ48" s="84">
        <f t="shared" si="65"/>
        <v>0.17499999999999999</v>
      </c>
      <c r="AR48" s="384">
        <v>175</v>
      </c>
      <c r="AS48" s="384">
        <v>0</v>
      </c>
      <c r="AT48" s="384">
        <v>0</v>
      </c>
      <c r="AU48" s="398"/>
    </row>
    <row r="49" spans="1:49">
      <c r="A49" s="23">
        <v>409</v>
      </c>
      <c r="B49" s="601" t="s">
        <v>248</v>
      </c>
      <c r="C49" s="73">
        <v>1</v>
      </c>
      <c r="D49" s="77">
        <v>1</v>
      </c>
      <c r="E49" s="77">
        <v>1</v>
      </c>
      <c r="F49" s="387">
        <v>0.44</v>
      </c>
      <c r="G49" s="387">
        <v>0.5</v>
      </c>
      <c r="H49" s="387">
        <v>0.7</v>
      </c>
      <c r="I49" s="387">
        <v>0.6</v>
      </c>
      <c r="J49" s="66">
        <f t="shared" si="55"/>
        <v>0.63500000000000001</v>
      </c>
      <c r="K49" s="603">
        <v>0.48</v>
      </c>
      <c r="L49" s="603">
        <v>0.55000000000000004</v>
      </c>
      <c r="M49" s="603">
        <v>0.78</v>
      </c>
      <c r="N49" s="603">
        <v>0.73</v>
      </c>
      <c r="O49" s="66">
        <f t="shared" si="58"/>
        <v>0.63500000000000001</v>
      </c>
      <c r="P49" s="603">
        <v>0.48</v>
      </c>
      <c r="Q49" s="603">
        <v>0.55000000000000004</v>
      </c>
      <c r="R49" s="603">
        <v>0.78</v>
      </c>
      <c r="S49" s="603">
        <v>0.73</v>
      </c>
      <c r="T49" s="604">
        <v>0.01</v>
      </c>
      <c r="U49" s="604">
        <v>0.02</v>
      </c>
      <c r="V49" s="593">
        <f t="shared" si="7"/>
        <v>0.97019999999999995</v>
      </c>
      <c r="W49" s="20">
        <v>8</v>
      </c>
      <c r="X49" s="32" t="s">
        <v>24</v>
      </c>
      <c r="Y49" s="64">
        <v>1315</v>
      </c>
      <c r="Z49" s="75">
        <v>2</v>
      </c>
      <c r="AA49" s="76">
        <v>20</v>
      </c>
      <c r="AB49" s="77">
        <v>1</v>
      </c>
      <c r="AC49" s="65">
        <v>0</v>
      </c>
      <c r="AD49" s="77">
        <f t="shared" si="8"/>
        <v>13.65</v>
      </c>
      <c r="AE49" s="553">
        <v>3500</v>
      </c>
      <c r="AF49" s="78">
        <f>AE49*constantes!$B$4</f>
        <v>13650</v>
      </c>
      <c r="AG49" s="23">
        <v>5</v>
      </c>
      <c r="AJ49" s="636">
        <f t="shared" si="62"/>
        <v>13.65</v>
      </c>
      <c r="AK49" s="79">
        <f t="shared" si="63"/>
        <v>13650</v>
      </c>
      <c r="AL49" s="80">
        <f ca="1">IF(AJ49=0,"",AJ49*(OFFSET(cod_desembolso!$A$1,AG49,23)))</f>
        <v>14.525948020724845</v>
      </c>
      <c r="AM49" s="81">
        <f>(constantes!$B$3*(1+constantes!$B$3)^(AA49))/((1+constantes!$B$3)^(AA49)-1)</f>
        <v>0.10185220882315059</v>
      </c>
      <c r="AN49" s="82">
        <f t="shared" ca="1" si="64"/>
        <v>1.7094998911610979</v>
      </c>
      <c r="AO49" s="80">
        <f ca="1">IF(AJ49=0,AQ49/constantes!$B$3,AN49/constantes!$B$3)</f>
        <v>21.368748639513722</v>
      </c>
      <c r="AP49" s="83">
        <f ca="1">IF(AJ49=0,"",PV(constantes!$B$3,AA49,-AN49)*constantes!$B$3)</f>
        <v>1.3427297539550547</v>
      </c>
      <c r="AQ49" s="84">
        <f t="shared" si="65"/>
        <v>0.23</v>
      </c>
      <c r="AR49" s="384">
        <v>230</v>
      </c>
      <c r="AS49" s="384">
        <v>0</v>
      </c>
      <c r="AT49" s="384">
        <v>0</v>
      </c>
      <c r="AU49" s="398"/>
    </row>
    <row r="50" spans="1:49">
      <c r="A50" s="23">
        <v>410</v>
      </c>
      <c r="B50" s="601" t="s">
        <v>249</v>
      </c>
      <c r="C50" s="73">
        <v>1</v>
      </c>
      <c r="D50" s="77">
        <v>1</v>
      </c>
      <c r="E50" s="77">
        <v>1</v>
      </c>
      <c r="F50" s="387">
        <v>0.44</v>
      </c>
      <c r="G50" s="387">
        <v>0.5</v>
      </c>
      <c r="H50" s="387">
        <v>0.7</v>
      </c>
      <c r="I50" s="387">
        <v>0.6</v>
      </c>
      <c r="J50" s="66">
        <f t="shared" si="55"/>
        <v>0.63500000000000001</v>
      </c>
      <c r="K50" s="603">
        <v>0.48</v>
      </c>
      <c r="L50" s="603">
        <v>0.55000000000000004</v>
      </c>
      <c r="M50" s="603">
        <v>0.78</v>
      </c>
      <c r="N50" s="603">
        <v>0.73</v>
      </c>
      <c r="O50" s="66">
        <f t="shared" si="58"/>
        <v>0.63500000000000001</v>
      </c>
      <c r="P50" s="603">
        <v>0.48</v>
      </c>
      <c r="Q50" s="603">
        <v>0.55000000000000004</v>
      </c>
      <c r="R50" s="603">
        <v>0.78</v>
      </c>
      <c r="S50" s="603">
        <v>0.73</v>
      </c>
      <c r="T50" s="604">
        <v>0.01</v>
      </c>
      <c r="U50" s="604">
        <v>0.02</v>
      </c>
      <c r="V50" s="593">
        <f t="shared" si="7"/>
        <v>0.97019999999999995</v>
      </c>
      <c r="W50" s="20">
        <v>8</v>
      </c>
      <c r="X50" s="32" t="s">
        <v>24</v>
      </c>
      <c r="Y50" s="64">
        <v>1315</v>
      </c>
      <c r="Z50" s="75">
        <v>2</v>
      </c>
      <c r="AA50" s="76">
        <v>20</v>
      </c>
      <c r="AB50" s="77">
        <v>1</v>
      </c>
      <c r="AC50" s="65">
        <v>0</v>
      </c>
      <c r="AD50" s="77">
        <f t="shared" si="8"/>
        <v>12.09</v>
      </c>
      <c r="AE50" s="553">
        <v>3100</v>
      </c>
      <c r="AF50" s="78">
        <f>AE50*constantes!$B$4</f>
        <v>12090</v>
      </c>
      <c r="AG50" s="23">
        <v>5</v>
      </c>
      <c r="AJ50" s="636">
        <f t="shared" si="62"/>
        <v>12.09</v>
      </c>
      <c r="AK50" s="79">
        <f t="shared" si="63"/>
        <v>12090</v>
      </c>
      <c r="AL50" s="80">
        <f ca="1">IF(AJ50=0,"",AJ50*(OFFSET(cod_desembolso!$A$1,AG50,23)))</f>
        <v>12.865839675499148</v>
      </c>
      <c r="AM50" s="81">
        <f>(constantes!$B$3*(1+constantes!$B$3)^(AA50))/((1+constantes!$B$3)^(AA50)-1)</f>
        <v>0.10185220882315059</v>
      </c>
      <c r="AN50" s="82">
        <f t="shared" ca="1" si="64"/>
        <v>1.5404141893141152</v>
      </c>
      <c r="AO50" s="80">
        <f ca="1">IF(AJ50=0,AQ50/constantes!$B$3,AN50/constantes!$B$3)</f>
        <v>19.255177366426441</v>
      </c>
      <c r="AP50" s="83">
        <f ca="1">IF(AJ50=0,"",PV(constantes!$B$3,AA50,-AN50)*constantes!$B$3)</f>
        <v>1.2099210863369989</v>
      </c>
      <c r="AQ50" s="84">
        <f t="shared" si="65"/>
        <v>0.23</v>
      </c>
      <c r="AR50" s="384">
        <v>230</v>
      </c>
      <c r="AS50" s="384">
        <v>0</v>
      </c>
      <c r="AT50" s="384">
        <v>0</v>
      </c>
      <c r="AU50" s="398"/>
    </row>
    <row r="51" spans="1:49">
      <c r="A51" s="23">
        <v>411</v>
      </c>
      <c r="B51" s="601" t="s">
        <v>250</v>
      </c>
      <c r="C51" s="73">
        <v>1</v>
      </c>
      <c r="D51" s="77">
        <v>1</v>
      </c>
      <c r="E51" s="77">
        <v>1</v>
      </c>
      <c r="F51" s="387">
        <v>0.44</v>
      </c>
      <c r="G51" s="387">
        <v>0.5</v>
      </c>
      <c r="H51" s="387">
        <v>0.7</v>
      </c>
      <c r="I51" s="387">
        <v>0.6</v>
      </c>
      <c r="J51" s="66">
        <f t="shared" si="55"/>
        <v>0.63500000000000001</v>
      </c>
      <c r="K51" s="603">
        <v>0.48</v>
      </c>
      <c r="L51" s="603">
        <v>0.55000000000000004</v>
      </c>
      <c r="M51" s="603">
        <v>0.78</v>
      </c>
      <c r="N51" s="603">
        <v>0.73</v>
      </c>
      <c r="O51" s="66">
        <f t="shared" si="58"/>
        <v>0.63500000000000001</v>
      </c>
      <c r="P51" s="603">
        <v>0.48</v>
      </c>
      <c r="Q51" s="603">
        <v>0.55000000000000004</v>
      </c>
      <c r="R51" s="603">
        <v>0.78</v>
      </c>
      <c r="S51" s="603">
        <v>0.73</v>
      </c>
      <c r="T51" s="604">
        <v>0.01</v>
      </c>
      <c r="U51" s="604">
        <v>0.02</v>
      </c>
      <c r="V51" s="593">
        <f t="shared" si="7"/>
        <v>0.97019999999999995</v>
      </c>
      <c r="W51" s="20">
        <v>8</v>
      </c>
      <c r="X51" s="32" t="s">
        <v>24</v>
      </c>
      <c r="Y51" s="64">
        <v>1315</v>
      </c>
      <c r="Z51" s="75">
        <v>2</v>
      </c>
      <c r="AA51" s="76">
        <v>20</v>
      </c>
      <c r="AB51" s="77">
        <v>1</v>
      </c>
      <c r="AC51" s="65">
        <v>0</v>
      </c>
      <c r="AD51" s="77">
        <f t="shared" si="8"/>
        <v>9.75</v>
      </c>
      <c r="AE51" s="553">
        <v>2500</v>
      </c>
      <c r="AF51" s="78">
        <f>AE51*constantes!$B$4</f>
        <v>9750</v>
      </c>
      <c r="AG51" s="23">
        <v>5</v>
      </c>
      <c r="AJ51" s="636">
        <f t="shared" si="62"/>
        <v>9.75</v>
      </c>
      <c r="AK51" s="79">
        <f t="shared" si="63"/>
        <v>9750</v>
      </c>
      <c r="AL51" s="80">
        <f ca="1">IF(AJ51=0,"",AJ51*(OFFSET(cod_desembolso!$A$1,AG51,23)))</f>
        <v>10.375677157660604</v>
      </c>
      <c r="AM51" s="81">
        <f>(constantes!$B$3*(1+constantes!$B$3)^(AA51))/((1+constantes!$B$3)^(AA51)-1)</f>
        <v>0.10185220882315059</v>
      </c>
      <c r="AN51" s="82">
        <f t="shared" ca="1" si="64"/>
        <v>1.2567856365436414</v>
      </c>
      <c r="AO51" s="80">
        <f ca="1">IF(AJ51=0,AQ51/constantes!$B$3,AN51/constantes!$B$3)</f>
        <v>15.709820456795518</v>
      </c>
      <c r="AP51" s="83">
        <f ca="1">IF(AJ51=0,"",PV(constantes!$B$3,AA51,-AN51)*constantes!$B$3)</f>
        <v>0.98714453113203704</v>
      </c>
      <c r="AQ51" s="84">
        <f t="shared" si="65"/>
        <v>0.2</v>
      </c>
      <c r="AR51" s="384">
        <v>200</v>
      </c>
      <c r="AS51" s="384">
        <v>0</v>
      </c>
      <c r="AT51" s="384">
        <v>0</v>
      </c>
      <c r="AU51" s="398"/>
    </row>
    <row r="52" spans="1:49">
      <c r="A52" s="23">
        <v>412</v>
      </c>
      <c r="B52" s="601" t="s">
        <v>251</v>
      </c>
      <c r="C52" s="73">
        <v>1</v>
      </c>
      <c r="D52" s="77">
        <v>1</v>
      </c>
      <c r="E52" s="77">
        <v>1</v>
      </c>
      <c r="F52" s="387">
        <v>0.44</v>
      </c>
      <c r="G52" s="387">
        <v>0.5</v>
      </c>
      <c r="H52" s="387">
        <v>0.7</v>
      </c>
      <c r="I52" s="387">
        <v>0.6</v>
      </c>
      <c r="J52" s="66">
        <f t="shared" si="55"/>
        <v>0.63500000000000001</v>
      </c>
      <c r="K52" s="603">
        <v>0.48</v>
      </c>
      <c r="L52" s="603">
        <v>0.55000000000000004</v>
      </c>
      <c r="M52" s="603">
        <v>0.78</v>
      </c>
      <c r="N52" s="603">
        <v>0.73</v>
      </c>
      <c r="O52" s="66">
        <f t="shared" si="58"/>
        <v>0.63500000000000001</v>
      </c>
      <c r="P52" s="603">
        <v>0.48</v>
      </c>
      <c r="Q52" s="603">
        <v>0.55000000000000004</v>
      </c>
      <c r="R52" s="603">
        <v>0.78</v>
      </c>
      <c r="S52" s="603">
        <v>0.73</v>
      </c>
      <c r="T52" s="604">
        <v>0.01</v>
      </c>
      <c r="U52" s="604">
        <v>0.02</v>
      </c>
      <c r="V52" s="593">
        <f t="shared" si="7"/>
        <v>0.97019999999999995</v>
      </c>
      <c r="W52" s="20">
        <v>8</v>
      </c>
      <c r="X52" s="32" t="s">
        <v>24</v>
      </c>
      <c r="Y52" s="64">
        <v>1315</v>
      </c>
      <c r="Z52" s="75">
        <v>2</v>
      </c>
      <c r="AA52" s="76">
        <v>20</v>
      </c>
      <c r="AB52" s="77">
        <v>1</v>
      </c>
      <c r="AC52" s="65">
        <v>0</v>
      </c>
      <c r="AD52" s="77">
        <f t="shared" si="8"/>
        <v>7.41</v>
      </c>
      <c r="AE52" s="553">
        <v>1900</v>
      </c>
      <c r="AF52" s="78">
        <f>AE52*constantes!$B$4</f>
        <v>7410</v>
      </c>
      <c r="AG52" s="23">
        <v>5</v>
      </c>
      <c r="AJ52" s="636">
        <f t="shared" si="62"/>
        <v>7.41</v>
      </c>
      <c r="AK52" s="79">
        <f t="shared" si="63"/>
        <v>7410</v>
      </c>
      <c r="AL52" s="80">
        <f ca="1">IF(AJ52=0,"",AJ52*(OFFSET(cod_desembolso!$A$1,AG52,23)))</f>
        <v>7.885514639822059</v>
      </c>
      <c r="AM52" s="81">
        <f>(constantes!$B$3*(1+constantes!$B$3)^(AA52))/((1+constantes!$B$3)^(AA52)-1)</f>
        <v>0.10185220882315059</v>
      </c>
      <c r="AN52" s="82">
        <f t="shared" ca="1" si="64"/>
        <v>0.97815708377316746</v>
      </c>
      <c r="AO52" s="80">
        <f ca="1">IF(AJ52=0,AQ52/constantes!$B$3,AN52/constantes!$B$3)</f>
        <v>12.226963547164592</v>
      </c>
      <c r="AP52" s="83">
        <f ca="1">IF(AJ52=0,"",PV(constantes!$B$3,AA52,-AN52)*constantes!$B$3)</f>
        <v>0.7682952348900548</v>
      </c>
      <c r="AQ52" s="84">
        <f t="shared" si="65"/>
        <v>0.17499999999999999</v>
      </c>
      <c r="AR52" s="384">
        <v>175</v>
      </c>
      <c r="AS52" s="384">
        <v>0</v>
      </c>
      <c r="AT52" s="384">
        <v>0</v>
      </c>
      <c r="AU52" s="398"/>
    </row>
    <row r="53" spans="1:49">
      <c r="A53" s="23">
        <v>315</v>
      </c>
      <c r="B53" s="614" t="s">
        <v>252</v>
      </c>
      <c r="C53" s="73">
        <v>1</v>
      </c>
      <c r="D53" s="77">
        <v>1</v>
      </c>
      <c r="E53" s="77">
        <v>1</v>
      </c>
      <c r="F53" s="387">
        <v>0.65</v>
      </c>
      <c r="G53" s="387">
        <v>0.39</v>
      </c>
      <c r="H53" s="387">
        <v>0.54</v>
      </c>
      <c r="I53" s="387">
        <v>0.81</v>
      </c>
      <c r="J53" s="602">
        <f t="shared" si="55"/>
        <v>0.59750000000000003</v>
      </c>
      <c r="K53">
        <v>0.65</v>
      </c>
      <c r="L53">
        <v>0.39</v>
      </c>
      <c r="M53">
        <v>0.54</v>
      </c>
      <c r="N53">
        <v>0.81</v>
      </c>
      <c r="O53" s="602">
        <f t="shared" si="58"/>
        <v>0.59750000000000003</v>
      </c>
      <c r="P53">
        <v>0.65</v>
      </c>
      <c r="Q53">
        <v>0.39</v>
      </c>
      <c r="R53">
        <v>0.54</v>
      </c>
      <c r="S53">
        <v>0.81</v>
      </c>
      <c r="T53" s="74">
        <v>2.4E-2</v>
      </c>
      <c r="U53" s="74">
        <v>4.5999999999999999E-2</v>
      </c>
      <c r="V53" s="593">
        <f>(1-$T53)*(1-$U53)</f>
        <v>0.93110399999999993</v>
      </c>
      <c r="W53" s="20">
        <v>7</v>
      </c>
      <c r="X53" s="32" t="str">
        <f>IF(W53="","",VLOOKUP(W53,tab_cod_categoria!$A$2:$B$30,2,0))</f>
        <v>Biomassa</v>
      </c>
      <c r="Y53" s="64">
        <v>1502</v>
      </c>
      <c r="Z53" s="75">
        <v>2</v>
      </c>
      <c r="AA53" s="76">
        <v>20</v>
      </c>
      <c r="AB53" s="77">
        <v>0.2</v>
      </c>
      <c r="AC53" s="65">
        <v>0</v>
      </c>
      <c r="AD53" s="77">
        <f>(AF53*C53/1000)*0.65</f>
        <v>3.0419999999999998</v>
      </c>
      <c r="AE53" s="552">
        <v>1200</v>
      </c>
      <c r="AF53" s="78">
        <f>AE53*constantes!$B$4</f>
        <v>4680</v>
      </c>
      <c r="AG53" s="23">
        <v>10</v>
      </c>
      <c r="AH53" s="23"/>
      <c r="AI53" s="23"/>
      <c r="AJ53" s="636">
        <f t="shared" ref="AJ53:AJ59" si="66">AD53+AH53+AI53</f>
        <v>3.0419999999999998</v>
      </c>
      <c r="AK53" s="79">
        <f t="shared" ref="AK53:AK59" si="67">AJ53*1000/C53</f>
        <v>3042</v>
      </c>
      <c r="AL53" s="80">
        <f ca="1">IF(AJ53=0,"",AJ53*(OFFSET(cod_desembolso!$A$1,AG53,23)))</f>
        <v>3.2372112731901082</v>
      </c>
      <c r="AM53" s="81">
        <f>(constantes!$B$3*(1+constantes!$B$3)^(AA53))/((1+constantes!$B$3)^(AA53)-1)</f>
        <v>0.10185220882315059</v>
      </c>
      <c r="AN53" s="82">
        <f t="shared" ref="AN53:AN55" ca="1" si="68">IF(AD53=0,"",AL53*AM53+AQ53)</f>
        <v>0.41971711860161609</v>
      </c>
      <c r="AO53" s="80">
        <f ca="1">IF(AJ53=0,"",AN53/constantes!$B$3)</f>
        <v>5.2464639825202006</v>
      </c>
      <c r="AP53" s="83">
        <f ca="1">IF(AJ53=0,"",PV(constantes!$B$3,AA53,-AN53)*constantes!$B$3)</f>
        <v>0.3296675631888436</v>
      </c>
      <c r="AQ53" s="84">
        <f t="shared" ref="AQ53:AQ55" si="69">AR53*C53/1000</f>
        <v>0.09</v>
      </c>
      <c r="AR53" s="484">
        <v>90</v>
      </c>
      <c r="AS53" s="384">
        <v>0</v>
      </c>
      <c r="AT53" s="384">
        <v>2390.0573613766728</v>
      </c>
    </row>
    <row r="54" spans="1:49">
      <c r="A54" s="23">
        <v>450</v>
      </c>
      <c r="B54" s="341" t="s">
        <v>253</v>
      </c>
      <c r="C54" s="73">
        <v>1</v>
      </c>
      <c r="D54" s="77">
        <v>0.5</v>
      </c>
      <c r="E54" s="77">
        <v>1</v>
      </c>
      <c r="F54" s="387">
        <v>0.75</v>
      </c>
      <c r="G54" s="387">
        <v>0.75</v>
      </c>
      <c r="H54" s="387">
        <v>0.75</v>
      </c>
      <c r="I54" s="387">
        <v>0.75</v>
      </c>
      <c r="J54" s="66">
        <f t="shared" ref="J54" si="70">AVERAGE(K54:N54)</f>
        <v>1</v>
      </c>
      <c r="K54" s="559">
        <v>1</v>
      </c>
      <c r="L54" s="559">
        <v>1</v>
      </c>
      <c r="M54" s="559">
        <v>1</v>
      </c>
      <c r="N54" s="559">
        <v>1</v>
      </c>
      <c r="O54" s="66">
        <f t="shared" ref="O54:O55" si="71">AVERAGE(P54:S54)</f>
        <v>1</v>
      </c>
      <c r="P54" s="559">
        <v>1</v>
      </c>
      <c r="Q54" s="559">
        <v>1</v>
      </c>
      <c r="R54" s="559">
        <v>1</v>
      </c>
      <c r="S54" s="559">
        <v>1</v>
      </c>
      <c r="T54" s="74">
        <v>3.7499999999999999E-2</v>
      </c>
      <c r="U54" s="74">
        <v>4.2500000000000003E-2</v>
      </c>
      <c r="V54" s="593">
        <f t="shared" si="7"/>
        <v>0.92159374999999999</v>
      </c>
      <c r="W54" s="20">
        <v>4</v>
      </c>
      <c r="X54" s="32" t="str">
        <f>IF(W54="","",VLOOKUP(W54,tab_cod_categoria!$A$2:$B$30,2,0))</f>
        <v>Carvão</v>
      </c>
      <c r="Y54" s="23">
        <v>1321</v>
      </c>
      <c r="Z54" s="75">
        <v>4</v>
      </c>
      <c r="AA54" s="75">
        <v>25</v>
      </c>
      <c r="AB54" s="77">
        <v>0.35</v>
      </c>
      <c r="AC54" s="65">
        <v>0.96835199999999999</v>
      </c>
      <c r="AD54" s="77">
        <f t="shared" ref="AD54:AD59" si="72">AF54*C54/1000</f>
        <v>8.19</v>
      </c>
      <c r="AE54" s="552">
        <v>2100</v>
      </c>
      <c r="AF54" s="78">
        <f>AE54*constantes!$B$4</f>
        <v>8190</v>
      </c>
      <c r="AG54" s="23">
        <v>9</v>
      </c>
      <c r="AH54" s="23"/>
      <c r="AI54" s="87"/>
      <c r="AJ54" s="636">
        <f t="shared" si="66"/>
        <v>8.19</v>
      </c>
      <c r="AK54" s="79">
        <f t="shared" si="67"/>
        <v>8189.9999999999991</v>
      </c>
      <c r="AL54" s="80">
        <f ca="1">IF(AJ54=0,"",AJ54*(OFFSET(cod_desembolso!$A$1,AG54,23)))</f>
        <v>9.3247326001190292</v>
      </c>
      <c r="AM54" s="81">
        <f>(constantes!$B$3*(1+constantes!$B$3)^(AA54))/((1+constantes!$B$3)^(AA54)-1)</f>
        <v>9.3678779051968114E-2</v>
      </c>
      <c r="AN54" s="82">
        <f t="shared" ca="1" si="68"/>
        <v>1.2235295649652347</v>
      </c>
      <c r="AO54" s="80">
        <f ca="1">IF(AJ54=0,"",AN54/constantes!$B$3)</f>
        <v>15.294119562065433</v>
      </c>
      <c r="AP54" s="83">
        <f ca="1">IF(AJ54=0,"",PV(constantes!$B$3,AA54,-AN54)*constantes!$B$3)</f>
        <v>1.0448723412900027</v>
      </c>
      <c r="AQ54" s="84">
        <f t="shared" si="69"/>
        <v>0.35</v>
      </c>
      <c r="AR54" s="484">
        <f>120+230</f>
        <v>350</v>
      </c>
      <c r="AS54" s="384">
        <v>0</v>
      </c>
      <c r="AT54" s="384">
        <v>900</v>
      </c>
      <c r="AU54" s="399">
        <v>0.42499999999999999</v>
      </c>
    </row>
    <row r="55" spans="1:49" s="578" customFormat="1">
      <c r="A55" s="565">
        <v>500</v>
      </c>
      <c r="B55" s="621" t="s">
        <v>254</v>
      </c>
      <c r="C55" s="73">
        <v>1</v>
      </c>
      <c r="D55" s="77">
        <v>0</v>
      </c>
      <c r="E55" s="557">
        <v>0</v>
      </c>
      <c r="F55" s="387">
        <v>1</v>
      </c>
      <c r="G55" s="387">
        <v>1</v>
      </c>
      <c r="H55" s="387">
        <v>1</v>
      </c>
      <c r="I55" s="387">
        <v>1</v>
      </c>
      <c r="J55" s="66">
        <v>1</v>
      </c>
      <c r="K55" s="33">
        <v>0</v>
      </c>
      <c r="L55" s="33">
        <v>0</v>
      </c>
      <c r="M55" s="33">
        <v>0</v>
      </c>
      <c r="N55" s="33">
        <v>0</v>
      </c>
      <c r="O55" s="66">
        <f t="shared" si="71"/>
        <v>0</v>
      </c>
      <c r="P55" s="33">
        <v>0</v>
      </c>
      <c r="Q55" s="33">
        <v>0</v>
      </c>
      <c r="R55" s="33">
        <v>0</v>
      </c>
      <c r="S55" s="33">
        <v>0</v>
      </c>
      <c r="T55" s="74">
        <v>0.02</v>
      </c>
      <c r="U55" s="74">
        <v>0.01</v>
      </c>
      <c r="V55" s="593">
        <f t="shared" si="7"/>
        <v>0.97019999999999995</v>
      </c>
      <c r="W55" s="20">
        <v>10</v>
      </c>
      <c r="X55" s="32" t="str">
        <f>IF(W55="","",VLOOKUP(W55,tab_cod_categoria!$A$2:$B$30,2,0))</f>
        <v>Outros</v>
      </c>
      <c r="Y55" s="64">
        <v>1315</v>
      </c>
      <c r="Z55" s="75">
        <v>1</v>
      </c>
      <c r="AA55" s="76">
        <v>20</v>
      </c>
      <c r="AB55" s="23">
        <v>1</v>
      </c>
      <c r="AC55" s="65">
        <v>0</v>
      </c>
      <c r="AD55" s="77">
        <f t="shared" si="72"/>
        <v>2.34</v>
      </c>
      <c r="AE55" s="552">
        <v>600</v>
      </c>
      <c r="AF55" s="78">
        <f>AE55*constantes!$B$4</f>
        <v>2340</v>
      </c>
      <c r="AG55" s="23">
        <v>1</v>
      </c>
      <c r="AH55" s="23"/>
      <c r="AI55" s="23"/>
      <c r="AJ55" s="636">
        <f t="shared" si="66"/>
        <v>2.34</v>
      </c>
      <c r="AK55" s="88">
        <f t="shared" si="67"/>
        <v>2340</v>
      </c>
      <c r="AL55" s="80">
        <f ca="1">IF(AJ55=0,"",AJ55*(OFFSET(cod_desembolso!$A$1,AG55,23)))</f>
        <v>2.4317993338267039</v>
      </c>
      <c r="AM55" s="81">
        <f>(constantes!$B$3*(1+constantes!$B$3)^(AA55))/((1+constantes!$B$3)^(AA55)-1)</f>
        <v>0.10185220882315059</v>
      </c>
      <c r="AN55" s="80">
        <f t="shared" ca="1" si="68"/>
        <v>0.44768413356491593</v>
      </c>
      <c r="AO55" s="80">
        <f ca="1">IF(AJ55=0,AQ55/constantes!$B$3,AN55/constantes!$B$3)</f>
        <v>5.5960516695614491</v>
      </c>
      <c r="AP55" s="83">
        <f ca="1">IF(AJ55=0,"",PV(constantes!$B$3,AA55,-AN55)*constantes!$B$3)</f>
        <v>0.35163430522532502</v>
      </c>
      <c r="AQ55" s="84">
        <f t="shared" si="69"/>
        <v>0.2</v>
      </c>
      <c r="AR55" s="384">
        <v>200</v>
      </c>
      <c r="AS55" s="384">
        <v>0</v>
      </c>
      <c r="AT55" s="384">
        <v>0</v>
      </c>
      <c r="AU55" s="592"/>
      <c r="AV55" s="578">
        <f ca="1">AP55/C55</f>
        <v>0.35163430522532502</v>
      </c>
    </row>
    <row r="56" spans="1:49">
      <c r="A56" s="23">
        <v>505</v>
      </c>
      <c r="B56" s="297" t="s">
        <v>255</v>
      </c>
      <c r="C56" s="73">
        <v>1</v>
      </c>
      <c r="D56" s="77">
        <v>0</v>
      </c>
      <c r="E56" s="77">
        <v>1</v>
      </c>
      <c r="F56" s="387">
        <v>0.9474715600000001</v>
      </c>
      <c r="G56" s="387">
        <v>0.9474715600000001</v>
      </c>
      <c r="H56" s="387">
        <v>0.9474715600000001</v>
      </c>
      <c r="I56" s="387">
        <v>0.9474715600000001</v>
      </c>
      <c r="J56" s="66">
        <v>1</v>
      </c>
      <c r="K56" s="559">
        <v>1</v>
      </c>
      <c r="L56" s="559">
        <v>1</v>
      </c>
      <c r="M56" s="559">
        <v>1</v>
      </c>
      <c r="N56" s="559">
        <v>1</v>
      </c>
      <c r="O56" s="66">
        <v>1</v>
      </c>
      <c r="P56" s="559">
        <v>1</v>
      </c>
      <c r="Q56" s="559">
        <v>1</v>
      </c>
      <c r="R56" s="559">
        <v>1</v>
      </c>
      <c r="S56" s="559">
        <v>1</v>
      </c>
      <c r="T56" s="74">
        <v>2.06E-2</v>
      </c>
      <c r="U56" s="74">
        <v>3.2599999999999997E-2</v>
      </c>
      <c r="V56" s="593">
        <v>0.9474715600000001</v>
      </c>
      <c r="W56" s="20">
        <v>3</v>
      </c>
      <c r="X56" s="32" t="s">
        <v>28</v>
      </c>
      <c r="Y56" s="64">
        <v>1503</v>
      </c>
      <c r="Z56" s="75">
        <v>2</v>
      </c>
      <c r="AA56" s="76">
        <v>20</v>
      </c>
      <c r="AB56" s="77">
        <v>0.55000000000000004</v>
      </c>
      <c r="AC56" s="65">
        <v>0.37212999999999996</v>
      </c>
      <c r="AD56" s="77">
        <f t="shared" ref="AD56" si="73">AF56*C56/1000</f>
        <v>1.56</v>
      </c>
      <c r="AE56" s="633">
        <f>1000*0.4</f>
        <v>400</v>
      </c>
      <c r="AF56" s="634">
        <f>AE56*constantes!$B$4</f>
        <v>1560</v>
      </c>
      <c r="AG56" s="23">
        <v>1</v>
      </c>
      <c r="AH56" s="23"/>
      <c r="AI56" s="23"/>
      <c r="AJ56" s="636">
        <f t="shared" ref="AJ56" si="74">AD56+AH56+AI56</f>
        <v>1.56</v>
      </c>
      <c r="AK56" s="88">
        <f>AJ56*1000/C56</f>
        <v>1560</v>
      </c>
      <c r="AL56" s="80">
        <f ca="1">IF(AJ56=0,"",AJ56*(OFFSET(cod_desembolso!$A$1,AG56,23)))</f>
        <v>1.6211995558844694</v>
      </c>
      <c r="AM56" s="81">
        <f>(constantes!$B$3*(1+constantes!$B$3)^(AA56))/((1+constantes!$B$3)^(AA56)-1)</f>
        <v>0.10185220882315059</v>
      </c>
      <c r="AN56" s="80">
        <f t="shared" ref="AN56" ca="1" si="75">IF(AD56=0,"",AL56*AM56+AQ56)</f>
        <v>0.33512275570994399</v>
      </c>
      <c r="AO56" s="80">
        <f ca="1">IF(AJ56=0,AQ56/constantes!$B$3,AN56/constantes!$B$3)</f>
        <v>4.1890344463742997</v>
      </c>
      <c r="AP56" s="83">
        <f ca="1">IF(AJ56=0,"",PV(constantes!$B$3,AA56,-AN56)*constantes!$B$3)</f>
        <v>0.263222769212068</v>
      </c>
      <c r="AQ56" s="84">
        <f t="shared" ref="AQ56" si="76">AR56*C56/1000</f>
        <v>0.17</v>
      </c>
      <c r="AR56" s="484">
        <v>170</v>
      </c>
      <c r="AS56" s="384">
        <v>20</v>
      </c>
      <c r="AT56" s="384">
        <v>177.73</v>
      </c>
      <c r="AU56" s="400">
        <v>0.88</v>
      </c>
    </row>
    <row r="57" spans="1:49">
      <c r="A57" s="23">
        <v>501</v>
      </c>
      <c r="B57" s="297" t="s">
        <v>256</v>
      </c>
      <c r="C57" s="73">
        <v>1</v>
      </c>
      <c r="D57" s="77">
        <v>0</v>
      </c>
      <c r="E57" s="77">
        <v>1</v>
      </c>
      <c r="F57" s="387">
        <v>0.9474715600000001</v>
      </c>
      <c r="G57" s="387">
        <v>0.9474715600000001</v>
      </c>
      <c r="H57" s="387">
        <v>0.9474715600000001</v>
      </c>
      <c r="I57" s="387">
        <v>0.9474715600000001</v>
      </c>
      <c r="J57" s="66">
        <v>1</v>
      </c>
      <c r="K57" s="559">
        <v>1</v>
      </c>
      <c r="L57" s="559">
        <v>1</v>
      </c>
      <c r="M57" s="559">
        <v>1</v>
      </c>
      <c r="N57" s="559">
        <v>1</v>
      </c>
      <c r="O57" s="66">
        <v>1</v>
      </c>
      <c r="P57" s="559">
        <v>1</v>
      </c>
      <c r="Q57" s="559">
        <v>1</v>
      </c>
      <c r="R57" s="559">
        <v>1</v>
      </c>
      <c r="S57" s="559">
        <v>1</v>
      </c>
      <c r="T57" s="74">
        <v>2.06E-2</v>
      </c>
      <c r="U57" s="74">
        <v>3.2599999999999997E-2</v>
      </c>
      <c r="V57" s="593">
        <v>0.9474715600000001</v>
      </c>
      <c r="W57" s="20">
        <v>3</v>
      </c>
      <c r="X57" s="32" t="s">
        <v>28</v>
      </c>
      <c r="Y57" s="64">
        <v>1302</v>
      </c>
      <c r="Z57" s="75">
        <v>3</v>
      </c>
      <c r="AA57" s="76">
        <v>20</v>
      </c>
      <c r="AB57" s="77">
        <v>0.55000000000000004</v>
      </c>
      <c r="AC57" s="65">
        <v>0.37212999999999996</v>
      </c>
      <c r="AD57" s="77">
        <f t="shared" si="72"/>
        <v>1.56</v>
      </c>
      <c r="AE57" s="633">
        <f>1000*0.4</f>
        <v>400</v>
      </c>
      <c r="AF57" s="634">
        <f>AE57*constantes!$B$4</f>
        <v>1560</v>
      </c>
      <c r="AG57" s="23">
        <v>1</v>
      </c>
      <c r="AH57" s="23"/>
      <c r="AI57" s="23"/>
      <c r="AJ57" s="636">
        <f t="shared" si="66"/>
        <v>1.56</v>
      </c>
      <c r="AK57" s="88">
        <f>AJ57*1000/C57</f>
        <v>1560</v>
      </c>
      <c r="AL57" s="80">
        <f ca="1">IF(AJ57=0,"",AJ57*(OFFSET(cod_desembolso!$A$1,AG57,23)))</f>
        <v>1.6211995558844694</v>
      </c>
      <c r="AM57" s="81">
        <f>(constantes!$B$3*(1+constantes!$B$3)^(AA57))/((1+constantes!$B$3)^(AA57)-1)</f>
        <v>0.10185220882315059</v>
      </c>
      <c r="AN57" s="80">
        <f t="shared" ref="AN57:AN59" ca="1" si="77">IF(AD57=0,"",AL57*AM57+AQ57)</f>
        <v>0.33512275570994399</v>
      </c>
      <c r="AO57" s="80">
        <f ca="1">IF(AJ57=0,AQ57/constantes!$B$3,AN57/constantes!$B$3)</f>
        <v>4.1890344463742997</v>
      </c>
      <c r="AP57" s="83">
        <f ca="1">IF(AJ57=0,"",PV(constantes!$B$3,AA57,-AN57)*constantes!$B$3)</f>
        <v>0.263222769212068</v>
      </c>
      <c r="AQ57" s="84">
        <f t="shared" ref="AQ57:AQ64" si="78">AR57*C57/1000</f>
        <v>0.17</v>
      </c>
      <c r="AR57" s="484">
        <v>170</v>
      </c>
      <c r="AS57" s="384">
        <v>20</v>
      </c>
      <c r="AT57" s="384">
        <v>177.73</v>
      </c>
      <c r="AU57" s="400">
        <v>0.88</v>
      </c>
    </row>
    <row r="58" spans="1:49" s="578" customFormat="1">
      <c r="A58" s="565">
        <v>502</v>
      </c>
      <c r="B58" s="388" t="s">
        <v>257</v>
      </c>
      <c r="C58" s="579">
        <v>1</v>
      </c>
      <c r="D58" s="580">
        <v>0</v>
      </c>
      <c r="E58" s="581">
        <v>1</v>
      </c>
      <c r="F58" s="566">
        <v>0.9474715600000001</v>
      </c>
      <c r="G58" s="566">
        <v>0.9474715600000001</v>
      </c>
      <c r="H58" s="566">
        <v>0.9474715600000001</v>
      </c>
      <c r="I58" s="566">
        <v>0.9474715600000001</v>
      </c>
      <c r="J58" s="582">
        <v>1</v>
      </c>
      <c r="K58" s="567">
        <v>1</v>
      </c>
      <c r="L58" s="567">
        <v>1</v>
      </c>
      <c r="M58" s="567">
        <v>1</v>
      </c>
      <c r="N58" s="567">
        <v>1</v>
      </c>
      <c r="O58" s="582">
        <v>1</v>
      </c>
      <c r="P58" s="567">
        <v>1</v>
      </c>
      <c r="Q58" s="567">
        <v>1</v>
      </c>
      <c r="R58" s="567">
        <v>1</v>
      </c>
      <c r="S58" s="567">
        <v>1</v>
      </c>
      <c r="T58" s="583">
        <v>2.06E-2</v>
      </c>
      <c r="U58" s="583">
        <v>3.2599999999999997E-2</v>
      </c>
      <c r="V58" s="593">
        <v>0.9474715600000001</v>
      </c>
      <c r="W58" s="584">
        <v>3</v>
      </c>
      <c r="X58" s="585" t="s">
        <v>28</v>
      </c>
      <c r="Y58" s="586">
        <v>1301</v>
      </c>
      <c r="Z58" s="569">
        <v>2</v>
      </c>
      <c r="AA58" s="569">
        <v>20</v>
      </c>
      <c r="AB58" s="587">
        <v>1</v>
      </c>
      <c r="AC58" s="588">
        <v>0</v>
      </c>
      <c r="AD58" s="77">
        <f t="shared" si="72"/>
        <v>1.248</v>
      </c>
      <c r="AE58" s="635">
        <f>800*0.4</f>
        <v>320</v>
      </c>
      <c r="AF58" s="634">
        <f>AE58*constantes!$B$4</f>
        <v>1248</v>
      </c>
      <c r="AG58" s="590">
        <v>1</v>
      </c>
      <c r="AH58" s="569"/>
      <c r="AI58" s="569"/>
      <c r="AJ58" s="636">
        <f t="shared" si="66"/>
        <v>1.248</v>
      </c>
      <c r="AK58" s="88">
        <f t="shared" si="67"/>
        <v>1248</v>
      </c>
      <c r="AL58" s="80">
        <f ca="1">IF(AJ58=0,"",AJ58*(OFFSET(cod_desembolso!$A$1,AG58,23)))</f>
        <v>1.2969596447075755</v>
      </c>
      <c r="AM58" s="81">
        <f>(constantes!$B$3*(1+constantes!$B$3)^(AA58))/((1+constantes!$B$3)^(AA58)-1)</f>
        <v>0.10185220882315059</v>
      </c>
      <c r="AN58" s="80">
        <f t="shared" ca="1" si="77"/>
        <v>0.4020982045679552</v>
      </c>
      <c r="AO58" s="80">
        <f ca="1">IF(AJ58=0,AQ58/constantes!$B$3,AN58/constantes!$B$3)</f>
        <v>5.0262275570994399</v>
      </c>
      <c r="AP58" s="83">
        <f ca="1">IF(AJ58=0,"",PV(constantes!$B$3,AA58,-AN58)*constantes!$B$3)</f>
        <v>0.31582875557751083</v>
      </c>
      <c r="AQ58" s="84">
        <f t="shared" si="78"/>
        <v>0.27</v>
      </c>
      <c r="AR58" s="576">
        <v>270</v>
      </c>
      <c r="AS58" s="384">
        <v>20</v>
      </c>
      <c r="AT58" s="576">
        <v>279.29000000000002</v>
      </c>
      <c r="AU58" s="592"/>
      <c r="AV58" s="578">
        <v>0.43583543384103762</v>
      </c>
      <c r="AW58" s="576">
        <v>271.42525427074401</v>
      </c>
    </row>
    <row r="59" spans="1:49">
      <c r="A59" s="23">
        <v>503</v>
      </c>
      <c r="B59" s="341" t="s">
        <v>258</v>
      </c>
      <c r="C59" s="73">
        <v>1</v>
      </c>
      <c r="D59" s="77">
        <v>0.4</v>
      </c>
      <c r="E59" s="77">
        <v>1</v>
      </c>
      <c r="F59" s="387">
        <v>0.75</v>
      </c>
      <c r="G59" s="387">
        <v>0.75</v>
      </c>
      <c r="H59" s="387">
        <v>0.75</v>
      </c>
      <c r="I59" s="387">
        <v>0.75</v>
      </c>
      <c r="J59" s="66">
        <f t="shared" ref="J59" si="79">AVERAGE(K59:N59)</f>
        <v>1</v>
      </c>
      <c r="K59" s="559">
        <v>1</v>
      </c>
      <c r="L59" s="559">
        <v>1</v>
      </c>
      <c r="M59" s="559">
        <v>1</v>
      </c>
      <c r="N59" s="559">
        <v>1</v>
      </c>
      <c r="O59" s="66">
        <f t="shared" ref="O59:O64" si="80">AVERAGE(P59:S59)</f>
        <v>1</v>
      </c>
      <c r="P59" s="559">
        <v>1</v>
      </c>
      <c r="Q59" s="559">
        <v>1</v>
      </c>
      <c r="R59" s="559">
        <v>1</v>
      </c>
      <c r="S59" s="559">
        <v>1</v>
      </c>
      <c r="T59" s="74">
        <v>0.05</v>
      </c>
      <c r="U59" s="74">
        <v>0.05</v>
      </c>
      <c r="V59" s="593">
        <f t="shared" ref="V59" si="81">(1-$T59)*(1-$U59)</f>
        <v>0.90249999999999997</v>
      </c>
      <c r="W59" s="20">
        <v>4</v>
      </c>
      <c r="X59" s="32" t="str">
        <f>IF(W59="","",VLOOKUP(W59,tab_cod_categoria!$A$2:$B$30,2,0))</f>
        <v>Carvão</v>
      </c>
      <c r="Y59" s="23">
        <v>1323</v>
      </c>
      <c r="Z59" s="75">
        <v>2</v>
      </c>
      <c r="AA59" s="75">
        <v>25</v>
      </c>
      <c r="AB59" s="77">
        <v>0.45</v>
      </c>
      <c r="AC59" s="65">
        <v>0.96835199999999999</v>
      </c>
      <c r="AD59" s="77">
        <f t="shared" si="72"/>
        <v>3.5880000000000001</v>
      </c>
      <c r="AE59" s="552">
        <f>2300*0.4</f>
        <v>920</v>
      </c>
      <c r="AF59" s="78">
        <f>AE59*constantes!$B$4</f>
        <v>3588</v>
      </c>
      <c r="AG59" s="23">
        <v>1</v>
      </c>
      <c r="AH59" s="23"/>
      <c r="AI59" s="87"/>
      <c r="AJ59" s="636">
        <f t="shared" si="66"/>
        <v>3.5880000000000001</v>
      </c>
      <c r="AK59" s="79">
        <f t="shared" si="67"/>
        <v>3588</v>
      </c>
      <c r="AL59" s="80">
        <f ca="1">IF(AJ59=0,"",AJ59*(OFFSET(cod_desembolso!$A$1,AG59,23)))</f>
        <v>3.7287589785342794</v>
      </c>
      <c r="AM59" s="81">
        <f>(constantes!$B$3*(1+constantes!$B$3)^(AA59))/((1+constantes!$B$3)^(AA59)-1)</f>
        <v>9.3678779051968114E-2</v>
      </c>
      <c r="AN59" s="82">
        <f t="shared" ca="1" si="77"/>
        <v>0.572525100683277</v>
      </c>
      <c r="AO59" s="80">
        <f ca="1">IF(AJ59=0,"",AN59/constantes!$B$3)</f>
        <v>7.1565637585409627</v>
      </c>
      <c r="AP59" s="83">
        <f ca="1">IF(AJ59=0,"",PV(constantes!$B$3,AA59,-AN59)*constantes!$B$3)</f>
        <v>0.48892618497145007</v>
      </c>
      <c r="AQ59" s="84">
        <f t="shared" si="78"/>
        <v>0.22321951219512196</v>
      </c>
      <c r="AR59" s="484">
        <f>120+(AE59/2050)*230</f>
        <v>223.21951219512195</v>
      </c>
      <c r="AS59" s="384">
        <v>0</v>
      </c>
      <c r="AT59" s="384">
        <v>900</v>
      </c>
      <c r="AU59" s="399">
        <v>0.42499999999999999</v>
      </c>
    </row>
    <row r="60" spans="1:49">
      <c r="A60" s="565">
        <v>504</v>
      </c>
      <c r="B60" s="342" t="s">
        <v>259</v>
      </c>
      <c r="C60" s="73">
        <v>1</v>
      </c>
      <c r="D60" s="77">
        <v>1</v>
      </c>
      <c r="E60" s="77">
        <v>1</v>
      </c>
      <c r="F60" s="387">
        <v>0.66</v>
      </c>
      <c r="G60" s="387">
        <v>0.66</v>
      </c>
      <c r="H60" s="387">
        <v>0.54</v>
      </c>
      <c r="I60" s="387">
        <v>0.71</v>
      </c>
      <c r="J60" s="66">
        <f>AVERAGE(K60:N60)</f>
        <v>0.64250000000000007</v>
      </c>
      <c r="K60" s="33">
        <v>0.66</v>
      </c>
      <c r="L60" s="33">
        <v>0.66</v>
      </c>
      <c r="M60" s="33">
        <v>0.54</v>
      </c>
      <c r="N60" s="33">
        <v>0.71</v>
      </c>
      <c r="O60" s="66">
        <f t="shared" si="80"/>
        <v>0.64250000000000007</v>
      </c>
      <c r="P60" s="33">
        <v>0.66</v>
      </c>
      <c r="Q60" s="33">
        <v>0.66</v>
      </c>
      <c r="R60" s="33">
        <v>0.54</v>
      </c>
      <c r="S60" s="33">
        <v>0.71</v>
      </c>
      <c r="T60" s="74">
        <v>2.4E-2</v>
      </c>
      <c r="U60" s="74">
        <v>4.5999999999999999E-2</v>
      </c>
      <c r="V60" s="593">
        <f>(1-$T60)*(1-$U60)</f>
        <v>0.93110399999999993</v>
      </c>
      <c r="W60" s="20">
        <v>7</v>
      </c>
      <c r="X60" s="32" t="str">
        <f>IF(W60="","",VLOOKUP(W60,[2]tab_cod_categoria!$A$2:$B$30,2,0))</f>
        <v>Biomassa</v>
      </c>
      <c r="Y60" s="64">
        <v>1304</v>
      </c>
      <c r="Z60" s="75">
        <v>2</v>
      </c>
      <c r="AA60" s="76">
        <v>20</v>
      </c>
      <c r="AB60" s="77">
        <v>0.2</v>
      </c>
      <c r="AC60" s="65">
        <v>0</v>
      </c>
      <c r="AD60" s="77">
        <f>(AF60*C60/1000)*0.65</f>
        <v>1.2168000000000001</v>
      </c>
      <c r="AE60" s="552">
        <f>1200*0.4</f>
        <v>480</v>
      </c>
      <c r="AF60" s="78">
        <f>AE60*[2]constantes!$B$4</f>
        <v>1872</v>
      </c>
      <c r="AG60" s="23">
        <v>1</v>
      </c>
      <c r="AH60" s="23"/>
      <c r="AI60" s="23"/>
      <c r="AJ60" s="636">
        <f t="shared" ref="AJ60:AJ64" si="82">AD60+AH60+AI60</f>
        <v>1.2168000000000001</v>
      </c>
      <c r="AK60" s="79">
        <f t="shared" ref="AK60:AK64" si="83">AJ60*1000/C60</f>
        <v>1216.8000000000002</v>
      </c>
      <c r="AL60" s="80">
        <f ca="1">IF(AJ60=0,"",AJ60*(OFFSET(cod_desembolso!$A$1,AG60,23)))</f>
        <v>1.2645356535898862</v>
      </c>
      <c r="AM60" s="81">
        <f>(constantes!$B$3*(1+constantes!$B$3)^(AA60))/((1+constantes!$B$3)^(AA60)-1)</f>
        <v>0.10185220882315059</v>
      </c>
      <c r="AN60" s="82">
        <f t="shared" ref="AN60:AN64" ca="1" si="84">IF(AD60=0,"",AL60*AM60+AQ60)</f>
        <v>0.21879574945375629</v>
      </c>
      <c r="AO60" s="80">
        <f ca="1">IF(AJ60=0,"",AN60/constantes!$B$3)</f>
        <v>2.7349468681719538</v>
      </c>
      <c r="AP60" s="83">
        <f ca="1">IF(AJ60=0,"",PV(constantes!$B$3,AA60,-AN60)*constantes!$B$3)</f>
        <v>0.17185351362082579</v>
      </c>
      <c r="AQ60" s="84">
        <f t="shared" si="78"/>
        <v>0.09</v>
      </c>
      <c r="AR60" s="484">
        <v>90</v>
      </c>
      <c r="AS60" s="384">
        <v>0</v>
      </c>
      <c r="AT60" s="384">
        <v>2390.0573613766728</v>
      </c>
      <c r="AU60" s="399">
        <v>0.21299999999999999</v>
      </c>
    </row>
    <row r="61" spans="1:49">
      <c r="A61" s="135">
        <v>506</v>
      </c>
      <c r="B61" t="s">
        <v>260</v>
      </c>
      <c r="C61" s="73">
        <v>1</v>
      </c>
      <c r="D61" s="77">
        <v>0</v>
      </c>
      <c r="E61" s="77">
        <v>1</v>
      </c>
      <c r="F61" s="387">
        <v>0.9474715600000001</v>
      </c>
      <c r="G61" s="387">
        <v>0.9474715600000001</v>
      </c>
      <c r="H61" s="387">
        <v>0.9474715600000001</v>
      </c>
      <c r="I61" s="387">
        <v>0.9474715600000001</v>
      </c>
      <c r="J61" s="66">
        <f t="shared" ref="J61:J64" si="85">AVERAGE(K61:N61)</f>
        <v>1</v>
      </c>
      <c r="K61" s="559">
        <v>1</v>
      </c>
      <c r="L61" s="559">
        <v>1</v>
      </c>
      <c r="M61" s="559">
        <v>1</v>
      </c>
      <c r="N61" s="559">
        <v>1</v>
      </c>
      <c r="O61" s="66">
        <f t="shared" si="80"/>
        <v>1</v>
      </c>
      <c r="P61" s="559">
        <v>1</v>
      </c>
      <c r="Q61" s="559">
        <v>1</v>
      </c>
      <c r="R61" s="559">
        <v>1</v>
      </c>
      <c r="S61" s="559">
        <v>1</v>
      </c>
      <c r="T61" s="74">
        <v>2.06E-2</v>
      </c>
      <c r="U61" s="74">
        <v>3.2599999999999997E-2</v>
      </c>
      <c r="V61" s="593">
        <f t="shared" ref="V61:V64" si="86">(1-$T61)*(1-$U61)</f>
        <v>0.9474715600000001</v>
      </c>
      <c r="W61" s="20">
        <v>3</v>
      </c>
      <c r="X61" s="32" t="str">
        <f>IF(W61="","",VLOOKUP(W61,tab_cod_categoria!$A$2:$B$30,2,0))</f>
        <v>Gás Natural</v>
      </c>
      <c r="Y61" s="298">
        <v>1504</v>
      </c>
      <c r="Z61" s="75">
        <v>3</v>
      </c>
      <c r="AA61" s="76">
        <v>20</v>
      </c>
      <c r="AB61" s="77">
        <v>0.55000000000000004</v>
      </c>
      <c r="AC61" s="65">
        <v>0.37212999999999996</v>
      </c>
      <c r="AD61" s="77">
        <f t="shared" ref="AD61:AD64" si="87">AF61*C61/1000</f>
        <v>3.9</v>
      </c>
      <c r="AE61" s="552">
        <v>1000</v>
      </c>
      <c r="AF61" s="78">
        <f>AE61*constantes!$B$4</f>
        <v>3900</v>
      </c>
      <c r="AG61" s="23">
        <v>7</v>
      </c>
      <c r="AH61" s="23"/>
      <c r="AI61" s="23"/>
      <c r="AJ61" s="636">
        <f t="shared" si="82"/>
        <v>3.9</v>
      </c>
      <c r="AK61" s="79">
        <f t="shared" si="83"/>
        <v>3900</v>
      </c>
      <c r="AL61" s="80">
        <f ca="1">IF(AJ61=0,"",AJ61*(OFFSET(cod_desembolso!$A$1,AG61,23)))</f>
        <v>4.3525965676386225</v>
      </c>
      <c r="AM61" s="81">
        <f>(constantes!$B$3*(1+constantes!$B$3)^(AA61))/((1+constantes!$B$3)^(AA61)-1)</f>
        <v>0.10185220882315059</v>
      </c>
      <c r="AN61" s="82">
        <f t="shared" ca="1" si="84"/>
        <v>0.61332157453005753</v>
      </c>
      <c r="AO61" s="80">
        <f ca="1">IF(AJ61=0,"",AN61/constantes!$B$3)</f>
        <v>7.6665196816257186</v>
      </c>
      <c r="AP61" s="83">
        <f ca="1">IF(AJ61=0,"",PV(constantes!$B$3,AA61,-AN61)*constantes!$B$3)</f>
        <v>0.4817345301524002</v>
      </c>
      <c r="AQ61" s="84">
        <f t="shared" si="78"/>
        <v>0.17</v>
      </c>
      <c r="AR61" s="484">
        <v>170</v>
      </c>
      <c r="AS61" s="384">
        <v>20</v>
      </c>
      <c r="AT61" s="384">
        <v>177.73</v>
      </c>
      <c r="AU61" s="400">
        <v>0.88</v>
      </c>
    </row>
    <row r="62" spans="1:49">
      <c r="A62" s="23">
        <v>507</v>
      </c>
      <c r="B62" s="341" t="s">
        <v>261</v>
      </c>
      <c r="C62" s="86">
        <v>1</v>
      </c>
      <c r="D62" s="77">
        <v>0.5</v>
      </c>
      <c r="E62" s="77">
        <v>1</v>
      </c>
      <c r="F62" s="387">
        <v>0.75</v>
      </c>
      <c r="G62" s="387">
        <v>0.75</v>
      </c>
      <c r="H62" s="387">
        <v>0.75</v>
      </c>
      <c r="I62" s="387">
        <v>0.75</v>
      </c>
      <c r="J62" s="66">
        <f t="shared" si="85"/>
        <v>1</v>
      </c>
      <c r="K62" s="559">
        <v>1</v>
      </c>
      <c r="L62" s="559">
        <v>1</v>
      </c>
      <c r="M62" s="559">
        <v>1</v>
      </c>
      <c r="N62" s="559">
        <v>1</v>
      </c>
      <c r="O62" s="66">
        <f t="shared" si="80"/>
        <v>1</v>
      </c>
      <c r="P62" s="559">
        <v>1</v>
      </c>
      <c r="Q62" s="559">
        <v>1</v>
      </c>
      <c r="R62" s="559">
        <v>1</v>
      </c>
      <c r="S62" s="559">
        <v>1</v>
      </c>
      <c r="T62" s="74">
        <v>3.7499999999999999E-2</v>
      </c>
      <c r="U62" s="74">
        <v>4.2500000000000003E-2</v>
      </c>
      <c r="V62" s="593">
        <f t="shared" si="86"/>
        <v>0.92159374999999999</v>
      </c>
      <c r="W62" s="20">
        <v>4</v>
      </c>
      <c r="X62" s="32" t="str">
        <f>IF(W62="","",VLOOKUP(W62,tab_cod_categoria!$A$2:$B$30,2,0))</f>
        <v>Carvão</v>
      </c>
      <c r="Y62" s="23">
        <v>1322</v>
      </c>
      <c r="Z62" s="75">
        <v>4</v>
      </c>
      <c r="AA62" s="75">
        <v>25</v>
      </c>
      <c r="AB62" s="77">
        <v>0.35</v>
      </c>
      <c r="AC62" s="65">
        <v>0.85576615384615384</v>
      </c>
      <c r="AD62" s="77">
        <f t="shared" si="87"/>
        <v>3.5880000000000001</v>
      </c>
      <c r="AE62" s="552">
        <f>2300*0.4</f>
        <v>920</v>
      </c>
      <c r="AF62" s="78">
        <f>AE62*constantes!$B$4</f>
        <v>3588</v>
      </c>
      <c r="AG62" s="23">
        <v>1</v>
      </c>
      <c r="AH62" s="23"/>
      <c r="AI62" s="87"/>
      <c r="AJ62" s="636">
        <f t="shared" si="82"/>
        <v>3.5880000000000001</v>
      </c>
      <c r="AK62" s="79">
        <f t="shared" si="83"/>
        <v>3588</v>
      </c>
      <c r="AL62" s="80">
        <f ca="1">IF(AJ62=0,"",AJ62*(OFFSET(cod_desembolso!$A$1,AG62,23)))</f>
        <v>3.7287589785342794</v>
      </c>
      <c r="AM62" s="81">
        <f>(constantes!$B$3*(1+constantes!$B$3)^(AA62))/((1+constantes!$B$3)^(AA62)-1)</f>
        <v>9.3678779051968114E-2</v>
      </c>
      <c r="AN62" s="82">
        <f t="shared" ca="1" si="84"/>
        <v>0.572525100683277</v>
      </c>
      <c r="AO62" s="80">
        <f ca="1">IF(AJ62=0,"",AN62/constantes!$B$3)</f>
        <v>7.1565637585409627</v>
      </c>
      <c r="AP62" s="83">
        <f ca="1">IF(AJ62=0,"",PV(constantes!$B$3,AA62,-AN62)*constantes!$B$3)</f>
        <v>0.48892618497145007</v>
      </c>
      <c r="AQ62" s="84">
        <f t="shared" si="78"/>
        <v>0.22321951219512196</v>
      </c>
      <c r="AR62" s="484">
        <f t="shared" ref="AR62" si="88">120+230*(AE62/2050)</f>
        <v>223.21951219512195</v>
      </c>
      <c r="AS62" s="384">
        <v>0</v>
      </c>
      <c r="AT62" s="384">
        <v>480</v>
      </c>
      <c r="AU62" s="399">
        <v>0.56999999999999995</v>
      </c>
    </row>
    <row r="63" spans="1:49">
      <c r="A63" s="135">
        <v>508</v>
      </c>
      <c r="B63" t="s">
        <v>262</v>
      </c>
      <c r="C63" s="73">
        <v>1</v>
      </c>
      <c r="D63" s="77">
        <v>0</v>
      </c>
      <c r="E63" s="557">
        <v>1</v>
      </c>
      <c r="F63" s="387">
        <v>0.97019999999999995</v>
      </c>
      <c r="G63" s="387">
        <v>0.97019999999999995</v>
      </c>
      <c r="H63" s="387">
        <v>0.97019999999999995</v>
      </c>
      <c r="I63" s="387">
        <v>0.97019999999999995</v>
      </c>
      <c r="J63" s="66">
        <f t="shared" si="85"/>
        <v>0.51075227456561911</v>
      </c>
      <c r="K63" s="559">
        <v>0.58487065377698244</v>
      </c>
      <c r="L63" s="559">
        <v>0.57552916156834211</v>
      </c>
      <c r="M63" s="559">
        <v>0.44621983189814091</v>
      </c>
      <c r="N63" s="559">
        <v>0.43638945101901089</v>
      </c>
      <c r="O63" s="66">
        <f t="shared" si="80"/>
        <v>0.51075227456561911</v>
      </c>
      <c r="P63" s="559">
        <v>0.58487065377698244</v>
      </c>
      <c r="Q63" s="559">
        <v>0.57552916156834211</v>
      </c>
      <c r="R63" s="559">
        <v>0.44621983189814091</v>
      </c>
      <c r="S63" s="559">
        <v>0.43638945101901089</v>
      </c>
      <c r="T63" s="389">
        <v>0.01</v>
      </c>
      <c r="U63" s="389">
        <v>0.02</v>
      </c>
      <c r="V63" s="593">
        <f t="shared" si="86"/>
        <v>0.97019999999999995</v>
      </c>
      <c r="W63" s="20">
        <v>1</v>
      </c>
      <c r="X63" s="32" t="str">
        <f>IF(W63="","",VLOOKUP(W63,tab_cod_categoria!$A$2:$B$30,2,0))</f>
        <v>UHE</v>
      </c>
      <c r="Y63" s="64">
        <v>1315</v>
      </c>
      <c r="Z63" s="75">
        <v>2</v>
      </c>
      <c r="AA63" s="76">
        <v>30</v>
      </c>
      <c r="AB63" s="77">
        <v>1</v>
      </c>
      <c r="AC63" s="65">
        <v>0</v>
      </c>
      <c r="AD63" s="77">
        <f t="shared" si="87"/>
        <v>6.63</v>
      </c>
      <c r="AE63" s="552">
        <v>1700</v>
      </c>
      <c r="AF63" s="78">
        <f>AE63*constantes!$B$4</f>
        <v>6630</v>
      </c>
      <c r="AG63" s="23">
        <v>1</v>
      </c>
      <c r="AH63" s="23"/>
      <c r="AI63" s="23"/>
      <c r="AJ63" s="636">
        <f t="shared" si="82"/>
        <v>6.63</v>
      </c>
      <c r="AK63" s="79">
        <f t="shared" si="83"/>
        <v>6630</v>
      </c>
      <c r="AL63" s="80">
        <f ca="1">IF(AJ63=0,"",AJ63*(OFFSET(cod_desembolso!$A$1,AG63,23)))</f>
        <v>6.8900981125089942</v>
      </c>
      <c r="AM63" s="81">
        <f>(constantes!$B$3*(1+constantes!$B$3)^(AA63))/((1+constantes!$B$3)^(AA63)-1)</f>
        <v>8.8827433387272267E-2</v>
      </c>
      <c r="AN63" s="82">
        <f t="shared" ca="1" si="84"/>
        <v>0.6620297311206631</v>
      </c>
      <c r="AO63" s="80">
        <f ca="1">IF(AJ63=0,"",AN63/constantes!$B$3)</f>
        <v>8.2753716390082879</v>
      </c>
      <c r="AP63" s="83">
        <f ca="1">IF(AJ63=0,"",PV(constantes!$B$3,AA63,-AN63)*constantes!$B$3)</f>
        <v>0.59623898237322959</v>
      </c>
      <c r="AQ63" s="84">
        <f t="shared" si="78"/>
        <v>0.05</v>
      </c>
      <c r="AR63" s="384">
        <f>constantes!B10</f>
        <v>50</v>
      </c>
      <c r="AS63" s="384">
        <v>0</v>
      </c>
      <c r="AT63" s="384">
        <v>0</v>
      </c>
      <c r="AU63" s="398"/>
    </row>
    <row r="64" spans="1:49">
      <c r="A64" s="135">
        <v>509</v>
      </c>
      <c r="B64" t="s">
        <v>263</v>
      </c>
      <c r="C64" s="73">
        <v>1</v>
      </c>
      <c r="D64" s="77">
        <v>0</v>
      </c>
      <c r="E64" s="77">
        <v>1</v>
      </c>
      <c r="F64" s="387">
        <v>0.9474715600000001</v>
      </c>
      <c r="G64" s="387">
        <v>0.9474715600000001</v>
      </c>
      <c r="H64" s="387">
        <v>0.9474715600000001</v>
      </c>
      <c r="I64" s="387">
        <v>0.9474715600000001</v>
      </c>
      <c r="J64" s="66">
        <f t="shared" si="85"/>
        <v>1</v>
      </c>
      <c r="K64" s="559">
        <v>1</v>
      </c>
      <c r="L64" s="559">
        <v>1</v>
      </c>
      <c r="M64" s="559">
        <v>1</v>
      </c>
      <c r="N64" s="559">
        <v>1</v>
      </c>
      <c r="O64" s="66">
        <f t="shared" si="80"/>
        <v>1</v>
      </c>
      <c r="P64" s="559">
        <v>1</v>
      </c>
      <c r="Q64" s="559">
        <v>1</v>
      </c>
      <c r="R64" s="559">
        <v>1</v>
      </c>
      <c r="S64" s="559">
        <v>1</v>
      </c>
      <c r="T64" s="74">
        <v>2.06E-2</v>
      </c>
      <c r="U64" s="74">
        <v>3.2599999999999997E-2</v>
      </c>
      <c r="V64" s="593">
        <f t="shared" si="86"/>
        <v>0.9474715600000001</v>
      </c>
      <c r="W64" s="20">
        <v>3</v>
      </c>
      <c r="X64" s="32" t="str">
        <f>IF(W64="","",VLOOKUP(W64,tab_cod_categoria!$A$2:$B$30,2,0))</f>
        <v>Gás Natural</v>
      </c>
      <c r="Y64" s="64">
        <v>1504</v>
      </c>
      <c r="Z64" s="75">
        <v>2</v>
      </c>
      <c r="AA64" s="76">
        <v>20</v>
      </c>
      <c r="AB64" s="77">
        <v>0.55000000000000004</v>
      </c>
      <c r="AC64" s="65">
        <v>0.37212999999999996</v>
      </c>
      <c r="AD64" s="77">
        <f t="shared" si="87"/>
        <v>1.56</v>
      </c>
      <c r="AE64" s="633">
        <f>1000*0.4</f>
        <v>400</v>
      </c>
      <c r="AF64" s="78">
        <f>AE64*constantes!$B$4</f>
        <v>1560</v>
      </c>
      <c r="AG64" s="23">
        <v>1</v>
      </c>
      <c r="AH64" s="23"/>
      <c r="AI64" s="23"/>
      <c r="AJ64" s="636">
        <f t="shared" si="82"/>
        <v>1.56</v>
      </c>
      <c r="AK64" s="79">
        <f t="shared" si="83"/>
        <v>1560</v>
      </c>
      <c r="AL64" s="80">
        <f ca="1">IF(AJ64=0,"",AJ64*(OFFSET(cod_desembolso!$A$1,AG64,23)))</f>
        <v>1.6211995558844694</v>
      </c>
      <c r="AM64" s="81">
        <f>(constantes!$B$3*(1+constantes!$B$3)^(AA64))/((1+constantes!$B$3)^(AA64)-1)</f>
        <v>0.10185220882315059</v>
      </c>
      <c r="AN64" s="82">
        <f t="shared" ca="1" si="84"/>
        <v>0.33512275570994399</v>
      </c>
      <c r="AO64" s="80">
        <f ca="1">IF(AJ64=0,"",AN64/constantes!$B$3)</f>
        <v>4.1890344463742997</v>
      </c>
      <c r="AP64" s="83">
        <f ca="1">IF(AJ64=0,"",PV(constantes!$B$3,AA64,-AN64)*constantes!$B$3)</f>
        <v>0.263222769212068</v>
      </c>
      <c r="AQ64" s="84">
        <f t="shared" si="78"/>
        <v>0.17</v>
      </c>
      <c r="AR64" s="484">
        <v>170</v>
      </c>
      <c r="AS64" s="384">
        <v>20</v>
      </c>
      <c r="AT64" s="384">
        <v>177.73</v>
      </c>
      <c r="AU64" s="400">
        <v>0.88</v>
      </c>
    </row>
  </sheetData>
  <autoFilter ref="A1:AU63" xr:uid="{00000000-0009-0000-0000-000005000000}"/>
  <conditionalFormatting sqref="AJ3:AK3 AJ20:AK23 AJ12:AK12 AJ34:AK34 AJ14:AK15 AJ9:AK9 AJ36:AK52">
    <cfRule type="cellIs" dxfId="94" priority="90" stopIfTrue="1" operator="equal">
      <formula>0</formula>
    </cfRule>
  </conditionalFormatting>
  <conditionalFormatting sqref="AJ16:AK16">
    <cfRule type="cellIs" dxfId="93" priority="89" stopIfTrue="1" operator="equal">
      <formula>0</formula>
    </cfRule>
  </conditionalFormatting>
  <conditionalFormatting sqref="AJ6:AK6 AJ8:AK8">
    <cfRule type="cellIs" dxfId="92" priority="73" stopIfTrue="1" operator="equal">
      <formula>0</formula>
    </cfRule>
  </conditionalFormatting>
  <conditionalFormatting sqref="AJ4:AK4">
    <cfRule type="cellIs" dxfId="91" priority="71" stopIfTrue="1" operator="equal">
      <formula>0</formula>
    </cfRule>
  </conditionalFormatting>
  <conditionalFormatting sqref="AJ5:AK5">
    <cfRule type="cellIs" dxfId="90" priority="70" stopIfTrue="1" operator="equal">
      <formula>0</formula>
    </cfRule>
  </conditionalFormatting>
  <conditionalFormatting sqref="AJ7:AK7">
    <cfRule type="cellIs" dxfId="89" priority="69" stopIfTrue="1" operator="equal">
      <formula>0</formula>
    </cfRule>
  </conditionalFormatting>
  <conditionalFormatting sqref="AJ32:AK32">
    <cfRule type="cellIs" dxfId="88" priority="66" stopIfTrue="1" operator="equal">
      <formula>0</formula>
    </cfRule>
  </conditionalFormatting>
  <conditionalFormatting sqref="AJ10:AK11">
    <cfRule type="cellIs" dxfId="87" priority="65" stopIfTrue="1" operator="equal">
      <formula>0</formula>
    </cfRule>
  </conditionalFormatting>
  <conditionalFormatting sqref="AJ35:AK35">
    <cfRule type="cellIs" dxfId="86" priority="64" stopIfTrue="1" operator="equal">
      <formula>0</formula>
    </cfRule>
  </conditionalFormatting>
  <conditionalFormatting sqref="AJ33:AK33">
    <cfRule type="cellIs" dxfId="85" priority="63" stopIfTrue="1" operator="equal">
      <formula>0</formula>
    </cfRule>
  </conditionalFormatting>
  <conditionalFormatting sqref="A65:A1048576 A1 A53">
    <cfRule type="duplicateValues" dxfId="84" priority="353"/>
  </conditionalFormatting>
  <conditionalFormatting sqref="A3:A23 A32:A40">
    <cfRule type="duplicateValues" dxfId="83" priority="356"/>
  </conditionalFormatting>
  <conditionalFormatting sqref="AJ13:AK13">
    <cfRule type="cellIs" dxfId="82" priority="38" stopIfTrue="1" operator="equal">
      <formula>0</formula>
    </cfRule>
  </conditionalFormatting>
  <conditionalFormatting sqref="AJ24:AK31">
    <cfRule type="cellIs" dxfId="81" priority="36" stopIfTrue="1" operator="equal">
      <formula>0</formula>
    </cfRule>
  </conditionalFormatting>
  <conditionalFormatting sqref="A24:A31">
    <cfRule type="duplicateValues" dxfId="80" priority="37"/>
  </conditionalFormatting>
  <conditionalFormatting sqref="AJ53:AK53">
    <cfRule type="cellIs" dxfId="79" priority="35" stopIfTrue="1" operator="equal">
      <formula>0</formula>
    </cfRule>
  </conditionalFormatting>
  <conditionalFormatting sqref="A41:A52">
    <cfRule type="duplicateValues" dxfId="78" priority="34"/>
  </conditionalFormatting>
  <conditionalFormatting sqref="AJ54:AK54">
    <cfRule type="cellIs" dxfId="77" priority="31" stopIfTrue="1" operator="equal">
      <formula>0</formula>
    </cfRule>
  </conditionalFormatting>
  <conditionalFormatting sqref="A54">
    <cfRule type="duplicateValues" dxfId="76" priority="32"/>
  </conditionalFormatting>
  <conditionalFormatting sqref="A55">
    <cfRule type="duplicateValues" dxfId="75" priority="30"/>
  </conditionalFormatting>
  <conditionalFormatting sqref="AJ55:AK55 AJ57:AK58">
    <cfRule type="cellIs" dxfId="74" priority="28" stopIfTrue="1" operator="equal">
      <formula>0</formula>
    </cfRule>
  </conditionalFormatting>
  <conditionalFormatting sqref="AJ17:AK17">
    <cfRule type="cellIs" dxfId="73" priority="27" stopIfTrue="1" operator="equal">
      <formula>0</formula>
    </cfRule>
  </conditionalFormatting>
  <conditionalFormatting sqref="AJ18:AK18">
    <cfRule type="cellIs" dxfId="72" priority="26" stopIfTrue="1" operator="equal">
      <formula>0</formula>
    </cfRule>
  </conditionalFormatting>
  <conditionalFormatting sqref="AJ19:AK19">
    <cfRule type="cellIs" dxfId="71" priority="25" stopIfTrue="1" operator="equal">
      <formula>0</formula>
    </cfRule>
  </conditionalFormatting>
  <conditionalFormatting sqref="A56:A59">
    <cfRule type="duplicateValues" dxfId="70" priority="24"/>
  </conditionalFormatting>
  <conditionalFormatting sqref="AJ59:AK64">
    <cfRule type="cellIs" dxfId="69" priority="20" stopIfTrue="1" operator="equal">
      <formula>0</formula>
    </cfRule>
  </conditionalFormatting>
  <conditionalFormatting sqref="AJ56:AK56">
    <cfRule type="cellIs" dxfId="68" priority="17" stopIfTrue="1" operator="equal">
      <formula>0</formula>
    </cfRule>
  </conditionalFormatting>
  <conditionalFormatting sqref="A62">
    <cfRule type="duplicateValues" dxfId="67" priority="14"/>
  </conditionalFormatting>
  <conditionalFormatting sqref="AJ2:AK2">
    <cfRule type="cellIs" dxfId="66" priority="9" stopIfTrue="1" operator="equal">
      <formula>0</formula>
    </cfRule>
  </conditionalFormatting>
  <conditionalFormatting sqref="A2">
    <cfRule type="duplicateValues" dxfId="65" priority="10"/>
  </conditionalFormatting>
  <conditionalFormatting sqref="A60">
    <cfRule type="duplicateValues" dxfId="64" priority="6"/>
  </conditionalFormatting>
  <conditionalFormatting sqref="A63:A64">
    <cfRule type="duplicateValues" dxfId="63" priority="4"/>
  </conditionalFormatting>
  <pageMargins left="0.511811024" right="0.511811024" top="0.78740157499999996" bottom="0.78740157499999996" header="0.31496062000000002" footer="0.31496062000000002"/>
  <pageSetup paperSize="9" orientation="portrait" r:id="rId1"/>
  <ignoredErrors>
    <ignoredError sqref="AD3 AD6 AD10 AD8 AD14:AD16 AD20:AD27 AD12" unlockedFormula="1"/>
  </ignoredErrors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Plan12" filterMode="1">
    <tabColor theme="5" tint="0.39997558519241921"/>
  </sheetPr>
  <dimension ref="A1:AP110"/>
  <sheetViews>
    <sheetView zoomScale="80" zoomScaleNormal="80" workbookViewId="0">
      <pane xSplit="7" ySplit="1" topLeftCell="T2" activePane="bottomRight" state="frozen"/>
      <selection pane="bottomRight" activeCell="G9" sqref="G9"/>
      <selection pane="bottomLeft" activeCell="A2" sqref="A2"/>
      <selection pane="topRight" activeCell="H1" sqref="H1"/>
    </sheetView>
  </sheetViews>
  <sheetFormatPr defaultColWidth="9.140625" defaultRowHeight="12.75"/>
  <cols>
    <col min="1" max="1" width="17" customWidth="1"/>
    <col min="2" max="2" width="11" customWidth="1"/>
    <col min="3" max="3" width="23.28515625" customWidth="1"/>
    <col min="4" max="4" width="25.85546875" customWidth="1"/>
    <col min="5" max="5" width="5.5703125" customWidth="1"/>
    <col min="6" max="6" width="11.5703125" customWidth="1"/>
    <col min="7" max="7" width="13.28515625" style="135" bestFit="1" customWidth="1"/>
    <col min="8" max="12" width="9.140625" style="135"/>
    <col min="13" max="21" width="9.140625" style="157"/>
    <col min="22" max="22" width="10.7109375" customWidth="1"/>
    <col min="23" max="23" width="11.28515625" customWidth="1"/>
    <col min="24" max="24" width="13" customWidth="1"/>
    <col min="25" max="25" width="11.7109375" customWidth="1"/>
    <col min="26" max="26" width="12.85546875" customWidth="1"/>
    <col min="27" max="27" width="12" customWidth="1"/>
    <col min="28" max="28" width="10.7109375" customWidth="1"/>
    <col min="29" max="29" width="12.140625" style="157" customWidth="1"/>
    <col min="30" max="30" width="13.28515625" customWidth="1"/>
    <col min="31" max="31" width="12.42578125" customWidth="1"/>
    <col min="32" max="32" width="11.7109375" customWidth="1"/>
    <col min="33" max="33" width="11.42578125" customWidth="1"/>
    <col min="34" max="34" width="11.28515625" customWidth="1"/>
    <col min="35" max="35" width="9.140625" customWidth="1"/>
    <col min="36" max="36" width="15.28515625" style="157" customWidth="1"/>
    <col min="37" max="37" width="13.42578125" customWidth="1"/>
    <col min="38" max="38" width="9.140625" customWidth="1"/>
    <col min="39" max="39" width="13.5703125" customWidth="1"/>
    <col min="40" max="40" width="9.140625" customWidth="1"/>
    <col min="41" max="41" width="11.85546875" customWidth="1"/>
    <col min="42" max="42" width="8.85546875" customWidth="1"/>
  </cols>
  <sheetData>
    <row r="1" spans="1:42" ht="13.5" thickBot="1">
      <c r="A1" s="402" t="s">
        <v>264</v>
      </c>
      <c r="B1" s="402" t="s">
        <v>265</v>
      </c>
      <c r="C1" s="402" t="s">
        <v>266</v>
      </c>
      <c r="D1" s="402" t="s">
        <v>267</v>
      </c>
      <c r="E1" s="402" t="s">
        <v>135</v>
      </c>
      <c r="F1" s="402" t="s">
        <v>136</v>
      </c>
      <c r="G1" s="11" t="s">
        <v>160</v>
      </c>
      <c r="H1" s="11" t="s">
        <v>175</v>
      </c>
      <c r="I1" s="11" t="s">
        <v>176</v>
      </c>
      <c r="J1" s="11" t="s">
        <v>4</v>
      </c>
      <c r="K1" s="11" t="s">
        <v>5</v>
      </c>
      <c r="L1" s="11" t="s">
        <v>165</v>
      </c>
      <c r="M1" s="253" t="s">
        <v>166</v>
      </c>
      <c r="N1" s="253" t="s">
        <v>167</v>
      </c>
      <c r="O1" s="253" t="s">
        <v>168</v>
      </c>
      <c r="P1" s="253" t="s">
        <v>169</v>
      </c>
      <c r="Q1" s="253" t="s">
        <v>170</v>
      </c>
      <c r="R1" s="253" t="s">
        <v>171</v>
      </c>
      <c r="S1" s="253" t="s">
        <v>172</v>
      </c>
      <c r="T1" s="253" t="s">
        <v>173</v>
      </c>
      <c r="U1" s="253" t="s">
        <v>174</v>
      </c>
      <c r="V1" s="402" t="s">
        <v>268</v>
      </c>
      <c r="W1" s="402" t="s">
        <v>269</v>
      </c>
      <c r="X1" s="402" t="s">
        <v>270</v>
      </c>
      <c r="Y1" s="402" t="s">
        <v>271</v>
      </c>
      <c r="Z1" s="402" t="s">
        <v>272</v>
      </c>
      <c r="AA1" s="402"/>
      <c r="AB1" s="402" t="s">
        <v>273</v>
      </c>
      <c r="AC1" s="402" t="s">
        <v>274</v>
      </c>
      <c r="AD1" s="402" t="s">
        <v>198</v>
      </c>
      <c r="AE1" s="402" t="s">
        <v>199</v>
      </c>
      <c r="AF1" s="402" t="s">
        <v>180</v>
      </c>
      <c r="AG1" s="402" t="s">
        <v>200</v>
      </c>
      <c r="AH1" s="402" t="s">
        <v>183</v>
      </c>
      <c r="AI1" s="402" t="s">
        <v>184</v>
      </c>
      <c r="AJ1" s="402" t="s">
        <v>133</v>
      </c>
      <c r="AK1" s="402" t="s">
        <v>275</v>
      </c>
      <c r="AL1" s="402" t="s">
        <v>276</v>
      </c>
      <c r="AM1" s="402" t="s">
        <v>277</v>
      </c>
      <c r="AN1" s="402" t="s">
        <v>278</v>
      </c>
      <c r="AO1" s="402"/>
      <c r="AP1" s="402"/>
    </row>
    <row r="2" spans="1:42" ht="13.5" hidden="1" thickTop="1">
      <c r="A2">
        <v>1501</v>
      </c>
      <c r="B2">
        <v>1501</v>
      </c>
      <c r="C2" s="542" t="s">
        <v>279</v>
      </c>
      <c r="D2" s="542" t="s">
        <v>279</v>
      </c>
      <c r="E2" t="s">
        <v>152</v>
      </c>
      <c r="F2">
        <v>3</v>
      </c>
      <c r="G2" s="135">
        <v>13.1</v>
      </c>
      <c r="H2" s="543">
        <v>0.32</v>
      </c>
      <c r="I2" s="543">
        <v>0.11310000000000001</v>
      </c>
      <c r="J2" s="135">
        <v>0</v>
      </c>
      <c r="K2" s="334">
        <v>1</v>
      </c>
      <c r="L2" s="334">
        <v>1</v>
      </c>
      <c r="M2" s="157">
        <v>1</v>
      </c>
      <c r="N2" s="157">
        <v>1</v>
      </c>
      <c r="O2" s="157">
        <v>1</v>
      </c>
      <c r="P2" s="157">
        <v>1</v>
      </c>
      <c r="Q2" s="157">
        <v>1</v>
      </c>
      <c r="R2" s="157">
        <v>1</v>
      </c>
      <c r="S2" s="157">
        <v>1</v>
      </c>
      <c r="T2" s="157">
        <v>1</v>
      </c>
      <c r="U2" s="157">
        <v>1</v>
      </c>
      <c r="W2" s="544"/>
      <c r="X2" s="544"/>
      <c r="Y2" s="544"/>
      <c r="Z2" s="544"/>
      <c r="AA2" s="544"/>
      <c r="AB2">
        <v>1900</v>
      </c>
      <c r="AC2" s="545">
        <v>2022</v>
      </c>
      <c r="AD2">
        <v>0</v>
      </c>
      <c r="AE2">
        <v>0</v>
      </c>
      <c r="AF2">
        <v>225</v>
      </c>
      <c r="AG2" s="24">
        <v>0</v>
      </c>
      <c r="AH2">
        <v>0.36</v>
      </c>
      <c r="AI2">
        <v>0.73</v>
      </c>
      <c r="AJ2" s="157">
        <v>351</v>
      </c>
      <c r="AM2" t="s">
        <v>280</v>
      </c>
    </row>
    <row r="3" spans="1:42" ht="13.5" hidden="1" thickTop="1">
      <c r="A3">
        <v>1</v>
      </c>
      <c r="B3">
        <v>1</v>
      </c>
      <c r="C3" t="s">
        <v>281</v>
      </c>
      <c r="D3" t="s">
        <v>281</v>
      </c>
      <c r="E3" t="s">
        <v>282</v>
      </c>
      <c r="F3">
        <v>1</v>
      </c>
      <c r="G3" s="503">
        <v>640</v>
      </c>
      <c r="H3" s="334">
        <v>4.6900000000000004E-2</v>
      </c>
      <c r="I3" s="334">
        <v>0.11779999999999999</v>
      </c>
      <c r="J3" s="334">
        <v>0.94735845214464542</v>
      </c>
      <c r="K3" s="334">
        <v>1</v>
      </c>
      <c r="L3" s="115">
        <v>1</v>
      </c>
      <c r="M3" s="157">
        <v>1</v>
      </c>
      <c r="N3" s="157">
        <v>1</v>
      </c>
      <c r="O3" s="157">
        <v>1</v>
      </c>
      <c r="P3" s="157">
        <v>1</v>
      </c>
      <c r="Q3" s="157">
        <v>1</v>
      </c>
      <c r="R3" s="157">
        <v>1</v>
      </c>
      <c r="S3" s="157">
        <v>1</v>
      </c>
      <c r="T3" s="157">
        <v>1</v>
      </c>
      <c r="U3" s="157">
        <v>1</v>
      </c>
      <c r="V3" s="59">
        <v>428.652493236</v>
      </c>
      <c r="W3" s="59">
        <v>452.47128187394065</v>
      </c>
      <c r="X3" s="59">
        <v>452.47128187394065</v>
      </c>
      <c r="Y3" s="59">
        <v>452.47128187394065</v>
      </c>
      <c r="Z3" s="59">
        <v>452.47128187394065</v>
      </c>
      <c r="AA3" s="59">
        <v>23.818788637940656</v>
      </c>
      <c r="AB3">
        <v>1900</v>
      </c>
      <c r="AC3">
        <v>2100</v>
      </c>
      <c r="AD3">
        <v>0</v>
      </c>
      <c r="AE3">
        <v>0</v>
      </c>
      <c r="AF3" s="24">
        <v>1</v>
      </c>
      <c r="AG3" s="24">
        <v>0</v>
      </c>
      <c r="AH3" s="153">
        <v>0.39</v>
      </c>
      <c r="AI3" s="153">
        <v>0</v>
      </c>
      <c r="AJ3" s="157">
        <v>303</v>
      </c>
      <c r="AM3" t="s">
        <v>214</v>
      </c>
    </row>
    <row r="4" spans="1:42" ht="13.5" hidden="1" thickTop="1">
      <c r="A4">
        <v>13</v>
      </c>
      <c r="B4">
        <v>13</v>
      </c>
      <c r="C4" t="s">
        <v>283</v>
      </c>
      <c r="D4" t="s">
        <v>283</v>
      </c>
      <c r="E4" t="s">
        <v>282</v>
      </c>
      <c r="F4">
        <v>1</v>
      </c>
      <c r="G4" s="503">
        <v>1350</v>
      </c>
      <c r="H4" s="334">
        <v>1.4199999999999999E-2</v>
      </c>
      <c r="I4" s="334">
        <v>7.4400000000000008E-2</v>
      </c>
      <c r="J4" s="334">
        <v>0.8767541439346237</v>
      </c>
      <c r="K4" s="334">
        <v>1</v>
      </c>
      <c r="L4" s="115">
        <v>1</v>
      </c>
      <c r="M4" s="157">
        <v>1</v>
      </c>
      <c r="N4" s="157">
        <v>1</v>
      </c>
      <c r="O4" s="157">
        <v>1</v>
      </c>
      <c r="P4" s="157">
        <v>1</v>
      </c>
      <c r="Q4" s="157">
        <v>1</v>
      </c>
      <c r="R4" s="157">
        <v>1</v>
      </c>
      <c r="S4" s="157">
        <v>1</v>
      </c>
      <c r="T4" s="157">
        <v>1</v>
      </c>
      <c r="U4" s="157">
        <v>1</v>
      </c>
      <c r="V4" s="59">
        <v>985.45299839999996</v>
      </c>
      <c r="W4" s="59">
        <v>1123.9787176568868</v>
      </c>
      <c r="X4" s="59">
        <v>1123.9787176568868</v>
      </c>
      <c r="Y4" s="59">
        <v>1123.9787176568868</v>
      </c>
      <c r="Z4" s="59">
        <v>1123.9787176568868</v>
      </c>
      <c r="AA4" s="59">
        <v>138.52571925688687</v>
      </c>
      <c r="AB4">
        <v>1900</v>
      </c>
      <c r="AC4">
        <v>2100</v>
      </c>
      <c r="AD4">
        <v>0</v>
      </c>
      <c r="AE4">
        <v>0</v>
      </c>
      <c r="AF4" s="24">
        <v>13</v>
      </c>
      <c r="AG4" s="24">
        <v>0</v>
      </c>
      <c r="AH4" s="153">
        <v>0.39</v>
      </c>
      <c r="AI4" s="153">
        <v>0</v>
      </c>
      <c r="AJ4" s="157">
        <v>303</v>
      </c>
      <c r="AM4" t="s">
        <v>214</v>
      </c>
    </row>
    <row r="5" spans="1:42" ht="13.5" hidden="1" thickTop="1">
      <c r="A5">
        <v>44</v>
      </c>
      <c r="B5">
        <v>44</v>
      </c>
      <c r="C5" t="s">
        <v>284</v>
      </c>
      <c r="D5" t="s">
        <v>284</v>
      </c>
      <c r="E5" t="s">
        <v>146</v>
      </c>
      <c r="F5">
        <v>1</v>
      </c>
      <c r="G5" s="503">
        <v>1405</v>
      </c>
      <c r="H5" s="334">
        <v>0.02</v>
      </c>
      <c r="I5" s="334">
        <v>6.8400000000000002E-2</v>
      </c>
      <c r="J5" s="334">
        <v>1</v>
      </c>
      <c r="K5" s="334">
        <v>1</v>
      </c>
      <c r="L5" s="115">
        <v>1</v>
      </c>
      <c r="M5" s="157">
        <v>1</v>
      </c>
      <c r="N5" s="157">
        <v>1</v>
      </c>
      <c r="O5" s="157">
        <v>1</v>
      </c>
      <c r="P5" s="157">
        <v>1</v>
      </c>
      <c r="Q5" s="157">
        <v>1</v>
      </c>
      <c r="R5" s="157">
        <v>1</v>
      </c>
      <c r="S5" s="157">
        <v>1</v>
      </c>
      <c r="T5" s="157">
        <v>1</v>
      </c>
      <c r="U5" s="157">
        <v>1</v>
      </c>
      <c r="V5" s="59">
        <v>1171.0823494787198</v>
      </c>
      <c r="W5" s="59">
        <v>1171.0823494787198</v>
      </c>
      <c r="X5" s="59">
        <v>1171.0823494787198</v>
      </c>
      <c r="Y5" s="59">
        <v>1171.0823494787198</v>
      </c>
      <c r="Z5" s="59">
        <v>1171.0823494787198</v>
      </c>
      <c r="AA5" s="59">
        <v>0</v>
      </c>
      <c r="AB5">
        <v>2026</v>
      </c>
      <c r="AC5">
        <v>2100</v>
      </c>
      <c r="AD5">
        <v>0</v>
      </c>
      <c r="AE5">
        <v>0</v>
      </c>
      <c r="AF5" s="24">
        <v>44</v>
      </c>
      <c r="AG5" s="24">
        <v>0</v>
      </c>
      <c r="AH5" s="153">
        <v>0.39</v>
      </c>
      <c r="AI5" s="153">
        <v>0</v>
      </c>
      <c r="AJ5" s="157">
        <v>303</v>
      </c>
      <c r="AM5" t="s">
        <v>214</v>
      </c>
    </row>
    <row r="6" spans="1:42" ht="13.5" hidden="1" thickTop="1">
      <c r="A6">
        <v>1502</v>
      </c>
      <c r="B6">
        <v>1502</v>
      </c>
      <c r="C6" s="542" t="s">
        <v>285</v>
      </c>
      <c r="D6" s="542" t="s">
        <v>285</v>
      </c>
      <c r="E6" t="s">
        <v>152</v>
      </c>
      <c r="F6">
        <v>3</v>
      </c>
      <c r="G6" s="135">
        <v>11.5</v>
      </c>
      <c r="H6" s="543">
        <v>0.34860000000000002</v>
      </c>
      <c r="I6" s="543">
        <v>0.1207</v>
      </c>
      <c r="J6" s="135">
        <v>0</v>
      </c>
      <c r="K6" s="334">
        <v>1</v>
      </c>
      <c r="L6" s="334">
        <v>1</v>
      </c>
      <c r="M6" s="157">
        <v>1</v>
      </c>
      <c r="N6" s="157">
        <v>1</v>
      </c>
      <c r="O6" s="157">
        <v>1</v>
      </c>
      <c r="P6" s="157">
        <v>1</v>
      </c>
      <c r="Q6" s="157">
        <v>1</v>
      </c>
      <c r="R6" s="157">
        <v>1</v>
      </c>
      <c r="S6" s="157">
        <v>1</v>
      </c>
      <c r="T6" s="157">
        <v>1</v>
      </c>
      <c r="U6" s="157">
        <v>1</v>
      </c>
      <c r="W6" s="544"/>
      <c r="X6" s="544"/>
      <c r="Y6" s="544"/>
      <c r="Z6" s="544"/>
      <c r="AA6" s="544"/>
      <c r="AB6">
        <v>1900</v>
      </c>
      <c r="AC6" s="545">
        <v>2022</v>
      </c>
      <c r="AD6">
        <v>0</v>
      </c>
      <c r="AE6">
        <v>0</v>
      </c>
      <c r="AF6">
        <v>226</v>
      </c>
      <c r="AG6" s="24">
        <v>900</v>
      </c>
      <c r="AH6">
        <v>0.36</v>
      </c>
      <c r="AI6">
        <v>0.73</v>
      </c>
      <c r="AJ6" s="157">
        <v>351</v>
      </c>
      <c r="AM6" t="s">
        <v>280</v>
      </c>
    </row>
    <row r="7" spans="1:42" ht="13.5" thickTop="1">
      <c r="A7">
        <v>12</v>
      </c>
      <c r="B7">
        <v>12</v>
      </c>
      <c r="C7" t="s">
        <v>286</v>
      </c>
      <c r="D7" t="s">
        <v>286</v>
      </c>
      <c r="E7" t="s">
        <v>146</v>
      </c>
      <c r="F7">
        <v>1</v>
      </c>
      <c r="G7" s="503">
        <v>529</v>
      </c>
      <c r="H7" s="334">
        <v>5.7699999999999994E-2</v>
      </c>
      <c r="I7" s="334">
        <v>4.7800000000000002E-2</v>
      </c>
      <c r="J7" s="334">
        <v>0</v>
      </c>
      <c r="K7" s="334">
        <v>0</v>
      </c>
      <c r="L7" s="115">
        <v>1</v>
      </c>
      <c r="M7" s="157">
        <v>1</v>
      </c>
      <c r="N7" s="157">
        <v>1</v>
      </c>
      <c r="O7" s="157">
        <v>1</v>
      </c>
      <c r="P7" s="157">
        <v>1</v>
      </c>
      <c r="Q7" s="157">
        <v>1</v>
      </c>
      <c r="R7" s="157">
        <v>1</v>
      </c>
      <c r="S7" s="157">
        <v>1</v>
      </c>
      <c r="T7" s="157">
        <v>1</v>
      </c>
      <c r="U7" s="157">
        <v>1</v>
      </c>
      <c r="V7" s="59">
        <v>0</v>
      </c>
      <c r="W7" s="59">
        <v>0</v>
      </c>
      <c r="X7" s="59">
        <v>0</v>
      </c>
      <c r="Y7" s="59">
        <v>0</v>
      </c>
      <c r="Z7" s="59">
        <v>0</v>
      </c>
      <c r="AA7" s="59">
        <v>0</v>
      </c>
      <c r="AB7">
        <v>1900</v>
      </c>
      <c r="AC7" s="157">
        <v>2030</v>
      </c>
      <c r="AD7">
        <v>0</v>
      </c>
      <c r="AE7">
        <v>0</v>
      </c>
      <c r="AF7" s="24">
        <v>12</v>
      </c>
      <c r="AG7" s="24">
        <v>305.83333333333297</v>
      </c>
      <c r="AH7" s="153">
        <v>0.57999999999999996</v>
      </c>
      <c r="AI7" s="153">
        <v>0.37212999999999996</v>
      </c>
      <c r="AJ7" s="157">
        <v>301</v>
      </c>
      <c r="AM7" t="s">
        <v>287</v>
      </c>
    </row>
    <row r="8" spans="1:42" hidden="1">
      <c r="A8">
        <f>A7+1</f>
        <v>13</v>
      </c>
      <c r="B8">
        <f>B7+1</f>
        <v>13</v>
      </c>
      <c r="C8" s="542" t="s">
        <v>288</v>
      </c>
      <c r="D8" s="542" t="s">
        <v>289</v>
      </c>
      <c r="E8" t="s">
        <v>152</v>
      </c>
      <c r="F8">
        <v>3</v>
      </c>
      <c r="G8" s="135">
        <v>31</v>
      </c>
      <c r="H8" s="543">
        <v>6.9099999999999995E-2</v>
      </c>
      <c r="I8" s="543">
        <v>4.2000000000000003E-2</v>
      </c>
      <c r="J8" s="135">
        <v>0</v>
      </c>
      <c r="K8" s="334">
        <v>0.98</v>
      </c>
      <c r="L8" s="334">
        <v>1</v>
      </c>
      <c r="M8" s="157">
        <v>1</v>
      </c>
      <c r="N8" s="157">
        <v>1</v>
      </c>
      <c r="O8" s="157">
        <v>1</v>
      </c>
      <c r="P8" s="157">
        <v>1</v>
      </c>
      <c r="Q8" s="157">
        <v>1</v>
      </c>
      <c r="R8" s="157">
        <v>1</v>
      </c>
      <c r="S8" s="157">
        <v>1</v>
      </c>
      <c r="T8" s="157">
        <v>1</v>
      </c>
      <c r="U8" s="157">
        <v>1</v>
      </c>
      <c r="W8" s="544"/>
      <c r="X8" s="544"/>
      <c r="Y8" s="544"/>
      <c r="Z8" s="544"/>
      <c r="AA8" s="544"/>
      <c r="AB8">
        <v>1900</v>
      </c>
      <c r="AC8" s="545">
        <v>2025</v>
      </c>
      <c r="AD8">
        <v>0</v>
      </c>
      <c r="AE8">
        <v>0</v>
      </c>
      <c r="AF8">
        <v>227</v>
      </c>
      <c r="AG8" s="24">
        <v>195</v>
      </c>
      <c r="AH8">
        <v>0.36</v>
      </c>
      <c r="AI8">
        <v>0.73</v>
      </c>
      <c r="AJ8" s="157">
        <v>341</v>
      </c>
      <c r="AM8" t="s">
        <v>290</v>
      </c>
    </row>
    <row r="9" spans="1:42">
      <c r="A9">
        <v>211</v>
      </c>
      <c r="B9">
        <v>211</v>
      </c>
      <c r="C9" t="s">
        <v>291</v>
      </c>
      <c r="D9" t="s">
        <v>291</v>
      </c>
      <c r="E9" t="s">
        <v>146</v>
      </c>
      <c r="F9">
        <v>1</v>
      </c>
      <c r="G9" s="503">
        <v>530</v>
      </c>
      <c r="H9" s="334">
        <v>4.3899999999999995E-2</v>
      </c>
      <c r="I9" s="334">
        <v>3.6600000000000001E-2</v>
      </c>
      <c r="J9" s="334">
        <v>0.5</v>
      </c>
      <c r="K9" s="334">
        <v>1</v>
      </c>
      <c r="L9" s="115">
        <v>1</v>
      </c>
      <c r="M9" s="157">
        <v>1</v>
      </c>
      <c r="N9" s="157">
        <v>1</v>
      </c>
      <c r="O9" s="157">
        <v>1</v>
      </c>
      <c r="P9" s="157">
        <v>1</v>
      </c>
      <c r="Q9" s="157">
        <v>1</v>
      </c>
      <c r="R9" s="157">
        <v>1</v>
      </c>
      <c r="S9" s="157">
        <v>1</v>
      </c>
      <c r="T9" s="157">
        <v>1</v>
      </c>
      <c r="U9" s="157">
        <v>1</v>
      </c>
      <c r="V9" s="59">
        <v>0</v>
      </c>
      <c r="W9" s="59">
        <v>449.67194203091657</v>
      </c>
      <c r="X9" s="59">
        <v>449.67194203091657</v>
      </c>
      <c r="Y9" s="59">
        <v>449.67194203091657</v>
      </c>
      <c r="Z9" s="59">
        <v>449.67194203091657</v>
      </c>
      <c r="AA9" s="59">
        <v>449.67194203091657</v>
      </c>
      <c r="AB9">
        <v>1900</v>
      </c>
      <c r="AC9" s="157">
        <v>2033</v>
      </c>
      <c r="AD9">
        <v>0</v>
      </c>
      <c r="AE9">
        <v>0</v>
      </c>
      <c r="AF9" s="24">
        <v>211</v>
      </c>
      <c r="AG9" s="24">
        <v>175</v>
      </c>
      <c r="AH9" s="153">
        <v>0.57999999999999996</v>
      </c>
      <c r="AI9" s="153">
        <v>0.37212999999999996</v>
      </c>
      <c r="AJ9" s="157">
        <v>302</v>
      </c>
      <c r="AM9" t="s">
        <v>287</v>
      </c>
    </row>
    <row r="10" spans="1:42" hidden="1">
      <c r="A10">
        <f>A9+1</f>
        <v>212</v>
      </c>
      <c r="B10">
        <f>B9+1</f>
        <v>212</v>
      </c>
      <c r="C10" s="542" t="s">
        <v>292</v>
      </c>
      <c r="D10" s="542" t="s">
        <v>292</v>
      </c>
      <c r="E10" t="s">
        <v>152</v>
      </c>
      <c r="F10">
        <v>3</v>
      </c>
      <c r="G10" s="135">
        <v>11.5</v>
      </c>
      <c r="H10" s="543">
        <v>0.31519999999999998</v>
      </c>
      <c r="I10" s="543">
        <v>0.1183</v>
      </c>
      <c r="J10" s="135">
        <v>0</v>
      </c>
      <c r="K10" s="334">
        <v>1</v>
      </c>
      <c r="L10" s="334">
        <v>1</v>
      </c>
      <c r="M10" s="157">
        <v>1</v>
      </c>
      <c r="N10" s="157">
        <v>1</v>
      </c>
      <c r="O10" s="157">
        <v>1</v>
      </c>
      <c r="P10" s="157">
        <v>1</v>
      </c>
      <c r="Q10" s="157">
        <v>1</v>
      </c>
      <c r="R10" s="157">
        <v>1</v>
      </c>
      <c r="S10" s="157">
        <v>1</v>
      </c>
      <c r="T10" s="157">
        <v>1</v>
      </c>
      <c r="U10" s="157">
        <v>1</v>
      </c>
      <c r="W10" s="544"/>
      <c r="X10" s="544"/>
      <c r="Y10" s="544"/>
      <c r="Z10" s="544"/>
      <c r="AA10" s="544"/>
      <c r="AB10">
        <v>1900</v>
      </c>
      <c r="AC10" s="545">
        <v>2022</v>
      </c>
      <c r="AD10">
        <v>0</v>
      </c>
      <c r="AE10">
        <v>0</v>
      </c>
      <c r="AF10">
        <v>228</v>
      </c>
      <c r="AG10" s="24">
        <v>195</v>
      </c>
      <c r="AH10">
        <v>0.36</v>
      </c>
      <c r="AI10">
        <v>0.73</v>
      </c>
      <c r="AJ10" s="157">
        <v>351</v>
      </c>
      <c r="AM10" t="s">
        <v>280</v>
      </c>
    </row>
    <row r="11" spans="1:42" hidden="1">
      <c r="A11">
        <v>93</v>
      </c>
      <c r="B11">
        <v>93</v>
      </c>
      <c r="C11" t="s">
        <v>293</v>
      </c>
      <c r="D11" t="s">
        <v>293</v>
      </c>
      <c r="E11" t="s">
        <v>152</v>
      </c>
      <c r="F11">
        <v>3</v>
      </c>
      <c r="G11" s="503">
        <v>346.8</v>
      </c>
      <c r="H11" s="334">
        <v>0.25290000000000001</v>
      </c>
      <c r="I11" s="334">
        <v>0.1663</v>
      </c>
      <c r="J11" s="334">
        <v>0</v>
      </c>
      <c r="K11" s="334">
        <v>0</v>
      </c>
      <c r="L11" s="115">
        <v>1</v>
      </c>
      <c r="M11" s="157">
        <v>1</v>
      </c>
      <c r="N11" s="157">
        <v>1</v>
      </c>
      <c r="O11" s="157">
        <v>1</v>
      </c>
      <c r="P11" s="157">
        <v>1</v>
      </c>
      <c r="Q11" s="157">
        <v>1</v>
      </c>
      <c r="R11" s="157">
        <v>1</v>
      </c>
      <c r="S11" s="157">
        <v>1</v>
      </c>
      <c r="T11" s="157">
        <v>1</v>
      </c>
      <c r="U11" s="157">
        <v>1</v>
      </c>
      <c r="V11" s="59">
        <v>0</v>
      </c>
      <c r="W11" s="59">
        <v>0</v>
      </c>
      <c r="X11" s="59">
        <v>0</v>
      </c>
      <c r="Y11" s="59">
        <v>0</v>
      </c>
      <c r="Z11" s="59">
        <v>0</v>
      </c>
      <c r="AA11" s="59">
        <v>0</v>
      </c>
      <c r="AB11">
        <v>1900</v>
      </c>
      <c r="AC11" s="157">
        <v>2026</v>
      </c>
      <c r="AD11">
        <v>0</v>
      </c>
      <c r="AE11">
        <v>0</v>
      </c>
      <c r="AF11" s="24">
        <v>93</v>
      </c>
      <c r="AG11" s="24">
        <v>229.5</v>
      </c>
      <c r="AH11" s="153">
        <v>0.36</v>
      </c>
      <c r="AI11" s="153">
        <v>0.73326000000000002</v>
      </c>
      <c r="AJ11" s="157">
        <v>351</v>
      </c>
      <c r="AM11" t="s">
        <v>280</v>
      </c>
    </row>
    <row r="12" spans="1:42" hidden="1">
      <c r="A12">
        <f t="shared" ref="A12:B14" si="0">A11+1</f>
        <v>94</v>
      </c>
      <c r="B12">
        <f t="shared" si="0"/>
        <v>94</v>
      </c>
      <c r="C12" s="542" t="s">
        <v>294</v>
      </c>
      <c r="D12" s="542" t="s">
        <v>294</v>
      </c>
      <c r="E12" t="s">
        <v>152</v>
      </c>
      <c r="F12">
        <v>3</v>
      </c>
      <c r="G12" s="135">
        <v>150</v>
      </c>
      <c r="H12" s="543">
        <v>0.1202</v>
      </c>
      <c r="I12" s="543">
        <v>2.7000000000000001E-3</v>
      </c>
      <c r="J12" s="135">
        <v>0</v>
      </c>
      <c r="K12" s="334">
        <v>1</v>
      </c>
      <c r="L12" s="334">
        <v>1</v>
      </c>
      <c r="M12" s="157">
        <v>1</v>
      </c>
      <c r="N12" s="157">
        <v>1</v>
      </c>
      <c r="O12" s="157">
        <v>1</v>
      </c>
      <c r="P12" s="157">
        <v>1</v>
      </c>
      <c r="Q12" s="157">
        <v>1</v>
      </c>
      <c r="R12" s="157">
        <v>1</v>
      </c>
      <c r="S12" s="157">
        <v>1</v>
      </c>
      <c r="T12" s="157">
        <v>1</v>
      </c>
      <c r="U12" s="157">
        <v>1</v>
      </c>
      <c r="W12" s="544"/>
      <c r="X12" s="544"/>
      <c r="Y12" s="544"/>
      <c r="Z12" s="544"/>
      <c r="AA12" s="544"/>
      <c r="AB12">
        <v>1900</v>
      </c>
      <c r="AC12" s="545">
        <v>2023</v>
      </c>
      <c r="AD12">
        <v>0</v>
      </c>
      <c r="AE12">
        <v>0</v>
      </c>
      <c r="AF12">
        <v>229</v>
      </c>
      <c r="AG12" s="24">
        <v>195</v>
      </c>
      <c r="AH12">
        <v>0.36</v>
      </c>
      <c r="AI12">
        <v>0.73</v>
      </c>
      <c r="AJ12" s="157">
        <v>341</v>
      </c>
      <c r="AM12" t="s">
        <v>290</v>
      </c>
    </row>
    <row r="13" spans="1:42" hidden="1">
      <c r="A13">
        <f t="shared" si="0"/>
        <v>95</v>
      </c>
      <c r="B13">
        <f t="shared" si="0"/>
        <v>95</v>
      </c>
      <c r="C13" s="542" t="s">
        <v>295</v>
      </c>
      <c r="D13" s="542" t="s">
        <v>295</v>
      </c>
      <c r="E13" t="s">
        <v>152</v>
      </c>
      <c r="F13">
        <v>3</v>
      </c>
      <c r="G13" s="135">
        <v>169.1</v>
      </c>
      <c r="H13" s="543">
        <v>5.2699999999999997E-2</v>
      </c>
      <c r="I13" s="543">
        <v>1.0700000000000001E-2</v>
      </c>
      <c r="J13" s="135">
        <v>0</v>
      </c>
      <c r="K13" s="334">
        <v>1</v>
      </c>
      <c r="L13" s="334">
        <v>1</v>
      </c>
      <c r="M13" s="157">
        <v>1</v>
      </c>
      <c r="N13" s="157">
        <v>1</v>
      </c>
      <c r="O13" s="157">
        <v>1</v>
      </c>
      <c r="P13" s="157">
        <v>1</v>
      </c>
      <c r="Q13" s="157">
        <v>1</v>
      </c>
      <c r="R13" s="157">
        <v>1</v>
      </c>
      <c r="S13" s="157">
        <v>1</v>
      </c>
      <c r="T13" s="157">
        <v>1</v>
      </c>
      <c r="U13" s="157">
        <v>1</v>
      </c>
      <c r="W13" s="544"/>
      <c r="X13" s="544"/>
      <c r="Y13" s="544"/>
      <c r="Z13" s="544"/>
      <c r="AA13" s="544"/>
      <c r="AB13">
        <v>1900</v>
      </c>
      <c r="AC13" s="545">
        <v>2024</v>
      </c>
      <c r="AD13">
        <v>0</v>
      </c>
      <c r="AE13">
        <v>0</v>
      </c>
      <c r="AF13">
        <v>230</v>
      </c>
      <c r="AG13" s="24">
        <v>195</v>
      </c>
      <c r="AH13">
        <v>0.36</v>
      </c>
      <c r="AI13">
        <v>0.73</v>
      </c>
      <c r="AJ13" s="157">
        <v>341</v>
      </c>
      <c r="AM13" t="s">
        <v>290</v>
      </c>
    </row>
    <row r="14" spans="1:42" hidden="1">
      <c r="A14">
        <f t="shared" si="0"/>
        <v>96</v>
      </c>
      <c r="B14">
        <f t="shared" si="0"/>
        <v>96</v>
      </c>
      <c r="C14" s="542" t="s">
        <v>296</v>
      </c>
      <c r="D14" s="542" t="s">
        <v>296</v>
      </c>
      <c r="E14" t="s">
        <v>152</v>
      </c>
      <c r="F14">
        <v>3</v>
      </c>
      <c r="G14" s="135">
        <v>13.1</v>
      </c>
      <c r="H14" s="543">
        <v>0.34749999999999998</v>
      </c>
      <c r="I14" s="543">
        <v>0.1174</v>
      </c>
      <c r="J14" s="135">
        <v>0</v>
      </c>
      <c r="K14" s="334">
        <v>1</v>
      </c>
      <c r="L14" s="334">
        <v>1</v>
      </c>
      <c r="M14" s="157">
        <v>1</v>
      </c>
      <c r="N14" s="157">
        <v>1</v>
      </c>
      <c r="O14" s="157">
        <v>1</v>
      </c>
      <c r="P14" s="157">
        <v>1</v>
      </c>
      <c r="Q14" s="157">
        <v>1</v>
      </c>
      <c r="R14" s="157">
        <v>1</v>
      </c>
      <c r="S14" s="157">
        <v>1</v>
      </c>
      <c r="T14" s="157">
        <v>1</v>
      </c>
      <c r="U14" s="157">
        <v>1</v>
      </c>
      <c r="W14" s="544"/>
      <c r="X14" s="544"/>
      <c r="Y14" s="544"/>
      <c r="Z14" s="544"/>
      <c r="AA14" s="544"/>
      <c r="AB14">
        <v>1900</v>
      </c>
      <c r="AC14" s="545">
        <v>2022</v>
      </c>
      <c r="AD14">
        <v>0</v>
      </c>
      <c r="AE14">
        <v>0</v>
      </c>
      <c r="AF14">
        <v>231</v>
      </c>
      <c r="AG14" s="24">
        <v>900</v>
      </c>
      <c r="AH14">
        <v>0.36</v>
      </c>
      <c r="AI14">
        <v>0.73</v>
      </c>
      <c r="AJ14" s="157">
        <v>351</v>
      </c>
      <c r="AM14" t="s">
        <v>280</v>
      </c>
    </row>
    <row r="15" spans="1:42" hidden="1">
      <c r="A15">
        <v>156</v>
      </c>
      <c r="B15">
        <v>156</v>
      </c>
      <c r="C15" t="s">
        <v>297</v>
      </c>
      <c r="D15" t="s">
        <v>297</v>
      </c>
      <c r="E15" t="s">
        <v>149</v>
      </c>
      <c r="F15">
        <v>2</v>
      </c>
      <c r="G15" s="628">
        <f>350+35.36</f>
        <v>385.36</v>
      </c>
      <c r="H15" s="334">
        <v>0.20440000000000003</v>
      </c>
      <c r="I15" s="334">
        <v>0.13449999999999998</v>
      </c>
      <c r="J15" s="334">
        <v>0.87134351585365966</v>
      </c>
      <c r="K15" s="334">
        <v>1</v>
      </c>
      <c r="L15" s="115">
        <v>1</v>
      </c>
      <c r="M15" s="157">
        <v>1</v>
      </c>
      <c r="N15" s="157">
        <v>1</v>
      </c>
      <c r="O15" s="157">
        <v>1</v>
      </c>
      <c r="P15" s="157">
        <v>1</v>
      </c>
      <c r="Q15" s="157">
        <v>1</v>
      </c>
      <c r="R15" s="157">
        <v>1</v>
      </c>
      <c r="S15" s="157">
        <v>1</v>
      </c>
      <c r="T15" s="157">
        <v>1</v>
      </c>
      <c r="U15" s="157">
        <v>1</v>
      </c>
      <c r="V15" s="59">
        <v>144.60427799999999</v>
      </c>
      <c r="W15" s="59">
        <v>165.955533459534</v>
      </c>
      <c r="X15" s="59">
        <v>165.955533459534</v>
      </c>
      <c r="Y15" s="59">
        <v>165.955533459534</v>
      </c>
      <c r="Z15" s="59">
        <v>165.955533459534</v>
      </c>
      <c r="AA15" s="59">
        <v>21.351255459534002</v>
      </c>
      <c r="AB15">
        <v>1900</v>
      </c>
      <c r="AC15">
        <v>2028</v>
      </c>
      <c r="AD15">
        <v>0</v>
      </c>
      <c r="AE15">
        <v>0</v>
      </c>
      <c r="AF15" s="24">
        <v>156</v>
      </c>
      <c r="AG15" s="24">
        <v>894.40993788819878</v>
      </c>
      <c r="AH15" s="153">
        <v>0.39</v>
      </c>
      <c r="AI15" s="153">
        <v>0.95356799999999997</v>
      </c>
      <c r="AJ15" s="157">
        <v>305</v>
      </c>
      <c r="AM15" t="s">
        <v>298</v>
      </c>
    </row>
    <row r="16" spans="1:42">
      <c r="A16">
        <v>64</v>
      </c>
      <c r="B16">
        <v>64</v>
      </c>
      <c r="C16" t="s">
        <v>299</v>
      </c>
      <c r="D16" t="s">
        <v>299</v>
      </c>
      <c r="E16" t="s">
        <v>149</v>
      </c>
      <c r="F16">
        <v>2</v>
      </c>
      <c r="G16" s="503">
        <v>248.6</v>
      </c>
      <c r="H16" s="334">
        <v>1.9900000000000001E-2</v>
      </c>
      <c r="I16" s="334">
        <v>3.49E-2</v>
      </c>
      <c r="J16" s="334">
        <v>0.5</v>
      </c>
      <c r="K16" s="334">
        <v>1</v>
      </c>
      <c r="L16" s="115">
        <v>1</v>
      </c>
      <c r="M16" s="157">
        <v>1</v>
      </c>
      <c r="N16" s="157">
        <v>1</v>
      </c>
      <c r="O16" s="157">
        <v>1</v>
      </c>
      <c r="P16" s="157">
        <v>1</v>
      </c>
      <c r="Q16" s="157">
        <v>1</v>
      </c>
      <c r="R16" s="157">
        <v>1</v>
      </c>
      <c r="S16" s="157">
        <v>1</v>
      </c>
      <c r="T16" s="157">
        <v>1</v>
      </c>
      <c r="U16" s="157">
        <v>1</v>
      </c>
      <c r="V16" s="59">
        <v>0</v>
      </c>
      <c r="W16" s="59">
        <v>222.42650301836755</v>
      </c>
      <c r="X16" s="59">
        <v>222.42650301836755</v>
      </c>
      <c r="Y16" s="59">
        <v>222.42650301836755</v>
      </c>
      <c r="Z16" s="59">
        <v>222.42650301836755</v>
      </c>
      <c r="AA16" s="59">
        <v>222.42650301836755</v>
      </c>
      <c r="AB16">
        <v>1900</v>
      </c>
      <c r="AC16" s="157">
        <v>2021</v>
      </c>
      <c r="AD16">
        <v>0</v>
      </c>
      <c r="AE16">
        <v>0</v>
      </c>
      <c r="AF16" s="24">
        <v>64</v>
      </c>
      <c r="AG16" s="24">
        <v>176.666666666667</v>
      </c>
      <c r="AH16" s="153">
        <v>0.57999999999999996</v>
      </c>
      <c r="AI16" s="153">
        <v>0.37212999999999996</v>
      </c>
      <c r="AJ16" s="157">
        <v>302</v>
      </c>
      <c r="AM16" t="s">
        <v>287</v>
      </c>
    </row>
    <row r="17" spans="1:40" hidden="1">
      <c r="A17">
        <f t="shared" ref="A17:B20" si="1">A16+1</f>
        <v>65</v>
      </c>
      <c r="B17">
        <f t="shared" si="1"/>
        <v>65</v>
      </c>
      <c r="C17" t="s">
        <v>300</v>
      </c>
      <c r="D17" t="s">
        <v>300</v>
      </c>
      <c r="E17" t="s">
        <v>146</v>
      </c>
      <c r="F17" s="520">
        <v>1</v>
      </c>
      <c r="G17" s="503">
        <v>36</v>
      </c>
      <c r="H17" s="115">
        <v>0</v>
      </c>
      <c r="I17" s="115">
        <v>0</v>
      </c>
      <c r="J17" s="550">
        <v>0</v>
      </c>
      <c r="K17" s="334">
        <v>0</v>
      </c>
      <c r="L17" s="334">
        <v>1</v>
      </c>
      <c r="M17" s="157">
        <v>1</v>
      </c>
      <c r="N17" s="157">
        <v>1</v>
      </c>
      <c r="O17" s="157">
        <v>1</v>
      </c>
      <c r="P17" s="157">
        <v>1</v>
      </c>
      <c r="Q17" s="157">
        <v>1</v>
      </c>
      <c r="R17" s="157">
        <v>1</v>
      </c>
      <c r="S17" s="157">
        <v>1</v>
      </c>
      <c r="T17" s="157">
        <v>1</v>
      </c>
      <c r="U17" s="157">
        <v>1</v>
      </c>
      <c r="V17" s="59"/>
      <c r="W17" s="59"/>
      <c r="X17" s="59"/>
      <c r="Y17" s="59"/>
      <c r="Z17" s="59"/>
      <c r="AA17" s="59"/>
      <c r="AB17">
        <v>1900</v>
      </c>
      <c r="AC17" s="157">
        <v>2026</v>
      </c>
      <c r="AD17">
        <v>0</v>
      </c>
      <c r="AE17">
        <v>0</v>
      </c>
      <c r="AF17" s="24">
        <v>232</v>
      </c>
      <c r="AG17" s="24">
        <v>195</v>
      </c>
      <c r="AH17" s="153">
        <v>0.36</v>
      </c>
      <c r="AI17">
        <v>0.73</v>
      </c>
      <c r="AJ17" s="157">
        <v>341</v>
      </c>
      <c r="AM17" t="s">
        <v>290</v>
      </c>
    </row>
    <row r="18" spans="1:40" hidden="1">
      <c r="A18">
        <f t="shared" si="1"/>
        <v>66</v>
      </c>
      <c r="B18">
        <f t="shared" si="1"/>
        <v>66</v>
      </c>
      <c r="C18" s="542" t="s">
        <v>301</v>
      </c>
      <c r="D18" s="542" t="s">
        <v>301</v>
      </c>
      <c r="E18" t="s">
        <v>152</v>
      </c>
      <c r="F18">
        <v>3</v>
      </c>
      <c r="G18" s="135">
        <v>14.8</v>
      </c>
      <c r="H18" s="543">
        <v>0.31850000000000001</v>
      </c>
      <c r="I18" s="543">
        <v>0.12720000000000001</v>
      </c>
      <c r="J18" s="135">
        <v>0</v>
      </c>
      <c r="K18" s="334">
        <v>1</v>
      </c>
      <c r="L18" s="334">
        <v>1</v>
      </c>
      <c r="M18" s="157">
        <v>1</v>
      </c>
      <c r="N18" s="157">
        <v>1</v>
      </c>
      <c r="O18" s="157">
        <v>1</v>
      </c>
      <c r="P18" s="157">
        <v>1</v>
      </c>
      <c r="Q18" s="157">
        <v>1</v>
      </c>
      <c r="R18" s="157">
        <v>1</v>
      </c>
      <c r="S18" s="157">
        <v>1</v>
      </c>
      <c r="T18" s="157">
        <v>1</v>
      </c>
      <c r="U18" s="157">
        <v>1</v>
      </c>
      <c r="W18" s="544"/>
      <c r="X18" s="544"/>
      <c r="Y18" s="544"/>
      <c r="Z18" s="544"/>
      <c r="AA18" s="544"/>
      <c r="AB18">
        <v>1900</v>
      </c>
      <c r="AC18" s="545">
        <v>2022</v>
      </c>
      <c r="AD18">
        <v>0</v>
      </c>
      <c r="AE18">
        <v>0</v>
      </c>
      <c r="AF18">
        <v>233</v>
      </c>
      <c r="AG18" s="24">
        <v>195</v>
      </c>
      <c r="AH18">
        <v>0.36</v>
      </c>
      <c r="AI18">
        <v>0.73</v>
      </c>
      <c r="AJ18" s="157">
        <v>351</v>
      </c>
      <c r="AM18" t="s">
        <v>280</v>
      </c>
    </row>
    <row r="19" spans="1:40">
      <c r="A19">
        <f t="shared" si="1"/>
        <v>67</v>
      </c>
      <c r="B19">
        <f t="shared" si="1"/>
        <v>67</v>
      </c>
      <c r="C19" t="s">
        <v>302</v>
      </c>
      <c r="D19" t="s">
        <v>302</v>
      </c>
      <c r="E19" t="s">
        <v>146</v>
      </c>
      <c r="F19" s="520">
        <v>1</v>
      </c>
      <c r="G19" s="503">
        <v>216</v>
      </c>
      <c r="H19" s="334">
        <v>4.82E-2</v>
      </c>
      <c r="I19" s="115">
        <v>3.6400000000000002E-2</v>
      </c>
      <c r="J19" s="334">
        <v>0.43613154460086162</v>
      </c>
      <c r="K19" s="334">
        <v>1</v>
      </c>
      <c r="L19" s="334">
        <v>1</v>
      </c>
      <c r="M19" s="157">
        <v>1</v>
      </c>
      <c r="N19" s="157">
        <v>1</v>
      </c>
      <c r="O19" s="157">
        <v>1</v>
      </c>
      <c r="P19" s="157">
        <v>1</v>
      </c>
      <c r="Q19" s="157">
        <v>1</v>
      </c>
      <c r="R19" s="157">
        <v>1</v>
      </c>
      <c r="S19" s="157">
        <v>1</v>
      </c>
      <c r="T19" s="157">
        <v>1</v>
      </c>
      <c r="U19" s="157">
        <v>1</v>
      </c>
      <c r="V19" s="59"/>
      <c r="W19" s="59"/>
      <c r="X19" s="59"/>
      <c r="Y19" s="59"/>
      <c r="Z19" s="59"/>
      <c r="AA19" s="59"/>
      <c r="AB19">
        <v>1900</v>
      </c>
      <c r="AC19" s="157">
        <v>2024</v>
      </c>
      <c r="AD19">
        <v>0</v>
      </c>
      <c r="AE19">
        <v>0</v>
      </c>
      <c r="AF19" s="24">
        <v>234</v>
      </c>
      <c r="AG19" s="24">
        <v>195</v>
      </c>
      <c r="AH19" s="153">
        <v>0.4</v>
      </c>
      <c r="AI19" s="153">
        <v>0.5</v>
      </c>
      <c r="AJ19" s="157">
        <v>302</v>
      </c>
      <c r="AM19" t="s">
        <v>287</v>
      </c>
    </row>
    <row r="20" spans="1:40" hidden="1">
      <c r="A20">
        <f t="shared" si="1"/>
        <v>68</v>
      </c>
      <c r="B20">
        <f t="shared" si="1"/>
        <v>68</v>
      </c>
      <c r="C20" s="542" t="s">
        <v>303</v>
      </c>
      <c r="D20" s="542" t="s">
        <v>303</v>
      </c>
      <c r="E20" t="s">
        <v>152</v>
      </c>
      <c r="F20">
        <v>3</v>
      </c>
      <c r="G20" s="135">
        <v>13.1</v>
      </c>
      <c r="H20" s="334">
        <v>0.35799999999999998</v>
      </c>
      <c r="I20" s="543">
        <v>0.11840000000000001</v>
      </c>
      <c r="J20" s="135">
        <v>0</v>
      </c>
      <c r="K20" s="334">
        <v>1</v>
      </c>
      <c r="L20" s="334">
        <v>1</v>
      </c>
      <c r="M20" s="157">
        <v>1</v>
      </c>
      <c r="N20" s="157">
        <v>1</v>
      </c>
      <c r="O20" s="157">
        <v>1</v>
      </c>
      <c r="P20" s="157">
        <v>1</v>
      </c>
      <c r="Q20" s="157">
        <v>1</v>
      </c>
      <c r="R20" s="157">
        <v>1</v>
      </c>
      <c r="S20" s="157">
        <v>1</v>
      </c>
      <c r="T20" s="157">
        <v>1</v>
      </c>
      <c r="U20" s="157">
        <v>1</v>
      </c>
      <c r="W20" s="544"/>
      <c r="X20" s="544"/>
      <c r="Y20" s="544"/>
      <c r="Z20" s="544"/>
      <c r="AA20" s="544"/>
      <c r="AB20">
        <v>1900</v>
      </c>
      <c r="AC20" s="545">
        <v>2022</v>
      </c>
      <c r="AD20">
        <v>0</v>
      </c>
      <c r="AE20">
        <v>0</v>
      </c>
      <c r="AF20">
        <v>235</v>
      </c>
      <c r="AG20" s="24">
        <v>195</v>
      </c>
      <c r="AH20">
        <v>0.36</v>
      </c>
      <c r="AI20">
        <v>0.73</v>
      </c>
      <c r="AJ20" s="157">
        <v>351</v>
      </c>
      <c r="AM20" t="s">
        <v>280</v>
      </c>
    </row>
    <row r="21" spans="1:40">
      <c r="A21">
        <v>50</v>
      </c>
      <c r="B21">
        <v>50</v>
      </c>
      <c r="C21" t="s">
        <v>304</v>
      </c>
      <c r="D21" t="s">
        <v>304</v>
      </c>
      <c r="E21" t="s">
        <v>146</v>
      </c>
      <c r="F21">
        <v>1</v>
      </c>
      <c r="G21" s="503">
        <v>200</v>
      </c>
      <c r="H21" s="334">
        <v>6.5700000000000008E-2</v>
      </c>
      <c r="I21" s="334">
        <v>0.1208</v>
      </c>
      <c r="J21" s="334">
        <v>0</v>
      </c>
      <c r="K21" s="334">
        <v>0</v>
      </c>
      <c r="L21" s="115">
        <v>1</v>
      </c>
      <c r="M21" s="157">
        <v>1</v>
      </c>
      <c r="N21" s="157">
        <v>1</v>
      </c>
      <c r="O21" s="157">
        <v>1</v>
      </c>
      <c r="P21" s="157">
        <v>1</v>
      </c>
      <c r="Q21" s="157">
        <v>1</v>
      </c>
      <c r="R21" s="157">
        <v>1</v>
      </c>
      <c r="S21" s="157">
        <v>1</v>
      </c>
      <c r="T21" s="157">
        <v>1</v>
      </c>
      <c r="U21" s="157">
        <v>1</v>
      </c>
      <c r="V21" s="59">
        <v>0</v>
      </c>
      <c r="W21" s="59">
        <v>0</v>
      </c>
      <c r="X21" s="59">
        <v>0</v>
      </c>
      <c r="Y21" s="59">
        <v>0</v>
      </c>
      <c r="Z21" s="59">
        <v>0</v>
      </c>
      <c r="AA21" s="59">
        <v>0</v>
      </c>
      <c r="AB21">
        <v>1900</v>
      </c>
      <c r="AC21" s="157">
        <v>2030</v>
      </c>
      <c r="AD21">
        <v>0</v>
      </c>
      <c r="AE21">
        <v>0</v>
      </c>
      <c r="AF21" s="24">
        <v>50</v>
      </c>
      <c r="AG21" s="24">
        <v>0.57999999999999996</v>
      </c>
      <c r="AH21" s="153">
        <v>0.57999999999999996</v>
      </c>
      <c r="AI21" s="153">
        <v>0.37212999999999996</v>
      </c>
      <c r="AJ21" s="157">
        <v>301</v>
      </c>
      <c r="AM21" t="s">
        <v>287</v>
      </c>
    </row>
    <row r="22" spans="1:40" hidden="1">
      <c r="A22">
        <f>A21+1</f>
        <v>51</v>
      </c>
      <c r="B22">
        <f>B21+1</f>
        <v>51</v>
      </c>
      <c r="C22" s="542" t="s">
        <v>305</v>
      </c>
      <c r="D22" s="542" t="s">
        <v>305</v>
      </c>
      <c r="E22" t="s">
        <v>146</v>
      </c>
      <c r="F22">
        <v>1</v>
      </c>
      <c r="G22" s="135">
        <v>44.4</v>
      </c>
      <c r="H22" s="334">
        <v>0.1255</v>
      </c>
      <c r="I22" s="543">
        <v>1.7000000000000001E-2</v>
      </c>
      <c r="J22" s="135">
        <v>0</v>
      </c>
      <c r="K22" s="334">
        <v>0.85</v>
      </c>
      <c r="L22" s="334">
        <v>1</v>
      </c>
      <c r="M22" s="157">
        <v>1</v>
      </c>
      <c r="N22" s="157">
        <v>1</v>
      </c>
      <c r="O22" s="157">
        <v>1</v>
      </c>
      <c r="P22" s="157">
        <v>1</v>
      </c>
      <c r="Q22" s="157">
        <v>1</v>
      </c>
      <c r="R22" s="157">
        <v>1</v>
      </c>
      <c r="S22" s="157">
        <v>1</v>
      </c>
      <c r="T22" s="157">
        <v>1</v>
      </c>
      <c r="U22" s="157">
        <v>1</v>
      </c>
      <c r="W22" s="544"/>
      <c r="X22" s="544"/>
      <c r="Y22" s="544"/>
      <c r="Z22" s="544"/>
      <c r="AA22" s="544"/>
      <c r="AB22">
        <v>1900</v>
      </c>
      <c r="AC22" s="545">
        <v>2022</v>
      </c>
      <c r="AD22">
        <v>0</v>
      </c>
      <c r="AE22">
        <v>0</v>
      </c>
      <c r="AF22">
        <v>236</v>
      </c>
      <c r="AG22" s="24">
        <v>195</v>
      </c>
      <c r="AH22">
        <v>0.36</v>
      </c>
      <c r="AI22">
        <v>0.73</v>
      </c>
      <c r="AJ22" s="157">
        <v>351</v>
      </c>
      <c r="AM22" t="s">
        <v>280</v>
      </c>
    </row>
    <row r="23" spans="1:40" hidden="1">
      <c r="A23">
        <v>183</v>
      </c>
      <c r="B23">
        <v>183</v>
      </c>
      <c r="C23" t="s">
        <v>306</v>
      </c>
      <c r="D23" t="s">
        <v>306</v>
      </c>
      <c r="E23" t="s">
        <v>146</v>
      </c>
      <c r="F23">
        <v>1</v>
      </c>
      <c r="G23" s="503">
        <v>490</v>
      </c>
      <c r="H23" s="334">
        <v>1.0700000000000001E-2</v>
      </c>
      <c r="I23" s="334">
        <v>5.16E-2</v>
      </c>
      <c r="J23" s="334">
        <v>0.93</v>
      </c>
      <c r="K23" s="334">
        <v>0.93</v>
      </c>
      <c r="L23" s="115">
        <v>1</v>
      </c>
      <c r="M23" s="157">
        <v>1</v>
      </c>
      <c r="N23" s="157">
        <v>1</v>
      </c>
      <c r="O23" s="157">
        <v>1</v>
      </c>
      <c r="P23" s="157">
        <v>1</v>
      </c>
      <c r="Q23" s="157">
        <v>1</v>
      </c>
      <c r="R23" s="157">
        <v>1</v>
      </c>
      <c r="S23" s="157">
        <v>1</v>
      </c>
      <c r="T23" s="157">
        <v>1</v>
      </c>
      <c r="U23" s="157">
        <v>1</v>
      </c>
      <c r="V23" s="59">
        <v>373.07924215912942</v>
      </c>
      <c r="W23" s="59">
        <v>373.07924215912942</v>
      </c>
      <c r="X23" s="59">
        <v>373.07924215912942</v>
      </c>
      <c r="Y23" s="59">
        <v>373.07924215912942</v>
      </c>
      <c r="Z23" s="59">
        <v>373.07924215912942</v>
      </c>
      <c r="AA23" s="59">
        <v>0</v>
      </c>
      <c r="AB23">
        <v>1900</v>
      </c>
      <c r="AC23">
        <v>2100</v>
      </c>
      <c r="AD23">
        <v>0</v>
      </c>
      <c r="AE23">
        <v>0</v>
      </c>
      <c r="AF23" s="24">
        <v>183</v>
      </c>
      <c r="AG23" s="24">
        <v>1058.8235294117646</v>
      </c>
      <c r="AH23" s="153">
        <v>0.36</v>
      </c>
      <c r="AI23" s="153">
        <v>0</v>
      </c>
      <c r="AJ23" s="157">
        <v>314</v>
      </c>
      <c r="AM23" t="s">
        <v>307</v>
      </c>
    </row>
    <row r="24" spans="1:40">
      <c r="A24">
        <v>62</v>
      </c>
      <c r="B24">
        <v>62</v>
      </c>
      <c r="C24" t="s">
        <v>308</v>
      </c>
      <c r="D24" t="s">
        <v>308</v>
      </c>
      <c r="E24" t="s">
        <v>146</v>
      </c>
      <c r="F24">
        <v>1</v>
      </c>
      <c r="G24" s="503">
        <v>385.9</v>
      </c>
      <c r="H24" s="334">
        <v>0.10880000000000001</v>
      </c>
      <c r="I24" s="334">
        <v>2.2599999999999999E-2</v>
      </c>
      <c r="J24" s="334">
        <v>0</v>
      </c>
      <c r="K24" s="334">
        <v>1</v>
      </c>
      <c r="L24" s="115">
        <v>1</v>
      </c>
      <c r="M24" s="157">
        <v>1</v>
      </c>
      <c r="N24" s="157">
        <v>1</v>
      </c>
      <c r="O24" s="157">
        <v>1</v>
      </c>
      <c r="P24" s="157">
        <v>1</v>
      </c>
      <c r="Q24" s="157">
        <v>1</v>
      </c>
      <c r="R24" s="157">
        <v>1</v>
      </c>
      <c r="S24" s="157">
        <v>1</v>
      </c>
      <c r="T24" s="157">
        <v>1</v>
      </c>
      <c r="U24" s="157">
        <v>1</v>
      </c>
      <c r="V24" s="59">
        <v>0</v>
      </c>
      <c r="W24" s="59">
        <v>292.79914459952312</v>
      </c>
      <c r="X24" s="59">
        <v>292.79914459952312</v>
      </c>
      <c r="Y24" s="59">
        <v>292.79914459952312</v>
      </c>
      <c r="Z24" s="59">
        <v>292.79914459952312</v>
      </c>
      <c r="AA24" s="59">
        <v>292.79914459952312</v>
      </c>
      <c r="AB24">
        <v>1900</v>
      </c>
      <c r="AC24" s="157">
        <v>2023</v>
      </c>
      <c r="AD24">
        <v>0</v>
      </c>
      <c r="AE24">
        <v>0</v>
      </c>
      <c r="AF24" s="24">
        <v>62</v>
      </c>
      <c r="AG24" s="24">
        <v>244.166666666667</v>
      </c>
      <c r="AH24" s="153">
        <v>0.4</v>
      </c>
      <c r="AI24" s="153">
        <v>0.50237550000000009</v>
      </c>
      <c r="AJ24" s="157">
        <v>301</v>
      </c>
      <c r="AM24" t="s">
        <v>287</v>
      </c>
    </row>
    <row r="25" spans="1:40" hidden="1">
      <c r="A25">
        <f>A24+1</f>
        <v>63</v>
      </c>
      <c r="B25">
        <f>B24+1</f>
        <v>63</v>
      </c>
      <c r="C25" s="542" t="s">
        <v>309</v>
      </c>
      <c r="D25" s="542" t="s">
        <v>309</v>
      </c>
      <c r="E25" t="s">
        <v>152</v>
      </c>
      <c r="F25">
        <v>3</v>
      </c>
      <c r="G25" s="135">
        <v>14.8</v>
      </c>
      <c r="H25" s="334">
        <v>0.32939999999999997</v>
      </c>
      <c r="I25" s="543">
        <v>0.11320000000000001</v>
      </c>
      <c r="J25" s="135">
        <v>0</v>
      </c>
      <c r="K25" s="334">
        <v>1</v>
      </c>
      <c r="L25" s="334">
        <v>1</v>
      </c>
      <c r="M25" s="157">
        <v>1</v>
      </c>
      <c r="N25" s="157">
        <v>1</v>
      </c>
      <c r="O25" s="157">
        <v>1</v>
      </c>
      <c r="P25" s="157">
        <v>1</v>
      </c>
      <c r="Q25" s="157">
        <v>1</v>
      </c>
      <c r="R25" s="157">
        <v>1</v>
      </c>
      <c r="S25" s="157">
        <v>1</v>
      </c>
      <c r="T25" s="157">
        <v>1</v>
      </c>
      <c r="U25" s="157">
        <v>1</v>
      </c>
      <c r="W25" s="544"/>
      <c r="X25" s="544"/>
      <c r="Y25" s="544"/>
      <c r="Z25" s="544"/>
      <c r="AA25" s="544"/>
      <c r="AB25">
        <v>1900</v>
      </c>
      <c r="AC25" s="545">
        <v>2022</v>
      </c>
      <c r="AD25">
        <v>0</v>
      </c>
      <c r="AE25">
        <v>0</v>
      </c>
      <c r="AF25">
        <v>237</v>
      </c>
      <c r="AG25" s="24">
        <v>195</v>
      </c>
      <c r="AH25">
        <v>0.36</v>
      </c>
      <c r="AI25">
        <v>0.73</v>
      </c>
      <c r="AJ25" s="157">
        <v>351</v>
      </c>
      <c r="AM25" t="s">
        <v>280</v>
      </c>
    </row>
    <row r="26" spans="1:40">
      <c r="A26">
        <v>74</v>
      </c>
      <c r="B26">
        <v>74</v>
      </c>
      <c r="C26" t="s">
        <v>310</v>
      </c>
      <c r="D26" t="s">
        <v>310</v>
      </c>
      <c r="E26" t="s">
        <v>152</v>
      </c>
      <c r="F26">
        <v>3</v>
      </c>
      <c r="G26" s="503">
        <v>138</v>
      </c>
      <c r="H26" s="334">
        <v>0.21859999999999999</v>
      </c>
      <c r="I26" s="334">
        <v>6.5799999999999997E-2</v>
      </c>
      <c r="J26" s="334">
        <v>0.5</v>
      </c>
      <c r="K26" s="334">
        <v>1</v>
      </c>
      <c r="L26" s="115">
        <v>1</v>
      </c>
      <c r="M26" s="157">
        <v>1</v>
      </c>
      <c r="N26" s="157">
        <v>1</v>
      </c>
      <c r="O26" s="157">
        <v>1</v>
      </c>
      <c r="P26" s="157">
        <v>1</v>
      </c>
      <c r="Q26" s="157">
        <v>1</v>
      </c>
      <c r="R26" s="157">
        <v>1</v>
      </c>
      <c r="S26" s="157">
        <v>1</v>
      </c>
      <c r="T26" s="157">
        <v>1</v>
      </c>
      <c r="U26" s="157">
        <v>1</v>
      </c>
      <c r="V26" s="59">
        <v>0</v>
      </c>
      <c r="W26" s="59">
        <v>73.536952178259909</v>
      </c>
      <c r="X26" s="59">
        <v>73.536952178259909</v>
      </c>
      <c r="Y26" s="59">
        <v>73.536952178259909</v>
      </c>
      <c r="Z26" s="59">
        <v>73.536952178259909</v>
      </c>
      <c r="AA26" s="59">
        <v>73.536952178259909</v>
      </c>
      <c r="AB26">
        <v>1900</v>
      </c>
      <c r="AC26" s="157">
        <v>2023</v>
      </c>
      <c r="AD26">
        <v>0</v>
      </c>
      <c r="AE26">
        <v>0</v>
      </c>
      <c r="AF26" s="24">
        <v>74</v>
      </c>
      <c r="AG26" s="24">
        <v>260</v>
      </c>
      <c r="AH26" s="153">
        <v>0.57999999999999996</v>
      </c>
      <c r="AI26" s="153">
        <v>0.37212999999999996</v>
      </c>
      <c r="AJ26" s="157">
        <v>302</v>
      </c>
      <c r="AM26" t="s">
        <v>287</v>
      </c>
    </row>
    <row r="27" spans="1:40" hidden="1">
      <c r="A27">
        <v>28</v>
      </c>
      <c r="B27">
        <v>28</v>
      </c>
      <c r="C27" t="s">
        <v>311</v>
      </c>
      <c r="D27" t="s">
        <v>311</v>
      </c>
      <c r="E27" t="s">
        <v>149</v>
      </c>
      <c r="F27">
        <v>2</v>
      </c>
      <c r="G27" s="503">
        <v>20</v>
      </c>
      <c r="H27" s="334">
        <v>0.39229999999999998</v>
      </c>
      <c r="I27" s="334">
        <v>0.20030000000000001</v>
      </c>
      <c r="J27" s="334">
        <v>0.59129529554963822</v>
      </c>
      <c r="K27" s="334">
        <v>0.87</v>
      </c>
      <c r="L27" s="115">
        <v>1</v>
      </c>
      <c r="M27" s="157">
        <v>1</v>
      </c>
      <c r="N27" s="157">
        <v>1</v>
      </c>
      <c r="O27" s="157">
        <v>1</v>
      </c>
      <c r="P27" s="157">
        <v>1</v>
      </c>
      <c r="Q27" s="157">
        <v>1</v>
      </c>
      <c r="R27" s="157">
        <v>1</v>
      </c>
      <c r="S27" s="157">
        <v>1</v>
      </c>
      <c r="T27" s="157">
        <v>1</v>
      </c>
      <c r="U27" s="157">
        <v>1</v>
      </c>
      <c r="V27" s="59">
        <v>2.4298884500000004</v>
      </c>
      <c r="W27" s="59">
        <v>3.5752067831605694</v>
      </c>
      <c r="X27" s="59">
        <v>3.5752067831605694</v>
      </c>
      <c r="Y27" s="59">
        <v>3.5752067831605694</v>
      </c>
      <c r="Z27" s="59">
        <v>3.5752067831605694</v>
      </c>
      <c r="AA27" s="59">
        <v>1.145318333160569</v>
      </c>
      <c r="AB27">
        <v>1900</v>
      </c>
      <c r="AC27">
        <v>2028</v>
      </c>
      <c r="AD27">
        <v>0</v>
      </c>
      <c r="AE27">
        <v>0</v>
      </c>
      <c r="AF27" s="24">
        <v>28</v>
      </c>
      <c r="AG27" s="24">
        <v>894.40993788819878</v>
      </c>
      <c r="AH27" s="153">
        <v>0.39</v>
      </c>
      <c r="AI27" s="153">
        <v>0.95356799999999997</v>
      </c>
      <c r="AJ27" s="157">
        <v>305</v>
      </c>
      <c r="AM27" t="s">
        <v>298</v>
      </c>
    </row>
    <row r="28" spans="1:40" hidden="1">
      <c r="A28">
        <f t="shared" ref="A28:B30" si="2">A27+1</f>
        <v>29</v>
      </c>
      <c r="B28">
        <f t="shared" si="2"/>
        <v>29</v>
      </c>
      <c r="C28" t="s">
        <v>312</v>
      </c>
      <c r="D28" t="s">
        <v>312</v>
      </c>
      <c r="E28" t="s">
        <v>154</v>
      </c>
      <c r="F28" s="520">
        <v>7</v>
      </c>
      <c r="G28" s="135">
        <v>20</v>
      </c>
      <c r="H28" s="334">
        <v>0</v>
      </c>
      <c r="I28" s="115">
        <v>0</v>
      </c>
      <c r="J28" s="550">
        <v>0</v>
      </c>
      <c r="K28" s="334">
        <v>0</v>
      </c>
      <c r="L28" s="334">
        <v>1</v>
      </c>
      <c r="M28" s="157">
        <v>1</v>
      </c>
      <c r="N28" s="157">
        <v>1</v>
      </c>
      <c r="O28" s="157">
        <v>1</v>
      </c>
      <c r="P28" s="157">
        <v>1</v>
      </c>
      <c r="Q28" s="157">
        <v>1</v>
      </c>
      <c r="R28" s="157">
        <v>1</v>
      </c>
      <c r="S28" s="157">
        <v>1</v>
      </c>
      <c r="T28" s="157">
        <v>1</v>
      </c>
      <c r="U28" s="157">
        <v>1</v>
      </c>
      <c r="AB28">
        <v>1900</v>
      </c>
      <c r="AC28" s="157">
        <v>2026</v>
      </c>
      <c r="AD28">
        <v>0</v>
      </c>
      <c r="AE28">
        <v>0</v>
      </c>
      <c r="AF28">
        <v>238</v>
      </c>
      <c r="AG28" s="24">
        <v>195</v>
      </c>
      <c r="AH28" s="153">
        <v>0.36</v>
      </c>
      <c r="AI28">
        <v>0.73</v>
      </c>
      <c r="AJ28" s="157">
        <v>351</v>
      </c>
      <c r="AM28" t="s">
        <v>280</v>
      </c>
    </row>
    <row r="29" spans="1:40" hidden="1">
      <c r="A29">
        <f t="shared" si="2"/>
        <v>30</v>
      </c>
      <c r="B29">
        <f t="shared" si="2"/>
        <v>30</v>
      </c>
      <c r="C29" t="s">
        <v>313</v>
      </c>
      <c r="D29" t="s">
        <v>313</v>
      </c>
      <c r="E29" t="s">
        <v>154</v>
      </c>
      <c r="F29" s="520">
        <v>7</v>
      </c>
      <c r="G29" s="135">
        <v>40</v>
      </c>
      <c r="H29" s="334">
        <v>0</v>
      </c>
      <c r="I29" s="115">
        <v>0</v>
      </c>
      <c r="J29" s="550">
        <v>0</v>
      </c>
      <c r="K29" s="334">
        <v>0</v>
      </c>
      <c r="L29" s="334">
        <v>1</v>
      </c>
      <c r="M29" s="157">
        <v>1</v>
      </c>
      <c r="N29" s="157">
        <v>1</v>
      </c>
      <c r="O29" s="157">
        <v>1</v>
      </c>
      <c r="P29" s="157">
        <v>1</v>
      </c>
      <c r="Q29" s="157">
        <v>1</v>
      </c>
      <c r="R29" s="157">
        <v>1</v>
      </c>
      <c r="S29" s="157">
        <v>1</v>
      </c>
      <c r="T29" s="157">
        <v>1</v>
      </c>
      <c r="U29" s="157">
        <v>1</v>
      </c>
      <c r="AB29">
        <v>1900</v>
      </c>
      <c r="AC29" s="157">
        <v>2026</v>
      </c>
      <c r="AD29">
        <v>0</v>
      </c>
      <c r="AE29">
        <v>0</v>
      </c>
      <c r="AF29">
        <v>239</v>
      </c>
      <c r="AG29" s="24">
        <v>195</v>
      </c>
      <c r="AH29" s="153">
        <v>0.36</v>
      </c>
      <c r="AI29">
        <v>0.73</v>
      </c>
      <c r="AJ29" s="157">
        <v>351</v>
      </c>
      <c r="AM29" t="s">
        <v>280</v>
      </c>
      <c r="AN29" t="s">
        <v>287</v>
      </c>
    </row>
    <row r="30" spans="1:40" hidden="1">
      <c r="A30">
        <f t="shared" si="2"/>
        <v>31</v>
      </c>
      <c r="B30">
        <f t="shared" si="2"/>
        <v>31</v>
      </c>
      <c r="C30" t="s">
        <v>314</v>
      </c>
      <c r="D30" t="s">
        <v>314</v>
      </c>
      <c r="E30" t="s">
        <v>154</v>
      </c>
      <c r="F30" s="520">
        <v>7</v>
      </c>
      <c r="G30" s="135">
        <v>20</v>
      </c>
      <c r="H30" s="334">
        <v>0</v>
      </c>
      <c r="I30" s="115">
        <v>0</v>
      </c>
      <c r="J30" s="550">
        <v>0</v>
      </c>
      <c r="K30" s="334">
        <v>0</v>
      </c>
      <c r="L30" s="334">
        <v>1</v>
      </c>
      <c r="M30" s="157">
        <v>1</v>
      </c>
      <c r="N30" s="157">
        <v>1</v>
      </c>
      <c r="O30" s="157">
        <v>1</v>
      </c>
      <c r="P30" s="157">
        <v>1</v>
      </c>
      <c r="Q30" s="157">
        <v>1</v>
      </c>
      <c r="R30" s="157">
        <v>1</v>
      </c>
      <c r="S30" s="157">
        <v>1</v>
      </c>
      <c r="T30" s="157">
        <v>1</v>
      </c>
      <c r="U30" s="157">
        <v>1</v>
      </c>
      <c r="AB30">
        <v>1900</v>
      </c>
      <c r="AC30" s="157">
        <v>2026</v>
      </c>
      <c r="AD30">
        <v>0</v>
      </c>
      <c r="AE30">
        <v>0</v>
      </c>
      <c r="AF30">
        <v>240</v>
      </c>
      <c r="AG30" s="24">
        <v>195</v>
      </c>
      <c r="AH30" s="153">
        <v>0.36</v>
      </c>
      <c r="AI30">
        <v>0.73</v>
      </c>
      <c r="AJ30" s="157">
        <v>351</v>
      </c>
      <c r="AM30" t="s">
        <v>280</v>
      </c>
    </row>
    <row r="31" spans="1:40">
      <c r="A31">
        <v>42</v>
      </c>
      <c r="B31">
        <v>42</v>
      </c>
      <c r="C31" t="s">
        <v>315</v>
      </c>
      <c r="D31" t="s">
        <v>315</v>
      </c>
      <c r="E31" t="s">
        <v>152</v>
      </c>
      <c r="F31">
        <v>3</v>
      </c>
      <c r="G31" s="503">
        <v>326.60000000000002</v>
      </c>
      <c r="H31" s="334">
        <v>2.3599999999999999E-2</v>
      </c>
      <c r="I31" s="334">
        <v>4.1799999999999997E-2</v>
      </c>
      <c r="J31" s="334">
        <v>0.5</v>
      </c>
      <c r="K31" s="334">
        <v>1</v>
      </c>
      <c r="L31" s="115">
        <v>1</v>
      </c>
      <c r="M31" s="157">
        <v>1</v>
      </c>
      <c r="N31" s="157">
        <v>1</v>
      </c>
      <c r="O31" s="157">
        <v>1</v>
      </c>
      <c r="P31" s="157">
        <v>1</v>
      </c>
      <c r="Q31" s="157">
        <v>1</v>
      </c>
      <c r="R31" s="157">
        <v>1</v>
      </c>
      <c r="S31" s="157">
        <v>1</v>
      </c>
      <c r="T31" s="157">
        <v>1</v>
      </c>
      <c r="U31" s="157">
        <v>1</v>
      </c>
      <c r="V31" s="59">
        <v>208.63578504000003</v>
      </c>
      <c r="W31" s="59">
        <v>285.88018530510101</v>
      </c>
      <c r="X31" s="59">
        <v>285.88018530510101</v>
      </c>
      <c r="Y31" s="59">
        <v>285.88018530510101</v>
      </c>
      <c r="Z31" s="59">
        <v>285.88018530510101</v>
      </c>
      <c r="AA31" s="59">
        <v>77.244400265100978</v>
      </c>
      <c r="AB31">
        <v>1900</v>
      </c>
      <c r="AC31" s="157">
        <v>2023</v>
      </c>
      <c r="AD31">
        <v>0</v>
      </c>
      <c r="AE31">
        <v>0</v>
      </c>
      <c r="AF31" s="24">
        <v>42</v>
      </c>
      <c r="AG31" s="24">
        <v>199.166666666667</v>
      </c>
      <c r="AH31" s="153">
        <v>0.57999999999999996</v>
      </c>
      <c r="AI31" s="153">
        <v>0.37212999999999996</v>
      </c>
      <c r="AJ31" s="157">
        <v>302</v>
      </c>
      <c r="AM31" t="s">
        <v>287</v>
      </c>
    </row>
    <row r="32" spans="1:40" hidden="1">
      <c r="A32">
        <f t="shared" ref="A32:B36" si="3">A31+1</f>
        <v>43</v>
      </c>
      <c r="B32">
        <f t="shared" si="3"/>
        <v>43</v>
      </c>
      <c r="C32" s="542" t="s">
        <v>316</v>
      </c>
      <c r="D32" s="542" t="s">
        <v>316</v>
      </c>
      <c r="E32" t="s">
        <v>153</v>
      </c>
      <c r="F32">
        <v>4</v>
      </c>
      <c r="G32" s="135">
        <v>165.9</v>
      </c>
      <c r="H32" s="334">
        <v>6.0000000000000001E-3</v>
      </c>
      <c r="I32" s="543">
        <v>6.9999999999999993E-3</v>
      </c>
      <c r="J32" s="135">
        <v>0</v>
      </c>
      <c r="K32" s="334">
        <v>0.96</v>
      </c>
      <c r="L32" s="334">
        <v>1</v>
      </c>
      <c r="M32" s="157">
        <v>1</v>
      </c>
      <c r="N32" s="157">
        <v>1</v>
      </c>
      <c r="O32" s="157">
        <v>1</v>
      </c>
      <c r="P32" s="157">
        <v>1</v>
      </c>
      <c r="Q32" s="157">
        <v>1</v>
      </c>
      <c r="R32" s="157">
        <v>1</v>
      </c>
      <c r="S32" s="157">
        <v>1</v>
      </c>
      <c r="T32" s="157">
        <v>1</v>
      </c>
      <c r="U32" s="157">
        <v>1</v>
      </c>
      <c r="W32" s="544"/>
      <c r="X32" s="544"/>
      <c r="Y32" s="544"/>
      <c r="Z32" s="544"/>
      <c r="AA32" s="544"/>
      <c r="AB32">
        <v>1900</v>
      </c>
      <c r="AC32" s="545">
        <v>2024</v>
      </c>
      <c r="AD32">
        <v>0</v>
      </c>
      <c r="AE32">
        <v>0</v>
      </c>
      <c r="AF32">
        <v>241</v>
      </c>
      <c r="AG32" s="24">
        <v>195</v>
      </c>
      <c r="AH32">
        <v>0.36</v>
      </c>
      <c r="AI32">
        <v>0.73</v>
      </c>
      <c r="AJ32" s="157">
        <v>341</v>
      </c>
      <c r="AM32" t="s">
        <v>290</v>
      </c>
    </row>
    <row r="33" spans="1:39" hidden="1">
      <c r="A33">
        <f t="shared" si="3"/>
        <v>44</v>
      </c>
      <c r="B33">
        <f t="shared" si="3"/>
        <v>44</v>
      </c>
      <c r="C33" s="542" t="s">
        <v>317</v>
      </c>
      <c r="D33" s="542" t="s">
        <v>317</v>
      </c>
      <c r="E33" t="s">
        <v>153</v>
      </c>
      <c r="F33">
        <v>4</v>
      </c>
      <c r="G33" s="135">
        <v>165.9</v>
      </c>
      <c r="H33" s="334">
        <v>2.2599999999999999E-2</v>
      </c>
      <c r="I33" s="543">
        <v>9.300000000000001E-3</v>
      </c>
      <c r="J33" s="135">
        <v>0</v>
      </c>
      <c r="K33" s="334">
        <v>0.96</v>
      </c>
      <c r="L33" s="334">
        <v>1</v>
      </c>
      <c r="M33" s="157">
        <v>1</v>
      </c>
      <c r="N33" s="157">
        <v>1</v>
      </c>
      <c r="O33" s="157">
        <v>1</v>
      </c>
      <c r="P33" s="157">
        <v>1</v>
      </c>
      <c r="Q33" s="157">
        <v>1</v>
      </c>
      <c r="R33" s="157">
        <v>1</v>
      </c>
      <c r="S33" s="157">
        <v>1</v>
      </c>
      <c r="T33" s="157">
        <v>1</v>
      </c>
      <c r="U33" s="157">
        <v>1</v>
      </c>
      <c r="W33" s="544"/>
      <c r="X33" s="544"/>
      <c r="Y33" s="544"/>
      <c r="Z33" s="544"/>
      <c r="AA33" s="544"/>
      <c r="AB33">
        <v>1900</v>
      </c>
      <c r="AC33" s="545">
        <v>2024</v>
      </c>
      <c r="AD33">
        <v>0</v>
      </c>
      <c r="AE33">
        <v>0</v>
      </c>
      <c r="AF33">
        <v>242</v>
      </c>
      <c r="AG33" s="24">
        <v>195</v>
      </c>
      <c r="AH33">
        <v>0.36</v>
      </c>
      <c r="AI33">
        <v>0.73</v>
      </c>
      <c r="AJ33" s="157">
        <v>341</v>
      </c>
      <c r="AM33" t="s">
        <v>290</v>
      </c>
    </row>
    <row r="34" spans="1:39" hidden="1">
      <c r="A34">
        <f t="shared" si="3"/>
        <v>45</v>
      </c>
      <c r="B34">
        <f t="shared" si="3"/>
        <v>45</v>
      </c>
      <c r="C34" s="542" t="s">
        <v>318</v>
      </c>
      <c r="D34" s="542" t="s">
        <v>318</v>
      </c>
      <c r="E34" t="s">
        <v>152</v>
      </c>
      <c r="F34">
        <v>3</v>
      </c>
      <c r="G34" s="135">
        <v>148.80000000000001</v>
      </c>
      <c r="H34" s="334">
        <v>6.1600000000000002E-2</v>
      </c>
      <c r="I34" s="543">
        <v>7.2900000000000006E-2</v>
      </c>
      <c r="J34" s="135">
        <v>0</v>
      </c>
      <c r="K34" s="334">
        <v>1</v>
      </c>
      <c r="L34" s="334">
        <v>1</v>
      </c>
      <c r="M34" s="157">
        <v>1</v>
      </c>
      <c r="N34" s="157">
        <v>1</v>
      </c>
      <c r="O34" s="157">
        <v>1</v>
      </c>
      <c r="P34" s="157">
        <v>1</v>
      </c>
      <c r="Q34" s="157">
        <v>1</v>
      </c>
      <c r="R34" s="157">
        <v>1</v>
      </c>
      <c r="S34" s="157">
        <v>1</v>
      </c>
      <c r="T34" s="157">
        <v>1</v>
      </c>
      <c r="U34" s="157">
        <v>1</v>
      </c>
      <c r="W34" s="544"/>
      <c r="X34" s="544"/>
      <c r="Y34" s="544"/>
      <c r="Z34" s="544"/>
      <c r="AA34" s="544"/>
      <c r="AB34">
        <v>1900</v>
      </c>
      <c r="AC34" s="545">
        <v>2024</v>
      </c>
      <c r="AD34">
        <v>0</v>
      </c>
      <c r="AE34">
        <v>0</v>
      </c>
      <c r="AF34">
        <v>243</v>
      </c>
      <c r="AG34" s="24">
        <v>195</v>
      </c>
      <c r="AH34">
        <v>0.36</v>
      </c>
      <c r="AI34">
        <v>0.73</v>
      </c>
      <c r="AJ34" s="157">
        <v>341</v>
      </c>
      <c r="AM34" t="s">
        <v>290</v>
      </c>
    </row>
    <row r="35" spans="1:39" hidden="1">
      <c r="A35">
        <f t="shared" si="3"/>
        <v>46</v>
      </c>
      <c r="B35">
        <f t="shared" si="3"/>
        <v>46</v>
      </c>
      <c r="C35" s="542" t="s">
        <v>319</v>
      </c>
      <c r="D35" s="542" t="s">
        <v>319</v>
      </c>
      <c r="E35" t="s">
        <v>152</v>
      </c>
      <c r="F35">
        <v>3</v>
      </c>
      <c r="G35" s="135">
        <v>148.80000000000001</v>
      </c>
      <c r="H35" s="334">
        <v>5.0999999999999997E-2</v>
      </c>
      <c r="I35" s="543">
        <v>6.9900000000000004E-2</v>
      </c>
      <c r="J35" s="135">
        <v>0</v>
      </c>
      <c r="K35" s="334">
        <v>1</v>
      </c>
      <c r="L35" s="334">
        <v>1</v>
      </c>
      <c r="M35" s="157">
        <v>1</v>
      </c>
      <c r="N35" s="157">
        <v>1</v>
      </c>
      <c r="O35" s="157">
        <v>1</v>
      </c>
      <c r="P35" s="157">
        <v>1</v>
      </c>
      <c r="Q35" s="157">
        <v>1</v>
      </c>
      <c r="R35" s="157">
        <v>1</v>
      </c>
      <c r="S35" s="157">
        <v>1</v>
      </c>
      <c r="T35" s="157">
        <v>1</v>
      </c>
      <c r="U35" s="157">
        <v>1</v>
      </c>
      <c r="W35" s="544"/>
      <c r="X35" s="544"/>
      <c r="Y35" s="544"/>
      <c r="Z35" s="544"/>
      <c r="AA35" s="544"/>
      <c r="AB35">
        <v>1900</v>
      </c>
      <c r="AC35" s="545">
        <v>2024</v>
      </c>
      <c r="AD35">
        <v>0</v>
      </c>
      <c r="AE35">
        <v>0</v>
      </c>
      <c r="AF35">
        <v>244</v>
      </c>
      <c r="AG35" s="24">
        <v>195</v>
      </c>
      <c r="AH35">
        <v>0.36</v>
      </c>
      <c r="AI35">
        <v>0.73</v>
      </c>
      <c r="AJ35" s="157">
        <v>341</v>
      </c>
      <c r="AM35" t="s">
        <v>290</v>
      </c>
    </row>
    <row r="36" spans="1:39" hidden="1">
      <c r="A36">
        <f t="shared" si="3"/>
        <v>47</v>
      </c>
      <c r="B36">
        <f t="shared" si="3"/>
        <v>47</v>
      </c>
      <c r="C36" s="542" t="s">
        <v>320</v>
      </c>
      <c r="D36" s="542" t="s">
        <v>320</v>
      </c>
      <c r="E36" t="s">
        <v>146</v>
      </c>
      <c r="F36">
        <v>1</v>
      </c>
      <c r="G36" s="135">
        <v>140</v>
      </c>
      <c r="H36" s="334">
        <v>0.31809999999999999</v>
      </c>
      <c r="I36" s="543">
        <v>5.4000000000000003E-3</v>
      </c>
      <c r="J36" s="135">
        <v>0</v>
      </c>
      <c r="K36" s="334">
        <v>0.97</v>
      </c>
      <c r="L36" s="334">
        <v>1</v>
      </c>
      <c r="M36" s="157">
        <v>1</v>
      </c>
      <c r="N36" s="157">
        <v>1</v>
      </c>
      <c r="O36" s="157">
        <v>1</v>
      </c>
      <c r="P36" s="157">
        <v>1</v>
      </c>
      <c r="Q36" s="157">
        <v>1</v>
      </c>
      <c r="R36" s="157">
        <v>1</v>
      </c>
      <c r="S36" s="157">
        <v>1</v>
      </c>
      <c r="T36" s="157">
        <v>1</v>
      </c>
      <c r="U36" s="157">
        <v>1</v>
      </c>
      <c r="W36" s="544"/>
      <c r="X36" s="544"/>
      <c r="Y36" s="544"/>
      <c r="Z36" s="544"/>
      <c r="AA36" s="544"/>
      <c r="AB36">
        <v>1900</v>
      </c>
      <c r="AC36" s="545">
        <v>2023</v>
      </c>
      <c r="AD36">
        <v>0</v>
      </c>
      <c r="AE36">
        <v>0</v>
      </c>
      <c r="AF36">
        <v>245</v>
      </c>
      <c r="AG36" s="24">
        <v>195</v>
      </c>
      <c r="AH36">
        <v>0.36</v>
      </c>
      <c r="AI36">
        <v>0.73</v>
      </c>
      <c r="AJ36" s="157">
        <v>351</v>
      </c>
      <c r="AM36" t="s">
        <v>280</v>
      </c>
    </row>
    <row r="37" spans="1:39">
      <c r="A37">
        <v>63</v>
      </c>
      <c r="B37">
        <v>63</v>
      </c>
      <c r="C37" t="s">
        <v>321</v>
      </c>
      <c r="D37" t="s">
        <v>321</v>
      </c>
      <c r="E37" t="s">
        <v>146</v>
      </c>
      <c r="F37">
        <v>1</v>
      </c>
      <c r="G37" s="503">
        <v>226</v>
      </c>
      <c r="H37" s="334">
        <v>3.6600000000000001E-2</v>
      </c>
      <c r="I37" s="334">
        <v>6.6500000000000004E-2</v>
      </c>
      <c r="J37" s="334">
        <v>0</v>
      </c>
      <c r="K37" s="334">
        <v>1</v>
      </c>
      <c r="L37" s="115">
        <v>1</v>
      </c>
      <c r="M37" s="157">
        <v>1</v>
      </c>
      <c r="N37" s="157">
        <v>1</v>
      </c>
      <c r="O37" s="157">
        <v>1</v>
      </c>
      <c r="P37" s="157">
        <v>1</v>
      </c>
      <c r="Q37" s="157">
        <v>1</v>
      </c>
      <c r="R37" s="157">
        <v>1</v>
      </c>
      <c r="S37" s="157">
        <v>1</v>
      </c>
      <c r="T37" s="157">
        <v>1</v>
      </c>
      <c r="U37" s="157">
        <v>1</v>
      </c>
      <c r="V37" s="59">
        <v>0</v>
      </c>
      <c r="W37" s="59">
        <v>182.7891307937615</v>
      </c>
      <c r="X37" s="59">
        <v>182.7891307937615</v>
      </c>
      <c r="Y37" s="59">
        <v>182.7891307937615</v>
      </c>
      <c r="Z37" s="59">
        <v>182.7891307937615</v>
      </c>
      <c r="AA37" s="59">
        <v>182.7891307937615</v>
      </c>
      <c r="AB37">
        <v>1900</v>
      </c>
      <c r="AC37" s="157">
        <v>2022</v>
      </c>
      <c r="AD37">
        <v>0</v>
      </c>
      <c r="AE37">
        <v>0</v>
      </c>
      <c r="AF37" s="24">
        <v>63</v>
      </c>
      <c r="AG37" s="24">
        <v>182.5</v>
      </c>
      <c r="AH37" s="153">
        <v>0.4</v>
      </c>
      <c r="AI37" s="153">
        <v>0.50237550000000009</v>
      </c>
      <c r="AJ37" s="157">
        <v>301</v>
      </c>
      <c r="AM37" t="s">
        <v>287</v>
      </c>
    </row>
    <row r="38" spans="1:39" hidden="1">
      <c r="A38">
        <v>2</v>
      </c>
      <c r="B38">
        <v>2</v>
      </c>
      <c r="C38" t="s">
        <v>322</v>
      </c>
      <c r="D38" t="s">
        <v>322</v>
      </c>
      <c r="E38" t="s">
        <v>146</v>
      </c>
      <c r="F38">
        <v>1</v>
      </c>
      <c r="G38" s="503">
        <v>131</v>
      </c>
      <c r="H38" s="334">
        <v>0.31530000000000002</v>
      </c>
      <c r="I38" s="334">
        <v>0.1638</v>
      </c>
      <c r="J38" s="334">
        <v>0</v>
      </c>
      <c r="K38" s="334">
        <v>1</v>
      </c>
      <c r="L38" s="115">
        <v>1</v>
      </c>
      <c r="M38" s="157">
        <v>1</v>
      </c>
      <c r="N38" s="157">
        <v>1</v>
      </c>
      <c r="O38" s="157">
        <v>1</v>
      </c>
      <c r="P38" s="157">
        <v>1</v>
      </c>
      <c r="Q38" s="157">
        <v>1</v>
      </c>
      <c r="R38" s="157">
        <v>1</v>
      </c>
      <c r="S38" s="157">
        <v>1</v>
      </c>
      <c r="T38" s="157">
        <v>1</v>
      </c>
      <c r="U38" s="157">
        <v>1</v>
      </c>
      <c r="V38" s="59">
        <v>0</v>
      </c>
      <c r="W38" s="59">
        <v>42.942989798185849</v>
      </c>
      <c r="X38" s="59">
        <v>42.942989798185849</v>
      </c>
      <c r="Y38" s="59">
        <v>42.942989798185849</v>
      </c>
      <c r="Z38" s="59">
        <v>42.942989798185849</v>
      </c>
      <c r="AA38" s="59">
        <v>42.942989798185849</v>
      </c>
      <c r="AB38">
        <v>1900</v>
      </c>
      <c r="AC38" s="157">
        <v>2026</v>
      </c>
      <c r="AD38">
        <v>0</v>
      </c>
      <c r="AE38">
        <v>0</v>
      </c>
      <c r="AF38" s="24">
        <v>2</v>
      </c>
      <c r="AG38" s="24">
        <v>212.3</v>
      </c>
      <c r="AH38" s="153">
        <v>0.36</v>
      </c>
      <c r="AI38" s="153">
        <v>0.73326000000000002</v>
      </c>
      <c r="AJ38" s="157">
        <v>341</v>
      </c>
      <c r="AM38" t="s">
        <v>290</v>
      </c>
    </row>
    <row r="39" spans="1:39" hidden="1">
      <c r="A39">
        <f>A38+1</f>
        <v>3</v>
      </c>
      <c r="B39">
        <f>B38+1</f>
        <v>3</v>
      </c>
      <c r="C39" s="542" t="s">
        <v>323</v>
      </c>
      <c r="D39" s="542" t="s">
        <v>323</v>
      </c>
      <c r="E39" t="s">
        <v>152</v>
      </c>
      <c r="F39">
        <v>3</v>
      </c>
      <c r="G39" s="135">
        <v>14.8</v>
      </c>
      <c r="H39" s="334">
        <v>0.36049999999999999</v>
      </c>
      <c r="I39" s="543">
        <v>0.11359999999999999</v>
      </c>
      <c r="J39" s="135">
        <v>0</v>
      </c>
      <c r="K39" s="334">
        <v>1</v>
      </c>
      <c r="L39" s="334">
        <v>1</v>
      </c>
      <c r="M39" s="157">
        <v>1</v>
      </c>
      <c r="N39" s="157">
        <v>1</v>
      </c>
      <c r="O39" s="157">
        <v>1</v>
      </c>
      <c r="P39" s="157">
        <v>1</v>
      </c>
      <c r="Q39" s="157">
        <v>1</v>
      </c>
      <c r="R39" s="157">
        <v>1</v>
      </c>
      <c r="S39" s="157">
        <v>1</v>
      </c>
      <c r="T39" s="157">
        <v>1</v>
      </c>
      <c r="U39" s="157">
        <v>1</v>
      </c>
      <c r="W39" s="544"/>
      <c r="X39" s="544"/>
      <c r="Y39" s="544"/>
      <c r="Z39" s="544"/>
      <c r="AA39" s="544"/>
      <c r="AB39">
        <v>1900</v>
      </c>
      <c r="AC39" s="545">
        <v>2022</v>
      </c>
      <c r="AD39">
        <v>0</v>
      </c>
      <c r="AE39">
        <v>0</v>
      </c>
      <c r="AF39">
        <v>246</v>
      </c>
      <c r="AG39" s="24">
        <v>195</v>
      </c>
      <c r="AH39">
        <v>0.36</v>
      </c>
      <c r="AI39">
        <v>0.73</v>
      </c>
      <c r="AJ39" s="157">
        <v>351</v>
      </c>
      <c r="AM39" t="s">
        <v>280</v>
      </c>
    </row>
    <row r="40" spans="1:39" hidden="1">
      <c r="A40">
        <v>26</v>
      </c>
      <c r="B40">
        <v>26</v>
      </c>
      <c r="C40" t="s">
        <v>324</v>
      </c>
      <c r="D40" t="s">
        <v>324</v>
      </c>
      <c r="E40" t="s">
        <v>149</v>
      </c>
      <c r="F40">
        <v>2</v>
      </c>
      <c r="G40" s="503">
        <v>100</v>
      </c>
      <c r="H40" s="334">
        <v>0.215</v>
      </c>
      <c r="I40" s="334">
        <v>0.2097</v>
      </c>
      <c r="J40" s="334">
        <v>0</v>
      </c>
      <c r="K40" s="334">
        <v>1</v>
      </c>
      <c r="L40" s="115">
        <v>1</v>
      </c>
      <c r="M40" s="157">
        <v>1</v>
      </c>
      <c r="N40" s="157">
        <v>1</v>
      </c>
      <c r="O40" s="157">
        <v>1</v>
      </c>
      <c r="P40" s="157">
        <v>1</v>
      </c>
      <c r="Q40" s="157">
        <v>1</v>
      </c>
      <c r="R40" s="157">
        <v>1</v>
      </c>
      <c r="S40" s="157">
        <v>1</v>
      </c>
      <c r="T40" s="157">
        <v>1</v>
      </c>
      <c r="U40" s="157">
        <v>1</v>
      </c>
      <c r="V40" s="59">
        <v>0</v>
      </c>
      <c r="W40" s="59">
        <v>38.487816861025003</v>
      </c>
      <c r="X40" s="59">
        <v>38.487816861025003</v>
      </c>
      <c r="Y40" s="59">
        <v>38.487816861025003</v>
      </c>
      <c r="Z40" s="59">
        <v>38.487816861025003</v>
      </c>
      <c r="AA40" s="59">
        <v>38.487816861025003</v>
      </c>
      <c r="AB40">
        <v>1900</v>
      </c>
      <c r="AC40">
        <v>2028</v>
      </c>
      <c r="AD40">
        <v>0</v>
      </c>
      <c r="AE40">
        <v>0</v>
      </c>
      <c r="AF40" s="24">
        <v>26</v>
      </c>
      <c r="AG40" s="24">
        <v>894.40993788819878</v>
      </c>
      <c r="AH40" s="153">
        <v>0.39</v>
      </c>
      <c r="AI40" s="153">
        <v>0.95356799999999997</v>
      </c>
      <c r="AJ40" s="157">
        <v>305</v>
      </c>
      <c r="AM40" t="s">
        <v>298</v>
      </c>
    </row>
    <row r="41" spans="1:39" hidden="1">
      <c r="A41">
        <v>27</v>
      </c>
      <c r="B41">
        <v>27</v>
      </c>
      <c r="C41" t="s">
        <v>325</v>
      </c>
      <c r="D41" t="s">
        <v>325</v>
      </c>
      <c r="E41" t="s">
        <v>149</v>
      </c>
      <c r="F41">
        <v>2</v>
      </c>
      <c r="G41" s="503">
        <v>132</v>
      </c>
      <c r="H41" s="334">
        <v>9.849999999999999E-2</v>
      </c>
      <c r="I41" s="334">
        <v>0.1195</v>
      </c>
      <c r="J41" s="334">
        <v>0.31495239652002799</v>
      </c>
      <c r="K41" s="334">
        <v>1</v>
      </c>
      <c r="L41" s="115">
        <v>1</v>
      </c>
      <c r="M41" s="157">
        <v>1</v>
      </c>
      <c r="N41" s="157">
        <v>1</v>
      </c>
      <c r="O41" s="157">
        <v>1</v>
      </c>
      <c r="P41" s="157">
        <v>1</v>
      </c>
      <c r="Q41" s="157">
        <v>1</v>
      </c>
      <c r="R41" s="157">
        <v>1</v>
      </c>
      <c r="S41" s="157">
        <v>1</v>
      </c>
      <c r="T41" s="157">
        <v>1</v>
      </c>
      <c r="U41" s="157">
        <v>1</v>
      </c>
      <c r="V41" s="59">
        <v>26.194434750000003</v>
      </c>
      <c r="W41" s="59">
        <v>83.169504469334257</v>
      </c>
      <c r="X41" s="59">
        <v>83.169504469334257</v>
      </c>
      <c r="Y41" s="59">
        <v>83.169504469334257</v>
      </c>
      <c r="Z41" s="59">
        <v>83.169504469334257</v>
      </c>
      <c r="AA41" s="59">
        <v>56.975069719334257</v>
      </c>
      <c r="AB41">
        <v>1900</v>
      </c>
      <c r="AC41">
        <v>2028</v>
      </c>
      <c r="AD41">
        <v>0</v>
      </c>
      <c r="AE41">
        <v>0</v>
      </c>
      <c r="AF41" s="24">
        <v>27</v>
      </c>
      <c r="AG41" s="24">
        <v>894.40993788819878</v>
      </c>
      <c r="AH41" s="153">
        <v>0.39</v>
      </c>
      <c r="AI41" s="153">
        <v>0.95356799999999997</v>
      </c>
      <c r="AJ41" s="157">
        <v>305</v>
      </c>
      <c r="AM41" t="s">
        <v>298</v>
      </c>
    </row>
    <row r="42" spans="1:39" hidden="1">
      <c r="A42">
        <v>25</v>
      </c>
      <c r="B42">
        <v>25</v>
      </c>
      <c r="C42" t="s">
        <v>326</v>
      </c>
      <c r="D42" t="s">
        <v>326</v>
      </c>
      <c r="E42" t="s">
        <v>149</v>
      </c>
      <c r="F42">
        <v>2</v>
      </c>
      <c r="G42" s="503">
        <v>262</v>
      </c>
      <c r="H42" s="334">
        <v>0.10630000000000001</v>
      </c>
      <c r="I42" s="334">
        <v>0.12240000000000001</v>
      </c>
      <c r="J42" s="334">
        <v>0.58397140560186445</v>
      </c>
      <c r="K42" s="334">
        <v>1</v>
      </c>
      <c r="L42" s="115">
        <v>1</v>
      </c>
      <c r="M42" s="157">
        <v>1</v>
      </c>
      <c r="N42" s="157">
        <v>1</v>
      </c>
      <c r="O42" s="157">
        <v>1</v>
      </c>
      <c r="P42" s="157">
        <v>1</v>
      </c>
      <c r="Q42" s="157">
        <v>1</v>
      </c>
      <c r="R42" s="157">
        <v>1</v>
      </c>
      <c r="S42" s="157">
        <v>1</v>
      </c>
      <c r="T42" s="157">
        <v>1</v>
      </c>
      <c r="U42" s="157">
        <v>1</v>
      </c>
      <c r="V42" s="59">
        <v>94.11733439999999</v>
      </c>
      <c r="W42" s="59">
        <v>161.16771043438141</v>
      </c>
      <c r="X42" s="59">
        <v>161.16771043438141</v>
      </c>
      <c r="Y42" s="59">
        <v>161.16771043438141</v>
      </c>
      <c r="Z42" s="59">
        <v>161.16771043438141</v>
      </c>
      <c r="AA42" s="59">
        <v>67.050376034381415</v>
      </c>
      <c r="AB42">
        <v>1900</v>
      </c>
      <c r="AC42">
        <v>2028</v>
      </c>
      <c r="AD42">
        <v>0</v>
      </c>
      <c r="AE42">
        <v>0</v>
      </c>
      <c r="AF42" s="24">
        <v>25</v>
      </c>
      <c r="AG42" s="24">
        <v>894.40993788819878</v>
      </c>
      <c r="AH42" s="153">
        <v>0.39</v>
      </c>
      <c r="AI42" s="153">
        <v>0.95356799999999997</v>
      </c>
      <c r="AJ42" s="157">
        <v>305</v>
      </c>
      <c r="AM42" t="s">
        <v>298</v>
      </c>
    </row>
    <row r="43" spans="1:39" hidden="1">
      <c r="A43">
        <v>24</v>
      </c>
      <c r="B43">
        <v>24</v>
      </c>
      <c r="C43" t="s">
        <v>327</v>
      </c>
      <c r="D43" t="s">
        <v>327</v>
      </c>
      <c r="E43" t="s">
        <v>149</v>
      </c>
      <c r="F43">
        <v>2</v>
      </c>
      <c r="G43" s="503">
        <v>363</v>
      </c>
      <c r="H43" s="334">
        <v>4.8899999999999999E-2</v>
      </c>
      <c r="I43" s="334">
        <v>0.05</v>
      </c>
      <c r="J43" s="334">
        <v>0.99995618454991397</v>
      </c>
      <c r="K43" s="334">
        <v>1</v>
      </c>
      <c r="L43" s="115">
        <v>1</v>
      </c>
      <c r="M43" s="157">
        <v>1</v>
      </c>
      <c r="N43" s="157">
        <v>1</v>
      </c>
      <c r="O43" s="157">
        <v>1</v>
      </c>
      <c r="P43" s="157">
        <v>1</v>
      </c>
      <c r="Q43" s="157">
        <v>1</v>
      </c>
      <c r="R43" s="157">
        <v>1</v>
      </c>
      <c r="S43" s="157">
        <v>1</v>
      </c>
      <c r="T43" s="157">
        <v>1</v>
      </c>
      <c r="U43" s="157">
        <v>1</v>
      </c>
      <c r="V43" s="59">
        <v>237.1228535564</v>
      </c>
      <c r="W43" s="59">
        <v>237.13324365620116</v>
      </c>
      <c r="X43" s="59">
        <v>237.13324365620116</v>
      </c>
      <c r="Y43" s="59">
        <v>237.13324365620116</v>
      </c>
      <c r="Z43" s="59">
        <v>237.13324365620116</v>
      </c>
      <c r="AA43" s="59">
        <v>1.0390099801156794E-2</v>
      </c>
      <c r="AB43">
        <v>1900</v>
      </c>
      <c r="AC43">
        <v>2028</v>
      </c>
      <c r="AD43">
        <v>0</v>
      </c>
      <c r="AE43">
        <v>0</v>
      </c>
      <c r="AF43" s="24">
        <v>24</v>
      </c>
      <c r="AG43" s="24">
        <v>894.40993788819878</v>
      </c>
      <c r="AH43" s="153">
        <v>0.39</v>
      </c>
      <c r="AI43" s="153">
        <v>0.95356799999999997</v>
      </c>
      <c r="AJ43" s="157">
        <v>305</v>
      </c>
      <c r="AM43" t="s">
        <v>298</v>
      </c>
    </row>
    <row r="44" spans="1:39" hidden="1">
      <c r="A44">
        <f>A43+1</f>
        <v>25</v>
      </c>
      <c r="B44">
        <f>B43+1</f>
        <v>25</v>
      </c>
      <c r="C44" s="542" t="s">
        <v>328</v>
      </c>
      <c r="D44" s="542" t="s">
        <v>328</v>
      </c>
      <c r="E44" t="s">
        <v>152</v>
      </c>
      <c r="F44">
        <v>3</v>
      </c>
      <c r="G44" s="135">
        <v>14.8</v>
      </c>
      <c r="H44" s="334">
        <v>0.2873</v>
      </c>
      <c r="I44" s="543">
        <v>0.1168</v>
      </c>
      <c r="J44" s="135">
        <v>0</v>
      </c>
      <c r="K44" s="334">
        <v>1</v>
      </c>
      <c r="L44" s="334">
        <v>1</v>
      </c>
      <c r="M44" s="157">
        <v>1</v>
      </c>
      <c r="N44" s="157">
        <v>1</v>
      </c>
      <c r="O44" s="157">
        <v>1</v>
      </c>
      <c r="P44" s="157">
        <v>1</v>
      </c>
      <c r="Q44" s="157">
        <v>1</v>
      </c>
      <c r="R44" s="157">
        <v>1</v>
      </c>
      <c r="S44" s="157">
        <v>1</v>
      </c>
      <c r="T44" s="157">
        <v>1</v>
      </c>
      <c r="U44" s="157">
        <v>1</v>
      </c>
      <c r="W44" s="544"/>
      <c r="X44" s="544"/>
      <c r="Y44" s="544"/>
      <c r="Z44" s="544"/>
      <c r="AA44" s="544"/>
      <c r="AB44">
        <v>1900</v>
      </c>
      <c r="AC44" s="545">
        <v>2022</v>
      </c>
      <c r="AD44">
        <v>0</v>
      </c>
      <c r="AE44">
        <v>0</v>
      </c>
      <c r="AF44">
        <v>247</v>
      </c>
      <c r="AG44" s="24">
        <v>195</v>
      </c>
      <c r="AH44">
        <v>0.36</v>
      </c>
      <c r="AI44">
        <v>0.73</v>
      </c>
      <c r="AJ44" s="157">
        <v>351</v>
      </c>
      <c r="AM44" t="s">
        <v>280</v>
      </c>
    </row>
    <row r="45" spans="1:39">
      <c r="A45">
        <v>54</v>
      </c>
      <c r="B45">
        <v>54</v>
      </c>
      <c r="C45" t="s">
        <v>329</v>
      </c>
      <c r="D45" t="s">
        <v>329</v>
      </c>
      <c r="E45" t="s">
        <v>146</v>
      </c>
      <c r="F45">
        <v>1</v>
      </c>
      <c r="G45" s="503">
        <v>87.1</v>
      </c>
      <c r="H45" s="334">
        <v>4.7699999999999992E-2</v>
      </c>
      <c r="I45" s="334">
        <v>2.7699999999999999E-2</v>
      </c>
      <c r="J45" s="334">
        <v>0.5</v>
      </c>
      <c r="K45" s="334">
        <v>1</v>
      </c>
      <c r="L45" s="115">
        <v>1</v>
      </c>
      <c r="M45" s="157">
        <v>1</v>
      </c>
      <c r="N45" s="157">
        <v>1</v>
      </c>
      <c r="O45" s="157">
        <v>1</v>
      </c>
      <c r="P45" s="157">
        <v>1</v>
      </c>
      <c r="Q45" s="157">
        <v>1</v>
      </c>
      <c r="R45" s="157">
        <v>1</v>
      </c>
      <c r="S45" s="157">
        <v>1</v>
      </c>
      <c r="T45" s="157">
        <v>1</v>
      </c>
      <c r="U45" s="157">
        <v>1</v>
      </c>
      <c r="V45" s="59">
        <v>0</v>
      </c>
      <c r="W45" s="59">
        <v>74.673463492475506</v>
      </c>
      <c r="X45" s="59">
        <v>74.673463492475506</v>
      </c>
      <c r="Y45" s="59">
        <v>74.673463492475506</v>
      </c>
      <c r="Z45" s="59">
        <v>74.673463492475506</v>
      </c>
      <c r="AA45" s="59">
        <v>74.673463492475506</v>
      </c>
      <c r="AB45">
        <v>1900</v>
      </c>
      <c r="AC45" s="157">
        <v>2022</v>
      </c>
      <c r="AD45">
        <v>0</v>
      </c>
      <c r="AE45">
        <v>0</v>
      </c>
      <c r="AF45" s="24">
        <v>54</v>
      </c>
      <c r="AG45" s="24">
        <v>249.166666666667</v>
      </c>
      <c r="AH45" s="153">
        <v>0.57999999999999996</v>
      </c>
      <c r="AI45" s="153">
        <v>0.37212999999999996</v>
      </c>
      <c r="AJ45" s="157">
        <v>302</v>
      </c>
      <c r="AM45" t="s">
        <v>287</v>
      </c>
    </row>
    <row r="46" spans="1:39">
      <c r="A46">
        <v>15</v>
      </c>
      <c r="B46">
        <v>15</v>
      </c>
      <c r="C46" t="s">
        <v>330</v>
      </c>
      <c r="D46" t="s">
        <v>330</v>
      </c>
      <c r="E46" t="s">
        <v>282</v>
      </c>
      <c r="F46">
        <v>1</v>
      </c>
      <c r="G46" s="503">
        <v>204</v>
      </c>
      <c r="H46" s="334">
        <v>2.76E-2</v>
      </c>
      <c r="I46" s="334">
        <v>7.4000000000000003E-3</v>
      </c>
      <c r="J46" s="334">
        <v>0.5</v>
      </c>
      <c r="K46" s="334">
        <v>1</v>
      </c>
      <c r="L46" s="115">
        <v>1</v>
      </c>
      <c r="M46" s="157">
        <v>1</v>
      </c>
      <c r="N46" s="157">
        <v>1</v>
      </c>
      <c r="O46" s="157">
        <v>1</v>
      </c>
      <c r="P46" s="157">
        <v>1</v>
      </c>
      <c r="Q46" s="157">
        <v>1</v>
      </c>
      <c r="R46" s="157">
        <v>1</v>
      </c>
      <c r="S46" s="157">
        <v>1</v>
      </c>
      <c r="T46" s="157">
        <v>1</v>
      </c>
      <c r="U46" s="157">
        <v>1</v>
      </c>
      <c r="V46" s="59">
        <v>0</v>
      </c>
      <c r="W46" s="59">
        <v>190.0503218824515</v>
      </c>
      <c r="X46" s="59">
        <v>190.0503218824515</v>
      </c>
      <c r="Y46" s="59">
        <v>190.0503218824515</v>
      </c>
      <c r="Z46" s="59">
        <v>190.0503218824515</v>
      </c>
      <c r="AA46" s="59">
        <v>190.0503218824515</v>
      </c>
      <c r="AB46">
        <v>1900</v>
      </c>
      <c r="AC46" s="157">
        <v>2025</v>
      </c>
      <c r="AD46">
        <v>0</v>
      </c>
      <c r="AE46">
        <v>0</v>
      </c>
      <c r="AF46" s="24">
        <v>15</v>
      </c>
      <c r="AG46" s="24">
        <v>235.833333333333</v>
      </c>
      <c r="AH46" s="153">
        <v>0.57999999999999996</v>
      </c>
      <c r="AI46" s="153">
        <v>0.37212999999999996</v>
      </c>
      <c r="AJ46" s="157">
        <v>302</v>
      </c>
      <c r="AM46" t="s">
        <v>287</v>
      </c>
    </row>
    <row r="47" spans="1:39">
      <c r="A47">
        <v>90</v>
      </c>
      <c r="B47">
        <v>90</v>
      </c>
      <c r="C47" t="s">
        <v>331</v>
      </c>
      <c r="D47" t="s">
        <v>331</v>
      </c>
      <c r="E47" t="s">
        <v>146</v>
      </c>
      <c r="F47">
        <v>1</v>
      </c>
      <c r="G47" s="503">
        <v>928.7</v>
      </c>
      <c r="H47" s="334">
        <v>5.1900000000000002E-2</v>
      </c>
      <c r="I47" s="334">
        <v>2.18E-2</v>
      </c>
      <c r="J47" s="334">
        <v>0</v>
      </c>
      <c r="K47" s="334">
        <v>1</v>
      </c>
      <c r="L47" s="115">
        <v>1</v>
      </c>
      <c r="M47" s="157">
        <v>1</v>
      </c>
      <c r="N47" s="157">
        <v>1</v>
      </c>
      <c r="O47" s="157">
        <v>1</v>
      </c>
      <c r="P47" s="157">
        <v>1</v>
      </c>
      <c r="Q47" s="157">
        <v>1</v>
      </c>
      <c r="R47" s="157">
        <v>1</v>
      </c>
      <c r="S47" s="157">
        <v>1</v>
      </c>
      <c r="T47" s="157">
        <v>1</v>
      </c>
      <c r="U47" s="157">
        <v>1</v>
      </c>
      <c r="V47" s="59">
        <v>0</v>
      </c>
      <c r="W47" s="59">
        <v>798.80183833654689</v>
      </c>
      <c r="X47" s="59">
        <v>798.80183833654689</v>
      </c>
      <c r="Y47" s="59">
        <v>798.80183833654689</v>
      </c>
      <c r="Z47" s="59">
        <v>798.80183833654689</v>
      </c>
      <c r="AA47" s="59">
        <v>798.80183833654689</v>
      </c>
      <c r="AB47">
        <v>1900</v>
      </c>
      <c r="AC47" s="157">
        <v>2025</v>
      </c>
      <c r="AD47">
        <v>0</v>
      </c>
      <c r="AE47">
        <v>0</v>
      </c>
      <c r="AF47" s="24">
        <v>90</v>
      </c>
      <c r="AG47" s="24">
        <v>244.166666666667</v>
      </c>
      <c r="AH47" s="153">
        <v>0.4</v>
      </c>
      <c r="AI47" s="153">
        <v>0.50237550000000009</v>
      </c>
      <c r="AJ47" s="157">
        <v>301</v>
      </c>
      <c r="AM47" t="s">
        <v>287</v>
      </c>
    </row>
    <row r="48" spans="1:39" hidden="1">
      <c r="A48">
        <f>A47+1</f>
        <v>91</v>
      </c>
      <c r="B48">
        <f>B47+1</f>
        <v>91</v>
      </c>
      <c r="C48" s="542" t="s">
        <v>332</v>
      </c>
      <c r="D48" s="542" t="s">
        <v>332</v>
      </c>
      <c r="E48" t="s">
        <v>152</v>
      </c>
      <c r="F48">
        <v>3</v>
      </c>
      <c r="G48" s="135">
        <v>168</v>
      </c>
      <c r="H48" s="334">
        <v>0.1193</v>
      </c>
      <c r="I48" s="543">
        <v>1.8200000000000001E-2</v>
      </c>
      <c r="J48" s="135">
        <v>0</v>
      </c>
      <c r="K48" s="334">
        <v>0.97</v>
      </c>
      <c r="L48" s="334">
        <v>1</v>
      </c>
      <c r="M48" s="157">
        <v>1</v>
      </c>
      <c r="N48" s="157">
        <v>1</v>
      </c>
      <c r="O48" s="157">
        <v>1</v>
      </c>
      <c r="P48" s="157">
        <v>1</v>
      </c>
      <c r="Q48" s="157">
        <v>1</v>
      </c>
      <c r="R48" s="157">
        <v>1</v>
      </c>
      <c r="S48" s="157">
        <v>1</v>
      </c>
      <c r="T48" s="157">
        <v>1</v>
      </c>
      <c r="U48" s="157">
        <v>1</v>
      </c>
      <c r="W48" s="544"/>
      <c r="X48" s="544"/>
      <c r="Y48" s="544"/>
      <c r="Z48" s="544"/>
      <c r="AA48" s="544"/>
      <c r="AB48">
        <v>1900</v>
      </c>
      <c r="AC48" s="545">
        <v>2024</v>
      </c>
      <c r="AD48">
        <v>0</v>
      </c>
      <c r="AE48">
        <v>0</v>
      </c>
      <c r="AF48">
        <v>248</v>
      </c>
      <c r="AG48" s="24">
        <v>195</v>
      </c>
      <c r="AH48">
        <v>0.36</v>
      </c>
      <c r="AI48">
        <v>0.73</v>
      </c>
      <c r="AJ48" s="157">
        <v>341</v>
      </c>
      <c r="AM48" t="s">
        <v>290</v>
      </c>
    </row>
    <row r="49" spans="1:39" hidden="1">
      <c r="A49">
        <f>A48+1</f>
        <v>92</v>
      </c>
      <c r="B49">
        <f>B48+1</f>
        <v>92</v>
      </c>
      <c r="C49" s="542" t="s">
        <v>333</v>
      </c>
      <c r="D49" s="542" t="s">
        <v>333</v>
      </c>
      <c r="E49" t="s">
        <v>152</v>
      </c>
      <c r="F49">
        <v>3</v>
      </c>
      <c r="G49" s="135">
        <v>13.1</v>
      </c>
      <c r="H49" s="334">
        <v>0.4042</v>
      </c>
      <c r="I49" s="543">
        <v>0.11689999999999999</v>
      </c>
      <c r="J49" s="135">
        <v>0</v>
      </c>
      <c r="K49" s="334">
        <v>1</v>
      </c>
      <c r="L49" s="334">
        <v>1</v>
      </c>
      <c r="M49" s="157">
        <v>1</v>
      </c>
      <c r="N49" s="157">
        <v>1</v>
      </c>
      <c r="O49" s="157">
        <v>1</v>
      </c>
      <c r="P49" s="157">
        <v>1</v>
      </c>
      <c r="Q49" s="157">
        <v>1</v>
      </c>
      <c r="R49" s="157">
        <v>1</v>
      </c>
      <c r="S49" s="157">
        <v>1</v>
      </c>
      <c r="T49" s="157">
        <v>1</v>
      </c>
      <c r="U49" s="157">
        <v>1</v>
      </c>
      <c r="W49" s="544"/>
      <c r="X49" s="544"/>
      <c r="Y49" s="544"/>
      <c r="Z49" s="544"/>
      <c r="AA49" s="544"/>
      <c r="AB49">
        <v>1900</v>
      </c>
      <c r="AC49" s="545">
        <v>2022</v>
      </c>
      <c r="AD49">
        <v>0</v>
      </c>
      <c r="AE49">
        <v>0</v>
      </c>
      <c r="AF49">
        <v>249</v>
      </c>
      <c r="AG49" s="24">
        <v>195</v>
      </c>
      <c r="AH49">
        <v>0.36</v>
      </c>
      <c r="AI49">
        <v>0.73</v>
      </c>
      <c r="AJ49" s="157">
        <v>351</v>
      </c>
      <c r="AM49" t="s">
        <v>280</v>
      </c>
    </row>
    <row r="50" spans="1:39" hidden="1">
      <c r="A50">
        <v>212</v>
      </c>
      <c r="B50">
        <v>212</v>
      </c>
      <c r="C50" t="s">
        <v>334</v>
      </c>
      <c r="D50" t="s">
        <v>334</v>
      </c>
      <c r="E50" t="s">
        <v>153</v>
      </c>
      <c r="F50">
        <v>4</v>
      </c>
      <c r="G50" s="503">
        <v>518.79999999999995</v>
      </c>
      <c r="H50" s="334">
        <v>1.8500000000000003E-2</v>
      </c>
      <c r="I50" s="334">
        <v>1.6200000000000003E-2</v>
      </c>
      <c r="J50" s="334">
        <v>0.5</v>
      </c>
      <c r="K50" s="334">
        <v>1</v>
      </c>
      <c r="L50" s="115">
        <v>1</v>
      </c>
      <c r="M50" s="157">
        <v>1</v>
      </c>
      <c r="N50" s="157">
        <v>1</v>
      </c>
      <c r="O50" s="157">
        <v>1</v>
      </c>
      <c r="P50" s="157">
        <v>1</v>
      </c>
      <c r="Q50" s="157">
        <v>1</v>
      </c>
      <c r="R50" s="157">
        <v>1</v>
      </c>
      <c r="S50" s="157">
        <v>1</v>
      </c>
      <c r="T50" s="157">
        <v>1</v>
      </c>
      <c r="U50" s="157">
        <v>1</v>
      </c>
      <c r="V50" s="59">
        <v>233.317855511</v>
      </c>
      <c r="W50" s="59">
        <v>483.72018659607869</v>
      </c>
      <c r="X50" s="59">
        <v>483.72018659607869</v>
      </c>
      <c r="Y50" s="59">
        <v>483.72018659607869</v>
      </c>
      <c r="Z50" s="59">
        <v>483.72018659607869</v>
      </c>
      <c r="AA50" s="59">
        <v>250.40233108507869</v>
      </c>
      <c r="AB50">
        <v>2016</v>
      </c>
      <c r="AC50" s="157">
        <v>2033</v>
      </c>
      <c r="AD50">
        <v>0</v>
      </c>
      <c r="AE50">
        <v>0</v>
      </c>
      <c r="AF50" s="24">
        <v>212</v>
      </c>
      <c r="AG50" s="24">
        <v>184.296446001471</v>
      </c>
      <c r="AH50" s="153">
        <v>0.57999999999999996</v>
      </c>
      <c r="AI50" s="153">
        <v>0.37212999999999996</v>
      </c>
      <c r="AJ50" s="157">
        <v>302</v>
      </c>
      <c r="AM50" t="s">
        <v>287</v>
      </c>
    </row>
    <row r="51" spans="1:39">
      <c r="A51">
        <v>86</v>
      </c>
      <c r="B51">
        <v>86</v>
      </c>
      <c r="C51" t="s">
        <v>335</v>
      </c>
      <c r="D51" t="s">
        <v>335</v>
      </c>
      <c r="E51" t="s">
        <v>146</v>
      </c>
      <c r="F51">
        <v>1</v>
      </c>
      <c r="G51" s="503">
        <v>500</v>
      </c>
      <c r="H51" s="334">
        <v>9.0899999999999995E-2</v>
      </c>
      <c r="I51" s="334">
        <v>9.0800000000000006E-2</v>
      </c>
      <c r="J51" s="334">
        <v>0</v>
      </c>
      <c r="K51" s="334">
        <v>1</v>
      </c>
      <c r="L51" s="115">
        <v>1</v>
      </c>
      <c r="M51" s="157">
        <v>1</v>
      </c>
      <c r="N51" s="157">
        <v>1</v>
      </c>
      <c r="O51" s="157">
        <v>1</v>
      </c>
      <c r="P51" s="157">
        <v>1</v>
      </c>
      <c r="Q51" s="157">
        <v>1</v>
      </c>
      <c r="R51" s="157">
        <v>1</v>
      </c>
      <c r="S51" s="157">
        <v>1</v>
      </c>
      <c r="T51" s="157">
        <v>1</v>
      </c>
      <c r="U51" s="157">
        <v>1</v>
      </c>
      <c r="V51" s="59">
        <v>0</v>
      </c>
      <c r="W51" s="59">
        <v>341.59552602291916</v>
      </c>
      <c r="X51" s="59">
        <v>341.59552602291916</v>
      </c>
      <c r="Y51" s="59">
        <v>341.59552602291916</v>
      </c>
      <c r="Z51" s="59">
        <v>341.59552602291916</v>
      </c>
      <c r="AA51" s="59">
        <v>341.59552602291916</v>
      </c>
      <c r="AB51">
        <v>1900</v>
      </c>
      <c r="AC51" s="157">
        <v>2030</v>
      </c>
      <c r="AD51">
        <v>0</v>
      </c>
      <c r="AE51">
        <v>0</v>
      </c>
      <c r="AF51" s="24">
        <v>86</v>
      </c>
      <c r="AG51" s="24">
        <v>177.5</v>
      </c>
      <c r="AH51" s="153">
        <v>0.4</v>
      </c>
      <c r="AI51" s="153">
        <v>0.50237550000000009</v>
      </c>
      <c r="AJ51" s="157">
        <v>301</v>
      </c>
      <c r="AM51" t="s">
        <v>287</v>
      </c>
    </row>
    <row r="52" spans="1:39">
      <c r="A52">
        <v>34</v>
      </c>
      <c r="B52">
        <v>34</v>
      </c>
      <c r="C52" t="s">
        <v>336</v>
      </c>
      <c r="D52" t="s">
        <v>336</v>
      </c>
      <c r="E52" t="s">
        <v>146</v>
      </c>
      <c r="F52">
        <v>1</v>
      </c>
      <c r="G52" s="503">
        <v>206.4</v>
      </c>
      <c r="H52" s="334">
        <v>9.7699999999999995E-2</v>
      </c>
      <c r="I52" s="334">
        <v>0.12210000000000001</v>
      </c>
      <c r="J52" s="334">
        <v>0.5</v>
      </c>
      <c r="K52" s="334">
        <v>1</v>
      </c>
      <c r="L52" s="115">
        <v>1</v>
      </c>
      <c r="M52" s="157">
        <v>1</v>
      </c>
      <c r="N52" s="157">
        <v>1</v>
      </c>
      <c r="O52" s="157">
        <v>1</v>
      </c>
      <c r="P52" s="157">
        <v>1</v>
      </c>
      <c r="Q52" s="157">
        <v>1</v>
      </c>
      <c r="R52" s="157">
        <v>1</v>
      </c>
      <c r="S52" s="157">
        <v>1</v>
      </c>
      <c r="T52" s="157">
        <v>1</v>
      </c>
      <c r="U52" s="157">
        <v>1</v>
      </c>
      <c r="V52" s="59">
        <v>0</v>
      </c>
      <c r="W52" s="59">
        <v>129.50952357355308</v>
      </c>
      <c r="X52" s="59">
        <v>129.50952357355308</v>
      </c>
      <c r="Y52" s="59">
        <v>129.50952357355308</v>
      </c>
      <c r="Z52" s="59">
        <v>129.50952357355308</v>
      </c>
      <c r="AA52" s="59">
        <v>129.50952357355308</v>
      </c>
      <c r="AB52">
        <v>1900</v>
      </c>
      <c r="AC52" s="157">
        <v>2030</v>
      </c>
      <c r="AD52">
        <v>0</v>
      </c>
      <c r="AE52">
        <v>0</v>
      </c>
      <c r="AF52" s="24">
        <v>34</v>
      </c>
      <c r="AG52" s="24">
        <v>305.83333333333297</v>
      </c>
      <c r="AH52" s="153">
        <v>0.57999999999999996</v>
      </c>
      <c r="AI52" s="153">
        <v>0.37212999999999996</v>
      </c>
      <c r="AJ52" s="157">
        <v>302</v>
      </c>
      <c r="AM52" t="s">
        <v>287</v>
      </c>
    </row>
    <row r="53" spans="1:39" hidden="1">
      <c r="A53">
        <v>140</v>
      </c>
      <c r="B53">
        <v>140</v>
      </c>
      <c r="C53" t="s">
        <v>337</v>
      </c>
      <c r="D53" t="s">
        <v>337</v>
      </c>
      <c r="E53" t="s">
        <v>154</v>
      </c>
      <c r="F53">
        <v>7</v>
      </c>
      <c r="G53" s="503">
        <v>590.79999999999995</v>
      </c>
      <c r="H53" s="334">
        <v>3.7000000000000005E-2</v>
      </c>
      <c r="I53" s="334">
        <v>6.3E-2</v>
      </c>
      <c r="J53" s="334">
        <v>0.50532581664801035</v>
      </c>
      <c r="K53" s="334">
        <v>0.98</v>
      </c>
      <c r="L53" s="115">
        <v>1</v>
      </c>
      <c r="M53" s="157">
        <v>1</v>
      </c>
      <c r="N53" s="157">
        <v>1</v>
      </c>
      <c r="O53" s="157">
        <v>1</v>
      </c>
      <c r="P53" s="157">
        <v>1</v>
      </c>
      <c r="Q53" s="157">
        <v>1</v>
      </c>
      <c r="R53" s="157">
        <v>1</v>
      </c>
      <c r="S53" s="157">
        <v>1</v>
      </c>
      <c r="T53" s="157">
        <v>1</v>
      </c>
      <c r="U53" s="157">
        <v>1</v>
      </c>
      <c r="V53" s="59">
        <v>238.21538399999997</v>
      </c>
      <c r="W53" s="59">
        <v>461.98129727184039</v>
      </c>
      <c r="X53" s="59">
        <v>461.98129727184039</v>
      </c>
      <c r="Y53" s="59">
        <v>461.98129727184039</v>
      </c>
      <c r="Z53" s="59">
        <v>461.98129727184039</v>
      </c>
      <c r="AA53" s="59">
        <v>223.76591327184042</v>
      </c>
      <c r="AB53">
        <v>2016</v>
      </c>
      <c r="AC53" s="157">
        <v>2036</v>
      </c>
      <c r="AD53">
        <v>0</v>
      </c>
      <c r="AE53">
        <v>0</v>
      </c>
      <c r="AF53" s="24">
        <v>140</v>
      </c>
      <c r="AG53" s="24">
        <v>182.48636011674299</v>
      </c>
      <c r="AH53" s="153">
        <v>0.57999999999999996</v>
      </c>
      <c r="AI53" s="153">
        <v>0.37212999999999996</v>
      </c>
      <c r="AJ53" s="157">
        <v>302</v>
      </c>
      <c r="AM53" t="s">
        <v>287</v>
      </c>
    </row>
    <row r="54" spans="1:39" hidden="1">
      <c r="A54">
        <v>141</v>
      </c>
      <c r="B54">
        <v>141</v>
      </c>
      <c r="C54" t="s">
        <v>338</v>
      </c>
      <c r="D54" t="s">
        <v>338</v>
      </c>
      <c r="E54" t="s">
        <v>154</v>
      </c>
      <c r="F54">
        <v>7</v>
      </c>
      <c r="G54" s="503">
        <v>150</v>
      </c>
      <c r="H54" s="334">
        <v>0.20019999999999999</v>
      </c>
      <c r="I54" s="334">
        <v>9.5100000000000004E-2</v>
      </c>
      <c r="J54" s="334">
        <v>0</v>
      </c>
      <c r="K54" s="334">
        <v>0.9</v>
      </c>
      <c r="L54" s="115">
        <v>1</v>
      </c>
      <c r="M54" s="157">
        <v>1</v>
      </c>
      <c r="N54" s="157">
        <v>1</v>
      </c>
      <c r="O54" s="157">
        <v>1</v>
      </c>
      <c r="P54" s="157">
        <v>1</v>
      </c>
      <c r="Q54" s="157">
        <v>1</v>
      </c>
      <c r="R54" s="157">
        <v>1</v>
      </c>
      <c r="S54" s="157">
        <v>1</v>
      </c>
      <c r="T54" s="157">
        <v>1</v>
      </c>
      <c r="U54" s="157">
        <v>1</v>
      </c>
      <c r="V54" s="59">
        <v>0</v>
      </c>
      <c r="W54" s="59">
        <v>63.641477542073112</v>
      </c>
      <c r="X54" s="59">
        <v>63.641477542073112</v>
      </c>
      <c r="Y54" s="59">
        <v>63.641477542073112</v>
      </c>
      <c r="Z54" s="59">
        <v>63.641477542073112</v>
      </c>
      <c r="AA54" s="59">
        <v>63.641477542073112</v>
      </c>
      <c r="AB54">
        <v>1900</v>
      </c>
      <c r="AC54" s="157">
        <v>2026</v>
      </c>
      <c r="AD54">
        <v>0</v>
      </c>
      <c r="AE54">
        <v>0</v>
      </c>
      <c r="AF54" s="24">
        <v>141</v>
      </c>
      <c r="AG54" s="24">
        <v>212.3</v>
      </c>
      <c r="AH54" s="153">
        <v>0.36</v>
      </c>
      <c r="AI54" s="153">
        <v>0.73326000000000002</v>
      </c>
      <c r="AJ54" s="157">
        <v>341</v>
      </c>
      <c r="AM54" t="s">
        <v>290</v>
      </c>
    </row>
    <row r="55" spans="1:39">
      <c r="A55">
        <v>46</v>
      </c>
      <c r="B55">
        <v>46</v>
      </c>
      <c r="C55" t="s">
        <v>339</v>
      </c>
      <c r="D55" t="s">
        <v>339</v>
      </c>
      <c r="E55" t="s">
        <v>154</v>
      </c>
      <c r="F55">
        <v>4</v>
      </c>
      <c r="G55" s="503">
        <v>178.2</v>
      </c>
      <c r="H55" s="334">
        <v>4.4999999999999998E-2</v>
      </c>
      <c r="I55" s="334">
        <v>3.2199999999999999E-2</v>
      </c>
      <c r="J55" s="334">
        <v>0.5</v>
      </c>
      <c r="K55" s="334">
        <v>1</v>
      </c>
      <c r="L55" s="115">
        <v>1</v>
      </c>
      <c r="M55" s="157">
        <v>1</v>
      </c>
      <c r="N55" s="157">
        <v>1</v>
      </c>
      <c r="O55" s="157">
        <v>1</v>
      </c>
      <c r="P55" s="157">
        <v>1</v>
      </c>
      <c r="Q55" s="157">
        <v>1</v>
      </c>
      <c r="R55" s="157">
        <v>1</v>
      </c>
      <c r="S55" s="157">
        <v>1</v>
      </c>
      <c r="T55" s="157">
        <v>1</v>
      </c>
      <c r="U55" s="157">
        <v>1</v>
      </c>
      <c r="V55" s="59">
        <v>0</v>
      </c>
      <c r="W55" s="59">
        <v>152.22489333497816</v>
      </c>
      <c r="X55" s="59">
        <v>152.22489333497816</v>
      </c>
      <c r="Y55" s="59">
        <v>152.22489333497816</v>
      </c>
      <c r="Z55" s="59">
        <v>152.22489333497816</v>
      </c>
      <c r="AA55" s="59">
        <v>152.22489333497816</v>
      </c>
      <c r="AB55">
        <v>1900</v>
      </c>
      <c r="AC55" s="157">
        <v>2027</v>
      </c>
      <c r="AD55">
        <v>0</v>
      </c>
      <c r="AE55">
        <v>0</v>
      </c>
      <c r="AF55" s="24">
        <v>46</v>
      </c>
      <c r="AG55" s="24">
        <v>246.25</v>
      </c>
      <c r="AH55" s="153">
        <v>0.6</v>
      </c>
      <c r="AI55" s="153">
        <v>0.4</v>
      </c>
      <c r="AJ55" s="157">
        <v>302</v>
      </c>
      <c r="AM55" t="s">
        <v>287</v>
      </c>
    </row>
    <row r="56" spans="1:39" hidden="1">
      <c r="A56">
        <f>A55+1</f>
        <v>47</v>
      </c>
      <c r="B56">
        <f>B55+1</f>
        <v>47</v>
      </c>
      <c r="C56" s="542" t="s">
        <v>340</v>
      </c>
      <c r="D56" s="542" t="s">
        <v>340</v>
      </c>
      <c r="E56" t="s">
        <v>152</v>
      </c>
      <c r="F56">
        <v>3</v>
      </c>
      <c r="G56" s="135">
        <v>147.19999999999999</v>
      </c>
      <c r="H56" s="334">
        <v>8.0500000000000002E-2</v>
      </c>
      <c r="I56" s="543">
        <v>1.2E-2</v>
      </c>
      <c r="J56" s="135">
        <v>0</v>
      </c>
      <c r="K56" s="334">
        <v>1</v>
      </c>
      <c r="L56" s="334">
        <v>1</v>
      </c>
      <c r="M56" s="157">
        <v>1</v>
      </c>
      <c r="N56" s="157">
        <v>1</v>
      </c>
      <c r="O56" s="157">
        <v>1</v>
      </c>
      <c r="P56" s="157">
        <v>1</v>
      </c>
      <c r="Q56" s="157">
        <v>1</v>
      </c>
      <c r="R56" s="157">
        <v>1</v>
      </c>
      <c r="S56" s="157">
        <v>1</v>
      </c>
      <c r="T56" s="157">
        <v>1</v>
      </c>
      <c r="U56" s="157">
        <v>1</v>
      </c>
      <c r="W56" s="544"/>
      <c r="X56" s="544"/>
      <c r="Y56" s="544"/>
      <c r="Z56" s="544"/>
      <c r="AA56" s="544"/>
      <c r="AB56">
        <v>1900</v>
      </c>
      <c r="AC56" s="545">
        <v>2023</v>
      </c>
      <c r="AD56">
        <v>0</v>
      </c>
      <c r="AE56">
        <v>0</v>
      </c>
      <c r="AF56">
        <v>250</v>
      </c>
      <c r="AG56" s="24">
        <v>195</v>
      </c>
      <c r="AH56">
        <v>0.36</v>
      </c>
      <c r="AI56">
        <v>0.73</v>
      </c>
      <c r="AJ56" s="157">
        <v>341</v>
      </c>
      <c r="AM56" t="s">
        <v>290</v>
      </c>
    </row>
    <row r="57" spans="1:39" hidden="1">
      <c r="A57">
        <f>A56+1</f>
        <v>48</v>
      </c>
      <c r="B57">
        <f>B56+1</f>
        <v>48</v>
      </c>
      <c r="C57" s="542" t="s">
        <v>341</v>
      </c>
      <c r="D57" s="542" t="s">
        <v>341</v>
      </c>
      <c r="E57" t="s">
        <v>152</v>
      </c>
      <c r="F57">
        <v>3</v>
      </c>
      <c r="G57" s="135">
        <v>13.1</v>
      </c>
      <c r="H57" s="334">
        <v>0.37810000000000005</v>
      </c>
      <c r="I57" s="543">
        <v>0.11599999999999999</v>
      </c>
      <c r="J57" s="135">
        <v>0</v>
      </c>
      <c r="K57" s="334">
        <v>1</v>
      </c>
      <c r="L57" s="334">
        <v>1</v>
      </c>
      <c r="M57" s="157">
        <v>1</v>
      </c>
      <c r="N57" s="157">
        <v>1</v>
      </c>
      <c r="O57" s="157">
        <v>1</v>
      </c>
      <c r="P57" s="157">
        <v>1</v>
      </c>
      <c r="Q57" s="157">
        <v>1</v>
      </c>
      <c r="R57" s="157">
        <v>1</v>
      </c>
      <c r="S57" s="157">
        <v>1</v>
      </c>
      <c r="T57" s="157">
        <v>1</v>
      </c>
      <c r="U57" s="157">
        <v>1</v>
      </c>
      <c r="W57" s="544"/>
      <c r="X57" s="544"/>
      <c r="Y57" s="544"/>
      <c r="Z57" s="544"/>
      <c r="AA57" s="544"/>
      <c r="AB57">
        <v>1900</v>
      </c>
      <c r="AC57" s="545">
        <v>2022</v>
      </c>
      <c r="AD57">
        <v>0</v>
      </c>
      <c r="AE57">
        <v>0</v>
      </c>
      <c r="AF57">
        <v>251</v>
      </c>
      <c r="AG57" s="24">
        <v>195</v>
      </c>
      <c r="AH57">
        <v>0.36</v>
      </c>
      <c r="AI57">
        <v>0.73</v>
      </c>
      <c r="AJ57" s="157">
        <v>351</v>
      </c>
      <c r="AM57" t="s">
        <v>280</v>
      </c>
    </row>
    <row r="58" spans="1:39">
      <c r="A58">
        <v>171</v>
      </c>
      <c r="B58">
        <v>171</v>
      </c>
      <c r="C58" t="s">
        <v>342</v>
      </c>
      <c r="D58" t="s">
        <v>342</v>
      </c>
      <c r="E58" t="s">
        <v>146</v>
      </c>
      <c r="F58">
        <v>1</v>
      </c>
      <c r="G58" s="503">
        <v>400</v>
      </c>
      <c r="H58" s="334">
        <v>0</v>
      </c>
      <c r="I58" s="334">
        <v>0</v>
      </c>
      <c r="J58" s="334">
        <v>0.99997500000000006</v>
      </c>
      <c r="K58" s="334">
        <v>1</v>
      </c>
      <c r="L58" s="115">
        <v>1</v>
      </c>
      <c r="M58" s="157">
        <v>1</v>
      </c>
      <c r="N58" s="157">
        <v>1</v>
      </c>
      <c r="O58" s="157">
        <v>1</v>
      </c>
      <c r="P58" s="157">
        <v>1</v>
      </c>
      <c r="Q58" s="157">
        <v>1</v>
      </c>
      <c r="R58" s="157">
        <v>1</v>
      </c>
      <c r="S58" s="157">
        <v>1</v>
      </c>
      <c r="T58" s="157">
        <v>1</v>
      </c>
      <c r="U58" s="157">
        <v>1</v>
      </c>
      <c r="V58" s="59">
        <v>399.99</v>
      </c>
      <c r="W58" s="59">
        <v>400</v>
      </c>
      <c r="X58" s="59">
        <v>400</v>
      </c>
      <c r="Y58" s="59">
        <v>400</v>
      </c>
      <c r="Z58" s="59">
        <v>400</v>
      </c>
      <c r="AA58" s="59">
        <v>9.9999999999909051E-3</v>
      </c>
      <c r="AB58">
        <v>1900</v>
      </c>
      <c r="AC58" s="157">
        <v>2024</v>
      </c>
      <c r="AD58">
        <v>0</v>
      </c>
      <c r="AE58">
        <v>0</v>
      </c>
      <c r="AF58" s="24">
        <v>171</v>
      </c>
      <c r="AG58" s="24">
        <v>197.5</v>
      </c>
      <c r="AH58" s="153">
        <v>0.4</v>
      </c>
      <c r="AI58" s="153">
        <v>0.50237550000000009</v>
      </c>
      <c r="AJ58" s="157">
        <v>302</v>
      </c>
      <c r="AM58" t="s">
        <v>287</v>
      </c>
    </row>
    <row r="59" spans="1:39">
      <c r="A59">
        <v>172</v>
      </c>
      <c r="B59">
        <v>172</v>
      </c>
      <c r="C59" t="s">
        <v>343</v>
      </c>
      <c r="D59" t="s">
        <v>343</v>
      </c>
      <c r="E59" t="s">
        <v>146</v>
      </c>
      <c r="F59">
        <v>1</v>
      </c>
      <c r="G59" s="503">
        <v>100</v>
      </c>
      <c r="H59" s="334">
        <v>0.125</v>
      </c>
      <c r="I59" s="334">
        <v>5.9900000000000002E-2</v>
      </c>
      <c r="J59" s="334">
        <v>0</v>
      </c>
      <c r="K59" s="334">
        <v>1</v>
      </c>
      <c r="L59" s="115">
        <v>1</v>
      </c>
      <c r="M59" s="157">
        <v>1</v>
      </c>
      <c r="N59" s="157">
        <v>1</v>
      </c>
      <c r="O59" s="157">
        <v>1</v>
      </c>
      <c r="P59" s="157">
        <v>1</v>
      </c>
      <c r="Q59" s="157">
        <v>1</v>
      </c>
      <c r="R59" s="157">
        <v>1</v>
      </c>
      <c r="S59" s="157">
        <v>1</v>
      </c>
      <c r="T59" s="157">
        <v>1</v>
      </c>
      <c r="U59" s="157">
        <v>1</v>
      </c>
      <c r="V59" s="59">
        <v>0</v>
      </c>
      <c r="W59" s="59">
        <v>67.665019515625019</v>
      </c>
      <c r="X59" s="59">
        <v>67.665019515625019</v>
      </c>
      <c r="Y59" s="59">
        <v>67.665019515625019</v>
      </c>
      <c r="Z59" s="59">
        <v>67.665019515625019</v>
      </c>
      <c r="AA59" s="59">
        <v>67.665019515625019</v>
      </c>
      <c r="AB59">
        <v>1900</v>
      </c>
      <c r="AC59" s="157">
        <v>2024</v>
      </c>
      <c r="AD59">
        <v>0</v>
      </c>
      <c r="AE59">
        <v>0</v>
      </c>
      <c r="AF59" s="24">
        <v>172</v>
      </c>
      <c r="AG59" s="24">
        <v>197.5</v>
      </c>
      <c r="AH59" s="153">
        <v>0.4</v>
      </c>
      <c r="AI59" s="153">
        <v>0.50237550000000009</v>
      </c>
      <c r="AJ59" s="157">
        <v>301</v>
      </c>
      <c r="AM59" t="s">
        <v>287</v>
      </c>
    </row>
    <row r="60" spans="1:39">
      <c r="A60">
        <v>173</v>
      </c>
      <c r="B60">
        <v>173</v>
      </c>
      <c r="C60" t="s">
        <v>344</v>
      </c>
      <c r="D60" t="s">
        <v>344</v>
      </c>
      <c r="E60" t="s">
        <v>146</v>
      </c>
      <c r="F60">
        <v>1</v>
      </c>
      <c r="G60" s="503">
        <v>200</v>
      </c>
      <c r="H60" s="334">
        <v>0.125</v>
      </c>
      <c r="I60" s="334">
        <v>5.9900000000000002E-2</v>
      </c>
      <c r="J60" s="334">
        <v>0</v>
      </c>
      <c r="K60" s="334">
        <v>1</v>
      </c>
      <c r="L60" s="115">
        <v>1</v>
      </c>
      <c r="M60" s="157">
        <v>1</v>
      </c>
      <c r="N60" s="157">
        <v>1</v>
      </c>
      <c r="O60" s="157">
        <v>1</v>
      </c>
      <c r="P60" s="157">
        <v>1</v>
      </c>
      <c r="Q60" s="157">
        <v>1</v>
      </c>
      <c r="R60" s="157">
        <v>1</v>
      </c>
      <c r="S60" s="157">
        <v>1</v>
      </c>
      <c r="T60" s="157">
        <v>1</v>
      </c>
      <c r="U60" s="157">
        <v>1</v>
      </c>
      <c r="V60" s="59">
        <v>0</v>
      </c>
      <c r="W60" s="59">
        <v>135.33003903125004</v>
      </c>
      <c r="X60" s="59">
        <v>135.33003903125004</v>
      </c>
      <c r="Y60" s="59">
        <v>135.33003903125004</v>
      </c>
      <c r="Z60" s="59">
        <v>135.33003903125004</v>
      </c>
      <c r="AA60" s="59">
        <v>135.33003903125004</v>
      </c>
      <c r="AB60">
        <v>1900</v>
      </c>
      <c r="AC60" s="157">
        <v>2024</v>
      </c>
      <c r="AD60">
        <v>0</v>
      </c>
      <c r="AE60">
        <v>0</v>
      </c>
      <c r="AF60" s="24">
        <v>173</v>
      </c>
      <c r="AG60" s="24">
        <v>197.5</v>
      </c>
      <c r="AH60" s="153">
        <v>0.4</v>
      </c>
      <c r="AI60" s="153">
        <v>0.50237550000000009</v>
      </c>
      <c r="AJ60" s="157">
        <v>301</v>
      </c>
      <c r="AM60" t="s">
        <v>287</v>
      </c>
    </row>
    <row r="61" spans="1:39">
      <c r="A61">
        <v>174</v>
      </c>
      <c r="B61">
        <v>174</v>
      </c>
      <c r="C61" t="s">
        <v>345</v>
      </c>
      <c r="D61" t="s">
        <v>345</v>
      </c>
      <c r="E61" t="s">
        <v>146</v>
      </c>
      <c r="F61">
        <v>1</v>
      </c>
      <c r="G61" s="503">
        <v>126.8</v>
      </c>
      <c r="H61" s="334">
        <v>0.125</v>
      </c>
      <c r="I61" s="334">
        <v>5.9900000000000002E-2</v>
      </c>
      <c r="J61" s="334">
        <v>0</v>
      </c>
      <c r="K61" s="334">
        <v>1</v>
      </c>
      <c r="L61" s="115">
        <v>1</v>
      </c>
      <c r="M61" s="157">
        <v>1</v>
      </c>
      <c r="N61" s="157">
        <v>1</v>
      </c>
      <c r="O61" s="157">
        <v>1</v>
      </c>
      <c r="P61" s="157">
        <v>1</v>
      </c>
      <c r="Q61" s="157">
        <v>1</v>
      </c>
      <c r="R61" s="157">
        <v>1</v>
      </c>
      <c r="S61" s="157">
        <v>1</v>
      </c>
      <c r="T61" s="157">
        <v>1</v>
      </c>
      <c r="U61" s="157">
        <v>1</v>
      </c>
      <c r="V61" s="59">
        <v>0</v>
      </c>
      <c r="W61" s="59">
        <v>85.799244745812516</v>
      </c>
      <c r="X61" s="59">
        <v>85.799244745812516</v>
      </c>
      <c r="Y61" s="59">
        <v>85.799244745812516</v>
      </c>
      <c r="Z61" s="59">
        <v>85.799244745812516</v>
      </c>
      <c r="AA61" s="59">
        <v>85.799244745812516</v>
      </c>
      <c r="AB61">
        <v>1900</v>
      </c>
      <c r="AC61" s="157">
        <v>2024</v>
      </c>
      <c r="AD61">
        <v>0</v>
      </c>
      <c r="AE61">
        <v>0</v>
      </c>
      <c r="AF61" s="24">
        <v>174</v>
      </c>
      <c r="AG61" s="24">
        <v>197.5</v>
      </c>
      <c r="AH61" s="153">
        <v>0.4</v>
      </c>
      <c r="AI61" s="153">
        <v>0.50237550000000009</v>
      </c>
      <c r="AJ61" s="157">
        <v>301</v>
      </c>
      <c r="AM61" t="s">
        <v>287</v>
      </c>
    </row>
    <row r="62" spans="1:39">
      <c r="A62">
        <v>110</v>
      </c>
      <c r="B62">
        <v>110</v>
      </c>
      <c r="C62" t="s">
        <v>346</v>
      </c>
      <c r="D62" t="s">
        <v>346</v>
      </c>
      <c r="E62" t="s">
        <v>146</v>
      </c>
      <c r="F62">
        <v>1</v>
      </c>
      <c r="G62" s="503">
        <v>572.1</v>
      </c>
      <c r="H62" s="334">
        <v>7.5700000000000003E-2</v>
      </c>
      <c r="I62" s="334">
        <v>4.0999999999999995E-2</v>
      </c>
      <c r="J62" s="334">
        <v>0.5</v>
      </c>
      <c r="K62" s="334">
        <v>1</v>
      </c>
      <c r="L62" s="115">
        <v>1</v>
      </c>
      <c r="M62" s="157">
        <v>1</v>
      </c>
      <c r="N62" s="157">
        <v>1</v>
      </c>
      <c r="O62" s="157">
        <v>1</v>
      </c>
      <c r="P62" s="157">
        <v>1</v>
      </c>
      <c r="Q62" s="157">
        <v>1</v>
      </c>
      <c r="R62" s="157">
        <v>1</v>
      </c>
      <c r="S62" s="157">
        <v>1</v>
      </c>
      <c r="T62" s="157">
        <v>1</v>
      </c>
      <c r="U62" s="157">
        <v>1</v>
      </c>
      <c r="V62" s="59">
        <v>0</v>
      </c>
      <c r="W62" s="59">
        <v>422.93978162387714</v>
      </c>
      <c r="X62" s="59">
        <v>422.93978162387714</v>
      </c>
      <c r="Y62" s="59">
        <v>422.93978162387714</v>
      </c>
      <c r="Z62" s="59">
        <v>422.93978162387714</v>
      </c>
      <c r="AA62" s="59">
        <v>422.93978162387714</v>
      </c>
      <c r="AB62">
        <v>1900</v>
      </c>
      <c r="AC62" s="157">
        <v>2024</v>
      </c>
      <c r="AD62">
        <v>0</v>
      </c>
      <c r="AE62">
        <v>0</v>
      </c>
      <c r="AF62" s="24">
        <v>110</v>
      </c>
      <c r="AG62" s="24">
        <v>209.166666666667</v>
      </c>
      <c r="AH62" s="153">
        <v>0.57999999999999996</v>
      </c>
      <c r="AI62" s="153">
        <v>0.37212999999999996</v>
      </c>
      <c r="AJ62" s="157">
        <v>302</v>
      </c>
      <c r="AM62" t="s">
        <v>287</v>
      </c>
    </row>
    <row r="63" spans="1:39" hidden="1">
      <c r="A63">
        <f>A62+1</f>
        <v>111</v>
      </c>
      <c r="B63">
        <f>B62+1</f>
        <v>111</v>
      </c>
      <c r="C63" t="s">
        <v>347</v>
      </c>
      <c r="D63" t="s">
        <v>347</v>
      </c>
      <c r="E63" t="s">
        <v>149</v>
      </c>
      <c r="F63" s="520">
        <v>2</v>
      </c>
      <c r="G63" s="135">
        <v>24</v>
      </c>
      <c r="H63" s="334">
        <v>2.4199999999999999E-2</v>
      </c>
      <c r="I63" s="115">
        <v>8.5000000000000006E-3</v>
      </c>
      <c r="J63" s="550">
        <v>0</v>
      </c>
      <c r="K63" s="334">
        <v>0</v>
      </c>
      <c r="L63" s="334">
        <v>1</v>
      </c>
      <c r="M63" s="157">
        <v>1</v>
      </c>
      <c r="N63" s="157">
        <v>1</v>
      </c>
      <c r="O63" s="157">
        <v>1</v>
      </c>
      <c r="P63" s="157">
        <v>1</v>
      </c>
      <c r="Q63" s="157">
        <v>1</v>
      </c>
      <c r="R63" s="157">
        <v>1</v>
      </c>
      <c r="S63" s="157">
        <v>1</v>
      </c>
      <c r="T63" s="157">
        <v>1</v>
      </c>
      <c r="U63" s="157">
        <v>1</v>
      </c>
      <c r="AB63">
        <v>1900</v>
      </c>
      <c r="AC63" s="157">
        <v>2026</v>
      </c>
      <c r="AD63">
        <v>0</v>
      </c>
      <c r="AE63">
        <v>0</v>
      </c>
      <c r="AF63">
        <v>252</v>
      </c>
      <c r="AG63" s="24">
        <v>212</v>
      </c>
      <c r="AH63" s="153">
        <v>0.36</v>
      </c>
      <c r="AI63" s="153">
        <v>0.73</v>
      </c>
      <c r="AJ63" s="157">
        <v>341</v>
      </c>
      <c r="AM63" t="s">
        <v>290</v>
      </c>
    </row>
    <row r="64" spans="1:39" hidden="1">
      <c r="A64">
        <f>A63+1</f>
        <v>112</v>
      </c>
      <c r="B64">
        <f>B63+1</f>
        <v>112</v>
      </c>
      <c r="C64" t="s">
        <v>348</v>
      </c>
      <c r="D64" t="s">
        <v>348</v>
      </c>
      <c r="E64" t="s">
        <v>153</v>
      </c>
      <c r="F64" s="520">
        <v>4</v>
      </c>
      <c r="G64" s="135">
        <v>5.5</v>
      </c>
      <c r="H64" s="334">
        <v>0.02</v>
      </c>
      <c r="I64" s="115">
        <v>6.5000000000000002E-2</v>
      </c>
      <c r="J64" s="334">
        <v>0.49606619507307054</v>
      </c>
      <c r="K64" s="334">
        <v>0.9</v>
      </c>
      <c r="L64" s="334">
        <v>1</v>
      </c>
      <c r="M64" s="157">
        <v>1</v>
      </c>
      <c r="N64" s="157">
        <v>1</v>
      </c>
      <c r="O64" s="157">
        <v>1</v>
      </c>
      <c r="P64" s="157">
        <v>1</v>
      </c>
      <c r="Q64" s="157">
        <v>1</v>
      </c>
      <c r="R64" s="157">
        <v>1</v>
      </c>
      <c r="S64" s="157">
        <v>1</v>
      </c>
      <c r="T64" s="157">
        <v>1</v>
      </c>
      <c r="U64" s="157">
        <v>1</v>
      </c>
      <c r="AB64">
        <v>2020</v>
      </c>
      <c r="AC64" s="157">
        <v>2040</v>
      </c>
      <c r="AD64">
        <v>0</v>
      </c>
      <c r="AE64">
        <v>0</v>
      </c>
      <c r="AF64">
        <v>253</v>
      </c>
      <c r="AG64" s="24">
        <v>800</v>
      </c>
      <c r="AH64" s="153">
        <v>0.4</v>
      </c>
      <c r="AI64" s="153">
        <v>0.5</v>
      </c>
      <c r="AJ64" s="157">
        <v>302</v>
      </c>
      <c r="AM64" t="s">
        <v>287</v>
      </c>
    </row>
    <row r="65" spans="1:39" hidden="1">
      <c r="A65">
        <v>167</v>
      </c>
      <c r="B65">
        <v>167</v>
      </c>
      <c r="C65" t="s">
        <v>349</v>
      </c>
      <c r="D65" t="s">
        <v>349</v>
      </c>
      <c r="E65" t="s">
        <v>152</v>
      </c>
      <c r="F65">
        <v>3</v>
      </c>
      <c r="G65" s="503">
        <v>720.3</v>
      </c>
      <c r="H65" s="334">
        <v>0.1268</v>
      </c>
      <c r="I65" s="334">
        <v>6.5500000000000003E-2</v>
      </c>
      <c r="J65" s="334">
        <v>0</v>
      </c>
      <c r="K65" s="334">
        <v>1</v>
      </c>
      <c r="L65" s="115">
        <v>1</v>
      </c>
      <c r="M65" s="157">
        <v>1</v>
      </c>
      <c r="N65" s="157">
        <v>1</v>
      </c>
      <c r="O65" s="157">
        <v>1</v>
      </c>
      <c r="P65" s="157">
        <v>1</v>
      </c>
      <c r="Q65" s="157">
        <v>1</v>
      </c>
      <c r="R65" s="157">
        <v>1</v>
      </c>
      <c r="S65" s="157">
        <v>1</v>
      </c>
      <c r="T65" s="157">
        <v>1</v>
      </c>
      <c r="U65" s="157">
        <v>1</v>
      </c>
      <c r="V65" s="59">
        <v>0</v>
      </c>
      <c r="W65" s="59">
        <v>479.62242468084395</v>
      </c>
      <c r="X65" s="59">
        <v>479.62242468084395</v>
      </c>
      <c r="Y65" s="59">
        <v>479.62242468084395</v>
      </c>
      <c r="Z65" s="59">
        <v>479.62242468084395</v>
      </c>
      <c r="AA65" s="59">
        <v>479.62242468084395</v>
      </c>
      <c r="AB65">
        <v>1900</v>
      </c>
      <c r="AC65">
        <v>2030</v>
      </c>
      <c r="AD65">
        <v>0</v>
      </c>
      <c r="AE65">
        <v>0</v>
      </c>
      <c r="AF65" s="24">
        <v>167</v>
      </c>
      <c r="AG65" s="24">
        <v>279.10685805422645</v>
      </c>
      <c r="AH65" s="153">
        <v>0.45</v>
      </c>
      <c r="AI65" s="153">
        <v>0.85576615384615384</v>
      </c>
      <c r="AJ65" s="157">
        <v>304</v>
      </c>
      <c r="AM65" t="s">
        <v>350</v>
      </c>
    </row>
    <row r="66" spans="1:39" hidden="1">
      <c r="A66">
        <v>163</v>
      </c>
      <c r="B66">
        <v>163</v>
      </c>
      <c r="C66" t="s">
        <v>351</v>
      </c>
      <c r="D66" t="s">
        <v>351</v>
      </c>
      <c r="E66" t="s">
        <v>152</v>
      </c>
      <c r="F66">
        <v>3</v>
      </c>
      <c r="G66" s="503">
        <v>365</v>
      </c>
      <c r="H66" s="334">
        <v>2.7999999999999997E-2</v>
      </c>
      <c r="I66" s="334">
        <v>3.9199999999999999E-2</v>
      </c>
      <c r="J66" s="334">
        <v>0</v>
      </c>
      <c r="K66" s="334">
        <v>1</v>
      </c>
      <c r="L66" s="115">
        <v>1</v>
      </c>
      <c r="M66" s="157">
        <v>1</v>
      </c>
      <c r="N66" s="157">
        <v>1</v>
      </c>
      <c r="O66" s="157">
        <v>1</v>
      </c>
      <c r="P66" s="157">
        <v>1</v>
      </c>
      <c r="Q66" s="157">
        <v>1</v>
      </c>
      <c r="R66" s="157">
        <v>1</v>
      </c>
      <c r="S66" s="157">
        <v>1</v>
      </c>
      <c r="T66" s="157">
        <v>1</v>
      </c>
      <c r="U66" s="157">
        <v>1</v>
      </c>
      <c r="V66" s="59">
        <v>0</v>
      </c>
      <c r="W66" s="59">
        <v>318.34012545930239</v>
      </c>
      <c r="X66" s="59">
        <v>318.34012545930239</v>
      </c>
      <c r="Y66" s="59">
        <v>318.34012545930239</v>
      </c>
      <c r="Z66" s="59">
        <v>318.34012545930239</v>
      </c>
      <c r="AA66" s="59">
        <v>318.34012545930239</v>
      </c>
      <c r="AB66">
        <v>1900</v>
      </c>
      <c r="AC66">
        <v>2030</v>
      </c>
      <c r="AD66">
        <v>0</v>
      </c>
      <c r="AE66">
        <v>0</v>
      </c>
      <c r="AF66" s="24">
        <v>163</v>
      </c>
      <c r="AG66" s="24">
        <v>279.10685805422645</v>
      </c>
      <c r="AH66" s="153">
        <v>0.45</v>
      </c>
      <c r="AI66" s="153">
        <v>0.85576615384615384</v>
      </c>
      <c r="AJ66" s="157">
        <v>304</v>
      </c>
      <c r="AM66" t="s">
        <v>350</v>
      </c>
    </row>
    <row r="67" spans="1:39" hidden="1">
      <c r="A67">
        <v>224</v>
      </c>
      <c r="B67">
        <v>224</v>
      </c>
      <c r="C67" t="s">
        <v>352</v>
      </c>
      <c r="D67" t="s">
        <v>352</v>
      </c>
      <c r="E67" t="s">
        <v>152</v>
      </c>
      <c r="F67">
        <v>3</v>
      </c>
      <c r="G67" s="628">
        <f>1516-307.8</f>
        <v>1208.2</v>
      </c>
      <c r="H67" s="334">
        <v>1.1000000000000001E-2</v>
      </c>
      <c r="I67" s="334">
        <v>2.0499999999999997E-2</v>
      </c>
      <c r="J67" s="334">
        <v>0.5</v>
      </c>
      <c r="K67" s="334">
        <v>1</v>
      </c>
      <c r="L67" s="115">
        <v>1</v>
      </c>
      <c r="M67" s="157">
        <v>1</v>
      </c>
      <c r="N67" s="157">
        <v>1</v>
      </c>
      <c r="O67" s="157">
        <v>1</v>
      </c>
      <c r="P67" s="157">
        <v>1</v>
      </c>
      <c r="Q67" s="157">
        <v>1</v>
      </c>
      <c r="R67" s="157">
        <v>1</v>
      </c>
      <c r="S67" s="157">
        <v>1</v>
      </c>
      <c r="T67" s="157">
        <v>1</v>
      </c>
      <c r="U67" s="157">
        <v>1</v>
      </c>
      <c r="V67" s="59">
        <v>0</v>
      </c>
      <c r="W67" s="59">
        <v>1422.658507034979</v>
      </c>
      <c r="X67" s="59">
        <v>1422.658507034979</v>
      </c>
      <c r="Y67" s="59">
        <v>1422.658507034979</v>
      </c>
      <c r="Z67" s="59">
        <v>1422.658507034979</v>
      </c>
      <c r="AA67" s="59">
        <v>1422.658507034979</v>
      </c>
      <c r="AB67">
        <v>2020</v>
      </c>
      <c r="AC67" s="157">
        <v>2040</v>
      </c>
      <c r="AD67">
        <v>0</v>
      </c>
      <c r="AE67">
        <v>0</v>
      </c>
      <c r="AF67" s="24">
        <v>224</v>
      </c>
      <c r="AG67" s="24">
        <v>168.11891120000001</v>
      </c>
      <c r="AH67" s="153">
        <v>0.57999999999999996</v>
      </c>
      <c r="AI67" s="153">
        <v>0.37212999999999996</v>
      </c>
      <c r="AJ67" s="157">
        <v>302</v>
      </c>
      <c r="AM67" t="s">
        <v>287</v>
      </c>
    </row>
    <row r="68" spans="1:39" hidden="1">
      <c r="A68">
        <v>22</v>
      </c>
      <c r="B68">
        <v>22</v>
      </c>
      <c r="C68" t="s">
        <v>353</v>
      </c>
      <c r="D68" t="s">
        <v>353</v>
      </c>
      <c r="E68" t="s">
        <v>149</v>
      </c>
      <c r="F68">
        <v>2</v>
      </c>
      <c r="G68" s="503">
        <v>126</v>
      </c>
      <c r="H68" s="334">
        <v>0.72199999999999998</v>
      </c>
      <c r="I68" s="334">
        <v>0.30680000000000002</v>
      </c>
      <c r="J68" s="334">
        <v>0.42</v>
      </c>
      <c r="K68" s="334">
        <v>0.42</v>
      </c>
      <c r="L68" s="115">
        <v>1</v>
      </c>
      <c r="M68" s="157">
        <v>1</v>
      </c>
      <c r="N68" s="157">
        <v>1</v>
      </c>
      <c r="O68" s="157">
        <v>1</v>
      </c>
      <c r="P68" s="157">
        <v>1</v>
      </c>
      <c r="Q68" s="157">
        <v>1</v>
      </c>
      <c r="R68" s="157">
        <v>1</v>
      </c>
      <c r="S68" s="157">
        <v>1</v>
      </c>
      <c r="T68" s="157">
        <v>1</v>
      </c>
      <c r="U68" s="157">
        <v>1</v>
      </c>
      <c r="V68" s="59">
        <v>0.82542159302816143</v>
      </c>
      <c r="W68" s="59">
        <v>0.82542159302816143</v>
      </c>
      <c r="X68" s="59">
        <v>0.82542159302816143</v>
      </c>
      <c r="Y68" s="59">
        <v>0.82542159302816143</v>
      </c>
      <c r="Z68" s="59">
        <v>0.82542159302816143</v>
      </c>
      <c r="AA68" s="59">
        <v>0</v>
      </c>
      <c r="AB68">
        <v>1900</v>
      </c>
      <c r="AC68">
        <v>2030</v>
      </c>
      <c r="AD68">
        <v>0</v>
      </c>
      <c r="AE68">
        <v>0</v>
      </c>
      <c r="AF68" s="24">
        <v>22</v>
      </c>
      <c r="AG68" s="24">
        <v>894.40993788819878</v>
      </c>
      <c r="AH68" s="153">
        <v>0.39</v>
      </c>
      <c r="AI68" s="153">
        <v>0.95356799999999997</v>
      </c>
      <c r="AJ68" s="157">
        <v>305</v>
      </c>
      <c r="AM68" t="s">
        <v>298</v>
      </c>
    </row>
    <row r="69" spans="1:39" hidden="1">
      <c r="A69">
        <v>23</v>
      </c>
      <c r="B69">
        <v>23</v>
      </c>
      <c r="C69" t="s">
        <v>354</v>
      </c>
      <c r="D69" t="s">
        <v>354</v>
      </c>
      <c r="E69" t="s">
        <v>149</v>
      </c>
      <c r="F69">
        <v>2</v>
      </c>
      <c r="G69" s="503">
        <v>320</v>
      </c>
      <c r="H69" s="334">
        <v>0.72199999999999998</v>
      </c>
      <c r="I69" s="334">
        <v>0.30680000000000002</v>
      </c>
      <c r="J69" s="334">
        <v>0.9</v>
      </c>
      <c r="K69" s="334">
        <v>0.9</v>
      </c>
      <c r="L69" s="115">
        <v>1</v>
      </c>
      <c r="M69" s="157">
        <v>1</v>
      </c>
      <c r="N69" s="157">
        <v>1</v>
      </c>
      <c r="O69" s="157">
        <v>1</v>
      </c>
      <c r="P69" s="157">
        <v>1</v>
      </c>
      <c r="Q69" s="157">
        <v>1</v>
      </c>
      <c r="R69" s="157">
        <v>1</v>
      </c>
      <c r="S69" s="157">
        <v>1</v>
      </c>
      <c r="T69" s="157">
        <v>1</v>
      </c>
      <c r="U69" s="157">
        <v>1</v>
      </c>
      <c r="V69" s="59">
        <v>9.6259077904158747</v>
      </c>
      <c r="W69" s="59">
        <v>9.6259077904158747</v>
      </c>
      <c r="X69" s="59">
        <v>9.6259077904158747</v>
      </c>
      <c r="Y69" s="59">
        <v>9.6259077904158747</v>
      </c>
      <c r="Z69" s="59">
        <v>9.6259077904158747</v>
      </c>
      <c r="AA69" s="59">
        <v>0</v>
      </c>
      <c r="AB69">
        <v>1900</v>
      </c>
      <c r="AC69">
        <v>2030</v>
      </c>
      <c r="AD69">
        <v>0</v>
      </c>
      <c r="AE69">
        <v>0</v>
      </c>
      <c r="AF69" s="24">
        <v>23</v>
      </c>
      <c r="AG69" s="24">
        <v>894.40993788819878</v>
      </c>
      <c r="AH69" s="153">
        <v>0.39</v>
      </c>
      <c r="AI69" s="153">
        <v>0.95356799999999997</v>
      </c>
      <c r="AJ69" s="157">
        <v>305</v>
      </c>
      <c r="AM69" t="s">
        <v>298</v>
      </c>
    </row>
    <row r="70" spans="1:39" hidden="1">
      <c r="A70">
        <f>A69+1</f>
        <v>24</v>
      </c>
      <c r="B70">
        <f>B69+1</f>
        <v>24</v>
      </c>
      <c r="C70" s="542" t="s">
        <v>355</v>
      </c>
      <c r="D70" s="542" t="s">
        <v>355</v>
      </c>
      <c r="E70" t="s">
        <v>146</v>
      </c>
      <c r="F70">
        <v>1</v>
      </c>
      <c r="G70" s="135">
        <v>175.6</v>
      </c>
      <c r="H70" s="334">
        <v>0.15160000000000001</v>
      </c>
      <c r="I70" s="543">
        <v>1.34E-2</v>
      </c>
      <c r="J70" s="135">
        <v>0</v>
      </c>
      <c r="K70" s="334">
        <v>0.8</v>
      </c>
      <c r="L70" s="334">
        <v>1</v>
      </c>
      <c r="M70" s="157">
        <v>1</v>
      </c>
      <c r="N70" s="157">
        <v>1</v>
      </c>
      <c r="O70" s="157">
        <v>1</v>
      </c>
      <c r="P70" s="157">
        <v>1</v>
      </c>
      <c r="Q70" s="157">
        <v>1</v>
      </c>
      <c r="R70" s="157">
        <v>1</v>
      </c>
      <c r="S70" s="157">
        <v>1</v>
      </c>
      <c r="T70" s="157">
        <v>1</v>
      </c>
      <c r="U70" s="157">
        <v>1</v>
      </c>
      <c r="W70" s="544"/>
      <c r="X70" s="544"/>
      <c r="Y70" s="544"/>
      <c r="Z70" s="544"/>
      <c r="AA70" s="544"/>
      <c r="AB70">
        <v>1900</v>
      </c>
      <c r="AC70" s="545">
        <v>2025</v>
      </c>
      <c r="AD70">
        <v>0</v>
      </c>
      <c r="AE70">
        <v>0</v>
      </c>
      <c r="AF70">
        <v>254</v>
      </c>
      <c r="AG70" s="24">
        <v>195</v>
      </c>
      <c r="AH70">
        <v>0.36</v>
      </c>
      <c r="AI70">
        <v>0.73</v>
      </c>
      <c r="AJ70" s="157">
        <v>351</v>
      </c>
      <c r="AM70" t="s">
        <v>280</v>
      </c>
    </row>
    <row r="71" spans="1:39" hidden="1">
      <c r="A71">
        <v>107</v>
      </c>
      <c r="B71">
        <v>107</v>
      </c>
      <c r="C71" t="s">
        <v>356</v>
      </c>
      <c r="D71" t="s">
        <v>356</v>
      </c>
      <c r="E71" t="s">
        <v>149</v>
      </c>
      <c r="F71">
        <v>2</v>
      </c>
      <c r="G71" s="503">
        <v>340</v>
      </c>
      <c r="H71" s="334">
        <v>3.44E-2</v>
      </c>
      <c r="I71" s="334">
        <v>1.37E-2</v>
      </c>
      <c r="J71" s="334">
        <v>0.52500533195415133</v>
      </c>
      <c r="K71" s="334">
        <v>1</v>
      </c>
      <c r="L71" s="115">
        <v>1</v>
      </c>
      <c r="M71" s="157">
        <v>1</v>
      </c>
      <c r="N71" s="157">
        <v>1</v>
      </c>
      <c r="O71" s="157">
        <v>1</v>
      </c>
      <c r="P71" s="157">
        <v>1</v>
      </c>
      <c r="Q71" s="157">
        <v>1</v>
      </c>
      <c r="R71" s="157">
        <v>1</v>
      </c>
      <c r="S71" s="157">
        <v>1</v>
      </c>
      <c r="T71" s="157">
        <v>1</v>
      </c>
      <c r="U71" s="157">
        <v>1</v>
      </c>
      <c r="V71" s="59">
        <v>161.9031176</v>
      </c>
      <c r="W71" s="59">
        <v>308.38375868940506</v>
      </c>
      <c r="X71" s="59">
        <v>308.38375868940506</v>
      </c>
      <c r="Y71" s="59">
        <v>308.38375868940506</v>
      </c>
      <c r="Z71" s="59">
        <v>308.38375868940506</v>
      </c>
      <c r="AA71" s="59">
        <v>146.48064108940505</v>
      </c>
      <c r="AB71">
        <v>2019</v>
      </c>
      <c r="AC71">
        <v>2044</v>
      </c>
      <c r="AD71">
        <v>0</v>
      </c>
      <c r="AE71">
        <v>0</v>
      </c>
      <c r="AF71" s="24">
        <v>107</v>
      </c>
      <c r="AG71" s="24">
        <v>894.40993788819878</v>
      </c>
      <c r="AH71" s="153">
        <v>0.39</v>
      </c>
      <c r="AI71" s="153">
        <v>0.95356799999999997</v>
      </c>
      <c r="AJ71" s="157">
        <v>305</v>
      </c>
      <c r="AM71" t="s">
        <v>298</v>
      </c>
    </row>
    <row r="72" spans="1:39" hidden="1">
      <c r="A72">
        <v>1503</v>
      </c>
      <c r="B72">
        <v>1503</v>
      </c>
      <c r="C72" t="s">
        <v>357</v>
      </c>
      <c r="D72" t="s">
        <v>357</v>
      </c>
      <c r="E72" t="s">
        <v>147</v>
      </c>
      <c r="F72">
        <v>4</v>
      </c>
      <c r="G72" s="135">
        <v>363.2</v>
      </c>
      <c r="H72" s="609">
        <v>9.7699999999999995E-2</v>
      </c>
      <c r="I72" s="609">
        <v>0.12210000000000001</v>
      </c>
      <c r="J72" s="609">
        <v>0.5</v>
      </c>
      <c r="K72" s="609">
        <v>1</v>
      </c>
      <c r="L72" s="610">
        <v>1</v>
      </c>
      <c r="M72" s="611">
        <v>1</v>
      </c>
      <c r="N72" s="611">
        <v>1</v>
      </c>
      <c r="O72" s="611">
        <v>1</v>
      </c>
      <c r="P72" s="611">
        <v>1</v>
      </c>
      <c r="Q72" s="611">
        <v>1</v>
      </c>
      <c r="R72" s="611">
        <v>1</v>
      </c>
      <c r="S72" s="611">
        <v>1</v>
      </c>
      <c r="T72" s="611">
        <v>1</v>
      </c>
      <c r="U72" s="611">
        <v>1</v>
      </c>
      <c r="V72" s="396"/>
      <c r="W72" s="396"/>
      <c r="X72" s="396"/>
      <c r="Y72" s="396"/>
      <c r="Z72" s="396"/>
      <c r="AA72" s="396"/>
      <c r="AB72" s="396">
        <v>2024</v>
      </c>
      <c r="AC72" s="611">
        <v>2044</v>
      </c>
      <c r="AD72" s="396">
        <v>0</v>
      </c>
      <c r="AE72" s="396">
        <v>0</v>
      </c>
      <c r="AF72" s="612">
        <v>34</v>
      </c>
      <c r="AG72" s="612">
        <v>178</v>
      </c>
      <c r="AH72" s="613">
        <v>0.57999999999999996</v>
      </c>
      <c r="AI72" s="613">
        <v>0.37</v>
      </c>
      <c r="AJ72" s="157">
        <v>302</v>
      </c>
      <c r="AK72" s="396"/>
      <c r="AL72" s="396"/>
      <c r="AM72" s="396" t="s">
        <v>287</v>
      </c>
    </row>
    <row r="73" spans="1:39">
      <c r="A73">
        <v>48</v>
      </c>
      <c r="B73">
        <v>48</v>
      </c>
      <c r="C73" t="s">
        <v>358</v>
      </c>
      <c r="D73" t="s">
        <v>358</v>
      </c>
      <c r="E73" t="s">
        <v>149</v>
      </c>
      <c r="F73">
        <v>2</v>
      </c>
      <c r="G73" s="503">
        <v>485</v>
      </c>
      <c r="H73" s="334">
        <v>2.92E-2</v>
      </c>
      <c r="I73" s="334">
        <v>7.8899999999999998E-2</v>
      </c>
      <c r="J73" s="334">
        <v>0</v>
      </c>
      <c r="K73" s="334">
        <v>0</v>
      </c>
      <c r="L73" s="115">
        <v>1</v>
      </c>
      <c r="M73" s="157">
        <v>1</v>
      </c>
      <c r="N73" s="157">
        <v>1</v>
      </c>
      <c r="O73" s="157">
        <v>1</v>
      </c>
      <c r="P73" s="157">
        <v>1</v>
      </c>
      <c r="Q73" s="157">
        <v>1</v>
      </c>
      <c r="R73" s="157">
        <v>1</v>
      </c>
      <c r="S73" s="157">
        <v>1</v>
      </c>
      <c r="T73" s="157">
        <v>1</v>
      </c>
      <c r="U73" s="157">
        <v>1</v>
      </c>
      <c r="V73" s="59">
        <v>0</v>
      </c>
      <c r="W73" s="59">
        <v>0</v>
      </c>
      <c r="X73" s="59">
        <v>0</v>
      </c>
      <c r="Y73" s="59">
        <v>0</v>
      </c>
      <c r="Z73" s="59">
        <v>0</v>
      </c>
      <c r="AA73" s="59">
        <v>0</v>
      </c>
      <c r="AB73">
        <v>1900</v>
      </c>
      <c r="AC73" s="157">
        <v>2030</v>
      </c>
      <c r="AD73">
        <v>0</v>
      </c>
      <c r="AE73">
        <v>0</v>
      </c>
      <c r="AF73" s="24">
        <v>48</v>
      </c>
      <c r="AG73" s="24">
        <v>190.416666666667</v>
      </c>
      <c r="AH73" s="153">
        <v>0.57999999999999996</v>
      </c>
      <c r="AI73" s="153">
        <v>0.37212999999999996</v>
      </c>
      <c r="AJ73" s="157">
        <v>301</v>
      </c>
      <c r="AM73" t="s">
        <v>287</v>
      </c>
    </row>
    <row r="74" spans="1:39" hidden="1">
      <c r="A74">
        <f>A73+1</f>
        <v>49</v>
      </c>
      <c r="B74">
        <f>B73+1</f>
        <v>49</v>
      </c>
      <c r="C74" s="542" t="s">
        <v>359</v>
      </c>
      <c r="D74" s="542" t="s">
        <v>359</v>
      </c>
      <c r="E74" t="s">
        <v>152</v>
      </c>
      <c r="F74">
        <v>3</v>
      </c>
      <c r="G74" s="135">
        <v>94.1</v>
      </c>
      <c r="H74" s="334">
        <v>1.9599999999999999E-2</v>
      </c>
      <c r="I74" s="543">
        <v>4.8999999999999998E-3</v>
      </c>
      <c r="J74" s="135">
        <v>0</v>
      </c>
      <c r="K74" s="334">
        <v>1</v>
      </c>
      <c r="L74" s="334">
        <v>1</v>
      </c>
      <c r="M74" s="157">
        <v>1</v>
      </c>
      <c r="N74" s="157">
        <v>1</v>
      </c>
      <c r="O74" s="157">
        <v>1</v>
      </c>
      <c r="P74" s="157">
        <v>1</v>
      </c>
      <c r="Q74" s="157">
        <v>1</v>
      </c>
      <c r="R74" s="157">
        <v>1</v>
      </c>
      <c r="S74" s="157">
        <v>1</v>
      </c>
      <c r="T74" s="157">
        <v>1</v>
      </c>
      <c r="U74" s="157">
        <v>1</v>
      </c>
      <c r="W74" s="544"/>
      <c r="X74" s="544"/>
      <c r="Y74" s="544"/>
      <c r="Z74" s="544"/>
      <c r="AA74" s="544"/>
      <c r="AB74">
        <v>1900</v>
      </c>
      <c r="AC74" s="545">
        <v>2023</v>
      </c>
      <c r="AD74">
        <v>0</v>
      </c>
      <c r="AE74">
        <v>0</v>
      </c>
      <c r="AF74">
        <v>255</v>
      </c>
      <c r="AG74" s="24">
        <v>195</v>
      </c>
      <c r="AH74">
        <v>0.36</v>
      </c>
      <c r="AI74">
        <v>0.73</v>
      </c>
      <c r="AJ74" s="157">
        <v>351</v>
      </c>
      <c r="AM74" t="s">
        <v>280</v>
      </c>
    </row>
    <row r="75" spans="1:39" hidden="1">
      <c r="A75">
        <v>98</v>
      </c>
      <c r="B75">
        <v>98</v>
      </c>
      <c r="C75" t="s">
        <v>360</v>
      </c>
      <c r="D75" t="s">
        <v>360</v>
      </c>
      <c r="E75" t="s">
        <v>152</v>
      </c>
      <c r="F75">
        <v>3</v>
      </c>
      <c r="G75" s="503">
        <v>200.8</v>
      </c>
      <c r="H75" s="334">
        <v>0.12770000000000001</v>
      </c>
      <c r="I75" s="334">
        <v>1.61E-2</v>
      </c>
      <c r="J75" s="334">
        <v>0</v>
      </c>
      <c r="K75" s="334">
        <v>1</v>
      </c>
      <c r="L75" s="115">
        <v>1</v>
      </c>
      <c r="M75" s="157">
        <v>1</v>
      </c>
      <c r="N75" s="157">
        <v>1</v>
      </c>
      <c r="O75" s="157">
        <v>1</v>
      </c>
      <c r="P75" s="157">
        <v>1</v>
      </c>
      <c r="Q75" s="157">
        <v>1</v>
      </c>
      <c r="R75" s="157">
        <v>1</v>
      </c>
      <c r="S75" s="157">
        <v>1</v>
      </c>
      <c r="T75" s="157">
        <v>1</v>
      </c>
      <c r="U75" s="157">
        <v>1</v>
      </c>
      <c r="V75" s="59">
        <v>0</v>
      </c>
      <c r="W75" s="59">
        <v>147.90994465616069</v>
      </c>
      <c r="X75" s="59">
        <v>147.90994465616069</v>
      </c>
      <c r="Y75" s="59">
        <v>147.90994465616069</v>
      </c>
      <c r="Z75" s="59">
        <v>147.90994465616069</v>
      </c>
      <c r="AA75" s="59">
        <v>147.90994465616069</v>
      </c>
      <c r="AB75">
        <v>1900</v>
      </c>
      <c r="AC75" s="157">
        <v>2027</v>
      </c>
      <c r="AD75">
        <v>0</v>
      </c>
      <c r="AE75">
        <v>0</v>
      </c>
      <c r="AF75" s="24">
        <v>98</v>
      </c>
      <c r="AG75" s="24">
        <v>212.3</v>
      </c>
      <c r="AH75" s="153">
        <v>0.36</v>
      </c>
      <c r="AI75" s="153">
        <v>0.73326000000000002</v>
      </c>
      <c r="AJ75" s="157">
        <v>341</v>
      </c>
      <c r="AM75" t="s">
        <v>290</v>
      </c>
    </row>
    <row r="76" spans="1:39" hidden="1">
      <c r="A76">
        <f>A75+1</f>
        <v>99</v>
      </c>
      <c r="B76">
        <f>B75+1</f>
        <v>99</v>
      </c>
      <c r="C76" s="542" t="s">
        <v>361</v>
      </c>
      <c r="D76" s="542" t="s">
        <v>361</v>
      </c>
      <c r="E76" t="s">
        <v>152</v>
      </c>
      <c r="F76">
        <v>3</v>
      </c>
      <c r="G76" s="135">
        <v>136.19999999999999</v>
      </c>
      <c r="H76" s="334">
        <v>1.1599999999999999E-2</v>
      </c>
      <c r="I76" s="543">
        <v>2.0099999999999996E-2</v>
      </c>
      <c r="J76" s="135">
        <v>0</v>
      </c>
      <c r="K76" s="334">
        <v>1</v>
      </c>
      <c r="L76" s="334">
        <v>1</v>
      </c>
      <c r="M76" s="157">
        <v>1</v>
      </c>
      <c r="N76" s="157">
        <v>1</v>
      </c>
      <c r="O76" s="157">
        <v>1</v>
      </c>
      <c r="P76" s="157">
        <v>1</v>
      </c>
      <c r="Q76" s="157">
        <v>1</v>
      </c>
      <c r="R76" s="157">
        <v>1</v>
      </c>
      <c r="S76" s="157">
        <v>1</v>
      </c>
      <c r="T76" s="157">
        <v>1</v>
      </c>
      <c r="U76" s="157">
        <v>1</v>
      </c>
      <c r="W76" s="544"/>
      <c r="X76" s="544"/>
      <c r="Y76" s="544"/>
      <c r="Z76" s="544"/>
      <c r="AA76" s="544"/>
      <c r="AB76">
        <v>1900</v>
      </c>
      <c r="AC76" s="545">
        <v>2023</v>
      </c>
      <c r="AD76">
        <v>0</v>
      </c>
      <c r="AE76">
        <v>0</v>
      </c>
      <c r="AF76">
        <v>256</v>
      </c>
      <c r="AG76" s="24">
        <v>212</v>
      </c>
      <c r="AH76">
        <v>0.36</v>
      </c>
      <c r="AI76">
        <v>0.73</v>
      </c>
      <c r="AJ76" s="157">
        <v>341</v>
      </c>
      <c r="AM76" t="s">
        <v>290</v>
      </c>
    </row>
    <row r="77" spans="1:39">
      <c r="A77">
        <v>35</v>
      </c>
      <c r="B77">
        <v>35</v>
      </c>
      <c r="C77" t="s">
        <v>362</v>
      </c>
      <c r="D77" t="s">
        <v>362</v>
      </c>
      <c r="E77" t="s">
        <v>149</v>
      </c>
      <c r="F77">
        <v>2</v>
      </c>
      <c r="G77" s="503">
        <v>640</v>
      </c>
      <c r="H77" s="334">
        <v>4.9200000000000001E-2</v>
      </c>
      <c r="I77" s="334">
        <v>0.42710000000000004</v>
      </c>
      <c r="J77" s="334">
        <v>0</v>
      </c>
      <c r="K77" s="334">
        <v>0</v>
      </c>
      <c r="L77" s="115">
        <v>1</v>
      </c>
      <c r="M77" s="157">
        <v>1</v>
      </c>
      <c r="N77" s="157">
        <v>1</v>
      </c>
      <c r="O77" s="157">
        <v>1</v>
      </c>
      <c r="P77" s="157">
        <v>1</v>
      </c>
      <c r="Q77" s="157">
        <v>1</v>
      </c>
      <c r="R77" s="157">
        <v>1</v>
      </c>
      <c r="S77" s="157">
        <v>1</v>
      </c>
      <c r="T77" s="157">
        <v>1</v>
      </c>
      <c r="U77" s="157">
        <v>1</v>
      </c>
      <c r="V77" s="59">
        <v>0</v>
      </c>
      <c r="W77" s="59">
        <v>0</v>
      </c>
      <c r="X77" s="59">
        <v>0</v>
      </c>
      <c r="Y77" s="59">
        <v>0</v>
      </c>
      <c r="Z77" s="59">
        <v>0</v>
      </c>
      <c r="AA77" s="59">
        <v>0</v>
      </c>
      <c r="AB77">
        <v>1900</v>
      </c>
      <c r="AC77" s="157">
        <v>2030</v>
      </c>
      <c r="AD77">
        <v>0</v>
      </c>
      <c r="AE77">
        <v>0</v>
      </c>
      <c r="AF77" s="24">
        <v>35</v>
      </c>
      <c r="AG77" s="24">
        <v>182.083333333333</v>
      </c>
      <c r="AH77" s="153">
        <v>0.57999999999999996</v>
      </c>
      <c r="AI77" s="153">
        <v>0.37212999999999996</v>
      </c>
      <c r="AJ77" s="157">
        <v>301</v>
      </c>
      <c r="AM77" t="s">
        <v>287</v>
      </c>
    </row>
    <row r="78" spans="1:39">
      <c r="A78">
        <v>36</v>
      </c>
      <c r="B78">
        <v>36</v>
      </c>
      <c r="C78" t="s">
        <v>363</v>
      </c>
      <c r="D78" t="s">
        <v>363</v>
      </c>
      <c r="E78" t="s">
        <v>153</v>
      </c>
      <c r="F78">
        <v>4</v>
      </c>
      <c r="G78" s="503">
        <v>337.6</v>
      </c>
      <c r="H78" s="334">
        <v>1.9299999999999998E-2</v>
      </c>
      <c r="I78" s="334">
        <v>1.9699999999999999E-2</v>
      </c>
      <c r="J78" s="334">
        <v>0.5</v>
      </c>
      <c r="K78" s="334">
        <v>1</v>
      </c>
      <c r="L78" s="115">
        <v>1</v>
      </c>
      <c r="M78" s="157">
        <v>1</v>
      </c>
      <c r="N78" s="157">
        <v>1</v>
      </c>
      <c r="O78" s="157">
        <v>1</v>
      </c>
      <c r="P78" s="157">
        <v>1</v>
      </c>
      <c r="Q78" s="157">
        <v>1</v>
      </c>
      <c r="R78" s="157">
        <v>1</v>
      </c>
      <c r="S78" s="157">
        <v>1</v>
      </c>
      <c r="T78" s="157">
        <v>1</v>
      </c>
      <c r="U78" s="157">
        <v>1</v>
      </c>
      <c r="V78" s="59">
        <v>0</v>
      </c>
      <c r="W78" s="59">
        <v>312.02744420144785</v>
      </c>
      <c r="X78" s="59">
        <v>312.02744420144785</v>
      </c>
      <c r="Y78" s="59">
        <v>312.02744420144785</v>
      </c>
      <c r="Z78" s="59">
        <v>312.02744420144785</v>
      </c>
      <c r="AA78" s="59">
        <v>312.02744420144785</v>
      </c>
      <c r="AB78">
        <v>1900</v>
      </c>
      <c r="AC78" s="157">
        <v>2030</v>
      </c>
      <c r="AD78">
        <v>0</v>
      </c>
      <c r="AE78">
        <v>0</v>
      </c>
      <c r="AF78" s="24">
        <v>36</v>
      </c>
      <c r="AG78" s="24">
        <v>192.59364164572099</v>
      </c>
      <c r="AH78" s="153">
        <v>0.6</v>
      </c>
      <c r="AI78" s="153">
        <v>0.4</v>
      </c>
      <c r="AJ78" s="157">
        <v>302</v>
      </c>
      <c r="AM78" t="s">
        <v>287</v>
      </c>
    </row>
    <row r="79" spans="1:39">
      <c r="A79">
        <v>21</v>
      </c>
      <c r="B79">
        <v>21</v>
      </c>
      <c r="C79" t="s">
        <v>364</v>
      </c>
      <c r="D79" t="s">
        <v>364</v>
      </c>
      <c r="E79" t="s">
        <v>153</v>
      </c>
      <c r="F79">
        <v>4</v>
      </c>
      <c r="G79" s="503">
        <v>337.6</v>
      </c>
      <c r="H79" s="334">
        <v>1.5600000000000001E-2</v>
      </c>
      <c r="I79" s="334">
        <v>1.5700000000000002E-2</v>
      </c>
      <c r="J79" s="334">
        <v>0.5</v>
      </c>
      <c r="K79" s="334">
        <v>1</v>
      </c>
      <c r="L79" s="115">
        <v>1</v>
      </c>
      <c r="M79" s="157">
        <v>1</v>
      </c>
      <c r="N79" s="157">
        <v>1</v>
      </c>
      <c r="O79" s="157">
        <v>1</v>
      </c>
      <c r="P79" s="157">
        <v>1</v>
      </c>
      <c r="Q79" s="157">
        <v>1</v>
      </c>
      <c r="R79" s="157">
        <v>1</v>
      </c>
      <c r="S79" s="157">
        <v>1</v>
      </c>
      <c r="T79" s="157">
        <v>1</v>
      </c>
      <c r="U79" s="157">
        <v>1</v>
      </c>
      <c r="V79" s="59">
        <v>0</v>
      </c>
      <c r="W79" s="59">
        <v>316.95719749870909</v>
      </c>
      <c r="X79" s="59">
        <v>316.95719749870909</v>
      </c>
      <c r="Y79" s="59">
        <v>316.95719749870909</v>
      </c>
      <c r="Z79" s="59">
        <v>316.95719749870909</v>
      </c>
      <c r="AA79" s="59">
        <v>316.95719749870909</v>
      </c>
      <c r="AB79">
        <v>1900</v>
      </c>
      <c r="AC79" s="157">
        <v>2030</v>
      </c>
      <c r="AD79">
        <v>0</v>
      </c>
      <c r="AE79">
        <v>0</v>
      </c>
      <c r="AF79" s="24">
        <v>21</v>
      </c>
      <c r="AG79" s="24">
        <v>192.59364164572099</v>
      </c>
      <c r="AH79" s="153">
        <v>0.6</v>
      </c>
      <c r="AI79" s="153">
        <v>0.4</v>
      </c>
      <c r="AJ79" s="157">
        <v>302</v>
      </c>
      <c r="AM79" t="s">
        <v>287</v>
      </c>
    </row>
    <row r="80" spans="1:39">
      <c r="A80">
        <v>116</v>
      </c>
      <c r="B80">
        <v>116</v>
      </c>
      <c r="C80" t="s">
        <v>365</v>
      </c>
      <c r="D80" t="s">
        <v>365</v>
      </c>
      <c r="E80" t="s">
        <v>153</v>
      </c>
      <c r="F80">
        <v>4</v>
      </c>
      <c r="G80" s="503">
        <v>56.3</v>
      </c>
      <c r="H80" s="334">
        <v>5.91E-2</v>
      </c>
      <c r="I80" s="334">
        <v>1.26E-2</v>
      </c>
      <c r="J80" s="334">
        <v>0.5</v>
      </c>
      <c r="K80" s="334">
        <v>1</v>
      </c>
      <c r="L80" s="115">
        <v>1</v>
      </c>
      <c r="M80" s="157">
        <v>1</v>
      </c>
      <c r="N80" s="157">
        <v>1</v>
      </c>
      <c r="O80" s="157">
        <v>1</v>
      </c>
      <c r="P80" s="157">
        <v>1</v>
      </c>
      <c r="Q80" s="157">
        <v>1</v>
      </c>
      <c r="R80" s="157">
        <v>1</v>
      </c>
      <c r="S80" s="157">
        <v>1</v>
      </c>
      <c r="T80" s="157">
        <v>1</v>
      </c>
      <c r="U80" s="157">
        <v>1</v>
      </c>
      <c r="V80" s="59">
        <v>0</v>
      </c>
      <c r="W80" s="59">
        <v>48.593880089455226</v>
      </c>
      <c r="X80" s="59">
        <v>48.593880089455226</v>
      </c>
      <c r="Y80" s="59">
        <v>48.593880089455226</v>
      </c>
      <c r="Z80" s="59">
        <v>48.593880089455226</v>
      </c>
      <c r="AA80" s="59">
        <v>48.593880089455226</v>
      </c>
      <c r="AB80">
        <v>1900</v>
      </c>
      <c r="AC80" s="157">
        <v>2030</v>
      </c>
      <c r="AD80">
        <v>0</v>
      </c>
      <c r="AE80">
        <v>0</v>
      </c>
      <c r="AF80" s="24">
        <v>116</v>
      </c>
      <c r="AG80" s="24">
        <v>192.59364164572099</v>
      </c>
      <c r="AH80" s="153">
        <v>0.6</v>
      </c>
      <c r="AI80" s="153">
        <v>0.4</v>
      </c>
      <c r="AJ80" s="157">
        <v>302</v>
      </c>
      <c r="AM80" t="s">
        <v>287</v>
      </c>
    </row>
    <row r="81" spans="1:39">
      <c r="A81">
        <v>203</v>
      </c>
      <c r="B81">
        <v>203</v>
      </c>
      <c r="C81" t="s">
        <v>366</v>
      </c>
      <c r="D81" t="s">
        <v>366</v>
      </c>
      <c r="E81" t="s">
        <v>154</v>
      </c>
      <c r="F81">
        <v>7</v>
      </c>
      <c r="G81" s="503">
        <v>85.4</v>
      </c>
      <c r="H81" s="334">
        <v>0.01</v>
      </c>
      <c r="I81" s="334">
        <v>0.2072</v>
      </c>
      <c r="J81" s="334">
        <v>0.99958123812154354</v>
      </c>
      <c r="K81" s="334">
        <v>1</v>
      </c>
      <c r="L81" s="115">
        <v>1</v>
      </c>
      <c r="M81" s="157">
        <v>1</v>
      </c>
      <c r="N81" s="157">
        <v>1</v>
      </c>
      <c r="O81" s="157">
        <v>1</v>
      </c>
      <c r="P81" s="157">
        <v>1</v>
      </c>
      <c r="Q81" s="157">
        <v>1</v>
      </c>
      <c r="R81" s="157">
        <v>1</v>
      </c>
      <c r="S81" s="157">
        <v>1</v>
      </c>
      <c r="T81" s="157">
        <v>1</v>
      </c>
      <c r="U81" s="157">
        <v>1</v>
      </c>
      <c r="V81" s="59">
        <v>52.586423999999994</v>
      </c>
      <c r="W81" s="59">
        <v>52.608454415193592</v>
      </c>
      <c r="X81" s="59">
        <v>52.608454415193592</v>
      </c>
      <c r="Y81" s="59">
        <v>52.608454415193592</v>
      </c>
      <c r="Z81" s="59">
        <v>52.608454415193592</v>
      </c>
      <c r="AA81" s="59">
        <v>2.2030415193597719E-2</v>
      </c>
      <c r="AB81">
        <v>1900</v>
      </c>
      <c r="AC81" s="157">
        <v>2030</v>
      </c>
      <c r="AD81">
        <v>0</v>
      </c>
      <c r="AE81">
        <v>0</v>
      </c>
      <c r="AF81" s="24">
        <v>203</v>
      </c>
      <c r="AG81" s="24">
        <v>250</v>
      </c>
      <c r="AH81" s="153">
        <v>0.4</v>
      </c>
      <c r="AI81" s="153">
        <v>0.50237550000000009</v>
      </c>
      <c r="AJ81" s="157">
        <v>302</v>
      </c>
      <c r="AM81" t="s">
        <v>287</v>
      </c>
    </row>
    <row r="82" spans="1:39">
      <c r="A82">
        <v>204</v>
      </c>
      <c r="B82">
        <v>204</v>
      </c>
      <c r="C82" t="s">
        <v>367</v>
      </c>
      <c r="D82" t="s">
        <v>367</v>
      </c>
      <c r="E82" t="s">
        <v>154</v>
      </c>
      <c r="F82">
        <v>7</v>
      </c>
      <c r="G82" s="503">
        <v>75.5</v>
      </c>
      <c r="H82" s="334">
        <v>0.04</v>
      </c>
      <c r="I82" s="334">
        <v>0</v>
      </c>
      <c r="J82" s="334">
        <v>0.86900000000000011</v>
      </c>
      <c r="K82" s="334">
        <v>0.86900000000000011</v>
      </c>
      <c r="L82" s="115">
        <v>1</v>
      </c>
      <c r="M82" s="157">
        <v>1</v>
      </c>
      <c r="N82" s="157">
        <v>1</v>
      </c>
      <c r="O82" s="157">
        <v>1</v>
      </c>
      <c r="P82" s="157">
        <v>1</v>
      </c>
      <c r="Q82" s="157">
        <v>1</v>
      </c>
      <c r="R82" s="157">
        <v>1</v>
      </c>
      <c r="S82" s="157">
        <v>1</v>
      </c>
      <c r="T82" s="157">
        <v>1</v>
      </c>
      <c r="U82" s="157">
        <v>1</v>
      </c>
      <c r="V82" s="59">
        <v>52.544706508800012</v>
      </c>
      <c r="W82" s="59">
        <v>52.544706508800012</v>
      </c>
      <c r="X82" s="59">
        <v>52.544706508800012</v>
      </c>
      <c r="Y82" s="59">
        <v>52.544706508800012</v>
      </c>
      <c r="Z82" s="59">
        <v>52.544706508800012</v>
      </c>
      <c r="AA82" s="59">
        <v>0</v>
      </c>
      <c r="AB82">
        <v>1900</v>
      </c>
      <c r="AC82" s="157">
        <v>2030</v>
      </c>
      <c r="AD82">
        <v>0</v>
      </c>
      <c r="AE82">
        <v>0</v>
      </c>
      <c r="AF82" s="24">
        <v>204</v>
      </c>
      <c r="AG82" s="24">
        <v>240.416666666667</v>
      </c>
      <c r="AH82" s="153">
        <v>0.4</v>
      </c>
      <c r="AI82" s="153">
        <v>0.50237550000000009</v>
      </c>
      <c r="AJ82" s="157">
        <v>302</v>
      </c>
      <c r="AM82" t="s">
        <v>287</v>
      </c>
    </row>
    <row r="83" spans="1:39" hidden="1">
      <c r="A83">
        <v>176</v>
      </c>
      <c r="B83">
        <v>176</v>
      </c>
      <c r="C83" t="s">
        <v>368</v>
      </c>
      <c r="D83" t="s">
        <v>368</v>
      </c>
      <c r="E83" t="s">
        <v>153</v>
      </c>
      <c r="F83">
        <v>4</v>
      </c>
      <c r="G83" s="503">
        <v>360.1</v>
      </c>
      <c r="H83" s="334">
        <v>8.3800000000000013E-2</v>
      </c>
      <c r="I83" s="334">
        <v>5.21E-2</v>
      </c>
      <c r="J83" s="334">
        <v>0</v>
      </c>
      <c r="K83" s="334">
        <v>1</v>
      </c>
      <c r="L83" s="115">
        <v>1</v>
      </c>
      <c r="M83" s="157">
        <v>1</v>
      </c>
      <c r="N83" s="157">
        <v>1</v>
      </c>
      <c r="O83" s="157">
        <v>1</v>
      </c>
      <c r="P83" s="157">
        <v>1</v>
      </c>
      <c r="Q83" s="157">
        <v>1</v>
      </c>
      <c r="R83" s="157">
        <v>1</v>
      </c>
      <c r="S83" s="157">
        <v>1</v>
      </c>
      <c r="T83" s="157">
        <v>1</v>
      </c>
      <c r="U83" s="157">
        <v>1</v>
      </c>
      <c r="V83" s="59">
        <v>0</v>
      </c>
      <c r="W83" s="59">
        <v>271.59936034609149</v>
      </c>
      <c r="X83" s="59">
        <v>271.59936034609149</v>
      </c>
      <c r="Y83" s="59">
        <v>271.59936034609149</v>
      </c>
      <c r="Z83" s="59">
        <v>271.59936034609149</v>
      </c>
      <c r="AA83" s="59">
        <v>271.59936034609149</v>
      </c>
      <c r="AB83">
        <v>1900</v>
      </c>
      <c r="AC83">
        <v>2030</v>
      </c>
      <c r="AD83">
        <v>0</v>
      </c>
      <c r="AE83">
        <v>0</v>
      </c>
      <c r="AF83" s="24">
        <v>176</v>
      </c>
      <c r="AG83" s="24">
        <v>279.10685805422645</v>
      </c>
      <c r="AH83" s="153">
        <v>0.45</v>
      </c>
      <c r="AI83" s="153">
        <v>0.85576615384615384</v>
      </c>
      <c r="AJ83" s="157">
        <v>304</v>
      </c>
      <c r="AM83" t="s">
        <v>350</v>
      </c>
    </row>
    <row r="84" spans="1:39" hidden="1">
      <c r="A84">
        <f>A83+1</f>
        <v>177</v>
      </c>
      <c r="B84">
        <f>B83+1</f>
        <v>177</v>
      </c>
      <c r="C84" s="542" t="s">
        <v>369</v>
      </c>
      <c r="D84" s="542" t="s">
        <v>369</v>
      </c>
      <c r="E84" t="s">
        <v>152</v>
      </c>
      <c r="F84">
        <v>3</v>
      </c>
      <c r="G84" s="135">
        <v>53.1</v>
      </c>
      <c r="H84" s="334">
        <v>5.3099999999999994E-2</v>
      </c>
      <c r="I84" s="543">
        <v>1.03E-2</v>
      </c>
      <c r="J84" s="135">
        <v>0</v>
      </c>
      <c r="K84" s="334">
        <v>1</v>
      </c>
      <c r="L84" s="334">
        <v>1</v>
      </c>
      <c r="M84" s="157">
        <v>1</v>
      </c>
      <c r="N84" s="157">
        <v>1</v>
      </c>
      <c r="O84" s="157">
        <v>1</v>
      </c>
      <c r="P84" s="157">
        <v>1</v>
      </c>
      <c r="Q84" s="157">
        <v>1</v>
      </c>
      <c r="R84" s="157">
        <v>1</v>
      </c>
      <c r="S84" s="157">
        <v>1</v>
      </c>
      <c r="T84" s="157">
        <v>1</v>
      </c>
      <c r="U84" s="157">
        <v>1</v>
      </c>
      <c r="W84" s="544"/>
      <c r="X84" s="544"/>
      <c r="Y84" s="544"/>
      <c r="Z84" s="544"/>
      <c r="AA84" s="544"/>
      <c r="AB84">
        <v>1900</v>
      </c>
      <c r="AC84" s="545">
        <v>2023</v>
      </c>
      <c r="AD84">
        <v>0</v>
      </c>
      <c r="AE84">
        <v>0</v>
      </c>
      <c r="AF84">
        <v>257</v>
      </c>
      <c r="AG84" s="24">
        <v>212</v>
      </c>
      <c r="AH84">
        <v>0.36</v>
      </c>
      <c r="AI84">
        <v>0.73</v>
      </c>
      <c r="AJ84" s="157">
        <v>351</v>
      </c>
      <c r="AM84" t="s">
        <v>280</v>
      </c>
    </row>
    <row r="85" spans="1:39" hidden="1">
      <c r="A85">
        <f>A84+1</f>
        <v>178</v>
      </c>
      <c r="B85">
        <f>B84+1</f>
        <v>178</v>
      </c>
      <c r="C85" s="542" t="s">
        <v>370</v>
      </c>
      <c r="D85" s="542" t="s">
        <v>370</v>
      </c>
      <c r="E85" t="s">
        <v>152</v>
      </c>
      <c r="F85">
        <v>3</v>
      </c>
      <c r="G85" s="135">
        <v>66.400000000000006</v>
      </c>
      <c r="H85" s="334">
        <v>2.4900000000000002E-2</v>
      </c>
      <c r="I85" s="543">
        <v>4.3E-3</v>
      </c>
      <c r="J85" s="135">
        <v>0</v>
      </c>
      <c r="K85" s="334">
        <v>0.82</v>
      </c>
      <c r="L85" s="334">
        <v>1</v>
      </c>
      <c r="M85" s="157">
        <v>1</v>
      </c>
      <c r="N85" s="157">
        <v>1</v>
      </c>
      <c r="O85" s="157">
        <v>1</v>
      </c>
      <c r="P85" s="157">
        <v>1</v>
      </c>
      <c r="Q85" s="157">
        <v>1</v>
      </c>
      <c r="R85" s="157">
        <v>1</v>
      </c>
      <c r="S85" s="157">
        <v>1</v>
      </c>
      <c r="T85" s="157">
        <v>1</v>
      </c>
      <c r="U85" s="157">
        <v>1</v>
      </c>
      <c r="W85" s="544"/>
      <c r="X85" s="544"/>
      <c r="Y85" s="544"/>
      <c r="Z85" s="544"/>
      <c r="AA85" s="544"/>
      <c r="AB85">
        <v>1900</v>
      </c>
      <c r="AC85" s="545">
        <v>2023</v>
      </c>
      <c r="AD85">
        <v>0</v>
      </c>
      <c r="AE85">
        <v>0</v>
      </c>
      <c r="AF85">
        <v>258</v>
      </c>
      <c r="AG85" s="24">
        <v>212</v>
      </c>
      <c r="AH85">
        <v>0.36</v>
      </c>
      <c r="AI85">
        <v>0.73</v>
      </c>
      <c r="AJ85" s="157">
        <v>351</v>
      </c>
      <c r="AM85" t="s">
        <v>280</v>
      </c>
    </row>
    <row r="86" spans="1:39" hidden="1">
      <c r="A86">
        <v>147</v>
      </c>
      <c r="B86">
        <v>147</v>
      </c>
      <c r="C86" t="s">
        <v>371</v>
      </c>
      <c r="D86" t="s">
        <v>371</v>
      </c>
      <c r="E86" t="s">
        <v>152</v>
      </c>
      <c r="F86">
        <v>3</v>
      </c>
      <c r="G86" s="503">
        <v>28</v>
      </c>
      <c r="H86" s="334">
        <v>0.03</v>
      </c>
      <c r="I86" s="334">
        <v>0.04</v>
      </c>
      <c r="J86" s="334">
        <v>0.5</v>
      </c>
      <c r="K86" s="334">
        <v>1</v>
      </c>
      <c r="L86" s="115">
        <v>1</v>
      </c>
      <c r="M86" s="157">
        <v>1</v>
      </c>
      <c r="N86" s="157">
        <v>1</v>
      </c>
      <c r="O86" s="157">
        <v>1</v>
      </c>
      <c r="P86" s="157">
        <v>1</v>
      </c>
      <c r="Q86" s="157">
        <v>1</v>
      </c>
      <c r="R86" s="157">
        <v>1</v>
      </c>
      <c r="S86" s="157">
        <v>1</v>
      </c>
      <c r="T86" s="157">
        <v>1</v>
      </c>
      <c r="U86" s="157">
        <v>1</v>
      </c>
      <c r="V86" s="59">
        <v>0</v>
      </c>
      <c r="W86" s="59">
        <v>24.279736319999998</v>
      </c>
      <c r="X86" s="59">
        <v>24.279736319999998</v>
      </c>
      <c r="Y86" s="59">
        <v>24.279736319999998</v>
      </c>
      <c r="Z86" s="59">
        <v>24.279736319999998</v>
      </c>
      <c r="AA86" s="59">
        <v>24.279736319999998</v>
      </c>
      <c r="AB86">
        <v>2018</v>
      </c>
      <c r="AC86" s="157">
        <v>2038</v>
      </c>
      <c r="AD86">
        <v>0</v>
      </c>
      <c r="AE86">
        <v>0</v>
      </c>
      <c r="AF86" s="24">
        <v>147</v>
      </c>
      <c r="AG86" s="24">
        <v>178.47804479437499</v>
      </c>
      <c r="AH86" s="153">
        <v>0.57999999999999996</v>
      </c>
      <c r="AI86" s="153">
        <v>0.37212999999999996</v>
      </c>
      <c r="AJ86" s="157">
        <v>302</v>
      </c>
      <c r="AM86" t="s">
        <v>287</v>
      </c>
    </row>
    <row r="87" spans="1:39" hidden="1">
      <c r="A87">
        <v>9</v>
      </c>
      <c r="B87">
        <v>9</v>
      </c>
      <c r="C87" t="s">
        <v>372</v>
      </c>
      <c r="D87" t="s">
        <v>372</v>
      </c>
      <c r="E87" t="s">
        <v>146</v>
      </c>
      <c r="F87">
        <v>1</v>
      </c>
      <c r="G87" s="503">
        <v>25</v>
      </c>
      <c r="H87" s="334">
        <v>0.39479999999999998</v>
      </c>
      <c r="I87" s="334">
        <v>0.24760000000000001</v>
      </c>
      <c r="J87" s="334">
        <v>0</v>
      </c>
      <c r="K87" s="334">
        <v>1</v>
      </c>
      <c r="L87" s="115">
        <v>1</v>
      </c>
      <c r="M87" s="157">
        <v>1</v>
      </c>
      <c r="N87" s="157">
        <v>1</v>
      </c>
      <c r="O87" s="157">
        <v>1</v>
      </c>
      <c r="P87" s="157">
        <v>1</v>
      </c>
      <c r="Q87" s="157">
        <v>1</v>
      </c>
      <c r="R87" s="157">
        <v>1</v>
      </c>
      <c r="S87" s="157">
        <v>1</v>
      </c>
      <c r="T87" s="157">
        <v>1</v>
      </c>
      <c r="U87" s="157">
        <v>1</v>
      </c>
      <c r="V87" s="59">
        <v>0</v>
      </c>
      <c r="W87" s="59">
        <v>5.1836470260537588</v>
      </c>
      <c r="X87" s="59">
        <v>5.1836470260537588</v>
      </c>
      <c r="Y87" s="59">
        <v>5.1836470260537588</v>
      </c>
      <c r="Z87" s="59">
        <v>5.1836470260537588</v>
      </c>
      <c r="AA87" s="59">
        <v>5.1836470260537588</v>
      </c>
      <c r="AB87">
        <v>1900</v>
      </c>
      <c r="AC87" s="157">
        <v>2026</v>
      </c>
      <c r="AD87">
        <v>0</v>
      </c>
      <c r="AE87">
        <v>0</v>
      </c>
      <c r="AF87" s="24">
        <v>9</v>
      </c>
      <c r="AG87" s="24">
        <v>229.5</v>
      </c>
      <c r="AH87" s="153">
        <v>0.36</v>
      </c>
      <c r="AI87" s="153">
        <v>0.73326000000000002</v>
      </c>
      <c r="AJ87" s="157">
        <v>351</v>
      </c>
      <c r="AM87" t="s">
        <v>280</v>
      </c>
    </row>
    <row r="88" spans="1:39" hidden="1">
      <c r="A88">
        <v>32</v>
      </c>
      <c r="B88">
        <v>32</v>
      </c>
      <c r="C88" t="s">
        <v>373</v>
      </c>
      <c r="D88" t="s">
        <v>373</v>
      </c>
      <c r="E88" t="s">
        <v>149</v>
      </c>
      <c r="F88">
        <v>2</v>
      </c>
      <c r="G88" s="503">
        <v>20</v>
      </c>
      <c r="H88" s="334">
        <v>0.3488</v>
      </c>
      <c r="I88" s="334">
        <v>0.34560000000000002</v>
      </c>
      <c r="J88" s="334">
        <v>0</v>
      </c>
      <c r="K88" s="334">
        <v>0</v>
      </c>
      <c r="L88" s="115">
        <v>1</v>
      </c>
      <c r="M88" s="157">
        <v>1</v>
      </c>
      <c r="N88" s="157">
        <v>1</v>
      </c>
      <c r="O88" s="157">
        <v>1</v>
      </c>
      <c r="P88" s="157">
        <v>1</v>
      </c>
      <c r="Q88" s="157">
        <v>1</v>
      </c>
      <c r="R88" s="157">
        <v>1</v>
      </c>
      <c r="S88" s="157">
        <v>1</v>
      </c>
      <c r="T88" s="157">
        <v>1</v>
      </c>
      <c r="U88" s="157">
        <v>1</v>
      </c>
      <c r="V88" s="59">
        <v>0</v>
      </c>
      <c r="W88" s="59">
        <v>0</v>
      </c>
      <c r="X88" s="59">
        <v>0</v>
      </c>
      <c r="Y88" s="59">
        <v>0</v>
      </c>
      <c r="Z88" s="59">
        <v>0</v>
      </c>
      <c r="AA88" s="59">
        <v>0</v>
      </c>
      <c r="AB88">
        <v>1900</v>
      </c>
      <c r="AC88">
        <v>2030</v>
      </c>
      <c r="AD88">
        <v>0</v>
      </c>
      <c r="AE88">
        <v>0</v>
      </c>
      <c r="AF88" s="24">
        <v>32</v>
      </c>
      <c r="AG88" s="24">
        <v>894.40993788819878</v>
      </c>
      <c r="AH88" s="153">
        <v>0.39</v>
      </c>
      <c r="AI88" s="153">
        <v>0.95356799999999997</v>
      </c>
      <c r="AJ88" s="157">
        <v>305</v>
      </c>
      <c r="AM88" t="s">
        <v>298</v>
      </c>
    </row>
    <row r="89" spans="1:39" hidden="1">
      <c r="A89">
        <v>208</v>
      </c>
      <c r="B89">
        <v>208</v>
      </c>
      <c r="C89" t="s">
        <v>374</v>
      </c>
      <c r="D89" t="s">
        <v>374</v>
      </c>
      <c r="E89" t="s">
        <v>154</v>
      </c>
      <c r="F89">
        <v>7</v>
      </c>
      <c r="G89" s="503">
        <v>58</v>
      </c>
      <c r="H89" s="334">
        <v>1.89E-2</v>
      </c>
      <c r="I89" s="334">
        <v>9.0800000000000006E-2</v>
      </c>
      <c r="J89" s="334">
        <v>0</v>
      </c>
      <c r="K89" s="334">
        <v>0</v>
      </c>
      <c r="L89" s="115">
        <v>1</v>
      </c>
      <c r="M89" s="157">
        <v>1</v>
      </c>
      <c r="N89" s="157">
        <v>1</v>
      </c>
      <c r="O89" s="157">
        <v>1</v>
      </c>
      <c r="P89" s="157">
        <v>1</v>
      </c>
      <c r="Q89" s="157">
        <v>1</v>
      </c>
      <c r="R89" s="157">
        <v>1</v>
      </c>
      <c r="S89" s="157">
        <v>1</v>
      </c>
      <c r="T89" s="157">
        <v>1</v>
      </c>
      <c r="U89" s="157">
        <v>1</v>
      </c>
      <c r="V89" s="59">
        <v>0</v>
      </c>
      <c r="W89" s="59">
        <v>0</v>
      </c>
      <c r="X89" s="59">
        <v>0</v>
      </c>
      <c r="Y89" s="59">
        <v>0</v>
      </c>
      <c r="Z89" s="59">
        <v>0</v>
      </c>
      <c r="AA89" s="59">
        <v>0</v>
      </c>
      <c r="AB89">
        <v>1900</v>
      </c>
      <c r="AC89" s="157">
        <v>2026</v>
      </c>
      <c r="AD89">
        <v>0</v>
      </c>
      <c r="AE89">
        <v>0</v>
      </c>
      <c r="AF89" s="24">
        <v>208</v>
      </c>
      <c r="AG89" s="24">
        <v>0.36</v>
      </c>
      <c r="AH89" s="153">
        <v>0.36</v>
      </c>
      <c r="AI89" s="153">
        <v>0.73326000000000002</v>
      </c>
      <c r="AJ89" s="157">
        <v>351</v>
      </c>
      <c r="AM89" t="s">
        <v>280</v>
      </c>
    </row>
    <row r="90" spans="1:39" hidden="1">
      <c r="A90">
        <v>94</v>
      </c>
      <c r="B90">
        <v>94</v>
      </c>
      <c r="C90" t="s">
        <v>375</v>
      </c>
      <c r="D90" t="s">
        <v>375</v>
      </c>
      <c r="E90" t="s">
        <v>154</v>
      </c>
      <c r="F90">
        <v>7</v>
      </c>
      <c r="G90" s="503">
        <v>50</v>
      </c>
      <c r="H90" s="334">
        <v>6.9599999999999995E-2</v>
      </c>
      <c r="I90" s="334">
        <v>7.85E-2</v>
      </c>
      <c r="J90" s="334">
        <v>0</v>
      </c>
      <c r="K90" s="334">
        <v>0</v>
      </c>
      <c r="L90" s="115">
        <v>1</v>
      </c>
      <c r="M90" s="157">
        <v>1</v>
      </c>
      <c r="N90" s="157">
        <v>1</v>
      </c>
      <c r="O90" s="157">
        <v>1</v>
      </c>
      <c r="P90" s="157">
        <v>1</v>
      </c>
      <c r="Q90" s="157">
        <v>1</v>
      </c>
      <c r="R90" s="157">
        <v>1</v>
      </c>
      <c r="S90" s="157">
        <v>1</v>
      </c>
      <c r="T90" s="157">
        <v>1</v>
      </c>
      <c r="U90" s="157">
        <v>1</v>
      </c>
      <c r="V90" s="59">
        <v>0</v>
      </c>
      <c r="W90" s="59">
        <v>0</v>
      </c>
      <c r="X90" s="59">
        <v>0</v>
      </c>
      <c r="Y90" s="59">
        <v>0</v>
      </c>
      <c r="Z90" s="59">
        <v>0</v>
      </c>
      <c r="AA90" s="59">
        <v>0</v>
      </c>
      <c r="AB90">
        <v>1900</v>
      </c>
      <c r="AC90" s="157">
        <v>2026</v>
      </c>
      <c r="AD90">
        <v>0</v>
      </c>
      <c r="AE90">
        <v>0</v>
      </c>
      <c r="AF90" s="24">
        <v>94</v>
      </c>
      <c r="AG90" s="24">
        <v>0.36</v>
      </c>
      <c r="AH90" s="153">
        <v>0.36</v>
      </c>
      <c r="AI90" s="153">
        <v>0.73326000000000002</v>
      </c>
      <c r="AJ90" s="157">
        <v>351</v>
      </c>
      <c r="AM90" t="s">
        <v>280</v>
      </c>
    </row>
    <row r="91" spans="1:39" hidden="1">
      <c r="A91">
        <v>4</v>
      </c>
      <c r="B91">
        <v>4</v>
      </c>
      <c r="C91" t="s">
        <v>376</v>
      </c>
      <c r="D91" t="s">
        <v>376</v>
      </c>
      <c r="E91" t="s">
        <v>282</v>
      </c>
      <c r="F91">
        <v>1</v>
      </c>
      <c r="G91" s="503">
        <v>436</v>
      </c>
      <c r="H91" s="334">
        <v>0.24249999999999999</v>
      </c>
      <c r="I91" s="334">
        <v>0.18010000000000001</v>
      </c>
      <c r="J91" s="334">
        <v>0</v>
      </c>
      <c r="K91" s="334">
        <v>0</v>
      </c>
      <c r="L91" s="115">
        <v>1</v>
      </c>
      <c r="M91" s="157">
        <v>1</v>
      </c>
      <c r="N91" s="157">
        <v>1</v>
      </c>
      <c r="O91" s="157">
        <v>1</v>
      </c>
      <c r="P91" s="157">
        <v>1</v>
      </c>
      <c r="Q91" s="157">
        <v>1</v>
      </c>
      <c r="R91" s="157">
        <v>1</v>
      </c>
      <c r="S91" s="157">
        <v>1</v>
      </c>
      <c r="T91" s="157">
        <v>1</v>
      </c>
      <c r="U91" s="157">
        <v>1</v>
      </c>
      <c r="V91" s="59">
        <v>0</v>
      </c>
      <c r="W91" s="59">
        <v>0</v>
      </c>
      <c r="X91" s="59">
        <v>0</v>
      </c>
      <c r="Y91" s="59">
        <v>0</v>
      </c>
      <c r="Z91" s="59">
        <v>0</v>
      </c>
      <c r="AA91" s="59">
        <v>0</v>
      </c>
      <c r="AB91">
        <v>1900</v>
      </c>
      <c r="AC91" s="157">
        <v>2026</v>
      </c>
      <c r="AD91">
        <v>0</v>
      </c>
      <c r="AE91">
        <v>0</v>
      </c>
      <c r="AF91" s="24">
        <v>4</v>
      </c>
      <c r="AG91" s="24">
        <v>177.5</v>
      </c>
      <c r="AH91" s="153">
        <v>0.4</v>
      </c>
      <c r="AI91" s="153">
        <v>0.50237550000000009</v>
      </c>
      <c r="AJ91" s="157">
        <v>341</v>
      </c>
      <c r="AM91" t="s">
        <v>290</v>
      </c>
    </row>
    <row r="92" spans="1:39">
      <c r="A92">
        <v>205</v>
      </c>
      <c r="B92">
        <v>205</v>
      </c>
      <c r="C92" t="s">
        <v>377</v>
      </c>
      <c r="D92" t="s">
        <v>377</v>
      </c>
      <c r="E92" t="s">
        <v>154</v>
      </c>
      <c r="F92">
        <v>7</v>
      </c>
      <c r="G92" s="503">
        <v>66.8</v>
      </c>
      <c r="H92" s="334">
        <v>2.5000000000000001E-2</v>
      </c>
      <c r="I92" s="334">
        <v>3.9000000000000003E-3</v>
      </c>
      <c r="J92" s="334">
        <v>0.5</v>
      </c>
      <c r="K92" s="334">
        <v>1</v>
      </c>
      <c r="L92" s="115">
        <v>1</v>
      </c>
      <c r="M92" s="157">
        <v>1</v>
      </c>
      <c r="N92" s="157">
        <v>1</v>
      </c>
      <c r="O92" s="157">
        <v>1</v>
      </c>
      <c r="P92" s="157">
        <v>1</v>
      </c>
      <c r="Q92" s="157">
        <v>1</v>
      </c>
      <c r="R92" s="157">
        <v>1</v>
      </c>
      <c r="S92" s="157">
        <v>1</v>
      </c>
      <c r="T92" s="157">
        <v>1</v>
      </c>
      <c r="U92" s="157">
        <v>1</v>
      </c>
      <c r="V92" s="59">
        <v>63.001581825000002</v>
      </c>
      <c r="W92" s="59">
        <v>63.007402211617496</v>
      </c>
      <c r="X92" s="59">
        <v>63.007402211617496</v>
      </c>
      <c r="Y92" s="59">
        <v>63.007402211617496</v>
      </c>
      <c r="Z92" s="59">
        <v>63.007402211617496</v>
      </c>
      <c r="AA92" s="59">
        <v>5.8203866174935115E-3</v>
      </c>
      <c r="AB92">
        <v>1900</v>
      </c>
      <c r="AC92" s="157">
        <v>2030</v>
      </c>
      <c r="AD92">
        <v>0</v>
      </c>
      <c r="AE92">
        <v>0</v>
      </c>
      <c r="AF92" s="24">
        <v>205</v>
      </c>
      <c r="AG92" s="24">
        <v>182.916666666667</v>
      </c>
      <c r="AH92" s="153">
        <v>0.57999999999999996</v>
      </c>
      <c r="AI92" s="153">
        <v>0.37212999999999996</v>
      </c>
      <c r="AJ92" s="157">
        <v>302</v>
      </c>
      <c r="AM92" t="s">
        <v>287</v>
      </c>
    </row>
    <row r="93" spans="1:39" hidden="1">
      <c r="A93">
        <f>A92+1</f>
        <v>206</v>
      </c>
      <c r="B93">
        <f>B92+1</f>
        <v>206</v>
      </c>
      <c r="C93" s="542" t="s">
        <v>378</v>
      </c>
      <c r="D93" s="542" t="s">
        <v>378</v>
      </c>
      <c r="E93" t="s">
        <v>152</v>
      </c>
      <c r="F93">
        <v>3</v>
      </c>
      <c r="G93" s="135">
        <v>381.3</v>
      </c>
      <c r="H93" s="334">
        <v>9.8299999999999998E-2</v>
      </c>
      <c r="I93" s="543">
        <v>1.7399999999999999E-2</v>
      </c>
      <c r="J93" s="135">
        <v>0</v>
      </c>
      <c r="K93" s="334">
        <v>1</v>
      </c>
      <c r="L93" s="334">
        <v>1</v>
      </c>
      <c r="M93" s="157">
        <v>1</v>
      </c>
      <c r="N93" s="157">
        <v>1</v>
      </c>
      <c r="O93" s="157">
        <v>1</v>
      </c>
      <c r="P93" s="157">
        <v>1</v>
      </c>
      <c r="Q93" s="157">
        <v>1</v>
      </c>
      <c r="R93" s="157">
        <v>1</v>
      </c>
      <c r="S93" s="157">
        <v>1</v>
      </c>
      <c r="T93" s="157">
        <v>1</v>
      </c>
      <c r="U93" s="157">
        <v>1</v>
      </c>
      <c r="W93" s="544"/>
      <c r="X93" s="544"/>
      <c r="Y93" s="544"/>
      <c r="Z93" s="544"/>
      <c r="AA93" s="544"/>
      <c r="AB93">
        <v>1900</v>
      </c>
      <c r="AC93" s="545">
        <v>2026</v>
      </c>
      <c r="AD93">
        <v>0</v>
      </c>
      <c r="AE93">
        <v>0</v>
      </c>
      <c r="AF93">
        <v>259</v>
      </c>
      <c r="AG93" s="24">
        <v>212</v>
      </c>
      <c r="AH93">
        <v>0.36</v>
      </c>
      <c r="AI93">
        <v>0.73</v>
      </c>
      <c r="AJ93" s="157">
        <v>341</v>
      </c>
      <c r="AM93" t="s">
        <v>290</v>
      </c>
    </row>
    <row r="94" spans="1:39" hidden="1">
      <c r="A94">
        <v>194</v>
      </c>
      <c r="B94">
        <v>194</v>
      </c>
      <c r="C94" t="s">
        <v>379</v>
      </c>
      <c r="D94" t="s">
        <v>379</v>
      </c>
      <c r="E94" t="s">
        <v>155</v>
      </c>
      <c r="F94">
        <v>6</v>
      </c>
      <c r="G94" s="503">
        <v>340</v>
      </c>
      <c r="H94" s="334">
        <v>4.7199999999999999E-2</v>
      </c>
      <c r="I94" s="334">
        <v>5.7599999999999998E-2</v>
      </c>
      <c r="J94" s="334">
        <v>0</v>
      </c>
      <c r="K94" s="334">
        <v>1</v>
      </c>
      <c r="L94" s="115">
        <v>1</v>
      </c>
      <c r="M94" s="157">
        <v>1</v>
      </c>
      <c r="N94" s="157">
        <v>1</v>
      </c>
      <c r="O94" s="157">
        <v>1</v>
      </c>
      <c r="P94" s="157">
        <v>1</v>
      </c>
      <c r="Q94" s="157">
        <v>1</v>
      </c>
      <c r="R94" s="157">
        <v>1</v>
      </c>
      <c r="S94" s="157">
        <v>1</v>
      </c>
      <c r="T94" s="157">
        <v>1</v>
      </c>
      <c r="U94" s="157">
        <v>1</v>
      </c>
      <c r="V94" s="59">
        <v>0</v>
      </c>
      <c r="W94" s="59">
        <v>274.12772942698911</v>
      </c>
      <c r="X94" s="59">
        <v>274.12772942698911</v>
      </c>
      <c r="Y94" s="59">
        <v>274.12772942698911</v>
      </c>
      <c r="Z94" s="59">
        <v>274.12772942698911</v>
      </c>
      <c r="AA94" s="59">
        <v>274.12772942698911</v>
      </c>
      <c r="AB94">
        <v>1900</v>
      </c>
      <c r="AC94" s="157">
        <v>2026</v>
      </c>
      <c r="AD94">
        <v>0</v>
      </c>
      <c r="AE94">
        <v>0</v>
      </c>
      <c r="AF94" s="24">
        <v>194</v>
      </c>
      <c r="AG94" s="24">
        <v>212.3</v>
      </c>
      <c r="AH94" s="153">
        <v>0.36</v>
      </c>
      <c r="AI94" s="153">
        <v>0.73326000000000002</v>
      </c>
      <c r="AJ94" s="157">
        <v>341</v>
      </c>
      <c r="AM94" t="s">
        <v>290</v>
      </c>
    </row>
    <row r="95" spans="1:39">
      <c r="A95">
        <v>43</v>
      </c>
      <c r="B95">
        <v>43</v>
      </c>
      <c r="C95" t="s">
        <v>380</v>
      </c>
      <c r="D95" t="s">
        <v>380</v>
      </c>
      <c r="E95" t="s">
        <v>152</v>
      </c>
      <c r="F95">
        <v>3</v>
      </c>
      <c r="G95" s="503">
        <v>185.9</v>
      </c>
      <c r="H95" s="334">
        <v>1.8000000000000002E-2</v>
      </c>
      <c r="I95" s="334">
        <v>4.8499999999999995E-2</v>
      </c>
      <c r="J95" s="334">
        <v>0.5</v>
      </c>
      <c r="K95" s="334">
        <v>1</v>
      </c>
      <c r="L95" s="115">
        <v>1</v>
      </c>
      <c r="M95" s="157">
        <v>1</v>
      </c>
      <c r="N95" s="157">
        <v>1</v>
      </c>
      <c r="O95" s="157">
        <v>1</v>
      </c>
      <c r="P95" s="157">
        <v>1</v>
      </c>
      <c r="Q95" s="157">
        <v>1</v>
      </c>
      <c r="R95" s="157">
        <v>1</v>
      </c>
      <c r="S95" s="157">
        <v>1</v>
      </c>
      <c r="T95" s="157">
        <v>1</v>
      </c>
      <c r="U95" s="157">
        <v>1</v>
      </c>
      <c r="V95" s="59">
        <v>0</v>
      </c>
      <c r="W95" s="59">
        <v>120.03747545796732</v>
      </c>
      <c r="X95" s="59">
        <v>120.03747545796732</v>
      </c>
      <c r="Y95" s="59">
        <v>120.03747545796732</v>
      </c>
      <c r="Z95" s="59">
        <v>120.03747545796732</v>
      </c>
      <c r="AA95" s="59">
        <v>120.03747545796732</v>
      </c>
      <c r="AB95">
        <v>1900</v>
      </c>
      <c r="AC95" s="157">
        <v>2021</v>
      </c>
      <c r="AD95">
        <v>0</v>
      </c>
      <c r="AE95">
        <v>0</v>
      </c>
      <c r="AF95" s="24">
        <v>43</v>
      </c>
      <c r="AG95" s="24">
        <v>260</v>
      </c>
      <c r="AH95" s="153">
        <v>0.57999999999999996</v>
      </c>
      <c r="AI95" s="153">
        <v>0.37212999999999996</v>
      </c>
      <c r="AJ95" s="157">
        <v>302</v>
      </c>
      <c r="AM95" t="s">
        <v>287</v>
      </c>
    </row>
    <row r="96" spans="1:39" hidden="1">
      <c r="A96">
        <f>A95+1</f>
        <v>44</v>
      </c>
      <c r="B96">
        <f>B95+1</f>
        <v>44</v>
      </c>
      <c r="C96" s="542" t="s">
        <v>381</v>
      </c>
      <c r="D96" s="542" t="s">
        <v>381</v>
      </c>
      <c r="E96" t="s">
        <v>152</v>
      </c>
      <c r="F96">
        <v>3</v>
      </c>
      <c r="G96" s="135">
        <v>49.7</v>
      </c>
      <c r="H96" s="334">
        <v>3.0099999999999998E-2</v>
      </c>
      <c r="I96" s="543">
        <v>1.84E-2</v>
      </c>
      <c r="J96" s="135">
        <v>0</v>
      </c>
      <c r="K96" s="334">
        <v>0.98</v>
      </c>
      <c r="L96" s="334">
        <v>1</v>
      </c>
      <c r="M96" s="157">
        <v>1</v>
      </c>
      <c r="N96" s="157">
        <v>1</v>
      </c>
      <c r="O96" s="157">
        <v>1</v>
      </c>
      <c r="P96" s="157">
        <v>1</v>
      </c>
      <c r="Q96" s="157">
        <v>1</v>
      </c>
      <c r="R96" s="157">
        <v>1</v>
      </c>
      <c r="S96" s="157">
        <v>1</v>
      </c>
      <c r="T96" s="157">
        <v>1</v>
      </c>
      <c r="U96" s="157">
        <v>1</v>
      </c>
      <c r="W96" s="544"/>
      <c r="X96" s="544"/>
      <c r="Y96" s="544"/>
      <c r="Z96" s="544"/>
      <c r="AA96" s="544"/>
      <c r="AB96">
        <v>1900</v>
      </c>
      <c r="AC96" s="545">
        <v>2024</v>
      </c>
      <c r="AD96">
        <v>0</v>
      </c>
      <c r="AE96">
        <v>0</v>
      </c>
      <c r="AF96">
        <v>260</v>
      </c>
      <c r="AG96" s="24">
        <v>195</v>
      </c>
      <c r="AH96">
        <v>0.36</v>
      </c>
      <c r="AI96">
        <v>0.73</v>
      </c>
      <c r="AJ96" s="157">
        <v>341</v>
      </c>
      <c r="AM96" t="s">
        <v>290</v>
      </c>
    </row>
    <row r="97" spans="1:39">
      <c r="A97">
        <v>58</v>
      </c>
      <c r="B97">
        <v>58</v>
      </c>
      <c r="C97" t="s">
        <v>382</v>
      </c>
      <c r="D97" t="s">
        <v>382</v>
      </c>
      <c r="E97" t="s">
        <v>152</v>
      </c>
      <c r="F97">
        <v>3</v>
      </c>
      <c r="G97" s="503">
        <v>223</v>
      </c>
      <c r="H97" s="334">
        <v>0.17199999999999999</v>
      </c>
      <c r="I97" s="334">
        <v>9.2300000000000007E-2</v>
      </c>
      <c r="J97" s="334">
        <v>0</v>
      </c>
      <c r="K97" s="334">
        <v>1</v>
      </c>
      <c r="L97" s="115">
        <v>1</v>
      </c>
      <c r="M97" s="157">
        <v>1</v>
      </c>
      <c r="N97" s="157">
        <v>1</v>
      </c>
      <c r="O97" s="157">
        <v>1</v>
      </c>
      <c r="P97" s="157">
        <v>1</v>
      </c>
      <c r="Q97" s="157">
        <v>1</v>
      </c>
      <c r="R97" s="157">
        <v>1</v>
      </c>
      <c r="S97" s="157">
        <v>1</v>
      </c>
      <c r="T97" s="157">
        <v>1</v>
      </c>
      <c r="U97" s="157">
        <v>1</v>
      </c>
      <c r="V97" s="59">
        <v>0</v>
      </c>
      <c r="W97" s="59">
        <v>125.96509180092526</v>
      </c>
      <c r="X97" s="59">
        <v>125.96509180092526</v>
      </c>
      <c r="Y97" s="59">
        <v>125.96509180092526</v>
      </c>
      <c r="Z97" s="59">
        <v>125.96509180092526</v>
      </c>
      <c r="AA97" s="59">
        <v>125.96509180092526</v>
      </c>
      <c r="AB97">
        <v>1900</v>
      </c>
      <c r="AC97" s="157">
        <v>2024</v>
      </c>
      <c r="AD97">
        <v>0</v>
      </c>
      <c r="AE97">
        <v>0</v>
      </c>
      <c r="AF97" s="24">
        <v>58</v>
      </c>
      <c r="AG97" s="24">
        <v>273.33333333333297</v>
      </c>
      <c r="AH97" s="153">
        <v>0.4</v>
      </c>
      <c r="AI97" s="153">
        <v>0.50237550000000009</v>
      </c>
      <c r="AJ97" s="157">
        <v>301</v>
      </c>
      <c r="AM97" t="s">
        <v>287</v>
      </c>
    </row>
    <row r="98" spans="1:39" hidden="1">
      <c r="A98">
        <f t="shared" ref="A98:B100" si="4">A97+1</f>
        <v>59</v>
      </c>
      <c r="B98">
        <f t="shared" si="4"/>
        <v>59</v>
      </c>
      <c r="C98" s="542" t="s">
        <v>383</v>
      </c>
      <c r="D98" s="542" t="s">
        <v>383</v>
      </c>
      <c r="E98" t="s">
        <v>152</v>
      </c>
      <c r="F98">
        <v>3</v>
      </c>
      <c r="G98" s="135">
        <v>143</v>
      </c>
      <c r="H98" s="334">
        <v>2.3700000000000002E-2</v>
      </c>
      <c r="I98" s="543">
        <v>8.199999999999999E-3</v>
      </c>
      <c r="J98" s="135">
        <v>0</v>
      </c>
      <c r="K98" s="334">
        <v>1</v>
      </c>
      <c r="L98" s="334">
        <v>1</v>
      </c>
      <c r="M98" s="157">
        <v>1</v>
      </c>
      <c r="N98" s="157">
        <v>1</v>
      </c>
      <c r="O98" s="157">
        <v>1</v>
      </c>
      <c r="P98" s="157">
        <v>1</v>
      </c>
      <c r="Q98" s="157">
        <v>1</v>
      </c>
      <c r="R98" s="157">
        <v>1</v>
      </c>
      <c r="S98" s="157">
        <v>1</v>
      </c>
      <c r="T98" s="157">
        <v>1</v>
      </c>
      <c r="U98" s="157">
        <v>1</v>
      </c>
      <c r="W98" s="544"/>
      <c r="X98" s="544"/>
      <c r="Y98" s="544"/>
      <c r="Z98" s="544"/>
      <c r="AA98" s="544"/>
      <c r="AB98">
        <v>1900</v>
      </c>
      <c r="AC98" s="545">
        <v>2023</v>
      </c>
      <c r="AD98">
        <v>0</v>
      </c>
      <c r="AE98">
        <v>0</v>
      </c>
      <c r="AF98">
        <v>261</v>
      </c>
      <c r="AG98" s="24">
        <v>195</v>
      </c>
      <c r="AH98">
        <v>0.36</v>
      </c>
      <c r="AI98">
        <v>0.73</v>
      </c>
      <c r="AJ98" s="157">
        <v>351</v>
      </c>
      <c r="AM98" t="s">
        <v>280</v>
      </c>
    </row>
    <row r="99" spans="1:39" hidden="1">
      <c r="A99">
        <f t="shared" si="4"/>
        <v>60</v>
      </c>
      <c r="B99">
        <f t="shared" si="4"/>
        <v>60</v>
      </c>
      <c r="C99" s="542" t="s">
        <v>384</v>
      </c>
      <c r="D99" s="542" t="s">
        <v>384</v>
      </c>
      <c r="E99" t="s">
        <v>152</v>
      </c>
      <c r="F99">
        <v>3</v>
      </c>
      <c r="G99" s="135">
        <v>170.9</v>
      </c>
      <c r="H99" s="334">
        <v>0.113</v>
      </c>
      <c r="I99" s="543">
        <v>1.46E-2</v>
      </c>
      <c r="J99" s="135">
        <v>0</v>
      </c>
      <c r="K99" s="334">
        <v>0.95</v>
      </c>
      <c r="L99" s="334">
        <v>1</v>
      </c>
      <c r="M99" s="157">
        <v>1</v>
      </c>
      <c r="N99" s="157">
        <v>1</v>
      </c>
      <c r="O99" s="157">
        <v>1</v>
      </c>
      <c r="P99" s="157">
        <v>1</v>
      </c>
      <c r="Q99" s="157">
        <v>1</v>
      </c>
      <c r="R99" s="157">
        <v>1</v>
      </c>
      <c r="S99" s="157">
        <v>1</v>
      </c>
      <c r="T99" s="157">
        <v>1</v>
      </c>
      <c r="U99" s="157">
        <v>1</v>
      </c>
      <c r="W99" s="544"/>
      <c r="X99" s="544"/>
      <c r="Y99" s="544"/>
      <c r="Z99" s="544"/>
      <c r="AA99" s="544"/>
      <c r="AB99">
        <v>1900</v>
      </c>
      <c r="AC99" s="545">
        <v>2024</v>
      </c>
      <c r="AD99">
        <v>0</v>
      </c>
      <c r="AE99">
        <v>0</v>
      </c>
      <c r="AF99">
        <v>262</v>
      </c>
      <c r="AG99" s="24">
        <v>212</v>
      </c>
      <c r="AH99">
        <v>0.36</v>
      </c>
      <c r="AI99">
        <v>0.73</v>
      </c>
      <c r="AJ99" s="157">
        <v>341</v>
      </c>
      <c r="AM99" t="s">
        <v>290</v>
      </c>
    </row>
    <row r="100" spans="1:39" hidden="1">
      <c r="A100">
        <f t="shared" si="4"/>
        <v>61</v>
      </c>
      <c r="B100">
        <f t="shared" si="4"/>
        <v>61</v>
      </c>
      <c r="C100" s="542" t="s">
        <v>385</v>
      </c>
      <c r="D100" s="542" t="s">
        <v>385</v>
      </c>
      <c r="E100" t="s">
        <v>152</v>
      </c>
      <c r="F100">
        <v>3</v>
      </c>
      <c r="G100" s="135">
        <v>170.9</v>
      </c>
      <c r="H100" s="334">
        <v>0.13639999999999999</v>
      </c>
      <c r="I100" s="543">
        <v>1.4499999999999999E-2</v>
      </c>
      <c r="J100" s="135">
        <v>0</v>
      </c>
      <c r="K100" s="334">
        <v>0.95</v>
      </c>
      <c r="L100" s="334">
        <v>1</v>
      </c>
      <c r="M100" s="157">
        <v>1</v>
      </c>
      <c r="N100" s="157">
        <v>1</v>
      </c>
      <c r="O100" s="157">
        <v>1</v>
      </c>
      <c r="P100" s="157">
        <v>1</v>
      </c>
      <c r="Q100" s="157">
        <v>1</v>
      </c>
      <c r="R100" s="157">
        <v>1</v>
      </c>
      <c r="S100" s="157">
        <v>1</v>
      </c>
      <c r="T100" s="157">
        <v>1</v>
      </c>
      <c r="U100" s="157">
        <v>1</v>
      </c>
      <c r="W100" s="544"/>
      <c r="X100" s="544"/>
      <c r="Y100" s="544"/>
      <c r="Z100" s="544"/>
      <c r="AA100" s="544"/>
      <c r="AB100">
        <v>1900</v>
      </c>
      <c r="AC100" s="545">
        <v>2024</v>
      </c>
      <c r="AD100">
        <v>0</v>
      </c>
      <c r="AE100">
        <v>0</v>
      </c>
      <c r="AF100">
        <v>263</v>
      </c>
      <c r="AG100" s="24">
        <v>195</v>
      </c>
      <c r="AH100">
        <v>0.36</v>
      </c>
      <c r="AI100">
        <v>0.73</v>
      </c>
      <c r="AJ100" s="157">
        <v>341</v>
      </c>
      <c r="AM100" t="s">
        <v>290</v>
      </c>
    </row>
    <row r="101" spans="1:39">
      <c r="A101">
        <v>96</v>
      </c>
      <c r="B101">
        <v>96</v>
      </c>
      <c r="C101" t="s">
        <v>386</v>
      </c>
      <c r="D101" t="s">
        <v>386</v>
      </c>
      <c r="E101" t="s">
        <v>152</v>
      </c>
      <c r="F101">
        <v>3</v>
      </c>
      <c r="G101" s="503">
        <v>532.79999999999995</v>
      </c>
      <c r="H101" s="334">
        <v>0.10640000000000001</v>
      </c>
      <c r="I101" s="334">
        <v>8.9800000000000005E-2</v>
      </c>
      <c r="J101" s="334">
        <v>0.71998642161239856</v>
      </c>
      <c r="K101" s="334">
        <v>1</v>
      </c>
      <c r="L101" s="115">
        <v>1</v>
      </c>
      <c r="M101" s="157">
        <v>1</v>
      </c>
      <c r="N101" s="157">
        <v>1</v>
      </c>
      <c r="O101" s="157">
        <v>1</v>
      </c>
      <c r="P101" s="157">
        <v>1</v>
      </c>
      <c r="Q101" s="157">
        <v>1</v>
      </c>
      <c r="R101" s="157">
        <v>1</v>
      </c>
      <c r="S101" s="157">
        <v>1</v>
      </c>
      <c r="T101" s="157">
        <v>1</v>
      </c>
      <c r="U101" s="157">
        <v>1</v>
      </c>
      <c r="V101" s="59">
        <v>253.77480618719997</v>
      </c>
      <c r="W101" s="59">
        <v>352.47165581105708</v>
      </c>
      <c r="X101" s="59">
        <v>352.47165581105708</v>
      </c>
      <c r="Y101" s="59">
        <v>352.47165581105708</v>
      </c>
      <c r="Z101" s="59">
        <v>352.47165581105708</v>
      </c>
      <c r="AA101" s="59">
        <v>98.696849623857105</v>
      </c>
      <c r="AB101">
        <v>1900</v>
      </c>
      <c r="AC101" s="157">
        <v>2024</v>
      </c>
      <c r="AD101">
        <v>0</v>
      </c>
      <c r="AE101">
        <v>0</v>
      </c>
      <c r="AF101" s="24">
        <v>96</v>
      </c>
      <c r="AG101" s="24">
        <v>167.5</v>
      </c>
      <c r="AH101" s="153">
        <v>0.4</v>
      </c>
      <c r="AI101" s="153">
        <v>0.50237550000000009</v>
      </c>
      <c r="AJ101" s="157">
        <v>302</v>
      </c>
      <c r="AM101" t="s">
        <v>287</v>
      </c>
    </row>
    <row r="102" spans="1:39">
      <c r="A102">
        <v>47</v>
      </c>
      <c r="B102">
        <v>47</v>
      </c>
      <c r="C102" t="s">
        <v>387</v>
      </c>
      <c r="D102" t="s">
        <v>387</v>
      </c>
      <c r="E102" t="s">
        <v>146</v>
      </c>
      <c r="F102">
        <v>1</v>
      </c>
      <c r="G102" s="503">
        <v>1036</v>
      </c>
      <c r="H102" s="334">
        <v>6.9400000000000003E-2</v>
      </c>
      <c r="I102" s="334">
        <v>3.7900000000000003E-2</v>
      </c>
      <c r="J102" s="334">
        <v>0.5</v>
      </c>
      <c r="K102" s="334">
        <v>1</v>
      </c>
      <c r="L102" s="115">
        <v>1</v>
      </c>
      <c r="M102" s="157">
        <v>1</v>
      </c>
      <c r="N102" s="157">
        <v>1</v>
      </c>
      <c r="O102" s="157">
        <v>1</v>
      </c>
      <c r="P102" s="157">
        <v>1</v>
      </c>
      <c r="Q102" s="157">
        <v>1</v>
      </c>
      <c r="R102" s="157">
        <v>1</v>
      </c>
      <c r="S102" s="157">
        <v>1</v>
      </c>
      <c r="T102" s="157">
        <v>1</v>
      </c>
      <c r="U102" s="157">
        <v>1</v>
      </c>
      <c r="V102" s="59">
        <v>89.980691129999997</v>
      </c>
      <c r="W102" s="59">
        <v>830.4744603526475</v>
      </c>
      <c r="X102" s="59">
        <v>830.4744603526475</v>
      </c>
      <c r="Y102" s="59">
        <v>830.4744603526475</v>
      </c>
      <c r="Z102" s="59">
        <v>830.4744603526475</v>
      </c>
      <c r="AA102" s="59">
        <v>740.49376922264753</v>
      </c>
      <c r="AB102">
        <v>1900</v>
      </c>
      <c r="AC102" s="157">
        <v>2024</v>
      </c>
      <c r="AD102">
        <v>0</v>
      </c>
      <c r="AE102">
        <v>0</v>
      </c>
      <c r="AF102" s="24">
        <v>47</v>
      </c>
      <c r="AG102" s="24">
        <v>203.75</v>
      </c>
      <c r="AH102" s="153">
        <v>0.57999999999999996</v>
      </c>
      <c r="AI102" s="153">
        <v>0.37212999999999996</v>
      </c>
      <c r="AJ102" s="157">
        <v>302</v>
      </c>
      <c r="AM102" t="s">
        <v>287</v>
      </c>
    </row>
    <row r="103" spans="1:39">
      <c r="A103">
        <v>68</v>
      </c>
      <c r="B103">
        <v>68</v>
      </c>
      <c r="C103" t="s">
        <v>388</v>
      </c>
      <c r="D103" t="s">
        <v>388</v>
      </c>
      <c r="E103" t="s">
        <v>146</v>
      </c>
      <c r="F103">
        <v>1</v>
      </c>
      <c r="G103" s="503">
        <v>350</v>
      </c>
      <c r="H103" s="334">
        <v>0.10249999999999999</v>
      </c>
      <c r="I103" s="334">
        <v>3.85E-2</v>
      </c>
      <c r="J103" s="334">
        <v>0.5</v>
      </c>
      <c r="K103" s="334">
        <v>1</v>
      </c>
      <c r="L103" s="115">
        <v>1</v>
      </c>
      <c r="M103" s="157">
        <v>1</v>
      </c>
      <c r="N103" s="157">
        <v>1</v>
      </c>
      <c r="O103" s="157">
        <v>1</v>
      </c>
      <c r="P103" s="157">
        <v>1</v>
      </c>
      <c r="Q103" s="157">
        <v>1</v>
      </c>
      <c r="R103" s="157">
        <v>1</v>
      </c>
      <c r="S103" s="157">
        <v>1</v>
      </c>
      <c r="T103" s="157">
        <v>1</v>
      </c>
      <c r="U103" s="157">
        <v>1</v>
      </c>
      <c r="V103" s="59">
        <v>0</v>
      </c>
      <c r="W103" s="59">
        <v>260.63668063617189</v>
      </c>
      <c r="X103" s="59">
        <v>260.63668063617189</v>
      </c>
      <c r="Y103" s="59">
        <v>260.63668063617189</v>
      </c>
      <c r="Z103" s="59">
        <v>260.63668063617189</v>
      </c>
      <c r="AA103" s="59">
        <v>260.63668063617189</v>
      </c>
      <c r="AB103">
        <v>1900</v>
      </c>
      <c r="AC103" s="157">
        <v>2023</v>
      </c>
      <c r="AD103">
        <v>0</v>
      </c>
      <c r="AE103">
        <v>0</v>
      </c>
      <c r="AF103" s="24">
        <v>68</v>
      </c>
      <c r="AG103" s="24">
        <v>212.083333333333</v>
      </c>
      <c r="AH103" s="153">
        <v>0.57999999999999996</v>
      </c>
      <c r="AI103" s="153">
        <v>0.37212999999999996</v>
      </c>
      <c r="AJ103" s="157">
        <v>302</v>
      </c>
      <c r="AM103" t="s">
        <v>287</v>
      </c>
    </row>
    <row r="104" spans="1:39">
      <c r="A104">
        <v>207</v>
      </c>
      <c r="B104">
        <v>207</v>
      </c>
      <c r="C104" t="s">
        <v>389</v>
      </c>
      <c r="D104" t="s">
        <v>389</v>
      </c>
      <c r="E104" t="s">
        <v>154</v>
      </c>
      <c r="F104">
        <v>7</v>
      </c>
      <c r="G104" s="503">
        <v>66</v>
      </c>
      <c r="H104" s="334">
        <v>2.5000000000000001E-2</v>
      </c>
      <c r="I104" s="334">
        <v>5.3E-3</v>
      </c>
      <c r="J104" s="334">
        <v>0.99986025390670008</v>
      </c>
      <c r="K104" s="334">
        <v>1</v>
      </c>
      <c r="L104" s="115">
        <v>1</v>
      </c>
      <c r="M104" s="157">
        <v>1</v>
      </c>
      <c r="N104" s="157">
        <v>1</v>
      </c>
      <c r="O104" s="157">
        <v>1</v>
      </c>
      <c r="P104" s="157">
        <v>1</v>
      </c>
      <c r="Q104" s="157">
        <v>1</v>
      </c>
      <c r="R104" s="157">
        <v>1</v>
      </c>
      <c r="S104" s="157">
        <v>1</v>
      </c>
      <c r="T104" s="157">
        <v>1</v>
      </c>
      <c r="U104" s="157">
        <v>1</v>
      </c>
      <c r="V104" s="59">
        <v>62.069279999999999</v>
      </c>
      <c r="W104" s="59">
        <v>62.077955151712501</v>
      </c>
      <c r="X104" s="59">
        <v>62.077955151712501</v>
      </c>
      <c r="Y104" s="59">
        <v>62.077955151712501</v>
      </c>
      <c r="Z104" s="59">
        <v>62.077955151712501</v>
      </c>
      <c r="AA104" s="59">
        <v>8.675151712502327E-3</v>
      </c>
      <c r="AB104">
        <v>1900</v>
      </c>
      <c r="AC104" s="157">
        <v>2030</v>
      </c>
      <c r="AD104">
        <v>0</v>
      </c>
      <c r="AE104">
        <v>0</v>
      </c>
      <c r="AF104" s="24">
        <v>207</v>
      </c>
      <c r="AG104" s="24">
        <v>247.916666666667</v>
      </c>
      <c r="AH104" s="153">
        <v>0.57999999999999996</v>
      </c>
      <c r="AI104" s="153">
        <v>0.37212999999999996</v>
      </c>
      <c r="AJ104" s="157">
        <v>302</v>
      </c>
      <c r="AM104" t="s">
        <v>287</v>
      </c>
    </row>
    <row r="105" spans="1:39" hidden="1">
      <c r="A105">
        <f>A104+1</f>
        <v>208</v>
      </c>
      <c r="B105">
        <f>B104+1</f>
        <v>208</v>
      </c>
      <c r="C105" t="s">
        <v>390</v>
      </c>
      <c r="D105" t="s">
        <v>390</v>
      </c>
      <c r="E105" t="s">
        <v>146</v>
      </c>
      <c r="F105" s="520">
        <v>1</v>
      </c>
      <c r="G105" s="135">
        <v>10</v>
      </c>
      <c r="H105" s="115">
        <v>0</v>
      </c>
      <c r="I105" s="115">
        <v>0.26329999999999998</v>
      </c>
      <c r="J105" s="550">
        <v>0</v>
      </c>
      <c r="K105" s="334">
        <v>0</v>
      </c>
      <c r="L105" s="334">
        <v>1</v>
      </c>
      <c r="M105" s="157">
        <v>1</v>
      </c>
      <c r="N105" s="157">
        <v>1</v>
      </c>
      <c r="O105" s="157">
        <v>1</v>
      </c>
      <c r="P105" s="157">
        <v>1</v>
      </c>
      <c r="Q105" s="157">
        <v>1</v>
      </c>
      <c r="R105" s="157">
        <v>1</v>
      </c>
      <c r="S105" s="157">
        <v>1</v>
      </c>
      <c r="T105" s="157">
        <v>1</v>
      </c>
      <c r="U105" s="157">
        <v>1</v>
      </c>
      <c r="AB105">
        <v>1900</v>
      </c>
      <c r="AC105" s="157">
        <v>2026</v>
      </c>
      <c r="AD105">
        <v>0</v>
      </c>
      <c r="AE105">
        <v>0</v>
      </c>
      <c r="AF105">
        <v>264</v>
      </c>
      <c r="AG105" s="24">
        <v>212</v>
      </c>
      <c r="AH105" s="153">
        <v>0.36</v>
      </c>
      <c r="AI105">
        <v>0.73</v>
      </c>
      <c r="AJ105" s="157">
        <v>351</v>
      </c>
      <c r="AM105" t="s">
        <v>280</v>
      </c>
    </row>
    <row r="106" spans="1:39">
      <c r="A106">
        <v>83</v>
      </c>
      <c r="B106">
        <v>83</v>
      </c>
      <c r="C106" t="s">
        <v>391</v>
      </c>
      <c r="D106" t="s">
        <v>391</v>
      </c>
      <c r="E106" t="s">
        <v>152</v>
      </c>
      <c r="F106">
        <v>3</v>
      </c>
      <c r="G106" s="503">
        <v>367.9</v>
      </c>
      <c r="H106" s="334">
        <v>5.0499999999999996E-2</v>
      </c>
      <c r="I106" s="334">
        <v>4.6799999999999994E-2</v>
      </c>
      <c r="J106" s="334">
        <v>0.5</v>
      </c>
      <c r="K106" s="334">
        <v>1</v>
      </c>
      <c r="L106" s="115">
        <v>1</v>
      </c>
      <c r="M106" s="157">
        <v>1</v>
      </c>
      <c r="N106" s="157">
        <v>1</v>
      </c>
      <c r="O106" s="157">
        <v>1</v>
      </c>
      <c r="P106" s="157">
        <v>1</v>
      </c>
      <c r="Q106" s="157">
        <v>1</v>
      </c>
      <c r="R106" s="157">
        <v>1</v>
      </c>
      <c r="S106" s="157">
        <v>1</v>
      </c>
      <c r="T106" s="157">
        <v>1</v>
      </c>
      <c r="U106" s="157">
        <v>1</v>
      </c>
      <c r="V106" s="59">
        <v>0</v>
      </c>
      <c r="W106" s="59">
        <v>212.6406863778395</v>
      </c>
      <c r="X106" s="59">
        <v>212.6406863778395</v>
      </c>
      <c r="Y106" s="59">
        <v>212.6406863778395</v>
      </c>
      <c r="Z106" s="59">
        <v>212.6406863778395</v>
      </c>
      <c r="AA106" s="59">
        <v>212.6406863778395</v>
      </c>
      <c r="AB106">
        <v>1900</v>
      </c>
      <c r="AC106" s="157">
        <v>2021</v>
      </c>
      <c r="AD106">
        <v>0</v>
      </c>
      <c r="AE106">
        <v>0</v>
      </c>
      <c r="AF106" s="24">
        <v>83</v>
      </c>
      <c r="AG106" s="24">
        <v>267.91666666666703</v>
      </c>
      <c r="AH106" s="153">
        <v>0.57999999999999996</v>
      </c>
      <c r="AI106" s="153">
        <v>0.37212999999999996</v>
      </c>
      <c r="AJ106" s="157">
        <v>302</v>
      </c>
      <c r="AM106" t="s">
        <v>287</v>
      </c>
    </row>
    <row r="107" spans="1:39" hidden="1">
      <c r="A107">
        <f>A106+1</f>
        <v>84</v>
      </c>
      <c r="B107">
        <f>B106+1</f>
        <v>84</v>
      </c>
      <c r="C107" s="542" t="s">
        <v>392</v>
      </c>
      <c r="D107" s="542" t="s">
        <v>392</v>
      </c>
      <c r="E107" t="s">
        <v>146</v>
      </c>
      <c r="F107">
        <v>1</v>
      </c>
      <c r="G107" s="135">
        <v>174.6</v>
      </c>
      <c r="H107" s="543">
        <v>3.0200000000000001E-2</v>
      </c>
      <c r="I107" s="543">
        <v>4.9500000000000002E-2</v>
      </c>
      <c r="J107" s="135">
        <v>0</v>
      </c>
      <c r="K107" s="334">
        <v>1</v>
      </c>
      <c r="L107" s="334">
        <v>1</v>
      </c>
      <c r="M107" s="157">
        <v>1</v>
      </c>
      <c r="N107" s="157">
        <v>1</v>
      </c>
      <c r="O107" s="157">
        <v>1</v>
      </c>
      <c r="P107" s="157">
        <v>1</v>
      </c>
      <c r="Q107" s="157">
        <v>1</v>
      </c>
      <c r="R107" s="157">
        <v>1</v>
      </c>
      <c r="S107" s="157">
        <v>1</v>
      </c>
      <c r="T107" s="157">
        <v>1</v>
      </c>
      <c r="U107" s="157">
        <v>1</v>
      </c>
      <c r="W107" s="544"/>
      <c r="X107" s="544"/>
      <c r="Y107" s="544"/>
      <c r="Z107" s="544"/>
      <c r="AA107" s="544"/>
      <c r="AB107">
        <v>1900</v>
      </c>
      <c r="AC107" s="545">
        <v>2024</v>
      </c>
      <c r="AD107">
        <v>0</v>
      </c>
      <c r="AE107">
        <v>0</v>
      </c>
      <c r="AF107">
        <v>265</v>
      </c>
      <c r="AG107" s="24">
        <v>0</v>
      </c>
      <c r="AH107">
        <v>0.36</v>
      </c>
      <c r="AI107">
        <v>0.73</v>
      </c>
      <c r="AJ107" s="157">
        <v>341</v>
      </c>
      <c r="AM107" t="s">
        <v>290</v>
      </c>
    </row>
    <row r="108" spans="1:39">
      <c r="A108">
        <v>209</v>
      </c>
      <c r="B108">
        <v>209</v>
      </c>
      <c r="C108" t="s">
        <v>393</v>
      </c>
      <c r="D108" t="s">
        <v>393</v>
      </c>
      <c r="E108" t="s">
        <v>154</v>
      </c>
      <c r="F108">
        <v>7</v>
      </c>
      <c r="G108" s="503">
        <v>93</v>
      </c>
      <c r="H108" s="334">
        <v>0.04</v>
      </c>
      <c r="I108" s="334">
        <v>0</v>
      </c>
      <c r="J108" s="334">
        <v>0.70599999999999996</v>
      </c>
      <c r="K108" s="334">
        <v>0.70599999999999996</v>
      </c>
      <c r="L108" s="115">
        <v>1</v>
      </c>
      <c r="M108" s="157">
        <v>1</v>
      </c>
      <c r="N108" s="157">
        <v>1</v>
      </c>
      <c r="O108" s="157">
        <v>1</v>
      </c>
      <c r="P108" s="157">
        <v>1</v>
      </c>
      <c r="Q108" s="157">
        <v>1</v>
      </c>
      <c r="R108" s="157">
        <v>1</v>
      </c>
      <c r="S108" s="157">
        <v>1</v>
      </c>
      <c r="T108" s="157">
        <v>1</v>
      </c>
      <c r="U108" s="157">
        <v>1</v>
      </c>
      <c r="V108" s="59">
        <v>42.720351436799994</v>
      </c>
      <c r="W108" s="59">
        <v>42.720351436799994</v>
      </c>
      <c r="X108" s="59">
        <v>42.720351436799994</v>
      </c>
      <c r="Y108" s="59">
        <v>42.720351436799994</v>
      </c>
      <c r="Z108" s="59">
        <v>42.720351436799994</v>
      </c>
      <c r="AA108" s="59">
        <v>0</v>
      </c>
      <c r="AB108">
        <v>1900</v>
      </c>
      <c r="AC108" s="157">
        <v>2030</v>
      </c>
      <c r="AD108">
        <v>0</v>
      </c>
      <c r="AE108">
        <v>0</v>
      </c>
      <c r="AF108" s="24">
        <v>209</v>
      </c>
      <c r="AG108" s="24">
        <v>246.25</v>
      </c>
      <c r="AH108" s="153">
        <v>0.4</v>
      </c>
      <c r="AI108" s="153">
        <v>0.50237550000000009</v>
      </c>
      <c r="AJ108" s="157">
        <v>302</v>
      </c>
      <c r="AM108" t="s">
        <v>287</v>
      </c>
    </row>
    <row r="109" spans="1:39" hidden="1">
      <c r="A109">
        <f>A108+1</f>
        <v>210</v>
      </c>
      <c r="B109">
        <f>B108+1</f>
        <v>210</v>
      </c>
      <c r="C109" s="542" t="s">
        <v>394</v>
      </c>
      <c r="D109" s="542" t="s">
        <v>394</v>
      </c>
      <c r="E109" t="s">
        <v>146</v>
      </c>
      <c r="F109">
        <v>1</v>
      </c>
      <c r="G109" s="135">
        <v>53.6</v>
      </c>
      <c r="H109" s="543">
        <v>2.6800000000000001E-2</v>
      </c>
      <c r="I109" s="543">
        <v>4.0000000000000002E-4</v>
      </c>
      <c r="J109" s="135">
        <v>0</v>
      </c>
      <c r="K109" s="334">
        <v>1</v>
      </c>
      <c r="L109" s="334">
        <v>1</v>
      </c>
      <c r="M109" s="157">
        <v>1</v>
      </c>
      <c r="N109" s="157">
        <v>1</v>
      </c>
      <c r="O109" s="157">
        <v>1</v>
      </c>
      <c r="P109" s="157">
        <v>1</v>
      </c>
      <c r="Q109" s="157">
        <v>1</v>
      </c>
      <c r="R109" s="157">
        <v>1</v>
      </c>
      <c r="S109" s="157">
        <v>1</v>
      </c>
      <c r="T109" s="157">
        <v>1</v>
      </c>
      <c r="U109" s="157">
        <v>1</v>
      </c>
      <c r="W109" s="544"/>
      <c r="X109" s="544"/>
      <c r="Y109" s="544"/>
      <c r="Z109" s="544"/>
      <c r="AA109" s="544"/>
      <c r="AB109">
        <v>1900</v>
      </c>
      <c r="AC109" s="545">
        <v>2023</v>
      </c>
      <c r="AD109">
        <v>0</v>
      </c>
      <c r="AE109">
        <v>0</v>
      </c>
      <c r="AF109">
        <v>266</v>
      </c>
      <c r="AG109" s="24">
        <v>0</v>
      </c>
      <c r="AH109">
        <v>0.36</v>
      </c>
      <c r="AI109">
        <v>0.73</v>
      </c>
      <c r="AJ109" s="157">
        <v>351</v>
      </c>
      <c r="AM109" t="s">
        <v>280</v>
      </c>
    </row>
    <row r="110" spans="1:39">
      <c r="H110" s="543"/>
      <c r="AJ110"/>
    </row>
  </sheetData>
  <autoFilter ref="A1:AP109" xr:uid="{00000000-0009-0000-0000-000006000000}">
    <filterColumn colId="27">
      <filters>
        <filter val="1900"/>
      </filters>
    </filterColumn>
    <filterColumn colId="38">
      <filters>
        <filter val="GAS"/>
      </filters>
    </filterColumn>
  </autoFilter>
  <sortState xmlns:xlrd2="http://schemas.microsoft.com/office/spreadsheetml/2017/richdata2" ref="A67:AN108">
    <sortCondition ref="A67"/>
  </sortState>
  <conditionalFormatting sqref="V2:V67">
    <cfRule type="cellIs" dxfId="62" priority="2" operator="greaterThan">
      <formula>Z2</formula>
    </cfRule>
  </conditionalFormatting>
  <conditionalFormatting sqref="V108">
    <cfRule type="cellIs" dxfId="61" priority="1" operator="greaterThan">
      <formula>Z108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Plan11" filterMode="1"/>
  <dimension ref="A1:AB1608"/>
  <sheetViews>
    <sheetView zoomScale="90" zoomScaleNormal="90" workbookViewId="0">
      <pane xSplit="6" ySplit="1" topLeftCell="M2" activePane="bottomRight" state="frozen"/>
      <selection pane="bottomRight" activeCell="P267" sqref="P267"/>
      <selection pane="bottomLeft" activeCell="A2" sqref="A2"/>
      <selection pane="topRight" activeCell="G1" sqref="G1"/>
    </sheetView>
  </sheetViews>
  <sheetFormatPr defaultColWidth="8.85546875" defaultRowHeight="12.75"/>
  <cols>
    <col min="2" max="2" width="8.28515625" customWidth="1"/>
    <col min="3" max="3" width="47.5703125" bestFit="1" customWidth="1"/>
    <col min="4" max="4" width="6.5703125" customWidth="1"/>
    <col min="5" max="5" width="6" style="135" customWidth="1"/>
    <col min="6" max="6" width="12" bestFit="1" customWidth="1"/>
    <col min="9" max="9" width="15.140625" bestFit="1" customWidth="1"/>
    <col min="10" max="13" width="12.140625" bestFit="1" customWidth="1"/>
    <col min="14" max="14" width="11.85546875" bestFit="1" customWidth="1"/>
    <col min="15" max="18" width="13.140625" bestFit="1" customWidth="1"/>
    <col min="21" max="21" width="12.5703125" bestFit="1" customWidth="1"/>
    <col min="22" max="22" width="12.5703125" customWidth="1"/>
    <col min="23" max="23" width="12.140625" bestFit="1" customWidth="1"/>
    <col min="24" max="24" width="11.5703125" bestFit="1" customWidth="1"/>
    <col min="25" max="25" width="16.28515625" bestFit="1" customWidth="1"/>
    <col min="27" max="27" width="10.140625" bestFit="1" customWidth="1"/>
    <col min="28" max="28" width="16.7109375" customWidth="1"/>
  </cols>
  <sheetData>
    <row r="1" spans="1:28" ht="13.5" thickBot="1">
      <c r="A1" s="10" t="s">
        <v>395</v>
      </c>
      <c r="B1" s="11" t="s">
        <v>265</v>
      </c>
      <c r="C1" s="11" t="s">
        <v>266</v>
      </c>
      <c r="D1" s="11" t="s">
        <v>135</v>
      </c>
      <c r="E1" s="11" t="s">
        <v>136</v>
      </c>
      <c r="F1" s="11" t="s">
        <v>160</v>
      </c>
      <c r="G1" s="11" t="s">
        <v>4</v>
      </c>
      <c r="H1" s="11" t="s">
        <v>5</v>
      </c>
      <c r="I1" s="11" t="s">
        <v>165</v>
      </c>
      <c r="J1" s="60" t="s">
        <v>166</v>
      </c>
      <c r="K1" s="60" t="s">
        <v>167</v>
      </c>
      <c r="L1" s="60" t="s">
        <v>168</v>
      </c>
      <c r="M1" s="60" t="s">
        <v>169</v>
      </c>
      <c r="N1" s="2" t="s">
        <v>170</v>
      </c>
      <c r="O1" s="60" t="s">
        <v>171</v>
      </c>
      <c r="P1" s="60" t="s">
        <v>172</v>
      </c>
      <c r="Q1" s="60" t="s">
        <v>173</v>
      </c>
      <c r="R1" s="60" t="s">
        <v>174</v>
      </c>
      <c r="S1" s="11" t="s">
        <v>175</v>
      </c>
      <c r="T1" s="11" t="s">
        <v>176</v>
      </c>
      <c r="U1" s="378" t="s">
        <v>273</v>
      </c>
      <c r="V1" s="378" t="s">
        <v>274</v>
      </c>
      <c r="W1" s="62" t="s">
        <v>198</v>
      </c>
      <c r="X1" s="62" t="s">
        <v>199</v>
      </c>
      <c r="Y1" s="62" t="s">
        <v>180</v>
      </c>
      <c r="Z1" s="11" t="s">
        <v>133</v>
      </c>
      <c r="AA1" s="11" t="s">
        <v>144</v>
      </c>
      <c r="AB1" s="11" t="s">
        <v>38</v>
      </c>
    </row>
    <row r="2" spans="1:28" ht="15.75" hidden="1" thickTop="1">
      <c r="A2" s="24">
        <v>1001</v>
      </c>
      <c r="B2" s="24">
        <v>1001</v>
      </c>
      <c r="C2" t="s">
        <v>396</v>
      </c>
      <c r="D2" t="s">
        <v>152</v>
      </c>
      <c r="E2" s="503">
        <v>3</v>
      </c>
      <c r="F2" s="154">
        <v>150</v>
      </c>
      <c r="G2" s="154">
        <v>0.16664474895452516</v>
      </c>
      <c r="H2" s="154">
        <v>1</v>
      </c>
      <c r="I2" s="423">
        <f t="shared" ref="I2:I65" si="0">AVERAGE(J2:M2)</f>
        <v>1</v>
      </c>
      <c r="J2" s="153">
        <v>1</v>
      </c>
      <c r="K2" s="153">
        <v>1</v>
      </c>
      <c r="L2" s="153">
        <v>1</v>
      </c>
      <c r="M2" s="153">
        <v>1</v>
      </c>
      <c r="N2" s="423">
        <f t="shared" ref="N2:N65" si="1">AVERAGE(O2:R2)</f>
        <v>1</v>
      </c>
      <c r="O2" s="153">
        <v>1</v>
      </c>
      <c r="P2" s="153">
        <v>1</v>
      </c>
      <c r="Q2" s="153">
        <v>1</v>
      </c>
      <c r="R2" s="153">
        <v>1</v>
      </c>
      <c r="S2" s="153">
        <v>1.4999999999999999E-2</v>
      </c>
      <c r="T2" s="153">
        <v>3.5000000000000003E-2</v>
      </c>
      <c r="U2" s="135">
        <v>2018</v>
      </c>
      <c r="V2">
        <v>2045</v>
      </c>
      <c r="W2">
        <v>0</v>
      </c>
      <c r="X2">
        <v>0</v>
      </c>
      <c r="Y2">
        <v>303</v>
      </c>
      <c r="Z2">
        <v>313</v>
      </c>
      <c r="AA2" s="475" t="s">
        <v>23</v>
      </c>
    </row>
    <row r="3" spans="1:28" ht="15.75" hidden="1" thickTop="1">
      <c r="A3" s="24">
        <v>1002</v>
      </c>
      <c r="B3" s="24">
        <v>1002</v>
      </c>
      <c r="C3" t="s">
        <v>397</v>
      </c>
      <c r="D3" t="s">
        <v>149</v>
      </c>
      <c r="E3" s="135">
        <v>2</v>
      </c>
      <c r="F3" s="154">
        <v>4</v>
      </c>
      <c r="G3" s="154">
        <v>0</v>
      </c>
      <c r="H3" s="154">
        <v>0.9</v>
      </c>
      <c r="I3" s="423">
        <f t="shared" si="0"/>
        <v>1</v>
      </c>
      <c r="J3" s="153">
        <v>1</v>
      </c>
      <c r="K3" s="153">
        <v>1</v>
      </c>
      <c r="L3" s="153">
        <v>1</v>
      </c>
      <c r="M3" s="153">
        <v>1</v>
      </c>
      <c r="N3" s="423">
        <f t="shared" si="1"/>
        <v>1</v>
      </c>
      <c r="O3" s="153">
        <v>1</v>
      </c>
      <c r="P3" s="153">
        <v>1</v>
      </c>
      <c r="Q3" s="153">
        <v>1</v>
      </c>
      <c r="R3" s="153">
        <v>1</v>
      </c>
      <c r="S3" s="153">
        <v>3.5000000000000003E-2</v>
      </c>
      <c r="T3" s="153">
        <v>0.06</v>
      </c>
      <c r="U3" s="135">
        <v>1900</v>
      </c>
      <c r="V3">
        <v>2030</v>
      </c>
      <c r="W3">
        <v>0</v>
      </c>
      <c r="X3">
        <v>0</v>
      </c>
      <c r="Y3">
        <v>304</v>
      </c>
      <c r="Z3">
        <v>313</v>
      </c>
      <c r="AA3" s="475" t="s">
        <v>23</v>
      </c>
    </row>
    <row r="4" spans="1:28" ht="15.75" hidden="1" thickTop="1">
      <c r="A4" s="24">
        <v>1003</v>
      </c>
      <c r="B4" s="24">
        <v>1003</v>
      </c>
      <c r="C4" t="s">
        <v>398</v>
      </c>
      <c r="D4" t="s">
        <v>146</v>
      </c>
      <c r="E4" s="135">
        <v>1</v>
      </c>
      <c r="F4" s="154">
        <v>164</v>
      </c>
      <c r="G4" s="154">
        <v>0.24700767841011745</v>
      </c>
      <c r="H4" s="154">
        <v>1</v>
      </c>
      <c r="I4" s="423">
        <f t="shared" si="0"/>
        <v>1</v>
      </c>
      <c r="J4" s="153">
        <v>1</v>
      </c>
      <c r="K4" s="153">
        <v>1</v>
      </c>
      <c r="L4" s="153">
        <v>1</v>
      </c>
      <c r="M4" s="153">
        <v>1</v>
      </c>
      <c r="N4" s="423">
        <f t="shared" si="1"/>
        <v>1</v>
      </c>
      <c r="O4" s="153">
        <v>1</v>
      </c>
      <c r="P4" s="153">
        <v>1</v>
      </c>
      <c r="Q4" s="153">
        <v>1</v>
      </c>
      <c r="R4" s="153">
        <v>1</v>
      </c>
      <c r="S4" s="153">
        <v>0.1</v>
      </c>
      <c r="T4" s="153">
        <v>0.04</v>
      </c>
      <c r="U4" s="135">
        <v>2019</v>
      </c>
      <c r="V4">
        <v>2045</v>
      </c>
      <c r="W4">
        <v>0</v>
      </c>
      <c r="X4">
        <v>0</v>
      </c>
      <c r="Y4">
        <v>305</v>
      </c>
      <c r="Z4">
        <v>313</v>
      </c>
      <c r="AA4" s="475" t="s">
        <v>23</v>
      </c>
    </row>
    <row r="5" spans="1:28" ht="15.75" hidden="1" thickTop="1">
      <c r="A5" s="24">
        <v>1004</v>
      </c>
      <c r="B5" s="24">
        <v>1004</v>
      </c>
      <c r="C5" t="s">
        <v>399</v>
      </c>
      <c r="D5" t="s">
        <v>152</v>
      </c>
      <c r="E5" s="135">
        <v>3</v>
      </c>
      <c r="F5" s="154">
        <v>16.8</v>
      </c>
      <c r="G5" s="154">
        <v>0</v>
      </c>
      <c r="H5" s="154">
        <v>1</v>
      </c>
      <c r="I5" s="423">
        <f t="shared" si="0"/>
        <v>1</v>
      </c>
      <c r="J5" s="153">
        <v>1</v>
      </c>
      <c r="K5" s="153">
        <v>1</v>
      </c>
      <c r="L5" s="153">
        <v>1</v>
      </c>
      <c r="M5" s="153">
        <v>1</v>
      </c>
      <c r="N5" s="423">
        <f t="shared" si="1"/>
        <v>1</v>
      </c>
      <c r="O5" s="153">
        <v>1</v>
      </c>
      <c r="P5" s="153">
        <v>1</v>
      </c>
      <c r="Q5" s="153">
        <v>1</v>
      </c>
      <c r="R5" s="153">
        <v>1</v>
      </c>
      <c r="S5" s="153">
        <v>0.03</v>
      </c>
      <c r="T5" s="153">
        <v>0.05</v>
      </c>
      <c r="U5" s="135">
        <v>2018</v>
      </c>
      <c r="V5">
        <v>2045</v>
      </c>
      <c r="W5">
        <v>0</v>
      </c>
      <c r="X5">
        <v>0</v>
      </c>
      <c r="Y5">
        <v>306</v>
      </c>
      <c r="Z5">
        <v>313</v>
      </c>
      <c r="AA5" s="475" t="s">
        <v>23</v>
      </c>
    </row>
    <row r="6" spans="1:28" ht="15.75" hidden="1" thickTop="1">
      <c r="A6" s="24">
        <v>1005</v>
      </c>
      <c r="B6" s="24">
        <v>1005</v>
      </c>
      <c r="C6" s="469" t="s">
        <v>400</v>
      </c>
      <c r="D6" t="s">
        <v>146</v>
      </c>
      <c r="E6" s="470">
        <v>1</v>
      </c>
      <c r="F6" s="471">
        <v>34</v>
      </c>
      <c r="G6">
        <v>1</v>
      </c>
      <c r="H6">
        <v>1</v>
      </c>
      <c r="I6" s="472">
        <f t="shared" si="0"/>
        <v>0.32845968612834514</v>
      </c>
      <c r="J6" s="153">
        <v>3.8473756479098807E-2</v>
      </c>
      <c r="K6" s="153">
        <v>0.39358026214566905</v>
      </c>
      <c r="L6" s="153">
        <v>0.53857526864315253</v>
      </c>
      <c r="M6" s="153">
        <v>0.3432094572454602</v>
      </c>
      <c r="N6" s="472">
        <f t="shared" si="1"/>
        <v>0.32845968612834514</v>
      </c>
      <c r="O6" s="153">
        <v>3.8473756479098807E-2</v>
      </c>
      <c r="P6" s="153">
        <v>0.39358026214566905</v>
      </c>
      <c r="Q6" s="153">
        <v>0.53857526864315253</v>
      </c>
      <c r="R6" s="153">
        <v>0.3432094572454602</v>
      </c>
      <c r="S6" s="153">
        <v>0.03</v>
      </c>
      <c r="T6" s="153">
        <v>0</v>
      </c>
      <c r="U6" s="474">
        <v>1900</v>
      </c>
      <c r="V6">
        <v>2030</v>
      </c>
      <c r="W6">
        <v>0</v>
      </c>
      <c r="X6">
        <v>0</v>
      </c>
      <c r="Y6">
        <v>1304</v>
      </c>
      <c r="Z6">
        <v>311</v>
      </c>
      <c r="AA6" s="475" t="s">
        <v>23</v>
      </c>
    </row>
    <row r="7" spans="1:28" ht="15.75" hidden="1" thickTop="1">
      <c r="A7" s="24">
        <v>1006</v>
      </c>
      <c r="B7" s="24">
        <v>1006</v>
      </c>
      <c r="C7" s="469" t="s">
        <v>401</v>
      </c>
      <c r="D7" t="s">
        <v>146</v>
      </c>
      <c r="E7" s="470">
        <v>1</v>
      </c>
      <c r="F7" s="471">
        <v>0</v>
      </c>
      <c r="G7">
        <v>1</v>
      </c>
      <c r="H7">
        <v>1</v>
      </c>
      <c r="I7" s="472">
        <f t="shared" si="0"/>
        <v>0.32845968612834514</v>
      </c>
      <c r="J7" s="153">
        <v>3.8473756479098807E-2</v>
      </c>
      <c r="K7" s="153">
        <v>0.39358026214566905</v>
      </c>
      <c r="L7" s="153">
        <v>0.53857526864315253</v>
      </c>
      <c r="M7" s="153">
        <v>0.3432094572454602</v>
      </c>
      <c r="N7" s="472">
        <f t="shared" si="1"/>
        <v>0.32845968612834514</v>
      </c>
      <c r="O7" s="153">
        <v>3.8473756479098807E-2</v>
      </c>
      <c r="P7" s="153">
        <v>0.39358026214566905</v>
      </c>
      <c r="Q7" s="153">
        <v>0.53857526864315253</v>
      </c>
      <c r="R7" s="153">
        <v>0.3432094572454602</v>
      </c>
      <c r="S7" s="153">
        <v>0.03</v>
      </c>
      <c r="T7" s="153">
        <v>0</v>
      </c>
      <c r="U7" s="474">
        <v>1900</v>
      </c>
      <c r="V7">
        <v>2030</v>
      </c>
      <c r="W7">
        <v>0</v>
      </c>
      <c r="X7">
        <v>0</v>
      </c>
      <c r="Y7">
        <v>1304</v>
      </c>
      <c r="Z7">
        <v>311</v>
      </c>
      <c r="AA7" s="475" t="s">
        <v>23</v>
      </c>
    </row>
    <row r="8" spans="1:28" ht="15.75" hidden="1" thickTop="1">
      <c r="A8" s="24">
        <v>1007</v>
      </c>
      <c r="B8" s="24">
        <v>1007</v>
      </c>
      <c r="C8" s="469" t="s">
        <v>402</v>
      </c>
      <c r="D8" t="s">
        <v>152</v>
      </c>
      <c r="E8" s="470">
        <v>3</v>
      </c>
      <c r="F8" s="471">
        <v>14</v>
      </c>
      <c r="G8">
        <v>1</v>
      </c>
      <c r="H8">
        <v>1</v>
      </c>
      <c r="I8" s="472">
        <f t="shared" si="0"/>
        <v>0.32845968612834514</v>
      </c>
      <c r="J8" s="153">
        <v>3.8473756479098807E-2</v>
      </c>
      <c r="K8" s="153">
        <v>0.39358026214566905</v>
      </c>
      <c r="L8" s="153">
        <v>0.53857526864315253</v>
      </c>
      <c r="M8" s="153">
        <v>0.3432094572454602</v>
      </c>
      <c r="N8" s="472">
        <f t="shared" si="1"/>
        <v>0.32845968612834514</v>
      </c>
      <c r="O8" s="153">
        <v>3.8473756479098807E-2</v>
      </c>
      <c r="P8" s="153">
        <v>0.39358026214566905</v>
      </c>
      <c r="Q8" s="153">
        <v>0.53857526864315253</v>
      </c>
      <c r="R8" s="153">
        <v>0.3432094572454602</v>
      </c>
      <c r="S8" s="153">
        <v>0.03</v>
      </c>
      <c r="T8" s="153">
        <v>0</v>
      </c>
      <c r="U8" s="474">
        <v>2005</v>
      </c>
      <c r="V8">
        <v>2023</v>
      </c>
      <c r="W8">
        <v>0</v>
      </c>
      <c r="X8">
        <v>0</v>
      </c>
      <c r="Y8">
        <v>1304</v>
      </c>
      <c r="Z8">
        <v>311</v>
      </c>
      <c r="AA8" s="475" t="s">
        <v>23</v>
      </c>
    </row>
    <row r="9" spans="1:28" ht="15.75" hidden="1" thickTop="1">
      <c r="A9" s="24">
        <v>1008</v>
      </c>
      <c r="B9" s="24">
        <v>1008</v>
      </c>
      <c r="C9" s="469" t="s">
        <v>403</v>
      </c>
      <c r="D9" t="s">
        <v>152</v>
      </c>
      <c r="E9" s="470">
        <v>3</v>
      </c>
      <c r="F9" s="471">
        <v>0</v>
      </c>
      <c r="G9">
        <v>1</v>
      </c>
      <c r="H9">
        <v>1</v>
      </c>
      <c r="I9" s="472">
        <f t="shared" si="0"/>
        <v>0.32845968612834514</v>
      </c>
      <c r="J9" s="153">
        <v>3.8473756479098807E-2</v>
      </c>
      <c r="K9" s="153">
        <v>0.39358026214566905</v>
      </c>
      <c r="L9" s="153">
        <v>0.53857526864315253</v>
      </c>
      <c r="M9" s="153">
        <v>0.3432094572454602</v>
      </c>
      <c r="N9" s="472">
        <f t="shared" si="1"/>
        <v>0.32845968612834514</v>
      </c>
      <c r="O9" s="153">
        <v>3.8473756479098807E-2</v>
      </c>
      <c r="P9" s="153">
        <v>0.39358026214566905</v>
      </c>
      <c r="Q9" s="153">
        <v>0.53857526864315253</v>
      </c>
      <c r="R9" s="153">
        <v>0.3432094572454602</v>
      </c>
      <c r="S9" s="153">
        <v>0.03</v>
      </c>
      <c r="T9" s="153">
        <v>0</v>
      </c>
      <c r="U9" s="474">
        <v>1900</v>
      </c>
      <c r="V9">
        <v>2030</v>
      </c>
      <c r="W9">
        <v>0</v>
      </c>
      <c r="X9">
        <v>0</v>
      </c>
      <c r="Y9">
        <v>1304</v>
      </c>
      <c r="Z9">
        <v>311</v>
      </c>
      <c r="AA9" s="475" t="s">
        <v>23</v>
      </c>
    </row>
    <row r="10" spans="1:28" ht="15.75" hidden="1" thickTop="1">
      <c r="A10" s="24">
        <v>1009</v>
      </c>
      <c r="B10" s="24">
        <v>1009</v>
      </c>
      <c r="C10" s="469" t="s">
        <v>404</v>
      </c>
      <c r="D10" t="s">
        <v>146</v>
      </c>
      <c r="E10" s="470">
        <v>1</v>
      </c>
      <c r="F10" s="471">
        <v>17</v>
      </c>
      <c r="G10">
        <v>1</v>
      </c>
      <c r="H10">
        <v>1</v>
      </c>
      <c r="I10" s="472">
        <f t="shared" si="0"/>
        <v>0.32845968612834514</v>
      </c>
      <c r="J10" s="153">
        <v>3.8473756479098807E-2</v>
      </c>
      <c r="K10" s="153">
        <v>0.39358026214566905</v>
      </c>
      <c r="L10" s="153">
        <v>0.53857526864315253</v>
      </c>
      <c r="M10" s="153">
        <v>0.3432094572454602</v>
      </c>
      <c r="N10" s="472">
        <f t="shared" si="1"/>
        <v>0.32845968612834514</v>
      </c>
      <c r="O10" s="153">
        <v>3.8473756479098807E-2</v>
      </c>
      <c r="P10" s="153">
        <v>0.39358026214566905</v>
      </c>
      <c r="Q10" s="153">
        <v>0.53857526864315253</v>
      </c>
      <c r="R10" s="153">
        <v>0.3432094572454602</v>
      </c>
      <c r="S10" s="153">
        <v>0.03</v>
      </c>
      <c r="T10" s="153">
        <v>0</v>
      </c>
      <c r="U10" s="474">
        <v>2010</v>
      </c>
      <c r="V10">
        <v>2023</v>
      </c>
      <c r="W10">
        <v>0</v>
      </c>
      <c r="X10">
        <v>0</v>
      </c>
      <c r="Y10">
        <v>1304</v>
      </c>
      <c r="Z10">
        <v>311</v>
      </c>
      <c r="AA10" s="475" t="s">
        <v>23</v>
      </c>
    </row>
    <row r="11" spans="1:28" ht="15.75" hidden="1" thickTop="1">
      <c r="A11" s="24">
        <v>1010</v>
      </c>
      <c r="B11" s="24">
        <v>1010</v>
      </c>
      <c r="C11" s="469" t="s">
        <v>405</v>
      </c>
      <c r="D11" t="s">
        <v>146</v>
      </c>
      <c r="E11" s="470">
        <v>1</v>
      </c>
      <c r="F11" s="471">
        <v>0</v>
      </c>
      <c r="G11">
        <v>1</v>
      </c>
      <c r="H11">
        <v>1</v>
      </c>
      <c r="I11" s="472">
        <f t="shared" si="0"/>
        <v>0.32845968612834514</v>
      </c>
      <c r="J11" s="153">
        <v>3.8473756479098807E-2</v>
      </c>
      <c r="K11" s="153">
        <v>0.39358026214566905</v>
      </c>
      <c r="L11" s="153">
        <v>0.53857526864315253</v>
      </c>
      <c r="M11" s="153">
        <v>0.3432094572454602</v>
      </c>
      <c r="N11" s="472">
        <f t="shared" si="1"/>
        <v>0.32845968612834514</v>
      </c>
      <c r="O11" s="153">
        <v>3.8473756479098807E-2</v>
      </c>
      <c r="P11" s="153">
        <v>0.39358026214566905</v>
      </c>
      <c r="Q11" s="153">
        <v>0.53857526864315253</v>
      </c>
      <c r="R11" s="153">
        <v>0.3432094572454602</v>
      </c>
      <c r="S11" s="153">
        <v>0.03</v>
      </c>
      <c r="T11" s="153">
        <v>0</v>
      </c>
      <c r="U11" s="474">
        <v>1900</v>
      </c>
      <c r="V11">
        <v>2030</v>
      </c>
      <c r="W11">
        <v>0</v>
      </c>
      <c r="X11">
        <v>0</v>
      </c>
      <c r="Y11">
        <v>1304</v>
      </c>
      <c r="Z11">
        <v>311</v>
      </c>
      <c r="AA11" s="475" t="s">
        <v>23</v>
      </c>
    </row>
    <row r="12" spans="1:28" ht="15.75" hidden="1" thickTop="1">
      <c r="A12" s="24">
        <v>1011</v>
      </c>
      <c r="B12" s="24">
        <v>1011</v>
      </c>
      <c r="C12" s="469" t="s">
        <v>406</v>
      </c>
      <c r="D12" t="s">
        <v>146</v>
      </c>
      <c r="E12" s="470">
        <v>1</v>
      </c>
      <c r="F12" s="471">
        <v>0</v>
      </c>
      <c r="G12">
        <v>1</v>
      </c>
      <c r="H12">
        <v>1</v>
      </c>
      <c r="I12" s="472">
        <f t="shared" si="0"/>
        <v>0.32845968612834514</v>
      </c>
      <c r="J12" s="153">
        <v>3.8473756479098807E-2</v>
      </c>
      <c r="K12" s="153">
        <v>0.39358026214566905</v>
      </c>
      <c r="L12" s="153">
        <v>0.53857526864315253</v>
      </c>
      <c r="M12" s="153">
        <v>0.3432094572454602</v>
      </c>
      <c r="N12" s="472">
        <f t="shared" si="1"/>
        <v>0.32845968612834514</v>
      </c>
      <c r="O12" s="153">
        <v>3.8473756479098807E-2</v>
      </c>
      <c r="P12" s="153">
        <v>0.39358026214566905</v>
      </c>
      <c r="Q12" s="153">
        <v>0.53857526864315253</v>
      </c>
      <c r="R12" s="153">
        <v>0.3432094572454602</v>
      </c>
      <c r="S12" s="153">
        <v>0.03</v>
      </c>
      <c r="T12" s="153">
        <v>0</v>
      </c>
      <c r="U12" s="474">
        <v>2010</v>
      </c>
      <c r="V12">
        <v>2023</v>
      </c>
      <c r="W12">
        <v>0</v>
      </c>
      <c r="X12">
        <v>0</v>
      </c>
      <c r="Y12">
        <v>1304</v>
      </c>
      <c r="Z12">
        <v>311</v>
      </c>
      <c r="AA12" s="475" t="s">
        <v>23</v>
      </c>
    </row>
    <row r="13" spans="1:28" ht="15.75" hidden="1" thickTop="1">
      <c r="A13" s="24">
        <v>1012</v>
      </c>
      <c r="B13" s="24">
        <v>1012</v>
      </c>
      <c r="C13" s="469" t="s">
        <v>407</v>
      </c>
      <c r="D13" t="s">
        <v>146</v>
      </c>
      <c r="E13" s="470">
        <v>1</v>
      </c>
      <c r="F13" s="630">
        <f>79.828+7</f>
        <v>86.828000000000003</v>
      </c>
      <c r="G13">
        <v>1</v>
      </c>
      <c r="H13">
        <v>1</v>
      </c>
      <c r="I13" s="472">
        <f t="shared" si="0"/>
        <v>0.32845968612834514</v>
      </c>
      <c r="J13" s="153">
        <v>3.8473756479098807E-2</v>
      </c>
      <c r="K13" s="153">
        <v>0.39358026214566905</v>
      </c>
      <c r="L13" s="153">
        <v>0.53857526864315253</v>
      </c>
      <c r="M13" s="153">
        <v>0.3432094572454602</v>
      </c>
      <c r="N13" s="472">
        <f t="shared" si="1"/>
        <v>0.32845968612834514</v>
      </c>
      <c r="O13" s="153">
        <v>3.8473756479098807E-2</v>
      </c>
      <c r="P13" s="153">
        <v>0.39358026214566905</v>
      </c>
      <c r="Q13" s="153">
        <v>0.53857526864315253</v>
      </c>
      <c r="R13" s="153">
        <v>0.3432094572454602</v>
      </c>
      <c r="S13" s="153">
        <v>0.03</v>
      </c>
      <c r="T13" s="153">
        <v>0</v>
      </c>
      <c r="U13" s="474">
        <v>2010</v>
      </c>
      <c r="V13">
        <v>2023</v>
      </c>
      <c r="W13">
        <v>0</v>
      </c>
      <c r="X13">
        <v>0</v>
      </c>
      <c r="Y13">
        <v>1304</v>
      </c>
      <c r="Z13">
        <v>311</v>
      </c>
      <c r="AA13" s="475" t="s">
        <v>23</v>
      </c>
    </row>
    <row r="14" spans="1:28" ht="15.75" hidden="1" thickTop="1">
      <c r="A14" s="24">
        <v>1013</v>
      </c>
      <c r="B14" s="24">
        <v>1013</v>
      </c>
      <c r="C14" s="469" t="s">
        <v>408</v>
      </c>
      <c r="D14" t="s">
        <v>146</v>
      </c>
      <c r="E14" s="470">
        <v>1</v>
      </c>
      <c r="F14" s="471">
        <v>8.382000000000005</v>
      </c>
      <c r="G14">
        <v>1</v>
      </c>
      <c r="H14">
        <v>1</v>
      </c>
      <c r="I14" s="472">
        <f t="shared" si="0"/>
        <v>0.32845968612834514</v>
      </c>
      <c r="J14" s="153">
        <v>3.8473756479098807E-2</v>
      </c>
      <c r="K14" s="153">
        <v>0.39358026214566905</v>
      </c>
      <c r="L14" s="153">
        <v>0.53857526864315253</v>
      </c>
      <c r="M14" s="153">
        <v>0.3432094572454602</v>
      </c>
      <c r="N14" s="472">
        <f t="shared" si="1"/>
        <v>0.32845968612834514</v>
      </c>
      <c r="O14" s="153">
        <v>3.8473756479098807E-2</v>
      </c>
      <c r="P14" s="153">
        <v>0.39358026214566905</v>
      </c>
      <c r="Q14" s="153">
        <v>0.53857526864315253</v>
      </c>
      <c r="R14" s="153">
        <v>0.3432094572454602</v>
      </c>
      <c r="S14" s="153">
        <v>0.03</v>
      </c>
      <c r="T14" s="153">
        <v>0</v>
      </c>
      <c r="U14" s="474">
        <v>2011</v>
      </c>
      <c r="V14">
        <v>2030</v>
      </c>
      <c r="W14">
        <v>0</v>
      </c>
      <c r="X14">
        <v>0</v>
      </c>
      <c r="Y14">
        <v>1304</v>
      </c>
      <c r="Z14">
        <v>311</v>
      </c>
      <c r="AA14" s="475" t="s">
        <v>23</v>
      </c>
    </row>
    <row r="15" spans="1:28" ht="15.75" hidden="1" thickTop="1">
      <c r="A15" s="24">
        <v>1014</v>
      </c>
      <c r="B15" s="24">
        <v>1014</v>
      </c>
      <c r="C15" s="469" t="s">
        <v>409</v>
      </c>
      <c r="D15" t="s">
        <v>146</v>
      </c>
      <c r="E15" s="470">
        <v>1</v>
      </c>
      <c r="F15" s="471">
        <v>29.717999999999996</v>
      </c>
      <c r="G15">
        <v>1</v>
      </c>
      <c r="H15">
        <v>1</v>
      </c>
      <c r="I15" s="472">
        <f t="shared" si="0"/>
        <v>0.32845968612834514</v>
      </c>
      <c r="J15" s="153">
        <v>3.8473756479098807E-2</v>
      </c>
      <c r="K15" s="153">
        <v>0.39358026214566905</v>
      </c>
      <c r="L15" s="153">
        <v>0.53857526864315253</v>
      </c>
      <c r="M15" s="153">
        <v>0.3432094572454602</v>
      </c>
      <c r="N15" s="472">
        <f t="shared" si="1"/>
        <v>0.32845968612834514</v>
      </c>
      <c r="O15" s="153">
        <v>3.8473756479098807E-2</v>
      </c>
      <c r="P15" s="153">
        <v>0.39358026214566905</v>
      </c>
      <c r="Q15" s="153">
        <v>0.53857526864315253</v>
      </c>
      <c r="R15" s="153">
        <v>0.3432094572454602</v>
      </c>
      <c r="S15" s="153">
        <v>0.03</v>
      </c>
      <c r="T15" s="153">
        <v>0</v>
      </c>
      <c r="U15" s="474">
        <v>2011</v>
      </c>
      <c r="V15">
        <v>2030</v>
      </c>
      <c r="W15">
        <v>0</v>
      </c>
      <c r="X15">
        <v>0</v>
      </c>
      <c r="Y15">
        <v>1304</v>
      </c>
      <c r="Z15">
        <v>311</v>
      </c>
      <c r="AA15" s="475" t="s">
        <v>23</v>
      </c>
    </row>
    <row r="16" spans="1:28" ht="15.75" hidden="1" thickTop="1">
      <c r="A16" s="24">
        <v>1015</v>
      </c>
      <c r="B16" s="24">
        <v>1015</v>
      </c>
      <c r="C16" s="469" t="s">
        <v>410</v>
      </c>
      <c r="D16" t="s">
        <v>146</v>
      </c>
      <c r="E16" s="470">
        <v>1</v>
      </c>
      <c r="F16" s="471">
        <v>11.2</v>
      </c>
      <c r="G16">
        <v>1</v>
      </c>
      <c r="H16">
        <v>1</v>
      </c>
      <c r="I16" s="472">
        <f t="shared" si="0"/>
        <v>0.32845968612834514</v>
      </c>
      <c r="J16" s="153">
        <v>3.8473756479098807E-2</v>
      </c>
      <c r="K16" s="153">
        <v>0.39358026214566905</v>
      </c>
      <c r="L16" s="153">
        <v>0.53857526864315253</v>
      </c>
      <c r="M16" s="153">
        <v>0.3432094572454602</v>
      </c>
      <c r="N16" s="472">
        <f t="shared" si="1"/>
        <v>0.32845968612834514</v>
      </c>
      <c r="O16" s="153">
        <v>3.8473756479098807E-2</v>
      </c>
      <c r="P16" s="153">
        <v>0.39358026214566905</v>
      </c>
      <c r="Q16" s="153">
        <v>0.53857526864315253</v>
      </c>
      <c r="R16" s="153">
        <v>0.3432094572454602</v>
      </c>
      <c r="S16" s="153">
        <v>0.03</v>
      </c>
      <c r="T16" s="153">
        <v>0</v>
      </c>
      <c r="U16" s="474">
        <v>2001</v>
      </c>
      <c r="V16">
        <v>2023</v>
      </c>
      <c r="W16">
        <v>0</v>
      </c>
      <c r="X16">
        <v>0</v>
      </c>
      <c r="Y16">
        <v>1304</v>
      </c>
      <c r="Z16">
        <v>311</v>
      </c>
      <c r="AA16" s="475" t="s">
        <v>23</v>
      </c>
    </row>
    <row r="17" spans="1:27" ht="15.75" hidden="1" thickTop="1">
      <c r="A17" s="24">
        <v>1016</v>
      </c>
      <c r="B17" s="24">
        <v>1016</v>
      </c>
      <c r="C17" s="469" t="s">
        <v>411</v>
      </c>
      <c r="D17" t="s">
        <v>146</v>
      </c>
      <c r="E17" s="470">
        <v>1</v>
      </c>
      <c r="F17" s="471">
        <v>0</v>
      </c>
      <c r="G17">
        <v>1</v>
      </c>
      <c r="H17">
        <v>1</v>
      </c>
      <c r="I17" s="472">
        <f t="shared" si="0"/>
        <v>0.32845968612834514</v>
      </c>
      <c r="J17" s="153">
        <v>3.8473756479098807E-2</v>
      </c>
      <c r="K17" s="153">
        <v>0.39358026214566905</v>
      </c>
      <c r="L17" s="153">
        <v>0.53857526864315253</v>
      </c>
      <c r="M17" s="153">
        <v>0.3432094572454602</v>
      </c>
      <c r="N17" s="472">
        <f t="shared" si="1"/>
        <v>0.32845968612834514</v>
      </c>
      <c r="O17" s="153">
        <v>3.8473756479098807E-2</v>
      </c>
      <c r="P17" s="153">
        <v>0.39358026214566905</v>
      </c>
      <c r="Q17" s="153">
        <v>0.53857526864315253</v>
      </c>
      <c r="R17" s="153">
        <v>0.3432094572454602</v>
      </c>
      <c r="S17" s="153">
        <v>0.03</v>
      </c>
      <c r="T17" s="153">
        <v>0</v>
      </c>
      <c r="U17" s="474">
        <v>2022</v>
      </c>
      <c r="V17">
        <v>2045</v>
      </c>
      <c r="W17">
        <v>0</v>
      </c>
      <c r="X17">
        <v>0</v>
      </c>
      <c r="Y17">
        <v>1304</v>
      </c>
      <c r="Z17">
        <v>311</v>
      </c>
      <c r="AA17" s="475" t="s">
        <v>23</v>
      </c>
    </row>
    <row r="18" spans="1:27" ht="15.75" hidden="1" thickTop="1">
      <c r="A18" s="24">
        <v>1017</v>
      </c>
      <c r="B18" s="24">
        <v>1017</v>
      </c>
      <c r="C18" s="469" t="s">
        <v>412</v>
      </c>
      <c r="D18" t="s">
        <v>146</v>
      </c>
      <c r="E18" s="470">
        <v>1</v>
      </c>
      <c r="F18" s="471">
        <v>75</v>
      </c>
      <c r="G18">
        <v>1</v>
      </c>
      <c r="H18">
        <v>1</v>
      </c>
      <c r="I18" s="472">
        <f t="shared" si="0"/>
        <v>0.32845968612834514</v>
      </c>
      <c r="J18" s="153">
        <v>3.8473756479098807E-2</v>
      </c>
      <c r="K18" s="153">
        <v>0.39358026214566905</v>
      </c>
      <c r="L18" s="153">
        <v>0.53857526864315253</v>
      </c>
      <c r="M18" s="153">
        <v>0.3432094572454602</v>
      </c>
      <c r="N18" s="472">
        <f t="shared" si="1"/>
        <v>0.32845968612834514</v>
      </c>
      <c r="O18" s="153">
        <v>3.8473756479098807E-2</v>
      </c>
      <c r="P18" s="153">
        <v>0.39358026214566905</v>
      </c>
      <c r="Q18" s="153">
        <v>0.53857526864315253</v>
      </c>
      <c r="R18" s="153">
        <v>0.3432094572454602</v>
      </c>
      <c r="S18" s="153">
        <v>0.03</v>
      </c>
      <c r="T18" s="153">
        <v>0</v>
      </c>
      <c r="U18" s="474">
        <v>2005</v>
      </c>
      <c r="V18">
        <v>2023</v>
      </c>
      <c r="W18">
        <v>0</v>
      </c>
      <c r="X18">
        <v>0</v>
      </c>
      <c r="Y18">
        <v>1304</v>
      </c>
      <c r="Z18">
        <v>311</v>
      </c>
      <c r="AA18" s="475" t="s">
        <v>23</v>
      </c>
    </row>
    <row r="19" spans="1:27" ht="15.75" hidden="1" thickTop="1">
      <c r="A19" s="24">
        <v>1018</v>
      </c>
      <c r="B19" s="24">
        <v>1018</v>
      </c>
      <c r="C19" s="469" t="s">
        <v>413</v>
      </c>
      <c r="D19" t="s">
        <v>146</v>
      </c>
      <c r="E19" s="470">
        <v>1</v>
      </c>
      <c r="F19" s="471">
        <v>0</v>
      </c>
      <c r="G19">
        <v>1</v>
      </c>
      <c r="H19">
        <v>1</v>
      </c>
      <c r="I19" s="472">
        <f t="shared" si="0"/>
        <v>0.32845968612834514</v>
      </c>
      <c r="J19" s="153">
        <v>3.8473756479098807E-2</v>
      </c>
      <c r="K19" s="153">
        <v>0.39358026214566905</v>
      </c>
      <c r="L19" s="153">
        <v>0.53857526864315253</v>
      </c>
      <c r="M19" s="153">
        <v>0.3432094572454602</v>
      </c>
      <c r="N19" s="472">
        <f t="shared" si="1"/>
        <v>0.32845968612834514</v>
      </c>
      <c r="O19" s="153">
        <v>3.8473756479098807E-2</v>
      </c>
      <c r="P19" s="153">
        <v>0.39358026214566905</v>
      </c>
      <c r="Q19" s="153">
        <v>0.53857526864315253</v>
      </c>
      <c r="R19" s="153">
        <v>0.3432094572454602</v>
      </c>
      <c r="S19" s="153">
        <v>0.03</v>
      </c>
      <c r="T19" s="153">
        <v>0</v>
      </c>
      <c r="U19" s="474">
        <v>2005</v>
      </c>
      <c r="V19">
        <v>2023</v>
      </c>
      <c r="W19">
        <v>0</v>
      </c>
      <c r="X19">
        <v>0</v>
      </c>
      <c r="Y19">
        <v>1304</v>
      </c>
      <c r="Z19">
        <v>311</v>
      </c>
      <c r="AA19" s="475" t="s">
        <v>23</v>
      </c>
    </row>
    <row r="20" spans="1:27" ht="15.75" hidden="1" thickTop="1">
      <c r="A20" s="24">
        <v>1019</v>
      </c>
      <c r="B20" s="24">
        <v>1019</v>
      </c>
      <c r="C20" s="469" t="s">
        <v>414</v>
      </c>
      <c r="D20" t="s">
        <v>146</v>
      </c>
      <c r="E20" s="470">
        <v>1</v>
      </c>
      <c r="F20" s="471">
        <v>6</v>
      </c>
      <c r="G20">
        <v>1</v>
      </c>
      <c r="H20">
        <v>1</v>
      </c>
      <c r="I20" s="472">
        <f t="shared" si="0"/>
        <v>0.32845968612834514</v>
      </c>
      <c r="J20" s="153">
        <v>3.8473756479098807E-2</v>
      </c>
      <c r="K20" s="153">
        <v>0.39358026214566905</v>
      </c>
      <c r="L20" s="153">
        <v>0.53857526864315253</v>
      </c>
      <c r="M20" s="153">
        <v>0.3432094572454602</v>
      </c>
      <c r="N20" s="472">
        <f t="shared" si="1"/>
        <v>0.32845968612834514</v>
      </c>
      <c r="O20" s="153">
        <v>3.8473756479098807E-2</v>
      </c>
      <c r="P20" s="153">
        <v>0.39358026214566905</v>
      </c>
      <c r="Q20" s="153">
        <v>0.53857526864315253</v>
      </c>
      <c r="R20" s="153">
        <v>0.3432094572454602</v>
      </c>
      <c r="S20" s="153">
        <v>0.03</v>
      </c>
      <c r="T20" s="153">
        <v>0</v>
      </c>
      <c r="U20" s="474">
        <v>2011</v>
      </c>
      <c r="V20">
        <v>2030</v>
      </c>
      <c r="W20">
        <v>0</v>
      </c>
      <c r="X20">
        <v>0</v>
      </c>
      <c r="Y20">
        <v>1304</v>
      </c>
      <c r="Z20">
        <v>311</v>
      </c>
      <c r="AA20" s="475" t="s">
        <v>23</v>
      </c>
    </row>
    <row r="21" spans="1:27" ht="15.75" hidden="1" thickTop="1">
      <c r="A21" s="24">
        <v>1020</v>
      </c>
      <c r="B21" s="24">
        <v>1020</v>
      </c>
      <c r="C21" s="469" t="s">
        <v>415</v>
      </c>
      <c r="D21" t="s">
        <v>146</v>
      </c>
      <c r="E21" s="470">
        <v>1</v>
      </c>
      <c r="F21" s="471">
        <v>0</v>
      </c>
      <c r="G21">
        <v>1</v>
      </c>
      <c r="H21">
        <v>1</v>
      </c>
      <c r="I21" s="472">
        <f t="shared" si="0"/>
        <v>0.32845968612834514</v>
      </c>
      <c r="J21" s="153">
        <v>3.8473756479098807E-2</v>
      </c>
      <c r="K21" s="153">
        <v>0.39358026214566905</v>
      </c>
      <c r="L21" s="153">
        <v>0.53857526864315253</v>
      </c>
      <c r="M21" s="153">
        <v>0.3432094572454602</v>
      </c>
      <c r="N21" s="472">
        <f t="shared" si="1"/>
        <v>0.32845968612834514</v>
      </c>
      <c r="O21" s="153">
        <v>3.8473756479098807E-2</v>
      </c>
      <c r="P21" s="153">
        <v>0.39358026214566905</v>
      </c>
      <c r="Q21" s="153">
        <v>0.53857526864315253</v>
      </c>
      <c r="R21" s="153">
        <v>0.3432094572454602</v>
      </c>
      <c r="S21" s="153">
        <v>0.03</v>
      </c>
      <c r="T21" s="153">
        <v>0</v>
      </c>
      <c r="U21" s="474">
        <v>1900</v>
      </c>
      <c r="V21">
        <v>2030</v>
      </c>
      <c r="W21">
        <v>0</v>
      </c>
      <c r="X21">
        <v>0</v>
      </c>
      <c r="Y21">
        <v>1304</v>
      </c>
      <c r="Z21">
        <v>311</v>
      </c>
      <c r="AA21" s="475" t="s">
        <v>23</v>
      </c>
    </row>
    <row r="22" spans="1:27" ht="15.75" hidden="1" thickTop="1">
      <c r="A22" s="24">
        <v>1021</v>
      </c>
      <c r="B22" s="24">
        <v>1021</v>
      </c>
      <c r="C22" s="469" t="s">
        <v>416</v>
      </c>
      <c r="D22" t="s">
        <v>149</v>
      </c>
      <c r="E22" s="470">
        <v>2</v>
      </c>
      <c r="F22" s="471">
        <v>35</v>
      </c>
      <c r="G22">
        <v>1</v>
      </c>
      <c r="H22">
        <v>1</v>
      </c>
      <c r="I22" s="472">
        <f t="shared" si="0"/>
        <v>0.32845968612834514</v>
      </c>
      <c r="J22" s="153">
        <v>3.8473756479098807E-2</v>
      </c>
      <c r="K22" s="153">
        <v>0.39358026214566905</v>
      </c>
      <c r="L22" s="153">
        <v>0.53857526864315253</v>
      </c>
      <c r="M22" s="153">
        <v>0.3432094572454602</v>
      </c>
      <c r="N22" s="472">
        <f t="shared" si="1"/>
        <v>0.32845968612834514</v>
      </c>
      <c r="O22" s="153">
        <v>3.8473756479098807E-2</v>
      </c>
      <c r="P22" s="153">
        <v>0.39358026214566905</v>
      </c>
      <c r="Q22" s="153">
        <v>0.53857526864315253</v>
      </c>
      <c r="R22" s="153">
        <v>0.3432094572454602</v>
      </c>
      <c r="S22" s="153">
        <v>0.03</v>
      </c>
      <c r="T22" s="153">
        <v>0</v>
      </c>
      <c r="U22" s="474">
        <v>1900</v>
      </c>
      <c r="V22">
        <v>2030</v>
      </c>
      <c r="W22">
        <v>0</v>
      </c>
      <c r="X22">
        <v>0</v>
      </c>
      <c r="Y22">
        <v>1304</v>
      </c>
      <c r="Z22">
        <v>311</v>
      </c>
      <c r="AA22" s="475" t="s">
        <v>23</v>
      </c>
    </row>
    <row r="23" spans="1:27" ht="15.75" hidden="1" thickTop="1">
      <c r="A23" s="24">
        <v>1022</v>
      </c>
      <c r="B23" s="24">
        <v>1022</v>
      </c>
      <c r="C23" s="469" t="s">
        <v>417</v>
      </c>
      <c r="D23" t="s">
        <v>149</v>
      </c>
      <c r="E23" s="470">
        <v>2</v>
      </c>
      <c r="F23" s="471">
        <v>0</v>
      </c>
      <c r="G23">
        <v>1</v>
      </c>
      <c r="H23">
        <v>1</v>
      </c>
      <c r="I23" s="472">
        <f t="shared" si="0"/>
        <v>0.32845968612834514</v>
      </c>
      <c r="J23" s="153">
        <v>3.8473756479098807E-2</v>
      </c>
      <c r="K23" s="153">
        <v>0.39358026214566905</v>
      </c>
      <c r="L23" s="153">
        <v>0.53857526864315253</v>
      </c>
      <c r="M23" s="153">
        <v>0.3432094572454602</v>
      </c>
      <c r="N23" s="472">
        <f t="shared" si="1"/>
        <v>0.32845968612834514</v>
      </c>
      <c r="O23" s="153">
        <v>3.8473756479098807E-2</v>
      </c>
      <c r="P23" s="153">
        <v>0.39358026214566905</v>
      </c>
      <c r="Q23" s="153">
        <v>0.53857526864315253</v>
      </c>
      <c r="R23" s="153">
        <v>0.3432094572454602</v>
      </c>
      <c r="S23" s="153">
        <v>0.03</v>
      </c>
      <c r="T23" s="153">
        <v>0</v>
      </c>
      <c r="U23" s="474">
        <v>1900</v>
      </c>
      <c r="V23">
        <v>2030</v>
      </c>
      <c r="W23">
        <v>0</v>
      </c>
      <c r="X23">
        <v>0</v>
      </c>
      <c r="Y23">
        <v>1304</v>
      </c>
      <c r="Z23">
        <v>311</v>
      </c>
      <c r="AA23" s="475" t="s">
        <v>23</v>
      </c>
    </row>
    <row r="24" spans="1:27" ht="15.75" hidden="1" thickTop="1">
      <c r="A24" s="24">
        <v>1023</v>
      </c>
      <c r="B24" s="24">
        <v>1023</v>
      </c>
      <c r="C24" s="469" t="s">
        <v>418</v>
      </c>
      <c r="D24" t="s">
        <v>146</v>
      </c>
      <c r="E24" s="470">
        <v>1</v>
      </c>
      <c r="F24" s="471">
        <v>25.2</v>
      </c>
      <c r="G24">
        <v>1</v>
      </c>
      <c r="H24">
        <v>1</v>
      </c>
      <c r="I24" s="472">
        <f t="shared" si="0"/>
        <v>0.32845968612834514</v>
      </c>
      <c r="J24" s="153">
        <v>3.8473756479098807E-2</v>
      </c>
      <c r="K24" s="153">
        <v>0.39358026214566905</v>
      </c>
      <c r="L24" s="153">
        <v>0.53857526864315253</v>
      </c>
      <c r="M24" s="153">
        <v>0.3432094572454602</v>
      </c>
      <c r="N24" s="472">
        <f t="shared" si="1"/>
        <v>0.32845968612834514</v>
      </c>
      <c r="O24" s="153">
        <v>3.8473756479098807E-2</v>
      </c>
      <c r="P24" s="153">
        <v>0.39358026214566905</v>
      </c>
      <c r="Q24" s="153">
        <v>0.53857526864315253</v>
      </c>
      <c r="R24" s="153">
        <v>0.3432094572454602</v>
      </c>
      <c r="S24" s="153">
        <v>0.03</v>
      </c>
      <c r="T24" s="153">
        <v>0</v>
      </c>
      <c r="U24" s="474">
        <v>1900</v>
      </c>
      <c r="V24">
        <v>2030</v>
      </c>
      <c r="W24">
        <v>0</v>
      </c>
      <c r="X24">
        <v>0</v>
      </c>
      <c r="Y24">
        <v>1304</v>
      </c>
      <c r="Z24">
        <v>311</v>
      </c>
      <c r="AA24" s="475" t="s">
        <v>23</v>
      </c>
    </row>
    <row r="25" spans="1:27" ht="15.75" hidden="1" thickTop="1">
      <c r="A25" s="24">
        <v>1024</v>
      </c>
      <c r="B25" s="24">
        <v>1024</v>
      </c>
      <c r="C25" s="469" t="s">
        <v>419</v>
      </c>
      <c r="D25" t="s">
        <v>146</v>
      </c>
      <c r="E25" s="470">
        <v>1</v>
      </c>
      <c r="F25" s="471">
        <v>0</v>
      </c>
      <c r="G25">
        <v>1</v>
      </c>
      <c r="H25">
        <v>1</v>
      </c>
      <c r="I25" s="472">
        <f t="shared" si="0"/>
        <v>0.32845968612834514</v>
      </c>
      <c r="J25" s="153">
        <v>3.8473756479098807E-2</v>
      </c>
      <c r="K25" s="153">
        <v>0.39358026214566905</v>
      </c>
      <c r="L25" s="153">
        <v>0.53857526864315253</v>
      </c>
      <c r="M25" s="153">
        <v>0.3432094572454602</v>
      </c>
      <c r="N25" s="472">
        <f t="shared" si="1"/>
        <v>0.32845968612834514</v>
      </c>
      <c r="O25" s="153">
        <v>3.8473756479098807E-2</v>
      </c>
      <c r="P25" s="153">
        <v>0.39358026214566905</v>
      </c>
      <c r="Q25" s="153">
        <v>0.53857526864315253</v>
      </c>
      <c r="R25" s="153">
        <v>0.3432094572454602</v>
      </c>
      <c r="S25" s="153">
        <v>0.03</v>
      </c>
      <c r="T25" s="153">
        <v>0</v>
      </c>
      <c r="U25" s="474">
        <v>1900</v>
      </c>
      <c r="V25">
        <v>2030</v>
      </c>
      <c r="W25">
        <v>0</v>
      </c>
      <c r="X25">
        <v>0</v>
      </c>
      <c r="Y25">
        <v>1304</v>
      </c>
      <c r="Z25">
        <v>311</v>
      </c>
      <c r="AA25" s="475" t="s">
        <v>23</v>
      </c>
    </row>
    <row r="26" spans="1:27" ht="15.75" hidden="1" thickTop="1">
      <c r="A26" s="24">
        <v>1025</v>
      </c>
      <c r="B26" s="24">
        <v>1025</v>
      </c>
      <c r="C26" s="469" t="s">
        <v>420</v>
      </c>
      <c r="D26" t="s">
        <v>149</v>
      </c>
      <c r="E26" s="470">
        <v>2</v>
      </c>
      <c r="F26" s="471">
        <v>30</v>
      </c>
      <c r="G26">
        <v>1</v>
      </c>
      <c r="H26">
        <v>1</v>
      </c>
      <c r="I26" s="472">
        <f t="shared" si="0"/>
        <v>0.32845968612834514</v>
      </c>
      <c r="J26" s="153">
        <v>3.8473756479098807E-2</v>
      </c>
      <c r="K26" s="153">
        <v>0.39358026214566905</v>
      </c>
      <c r="L26" s="153">
        <v>0.53857526864315253</v>
      </c>
      <c r="M26" s="153">
        <v>0.3432094572454602</v>
      </c>
      <c r="N26" s="472">
        <f t="shared" si="1"/>
        <v>0.32845968612834514</v>
      </c>
      <c r="O26" s="153">
        <v>3.8473756479098807E-2</v>
      </c>
      <c r="P26" s="153">
        <v>0.39358026214566905</v>
      </c>
      <c r="Q26" s="153">
        <v>0.53857526864315253</v>
      </c>
      <c r="R26" s="153">
        <v>0.3432094572454602</v>
      </c>
      <c r="S26" s="153">
        <v>0.03</v>
      </c>
      <c r="T26" s="153">
        <v>0</v>
      </c>
      <c r="U26" s="474">
        <v>1900</v>
      </c>
      <c r="V26">
        <v>2030</v>
      </c>
      <c r="W26">
        <v>0</v>
      </c>
      <c r="X26">
        <v>0</v>
      </c>
      <c r="Y26">
        <v>1304</v>
      </c>
      <c r="Z26">
        <v>311</v>
      </c>
      <c r="AA26" s="475" t="s">
        <v>23</v>
      </c>
    </row>
    <row r="27" spans="1:27" ht="15.75" hidden="1" thickTop="1">
      <c r="A27" s="24">
        <v>1026</v>
      </c>
      <c r="B27" s="24">
        <v>1026</v>
      </c>
      <c r="C27" s="469" t="s">
        <v>421</v>
      </c>
      <c r="D27" t="s">
        <v>149</v>
      </c>
      <c r="E27" s="470">
        <v>2</v>
      </c>
      <c r="F27" s="471">
        <v>0</v>
      </c>
      <c r="G27">
        <v>1</v>
      </c>
      <c r="H27">
        <v>1</v>
      </c>
      <c r="I27" s="472">
        <f t="shared" si="0"/>
        <v>0.32845968612834514</v>
      </c>
      <c r="J27" s="153">
        <v>3.8473756479098807E-2</v>
      </c>
      <c r="K27" s="153">
        <v>0.39358026214566905</v>
      </c>
      <c r="L27" s="153">
        <v>0.53857526864315253</v>
      </c>
      <c r="M27" s="153">
        <v>0.3432094572454602</v>
      </c>
      <c r="N27" s="472">
        <f t="shared" si="1"/>
        <v>0.32845968612834514</v>
      </c>
      <c r="O27" s="153">
        <v>3.8473756479098807E-2</v>
      </c>
      <c r="P27" s="153">
        <v>0.39358026214566905</v>
      </c>
      <c r="Q27" s="153">
        <v>0.53857526864315253</v>
      </c>
      <c r="R27" s="153">
        <v>0.3432094572454602</v>
      </c>
      <c r="S27" s="153">
        <v>0.03</v>
      </c>
      <c r="T27" s="153">
        <v>0</v>
      </c>
      <c r="U27" s="474">
        <v>1900</v>
      </c>
      <c r="V27">
        <v>2030</v>
      </c>
      <c r="W27">
        <v>0</v>
      </c>
      <c r="X27">
        <v>0</v>
      </c>
      <c r="Y27">
        <v>1304</v>
      </c>
      <c r="Z27">
        <v>311</v>
      </c>
      <c r="AA27" s="475" t="s">
        <v>23</v>
      </c>
    </row>
    <row r="28" spans="1:27" ht="15.75" hidden="1" thickTop="1">
      <c r="A28" s="24">
        <v>1027</v>
      </c>
      <c r="B28" s="24">
        <v>1027</v>
      </c>
      <c r="C28" s="469" t="s">
        <v>422</v>
      </c>
      <c r="D28" t="s">
        <v>146</v>
      </c>
      <c r="E28" s="470">
        <v>1</v>
      </c>
      <c r="F28" s="471">
        <v>0</v>
      </c>
      <c r="G28">
        <v>1</v>
      </c>
      <c r="H28">
        <v>1</v>
      </c>
      <c r="I28" s="472">
        <f t="shared" si="0"/>
        <v>0.32845968612834514</v>
      </c>
      <c r="J28" s="153">
        <v>3.8473756479098807E-2</v>
      </c>
      <c r="K28" s="153">
        <v>0.39358026214566905</v>
      </c>
      <c r="L28" s="153">
        <v>0.53857526864315253</v>
      </c>
      <c r="M28" s="153">
        <v>0.3432094572454602</v>
      </c>
      <c r="N28" s="472">
        <f t="shared" si="1"/>
        <v>0.32845968612834514</v>
      </c>
      <c r="O28" s="153">
        <v>3.8473756479098807E-2</v>
      </c>
      <c r="P28" s="153">
        <v>0.39358026214566905</v>
      </c>
      <c r="Q28" s="153">
        <v>0.53857526864315253</v>
      </c>
      <c r="R28" s="153">
        <v>0.3432094572454602</v>
      </c>
      <c r="S28" s="153">
        <v>0.03</v>
      </c>
      <c r="T28" s="153">
        <v>0</v>
      </c>
      <c r="U28" s="474">
        <v>2010</v>
      </c>
      <c r="V28">
        <v>2023</v>
      </c>
      <c r="W28">
        <v>0</v>
      </c>
      <c r="X28">
        <v>0</v>
      </c>
      <c r="Y28">
        <v>1304</v>
      </c>
      <c r="Z28">
        <v>311</v>
      </c>
      <c r="AA28" s="475" t="s">
        <v>23</v>
      </c>
    </row>
    <row r="29" spans="1:27" ht="15.75" hidden="1" thickTop="1">
      <c r="A29" s="24">
        <v>1028</v>
      </c>
      <c r="B29" s="24">
        <v>1028</v>
      </c>
      <c r="C29" s="469" t="s">
        <v>423</v>
      </c>
      <c r="D29" t="s">
        <v>146</v>
      </c>
      <c r="E29" s="470">
        <v>1</v>
      </c>
      <c r="F29" s="471">
        <v>72.7</v>
      </c>
      <c r="G29">
        <v>1</v>
      </c>
      <c r="H29">
        <v>1</v>
      </c>
      <c r="I29" s="472">
        <f t="shared" si="0"/>
        <v>0.32845968612834514</v>
      </c>
      <c r="J29" s="153">
        <v>3.8473756479098807E-2</v>
      </c>
      <c r="K29" s="153">
        <v>0.39358026214566905</v>
      </c>
      <c r="L29" s="153">
        <v>0.53857526864315253</v>
      </c>
      <c r="M29" s="153">
        <v>0.3432094572454602</v>
      </c>
      <c r="N29" s="472">
        <f t="shared" si="1"/>
        <v>0.32845968612834514</v>
      </c>
      <c r="O29" s="153">
        <v>3.8473756479098807E-2</v>
      </c>
      <c r="P29" s="153">
        <v>0.39358026214566905</v>
      </c>
      <c r="Q29" s="153">
        <v>0.53857526864315253</v>
      </c>
      <c r="R29" s="153">
        <v>0.3432094572454602</v>
      </c>
      <c r="S29" s="153">
        <v>0.03</v>
      </c>
      <c r="T29" s="153">
        <v>0</v>
      </c>
      <c r="U29" s="474">
        <v>2010</v>
      </c>
      <c r="V29">
        <v>2023</v>
      </c>
      <c r="W29">
        <v>0</v>
      </c>
      <c r="X29">
        <v>0</v>
      </c>
      <c r="Y29">
        <v>1304</v>
      </c>
      <c r="Z29">
        <v>311</v>
      </c>
      <c r="AA29" s="475" t="s">
        <v>23</v>
      </c>
    </row>
    <row r="30" spans="1:27" ht="15.75" hidden="1" thickTop="1">
      <c r="A30" s="24">
        <v>1029</v>
      </c>
      <c r="B30" s="24">
        <v>1029</v>
      </c>
      <c r="C30" s="469" t="s">
        <v>424</v>
      </c>
      <c r="D30" t="s">
        <v>146</v>
      </c>
      <c r="E30" s="470">
        <v>1</v>
      </c>
      <c r="F30" s="471">
        <v>120</v>
      </c>
      <c r="G30">
        <v>1</v>
      </c>
      <c r="H30">
        <v>1</v>
      </c>
      <c r="I30" s="472">
        <f t="shared" si="0"/>
        <v>0.32845968612834514</v>
      </c>
      <c r="J30" s="153">
        <v>3.8473756479098807E-2</v>
      </c>
      <c r="K30" s="153">
        <v>0.39358026214566905</v>
      </c>
      <c r="L30" s="153">
        <v>0.53857526864315253</v>
      </c>
      <c r="M30" s="153">
        <v>0.3432094572454602</v>
      </c>
      <c r="N30" s="472">
        <f t="shared" si="1"/>
        <v>0.32845968612834514</v>
      </c>
      <c r="O30" s="153">
        <v>3.8473756479098807E-2</v>
      </c>
      <c r="P30" s="153">
        <v>0.39358026214566905</v>
      </c>
      <c r="Q30" s="153">
        <v>0.53857526864315253</v>
      </c>
      <c r="R30" s="153">
        <v>0.3432094572454602</v>
      </c>
      <c r="S30" s="153">
        <v>0.03</v>
      </c>
      <c r="T30" s="153">
        <v>0</v>
      </c>
      <c r="U30" s="474">
        <v>2014</v>
      </c>
      <c r="V30">
        <v>2030</v>
      </c>
      <c r="W30">
        <v>0</v>
      </c>
      <c r="X30">
        <v>0</v>
      </c>
      <c r="Y30">
        <v>1304</v>
      </c>
      <c r="Z30">
        <v>311</v>
      </c>
      <c r="AA30" s="475" t="s">
        <v>23</v>
      </c>
    </row>
    <row r="31" spans="1:27" ht="15.75" hidden="1" thickTop="1">
      <c r="A31" s="24">
        <v>1030</v>
      </c>
      <c r="B31" s="24">
        <v>1030</v>
      </c>
      <c r="C31" s="469" t="s">
        <v>425</v>
      </c>
      <c r="D31" t="s">
        <v>146</v>
      </c>
      <c r="E31" s="470">
        <v>1</v>
      </c>
      <c r="F31" s="471">
        <v>0</v>
      </c>
      <c r="G31">
        <v>1</v>
      </c>
      <c r="H31">
        <v>1</v>
      </c>
      <c r="I31" s="472">
        <f t="shared" si="0"/>
        <v>0.32845968612834514</v>
      </c>
      <c r="J31" s="153">
        <v>3.8473756479098807E-2</v>
      </c>
      <c r="K31" s="153">
        <v>0.39358026214566905</v>
      </c>
      <c r="L31" s="153">
        <v>0.53857526864315253</v>
      </c>
      <c r="M31" s="153">
        <v>0.3432094572454602</v>
      </c>
      <c r="N31" s="472">
        <f t="shared" si="1"/>
        <v>0.32845968612834514</v>
      </c>
      <c r="O31" s="153">
        <v>3.8473756479098807E-2</v>
      </c>
      <c r="P31" s="153">
        <v>0.39358026214566905</v>
      </c>
      <c r="Q31" s="153">
        <v>0.53857526864315253</v>
      </c>
      <c r="R31" s="153">
        <v>0.3432094572454602</v>
      </c>
      <c r="S31" s="153">
        <v>0.03</v>
      </c>
      <c r="T31" s="153">
        <v>0</v>
      </c>
      <c r="U31" s="474">
        <v>2014</v>
      </c>
      <c r="V31">
        <v>2030</v>
      </c>
      <c r="W31">
        <v>0</v>
      </c>
      <c r="X31">
        <v>0</v>
      </c>
      <c r="Y31">
        <v>1304</v>
      </c>
      <c r="Z31">
        <v>311</v>
      </c>
      <c r="AA31" s="475" t="s">
        <v>23</v>
      </c>
    </row>
    <row r="32" spans="1:27" ht="15.75" hidden="1" thickTop="1">
      <c r="A32" s="24">
        <v>1031</v>
      </c>
      <c r="B32" s="24">
        <v>1031</v>
      </c>
      <c r="C32" s="469" t="s">
        <v>426</v>
      </c>
      <c r="D32" t="s">
        <v>146</v>
      </c>
      <c r="E32" s="470">
        <v>1</v>
      </c>
      <c r="F32" s="471">
        <v>32.170212765957444</v>
      </c>
      <c r="G32">
        <v>1</v>
      </c>
      <c r="H32">
        <v>1</v>
      </c>
      <c r="I32" s="472">
        <f t="shared" si="0"/>
        <v>0.32845968612834514</v>
      </c>
      <c r="J32" s="153">
        <v>3.8473756479098807E-2</v>
      </c>
      <c r="K32" s="153">
        <v>0.39358026214566905</v>
      </c>
      <c r="L32" s="153">
        <v>0.53857526864315253</v>
      </c>
      <c r="M32" s="153">
        <v>0.3432094572454602</v>
      </c>
      <c r="N32" s="472">
        <f t="shared" si="1"/>
        <v>0.32845968612834514</v>
      </c>
      <c r="O32" s="153">
        <v>3.8473756479098807E-2</v>
      </c>
      <c r="P32" s="153">
        <v>0.39358026214566905</v>
      </c>
      <c r="Q32" s="153">
        <v>0.53857526864315253</v>
      </c>
      <c r="R32" s="153">
        <v>0.3432094572454602</v>
      </c>
      <c r="S32" s="153">
        <v>0.03</v>
      </c>
      <c r="T32" s="153">
        <v>0</v>
      </c>
      <c r="U32" s="474">
        <v>2011</v>
      </c>
      <c r="V32">
        <v>2030</v>
      </c>
      <c r="W32">
        <v>0</v>
      </c>
      <c r="X32">
        <v>0</v>
      </c>
      <c r="Y32">
        <v>1304</v>
      </c>
      <c r="Z32">
        <v>311</v>
      </c>
      <c r="AA32" s="475" t="s">
        <v>23</v>
      </c>
    </row>
    <row r="33" spans="1:27" ht="15.75" hidden="1" thickTop="1">
      <c r="A33" s="24">
        <v>1032</v>
      </c>
      <c r="B33" s="24">
        <v>1032</v>
      </c>
      <c r="C33" s="469" t="s">
        <v>427</v>
      </c>
      <c r="D33" t="s">
        <v>146</v>
      </c>
      <c r="E33" s="470">
        <v>1</v>
      </c>
      <c r="F33" s="471">
        <v>63.829787234042556</v>
      </c>
      <c r="G33">
        <v>1</v>
      </c>
      <c r="H33">
        <v>1</v>
      </c>
      <c r="I33" s="472">
        <f t="shared" si="0"/>
        <v>0.32845968612834514</v>
      </c>
      <c r="J33" s="153">
        <v>3.8473756479098807E-2</v>
      </c>
      <c r="K33" s="153">
        <v>0.39358026214566905</v>
      </c>
      <c r="L33" s="153">
        <v>0.53857526864315253</v>
      </c>
      <c r="M33" s="153">
        <v>0.3432094572454602</v>
      </c>
      <c r="N33" s="472">
        <f t="shared" si="1"/>
        <v>0.32845968612834514</v>
      </c>
      <c r="O33" s="153">
        <v>3.8473756479098807E-2</v>
      </c>
      <c r="P33" s="153">
        <v>0.39358026214566905</v>
      </c>
      <c r="Q33" s="153">
        <v>0.53857526864315253</v>
      </c>
      <c r="R33" s="153">
        <v>0.3432094572454602</v>
      </c>
      <c r="S33" s="153">
        <v>0.03</v>
      </c>
      <c r="T33" s="153">
        <v>0</v>
      </c>
      <c r="U33" s="474">
        <v>2011</v>
      </c>
      <c r="V33">
        <v>2030</v>
      </c>
      <c r="W33">
        <v>0</v>
      </c>
      <c r="X33">
        <v>0</v>
      </c>
      <c r="Y33">
        <v>1304</v>
      </c>
      <c r="Z33">
        <v>311</v>
      </c>
      <c r="AA33" s="475" t="s">
        <v>23</v>
      </c>
    </row>
    <row r="34" spans="1:27" ht="15.75" hidden="1" thickTop="1">
      <c r="A34" s="24">
        <v>1033</v>
      </c>
      <c r="B34" s="24">
        <v>1033</v>
      </c>
      <c r="C34" s="469" t="s">
        <v>428</v>
      </c>
      <c r="D34" t="s">
        <v>146</v>
      </c>
      <c r="E34" s="470">
        <v>1</v>
      </c>
      <c r="F34" s="471">
        <v>210.4</v>
      </c>
      <c r="G34">
        <v>1</v>
      </c>
      <c r="H34">
        <v>1</v>
      </c>
      <c r="I34" s="472">
        <f t="shared" si="0"/>
        <v>0.32845968612834514</v>
      </c>
      <c r="J34" s="153">
        <v>3.8473756479098807E-2</v>
      </c>
      <c r="K34" s="153">
        <v>0.39358026214566905</v>
      </c>
      <c r="L34" s="153">
        <v>0.53857526864315253</v>
      </c>
      <c r="M34" s="153">
        <v>0.3432094572454602</v>
      </c>
      <c r="N34" s="472">
        <f t="shared" si="1"/>
        <v>0.32845968612834514</v>
      </c>
      <c r="O34" s="153">
        <v>3.8473756479098807E-2</v>
      </c>
      <c r="P34" s="153">
        <v>0.39358026214566905</v>
      </c>
      <c r="Q34" s="153">
        <v>0.53857526864315253</v>
      </c>
      <c r="R34" s="153">
        <v>0.3432094572454602</v>
      </c>
      <c r="S34" s="153">
        <v>0.03</v>
      </c>
      <c r="T34" s="153">
        <v>0</v>
      </c>
      <c r="U34" s="474">
        <v>2002</v>
      </c>
      <c r="V34">
        <v>2023</v>
      </c>
      <c r="W34">
        <v>0</v>
      </c>
      <c r="X34">
        <v>0</v>
      </c>
      <c r="Y34">
        <v>1304</v>
      </c>
      <c r="Z34">
        <v>311</v>
      </c>
      <c r="AA34" s="475" t="s">
        <v>23</v>
      </c>
    </row>
    <row r="35" spans="1:27" ht="15.75" hidden="1" thickTop="1">
      <c r="A35" s="24">
        <v>1034</v>
      </c>
      <c r="B35" s="24">
        <v>1034</v>
      </c>
      <c r="C35" s="469" t="s">
        <v>429</v>
      </c>
      <c r="D35" t="s">
        <v>146</v>
      </c>
      <c r="E35" s="470">
        <v>1</v>
      </c>
      <c r="F35" s="471">
        <v>0</v>
      </c>
      <c r="G35">
        <v>1</v>
      </c>
      <c r="H35">
        <v>1</v>
      </c>
      <c r="I35" s="472">
        <f t="shared" si="0"/>
        <v>0.32845968612834514</v>
      </c>
      <c r="J35" s="153">
        <v>3.8473756479098807E-2</v>
      </c>
      <c r="K35" s="153">
        <v>0.39358026214566905</v>
      </c>
      <c r="L35" s="153">
        <v>0.53857526864315253</v>
      </c>
      <c r="M35" s="153">
        <v>0.3432094572454602</v>
      </c>
      <c r="N35" s="472">
        <f t="shared" si="1"/>
        <v>0.32845968612834514</v>
      </c>
      <c r="O35" s="153">
        <v>3.8473756479098807E-2</v>
      </c>
      <c r="P35" s="153">
        <v>0.39358026214566905</v>
      </c>
      <c r="Q35" s="153">
        <v>0.53857526864315253</v>
      </c>
      <c r="R35" s="153">
        <v>0.3432094572454602</v>
      </c>
      <c r="S35" s="153">
        <v>0.03</v>
      </c>
      <c r="T35" s="153">
        <v>0</v>
      </c>
      <c r="U35" s="474">
        <v>1900</v>
      </c>
      <c r="V35">
        <v>2030</v>
      </c>
      <c r="W35">
        <v>0</v>
      </c>
      <c r="X35">
        <v>0</v>
      </c>
      <c r="Y35">
        <v>1304</v>
      </c>
      <c r="Z35">
        <v>311</v>
      </c>
      <c r="AA35" s="475" t="s">
        <v>23</v>
      </c>
    </row>
    <row r="36" spans="1:27" ht="15.75" hidden="1" thickTop="1">
      <c r="A36" s="24">
        <v>1035</v>
      </c>
      <c r="B36" s="24">
        <v>1035</v>
      </c>
      <c r="C36" s="469" t="s">
        <v>430</v>
      </c>
      <c r="D36" t="s">
        <v>146</v>
      </c>
      <c r="E36" s="470">
        <v>1</v>
      </c>
      <c r="F36" s="471">
        <v>40</v>
      </c>
      <c r="G36">
        <v>1</v>
      </c>
      <c r="H36">
        <v>1</v>
      </c>
      <c r="I36" s="472">
        <f t="shared" si="0"/>
        <v>0.32845968612834514</v>
      </c>
      <c r="J36" s="153">
        <v>3.8473756479098807E-2</v>
      </c>
      <c r="K36" s="153">
        <v>0.39358026214566905</v>
      </c>
      <c r="L36" s="153">
        <v>0.53857526864315253</v>
      </c>
      <c r="M36" s="153">
        <v>0.3432094572454602</v>
      </c>
      <c r="N36" s="472">
        <f t="shared" si="1"/>
        <v>0.32845968612834514</v>
      </c>
      <c r="O36" s="153">
        <v>3.8473756479098807E-2</v>
      </c>
      <c r="P36" s="153">
        <v>0.39358026214566905</v>
      </c>
      <c r="Q36" s="153">
        <v>0.53857526864315253</v>
      </c>
      <c r="R36" s="153">
        <v>0.3432094572454602</v>
      </c>
      <c r="S36" s="153">
        <v>0.03</v>
      </c>
      <c r="T36" s="153">
        <v>0</v>
      </c>
      <c r="U36" s="474">
        <v>2015</v>
      </c>
      <c r="V36">
        <v>2030</v>
      </c>
      <c r="W36">
        <v>0</v>
      </c>
      <c r="X36">
        <v>0</v>
      </c>
      <c r="Y36">
        <v>1304</v>
      </c>
      <c r="Z36">
        <v>311</v>
      </c>
      <c r="AA36" s="475" t="s">
        <v>23</v>
      </c>
    </row>
    <row r="37" spans="1:27" ht="15.75" hidden="1" thickTop="1">
      <c r="A37" s="24">
        <v>1036</v>
      </c>
      <c r="B37" s="24">
        <v>1036</v>
      </c>
      <c r="C37" s="469" t="s">
        <v>431</v>
      </c>
      <c r="D37" t="s">
        <v>146</v>
      </c>
      <c r="E37" s="470">
        <v>1</v>
      </c>
      <c r="F37" s="471">
        <v>0</v>
      </c>
      <c r="G37">
        <v>1</v>
      </c>
      <c r="H37">
        <v>1</v>
      </c>
      <c r="I37" s="472">
        <f t="shared" si="0"/>
        <v>0.32845968612834514</v>
      </c>
      <c r="J37" s="153">
        <v>3.8473756479098807E-2</v>
      </c>
      <c r="K37" s="153">
        <v>0.39358026214566905</v>
      </c>
      <c r="L37" s="153">
        <v>0.53857526864315253</v>
      </c>
      <c r="M37" s="153">
        <v>0.3432094572454602</v>
      </c>
      <c r="N37" s="472">
        <f t="shared" si="1"/>
        <v>0.32845968612834514</v>
      </c>
      <c r="O37" s="153">
        <v>3.8473756479098807E-2</v>
      </c>
      <c r="P37" s="153">
        <v>0.39358026214566905</v>
      </c>
      <c r="Q37" s="153">
        <v>0.53857526864315253</v>
      </c>
      <c r="R37" s="153">
        <v>0.3432094572454602</v>
      </c>
      <c r="S37" s="153">
        <v>0.03</v>
      </c>
      <c r="T37" s="153">
        <v>0</v>
      </c>
      <c r="U37" s="474">
        <v>1900</v>
      </c>
      <c r="V37">
        <v>2030</v>
      </c>
      <c r="W37">
        <v>0</v>
      </c>
      <c r="X37">
        <v>0</v>
      </c>
      <c r="Y37">
        <v>1304</v>
      </c>
      <c r="Z37">
        <v>311</v>
      </c>
      <c r="AA37" s="475" t="s">
        <v>23</v>
      </c>
    </row>
    <row r="38" spans="1:27" ht="15.75" hidden="1" thickTop="1">
      <c r="A38" s="24">
        <v>1037</v>
      </c>
      <c r="B38" s="24">
        <v>1037</v>
      </c>
      <c r="C38" s="469" t="s">
        <v>432</v>
      </c>
      <c r="D38" t="s">
        <v>146</v>
      </c>
      <c r="E38" s="470">
        <v>1</v>
      </c>
      <c r="F38" s="471">
        <v>3</v>
      </c>
      <c r="G38">
        <v>1</v>
      </c>
      <c r="H38">
        <v>1</v>
      </c>
      <c r="I38" s="472">
        <f t="shared" si="0"/>
        <v>0.32845968612834514</v>
      </c>
      <c r="J38" s="153">
        <v>3.8473756479098807E-2</v>
      </c>
      <c r="K38" s="153">
        <v>0.39358026214566905</v>
      </c>
      <c r="L38" s="153">
        <v>0.53857526864315253</v>
      </c>
      <c r="M38" s="153">
        <v>0.3432094572454602</v>
      </c>
      <c r="N38" s="472">
        <f t="shared" si="1"/>
        <v>0.32845968612834514</v>
      </c>
      <c r="O38" s="153">
        <v>3.8473756479098807E-2</v>
      </c>
      <c r="P38" s="153">
        <v>0.39358026214566905</v>
      </c>
      <c r="Q38" s="153">
        <v>0.53857526864315253</v>
      </c>
      <c r="R38" s="153">
        <v>0.3432094572454602</v>
      </c>
      <c r="S38" s="153">
        <v>0.03</v>
      </c>
      <c r="T38" s="153">
        <v>0</v>
      </c>
      <c r="U38" s="474">
        <v>2014</v>
      </c>
      <c r="V38">
        <v>2030</v>
      </c>
      <c r="W38">
        <v>0</v>
      </c>
      <c r="X38">
        <v>0</v>
      </c>
      <c r="Y38">
        <v>1304</v>
      </c>
      <c r="Z38">
        <v>311</v>
      </c>
      <c r="AA38" s="475" t="s">
        <v>23</v>
      </c>
    </row>
    <row r="39" spans="1:27" ht="15.75" hidden="1" thickTop="1">
      <c r="A39" s="24">
        <v>1038</v>
      </c>
      <c r="B39" s="24">
        <v>1038</v>
      </c>
      <c r="C39" s="469" t="s">
        <v>433</v>
      </c>
      <c r="D39" t="s">
        <v>149</v>
      </c>
      <c r="E39" s="470">
        <v>2</v>
      </c>
      <c r="F39" s="471">
        <v>9</v>
      </c>
      <c r="G39">
        <v>1</v>
      </c>
      <c r="H39">
        <v>1</v>
      </c>
      <c r="I39" s="472">
        <f t="shared" si="0"/>
        <v>0.40033333333333337</v>
      </c>
      <c r="J39" s="153">
        <v>0.3706666666666667</v>
      </c>
      <c r="K39" s="153">
        <v>0.3666666666666667</v>
      </c>
      <c r="L39" s="153">
        <v>0.44799999999999995</v>
      </c>
      <c r="M39" s="153">
        <v>0.41600000000000009</v>
      </c>
      <c r="N39" s="472">
        <f t="shared" si="1"/>
        <v>0.40033333333333337</v>
      </c>
      <c r="O39" s="153">
        <v>0.3706666666666667</v>
      </c>
      <c r="P39" s="153">
        <v>0.3666666666666667</v>
      </c>
      <c r="Q39" s="153">
        <v>0.44799999999999995</v>
      </c>
      <c r="R39" s="153">
        <v>0.41600000000000009</v>
      </c>
      <c r="S39" s="153">
        <v>0.01</v>
      </c>
      <c r="T39" s="153">
        <v>0.02</v>
      </c>
      <c r="U39" s="474">
        <v>2006</v>
      </c>
      <c r="V39">
        <v>2026</v>
      </c>
      <c r="W39">
        <v>0</v>
      </c>
      <c r="X39">
        <v>0</v>
      </c>
      <c r="Y39">
        <v>1315</v>
      </c>
      <c r="Z39">
        <v>360</v>
      </c>
      <c r="AA39" s="475" t="s">
        <v>24</v>
      </c>
    </row>
    <row r="40" spans="1:27" ht="15.75" thickTop="1">
      <c r="A40" s="24">
        <v>1039</v>
      </c>
      <c r="B40" s="24">
        <v>1039</v>
      </c>
      <c r="C40" s="469" t="s">
        <v>434</v>
      </c>
      <c r="D40" t="s">
        <v>152</v>
      </c>
      <c r="E40" s="470">
        <v>3</v>
      </c>
      <c r="F40" s="471">
        <v>4.5</v>
      </c>
      <c r="G40">
        <v>1</v>
      </c>
      <c r="H40">
        <v>1</v>
      </c>
      <c r="I40" s="472">
        <f t="shared" si="0"/>
        <v>0.47039166666666665</v>
      </c>
      <c r="J40" s="473">
        <v>0.36503333333333332</v>
      </c>
      <c r="K40" s="473">
        <v>0.44336666666666663</v>
      </c>
      <c r="L40" s="473">
        <v>0.58906666666666663</v>
      </c>
      <c r="M40" s="473">
        <v>0.48410000000000003</v>
      </c>
      <c r="N40" s="472">
        <f t="shared" si="1"/>
        <v>0.47039166666666665</v>
      </c>
      <c r="O40" s="473">
        <v>0.36503333333333332</v>
      </c>
      <c r="P40" s="473">
        <v>0.44336666666666663</v>
      </c>
      <c r="Q40" s="473">
        <v>0.58906666666666663</v>
      </c>
      <c r="R40" s="473">
        <v>0.48410000000000003</v>
      </c>
      <c r="S40" s="153">
        <v>0.01</v>
      </c>
      <c r="T40" s="153">
        <v>0.02</v>
      </c>
      <c r="U40" s="474">
        <v>2009</v>
      </c>
      <c r="V40">
        <v>2029</v>
      </c>
      <c r="W40">
        <v>0</v>
      </c>
      <c r="X40">
        <v>0</v>
      </c>
      <c r="Y40">
        <v>1315</v>
      </c>
      <c r="Z40">
        <v>361</v>
      </c>
      <c r="AA40" s="475" t="s">
        <v>24</v>
      </c>
    </row>
    <row r="41" spans="1:27" ht="15">
      <c r="A41" s="24">
        <v>1040</v>
      </c>
      <c r="B41" s="24">
        <v>1040</v>
      </c>
      <c r="C41" s="469" t="s">
        <v>435</v>
      </c>
      <c r="D41" t="s">
        <v>152</v>
      </c>
      <c r="E41" s="470">
        <v>3</v>
      </c>
      <c r="F41" s="471">
        <v>51</v>
      </c>
      <c r="G41">
        <v>1</v>
      </c>
      <c r="H41">
        <v>1</v>
      </c>
      <c r="I41" s="472">
        <f t="shared" si="0"/>
        <v>0.47039166666666665</v>
      </c>
      <c r="J41" s="473">
        <v>0.36503333333333332</v>
      </c>
      <c r="K41" s="473">
        <v>0.44336666666666663</v>
      </c>
      <c r="L41" s="473">
        <v>0.58906666666666663</v>
      </c>
      <c r="M41" s="473">
        <v>0.48410000000000003</v>
      </c>
      <c r="N41" s="472">
        <f t="shared" si="1"/>
        <v>0.47039166666666665</v>
      </c>
      <c r="O41" s="473">
        <v>0.36503333333333332</v>
      </c>
      <c r="P41" s="473">
        <v>0.44336666666666663</v>
      </c>
      <c r="Q41" s="473">
        <v>0.58906666666666663</v>
      </c>
      <c r="R41" s="473">
        <v>0.48410000000000003</v>
      </c>
      <c r="S41" s="153">
        <v>0.01</v>
      </c>
      <c r="T41" s="153">
        <v>0.02</v>
      </c>
      <c r="U41" s="474">
        <v>2010</v>
      </c>
      <c r="V41">
        <v>2030</v>
      </c>
      <c r="W41">
        <v>0</v>
      </c>
      <c r="X41">
        <v>0</v>
      </c>
      <c r="Y41">
        <v>1315</v>
      </c>
      <c r="Z41">
        <v>361</v>
      </c>
      <c r="AA41" s="475" t="s">
        <v>24</v>
      </c>
    </row>
    <row r="42" spans="1:27" ht="15">
      <c r="A42" s="24">
        <v>1041</v>
      </c>
      <c r="B42" s="24">
        <v>1041</v>
      </c>
      <c r="C42" s="469" t="s">
        <v>436</v>
      </c>
      <c r="D42" t="s">
        <v>152</v>
      </c>
      <c r="E42" s="470">
        <v>3</v>
      </c>
      <c r="F42" s="630">
        <f>100.65+12.7</f>
        <v>113.35000000000001</v>
      </c>
      <c r="G42">
        <v>1</v>
      </c>
      <c r="H42">
        <v>1</v>
      </c>
      <c r="I42" s="472">
        <f t="shared" si="0"/>
        <v>0.47039166666666665</v>
      </c>
      <c r="J42" s="473">
        <v>0.36503333333333332</v>
      </c>
      <c r="K42" s="473">
        <v>0.44336666666666663</v>
      </c>
      <c r="L42" s="473">
        <v>0.58906666666666663</v>
      </c>
      <c r="M42" s="473">
        <v>0.48410000000000003</v>
      </c>
      <c r="N42" s="472">
        <f t="shared" si="1"/>
        <v>0.47039166666666665</v>
      </c>
      <c r="O42" s="473">
        <v>0.36503333333333332</v>
      </c>
      <c r="P42" s="473">
        <v>0.44336666666666663</v>
      </c>
      <c r="Q42" s="473">
        <v>0.58906666666666663</v>
      </c>
      <c r="R42" s="473">
        <v>0.48410000000000003</v>
      </c>
      <c r="S42" s="153">
        <v>0.01</v>
      </c>
      <c r="T42" s="153">
        <v>0.02</v>
      </c>
      <c r="U42" s="474">
        <v>2011</v>
      </c>
      <c r="V42">
        <v>2031</v>
      </c>
      <c r="W42">
        <v>0</v>
      </c>
      <c r="X42">
        <v>0</v>
      </c>
      <c r="Y42">
        <v>1315</v>
      </c>
      <c r="Z42">
        <v>361</v>
      </c>
      <c r="AA42" s="475" t="s">
        <v>24</v>
      </c>
    </row>
    <row r="43" spans="1:27" ht="15" hidden="1">
      <c r="A43" s="24">
        <v>1042</v>
      </c>
      <c r="B43" s="24">
        <v>1042</v>
      </c>
      <c r="C43" s="469" t="s">
        <v>437</v>
      </c>
      <c r="D43" t="s">
        <v>146</v>
      </c>
      <c r="E43" s="470">
        <v>1</v>
      </c>
      <c r="F43" s="471">
        <v>0</v>
      </c>
      <c r="G43">
        <v>1</v>
      </c>
      <c r="H43">
        <v>1</v>
      </c>
      <c r="I43" s="472">
        <f t="shared" si="0"/>
        <v>0.32845968612834514</v>
      </c>
      <c r="J43" s="153">
        <v>3.8473756479098807E-2</v>
      </c>
      <c r="K43" s="153">
        <v>0.39358026214566905</v>
      </c>
      <c r="L43" s="153">
        <v>0.53857526864315253</v>
      </c>
      <c r="M43" s="153">
        <v>0.3432094572454602</v>
      </c>
      <c r="N43" s="472">
        <f t="shared" si="1"/>
        <v>0.32845968612834514</v>
      </c>
      <c r="O43" s="153">
        <v>3.8473756479098807E-2</v>
      </c>
      <c r="P43" s="153">
        <v>0.39358026214566905</v>
      </c>
      <c r="Q43" s="153">
        <v>0.53857526864315253</v>
      </c>
      <c r="R43" s="153">
        <v>0.3432094572454602</v>
      </c>
      <c r="S43" s="153">
        <v>0.03</v>
      </c>
      <c r="T43" s="153">
        <v>0</v>
      </c>
      <c r="U43" s="474">
        <v>1900</v>
      </c>
      <c r="V43">
        <v>2030</v>
      </c>
      <c r="W43">
        <v>0</v>
      </c>
      <c r="X43">
        <v>0</v>
      </c>
      <c r="Y43">
        <v>1304</v>
      </c>
      <c r="Z43">
        <v>311</v>
      </c>
      <c r="AA43" s="475" t="s">
        <v>23</v>
      </c>
    </row>
    <row r="44" spans="1:27" ht="15" hidden="1">
      <c r="A44" s="24">
        <v>1043</v>
      </c>
      <c r="B44" s="24">
        <v>1043</v>
      </c>
      <c r="C44" s="469" t="s">
        <v>438</v>
      </c>
      <c r="D44" t="s">
        <v>146</v>
      </c>
      <c r="E44" s="470">
        <v>1</v>
      </c>
      <c r="F44" s="471">
        <v>4.8</v>
      </c>
      <c r="G44">
        <v>1</v>
      </c>
      <c r="H44">
        <v>1</v>
      </c>
      <c r="I44" s="472">
        <f t="shared" si="0"/>
        <v>0.32845968612834514</v>
      </c>
      <c r="J44" s="153">
        <v>3.8473756479098807E-2</v>
      </c>
      <c r="K44" s="153">
        <v>0.39358026214566905</v>
      </c>
      <c r="L44" s="153">
        <v>0.53857526864315253</v>
      </c>
      <c r="M44" s="153">
        <v>0.3432094572454602</v>
      </c>
      <c r="N44" s="472">
        <f t="shared" si="1"/>
        <v>0.32845968612834514</v>
      </c>
      <c r="O44" s="153">
        <v>3.8473756479098807E-2</v>
      </c>
      <c r="P44" s="153">
        <v>0.39358026214566905</v>
      </c>
      <c r="Q44" s="153">
        <v>0.53857526864315253</v>
      </c>
      <c r="R44" s="153">
        <v>0.3432094572454602</v>
      </c>
      <c r="S44" s="153">
        <v>0.03</v>
      </c>
      <c r="T44" s="153">
        <v>0</v>
      </c>
      <c r="U44" s="474">
        <v>2009</v>
      </c>
      <c r="V44">
        <v>2023</v>
      </c>
      <c r="W44">
        <v>0</v>
      </c>
      <c r="X44">
        <v>0</v>
      </c>
      <c r="Y44">
        <v>1304</v>
      </c>
      <c r="Z44">
        <v>311</v>
      </c>
      <c r="AA44" s="475" t="s">
        <v>23</v>
      </c>
    </row>
    <row r="45" spans="1:27" ht="15" hidden="1">
      <c r="A45" s="24">
        <v>1044</v>
      </c>
      <c r="B45" s="24">
        <v>1044</v>
      </c>
      <c r="C45" s="469" t="s">
        <v>439</v>
      </c>
      <c r="D45" t="s">
        <v>146</v>
      </c>
      <c r="E45" s="470">
        <v>1</v>
      </c>
      <c r="F45" s="471">
        <v>0</v>
      </c>
      <c r="G45">
        <v>1</v>
      </c>
      <c r="H45">
        <v>1</v>
      </c>
      <c r="I45" s="472">
        <f t="shared" si="0"/>
        <v>0.32845968612834514</v>
      </c>
      <c r="J45" s="153">
        <v>3.8473756479098807E-2</v>
      </c>
      <c r="K45" s="153">
        <v>0.39358026214566905</v>
      </c>
      <c r="L45" s="153">
        <v>0.53857526864315253</v>
      </c>
      <c r="M45" s="153">
        <v>0.3432094572454602</v>
      </c>
      <c r="N45" s="472">
        <f t="shared" si="1"/>
        <v>0.32845968612834514</v>
      </c>
      <c r="O45" s="153">
        <v>3.8473756479098807E-2</v>
      </c>
      <c r="P45" s="153">
        <v>0.39358026214566905</v>
      </c>
      <c r="Q45" s="153">
        <v>0.53857526864315253</v>
      </c>
      <c r="R45" s="153">
        <v>0.3432094572454602</v>
      </c>
      <c r="S45" s="153">
        <v>0.03</v>
      </c>
      <c r="T45" s="153">
        <v>0</v>
      </c>
      <c r="U45" s="474">
        <v>2009</v>
      </c>
      <c r="V45">
        <v>2023</v>
      </c>
      <c r="W45">
        <v>0</v>
      </c>
      <c r="X45">
        <v>0</v>
      </c>
      <c r="Y45">
        <v>1304</v>
      </c>
      <c r="Z45">
        <v>311</v>
      </c>
      <c r="AA45" s="475" t="s">
        <v>23</v>
      </c>
    </row>
    <row r="46" spans="1:27" ht="15" hidden="1">
      <c r="A46" s="24">
        <v>1045</v>
      </c>
      <c r="B46" s="24">
        <v>1045</v>
      </c>
      <c r="C46" s="469" t="s">
        <v>440</v>
      </c>
      <c r="D46" t="s">
        <v>152</v>
      </c>
      <c r="E46" s="470">
        <v>3</v>
      </c>
      <c r="F46" s="471">
        <v>108.6</v>
      </c>
      <c r="G46">
        <v>1</v>
      </c>
      <c r="H46">
        <v>1</v>
      </c>
      <c r="I46" s="472">
        <f t="shared" si="0"/>
        <v>0.32845968612834514</v>
      </c>
      <c r="J46" s="153">
        <v>3.8473756479098807E-2</v>
      </c>
      <c r="K46" s="153">
        <v>0.39358026214566905</v>
      </c>
      <c r="L46" s="153">
        <v>0.53857526864315253</v>
      </c>
      <c r="M46" s="153">
        <v>0.3432094572454602</v>
      </c>
      <c r="N46" s="472">
        <f t="shared" si="1"/>
        <v>0.32845968612834514</v>
      </c>
      <c r="O46" s="153">
        <v>3.8473756479098807E-2</v>
      </c>
      <c r="P46" s="153">
        <v>0.39358026214566905</v>
      </c>
      <c r="Q46" s="153">
        <v>0.53857526864315253</v>
      </c>
      <c r="R46" s="153">
        <v>0.3432094572454602</v>
      </c>
      <c r="S46" s="153">
        <v>0.03</v>
      </c>
      <c r="T46" s="153">
        <v>0</v>
      </c>
      <c r="U46" s="474">
        <v>1900</v>
      </c>
      <c r="V46">
        <v>2030</v>
      </c>
      <c r="W46">
        <v>0</v>
      </c>
      <c r="X46">
        <v>0</v>
      </c>
      <c r="Y46">
        <v>1304</v>
      </c>
      <c r="Z46">
        <v>311</v>
      </c>
      <c r="AA46" s="475" t="s">
        <v>23</v>
      </c>
    </row>
    <row r="47" spans="1:27" ht="15" hidden="1">
      <c r="A47" s="24">
        <v>1046</v>
      </c>
      <c r="B47" s="24">
        <v>1046</v>
      </c>
      <c r="C47" s="469" t="s">
        <v>441</v>
      </c>
      <c r="D47" t="s">
        <v>152</v>
      </c>
      <c r="E47" s="470">
        <v>3</v>
      </c>
      <c r="F47" s="471">
        <v>0</v>
      </c>
      <c r="G47">
        <v>1</v>
      </c>
      <c r="H47">
        <v>1</v>
      </c>
      <c r="I47" s="472">
        <f t="shared" si="0"/>
        <v>0.32845968612834514</v>
      </c>
      <c r="J47" s="153">
        <v>3.8473756479098807E-2</v>
      </c>
      <c r="K47" s="153">
        <v>0.39358026214566905</v>
      </c>
      <c r="L47" s="153">
        <v>0.53857526864315253</v>
      </c>
      <c r="M47" s="153">
        <v>0.3432094572454602</v>
      </c>
      <c r="N47" s="472">
        <f t="shared" si="1"/>
        <v>0.32845968612834514</v>
      </c>
      <c r="O47" s="153">
        <v>3.8473756479098807E-2</v>
      </c>
      <c r="P47" s="153">
        <v>0.39358026214566905</v>
      </c>
      <c r="Q47" s="153">
        <v>0.53857526864315253</v>
      </c>
      <c r="R47" s="153">
        <v>0.3432094572454602</v>
      </c>
      <c r="S47" s="153">
        <v>0.03</v>
      </c>
      <c r="T47" s="153">
        <v>0</v>
      </c>
      <c r="U47" s="474">
        <v>1900</v>
      </c>
      <c r="V47">
        <v>2030</v>
      </c>
      <c r="W47">
        <v>0</v>
      </c>
      <c r="X47">
        <v>0</v>
      </c>
      <c r="Y47">
        <v>1304</v>
      </c>
      <c r="Z47">
        <v>311</v>
      </c>
      <c r="AA47" s="475" t="s">
        <v>23</v>
      </c>
    </row>
    <row r="48" spans="1:27" ht="15" hidden="1">
      <c r="A48" s="24">
        <v>1047</v>
      </c>
      <c r="B48" s="24">
        <v>1047</v>
      </c>
      <c r="C48" s="469" t="s">
        <v>442</v>
      </c>
      <c r="D48" t="s">
        <v>152</v>
      </c>
      <c r="E48" s="470">
        <v>3</v>
      </c>
      <c r="F48" s="471">
        <v>0</v>
      </c>
      <c r="G48">
        <v>1</v>
      </c>
      <c r="H48">
        <v>1</v>
      </c>
      <c r="I48" s="472">
        <f t="shared" si="0"/>
        <v>0.32845968612834514</v>
      </c>
      <c r="J48" s="153">
        <v>3.8473756479098807E-2</v>
      </c>
      <c r="K48" s="153">
        <v>0.39358026214566905</v>
      </c>
      <c r="L48" s="153">
        <v>0.53857526864315253</v>
      </c>
      <c r="M48" s="153">
        <v>0.3432094572454602</v>
      </c>
      <c r="N48" s="472">
        <f t="shared" si="1"/>
        <v>0.32845968612834514</v>
      </c>
      <c r="O48" s="153">
        <v>3.8473756479098807E-2</v>
      </c>
      <c r="P48" s="153">
        <v>0.39358026214566905</v>
      </c>
      <c r="Q48" s="153">
        <v>0.53857526864315253</v>
      </c>
      <c r="R48" s="153">
        <v>0.3432094572454602</v>
      </c>
      <c r="S48" s="153">
        <v>0.03</v>
      </c>
      <c r="T48" s="153">
        <v>0</v>
      </c>
      <c r="U48" s="474">
        <v>2011</v>
      </c>
      <c r="V48">
        <v>2030</v>
      </c>
      <c r="W48">
        <v>0</v>
      </c>
      <c r="X48">
        <v>0</v>
      </c>
      <c r="Y48">
        <v>1304</v>
      </c>
      <c r="Z48">
        <v>311</v>
      </c>
      <c r="AA48" s="475" t="s">
        <v>23</v>
      </c>
    </row>
    <row r="49" spans="1:27" ht="15" hidden="1">
      <c r="A49" s="24">
        <v>1048</v>
      </c>
      <c r="B49" s="24">
        <v>1048</v>
      </c>
      <c r="C49" s="469" t="s">
        <v>443</v>
      </c>
      <c r="D49" t="s">
        <v>152</v>
      </c>
      <c r="E49" s="470">
        <v>3</v>
      </c>
      <c r="F49" s="471">
        <v>39.999916363636359</v>
      </c>
      <c r="G49">
        <v>1</v>
      </c>
      <c r="H49">
        <v>1</v>
      </c>
      <c r="I49" s="472">
        <f t="shared" si="0"/>
        <v>0.32845968612834514</v>
      </c>
      <c r="J49" s="153">
        <v>3.8473756479098807E-2</v>
      </c>
      <c r="K49" s="153">
        <v>0.39358026214566905</v>
      </c>
      <c r="L49" s="153">
        <v>0.53857526864315253</v>
      </c>
      <c r="M49" s="153">
        <v>0.3432094572454602</v>
      </c>
      <c r="N49" s="472">
        <f t="shared" si="1"/>
        <v>0.32845968612834514</v>
      </c>
      <c r="O49" s="153">
        <v>3.8473756479098807E-2</v>
      </c>
      <c r="P49" s="153">
        <v>0.39358026214566905</v>
      </c>
      <c r="Q49" s="153">
        <v>0.53857526864315253</v>
      </c>
      <c r="R49" s="153">
        <v>0.3432094572454602</v>
      </c>
      <c r="S49" s="153">
        <v>0.03</v>
      </c>
      <c r="T49" s="153">
        <v>0</v>
      </c>
      <c r="U49" s="474">
        <v>2011</v>
      </c>
      <c r="V49">
        <v>2030</v>
      </c>
      <c r="W49">
        <v>0</v>
      </c>
      <c r="X49">
        <v>0</v>
      </c>
      <c r="Y49">
        <v>1304</v>
      </c>
      <c r="Z49">
        <v>311</v>
      </c>
      <c r="AA49" s="475" t="s">
        <v>23</v>
      </c>
    </row>
    <row r="50" spans="1:27" ht="15" hidden="1">
      <c r="A50" s="24">
        <v>1049</v>
      </c>
      <c r="B50" s="24">
        <v>1049</v>
      </c>
      <c r="C50" s="469" t="s">
        <v>444</v>
      </c>
      <c r="D50" t="s">
        <v>146</v>
      </c>
      <c r="E50" s="470">
        <v>1</v>
      </c>
      <c r="F50" s="471">
        <v>45</v>
      </c>
      <c r="G50">
        <v>1</v>
      </c>
      <c r="H50">
        <v>1</v>
      </c>
      <c r="I50" s="472">
        <f t="shared" si="0"/>
        <v>0.32845968612834514</v>
      </c>
      <c r="J50" s="153">
        <v>3.8473756479098807E-2</v>
      </c>
      <c r="K50" s="153">
        <v>0.39358026214566905</v>
      </c>
      <c r="L50" s="153">
        <v>0.53857526864315253</v>
      </c>
      <c r="M50" s="153">
        <v>0.3432094572454602</v>
      </c>
      <c r="N50" s="472">
        <f t="shared" si="1"/>
        <v>0.32845968612834514</v>
      </c>
      <c r="O50" s="153">
        <v>3.8473756479098807E-2</v>
      </c>
      <c r="P50" s="153">
        <v>0.39358026214566905</v>
      </c>
      <c r="Q50" s="153">
        <v>0.53857526864315253</v>
      </c>
      <c r="R50" s="153">
        <v>0.3432094572454602</v>
      </c>
      <c r="S50" s="153">
        <v>0.03</v>
      </c>
      <c r="T50" s="153">
        <v>0</v>
      </c>
      <c r="U50" s="474">
        <v>2010</v>
      </c>
      <c r="V50">
        <v>2023</v>
      </c>
      <c r="W50">
        <v>0</v>
      </c>
      <c r="X50">
        <v>0</v>
      </c>
      <c r="Y50">
        <v>1304</v>
      </c>
      <c r="Z50">
        <v>311</v>
      </c>
      <c r="AA50" s="475" t="s">
        <v>23</v>
      </c>
    </row>
    <row r="51" spans="1:27" ht="15" hidden="1">
      <c r="A51" s="24">
        <v>1050</v>
      </c>
      <c r="B51" s="24">
        <v>1050</v>
      </c>
      <c r="C51" s="469" t="s">
        <v>445</v>
      </c>
      <c r="D51" t="s">
        <v>146</v>
      </c>
      <c r="E51" s="470">
        <v>1</v>
      </c>
      <c r="F51" s="471">
        <v>0</v>
      </c>
      <c r="G51">
        <v>1</v>
      </c>
      <c r="H51">
        <v>1</v>
      </c>
      <c r="I51" s="472">
        <f t="shared" si="0"/>
        <v>0.32845968612834514</v>
      </c>
      <c r="J51" s="153">
        <v>3.8473756479098807E-2</v>
      </c>
      <c r="K51" s="153">
        <v>0.39358026214566905</v>
      </c>
      <c r="L51" s="153">
        <v>0.53857526864315253</v>
      </c>
      <c r="M51" s="153">
        <v>0.3432094572454602</v>
      </c>
      <c r="N51" s="472">
        <f t="shared" si="1"/>
        <v>0.32845968612834514</v>
      </c>
      <c r="O51" s="153">
        <v>3.8473756479098807E-2</v>
      </c>
      <c r="P51" s="153">
        <v>0.39358026214566905</v>
      </c>
      <c r="Q51" s="153">
        <v>0.53857526864315253</v>
      </c>
      <c r="R51" s="153">
        <v>0.3432094572454602</v>
      </c>
      <c r="S51" s="153">
        <v>0.03</v>
      </c>
      <c r="T51" s="153">
        <v>0</v>
      </c>
      <c r="U51" s="474">
        <v>1900</v>
      </c>
      <c r="V51">
        <v>2030</v>
      </c>
      <c r="W51">
        <v>0</v>
      </c>
      <c r="X51">
        <v>0</v>
      </c>
      <c r="Y51">
        <v>1304</v>
      </c>
      <c r="Z51">
        <v>311</v>
      </c>
      <c r="AA51" s="475" t="s">
        <v>23</v>
      </c>
    </row>
    <row r="52" spans="1:27" ht="15" hidden="1">
      <c r="A52" s="24">
        <v>1051</v>
      </c>
      <c r="B52" s="24">
        <v>1051</v>
      </c>
      <c r="C52" s="469" t="s">
        <v>446</v>
      </c>
      <c r="D52" t="s">
        <v>146</v>
      </c>
      <c r="E52" s="470">
        <v>1</v>
      </c>
      <c r="F52" s="471">
        <v>30</v>
      </c>
      <c r="G52">
        <v>1</v>
      </c>
      <c r="H52">
        <v>1</v>
      </c>
      <c r="I52" s="472">
        <f t="shared" si="0"/>
        <v>0.32845968612834514</v>
      </c>
      <c r="J52" s="153">
        <v>3.8473756479098807E-2</v>
      </c>
      <c r="K52" s="153">
        <v>0.39358026214566905</v>
      </c>
      <c r="L52" s="153">
        <v>0.53857526864315253</v>
      </c>
      <c r="M52" s="153">
        <v>0.3432094572454602</v>
      </c>
      <c r="N52" s="472">
        <f t="shared" si="1"/>
        <v>0.32845968612834514</v>
      </c>
      <c r="O52" s="153">
        <v>3.8473756479098807E-2</v>
      </c>
      <c r="P52" s="153">
        <v>0.39358026214566905</v>
      </c>
      <c r="Q52" s="153">
        <v>0.53857526864315253</v>
      </c>
      <c r="R52" s="153">
        <v>0.3432094572454602</v>
      </c>
      <c r="S52" s="153">
        <v>0.03</v>
      </c>
      <c r="T52" s="153">
        <v>0</v>
      </c>
      <c r="U52" s="474">
        <v>2014</v>
      </c>
      <c r="V52">
        <v>2030</v>
      </c>
      <c r="W52">
        <v>0</v>
      </c>
      <c r="X52">
        <v>0</v>
      </c>
      <c r="Y52">
        <v>1304</v>
      </c>
      <c r="Z52">
        <v>311</v>
      </c>
      <c r="AA52" s="475" t="s">
        <v>23</v>
      </c>
    </row>
    <row r="53" spans="1:27" ht="15" hidden="1">
      <c r="A53" s="24">
        <v>1052</v>
      </c>
      <c r="B53" s="24">
        <v>1052</v>
      </c>
      <c r="C53" s="469" t="s">
        <v>447</v>
      </c>
      <c r="D53" t="s">
        <v>146</v>
      </c>
      <c r="E53" s="470">
        <v>1</v>
      </c>
      <c r="F53" s="471">
        <v>0</v>
      </c>
      <c r="G53">
        <v>1</v>
      </c>
      <c r="H53">
        <v>1</v>
      </c>
      <c r="I53" s="472">
        <f t="shared" si="0"/>
        <v>0.32845968612834514</v>
      </c>
      <c r="J53" s="153">
        <v>3.8473756479098807E-2</v>
      </c>
      <c r="K53" s="153">
        <v>0.39358026214566905</v>
      </c>
      <c r="L53" s="153">
        <v>0.53857526864315253</v>
      </c>
      <c r="M53" s="153">
        <v>0.3432094572454602</v>
      </c>
      <c r="N53" s="472">
        <f t="shared" si="1"/>
        <v>0.32845968612834514</v>
      </c>
      <c r="O53" s="153">
        <v>3.8473756479098807E-2</v>
      </c>
      <c r="P53" s="153">
        <v>0.39358026214566905</v>
      </c>
      <c r="Q53" s="153">
        <v>0.53857526864315253</v>
      </c>
      <c r="R53" s="153">
        <v>0.3432094572454602</v>
      </c>
      <c r="S53" s="153">
        <v>0.03</v>
      </c>
      <c r="T53" s="153">
        <v>0</v>
      </c>
      <c r="U53" s="474">
        <v>1900</v>
      </c>
      <c r="V53">
        <v>2030</v>
      </c>
      <c r="W53">
        <v>0</v>
      </c>
      <c r="X53">
        <v>0</v>
      </c>
      <c r="Y53">
        <v>1304</v>
      </c>
      <c r="Z53">
        <v>311</v>
      </c>
      <c r="AA53" s="475" t="s">
        <v>23</v>
      </c>
    </row>
    <row r="54" spans="1:27" ht="15" hidden="1">
      <c r="A54" s="24">
        <v>1053</v>
      </c>
      <c r="B54" s="24">
        <v>1053</v>
      </c>
      <c r="C54" s="469" t="s">
        <v>448</v>
      </c>
      <c r="D54" t="s">
        <v>146</v>
      </c>
      <c r="E54" s="470">
        <v>1</v>
      </c>
      <c r="F54" s="471">
        <v>4.625</v>
      </c>
      <c r="G54">
        <v>1</v>
      </c>
      <c r="H54">
        <v>1</v>
      </c>
      <c r="I54" s="472">
        <f t="shared" si="0"/>
        <v>0.32845968612834514</v>
      </c>
      <c r="J54" s="153">
        <v>3.8473756479098807E-2</v>
      </c>
      <c r="K54" s="153">
        <v>0.39358026214566905</v>
      </c>
      <c r="L54" s="153">
        <v>0.53857526864315253</v>
      </c>
      <c r="M54" s="153">
        <v>0.3432094572454602</v>
      </c>
      <c r="N54" s="472">
        <f t="shared" si="1"/>
        <v>0.32845968612834514</v>
      </c>
      <c r="O54" s="153">
        <v>3.8473756479098807E-2</v>
      </c>
      <c r="P54" s="153">
        <v>0.39358026214566905</v>
      </c>
      <c r="Q54" s="153">
        <v>0.53857526864315253</v>
      </c>
      <c r="R54" s="153">
        <v>0.3432094572454602</v>
      </c>
      <c r="S54" s="153">
        <v>0.03</v>
      </c>
      <c r="T54" s="153">
        <v>0</v>
      </c>
      <c r="U54" s="474">
        <v>2014</v>
      </c>
      <c r="V54">
        <v>2030</v>
      </c>
      <c r="W54">
        <v>0</v>
      </c>
      <c r="X54">
        <v>0</v>
      </c>
      <c r="Y54">
        <v>1304</v>
      </c>
      <c r="Z54">
        <v>311</v>
      </c>
      <c r="AA54" s="475" t="s">
        <v>23</v>
      </c>
    </row>
    <row r="55" spans="1:27" ht="15" hidden="1">
      <c r="A55" s="24">
        <v>1054</v>
      </c>
      <c r="B55" s="24">
        <v>1054</v>
      </c>
      <c r="C55" s="469" t="s">
        <v>449</v>
      </c>
      <c r="D55" t="s">
        <v>146</v>
      </c>
      <c r="E55" s="470">
        <v>1</v>
      </c>
      <c r="F55" s="471">
        <v>0</v>
      </c>
      <c r="G55">
        <v>1</v>
      </c>
      <c r="H55">
        <v>1</v>
      </c>
      <c r="I55" s="472">
        <f t="shared" si="0"/>
        <v>0.32845968612834514</v>
      </c>
      <c r="J55" s="153">
        <v>3.8473756479098807E-2</v>
      </c>
      <c r="K55" s="153">
        <v>0.39358026214566905</v>
      </c>
      <c r="L55" s="153">
        <v>0.53857526864315253</v>
      </c>
      <c r="M55" s="153">
        <v>0.3432094572454602</v>
      </c>
      <c r="N55" s="472">
        <f t="shared" si="1"/>
        <v>0.32845968612834514</v>
      </c>
      <c r="O55" s="153">
        <v>3.8473756479098807E-2</v>
      </c>
      <c r="P55" s="153">
        <v>0.39358026214566905</v>
      </c>
      <c r="Q55" s="153">
        <v>0.53857526864315253</v>
      </c>
      <c r="R55" s="153">
        <v>0.3432094572454602</v>
      </c>
      <c r="S55" s="153">
        <v>0.03</v>
      </c>
      <c r="T55" s="153">
        <v>0</v>
      </c>
      <c r="U55" s="474">
        <v>2014</v>
      </c>
      <c r="V55">
        <v>2030</v>
      </c>
      <c r="W55">
        <v>0</v>
      </c>
      <c r="X55">
        <v>0</v>
      </c>
      <c r="Y55">
        <v>1304</v>
      </c>
      <c r="Z55">
        <v>311</v>
      </c>
      <c r="AA55" s="475" t="s">
        <v>23</v>
      </c>
    </row>
    <row r="56" spans="1:27" ht="15" hidden="1">
      <c r="A56" s="24">
        <v>1055</v>
      </c>
      <c r="B56" s="24">
        <v>1055</v>
      </c>
      <c r="C56" s="469" t="s">
        <v>450</v>
      </c>
      <c r="D56" t="s">
        <v>146</v>
      </c>
      <c r="E56" s="470">
        <v>1</v>
      </c>
      <c r="F56" s="471">
        <v>46.213592233009706</v>
      </c>
      <c r="G56">
        <v>1</v>
      </c>
      <c r="H56">
        <v>1</v>
      </c>
      <c r="I56" s="472">
        <f t="shared" si="0"/>
        <v>0.32845968612834514</v>
      </c>
      <c r="J56" s="153">
        <v>3.8473756479098807E-2</v>
      </c>
      <c r="K56" s="153">
        <v>0.39358026214566905</v>
      </c>
      <c r="L56" s="153">
        <v>0.53857526864315253</v>
      </c>
      <c r="M56" s="153">
        <v>0.3432094572454602</v>
      </c>
      <c r="N56" s="472">
        <f t="shared" si="1"/>
        <v>0.32845968612834514</v>
      </c>
      <c r="O56" s="153">
        <v>3.8473756479098807E-2</v>
      </c>
      <c r="P56" s="153">
        <v>0.39358026214566905</v>
      </c>
      <c r="Q56" s="153">
        <v>0.53857526864315253</v>
      </c>
      <c r="R56" s="153">
        <v>0.3432094572454602</v>
      </c>
      <c r="S56" s="153">
        <v>0.03</v>
      </c>
      <c r="T56" s="153">
        <v>0</v>
      </c>
      <c r="U56" s="474">
        <v>2010</v>
      </c>
      <c r="V56">
        <v>2023</v>
      </c>
      <c r="W56">
        <v>0</v>
      </c>
      <c r="X56">
        <v>0</v>
      </c>
      <c r="Y56">
        <v>1304</v>
      </c>
      <c r="Z56">
        <v>311</v>
      </c>
      <c r="AA56" s="475" t="s">
        <v>23</v>
      </c>
    </row>
    <row r="57" spans="1:27" ht="15" hidden="1">
      <c r="A57" s="24">
        <v>1056</v>
      </c>
      <c r="B57" s="24">
        <v>1056</v>
      </c>
      <c r="C57" s="469" t="s">
        <v>451</v>
      </c>
      <c r="D57" t="s">
        <v>146</v>
      </c>
      <c r="E57" s="470">
        <v>1</v>
      </c>
      <c r="F57" s="471">
        <v>89.786407766990294</v>
      </c>
      <c r="G57">
        <v>1</v>
      </c>
      <c r="H57">
        <v>1</v>
      </c>
      <c r="I57" s="472">
        <f t="shared" si="0"/>
        <v>0.32845968612834514</v>
      </c>
      <c r="J57" s="153">
        <v>3.8473756479098807E-2</v>
      </c>
      <c r="K57" s="153">
        <v>0.39358026214566905</v>
      </c>
      <c r="L57" s="153">
        <v>0.53857526864315253</v>
      </c>
      <c r="M57" s="153">
        <v>0.3432094572454602</v>
      </c>
      <c r="N57" s="472">
        <f t="shared" si="1"/>
        <v>0.32845968612834514</v>
      </c>
      <c r="O57" s="153">
        <v>3.8473756479098807E-2</v>
      </c>
      <c r="P57" s="153">
        <v>0.39358026214566905</v>
      </c>
      <c r="Q57" s="153">
        <v>0.53857526864315253</v>
      </c>
      <c r="R57" s="153">
        <v>0.3432094572454602</v>
      </c>
      <c r="S57" s="153">
        <v>0.03</v>
      </c>
      <c r="T57" s="153">
        <v>0</v>
      </c>
      <c r="U57" s="474">
        <v>2010</v>
      </c>
      <c r="V57">
        <v>2023</v>
      </c>
      <c r="W57">
        <v>0</v>
      </c>
      <c r="X57">
        <v>0</v>
      </c>
      <c r="Y57">
        <v>1304</v>
      </c>
      <c r="Z57">
        <v>311</v>
      </c>
      <c r="AA57" s="475" t="s">
        <v>23</v>
      </c>
    </row>
    <row r="58" spans="1:27" ht="15" hidden="1">
      <c r="A58" s="24">
        <v>1057</v>
      </c>
      <c r="B58" s="24">
        <v>1057</v>
      </c>
      <c r="C58" s="469" t="s">
        <v>452</v>
      </c>
      <c r="D58" t="s">
        <v>146</v>
      </c>
      <c r="E58" s="470">
        <v>1</v>
      </c>
      <c r="F58" s="471">
        <v>62.9</v>
      </c>
      <c r="G58">
        <v>1</v>
      </c>
      <c r="H58">
        <v>1</v>
      </c>
      <c r="I58" s="472">
        <f t="shared" si="0"/>
        <v>0.32845968612834514</v>
      </c>
      <c r="J58" s="153">
        <v>3.8473756479098807E-2</v>
      </c>
      <c r="K58" s="153">
        <v>0.39358026214566905</v>
      </c>
      <c r="L58" s="153">
        <v>0.53857526864315253</v>
      </c>
      <c r="M58" s="153">
        <v>0.3432094572454602</v>
      </c>
      <c r="N58" s="472">
        <f t="shared" si="1"/>
        <v>0.32845968612834514</v>
      </c>
      <c r="O58" s="153">
        <v>3.8473756479098807E-2</v>
      </c>
      <c r="P58" s="153">
        <v>0.39358026214566905</v>
      </c>
      <c r="Q58" s="153">
        <v>0.53857526864315253</v>
      </c>
      <c r="R58" s="153">
        <v>0.3432094572454602</v>
      </c>
      <c r="S58" s="153">
        <v>0.03</v>
      </c>
      <c r="T58" s="153">
        <v>0</v>
      </c>
      <c r="U58" s="474">
        <v>2010</v>
      </c>
      <c r="V58">
        <v>2023</v>
      </c>
      <c r="W58">
        <v>0</v>
      </c>
      <c r="X58">
        <v>0</v>
      </c>
      <c r="Y58">
        <v>1304</v>
      </c>
      <c r="Z58">
        <v>311</v>
      </c>
      <c r="AA58" s="475" t="s">
        <v>23</v>
      </c>
    </row>
    <row r="59" spans="1:27" ht="15" hidden="1">
      <c r="A59" s="24">
        <v>1058</v>
      </c>
      <c r="B59" s="24">
        <v>1058</v>
      </c>
      <c r="C59" s="469" t="s">
        <v>453</v>
      </c>
      <c r="D59" t="s">
        <v>146</v>
      </c>
      <c r="E59" s="470">
        <v>1</v>
      </c>
      <c r="F59" s="471">
        <v>0</v>
      </c>
      <c r="G59">
        <v>1</v>
      </c>
      <c r="H59">
        <v>1</v>
      </c>
      <c r="I59" s="472">
        <f t="shared" si="0"/>
        <v>0.32845968612834514</v>
      </c>
      <c r="J59" s="153">
        <v>3.8473756479098807E-2</v>
      </c>
      <c r="K59" s="153">
        <v>0.39358026214566905</v>
      </c>
      <c r="L59" s="153">
        <v>0.53857526864315253</v>
      </c>
      <c r="M59" s="153">
        <v>0.3432094572454602</v>
      </c>
      <c r="N59" s="472">
        <f t="shared" si="1"/>
        <v>0.32845968612834514</v>
      </c>
      <c r="O59" s="153">
        <v>3.8473756479098807E-2</v>
      </c>
      <c r="P59" s="153">
        <v>0.39358026214566905</v>
      </c>
      <c r="Q59" s="153">
        <v>0.53857526864315253</v>
      </c>
      <c r="R59" s="153">
        <v>0.3432094572454602</v>
      </c>
      <c r="S59" s="153">
        <v>0.03</v>
      </c>
      <c r="T59" s="153">
        <v>0</v>
      </c>
      <c r="U59" s="474">
        <v>1900</v>
      </c>
      <c r="V59">
        <v>2030</v>
      </c>
      <c r="W59">
        <v>0</v>
      </c>
      <c r="X59">
        <v>0</v>
      </c>
      <c r="Y59">
        <v>1304</v>
      </c>
      <c r="Z59">
        <v>311</v>
      </c>
      <c r="AA59" s="475" t="s">
        <v>23</v>
      </c>
    </row>
    <row r="60" spans="1:27" ht="15" hidden="1">
      <c r="A60" s="24">
        <v>1059</v>
      </c>
      <c r="B60" s="24">
        <v>1059</v>
      </c>
      <c r="C60" s="469" t="s">
        <v>454</v>
      </c>
      <c r="D60" t="s">
        <v>146</v>
      </c>
      <c r="E60" s="470">
        <v>1</v>
      </c>
      <c r="F60" s="471">
        <v>23</v>
      </c>
      <c r="G60">
        <v>1</v>
      </c>
      <c r="H60">
        <v>1</v>
      </c>
      <c r="I60" s="472">
        <f t="shared" si="0"/>
        <v>0.32845968612834514</v>
      </c>
      <c r="J60" s="153">
        <v>3.8473756479098807E-2</v>
      </c>
      <c r="K60" s="153">
        <v>0.39358026214566905</v>
      </c>
      <c r="L60" s="153">
        <v>0.53857526864315253</v>
      </c>
      <c r="M60" s="153">
        <v>0.3432094572454602</v>
      </c>
      <c r="N60" s="472">
        <f t="shared" si="1"/>
        <v>0.32845968612834514</v>
      </c>
      <c r="O60" s="153">
        <v>3.8473756479098807E-2</v>
      </c>
      <c r="P60" s="153">
        <v>0.39358026214566905</v>
      </c>
      <c r="Q60" s="153">
        <v>0.53857526864315253</v>
      </c>
      <c r="R60" s="153">
        <v>0.3432094572454602</v>
      </c>
      <c r="S60" s="153">
        <v>0.03</v>
      </c>
      <c r="T60" s="153">
        <v>0</v>
      </c>
      <c r="U60" s="474">
        <v>2002</v>
      </c>
      <c r="V60">
        <v>2023</v>
      </c>
      <c r="W60">
        <v>0</v>
      </c>
      <c r="X60">
        <v>0</v>
      </c>
      <c r="Y60">
        <v>1304</v>
      </c>
      <c r="Z60">
        <v>311</v>
      </c>
      <c r="AA60" s="475" t="s">
        <v>23</v>
      </c>
    </row>
    <row r="61" spans="1:27" ht="15" hidden="1">
      <c r="A61" s="24">
        <v>1060</v>
      </c>
      <c r="B61" s="24">
        <v>1060</v>
      </c>
      <c r="C61" s="469" t="s">
        <v>455</v>
      </c>
      <c r="D61" t="s">
        <v>146</v>
      </c>
      <c r="E61" s="470">
        <v>1</v>
      </c>
      <c r="F61" s="471">
        <v>0</v>
      </c>
      <c r="G61">
        <v>1</v>
      </c>
      <c r="H61">
        <v>1</v>
      </c>
      <c r="I61" s="472">
        <f t="shared" si="0"/>
        <v>0.32845968612834514</v>
      </c>
      <c r="J61" s="153">
        <v>3.8473756479098807E-2</v>
      </c>
      <c r="K61" s="153">
        <v>0.39358026214566905</v>
      </c>
      <c r="L61" s="153">
        <v>0.53857526864315253</v>
      </c>
      <c r="M61" s="153">
        <v>0.3432094572454602</v>
      </c>
      <c r="N61" s="472">
        <f t="shared" si="1"/>
        <v>0.32845968612834514</v>
      </c>
      <c r="O61" s="153">
        <v>3.8473756479098807E-2</v>
      </c>
      <c r="P61" s="153">
        <v>0.39358026214566905</v>
      </c>
      <c r="Q61" s="153">
        <v>0.53857526864315253</v>
      </c>
      <c r="R61" s="153">
        <v>0.3432094572454602</v>
      </c>
      <c r="S61" s="153">
        <v>0.03</v>
      </c>
      <c r="T61" s="153">
        <v>0</v>
      </c>
      <c r="U61" s="474">
        <v>2002</v>
      </c>
      <c r="V61">
        <v>2023</v>
      </c>
      <c r="W61">
        <v>0</v>
      </c>
      <c r="X61">
        <v>0</v>
      </c>
      <c r="Y61">
        <v>1304</v>
      </c>
      <c r="Z61">
        <v>311</v>
      </c>
      <c r="AA61" s="475" t="s">
        <v>23</v>
      </c>
    </row>
    <row r="62" spans="1:27" ht="15" hidden="1">
      <c r="A62" s="24">
        <v>1061</v>
      </c>
      <c r="B62" s="24">
        <v>1061</v>
      </c>
      <c r="C62" s="469" t="s">
        <v>456</v>
      </c>
      <c r="D62" t="s">
        <v>146</v>
      </c>
      <c r="E62" s="470">
        <v>1</v>
      </c>
      <c r="F62" s="471">
        <v>12.9</v>
      </c>
      <c r="G62">
        <v>1</v>
      </c>
      <c r="H62">
        <v>1</v>
      </c>
      <c r="I62" s="472">
        <f t="shared" si="0"/>
        <v>0.32845968612834514</v>
      </c>
      <c r="J62" s="153">
        <v>3.8473756479098807E-2</v>
      </c>
      <c r="K62" s="153">
        <v>0.39358026214566905</v>
      </c>
      <c r="L62" s="153">
        <v>0.53857526864315253</v>
      </c>
      <c r="M62" s="153">
        <v>0.3432094572454602</v>
      </c>
      <c r="N62" s="472">
        <f t="shared" si="1"/>
        <v>0.32845968612834514</v>
      </c>
      <c r="O62" s="153">
        <v>3.8473756479098807E-2</v>
      </c>
      <c r="P62" s="153">
        <v>0.39358026214566905</v>
      </c>
      <c r="Q62" s="153">
        <v>0.53857526864315253</v>
      </c>
      <c r="R62" s="153">
        <v>0.3432094572454602</v>
      </c>
      <c r="S62" s="153">
        <v>0.03</v>
      </c>
      <c r="T62" s="153">
        <v>0</v>
      </c>
      <c r="U62" s="474">
        <v>1900</v>
      </c>
      <c r="V62">
        <v>2030</v>
      </c>
      <c r="W62">
        <v>0</v>
      </c>
      <c r="X62">
        <v>0</v>
      </c>
      <c r="Y62">
        <v>1304</v>
      </c>
      <c r="Z62">
        <v>311</v>
      </c>
      <c r="AA62" s="475" t="s">
        <v>23</v>
      </c>
    </row>
    <row r="63" spans="1:27" ht="15" hidden="1">
      <c r="A63" s="24">
        <v>1062</v>
      </c>
      <c r="B63" s="24">
        <v>1062</v>
      </c>
      <c r="C63" s="469" t="s">
        <v>457</v>
      </c>
      <c r="D63" t="s">
        <v>146</v>
      </c>
      <c r="E63" s="470">
        <v>1</v>
      </c>
      <c r="F63" s="471">
        <v>0</v>
      </c>
      <c r="G63">
        <v>1</v>
      </c>
      <c r="H63">
        <v>1</v>
      </c>
      <c r="I63" s="472">
        <f t="shared" si="0"/>
        <v>0.32845968612834514</v>
      </c>
      <c r="J63" s="153">
        <v>3.8473756479098807E-2</v>
      </c>
      <c r="K63" s="153">
        <v>0.39358026214566905</v>
      </c>
      <c r="L63" s="153">
        <v>0.53857526864315253</v>
      </c>
      <c r="M63" s="153">
        <v>0.3432094572454602</v>
      </c>
      <c r="N63" s="472">
        <f t="shared" si="1"/>
        <v>0.32845968612834514</v>
      </c>
      <c r="O63" s="153">
        <v>3.8473756479098807E-2</v>
      </c>
      <c r="P63" s="153">
        <v>0.39358026214566905</v>
      </c>
      <c r="Q63" s="153">
        <v>0.53857526864315253</v>
      </c>
      <c r="R63" s="153">
        <v>0.3432094572454602</v>
      </c>
      <c r="S63" s="153">
        <v>0.03</v>
      </c>
      <c r="T63" s="153">
        <v>0</v>
      </c>
      <c r="U63" s="474">
        <v>1900</v>
      </c>
      <c r="V63">
        <v>2030</v>
      </c>
      <c r="W63">
        <v>0</v>
      </c>
      <c r="X63">
        <v>0</v>
      </c>
      <c r="Y63">
        <v>1304</v>
      </c>
      <c r="Z63">
        <v>311</v>
      </c>
      <c r="AA63" s="475" t="s">
        <v>23</v>
      </c>
    </row>
    <row r="64" spans="1:27" ht="15" hidden="1">
      <c r="A64" s="24">
        <v>1063</v>
      </c>
      <c r="B64" s="24">
        <v>1063</v>
      </c>
      <c r="C64" s="469" t="s">
        <v>458</v>
      </c>
      <c r="D64" t="s">
        <v>152</v>
      </c>
      <c r="E64" s="470">
        <v>3</v>
      </c>
      <c r="F64" s="471">
        <v>4.818181818181813</v>
      </c>
      <c r="G64">
        <v>1</v>
      </c>
      <c r="H64">
        <v>1</v>
      </c>
      <c r="I64" s="472">
        <f t="shared" si="0"/>
        <v>0.32845968612834514</v>
      </c>
      <c r="J64" s="153">
        <v>3.8473756479098807E-2</v>
      </c>
      <c r="K64" s="153">
        <v>0.39358026214566905</v>
      </c>
      <c r="L64" s="153">
        <v>0.53857526864315253</v>
      </c>
      <c r="M64" s="153">
        <v>0.3432094572454602</v>
      </c>
      <c r="N64" s="472">
        <f t="shared" si="1"/>
        <v>0.32845968612834514</v>
      </c>
      <c r="O64" s="153">
        <v>3.8473756479098807E-2</v>
      </c>
      <c r="P64" s="153">
        <v>0.39358026214566905</v>
      </c>
      <c r="Q64" s="153">
        <v>0.53857526864315253</v>
      </c>
      <c r="R64" s="153">
        <v>0.3432094572454602</v>
      </c>
      <c r="S64" s="153">
        <v>0.03</v>
      </c>
      <c r="T64" s="153">
        <v>0</v>
      </c>
      <c r="U64" s="474">
        <v>2013</v>
      </c>
      <c r="V64">
        <v>2030</v>
      </c>
      <c r="W64">
        <v>0</v>
      </c>
      <c r="X64">
        <v>0</v>
      </c>
      <c r="Y64">
        <v>1304</v>
      </c>
      <c r="Z64">
        <v>311</v>
      </c>
      <c r="AA64" s="475" t="s">
        <v>23</v>
      </c>
    </row>
    <row r="65" spans="1:27" ht="15" hidden="1">
      <c r="A65" s="24">
        <v>1064</v>
      </c>
      <c r="B65" s="24">
        <v>1064</v>
      </c>
      <c r="C65" s="469" t="s">
        <v>459</v>
      </c>
      <c r="D65" t="s">
        <v>152</v>
      </c>
      <c r="E65" s="470">
        <v>3</v>
      </c>
      <c r="F65" s="471">
        <v>48.181818181818187</v>
      </c>
      <c r="G65">
        <v>1</v>
      </c>
      <c r="H65">
        <v>1</v>
      </c>
      <c r="I65" s="472">
        <f t="shared" si="0"/>
        <v>0.32845968612834514</v>
      </c>
      <c r="J65" s="153">
        <v>3.8473756479098807E-2</v>
      </c>
      <c r="K65" s="153">
        <v>0.39358026214566905</v>
      </c>
      <c r="L65" s="153">
        <v>0.53857526864315253</v>
      </c>
      <c r="M65" s="153">
        <v>0.3432094572454602</v>
      </c>
      <c r="N65" s="472">
        <f t="shared" si="1"/>
        <v>0.32845968612834514</v>
      </c>
      <c r="O65" s="153">
        <v>3.8473756479098807E-2</v>
      </c>
      <c r="P65" s="153">
        <v>0.39358026214566905</v>
      </c>
      <c r="Q65" s="153">
        <v>0.53857526864315253</v>
      </c>
      <c r="R65" s="153">
        <v>0.3432094572454602</v>
      </c>
      <c r="S65" s="153">
        <v>0.03</v>
      </c>
      <c r="T65" s="153">
        <v>0</v>
      </c>
      <c r="U65" s="474">
        <v>2010</v>
      </c>
      <c r="V65">
        <v>2023</v>
      </c>
      <c r="W65">
        <v>0</v>
      </c>
      <c r="X65">
        <v>0</v>
      </c>
      <c r="Y65">
        <v>1304</v>
      </c>
      <c r="Z65">
        <v>311</v>
      </c>
      <c r="AA65" s="475" t="s">
        <v>23</v>
      </c>
    </row>
    <row r="66" spans="1:27" ht="15" hidden="1">
      <c r="A66" s="24">
        <v>1065</v>
      </c>
      <c r="B66" s="24">
        <v>1065</v>
      </c>
      <c r="C66" s="469" t="s">
        <v>460</v>
      </c>
      <c r="D66" t="s">
        <v>149</v>
      </c>
      <c r="E66" s="470">
        <v>2</v>
      </c>
      <c r="F66" s="471">
        <v>12</v>
      </c>
      <c r="G66">
        <v>1</v>
      </c>
      <c r="H66">
        <v>1</v>
      </c>
      <c r="I66" s="472">
        <f t="shared" ref="I66:I129" si="2">AVERAGE(J66:M66)</f>
        <v>0.32845968612834514</v>
      </c>
      <c r="J66" s="153">
        <v>3.8473756479098807E-2</v>
      </c>
      <c r="K66" s="153">
        <v>0.39358026214566905</v>
      </c>
      <c r="L66" s="153">
        <v>0.53857526864315253</v>
      </c>
      <c r="M66" s="153">
        <v>0.3432094572454602</v>
      </c>
      <c r="N66" s="472">
        <f t="shared" ref="N66:N129" si="3">AVERAGE(O66:R66)</f>
        <v>0.32845968612834514</v>
      </c>
      <c r="O66" s="153">
        <v>3.8473756479098807E-2</v>
      </c>
      <c r="P66" s="153">
        <v>0.39358026214566905</v>
      </c>
      <c r="Q66" s="153">
        <v>0.53857526864315253</v>
      </c>
      <c r="R66" s="153">
        <v>0.3432094572454602</v>
      </c>
      <c r="S66" s="153">
        <v>0.03</v>
      </c>
      <c r="T66" s="153">
        <v>0</v>
      </c>
      <c r="U66" s="474">
        <v>2005</v>
      </c>
      <c r="V66">
        <v>2023</v>
      </c>
      <c r="W66">
        <v>0</v>
      </c>
      <c r="X66">
        <v>0</v>
      </c>
      <c r="Y66">
        <v>1304</v>
      </c>
      <c r="Z66">
        <v>311</v>
      </c>
      <c r="AA66" s="475" t="s">
        <v>23</v>
      </c>
    </row>
    <row r="67" spans="1:27" ht="15" hidden="1">
      <c r="A67" s="24">
        <v>1066</v>
      </c>
      <c r="B67" s="24">
        <v>1066</v>
      </c>
      <c r="C67" s="469" t="s">
        <v>461</v>
      </c>
      <c r="D67" t="s">
        <v>149</v>
      </c>
      <c r="E67" s="470">
        <v>2</v>
      </c>
      <c r="F67" s="471">
        <v>0</v>
      </c>
      <c r="G67">
        <v>1</v>
      </c>
      <c r="H67">
        <v>1</v>
      </c>
      <c r="I67" s="472">
        <f t="shared" si="2"/>
        <v>0.32845968612834514</v>
      </c>
      <c r="J67" s="153">
        <v>3.8473756479098807E-2</v>
      </c>
      <c r="K67" s="153">
        <v>0.39358026214566905</v>
      </c>
      <c r="L67" s="153">
        <v>0.53857526864315253</v>
      </c>
      <c r="M67" s="153">
        <v>0.3432094572454602</v>
      </c>
      <c r="N67" s="472">
        <f t="shared" si="3"/>
        <v>0.32845968612834514</v>
      </c>
      <c r="O67" s="153">
        <v>3.8473756479098807E-2</v>
      </c>
      <c r="P67" s="153">
        <v>0.39358026214566905</v>
      </c>
      <c r="Q67" s="153">
        <v>0.53857526864315253</v>
      </c>
      <c r="R67" s="153">
        <v>0.3432094572454602</v>
      </c>
      <c r="S67" s="153">
        <v>0.03</v>
      </c>
      <c r="T67" s="153">
        <v>0</v>
      </c>
      <c r="U67" s="474">
        <v>2005</v>
      </c>
      <c r="V67">
        <v>2023</v>
      </c>
      <c r="W67">
        <v>0</v>
      </c>
      <c r="X67">
        <v>0</v>
      </c>
      <c r="Y67">
        <v>1304</v>
      </c>
      <c r="Z67">
        <v>311</v>
      </c>
      <c r="AA67" s="475" t="s">
        <v>23</v>
      </c>
    </row>
    <row r="68" spans="1:27" ht="15" hidden="1">
      <c r="A68" s="24">
        <v>1067</v>
      </c>
      <c r="B68" s="24">
        <v>1067</v>
      </c>
      <c r="C68" s="469" t="s">
        <v>462</v>
      </c>
      <c r="D68" t="s">
        <v>146</v>
      </c>
      <c r="E68" s="470">
        <v>1</v>
      </c>
      <c r="F68" s="471">
        <v>10.220000000000001</v>
      </c>
      <c r="G68">
        <v>1</v>
      </c>
      <c r="H68">
        <v>1</v>
      </c>
      <c r="I68" s="472">
        <f t="shared" si="2"/>
        <v>0.32845968612834514</v>
      </c>
      <c r="J68" s="153">
        <v>3.8473756479098807E-2</v>
      </c>
      <c r="K68" s="153">
        <v>0.39358026214566905</v>
      </c>
      <c r="L68" s="153">
        <v>0.53857526864315253</v>
      </c>
      <c r="M68" s="153">
        <v>0.3432094572454602</v>
      </c>
      <c r="N68" s="472">
        <f t="shared" si="3"/>
        <v>0.32845968612834514</v>
      </c>
      <c r="O68" s="153">
        <v>3.8473756479098807E-2</v>
      </c>
      <c r="P68" s="153">
        <v>0.39358026214566905</v>
      </c>
      <c r="Q68" s="153">
        <v>0.53857526864315253</v>
      </c>
      <c r="R68" s="153">
        <v>0.3432094572454602</v>
      </c>
      <c r="S68" s="153">
        <v>0.03</v>
      </c>
      <c r="T68" s="153">
        <v>0</v>
      </c>
      <c r="U68" s="474">
        <v>2008</v>
      </c>
      <c r="V68">
        <v>2023</v>
      </c>
      <c r="W68">
        <v>0</v>
      </c>
      <c r="X68">
        <v>0</v>
      </c>
      <c r="Y68">
        <v>1304</v>
      </c>
      <c r="Z68">
        <v>311</v>
      </c>
      <c r="AA68" s="475" t="s">
        <v>23</v>
      </c>
    </row>
    <row r="69" spans="1:27" ht="15" hidden="1">
      <c r="A69" s="24">
        <v>1068</v>
      </c>
      <c r="B69" s="24">
        <v>1068</v>
      </c>
      <c r="C69" s="469" t="s">
        <v>463</v>
      </c>
      <c r="D69" t="s">
        <v>146</v>
      </c>
      <c r="E69" s="470">
        <v>1</v>
      </c>
      <c r="F69" s="471">
        <v>0</v>
      </c>
      <c r="G69">
        <v>1</v>
      </c>
      <c r="H69">
        <v>1</v>
      </c>
      <c r="I69" s="472">
        <f t="shared" si="2"/>
        <v>0.32845968612834514</v>
      </c>
      <c r="J69" s="153">
        <v>3.8473756479098807E-2</v>
      </c>
      <c r="K69" s="153">
        <v>0.39358026214566905</v>
      </c>
      <c r="L69" s="153">
        <v>0.53857526864315253</v>
      </c>
      <c r="M69" s="153">
        <v>0.3432094572454602</v>
      </c>
      <c r="N69" s="472">
        <f t="shared" si="3"/>
        <v>0.32845968612834514</v>
      </c>
      <c r="O69" s="153">
        <v>3.8473756479098807E-2</v>
      </c>
      <c r="P69" s="153">
        <v>0.39358026214566905</v>
      </c>
      <c r="Q69" s="153">
        <v>0.53857526864315253</v>
      </c>
      <c r="R69" s="153">
        <v>0.3432094572454602</v>
      </c>
      <c r="S69" s="153">
        <v>0.03</v>
      </c>
      <c r="T69" s="153">
        <v>0</v>
      </c>
      <c r="U69" s="474">
        <v>1900</v>
      </c>
      <c r="V69">
        <v>2030</v>
      </c>
      <c r="W69">
        <v>0</v>
      </c>
      <c r="X69">
        <v>0</v>
      </c>
      <c r="Y69">
        <v>1304</v>
      </c>
      <c r="Z69">
        <v>311</v>
      </c>
      <c r="AA69" s="475" t="s">
        <v>23</v>
      </c>
    </row>
    <row r="70" spans="1:27" ht="15" hidden="1">
      <c r="A70" s="24">
        <v>1069</v>
      </c>
      <c r="B70" s="24">
        <v>1069</v>
      </c>
      <c r="C70" s="469" t="s">
        <v>464</v>
      </c>
      <c r="D70" t="s">
        <v>146</v>
      </c>
      <c r="E70" s="470">
        <v>1</v>
      </c>
      <c r="F70" s="471">
        <v>50</v>
      </c>
      <c r="G70">
        <v>1</v>
      </c>
      <c r="H70">
        <v>1</v>
      </c>
      <c r="I70" s="472">
        <f t="shared" si="2"/>
        <v>0.32845968612834514</v>
      </c>
      <c r="J70" s="153">
        <v>3.8473756479098807E-2</v>
      </c>
      <c r="K70" s="153">
        <v>0.39358026214566905</v>
      </c>
      <c r="L70" s="153">
        <v>0.53857526864315253</v>
      </c>
      <c r="M70" s="153">
        <v>0.3432094572454602</v>
      </c>
      <c r="N70" s="472">
        <f t="shared" si="3"/>
        <v>0.32845968612834514</v>
      </c>
      <c r="O70" s="153">
        <v>3.8473756479098807E-2</v>
      </c>
      <c r="P70" s="153">
        <v>0.39358026214566905</v>
      </c>
      <c r="Q70" s="153">
        <v>0.53857526864315253</v>
      </c>
      <c r="R70" s="153">
        <v>0.3432094572454602</v>
      </c>
      <c r="S70" s="153">
        <v>0.03</v>
      </c>
      <c r="T70" s="153">
        <v>0</v>
      </c>
      <c r="U70" s="474">
        <v>2013</v>
      </c>
      <c r="V70">
        <v>2030</v>
      </c>
      <c r="W70">
        <v>0</v>
      </c>
      <c r="X70">
        <v>0</v>
      </c>
      <c r="Y70">
        <v>1304</v>
      </c>
      <c r="Z70">
        <v>311</v>
      </c>
      <c r="AA70" s="475" t="s">
        <v>23</v>
      </c>
    </row>
    <row r="71" spans="1:27" ht="15" hidden="1">
      <c r="A71" s="24">
        <v>1070</v>
      </c>
      <c r="B71" s="24">
        <v>1070</v>
      </c>
      <c r="C71" s="469" t="s">
        <v>465</v>
      </c>
      <c r="D71" t="s">
        <v>146</v>
      </c>
      <c r="E71" s="470">
        <v>1</v>
      </c>
      <c r="F71" s="471">
        <v>0</v>
      </c>
      <c r="G71">
        <v>1</v>
      </c>
      <c r="H71">
        <v>1</v>
      </c>
      <c r="I71" s="472">
        <f t="shared" si="2"/>
        <v>0.32845968612834514</v>
      </c>
      <c r="J71" s="153">
        <v>3.8473756479098807E-2</v>
      </c>
      <c r="K71" s="153">
        <v>0.39358026214566905</v>
      </c>
      <c r="L71" s="153">
        <v>0.53857526864315253</v>
      </c>
      <c r="M71" s="153">
        <v>0.3432094572454602</v>
      </c>
      <c r="N71" s="472">
        <f t="shared" si="3"/>
        <v>0.32845968612834514</v>
      </c>
      <c r="O71" s="153">
        <v>3.8473756479098807E-2</v>
      </c>
      <c r="P71" s="153">
        <v>0.39358026214566905</v>
      </c>
      <c r="Q71" s="153">
        <v>0.53857526864315253</v>
      </c>
      <c r="R71" s="153">
        <v>0.3432094572454602</v>
      </c>
      <c r="S71" s="153">
        <v>0.03</v>
      </c>
      <c r="T71" s="153">
        <v>0</v>
      </c>
      <c r="U71" s="474">
        <v>2013</v>
      </c>
      <c r="V71">
        <v>2030</v>
      </c>
      <c r="W71">
        <v>0</v>
      </c>
      <c r="X71">
        <v>0</v>
      </c>
      <c r="Y71">
        <v>1304</v>
      </c>
      <c r="Z71">
        <v>311</v>
      </c>
      <c r="AA71" s="475" t="s">
        <v>23</v>
      </c>
    </row>
    <row r="72" spans="1:27" ht="15" hidden="1">
      <c r="A72" s="24">
        <v>1071</v>
      </c>
      <c r="B72" s="24">
        <v>1071</v>
      </c>
      <c r="C72" s="469" t="s">
        <v>466</v>
      </c>
      <c r="D72" t="s">
        <v>149</v>
      </c>
      <c r="E72" s="470">
        <v>2</v>
      </c>
      <c r="F72" s="471">
        <v>50</v>
      </c>
      <c r="G72">
        <v>1</v>
      </c>
      <c r="H72">
        <v>1</v>
      </c>
      <c r="I72" s="472">
        <f t="shared" si="2"/>
        <v>0.32845968612834514</v>
      </c>
      <c r="J72" s="153">
        <v>3.8473756479098807E-2</v>
      </c>
      <c r="K72" s="153">
        <v>0.39358026214566905</v>
      </c>
      <c r="L72" s="153">
        <v>0.53857526864315253</v>
      </c>
      <c r="M72" s="153">
        <v>0.3432094572454602</v>
      </c>
      <c r="N72" s="472">
        <f t="shared" si="3"/>
        <v>0.32845968612834514</v>
      </c>
      <c r="O72" s="153">
        <v>3.8473756479098807E-2</v>
      </c>
      <c r="P72" s="153">
        <v>0.39358026214566905</v>
      </c>
      <c r="Q72" s="153">
        <v>0.53857526864315253</v>
      </c>
      <c r="R72" s="153">
        <v>0.3432094572454602</v>
      </c>
      <c r="S72" s="153">
        <v>0.03</v>
      </c>
      <c r="T72" s="153">
        <v>0</v>
      </c>
      <c r="U72" s="474">
        <v>2013</v>
      </c>
      <c r="V72">
        <v>2030</v>
      </c>
      <c r="W72">
        <v>0</v>
      </c>
      <c r="X72">
        <v>0</v>
      </c>
      <c r="Y72">
        <v>1304</v>
      </c>
      <c r="Z72">
        <v>311</v>
      </c>
      <c r="AA72" s="475" t="s">
        <v>23</v>
      </c>
    </row>
    <row r="73" spans="1:27" ht="15" hidden="1">
      <c r="A73" s="24">
        <v>1072</v>
      </c>
      <c r="B73" s="24">
        <v>1072</v>
      </c>
      <c r="C73" s="469" t="s">
        <v>467</v>
      </c>
      <c r="D73" t="s">
        <v>149</v>
      </c>
      <c r="E73" s="470">
        <v>2</v>
      </c>
      <c r="F73" s="471">
        <v>0</v>
      </c>
      <c r="G73">
        <v>1</v>
      </c>
      <c r="H73">
        <v>1</v>
      </c>
      <c r="I73" s="472">
        <f t="shared" si="2"/>
        <v>0.32845968612834514</v>
      </c>
      <c r="J73" s="153">
        <v>3.8473756479098807E-2</v>
      </c>
      <c r="K73" s="153">
        <v>0.39358026214566905</v>
      </c>
      <c r="L73" s="153">
        <v>0.53857526864315253</v>
      </c>
      <c r="M73" s="153">
        <v>0.3432094572454602</v>
      </c>
      <c r="N73" s="472">
        <f t="shared" si="3"/>
        <v>0.32845968612834514</v>
      </c>
      <c r="O73" s="153">
        <v>3.8473756479098807E-2</v>
      </c>
      <c r="P73" s="153">
        <v>0.39358026214566905</v>
      </c>
      <c r="Q73" s="153">
        <v>0.53857526864315253</v>
      </c>
      <c r="R73" s="153">
        <v>0.3432094572454602</v>
      </c>
      <c r="S73" s="153">
        <v>0.03</v>
      </c>
      <c r="T73" s="153">
        <v>0</v>
      </c>
      <c r="U73" s="474">
        <v>1900</v>
      </c>
      <c r="V73">
        <v>2030</v>
      </c>
      <c r="W73">
        <v>0</v>
      </c>
      <c r="X73">
        <v>0</v>
      </c>
      <c r="Y73">
        <v>1304</v>
      </c>
      <c r="Z73">
        <v>311</v>
      </c>
      <c r="AA73" s="475" t="s">
        <v>23</v>
      </c>
    </row>
    <row r="74" spans="1:27" ht="15" hidden="1">
      <c r="A74" s="24">
        <v>1073</v>
      </c>
      <c r="B74" s="24">
        <v>1073</v>
      </c>
      <c r="C74" s="469" t="s">
        <v>468</v>
      </c>
      <c r="D74" t="s">
        <v>146</v>
      </c>
      <c r="E74" s="470">
        <v>1</v>
      </c>
      <c r="F74" s="471">
        <v>25</v>
      </c>
      <c r="G74">
        <v>1</v>
      </c>
      <c r="H74">
        <v>1</v>
      </c>
      <c r="I74" s="472">
        <f t="shared" si="2"/>
        <v>0.32845968612834514</v>
      </c>
      <c r="J74" s="153">
        <v>3.8473756479098807E-2</v>
      </c>
      <c r="K74" s="153">
        <v>0.39358026214566905</v>
      </c>
      <c r="L74" s="153">
        <v>0.53857526864315253</v>
      </c>
      <c r="M74" s="153">
        <v>0.3432094572454602</v>
      </c>
      <c r="N74" s="472">
        <f t="shared" si="3"/>
        <v>0.32845968612834514</v>
      </c>
      <c r="O74" s="153">
        <v>3.8473756479098807E-2</v>
      </c>
      <c r="P74" s="153">
        <v>0.39358026214566905</v>
      </c>
      <c r="Q74" s="153">
        <v>0.53857526864315253</v>
      </c>
      <c r="R74" s="153">
        <v>0.3432094572454602</v>
      </c>
      <c r="S74" s="153">
        <v>0.03</v>
      </c>
      <c r="T74" s="153">
        <v>0</v>
      </c>
      <c r="U74" s="474">
        <v>2012</v>
      </c>
      <c r="V74">
        <v>2030</v>
      </c>
      <c r="W74">
        <v>0</v>
      </c>
      <c r="X74">
        <v>0</v>
      </c>
      <c r="Y74">
        <v>1304</v>
      </c>
      <c r="Z74">
        <v>311</v>
      </c>
      <c r="AA74" s="475" t="s">
        <v>23</v>
      </c>
    </row>
    <row r="75" spans="1:27" ht="15" hidden="1">
      <c r="A75" s="24">
        <v>1074</v>
      </c>
      <c r="B75" s="24">
        <v>1074</v>
      </c>
      <c r="C75" s="469" t="s">
        <v>469</v>
      </c>
      <c r="D75" t="s">
        <v>146</v>
      </c>
      <c r="E75" s="470">
        <v>1</v>
      </c>
      <c r="F75" s="471">
        <v>0</v>
      </c>
      <c r="G75">
        <v>1</v>
      </c>
      <c r="H75">
        <v>1</v>
      </c>
      <c r="I75" s="472">
        <f t="shared" si="2"/>
        <v>0.32845968612834514</v>
      </c>
      <c r="J75" s="153">
        <v>3.8473756479098807E-2</v>
      </c>
      <c r="K75" s="153">
        <v>0.39358026214566905</v>
      </c>
      <c r="L75" s="153">
        <v>0.53857526864315253</v>
      </c>
      <c r="M75" s="153">
        <v>0.3432094572454602</v>
      </c>
      <c r="N75" s="472">
        <f t="shared" si="3"/>
        <v>0.32845968612834514</v>
      </c>
      <c r="O75" s="153">
        <v>3.8473756479098807E-2</v>
      </c>
      <c r="P75" s="153">
        <v>0.39358026214566905</v>
      </c>
      <c r="Q75" s="153">
        <v>0.53857526864315253</v>
      </c>
      <c r="R75" s="153">
        <v>0.3432094572454602</v>
      </c>
      <c r="S75" s="153">
        <v>0.03</v>
      </c>
      <c r="T75" s="153">
        <v>0</v>
      </c>
      <c r="U75" s="474">
        <v>1900</v>
      </c>
      <c r="V75">
        <v>2030</v>
      </c>
      <c r="W75">
        <v>0</v>
      </c>
      <c r="X75">
        <v>0</v>
      </c>
      <c r="Y75">
        <v>1304</v>
      </c>
      <c r="Z75">
        <v>311</v>
      </c>
      <c r="AA75" s="475" t="s">
        <v>23</v>
      </c>
    </row>
    <row r="76" spans="1:27" ht="15" hidden="1">
      <c r="A76" s="24">
        <v>1075</v>
      </c>
      <c r="B76" s="24">
        <v>1075</v>
      </c>
      <c r="C76" s="469" t="s">
        <v>470</v>
      </c>
      <c r="D76" t="s">
        <v>152</v>
      </c>
      <c r="E76" s="470">
        <v>3</v>
      </c>
      <c r="F76" s="471">
        <v>30.7</v>
      </c>
      <c r="G76">
        <v>1</v>
      </c>
      <c r="H76">
        <v>1</v>
      </c>
      <c r="I76" s="472">
        <f t="shared" si="2"/>
        <v>0.32845968612834514</v>
      </c>
      <c r="J76" s="153">
        <v>3.8473756479098807E-2</v>
      </c>
      <c r="K76" s="153">
        <v>0.39358026214566905</v>
      </c>
      <c r="L76" s="153">
        <v>0.53857526864315253</v>
      </c>
      <c r="M76" s="153">
        <v>0.3432094572454602</v>
      </c>
      <c r="N76" s="472">
        <f t="shared" si="3"/>
        <v>0.32845968612834514</v>
      </c>
      <c r="O76" s="153">
        <v>3.8473756479098807E-2</v>
      </c>
      <c r="P76" s="153">
        <v>0.39358026214566905</v>
      </c>
      <c r="Q76" s="153">
        <v>0.53857526864315253</v>
      </c>
      <c r="R76" s="153">
        <v>0.3432094572454602</v>
      </c>
      <c r="S76" s="153">
        <v>0.03</v>
      </c>
      <c r="T76" s="153">
        <v>0</v>
      </c>
      <c r="U76" s="474">
        <v>2014</v>
      </c>
      <c r="V76">
        <v>2030</v>
      </c>
      <c r="W76">
        <v>0</v>
      </c>
      <c r="X76">
        <v>0</v>
      </c>
      <c r="Y76">
        <v>1304</v>
      </c>
      <c r="Z76">
        <v>311</v>
      </c>
      <c r="AA76" s="475" t="s">
        <v>23</v>
      </c>
    </row>
    <row r="77" spans="1:27" ht="15" hidden="1">
      <c r="A77" s="24">
        <v>1076</v>
      </c>
      <c r="B77" s="24">
        <v>1076</v>
      </c>
      <c r="C77" s="469" t="s">
        <v>471</v>
      </c>
      <c r="D77" t="s">
        <v>152</v>
      </c>
      <c r="E77" s="470">
        <v>3</v>
      </c>
      <c r="F77" s="471">
        <v>0</v>
      </c>
      <c r="G77">
        <v>1</v>
      </c>
      <c r="H77">
        <v>1</v>
      </c>
      <c r="I77" s="472">
        <f t="shared" si="2"/>
        <v>0.32845968612834514</v>
      </c>
      <c r="J77" s="153">
        <v>3.8473756479098807E-2</v>
      </c>
      <c r="K77" s="153">
        <v>0.39358026214566905</v>
      </c>
      <c r="L77" s="153">
        <v>0.53857526864315253</v>
      </c>
      <c r="M77" s="153">
        <v>0.3432094572454602</v>
      </c>
      <c r="N77" s="472">
        <f t="shared" si="3"/>
        <v>0.32845968612834514</v>
      </c>
      <c r="O77" s="153">
        <v>3.8473756479098807E-2</v>
      </c>
      <c r="P77" s="153">
        <v>0.39358026214566905</v>
      </c>
      <c r="Q77" s="153">
        <v>0.53857526864315253</v>
      </c>
      <c r="R77" s="153">
        <v>0.3432094572454602</v>
      </c>
      <c r="S77" s="153">
        <v>0.03</v>
      </c>
      <c r="T77" s="153">
        <v>0</v>
      </c>
      <c r="U77" s="474">
        <v>1900</v>
      </c>
      <c r="V77">
        <v>2030</v>
      </c>
      <c r="W77">
        <v>0</v>
      </c>
      <c r="X77">
        <v>0</v>
      </c>
      <c r="Y77">
        <v>1304</v>
      </c>
      <c r="Z77">
        <v>311</v>
      </c>
      <c r="AA77" s="475" t="s">
        <v>23</v>
      </c>
    </row>
    <row r="78" spans="1:27" ht="15" hidden="1">
      <c r="A78" s="24">
        <v>1077</v>
      </c>
      <c r="B78" s="24">
        <v>1077</v>
      </c>
      <c r="C78" s="469" t="s">
        <v>472</v>
      </c>
      <c r="D78" t="s">
        <v>146</v>
      </c>
      <c r="E78" s="470">
        <v>1</v>
      </c>
      <c r="F78" s="471">
        <v>28</v>
      </c>
      <c r="G78">
        <v>1</v>
      </c>
      <c r="H78">
        <v>1</v>
      </c>
      <c r="I78" s="472">
        <f t="shared" si="2"/>
        <v>0.32845968612834514</v>
      </c>
      <c r="J78" s="153">
        <v>3.8473756479098807E-2</v>
      </c>
      <c r="K78" s="153">
        <v>0.39358026214566905</v>
      </c>
      <c r="L78" s="153">
        <v>0.53857526864315253</v>
      </c>
      <c r="M78" s="153">
        <v>0.3432094572454602</v>
      </c>
      <c r="N78" s="472">
        <f t="shared" si="3"/>
        <v>0.32845968612834514</v>
      </c>
      <c r="O78" s="153">
        <v>3.8473756479098807E-2</v>
      </c>
      <c r="P78" s="153">
        <v>0.39358026214566905</v>
      </c>
      <c r="Q78" s="153">
        <v>0.53857526864315253</v>
      </c>
      <c r="R78" s="153">
        <v>0.3432094572454602</v>
      </c>
      <c r="S78" s="153">
        <v>0.03</v>
      </c>
      <c r="T78" s="153">
        <v>0</v>
      </c>
      <c r="U78" s="474">
        <v>2010</v>
      </c>
      <c r="V78">
        <v>2023</v>
      </c>
      <c r="W78">
        <v>0</v>
      </c>
      <c r="X78">
        <v>0</v>
      </c>
      <c r="Y78">
        <v>1304</v>
      </c>
      <c r="Z78">
        <v>311</v>
      </c>
      <c r="AA78" s="475" t="s">
        <v>23</v>
      </c>
    </row>
    <row r="79" spans="1:27" ht="15" hidden="1">
      <c r="A79" s="24">
        <v>1078</v>
      </c>
      <c r="B79" s="24">
        <v>1078</v>
      </c>
      <c r="C79" s="469" t="s">
        <v>473</v>
      </c>
      <c r="D79" t="s">
        <v>146</v>
      </c>
      <c r="E79" s="470">
        <v>1</v>
      </c>
      <c r="F79" s="471">
        <v>0</v>
      </c>
      <c r="G79">
        <v>1</v>
      </c>
      <c r="H79">
        <v>1</v>
      </c>
      <c r="I79" s="472">
        <f t="shared" si="2"/>
        <v>0.32845968612834514</v>
      </c>
      <c r="J79" s="153">
        <v>3.8473756479098807E-2</v>
      </c>
      <c r="K79" s="153">
        <v>0.39358026214566905</v>
      </c>
      <c r="L79" s="153">
        <v>0.53857526864315253</v>
      </c>
      <c r="M79" s="153">
        <v>0.3432094572454602</v>
      </c>
      <c r="N79" s="472">
        <f t="shared" si="3"/>
        <v>0.32845968612834514</v>
      </c>
      <c r="O79" s="153">
        <v>3.8473756479098807E-2</v>
      </c>
      <c r="P79" s="153">
        <v>0.39358026214566905</v>
      </c>
      <c r="Q79" s="153">
        <v>0.53857526864315253</v>
      </c>
      <c r="R79" s="153">
        <v>0.3432094572454602</v>
      </c>
      <c r="S79" s="153">
        <v>0.03</v>
      </c>
      <c r="T79" s="153">
        <v>0</v>
      </c>
      <c r="U79" s="474">
        <v>1900</v>
      </c>
      <c r="V79">
        <v>2030</v>
      </c>
      <c r="W79">
        <v>0</v>
      </c>
      <c r="X79">
        <v>0</v>
      </c>
      <c r="Y79">
        <v>1304</v>
      </c>
      <c r="Z79">
        <v>311</v>
      </c>
      <c r="AA79" s="475" t="s">
        <v>23</v>
      </c>
    </row>
    <row r="80" spans="1:27" ht="15" hidden="1">
      <c r="A80" s="24">
        <v>1079</v>
      </c>
      <c r="B80" s="24">
        <v>1079</v>
      </c>
      <c r="C80" s="469" t="s">
        <v>474</v>
      </c>
      <c r="D80" t="s">
        <v>146</v>
      </c>
      <c r="E80" s="470">
        <v>1</v>
      </c>
      <c r="F80" s="471">
        <v>65</v>
      </c>
      <c r="G80">
        <v>1</v>
      </c>
      <c r="H80">
        <v>1</v>
      </c>
      <c r="I80" s="472">
        <f t="shared" si="2"/>
        <v>0.32845968612834514</v>
      </c>
      <c r="J80" s="153">
        <v>3.8473756479098807E-2</v>
      </c>
      <c r="K80" s="153">
        <v>0.39358026214566905</v>
      </c>
      <c r="L80" s="153">
        <v>0.53857526864315253</v>
      </c>
      <c r="M80" s="153">
        <v>0.3432094572454602</v>
      </c>
      <c r="N80" s="472">
        <f t="shared" si="3"/>
        <v>0.32845968612834514</v>
      </c>
      <c r="O80" s="153">
        <v>3.8473756479098807E-2</v>
      </c>
      <c r="P80" s="153">
        <v>0.39358026214566905</v>
      </c>
      <c r="Q80" s="153">
        <v>0.53857526864315253</v>
      </c>
      <c r="R80" s="153">
        <v>0.3432094572454602</v>
      </c>
      <c r="S80" s="153">
        <v>0.03</v>
      </c>
      <c r="T80" s="153">
        <v>0</v>
      </c>
      <c r="U80" s="474">
        <v>2012</v>
      </c>
      <c r="V80">
        <v>2030</v>
      </c>
      <c r="W80">
        <v>0</v>
      </c>
      <c r="X80">
        <v>0</v>
      </c>
      <c r="Y80">
        <v>1304</v>
      </c>
      <c r="Z80">
        <v>311</v>
      </c>
      <c r="AA80" s="475" t="s">
        <v>23</v>
      </c>
    </row>
    <row r="81" spans="1:27" ht="15" hidden="1">
      <c r="A81" s="24">
        <v>1080</v>
      </c>
      <c r="B81" s="24">
        <v>1080</v>
      </c>
      <c r="C81" s="469" t="s">
        <v>475</v>
      </c>
      <c r="D81" t="s">
        <v>146</v>
      </c>
      <c r="E81" s="470">
        <v>1</v>
      </c>
      <c r="F81" s="471">
        <v>0</v>
      </c>
      <c r="G81">
        <v>1</v>
      </c>
      <c r="H81">
        <v>1</v>
      </c>
      <c r="I81" s="472">
        <f t="shared" si="2"/>
        <v>0.32845968612834514</v>
      </c>
      <c r="J81" s="153">
        <v>3.8473756479098807E-2</v>
      </c>
      <c r="K81" s="153">
        <v>0.39358026214566905</v>
      </c>
      <c r="L81" s="153">
        <v>0.53857526864315253</v>
      </c>
      <c r="M81" s="153">
        <v>0.3432094572454602</v>
      </c>
      <c r="N81" s="472">
        <f t="shared" si="3"/>
        <v>0.32845968612834514</v>
      </c>
      <c r="O81" s="153">
        <v>3.8473756479098807E-2</v>
      </c>
      <c r="P81" s="153">
        <v>0.39358026214566905</v>
      </c>
      <c r="Q81" s="153">
        <v>0.53857526864315253</v>
      </c>
      <c r="R81" s="153">
        <v>0.3432094572454602</v>
      </c>
      <c r="S81" s="153">
        <v>0.03</v>
      </c>
      <c r="T81" s="153">
        <v>0</v>
      </c>
      <c r="U81" s="474">
        <v>2010</v>
      </c>
      <c r="V81">
        <v>2023</v>
      </c>
      <c r="W81">
        <v>0</v>
      </c>
      <c r="X81">
        <v>0</v>
      </c>
      <c r="Y81">
        <v>1304</v>
      </c>
      <c r="Z81">
        <v>311</v>
      </c>
      <c r="AA81" s="475" t="s">
        <v>23</v>
      </c>
    </row>
    <row r="82" spans="1:27" ht="15" hidden="1">
      <c r="A82" s="24">
        <v>1081</v>
      </c>
      <c r="B82" s="24">
        <v>1081</v>
      </c>
      <c r="C82" s="469" t="s">
        <v>476</v>
      </c>
      <c r="D82" t="s">
        <v>149</v>
      </c>
      <c r="E82" s="470">
        <v>2</v>
      </c>
      <c r="F82" s="471">
        <v>8.5559999999999992</v>
      </c>
      <c r="G82">
        <v>1</v>
      </c>
      <c r="H82">
        <v>1</v>
      </c>
      <c r="I82" s="472">
        <f t="shared" si="2"/>
        <v>0.32845968612834514</v>
      </c>
      <c r="J82" s="153">
        <v>3.8473756479098807E-2</v>
      </c>
      <c r="K82" s="153">
        <v>0.39358026214566905</v>
      </c>
      <c r="L82" s="153">
        <v>0.53857526864315253</v>
      </c>
      <c r="M82" s="153">
        <v>0.3432094572454602</v>
      </c>
      <c r="N82" s="472">
        <f t="shared" si="3"/>
        <v>0.32845968612834514</v>
      </c>
      <c r="O82" s="153">
        <v>3.8473756479098807E-2</v>
      </c>
      <c r="P82" s="153">
        <v>0.39358026214566905</v>
      </c>
      <c r="Q82" s="153">
        <v>0.53857526864315253</v>
      </c>
      <c r="R82" s="153">
        <v>0.3432094572454602</v>
      </c>
      <c r="S82" s="153">
        <v>0.03</v>
      </c>
      <c r="T82" s="153">
        <v>0</v>
      </c>
      <c r="U82" s="474">
        <v>2015</v>
      </c>
      <c r="V82">
        <v>2030</v>
      </c>
      <c r="W82">
        <v>0</v>
      </c>
      <c r="X82">
        <v>0</v>
      </c>
      <c r="Y82">
        <v>1304</v>
      </c>
      <c r="Z82">
        <v>311</v>
      </c>
      <c r="AA82" s="475" t="s">
        <v>23</v>
      </c>
    </row>
    <row r="83" spans="1:27" ht="15" hidden="1">
      <c r="A83" s="24">
        <v>1082</v>
      </c>
      <c r="B83" s="24">
        <v>1082</v>
      </c>
      <c r="C83" s="469" t="s">
        <v>477</v>
      </c>
      <c r="D83" t="s">
        <v>149</v>
      </c>
      <c r="E83" s="470">
        <v>2</v>
      </c>
      <c r="F83" s="471">
        <v>0</v>
      </c>
      <c r="G83">
        <v>1</v>
      </c>
      <c r="H83">
        <v>1</v>
      </c>
      <c r="I83" s="472">
        <f t="shared" si="2"/>
        <v>0.32845968612834514</v>
      </c>
      <c r="J83" s="153">
        <v>3.8473756479098807E-2</v>
      </c>
      <c r="K83" s="153">
        <v>0.39358026214566905</v>
      </c>
      <c r="L83" s="153">
        <v>0.53857526864315253</v>
      </c>
      <c r="M83" s="153">
        <v>0.3432094572454602</v>
      </c>
      <c r="N83" s="472">
        <f t="shared" si="3"/>
        <v>0.32845968612834514</v>
      </c>
      <c r="O83" s="153">
        <v>3.8473756479098807E-2</v>
      </c>
      <c r="P83" s="153">
        <v>0.39358026214566905</v>
      </c>
      <c r="Q83" s="153">
        <v>0.53857526864315253</v>
      </c>
      <c r="R83" s="153">
        <v>0.3432094572454602</v>
      </c>
      <c r="S83" s="153">
        <v>0.03</v>
      </c>
      <c r="T83" s="153">
        <v>0</v>
      </c>
      <c r="U83" s="474">
        <v>1900</v>
      </c>
      <c r="V83">
        <v>2030</v>
      </c>
      <c r="W83">
        <v>0</v>
      </c>
      <c r="X83">
        <v>0</v>
      </c>
      <c r="Y83">
        <v>1304</v>
      </c>
      <c r="Z83">
        <v>311</v>
      </c>
      <c r="AA83" s="475" t="s">
        <v>23</v>
      </c>
    </row>
    <row r="84" spans="1:27" ht="15" hidden="1">
      <c r="A84" s="24">
        <v>1083</v>
      </c>
      <c r="B84" s="24">
        <v>1083</v>
      </c>
      <c r="C84" s="469" t="s">
        <v>478</v>
      </c>
      <c r="D84" t="s">
        <v>146</v>
      </c>
      <c r="E84" s="470">
        <v>1</v>
      </c>
      <c r="F84" s="471">
        <v>34.755831362467866</v>
      </c>
      <c r="G84">
        <v>1</v>
      </c>
      <c r="H84">
        <v>1</v>
      </c>
      <c r="I84" s="472">
        <f t="shared" si="2"/>
        <v>0.32845968612834514</v>
      </c>
      <c r="J84" s="153">
        <v>3.8473756479098807E-2</v>
      </c>
      <c r="K84" s="153">
        <v>0.39358026214566905</v>
      </c>
      <c r="L84" s="153">
        <v>0.53857526864315253</v>
      </c>
      <c r="M84" s="153">
        <v>0.3432094572454602</v>
      </c>
      <c r="N84" s="472">
        <f t="shared" si="3"/>
        <v>0.32845968612834514</v>
      </c>
      <c r="O84" s="153">
        <v>3.8473756479098807E-2</v>
      </c>
      <c r="P84" s="153">
        <v>0.39358026214566905</v>
      </c>
      <c r="Q84" s="153">
        <v>0.53857526864315253</v>
      </c>
      <c r="R84" s="153">
        <v>0.3432094572454602</v>
      </c>
      <c r="S84" s="153">
        <v>0.03</v>
      </c>
      <c r="T84" s="153">
        <v>0</v>
      </c>
      <c r="U84" s="474">
        <v>2008</v>
      </c>
      <c r="V84">
        <v>2023</v>
      </c>
      <c r="W84">
        <v>0</v>
      </c>
      <c r="X84">
        <v>0</v>
      </c>
      <c r="Y84">
        <v>1304</v>
      </c>
      <c r="Z84">
        <v>311</v>
      </c>
      <c r="AA84" s="475" t="s">
        <v>23</v>
      </c>
    </row>
    <row r="85" spans="1:27" ht="15" hidden="1">
      <c r="A85" s="24">
        <v>1084</v>
      </c>
      <c r="B85" s="24">
        <v>1084</v>
      </c>
      <c r="C85" s="469" t="s">
        <v>479</v>
      </c>
      <c r="D85" t="s">
        <v>146</v>
      </c>
      <c r="E85" s="470">
        <v>1</v>
      </c>
      <c r="F85" s="471">
        <v>45.244168637532134</v>
      </c>
      <c r="G85">
        <v>1</v>
      </c>
      <c r="H85">
        <v>1</v>
      </c>
      <c r="I85" s="472">
        <f t="shared" si="2"/>
        <v>0.32845968612834514</v>
      </c>
      <c r="J85" s="153">
        <v>3.8473756479098807E-2</v>
      </c>
      <c r="K85" s="153">
        <v>0.39358026214566905</v>
      </c>
      <c r="L85" s="153">
        <v>0.53857526864315253</v>
      </c>
      <c r="M85" s="153">
        <v>0.3432094572454602</v>
      </c>
      <c r="N85" s="472">
        <f t="shared" si="3"/>
        <v>0.32845968612834514</v>
      </c>
      <c r="O85" s="153">
        <v>3.8473756479098807E-2</v>
      </c>
      <c r="P85" s="153">
        <v>0.39358026214566905</v>
      </c>
      <c r="Q85" s="153">
        <v>0.53857526864315253</v>
      </c>
      <c r="R85" s="153">
        <v>0.3432094572454602</v>
      </c>
      <c r="S85" s="153">
        <v>0.03</v>
      </c>
      <c r="T85" s="153">
        <v>0</v>
      </c>
      <c r="U85" s="474">
        <v>2011</v>
      </c>
      <c r="V85">
        <v>2023</v>
      </c>
      <c r="W85">
        <v>0</v>
      </c>
      <c r="X85">
        <v>0</v>
      </c>
      <c r="Y85">
        <v>1304</v>
      </c>
      <c r="Z85">
        <v>311</v>
      </c>
      <c r="AA85" s="475" t="s">
        <v>23</v>
      </c>
    </row>
    <row r="86" spans="1:27" ht="15" hidden="1">
      <c r="A86" s="24">
        <v>1085</v>
      </c>
      <c r="B86" s="24">
        <v>1085</v>
      </c>
      <c r="C86" s="469" t="s">
        <v>480</v>
      </c>
      <c r="D86" t="s">
        <v>146</v>
      </c>
      <c r="E86" s="470">
        <v>1</v>
      </c>
      <c r="F86" s="471">
        <v>29.459728791469203</v>
      </c>
      <c r="G86">
        <v>1</v>
      </c>
      <c r="H86">
        <v>1</v>
      </c>
      <c r="I86" s="472">
        <f t="shared" si="2"/>
        <v>0.32845968612834514</v>
      </c>
      <c r="J86" s="153">
        <v>3.8473756479098807E-2</v>
      </c>
      <c r="K86" s="153">
        <v>0.39358026214566905</v>
      </c>
      <c r="L86" s="153">
        <v>0.53857526864315253</v>
      </c>
      <c r="M86" s="153">
        <v>0.3432094572454602</v>
      </c>
      <c r="N86" s="472">
        <f t="shared" si="3"/>
        <v>0.32845968612834514</v>
      </c>
      <c r="O86" s="153">
        <v>3.8473756479098807E-2</v>
      </c>
      <c r="P86" s="153">
        <v>0.39358026214566905</v>
      </c>
      <c r="Q86" s="153">
        <v>0.53857526864315253</v>
      </c>
      <c r="R86" s="153">
        <v>0.3432094572454602</v>
      </c>
      <c r="S86" s="153">
        <v>0.03</v>
      </c>
      <c r="T86" s="153">
        <v>0</v>
      </c>
      <c r="U86" s="474">
        <v>2010</v>
      </c>
      <c r="V86">
        <v>2023</v>
      </c>
      <c r="W86">
        <v>0</v>
      </c>
      <c r="X86">
        <v>0</v>
      </c>
      <c r="Y86">
        <v>1304</v>
      </c>
      <c r="Z86">
        <v>311</v>
      </c>
      <c r="AA86" s="475" t="s">
        <v>23</v>
      </c>
    </row>
    <row r="87" spans="1:27" ht="15" hidden="1">
      <c r="A87" s="24">
        <v>1086</v>
      </c>
      <c r="B87" s="24">
        <v>1086</v>
      </c>
      <c r="C87" s="469" t="s">
        <v>481</v>
      </c>
      <c r="D87" t="s">
        <v>146</v>
      </c>
      <c r="E87" s="470">
        <v>1</v>
      </c>
      <c r="F87" s="471">
        <v>81.540271208530797</v>
      </c>
      <c r="G87">
        <v>1</v>
      </c>
      <c r="H87">
        <v>1</v>
      </c>
      <c r="I87" s="472">
        <f t="shared" si="2"/>
        <v>0.32845968612834514</v>
      </c>
      <c r="J87" s="153">
        <v>3.8473756479098807E-2</v>
      </c>
      <c r="K87" s="153">
        <v>0.39358026214566905</v>
      </c>
      <c r="L87" s="153">
        <v>0.53857526864315253</v>
      </c>
      <c r="M87" s="153">
        <v>0.3432094572454602</v>
      </c>
      <c r="N87" s="472">
        <f t="shared" si="3"/>
        <v>0.32845968612834514</v>
      </c>
      <c r="O87" s="153">
        <v>3.8473756479098807E-2</v>
      </c>
      <c r="P87" s="153">
        <v>0.39358026214566905</v>
      </c>
      <c r="Q87" s="153">
        <v>0.53857526864315253</v>
      </c>
      <c r="R87" s="153">
        <v>0.3432094572454602</v>
      </c>
      <c r="S87" s="153">
        <v>0.03</v>
      </c>
      <c r="T87" s="153">
        <v>0</v>
      </c>
      <c r="U87" s="474">
        <v>2010</v>
      </c>
      <c r="V87">
        <v>2023</v>
      </c>
      <c r="W87">
        <v>0</v>
      </c>
      <c r="X87">
        <v>0</v>
      </c>
      <c r="Y87">
        <v>1304</v>
      </c>
      <c r="Z87">
        <v>311</v>
      </c>
      <c r="AA87" s="475" t="s">
        <v>23</v>
      </c>
    </row>
    <row r="88" spans="1:27" ht="15" hidden="1">
      <c r="A88" s="24">
        <v>1087</v>
      </c>
      <c r="B88" s="24">
        <v>1087</v>
      </c>
      <c r="C88" s="469" t="s">
        <v>482</v>
      </c>
      <c r="D88" t="s">
        <v>146</v>
      </c>
      <c r="E88" s="470">
        <v>1</v>
      </c>
      <c r="F88" s="471">
        <v>35</v>
      </c>
      <c r="G88">
        <v>1</v>
      </c>
      <c r="H88">
        <v>1</v>
      </c>
      <c r="I88" s="472">
        <f t="shared" si="2"/>
        <v>0.32845968612834514</v>
      </c>
      <c r="J88" s="153">
        <v>3.8473756479098807E-2</v>
      </c>
      <c r="K88" s="153">
        <v>0.39358026214566905</v>
      </c>
      <c r="L88" s="153">
        <v>0.53857526864315253</v>
      </c>
      <c r="M88" s="153">
        <v>0.3432094572454602</v>
      </c>
      <c r="N88" s="472">
        <f t="shared" si="3"/>
        <v>0.32845968612834514</v>
      </c>
      <c r="O88" s="153">
        <v>3.8473756479098807E-2</v>
      </c>
      <c r="P88" s="153">
        <v>0.39358026214566905</v>
      </c>
      <c r="Q88" s="153">
        <v>0.53857526864315253</v>
      </c>
      <c r="R88" s="153">
        <v>0.3432094572454602</v>
      </c>
      <c r="S88" s="153">
        <v>0.03</v>
      </c>
      <c r="T88" s="153">
        <v>0</v>
      </c>
      <c r="U88" s="474">
        <v>2013</v>
      </c>
      <c r="V88">
        <v>2030</v>
      </c>
      <c r="W88">
        <v>0</v>
      </c>
      <c r="X88">
        <v>0</v>
      </c>
      <c r="Y88">
        <v>1304</v>
      </c>
      <c r="Z88">
        <v>311</v>
      </c>
      <c r="AA88" s="475" t="s">
        <v>23</v>
      </c>
    </row>
    <row r="89" spans="1:27" ht="15" hidden="1">
      <c r="A89" s="24">
        <v>1088</v>
      </c>
      <c r="B89" s="24">
        <v>1088</v>
      </c>
      <c r="C89" s="469" t="s">
        <v>483</v>
      </c>
      <c r="D89" t="s">
        <v>146</v>
      </c>
      <c r="E89" s="470">
        <v>1</v>
      </c>
      <c r="F89" s="471">
        <v>0</v>
      </c>
      <c r="G89">
        <v>1</v>
      </c>
      <c r="H89">
        <v>1</v>
      </c>
      <c r="I89" s="472">
        <f t="shared" si="2"/>
        <v>0.32845968612834514</v>
      </c>
      <c r="J89" s="153">
        <v>3.8473756479098807E-2</v>
      </c>
      <c r="K89" s="153">
        <v>0.39358026214566905</v>
      </c>
      <c r="L89" s="153">
        <v>0.53857526864315253</v>
      </c>
      <c r="M89" s="153">
        <v>0.3432094572454602</v>
      </c>
      <c r="N89" s="472">
        <f t="shared" si="3"/>
        <v>0.32845968612834514</v>
      </c>
      <c r="O89" s="153">
        <v>3.8473756479098807E-2</v>
      </c>
      <c r="P89" s="153">
        <v>0.39358026214566905</v>
      </c>
      <c r="Q89" s="153">
        <v>0.53857526864315253</v>
      </c>
      <c r="R89" s="153">
        <v>0.3432094572454602</v>
      </c>
      <c r="S89" s="153">
        <v>0.03</v>
      </c>
      <c r="T89" s="153">
        <v>0</v>
      </c>
      <c r="U89" s="474">
        <v>1900</v>
      </c>
      <c r="V89">
        <v>2030</v>
      </c>
      <c r="W89">
        <v>0</v>
      </c>
      <c r="X89">
        <v>0</v>
      </c>
      <c r="Y89">
        <v>1304</v>
      </c>
      <c r="Z89">
        <v>311</v>
      </c>
      <c r="AA89" s="475" t="s">
        <v>23</v>
      </c>
    </row>
    <row r="90" spans="1:27" ht="15" hidden="1">
      <c r="A90" s="24">
        <v>1089</v>
      </c>
      <c r="B90" s="24">
        <v>1089</v>
      </c>
      <c r="C90" s="469" t="s">
        <v>484</v>
      </c>
      <c r="D90" t="s">
        <v>154</v>
      </c>
      <c r="E90" s="470">
        <v>4</v>
      </c>
      <c r="F90" s="471">
        <v>0</v>
      </c>
      <c r="G90">
        <v>1</v>
      </c>
      <c r="H90">
        <v>1</v>
      </c>
      <c r="I90" s="472">
        <f t="shared" si="2"/>
        <v>0.32845968612834514</v>
      </c>
      <c r="J90" s="153">
        <v>3.8473756479098807E-2</v>
      </c>
      <c r="K90" s="153">
        <v>0.39358026214566905</v>
      </c>
      <c r="L90" s="153">
        <v>0.53857526864315253</v>
      </c>
      <c r="M90" s="153">
        <v>0.3432094572454602</v>
      </c>
      <c r="N90" s="472">
        <f t="shared" si="3"/>
        <v>0.32845968612834514</v>
      </c>
      <c r="O90" s="153">
        <v>3.8473756479098807E-2</v>
      </c>
      <c r="P90" s="153">
        <v>0.39358026214566905</v>
      </c>
      <c r="Q90" s="153">
        <v>0.53857526864315253</v>
      </c>
      <c r="R90" s="153">
        <v>0.3432094572454602</v>
      </c>
      <c r="S90" s="153">
        <v>0.03</v>
      </c>
      <c r="T90" s="153">
        <v>0</v>
      </c>
      <c r="U90" s="474">
        <v>1900</v>
      </c>
      <c r="V90">
        <v>2030</v>
      </c>
      <c r="W90">
        <v>0</v>
      </c>
      <c r="X90">
        <v>0</v>
      </c>
      <c r="Y90">
        <v>1304</v>
      </c>
      <c r="Z90">
        <v>311</v>
      </c>
      <c r="AA90" s="475" t="s">
        <v>23</v>
      </c>
    </row>
    <row r="91" spans="1:27" ht="15" hidden="1">
      <c r="A91" s="24">
        <v>1090</v>
      </c>
      <c r="B91" s="24">
        <v>1090</v>
      </c>
      <c r="C91" s="469" t="s">
        <v>485</v>
      </c>
      <c r="D91" t="s">
        <v>154</v>
      </c>
      <c r="E91" s="470">
        <v>4</v>
      </c>
      <c r="F91" s="471">
        <v>45</v>
      </c>
      <c r="G91">
        <v>1</v>
      </c>
      <c r="H91">
        <v>1</v>
      </c>
      <c r="I91" s="472">
        <f t="shared" si="2"/>
        <v>0.32845968612834514</v>
      </c>
      <c r="J91" s="153">
        <v>3.8473756479098807E-2</v>
      </c>
      <c r="K91" s="153">
        <v>0.39358026214566905</v>
      </c>
      <c r="L91" s="153">
        <v>0.53857526864315253</v>
      </c>
      <c r="M91" s="153">
        <v>0.3432094572454602</v>
      </c>
      <c r="N91" s="472">
        <f t="shared" si="3"/>
        <v>0.32845968612834514</v>
      </c>
      <c r="O91" s="153">
        <v>3.8473756479098807E-2</v>
      </c>
      <c r="P91" s="153">
        <v>0.39358026214566905</v>
      </c>
      <c r="Q91" s="153">
        <v>0.53857526864315253</v>
      </c>
      <c r="R91" s="153">
        <v>0.3432094572454602</v>
      </c>
      <c r="S91" s="153">
        <v>0.03</v>
      </c>
      <c r="T91" s="153">
        <v>0</v>
      </c>
      <c r="U91" s="474">
        <v>2005</v>
      </c>
      <c r="V91">
        <v>2023</v>
      </c>
      <c r="W91">
        <v>0</v>
      </c>
      <c r="X91">
        <v>0</v>
      </c>
      <c r="Y91">
        <v>1304</v>
      </c>
      <c r="Z91">
        <v>311</v>
      </c>
      <c r="AA91" s="475" t="s">
        <v>23</v>
      </c>
    </row>
    <row r="92" spans="1:27" ht="15" hidden="1">
      <c r="A92" s="24">
        <v>1091</v>
      </c>
      <c r="B92" s="24">
        <v>1091</v>
      </c>
      <c r="C92" s="469" t="s">
        <v>486</v>
      </c>
      <c r="D92" t="s">
        <v>146</v>
      </c>
      <c r="E92" s="470">
        <v>1</v>
      </c>
      <c r="F92" s="471">
        <v>50</v>
      </c>
      <c r="G92">
        <v>1</v>
      </c>
      <c r="H92">
        <v>1</v>
      </c>
      <c r="I92" s="472">
        <f t="shared" si="2"/>
        <v>0.32845968612834514</v>
      </c>
      <c r="J92" s="153">
        <v>3.8473756479098807E-2</v>
      </c>
      <c r="K92" s="153">
        <v>0.39358026214566905</v>
      </c>
      <c r="L92" s="153">
        <v>0.53857526864315253</v>
      </c>
      <c r="M92" s="153">
        <v>0.3432094572454602</v>
      </c>
      <c r="N92" s="472">
        <f t="shared" si="3"/>
        <v>0.32845968612834514</v>
      </c>
      <c r="O92" s="153">
        <v>3.8473756479098807E-2</v>
      </c>
      <c r="P92" s="153">
        <v>0.39358026214566905</v>
      </c>
      <c r="Q92" s="153">
        <v>0.53857526864315253</v>
      </c>
      <c r="R92" s="153">
        <v>0.3432094572454602</v>
      </c>
      <c r="S92" s="153">
        <v>0.03</v>
      </c>
      <c r="T92" s="153">
        <v>0</v>
      </c>
      <c r="U92" s="474">
        <v>2011</v>
      </c>
      <c r="V92">
        <v>2030</v>
      </c>
      <c r="W92">
        <v>0</v>
      </c>
      <c r="X92">
        <v>0</v>
      </c>
      <c r="Y92">
        <v>1304</v>
      </c>
      <c r="Z92">
        <v>311</v>
      </c>
      <c r="AA92" s="475" t="s">
        <v>23</v>
      </c>
    </row>
    <row r="93" spans="1:27" ht="15" hidden="1">
      <c r="A93" s="24">
        <v>1092</v>
      </c>
      <c r="B93" s="24">
        <v>1092</v>
      </c>
      <c r="C93" s="469" t="s">
        <v>487</v>
      </c>
      <c r="D93" t="s">
        <v>146</v>
      </c>
      <c r="E93" s="470">
        <v>1</v>
      </c>
      <c r="F93" s="471">
        <v>0</v>
      </c>
      <c r="G93">
        <v>1</v>
      </c>
      <c r="H93">
        <v>1</v>
      </c>
      <c r="I93" s="472">
        <f t="shared" si="2"/>
        <v>0.32845968612834514</v>
      </c>
      <c r="J93" s="153">
        <v>3.8473756479098807E-2</v>
      </c>
      <c r="K93" s="153">
        <v>0.39358026214566905</v>
      </c>
      <c r="L93" s="153">
        <v>0.53857526864315253</v>
      </c>
      <c r="M93" s="153">
        <v>0.3432094572454602</v>
      </c>
      <c r="N93" s="472">
        <f t="shared" si="3"/>
        <v>0.32845968612834514</v>
      </c>
      <c r="O93" s="153">
        <v>3.8473756479098807E-2</v>
      </c>
      <c r="P93" s="153">
        <v>0.39358026214566905</v>
      </c>
      <c r="Q93" s="153">
        <v>0.53857526864315253</v>
      </c>
      <c r="R93" s="153">
        <v>0.3432094572454602</v>
      </c>
      <c r="S93" s="153">
        <v>0.03</v>
      </c>
      <c r="T93" s="153">
        <v>0</v>
      </c>
      <c r="U93" s="474">
        <v>1900</v>
      </c>
      <c r="V93">
        <v>2030</v>
      </c>
      <c r="W93">
        <v>0</v>
      </c>
      <c r="X93">
        <v>0</v>
      </c>
      <c r="Y93">
        <v>1304</v>
      </c>
      <c r="Z93">
        <v>311</v>
      </c>
      <c r="AA93" s="475" t="s">
        <v>23</v>
      </c>
    </row>
    <row r="94" spans="1:27" ht="15" hidden="1">
      <c r="A94" s="24">
        <v>1093</v>
      </c>
      <c r="B94" s="24">
        <v>1093</v>
      </c>
      <c r="C94" s="469" t="s">
        <v>488</v>
      </c>
      <c r="D94" t="s">
        <v>149</v>
      </c>
      <c r="E94" s="470">
        <v>2</v>
      </c>
      <c r="F94" s="471">
        <v>3.8250000000000002</v>
      </c>
      <c r="G94">
        <v>1</v>
      </c>
      <c r="H94">
        <v>1</v>
      </c>
      <c r="I94" s="472">
        <f t="shared" si="2"/>
        <v>0.32845968612834514</v>
      </c>
      <c r="J94" s="153">
        <v>3.8473756479098807E-2</v>
      </c>
      <c r="K94" s="153">
        <v>0.39358026214566905</v>
      </c>
      <c r="L94" s="153">
        <v>0.53857526864315253</v>
      </c>
      <c r="M94" s="153">
        <v>0.3432094572454602</v>
      </c>
      <c r="N94" s="472">
        <f t="shared" si="3"/>
        <v>0.32845968612834514</v>
      </c>
      <c r="O94" s="153">
        <v>3.8473756479098807E-2</v>
      </c>
      <c r="P94" s="153">
        <v>0.39358026214566905</v>
      </c>
      <c r="Q94" s="153">
        <v>0.53857526864315253</v>
      </c>
      <c r="R94" s="153">
        <v>0.3432094572454602</v>
      </c>
      <c r="S94" s="153">
        <v>0.03</v>
      </c>
      <c r="T94" s="153">
        <v>0</v>
      </c>
      <c r="U94" s="474">
        <v>2012</v>
      </c>
      <c r="V94">
        <v>2030</v>
      </c>
      <c r="W94">
        <v>0</v>
      </c>
      <c r="X94">
        <v>0</v>
      </c>
      <c r="Y94">
        <v>1304</v>
      </c>
      <c r="Z94">
        <v>311</v>
      </c>
      <c r="AA94" s="475" t="s">
        <v>23</v>
      </c>
    </row>
    <row r="95" spans="1:27" ht="15" hidden="1">
      <c r="A95" s="24">
        <v>1094</v>
      </c>
      <c r="B95" s="24">
        <v>1094</v>
      </c>
      <c r="C95" s="469" t="s">
        <v>489</v>
      </c>
      <c r="D95" t="s">
        <v>149</v>
      </c>
      <c r="E95" s="470">
        <v>2</v>
      </c>
      <c r="F95" s="471">
        <v>0</v>
      </c>
      <c r="G95">
        <v>1</v>
      </c>
      <c r="H95">
        <v>1</v>
      </c>
      <c r="I95" s="472">
        <f t="shared" si="2"/>
        <v>0.32845968612834514</v>
      </c>
      <c r="J95" s="153">
        <v>3.8473756479098807E-2</v>
      </c>
      <c r="K95" s="153">
        <v>0.39358026214566905</v>
      </c>
      <c r="L95" s="153">
        <v>0.53857526864315253</v>
      </c>
      <c r="M95" s="153">
        <v>0.3432094572454602</v>
      </c>
      <c r="N95" s="472">
        <f t="shared" si="3"/>
        <v>0.32845968612834514</v>
      </c>
      <c r="O95" s="153">
        <v>3.8473756479098807E-2</v>
      </c>
      <c r="P95" s="153">
        <v>0.39358026214566905</v>
      </c>
      <c r="Q95" s="153">
        <v>0.53857526864315253</v>
      </c>
      <c r="R95" s="153">
        <v>0.3432094572454602</v>
      </c>
      <c r="S95" s="153">
        <v>0.03</v>
      </c>
      <c r="T95" s="153">
        <v>0</v>
      </c>
      <c r="U95" s="474">
        <v>1900</v>
      </c>
      <c r="V95">
        <v>2030</v>
      </c>
      <c r="W95">
        <v>0</v>
      </c>
      <c r="X95">
        <v>0</v>
      </c>
      <c r="Y95">
        <v>1304</v>
      </c>
      <c r="Z95">
        <v>311</v>
      </c>
      <c r="AA95" s="475" t="s">
        <v>23</v>
      </c>
    </row>
    <row r="96" spans="1:27" ht="15" hidden="1">
      <c r="A96" s="24">
        <v>1095</v>
      </c>
      <c r="B96" s="24">
        <v>1095</v>
      </c>
      <c r="C96" s="469" t="s">
        <v>490</v>
      </c>
      <c r="D96" t="s">
        <v>146</v>
      </c>
      <c r="E96" s="470">
        <v>1</v>
      </c>
      <c r="F96" s="471">
        <v>76</v>
      </c>
      <c r="G96">
        <v>1</v>
      </c>
      <c r="H96">
        <v>1</v>
      </c>
      <c r="I96" s="472">
        <f t="shared" si="2"/>
        <v>0.32845968612834514</v>
      </c>
      <c r="J96" s="153">
        <v>3.8473756479098807E-2</v>
      </c>
      <c r="K96" s="153">
        <v>0.39358026214566905</v>
      </c>
      <c r="L96" s="153">
        <v>0.53857526864315253</v>
      </c>
      <c r="M96" s="153">
        <v>0.3432094572454602</v>
      </c>
      <c r="N96" s="472">
        <f t="shared" si="3"/>
        <v>0.32845968612834514</v>
      </c>
      <c r="O96" s="153">
        <v>3.8473756479098807E-2</v>
      </c>
      <c r="P96" s="153">
        <v>0.39358026214566905</v>
      </c>
      <c r="Q96" s="153">
        <v>0.53857526864315253</v>
      </c>
      <c r="R96" s="153">
        <v>0.3432094572454602</v>
      </c>
      <c r="S96" s="153">
        <v>0.03</v>
      </c>
      <c r="T96" s="153">
        <v>0</v>
      </c>
      <c r="U96" s="474">
        <v>2010</v>
      </c>
      <c r="V96">
        <v>2023</v>
      </c>
      <c r="W96">
        <v>0</v>
      </c>
      <c r="X96">
        <v>0</v>
      </c>
      <c r="Y96">
        <v>1304</v>
      </c>
      <c r="Z96">
        <v>311</v>
      </c>
      <c r="AA96" s="475" t="s">
        <v>23</v>
      </c>
    </row>
    <row r="97" spans="1:27" ht="15" hidden="1">
      <c r="A97" s="24">
        <v>1096</v>
      </c>
      <c r="B97" s="24">
        <v>1096</v>
      </c>
      <c r="C97" s="469" t="s">
        <v>491</v>
      </c>
      <c r="D97" t="s">
        <v>146</v>
      </c>
      <c r="E97" s="470">
        <v>1</v>
      </c>
      <c r="F97" s="471">
        <v>0</v>
      </c>
      <c r="G97">
        <v>1</v>
      </c>
      <c r="H97">
        <v>1</v>
      </c>
      <c r="I97" s="472">
        <f t="shared" si="2"/>
        <v>0.32845968612834514</v>
      </c>
      <c r="J97" s="153">
        <v>3.8473756479098807E-2</v>
      </c>
      <c r="K97" s="153">
        <v>0.39358026214566905</v>
      </c>
      <c r="L97" s="153">
        <v>0.53857526864315253</v>
      </c>
      <c r="M97" s="153">
        <v>0.3432094572454602</v>
      </c>
      <c r="N97" s="472">
        <f t="shared" si="3"/>
        <v>0.32845968612834514</v>
      </c>
      <c r="O97" s="153">
        <v>3.8473756479098807E-2</v>
      </c>
      <c r="P97" s="153">
        <v>0.39358026214566905</v>
      </c>
      <c r="Q97" s="153">
        <v>0.53857526864315253</v>
      </c>
      <c r="R97" s="153">
        <v>0.3432094572454602</v>
      </c>
      <c r="S97" s="153">
        <v>0.03</v>
      </c>
      <c r="T97" s="153">
        <v>0</v>
      </c>
      <c r="U97" s="474">
        <v>2018</v>
      </c>
      <c r="V97">
        <v>2045</v>
      </c>
      <c r="W97">
        <v>0</v>
      </c>
      <c r="X97">
        <v>0</v>
      </c>
      <c r="Y97">
        <v>1304</v>
      </c>
      <c r="Z97">
        <v>311</v>
      </c>
      <c r="AA97" s="475" t="s">
        <v>23</v>
      </c>
    </row>
    <row r="98" spans="1:27" ht="15" hidden="1">
      <c r="A98" s="24">
        <v>1097</v>
      </c>
      <c r="B98" s="24">
        <v>1097</v>
      </c>
      <c r="C98" s="469" t="s">
        <v>492</v>
      </c>
      <c r="D98" t="s">
        <v>146</v>
      </c>
      <c r="E98" s="470">
        <v>1</v>
      </c>
      <c r="F98" s="471">
        <v>23.098591549295776</v>
      </c>
      <c r="G98">
        <v>1</v>
      </c>
      <c r="H98">
        <v>1</v>
      </c>
      <c r="I98" s="472">
        <f t="shared" si="2"/>
        <v>0.32845968612834514</v>
      </c>
      <c r="J98" s="153">
        <v>3.8473756479098807E-2</v>
      </c>
      <c r="K98" s="153">
        <v>0.39358026214566905</v>
      </c>
      <c r="L98" s="153">
        <v>0.53857526864315253</v>
      </c>
      <c r="M98" s="153">
        <v>0.3432094572454602</v>
      </c>
      <c r="N98" s="472">
        <f t="shared" si="3"/>
        <v>0.32845968612834514</v>
      </c>
      <c r="O98" s="153">
        <v>3.8473756479098807E-2</v>
      </c>
      <c r="P98" s="153">
        <v>0.39358026214566905</v>
      </c>
      <c r="Q98" s="153">
        <v>0.53857526864315253</v>
      </c>
      <c r="R98" s="153">
        <v>0.3432094572454602</v>
      </c>
      <c r="S98" s="153">
        <v>0.03</v>
      </c>
      <c r="T98" s="153">
        <v>0</v>
      </c>
      <c r="U98" s="474">
        <v>2012</v>
      </c>
      <c r="V98">
        <v>2030</v>
      </c>
      <c r="W98">
        <v>0</v>
      </c>
      <c r="X98">
        <v>0</v>
      </c>
      <c r="Y98">
        <v>1304</v>
      </c>
      <c r="Z98">
        <v>311</v>
      </c>
      <c r="AA98" s="475" t="s">
        <v>23</v>
      </c>
    </row>
    <row r="99" spans="1:27" ht="15" hidden="1">
      <c r="A99" s="24">
        <v>1098</v>
      </c>
      <c r="B99" s="24">
        <v>1098</v>
      </c>
      <c r="C99" s="469" t="s">
        <v>493</v>
      </c>
      <c r="D99" t="s">
        <v>146</v>
      </c>
      <c r="E99" s="470">
        <v>1</v>
      </c>
      <c r="F99" s="471">
        <v>16.901408450704224</v>
      </c>
      <c r="G99">
        <v>1</v>
      </c>
      <c r="H99">
        <v>1</v>
      </c>
      <c r="I99" s="472">
        <f t="shared" si="2"/>
        <v>0.32845968612834514</v>
      </c>
      <c r="J99" s="153">
        <v>3.8473756479098807E-2</v>
      </c>
      <c r="K99" s="153">
        <v>0.39358026214566905</v>
      </c>
      <c r="L99" s="153">
        <v>0.53857526864315253</v>
      </c>
      <c r="M99" s="153">
        <v>0.3432094572454602</v>
      </c>
      <c r="N99" s="472">
        <f t="shared" si="3"/>
        <v>0.32845968612834514</v>
      </c>
      <c r="O99" s="153">
        <v>3.8473756479098807E-2</v>
      </c>
      <c r="P99" s="153">
        <v>0.39358026214566905</v>
      </c>
      <c r="Q99" s="153">
        <v>0.53857526864315253</v>
      </c>
      <c r="R99" s="153">
        <v>0.3432094572454602</v>
      </c>
      <c r="S99" s="153">
        <v>0.03</v>
      </c>
      <c r="T99" s="153">
        <v>0</v>
      </c>
      <c r="U99" s="474">
        <v>2010</v>
      </c>
      <c r="V99">
        <v>2023</v>
      </c>
      <c r="W99">
        <v>0</v>
      </c>
      <c r="X99">
        <v>0</v>
      </c>
      <c r="Y99">
        <v>1304</v>
      </c>
      <c r="Z99">
        <v>311</v>
      </c>
      <c r="AA99" s="475" t="s">
        <v>23</v>
      </c>
    </row>
    <row r="100" spans="1:27" ht="15" hidden="1">
      <c r="A100" s="24">
        <v>1099</v>
      </c>
      <c r="B100" s="24">
        <v>1099</v>
      </c>
      <c r="C100" s="469" t="s">
        <v>494</v>
      </c>
      <c r="D100" t="s">
        <v>146</v>
      </c>
      <c r="E100" s="470">
        <v>1</v>
      </c>
      <c r="F100" s="471">
        <v>31.126760563380287</v>
      </c>
      <c r="G100">
        <v>1</v>
      </c>
      <c r="H100">
        <v>1</v>
      </c>
      <c r="I100" s="472">
        <f t="shared" si="2"/>
        <v>0.32845968612834514</v>
      </c>
      <c r="J100" s="153">
        <v>3.8473756479098807E-2</v>
      </c>
      <c r="K100" s="153">
        <v>0.39358026214566905</v>
      </c>
      <c r="L100" s="153">
        <v>0.53857526864315253</v>
      </c>
      <c r="M100" s="153">
        <v>0.3432094572454602</v>
      </c>
      <c r="N100" s="472">
        <f t="shared" si="3"/>
        <v>0.32845968612834514</v>
      </c>
      <c r="O100" s="153">
        <v>3.8473756479098807E-2</v>
      </c>
      <c r="P100" s="153">
        <v>0.39358026214566905</v>
      </c>
      <c r="Q100" s="153">
        <v>0.53857526864315253</v>
      </c>
      <c r="R100" s="153">
        <v>0.3432094572454602</v>
      </c>
      <c r="S100" s="153">
        <v>0.03</v>
      </c>
      <c r="T100" s="153">
        <v>0</v>
      </c>
      <c r="U100" s="474">
        <v>2010</v>
      </c>
      <c r="V100">
        <v>2023</v>
      </c>
      <c r="W100">
        <v>0</v>
      </c>
      <c r="X100">
        <v>0</v>
      </c>
      <c r="Y100">
        <v>1304</v>
      </c>
      <c r="Z100">
        <v>311</v>
      </c>
      <c r="AA100" s="475" t="s">
        <v>23</v>
      </c>
    </row>
    <row r="101" spans="1:27" ht="15" hidden="1">
      <c r="A101" s="24">
        <v>1100</v>
      </c>
      <c r="B101" s="24">
        <v>1100</v>
      </c>
      <c r="C101" s="469" t="s">
        <v>495</v>
      </c>
      <c r="D101" t="s">
        <v>146</v>
      </c>
      <c r="E101" s="470">
        <v>1</v>
      </c>
      <c r="F101" s="471">
        <v>98.873239436619713</v>
      </c>
      <c r="G101">
        <v>1</v>
      </c>
      <c r="H101">
        <v>1</v>
      </c>
      <c r="I101" s="472">
        <f t="shared" si="2"/>
        <v>0.32845968612834514</v>
      </c>
      <c r="J101" s="153">
        <v>3.8473756479098807E-2</v>
      </c>
      <c r="K101" s="153">
        <v>0.39358026214566905</v>
      </c>
      <c r="L101" s="153">
        <v>0.53857526864315253</v>
      </c>
      <c r="M101" s="153">
        <v>0.3432094572454602</v>
      </c>
      <c r="N101" s="472">
        <f t="shared" si="3"/>
        <v>0.32845968612834514</v>
      </c>
      <c r="O101" s="153">
        <v>3.8473756479098807E-2</v>
      </c>
      <c r="P101" s="153">
        <v>0.39358026214566905</v>
      </c>
      <c r="Q101" s="153">
        <v>0.53857526864315253</v>
      </c>
      <c r="R101" s="153">
        <v>0.3432094572454602</v>
      </c>
      <c r="S101" s="153">
        <v>0.03</v>
      </c>
      <c r="T101" s="153">
        <v>0</v>
      </c>
      <c r="U101" s="474">
        <v>2010</v>
      </c>
      <c r="V101">
        <v>2023</v>
      </c>
      <c r="W101">
        <v>0</v>
      </c>
      <c r="X101">
        <v>0</v>
      </c>
      <c r="Y101">
        <v>1304</v>
      </c>
      <c r="Z101">
        <v>311</v>
      </c>
      <c r="AA101" s="475" t="s">
        <v>23</v>
      </c>
    </row>
    <row r="102" spans="1:27" ht="15" hidden="1">
      <c r="A102" s="24">
        <v>1101</v>
      </c>
      <c r="B102" s="24">
        <v>1101</v>
      </c>
      <c r="C102" s="469" t="s">
        <v>496</v>
      </c>
      <c r="D102" t="s">
        <v>152</v>
      </c>
      <c r="E102" s="470">
        <v>3</v>
      </c>
      <c r="F102" s="471">
        <v>20.5</v>
      </c>
      <c r="G102">
        <v>1</v>
      </c>
      <c r="H102">
        <v>1</v>
      </c>
      <c r="I102" s="472">
        <f t="shared" si="2"/>
        <v>0.32845968612834514</v>
      </c>
      <c r="J102" s="153">
        <v>3.8473756479098807E-2</v>
      </c>
      <c r="K102" s="153">
        <v>0.39358026214566905</v>
      </c>
      <c r="L102" s="153">
        <v>0.53857526864315253</v>
      </c>
      <c r="M102" s="153">
        <v>0.3432094572454602</v>
      </c>
      <c r="N102" s="472">
        <f t="shared" si="3"/>
        <v>0.32845968612834514</v>
      </c>
      <c r="O102" s="153">
        <v>3.8473756479098807E-2</v>
      </c>
      <c r="P102" s="153">
        <v>0.39358026214566905</v>
      </c>
      <c r="Q102" s="153">
        <v>0.53857526864315253</v>
      </c>
      <c r="R102" s="153">
        <v>0.3432094572454602</v>
      </c>
      <c r="S102" s="153">
        <v>0.03</v>
      </c>
      <c r="T102" s="153">
        <v>0</v>
      </c>
      <c r="U102" s="474">
        <v>2010</v>
      </c>
      <c r="V102">
        <v>2023</v>
      </c>
      <c r="W102">
        <v>0</v>
      </c>
      <c r="X102">
        <v>0</v>
      </c>
      <c r="Y102">
        <v>1304</v>
      </c>
      <c r="Z102">
        <v>311</v>
      </c>
      <c r="AA102" s="475" t="s">
        <v>23</v>
      </c>
    </row>
    <row r="103" spans="1:27" ht="15" hidden="1">
      <c r="A103" s="24">
        <v>1102</v>
      </c>
      <c r="B103" s="24">
        <v>1102</v>
      </c>
      <c r="C103" s="469" t="s">
        <v>497</v>
      </c>
      <c r="D103" t="s">
        <v>152</v>
      </c>
      <c r="E103" s="470">
        <v>3</v>
      </c>
      <c r="F103" s="471">
        <v>0</v>
      </c>
      <c r="G103">
        <v>1</v>
      </c>
      <c r="H103">
        <v>1</v>
      </c>
      <c r="I103" s="472">
        <f t="shared" si="2"/>
        <v>0.32845968612834514</v>
      </c>
      <c r="J103" s="153">
        <v>3.8473756479098807E-2</v>
      </c>
      <c r="K103" s="153">
        <v>0.39358026214566905</v>
      </c>
      <c r="L103" s="153">
        <v>0.53857526864315253</v>
      </c>
      <c r="M103" s="153">
        <v>0.3432094572454602</v>
      </c>
      <c r="N103" s="472">
        <f t="shared" si="3"/>
        <v>0.32845968612834514</v>
      </c>
      <c r="O103" s="153">
        <v>3.8473756479098807E-2</v>
      </c>
      <c r="P103" s="153">
        <v>0.39358026214566905</v>
      </c>
      <c r="Q103" s="153">
        <v>0.53857526864315253</v>
      </c>
      <c r="R103" s="153">
        <v>0.3432094572454602</v>
      </c>
      <c r="S103" s="153">
        <v>0.03</v>
      </c>
      <c r="T103" s="153">
        <v>0</v>
      </c>
      <c r="U103" s="474">
        <v>1900</v>
      </c>
      <c r="V103">
        <v>2030</v>
      </c>
      <c r="W103">
        <v>0</v>
      </c>
      <c r="X103">
        <v>0</v>
      </c>
      <c r="Y103">
        <v>1304</v>
      </c>
      <c r="Z103">
        <v>311</v>
      </c>
      <c r="AA103" s="475" t="s">
        <v>23</v>
      </c>
    </row>
    <row r="104" spans="1:27" ht="15" hidden="1">
      <c r="A104" s="24">
        <v>1103</v>
      </c>
      <c r="B104" s="24">
        <v>1103</v>
      </c>
      <c r="C104" s="469" t="s">
        <v>498</v>
      </c>
      <c r="D104" t="s">
        <v>152</v>
      </c>
      <c r="E104" s="470">
        <v>3</v>
      </c>
      <c r="F104" s="471">
        <v>25</v>
      </c>
      <c r="G104">
        <v>1</v>
      </c>
      <c r="H104">
        <v>1</v>
      </c>
      <c r="I104" s="472">
        <f t="shared" si="2"/>
        <v>0.32845968612834514</v>
      </c>
      <c r="J104" s="153">
        <v>3.8473756479098807E-2</v>
      </c>
      <c r="K104" s="153">
        <v>0.39358026214566905</v>
      </c>
      <c r="L104" s="153">
        <v>0.53857526864315253</v>
      </c>
      <c r="M104" s="153">
        <v>0.3432094572454602</v>
      </c>
      <c r="N104" s="472">
        <f t="shared" si="3"/>
        <v>0.32845968612834514</v>
      </c>
      <c r="O104" s="153">
        <v>3.8473756479098807E-2</v>
      </c>
      <c r="P104" s="153">
        <v>0.39358026214566905</v>
      </c>
      <c r="Q104" s="153">
        <v>0.53857526864315253</v>
      </c>
      <c r="R104" s="153">
        <v>0.3432094572454602</v>
      </c>
      <c r="S104" s="153">
        <v>0.03</v>
      </c>
      <c r="T104" s="153">
        <v>0</v>
      </c>
      <c r="U104" s="474">
        <v>2011</v>
      </c>
      <c r="V104">
        <v>2030</v>
      </c>
      <c r="W104">
        <v>0</v>
      </c>
      <c r="X104">
        <v>0</v>
      </c>
      <c r="Y104">
        <v>1304</v>
      </c>
      <c r="Z104">
        <v>311</v>
      </c>
      <c r="AA104" s="475" t="s">
        <v>23</v>
      </c>
    </row>
    <row r="105" spans="1:27" ht="15" hidden="1">
      <c r="A105" s="24">
        <v>1104</v>
      </c>
      <c r="B105" s="24">
        <v>1104</v>
      </c>
      <c r="C105" s="469" t="s">
        <v>499</v>
      </c>
      <c r="D105" t="s">
        <v>152</v>
      </c>
      <c r="E105" s="470">
        <v>3</v>
      </c>
      <c r="F105" s="471">
        <v>0</v>
      </c>
      <c r="G105">
        <v>1</v>
      </c>
      <c r="H105">
        <v>1</v>
      </c>
      <c r="I105" s="472">
        <f t="shared" si="2"/>
        <v>0.32845968612834514</v>
      </c>
      <c r="J105" s="153">
        <v>3.8473756479098807E-2</v>
      </c>
      <c r="K105" s="153">
        <v>0.39358026214566905</v>
      </c>
      <c r="L105" s="153">
        <v>0.53857526864315253</v>
      </c>
      <c r="M105" s="153">
        <v>0.3432094572454602</v>
      </c>
      <c r="N105" s="472">
        <f t="shared" si="3"/>
        <v>0.32845968612834514</v>
      </c>
      <c r="O105" s="153">
        <v>3.8473756479098807E-2</v>
      </c>
      <c r="P105" s="153">
        <v>0.39358026214566905</v>
      </c>
      <c r="Q105" s="153">
        <v>0.53857526864315253</v>
      </c>
      <c r="R105" s="153">
        <v>0.3432094572454602</v>
      </c>
      <c r="S105" s="153">
        <v>0.03</v>
      </c>
      <c r="T105" s="153">
        <v>0</v>
      </c>
      <c r="U105" s="474">
        <v>1900</v>
      </c>
      <c r="V105">
        <v>2030</v>
      </c>
      <c r="W105">
        <v>0</v>
      </c>
      <c r="X105">
        <v>0</v>
      </c>
      <c r="Y105">
        <v>1304</v>
      </c>
      <c r="Z105">
        <v>311</v>
      </c>
      <c r="AA105" s="475" t="s">
        <v>23</v>
      </c>
    </row>
    <row r="106" spans="1:27" ht="15" hidden="1">
      <c r="A106" s="24">
        <v>1105</v>
      </c>
      <c r="B106" s="24">
        <v>1105</v>
      </c>
      <c r="C106" s="469" t="s">
        <v>500</v>
      </c>
      <c r="D106" t="s">
        <v>146</v>
      </c>
      <c r="E106" s="470">
        <v>1</v>
      </c>
      <c r="F106" s="471">
        <v>44</v>
      </c>
      <c r="G106">
        <v>1</v>
      </c>
      <c r="H106">
        <v>1</v>
      </c>
      <c r="I106" s="472">
        <f t="shared" si="2"/>
        <v>0.32845968612834514</v>
      </c>
      <c r="J106" s="153">
        <v>3.8473756479098807E-2</v>
      </c>
      <c r="K106" s="153">
        <v>0.39358026214566905</v>
      </c>
      <c r="L106" s="153">
        <v>0.53857526864315253</v>
      </c>
      <c r="M106" s="153">
        <v>0.3432094572454602</v>
      </c>
      <c r="N106" s="472">
        <f t="shared" si="3"/>
        <v>0.32845968612834514</v>
      </c>
      <c r="O106" s="153">
        <v>3.8473756479098807E-2</v>
      </c>
      <c r="P106" s="153">
        <v>0.39358026214566905</v>
      </c>
      <c r="Q106" s="153">
        <v>0.53857526864315253</v>
      </c>
      <c r="R106" s="153">
        <v>0.3432094572454602</v>
      </c>
      <c r="S106" s="153">
        <v>0.03</v>
      </c>
      <c r="T106" s="153">
        <v>0</v>
      </c>
      <c r="U106" s="474">
        <v>2012</v>
      </c>
      <c r="V106">
        <v>2030</v>
      </c>
      <c r="W106">
        <v>0</v>
      </c>
      <c r="X106">
        <v>0</v>
      </c>
      <c r="Y106">
        <v>1304</v>
      </c>
      <c r="Z106">
        <v>311</v>
      </c>
      <c r="AA106" s="475" t="s">
        <v>23</v>
      </c>
    </row>
    <row r="107" spans="1:27" ht="15" hidden="1">
      <c r="A107" s="24">
        <v>1106</v>
      </c>
      <c r="B107" s="24">
        <v>1106</v>
      </c>
      <c r="C107" s="469" t="s">
        <v>501</v>
      </c>
      <c r="D107" t="s">
        <v>146</v>
      </c>
      <c r="E107" s="470">
        <v>1</v>
      </c>
      <c r="F107" s="471">
        <v>0</v>
      </c>
      <c r="G107">
        <v>1</v>
      </c>
      <c r="H107">
        <v>1</v>
      </c>
      <c r="I107" s="472">
        <f t="shared" si="2"/>
        <v>0.32845968612834514</v>
      </c>
      <c r="J107" s="153">
        <v>3.8473756479098807E-2</v>
      </c>
      <c r="K107" s="153">
        <v>0.39358026214566905</v>
      </c>
      <c r="L107" s="153">
        <v>0.53857526864315253</v>
      </c>
      <c r="M107" s="153">
        <v>0.3432094572454602</v>
      </c>
      <c r="N107" s="472">
        <f t="shared" si="3"/>
        <v>0.32845968612834514</v>
      </c>
      <c r="O107" s="153">
        <v>3.8473756479098807E-2</v>
      </c>
      <c r="P107" s="153">
        <v>0.39358026214566905</v>
      </c>
      <c r="Q107" s="153">
        <v>0.53857526864315253</v>
      </c>
      <c r="R107" s="153">
        <v>0.3432094572454602</v>
      </c>
      <c r="S107" s="153">
        <v>0.03</v>
      </c>
      <c r="T107" s="153">
        <v>0</v>
      </c>
      <c r="U107" s="474">
        <v>1900</v>
      </c>
      <c r="V107">
        <v>2030</v>
      </c>
      <c r="W107">
        <v>0</v>
      </c>
      <c r="X107">
        <v>0</v>
      </c>
      <c r="Y107">
        <v>1304</v>
      </c>
      <c r="Z107">
        <v>311</v>
      </c>
      <c r="AA107" s="475" t="s">
        <v>23</v>
      </c>
    </row>
    <row r="108" spans="1:27" ht="15" hidden="1">
      <c r="A108" s="24">
        <v>1107</v>
      </c>
      <c r="B108" s="24">
        <v>1107</v>
      </c>
      <c r="C108" s="469" t="s">
        <v>502</v>
      </c>
      <c r="D108" t="s">
        <v>152</v>
      </c>
      <c r="E108" s="470">
        <v>3</v>
      </c>
      <c r="F108" s="471">
        <v>18</v>
      </c>
      <c r="G108">
        <v>1</v>
      </c>
      <c r="H108">
        <v>1</v>
      </c>
      <c r="I108" s="472">
        <f t="shared" si="2"/>
        <v>0.32845968612834514</v>
      </c>
      <c r="J108" s="153">
        <v>3.8473756479098807E-2</v>
      </c>
      <c r="K108" s="153">
        <v>0.39358026214566905</v>
      </c>
      <c r="L108" s="153">
        <v>0.53857526864315253</v>
      </c>
      <c r="M108" s="153">
        <v>0.3432094572454602</v>
      </c>
      <c r="N108" s="472">
        <f t="shared" si="3"/>
        <v>0.32845968612834514</v>
      </c>
      <c r="O108" s="153">
        <v>3.8473756479098807E-2</v>
      </c>
      <c r="P108" s="153">
        <v>0.39358026214566905</v>
      </c>
      <c r="Q108" s="153">
        <v>0.53857526864315253</v>
      </c>
      <c r="R108" s="153">
        <v>0.3432094572454602</v>
      </c>
      <c r="S108" s="153">
        <v>0.03</v>
      </c>
      <c r="T108" s="153">
        <v>0</v>
      </c>
      <c r="U108" s="474">
        <v>1900</v>
      </c>
      <c r="V108">
        <v>2030</v>
      </c>
      <c r="W108">
        <v>0</v>
      </c>
      <c r="X108">
        <v>0</v>
      </c>
      <c r="Y108">
        <v>1304</v>
      </c>
      <c r="Z108">
        <v>311</v>
      </c>
      <c r="AA108" s="475" t="s">
        <v>23</v>
      </c>
    </row>
    <row r="109" spans="1:27" ht="15" hidden="1">
      <c r="A109" s="24">
        <v>1108</v>
      </c>
      <c r="B109" s="24">
        <v>1108</v>
      </c>
      <c r="C109" s="469" t="s">
        <v>503</v>
      </c>
      <c r="D109" t="s">
        <v>152</v>
      </c>
      <c r="E109" s="470">
        <v>3</v>
      </c>
      <c r="F109" s="471">
        <v>0</v>
      </c>
      <c r="G109">
        <v>1</v>
      </c>
      <c r="H109">
        <v>1</v>
      </c>
      <c r="I109" s="472">
        <f t="shared" si="2"/>
        <v>0.32845968612834514</v>
      </c>
      <c r="J109" s="153">
        <v>3.8473756479098807E-2</v>
      </c>
      <c r="K109" s="153">
        <v>0.39358026214566905</v>
      </c>
      <c r="L109" s="153">
        <v>0.53857526864315253</v>
      </c>
      <c r="M109" s="153">
        <v>0.3432094572454602</v>
      </c>
      <c r="N109" s="472">
        <f t="shared" si="3"/>
        <v>0.32845968612834514</v>
      </c>
      <c r="O109" s="153">
        <v>3.8473756479098807E-2</v>
      </c>
      <c r="P109" s="153">
        <v>0.39358026214566905</v>
      </c>
      <c r="Q109" s="153">
        <v>0.53857526864315253</v>
      </c>
      <c r="R109" s="153">
        <v>0.3432094572454602</v>
      </c>
      <c r="S109" s="153">
        <v>0.03</v>
      </c>
      <c r="T109" s="153">
        <v>0</v>
      </c>
      <c r="U109" s="474">
        <v>1900</v>
      </c>
      <c r="V109">
        <v>2030</v>
      </c>
      <c r="W109">
        <v>0</v>
      </c>
      <c r="X109">
        <v>0</v>
      </c>
      <c r="Y109">
        <v>1304</v>
      </c>
      <c r="Z109">
        <v>311</v>
      </c>
      <c r="AA109" s="475" t="s">
        <v>23</v>
      </c>
    </row>
    <row r="110" spans="1:27" ht="15" hidden="1">
      <c r="A110" s="24">
        <v>1109</v>
      </c>
      <c r="B110" s="24">
        <v>1109</v>
      </c>
      <c r="C110" s="469" t="s">
        <v>504</v>
      </c>
      <c r="D110" t="s">
        <v>146</v>
      </c>
      <c r="E110" s="470">
        <v>1</v>
      </c>
      <c r="F110" s="471">
        <v>24</v>
      </c>
      <c r="G110">
        <v>1</v>
      </c>
      <c r="H110">
        <v>1</v>
      </c>
      <c r="I110" s="472">
        <f t="shared" si="2"/>
        <v>0.32845968612834514</v>
      </c>
      <c r="J110" s="153">
        <v>3.8473756479098807E-2</v>
      </c>
      <c r="K110" s="153">
        <v>0.39358026214566905</v>
      </c>
      <c r="L110" s="153">
        <v>0.53857526864315253</v>
      </c>
      <c r="M110" s="153">
        <v>0.3432094572454602</v>
      </c>
      <c r="N110" s="472">
        <f t="shared" si="3"/>
        <v>0.32845968612834514</v>
      </c>
      <c r="O110" s="153">
        <v>3.8473756479098807E-2</v>
      </c>
      <c r="P110" s="153">
        <v>0.39358026214566905</v>
      </c>
      <c r="Q110" s="153">
        <v>0.53857526864315253</v>
      </c>
      <c r="R110" s="153">
        <v>0.3432094572454602</v>
      </c>
      <c r="S110" s="153">
        <v>0.03</v>
      </c>
      <c r="T110" s="153">
        <v>0</v>
      </c>
      <c r="U110" s="474">
        <v>2008</v>
      </c>
      <c r="V110">
        <v>2023</v>
      </c>
      <c r="W110">
        <v>0</v>
      </c>
      <c r="X110">
        <v>0</v>
      </c>
      <c r="Y110">
        <v>1304</v>
      </c>
      <c r="Z110">
        <v>311</v>
      </c>
      <c r="AA110" s="475" t="s">
        <v>23</v>
      </c>
    </row>
    <row r="111" spans="1:27" ht="15" hidden="1">
      <c r="A111" s="24">
        <v>1110</v>
      </c>
      <c r="B111" s="24">
        <v>1110</v>
      </c>
      <c r="C111" s="469" t="s">
        <v>505</v>
      </c>
      <c r="D111" t="s">
        <v>146</v>
      </c>
      <c r="E111" s="470">
        <v>1</v>
      </c>
      <c r="F111" s="471">
        <v>0</v>
      </c>
      <c r="G111">
        <v>1</v>
      </c>
      <c r="H111">
        <v>1</v>
      </c>
      <c r="I111" s="472">
        <f t="shared" si="2"/>
        <v>0.32845968612834514</v>
      </c>
      <c r="J111" s="153">
        <v>3.8473756479098807E-2</v>
      </c>
      <c r="K111" s="153">
        <v>0.39358026214566905</v>
      </c>
      <c r="L111" s="153">
        <v>0.53857526864315253</v>
      </c>
      <c r="M111" s="153">
        <v>0.3432094572454602</v>
      </c>
      <c r="N111" s="472">
        <f t="shared" si="3"/>
        <v>0.32845968612834514</v>
      </c>
      <c r="O111" s="153">
        <v>3.8473756479098807E-2</v>
      </c>
      <c r="P111" s="153">
        <v>0.39358026214566905</v>
      </c>
      <c r="Q111" s="153">
        <v>0.53857526864315253</v>
      </c>
      <c r="R111" s="153">
        <v>0.3432094572454602</v>
      </c>
      <c r="S111" s="153">
        <v>0.03</v>
      </c>
      <c r="T111" s="153">
        <v>0</v>
      </c>
      <c r="U111" s="474">
        <v>1900</v>
      </c>
      <c r="V111">
        <v>2030</v>
      </c>
      <c r="W111">
        <v>0</v>
      </c>
      <c r="X111">
        <v>0</v>
      </c>
      <c r="Y111">
        <v>1304</v>
      </c>
      <c r="Z111">
        <v>311</v>
      </c>
      <c r="AA111" s="475" t="s">
        <v>23</v>
      </c>
    </row>
    <row r="112" spans="1:27" ht="15" hidden="1">
      <c r="A112" s="24">
        <v>1111</v>
      </c>
      <c r="B112" s="24">
        <v>1111</v>
      </c>
      <c r="C112" s="469" t="s">
        <v>506</v>
      </c>
      <c r="D112" t="s">
        <v>146</v>
      </c>
      <c r="E112" s="470">
        <v>1</v>
      </c>
      <c r="F112" s="471">
        <v>79</v>
      </c>
      <c r="G112">
        <v>1</v>
      </c>
      <c r="H112">
        <v>1</v>
      </c>
      <c r="I112" s="472">
        <f t="shared" si="2"/>
        <v>0.32845968612834514</v>
      </c>
      <c r="J112" s="153">
        <v>3.8473756479098807E-2</v>
      </c>
      <c r="K112" s="153">
        <v>0.39358026214566905</v>
      </c>
      <c r="L112" s="153">
        <v>0.53857526864315253</v>
      </c>
      <c r="M112" s="153">
        <v>0.3432094572454602</v>
      </c>
      <c r="N112" s="472">
        <f t="shared" si="3"/>
        <v>0.32845968612834514</v>
      </c>
      <c r="O112" s="153">
        <v>3.8473756479098807E-2</v>
      </c>
      <c r="P112" s="153">
        <v>0.39358026214566905</v>
      </c>
      <c r="Q112" s="153">
        <v>0.53857526864315253</v>
      </c>
      <c r="R112" s="153">
        <v>0.3432094572454602</v>
      </c>
      <c r="S112" s="153">
        <v>0.03</v>
      </c>
      <c r="T112" s="153">
        <v>0</v>
      </c>
      <c r="U112" s="474">
        <v>2005</v>
      </c>
      <c r="V112">
        <v>2023</v>
      </c>
      <c r="W112">
        <v>0</v>
      </c>
      <c r="X112">
        <v>0</v>
      </c>
      <c r="Y112">
        <v>1304</v>
      </c>
      <c r="Z112">
        <v>311</v>
      </c>
      <c r="AA112" s="475" t="s">
        <v>23</v>
      </c>
    </row>
    <row r="113" spans="1:27" ht="15" hidden="1">
      <c r="A113" s="24">
        <v>1112</v>
      </c>
      <c r="B113" s="24">
        <v>1112</v>
      </c>
      <c r="C113" s="469" t="s">
        <v>507</v>
      </c>
      <c r="D113" t="s">
        <v>146</v>
      </c>
      <c r="E113" s="470">
        <v>1</v>
      </c>
      <c r="F113" s="471">
        <v>0</v>
      </c>
      <c r="G113">
        <v>1</v>
      </c>
      <c r="H113">
        <v>1</v>
      </c>
      <c r="I113" s="472">
        <f t="shared" si="2"/>
        <v>0.32845968612834514</v>
      </c>
      <c r="J113" s="153">
        <v>3.8473756479098807E-2</v>
      </c>
      <c r="K113" s="153">
        <v>0.39358026214566905</v>
      </c>
      <c r="L113" s="153">
        <v>0.53857526864315253</v>
      </c>
      <c r="M113" s="153">
        <v>0.3432094572454602</v>
      </c>
      <c r="N113" s="472">
        <f t="shared" si="3"/>
        <v>0.32845968612834514</v>
      </c>
      <c r="O113" s="153">
        <v>3.8473756479098807E-2</v>
      </c>
      <c r="P113" s="153">
        <v>0.39358026214566905</v>
      </c>
      <c r="Q113" s="153">
        <v>0.53857526864315253</v>
      </c>
      <c r="R113" s="153">
        <v>0.3432094572454602</v>
      </c>
      <c r="S113" s="153">
        <v>0.03</v>
      </c>
      <c r="T113" s="153">
        <v>0</v>
      </c>
      <c r="U113" s="474">
        <v>1900</v>
      </c>
      <c r="V113">
        <v>2030</v>
      </c>
      <c r="W113">
        <v>0</v>
      </c>
      <c r="X113">
        <v>0</v>
      </c>
      <c r="Y113">
        <v>1304</v>
      </c>
      <c r="Z113">
        <v>311</v>
      </c>
      <c r="AA113" s="475" t="s">
        <v>23</v>
      </c>
    </row>
    <row r="114" spans="1:27" ht="15" hidden="1">
      <c r="A114" s="24">
        <v>1113</v>
      </c>
      <c r="B114" s="24">
        <v>1113</v>
      </c>
      <c r="C114" s="469" t="s">
        <v>508</v>
      </c>
      <c r="D114" t="s">
        <v>146</v>
      </c>
      <c r="E114" s="470">
        <v>1</v>
      </c>
      <c r="F114" s="471">
        <v>12</v>
      </c>
      <c r="G114">
        <v>1</v>
      </c>
      <c r="H114">
        <v>1</v>
      </c>
      <c r="I114" s="472">
        <f t="shared" si="2"/>
        <v>0.32845968612834514</v>
      </c>
      <c r="J114" s="153">
        <v>3.8473756479098807E-2</v>
      </c>
      <c r="K114" s="153">
        <v>0.39358026214566905</v>
      </c>
      <c r="L114" s="153">
        <v>0.53857526864315253</v>
      </c>
      <c r="M114" s="153">
        <v>0.3432094572454602</v>
      </c>
      <c r="N114" s="472">
        <f t="shared" si="3"/>
        <v>0.32845968612834514</v>
      </c>
      <c r="O114" s="153">
        <v>3.8473756479098807E-2</v>
      </c>
      <c r="P114" s="153">
        <v>0.39358026214566905</v>
      </c>
      <c r="Q114" s="153">
        <v>0.53857526864315253</v>
      </c>
      <c r="R114" s="153">
        <v>0.3432094572454602</v>
      </c>
      <c r="S114" s="153">
        <v>0.03</v>
      </c>
      <c r="T114" s="153">
        <v>0</v>
      </c>
      <c r="U114" s="474">
        <v>1900</v>
      </c>
      <c r="V114">
        <v>2030</v>
      </c>
      <c r="W114">
        <v>0</v>
      </c>
      <c r="X114">
        <v>0</v>
      </c>
      <c r="Y114">
        <v>1304</v>
      </c>
      <c r="Z114">
        <v>311</v>
      </c>
      <c r="AA114" s="475" t="s">
        <v>23</v>
      </c>
    </row>
    <row r="115" spans="1:27" ht="15" hidden="1">
      <c r="A115" s="24">
        <v>1114</v>
      </c>
      <c r="B115" s="24">
        <v>1114</v>
      </c>
      <c r="C115" s="469" t="s">
        <v>509</v>
      </c>
      <c r="D115" t="s">
        <v>146</v>
      </c>
      <c r="E115" s="470">
        <v>1</v>
      </c>
      <c r="F115" s="471">
        <v>0</v>
      </c>
      <c r="G115">
        <v>1</v>
      </c>
      <c r="H115">
        <v>1</v>
      </c>
      <c r="I115" s="472">
        <f t="shared" si="2"/>
        <v>0.32845968612834514</v>
      </c>
      <c r="J115" s="153">
        <v>3.8473756479098807E-2</v>
      </c>
      <c r="K115" s="153">
        <v>0.39358026214566905</v>
      </c>
      <c r="L115" s="153">
        <v>0.53857526864315253</v>
      </c>
      <c r="M115" s="153">
        <v>0.3432094572454602</v>
      </c>
      <c r="N115" s="472">
        <f t="shared" si="3"/>
        <v>0.32845968612834514</v>
      </c>
      <c r="O115" s="153">
        <v>3.8473756479098807E-2</v>
      </c>
      <c r="P115" s="153">
        <v>0.39358026214566905</v>
      </c>
      <c r="Q115" s="153">
        <v>0.53857526864315253</v>
      </c>
      <c r="R115" s="153">
        <v>0.3432094572454602</v>
      </c>
      <c r="S115" s="153">
        <v>0.03</v>
      </c>
      <c r="T115" s="153">
        <v>0</v>
      </c>
      <c r="U115" s="474">
        <v>1900</v>
      </c>
      <c r="V115">
        <v>2030</v>
      </c>
      <c r="W115">
        <v>0</v>
      </c>
      <c r="X115">
        <v>0</v>
      </c>
      <c r="Y115">
        <v>1304</v>
      </c>
      <c r="Z115">
        <v>311</v>
      </c>
      <c r="AA115" s="475" t="s">
        <v>23</v>
      </c>
    </row>
    <row r="116" spans="1:27" ht="15" hidden="1">
      <c r="A116" s="24">
        <v>1115</v>
      </c>
      <c r="B116" s="24">
        <v>1115</v>
      </c>
      <c r="C116" s="469" t="s">
        <v>510</v>
      </c>
      <c r="D116" t="s">
        <v>146</v>
      </c>
      <c r="E116" s="470">
        <v>1</v>
      </c>
      <c r="F116" s="471">
        <v>54</v>
      </c>
      <c r="G116">
        <v>1</v>
      </c>
      <c r="H116">
        <v>1</v>
      </c>
      <c r="I116" s="472">
        <f t="shared" si="2"/>
        <v>0.32845968612834514</v>
      </c>
      <c r="J116" s="153">
        <v>3.8473756479098807E-2</v>
      </c>
      <c r="K116" s="153">
        <v>0.39358026214566905</v>
      </c>
      <c r="L116" s="153">
        <v>0.53857526864315253</v>
      </c>
      <c r="M116" s="153">
        <v>0.3432094572454602</v>
      </c>
      <c r="N116" s="472">
        <f t="shared" si="3"/>
        <v>0.32845968612834514</v>
      </c>
      <c r="O116" s="153">
        <v>3.8473756479098807E-2</v>
      </c>
      <c r="P116" s="153">
        <v>0.39358026214566905</v>
      </c>
      <c r="Q116" s="153">
        <v>0.53857526864315253</v>
      </c>
      <c r="R116" s="153">
        <v>0.3432094572454602</v>
      </c>
      <c r="S116" s="153">
        <v>0.03</v>
      </c>
      <c r="T116" s="153">
        <v>0</v>
      </c>
      <c r="U116" s="474">
        <v>2009</v>
      </c>
      <c r="V116">
        <v>2023</v>
      </c>
      <c r="W116">
        <v>0</v>
      </c>
      <c r="X116">
        <v>0</v>
      </c>
      <c r="Y116">
        <v>1304</v>
      </c>
      <c r="Z116">
        <v>311</v>
      </c>
      <c r="AA116" s="475" t="s">
        <v>23</v>
      </c>
    </row>
    <row r="117" spans="1:27" ht="15" hidden="1">
      <c r="A117" s="24">
        <v>1116</v>
      </c>
      <c r="B117" s="24">
        <v>1116</v>
      </c>
      <c r="C117" s="469" t="s">
        <v>511</v>
      </c>
      <c r="D117" t="s">
        <v>146</v>
      </c>
      <c r="E117" s="470">
        <v>1</v>
      </c>
      <c r="F117" s="471">
        <v>0</v>
      </c>
      <c r="G117">
        <v>1</v>
      </c>
      <c r="H117">
        <v>1</v>
      </c>
      <c r="I117" s="472">
        <f t="shared" si="2"/>
        <v>0.32845968612834514</v>
      </c>
      <c r="J117" s="153">
        <v>3.8473756479098807E-2</v>
      </c>
      <c r="K117" s="153">
        <v>0.39358026214566905</v>
      </c>
      <c r="L117" s="153">
        <v>0.53857526864315253</v>
      </c>
      <c r="M117" s="153">
        <v>0.3432094572454602</v>
      </c>
      <c r="N117" s="472">
        <f t="shared" si="3"/>
        <v>0.32845968612834514</v>
      </c>
      <c r="O117" s="153">
        <v>3.8473756479098807E-2</v>
      </c>
      <c r="P117" s="153">
        <v>0.39358026214566905</v>
      </c>
      <c r="Q117" s="153">
        <v>0.53857526864315253</v>
      </c>
      <c r="R117" s="153">
        <v>0.3432094572454602</v>
      </c>
      <c r="S117" s="153">
        <v>0.03</v>
      </c>
      <c r="T117" s="153">
        <v>0</v>
      </c>
      <c r="U117" s="474">
        <v>1900</v>
      </c>
      <c r="V117">
        <v>2030</v>
      </c>
      <c r="W117">
        <v>0</v>
      </c>
      <c r="X117">
        <v>0</v>
      </c>
      <c r="Y117">
        <v>1304</v>
      </c>
      <c r="Z117">
        <v>311</v>
      </c>
      <c r="AA117" s="475" t="s">
        <v>23</v>
      </c>
    </row>
    <row r="118" spans="1:27" ht="15" hidden="1">
      <c r="A118" s="24">
        <v>1117</v>
      </c>
      <c r="B118" s="24">
        <v>1117</v>
      </c>
      <c r="C118" s="469" t="s">
        <v>512</v>
      </c>
      <c r="D118" t="s">
        <v>152</v>
      </c>
      <c r="E118" s="470">
        <v>3</v>
      </c>
      <c r="F118" s="471">
        <v>0.874</v>
      </c>
      <c r="G118">
        <v>1</v>
      </c>
      <c r="H118">
        <v>1</v>
      </c>
      <c r="I118" s="472">
        <f t="shared" si="2"/>
        <v>0.32845968612834514</v>
      </c>
      <c r="J118" s="153">
        <v>3.8473756479098807E-2</v>
      </c>
      <c r="K118" s="153">
        <v>0.39358026214566905</v>
      </c>
      <c r="L118" s="153">
        <v>0.53857526864315253</v>
      </c>
      <c r="M118" s="153">
        <v>0.3432094572454602</v>
      </c>
      <c r="N118" s="472">
        <f t="shared" si="3"/>
        <v>0.32845968612834514</v>
      </c>
      <c r="O118" s="153">
        <v>3.8473756479098807E-2</v>
      </c>
      <c r="P118" s="153">
        <v>0.39358026214566905</v>
      </c>
      <c r="Q118" s="153">
        <v>0.53857526864315253</v>
      </c>
      <c r="R118" s="153">
        <v>0.3432094572454602</v>
      </c>
      <c r="S118" s="153">
        <v>0.03</v>
      </c>
      <c r="T118" s="153">
        <v>0</v>
      </c>
      <c r="U118" s="474">
        <v>1900</v>
      </c>
      <c r="V118">
        <v>2030</v>
      </c>
      <c r="W118">
        <v>0</v>
      </c>
      <c r="X118">
        <v>0</v>
      </c>
      <c r="Y118">
        <v>1304</v>
      </c>
      <c r="Z118">
        <v>311</v>
      </c>
      <c r="AA118" s="475" t="s">
        <v>23</v>
      </c>
    </row>
    <row r="119" spans="1:27" ht="15" hidden="1">
      <c r="A119" s="24">
        <v>1118</v>
      </c>
      <c r="B119" s="24">
        <v>1118</v>
      </c>
      <c r="C119" s="469" t="s">
        <v>513</v>
      </c>
      <c r="D119" t="s">
        <v>152</v>
      </c>
      <c r="E119" s="470">
        <v>3</v>
      </c>
      <c r="F119" s="471">
        <v>0</v>
      </c>
      <c r="G119">
        <v>1</v>
      </c>
      <c r="H119">
        <v>1</v>
      </c>
      <c r="I119" s="472">
        <f t="shared" si="2"/>
        <v>0.32845968612834514</v>
      </c>
      <c r="J119" s="153">
        <v>3.8473756479098807E-2</v>
      </c>
      <c r="K119" s="153">
        <v>0.39358026214566905</v>
      </c>
      <c r="L119" s="153">
        <v>0.53857526864315253</v>
      </c>
      <c r="M119" s="153">
        <v>0.3432094572454602</v>
      </c>
      <c r="N119" s="472">
        <f t="shared" si="3"/>
        <v>0.32845968612834514</v>
      </c>
      <c r="O119" s="153">
        <v>3.8473756479098807E-2</v>
      </c>
      <c r="P119" s="153">
        <v>0.39358026214566905</v>
      </c>
      <c r="Q119" s="153">
        <v>0.53857526864315253</v>
      </c>
      <c r="R119" s="153">
        <v>0.3432094572454602</v>
      </c>
      <c r="S119" s="153">
        <v>0.03</v>
      </c>
      <c r="T119" s="153">
        <v>0</v>
      </c>
      <c r="U119" s="474">
        <v>1900</v>
      </c>
      <c r="V119">
        <v>2030</v>
      </c>
      <c r="W119">
        <v>0</v>
      </c>
      <c r="X119">
        <v>0</v>
      </c>
      <c r="Y119">
        <v>1304</v>
      </c>
      <c r="Z119">
        <v>311</v>
      </c>
      <c r="AA119" s="475" t="s">
        <v>23</v>
      </c>
    </row>
    <row r="120" spans="1:27" ht="15" hidden="1">
      <c r="A120" s="24">
        <v>1119</v>
      </c>
      <c r="B120" s="24">
        <v>1119</v>
      </c>
      <c r="C120" s="469" t="s">
        <v>514</v>
      </c>
      <c r="D120" t="s">
        <v>146</v>
      </c>
      <c r="E120" s="470">
        <v>1</v>
      </c>
      <c r="F120" s="471">
        <v>34.209424083769633</v>
      </c>
      <c r="G120">
        <v>1</v>
      </c>
      <c r="H120">
        <v>1</v>
      </c>
      <c r="I120" s="472">
        <f t="shared" si="2"/>
        <v>0.32845968612834514</v>
      </c>
      <c r="J120" s="153">
        <v>3.8473756479098807E-2</v>
      </c>
      <c r="K120" s="153">
        <v>0.39358026214566905</v>
      </c>
      <c r="L120" s="153">
        <v>0.53857526864315253</v>
      </c>
      <c r="M120" s="153">
        <v>0.3432094572454602</v>
      </c>
      <c r="N120" s="472">
        <f t="shared" si="3"/>
        <v>0.32845968612834514</v>
      </c>
      <c r="O120" s="153">
        <v>3.8473756479098807E-2</v>
      </c>
      <c r="P120" s="153">
        <v>0.39358026214566905</v>
      </c>
      <c r="Q120" s="153">
        <v>0.53857526864315253</v>
      </c>
      <c r="R120" s="153">
        <v>0.3432094572454602</v>
      </c>
      <c r="S120" s="153">
        <v>0.03</v>
      </c>
      <c r="T120" s="153">
        <v>0</v>
      </c>
      <c r="U120" s="474">
        <v>2006</v>
      </c>
      <c r="V120">
        <v>2023</v>
      </c>
      <c r="W120">
        <v>0</v>
      </c>
      <c r="X120">
        <v>0</v>
      </c>
      <c r="Y120">
        <v>1304</v>
      </c>
      <c r="Z120">
        <v>311</v>
      </c>
      <c r="AA120" s="475" t="s">
        <v>23</v>
      </c>
    </row>
    <row r="121" spans="1:27" ht="15" hidden="1">
      <c r="A121" s="24">
        <v>1120</v>
      </c>
      <c r="B121" s="24">
        <v>1120</v>
      </c>
      <c r="C121" s="469" t="s">
        <v>515</v>
      </c>
      <c r="D121" t="s">
        <v>146</v>
      </c>
      <c r="E121" s="470">
        <v>1</v>
      </c>
      <c r="F121" s="471">
        <v>19.790575916230367</v>
      </c>
      <c r="G121">
        <v>1</v>
      </c>
      <c r="H121">
        <v>1</v>
      </c>
      <c r="I121" s="472">
        <f t="shared" si="2"/>
        <v>0.32845968612834514</v>
      </c>
      <c r="J121" s="153">
        <v>3.8473756479098807E-2</v>
      </c>
      <c r="K121" s="153">
        <v>0.39358026214566905</v>
      </c>
      <c r="L121" s="153">
        <v>0.53857526864315253</v>
      </c>
      <c r="M121" s="153">
        <v>0.3432094572454602</v>
      </c>
      <c r="N121" s="472">
        <f t="shared" si="3"/>
        <v>0.32845968612834514</v>
      </c>
      <c r="O121" s="153">
        <v>3.8473756479098807E-2</v>
      </c>
      <c r="P121" s="153">
        <v>0.39358026214566905</v>
      </c>
      <c r="Q121" s="153">
        <v>0.53857526864315253</v>
      </c>
      <c r="R121" s="153">
        <v>0.3432094572454602</v>
      </c>
      <c r="S121" s="153">
        <v>0.03</v>
      </c>
      <c r="T121" s="153">
        <v>0</v>
      </c>
      <c r="U121" s="474">
        <v>2012</v>
      </c>
      <c r="V121">
        <v>2030</v>
      </c>
      <c r="W121">
        <v>0</v>
      </c>
      <c r="X121">
        <v>0</v>
      </c>
      <c r="Y121">
        <v>1304</v>
      </c>
      <c r="Z121">
        <v>311</v>
      </c>
      <c r="AA121" s="475" t="s">
        <v>23</v>
      </c>
    </row>
    <row r="122" spans="1:27" ht="15" hidden="1">
      <c r="A122" s="24">
        <v>1121</v>
      </c>
      <c r="B122" s="24">
        <v>1121</v>
      </c>
      <c r="C122" s="469" t="s">
        <v>516</v>
      </c>
      <c r="D122" t="s">
        <v>146</v>
      </c>
      <c r="E122" s="470">
        <v>1</v>
      </c>
      <c r="F122" s="471">
        <v>10.28947368421052</v>
      </c>
      <c r="G122">
        <v>1</v>
      </c>
      <c r="H122">
        <v>1</v>
      </c>
      <c r="I122" s="472">
        <f t="shared" si="2"/>
        <v>0.32845968612834514</v>
      </c>
      <c r="J122" s="153">
        <v>3.8473756479098807E-2</v>
      </c>
      <c r="K122" s="153">
        <v>0.39358026214566905</v>
      </c>
      <c r="L122" s="153">
        <v>0.53857526864315253</v>
      </c>
      <c r="M122" s="153">
        <v>0.3432094572454602</v>
      </c>
      <c r="N122" s="472">
        <f t="shared" si="3"/>
        <v>0.32845968612834514</v>
      </c>
      <c r="O122" s="153">
        <v>3.8473756479098807E-2</v>
      </c>
      <c r="P122" s="153">
        <v>0.39358026214566905</v>
      </c>
      <c r="Q122" s="153">
        <v>0.53857526864315253</v>
      </c>
      <c r="R122" s="153">
        <v>0.3432094572454602</v>
      </c>
      <c r="S122" s="153">
        <v>0.03</v>
      </c>
      <c r="T122" s="153">
        <v>0</v>
      </c>
      <c r="U122" s="474">
        <v>2012</v>
      </c>
      <c r="V122">
        <v>2030</v>
      </c>
      <c r="W122">
        <v>0</v>
      </c>
      <c r="X122">
        <v>0</v>
      </c>
      <c r="Y122">
        <v>1304</v>
      </c>
      <c r="Z122">
        <v>311</v>
      </c>
      <c r="AA122" s="475" t="s">
        <v>23</v>
      </c>
    </row>
    <row r="123" spans="1:27" ht="15" hidden="1">
      <c r="A123" s="24">
        <v>1122</v>
      </c>
      <c r="B123" s="24">
        <v>1122</v>
      </c>
      <c r="C123" s="469" t="s">
        <v>517</v>
      </c>
      <c r="D123" t="s">
        <v>146</v>
      </c>
      <c r="E123" s="470">
        <v>1</v>
      </c>
      <c r="F123" s="471">
        <v>81.71052631578948</v>
      </c>
      <c r="G123">
        <v>1</v>
      </c>
      <c r="H123">
        <v>1</v>
      </c>
      <c r="I123" s="472">
        <f t="shared" si="2"/>
        <v>0.32845968612834514</v>
      </c>
      <c r="J123" s="153">
        <v>3.8473756479098807E-2</v>
      </c>
      <c r="K123" s="153">
        <v>0.39358026214566905</v>
      </c>
      <c r="L123" s="153">
        <v>0.53857526864315253</v>
      </c>
      <c r="M123" s="153">
        <v>0.3432094572454602</v>
      </c>
      <c r="N123" s="472">
        <f t="shared" si="3"/>
        <v>0.32845968612834514</v>
      </c>
      <c r="O123" s="153">
        <v>3.8473756479098807E-2</v>
      </c>
      <c r="P123" s="153">
        <v>0.39358026214566905</v>
      </c>
      <c r="Q123" s="153">
        <v>0.53857526864315253</v>
      </c>
      <c r="R123" s="153">
        <v>0.3432094572454602</v>
      </c>
      <c r="S123" s="153">
        <v>0.03</v>
      </c>
      <c r="T123" s="153">
        <v>0</v>
      </c>
      <c r="U123" s="474">
        <v>2010</v>
      </c>
      <c r="V123">
        <v>2023</v>
      </c>
      <c r="W123">
        <v>0</v>
      </c>
      <c r="X123">
        <v>0</v>
      </c>
      <c r="Y123">
        <v>1304</v>
      </c>
      <c r="Z123">
        <v>311</v>
      </c>
      <c r="AA123" s="475" t="s">
        <v>23</v>
      </c>
    </row>
    <row r="124" spans="1:27" ht="15" hidden="1">
      <c r="A124" s="24">
        <v>1123</v>
      </c>
      <c r="B124" s="24">
        <v>1123</v>
      </c>
      <c r="C124" s="469" t="s">
        <v>518</v>
      </c>
      <c r="D124" t="s">
        <v>146</v>
      </c>
      <c r="E124" s="470">
        <v>1</v>
      </c>
      <c r="F124" s="471">
        <v>15</v>
      </c>
      <c r="G124">
        <v>1</v>
      </c>
      <c r="H124">
        <v>1</v>
      </c>
      <c r="I124" s="472">
        <f t="shared" si="2"/>
        <v>0.32845968612834514</v>
      </c>
      <c r="J124" s="153">
        <v>3.8473756479098807E-2</v>
      </c>
      <c r="K124" s="153">
        <v>0.39358026214566905</v>
      </c>
      <c r="L124" s="153">
        <v>0.53857526864315253</v>
      </c>
      <c r="M124" s="153">
        <v>0.3432094572454602</v>
      </c>
      <c r="N124" s="472">
        <f t="shared" si="3"/>
        <v>0.32845968612834514</v>
      </c>
      <c r="O124" s="153">
        <v>3.8473756479098807E-2</v>
      </c>
      <c r="P124" s="153">
        <v>0.39358026214566905</v>
      </c>
      <c r="Q124" s="153">
        <v>0.53857526864315253</v>
      </c>
      <c r="R124" s="153">
        <v>0.3432094572454602</v>
      </c>
      <c r="S124" s="153">
        <v>0.03</v>
      </c>
      <c r="T124" s="153">
        <v>0</v>
      </c>
      <c r="U124" s="474">
        <v>2011</v>
      </c>
      <c r="V124">
        <v>2030</v>
      </c>
      <c r="W124">
        <v>0</v>
      </c>
      <c r="X124">
        <v>0</v>
      </c>
      <c r="Y124">
        <v>1304</v>
      </c>
      <c r="Z124">
        <v>311</v>
      </c>
      <c r="AA124" s="475" t="s">
        <v>23</v>
      </c>
    </row>
    <row r="125" spans="1:27" ht="15" hidden="1">
      <c r="A125" s="24">
        <v>1124</v>
      </c>
      <c r="B125" s="24">
        <v>1124</v>
      </c>
      <c r="C125" s="469" t="s">
        <v>519</v>
      </c>
      <c r="D125" t="s">
        <v>146</v>
      </c>
      <c r="E125" s="470">
        <v>1</v>
      </c>
      <c r="F125" s="471">
        <v>0</v>
      </c>
      <c r="G125">
        <v>1</v>
      </c>
      <c r="H125">
        <v>1</v>
      </c>
      <c r="I125" s="472">
        <f t="shared" si="2"/>
        <v>0.32845968612834514</v>
      </c>
      <c r="J125" s="153">
        <v>3.8473756479098807E-2</v>
      </c>
      <c r="K125" s="153">
        <v>0.39358026214566905</v>
      </c>
      <c r="L125" s="153">
        <v>0.53857526864315253</v>
      </c>
      <c r="M125" s="153">
        <v>0.3432094572454602</v>
      </c>
      <c r="N125" s="472">
        <f t="shared" si="3"/>
        <v>0.32845968612834514</v>
      </c>
      <c r="O125" s="153">
        <v>3.8473756479098807E-2</v>
      </c>
      <c r="P125" s="153">
        <v>0.39358026214566905</v>
      </c>
      <c r="Q125" s="153">
        <v>0.53857526864315253</v>
      </c>
      <c r="R125" s="153">
        <v>0.3432094572454602</v>
      </c>
      <c r="S125" s="153">
        <v>0.03</v>
      </c>
      <c r="T125" s="153">
        <v>0</v>
      </c>
      <c r="U125" s="474">
        <v>1900</v>
      </c>
      <c r="V125">
        <v>2030</v>
      </c>
      <c r="W125">
        <v>0</v>
      </c>
      <c r="X125">
        <v>0</v>
      </c>
      <c r="Y125">
        <v>1304</v>
      </c>
      <c r="Z125">
        <v>311</v>
      </c>
      <c r="AA125" s="475" t="s">
        <v>23</v>
      </c>
    </row>
    <row r="126" spans="1:27" ht="15" hidden="1">
      <c r="A126" s="24">
        <v>1125</v>
      </c>
      <c r="B126" s="24">
        <v>1125</v>
      </c>
      <c r="C126" s="469" t="s">
        <v>520</v>
      </c>
      <c r="D126" t="s">
        <v>146</v>
      </c>
      <c r="E126" s="470">
        <v>1</v>
      </c>
      <c r="F126" s="471">
        <v>22.659574468085108</v>
      </c>
      <c r="G126">
        <v>1</v>
      </c>
      <c r="H126">
        <v>1</v>
      </c>
      <c r="I126" s="472">
        <f t="shared" si="2"/>
        <v>0.32845968612834514</v>
      </c>
      <c r="J126" s="153">
        <v>3.8473756479098807E-2</v>
      </c>
      <c r="K126" s="153">
        <v>0.39358026214566905</v>
      </c>
      <c r="L126" s="153">
        <v>0.53857526864315253</v>
      </c>
      <c r="M126" s="153">
        <v>0.3432094572454602</v>
      </c>
      <c r="N126" s="472">
        <f t="shared" si="3"/>
        <v>0.32845968612834514</v>
      </c>
      <c r="O126" s="153">
        <v>3.8473756479098807E-2</v>
      </c>
      <c r="P126" s="153">
        <v>0.39358026214566905</v>
      </c>
      <c r="Q126" s="153">
        <v>0.53857526864315253</v>
      </c>
      <c r="R126" s="153">
        <v>0.3432094572454602</v>
      </c>
      <c r="S126" s="153">
        <v>0.03</v>
      </c>
      <c r="T126" s="153">
        <v>0</v>
      </c>
      <c r="U126" s="474">
        <v>2010</v>
      </c>
      <c r="V126">
        <v>2023</v>
      </c>
      <c r="W126">
        <v>0</v>
      </c>
      <c r="X126">
        <v>0</v>
      </c>
      <c r="Y126">
        <v>1304</v>
      </c>
      <c r="Z126">
        <v>311</v>
      </c>
      <c r="AA126" s="475" t="s">
        <v>23</v>
      </c>
    </row>
    <row r="127" spans="1:27" ht="15" hidden="1">
      <c r="A127" s="24">
        <v>1126</v>
      </c>
      <c r="B127" s="24">
        <v>1126</v>
      </c>
      <c r="C127" s="469" t="s">
        <v>521</v>
      </c>
      <c r="D127" t="s">
        <v>146</v>
      </c>
      <c r="E127" s="470">
        <v>1</v>
      </c>
      <c r="F127" s="471">
        <v>22.340425531914892</v>
      </c>
      <c r="G127">
        <v>1</v>
      </c>
      <c r="H127">
        <v>1</v>
      </c>
      <c r="I127" s="472">
        <f t="shared" si="2"/>
        <v>0.32845968612834514</v>
      </c>
      <c r="J127" s="153">
        <v>3.8473756479098807E-2</v>
      </c>
      <c r="K127" s="153">
        <v>0.39358026214566905</v>
      </c>
      <c r="L127" s="153">
        <v>0.53857526864315253</v>
      </c>
      <c r="M127" s="153">
        <v>0.3432094572454602</v>
      </c>
      <c r="N127" s="472">
        <f t="shared" si="3"/>
        <v>0.32845968612834514</v>
      </c>
      <c r="O127" s="153">
        <v>3.8473756479098807E-2</v>
      </c>
      <c r="P127" s="153">
        <v>0.39358026214566905</v>
      </c>
      <c r="Q127" s="153">
        <v>0.53857526864315253</v>
      </c>
      <c r="R127" s="153">
        <v>0.3432094572454602</v>
      </c>
      <c r="S127" s="153">
        <v>0.03</v>
      </c>
      <c r="T127" s="153">
        <v>0</v>
      </c>
      <c r="U127" s="474">
        <v>2009</v>
      </c>
      <c r="V127">
        <v>2023</v>
      </c>
      <c r="W127">
        <v>0</v>
      </c>
      <c r="X127">
        <v>0</v>
      </c>
      <c r="Y127">
        <v>1304</v>
      </c>
      <c r="Z127">
        <v>311</v>
      </c>
      <c r="AA127" s="475" t="s">
        <v>23</v>
      </c>
    </row>
    <row r="128" spans="1:27" ht="15" hidden="1">
      <c r="A128" s="24">
        <v>1127</v>
      </c>
      <c r="B128" s="24">
        <v>1127</v>
      </c>
      <c r="C128" s="469" t="s">
        <v>522</v>
      </c>
      <c r="D128" t="s">
        <v>149</v>
      </c>
      <c r="E128" s="470">
        <v>2</v>
      </c>
      <c r="F128" s="471">
        <v>250.994</v>
      </c>
      <c r="G128">
        <v>1</v>
      </c>
      <c r="H128">
        <v>1</v>
      </c>
      <c r="I128" s="472">
        <f t="shared" si="2"/>
        <v>0.32845968612834514</v>
      </c>
      <c r="J128" s="153">
        <v>3.8473756479098807E-2</v>
      </c>
      <c r="K128" s="153">
        <v>0.39358026214566905</v>
      </c>
      <c r="L128" s="153">
        <v>0.53857526864315253</v>
      </c>
      <c r="M128" s="153">
        <v>0.3432094572454602</v>
      </c>
      <c r="N128" s="472">
        <f t="shared" si="3"/>
        <v>0.32845968612834514</v>
      </c>
      <c r="O128" s="153">
        <v>3.8473756479098807E-2</v>
      </c>
      <c r="P128" s="153">
        <v>0.39358026214566905</v>
      </c>
      <c r="Q128" s="153">
        <v>0.53857526864315253</v>
      </c>
      <c r="R128" s="153">
        <v>0.3432094572454602</v>
      </c>
      <c r="S128" s="153">
        <v>0.03</v>
      </c>
      <c r="T128" s="153">
        <v>0</v>
      </c>
      <c r="U128" s="474">
        <v>2010</v>
      </c>
      <c r="V128">
        <v>2023</v>
      </c>
      <c r="W128">
        <v>0</v>
      </c>
      <c r="X128">
        <v>0</v>
      </c>
      <c r="Y128">
        <v>1304</v>
      </c>
      <c r="Z128">
        <v>311</v>
      </c>
      <c r="AA128" s="475" t="s">
        <v>23</v>
      </c>
    </row>
    <row r="129" spans="1:27" ht="15" hidden="1">
      <c r="A129" s="24">
        <v>1128</v>
      </c>
      <c r="B129" s="24">
        <v>1128</v>
      </c>
      <c r="C129" s="469" t="s">
        <v>523</v>
      </c>
      <c r="D129" t="s">
        <v>149</v>
      </c>
      <c r="E129" s="470">
        <v>2</v>
      </c>
      <c r="F129" s="471">
        <v>0</v>
      </c>
      <c r="G129">
        <v>1</v>
      </c>
      <c r="H129">
        <v>1</v>
      </c>
      <c r="I129" s="472">
        <f t="shared" si="2"/>
        <v>0.32845968612834514</v>
      </c>
      <c r="J129" s="153">
        <v>3.8473756479098807E-2</v>
      </c>
      <c r="K129" s="153">
        <v>0.39358026214566905</v>
      </c>
      <c r="L129" s="153">
        <v>0.53857526864315253</v>
      </c>
      <c r="M129" s="153">
        <v>0.3432094572454602</v>
      </c>
      <c r="N129" s="472">
        <f t="shared" si="3"/>
        <v>0.32845968612834514</v>
      </c>
      <c r="O129" s="153">
        <v>3.8473756479098807E-2</v>
      </c>
      <c r="P129" s="153">
        <v>0.39358026214566905</v>
      </c>
      <c r="Q129" s="153">
        <v>0.53857526864315253</v>
      </c>
      <c r="R129" s="153">
        <v>0.3432094572454602</v>
      </c>
      <c r="S129" s="153">
        <v>0.03</v>
      </c>
      <c r="T129" s="153">
        <v>0</v>
      </c>
      <c r="U129" s="474">
        <v>1900</v>
      </c>
      <c r="V129">
        <v>2030</v>
      </c>
      <c r="W129">
        <v>0</v>
      </c>
      <c r="X129">
        <v>0</v>
      </c>
      <c r="Y129">
        <v>1304</v>
      </c>
      <c r="Z129">
        <v>311</v>
      </c>
      <c r="AA129" s="475" t="s">
        <v>23</v>
      </c>
    </row>
    <row r="130" spans="1:27" ht="15" hidden="1">
      <c r="A130" s="24">
        <v>1129</v>
      </c>
      <c r="B130" s="24">
        <v>1129</v>
      </c>
      <c r="C130" s="469" t="s">
        <v>524</v>
      </c>
      <c r="D130" t="s">
        <v>146</v>
      </c>
      <c r="E130" s="470">
        <v>1</v>
      </c>
      <c r="F130" s="471">
        <v>72.432432432432435</v>
      </c>
      <c r="G130">
        <v>1</v>
      </c>
      <c r="H130">
        <v>1</v>
      </c>
      <c r="I130" s="472">
        <f t="shared" ref="I130:I193" si="4">AVERAGE(J130:M130)</f>
        <v>0.32845968612834514</v>
      </c>
      <c r="J130" s="153">
        <v>3.8473756479098807E-2</v>
      </c>
      <c r="K130" s="153">
        <v>0.39358026214566905</v>
      </c>
      <c r="L130" s="153">
        <v>0.53857526864315253</v>
      </c>
      <c r="M130" s="153">
        <v>0.3432094572454602</v>
      </c>
      <c r="N130" s="472">
        <f t="shared" ref="N130:N193" si="5">AVERAGE(O130:R130)</f>
        <v>0.32845968612834514</v>
      </c>
      <c r="O130" s="153">
        <v>3.8473756479098807E-2</v>
      </c>
      <c r="P130" s="153">
        <v>0.39358026214566905</v>
      </c>
      <c r="Q130" s="153">
        <v>0.53857526864315253</v>
      </c>
      <c r="R130" s="153">
        <v>0.3432094572454602</v>
      </c>
      <c r="S130" s="153">
        <v>0.03</v>
      </c>
      <c r="T130" s="153">
        <v>0</v>
      </c>
      <c r="U130" s="474">
        <v>2010</v>
      </c>
      <c r="V130">
        <v>2023</v>
      </c>
      <c r="W130">
        <v>0</v>
      </c>
      <c r="X130">
        <v>0</v>
      </c>
      <c r="Y130">
        <v>1304</v>
      </c>
      <c r="Z130">
        <v>311</v>
      </c>
      <c r="AA130" s="475" t="s">
        <v>23</v>
      </c>
    </row>
    <row r="131" spans="1:27" ht="15" hidden="1">
      <c r="A131" s="24">
        <v>1130</v>
      </c>
      <c r="B131" s="24">
        <v>1130</v>
      </c>
      <c r="C131" s="469" t="s">
        <v>525</v>
      </c>
      <c r="D131" t="s">
        <v>146</v>
      </c>
      <c r="E131" s="470">
        <v>1</v>
      </c>
      <c r="F131" s="471">
        <v>47.567567567567565</v>
      </c>
      <c r="G131">
        <v>1</v>
      </c>
      <c r="H131">
        <v>1</v>
      </c>
      <c r="I131" s="472">
        <f t="shared" si="4"/>
        <v>0.32845968612834514</v>
      </c>
      <c r="J131" s="153">
        <v>3.8473756479098807E-2</v>
      </c>
      <c r="K131" s="153">
        <v>0.39358026214566905</v>
      </c>
      <c r="L131" s="153">
        <v>0.53857526864315253</v>
      </c>
      <c r="M131" s="153">
        <v>0.3432094572454602</v>
      </c>
      <c r="N131" s="472">
        <f t="shared" si="5"/>
        <v>0.32845968612834514</v>
      </c>
      <c r="O131" s="153">
        <v>3.8473756479098807E-2</v>
      </c>
      <c r="P131" s="153">
        <v>0.39358026214566905</v>
      </c>
      <c r="Q131" s="153">
        <v>0.53857526864315253</v>
      </c>
      <c r="R131" s="153">
        <v>0.3432094572454602</v>
      </c>
      <c r="S131" s="153">
        <v>0.03</v>
      </c>
      <c r="T131" s="153">
        <v>0</v>
      </c>
      <c r="U131" s="474">
        <v>2009</v>
      </c>
      <c r="V131">
        <v>2023</v>
      </c>
      <c r="W131">
        <v>0</v>
      </c>
      <c r="X131">
        <v>0</v>
      </c>
      <c r="Y131">
        <v>1304</v>
      </c>
      <c r="Z131">
        <v>311</v>
      </c>
      <c r="AA131" s="475" t="s">
        <v>23</v>
      </c>
    </row>
    <row r="132" spans="1:27" ht="15" hidden="1">
      <c r="A132" s="24">
        <v>1131</v>
      </c>
      <c r="B132" s="24">
        <v>1131</v>
      </c>
      <c r="C132" s="469" t="s">
        <v>526</v>
      </c>
      <c r="D132" t="s">
        <v>146</v>
      </c>
      <c r="E132" s="470">
        <v>1</v>
      </c>
      <c r="F132" s="471">
        <v>18.370414814814811</v>
      </c>
      <c r="G132">
        <v>1</v>
      </c>
      <c r="H132">
        <v>1</v>
      </c>
      <c r="I132" s="472">
        <f t="shared" si="4"/>
        <v>0.32845968612834514</v>
      </c>
      <c r="J132" s="153">
        <v>3.8473756479098807E-2</v>
      </c>
      <c r="K132" s="153">
        <v>0.39358026214566905</v>
      </c>
      <c r="L132" s="153">
        <v>0.53857526864315253</v>
      </c>
      <c r="M132" s="153">
        <v>0.3432094572454602</v>
      </c>
      <c r="N132" s="472">
        <f t="shared" si="5"/>
        <v>0.32845968612834514</v>
      </c>
      <c r="O132" s="153">
        <v>3.8473756479098807E-2</v>
      </c>
      <c r="P132" s="153">
        <v>0.39358026214566905</v>
      </c>
      <c r="Q132" s="153">
        <v>0.53857526864315253</v>
      </c>
      <c r="R132" s="153">
        <v>0.3432094572454602</v>
      </c>
      <c r="S132" s="153">
        <v>0.03</v>
      </c>
      <c r="T132" s="153">
        <v>0</v>
      </c>
      <c r="U132" s="474">
        <v>2011</v>
      </c>
      <c r="V132">
        <v>2030</v>
      </c>
      <c r="W132">
        <v>0</v>
      </c>
      <c r="X132">
        <v>0</v>
      </c>
      <c r="Y132">
        <v>1304</v>
      </c>
      <c r="Z132">
        <v>311</v>
      </c>
      <c r="AA132" s="475" t="s">
        <v>23</v>
      </c>
    </row>
    <row r="133" spans="1:27" ht="15" hidden="1">
      <c r="A133" s="24">
        <v>1132</v>
      </c>
      <c r="B133" s="24">
        <v>1132</v>
      </c>
      <c r="C133" s="469" t="s">
        <v>527</v>
      </c>
      <c r="D133" t="s">
        <v>146</v>
      </c>
      <c r="E133" s="470">
        <v>1</v>
      </c>
      <c r="F133" s="471">
        <v>29.629585185185189</v>
      </c>
      <c r="G133">
        <v>1</v>
      </c>
      <c r="H133">
        <v>1</v>
      </c>
      <c r="I133" s="472">
        <f t="shared" si="4"/>
        <v>0.32845968612834514</v>
      </c>
      <c r="J133" s="153">
        <v>3.8473756479098807E-2</v>
      </c>
      <c r="K133" s="153">
        <v>0.39358026214566905</v>
      </c>
      <c r="L133" s="153">
        <v>0.53857526864315253</v>
      </c>
      <c r="M133" s="153">
        <v>0.3432094572454602</v>
      </c>
      <c r="N133" s="472">
        <f t="shared" si="5"/>
        <v>0.32845968612834514</v>
      </c>
      <c r="O133" s="153">
        <v>3.8473756479098807E-2</v>
      </c>
      <c r="P133" s="153">
        <v>0.39358026214566905</v>
      </c>
      <c r="Q133" s="153">
        <v>0.53857526864315253</v>
      </c>
      <c r="R133" s="153">
        <v>0.3432094572454602</v>
      </c>
      <c r="S133" s="153">
        <v>0.03</v>
      </c>
      <c r="T133" s="153">
        <v>0</v>
      </c>
      <c r="U133" s="474">
        <v>2012</v>
      </c>
      <c r="V133">
        <v>2030</v>
      </c>
      <c r="W133">
        <v>0</v>
      </c>
      <c r="X133">
        <v>0</v>
      </c>
      <c r="Y133">
        <v>1304</v>
      </c>
      <c r="Z133">
        <v>311</v>
      </c>
      <c r="AA133" s="475" t="s">
        <v>23</v>
      </c>
    </row>
    <row r="134" spans="1:27" ht="15" hidden="1">
      <c r="A134" s="24">
        <v>1133</v>
      </c>
      <c r="B134" s="24">
        <v>1133</v>
      </c>
      <c r="C134" s="469" t="s">
        <v>528</v>
      </c>
      <c r="D134" t="s">
        <v>146</v>
      </c>
      <c r="E134" s="470">
        <v>1</v>
      </c>
      <c r="F134" s="471">
        <v>15</v>
      </c>
      <c r="G134">
        <v>1</v>
      </c>
      <c r="H134">
        <v>1</v>
      </c>
      <c r="I134" s="472">
        <f t="shared" si="4"/>
        <v>0.32845968612834514</v>
      </c>
      <c r="J134" s="153">
        <v>3.8473756479098807E-2</v>
      </c>
      <c r="K134" s="153">
        <v>0.39358026214566905</v>
      </c>
      <c r="L134" s="153">
        <v>0.53857526864315253</v>
      </c>
      <c r="M134" s="153">
        <v>0.3432094572454602</v>
      </c>
      <c r="N134" s="472">
        <f t="shared" si="5"/>
        <v>0.32845968612834514</v>
      </c>
      <c r="O134" s="153">
        <v>3.8473756479098807E-2</v>
      </c>
      <c r="P134" s="153">
        <v>0.39358026214566905</v>
      </c>
      <c r="Q134" s="153">
        <v>0.53857526864315253</v>
      </c>
      <c r="R134" s="153">
        <v>0.3432094572454602</v>
      </c>
      <c r="S134" s="153">
        <v>0.03</v>
      </c>
      <c r="T134" s="153">
        <v>0</v>
      </c>
      <c r="U134" s="474">
        <v>2007</v>
      </c>
      <c r="V134">
        <v>2023</v>
      </c>
      <c r="W134">
        <v>0</v>
      </c>
      <c r="X134">
        <v>0</v>
      </c>
      <c r="Y134">
        <v>1304</v>
      </c>
      <c r="Z134">
        <v>311</v>
      </c>
      <c r="AA134" s="475" t="s">
        <v>23</v>
      </c>
    </row>
    <row r="135" spans="1:27" ht="15" hidden="1">
      <c r="A135" s="24">
        <v>1134</v>
      </c>
      <c r="B135" s="24">
        <v>1134</v>
      </c>
      <c r="C135" s="469" t="s">
        <v>529</v>
      </c>
      <c r="D135" t="s">
        <v>146</v>
      </c>
      <c r="E135" s="470">
        <v>1</v>
      </c>
      <c r="F135" s="471">
        <v>0</v>
      </c>
      <c r="G135">
        <v>1</v>
      </c>
      <c r="H135">
        <v>1</v>
      </c>
      <c r="I135" s="472">
        <f t="shared" si="4"/>
        <v>0.32845968612834514</v>
      </c>
      <c r="J135" s="153">
        <v>3.8473756479098807E-2</v>
      </c>
      <c r="K135" s="153">
        <v>0.39358026214566905</v>
      </c>
      <c r="L135" s="153">
        <v>0.53857526864315253</v>
      </c>
      <c r="M135" s="153">
        <v>0.3432094572454602</v>
      </c>
      <c r="N135" s="472">
        <f t="shared" si="5"/>
        <v>0.32845968612834514</v>
      </c>
      <c r="O135" s="153">
        <v>3.8473756479098807E-2</v>
      </c>
      <c r="P135" s="153">
        <v>0.39358026214566905</v>
      </c>
      <c r="Q135" s="153">
        <v>0.53857526864315253</v>
      </c>
      <c r="R135" s="153">
        <v>0.3432094572454602</v>
      </c>
      <c r="S135" s="153">
        <v>0.03</v>
      </c>
      <c r="T135" s="153">
        <v>0</v>
      </c>
      <c r="U135" s="474">
        <v>1900</v>
      </c>
      <c r="V135">
        <v>2030</v>
      </c>
      <c r="W135">
        <v>0</v>
      </c>
      <c r="X135">
        <v>0</v>
      </c>
      <c r="Y135">
        <v>1304</v>
      </c>
      <c r="Z135">
        <v>311</v>
      </c>
      <c r="AA135" s="475" t="s">
        <v>23</v>
      </c>
    </row>
    <row r="136" spans="1:27" ht="15" hidden="1">
      <c r="A136" s="24">
        <v>1135</v>
      </c>
      <c r="B136" s="24">
        <v>1135</v>
      </c>
      <c r="C136" s="469" t="s">
        <v>530</v>
      </c>
      <c r="D136" t="s">
        <v>146</v>
      </c>
      <c r="E136" s="470">
        <v>1</v>
      </c>
      <c r="F136" s="471">
        <v>50</v>
      </c>
      <c r="G136">
        <v>1</v>
      </c>
      <c r="H136">
        <v>1</v>
      </c>
      <c r="I136" s="472">
        <f t="shared" si="4"/>
        <v>0.32845968612834514</v>
      </c>
      <c r="J136" s="153">
        <v>3.8473756479098807E-2</v>
      </c>
      <c r="K136" s="153">
        <v>0.39358026214566905</v>
      </c>
      <c r="L136" s="153">
        <v>0.53857526864315253</v>
      </c>
      <c r="M136" s="153">
        <v>0.3432094572454602</v>
      </c>
      <c r="N136" s="472">
        <f t="shared" si="5"/>
        <v>0.32845968612834514</v>
      </c>
      <c r="O136" s="153">
        <v>3.8473756479098807E-2</v>
      </c>
      <c r="P136" s="153">
        <v>0.39358026214566905</v>
      </c>
      <c r="Q136" s="153">
        <v>0.53857526864315253</v>
      </c>
      <c r="R136" s="153">
        <v>0.3432094572454602</v>
      </c>
      <c r="S136" s="153">
        <v>0.03</v>
      </c>
      <c r="T136" s="153">
        <v>0</v>
      </c>
      <c r="U136" s="474">
        <v>2009</v>
      </c>
      <c r="V136">
        <v>2023</v>
      </c>
      <c r="W136">
        <v>0</v>
      </c>
      <c r="X136">
        <v>0</v>
      </c>
      <c r="Y136">
        <v>1304</v>
      </c>
      <c r="Z136">
        <v>311</v>
      </c>
      <c r="AA136" s="475" t="s">
        <v>23</v>
      </c>
    </row>
    <row r="137" spans="1:27" ht="15" hidden="1">
      <c r="A137" s="24">
        <v>1136</v>
      </c>
      <c r="B137" s="24">
        <v>1136</v>
      </c>
      <c r="C137" s="469" t="s">
        <v>531</v>
      </c>
      <c r="D137" t="s">
        <v>146</v>
      </c>
      <c r="E137" s="470">
        <v>1</v>
      </c>
      <c r="F137" s="471">
        <v>0</v>
      </c>
      <c r="G137">
        <v>1</v>
      </c>
      <c r="H137">
        <v>1</v>
      </c>
      <c r="I137" s="472">
        <f t="shared" si="4"/>
        <v>0.32845968612834514</v>
      </c>
      <c r="J137" s="153">
        <v>3.8473756479098807E-2</v>
      </c>
      <c r="K137" s="153">
        <v>0.39358026214566905</v>
      </c>
      <c r="L137" s="153">
        <v>0.53857526864315253</v>
      </c>
      <c r="M137" s="153">
        <v>0.3432094572454602</v>
      </c>
      <c r="N137" s="472">
        <f t="shared" si="5"/>
        <v>0.32845968612834514</v>
      </c>
      <c r="O137" s="153">
        <v>3.8473756479098807E-2</v>
      </c>
      <c r="P137" s="153">
        <v>0.39358026214566905</v>
      </c>
      <c r="Q137" s="153">
        <v>0.53857526864315253</v>
      </c>
      <c r="R137" s="153">
        <v>0.3432094572454602</v>
      </c>
      <c r="S137" s="153">
        <v>0.03</v>
      </c>
      <c r="T137" s="153">
        <v>0</v>
      </c>
      <c r="U137" s="474">
        <v>1900</v>
      </c>
      <c r="V137">
        <v>2030</v>
      </c>
      <c r="W137">
        <v>0</v>
      </c>
      <c r="X137">
        <v>0</v>
      </c>
      <c r="Y137">
        <v>1304</v>
      </c>
      <c r="Z137">
        <v>311</v>
      </c>
      <c r="AA137" s="475" t="s">
        <v>23</v>
      </c>
    </row>
    <row r="138" spans="1:27" ht="15" hidden="1">
      <c r="A138" s="24">
        <v>1137</v>
      </c>
      <c r="B138" s="24">
        <v>1137</v>
      </c>
      <c r="C138" s="469" t="s">
        <v>532</v>
      </c>
      <c r="D138" t="s">
        <v>146</v>
      </c>
      <c r="E138" s="470">
        <v>1</v>
      </c>
      <c r="F138" s="471">
        <v>63</v>
      </c>
      <c r="G138">
        <v>1</v>
      </c>
      <c r="H138">
        <v>1</v>
      </c>
      <c r="I138" s="472">
        <f t="shared" si="4"/>
        <v>0.32845968612834514</v>
      </c>
      <c r="J138" s="153">
        <v>3.8473756479098807E-2</v>
      </c>
      <c r="K138" s="153">
        <v>0.39358026214566905</v>
      </c>
      <c r="L138" s="153">
        <v>0.53857526864315253</v>
      </c>
      <c r="M138" s="153">
        <v>0.3432094572454602</v>
      </c>
      <c r="N138" s="472">
        <f t="shared" si="5"/>
        <v>0.32845968612834514</v>
      </c>
      <c r="O138" s="153">
        <v>3.8473756479098807E-2</v>
      </c>
      <c r="P138" s="153">
        <v>0.39358026214566905</v>
      </c>
      <c r="Q138" s="153">
        <v>0.53857526864315253</v>
      </c>
      <c r="R138" s="153">
        <v>0.3432094572454602</v>
      </c>
      <c r="S138" s="153">
        <v>0.03</v>
      </c>
      <c r="T138" s="153">
        <v>0</v>
      </c>
      <c r="U138" s="474">
        <v>2009</v>
      </c>
      <c r="V138">
        <v>2023</v>
      </c>
      <c r="W138">
        <v>0</v>
      </c>
      <c r="X138">
        <v>0</v>
      </c>
      <c r="Y138">
        <v>1304</v>
      </c>
      <c r="Z138">
        <v>311</v>
      </c>
      <c r="AA138" s="475" t="s">
        <v>23</v>
      </c>
    </row>
    <row r="139" spans="1:27" ht="15" hidden="1">
      <c r="A139" s="24">
        <v>1138</v>
      </c>
      <c r="B139" s="24">
        <v>1138</v>
      </c>
      <c r="C139" s="469" t="s">
        <v>533</v>
      </c>
      <c r="D139" t="s">
        <v>146</v>
      </c>
      <c r="E139" s="470">
        <v>1</v>
      </c>
      <c r="F139" s="471">
        <v>0</v>
      </c>
      <c r="G139">
        <v>1</v>
      </c>
      <c r="H139">
        <v>1</v>
      </c>
      <c r="I139" s="472">
        <f t="shared" si="4"/>
        <v>0.32845968612834514</v>
      </c>
      <c r="J139" s="153">
        <v>3.8473756479098807E-2</v>
      </c>
      <c r="K139" s="153">
        <v>0.39358026214566905</v>
      </c>
      <c r="L139" s="153">
        <v>0.53857526864315253</v>
      </c>
      <c r="M139" s="153">
        <v>0.3432094572454602</v>
      </c>
      <c r="N139" s="472">
        <f t="shared" si="5"/>
        <v>0.32845968612834514</v>
      </c>
      <c r="O139" s="153">
        <v>3.8473756479098807E-2</v>
      </c>
      <c r="P139" s="153">
        <v>0.39358026214566905</v>
      </c>
      <c r="Q139" s="153">
        <v>0.53857526864315253</v>
      </c>
      <c r="R139" s="153">
        <v>0.3432094572454602</v>
      </c>
      <c r="S139" s="153">
        <v>0.03</v>
      </c>
      <c r="T139" s="153">
        <v>0</v>
      </c>
      <c r="U139" s="474">
        <v>1900</v>
      </c>
      <c r="V139">
        <v>2030</v>
      </c>
      <c r="W139">
        <v>0</v>
      </c>
      <c r="X139">
        <v>0</v>
      </c>
      <c r="Y139">
        <v>1304</v>
      </c>
      <c r="Z139">
        <v>311</v>
      </c>
      <c r="AA139" s="475" t="s">
        <v>23</v>
      </c>
    </row>
    <row r="140" spans="1:27" ht="15" hidden="1">
      <c r="A140" s="24">
        <v>1139</v>
      </c>
      <c r="B140" s="24">
        <v>1139</v>
      </c>
      <c r="C140" s="469" t="s">
        <v>534</v>
      </c>
      <c r="D140" t="s">
        <v>146</v>
      </c>
      <c r="E140" s="470">
        <v>1</v>
      </c>
      <c r="F140" s="471">
        <v>28.046083048421053</v>
      </c>
      <c r="G140">
        <v>1</v>
      </c>
      <c r="H140">
        <v>1</v>
      </c>
      <c r="I140" s="472">
        <f t="shared" si="4"/>
        <v>0.32845968612834514</v>
      </c>
      <c r="J140" s="153">
        <v>3.8473756479098807E-2</v>
      </c>
      <c r="K140" s="153">
        <v>0.39358026214566905</v>
      </c>
      <c r="L140" s="153">
        <v>0.53857526864315253</v>
      </c>
      <c r="M140" s="153">
        <v>0.3432094572454602</v>
      </c>
      <c r="N140" s="472">
        <f t="shared" si="5"/>
        <v>0.32845968612834514</v>
      </c>
      <c r="O140" s="153">
        <v>3.8473756479098807E-2</v>
      </c>
      <c r="P140" s="153">
        <v>0.39358026214566905</v>
      </c>
      <c r="Q140" s="153">
        <v>0.53857526864315253</v>
      </c>
      <c r="R140" s="153">
        <v>0.3432094572454602</v>
      </c>
      <c r="S140" s="153">
        <v>0.03</v>
      </c>
      <c r="T140" s="153">
        <v>0</v>
      </c>
      <c r="U140" s="474">
        <v>2005</v>
      </c>
      <c r="V140">
        <v>2023</v>
      </c>
      <c r="W140">
        <v>0</v>
      </c>
      <c r="X140">
        <v>0</v>
      </c>
      <c r="Y140">
        <v>1304</v>
      </c>
      <c r="Z140">
        <v>311</v>
      </c>
      <c r="AA140" s="475" t="s">
        <v>23</v>
      </c>
    </row>
    <row r="141" spans="1:27" ht="15" hidden="1">
      <c r="A141" s="24">
        <v>1140</v>
      </c>
      <c r="B141" s="24">
        <v>1140</v>
      </c>
      <c r="C141" s="469" t="s">
        <v>535</v>
      </c>
      <c r="D141" t="s">
        <v>146</v>
      </c>
      <c r="E141" s="470">
        <v>1</v>
      </c>
      <c r="F141" s="471">
        <v>24.713916951578945</v>
      </c>
      <c r="G141">
        <v>1</v>
      </c>
      <c r="H141">
        <v>1</v>
      </c>
      <c r="I141" s="472">
        <f t="shared" si="4"/>
        <v>0.32845968612834514</v>
      </c>
      <c r="J141" s="153">
        <v>3.8473756479098807E-2</v>
      </c>
      <c r="K141" s="153">
        <v>0.39358026214566905</v>
      </c>
      <c r="L141" s="153">
        <v>0.53857526864315253</v>
      </c>
      <c r="M141" s="153">
        <v>0.3432094572454602</v>
      </c>
      <c r="N141" s="472">
        <f t="shared" si="5"/>
        <v>0.32845968612834514</v>
      </c>
      <c r="O141" s="153">
        <v>3.8473756479098807E-2</v>
      </c>
      <c r="P141" s="153">
        <v>0.39358026214566905</v>
      </c>
      <c r="Q141" s="153">
        <v>0.53857526864315253</v>
      </c>
      <c r="R141" s="153">
        <v>0.3432094572454602</v>
      </c>
      <c r="S141" s="153">
        <v>0.03</v>
      </c>
      <c r="T141" s="153">
        <v>0</v>
      </c>
      <c r="U141" s="474">
        <v>2011</v>
      </c>
      <c r="V141">
        <v>2030</v>
      </c>
      <c r="W141">
        <v>0</v>
      </c>
      <c r="X141">
        <v>0</v>
      </c>
      <c r="Y141">
        <v>1304</v>
      </c>
      <c r="Z141">
        <v>311</v>
      </c>
      <c r="AA141" s="475" t="s">
        <v>23</v>
      </c>
    </row>
    <row r="142" spans="1:27" ht="15" hidden="1">
      <c r="A142" s="24">
        <v>1141</v>
      </c>
      <c r="B142" s="24">
        <v>1141</v>
      </c>
      <c r="C142" s="469" t="s">
        <v>536</v>
      </c>
      <c r="D142" t="s">
        <v>146</v>
      </c>
      <c r="E142" s="470">
        <v>1</v>
      </c>
      <c r="F142" s="471">
        <v>24.4</v>
      </c>
      <c r="G142">
        <v>1</v>
      </c>
      <c r="H142">
        <v>1</v>
      </c>
      <c r="I142" s="472">
        <f t="shared" si="4"/>
        <v>0.32845968612834514</v>
      </c>
      <c r="J142" s="153">
        <v>3.8473756479098807E-2</v>
      </c>
      <c r="K142" s="153">
        <v>0.39358026214566905</v>
      </c>
      <c r="L142" s="153">
        <v>0.53857526864315253</v>
      </c>
      <c r="M142" s="153">
        <v>0.3432094572454602</v>
      </c>
      <c r="N142" s="472">
        <f t="shared" si="5"/>
        <v>0.32845968612834514</v>
      </c>
      <c r="O142" s="153">
        <v>3.8473756479098807E-2</v>
      </c>
      <c r="P142" s="153">
        <v>0.39358026214566905</v>
      </c>
      <c r="Q142" s="153">
        <v>0.53857526864315253</v>
      </c>
      <c r="R142" s="153">
        <v>0.3432094572454602</v>
      </c>
      <c r="S142" s="153">
        <v>0.03</v>
      </c>
      <c r="T142" s="153">
        <v>0</v>
      </c>
      <c r="U142" s="474">
        <v>1900</v>
      </c>
      <c r="V142">
        <v>2030</v>
      </c>
      <c r="W142">
        <v>0</v>
      </c>
      <c r="X142">
        <v>0</v>
      </c>
      <c r="Y142">
        <v>1304</v>
      </c>
      <c r="Z142">
        <v>311</v>
      </c>
      <c r="AA142" s="475" t="s">
        <v>23</v>
      </c>
    </row>
    <row r="143" spans="1:27" ht="15" hidden="1">
      <c r="A143" s="24">
        <v>1142</v>
      </c>
      <c r="B143" s="24">
        <v>1142</v>
      </c>
      <c r="C143" s="469" t="s">
        <v>537</v>
      </c>
      <c r="D143" t="s">
        <v>146</v>
      </c>
      <c r="E143" s="470">
        <v>1</v>
      </c>
      <c r="F143" s="471">
        <v>0</v>
      </c>
      <c r="G143">
        <v>1</v>
      </c>
      <c r="H143">
        <v>1</v>
      </c>
      <c r="I143" s="472">
        <f t="shared" si="4"/>
        <v>0.32845968612834514</v>
      </c>
      <c r="J143" s="153">
        <v>3.8473756479098807E-2</v>
      </c>
      <c r="K143" s="153">
        <v>0.39358026214566905</v>
      </c>
      <c r="L143" s="153">
        <v>0.53857526864315253</v>
      </c>
      <c r="M143" s="153">
        <v>0.3432094572454602</v>
      </c>
      <c r="N143" s="472">
        <f t="shared" si="5"/>
        <v>0.32845968612834514</v>
      </c>
      <c r="O143" s="153">
        <v>3.8473756479098807E-2</v>
      </c>
      <c r="P143" s="153">
        <v>0.39358026214566905</v>
      </c>
      <c r="Q143" s="153">
        <v>0.53857526864315253</v>
      </c>
      <c r="R143" s="153">
        <v>0.3432094572454602</v>
      </c>
      <c r="S143" s="153">
        <v>0.03</v>
      </c>
      <c r="T143" s="153">
        <v>0</v>
      </c>
      <c r="U143" s="474">
        <v>1900</v>
      </c>
      <c r="V143">
        <v>2030</v>
      </c>
      <c r="W143">
        <v>0</v>
      </c>
      <c r="X143">
        <v>0</v>
      </c>
      <c r="Y143">
        <v>1304</v>
      </c>
      <c r="Z143">
        <v>311</v>
      </c>
      <c r="AA143" s="475" t="s">
        <v>23</v>
      </c>
    </row>
    <row r="144" spans="1:27" ht="15" hidden="1">
      <c r="A144" s="24">
        <v>1143</v>
      </c>
      <c r="B144" s="24">
        <v>1143</v>
      </c>
      <c r="C144" s="469" t="s">
        <v>538</v>
      </c>
      <c r="D144" t="s">
        <v>152</v>
      </c>
      <c r="E144" s="470">
        <v>3</v>
      </c>
      <c r="F144" s="471">
        <v>8.8000000000000007</v>
      </c>
      <c r="G144">
        <v>1</v>
      </c>
      <c r="H144">
        <v>1</v>
      </c>
      <c r="I144" s="472">
        <f t="shared" si="4"/>
        <v>0.32845968612834514</v>
      </c>
      <c r="J144" s="153">
        <v>3.8473756479098807E-2</v>
      </c>
      <c r="K144" s="153">
        <v>0.39358026214566905</v>
      </c>
      <c r="L144" s="153">
        <v>0.53857526864315253</v>
      </c>
      <c r="M144" s="153">
        <v>0.3432094572454602</v>
      </c>
      <c r="N144" s="472">
        <f t="shared" si="5"/>
        <v>0.32845968612834514</v>
      </c>
      <c r="O144" s="153">
        <v>3.8473756479098807E-2</v>
      </c>
      <c r="P144" s="153">
        <v>0.39358026214566905</v>
      </c>
      <c r="Q144" s="153">
        <v>0.53857526864315253</v>
      </c>
      <c r="R144" s="153">
        <v>0.3432094572454602</v>
      </c>
      <c r="S144" s="153">
        <v>0.03</v>
      </c>
      <c r="T144" s="153">
        <v>0</v>
      </c>
      <c r="U144" s="474">
        <v>2009</v>
      </c>
      <c r="V144">
        <v>2023</v>
      </c>
      <c r="W144">
        <v>0</v>
      </c>
      <c r="X144">
        <v>0</v>
      </c>
      <c r="Y144">
        <v>1304</v>
      </c>
      <c r="Z144">
        <v>311</v>
      </c>
      <c r="AA144" s="475" t="s">
        <v>23</v>
      </c>
    </row>
    <row r="145" spans="1:27" ht="15" hidden="1">
      <c r="A145" s="24">
        <v>1144</v>
      </c>
      <c r="B145" s="24">
        <v>1144</v>
      </c>
      <c r="C145" s="469" t="s">
        <v>539</v>
      </c>
      <c r="D145" t="s">
        <v>152</v>
      </c>
      <c r="E145" s="470">
        <v>3</v>
      </c>
      <c r="F145" s="471">
        <v>0</v>
      </c>
      <c r="G145">
        <v>1</v>
      </c>
      <c r="H145">
        <v>1</v>
      </c>
      <c r="I145" s="472">
        <f t="shared" si="4"/>
        <v>0.32845968612834514</v>
      </c>
      <c r="J145" s="153">
        <v>3.8473756479098807E-2</v>
      </c>
      <c r="K145" s="153">
        <v>0.39358026214566905</v>
      </c>
      <c r="L145" s="153">
        <v>0.53857526864315253</v>
      </c>
      <c r="M145" s="153">
        <v>0.3432094572454602</v>
      </c>
      <c r="N145" s="472">
        <f t="shared" si="5"/>
        <v>0.32845968612834514</v>
      </c>
      <c r="O145" s="153">
        <v>3.8473756479098807E-2</v>
      </c>
      <c r="P145" s="153">
        <v>0.39358026214566905</v>
      </c>
      <c r="Q145" s="153">
        <v>0.53857526864315253</v>
      </c>
      <c r="R145" s="153">
        <v>0.3432094572454602</v>
      </c>
      <c r="S145" s="153">
        <v>0.03</v>
      </c>
      <c r="T145" s="153">
        <v>0</v>
      </c>
      <c r="U145" s="474">
        <v>1900</v>
      </c>
      <c r="V145">
        <v>2030</v>
      </c>
      <c r="W145">
        <v>0</v>
      </c>
      <c r="X145">
        <v>0</v>
      </c>
      <c r="Y145">
        <v>1304</v>
      </c>
      <c r="Z145">
        <v>311</v>
      </c>
      <c r="AA145" s="475" t="s">
        <v>23</v>
      </c>
    </row>
    <row r="146" spans="1:27" ht="15" hidden="1">
      <c r="A146" s="24">
        <v>1145</v>
      </c>
      <c r="B146" s="24">
        <v>1145</v>
      </c>
      <c r="C146" s="469" t="s">
        <v>540</v>
      </c>
      <c r="D146" t="s">
        <v>146</v>
      </c>
      <c r="E146" s="470">
        <v>1</v>
      </c>
      <c r="F146" s="471">
        <v>47.948717948717949</v>
      </c>
      <c r="G146">
        <v>1</v>
      </c>
      <c r="H146">
        <v>1</v>
      </c>
      <c r="I146" s="472">
        <f t="shared" si="4"/>
        <v>0.32845968612834514</v>
      </c>
      <c r="J146" s="153">
        <v>3.8473756479098807E-2</v>
      </c>
      <c r="K146" s="153">
        <v>0.39358026214566905</v>
      </c>
      <c r="L146" s="153">
        <v>0.53857526864315253</v>
      </c>
      <c r="M146" s="153">
        <v>0.3432094572454602</v>
      </c>
      <c r="N146" s="472">
        <f t="shared" si="5"/>
        <v>0.32845968612834514</v>
      </c>
      <c r="O146" s="153">
        <v>3.8473756479098807E-2</v>
      </c>
      <c r="P146" s="153">
        <v>0.39358026214566905</v>
      </c>
      <c r="Q146" s="153">
        <v>0.53857526864315253</v>
      </c>
      <c r="R146" s="153">
        <v>0.3432094572454602</v>
      </c>
      <c r="S146" s="153">
        <v>0.03</v>
      </c>
      <c r="T146" s="153">
        <v>0</v>
      </c>
      <c r="U146" s="474">
        <v>2010</v>
      </c>
      <c r="V146">
        <v>2023</v>
      </c>
      <c r="W146">
        <v>0</v>
      </c>
      <c r="X146">
        <v>0</v>
      </c>
      <c r="Y146">
        <v>1304</v>
      </c>
      <c r="Z146">
        <v>311</v>
      </c>
      <c r="AA146" s="475" t="s">
        <v>23</v>
      </c>
    </row>
    <row r="147" spans="1:27" ht="15" hidden="1">
      <c r="A147" s="24">
        <v>1146</v>
      </c>
      <c r="B147" s="24">
        <v>1146</v>
      </c>
      <c r="C147" s="469" t="s">
        <v>541</v>
      </c>
      <c r="D147" t="s">
        <v>146</v>
      </c>
      <c r="E147" s="470">
        <v>1</v>
      </c>
      <c r="F147" s="471">
        <v>62.051282051282051</v>
      </c>
      <c r="G147">
        <v>1</v>
      </c>
      <c r="H147">
        <v>1</v>
      </c>
      <c r="I147" s="472">
        <f t="shared" si="4"/>
        <v>0.32845968612834514</v>
      </c>
      <c r="J147" s="153">
        <v>3.8473756479098807E-2</v>
      </c>
      <c r="K147" s="153">
        <v>0.39358026214566905</v>
      </c>
      <c r="L147" s="153">
        <v>0.53857526864315253</v>
      </c>
      <c r="M147" s="153">
        <v>0.3432094572454602</v>
      </c>
      <c r="N147" s="472">
        <f t="shared" si="5"/>
        <v>0.32845968612834514</v>
      </c>
      <c r="O147" s="153">
        <v>3.8473756479098807E-2</v>
      </c>
      <c r="P147" s="153">
        <v>0.39358026214566905</v>
      </c>
      <c r="Q147" s="153">
        <v>0.53857526864315253</v>
      </c>
      <c r="R147" s="153">
        <v>0.3432094572454602</v>
      </c>
      <c r="S147" s="153">
        <v>0.03</v>
      </c>
      <c r="T147" s="153">
        <v>0</v>
      </c>
      <c r="U147" s="474">
        <v>2010</v>
      </c>
      <c r="V147">
        <v>2023</v>
      </c>
      <c r="W147">
        <v>0</v>
      </c>
      <c r="X147">
        <v>0</v>
      </c>
      <c r="Y147">
        <v>1304</v>
      </c>
      <c r="Z147">
        <v>311</v>
      </c>
      <c r="AA147" s="475" t="s">
        <v>23</v>
      </c>
    </row>
    <row r="148" spans="1:27" ht="15" hidden="1">
      <c r="A148" s="24">
        <v>1147</v>
      </c>
      <c r="B148" s="24">
        <v>1147</v>
      </c>
      <c r="C148" s="469" t="s">
        <v>542</v>
      </c>
      <c r="D148" t="s">
        <v>149</v>
      </c>
      <c r="E148" s="470">
        <v>2</v>
      </c>
      <c r="F148" s="471">
        <v>74</v>
      </c>
      <c r="G148">
        <v>1</v>
      </c>
      <c r="H148">
        <v>1</v>
      </c>
      <c r="I148" s="472">
        <f t="shared" si="4"/>
        <v>0.32845968612834514</v>
      </c>
      <c r="J148" s="153">
        <v>3.8473756479098807E-2</v>
      </c>
      <c r="K148" s="153">
        <v>0.39358026214566905</v>
      </c>
      <c r="L148" s="153">
        <v>0.53857526864315253</v>
      </c>
      <c r="M148" s="153">
        <v>0.3432094572454602</v>
      </c>
      <c r="N148" s="472">
        <f t="shared" si="5"/>
        <v>0.32845968612834514</v>
      </c>
      <c r="O148" s="153">
        <v>3.8473756479098807E-2</v>
      </c>
      <c r="P148" s="153">
        <v>0.39358026214566905</v>
      </c>
      <c r="Q148" s="153">
        <v>0.53857526864315253</v>
      </c>
      <c r="R148" s="153">
        <v>0.3432094572454602</v>
      </c>
      <c r="S148" s="153">
        <v>0.03</v>
      </c>
      <c r="T148" s="153">
        <v>0</v>
      </c>
      <c r="U148" s="474">
        <v>2005</v>
      </c>
      <c r="V148">
        <v>2023</v>
      </c>
      <c r="W148">
        <v>0</v>
      </c>
      <c r="X148">
        <v>0</v>
      </c>
      <c r="Y148">
        <v>1304</v>
      </c>
      <c r="Z148">
        <v>311</v>
      </c>
      <c r="AA148" s="475" t="s">
        <v>23</v>
      </c>
    </row>
    <row r="149" spans="1:27" ht="15" hidden="1">
      <c r="A149" s="24">
        <v>1148</v>
      </c>
      <c r="B149" s="24">
        <v>1148</v>
      </c>
      <c r="C149" s="469" t="s">
        <v>543</v>
      </c>
      <c r="D149" t="s">
        <v>149</v>
      </c>
      <c r="E149" s="470">
        <v>2</v>
      </c>
      <c r="F149" s="471">
        <v>0</v>
      </c>
      <c r="G149">
        <v>1</v>
      </c>
      <c r="H149">
        <v>1</v>
      </c>
      <c r="I149" s="472">
        <f t="shared" si="4"/>
        <v>0.32845968612834514</v>
      </c>
      <c r="J149" s="153">
        <v>3.8473756479098807E-2</v>
      </c>
      <c r="K149" s="153">
        <v>0.39358026214566905</v>
      </c>
      <c r="L149" s="153">
        <v>0.53857526864315253</v>
      </c>
      <c r="M149" s="153">
        <v>0.3432094572454602</v>
      </c>
      <c r="N149" s="472">
        <f t="shared" si="5"/>
        <v>0.32845968612834514</v>
      </c>
      <c r="O149" s="153">
        <v>3.8473756479098807E-2</v>
      </c>
      <c r="P149" s="153">
        <v>0.39358026214566905</v>
      </c>
      <c r="Q149" s="153">
        <v>0.53857526864315253</v>
      </c>
      <c r="R149" s="153">
        <v>0.3432094572454602</v>
      </c>
      <c r="S149" s="153">
        <v>0.03</v>
      </c>
      <c r="T149" s="153">
        <v>0</v>
      </c>
      <c r="U149" s="474">
        <v>1900</v>
      </c>
      <c r="V149">
        <v>2030</v>
      </c>
      <c r="W149">
        <v>0</v>
      </c>
      <c r="X149">
        <v>0</v>
      </c>
      <c r="Y149">
        <v>1304</v>
      </c>
      <c r="Z149">
        <v>311</v>
      </c>
      <c r="AA149" s="475" t="s">
        <v>23</v>
      </c>
    </row>
    <row r="150" spans="1:27" ht="15" hidden="1">
      <c r="A150" s="24">
        <v>1149</v>
      </c>
      <c r="B150" s="24">
        <v>1149</v>
      </c>
      <c r="C150" s="469" t="s">
        <v>544</v>
      </c>
      <c r="D150" t="s">
        <v>152</v>
      </c>
      <c r="E150" s="470">
        <v>3</v>
      </c>
      <c r="F150" s="471">
        <v>32</v>
      </c>
      <c r="G150">
        <v>1</v>
      </c>
      <c r="H150">
        <v>1</v>
      </c>
      <c r="I150" s="472">
        <f t="shared" si="4"/>
        <v>0.32845968612834514</v>
      </c>
      <c r="J150" s="153">
        <v>3.8473756479098807E-2</v>
      </c>
      <c r="K150" s="153">
        <v>0.39358026214566905</v>
      </c>
      <c r="L150" s="153">
        <v>0.53857526864315253</v>
      </c>
      <c r="M150" s="153">
        <v>0.3432094572454602</v>
      </c>
      <c r="N150" s="472">
        <f t="shared" si="5"/>
        <v>0.32845968612834514</v>
      </c>
      <c r="O150" s="153">
        <v>3.8473756479098807E-2</v>
      </c>
      <c r="P150" s="153">
        <v>0.39358026214566905</v>
      </c>
      <c r="Q150" s="153">
        <v>0.53857526864315253</v>
      </c>
      <c r="R150" s="153">
        <v>0.3432094572454602</v>
      </c>
      <c r="S150" s="153">
        <v>0.03</v>
      </c>
      <c r="T150" s="153">
        <v>0</v>
      </c>
      <c r="U150" s="474">
        <v>2010</v>
      </c>
      <c r="V150">
        <v>2023</v>
      </c>
      <c r="W150">
        <v>0</v>
      </c>
      <c r="X150">
        <v>0</v>
      </c>
      <c r="Y150">
        <v>1304</v>
      </c>
      <c r="Z150">
        <v>311</v>
      </c>
      <c r="AA150" s="475" t="s">
        <v>23</v>
      </c>
    </row>
    <row r="151" spans="1:27" ht="15" hidden="1">
      <c r="A151" s="24">
        <v>1150</v>
      </c>
      <c r="B151" s="24">
        <v>1150</v>
      </c>
      <c r="C151" s="469" t="s">
        <v>545</v>
      </c>
      <c r="D151" t="s">
        <v>152</v>
      </c>
      <c r="E151" s="470">
        <v>3</v>
      </c>
      <c r="F151" s="471">
        <v>0</v>
      </c>
      <c r="G151">
        <v>1</v>
      </c>
      <c r="H151">
        <v>1</v>
      </c>
      <c r="I151" s="472">
        <f t="shared" si="4"/>
        <v>0.32845968612834514</v>
      </c>
      <c r="J151" s="153">
        <v>3.8473756479098807E-2</v>
      </c>
      <c r="K151" s="153">
        <v>0.39358026214566905</v>
      </c>
      <c r="L151" s="153">
        <v>0.53857526864315253</v>
      </c>
      <c r="M151" s="153">
        <v>0.3432094572454602</v>
      </c>
      <c r="N151" s="472">
        <f t="shared" si="5"/>
        <v>0.32845968612834514</v>
      </c>
      <c r="O151" s="153">
        <v>3.8473756479098807E-2</v>
      </c>
      <c r="P151" s="153">
        <v>0.39358026214566905</v>
      </c>
      <c r="Q151" s="153">
        <v>0.53857526864315253</v>
      </c>
      <c r="R151" s="153">
        <v>0.3432094572454602</v>
      </c>
      <c r="S151" s="153">
        <v>0.03</v>
      </c>
      <c r="T151" s="153">
        <v>0</v>
      </c>
      <c r="U151" s="474">
        <v>1900</v>
      </c>
      <c r="V151">
        <v>2030</v>
      </c>
      <c r="W151">
        <v>0</v>
      </c>
      <c r="X151">
        <v>0</v>
      </c>
      <c r="Y151">
        <v>1304</v>
      </c>
      <c r="Z151">
        <v>311</v>
      </c>
      <c r="AA151" s="475" t="s">
        <v>23</v>
      </c>
    </row>
    <row r="152" spans="1:27" ht="15" hidden="1">
      <c r="A152" s="24">
        <v>1151</v>
      </c>
      <c r="B152" s="24">
        <v>1151</v>
      </c>
      <c r="C152" s="469" t="s">
        <v>546</v>
      </c>
      <c r="D152" t="s">
        <v>146</v>
      </c>
      <c r="E152" s="470">
        <v>1</v>
      </c>
      <c r="F152" s="471">
        <v>20</v>
      </c>
      <c r="G152">
        <v>1</v>
      </c>
      <c r="H152">
        <v>1</v>
      </c>
      <c r="I152" s="472">
        <f t="shared" si="4"/>
        <v>0.32845968612834514</v>
      </c>
      <c r="J152" s="153">
        <v>3.8473756479098807E-2</v>
      </c>
      <c r="K152" s="153">
        <v>0.39358026214566905</v>
      </c>
      <c r="L152" s="153">
        <v>0.53857526864315253</v>
      </c>
      <c r="M152" s="153">
        <v>0.3432094572454602</v>
      </c>
      <c r="N152" s="472">
        <f t="shared" si="5"/>
        <v>0.32845968612834514</v>
      </c>
      <c r="O152" s="153">
        <v>3.8473756479098807E-2</v>
      </c>
      <c r="P152" s="153">
        <v>0.39358026214566905</v>
      </c>
      <c r="Q152" s="153">
        <v>0.53857526864315253</v>
      </c>
      <c r="R152" s="153">
        <v>0.3432094572454602</v>
      </c>
      <c r="S152" s="153">
        <v>0.03</v>
      </c>
      <c r="T152" s="153">
        <v>0</v>
      </c>
      <c r="U152" s="474">
        <v>2011</v>
      </c>
      <c r="V152">
        <v>2030</v>
      </c>
      <c r="W152">
        <v>0</v>
      </c>
      <c r="X152">
        <v>0</v>
      </c>
      <c r="Y152">
        <v>1304</v>
      </c>
      <c r="Z152">
        <v>311</v>
      </c>
      <c r="AA152" s="475" t="s">
        <v>23</v>
      </c>
    </row>
    <row r="153" spans="1:27" ht="15" hidden="1">
      <c r="A153" s="24">
        <v>1152</v>
      </c>
      <c r="B153" s="24">
        <v>1152</v>
      </c>
      <c r="C153" s="469" t="s">
        <v>547</v>
      </c>
      <c r="D153" t="s">
        <v>146</v>
      </c>
      <c r="E153" s="470">
        <v>1</v>
      </c>
      <c r="F153" s="471">
        <v>0</v>
      </c>
      <c r="G153">
        <v>1</v>
      </c>
      <c r="H153">
        <v>1</v>
      </c>
      <c r="I153" s="472">
        <f t="shared" si="4"/>
        <v>0.32845968612834514</v>
      </c>
      <c r="J153" s="153">
        <v>3.8473756479098807E-2</v>
      </c>
      <c r="K153" s="153">
        <v>0.39358026214566905</v>
      </c>
      <c r="L153" s="153">
        <v>0.53857526864315253</v>
      </c>
      <c r="M153" s="153">
        <v>0.3432094572454602</v>
      </c>
      <c r="N153" s="472">
        <f t="shared" si="5"/>
        <v>0.32845968612834514</v>
      </c>
      <c r="O153" s="153">
        <v>3.8473756479098807E-2</v>
      </c>
      <c r="P153" s="153">
        <v>0.39358026214566905</v>
      </c>
      <c r="Q153" s="153">
        <v>0.53857526864315253</v>
      </c>
      <c r="R153" s="153">
        <v>0.3432094572454602</v>
      </c>
      <c r="S153" s="153">
        <v>0.03</v>
      </c>
      <c r="T153" s="153">
        <v>0</v>
      </c>
      <c r="U153" s="474">
        <v>1900</v>
      </c>
      <c r="V153">
        <v>2030</v>
      </c>
      <c r="W153">
        <v>0</v>
      </c>
      <c r="X153">
        <v>0</v>
      </c>
      <c r="Y153">
        <v>1304</v>
      </c>
      <c r="Z153">
        <v>311</v>
      </c>
      <c r="AA153" s="475" t="s">
        <v>23</v>
      </c>
    </row>
    <row r="154" spans="1:27" ht="15" hidden="1">
      <c r="A154" s="24">
        <v>1153</v>
      </c>
      <c r="B154" s="24">
        <v>1153</v>
      </c>
      <c r="C154" s="469" t="s">
        <v>548</v>
      </c>
      <c r="D154" t="s">
        <v>146</v>
      </c>
      <c r="E154" s="470">
        <v>1</v>
      </c>
      <c r="F154" s="471">
        <v>30</v>
      </c>
      <c r="G154">
        <v>1</v>
      </c>
      <c r="H154">
        <v>1</v>
      </c>
      <c r="I154" s="472">
        <f t="shared" si="4"/>
        <v>0.32845968612834514</v>
      </c>
      <c r="J154" s="153">
        <v>3.8473756479098807E-2</v>
      </c>
      <c r="K154" s="153">
        <v>0.39358026214566905</v>
      </c>
      <c r="L154" s="153">
        <v>0.53857526864315253</v>
      </c>
      <c r="M154" s="153">
        <v>0.3432094572454602</v>
      </c>
      <c r="N154" s="472">
        <f t="shared" si="5"/>
        <v>0.32845968612834514</v>
      </c>
      <c r="O154" s="153">
        <v>3.8473756479098807E-2</v>
      </c>
      <c r="P154" s="153">
        <v>0.39358026214566905</v>
      </c>
      <c r="Q154" s="153">
        <v>0.53857526864315253</v>
      </c>
      <c r="R154" s="153">
        <v>0.3432094572454602</v>
      </c>
      <c r="S154" s="153">
        <v>0.03</v>
      </c>
      <c r="T154" s="153">
        <v>0</v>
      </c>
      <c r="U154" s="474">
        <v>2010</v>
      </c>
      <c r="V154">
        <v>2023</v>
      </c>
      <c r="W154">
        <v>0</v>
      </c>
      <c r="X154">
        <v>0</v>
      </c>
      <c r="Y154">
        <v>1304</v>
      </c>
      <c r="Z154">
        <v>311</v>
      </c>
      <c r="AA154" s="475" t="s">
        <v>23</v>
      </c>
    </row>
    <row r="155" spans="1:27" ht="15" hidden="1">
      <c r="A155" s="24">
        <v>1154</v>
      </c>
      <c r="B155" s="24">
        <v>1154</v>
      </c>
      <c r="C155" s="469" t="s">
        <v>549</v>
      </c>
      <c r="D155" t="s">
        <v>146</v>
      </c>
      <c r="E155" s="470">
        <v>1</v>
      </c>
      <c r="F155" s="471">
        <v>0</v>
      </c>
      <c r="G155">
        <v>1</v>
      </c>
      <c r="H155">
        <v>1</v>
      </c>
      <c r="I155" s="472">
        <f t="shared" si="4"/>
        <v>0.32845968612834514</v>
      </c>
      <c r="J155" s="153">
        <v>3.8473756479098807E-2</v>
      </c>
      <c r="K155" s="153">
        <v>0.39358026214566905</v>
      </c>
      <c r="L155" s="153">
        <v>0.53857526864315253</v>
      </c>
      <c r="M155" s="153">
        <v>0.3432094572454602</v>
      </c>
      <c r="N155" s="472">
        <f t="shared" si="5"/>
        <v>0.32845968612834514</v>
      </c>
      <c r="O155" s="153">
        <v>3.8473756479098807E-2</v>
      </c>
      <c r="P155" s="153">
        <v>0.39358026214566905</v>
      </c>
      <c r="Q155" s="153">
        <v>0.53857526864315253</v>
      </c>
      <c r="R155" s="153">
        <v>0.3432094572454602</v>
      </c>
      <c r="S155" s="153">
        <v>0.03</v>
      </c>
      <c r="T155" s="153">
        <v>0</v>
      </c>
      <c r="U155" s="474">
        <v>1900</v>
      </c>
      <c r="V155">
        <v>2030</v>
      </c>
      <c r="W155">
        <v>0</v>
      </c>
      <c r="X155">
        <v>0</v>
      </c>
      <c r="Y155">
        <v>1304</v>
      </c>
      <c r="Z155">
        <v>311</v>
      </c>
      <c r="AA155" s="475" t="s">
        <v>23</v>
      </c>
    </row>
    <row r="156" spans="1:27" ht="15" hidden="1">
      <c r="A156" s="24">
        <v>1155</v>
      </c>
      <c r="B156" s="24">
        <v>1155</v>
      </c>
      <c r="C156" s="469" t="s">
        <v>550</v>
      </c>
      <c r="D156" t="s">
        <v>146</v>
      </c>
      <c r="E156" s="470">
        <v>1</v>
      </c>
      <c r="F156" s="471">
        <v>24</v>
      </c>
      <c r="G156">
        <v>1</v>
      </c>
      <c r="H156">
        <v>1</v>
      </c>
      <c r="I156" s="472">
        <f t="shared" si="4"/>
        <v>0.32845968612834514</v>
      </c>
      <c r="J156" s="153">
        <v>3.8473756479098807E-2</v>
      </c>
      <c r="K156" s="153">
        <v>0.39358026214566905</v>
      </c>
      <c r="L156" s="153">
        <v>0.53857526864315253</v>
      </c>
      <c r="M156" s="153">
        <v>0.3432094572454602</v>
      </c>
      <c r="N156" s="472">
        <f t="shared" si="5"/>
        <v>0.32845968612834514</v>
      </c>
      <c r="O156" s="153">
        <v>3.8473756479098807E-2</v>
      </c>
      <c r="P156" s="153">
        <v>0.39358026214566905</v>
      </c>
      <c r="Q156" s="153">
        <v>0.53857526864315253</v>
      </c>
      <c r="R156" s="153">
        <v>0.3432094572454602</v>
      </c>
      <c r="S156" s="153">
        <v>0.03</v>
      </c>
      <c r="T156" s="153">
        <v>0</v>
      </c>
      <c r="U156" s="474">
        <v>2002</v>
      </c>
      <c r="V156">
        <v>2023</v>
      </c>
      <c r="W156">
        <v>0</v>
      </c>
      <c r="X156">
        <v>0</v>
      </c>
      <c r="Y156">
        <v>1304</v>
      </c>
      <c r="Z156">
        <v>311</v>
      </c>
      <c r="AA156" s="475" t="s">
        <v>23</v>
      </c>
    </row>
    <row r="157" spans="1:27" ht="15" hidden="1">
      <c r="A157" s="24">
        <v>1156</v>
      </c>
      <c r="B157" s="24">
        <v>1156</v>
      </c>
      <c r="C157" s="469" t="s">
        <v>551</v>
      </c>
      <c r="D157" t="s">
        <v>146</v>
      </c>
      <c r="E157" s="470">
        <v>1</v>
      </c>
      <c r="F157" s="471">
        <v>0</v>
      </c>
      <c r="G157">
        <v>1</v>
      </c>
      <c r="H157">
        <v>1</v>
      </c>
      <c r="I157" s="472">
        <f t="shared" si="4"/>
        <v>0.32845968612834514</v>
      </c>
      <c r="J157" s="153">
        <v>3.8473756479098807E-2</v>
      </c>
      <c r="K157" s="153">
        <v>0.39358026214566905</v>
      </c>
      <c r="L157" s="153">
        <v>0.53857526864315253</v>
      </c>
      <c r="M157" s="153">
        <v>0.3432094572454602</v>
      </c>
      <c r="N157" s="472">
        <f t="shared" si="5"/>
        <v>0.32845968612834514</v>
      </c>
      <c r="O157" s="153">
        <v>3.8473756479098807E-2</v>
      </c>
      <c r="P157" s="153">
        <v>0.39358026214566905</v>
      </c>
      <c r="Q157" s="153">
        <v>0.53857526864315253</v>
      </c>
      <c r="R157" s="153">
        <v>0.3432094572454602</v>
      </c>
      <c r="S157" s="153">
        <v>0.03</v>
      </c>
      <c r="T157" s="153">
        <v>0</v>
      </c>
      <c r="U157" s="474">
        <v>1900</v>
      </c>
      <c r="V157">
        <v>2030</v>
      </c>
      <c r="W157">
        <v>0</v>
      </c>
      <c r="X157">
        <v>0</v>
      </c>
      <c r="Y157">
        <v>1304</v>
      </c>
      <c r="Z157">
        <v>311</v>
      </c>
      <c r="AA157" s="475" t="s">
        <v>23</v>
      </c>
    </row>
    <row r="158" spans="1:27" ht="15" hidden="1">
      <c r="A158" s="24">
        <v>1157</v>
      </c>
      <c r="B158" s="24">
        <v>1157</v>
      </c>
      <c r="C158" s="469" t="s">
        <v>552</v>
      </c>
      <c r="D158" t="s">
        <v>154</v>
      </c>
      <c r="E158" s="470">
        <v>4</v>
      </c>
      <c r="F158" s="471">
        <v>4.9000000000000004</v>
      </c>
      <c r="G158">
        <v>1</v>
      </c>
      <c r="H158">
        <v>1</v>
      </c>
      <c r="I158" s="472">
        <f t="shared" si="4"/>
        <v>0.32845968612834514</v>
      </c>
      <c r="J158" s="153">
        <v>3.8473756479098807E-2</v>
      </c>
      <c r="K158" s="153">
        <v>0.39358026214566905</v>
      </c>
      <c r="L158" s="153">
        <v>0.53857526864315253</v>
      </c>
      <c r="M158" s="153">
        <v>0.3432094572454602</v>
      </c>
      <c r="N158" s="472">
        <f t="shared" si="5"/>
        <v>0.32845968612834514</v>
      </c>
      <c r="O158" s="153">
        <v>3.8473756479098807E-2</v>
      </c>
      <c r="P158" s="153">
        <v>0.39358026214566905</v>
      </c>
      <c r="Q158" s="153">
        <v>0.53857526864315253</v>
      </c>
      <c r="R158" s="153">
        <v>0.3432094572454602</v>
      </c>
      <c r="S158" s="153">
        <v>0.03</v>
      </c>
      <c r="T158" s="153">
        <v>0</v>
      </c>
      <c r="U158" s="474">
        <v>2011</v>
      </c>
      <c r="V158">
        <v>2030</v>
      </c>
      <c r="W158">
        <v>0</v>
      </c>
      <c r="X158">
        <v>0</v>
      </c>
      <c r="Y158">
        <v>1304</v>
      </c>
      <c r="Z158">
        <v>311</v>
      </c>
      <c r="AA158" s="475" t="s">
        <v>23</v>
      </c>
    </row>
    <row r="159" spans="1:27" ht="15" hidden="1">
      <c r="A159" s="24">
        <v>1158</v>
      </c>
      <c r="B159" s="24">
        <v>1158</v>
      </c>
      <c r="C159" s="469" t="s">
        <v>553</v>
      </c>
      <c r="D159" t="s">
        <v>154</v>
      </c>
      <c r="E159" s="470">
        <v>4</v>
      </c>
      <c r="F159" s="471">
        <v>0</v>
      </c>
      <c r="G159">
        <v>1</v>
      </c>
      <c r="H159">
        <v>1</v>
      </c>
      <c r="I159" s="472">
        <f t="shared" si="4"/>
        <v>0.32845968612834514</v>
      </c>
      <c r="J159" s="153">
        <v>3.8473756479098807E-2</v>
      </c>
      <c r="K159" s="153">
        <v>0.39358026214566905</v>
      </c>
      <c r="L159" s="153">
        <v>0.53857526864315253</v>
      </c>
      <c r="M159" s="153">
        <v>0.3432094572454602</v>
      </c>
      <c r="N159" s="472">
        <f t="shared" si="5"/>
        <v>0.32845968612834514</v>
      </c>
      <c r="O159" s="153">
        <v>3.8473756479098807E-2</v>
      </c>
      <c r="P159" s="153">
        <v>0.39358026214566905</v>
      </c>
      <c r="Q159" s="153">
        <v>0.53857526864315253</v>
      </c>
      <c r="R159" s="153">
        <v>0.3432094572454602</v>
      </c>
      <c r="S159" s="153">
        <v>0.03</v>
      </c>
      <c r="T159" s="153">
        <v>0</v>
      </c>
      <c r="U159" s="474">
        <v>1900</v>
      </c>
      <c r="V159">
        <v>2030</v>
      </c>
      <c r="W159">
        <v>0</v>
      </c>
      <c r="X159">
        <v>0</v>
      </c>
      <c r="Y159">
        <v>1304</v>
      </c>
      <c r="Z159">
        <v>311</v>
      </c>
      <c r="AA159" s="475" t="s">
        <v>23</v>
      </c>
    </row>
    <row r="160" spans="1:27" ht="15" hidden="1">
      <c r="A160" s="24">
        <v>1159</v>
      </c>
      <c r="B160" s="24">
        <v>1159</v>
      </c>
      <c r="C160" s="469" t="s">
        <v>554</v>
      </c>
      <c r="D160" t="s">
        <v>146</v>
      </c>
      <c r="E160" s="470">
        <v>1</v>
      </c>
      <c r="F160" s="471">
        <v>23.740988309352524</v>
      </c>
      <c r="G160">
        <v>1</v>
      </c>
      <c r="H160">
        <v>1</v>
      </c>
      <c r="I160" s="472">
        <f t="shared" si="4"/>
        <v>0.32845968612834514</v>
      </c>
      <c r="J160" s="153">
        <v>3.8473756479098807E-2</v>
      </c>
      <c r="K160" s="153">
        <v>0.39358026214566905</v>
      </c>
      <c r="L160" s="153">
        <v>0.53857526864315253</v>
      </c>
      <c r="M160" s="153">
        <v>0.3432094572454602</v>
      </c>
      <c r="N160" s="472">
        <f t="shared" si="5"/>
        <v>0.32845968612834514</v>
      </c>
      <c r="O160" s="153">
        <v>3.8473756479098807E-2</v>
      </c>
      <c r="P160" s="153">
        <v>0.39358026214566905</v>
      </c>
      <c r="Q160" s="153">
        <v>0.53857526864315253</v>
      </c>
      <c r="R160" s="153">
        <v>0.3432094572454602</v>
      </c>
      <c r="S160" s="153">
        <v>0.03</v>
      </c>
      <c r="T160" s="153">
        <v>0</v>
      </c>
      <c r="U160" s="474">
        <v>2005</v>
      </c>
      <c r="V160">
        <v>2023</v>
      </c>
      <c r="W160">
        <v>0</v>
      </c>
      <c r="X160">
        <v>0</v>
      </c>
      <c r="Y160">
        <v>1304</v>
      </c>
      <c r="Z160">
        <v>311</v>
      </c>
      <c r="AA160" s="475" t="s">
        <v>23</v>
      </c>
    </row>
    <row r="161" spans="1:27" ht="15" hidden="1">
      <c r="A161" s="24">
        <v>1160</v>
      </c>
      <c r="B161" s="24">
        <v>1160</v>
      </c>
      <c r="C161" s="469" t="s">
        <v>555</v>
      </c>
      <c r="D161" t="s">
        <v>146</v>
      </c>
      <c r="E161" s="470">
        <v>1</v>
      </c>
      <c r="F161" s="471">
        <v>51.259011690647476</v>
      </c>
      <c r="G161">
        <v>1</v>
      </c>
      <c r="H161">
        <v>1</v>
      </c>
      <c r="I161" s="472">
        <f t="shared" si="4"/>
        <v>0.32845968612834514</v>
      </c>
      <c r="J161" s="153">
        <v>3.8473756479098807E-2</v>
      </c>
      <c r="K161" s="153">
        <v>0.39358026214566905</v>
      </c>
      <c r="L161" s="153">
        <v>0.53857526864315253</v>
      </c>
      <c r="M161" s="153">
        <v>0.3432094572454602</v>
      </c>
      <c r="N161" s="472">
        <f t="shared" si="5"/>
        <v>0.32845968612834514</v>
      </c>
      <c r="O161" s="153">
        <v>3.8473756479098807E-2</v>
      </c>
      <c r="P161" s="153">
        <v>0.39358026214566905</v>
      </c>
      <c r="Q161" s="153">
        <v>0.53857526864315253</v>
      </c>
      <c r="R161" s="153">
        <v>0.3432094572454602</v>
      </c>
      <c r="S161" s="153">
        <v>0.03</v>
      </c>
      <c r="T161" s="153">
        <v>0</v>
      </c>
      <c r="U161" s="474">
        <v>2009</v>
      </c>
      <c r="V161">
        <v>2023</v>
      </c>
      <c r="W161">
        <v>0</v>
      </c>
      <c r="X161">
        <v>0</v>
      </c>
      <c r="Y161">
        <v>1304</v>
      </c>
      <c r="Z161">
        <v>311</v>
      </c>
      <c r="AA161" s="475" t="s">
        <v>23</v>
      </c>
    </row>
    <row r="162" spans="1:27" ht="15" hidden="1">
      <c r="A162" s="24">
        <v>1161</v>
      </c>
      <c r="B162" s="24">
        <v>1161</v>
      </c>
      <c r="C162" s="469" t="s">
        <v>556</v>
      </c>
      <c r="D162" t="s">
        <v>146</v>
      </c>
      <c r="E162" s="470">
        <v>1</v>
      </c>
      <c r="F162" s="471">
        <v>0</v>
      </c>
      <c r="G162">
        <v>1</v>
      </c>
      <c r="H162">
        <v>1</v>
      </c>
      <c r="I162" s="472">
        <f t="shared" si="4"/>
        <v>0.32845968612834514</v>
      </c>
      <c r="J162" s="153">
        <v>3.8473756479098807E-2</v>
      </c>
      <c r="K162" s="153">
        <v>0.39358026214566905</v>
      </c>
      <c r="L162" s="153">
        <v>0.53857526864315253</v>
      </c>
      <c r="M162" s="153">
        <v>0.3432094572454602</v>
      </c>
      <c r="N162" s="472">
        <f t="shared" si="5"/>
        <v>0.32845968612834514</v>
      </c>
      <c r="O162" s="153">
        <v>3.8473756479098807E-2</v>
      </c>
      <c r="P162" s="153">
        <v>0.39358026214566905</v>
      </c>
      <c r="Q162" s="153">
        <v>0.53857526864315253</v>
      </c>
      <c r="R162" s="153">
        <v>0.3432094572454602</v>
      </c>
      <c r="S162" s="153">
        <v>0.03</v>
      </c>
      <c r="T162" s="153">
        <v>0</v>
      </c>
      <c r="U162" s="474">
        <v>1900</v>
      </c>
      <c r="V162">
        <v>2030</v>
      </c>
      <c r="W162">
        <v>0</v>
      </c>
      <c r="X162">
        <v>0</v>
      </c>
      <c r="Y162">
        <v>1304</v>
      </c>
      <c r="Z162">
        <v>311</v>
      </c>
      <c r="AA162" s="475" t="s">
        <v>23</v>
      </c>
    </row>
    <row r="163" spans="1:27" ht="15" hidden="1">
      <c r="A163" s="24">
        <v>1162</v>
      </c>
      <c r="B163" s="24">
        <v>1162</v>
      </c>
      <c r="C163" s="469" t="s">
        <v>557</v>
      </c>
      <c r="D163" t="s">
        <v>146</v>
      </c>
      <c r="E163" s="470">
        <v>1</v>
      </c>
      <c r="F163" s="471">
        <v>79.828000000000003</v>
      </c>
      <c r="G163">
        <v>1</v>
      </c>
      <c r="H163">
        <v>1</v>
      </c>
      <c r="I163" s="472">
        <f t="shared" si="4"/>
        <v>0.32845968612834514</v>
      </c>
      <c r="J163" s="153">
        <v>3.8473756479098807E-2</v>
      </c>
      <c r="K163" s="153">
        <v>0.39358026214566905</v>
      </c>
      <c r="L163" s="153">
        <v>0.53857526864315253</v>
      </c>
      <c r="M163" s="153">
        <v>0.3432094572454602</v>
      </c>
      <c r="N163" s="472">
        <f t="shared" si="5"/>
        <v>0.32845968612834514</v>
      </c>
      <c r="O163" s="153">
        <v>3.8473756479098807E-2</v>
      </c>
      <c r="P163" s="153">
        <v>0.39358026214566905</v>
      </c>
      <c r="Q163" s="153">
        <v>0.53857526864315253</v>
      </c>
      <c r="R163" s="153">
        <v>0.3432094572454602</v>
      </c>
      <c r="S163" s="153">
        <v>0.03</v>
      </c>
      <c r="T163" s="153">
        <v>0</v>
      </c>
      <c r="U163" s="474">
        <v>2010</v>
      </c>
      <c r="V163">
        <v>2023</v>
      </c>
      <c r="W163">
        <v>0</v>
      </c>
      <c r="X163">
        <v>0</v>
      </c>
      <c r="Y163">
        <v>1304</v>
      </c>
      <c r="Z163">
        <v>311</v>
      </c>
      <c r="AA163" s="475" t="s">
        <v>23</v>
      </c>
    </row>
    <row r="164" spans="1:27" ht="15" hidden="1">
      <c r="A164" s="24">
        <v>1163</v>
      </c>
      <c r="B164" s="24">
        <v>1163</v>
      </c>
      <c r="C164" s="469" t="s">
        <v>558</v>
      </c>
      <c r="D164" t="s">
        <v>146</v>
      </c>
      <c r="E164" s="470">
        <v>1</v>
      </c>
      <c r="F164" s="471">
        <v>225.1</v>
      </c>
      <c r="G164">
        <v>1</v>
      </c>
      <c r="H164">
        <v>1</v>
      </c>
      <c r="I164" s="472">
        <f t="shared" si="4"/>
        <v>0.32845968612834514</v>
      </c>
      <c r="J164" s="153">
        <v>3.8473756479098807E-2</v>
      </c>
      <c r="K164" s="153">
        <v>0.39358026214566905</v>
      </c>
      <c r="L164" s="153">
        <v>0.53857526864315253</v>
      </c>
      <c r="M164" s="153">
        <v>0.3432094572454602</v>
      </c>
      <c r="N164" s="472">
        <f t="shared" si="5"/>
        <v>0.32845968612834514</v>
      </c>
      <c r="O164" s="153">
        <v>3.8473756479098807E-2</v>
      </c>
      <c r="P164" s="153">
        <v>0.39358026214566905</v>
      </c>
      <c r="Q164" s="153">
        <v>0.53857526864315253</v>
      </c>
      <c r="R164" s="153">
        <v>0.3432094572454602</v>
      </c>
      <c r="S164" s="153">
        <v>0.03</v>
      </c>
      <c r="T164" s="153">
        <v>0</v>
      </c>
      <c r="U164" s="474">
        <v>2003</v>
      </c>
      <c r="V164">
        <v>2023</v>
      </c>
      <c r="W164">
        <v>0</v>
      </c>
      <c r="X164">
        <v>0</v>
      </c>
      <c r="Y164">
        <v>1304</v>
      </c>
      <c r="Z164">
        <v>311</v>
      </c>
      <c r="AA164" s="475" t="s">
        <v>23</v>
      </c>
    </row>
    <row r="165" spans="1:27" ht="15" hidden="1">
      <c r="A165" s="24">
        <v>1164</v>
      </c>
      <c r="B165" s="24">
        <v>1164</v>
      </c>
      <c r="C165" s="469" t="s">
        <v>559</v>
      </c>
      <c r="D165" t="s">
        <v>146</v>
      </c>
      <c r="E165" s="470">
        <v>1</v>
      </c>
      <c r="F165" s="471">
        <v>0</v>
      </c>
      <c r="G165">
        <v>1</v>
      </c>
      <c r="H165">
        <v>1</v>
      </c>
      <c r="I165" s="472">
        <f t="shared" si="4"/>
        <v>0.32845968612834514</v>
      </c>
      <c r="J165" s="153">
        <v>3.8473756479098807E-2</v>
      </c>
      <c r="K165" s="153">
        <v>0.39358026214566905</v>
      </c>
      <c r="L165" s="153">
        <v>0.53857526864315253</v>
      </c>
      <c r="M165" s="153">
        <v>0.3432094572454602</v>
      </c>
      <c r="N165" s="472">
        <f t="shared" si="5"/>
        <v>0.32845968612834514</v>
      </c>
      <c r="O165" s="153">
        <v>3.8473756479098807E-2</v>
      </c>
      <c r="P165" s="153">
        <v>0.39358026214566905</v>
      </c>
      <c r="Q165" s="153">
        <v>0.53857526864315253</v>
      </c>
      <c r="R165" s="153">
        <v>0.3432094572454602</v>
      </c>
      <c r="S165" s="153">
        <v>0.03</v>
      </c>
      <c r="T165" s="153">
        <v>0</v>
      </c>
      <c r="U165" s="474">
        <v>1900</v>
      </c>
      <c r="V165">
        <v>2030</v>
      </c>
      <c r="W165">
        <v>0</v>
      </c>
      <c r="X165">
        <v>0</v>
      </c>
      <c r="Y165">
        <v>1304</v>
      </c>
      <c r="Z165">
        <v>311</v>
      </c>
      <c r="AA165" s="475" t="s">
        <v>23</v>
      </c>
    </row>
    <row r="166" spans="1:27" ht="15" hidden="1">
      <c r="A166" s="24">
        <v>1165</v>
      </c>
      <c r="B166" s="24">
        <v>1165</v>
      </c>
      <c r="C166" s="469" t="s">
        <v>560</v>
      </c>
      <c r="D166" t="s">
        <v>146</v>
      </c>
      <c r="E166" s="470">
        <v>1</v>
      </c>
      <c r="F166" s="471">
        <v>4.2779999999999996</v>
      </c>
      <c r="G166">
        <v>1</v>
      </c>
      <c r="H166">
        <v>1</v>
      </c>
      <c r="I166" s="472">
        <f t="shared" si="4"/>
        <v>0.32845968612834514</v>
      </c>
      <c r="J166" s="153">
        <v>3.8473756479098807E-2</v>
      </c>
      <c r="K166" s="153">
        <v>0.39358026214566905</v>
      </c>
      <c r="L166" s="153">
        <v>0.53857526864315253</v>
      </c>
      <c r="M166" s="153">
        <v>0.3432094572454602</v>
      </c>
      <c r="N166" s="472">
        <f t="shared" si="5"/>
        <v>0.32845968612834514</v>
      </c>
      <c r="O166" s="153">
        <v>3.8473756479098807E-2</v>
      </c>
      <c r="P166" s="153">
        <v>0.39358026214566905</v>
      </c>
      <c r="Q166" s="153">
        <v>0.53857526864315253</v>
      </c>
      <c r="R166" s="153">
        <v>0.3432094572454602</v>
      </c>
      <c r="S166" s="153">
        <v>0.03</v>
      </c>
      <c r="T166" s="153">
        <v>0</v>
      </c>
      <c r="U166" s="474">
        <v>2013</v>
      </c>
      <c r="V166">
        <v>2030</v>
      </c>
      <c r="W166">
        <v>0</v>
      </c>
      <c r="X166">
        <v>0</v>
      </c>
      <c r="Y166">
        <v>1304</v>
      </c>
      <c r="Z166">
        <v>311</v>
      </c>
      <c r="AA166" s="475" t="s">
        <v>23</v>
      </c>
    </row>
    <row r="167" spans="1:27" ht="15" hidden="1">
      <c r="A167" s="24">
        <v>1166</v>
      </c>
      <c r="B167" s="24">
        <v>1166</v>
      </c>
      <c r="C167" s="469" t="s">
        <v>561</v>
      </c>
      <c r="D167" t="s">
        <v>146</v>
      </c>
      <c r="E167" s="470">
        <v>1</v>
      </c>
      <c r="F167" s="471">
        <v>0</v>
      </c>
      <c r="G167">
        <v>1</v>
      </c>
      <c r="H167">
        <v>1</v>
      </c>
      <c r="I167" s="472">
        <f t="shared" si="4"/>
        <v>0.32845968612834514</v>
      </c>
      <c r="J167" s="153">
        <v>3.8473756479098807E-2</v>
      </c>
      <c r="K167" s="153">
        <v>0.39358026214566905</v>
      </c>
      <c r="L167" s="153">
        <v>0.53857526864315253</v>
      </c>
      <c r="M167" s="153">
        <v>0.3432094572454602</v>
      </c>
      <c r="N167" s="472">
        <f t="shared" si="5"/>
        <v>0.32845968612834514</v>
      </c>
      <c r="O167" s="153">
        <v>3.8473756479098807E-2</v>
      </c>
      <c r="P167" s="153">
        <v>0.39358026214566905</v>
      </c>
      <c r="Q167" s="153">
        <v>0.53857526864315253</v>
      </c>
      <c r="R167" s="153">
        <v>0.3432094572454602</v>
      </c>
      <c r="S167" s="153">
        <v>0.03</v>
      </c>
      <c r="T167" s="153">
        <v>0</v>
      </c>
      <c r="U167" s="474">
        <v>1900</v>
      </c>
      <c r="V167">
        <v>2030</v>
      </c>
      <c r="W167">
        <v>0</v>
      </c>
      <c r="X167">
        <v>0</v>
      </c>
      <c r="Y167">
        <v>1304</v>
      </c>
      <c r="Z167">
        <v>311</v>
      </c>
      <c r="AA167" s="475" t="s">
        <v>23</v>
      </c>
    </row>
    <row r="168" spans="1:27" ht="15" hidden="1">
      <c r="A168" s="24">
        <v>1167</v>
      </c>
      <c r="B168" s="24">
        <v>1167</v>
      </c>
      <c r="C168" s="469" t="s">
        <v>562</v>
      </c>
      <c r="D168" t="s">
        <v>152</v>
      </c>
      <c r="E168" s="470">
        <v>3</v>
      </c>
      <c r="F168" s="471">
        <v>4</v>
      </c>
      <c r="G168">
        <v>1</v>
      </c>
      <c r="H168">
        <v>1</v>
      </c>
      <c r="I168" s="472">
        <f t="shared" si="4"/>
        <v>0.32845968612834514</v>
      </c>
      <c r="J168" s="153">
        <v>3.8473756479098807E-2</v>
      </c>
      <c r="K168" s="153">
        <v>0.39358026214566905</v>
      </c>
      <c r="L168" s="153">
        <v>0.53857526864315253</v>
      </c>
      <c r="M168" s="153">
        <v>0.3432094572454602</v>
      </c>
      <c r="N168" s="472">
        <f t="shared" si="5"/>
        <v>0.32845968612834514</v>
      </c>
      <c r="O168" s="153">
        <v>3.8473756479098807E-2</v>
      </c>
      <c r="P168" s="153">
        <v>0.39358026214566905</v>
      </c>
      <c r="Q168" s="153">
        <v>0.53857526864315253</v>
      </c>
      <c r="R168" s="153">
        <v>0.3432094572454602</v>
      </c>
      <c r="S168" s="153">
        <v>0.03</v>
      </c>
      <c r="T168" s="153">
        <v>0</v>
      </c>
      <c r="U168" s="474">
        <v>1900</v>
      </c>
      <c r="V168">
        <v>2030</v>
      </c>
      <c r="W168">
        <v>0</v>
      </c>
      <c r="X168">
        <v>0</v>
      </c>
      <c r="Y168">
        <v>1304</v>
      </c>
      <c r="Z168">
        <v>311</v>
      </c>
      <c r="AA168" s="475" t="s">
        <v>23</v>
      </c>
    </row>
    <row r="169" spans="1:27" ht="15" hidden="1">
      <c r="A169" s="24">
        <v>1168</v>
      </c>
      <c r="B169" s="24">
        <v>1168</v>
      </c>
      <c r="C169" s="469" t="s">
        <v>563</v>
      </c>
      <c r="D169" t="s">
        <v>152</v>
      </c>
      <c r="E169" s="470">
        <v>3</v>
      </c>
      <c r="F169" s="471">
        <v>0</v>
      </c>
      <c r="G169">
        <v>1</v>
      </c>
      <c r="H169">
        <v>1</v>
      </c>
      <c r="I169" s="472">
        <f t="shared" si="4"/>
        <v>0.32845968612834514</v>
      </c>
      <c r="J169" s="153">
        <v>3.8473756479098807E-2</v>
      </c>
      <c r="K169" s="153">
        <v>0.39358026214566905</v>
      </c>
      <c r="L169" s="153">
        <v>0.53857526864315253</v>
      </c>
      <c r="M169" s="153">
        <v>0.3432094572454602</v>
      </c>
      <c r="N169" s="472">
        <f t="shared" si="5"/>
        <v>0.32845968612834514</v>
      </c>
      <c r="O169" s="153">
        <v>3.8473756479098807E-2</v>
      </c>
      <c r="P169" s="153">
        <v>0.39358026214566905</v>
      </c>
      <c r="Q169" s="153">
        <v>0.53857526864315253</v>
      </c>
      <c r="R169" s="153">
        <v>0.3432094572454602</v>
      </c>
      <c r="S169" s="153">
        <v>0.03</v>
      </c>
      <c r="T169" s="153">
        <v>0</v>
      </c>
      <c r="U169" s="474">
        <v>1900</v>
      </c>
      <c r="V169">
        <v>2030</v>
      </c>
      <c r="W169">
        <v>0</v>
      </c>
      <c r="X169">
        <v>0</v>
      </c>
      <c r="Y169">
        <v>1304</v>
      </c>
      <c r="Z169">
        <v>311</v>
      </c>
      <c r="AA169" s="475" t="s">
        <v>23</v>
      </c>
    </row>
    <row r="170" spans="1:27" ht="15" hidden="1">
      <c r="A170" s="24">
        <v>1169</v>
      </c>
      <c r="B170" s="24">
        <v>1169</v>
      </c>
      <c r="C170" s="469" t="s">
        <v>564</v>
      </c>
      <c r="D170" t="s">
        <v>146</v>
      </c>
      <c r="E170" s="470">
        <v>1</v>
      </c>
      <c r="F170" s="471">
        <v>0</v>
      </c>
      <c r="G170">
        <v>1</v>
      </c>
      <c r="H170">
        <v>1</v>
      </c>
      <c r="I170" s="472">
        <f t="shared" si="4"/>
        <v>0.32845968612834514</v>
      </c>
      <c r="J170" s="153">
        <v>3.8473756479098807E-2</v>
      </c>
      <c r="K170" s="153">
        <v>0.39358026214566905</v>
      </c>
      <c r="L170" s="153">
        <v>0.53857526864315253</v>
      </c>
      <c r="M170" s="153">
        <v>0.3432094572454602</v>
      </c>
      <c r="N170" s="472">
        <f t="shared" si="5"/>
        <v>0.32845968612834514</v>
      </c>
      <c r="O170" s="153">
        <v>3.8473756479098807E-2</v>
      </c>
      <c r="P170" s="153">
        <v>0.39358026214566905</v>
      </c>
      <c r="Q170" s="153">
        <v>0.53857526864315253</v>
      </c>
      <c r="R170" s="153">
        <v>0.3432094572454602</v>
      </c>
      <c r="S170" s="153">
        <v>0.03</v>
      </c>
      <c r="T170" s="153">
        <v>0</v>
      </c>
      <c r="U170" s="474">
        <v>1900</v>
      </c>
      <c r="V170">
        <v>2030</v>
      </c>
      <c r="W170">
        <v>0</v>
      </c>
      <c r="X170">
        <v>0</v>
      </c>
      <c r="Y170">
        <v>1304</v>
      </c>
      <c r="Z170">
        <v>311</v>
      </c>
      <c r="AA170" s="475" t="s">
        <v>23</v>
      </c>
    </row>
    <row r="171" spans="1:27" ht="15" hidden="1">
      <c r="A171" s="24">
        <v>1170</v>
      </c>
      <c r="B171" s="24">
        <v>1170</v>
      </c>
      <c r="C171" s="469" t="s">
        <v>565</v>
      </c>
      <c r="D171" t="s">
        <v>146</v>
      </c>
      <c r="E171" s="470">
        <v>1</v>
      </c>
      <c r="F171" s="471">
        <v>70</v>
      </c>
      <c r="G171">
        <v>1</v>
      </c>
      <c r="H171">
        <v>1</v>
      </c>
      <c r="I171" s="472">
        <f t="shared" si="4"/>
        <v>0.32845968612834514</v>
      </c>
      <c r="J171" s="153">
        <v>3.8473756479098807E-2</v>
      </c>
      <c r="K171" s="153">
        <v>0.39358026214566905</v>
      </c>
      <c r="L171" s="153">
        <v>0.53857526864315253</v>
      </c>
      <c r="M171" s="153">
        <v>0.3432094572454602</v>
      </c>
      <c r="N171" s="472">
        <f t="shared" si="5"/>
        <v>0.32845968612834514</v>
      </c>
      <c r="O171" s="153">
        <v>3.8473756479098807E-2</v>
      </c>
      <c r="P171" s="153">
        <v>0.39358026214566905</v>
      </c>
      <c r="Q171" s="153">
        <v>0.53857526864315253</v>
      </c>
      <c r="R171" s="153">
        <v>0.3432094572454602</v>
      </c>
      <c r="S171" s="153">
        <v>0.03</v>
      </c>
      <c r="T171" s="153">
        <v>0</v>
      </c>
      <c r="U171" s="474">
        <v>2012</v>
      </c>
      <c r="V171">
        <v>2030</v>
      </c>
      <c r="W171">
        <v>0</v>
      </c>
      <c r="X171">
        <v>0</v>
      </c>
      <c r="Y171">
        <v>1304</v>
      </c>
      <c r="Z171">
        <v>311</v>
      </c>
      <c r="AA171" s="475" t="s">
        <v>23</v>
      </c>
    </row>
    <row r="172" spans="1:27" ht="15" hidden="1">
      <c r="A172" s="24">
        <v>1171</v>
      </c>
      <c r="B172" s="24">
        <v>1171</v>
      </c>
      <c r="C172" s="469" t="s">
        <v>566</v>
      </c>
      <c r="D172" t="s">
        <v>146</v>
      </c>
      <c r="E172" s="470">
        <v>1</v>
      </c>
      <c r="F172" s="471">
        <v>7.8571428571428577</v>
      </c>
      <c r="G172">
        <v>1</v>
      </c>
      <c r="H172">
        <v>1</v>
      </c>
      <c r="I172" s="472">
        <f t="shared" si="4"/>
        <v>0.32845968612834514</v>
      </c>
      <c r="J172" s="153">
        <v>3.8473756479098807E-2</v>
      </c>
      <c r="K172" s="153">
        <v>0.39358026214566905</v>
      </c>
      <c r="L172" s="153">
        <v>0.53857526864315253</v>
      </c>
      <c r="M172" s="153">
        <v>0.3432094572454602</v>
      </c>
      <c r="N172" s="472">
        <f t="shared" si="5"/>
        <v>0.32845968612834514</v>
      </c>
      <c r="O172" s="153">
        <v>3.8473756479098807E-2</v>
      </c>
      <c r="P172" s="153">
        <v>0.39358026214566905</v>
      </c>
      <c r="Q172" s="153">
        <v>0.53857526864315253</v>
      </c>
      <c r="R172" s="153">
        <v>0.3432094572454602</v>
      </c>
      <c r="S172" s="153">
        <v>0.03</v>
      </c>
      <c r="T172" s="153">
        <v>0</v>
      </c>
      <c r="U172" s="474">
        <v>2004</v>
      </c>
      <c r="V172">
        <v>2023</v>
      </c>
      <c r="W172">
        <v>0</v>
      </c>
      <c r="X172">
        <v>0</v>
      </c>
      <c r="Y172">
        <v>1304</v>
      </c>
      <c r="Z172">
        <v>311</v>
      </c>
      <c r="AA172" s="475" t="s">
        <v>23</v>
      </c>
    </row>
    <row r="173" spans="1:27" ht="15" hidden="1">
      <c r="A173" s="24">
        <v>1172</v>
      </c>
      <c r="B173" s="24">
        <v>1172</v>
      </c>
      <c r="C173" s="469" t="s">
        <v>567</v>
      </c>
      <c r="D173" t="s">
        <v>146</v>
      </c>
      <c r="E173" s="470">
        <v>1</v>
      </c>
      <c r="F173" s="471">
        <v>25.142857142857142</v>
      </c>
      <c r="G173">
        <v>1</v>
      </c>
      <c r="H173">
        <v>1</v>
      </c>
      <c r="I173" s="472">
        <f t="shared" si="4"/>
        <v>0.32845968612834514</v>
      </c>
      <c r="J173" s="153">
        <v>3.8473756479098807E-2</v>
      </c>
      <c r="K173" s="153">
        <v>0.39358026214566905</v>
      </c>
      <c r="L173" s="153">
        <v>0.53857526864315253</v>
      </c>
      <c r="M173" s="153">
        <v>0.3432094572454602</v>
      </c>
      <c r="N173" s="472">
        <f t="shared" si="5"/>
        <v>0.32845968612834514</v>
      </c>
      <c r="O173" s="153">
        <v>3.8473756479098807E-2</v>
      </c>
      <c r="P173" s="153">
        <v>0.39358026214566905</v>
      </c>
      <c r="Q173" s="153">
        <v>0.53857526864315253</v>
      </c>
      <c r="R173" s="153">
        <v>0.3432094572454602</v>
      </c>
      <c r="S173" s="153">
        <v>0.03</v>
      </c>
      <c r="T173" s="153">
        <v>0</v>
      </c>
      <c r="U173" s="474">
        <v>2010</v>
      </c>
      <c r="V173">
        <v>2023</v>
      </c>
      <c r="W173">
        <v>0</v>
      </c>
      <c r="X173">
        <v>0</v>
      </c>
      <c r="Y173">
        <v>1304</v>
      </c>
      <c r="Z173">
        <v>311</v>
      </c>
      <c r="AA173" s="475" t="s">
        <v>23</v>
      </c>
    </row>
    <row r="174" spans="1:27" ht="15" hidden="1">
      <c r="A174" s="24">
        <v>1173</v>
      </c>
      <c r="B174" s="24">
        <v>1173</v>
      </c>
      <c r="C174" s="469" t="s">
        <v>568</v>
      </c>
      <c r="D174" t="s">
        <v>146</v>
      </c>
      <c r="E174" s="470">
        <v>1</v>
      </c>
      <c r="F174" s="471">
        <v>31.88</v>
      </c>
      <c r="G174">
        <v>1</v>
      </c>
      <c r="H174">
        <v>1</v>
      </c>
      <c r="I174" s="472">
        <f t="shared" si="4"/>
        <v>0.32845968612834514</v>
      </c>
      <c r="J174" s="153">
        <v>3.8473756479098807E-2</v>
      </c>
      <c r="K174" s="153">
        <v>0.39358026214566905</v>
      </c>
      <c r="L174" s="153">
        <v>0.53857526864315253</v>
      </c>
      <c r="M174" s="153">
        <v>0.3432094572454602</v>
      </c>
      <c r="N174" s="472">
        <f t="shared" si="5"/>
        <v>0.32845968612834514</v>
      </c>
      <c r="O174" s="153">
        <v>3.8473756479098807E-2</v>
      </c>
      <c r="P174" s="153">
        <v>0.39358026214566905</v>
      </c>
      <c r="Q174" s="153">
        <v>0.53857526864315253</v>
      </c>
      <c r="R174" s="153">
        <v>0.3432094572454602</v>
      </c>
      <c r="S174" s="153">
        <v>0.03</v>
      </c>
      <c r="T174" s="153">
        <v>0</v>
      </c>
      <c r="U174" s="474">
        <v>2001</v>
      </c>
      <c r="V174">
        <v>2023</v>
      </c>
      <c r="W174">
        <v>0</v>
      </c>
      <c r="X174">
        <v>0</v>
      </c>
      <c r="Y174">
        <v>1304</v>
      </c>
      <c r="Z174">
        <v>311</v>
      </c>
      <c r="AA174" s="475" t="s">
        <v>23</v>
      </c>
    </row>
    <row r="175" spans="1:27" ht="15" hidden="1">
      <c r="A175" s="24">
        <v>1174</v>
      </c>
      <c r="B175" s="24">
        <v>1174</v>
      </c>
      <c r="C175" s="469" t="s">
        <v>569</v>
      </c>
      <c r="D175" t="s">
        <v>146</v>
      </c>
      <c r="E175" s="470">
        <v>1</v>
      </c>
      <c r="F175" s="471">
        <v>0</v>
      </c>
      <c r="G175">
        <v>1</v>
      </c>
      <c r="H175">
        <v>1</v>
      </c>
      <c r="I175" s="472">
        <f t="shared" si="4"/>
        <v>0.32845968612834514</v>
      </c>
      <c r="J175" s="153">
        <v>3.8473756479098807E-2</v>
      </c>
      <c r="K175" s="153">
        <v>0.39358026214566905</v>
      </c>
      <c r="L175" s="153">
        <v>0.53857526864315253</v>
      </c>
      <c r="M175" s="153">
        <v>0.3432094572454602</v>
      </c>
      <c r="N175" s="472">
        <f t="shared" si="5"/>
        <v>0.32845968612834514</v>
      </c>
      <c r="O175" s="153">
        <v>3.8473756479098807E-2</v>
      </c>
      <c r="P175" s="153">
        <v>0.39358026214566905</v>
      </c>
      <c r="Q175" s="153">
        <v>0.53857526864315253</v>
      </c>
      <c r="R175" s="153">
        <v>0.3432094572454602</v>
      </c>
      <c r="S175" s="153">
        <v>0.03</v>
      </c>
      <c r="T175" s="153">
        <v>0</v>
      </c>
      <c r="U175" s="474">
        <v>2018</v>
      </c>
      <c r="V175">
        <v>2045</v>
      </c>
      <c r="W175">
        <v>0</v>
      </c>
      <c r="X175">
        <v>0</v>
      </c>
      <c r="Y175">
        <v>1304</v>
      </c>
      <c r="Z175">
        <v>311</v>
      </c>
      <c r="AA175" s="475" t="s">
        <v>23</v>
      </c>
    </row>
    <row r="176" spans="1:27" ht="15" hidden="1">
      <c r="A176" s="24">
        <v>1175</v>
      </c>
      <c r="B176" s="24">
        <v>1175</v>
      </c>
      <c r="C176" s="469" t="s">
        <v>570</v>
      </c>
      <c r="D176" t="s">
        <v>146</v>
      </c>
      <c r="E176" s="470">
        <v>1</v>
      </c>
      <c r="F176" s="471">
        <v>0</v>
      </c>
      <c r="G176">
        <v>1</v>
      </c>
      <c r="H176">
        <v>1</v>
      </c>
      <c r="I176" s="472">
        <f t="shared" si="4"/>
        <v>0.32845968612834514</v>
      </c>
      <c r="J176" s="153">
        <v>3.8473756479098807E-2</v>
      </c>
      <c r="K176" s="153">
        <v>0.39358026214566905</v>
      </c>
      <c r="L176" s="153">
        <v>0.53857526864315253</v>
      </c>
      <c r="M176" s="153">
        <v>0.3432094572454602</v>
      </c>
      <c r="N176" s="472">
        <f t="shared" si="5"/>
        <v>0.32845968612834514</v>
      </c>
      <c r="O176" s="153">
        <v>3.8473756479098807E-2</v>
      </c>
      <c r="P176" s="153">
        <v>0.39358026214566905</v>
      </c>
      <c r="Q176" s="153">
        <v>0.53857526864315253</v>
      </c>
      <c r="R176" s="153">
        <v>0.3432094572454602</v>
      </c>
      <c r="S176" s="153">
        <v>0.03</v>
      </c>
      <c r="T176" s="153">
        <v>0</v>
      </c>
      <c r="U176" s="474">
        <v>1900</v>
      </c>
      <c r="V176">
        <v>2030</v>
      </c>
      <c r="W176">
        <v>0</v>
      </c>
      <c r="X176">
        <v>0</v>
      </c>
      <c r="Y176">
        <v>1304</v>
      </c>
      <c r="Z176">
        <v>311</v>
      </c>
      <c r="AA176" s="475" t="s">
        <v>23</v>
      </c>
    </row>
    <row r="177" spans="1:27" ht="15" hidden="1">
      <c r="A177" s="24">
        <v>1176</v>
      </c>
      <c r="B177" s="24">
        <v>1176</v>
      </c>
      <c r="C177" s="469" t="s">
        <v>571</v>
      </c>
      <c r="D177" t="s">
        <v>146</v>
      </c>
      <c r="E177" s="470">
        <v>1</v>
      </c>
      <c r="F177" s="471">
        <v>33</v>
      </c>
      <c r="G177">
        <v>1</v>
      </c>
      <c r="H177">
        <v>1</v>
      </c>
      <c r="I177" s="472">
        <f t="shared" si="4"/>
        <v>0.32845968612834514</v>
      </c>
      <c r="J177" s="153">
        <v>3.8473756479098807E-2</v>
      </c>
      <c r="K177" s="153">
        <v>0.39358026214566905</v>
      </c>
      <c r="L177" s="153">
        <v>0.53857526864315253</v>
      </c>
      <c r="M177" s="153">
        <v>0.3432094572454602</v>
      </c>
      <c r="N177" s="472">
        <f t="shared" si="5"/>
        <v>0.32845968612834514</v>
      </c>
      <c r="O177" s="153">
        <v>3.8473756479098807E-2</v>
      </c>
      <c r="P177" s="153">
        <v>0.39358026214566905</v>
      </c>
      <c r="Q177" s="153">
        <v>0.53857526864315253</v>
      </c>
      <c r="R177" s="153">
        <v>0.3432094572454602</v>
      </c>
      <c r="S177" s="153">
        <v>0.03</v>
      </c>
      <c r="T177" s="153">
        <v>0</v>
      </c>
      <c r="U177" s="474">
        <v>2010</v>
      </c>
      <c r="V177">
        <v>2023</v>
      </c>
      <c r="W177">
        <v>0</v>
      </c>
      <c r="X177">
        <v>0</v>
      </c>
      <c r="Y177">
        <v>1304</v>
      </c>
      <c r="Z177">
        <v>311</v>
      </c>
      <c r="AA177" s="475" t="s">
        <v>23</v>
      </c>
    </row>
    <row r="178" spans="1:27" ht="15" hidden="1">
      <c r="A178" s="24">
        <v>1177</v>
      </c>
      <c r="B178" s="24">
        <v>1177</v>
      </c>
      <c r="C178" s="469" t="s">
        <v>572</v>
      </c>
      <c r="D178" t="s">
        <v>146</v>
      </c>
      <c r="E178" s="470">
        <v>1</v>
      </c>
      <c r="F178" s="471">
        <v>28</v>
      </c>
      <c r="G178">
        <v>1</v>
      </c>
      <c r="H178">
        <v>1</v>
      </c>
      <c r="I178" s="472">
        <f t="shared" si="4"/>
        <v>0.32845968612834514</v>
      </c>
      <c r="J178" s="153">
        <v>3.8473756479098807E-2</v>
      </c>
      <c r="K178" s="153">
        <v>0.39358026214566905</v>
      </c>
      <c r="L178" s="153">
        <v>0.53857526864315253</v>
      </c>
      <c r="M178" s="153">
        <v>0.3432094572454602</v>
      </c>
      <c r="N178" s="472">
        <f t="shared" si="5"/>
        <v>0.32845968612834514</v>
      </c>
      <c r="O178" s="153">
        <v>3.8473756479098807E-2</v>
      </c>
      <c r="P178" s="153">
        <v>0.39358026214566905</v>
      </c>
      <c r="Q178" s="153">
        <v>0.53857526864315253</v>
      </c>
      <c r="R178" s="153">
        <v>0.3432094572454602</v>
      </c>
      <c r="S178" s="153">
        <v>0.03</v>
      </c>
      <c r="T178" s="153">
        <v>0</v>
      </c>
      <c r="U178" s="474">
        <v>1900</v>
      </c>
      <c r="V178">
        <v>2030</v>
      </c>
      <c r="W178">
        <v>0</v>
      </c>
      <c r="X178">
        <v>0</v>
      </c>
      <c r="Y178">
        <v>1304</v>
      </c>
      <c r="Z178">
        <v>311</v>
      </c>
      <c r="AA178" s="475" t="s">
        <v>23</v>
      </c>
    </row>
    <row r="179" spans="1:27" ht="15" hidden="1">
      <c r="A179" s="24">
        <v>1178</v>
      </c>
      <c r="B179" s="24">
        <v>1178</v>
      </c>
      <c r="C179" s="469" t="s">
        <v>573</v>
      </c>
      <c r="D179" t="s">
        <v>146</v>
      </c>
      <c r="E179" s="470">
        <v>1</v>
      </c>
      <c r="F179" s="471">
        <v>0</v>
      </c>
      <c r="G179">
        <v>1</v>
      </c>
      <c r="H179">
        <v>1</v>
      </c>
      <c r="I179" s="472">
        <f t="shared" si="4"/>
        <v>0.32845968612834514</v>
      </c>
      <c r="J179" s="153">
        <v>3.8473756479098807E-2</v>
      </c>
      <c r="K179" s="153">
        <v>0.39358026214566905</v>
      </c>
      <c r="L179" s="153">
        <v>0.53857526864315253</v>
      </c>
      <c r="M179" s="153">
        <v>0.3432094572454602</v>
      </c>
      <c r="N179" s="472">
        <f t="shared" si="5"/>
        <v>0.32845968612834514</v>
      </c>
      <c r="O179" s="153">
        <v>3.8473756479098807E-2</v>
      </c>
      <c r="P179" s="153">
        <v>0.39358026214566905</v>
      </c>
      <c r="Q179" s="153">
        <v>0.53857526864315253</v>
      </c>
      <c r="R179" s="153">
        <v>0.3432094572454602</v>
      </c>
      <c r="S179" s="153">
        <v>0.03</v>
      </c>
      <c r="T179" s="153">
        <v>0</v>
      </c>
      <c r="U179" s="474">
        <v>1900</v>
      </c>
      <c r="V179">
        <v>2030</v>
      </c>
      <c r="W179">
        <v>0</v>
      </c>
      <c r="X179">
        <v>0</v>
      </c>
      <c r="Y179">
        <v>1304</v>
      </c>
      <c r="Z179">
        <v>311</v>
      </c>
      <c r="AA179" s="475" t="s">
        <v>23</v>
      </c>
    </row>
    <row r="180" spans="1:27" ht="15" hidden="1">
      <c r="A180" s="24">
        <v>1179</v>
      </c>
      <c r="B180" s="24">
        <v>1179</v>
      </c>
      <c r="C180" s="469" t="s">
        <v>574</v>
      </c>
      <c r="D180" t="s">
        <v>149</v>
      </c>
      <c r="E180" s="470">
        <v>2</v>
      </c>
      <c r="F180" s="471">
        <v>12.33</v>
      </c>
      <c r="G180">
        <v>1</v>
      </c>
      <c r="H180">
        <v>1</v>
      </c>
      <c r="I180" s="472">
        <f t="shared" si="4"/>
        <v>0.32845968612834514</v>
      </c>
      <c r="J180" s="153">
        <v>3.8473756479098807E-2</v>
      </c>
      <c r="K180" s="153">
        <v>0.39358026214566905</v>
      </c>
      <c r="L180" s="153">
        <v>0.53857526864315253</v>
      </c>
      <c r="M180" s="153">
        <v>0.3432094572454602</v>
      </c>
      <c r="N180" s="472">
        <f t="shared" si="5"/>
        <v>0.32845968612834514</v>
      </c>
      <c r="O180" s="153">
        <v>3.8473756479098807E-2</v>
      </c>
      <c r="P180" s="153">
        <v>0.39358026214566905</v>
      </c>
      <c r="Q180" s="153">
        <v>0.53857526864315253</v>
      </c>
      <c r="R180" s="153">
        <v>0.3432094572454602</v>
      </c>
      <c r="S180" s="153">
        <v>0.03</v>
      </c>
      <c r="T180" s="153">
        <v>0</v>
      </c>
      <c r="U180" s="474">
        <v>2010</v>
      </c>
      <c r="V180">
        <v>2030</v>
      </c>
      <c r="W180">
        <v>0</v>
      </c>
      <c r="X180">
        <v>0</v>
      </c>
      <c r="Y180">
        <v>1304</v>
      </c>
      <c r="Z180">
        <v>311</v>
      </c>
      <c r="AA180" s="475" t="s">
        <v>23</v>
      </c>
    </row>
    <row r="181" spans="1:27" ht="15" hidden="1">
      <c r="A181" s="24">
        <v>1180</v>
      </c>
      <c r="B181" s="24">
        <v>1180</v>
      </c>
      <c r="C181" s="469" t="s">
        <v>575</v>
      </c>
      <c r="D181" t="s">
        <v>149</v>
      </c>
      <c r="E181" s="470">
        <v>2</v>
      </c>
      <c r="F181" s="471">
        <v>0</v>
      </c>
      <c r="G181">
        <v>1</v>
      </c>
      <c r="H181">
        <v>1</v>
      </c>
      <c r="I181" s="472">
        <f t="shared" si="4"/>
        <v>0.32845968612834514</v>
      </c>
      <c r="J181" s="153">
        <v>3.8473756479098807E-2</v>
      </c>
      <c r="K181" s="153">
        <v>0.39358026214566905</v>
      </c>
      <c r="L181" s="153">
        <v>0.53857526864315253</v>
      </c>
      <c r="M181" s="153">
        <v>0.3432094572454602</v>
      </c>
      <c r="N181" s="472">
        <f t="shared" si="5"/>
        <v>0.32845968612834514</v>
      </c>
      <c r="O181" s="153">
        <v>3.8473756479098807E-2</v>
      </c>
      <c r="P181" s="153">
        <v>0.39358026214566905</v>
      </c>
      <c r="Q181" s="153">
        <v>0.53857526864315253</v>
      </c>
      <c r="R181" s="153">
        <v>0.3432094572454602</v>
      </c>
      <c r="S181" s="153">
        <v>0.03</v>
      </c>
      <c r="T181" s="153">
        <v>0</v>
      </c>
      <c r="U181" s="474">
        <v>2010</v>
      </c>
      <c r="V181">
        <v>2030</v>
      </c>
      <c r="W181">
        <v>0</v>
      </c>
      <c r="X181">
        <v>0</v>
      </c>
      <c r="Y181">
        <v>1304</v>
      </c>
      <c r="Z181">
        <v>311</v>
      </c>
      <c r="AA181" s="475" t="s">
        <v>23</v>
      </c>
    </row>
    <row r="182" spans="1:27" ht="15" hidden="1">
      <c r="A182" s="24">
        <v>1181</v>
      </c>
      <c r="B182" s="24">
        <v>1181</v>
      </c>
      <c r="C182" s="469" t="s">
        <v>576</v>
      </c>
      <c r="D182" t="s">
        <v>146</v>
      </c>
      <c r="E182" s="470">
        <v>1</v>
      </c>
      <c r="F182" s="471">
        <v>226</v>
      </c>
      <c r="G182">
        <v>1</v>
      </c>
      <c r="H182">
        <v>1</v>
      </c>
      <c r="I182" s="472">
        <f t="shared" si="4"/>
        <v>0.32845968612834514</v>
      </c>
      <c r="J182" s="153">
        <v>3.8473756479098807E-2</v>
      </c>
      <c r="K182" s="153">
        <v>0.39358026214566905</v>
      </c>
      <c r="L182" s="153">
        <v>0.53857526864315253</v>
      </c>
      <c r="M182" s="153">
        <v>0.3432094572454602</v>
      </c>
      <c r="N182" s="472">
        <f t="shared" si="5"/>
        <v>0.32845968612834514</v>
      </c>
      <c r="O182" s="153">
        <v>3.8473756479098807E-2</v>
      </c>
      <c r="P182" s="153">
        <v>0.39358026214566905</v>
      </c>
      <c r="Q182" s="153">
        <v>0.53857526864315253</v>
      </c>
      <c r="R182" s="153">
        <v>0.3432094572454602</v>
      </c>
      <c r="S182" s="153">
        <v>0.03</v>
      </c>
      <c r="T182" s="153">
        <v>0</v>
      </c>
      <c r="U182" s="474">
        <v>1900</v>
      </c>
      <c r="V182">
        <v>2030</v>
      </c>
      <c r="W182">
        <v>0</v>
      </c>
      <c r="X182">
        <v>0</v>
      </c>
      <c r="Y182">
        <v>1304</v>
      </c>
      <c r="Z182">
        <v>311</v>
      </c>
      <c r="AA182" s="475" t="s">
        <v>23</v>
      </c>
    </row>
    <row r="183" spans="1:27" ht="15" hidden="1">
      <c r="A183" s="24">
        <v>1182</v>
      </c>
      <c r="B183" s="24">
        <v>1182</v>
      </c>
      <c r="C183" s="469" t="s">
        <v>577</v>
      </c>
      <c r="D183" t="s">
        <v>146</v>
      </c>
      <c r="E183" s="470">
        <v>1</v>
      </c>
      <c r="F183" s="471">
        <v>0</v>
      </c>
      <c r="G183">
        <v>1</v>
      </c>
      <c r="H183">
        <v>1</v>
      </c>
      <c r="I183" s="472">
        <f t="shared" si="4"/>
        <v>0.32845968612834514</v>
      </c>
      <c r="J183" s="153">
        <v>3.8473756479098807E-2</v>
      </c>
      <c r="K183" s="153">
        <v>0.39358026214566905</v>
      </c>
      <c r="L183" s="153">
        <v>0.53857526864315253</v>
      </c>
      <c r="M183" s="153">
        <v>0.3432094572454602</v>
      </c>
      <c r="N183" s="472">
        <f t="shared" si="5"/>
        <v>0.32845968612834514</v>
      </c>
      <c r="O183" s="153">
        <v>3.8473756479098807E-2</v>
      </c>
      <c r="P183" s="153">
        <v>0.39358026214566905</v>
      </c>
      <c r="Q183" s="153">
        <v>0.53857526864315253</v>
      </c>
      <c r="R183" s="153">
        <v>0.3432094572454602</v>
      </c>
      <c r="S183" s="153">
        <v>0.03</v>
      </c>
      <c r="T183" s="153">
        <v>0</v>
      </c>
      <c r="U183" s="474">
        <v>1900</v>
      </c>
      <c r="V183">
        <v>2030</v>
      </c>
      <c r="W183">
        <v>0</v>
      </c>
      <c r="X183">
        <v>0</v>
      </c>
      <c r="Y183">
        <v>1304</v>
      </c>
      <c r="Z183">
        <v>311</v>
      </c>
      <c r="AA183" s="475" t="s">
        <v>23</v>
      </c>
    </row>
    <row r="184" spans="1:27" ht="15" hidden="1">
      <c r="A184" s="24">
        <v>1183</v>
      </c>
      <c r="B184" s="24">
        <v>1183</v>
      </c>
      <c r="C184" s="469" t="s">
        <v>578</v>
      </c>
      <c r="D184" t="s">
        <v>146</v>
      </c>
      <c r="E184" s="470">
        <v>1</v>
      </c>
      <c r="F184" s="471">
        <v>113.61022364217253</v>
      </c>
      <c r="G184">
        <v>1</v>
      </c>
      <c r="H184">
        <v>1</v>
      </c>
      <c r="I184" s="472">
        <f t="shared" si="4"/>
        <v>0.32845968612834514</v>
      </c>
      <c r="J184" s="153">
        <v>3.8473756479098807E-2</v>
      </c>
      <c r="K184" s="153">
        <v>0.39358026214566905</v>
      </c>
      <c r="L184" s="153">
        <v>0.53857526864315253</v>
      </c>
      <c r="M184" s="153">
        <v>0.3432094572454602</v>
      </c>
      <c r="N184" s="472">
        <f t="shared" si="5"/>
        <v>0.32845968612834514</v>
      </c>
      <c r="O184" s="153">
        <v>3.8473756479098807E-2</v>
      </c>
      <c r="P184" s="153">
        <v>0.39358026214566905</v>
      </c>
      <c r="Q184" s="153">
        <v>0.53857526864315253</v>
      </c>
      <c r="R184" s="153">
        <v>0.3432094572454602</v>
      </c>
      <c r="S184" s="153">
        <v>0.03</v>
      </c>
      <c r="T184" s="153">
        <v>0</v>
      </c>
      <c r="U184" s="474">
        <v>2011</v>
      </c>
      <c r="V184">
        <v>2030</v>
      </c>
      <c r="W184">
        <v>0</v>
      </c>
      <c r="X184">
        <v>0</v>
      </c>
      <c r="Y184">
        <v>1304</v>
      </c>
      <c r="Z184">
        <v>311</v>
      </c>
      <c r="AA184" s="475" t="s">
        <v>23</v>
      </c>
    </row>
    <row r="185" spans="1:27" ht="15" hidden="1">
      <c r="A185" s="24">
        <v>1184</v>
      </c>
      <c r="B185" s="24">
        <v>1184</v>
      </c>
      <c r="C185" s="469" t="s">
        <v>579</v>
      </c>
      <c r="D185" t="s">
        <v>146</v>
      </c>
      <c r="E185" s="470">
        <v>1</v>
      </c>
      <c r="F185" s="471">
        <v>26.389776357827476</v>
      </c>
      <c r="G185">
        <v>1</v>
      </c>
      <c r="H185">
        <v>1</v>
      </c>
      <c r="I185" s="472">
        <f t="shared" si="4"/>
        <v>0.32845968612834514</v>
      </c>
      <c r="J185" s="153">
        <v>3.8473756479098807E-2</v>
      </c>
      <c r="K185" s="153">
        <v>0.39358026214566905</v>
      </c>
      <c r="L185" s="153">
        <v>0.53857526864315253</v>
      </c>
      <c r="M185" s="153">
        <v>0.3432094572454602</v>
      </c>
      <c r="N185" s="472">
        <f t="shared" si="5"/>
        <v>0.32845968612834514</v>
      </c>
      <c r="O185" s="153">
        <v>3.8473756479098807E-2</v>
      </c>
      <c r="P185" s="153">
        <v>0.39358026214566905</v>
      </c>
      <c r="Q185" s="153">
        <v>0.53857526864315253</v>
      </c>
      <c r="R185" s="153">
        <v>0.3432094572454602</v>
      </c>
      <c r="S185" s="153">
        <v>0.03</v>
      </c>
      <c r="T185" s="153">
        <v>0</v>
      </c>
      <c r="U185" s="474">
        <v>2011</v>
      </c>
      <c r="V185">
        <v>2030</v>
      </c>
      <c r="W185">
        <v>0</v>
      </c>
      <c r="X185">
        <v>0</v>
      </c>
      <c r="Y185">
        <v>1304</v>
      </c>
      <c r="Z185">
        <v>311</v>
      </c>
      <c r="AA185" s="475" t="s">
        <v>23</v>
      </c>
    </row>
    <row r="186" spans="1:27" ht="15" hidden="1">
      <c r="A186" s="24">
        <v>1185</v>
      </c>
      <c r="B186" s="24">
        <v>1185</v>
      </c>
      <c r="C186" s="469" t="s">
        <v>580</v>
      </c>
      <c r="D186" t="s">
        <v>146</v>
      </c>
      <c r="E186" s="470">
        <v>1</v>
      </c>
      <c r="F186" s="471">
        <v>60</v>
      </c>
      <c r="G186">
        <v>1</v>
      </c>
      <c r="H186">
        <v>1</v>
      </c>
      <c r="I186" s="472">
        <f t="shared" si="4"/>
        <v>0.32845968612834514</v>
      </c>
      <c r="J186" s="153">
        <v>3.8473756479098807E-2</v>
      </c>
      <c r="K186" s="153">
        <v>0.39358026214566905</v>
      </c>
      <c r="L186" s="153">
        <v>0.53857526864315253</v>
      </c>
      <c r="M186" s="153">
        <v>0.3432094572454602</v>
      </c>
      <c r="N186" s="472">
        <f t="shared" si="5"/>
        <v>0.32845968612834514</v>
      </c>
      <c r="O186" s="153">
        <v>3.8473756479098807E-2</v>
      </c>
      <c r="P186" s="153">
        <v>0.39358026214566905</v>
      </c>
      <c r="Q186" s="153">
        <v>0.53857526864315253</v>
      </c>
      <c r="R186" s="153">
        <v>0.3432094572454602</v>
      </c>
      <c r="S186" s="153">
        <v>0.03</v>
      </c>
      <c r="T186" s="153">
        <v>0</v>
      </c>
      <c r="U186" s="474">
        <v>2009</v>
      </c>
      <c r="V186">
        <v>2023</v>
      </c>
      <c r="W186">
        <v>0</v>
      </c>
      <c r="X186">
        <v>0</v>
      </c>
      <c r="Y186">
        <v>1304</v>
      </c>
      <c r="Z186">
        <v>311</v>
      </c>
      <c r="AA186" s="475" t="s">
        <v>23</v>
      </c>
    </row>
    <row r="187" spans="1:27" ht="15" hidden="1">
      <c r="A187" s="24">
        <v>1186</v>
      </c>
      <c r="B187" s="24">
        <v>1186</v>
      </c>
      <c r="C187" s="469" t="s">
        <v>581</v>
      </c>
      <c r="D187" t="s">
        <v>146</v>
      </c>
      <c r="E187" s="470">
        <v>1</v>
      </c>
      <c r="F187" s="471">
        <v>0</v>
      </c>
      <c r="G187">
        <v>1</v>
      </c>
      <c r="H187">
        <v>1</v>
      </c>
      <c r="I187" s="472">
        <f t="shared" si="4"/>
        <v>0.32845968612834514</v>
      </c>
      <c r="J187" s="153">
        <v>3.8473756479098807E-2</v>
      </c>
      <c r="K187" s="153">
        <v>0.39358026214566905</v>
      </c>
      <c r="L187" s="153">
        <v>0.53857526864315253</v>
      </c>
      <c r="M187" s="153">
        <v>0.3432094572454602</v>
      </c>
      <c r="N187" s="472">
        <f t="shared" si="5"/>
        <v>0.32845968612834514</v>
      </c>
      <c r="O187" s="153">
        <v>3.8473756479098807E-2</v>
      </c>
      <c r="P187" s="153">
        <v>0.39358026214566905</v>
      </c>
      <c r="Q187" s="153">
        <v>0.53857526864315253</v>
      </c>
      <c r="R187" s="153">
        <v>0.3432094572454602</v>
      </c>
      <c r="S187" s="153">
        <v>0.03</v>
      </c>
      <c r="T187" s="153">
        <v>0</v>
      </c>
      <c r="U187" s="474">
        <v>1900</v>
      </c>
      <c r="V187">
        <v>2030</v>
      </c>
      <c r="W187">
        <v>0</v>
      </c>
      <c r="X187">
        <v>0</v>
      </c>
      <c r="Y187">
        <v>1304</v>
      </c>
      <c r="Z187">
        <v>311</v>
      </c>
      <c r="AA187" s="475" t="s">
        <v>23</v>
      </c>
    </row>
    <row r="188" spans="1:27" ht="15" hidden="1">
      <c r="A188" s="24">
        <v>1187</v>
      </c>
      <c r="B188" s="24">
        <v>1187</v>
      </c>
      <c r="C188" s="469" t="s">
        <v>582</v>
      </c>
      <c r="D188" t="s">
        <v>146</v>
      </c>
      <c r="E188" s="470">
        <v>1</v>
      </c>
      <c r="F188" s="471">
        <v>30</v>
      </c>
      <c r="G188">
        <v>1</v>
      </c>
      <c r="H188">
        <v>1</v>
      </c>
      <c r="I188" s="472">
        <f t="shared" si="4"/>
        <v>0.32845968612834514</v>
      </c>
      <c r="J188" s="153">
        <v>3.8473756479098807E-2</v>
      </c>
      <c r="K188" s="153">
        <v>0.39358026214566905</v>
      </c>
      <c r="L188" s="153">
        <v>0.53857526864315253</v>
      </c>
      <c r="M188" s="153">
        <v>0.3432094572454602</v>
      </c>
      <c r="N188" s="472">
        <f t="shared" si="5"/>
        <v>0.32845968612834514</v>
      </c>
      <c r="O188" s="153">
        <v>3.8473756479098807E-2</v>
      </c>
      <c r="P188" s="153">
        <v>0.39358026214566905</v>
      </c>
      <c r="Q188" s="153">
        <v>0.53857526864315253</v>
      </c>
      <c r="R188" s="153">
        <v>0.3432094572454602</v>
      </c>
      <c r="S188" s="153">
        <v>0.03</v>
      </c>
      <c r="T188" s="153">
        <v>0</v>
      </c>
      <c r="U188" s="474">
        <v>2008</v>
      </c>
      <c r="V188">
        <v>2023</v>
      </c>
      <c r="W188">
        <v>0</v>
      </c>
      <c r="X188">
        <v>0</v>
      </c>
      <c r="Y188">
        <v>1304</v>
      </c>
      <c r="Z188">
        <v>311</v>
      </c>
      <c r="AA188" s="475" t="s">
        <v>23</v>
      </c>
    </row>
    <row r="189" spans="1:27" ht="15" hidden="1">
      <c r="A189" s="24">
        <v>1188</v>
      </c>
      <c r="B189" s="24">
        <v>1188</v>
      </c>
      <c r="C189" s="469" t="s">
        <v>583</v>
      </c>
      <c r="D189" t="s">
        <v>146</v>
      </c>
      <c r="E189" s="470">
        <v>1</v>
      </c>
      <c r="F189" s="471">
        <v>0</v>
      </c>
      <c r="G189">
        <v>1</v>
      </c>
      <c r="H189">
        <v>1</v>
      </c>
      <c r="I189" s="472">
        <f t="shared" si="4"/>
        <v>0.32845968612834514</v>
      </c>
      <c r="J189" s="153">
        <v>3.8473756479098807E-2</v>
      </c>
      <c r="K189" s="153">
        <v>0.39358026214566905</v>
      </c>
      <c r="L189" s="153">
        <v>0.53857526864315253</v>
      </c>
      <c r="M189" s="153">
        <v>0.3432094572454602</v>
      </c>
      <c r="N189" s="472">
        <f t="shared" si="5"/>
        <v>0.32845968612834514</v>
      </c>
      <c r="O189" s="153">
        <v>3.8473756479098807E-2</v>
      </c>
      <c r="P189" s="153">
        <v>0.39358026214566905</v>
      </c>
      <c r="Q189" s="153">
        <v>0.53857526864315253</v>
      </c>
      <c r="R189" s="153">
        <v>0.3432094572454602</v>
      </c>
      <c r="S189" s="153">
        <v>0.03</v>
      </c>
      <c r="T189" s="153">
        <v>0</v>
      </c>
      <c r="U189" s="474">
        <v>1900</v>
      </c>
      <c r="V189">
        <v>2030</v>
      </c>
      <c r="W189">
        <v>0</v>
      </c>
      <c r="X189">
        <v>0</v>
      </c>
      <c r="Y189">
        <v>1304</v>
      </c>
      <c r="Z189">
        <v>311</v>
      </c>
      <c r="AA189" s="475" t="s">
        <v>23</v>
      </c>
    </row>
    <row r="190" spans="1:27" ht="15" hidden="1">
      <c r="A190" s="24">
        <v>1189</v>
      </c>
      <c r="B190" s="24">
        <v>1189</v>
      </c>
      <c r="C190" s="469" t="s">
        <v>584</v>
      </c>
      <c r="D190" t="s">
        <v>146</v>
      </c>
      <c r="E190" s="470">
        <v>1</v>
      </c>
      <c r="F190" s="471">
        <v>30.774999999999999</v>
      </c>
      <c r="G190">
        <v>1</v>
      </c>
      <c r="H190">
        <v>1</v>
      </c>
      <c r="I190" s="472">
        <f t="shared" si="4"/>
        <v>0.32845968612834514</v>
      </c>
      <c r="J190" s="153">
        <v>3.8473756479098807E-2</v>
      </c>
      <c r="K190" s="153">
        <v>0.39358026214566905</v>
      </c>
      <c r="L190" s="153">
        <v>0.53857526864315253</v>
      </c>
      <c r="M190" s="153">
        <v>0.3432094572454602</v>
      </c>
      <c r="N190" s="472">
        <f t="shared" si="5"/>
        <v>0.32845968612834514</v>
      </c>
      <c r="O190" s="153">
        <v>3.8473756479098807E-2</v>
      </c>
      <c r="P190" s="153">
        <v>0.39358026214566905</v>
      </c>
      <c r="Q190" s="153">
        <v>0.53857526864315253</v>
      </c>
      <c r="R190" s="153">
        <v>0.3432094572454602</v>
      </c>
      <c r="S190" s="153">
        <v>0.03</v>
      </c>
      <c r="T190" s="153">
        <v>0</v>
      </c>
      <c r="U190" s="474">
        <v>1900</v>
      </c>
      <c r="V190">
        <v>2030</v>
      </c>
      <c r="W190">
        <v>0</v>
      </c>
      <c r="X190">
        <v>0</v>
      </c>
      <c r="Y190">
        <v>1304</v>
      </c>
      <c r="Z190">
        <v>311</v>
      </c>
      <c r="AA190" s="475" t="s">
        <v>23</v>
      </c>
    </row>
    <row r="191" spans="1:27" ht="15" hidden="1">
      <c r="A191" s="24">
        <v>1190</v>
      </c>
      <c r="B191" s="24">
        <v>1190</v>
      </c>
      <c r="C191" s="469" t="s">
        <v>585</v>
      </c>
      <c r="D191" t="s">
        <v>146</v>
      </c>
      <c r="E191" s="470">
        <v>1</v>
      </c>
      <c r="F191" s="471">
        <v>0</v>
      </c>
      <c r="G191">
        <v>1</v>
      </c>
      <c r="H191">
        <v>1</v>
      </c>
      <c r="I191" s="472">
        <f t="shared" si="4"/>
        <v>0.32845968612834514</v>
      </c>
      <c r="J191" s="153">
        <v>3.8473756479098807E-2</v>
      </c>
      <c r="K191" s="153">
        <v>0.39358026214566905</v>
      </c>
      <c r="L191" s="153">
        <v>0.53857526864315253</v>
      </c>
      <c r="M191" s="153">
        <v>0.3432094572454602</v>
      </c>
      <c r="N191" s="472">
        <f t="shared" si="5"/>
        <v>0.32845968612834514</v>
      </c>
      <c r="O191" s="153">
        <v>3.8473756479098807E-2</v>
      </c>
      <c r="P191" s="153">
        <v>0.39358026214566905</v>
      </c>
      <c r="Q191" s="153">
        <v>0.53857526864315253</v>
      </c>
      <c r="R191" s="153">
        <v>0.3432094572454602</v>
      </c>
      <c r="S191" s="153">
        <v>0.03</v>
      </c>
      <c r="T191" s="153">
        <v>0</v>
      </c>
      <c r="U191" s="474">
        <v>1900</v>
      </c>
      <c r="V191">
        <v>2030</v>
      </c>
      <c r="W191">
        <v>0</v>
      </c>
      <c r="X191">
        <v>0</v>
      </c>
      <c r="Y191">
        <v>1304</v>
      </c>
      <c r="Z191">
        <v>311</v>
      </c>
      <c r="AA191" s="475" t="s">
        <v>23</v>
      </c>
    </row>
    <row r="192" spans="1:27" ht="15" hidden="1">
      <c r="A192" s="24">
        <v>1191</v>
      </c>
      <c r="B192" s="24">
        <v>1191</v>
      </c>
      <c r="C192" s="469" t="s">
        <v>586</v>
      </c>
      <c r="D192" t="s">
        <v>146</v>
      </c>
      <c r="E192" s="470">
        <v>1</v>
      </c>
      <c r="F192" s="471">
        <v>30</v>
      </c>
      <c r="G192">
        <v>1</v>
      </c>
      <c r="H192">
        <v>1</v>
      </c>
      <c r="I192" s="472">
        <f t="shared" si="4"/>
        <v>0.32845968612834514</v>
      </c>
      <c r="J192" s="153">
        <v>3.8473756479098807E-2</v>
      </c>
      <c r="K192" s="153">
        <v>0.39358026214566905</v>
      </c>
      <c r="L192" s="153">
        <v>0.53857526864315253</v>
      </c>
      <c r="M192" s="153">
        <v>0.3432094572454602</v>
      </c>
      <c r="N192" s="472">
        <f t="shared" si="5"/>
        <v>0.32845968612834514</v>
      </c>
      <c r="O192" s="153">
        <v>3.8473756479098807E-2</v>
      </c>
      <c r="P192" s="153">
        <v>0.39358026214566905</v>
      </c>
      <c r="Q192" s="153">
        <v>0.53857526864315253</v>
      </c>
      <c r="R192" s="153">
        <v>0.3432094572454602</v>
      </c>
      <c r="S192" s="153">
        <v>0.03</v>
      </c>
      <c r="T192" s="153">
        <v>0</v>
      </c>
      <c r="U192" s="474">
        <v>2012</v>
      </c>
      <c r="V192">
        <v>2030</v>
      </c>
      <c r="W192">
        <v>0</v>
      </c>
      <c r="X192">
        <v>0</v>
      </c>
      <c r="Y192">
        <v>1304</v>
      </c>
      <c r="Z192">
        <v>311</v>
      </c>
      <c r="AA192" s="475" t="s">
        <v>23</v>
      </c>
    </row>
    <row r="193" spans="1:27" ht="15" hidden="1">
      <c r="A193" s="24">
        <v>1192</v>
      </c>
      <c r="B193" s="24">
        <v>1192</v>
      </c>
      <c r="C193" s="469" t="s">
        <v>587</v>
      </c>
      <c r="D193" t="s">
        <v>146</v>
      </c>
      <c r="E193" s="470">
        <v>1</v>
      </c>
      <c r="F193" s="471">
        <v>0</v>
      </c>
      <c r="G193">
        <v>1</v>
      </c>
      <c r="H193">
        <v>1</v>
      </c>
      <c r="I193" s="472">
        <f t="shared" si="4"/>
        <v>0.32845968612834514</v>
      </c>
      <c r="J193" s="153">
        <v>3.8473756479098807E-2</v>
      </c>
      <c r="K193" s="153">
        <v>0.39358026214566905</v>
      </c>
      <c r="L193" s="153">
        <v>0.53857526864315253</v>
      </c>
      <c r="M193" s="153">
        <v>0.3432094572454602</v>
      </c>
      <c r="N193" s="472">
        <f t="shared" si="5"/>
        <v>0.32845968612834514</v>
      </c>
      <c r="O193" s="153">
        <v>3.8473756479098807E-2</v>
      </c>
      <c r="P193" s="153">
        <v>0.39358026214566905</v>
      </c>
      <c r="Q193" s="153">
        <v>0.53857526864315253</v>
      </c>
      <c r="R193" s="153">
        <v>0.3432094572454602</v>
      </c>
      <c r="S193" s="153">
        <v>0.03</v>
      </c>
      <c r="T193" s="153">
        <v>0</v>
      </c>
      <c r="U193" s="474">
        <v>1900</v>
      </c>
      <c r="V193">
        <v>2030</v>
      </c>
      <c r="W193">
        <v>0</v>
      </c>
      <c r="X193">
        <v>0</v>
      </c>
      <c r="Y193">
        <v>1304</v>
      </c>
      <c r="Z193">
        <v>311</v>
      </c>
      <c r="AA193" s="475" t="s">
        <v>23</v>
      </c>
    </row>
    <row r="194" spans="1:27" ht="15" hidden="1">
      <c r="A194" s="24">
        <v>1193</v>
      </c>
      <c r="B194" s="24">
        <v>1193</v>
      </c>
      <c r="C194" s="469" t="s">
        <v>588</v>
      </c>
      <c r="D194" t="s">
        <v>146</v>
      </c>
      <c r="E194" s="470">
        <v>1</v>
      </c>
      <c r="F194" s="471">
        <v>80</v>
      </c>
      <c r="G194">
        <v>1</v>
      </c>
      <c r="H194">
        <v>1</v>
      </c>
      <c r="I194" s="472">
        <f t="shared" ref="I194:I257" si="6">AVERAGE(J194:M194)</f>
        <v>0.32845968612834514</v>
      </c>
      <c r="J194" s="153">
        <v>3.8473756479098807E-2</v>
      </c>
      <c r="K194" s="153">
        <v>0.39358026214566905</v>
      </c>
      <c r="L194" s="153">
        <v>0.53857526864315253</v>
      </c>
      <c r="M194" s="153">
        <v>0.3432094572454602</v>
      </c>
      <c r="N194" s="472">
        <f t="shared" ref="N194:N257" si="7">AVERAGE(O194:R194)</f>
        <v>0.32845968612834514</v>
      </c>
      <c r="O194" s="153">
        <v>3.8473756479098807E-2</v>
      </c>
      <c r="P194" s="153">
        <v>0.39358026214566905</v>
      </c>
      <c r="Q194" s="153">
        <v>0.53857526864315253</v>
      </c>
      <c r="R194" s="153">
        <v>0.3432094572454602</v>
      </c>
      <c r="S194" s="153">
        <v>0.03</v>
      </c>
      <c r="T194" s="153">
        <v>0</v>
      </c>
      <c r="U194" s="474">
        <v>2008</v>
      </c>
      <c r="V194">
        <v>2023</v>
      </c>
      <c r="W194">
        <v>0</v>
      </c>
      <c r="X194">
        <v>0</v>
      </c>
      <c r="Y194">
        <v>1304</v>
      </c>
      <c r="Z194">
        <v>311</v>
      </c>
      <c r="AA194" s="475" t="s">
        <v>23</v>
      </c>
    </row>
    <row r="195" spans="1:27" ht="15" hidden="1">
      <c r="A195" s="24">
        <v>1194</v>
      </c>
      <c r="B195" s="24">
        <v>1194</v>
      </c>
      <c r="C195" s="469" t="s">
        <v>589</v>
      </c>
      <c r="D195" t="s">
        <v>146</v>
      </c>
      <c r="E195" s="470">
        <v>1</v>
      </c>
      <c r="F195" s="471">
        <v>0</v>
      </c>
      <c r="G195">
        <v>1</v>
      </c>
      <c r="H195">
        <v>1</v>
      </c>
      <c r="I195" s="472">
        <f t="shared" si="6"/>
        <v>0.32845968612834514</v>
      </c>
      <c r="J195" s="153">
        <v>3.8473756479098807E-2</v>
      </c>
      <c r="K195" s="153">
        <v>0.39358026214566905</v>
      </c>
      <c r="L195" s="153">
        <v>0.53857526864315253</v>
      </c>
      <c r="M195" s="153">
        <v>0.3432094572454602</v>
      </c>
      <c r="N195" s="472">
        <f t="shared" si="7"/>
        <v>0.32845968612834514</v>
      </c>
      <c r="O195" s="153">
        <v>3.8473756479098807E-2</v>
      </c>
      <c r="P195" s="153">
        <v>0.39358026214566905</v>
      </c>
      <c r="Q195" s="153">
        <v>0.53857526864315253</v>
      </c>
      <c r="R195" s="153">
        <v>0.3432094572454602</v>
      </c>
      <c r="S195" s="153">
        <v>0.03</v>
      </c>
      <c r="T195" s="153">
        <v>0</v>
      </c>
      <c r="U195" s="474">
        <v>1900</v>
      </c>
      <c r="V195">
        <v>2030</v>
      </c>
      <c r="W195">
        <v>0</v>
      </c>
      <c r="X195">
        <v>0</v>
      </c>
      <c r="Y195">
        <v>1304</v>
      </c>
      <c r="Z195">
        <v>311</v>
      </c>
      <c r="AA195" s="475" t="s">
        <v>23</v>
      </c>
    </row>
    <row r="196" spans="1:27" ht="15" hidden="1">
      <c r="A196" s="24">
        <v>1195</v>
      </c>
      <c r="B196" s="24">
        <v>1195</v>
      </c>
      <c r="C196" s="469" t="s">
        <v>590</v>
      </c>
      <c r="D196" t="s">
        <v>146</v>
      </c>
      <c r="E196" s="470">
        <v>1</v>
      </c>
      <c r="F196" s="471">
        <v>58.4</v>
      </c>
      <c r="G196">
        <v>1</v>
      </c>
      <c r="H196">
        <v>1</v>
      </c>
      <c r="I196" s="472">
        <f t="shared" si="6"/>
        <v>0.32845968612834514</v>
      </c>
      <c r="J196" s="153">
        <v>3.8473756479098807E-2</v>
      </c>
      <c r="K196" s="153">
        <v>0.39358026214566905</v>
      </c>
      <c r="L196" s="153">
        <v>0.53857526864315253</v>
      </c>
      <c r="M196" s="153">
        <v>0.3432094572454602</v>
      </c>
      <c r="N196" s="472">
        <f t="shared" si="7"/>
        <v>0.32845968612834514</v>
      </c>
      <c r="O196" s="153">
        <v>3.8473756479098807E-2</v>
      </c>
      <c r="P196" s="153">
        <v>0.39358026214566905</v>
      </c>
      <c r="Q196" s="153">
        <v>0.53857526864315253</v>
      </c>
      <c r="R196" s="153">
        <v>0.3432094572454602</v>
      </c>
      <c r="S196" s="153">
        <v>0.03</v>
      </c>
      <c r="T196" s="153">
        <v>0</v>
      </c>
      <c r="U196" s="474">
        <v>2002</v>
      </c>
      <c r="V196">
        <v>2023</v>
      </c>
      <c r="W196">
        <v>0</v>
      </c>
      <c r="X196">
        <v>0</v>
      </c>
      <c r="Y196">
        <v>1304</v>
      </c>
      <c r="Z196">
        <v>311</v>
      </c>
      <c r="AA196" s="475" t="s">
        <v>23</v>
      </c>
    </row>
    <row r="197" spans="1:27" ht="15" hidden="1">
      <c r="A197" s="24">
        <v>1196</v>
      </c>
      <c r="B197" s="24">
        <v>1196</v>
      </c>
      <c r="C197" s="469" t="s">
        <v>591</v>
      </c>
      <c r="D197" t="s">
        <v>146</v>
      </c>
      <c r="E197" s="470">
        <v>1</v>
      </c>
      <c r="F197" s="471">
        <v>0</v>
      </c>
      <c r="G197">
        <v>1</v>
      </c>
      <c r="H197">
        <v>1</v>
      </c>
      <c r="I197" s="472">
        <f t="shared" si="6"/>
        <v>0.32845968612834514</v>
      </c>
      <c r="J197" s="153">
        <v>3.8473756479098807E-2</v>
      </c>
      <c r="K197" s="153">
        <v>0.39358026214566905</v>
      </c>
      <c r="L197" s="153">
        <v>0.53857526864315253</v>
      </c>
      <c r="M197" s="153">
        <v>0.3432094572454602</v>
      </c>
      <c r="N197" s="472">
        <f t="shared" si="7"/>
        <v>0.32845968612834514</v>
      </c>
      <c r="O197" s="153">
        <v>3.8473756479098807E-2</v>
      </c>
      <c r="P197" s="153">
        <v>0.39358026214566905</v>
      </c>
      <c r="Q197" s="153">
        <v>0.53857526864315253</v>
      </c>
      <c r="R197" s="153">
        <v>0.3432094572454602</v>
      </c>
      <c r="S197" s="153">
        <v>0.03</v>
      </c>
      <c r="T197" s="153">
        <v>0</v>
      </c>
      <c r="U197" s="474">
        <v>1900</v>
      </c>
      <c r="V197">
        <v>2030</v>
      </c>
      <c r="W197">
        <v>0</v>
      </c>
      <c r="X197">
        <v>0</v>
      </c>
      <c r="Y197">
        <v>1304</v>
      </c>
      <c r="Z197">
        <v>311</v>
      </c>
      <c r="AA197" s="475" t="s">
        <v>23</v>
      </c>
    </row>
    <row r="198" spans="1:27" ht="15" hidden="1">
      <c r="A198" s="24">
        <v>1197</v>
      </c>
      <c r="B198" s="24">
        <v>1197</v>
      </c>
      <c r="C198" s="469" t="s">
        <v>592</v>
      </c>
      <c r="D198" t="s">
        <v>146</v>
      </c>
      <c r="E198" s="470">
        <v>1</v>
      </c>
      <c r="F198" s="471">
        <v>12.549003921568627</v>
      </c>
      <c r="G198">
        <v>1</v>
      </c>
      <c r="H198">
        <v>1</v>
      </c>
      <c r="I198" s="472">
        <f t="shared" si="6"/>
        <v>0.32845968612834514</v>
      </c>
      <c r="J198" s="153">
        <v>3.8473756479098807E-2</v>
      </c>
      <c r="K198" s="153">
        <v>0.39358026214566905</v>
      </c>
      <c r="L198" s="153">
        <v>0.53857526864315253</v>
      </c>
      <c r="M198" s="153">
        <v>0.3432094572454602</v>
      </c>
      <c r="N198" s="472">
        <f t="shared" si="7"/>
        <v>0.32845968612834514</v>
      </c>
      <c r="O198" s="153">
        <v>3.8473756479098807E-2</v>
      </c>
      <c r="P198" s="153">
        <v>0.39358026214566905</v>
      </c>
      <c r="Q198" s="153">
        <v>0.53857526864315253</v>
      </c>
      <c r="R198" s="153">
        <v>0.3432094572454602</v>
      </c>
      <c r="S198" s="153">
        <v>0.03</v>
      </c>
      <c r="T198" s="153">
        <v>0</v>
      </c>
      <c r="U198" s="474">
        <v>2005</v>
      </c>
      <c r="V198">
        <v>2023</v>
      </c>
      <c r="W198">
        <v>0</v>
      </c>
      <c r="X198">
        <v>0</v>
      </c>
      <c r="Y198">
        <v>1304</v>
      </c>
      <c r="Z198">
        <v>311</v>
      </c>
      <c r="AA198" s="475" t="s">
        <v>23</v>
      </c>
    </row>
    <row r="199" spans="1:27" ht="15" hidden="1">
      <c r="A199" s="24">
        <v>1198</v>
      </c>
      <c r="B199" s="24">
        <v>1198</v>
      </c>
      <c r="C199" s="469" t="s">
        <v>593</v>
      </c>
      <c r="D199" t="s">
        <v>146</v>
      </c>
      <c r="E199" s="470">
        <v>1</v>
      </c>
      <c r="F199" s="471">
        <v>27.450996078431373</v>
      </c>
      <c r="G199">
        <v>1</v>
      </c>
      <c r="H199">
        <v>1</v>
      </c>
      <c r="I199" s="472">
        <f t="shared" si="6"/>
        <v>0.32845968612834514</v>
      </c>
      <c r="J199" s="153">
        <v>3.8473756479098807E-2</v>
      </c>
      <c r="K199" s="153">
        <v>0.39358026214566905</v>
      </c>
      <c r="L199" s="153">
        <v>0.53857526864315253</v>
      </c>
      <c r="M199" s="153">
        <v>0.3432094572454602</v>
      </c>
      <c r="N199" s="472">
        <f t="shared" si="7"/>
        <v>0.32845968612834514</v>
      </c>
      <c r="O199" s="153">
        <v>3.8473756479098807E-2</v>
      </c>
      <c r="P199" s="153">
        <v>0.39358026214566905</v>
      </c>
      <c r="Q199" s="153">
        <v>0.53857526864315253</v>
      </c>
      <c r="R199" s="153">
        <v>0.3432094572454602</v>
      </c>
      <c r="S199" s="153">
        <v>0.03</v>
      </c>
      <c r="T199" s="153">
        <v>0</v>
      </c>
      <c r="U199" s="474">
        <v>2010</v>
      </c>
      <c r="V199">
        <v>2023</v>
      </c>
      <c r="W199">
        <v>0</v>
      </c>
      <c r="X199">
        <v>0</v>
      </c>
      <c r="Y199">
        <v>1304</v>
      </c>
      <c r="Z199">
        <v>311</v>
      </c>
      <c r="AA199" s="475" t="s">
        <v>23</v>
      </c>
    </row>
    <row r="200" spans="1:27" ht="15" hidden="1">
      <c r="A200" s="24">
        <v>1199</v>
      </c>
      <c r="B200" s="24">
        <v>1199</v>
      </c>
      <c r="C200" s="469" t="s">
        <v>594</v>
      </c>
      <c r="D200" t="s">
        <v>152</v>
      </c>
      <c r="E200" s="470">
        <v>3</v>
      </c>
      <c r="F200" s="471">
        <v>17</v>
      </c>
      <c r="G200">
        <v>1</v>
      </c>
      <c r="H200">
        <v>1</v>
      </c>
      <c r="I200" s="472">
        <f t="shared" si="6"/>
        <v>0.32845968612834514</v>
      </c>
      <c r="J200" s="153">
        <v>3.8473756479098807E-2</v>
      </c>
      <c r="K200" s="153">
        <v>0.39358026214566905</v>
      </c>
      <c r="L200" s="153">
        <v>0.53857526864315253</v>
      </c>
      <c r="M200" s="153">
        <v>0.3432094572454602</v>
      </c>
      <c r="N200" s="472">
        <f t="shared" si="7"/>
        <v>0.32845968612834514</v>
      </c>
      <c r="O200" s="153">
        <v>3.8473756479098807E-2</v>
      </c>
      <c r="P200" s="153">
        <v>0.39358026214566905</v>
      </c>
      <c r="Q200" s="153">
        <v>0.53857526864315253</v>
      </c>
      <c r="R200" s="153">
        <v>0.3432094572454602</v>
      </c>
      <c r="S200" s="153">
        <v>0.03</v>
      </c>
      <c r="T200" s="153">
        <v>0</v>
      </c>
      <c r="U200" s="474">
        <v>2005</v>
      </c>
      <c r="V200">
        <v>2023</v>
      </c>
      <c r="W200">
        <v>0</v>
      </c>
      <c r="X200">
        <v>0</v>
      </c>
      <c r="Y200">
        <v>1304</v>
      </c>
      <c r="Z200">
        <v>311</v>
      </c>
      <c r="AA200" s="475" t="s">
        <v>23</v>
      </c>
    </row>
    <row r="201" spans="1:27" ht="15" hidden="1">
      <c r="A201" s="24">
        <v>1200</v>
      </c>
      <c r="B201" s="24">
        <v>1200</v>
      </c>
      <c r="C201" s="469" t="s">
        <v>595</v>
      </c>
      <c r="D201" t="s">
        <v>152</v>
      </c>
      <c r="E201" s="470">
        <v>3</v>
      </c>
      <c r="F201" s="471">
        <v>0</v>
      </c>
      <c r="G201">
        <v>1</v>
      </c>
      <c r="H201">
        <v>1</v>
      </c>
      <c r="I201" s="472">
        <f t="shared" si="6"/>
        <v>0.32845968612834514</v>
      </c>
      <c r="J201" s="153">
        <v>3.8473756479098807E-2</v>
      </c>
      <c r="K201" s="153">
        <v>0.39358026214566905</v>
      </c>
      <c r="L201" s="153">
        <v>0.53857526864315253</v>
      </c>
      <c r="M201" s="153">
        <v>0.3432094572454602</v>
      </c>
      <c r="N201" s="472">
        <f t="shared" si="7"/>
        <v>0.32845968612834514</v>
      </c>
      <c r="O201" s="153">
        <v>3.8473756479098807E-2</v>
      </c>
      <c r="P201" s="153">
        <v>0.39358026214566905</v>
      </c>
      <c r="Q201" s="153">
        <v>0.53857526864315253</v>
      </c>
      <c r="R201" s="153">
        <v>0.3432094572454602</v>
      </c>
      <c r="S201" s="153">
        <v>0.03</v>
      </c>
      <c r="T201" s="153">
        <v>0</v>
      </c>
      <c r="U201" s="474">
        <v>1900</v>
      </c>
      <c r="V201">
        <v>2030</v>
      </c>
      <c r="W201">
        <v>0</v>
      </c>
      <c r="X201">
        <v>0</v>
      </c>
      <c r="Y201">
        <v>1304</v>
      </c>
      <c r="Z201">
        <v>311</v>
      </c>
      <c r="AA201" s="475" t="s">
        <v>23</v>
      </c>
    </row>
    <row r="202" spans="1:27" ht="15" hidden="1">
      <c r="A202" s="24">
        <v>1201</v>
      </c>
      <c r="B202" s="24">
        <v>1201</v>
      </c>
      <c r="C202" s="469" t="s">
        <v>596</v>
      </c>
      <c r="D202" t="s">
        <v>146</v>
      </c>
      <c r="E202" s="470">
        <v>1</v>
      </c>
      <c r="F202" s="471">
        <v>62</v>
      </c>
      <c r="G202">
        <v>1</v>
      </c>
      <c r="H202">
        <v>1</v>
      </c>
      <c r="I202" s="472">
        <f t="shared" si="6"/>
        <v>0.32845968612834514</v>
      </c>
      <c r="J202" s="153">
        <v>3.8473756479098807E-2</v>
      </c>
      <c r="K202" s="153">
        <v>0.39358026214566905</v>
      </c>
      <c r="L202" s="153">
        <v>0.53857526864315253</v>
      </c>
      <c r="M202" s="153">
        <v>0.3432094572454602</v>
      </c>
      <c r="N202" s="472">
        <f t="shared" si="7"/>
        <v>0.32845968612834514</v>
      </c>
      <c r="O202" s="153">
        <v>3.8473756479098807E-2</v>
      </c>
      <c r="P202" s="153">
        <v>0.39358026214566905</v>
      </c>
      <c r="Q202" s="153">
        <v>0.53857526864315253</v>
      </c>
      <c r="R202" s="153">
        <v>0.3432094572454602</v>
      </c>
      <c r="S202" s="153">
        <v>0.03</v>
      </c>
      <c r="T202" s="153">
        <v>0</v>
      </c>
      <c r="U202" s="474">
        <v>2007</v>
      </c>
      <c r="V202">
        <v>2030</v>
      </c>
      <c r="W202">
        <v>0</v>
      </c>
      <c r="X202">
        <v>0</v>
      </c>
      <c r="Y202">
        <v>1304</v>
      </c>
      <c r="Z202">
        <v>311</v>
      </c>
      <c r="AA202" s="475" t="s">
        <v>23</v>
      </c>
    </row>
    <row r="203" spans="1:27" ht="15" hidden="1">
      <c r="A203" s="24">
        <v>1202</v>
      </c>
      <c r="B203" s="24">
        <v>1202</v>
      </c>
      <c r="C203" s="469" t="s">
        <v>597</v>
      </c>
      <c r="D203" t="s">
        <v>146</v>
      </c>
      <c r="E203" s="470">
        <v>1</v>
      </c>
      <c r="F203" s="471">
        <v>0</v>
      </c>
      <c r="G203">
        <v>1</v>
      </c>
      <c r="H203">
        <v>1</v>
      </c>
      <c r="I203" s="472">
        <f t="shared" si="6"/>
        <v>0.32845968612834514</v>
      </c>
      <c r="J203" s="153">
        <v>3.8473756479098807E-2</v>
      </c>
      <c r="K203" s="153">
        <v>0.39358026214566905</v>
      </c>
      <c r="L203" s="153">
        <v>0.53857526864315253</v>
      </c>
      <c r="M203" s="153">
        <v>0.3432094572454602</v>
      </c>
      <c r="N203" s="472">
        <f t="shared" si="7"/>
        <v>0.32845968612834514</v>
      </c>
      <c r="O203" s="153">
        <v>3.8473756479098807E-2</v>
      </c>
      <c r="P203" s="153">
        <v>0.39358026214566905</v>
      </c>
      <c r="Q203" s="153">
        <v>0.53857526864315253</v>
      </c>
      <c r="R203" s="153">
        <v>0.3432094572454602</v>
      </c>
      <c r="S203" s="153">
        <v>0.03</v>
      </c>
      <c r="T203" s="153">
        <v>0</v>
      </c>
      <c r="U203" s="474">
        <v>2007</v>
      </c>
      <c r="V203">
        <v>2030</v>
      </c>
      <c r="W203">
        <v>0</v>
      </c>
      <c r="X203">
        <v>0</v>
      </c>
      <c r="Y203">
        <v>1304</v>
      </c>
      <c r="Z203">
        <v>311</v>
      </c>
      <c r="AA203" s="475" t="s">
        <v>23</v>
      </c>
    </row>
    <row r="204" spans="1:27" ht="15" hidden="1">
      <c r="A204" s="24">
        <v>1203</v>
      </c>
      <c r="B204" s="24">
        <v>1203</v>
      </c>
      <c r="C204" s="469" t="s">
        <v>598</v>
      </c>
      <c r="D204" t="s">
        <v>146</v>
      </c>
      <c r="E204" s="470">
        <v>1</v>
      </c>
      <c r="F204" s="471">
        <v>31.922347866379305</v>
      </c>
      <c r="G204">
        <v>1</v>
      </c>
      <c r="H204">
        <v>1</v>
      </c>
      <c r="I204" s="472">
        <f t="shared" si="6"/>
        <v>0.32845968612834514</v>
      </c>
      <c r="J204" s="153">
        <v>3.8473756479098807E-2</v>
      </c>
      <c r="K204" s="153">
        <v>0.39358026214566905</v>
      </c>
      <c r="L204" s="153">
        <v>0.53857526864315253</v>
      </c>
      <c r="M204" s="153">
        <v>0.3432094572454602</v>
      </c>
      <c r="N204" s="472">
        <f t="shared" si="7"/>
        <v>0.32845968612834514</v>
      </c>
      <c r="O204" s="153">
        <v>3.8473756479098807E-2</v>
      </c>
      <c r="P204" s="153">
        <v>0.39358026214566905</v>
      </c>
      <c r="Q204" s="153">
        <v>0.53857526864315253</v>
      </c>
      <c r="R204" s="153">
        <v>0.3432094572454602</v>
      </c>
      <c r="S204" s="153">
        <v>0.03</v>
      </c>
      <c r="T204" s="153">
        <v>0</v>
      </c>
      <c r="U204" s="474">
        <v>2005</v>
      </c>
      <c r="V204">
        <v>2023</v>
      </c>
      <c r="W204">
        <v>0</v>
      </c>
      <c r="X204">
        <v>0</v>
      </c>
      <c r="Y204">
        <v>1304</v>
      </c>
      <c r="Z204">
        <v>311</v>
      </c>
      <c r="AA204" s="475" t="s">
        <v>23</v>
      </c>
    </row>
    <row r="205" spans="1:27" ht="15" hidden="1">
      <c r="A205" s="24">
        <v>1204</v>
      </c>
      <c r="B205" s="24">
        <v>1204</v>
      </c>
      <c r="C205" s="469" t="s">
        <v>599</v>
      </c>
      <c r="D205" t="s">
        <v>146</v>
      </c>
      <c r="E205" s="470">
        <v>1</v>
      </c>
      <c r="F205" s="471">
        <v>48.577652133620695</v>
      </c>
      <c r="G205">
        <v>1</v>
      </c>
      <c r="H205">
        <v>1</v>
      </c>
      <c r="I205" s="472">
        <f t="shared" si="6"/>
        <v>0.32845968612834514</v>
      </c>
      <c r="J205" s="153">
        <v>3.8473756479098807E-2</v>
      </c>
      <c r="K205" s="153">
        <v>0.39358026214566905</v>
      </c>
      <c r="L205" s="153">
        <v>0.53857526864315253</v>
      </c>
      <c r="M205" s="153">
        <v>0.3432094572454602</v>
      </c>
      <c r="N205" s="472">
        <f t="shared" si="7"/>
        <v>0.32845968612834514</v>
      </c>
      <c r="O205" s="153">
        <v>3.8473756479098807E-2</v>
      </c>
      <c r="P205" s="153">
        <v>0.39358026214566905</v>
      </c>
      <c r="Q205" s="153">
        <v>0.53857526864315253</v>
      </c>
      <c r="R205" s="153">
        <v>0.3432094572454602</v>
      </c>
      <c r="S205" s="153">
        <v>0.03</v>
      </c>
      <c r="T205" s="153">
        <v>0</v>
      </c>
      <c r="U205" s="474">
        <v>2011</v>
      </c>
      <c r="V205">
        <v>2030</v>
      </c>
      <c r="W205">
        <v>0</v>
      </c>
      <c r="X205">
        <v>0</v>
      </c>
      <c r="Y205">
        <v>1304</v>
      </c>
      <c r="Z205">
        <v>311</v>
      </c>
      <c r="AA205" s="475" t="s">
        <v>23</v>
      </c>
    </row>
    <row r="206" spans="1:27" ht="15" hidden="1">
      <c r="A206" s="24">
        <v>1205</v>
      </c>
      <c r="B206" s="24">
        <v>1205</v>
      </c>
      <c r="C206" s="469" t="s">
        <v>600</v>
      </c>
      <c r="D206" t="s">
        <v>154</v>
      </c>
      <c r="E206" s="470">
        <v>4</v>
      </c>
      <c r="F206" s="471">
        <v>20</v>
      </c>
      <c r="G206">
        <v>1</v>
      </c>
      <c r="H206">
        <v>1</v>
      </c>
      <c r="I206" s="472">
        <f t="shared" si="6"/>
        <v>0.32845968612834514</v>
      </c>
      <c r="J206" s="153">
        <v>3.8473756479098807E-2</v>
      </c>
      <c r="K206" s="153">
        <v>0.39358026214566905</v>
      </c>
      <c r="L206" s="153">
        <v>0.53857526864315253</v>
      </c>
      <c r="M206" s="153">
        <v>0.3432094572454602</v>
      </c>
      <c r="N206" s="472">
        <f t="shared" si="7"/>
        <v>0.32845968612834514</v>
      </c>
      <c r="O206" s="153">
        <v>3.8473756479098807E-2</v>
      </c>
      <c r="P206" s="153">
        <v>0.39358026214566905</v>
      </c>
      <c r="Q206" s="153">
        <v>0.53857526864315253</v>
      </c>
      <c r="R206" s="153">
        <v>0.3432094572454602</v>
      </c>
      <c r="S206" s="153">
        <v>0.03</v>
      </c>
      <c r="T206" s="153">
        <v>0</v>
      </c>
      <c r="U206" s="474">
        <v>2005</v>
      </c>
      <c r="V206">
        <v>2023</v>
      </c>
      <c r="W206">
        <v>0</v>
      </c>
      <c r="X206">
        <v>0</v>
      </c>
      <c r="Y206">
        <v>1304</v>
      </c>
      <c r="Z206">
        <v>311</v>
      </c>
      <c r="AA206" s="475" t="s">
        <v>23</v>
      </c>
    </row>
    <row r="207" spans="1:27" ht="15" hidden="1">
      <c r="A207" s="24">
        <v>1206</v>
      </c>
      <c r="B207" s="24">
        <v>1206</v>
      </c>
      <c r="C207" s="469" t="s">
        <v>601</v>
      </c>
      <c r="D207" t="s">
        <v>154</v>
      </c>
      <c r="E207" s="470">
        <v>4</v>
      </c>
      <c r="F207" s="471">
        <v>0</v>
      </c>
      <c r="G207">
        <v>1</v>
      </c>
      <c r="H207">
        <v>1</v>
      </c>
      <c r="I207" s="472">
        <f t="shared" si="6"/>
        <v>0.32845968612834514</v>
      </c>
      <c r="J207" s="153">
        <v>3.8473756479098807E-2</v>
      </c>
      <c r="K207" s="153">
        <v>0.39358026214566905</v>
      </c>
      <c r="L207" s="153">
        <v>0.53857526864315253</v>
      </c>
      <c r="M207" s="153">
        <v>0.3432094572454602</v>
      </c>
      <c r="N207" s="472">
        <f t="shared" si="7"/>
        <v>0.32845968612834514</v>
      </c>
      <c r="O207" s="153">
        <v>3.8473756479098807E-2</v>
      </c>
      <c r="P207" s="153">
        <v>0.39358026214566905</v>
      </c>
      <c r="Q207" s="153">
        <v>0.53857526864315253</v>
      </c>
      <c r="R207" s="153">
        <v>0.3432094572454602</v>
      </c>
      <c r="S207" s="153">
        <v>0.03</v>
      </c>
      <c r="T207" s="153">
        <v>0</v>
      </c>
      <c r="U207" s="474">
        <v>1900</v>
      </c>
      <c r="V207">
        <v>2030</v>
      </c>
      <c r="W207">
        <v>0</v>
      </c>
      <c r="X207">
        <v>0</v>
      </c>
      <c r="Y207">
        <v>1304</v>
      </c>
      <c r="Z207">
        <v>311</v>
      </c>
      <c r="AA207" s="475" t="s">
        <v>23</v>
      </c>
    </row>
    <row r="208" spans="1:27" ht="15" hidden="1">
      <c r="A208" s="24">
        <v>1207</v>
      </c>
      <c r="B208" s="24">
        <v>1207</v>
      </c>
      <c r="C208" s="469" t="s">
        <v>602</v>
      </c>
      <c r="D208" t="s">
        <v>146</v>
      </c>
      <c r="E208" s="470">
        <v>1</v>
      </c>
      <c r="F208" s="471">
        <v>16.091999999999999</v>
      </c>
      <c r="G208">
        <v>1</v>
      </c>
      <c r="H208">
        <v>1</v>
      </c>
      <c r="I208" s="472">
        <f t="shared" si="6"/>
        <v>0.32845968612834514</v>
      </c>
      <c r="J208" s="153">
        <v>3.8473756479098807E-2</v>
      </c>
      <c r="K208" s="153">
        <v>0.39358026214566905</v>
      </c>
      <c r="L208" s="153">
        <v>0.53857526864315253</v>
      </c>
      <c r="M208" s="153">
        <v>0.3432094572454602</v>
      </c>
      <c r="N208" s="472">
        <f t="shared" si="7"/>
        <v>0.32845968612834514</v>
      </c>
      <c r="O208" s="153">
        <v>3.8473756479098807E-2</v>
      </c>
      <c r="P208" s="153">
        <v>0.39358026214566905</v>
      </c>
      <c r="Q208" s="153">
        <v>0.53857526864315253</v>
      </c>
      <c r="R208" s="153">
        <v>0.3432094572454602</v>
      </c>
      <c r="S208" s="153">
        <v>0.03</v>
      </c>
      <c r="T208" s="153">
        <v>0</v>
      </c>
      <c r="U208" s="474">
        <v>2005</v>
      </c>
      <c r="V208">
        <v>2023</v>
      </c>
      <c r="W208">
        <v>0</v>
      </c>
      <c r="X208">
        <v>0</v>
      </c>
      <c r="Y208">
        <v>1304</v>
      </c>
      <c r="Z208">
        <v>311</v>
      </c>
      <c r="AA208" s="475" t="s">
        <v>23</v>
      </c>
    </row>
    <row r="209" spans="1:27" ht="15" hidden="1">
      <c r="A209" s="24">
        <v>1208</v>
      </c>
      <c r="B209" s="24">
        <v>1208</v>
      </c>
      <c r="C209" s="469" t="s">
        <v>603</v>
      </c>
      <c r="D209" t="s">
        <v>146</v>
      </c>
      <c r="E209" s="470">
        <v>1</v>
      </c>
      <c r="F209" s="471">
        <v>0</v>
      </c>
      <c r="G209">
        <v>1</v>
      </c>
      <c r="H209">
        <v>1</v>
      </c>
      <c r="I209" s="472">
        <f t="shared" si="6"/>
        <v>0.32845968612834514</v>
      </c>
      <c r="J209" s="153">
        <v>3.8473756479098807E-2</v>
      </c>
      <c r="K209" s="153">
        <v>0.39358026214566905</v>
      </c>
      <c r="L209" s="153">
        <v>0.53857526864315253</v>
      </c>
      <c r="M209" s="153">
        <v>0.3432094572454602</v>
      </c>
      <c r="N209" s="472">
        <f t="shared" si="7"/>
        <v>0.32845968612834514</v>
      </c>
      <c r="O209" s="153">
        <v>3.8473756479098807E-2</v>
      </c>
      <c r="P209" s="153">
        <v>0.39358026214566905</v>
      </c>
      <c r="Q209" s="153">
        <v>0.53857526864315253</v>
      </c>
      <c r="R209" s="153">
        <v>0.3432094572454602</v>
      </c>
      <c r="S209" s="153">
        <v>0.03</v>
      </c>
      <c r="T209" s="153">
        <v>0</v>
      </c>
      <c r="U209" s="474">
        <v>1900</v>
      </c>
      <c r="V209">
        <v>2030</v>
      </c>
      <c r="W209">
        <v>0</v>
      </c>
      <c r="X209">
        <v>0</v>
      </c>
      <c r="Y209">
        <v>1304</v>
      </c>
      <c r="Z209">
        <v>311</v>
      </c>
      <c r="AA209" s="475" t="s">
        <v>23</v>
      </c>
    </row>
    <row r="210" spans="1:27" ht="15" hidden="1">
      <c r="A210" s="24">
        <v>1209</v>
      </c>
      <c r="B210" s="24">
        <v>1209</v>
      </c>
      <c r="C210" s="469" t="s">
        <v>604</v>
      </c>
      <c r="D210" t="s">
        <v>146</v>
      </c>
      <c r="E210" s="470">
        <v>1</v>
      </c>
      <c r="F210" s="471">
        <v>30</v>
      </c>
      <c r="G210">
        <v>1</v>
      </c>
      <c r="H210">
        <v>1</v>
      </c>
      <c r="I210" s="472">
        <f t="shared" si="6"/>
        <v>0.32845968612834514</v>
      </c>
      <c r="J210" s="153">
        <v>3.8473756479098807E-2</v>
      </c>
      <c r="K210" s="153">
        <v>0.39358026214566905</v>
      </c>
      <c r="L210" s="153">
        <v>0.53857526864315253</v>
      </c>
      <c r="M210" s="153">
        <v>0.3432094572454602</v>
      </c>
      <c r="N210" s="472">
        <f t="shared" si="7"/>
        <v>0.32845968612834514</v>
      </c>
      <c r="O210" s="153">
        <v>3.8473756479098807E-2</v>
      </c>
      <c r="P210" s="153">
        <v>0.39358026214566905</v>
      </c>
      <c r="Q210" s="153">
        <v>0.53857526864315253</v>
      </c>
      <c r="R210" s="153">
        <v>0.3432094572454602</v>
      </c>
      <c r="S210" s="153">
        <v>0.03</v>
      </c>
      <c r="T210" s="153">
        <v>0</v>
      </c>
      <c r="U210" s="474">
        <v>2014</v>
      </c>
      <c r="V210">
        <v>2030</v>
      </c>
      <c r="W210">
        <v>0</v>
      </c>
      <c r="X210">
        <v>0</v>
      </c>
      <c r="Y210">
        <v>1304</v>
      </c>
      <c r="Z210">
        <v>311</v>
      </c>
      <c r="AA210" s="475" t="s">
        <v>23</v>
      </c>
    </row>
    <row r="211" spans="1:27" ht="15" hidden="1">
      <c r="A211" s="24">
        <v>1210</v>
      </c>
      <c r="B211" s="24">
        <v>1210</v>
      </c>
      <c r="C211" s="469" t="s">
        <v>605</v>
      </c>
      <c r="D211" t="s">
        <v>146</v>
      </c>
      <c r="E211" s="470">
        <v>1</v>
      </c>
      <c r="F211" s="471">
        <v>0</v>
      </c>
      <c r="G211">
        <v>1</v>
      </c>
      <c r="H211">
        <v>1</v>
      </c>
      <c r="I211" s="472">
        <f t="shared" si="6"/>
        <v>0.32845968612834514</v>
      </c>
      <c r="J211" s="153">
        <v>3.8473756479098807E-2</v>
      </c>
      <c r="K211" s="153">
        <v>0.39358026214566905</v>
      </c>
      <c r="L211" s="153">
        <v>0.53857526864315253</v>
      </c>
      <c r="M211" s="153">
        <v>0.3432094572454602</v>
      </c>
      <c r="N211" s="472">
        <f t="shared" si="7"/>
        <v>0.32845968612834514</v>
      </c>
      <c r="O211" s="153">
        <v>3.8473756479098807E-2</v>
      </c>
      <c r="P211" s="153">
        <v>0.39358026214566905</v>
      </c>
      <c r="Q211" s="153">
        <v>0.53857526864315253</v>
      </c>
      <c r="R211" s="153">
        <v>0.3432094572454602</v>
      </c>
      <c r="S211" s="153">
        <v>0.03</v>
      </c>
      <c r="T211" s="153">
        <v>0</v>
      </c>
      <c r="U211" s="474">
        <v>1900</v>
      </c>
      <c r="V211">
        <v>2030</v>
      </c>
      <c r="W211">
        <v>0</v>
      </c>
      <c r="X211">
        <v>0</v>
      </c>
      <c r="Y211">
        <v>1304</v>
      </c>
      <c r="Z211">
        <v>311</v>
      </c>
      <c r="AA211" s="475" t="s">
        <v>23</v>
      </c>
    </row>
    <row r="212" spans="1:27" ht="15" hidden="1">
      <c r="A212" s="24">
        <v>1211</v>
      </c>
      <c r="B212" s="24">
        <v>1211</v>
      </c>
      <c r="C212" s="469" t="s">
        <v>606</v>
      </c>
      <c r="D212" t="s">
        <v>152</v>
      </c>
      <c r="E212" s="470">
        <v>3</v>
      </c>
      <c r="F212" s="471">
        <v>5</v>
      </c>
      <c r="G212">
        <v>1</v>
      </c>
      <c r="H212">
        <v>1</v>
      </c>
      <c r="I212" s="472">
        <f t="shared" si="6"/>
        <v>0.32845968612834514</v>
      </c>
      <c r="J212" s="153">
        <v>3.8473756479098807E-2</v>
      </c>
      <c r="K212" s="153">
        <v>0.39358026214566905</v>
      </c>
      <c r="L212" s="153">
        <v>0.53857526864315253</v>
      </c>
      <c r="M212" s="153">
        <v>0.3432094572454602</v>
      </c>
      <c r="N212" s="472">
        <f t="shared" si="7"/>
        <v>0.32845968612834514</v>
      </c>
      <c r="O212" s="153">
        <v>3.8473756479098807E-2</v>
      </c>
      <c r="P212" s="153">
        <v>0.39358026214566905</v>
      </c>
      <c r="Q212" s="153">
        <v>0.53857526864315253</v>
      </c>
      <c r="R212" s="153">
        <v>0.3432094572454602</v>
      </c>
      <c r="S212" s="153">
        <v>0.03</v>
      </c>
      <c r="T212" s="153">
        <v>0</v>
      </c>
      <c r="U212" s="474">
        <v>2010</v>
      </c>
      <c r="V212">
        <v>2023</v>
      </c>
      <c r="W212">
        <v>0</v>
      </c>
      <c r="X212">
        <v>0</v>
      </c>
      <c r="Y212">
        <v>1304</v>
      </c>
      <c r="Z212">
        <v>311</v>
      </c>
      <c r="AA212" s="475" t="s">
        <v>23</v>
      </c>
    </row>
    <row r="213" spans="1:27" ht="15" hidden="1">
      <c r="A213" s="24">
        <v>1212</v>
      </c>
      <c r="B213" s="24">
        <v>1212</v>
      </c>
      <c r="C213" s="469" t="s">
        <v>607</v>
      </c>
      <c r="D213" t="s">
        <v>152</v>
      </c>
      <c r="E213" s="470">
        <v>3</v>
      </c>
      <c r="F213" s="471">
        <v>0</v>
      </c>
      <c r="G213">
        <v>1</v>
      </c>
      <c r="H213">
        <v>1</v>
      </c>
      <c r="I213" s="472">
        <f t="shared" si="6"/>
        <v>0.32845968612834514</v>
      </c>
      <c r="J213" s="153">
        <v>3.8473756479098807E-2</v>
      </c>
      <c r="K213" s="153">
        <v>0.39358026214566905</v>
      </c>
      <c r="L213" s="153">
        <v>0.53857526864315253</v>
      </c>
      <c r="M213" s="153">
        <v>0.3432094572454602</v>
      </c>
      <c r="N213" s="472">
        <f t="shared" si="7"/>
        <v>0.32845968612834514</v>
      </c>
      <c r="O213" s="153">
        <v>3.8473756479098807E-2</v>
      </c>
      <c r="P213" s="153">
        <v>0.39358026214566905</v>
      </c>
      <c r="Q213" s="153">
        <v>0.53857526864315253</v>
      </c>
      <c r="R213" s="153">
        <v>0.3432094572454602</v>
      </c>
      <c r="S213" s="153">
        <v>0.03</v>
      </c>
      <c r="T213" s="153">
        <v>0</v>
      </c>
      <c r="U213" s="474">
        <v>1900</v>
      </c>
      <c r="V213">
        <v>2030</v>
      </c>
      <c r="W213">
        <v>0</v>
      </c>
      <c r="X213">
        <v>0</v>
      </c>
      <c r="Y213">
        <v>1304</v>
      </c>
      <c r="Z213">
        <v>311</v>
      </c>
      <c r="AA213" s="475" t="s">
        <v>23</v>
      </c>
    </row>
    <row r="214" spans="1:27" ht="15" hidden="1">
      <c r="A214" s="24">
        <v>1213</v>
      </c>
      <c r="B214" s="24">
        <v>1213</v>
      </c>
      <c r="C214" s="469" t="s">
        <v>608</v>
      </c>
      <c r="D214" t="s">
        <v>146</v>
      </c>
      <c r="E214" s="470">
        <v>1</v>
      </c>
      <c r="F214" s="471">
        <v>11.5</v>
      </c>
      <c r="G214">
        <v>1</v>
      </c>
      <c r="H214">
        <v>1</v>
      </c>
      <c r="I214" s="472">
        <f t="shared" si="6"/>
        <v>0.32845968612834514</v>
      </c>
      <c r="J214" s="153">
        <v>3.8473756479098807E-2</v>
      </c>
      <c r="K214" s="153">
        <v>0.39358026214566905</v>
      </c>
      <c r="L214" s="153">
        <v>0.53857526864315253</v>
      </c>
      <c r="M214" s="153">
        <v>0.3432094572454602</v>
      </c>
      <c r="N214" s="472">
        <f t="shared" si="7"/>
        <v>0.32845968612834514</v>
      </c>
      <c r="O214" s="153">
        <v>3.8473756479098807E-2</v>
      </c>
      <c r="P214" s="153">
        <v>0.39358026214566905</v>
      </c>
      <c r="Q214" s="153">
        <v>0.53857526864315253</v>
      </c>
      <c r="R214" s="153">
        <v>0.3432094572454602</v>
      </c>
      <c r="S214" s="153">
        <v>0.03</v>
      </c>
      <c r="T214" s="153">
        <v>0</v>
      </c>
      <c r="U214" s="474">
        <v>2005</v>
      </c>
      <c r="V214">
        <v>2023</v>
      </c>
      <c r="W214">
        <v>0</v>
      </c>
      <c r="X214">
        <v>0</v>
      </c>
      <c r="Y214">
        <v>1304</v>
      </c>
      <c r="Z214">
        <v>311</v>
      </c>
      <c r="AA214" s="475" t="s">
        <v>23</v>
      </c>
    </row>
    <row r="215" spans="1:27" ht="15" hidden="1">
      <c r="A215" s="24">
        <v>1214</v>
      </c>
      <c r="B215" s="24">
        <v>1214</v>
      </c>
      <c r="C215" s="469" t="s">
        <v>609</v>
      </c>
      <c r="D215" t="s">
        <v>146</v>
      </c>
      <c r="E215" s="470">
        <v>1</v>
      </c>
      <c r="F215" s="471">
        <v>0</v>
      </c>
      <c r="G215">
        <v>1</v>
      </c>
      <c r="H215">
        <v>1</v>
      </c>
      <c r="I215" s="472">
        <f t="shared" si="6"/>
        <v>0.32845968612834514</v>
      </c>
      <c r="J215" s="153">
        <v>3.8473756479098807E-2</v>
      </c>
      <c r="K215" s="153">
        <v>0.39358026214566905</v>
      </c>
      <c r="L215" s="153">
        <v>0.53857526864315253</v>
      </c>
      <c r="M215" s="153">
        <v>0.3432094572454602</v>
      </c>
      <c r="N215" s="472">
        <f t="shared" si="7"/>
        <v>0.32845968612834514</v>
      </c>
      <c r="O215" s="153">
        <v>3.8473756479098807E-2</v>
      </c>
      <c r="P215" s="153">
        <v>0.39358026214566905</v>
      </c>
      <c r="Q215" s="153">
        <v>0.53857526864315253</v>
      </c>
      <c r="R215" s="153">
        <v>0.3432094572454602</v>
      </c>
      <c r="S215" s="153">
        <v>0.03</v>
      </c>
      <c r="T215" s="153">
        <v>0</v>
      </c>
      <c r="U215" s="474">
        <v>1900</v>
      </c>
      <c r="V215">
        <v>2030</v>
      </c>
      <c r="W215">
        <v>0</v>
      </c>
      <c r="X215">
        <v>0</v>
      </c>
      <c r="Y215">
        <v>1304</v>
      </c>
      <c r="Z215">
        <v>311</v>
      </c>
      <c r="AA215" s="475" t="s">
        <v>23</v>
      </c>
    </row>
    <row r="216" spans="1:27" ht="15" hidden="1">
      <c r="A216" s="24">
        <v>1215</v>
      </c>
      <c r="B216" s="24">
        <v>1215</v>
      </c>
      <c r="C216" s="469" t="s">
        <v>610</v>
      </c>
      <c r="D216" t="s">
        <v>146</v>
      </c>
      <c r="E216" s="470">
        <v>1</v>
      </c>
      <c r="F216" s="471">
        <v>82</v>
      </c>
      <c r="G216">
        <v>1</v>
      </c>
      <c r="H216">
        <v>1</v>
      </c>
      <c r="I216" s="472">
        <f t="shared" si="6"/>
        <v>0.32845968612834514</v>
      </c>
      <c r="J216" s="153">
        <v>3.8473756479098807E-2</v>
      </c>
      <c r="K216" s="153">
        <v>0.39358026214566905</v>
      </c>
      <c r="L216" s="153">
        <v>0.53857526864315253</v>
      </c>
      <c r="M216" s="153">
        <v>0.3432094572454602</v>
      </c>
      <c r="N216" s="472">
        <f t="shared" si="7"/>
        <v>0.32845968612834514</v>
      </c>
      <c r="O216" s="153">
        <v>3.8473756479098807E-2</v>
      </c>
      <c r="P216" s="153">
        <v>0.39358026214566905</v>
      </c>
      <c r="Q216" s="153">
        <v>0.53857526864315253</v>
      </c>
      <c r="R216" s="153">
        <v>0.3432094572454602</v>
      </c>
      <c r="S216" s="153">
        <v>0.03</v>
      </c>
      <c r="T216" s="153">
        <v>0</v>
      </c>
      <c r="U216" s="474">
        <v>2005</v>
      </c>
      <c r="V216">
        <v>2023</v>
      </c>
      <c r="W216">
        <v>0</v>
      </c>
      <c r="X216">
        <v>0</v>
      </c>
      <c r="Y216">
        <v>1304</v>
      </c>
      <c r="Z216">
        <v>311</v>
      </c>
      <c r="AA216" s="475" t="s">
        <v>23</v>
      </c>
    </row>
    <row r="217" spans="1:27" ht="15" hidden="1">
      <c r="A217" s="24">
        <v>1216</v>
      </c>
      <c r="B217" s="24">
        <v>1216</v>
      </c>
      <c r="C217" s="469" t="s">
        <v>611</v>
      </c>
      <c r="D217" t="s">
        <v>146</v>
      </c>
      <c r="E217" s="470">
        <v>1</v>
      </c>
      <c r="F217" s="471">
        <v>0</v>
      </c>
      <c r="G217">
        <v>1</v>
      </c>
      <c r="H217">
        <v>1</v>
      </c>
      <c r="I217" s="472">
        <f t="shared" si="6"/>
        <v>0.32845968612834514</v>
      </c>
      <c r="J217" s="153">
        <v>3.8473756479098807E-2</v>
      </c>
      <c r="K217" s="153">
        <v>0.39358026214566905</v>
      </c>
      <c r="L217" s="153">
        <v>0.53857526864315253</v>
      </c>
      <c r="M217" s="153">
        <v>0.3432094572454602</v>
      </c>
      <c r="N217" s="472">
        <f t="shared" si="7"/>
        <v>0.32845968612834514</v>
      </c>
      <c r="O217" s="153">
        <v>3.8473756479098807E-2</v>
      </c>
      <c r="P217" s="153">
        <v>0.39358026214566905</v>
      </c>
      <c r="Q217" s="153">
        <v>0.53857526864315253</v>
      </c>
      <c r="R217" s="153">
        <v>0.3432094572454602</v>
      </c>
      <c r="S217" s="153">
        <v>0.03</v>
      </c>
      <c r="T217" s="153">
        <v>0</v>
      </c>
      <c r="U217" s="474">
        <v>1900</v>
      </c>
      <c r="V217">
        <v>2030</v>
      </c>
      <c r="W217">
        <v>0</v>
      </c>
      <c r="X217">
        <v>0</v>
      </c>
      <c r="Y217">
        <v>1304</v>
      </c>
      <c r="Z217">
        <v>311</v>
      </c>
      <c r="AA217" s="475" t="s">
        <v>23</v>
      </c>
    </row>
    <row r="218" spans="1:27" ht="15" hidden="1">
      <c r="A218" s="24">
        <v>1217</v>
      </c>
      <c r="B218" s="24">
        <v>1217</v>
      </c>
      <c r="C218" s="469" t="s">
        <v>612</v>
      </c>
      <c r="D218" t="s">
        <v>149</v>
      </c>
      <c r="E218" s="470">
        <v>2</v>
      </c>
      <c r="F218" s="471">
        <v>5</v>
      </c>
      <c r="G218">
        <v>1</v>
      </c>
      <c r="H218">
        <v>1</v>
      </c>
      <c r="I218" s="472">
        <f t="shared" si="6"/>
        <v>0.32845968612834514</v>
      </c>
      <c r="J218" s="153">
        <v>3.8473756479098807E-2</v>
      </c>
      <c r="K218" s="153">
        <v>0.39358026214566905</v>
      </c>
      <c r="L218" s="153">
        <v>0.53857526864315253</v>
      </c>
      <c r="M218" s="153">
        <v>0.3432094572454602</v>
      </c>
      <c r="N218" s="472">
        <f t="shared" si="7"/>
        <v>0.32845968612834514</v>
      </c>
      <c r="O218" s="153">
        <v>3.8473756479098807E-2</v>
      </c>
      <c r="P218" s="153">
        <v>0.39358026214566905</v>
      </c>
      <c r="Q218" s="153">
        <v>0.53857526864315253</v>
      </c>
      <c r="R218" s="153">
        <v>0.3432094572454602</v>
      </c>
      <c r="S218" s="153">
        <v>0.03</v>
      </c>
      <c r="T218" s="153">
        <v>0</v>
      </c>
      <c r="U218" s="474">
        <v>1900</v>
      </c>
      <c r="V218">
        <v>2030</v>
      </c>
      <c r="W218">
        <v>0</v>
      </c>
      <c r="X218">
        <v>0</v>
      </c>
      <c r="Y218">
        <v>1304</v>
      </c>
      <c r="Z218">
        <v>311</v>
      </c>
      <c r="AA218" s="475" t="s">
        <v>23</v>
      </c>
    </row>
    <row r="219" spans="1:27" ht="15" hidden="1">
      <c r="A219" s="24">
        <v>1218</v>
      </c>
      <c r="B219" s="24">
        <v>1218</v>
      </c>
      <c r="C219" s="469" t="s">
        <v>613</v>
      </c>
      <c r="D219" t="s">
        <v>149</v>
      </c>
      <c r="E219" s="470">
        <v>2</v>
      </c>
      <c r="F219" s="471">
        <v>0</v>
      </c>
      <c r="G219">
        <v>1</v>
      </c>
      <c r="H219">
        <v>1</v>
      </c>
      <c r="I219" s="472">
        <f t="shared" si="6"/>
        <v>0.32845968612834514</v>
      </c>
      <c r="J219" s="153">
        <v>3.8473756479098807E-2</v>
      </c>
      <c r="K219" s="153">
        <v>0.39358026214566905</v>
      </c>
      <c r="L219" s="153">
        <v>0.53857526864315253</v>
      </c>
      <c r="M219" s="153">
        <v>0.3432094572454602</v>
      </c>
      <c r="N219" s="472">
        <f t="shared" si="7"/>
        <v>0.32845968612834514</v>
      </c>
      <c r="O219" s="153">
        <v>3.8473756479098807E-2</v>
      </c>
      <c r="P219" s="153">
        <v>0.39358026214566905</v>
      </c>
      <c r="Q219" s="153">
        <v>0.53857526864315253</v>
      </c>
      <c r="R219" s="153">
        <v>0.3432094572454602</v>
      </c>
      <c r="S219" s="153">
        <v>0.03</v>
      </c>
      <c r="T219" s="153">
        <v>0</v>
      </c>
      <c r="U219" s="474">
        <v>1900</v>
      </c>
      <c r="V219">
        <v>2030</v>
      </c>
      <c r="W219">
        <v>0</v>
      </c>
      <c r="X219">
        <v>0</v>
      </c>
      <c r="Y219">
        <v>1304</v>
      </c>
      <c r="Z219">
        <v>311</v>
      </c>
      <c r="AA219" s="475" t="s">
        <v>23</v>
      </c>
    </row>
    <row r="220" spans="1:27" ht="15" hidden="1">
      <c r="A220" s="24">
        <v>1219</v>
      </c>
      <c r="B220" s="24">
        <v>1219</v>
      </c>
      <c r="C220" s="469" t="s">
        <v>614</v>
      </c>
      <c r="D220" t="s">
        <v>149</v>
      </c>
      <c r="E220" s="470">
        <v>2</v>
      </c>
      <c r="F220" s="471">
        <v>3.98</v>
      </c>
      <c r="G220">
        <v>1</v>
      </c>
      <c r="H220">
        <v>1</v>
      </c>
      <c r="I220" s="472">
        <f t="shared" si="6"/>
        <v>0.32845968612834514</v>
      </c>
      <c r="J220" s="153">
        <v>3.8473756479098807E-2</v>
      </c>
      <c r="K220" s="153">
        <v>0.39358026214566905</v>
      </c>
      <c r="L220" s="153">
        <v>0.53857526864315253</v>
      </c>
      <c r="M220" s="153">
        <v>0.3432094572454602</v>
      </c>
      <c r="N220" s="472">
        <f t="shared" si="7"/>
        <v>0.32845968612834514</v>
      </c>
      <c r="O220" s="153">
        <v>3.8473756479098807E-2</v>
      </c>
      <c r="P220" s="153">
        <v>0.39358026214566905</v>
      </c>
      <c r="Q220" s="153">
        <v>0.53857526864315253</v>
      </c>
      <c r="R220" s="153">
        <v>0.3432094572454602</v>
      </c>
      <c r="S220" s="153">
        <v>0.03</v>
      </c>
      <c r="T220" s="153">
        <v>0</v>
      </c>
      <c r="U220" s="474">
        <v>2012</v>
      </c>
      <c r="V220">
        <v>2030</v>
      </c>
      <c r="W220">
        <v>0</v>
      </c>
      <c r="X220">
        <v>0</v>
      </c>
      <c r="Y220">
        <v>1304</v>
      </c>
      <c r="Z220">
        <v>311</v>
      </c>
      <c r="AA220" s="475" t="s">
        <v>23</v>
      </c>
    </row>
    <row r="221" spans="1:27" ht="15" hidden="1">
      <c r="A221" s="24">
        <v>1220</v>
      </c>
      <c r="B221" s="24">
        <v>1220</v>
      </c>
      <c r="C221" s="469" t="s">
        <v>615</v>
      </c>
      <c r="D221" t="s">
        <v>149</v>
      </c>
      <c r="E221" s="470">
        <v>2</v>
      </c>
      <c r="F221" s="471">
        <v>0</v>
      </c>
      <c r="G221">
        <v>1</v>
      </c>
      <c r="H221">
        <v>1</v>
      </c>
      <c r="I221" s="472">
        <f t="shared" si="6"/>
        <v>0.32845968612834514</v>
      </c>
      <c r="J221" s="153">
        <v>3.8473756479098807E-2</v>
      </c>
      <c r="K221" s="153">
        <v>0.39358026214566905</v>
      </c>
      <c r="L221" s="153">
        <v>0.53857526864315253</v>
      </c>
      <c r="M221" s="153">
        <v>0.3432094572454602</v>
      </c>
      <c r="N221" s="472">
        <f t="shared" si="7"/>
        <v>0.32845968612834514</v>
      </c>
      <c r="O221" s="153">
        <v>3.8473756479098807E-2</v>
      </c>
      <c r="P221" s="153">
        <v>0.39358026214566905</v>
      </c>
      <c r="Q221" s="153">
        <v>0.53857526864315253</v>
      </c>
      <c r="R221" s="153">
        <v>0.3432094572454602</v>
      </c>
      <c r="S221" s="153">
        <v>0.03</v>
      </c>
      <c r="T221" s="153">
        <v>0</v>
      </c>
      <c r="U221" s="474">
        <v>1900</v>
      </c>
      <c r="V221">
        <v>2030</v>
      </c>
      <c r="W221">
        <v>0</v>
      </c>
      <c r="X221">
        <v>0</v>
      </c>
      <c r="Y221">
        <v>1304</v>
      </c>
      <c r="Z221">
        <v>311</v>
      </c>
      <c r="AA221" s="475" t="s">
        <v>23</v>
      </c>
    </row>
    <row r="222" spans="1:27" ht="15" hidden="1">
      <c r="A222" s="24">
        <v>1221</v>
      </c>
      <c r="B222" s="24">
        <v>1221</v>
      </c>
      <c r="C222" s="469" t="s">
        <v>616</v>
      </c>
      <c r="D222" t="s">
        <v>152</v>
      </c>
      <c r="E222" s="470">
        <v>3</v>
      </c>
      <c r="F222" s="471">
        <v>20</v>
      </c>
      <c r="G222">
        <v>1</v>
      </c>
      <c r="H222">
        <v>1</v>
      </c>
      <c r="I222" s="472">
        <f t="shared" si="6"/>
        <v>0.32845968612834514</v>
      </c>
      <c r="J222" s="153">
        <v>3.8473756479098807E-2</v>
      </c>
      <c r="K222" s="153">
        <v>0.39358026214566905</v>
      </c>
      <c r="L222" s="153">
        <v>0.53857526864315253</v>
      </c>
      <c r="M222" s="153">
        <v>0.3432094572454602</v>
      </c>
      <c r="N222" s="472">
        <f t="shared" si="7"/>
        <v>0.32845968612834514</v>
      </c>
      <c r="O222" s="153">
        <v>3.8473756479098807E-2</v>
      </c>
      <c r="P222" s="153">
        <v>0.39358026214566905</v>
      </c>
      <c r="Q222" s="153">
        <v>0.53857526864315253</v>
      </c>
      <c r="R222" s="153">
        <v>0.3432094572454602</v>
      </c>
      <c r="S222" s="153">
        <v>0.03</v>
      </c>
      <c r="T222" s="153">
        <v>0</v>
      </c>
      <c r="U222" s="474">
        <v>2006</v>
      </c>
      <c r="V222">
        <v>2030</v>
      </c>
      <c r="W222">
        <v>0</v>
      </c>
      <c r="X222">
        <v>0</v>
      </c>
      <c r="Y222">
        <v>1304</v>
      </c>
      <c r="Z222">
        <v>311</v>
      </c>
      <c r="AA222" s="475" t="s">
        <v>23</v>
      </c>
    </row>
    <row r="223" spans="1:27" ht="15" hidden="1">
      <c r="A223" s="24">
        <v>1222</v>
      </c>
      <c r="B223" s="24">
        <v>1222</v>
      </c>
      <c r="C223" s="469" t="s">
        <v>617</v>
      </c>
      <c r="D223" t="s">
        <v>152</v>
      </c>
      <c r="E223" s="470">
        <v>3</v>
      </c>
      <c r="F223" s="471">
        <v>0</v>
      </c>
      <c r="G223">
        <v>1</v>
      </c>
      <c r="H223">
        <v>1</v>
      </c>
      <c r="I223" s="472">
        <f t="shared" si="6"/>
        <v>0.32845968612834514</v>
      </c>
      <c r="J223" s="153">
        <v>3.8473756479098807E-2</v>
      </c>
      <c r="K223" s="153">
        <v>0.39358026214566905</v>
      </c>
      <c r="L223" s="153">
        <v>0.53857526864315253</v>
      </c>
      <c r="M223" s="153">
        <v>0.3432094572454602</v>
      </c>
      <c r="N223" s="472">
        <f t="shared" si="7"/>
        <v>0.32845968612834514</v>
      </c>
      <c r="O223" s="153">
        <v>3.8473756479098807E-2</v>
      </c>
      <c r="P223" s="153">
        <v>0.39358026214566905</v>
      </c>
      <c r="Q223" s="153">
        <v>0.53857526864315253</v>
      </c>
      <c r="R223" s="153">
        <v>0.3432094572454602</v>
      </c>
      <c r="S223" s="153">
        <v>0.03</v>
      </c>
      <c r="T223" s="153">
        <v>0</v>
      </c>
      <c r="U223" s="474">
        <v>2006</v>
      </c>
      <c r="V223">
        <v>2030</v>
      </c>
      <c r="W223">
        <v>0</v>
      </c>
      <c r="X223">
        <v>0</v>
      </c>
      <c r="Y223">
        <v>1304</v>
      </c>
      <c r="Z223">
        <v>311</v>
      </c>
      <c r="AA223" s="475" t="s">
        <v>23</v>
      </c>
    </row>
    <row r="224" spans="1:27" ht="15" hidden="1">
      <c r="A224" s="24">
        <v>1223</v>
      </c>
      <c r="B224" s="24">
        <v>1223</v>
      </c>
      <c r="C224" s="469" t="s">
        <v>618</v>
      </c>
      <c r="D224" t="s">
        <v>146</v>
      </c>
      <c r="E224" s="470">
        <v>1</v>
      </c>
      <c r="F224" s="471">
        <v>46.52</v>
      </c>
      <c r="G224">
        <v>1</v>
      </c>
      <c r="H224">
        <v>1</v>
      </c>
      <c r="I224" s="472">
        <f t="shared" si="6"/>
        <v>0.32845968612834514</v>
      </c>
      <c r="J224" s="153">
        <v>3.8473756479098807E-2</v>
      </c>
      <c r="K224" s="153">
        <v>0.39358026214566905</v>
      </c>
      <c r="L224" s="153">
        <v>0.53857526864315253</v>
      </c>
      <c r="M224" s="153">
        <v>0.3432094572454602</v>
      </c>
      <c r="N224" s="472">
        <f t="shared" si="7"/>
        <v>0.32845968612834514</v>
      </c>
      <c r="O224" s="153">
        <v>3.8473756479098807E-2</v>
      </c>
      <c r="P224" s="153">
        <v>0.39358026214566905</v>
      </c>
      <c r="Q224" s="153">
        <v>0.53857526864315253</v>
      </c>
      <c r="R224" s="153">
        <v>0.3432094572454602</v>
      </c>
      <c r="S224" s="153">
        <v>0.03</v>
      </c>
      <c r="T224" s="153">
        <v>0</v>
      </c>
      <c r="U224" s="474">
        <v>2006</v>
      </c>
      <c r="V224">
        <v>2030</v>
      </c>
      <c r="W224">
        <v>0</v>
      </c>
      <c r="X224">
        <v>0</v>
      </c>
      <c r="Y224">
        <v>1304</v>
      </c>
      <c r="Z224">
        <v>311</v>
      </c>
      <c r="AA224" s="475" t="s">
        <v>23</v>
      </c>
    </row>
    <row r="225" spans="1:27" ht="15" hidden="1">
      <c r="A225" s="24">
        <v>1224</v>
      </c>
      <c r="B225" s="24">
        <v>1224</v>
      </c>
      <c r="C225" s="469" t="s">
        <v>619</v>
      </c>
      <c r="D225" t="s">
        <v>146</v>
      </c>
      <c r="E225" s="470">
        <v>1</v>
      </c>
      <c r="F225" s="471">
        <v>0</v>
      </c>
      <c r="G225">
        <v>1</v>
      </c>
      <c r="H225">
        <v>1</v>
      </c>
      <c r="I225" s="472">
        <f t="shared" si="6"/>
        <v>0.32845968612834514</v>
      </c>
      <c r="J225" s="153">
        <v>3.8473756479098807E-2</v>
      </c>
      <c r="K225" s="153">
        <v>0.39358026214566905</v>
      </c>
      <c r="L225" s="153">
        <v>0.53857526864315253</v>
      </c>
      <c r="M225" s="153">
        <v>0.3432094572454602</v>
      </c>
      <c r="N225" s="472">
        <f t="shared" si="7"/>
        <v>0.32845968612834514</v>
      </c>
      <c r="O225" s="153">
        <v>3.8473756479098807E-2</v>
      </c>
      <c r="P225" s="153">
        <v>0.39358026214566905</v>
      </c>
      <c r="Q225" s="153">
        <v>0.53857526864315253</v>
      </c>
      <c r="R225" s="153">
        <v>0.3432094572454602</v>
      </c>
      <c r="S225" s="153">
        <v>0.03</v>
      </c>
      <c r="T225" s="153">
        <v>0</v>
      </c>
      <c r="U225" s="474">
        <v>2006</v>
      </c>
      <c r="V225">
        <v>2030</v>
      </c>
      <c r="W225">
        <v>0</v>
      </c>
      <c r="X225">
        <v>0</v>
      </c>
      <c r="Y225">
        <v>1304</v>
      </c>
      <c r="Z225">
        <v>311</v>
      </c>
      <c r="AA225" s="475" t="s">
        <v>23</v>
      </c>
    </row>
    <row r="226" spans="1:27" ht="15" hidden="1">
      <c r="A226" s="24">
        <v>1225</v>
      </c>
      <c r="B226" s="24">
        <v>1225</v>
      </c>
      <c r="C226" s="469" t="s">
        <v>620</v>
      </c>
      <c r="D226" t="s">
        <v>149</v>
      </c>
      <c r="E226" s="470">
        <v>2</v>
      </c>
      <c r="F226" s="471">
        <v>1</v>
      </c>
      <c r="G226">
        <v>1</v>
      </c>
      <c r="H226">
        <v>1</v>
      </c>
      <c r="I226" s="472">
        <f t="shared" si="6"/>
        <v>0.32845968612834514</v>
      </c>
      <c r="J226" s="153">
        <v>3.8473756479098807E-2</v>
      </c>
      <c r="K226" s="153">
        <v>0.39358026214566905</v>
      </c>
      <c r="L226" s="153">
        <v>0.53857526864315253</v>
      </c>
      <c r="M226" s="153">
        <v>0.3432094572454602</v>
      </c>
      <c r="N226" s="472">
        <f t="shared" si="7"/>
        <v>0.32845968612834514</v>
      </c>
      <c r="O226" s="153">
        <v>3.8473756479098807E-2</v>
      </c>
      <c r="P226" s="153">
        <v>0.39358026214566905</v>
      </c>
      <c r="Q226" s="153">
        <v>0.53857526864315253</v>
      </c>
      <c r="R226" s="153">
        <v>0.3432094572454602</v>
      </c>
      <c r="S226" s="153">
        <v>0.03</v>
      </c>
      <c r="T226" s="153">
        <v>0</v>
      </c>
      <c r="U226" s="474">
        <v>2009</v>
      </c>
      <c r="V226">
        <v>2023</v>
      </c>
      <c r="W226">
        <v>0</v>
      </c>
      <c r="X226">
        <v>0</v>
      </c>
      <c r="Y226">
        <v>1304</v>
      </c>
      <c r="Z226">
        <v>311</v>
      </c>
      <c r="AA226" s="475" t="s">
        <v>23</v>
      </c>
    </row>
    <row r="227" spans="1:27" ht="15" hidden="1">
      <c r="A227" s="24">
        <v>1226</v>
      </c>
      <c r="B227" s="24">
        <v>1226</v>
      </c>
      <c r="C227" s="469" t="s">
        <v>621</v>
      </c>
      <c r="D227" t="s">
        <v>149</v>
      </c>
      <c r="E227" s="470">
        <v>2</v>
      </c>
      <c r="F227" s="471">
        <v>0</v>
      </c>
      <c r="G227">
        <v>1</v>
      </c>
      <c r="H227">
        <v>1</v>
      </c>
      <c r="I227" s="472">
        <f t="shared" si="6"/>
        <v>0.32845968612834514</v>
      </c>
      <c r="J227" s="153">
        <v>3.8473756479098807E-2</v>
      </c>
      <c r="K227" s="153">
        <v>0.39358026214566905</v>
      </c>
      <c r="L227" s="153">
        <v>0.53857526864315253</v>
      </c>
      <c r="M227" s="153">
        <v>0.3432094572454602</v>
      </c>
      <c r="N227" s="472">
        <f t="shared" si="7"/>
        <v>0.32845968612834514</v>
      </c>
      <c r="O227" s="153">
        <v>3.8473756479098807E-2</v>
      </c>
      <c r="P227" s="153">
        <v>0.39358026214566905</v>
      </c>
      <c r="Q227" s="153">
        <v>0.53857526864315253</v>
      </c>
      <c r="R227" s="153">
        <v>0.3432094572454602</v>
      </c>
      <c r="S227" s="153">
        <v>0.03</v>
      </c>
      <c r="T227" s="153">
        <v>0</v>
      </c>
      <c r="U227" s="474">
        <v>1900</v>
      </c>
      <c r="V227">
        <v>2030</v>
      </c>
      <c r="W227">
        <v>0</v>
      </c>
      <c r="X227">
        <v>0</v>
      </c>
      <c r="Y227">
        <v>1304</v>
      </c>
      <c r="Z227">
        <v>311</v>
      </c>
      <c r="AA227" s="475" t="s">
        <v>23</v>
      </c>
    </row>
    <row r="228" spans="1:27" ht="15" hidden="1">
      <c r="A228" s="24">
        <v>1227</v>
      </c>
      <c r="B228" s="24">
        <v>1227</v>
      </c>
      <c r="C228" s="469" t="s">
        <v>622</v>
      </c>
      <c r="D228" t="s">
        <v>146</v>
      </c>
      <c r="E228" s="470">
        <v>1</v>
      </c>
      <c r="F228" s="471">
        <v>12.352941176470587</v>
      </c>
      <c r="G228">
        <v>1</v>
      </c>
      <c r="H228">
        <v>1</v>
      </c>
      <c r="I228" s="472">
        <f t="shared" si="6"/>
        <v>0.32845968612834514</v>
      </c>
      <c r="J228" s="153">
        <v>3.8473756479098807E-2</v>
      </c>
      <c r="K228" s="153">
        <v>0.39358026214566905</v>
      </c>
      <c r="L228" s="153">
        <v>0.53857526864315253</v>
      </c>
      <c r="M228" s="153">
        <v>0.3432094572454602</v>
      </c>
      <c r="N228" s="472">
        <f t="shared" si="7"/>
        <v>0.32845968612834514</v>
      </c>
      <c r="O228" s="153">
        <v>3.8473756479098807E-2</v>
      </c>
      <c r="P228" s="153">
        <v>0.39358026214566905</v>
      </c>
      <c r="Q228" s="153">
        <v>0.53857526864315253</v>
      </c>
      <c r="R228" s="153">
        <v>0.3432094572454602</v>
      </c>
      <c r="S228" s="153">
        <v>0.03</v>
      </c>
      <c r="T228" s="153">
        <v>0</v>
      </c>
      <c r="U228" s="474">
        <v>2013</v>
      </c>
      <c r="V228">
        <v>2030</v>
      </c>
      <c r="W228">
        <v>0</v>
      </c>
      <c r="X228">
        <v>0</v>
      </c>
      <c r="Y228">
        <v>1304</v>
      </c>
      <c r="Z228">
        <v>311</v>
      </c>
      <c r="AA228" s="475" t="s">
        <v>23</v>
      </c>
    </row>
    <row r="229" spans="1:27" ht="15" hidden="1">
      <c r="A229" s="24">
        <v>1228</v>
      </c>
      <c r="B229" s="24">
        <v>1228</v>
      </c>
      <c r="C229" s="469" t="s">
        <v>623</v>
      </c>
      <c r="D229" t="s">
        <v>146</v>
      </c>
      <c r="E229" s="470">
        <v>1</v>
      </c>
      <c r="F229" s="471">
        <v>17.647058823529413</v>
      </c>
      <c r="G229">
        <v>1</v>
      </c>
      <c r="H229">
        <v>1</v>
      </c>
      <c r="I229" s="472">
        <f t="shared" si="6"/>
        <v>0.32845968612834514</v>
      </c>
      <c r="J229" s="153">
        <v>3.8473756479098807E-2</v>
      </c>
      <c r="K229" s="153">
        <v>0.39358026214566905</v>
      </c>
      <c r="L229" s="153">
        <v>0.53857526864315253</v>
      </c>
      <c r="M229" s="153">
        <v>0.3432094572454602</v>
      </c>
      <c r="N229" s="472">
        <f t="shared" si="7"/>
        <v>0.32845968612834514</v>
      </c>
      <c r="O229" s="153">
        <v>3.8473756479098807E-2</v>
      </c>
      <c r="P229" s="153">
        <v>0.39358026214566905</v>
      </c>
      <c r="Q229" s="153">
        <v>0.53857526864315253</v>
      </c>
      <c r="R229" s="153">
        <v>0.3432094572454602</v>
      </c>
      <c r="S229" s="153">
        <v>0.03</v>
      </c>
      <c r="T229" s="153">
        <v>0</v>
      </c>
      <c r="U229" s="474">
        <v>2014</v>
      </c>
      <c r="V229">
        <v>2035</v>
      </c>
      <c r="W229">
        <v>0</v>
      </c>
      <c r="X229">
        <v>0</v>
      </c>
      <c r="Y229">
        <v>1304</v>
      </c>
      <c r="Z229">
        <v>311</v>
      </c>
      <c r="AA229" s="475" t="s">
        <v>23</v>
      </c>
    </row>
    <row r="230" spans="1:27" ht="15" hidden="1">
      <c r="A230" s="24">
        <v>1229</v>
      </c>
      <c r="B230" s="24">
        <v>1229</v>
      </c>
      <c r="C230" s="469" t="s">
        <v>624</v>
      </c>
      <c r="D230" t="s">
        <v>146</v>
      </c>
      <c r="E230" s="470">
        <v>1</v>
      </c>
      <c r="F230" s="471">
        <v>55</v>
      </c>
      <c r="G230">
        <v>1</v>
      </c>
      <c r="H230">
        <v>1</v>
      </c>
      <c r="I230" s="472">
        <f t="shared" si="6"/>
        <v>0.32845968612834514</v>
      </c>
      <c r="J230" s="153">
        <v>3.8473756479098807E-2</v>
      </c>
      <c r="K230" s="153">
        <v>0.39358026214566905</v>
      </c>
      <c r="L230" s="153">
        <v>0.53857526864315253</v>
      </c>
      <c r="M230" s="153">
        <v>0.3432094572454602</v>
      </c>
      <c r="N230" s="472">
        <f t="shared" si="7"/>
        <v>0.32845968612834514</v>
      </c>
      <c r="O230" s="153">
        <v>3.8473756479098807E-2</v>
      </c>
      <c r="P230" s="153">
        <v>0.39358026214566905</v>
      </c>
      <c r="Q230" s="153">
        <v>0.53857526864315253</v>
      </c>
      <c r="R230" s="153">
        <v>0.3432094572454602</v>
      </c>
      <c r="S230" s="153">
        <v>0.03</v>
      </c>
      <c r="T230" s="153">
        <v>0</v>
      </c>
      <c r="U230" s="474">
        <v>2010</v>
      </c>
      <c r="V230">
        <v>2023</v>
      </c>
      <c r="W230">
        <v>0</v>
      </c>
      <c r="X230">
        <v>0</v>
      </c>
      <c r="Y230">
        <v>1304</v>
      </c>
      <c r="Z230">
        <v>311</v>
      </c>
      <c r="AA230" s="475" t="s">
        <v>23</v>
      </c>
    </row>
    <row r="231" spans="1:27" ht="15" hidden="1">
      <c r="A231" s="24">
        <v>1230</v>
      </c>
      <c r="B231" s="24">
        <v>1230</v>
      </c>
      <c r="C231" s="469" t="s">
        <v>625</v>
      </c>
      <c r="D231" t="s">
        <v>146</v>
      </c>
      <c r="E231" s="470">
        <v>1</v>
      </c>
      <c r="F231" s="471">
        <v>0</v>
      </c>
      <c r="G231">
        <v>1</v>
      </c>
      <c r="H231">
        <v>1</v>
      </c>
      <c r="I231" s="472">
        <f t="shared" si="6"/>
        <v>0.32845968612834514</v>
      </c>
      <c r="J231" s="153">
        <v>3.8473756479098807E-2</v>
      </c>
      <c r="K231" s="153">
        <v>0.39358026214566905</v>
      </c>
      <c r="L231" s="153">
        <v>0.53857526864315253</v>
      </c>
      <c r="M231" s="153">
        <v>0.3432094572454602</v>
      </c>
      <c r="N231" s="472">
        <f t="shared" si="7"/>
        <v>0.32845968612834514</v>
      </c>
      <c r="O231" s="153">
        <v>3.8473756479098807E-2</v>
      </c>
      <c r="P231" s="153">
        <v>0.39358026214566905</v>
      </c>
      <c r="Q231" s="153">
        <v>0.53857526864315253</v>
      </c>
      <c r="R231" s="153">
        <v>0.3432094572454602</v>
      </c>
      <c r="S231" s="153">
        <v>0.03</v>
      </c>
      <c r="T231" s="153">
        <v>0</v>
      </c>
      <c r="U231" s="474">
        <v>1900</v>
      </c>
      <c r="V231">
        <v>2030</v>
      </c>
      <c r="W231">
        <v>0</v>
      </c>
      <c r="X231">
        <v>0</v>
      </c>
      <c r="Y231">
        <v>1304</v>
      </c>
      <c r="Z231">
        <v>311</v>
      </c>
      <c r="AA231" s="475" t="s">
        <v>23</v>
      </c>
    </row>
    <row r="232" spans="1:27" ht="15" hidden="1">
      <c r="A232" s="24">
        <v>1231</v>
      </c>
      <c r="B232" s="24">
        <v>1231</v>
      </c>
      <c r="C232" s="469" t="s">
        <v>626</v>
      </c>
      <c r="D232" t="s">
        <v>146</v>
      </c>
      <c r="E232" s="470">
        <v>1</v>
      </c>
      <c r="F232" s="471">
        <v>64.8</v>
      </c>
      <c r="G232">
        <v>1</v>
      </c>
      <c r="H232">
        <v>1</v>
      </c>
      <c r="I232" s="472">
        <f t="shared" si="6"/>
        <v>0.32845968612834514</v>
      </c>
      <c r="J232" s="153">
        <v>3.8473756479098807E-2</v>
      </c>
      <c r="K232" s="153">
        <v>0.39358026214566905</v>
      </c>
      <c r="L232" s="153">
        <v>0.53857526864315253</v>
      </c>
      <c r="M232" s="153">
        <v>0.3432094572454602</v>
      </c>
      <c r="N232" s="472">
        <f t="shared" si="7"/>
        <v>0.32845968612834514</v>
      </c>
      <c r="O232" s="153">
        <v>3.8473756479098807E-2</v>
      </c>
      <c r="P232" s="153">
        <v>0.39358026214566905</v>
      </c>
      <c r="Q232" s="153">
        <v>0.53857526864315253</v>
      </c>
      <c r="R232" s="153">
        <v>0.3432094572454602</v>
      </c>
      <c r="S232" s="153">
        <v>0.03</v>
      </c>
      <c r="T232" s="153">
        <v>0</v>
      </c>
      <c r="U232" s="474">
        <v>2010</v>
      </c>
      <c r="V232">
        <v>2023</v>
      </c>
      <c r="W232">
        <v>0</v>
      </c>
      <c r="X232">
        <v>0</v>
      </c>
      <c r="Y232">
        <v>1304</v>
      </c>
      <c r="Z232">
        <v>311</v>
      </c>
      <c r="AA232" s="475" t="s">
        <v>23</v>
      </c>
    </row>
    <row r="233" spans="1:27" ht="15" hidden="1">
      <c r="A233" s="24">
        <v>1232</v>
      </c>
      <c r="B233" s="24">
        <v>1232</v>
      </c>
      <c r="C233" s="469" t="s">
        <v>627</v>
      </c>
      <c r="D233" t="s">
        <v>146</v>
      </c>
      <c r="E233" s="470">
        <v>1</v>
      </c>
      <c r="F233" s="471">
        <v>0</v>
      </c>
      <c r="G233">
        <v>1</v>
      </c>
      <c r="H233">
        <v>1</v>
      </c>
      <c r="I233" s="472">
        <f t="shared" si="6"/>
        <v>0.32845968612834514</v>
      </c>
      <c r="J233" s="153">
        <v>3.8473756479098807E-2</v>
      </c>
      <c r="K233" s="153">
        <v>0.39358026214566905</v>
      </c>
      <c r="L233" s="153">
        <v>0.53857526864315253</v>
      </c>
      <c r="M233" s="153">
        <v>0.3432094572454602</v>
      </c>
      <c r="N233" s="472">
        <f t="shared" si="7"/>
        <v>0.32845968612834514</v>
      </c>
      <c r="O233" s="153">
        <v>3.8473756479098807E-2</v>
      </c>
      <c r="P233" s="153">
        <v>0.39358026214566905</v>
      </c>
      <c r="Q233" s="153">
        <v>0.53857526864315253</v>
      </c>
      <c r="R233" s="153">
        <v>0.3432094572454602</v>
      </c>
      <c r="S233" s="153">
        <v>0.03</v>
      </c>
      <c r="T233" s="153">
        <v>0</v>
      </c>
      <c r="U233" s="474">
        <v>1900</v>
      </c>
      <c r="V233">
        <v>2030</v>
      </c>
      <c r="W233">
        <v>0</v>
      </c>
      <c r="X233">
        <v>0</v>
      </c>
      <c r="Y233">
        <v>1304</v>
      </c>
      <c r="Z233">
        <v>311</v>
      </c>
      <c r="AA233" s="475" t="s">
        <v>23</v>
      </c>
    </row>
    <row r="234" spans="1:27" ht="15" hidden="1">
      <c r="A234" s="24">
        <v>1233</v>
      </c>
      <c r="B234" s="24">
        <v>1233</v>
      </c>
      <c r="C234" s="469" t="s">
        <v>628</v>
      </c>
      <c r="D234" t="s">
        <v>146</v>
      </c>
      <c r="E234" s="470">
        <v>1</v>
      </c>
      <c r="F234" s="471">
        <v>34</v>
      </c>
      <c r="G234">
        <v>1</v>
      </c>
      <c r="H234">
        <v>1</v>
      </c>
      <c r="I234" s="472">
        <f t="shared" si="6"/>
        <v>0.32845968612834514</v>
      </c>
      <c r="J234" s="153">
        <v>3.8473756479098807E-2</v>
      </c>
      <c r="K234" s="153">
        <v>0.39358026214566905</v>
      </c>
      <c r="L234" s="153">
        <v>0.53857526864315253</v>
      </c>
      <c r="M234" s="153">
        <v>0.3432094572454602</v>
      </c>
      <c r="N234" s="472">
        <f t="shared" si="7"/>
        <v>0.32845968612834514</v>
      </c>
      <c r="O234" s="153">
        <v>3.8473756479098807E-2</v>
      </c>
      <c r="P234" s="153">
        <v>0.39358026214566905</v>
      </c>
      <c r="Q234" s="153">
        <v>0.53857526864315253</v>
      </c>
      <c r="R234" s="153">
        <v>0.3432094572454602</v>
      </c>
      <c r="S234" s="153">
        <v>0.03</v>
      </c>
      <c r="T234" s="153">
        <v>0</v>
      </c>
      <c r="U234" s="474">
        <v>2015</v>
      </c>
      <c r="V234">
        <v>2030</v>
      </c>
      <c r="W234">
        <v>0</v>
      </c>
      <c r="X234">
        <v>0</v>
      </c>
      <c r="Y234">
        <v>1304</v>
      </c>
      <c r="Z234">
        <v>311</v>
      </c>
      <c r="AA234" s="475" t="s">
        <v>23</v>
      </c>
    </row>
    <row r="235" spans="1:27" ht="15" hidden="1">
      <c r="A235" s="24">
        <v>1234</v>
      </c>
      <c r="B235" s="24">
        <v>1234</v>
      </c>
      <c r="C235" s="469" t="s">
        <v>629</v>
      </c>
      <c r="D235" t="s">
        <v>146</v>
      </c>
      <c r="E235" s="470">
        <v>1</v>
      </c>
      <c r="F235" s="471">
        <v>0</v>
      </c>
      <c r="G235">
        <v>1</v>
      </c>
      <c r="H235">
        <v>1</v>
      </c>
      <c r="I235" s="472">
        <f t="shared" si="6"/>
        <v>0.32845968612834514</v>
      </c>
      <c r="J235" s="153">
        <v>3.8473756479098807E-2</v>
      </c>
      <c r="K235" s="153">
        <v>0.39358026214566905</v>
      </c>
      <c r="L235" s="153">
        <v>0.53857526864315253</v>
      </c>
      <c r="M235" s="153">
        <v>0.3432094572454602</v>
      </c>
      <c r="N235" s="472">
        <f t="shared" si="7"/>
        <v>0.32845968612834514</v>
      </c>
      <c r="O235" s="153">
        <v>3.8473756479098807E-2</v>
      </c>
      <c r="P235" s="153">
        <v>0.39358026214566905</v>
      </c>
      <c r="Q235" s="153">
        <v>0.53857526864315253</v>
      </c>
      <c r="R235" s="153">
        <v>0.3432094572454602</v>
      </c>
      <c r="S235" s="153">
        <v>0.03</v>
      </c>
      <c r="T235" s="153">
        <v>0</v>
      </c>
      <c r="U235" s="474">
        <v>2018</v>
      </c>
      <c r="V235">
        <v>2045</v>
      </c>
      <c r="W235">
        <v>0</v>
      </c>
      <c r="X235">
        <v>0</v>
      </c>
      <c r="Y235">
        <v>1304</v>
      </c>
      <c r="Z235">
        <v>311</v>
      </c>
      <c r="AA235" s="475" t="s">
        <v>23</v>
      </c>
    </row>
    <row r="236" spans="1:27" ht="15" hidden="1">
      <c r="A236" s="24">
        <v>1235</v>
      </c>
      <c r="B236" s="24">
        <v>1235</v>
      </c>
      <c r="C236" s="469" t="s">
        <v>630</v>
      </c>
      <c r="D236" t="s">
        <v>146</v>
      </c>
      <c r="E236" s="470">
        <v>1</v>
      </c>
      <c r="F236" s="471">
        <v>38</v>
      </c>
      <c r="G236">
        <v>1</v>
      </c>
      <c r="H236">
        <v>1</v>
      </c>
      <c r="I236" s="472">
        <f t="shared" si="6"/>
        <v>0.32845968612834514</v>
      </c>
      <c r="J236" s="153">
        <v>3.8473756479098807E-2</v>
      </c>
      <c r="K236" s="153">
        <v>0.39358026214566905</v>
      </c>
      <c r="L236" s="153">
        <v>0.53857526864315253</v>
      </c>
      <c r="M236" s="153">
        <v>0.3432094572454602</v>
      </c>
      <c r="N236" s="472">
        <f t="shared" si="7"/>
        <v>0.32845968612834514</v>
      </c>
      <c r="O236" s="153">
        <v>3.8473756479098807E-2</v>
      </c>
      <c r="P236" s="153">
        <v>0.39358026214566905</v>
      </c>
      <c r="Q236" s="153">
        <v>0.53857526864315253</v>
      </c>
      <c r="R236" s="153">
        <v>0.3432094572454602</v>
      </c>
      <c r="S236" s="153">
        <v>0.03</v>
      </c>
      <c r="T236" s="153">
        <v>0</v>
      </c>
      <c r="U236" s="474">
        <v>2014</v>
      </c>
      <c r="V236">
        <v>2030</v>
      </c>
      <c r="W236">
        <v>0</v>
      </c>
      <c r="X236">
        <v>0</v>
      </c>
      <c r="Y236">
        <v>1304</v>
      </c>
      <c r="Z236">
        <v>311</v>
      </c>
      <c r="AA236" s="475" t="s">
        <v>23</v>
      </c>
    </row>
    <row r="237" spans="1:27" ht="15" hidden="1">
      <c r="A237" s="24">
        <v>1236</v>
      </c>
      <c r="B237" s="24">
        <v>1236</v>
      </c>
      <c r="C237" s="469" t="s">
        <v>631</v>
      </c>
      <c r="D237" t="s">
        <v>146</v>
      </c>
      <c r="E237" s="470">
        <v>1</v>
      </c>
      <c r="F237" s="471">
        <v>0</v>
      </c>
      <c r="G237">
        <v>1</v>
      </c>
      <c r="H237">
        <v>1</v>
      </c>
      <c r="I237" s="472">
        <f t="shared" si="6"/>
        <v>0.32845968612834514</v>
      </c>
      <c r="J237" s="153">
        <v>3.8473756479098807E-2</v>
      </c>
      <c r="K237" s="153">
        <v>0.39358026214566905</v>
      </c>
      <c r="L237" s="153">
        <v>0.53857526864315253</v>
      </c>
      <c r="M237" s="153">
        <v>0.3432094572454602</v>
      </c>
      <c r="N237" s="472">
        <f t="shared" si="7"/>
        <v>0.32845968612834514</v>
      </c>
      <c r="O237" s="153">
        <v>3.8473756479098807E-2</v>
      </c>
      <c r="P237" s="153">
        <v>0.39358026214566905</v>
      </c>
      <c r="Q237" s="153">
        <v>0.53857526864315253</v>
      </c>
      <c r="R237" s="153">
        <v>0.3432094572454602</v>
      </c>
      <c r="S237" s="153">
        <v>0.03</v>
      </c>
      <c r="T237" s="153">
        <v>0</v>
      </c>
      <c r="U237" s="474">
        <v>2018</v>
      </c>
      <c r="V237">
        <v>2045</v>
      </c>
      <c r="W237">
        <v>0</v>
      </c>
      <c r="X237">
        <v>0</v>
      </c>
      <c r="Y237">
        <v>1304</v>
      </c>
      <c r="Z237">
        <v>311</v>
      </c>
      <c r="AA237" s="475" t="s">
        <v>23</v>
      </c>
    </row>
    <row r="238" spans="1:27" ht="15" hidden="1">
      <c r="A238" s="24">
        <v>1237</v>
      </c>
      <c r="B238" s="24">
        <v>1237</v>
      </c>
      <c r="C238" s="469" t="s">
        <v>632</v>
      </c>
      <c r="D238" t="s">
        <v>146</v>
      </c>
      <c r="E238" s="470">
        <v>1</v>
      </c>
      <c r="F238" s="471">
        <v>4.2779999999999996</v>
      </c>
      <c r="G238">
        <v>1</v>
      </c>
      <c r="H238">
        <v>1</v>
      </c>
      <c r="I238" s="472">
        <f t="shared" si="6"/>
        <v>0.32845968612834514</v>
      </c>
      <c r="J238" s="153">
        <v>3.8473756479098807E-2</v>
      </c>
      <c r="K238" s="153">
        <v>0.39358026214566905</v>
      </c>
      <c r="L238" s="153">
        <v>0.53857526864315253</v>
      </c>
      <c r="M238" s="153">
        <v>0.3432094572454602</v>
      </c>
      <c r="N238" s="472">
        <f t="shared" si="7"/>
        <v>0.32845968612834514</v>
      </c>
      <c r="O238" s="153">
        <v>3.8473756479098807E-2</v>
      </c>
      <c r="P238" s="153">
        <v>0.39358026214566905</v>
      </c>
      <c r="Q238" s="153">
        <v>0.53857526864315253</v>
      </c>
      <c r="R238" s="153">
        <v>0.3432094572454602</v>
      </c>
      <c r="S238" s="153">
        <v>0.03</v>
      </c>
      <c r="T238" s="153">
        <v>0</v>
      </c>
      <c r="U238" s="474">
        <v>2014</v>
      </c>
      <c r="V238">
        <v>2030</v>
      </c>
      <c r="W238">
        <v>0</v>
      </c>
      <c r="X238">
        <v>0</v>
      </c>
      <c r="Y238">
        <v>1304</v>
      </c>
      <c r="Z238">
        <v>311</v>
      </c>
      <c r="AA238" s="475" t="s">
        <v>23</v>
      </c>
    </row>
    <row r="239" spans="1:27" ht="15" hidden="1">
      <c r="A239" s="24">
        <v>1238</v>
      </c>
      <c r="B239" s="24">
        <v>1238</v>
      </c>
      <c r="C239" s="469" t="s">
        <v>633</v>
      </c>
      <c r="D239" t="s">
        <v>146</v>
      </c>
      <c r="E239" s="470">
        <v>1</v>
      </c>
      <c r="F239" s="471">
        <v>0</v>
      </c>
      <c r="G239">
        <v>1</v>
      </c>
      <c r="H239">
        <v>1</v>
      </c>
      <c r="I239" s="472">
        <f t="shared" si="6"/>
        <v>0.32845968612834514</v>
      </c>
      <c r="J239" s="153">
        <v>3.8473756479098807E-2</v>
      </c>
      <c r="K239" s="153">
        <v>0.39358026214566905</v>
      </c>
      <c r="L239" s="153">
        <v>0.53857526864315253</v>
      </c>
      <c r="M239" s="153">
        <v>0.3432094572454602</v>
      </c>
      <c r="N239" s="472">
        <f t="shared" si="7"/>
        <v>0.32845968612834514</v>
      </c>
      <c r="O239" s="153">
        <v>3.8473756479098807E-2</v>
      </c>
      <c r="P239" s="153">
        <v>0.39358026214566905</v>
      </c>
      <c r="Q239" s="153">
        <v>0.53857526864315253</v>
      </c>
      <c r="R239" s="153">
        <v>0.3432094572454602</v>
      </c>
      <c r="S239" s="153">
        <v>0.03</v>
      </c>
      <c r="T239" s="153">
        <v>0</v>
      </c>
      <c r="U239" s="474">
        <v>1900</v>
      </c>
      <c r="V239">
        <v>2030</v>
      </c>
      <c r="W239">
        <v>0</v>
      </c>
      <c r="X239">
        <v>0</v>
      </c>
      <c r="Y239">
        <v>1304</v>
      </c>
      <c r="Z239">
        <v>311</v>
      </c>
      <c r="AA239" s="475" t="s">
        <v>23</v>
      </c>
    </row>
    <row r="240" spans="1:27" ht="15" hidden="1">
      <c r="A240" s="24">
        <v>1239</v>
      </c>
      <c r="B240" s="24">
        <v>1239</v>
      </c>
      <c r="C240" s="469" t="s">
        <v>634</v>
      </c>
      <c r="D240" t="s">
        <v>154</v>
      </c>
      <c r="E240" s="470">
        <v>4</v>
      </c>
      <c r="F240" s="471">
        <v>10</v>
      </c>
      <c r="G240">
        <v>1</v>
      </c>
      <c r="H240">
        <v>1</v>
      </c>
      <c r="I240" s="472">
        <f t="shared" si="6"/>
        <v>0.32845968612834514</v>
      </c>
      <c r="J240" s="153">
        <v>3.8473756479098807E-2</v>
      </c>
      <c r="K240" s="153">
        <v>0.39358026214566905</v>
      </c>
      <c r="L240" s="153">
        <v>0.53857526864315253</v>
      </c>
      <c r="M240" s="153">
        <v>0.3432094572454602</v>
      </c>
      <c r="N240" s="472">
        <f t="shared" si="7"/>
        <v>0.32845968612834514</v>
      </c>
      <c r="O240" s="153">
        <v>3.8473756479098807E-2</v>
      </c>
      <c r="P240" s="153">
        <v>0.39358026214566905</v>
      </c>
      <c r="Q240" s="153">
        <v>0.53857526864315253</v>
      </c>
      <c r="R240" s="153">
        <v>0.3432094572454602</v>
      </c>
      <c r="S240" s="153">
        <v>0.03</v>
      </c>
      <c r="T240" s="153">
        <v>0</v>
      </c>
      <c r="U240" s="474">
        <v>2008</v>
      </c>
      <c r="V240">
        <v>2023</v>
      </c>
      <c r="W240">
        <v>0</v>
      </c>
      <c r="X240">
        <v>0</v>
      </c>
      <c r="Y240">
        <v>1304</v>
      </c>
      <c r="Z240">
        <v>311</v>
      </c>
      <c r="AA240" s="475" t="s">
        <v>23</v>
      </c>
    </row>
    <row r="241" spans="1:27" ht="15" hidden="1">
      <c r="A241" s="24">
        <v>1240</v>
      </c>
      <c r="B241" s="24">
        <v>1240</v>
      </c>
      <c r="C241" s="469" t="s">
        <v>635</v>
      </c>
      <c r="D241" t="s">
        <v>154</v>
      </c>
      <c r="E241" s="470">
        <v>4</v>
      </c>
      <c r="F241" s="471">
        <v>0</v>
      </c>
      <c r="G241">
        <v>1</v>
      </c>
      <c r="H241">
        <v>1</v>
      </c>
      <c r="I241" s="472">
        <f t="shared" si="6"/>
        <v>0.32845968612834514</v>
      </c>
      <c r="J241" s="153">
        <v>3.8473756479098807E-2</v>
      </c>
      <c r="K241" s="153">
        <v>0.39358026214566905</v>
      </c>
      <c r="L241" s="153">
        <v>0.53857526864315253</v>
      </c>
      <c r="M241" s="153">
        <v>0.3432094572454602</v>
      </c>
      <c r="N241" s="472">
        <f t="shared" si="7"/>
        <v>0.32845968612834514</v>
      </c>
      <c r="O241" s="153">
        <v>3.8473756479098807E-2</v>
      </c>
      <c r="P241" s="153">
        <v>0.39358026214566905</v>
      </c>
      <c r="Q241" s="153">
        <v>0.53857526864315253</v>
      </c>
      <c r="R241" s="153">
        <v>0.3432094572454602</v>
      </c>
      <c r="S241" s="153">
        <v>0.03</v>
      </c>
      <c r="T241" s="153">
        <v>0</v>
      </c>
      <c r="U241" s="474">
        <v>1900</v>
      </c>
      <c r="V241">
        <v>2030</v>
      </c>
      <c r="W241">
        <v>0</v>
      </c>
      <c r="X241">
        <v>0</v>
      </c>
      <c r="Y241">
        <v>1304</v>
      </c>
      <c r="Z241">
        <v>311</v>
      </c>
      <c r="AA241" s="475" t="s">
        <v>23</v>
      </c>
    </row>
    <row r="242" spans="1:27" ht="15" hidden="1">
      <c r="A242" s="24">
        <v>1241</v>
      </c>
      <c r="B242" s="24">
        <v>1241</v>
      </c>
      <c r="C242" s="469" t="s">
        <v>636</v>
      </c>
      <c r="D242" t="s">
        <v>149</v>
      </c>
      <c r="E242" s="470">
        <v>2</v>
      </c>
      <c r="F242" s="471">
        <v>6</v>
      </c>
      <c r="G242">
        <v>1</v>
      </c>
      <c r="H242">
        <v>1</v>
      </c>
      <c r="I242" s="472">
        <f t="shared" si="6"/>
        <v>0.32845968612834514</v>
      </c>
      <c r="J242" s="153">
        <v>3.8473756479098807E-2</v>
      </c>
      <c r="K242" s="153">
        <v>0.39358026214566905</v>
      </c>
      <c r="L242" s="153">
        <v>0.53857526864315253</v>
      </c>
      <c r="M242" s="153">
        <v>0.3432094572454602</v>
      </c>
      <c r="N242" s="472">
        <f t="shared" si="7"/>
        <v>0.32845968612834514</v>
      </c>
      <c r="O242" s="153">
        <v>3.8473756479098807E-2</v>
      </c>
      <c r="P242" s="153">
        <v>0.39358026214566905</v>
      </c>
      <c r="Q242" s="153">
        <v>0.53857526864315253</v>
      </c>
      <c r="R242" s="153">
        <v>0.3432094572454602</v>
      </c>
      <c r="S242" s="153">
        <v>0.03</v>
      </c>
      <c r="T242" s="153">
        <v>0</v>
      </c>
      <c r="U242" s="474">
        <v>2010</v>
      </c>
      <c r="V242">
        <v>2023</v>
      </c>
      <c r="W242">
        <v>0</v>
      </c>
      <c r="X242">
        <v>0</v>
      </c>
      <c r="Y242">
        <v>1304</v>
      </c>
      <c r="Z242">
        <v>311</v>
      </c>
      <c r="AA242" s="475" t="s">
        <v>23</v>
      </c>
    </row>
    <row r="243" spans="1:27" ht="15" hidden="1">
      <c r="A243" s="24">
        <v>1242</v>
      </c>
      <c r="B243" s="24">
        <v>1242</v>
      </c>
      <c r="C243" s="469" t="s">
        <v>637</v>
      </c>
      <c r="D243" t="s">
        <v>149</v>
      </c>
      <c r="E243" s="470">
        <v>2</v>
      </c>
      <c r="F243" s="471">
        <v>0</v>
      </c>
      <c r="G243">
        <v>1</v>
      </c>
      <c r="H243">
        <v>1</v>
      </c>
      <c r="I243" s="472">
        <f t="shared" si="6"/>
        <v>0.32845968612834514</v>
      </c>
      <c r="J243" s="153">
        <v>3.8473756479098807E-2</v>
      </c>
      <c r="K243" s="153">
        <v>0.39358026214566905</v>
      </c>
      <c r="L243" s="153">
        <v>0.53857526864315253</v>
      </c>
      <c r="M243" s="153">
        <v>0.3432094572454602</v>
      </c>
      <c r="N243" s="472">
        <f t="shared" si="7"/>
        <v>0.32845968612834514</v>
      </c>
      <c r="O243" s="153">
        <v>3.8473756479098807E-2</v>
      </c>
      <c r="P243" s="153">
        <v>0.39358026214566905</v>
      </c>
      <c r="Q243" s="153">
        <v>0.53857526864315253</v>
      </c>
      <c r="R243" s="153">
        <v>0.3432094572454602</v>
      </c>
      <c r="S243" s="153">
        <v>0.03</v>
      </c>
      <c r="T243" s="153">
        <v>0</v>
      </c>
      <c r="U243" s="474">
        <v>1900</v>
      </c>
      <c r="V243">
        <v>2030</v>
      </c>
      <c r="W243">
        <v>0</v>
      </c>
      <c r="X243">
        <v>0</v>
      </c>
      <c r="Y243">
        <v>1304</v>
      </c>
      <c r="Z243">
        <v>311</v>
      </c>
      <c r="AA243" s="475" t="s">
        <v>23</v>
      </c>
    </row>
    <row r="244" spans="1:27" ht="15" hidden="1">
      <c r="A244" s="24">
        <v>1243</v>
      </c>
      <c r="B244" s="24">
        <v>1243</v>
      </c>
      <c r="C244" s="469" t="s">
        <v>638</v>
      </c>
      <c r="D244" t="s">
        <v>146</v>
      </c>
      <c r="E244" s="470">
        <v>1</v>
      </c>
      <c r="F244" s="471">
        <v>4.2780000000000005</v>
      </c>
      <c r="G244">
        <v>1</v>
      </c>
      <c r="H244">
        <v>1</v>
      </c>
      <c r="I244" s="472">
        <f t="shared" si="6"/>
        <v>0.32845968612834514</v>
      </c>
      <c r="J244" s="153">
        <v>3.8473756479098807E-2</v>
      </c>
      <c r="K244" s="153">
        <v>0.39358026214566905</v>
      </c>
      <c r="L244" s="153">
        <v>0.53857526864315253</v>
      </c>
      <c r="M244" s="153">
        <v>0.3432094572454602</v>
      </c>
      <c r="N244" s="472">
        <f t="shared" si="7"/>
        <v>0.32845968612834514</v>
      </c>
      <c r="O244" s="153">
        <v>3.8473756479098807E-2</v>
      </c>
      <c r="P244" s="153">
        <v>0.39358026214566905</v>
      </c>
      <c r="Q244" s="153">
        <v>0.53857526864315253</v>
      </c>
      <c r="R244" s="153">
        <v>0.3432094572454602</v>
      </c>
      <c r="S244" s="153">
        <v>0.03</v>
      </c>
      <c r="T244" s="153">
        <v>0</v>
      </c>
      <c r="U244" s="474">
        <v>1900</v>
      </c>
      <c r="V244">
        <v>2030</v>
      </c>
      <c r="W244">
        <v>0</v>
      </c>
      <c r="X244">
        <v>0</v>
      </c>
      <c r="Y244">
        <v>1304</v>
      </c>
      <c r="Z244">
        <v>311</v>
      </c>
      <c r="AA244" s="475" t="s">
        <v>23</v>
      </c>
    </row>
    <row r="245" spans="1:27" ht="15" hidden="1">
      <c r="A245" s="24">
        <v>1244</v>
      </c>
      <c r="B245" s="24">
        <v>1244</v>
      </c>
      <c r="C245" s="469" t="s">
        <v>639</v>
      </c>
      <c r="D245" t="s">
        <v>146</v>
      </c>
      <c r="E245" s="470">
        <v>1</v>
      </c>
      <c r="F245" s="471">
        <v>0</v>
      </c>
      <c r="G245">
        <v>1</v>
      </c>
      <c r="H245">
        <v>1</v>
      </c>
      <c r="I245" s="472">
        <f t="shared" si="6"/>
        <v>0.32845968612834514</v>
      </c>
      <c r="J245" s="153">
        <v>3.8473756479098807E-2</v>
      </c>
      <c r="K245" s="153">
        <v>0.39358026214566905</v>
      </c>
      <c r="L245" s="153">
        <v>0.53857526864315253</v>
      </c>
      <c r="M245" s="153">
        <v>0.3432094572454602</v>
      </c>
      <c r="N245" s="472">
        <f t="shared" si="7"/>
        <v>0.32845968612834514</v>
      </c>
      <c r="O245" s="153">
        <v>3.8473756479098807E-2</v>
      </c>
      <c r="P245" s="153">
        <v>0.39358026214566905</v>
      </c>
      <c r="Q245" s="153">
        <v>0.53857526864315253</v>
      </c>
      <c r="R245" s="153">
        <v>0.3432094572454602</v>
      </c>
      <c r="S245" s="153">
        <v>0.03</v>
      </c>
      <c r="T245" s="153">
        <v>0</v>
      </c>
      <c r="U245" s="474">
        <v>1900</v>
      </c>
      <c r="V245">
        <v>2030</v>
      </c>
      <c r="W245">
        <v>0</v>
      </c>
      <c r="X245">
        <v>0</v>
      </c>
      <c r="Y245">
        <v>1304</v>
      </c>
      <c r="Z245">
        <v>311</v>
      </c>
      <c r="AA245" s="475" t="s">
        <v>23</v>
      </c>
    </row>
    <row r="246" spans="1:27" ht="15">
      <c r="A246" s="24">
        <v>1245</v>
      </c>
      <c r="B246" s="24">
        <v>1245</v>
      </c>
      <c r="C246" s="469" t="s">
        <v>640</v>
      </c>
      <c r="D246" t="s">
        <v>152</v>
      </c>
      <c r="E246" s="470">
        <v>3</v>
      </c>
      <c r="F246" s="471">
        <v>8</v>
      </c>
      <c r="G246">
        <v>1</v>
      </c>
      <c r="H246">
        <v>1</v>
      </c>
      <c r="I246" s="472">
        <f t="shared" si="6"/>
        <v>0.47039166666666665</v>
      </c>
      <c r="J246" s="473">
        <v>0.36503333333333332</v>
      </c>
      <c r="K246" s="473">
        <v>0.44336666666666663</v>
      </c>
      <c r="L246" s="473">
        <v>0.58906666666666663</v>
      </c>
      <c r="M246" s="473">
        <v>0.48410000000000003</v>
      </c>
      <c r="N246" s="472">
        <f t="shared" si="7"/>
        <v>0.47039166666666665</v>
      </c>
      <c r="O246" s="473">
        <v>0.36503333333333332</v>
      </c>
      <c r="P246" s="473">
        <v>0.44336666666666663</v>
      </c>
      <c r="Q246" s="473">
        <v>0.58906666666666663</v>
      </c>
      <c r="R246" s="473">
        <v>0.48410000000000003</v>
      </c>
      <c r="S246" s="153">
        <v>0.01</v>
      </c>
      <c r="T246" s="153">
        <v>0.02</v>
      </c>
      <c r="U246" s="474">
        <v>2012</v>
      </c>
      <c r="V246">
        <v>2032</v>
      </c>
      <c r="W246">
        <v>0</v>
      </c>
      <c r="X246">
        <v>0</v>
      </c>
      <c r="Y246">
        <v>1315</v>
      </c>
      <c r="Z246">
        <v>361</v>
      </c>
      <c r="AA246" s="475" t="s">
        <v>24</v>
      </c>
    </row>
    <row r="247" spans="1:27" ht="15" hidden="1">
      <c r="A247" s="24">
        <v>1246</v>
      </c>
      <c r="B247" s="24">
        <v>1246</v>
      </c>
      <c r="C247" s="469" t="s">
        <v>641</v>
      </c>
      <c r="D247" t="s">
        <v>146</v>
      </c>
      <c r="E247" s="470">
        <v>1</v>
      </c>
      <c r="F247" s="471">
        <v>28.166569166666669</v>
      </c>
      <c r="G247">
        <v>1</v>
      </c>
      <c r="H247">
        <v>1</v>
      </c>
      <c r="I247" s="472">
        <f t="shared" si="6"/>
        <v>0.32845968612834514</v>
      </c>
      <c r="J247" s="153">
        <v>3.8473756479098807E-2</v>
      </c>
      <c r="K247" s="153">
        <v>0.39358026214566905</v>
      </c>
      <c r="L247" s="153">
        <v>0.53857526864315253</v>
      </c>
      <c r="M247" s="153">
        <v>0.3432094572454602</v>
      </c>
      <c r="N247" s="472">
        <f t="shared" si="7"/>
        <v>0.32845968612834514</v>
      </c>
      <c r="O247" s="153">
        <v>3.8473756479098807E-2</v>
      </c>
      <c r="P247" s="153">
        <v>0.39358026214566905</v>
      </c>
      <c r="Q247" s="153">
        <v>0.53857526864315253</v>
      </c>
      <c r="R247" s="153">
        <v>0.3432094572454602</v>
      </c>
      <c r="S247" s="153">
        <v>0.03</v>
      </c>
      <c r="T247" s="153">
        <v>0</v>
      </c>
      <c r="U247" s="474">
        <v>2010</v>
      </c>
      <c r="V247">
        <v>2023</v>
      </c>
      <c r="W247">
        <v>0</v>
      </c>
      <c r="X247">
        <v>0</v>
      </c>
      <c r="Y247">
        <v>1304</v>
      </c>
      <c r="Z247">
        <v>311</v>
      </c>
      <c r="AA247" s="475" t="s">
        <v>23</v>
      </c>
    </row>
    <row r="248" spans="1:27" ht="15">
      <c r="A248" s="24">
        <v>1247</v>
      </c>
      <c r="B248" s="24">
        <v>1247</v>
      </c>
      <c r="C248" s="469" t="s">
        <v>642</v>
      </c>
      <c r="D248" t="s">
        <v>152</v>
      </c>
      <c r="E248" s="470">
        <v>3</v>
      </c>
      <c r="F248" s="471">
        <v>28.56</v>
      </c>
      <c r="G248">
        <v>1</v>
      </c>
      <c r="H248">
        <v>1</v>
      </c>
      <c r="I248" s="472">
        <f t="shared" si="6"/>
        <v>0.47039166666666665</v>
      </c>
      <c r="J248" s="473">
        <v>0.36503333333333332</v>
      </c>
      <c r="K248" s="473">
        <v>0.44336666666666663</v>
      </c>
      <c r="L248" s="473">
        <v>0.58906666666666663</v>
      </c>
      <c r="M248" s="473">
        <v>0.48410000000000003</v>
      </c>
      <c r="N248" s="472">
        <f t="shared" si="7"/>
        <v>0.47039166666666665</v>
      </c>
      <c r="O248" s="473">
        <v>0.36503333333333332</v>
      </c>
      <c r="P248" s="473">
        <v>0.44336666666666663</v>
      </c>
      <c r="Q248" s="473">
        <v>0.58906666666666663</v>
      </c>
      <c r="R248" s="473">
        <v>0.48410000000000003</v>
      </c>
      <c r="S248" s="153">
        <v>0.01</v>
      </c>
      <c r="T248" s="153">
        <v>0.02</v>
      </c>
      <c r="U248" s="474">
        <v>2014</v>
      </c>
      <c r="V248">
        <v>2034</v>
      </c>
      <c r="W248">
        <v>0</v>
      </c>
      <c r="X248">
        <v>0</v>
      </c>
      <c r="Y248">
        <v>1315</v>
      </c>
      <c r="Z248">
        <v>361</v>
      </c>
      <c r="AA248" s="475" t="s">
        <v>24</v>
      </c>
    </row>
    <row r="249" spans="1:27" ht="15" hidden="1">
      <c r="A249" s="24">
        <v>1248</v>
      </c>
      <c r="B249" s="24">
        <v>1248</v>
      </c>
      <c r="C249" s="469" t="s">
        <v>643</v>
      </c>
      <c r="D249" t="s">
        <v>146</v>
      </c>
      <c r="E249" s="470">
        <v>1</v>
      </c>
      <c r="F249" s="471">
        <v>10.833430833333333</v>
      </c>
      <c r="G249">
        <v>1</v>
      </c>
      <c r="H249">
        <v>1</v>
      </c>
      <c r="I249" s="472">
        <f t="shared" si="6"/>
        <v>0.32845968612834514</v>
      </c>
      <c r="J249" s="153">
        <v>3.8473756479098807E-2</v>
      </c>
      <c r="K249" s="153">
        <v>0.39358026214566905</v>
      </c>
      <c r="L249" s="153">
        <v>0.53857526864315253</v>
      </c>
      <c r="M249" s="153">
        <v>0.3432094572454602</v>
      </c>
      <c r="N249" s="472">
        <f t="shared" si="7"/>
        <v>0.32845968612834514</v>
      </c>
      <c r="O249" s="153">
        <v>3.8473756479098807E-2</v>
      </c>
      <c r="P249" s="153">
        <v>0.39358026214566905</v>
      </c>
      <c r="Q249" s="153">
        <v>0.53857526864315253</v>
      </c>
      <c r="R249" s="153">
        <v>0.3432094572454602</v>
      </c>
      <c r="S249" s="153">
        <v>0.03</v>
      </c>
      <c r="T249" s="153">
        <v>0</v>
      </c>
      <c r="U249" s="474">
        <v>2010</v>
      </c>
      <c r="V249">
        <v>2023</v>
      </c>
      <c r="W249">
        <v>0</v>
      </c>
      <c r="X249">
        <v>0</v>
      </c>
      <c r="Y249">
        <v>1304</v>
      </c>
      <c r="Z249">
        <v>311</v>
      </c>
      <c r="AA249" s="475" t="s">
        <v>23</v>
      </c>
    </row>
    <row r="250" spans="1:27" ht="15" hidden="1">
      <c r="A250" s="24">
        <v>1249</v>
      </c>
      <c r="B250" s="24">
        <v>1249</v>
      </c>
      <c r="C250" s="469" t="s">
        <v>644</v>
      </c>
      <c r="D250" t="s">
        <v>146</v>
      </c>
      <c r="E250" s="470">
        <v>1</v>
      </c>
      <c r="F250" s="471">
        <v>11.252343750000001</v>
      </c>
      <c r="G250">
        <v>1</v>
      </c>
      <c r="H250">
        <v>1</v>
      </c>
      <c r="I250" s="472">
        <f t="shared" si="6"/>
        <v>0.32845968612834514</v>
      </c>
      <c r="J250" s="153">
        <v>3.8473756479098807E-2</v>
      </c>
      <c r="K250" s="153">
        <v>0.39358026214566905</v>
      </c>
      <c r="L250" s="153">
        <v>0.53857526864315253</v>
      </c>
      <c r="M250" s="153">
        <v>0.3432094572454602</v>
      </c>
      <c r="N250" s="472">
        <f t="shared" si="7"/>
        <v>0.32845968612834514</v>
      </c>
      <c r="O250" s="153">
        <v>3.8473756479098807E-2</v>
      </c>
      <c r="P250" s="153">
        <v>0.39358026214566905</v>
      </c>
      <c r="Q250" s="153">
        <v>0.53857526864315253</v>
      </c>
      <c r="R250" s="153">
        <v>0.3432094572454602</v>
      </c>
      <c r="S250" s="153">
        <v>0.03</v>
      </c>
      <c r="T250" s="153">
        <v>0</v>
      </c>
      <c r="U250" s="474">
        <v>2014</v>
      </c>
      <c r="V250">
        <v>2030</v>
      </c>
      <c r="W250">
        <v>0</v>
      </c>
      <c r="X250">
        <v>0</v>
      </c>
      <c r="Y250">
        <v>1304</v>
      </c>
      <c r="Z250">
        <v>311</v>
      </c>
      <c r="AA250" s="475" t="s">
        <v>23</v>
      </c>
    </row>
    <row r="251" spans="1:27" ht="15" hidden="1">
      <c r="A251" s="24">
        <v>1250</v>
      </c>
      <c r="B251" s="24">
        <v>1250</v>
      </c>
      <c r="C251" s="469" t="s">
        <v>645</v>
      </c>
      <c r="D251" t="s">
        <v>149</v>
      </c>
      <c r="E251" s="470">
        <v>2</v>
      </c>
      <c r="F251" s="471">
        <v>0.93</v>
      </c>
      <c r="G251">
        <v>1</v>
      </c>
      <c r="H251">
        <v>1</v>
      </c>
      <c r="I251" s="472">
        <f t="shared" si="6"/>
        <v>0.25418333333333343</v>
      </c>
      <c r="J251" s="33">
        <v>0.29116666666666663</v>
      </c>
      <c r="K251" s="33">
        <f t="shared" ref="K251" si="8">0.2844-0.07</f>
        <v>0.21439999999999998</v>
      </c>
      <c r="L251" s="33">
        <f>0.291166666666667-0.07</f>
        <v>0.22116666666666701</v>
      </c>
      <c r="M251" s="33">
        <v>0.28999999999999998</v>
      </c>
      <c r="N251" s="472">
        <f t="shared" si="7"/>
        <v>0.25418333333333343</v>
      </c>
      <c r="O251" s="33">
        <v>0.29116666666666663</v>
      </c>
      <c r="P251" s="33">
        <f t="shared" ref="P251" si="9">0.2844-0.07</f>
        <v>0.21439999999999998</v>
      </c>
      <c r="Q251" s="33">
        <f>0.291166666666667-0.07</f>
        <v>0.22116666666666701</v>
      </c>
      <c r="R251" s="33">
        <v>0.28999999999999998</v>
      </c>
      <c r="S251" s="153">
        <v>0.04</v>
      </c>
      <c r="T251" s="153">
        <v>0</v>
      </c>
      <c r="U251" s="474">
        <v>2014</v>
      </c>
      <c r="V251">
        <v>2034</v>
      </c>
      <c r="W251">
        <v>0</v>
      </c>
      <c r="X251">
        <v>0</v>
      </c>
      <c r="Y251">
        <v>1315</v>
      </c>
      <c r="Z251">
        <v>347</v>
      </c>
      <c r="AA251" s="475" t="s">
        <v>25</v>
      </c>
    </row>
    <row r="252" spans="1:27" ht="15" hidden="1">
      <c r="A252" s="24">
        <v>1251</v>
      </c>
      <c r="B252" s="24">
        <v>1251</v>
      </c>
      <c r="C252" s="469" t="s">
        <v>646</v>
      </c>
      <c r="D252" t="s">
        <v>146</v>
      </c>
      <c r="E252" s="470">
        <v>1</v>
      </c>
      <c r="F252" s="471">
        <v>18.747656249999999</v>
      </c>
      <c r="G252">
        <v>1</v>
      </c>
      <c r="H252">
        <v>1</v>
      </c>
      <c r="I252" s="472">
        <f t="shared" si="6"/>
        <v>0.32845968612834514</v>
      </c>
      <c r="J252" s="153">
        <v>3.8473756479098807E-2</v>
      </c>
      <c r="K252" s="153">
        <v>0.39358026214566905</v>
      </c>
      <c r="L252" s="153">
        <v>0.53857526864315253</v>
      </c>
      <c r="M252" s="153">
        <v>0.3432094572454602</v>
      </c>
      <c r="N252" s="472">
        <f t="shared" si="7"/>
        <v>0.32845968612834514</v>
      </c>
      <c r="O252" s="153">
        <v>3.8473756479098807E-2</v>
      </c>
      <c r="P252" s="153">
        <v>0.39358026214566905</v>
      </c>
      <c r="Q252" s="153">
        <v>0.53857526864315253</v>
      </c>
      <c r="R252" s="153">
        <v>0.3432094572454602</v>
      </c>
      <c r="S252" s="153">
        <v>0.03</v>
      </c>
      <c r="T252" s="153">
        <v>0</v>
      </c>
      <c r="U252" s="474">
        <v>2014</v>
      </c>
      <c r="V252">
        <v>2035</v>
      </c>
      <c r="W252">
        <v>0</v>
      </c>
      <c r="X252">
        <v>0</v>
      </c>
      <c r="Y252">
        <v>1304</v>
      </c>
      <c r="Z252">
        <v>311</v>
      </c>
      <c r="AA252" s="475" t="s">
        <v>23</v>
      </c>
    </row>
    <row r="253" spans="1:27" ht="15" hidden="1">
      <c r="A253" s="24">
        <v>1252</v>
      </c>
      <c r="B253" s="24">
        <v>1252</v>
      </c>
      <c r="C253" s="469" t="s">
        <v>647</v>
      </c>
      <c r="D253" t="s">
        <v>152</v>
      </c>
      <c r="E253" s="470">
        <v>3</v>
      </c>
      <c r="F253" s="471">
        <v>1</v>
      </c>
      <c r="G253">
        <v>1</v>
      </c>
      <c r="H253">
        <v>1</v>
      </c>
      <c r="I253" s="472">
        <f t="shared" si="6"/>
        <v>0.26420000000000005</v>
      </c>
      <c r="J253" s="33">
        <v>0.29123333333333334</v>
      </c>
      <c r="K253" s="33">
        <f>0.296266666666667-0.07</f>
        <v>0.226266666666667</v>
      </c>
      <c r="L253" s="33">
        <f>0.3193-0.07</f>
        <v>0.24929999999999997</v>
      </c>
      <c r="M253" s="33">
        <v>0.28999999999999998</v>
      </c>
      <c r="N253" s="472">
        <f t="shared" si="7"/>
        <v>0.26420000000000005</v>
      </c>
      <c r="O253" s="33">
        <v>0.29123333333333334</v>
      </c>
      <c r="P253" s="33">
        <f>0.296266666666667-0.07</f>
        <v>0.226266666666667</v>
      </c>
      <c r="Q253" s="33">
        <f>0.3193-0.07</f>
        <v>0.24929999999999997</v>
      </c>
      <c r="R253" s="33">
        <v>0.28999999999999998</v>
      </c>
      <c r="S253" s="153">
        <v>0.04</v>
      </c>
      <c r="T253" s="153">
        <v>0</v>
      </c>
      <c r="U253" s="474">
        <v>2011</v>
      </c>
      <c r="V253">
        <v>2031</v>
      </c>
      <c r="W253">
        <v>0</v>
      </c>
      <c r="X253">
        <v>0</v>
      </c>
      <c r="Y253">
        <v>1315</v>
      </c>
      <c r="Z253">
        <v>347</v>
      </c>
      <c r="AA253" s="475" t="s">
        <v>25</v>
      </c>
    </row>
    <row r="254" spans="1:27" ht="15" hidden="1">
      <c r="A254" s="24">
        <v>1253</v>
      </c>
      <c r="B254" s="24">
        <v>1253</v>
      </c>
      <c r="C254" s="469" t="s">
        <v>648</v>
      </c>
      <c r="D254" t="s">
        <v>146</v>
      </c>
      <c r="E254" s="470">
        <v>1</v>
      </c>
      <c r="F254" s="471">
        <v>24.541136231884057</v>
      </c>
      <c r="G254">
        <v>1</v>
      </c>
      <c r="H254">
        <v>1</v>
      </c>
      <c r="I254" s="472">
        <f t="shared" si="6"/>
        <v>0.32845968612834514</v>
      </c>
      <c r="J254" s="153">
        <v>3.8473756479098807E-2</v>
      </c>
      <c r="K254" s="153">
        <v>0.39358026214566905</v>
      </c>
      <c r="L254" s="153">
        <v>0.53857526864315253</v>
      </c>
      <c r="M254" s="153">
        <v>0.3432094572454602</v>
      </c>
      <c r="N254" s="472">
        <f t="shared" si="7"/>
        <v>0.32845968612834514</v>
      </c>
      <c r="O254" s="153">
        <v>3.8473756479098807E-2</v>
      </c>
      <c r="P254" s="153">
        <v>0.39358026214566905</v>
      </c>
      <c r="Q254" s="153">
        <v>0.53857526864315253</v>
      </c>
      <c r="R254" s="153">
        <v>0.3432094572454602</v>
      </c>
      <c r="S254" s="153">
        <v>0.03</v>
      </c>
      <c r="T254" s="153">
        <v>0</v>
      </c>
      <c r="U254" s="474">
        <v>2007</v>
      </c>
      <c r="V254">
        <v>2023</v>
      </c>
      <c r="W254">
        <v>0</v>
      </c>
      <c r="X254">
        <v>0</v>
      </c>
      <c r="Y254">
        <v>1304</v>
      </c>
      <c r="Z254">
        <v>311</v>
      </c>
      <c r="AA254" s="475" t="s">
        <v>23</v>
      </c>
    </row>
    <row r="255" spans="1:27" ht="15" hidden="1">
      <c r="A255" s="24">
        <v>1254</v>
      </c>
      <c r="B255" s="24">
        <v>1254</v>
      </c>
      <c r="C255" s="469" t="s">
        <v>649</v>
      </c>
      <c r="D255" t="s">
        <v>146</v>
      </c>
      <c r="E255" s="470">
        <v>1</v>
      </c>
      <c r="F255" s="471">
        <v>1.0820000000000001</v>
      </c>
      <c r="G255">
        <v>1</v>
      </c>
      <c r="H255">
        <v>1</v>
      </c>
      <c r="I255" s="472">
        <f t="shared" si="6"/>
        <v>0.25418333333333343</v>
      </c>
      <c r="J255" s="33">
        <v>0.29116666666666663</v>
      </c>
      <c r="K255" s="33">
        <f t="shared" ref="K255" si="10">0.2844-0.07</f>
        <v>0.21439999999999998</v>
      </c>
      <c r="L255" s="33">
        <f>0.291166666666667-0.07</f>
        <v>0.22116666666666701</v>
      </c>
      <c r="M255" s="33">
        <v>0.28999999999999998</v>
      </c>
      <c r="N255" s="472">
        <f t="shared" si="7"/>
        <v>0.25418333333333343</v>
      </c>
      <c r="O255" s="33">
        <v>0.29116666666666663</v>
      </c>
      <c r="P255" s="33">
        <f t="shared" ref="P255" si="11">0.2844-0.07</f>
        <v>0.21439999999999998</v>
      </c>
      <c r="Q255" s="33">
        <f>0.291166666666667-0.07</f>
        <v>0.22116666666666701</v>
      </c>
      <c r="R255" s="33">
        <v>0.28999999999999998</v>
      </c>
      <c r="S255" s="153">
        <v>0.04</v>
      </c>
      <c r="T255" s="153">
        <v>0</v>
      </c>
      <c r="U255" s="474">
        <v>1900</v>
      </c>
      <c r="V255" s="24">
        <v>2028</v>
      </c>
      <c r="W255">
        <v>0</v>
      </c>
      <c r="X255">
        <v>0</v>
      </c>
      <c r="Y255">
        <v>1315</v>
      </c>
      <c r="Z255">
        <v>347</v>
      </c>
      <c r="AA255" s="475" t="s">
        <v>25</v>
      </c>
    </row>
    <row r="256" spans="1:27" ht="15" hidden="1">
      <c r="A256" s="24">
        <v>1255</v>
      </c>
      <c r="B256" s="24">
        <v>1255</v>
      </c>
      <c r="C256" s="469" t="s">
        <v>650</v>
      </c>
      <c r="D256" t="s">
        <v>152</v>
      </c>
      <c r="E256" s="470">
        <v>3</v>
      </c>
      <c r="F256" s="471">
        <v>1.1000000000000001</v>
      </c>
      <c r="G256">
        <v>1</v>
      </c>
      <c r="H256">
        <v>1</v>
      </c>
      <c r="I256" s="472">
        <f t="shared" si="6"/>
        <v>0.26420000000000005</v>
      </c>
      <c r="J256" s="33">
        <v>0.29123333333333334</v>
      </c>
      <c r="K256" s="33">
        <f>0.296266666666667-0.07</f>
        <v>0.226266666666667</v>
      </c>
      <c r="L256" s="33">
        <f>0.3193-0.07</f>
        <v>0.24929999999999997</v>
      </c>
      <c r="M256" s="33">
        <v>0.28999999999999998</v>
      </c>
      <c r="N256" s="472">
        <f t="shared" si="7"/>
        <v>0.26420000000000005</v>
      </c>
      <c r="O256" s="33">
        <v>0.29123333333333334</v>
      </c>
      <c r="P256" s="33">
        <f>0.296266666666667-0.07</f>
        <v>0.226266666666667</v>
      </c>
      <c r="Q256" s="33">
        <f>0.3193-0.07</f>
        <v>0.24929999999999997</v>
      </c>
      <c r="R256" s="33">
        <v>0.28999999999999998</v>
      </c>
      <c r="S256" s="153">
        <v>0.04</v>
      </c>
      <c r="T256" s="153">
        <v>0</v>
      </c>
      <c r="U256" s="474">
        <v>2014</v>
      </c>
      <c r="V256">
        <v>2034</v>
      </c>
      <c r="W256">
        <v>0</v>
      </c>
      <c r="X256">
        <v>0</v>
      </c>
      <c r="Y256">
        <v>1315</v>
      </c>
      <c r="Z256">
        <v>347</v>
      </c>
      <c r="AA256" s="475" t="s">
        <v>25</v>
      </c>
    </row>
    <row r="257" spans="1:27" ht="15" hidden="1">
      <c r="A257" s="24">
        <v>1256</v>
      </c>
      <c r="B257" s="24">
        <v>1256</v>
      </c>
      <c r="C257" s="469" t="s">
        <v>651</v>
      </c>
      <c r="D257" t="s">
        <v>146</v>
      </c>
      <c r="E257" s="470">
        <v>1</v>
      </c>
      <c r="F257" s="471">
        <v>15.458863768115943</v>
      </c>
      <c r="G257">
        <v>1</v>
      </c>
      <c r="H257">
        <v>1</v>
      </c>
      <c r="I257" s="472">
        <f t="shared" si="6"/>
        <v>0.32845968612834514</v>
      </c>
      <c r="J257" s="153">
        <v>3.8473756479098807E-2</v>
      </c>
      <c r="K257" s="153">
        <v>0.39358026214566905</v>
      </c>
      <c r="L257" s="153">
        <v>0.53857526864315253</v>
      </c>
      <c r="M257" s="153">
        <v>0.3432094572454602</v>
      </c>
      <c r="N257" s="472">
        <f t="shared" si="7"/>
        <v>0.32845968612834514</v>
      </c>
      <c r="O257" s="153">
        <v>3.8473756479098807E-2</v>
      </c>
      <c r="P257" s="153">
        <v>0.39358026214566905</v>
      </c>
      <c r="Q257" s="153">
        <v>0.53857526864315253</v>
      </c>
      <c r="R257" s="153">
        <v>0.3432094572454602</v>
      </c>
      <c r="S257" s="153">
        <v>0.03</v>
      </c>
      <c r="T257" s="153">
        <v>0</v>
      </c>
      <c r="U257" s="474">
        <v>2008</v>
      </c>
      <c r="V257">
        <v>2023</v>
      </c>
      <c r="W257">
        <v>0</v>
      </c>
      <c r="X257">
        <v>0</v>
      </c>
      <c r="Y257">
        <v>1304</v>
      </c>
      <c r="Z257">
        <v>311</v>
      </c>
      <c r="AA257" s="475" t="s">
        <v>23</v>
      </c>
    </row>
    <row r="258" spans="1:27" ht="15" hidden="1">
      <c r="A258" s="24">
        <v>1257</v>
      </c>
      <c r="B258" s="24">
        <v>1257</v>
      </c>
      <c r="C258" s="469" t="s">
        <v>652</v>
      </c>
      <c r="D258" t="s">
        <v>146</v>
      </c>
      <c r="E258" s="470">
        <v>1</v>
      </c>
      <c r="F258" s="471">
        <v>1.42</v>
      </c>
      <c r="G258">
        <v>1</v>
      </c>
      <c r="H258">
        <v>1</v>
      </c>
      <c r="I258" s="472">
        <f t="shared" ref="I258:I321" si="12">AVERAGE(J258:M258)</f>
        <v>0.25418333333333343</v>
      </c>
      <c r="J258" s="33">
        <v>0.29116666666666663</v>
      </c>
      <c r="K258" s="33">
        <f t="shared" ref="K258" si="13">0.2844-0.07</f>
        <v>0.21439999999999998</v>
      </c>
      <c r="L258" s="33">
        <f>0.291166666666667-0.07</f>
        <v>0.22116666666666701</v>
      </c>
      <c r="M258" s="33">
        <v>0.28999999999999998</v>
      </c>
      <c r="N258" s="472">
        <f t="shared" ref="N258:N321" si="14">AVERAGE(O258:R258)</f>
        <v>0.25418333333333343</v>
      </c>
      <c r="O258" s="33">
        <v>0.29116666666666663</v>
      </c>
      <c r="P258" s="33">
        <f t="shared" ref="P258" si="15">0.2844-0.07</f>
        <v>0.21439999999999998</v>
      </c>
      <c r="Q258" s="33">
        <f>0.291166666666667-0.07</f>
        <v>0.22116666666666701</v>
      </c>
      <c r="R258" s="33">
        <v>0.28999999999999998</v>
      </c>
      <c r="S258" s="153">
        <v>0.04</v>
      </c>
      <c r="T258" s="153">
        <v>0</v>
      </c>
      <c r="U258" s="474">
        <v>2014</v>
      </c>
      <c r="V258">
        <v>2034</v>
      </c>
      <c r="W258">
        <v>0</v>
      </c>
      <c r="X258">
        <v>0</v>
      </c>
      <c r="Y258">
        <v>1315</v>
      </c>
      <c r="Z258">
        <v>347</v>
      </c>
      <c r="AA258" s="475" t="s">
        <v>25</v>
      </c>
    </row>
    <row r="259" spans="1:27" ht="15" hidden="1">
      <c r="A259" s="24">
        <v>1258</v>
      </c>
      <c r="B259" s="24">
        <v>1258</v>
      </c>
      <c r="C259" s="469" t="s">
        <v>653</v>
      </c>
      <c r="D259" t="s">
        <v>152</v>
      </c>
      <c r="E259" s="470">
        <v>3</v>
      </c>
      <c r="F259" s="471">
        <v>8</v>
      </c>
      <c r="G259">
        <v>1</v>
      </c>
      <c r="H259">
        <v>1</v>
      </c>
      <c r="I259" s="472">
        <f t="shared" si="12"/>
        <v>0.32845968612834514</v>
      </c>
      <c r="J259" s="153">
        <v>3.8473756479098807E-2</v>
      </c>
      <c r="K259" s="153">
        <v>0.39358026214566905</v>
      </c>
      <c r="L259" s="153">
        <v>0.53857526864315253</v>
      </c>
      <c r="M259" s="153">
        <v>0.3432094572454602</v>
      </c>
      <c r="N259" s="472">
        <f t="shared" si="14"/>
        <v>0.32845968612834514</v>
      </c>
      <c r="O259" s="153">
        <v>3.8473756479098807E-2</v>
      </c>
      <c r="P259" s="153">
        <v>0.39358026214566905</v>
      </c>
      <c r="Q259" s="153">
        <v>0.53857526864315253</v>
      </c>
      <c r="R259" s="153">
        <v>0.3432094572454602</v>
      </c>
      <c r="S259" s="153">
        <v>0.03</v>
      </c>
      <c r="T259" s="153">
        <v>0</v>
      </c>
      <c r="U259" s="474">
        <v>2008</v>
      </c>
      <c r="V259">
        <v>2030</v>
      </c>
      <c r="W259">
        <v>0</v>
      </c>
      <c r="X259">
        <v>0</v>
      </c>
      <c r="Y259">
        <v>1304</v>
      </c>
      <c r="Z259">
        <v>311</v>
      </c>
      <c r="AA259" s="475" t="s">
        <v>23</v>
      </c>
    </row>
    <row r="260" spans="1:27" ht="15" hidden="1">
      <c r="A260" s="24">
        <v>1259</v>
      </c>
      <c r="B260" s="24">
        <v>1259</v>
      </c>
      <c r="C260" s="469" t="s">
        <v>654</v>
      </c>
      <c r="D260" t="s">
        <v>152</v>
      </c>
      <c r="E260" s="470">
        <v>3</v>
      </c>
      <c r="F260" s="471">
        <v>0</v>
      </c>
      <c r="G260">
        <v>1</v>
      </c>
      <c r="H260">
        <v>1</v>
      </c>
      <c r="I260" s="472">
        <f t="shared" si="12"/>
        <v>0.32845968612834514</v>
      </c>
      <c r="J260" s="153">
        <v>3.8473756479098807E-2</v>
      </c>
      <c r="K260" s="153">
        <v>0.39358026214566905</v>
      </c>
      <c r="L260" s="153">
        <v>0.53857526864315253</v>
      </c>
      <c r="M260" s="153">
        <v>0.3432094572454602</v>
      </c>
      <c r="N260" s="472">
        <f t="shared" si="14"/>
        <v>0.32845968612834514</v>
      </c>
      <c r="O260" s="153">
        <v>3.8473756479098807E-2</v>
      </c>
      <c r="P260" s="153">
        <v>0.39358026214566905</v>
      </c>
      <c r="Q260" s="153">
        <v>0.53857526864315253</v>
      </c>
      <c r="R260" s="153">
        <v>0.3432094572454602</v>
      </c>
      <c r="S260" s="153">
        <v>0.03</v>
      </c>
      <c r="T260" s="153">
        <v>0</v>
      </c>
      <c r="U260" s="474">
        <v>2008</v>
      </c>
      <c r="V260">
        <v>2030</v>
      </c>
      <c r="W260">
        <v>0</v>
      </c>
      <c r="X260">
        <v>0</v>
      </c>
      <c r="Y260">
        <v>1304</v>
      </c>
      <c r="Z260">
        <v>311</v>
      </c>
      <c r="AA260" s="475" t="s">
        <v>23</v>
      </c>
    </row>
    <row r="261" spans="1:27" ht="15" hidden="1">
      <c r="A261" s="24">
        <v>1260</v>
      </c>
      <c r="B261" s="24">
        <v>1260</v>
      </c>
      <c r="C261" s="469" t="s">
        <v>655</v>
      </c>
      <c r="D261" t="s">
        <v>149</v>
      </c>
      <c r="E261" s="470">
        <v>2</v>
      </c>
      <c r="F261" s="471">
        <v>22.5</v>
      </c>
      <c r="G261">
        <v>1</v>
      </c>
      <c r="H261">
        <v>1</v>
      </c>
      <c r="I261" s="472">
        <f t="shared" si="12"/>
        <v>0.40033333333333337</v>
      </c>
      <c r="J261" s="153">
        <v>0.3706666666666667</v>
      </c>
      <c r="K261" s="153">
        <v>0.3666666666666667</v>
      </c>
      <c r="L261" s="153">
        <v>0.44799999999999995</v>
      </c>
      <c r="M261" s="153">
        <v>0.41600000000000009</v>
      </c>
      <c r="N261" s="472">
        <f t="shared" si="14"/>
        <v>0.40033333333333337</v>
      </c>
      <c r="O261" s="153">
        <v>0.3706666666666667</v>
      </c>
      <c r="P261" s="153">
        <v>0.3666666666666667</v>
      </c>
      <c r="Q261" s="153">
        <v>0.44799999999999995</v>
      </c>
      <c r="R261" s="153">
        <v>0.41600000000000009</v>
      </c>
      <c r="S261" s="153">
        <v>0.01</v>
      </c>
      <c r="T261" s="153">
        <v>0.02</v>
      </c>
      <c r="U261" s="474">
        <v>2011</v>
      </c>
      <c r="V261">
        <v>2031</v>
      </c>
      <c r="W261">
        <v>0</v>
      </c>
      <c r="X261">
        <v>0</v>
      </c>
      <c r="Y261">
        <v>1315</v>
      </c>
      <c r="Z261">
        <v>360</v>
      </c>
      <c r="AA261" s="475" t="s">
        <v>24</v>
      </c>
    </row>
    <row r="262" spans="1:27" ht="15" hidden="1">
      <c r="A262" s="24">
        <v>1261</v>
      </c>
      <c r="B262" s="24">
        <v>1261</v>
      </c>
      <c r="C262" s="469" t="s">
        <v>656</v>
      </c>
      <c r="D262" t="s">
        <v>149</v>
      </c>
      <c r="E262" s="470">
        <v>2</v>
      </c>
      <c r="F262" s="471">
        <v>30</v>
      </c>
      <c r="G262">
        <v>1</v>
      </c>
      <c r="H262">
        <v>1</v>
      </c>
      <c r="I262" s="472">
        <f t="shared" si="12"/>
        <v>0.40033333333333337</v>
      </c>
      <c r="J262" s="153">
        <v>0.3706666666666667</v>
      </c>
      <c r="K262" s="153">
        <v>0.3666666666666667</v>
      </c>
      <c r="L262" s="153">
        <v>0.44799999999999995</v>
      </c>
      <c r="M262" s="153">
        <v>0.41600000000000009</v>
      </c>
      <c r="N262" s="472">
        <f t="shared" si="14"/>
        <v>0.40033333333333337</v>
      </c>
      <c r="O262" s="153">
        <v>0.3706666666666667</v>
      </c>
      <c r="P262" s="153">
        <v>0.3666666666666667</v>
      </c>
      <c r="Q262" s="153">
        <v>0.44799999999999995</v>
      </c>
      <c r="R262" s="153">
        <v>0.41600000000000009</v>
      </c>
      <c r="S262" s="153">
        <v>0.01</v>
      </c>
      <c r="T262" s="153">
        <v>0.02</v>
      </c>
      <c r="U262" s="474">
        <v>2011</v>
      </c>
      <c r="V262">
        <v>2031</v>
      </c>
      <c r="W262">
        <v>0</v>
      </c>
      <c r="X262">
        <v>0</v>
      </c>
      <c r="Y262">
        <v>1315</v>
      </c>
      <c r="Z262">
        <v>360</v>
      </c>
      <c r="AA262" s="475" t="s">
        <v>24</v>
      </c>
    </row>
    <row r="263" spans="1:27" ht="15">
      <c r="A263" s="24">
        <v>1262</v>
      </c>
      <c r="B263" s="24">
        <v>1262</v>
      </c>
      <c r="C263" s="469" t="s">
        <v>657</v>
      </c>
      <c r="D263" t="s">
        <v>152</v>
      </c>
      <c r="E263" s="470">
        <v>3</v>
      </c>
      <c r="F263" s="471">
        <v>31.86</v>
      </c>
      <c r="G263">
        <v>1</v>
      </c>
      <c r="H263">
        <v>1</v>
      </c>
      <c r="I263" s="472">
        <f t="shared" si="12"/>
        <v>0.47039166666666665</v>
      </c>
      <c r="J263" s="473">
        <v>0.36503333333333332</v>
      </c>
      <c r="K263" s="473">
        <v>0.44336666666666663</v>
      </c>
      <c r="L263" s="473">
        <v>0.58906666666666663</v>
      </c>
      <c r="M263" s="473">
        <v>0.48410000000000003</v>
      </c>
      <c r="N263" s="472">
        <f t="shared" si="14"/>
        <v>0.47039166666666665</v>
      </c>
      <c r="O263" s="473">
        <v>0.36503333333333332</v>
      </c>
      <c r="P263" s="473">
        <v>0.44336666666666663</v>
      </c>
      <c r="Q263" s="473">
        <v>0.58906666666666663</v>
      </c>
      <c r="R263" s="473">
        <v>0.48410000000000003</v>
      </c>
      <c r="S263" s="153">
        <v>0.01</v>
      </c>
      <c r="T263" s="153">
        <v>0.02</v>
      </c>
      <c r="U263" s="474">
        <v>2013</v>
      </c>
      <c r="V263">
        <v>2033</v>
      </c>
      <c r="W263">
        <v>0</v>
      </c>
      <c r="X263">
        <v>0</v>
      </c>
      <c r="Y263">
        <v>1315</v>
      </c>
      <c r="Z263">
        <v>361</v>
      </c>
      <c r="AA263" s="475" t="s">
        <v>24</v>
      </c>
    </row>
    <row r="264" spans="1:27" ht="15" hidden="1">
      <c r="A264" s="24">
        <v>1263</v>
      </c>
      <c r="B264" s="24">
        <v>1263</v>
      </c>
      <c r="C264" s="469" t="s">
        <v>658</v>
      </c>
      <c r="D264" t="s">
        <v>146</v>
      </c>
      <c r="E264" s="470">
        <v>1</v>
      </c>
      <c r="F264" s="471">
        <v>16.5761316872428</v>
      </c>
      <c r="G264">
        <v>1</v>
      </c>
      <c r="H264">
        <v>1</v>
      </c>
      <c r="I264" s="472">
        <f t="shared" si="12"/>
        <v>0.32845968612834514</v>
      </c>
      <c r="J264" s="153">
        <v>3.8473756479098807E-2</v>
      </c>
      <c r="K264" s="153">
        <v>0.39358026214566905</v>
      </c>
      <c r="L264" s="153">
        <v>0.53857526864315253</v>
      </c>
      <c r="M264" s="153">
        <v>0.3432094572454602</v>
      </c>
      <c r="N264" s="472">
        <f t="shared" si="14"/>
        <v>0.32845968612834514</v>
      </c>
      <c r="O264" s="153">
        <v>3.8473756479098807E-2</v>
      </c>
      <c r="P264" s="153">
        <v>0.39358026214566905</v>
      </c>
      <c r="Q264" s="153">
        <v>0.53857526864315253</v>
      </c>
      <c r="R264" s="153">
        <v>0.3432094572454602</v>
      </c>
      <c r="S264" s="153">
        <v>0.03</v>
      </c>
      <c r="T264" s="153">
        <v>0</v>
      </c>
      <c r="U264" s="474">
        <v>2011</v>
      </c>
      <c r="V264">
        <v>2030</v>
      </c>
      <c r="W264">
        <v>0</v>
      </c>
      <c r="X264">
        <v>0</v>
      </c>
      <c r="Y264">
        <v>1304</v>
      </c>
      <c r="Z264">
        <v>311</v>
      </c>
      <c r="AA264" s="475" t="s">
        <v>23</v>
      </c>
    </row>
    <row r="265" spans="1:27" ht="15">
      <c r="A265" s="24">
        <v>1264</v>
      </c>
      <c r="B265" s="24">
        <v>1264</v>
      </c>
      <c r="C265" s="469" t="s">
        <v>659</v>
      </c>
      <c r="D265" t="s">
        <v>152</v>
      </c>
      <c r="E265" s="470">
        <v>3</v>
      </c>
      <c r="F265" s="471">
        <v>14.4</v>
      </c>
      <c r="G265">
        <v>1</v>
      </c>
      <c r="H265">
        <v>1</v>
      </c>
      <c r="I265" s="472">
        <f t="shared" si="12"/>
        <v>0.47039166666666665</v>
      </c>
      <c r="J265" s="473">
        <v>0.36503333333333332</v>
      </c>
      <c r="K265" s="473">
        <v>0.44336666666666663</v>
      </c>
      <c r="L265" s="473">
        <v>0.58906666666666663</v>
      </c>
      <c r="M265" s="473">
        <v>0.48410000000000003</v>
      </c>
      <c r="N265" s="472">
        <f t="shared" si="14"/>
        <v>0.47039166666666665</v>
      </c>
      <c r="O265" s="473">
        <v>0.36503333333333332</v>
      </c>
      <c r="P265" s="473">
        <v>0.44336666666666663</v>
      </c>
      <c r="Q265" s="473">
        <v>0.58906666666666663</v>
      </c>
      <c r="R265" s="473">
        <v>0.48410000000000003</v>
      </c>
      <c r="S265" s="153">
        <v>0.01</v>
      </c>
      <c r="T265" s="153">
        <v>0.02</v>
      </c>
      <c r="U265" s="474">
        <v>2012</v>
      </c>
      <c r="V265">
        <v>2032</v>
      </c>
      <c r="W265">
        <v>0</v>
      </c>
      <c r="X265">
        <v>0</v>
      </c>
      <c r="Y265">
        <v>1315</v>
      </c>
      <c r="Z265">
        <v>361</v>
      </c>
      <c r="AA265" s="475" t="s">
        <v>24</v>
      </c>
    </row>
    <row r="266" spans="1:27" ht="15">
      <c r="A266" s="24">
        <v>1265</v>
      </c>
      <c r="B266" s="24">
        <v>1265</v>
      </c>
      <c r="C266" s="469" t="s">
        <v>660</v>
      </c>
      <c r="D266" t="s">
        <v>152</v>
      </c>
      <c r="E266" s="470">
        <v>3</v>
      </c>
      <c r="F266" s="471">
        <v>27.3</v>
      </c>
      <c r="G266">
        <v>1</v>
      </c>
      <c r="H266">
        <v>1</v>
      </c>
      <c r="I266" s="472">
        <f t="shared" si="12"/>
        <v>0.47039166666666665</v>
      </c>
      <c r="J266" s="473">
        <v>0.36503333333333332</v>
      </c>
      <c r="K266" s="473">
        <v>0.44336666666666663</v>
      </c>
      <c r="L266" s="473">
        <v>0.58906666666666663</v>
      </c>
      <c r="M266" s="473">
        <v>0.48410000000000003</v>
      </c>
      <c r="N266" s="472">
        <f t="shared" si="14"/>
        <v>0.47039166666666665</v>
      </c>
      <c r="O266" s="473">
        <v>0.36503333333333332</v>
      </c>
      <c r="P266" s="473">
        <v>0.44336666666666663</v>
      </c>
      <c r="Q266" s="473">
        <v>0.58906666666666663</v>
      </c>
      <c r="R266" s="473">
        <v>0.48410000000000003</v>
      </c>
      <c r="S266" s="153">
        <v>0.01</v>
      </c>
      <c r="T266" s="153">
        <v>0.02</v>
      </c>
      <c r="U266" s="474">
        <v>2012</v>
      </c>
      <c r="V266">
        <v>2032</v>
      </c>
      <c r="W266">
        <v>0</v>
      </c>
      <c r="X266">
        <v>0</v>
      </c>
      <c r="Y266">
        <v>1315</v>
      </c>
      <c r="Z266">
        <v>361</v>
      </c>
      <c r="AA266" s="475" t="s">
        <v>24</v>
      </c>
    </row>
    <row r="267" spans="1:27" ht="15">
      <c r="A267" s="24">
        <v>1266</v>
      </c>
      <c r="B267" s="24">
        <v>1266</v>
      </c>
      <c r="C267" s="469" t="s">
        <v>661</v>
      </c>
      <c r="D267" t="s">
        <v>152</v>
      </c>
      <c r="E267" s="470">
        <v>3</v>
      </c>
      <c r="F267" s="471">
        <v>28</v>
      </c>
      <c r="G267">
        <v>1</v>
      </c>
      <c r="H267">
        <v>1</v>
      </c>
      <c r="I267" s="472">
        <f t="shared" si="12"/>
        <v>0.47039166666666665</v>
      </c>
      <c r="J267" s="473">
        <v>0.36503333333333332</v>
      </c>
      <c r="K267" s="473">
        <v>0.44336666666666663</v>
      </c>
      <c r="L267" s="473">
        <v>0.58906666666666663</v>
      </c>
      <c r="M267" s="473">
        <v>0.48410000000000003</v>
      </c>
      <c r="N267" s="472">
        <f t="shared" si="14"/>
        <v>0.47039166666666665</v>
      </c>
      <c r="O267" s="473">
        <v>0.36503333333333332</v>
      </c>
      <c r="P267" s="473">
        <v>0.44336666666666663</v>
      </c>
      <c r="Q267" s="473">
        <v>0.58906666666666663</v>
      </c>
      <c r="R267" s="473">
        <v>0.48410000000000003</v>
      </c>
      <c r="S267" s="153">
        <v>0.01</v>
      </c>
      <c r="T267" s="153">
        <v>0.02</v>
      </c>
      <c r="U267" s="474">
        <v>2013</v>
      </c>
      <c r="V267">
        <v>2033</v>
      </c>
      <c r="W267">
        <v>0</v>
      </c>
      <c r="X267">
        <v>0</v>
      </c>
      <c r="Y267">
        <v>1315</v>
      </c>
      <c r="Z267">
        <v>361</v>
      </c>
      <c r="AA267" s="475" t="s">
        <v>24</v>
      </c>
    </row>
    <row r="268" spans="1:27" ht="15">
      <c r="A268" s="24">
        <v>1267</v>
      </c>
      <c r="B268" s="24">
        <v>1267</v>
      </c>
      <c r="C268" s="469" t="s">
        <v>662</v>
      </c>
      <c r="D268" t="s">
        <v>152</v>
      </c>
      <c r="E268" s="470">
        <v>3</v>
      </c>
      <c r="F268" s="471">
        <v>27</v>
      </c>
      <c r="G268">
        <v>1</v>
      </c>
      <c r="H268">
        <v>1</v>
      </c>
      <c r="I268" s="472">
        <f t="shared" si="12"/>
        <v>0.47039166666666665</v>
      </c>
      <c r="J268" s="473">
        <v>0.36503333333333332</v>
      </c>
      <c r="K268" s="473">
        <v>0.44336666666666663</v>
      </c>
      <c r="L268" s="473">
        <v>0.58906666666666663</v>
      </c>
      <c r="M268" s="473">
        <v>0.48410000000000003</v>
      </c>
      <c r="N268" s="472">
        <f t="shared" si="14"/>
        <v>0.47039166666666665</v>
      </c>
      <c r="O268" s="473">
        <v>0.36503333333333332</v>
      </c>
      <c r="P268" s="473">
        <v>0.44336666666666663</v>
      </c>
      <c r="Q268" s="473">
        <v>0.58906666666666663</v>
      </c>
      <c r="R268" s="473">
        <v>0.48410000000000003</v>
      </c>
      <c r="S268" s="153">
        <v>0.01</v>
      </c>
      <c r="T268" s="153">
        <v>0.02</v>
      </c>
      <c r="U268" s="474">
        <v>2013</v>
      </c>
      <c r="V268">
        <v>2033</v>
      </c>
      <c r="W268">
        <v>0</v>
      </c>
      <c r="X268">
        <v>0</v>
      </c>
      <c r="Y268">
        <v>1315</v>
      </c>
      <c r="Z268">
        <v>361</v>
      </c>
      <c r="AA268" s="475" t="s">
        <v>24</v>
      </c>
    </row>
    <row r="269" spans="1:27" ht="15">
      <c r="A269" s="24">
        <v>1268</v>
      </c>
      <c r="B269" s="24">
        <v>1268</v>
      </c>
      <c r="C269" s="469" t="s">
        <v>663</v>
      </c>
      <c r="D269" t="s">
        <v>152</v>
      </c>
      <c r="E269" s="470">
        <v>3</v>
      </c>
      <c r="F269" s="471">
        <v>27</v>
      </c>
      <c r="G269">
        <v>1</v>
      </c>
      <c r="H269">
        <v>1</v>
      </c>
      <c r="I269" s="472">
        <f t="shared" si="12"/>
        <v>0.47039166666666665</v>
      </c>
      <c r="J269" s="473">
        <v>0.36503333333333332</v>
      </c>
      <c r="K269" s="473">
        <v>0.44336666666666663</v>
      </c>
      <c r="L269" s="473">
        <v>0.58906666666666663</v>
      </c>
      <c r="M269" s="473">
        <v>0.48410000000000003</v>
      </c>
      <c r="N269" s="472">
        <f t="shared" si="14"/>
        <v>0.47039166666666665</v>
      </c>
      <c r="O269" s="473">
        <v>0.36503333333333332</v>
      </c>
      <c r="P269" s="473">
        <v>0.44336666666666663</v>
      </c>
      <c r="Q269" s="473">
        <v>0.58906666666666663</v>
      </c>
      <c r="R269" s="473">
        <v>0.48410000000000003</v>
      </c>
      <c r="S269" s="153">
        <v>0.01</v>
      </c>
      <c r="T269" s="153">
        <v>0.02</v>
      </c>
      <c r="U269" s="474">
        <v>2013</v>
      </c>
      <c r="V269">
        <v>2033</v>
      </c>
      <c r="W269">
        <v>0</v>
      </c>
      <c r="X269">
        <v>0</v>
      </c>
      <c r="Y269">
        <v>1315</v>
      </c>
      <c r="Z269">
        <v>361</v>
      </c>
      <c r="AA269" s="475" t="s">
        <v>24</v>
      </c>
    </row>
    <row r="270" spans="1:27" ht="15">
      <c r="A270" s="24">
        <v>1269</v>
      </c>
      <c r="B270" s="24">
        <v>1269</v>
      </c>
      <c r="C270" s="469" t="s">
        <v>664</v>
      </c>
      <c r="D270" t="s">
        <v>152</v>
      </c>
      <c r="E270" s="470">
        <v>3</v>
      </c>
      <c r="F270" s="471">
        <v>27</v>
      </c>
      <c r="G270">
        <v>1</v>
      </c>
      <c r="H270">
        <v>1</v>
      </c>
      <c r="I270" s="472">
        <f t="shared" si="12"/>
        <v>0.47039166666666665</v>
      </c>
      <c r="J270" s="473">
        <v>0.36503333333333332</v>
      </c>
      <c r="K270" s="473">
        <v>0.44336666666666663</v>
      </c>
      <c r="L270" s="473">
        <v>0.58906666666666663</v>
      </c>
      <c r="M270" s="473">
        <v>0.48410000000000003</v>
      </c>
      <c r="N270" s="472">
        <f t="shared" si="14"/>
        <v>0.47039166666666665</v>
      </c>
      <c r="O270" s="473">
        <v>0.36503333333333332</v>
      </c>
      <c r="P270" s="473">
        <v>0.44336666666666663</v>
      </c>
      <c r="Q270" s="473">
        <v>0.58906666666666663</v>
      </c>
      <c r="R270" s="473">
        <v>0.48410000000000003</v>
      </c>
      <c r="S270" s="153">
        <v>0.01</v>
      </c>
      <c r="T270" s="153">
        <v>0.02</v>
      </c>
      <c r="U270" s="474">
        <v>2013</v>
      </c>
      <c r="V270">
        <v>2033</v>
      </c>
      <c r="W270">
        <v>0</v>
      </c>
      <c r="X270">
        <v>0</v>
      </c>
      <c r="Y270">
        <v>1315</v>
      </c>
      <c r="Z270">
        <v>361</v>
      </c>
      <c r="AA270" s="475" t="s">
        <v>24</v>
      </c>
    </row>
    <row r="271" spans="1:27" ht="15">
      <c r="A271" s="24">
        <v>1270</v>
      </c>
      <c r="B271" s="24">
        <v>1270</v>
      </c>
      <c r="C271" s="469" t="s">
        <v>665</v>
      </c>
      <c r="D271" t="s">
        <v>152</v>
      </c>
      <c r="E271" s="470">
        <v>3</v>
      </c>
      <c r="F271" s="471">
        <v>32</v>
      </c>
      <c r="G271">
        <v>1</v>
      </c>
      <c r="H271">
        <v>1</v>
      </c>
      <c r="I271" s="472">
        <f t="shared" si="12"/>
        <v>0.47039166666666665</v>
      </c>
      <c r="J271" s="473">
        <v>0.36503333333333332</v>
      </c>
      <c r="K271" s="473">
        <v>0.44336666666666663</v>
      </c>
      <c r="L271" s="473">
        <v>0.58906666666666663</v>
      </c>
      <c r="M271" s="473">
        <v>0.48410000000000003</v>
      </c>
      <c r="N271" s="472">
        <f t="shared" si="14"/>
        <v>0.47039166666666665</v>
      </c>
      <c r="O271" s="473">
        <v>0.36503333333333332</v>
      </c>
      <c r="P271" s="473">
        <v>0.44336666666666663</v>
      </c>
      <c r="Q271" s="473">
        <v>0.58906666666666663</v>
      </c>
      <c r="R271" s="473">
        <v>0.48410000000000003</v>
      </c>
      <c r="S271" s="153">
        <v>0.01</v>
      </c>
      <c r="T271" s="153">
        <v>0.02</v>
      </c>
      <c r="U271" s="474">
        <v>2013</v>
      </c>
      <c r="V271">
        <v>2033</v>
      </c>
      <c r="W271">
        <v>0</v>
      </c>
      <c r="X271">
        <v>0</v>
      </c>
      <c r="Y271">
        <v>1315</v>
      </c>
      <c r="Z271">
        <v>361</v>
      </c>
      <c r="AA271" s="475" t="s">
        <v>24</v>
      </c>
    </row>
    <row r="272" spans="1:27" ht="15">
      <c r="A272" s="24">
        <v>1271</v>
      </c>
      <c r="B272" s="24">
        <v>1271</v>
      </c>
      <c r="C272" s="469" t="s">
        <v>666</v>
      </c>
      <c r="D272" t="s">
        <v>152</v>
      </c>
      <c r="E272" s="470">
        <v>3</v>
      </c>
      <c r="F272" s="471">
        <v>32</v>
      </c>
      <c r="G272">
        <v>1</v>
      </c>
      <c r="H272">
        <v>1</v>
      </c>
      <c r="I272" s="472">
        <f t="shared" si="12"/>
        <v>0.47039166666666665</v>
      </c>
      <c r="J272" s="473">
        <v>0.36503333333333332</v>
      </c>
      <c r="K272" s="473">
        <v>0.44336666666666663</v>
      </c>
      <c r="L272" s="473">
        <v>0.58906666666666663</v>
      </c>
      <c r="M272" s="473">
        <v>0.48410000000000003</v>
      </c>
      <c r="N272" s="472">
        <f t="shared" si="14"/>
        <v>0.47039166666666665</v>
      </c>
      <c r="O272" s="473">
        <v>0.36503333333333332</v>
      </c>
      <c r="P272" s="473">
        <v>0.44336666666666663</v>
      </c>
      <c r="Q272" s="473">
        <v>0.58906666666666663</v>
      </c>
      <c r="R272" s="473">
        <v>0.48410000000000003</v>
      </c>
      <c r="S272" s="153">
        <v>0.01</v>
      </c>
      <c r="T272" s="153">
        <v>0.02</v>
      </c>
      <c r="U272" s="474">
        <v>2013</v>
      </c>
      <c r="V272">
        <v>2033</v>
      </c>
      <c r="W272">
        <v>0</v>
      </c>
      <c r="X272">
        <v>0</v>
      </c>
      <c r="Y272">
        <v>1315</v>
      </c>
      <c r="Z272">
        <v>361</v>
      </c>
      <c r="AA272" s="475" t="s">
        <v>24</v>
      </c>
    </row>
    <row r="273" spans="1:27" ht="15" hidden="1">
      <c r="A273" s="24">
        <v>1272</v>
      </c>
      <c r="B273" s="24">
        <v>1272</v>
      </c>
      <c r="C273" s="469" t="s">
        <v>667</v>
      </c>
      <c r="D273" t="s">
        <v>146</v>
      </c>
      <c r="E273" s="470">
        <v>1</v>
      </c>
      <c r="F273" s="471">
        <v>59.4238683127572</v>
      </c>
      <c r="G273">
        <v>1</v>
      </c>
      <c r="H273">
        <v>1</v>
      </c>
      <c r="I273" s="472">
        <f t="shared" si="12"/>
        <v>0.32845968612834514</v>
      </c>
      <c r="J273" s="153">
        <v>3.8473756479098807E-2</v>
      </c>
      <c r="K273" s="153">
        <v>0.39358026214566905</v>
      </c>
      <c r="L273" s="153">
        <v>0.53857526864315253</v>
      </c>
      <c r="M273" s="153">
        <v>0.3432094572454602</v>
      </c>
      <c r="N273" s="472">
        <f t="shared" si="14"/>
        <v>0.32845968612834514</v>
      </c>
      <c r="O273" s="153">
        <v>3.8473756479098807E-2</v>
      </c>
      <c r="P273" s="153">
        <v>0.39358026214566905</v>
      </c>
      <c r="Q273" s="153">
        <v>0.53857526864315253</v>
      </c>
      <c r="R273" s="153">
        <v>0.3432094572454602</v>
      </c>
      <c r="S273" s="153">
        <v>0.03</v>
      </c>
      <c r="T273" s="153">
        <v>0</v>
      </c>
      <c r="U273" s="474">
        <v>2010</v>
      </c>
      <c r="V273">
        <v>2023</v>
      </c>
      <c r="W273">
        <v>0</v>
      </c>
      <c r="X273">
        <v>0</v>
      </c>
      <c r="Y273">
        <v>1304</v>
      </c>
      <c r="Z273">
        <v>311</v>
      </c>
      <c r="AA273" s="475" t="s">
        <v>23</v>
      </c>
    </row>
    <row r="274" spans="1:27" ht="15" hidden="1">
      <c r="A274" s="24">
        <v>1273</v>
      </c>
      <c r="B274" s="24">
        <v>1273</v>
      </c>
      <c r="C274" s="469" t="s">
        <v>668</v>
      </c>
      <c r="D274" t="s">
        <v>152</v>
      </c>
      <c r="E274" s="470">
        <v>3</v>
      </c>
      <c r="F274" s="471">
        <v>5</v>
      </c>
      <c r="G274">
        <v>1</v>
      </c>
      <c r="H274">
        <v>1</v>
      </c>
      <c r="I274" s="472">
        <f t="shared" si="12"/>
        <v>0.32845968612834514</v>
      </c>
      <c r="J274" s="153">
        <v>3.8473756479098807E-2</v>
      </c>
      <c r="K274" s="153">
        <v>0.39358026214566905</v>
      </c>
      <c r="L274" s="153">
        <v>0.53857526864315253</v>
      </c>
      <c r="M274" s="153">
        <v>0.3432094572454602</v>
      </c>
      <c r="N274" s="472">
        <f t="shared" si="14"/>
        <v>0.32845968612834514</v>
      </c>
      <c r="O274" s="153">
        <v>3.8473756479098807E-2</v>
      </c>
      <c r="P274" s="153">
        <v>0.39358026214566905</v>
      </c>
      <c r="Q274" s="153">
        <v>0.53857526864315253</v>
      </c>
      <c r="R274" s="153">
        <v>0.3432094572454602</v>
      </c>
      <c r="S274" s="153">
        <v>0.03</v>
      </c>
      <c r="T274" s="153">
        <v>0</v>
      </c>
      <c r="U274" s="474">
        <v>2005</v>
      </c>
      <c r="V274">
        <v>2023</v>
      </c>
      <c r="W274">
        <v>0</v>
      </c>
      <c r="X274">
        <v>0</v>
      </c>
      <c r="Y274">
        <v>1304</v>
      </c>
      <c r="Z274">
        <v>311</v>
      </c>
      <c r="AA274" s="475" t="s">
        <v>23</v>
      </c>
    </row>
    <row r="275" spans="1:27" ht="15">
      <c r="A275" s="24">
        <v>1274</v>
      </c>
      <c r="B275" s="24">
        <v>1274</v>
      </c>
      <c r="C275" s="469" t="s">
        <v>669</v>
      </c>
      <c r="D275" t="s">
        <v>152</v>
      </c>
      <c r="E275" s="470">
        <v>3</v>
      </c>
      <c r="F275" s="471">
        <v>32</v>
      </c>
      <c r="G275">
        <v>1</v>
      </c>
      <c r="H275">
        <v>1</v>
      </c>
      <c r="I275" s="472">
        <f t="shared" si="12"/>
        <v>0.47039166666666665</v>
      </c>
      <c r="J275" s="473">
        <v>0.36503333333333332</v>
      </c>
      <c r="K275" s="473">
        <v>0.44336666666666663</v>
      </c>
      <c r="L275" s="473">
        <v>0.58906666666666663</v>
      </c>
      <c r="M275" s="473">
        <v>0.48410000000000003</v>
      </c>
      <c r="N275" s="472">
        <f t="shared" si="14"/>
        <v>0.47039166666666665</v>
      </c>
      <c r="O275" s="473">
        <v>0.36503333333333332</v>
      </c>
      <c r="P275" s="473">
        <v>0.44336666666666663</v>
      </c>
      <c r="Q275" s="473">
        <v>0.58906666666666663</v>
      </c>
      <c r="R275" s="473">
        <v>0.48410000000000003</v>
      </c>
      <c r="S275" s="153">
        <v>0.01</v>
      </c>
      <c r="T275" s="153">
        <v>0.02</v>
      </c>
      <c r="U275" s="474">
        <v>2013</v>
      </c>
      <c r="V275">
        <v>2033</v>
      </c>
      <c r="W275">
        <v>0</v>
      </c>
      <c r="X275">
        <v>0</v>
      </c>
      <c r="Y275">
        <v>1315</v>
      </c>
      <c r="Z275">
        <v>361</v>
      </c>
      <c r="AA275" s="475" t="s">
        <v>24</v>
      </c>
    </row>
    <row r="276" spans="1:27" ht="15">
      <c r="A276" s="24">
        <v>1275</v>
      </c>
      <c r="B276" s="24">
        <v>1275</v>
      </c>
      <c r="C276" s="469" t="s">
        <v>670</v>
      </c>
      <c r="D276" t="s">
        <v>152</v>
      </c>
      <c r="E276" s="470">
        <v>3</v>
      </c>
      <c r="F276" s="471">
        <v>32</v>
      </c>
      <c r="G276">
        <v>1</v>
      </c>
      <c r="H276">
        <v>1</v>
      </c>
      <c r="I276" s="472">
        <f t="shared" si="12"/>
        <v>0.47039166666666665</v>
      </c>
      <c r="J276" s="473">
        <v>0.36503333333333332</v>
      </c>
      <c r="K276" s="473">
        <v>0.44336666666666663</v>
      </c>
      <c r="L276" s="473">
        <v>0.58906666666666663</v>
      </c>
      <c r="M276" s="473">
        <v>0.48410000000000003</v>
      </c>
      <c r="N276" s="472">
        <f t="shared" si="14"/>
        <v>0.47039166666666665</v>
      </c>
      <c r="O276" s="473">
        <v>0.36503333333333332</v>
      </c>
      <c r="P276" s="473">
        <v>0.44336666666666663</v>
      </c>
      <c r="Q276" s="473">
        <v>0.58906666666666663</v>
      </c>
      <c r="R276" s="473">
        <v>0.48410000000000003</v>
      </c>
      <c r="S276" s="153">
        <v>0.01</v>
      </c>
      <c r="T276" s="153">
        <v>0.02</v>
      </c>
      <c r="U276" s="474">
        <v>2013</v>
      </c>
      <c r="V276">
        <v>2033</v>
      </c>
      <c r="W276">
        <v>0</v>
      </c>
      <c r="X276">
        <v>0</v>
      </c>
      <c r="Y276">
        <v>1315</v>
      </c>
      <c r="Z276">
        <v>361</v>
      </c>
      <c r="AA276" s="475" t="s">
        <v>24</v>
      </c>
    </row>
    <row r="277" spans="1:27" ht="15">
      <c r="A277" s="24">
        <v>1276</v>
      </c>
      <c r="B277" s="24">
        <v>1276</v>
      </c>
      <c r="C277" s="469" t="s">
        <v>671</v>
      </c>
      <c r="D277" t="s">
        <v>152</v>
      </c>
      <c r="E277" s="470">
        <v>3</v>
      </c>
      <c r="F277" s="471">
        <v>32</v>
      </c>
      <c r="G277">
        <v>1</v>
      </c>
      <c r="H277">
        <v>1</v>
      </c>
      <c r="I277" s="472">
        <f t="shared" si="12"/>
        <v>0.47039166666666665</v>
      </c>
      <c r="J277" s="473">
        <v>0.36503333333333332</v>
      </c>
      <c r="K277" s="473">
        <v>0.44336666666666663</v>
      </c>
      <c r="L277" s="473">
        <v>0.58906666666666663</v>
      </c>
      <c r="M277" s="473">
        <v>0.48410000000000003</v>
      </c>
      <c r="N277" s="472">
        <f t="shared" si="14"/>
        <v>0.47039166666666665</v>
      </c>
      <c r="O277" s="473">
        <v>0.36503333333333332</v>
      </c>
      <c r="P277" s="473">
        <v>0.44336666666666663</v>
      </c>
      <c r="Q277" s="473">
        <v>0.58906666666666663</v>
      </c>
      <c r="R277" s="473">
        <v>0.48410000000000003</v>
      </c>
      <c r="S277" s="153">
        <v>0.01</v>
      </c>
      <c r="T277" s="153">
        <v>0.02</v>
      </c>
      <c r="U277" s="474">
        <v>2013</v>
      </c>
      <c r="V277">
        <v>2033</v>
      </c>
      <c r="W277">
        <v>0</v>
      </c>
      <c r="X277">
        <v>0</v>
      </c>
      <c r="Y277">
        <v>1315</v>
      </c>
      <c r="Z277">
        <v>361</v>
      </c>
      <c r="AA277" s="475" t="s">
        <v>24</v>
      </c>
    </row>
    <row r="278" spans="1:27" ht="15">
      <c r="A278" s="24">
        <v>1277</v>
      </c>
      <c r="B278" s="24">
        <v>1277</v>
      </c>
      <c r="C278" s="469" t="s">
        <v>672</v>
      </c>
      <c r="D278" t="s">
        <v>152</v>
      </c>
      <c r="E278" s="470">
        <v>3</v>
      </c>
      <c r="F278" s="471">
        <v>4.5</v>
      </c>
      <c r="G278">
        <v>1</v>
      </c>
      <c r="H278">
        <v>1</v>
      </c>
      <c r="I278" s="472">
        <f t="shared" si="12"/>
        <v>0.47039166666666665</v>
      </c>
      <c r="J278" s="473">
        <v>0.36503333333333332</v>
      </c>
      <c r="K278" s="473">
        <v>0.44336666666666663</v>
      </c>
      <c r="L278" s="473">
        <v>0.58906666666666663</v>
      </c>
      <c r="M278" s="473">
        <v>0.48410000000000003</v>
      </c>
      <c r="N278" s="472">
        <f t="shared" si="14"/>
        <v>0.47039166666666665</v>
      </c>
      <c r="O278" s="473">
        <v>0.36503333333333332</v>
      </c>
      <c r="P278" s="473">
        <v>0.44336666666666663</v>
      </c>
      <c r="Q278" s="473">
        <v>0.58906666666666663</v>
      </c>
      <c r="R278" s="473">
        <v>0.48410000000000003</v>
      </c>
      <c r="S278" s="153">
        <v>0.01</v>
      </c>
      <c r="T278" s="153">
        <v>0.02</v>
      </c>
      <c r="U278" s="474">
        <v>2013</v>
      </c>
      <c r="V278">
        <v>2033</v>
      </c>
      <c r="W278">
        <v>0</v>
      </c>
      <c r="X278">
        <v>0</v>
      </c>
      <c r="Y278">
        <v>1315</v>
      </c>
      <c r="Z278">
        <v>361</v>
      </c>
      <c r="AA278" s="475" t="s">
        <v>24</v>
      </c>
    </row>
    <row r="279" spans="1:27" ht="15" hidden="1">
      <c r="A279" s="24">
        <v>1278</v>
      </c>
      <c r="B279" s="24">
        <v>1278</v>
      </c>
      <c r="C279" s="469" t="s">
        <v>673</v>
      </c>
      <c r="D279" t="s">
        <v>149</v>
      </c>
      <c r="E279" s="470">
        <v>2</v>
      </c>
      <c r="F279" s="471">
        <v>30</v>
      </c>
      <c r="G279">
        <v>1</v>
      </c>
      <c r="H279">
        <v>1</v>
      </c>
      <c r="I279" s="472">
        <f t="shared" si="12"/>
        <v>0.40033333333333337</v>
      </c>
      <c r="J279" s="153">
        <v>0.3706666666666667</v>
      </c>
      <c r="K279" s="153">
        <v>0.3666666666666667</v>
      </c>
      <c r="L279" s="153">
        <v>0.44799999999999995</v>
      </c>
      <c r="M279" s="153">
        <v>0.41600000000000009</v>
      </c>
      <c r="N279" s="472">
        <f t="shared" si="14"/>
        <v>0.40033333333333337</v>
      </c>
      <c r="O279" s="153">
        <v>0.3706666666666667</v>
      </c>
      <c r="P279" s="153">
        <v>0.3666666666666667</v>
      </c>
      <c r="Q279" s="153">
        <v>0.44799999999999995</v>
      </c>
      <c r="R279" s="153">
        <v>0.41600000000000009</v>
      </c>
      <c r="S279" s="153">
        <v>0.01</v>
      </c>
      <c r="T279" s="153">
        <v>0.02</v>
      </c>
      <c r="U279" s="474">
        <v>2013</v>
      </c>
      <c r="V279">
        <v>2033</v>
      </c>
      <c r="W279">
        <v>0</v>
      </c>
      <c r="X279">
        <v>0</v>
      </c>
      <c r="Y279">
        <v>1315</v>
      </c>
      <c r="Z279">
        <v>360</v>
      </c>
      <c r="AA279" s="475" t="s">
        <v>24</v>
      </c>
    </row>
    <row r="280" spans="1:27" ht="15" hidden="1">
      <c r="A280" s="24">
        <v>1279</v>
      </c>
      <c r="B280" s="24">
        <v>1279</v>
      </c>
      <c r="C280" s="469" t="s">
        <v>674</v>
      </c>
      <c r="D280" t="s">
        <v>149</v>
      </c>
      <c r="E280" s="470">
        <v>2</v>
      </c>
      <c r="F280" s="471">
        <v>30</v>
      </c>
      <c r="G280">
        <v>1</v>
      </c>
      <c r="H280">
        <v>1</v>
      </c>
      <c r="I280" s="472">
        <f t="shared" si="12"/>
        <v>0.40033333333333337</v>
      </c>
      <c r="J280" s="153">
        <v>0.3706666666666667</v>
      </c>
      <c r="K280" s="153">
        <v>0.3666666666666667</v>
      </c>
      <c r="L280" s="153">
        <v>0.44799999999999995</v>
      </c>
      <c r="M280" s="153">
        <v>0.41600000000000009</v>
      </c>
      <c r="N280" s="472">
        <f t="shared" si="14"/>
        <v>0.40033333333333337</v>
      </c>
      <c r="O280" s="153">
        <v>0.3706666666666667</v>
      </c>
      <c r="P280" s="153">
        <v>0.3666666666666667</v>
      </c>
      <c r="Q280" s="153">
        <v>0.44799999999999995</v>
      </c>
      <c r="R280" s="153">
        <v>0.41600000000000009</v>
      </c>
      <c r="S280" s="153">
        <v>0.01</v>
      </c>
      <c r="T280" s="153">
        <v>0.02</v>
      </c>
      <c r="U280" s="474">
        <v>2013</v>
      </c>
      <c r="V280">
        <v>2033</v>
      </c>
      <c r="W280">
        <v>0</v>
      </c>
      <c r="X280">
        <v>0</v>
      </c>
      <c r="Y280">
        <v>1315</v>
      </c>
      <c r="Z280">
        <v>360</v>
      </c>
      <c r="AA280" s="475" t="s">
        <v>24</v>
      </c>
    </row>
    <row r="281" spans="1:27" ht="15" hidden="1">
      <c r="A281" s="24">
        <v>1280</v>
      </c>
      <c r="B281" s="24">
        <v>1280</v>
      </c>
      <c r="C281" s="469" t="s">
        <v>675</v>
      </c>
      <c r="D281" t="s">
        <v>152</v>
      </c>
      <c r="E281" s="470">
        <v>3</v>
      </c>
      <c r="F281" s="471">
        <v>0</v>
      </c>
      <c r="G281">
        <v>1</v>
      </c>
      <c r="H281">
        <v>1</v>
      </c>
      <c r="I281" s="472">
        <f t="shared" si="12"/>
        <v>0.32845968612834514</v>
      </c>
      <c r="J281" s="153">
        <v>3.8473756479098807E-2</v>
      </c>
      <c r="K281" s="153">
        <v>0.39358026214566905</v>
      </c>
      <c r="L281" s="153">
        <v>0.53857526864315253</v>
      </c>
      <c r="M281" s="153">
        <v>0.3432094572454602</v>
      </c>
      <c r="N281" s="472">
        <f t="shared" si="14"/>
        <v>0.32845968612834514</v>
      </c>
      <c r="O281" s="153">
        <v>3.8473756479098807E-2</v>
      </c>
      <c r="P281" s="153">
        <v>0.39358026214566905</v>
      </c>
      <c r="Q281" s="153">
        <v>0.53857526864315253</v>
      </c>
      <c r="R281" s="153">
        <v>0.3432094572454602</v>
      </c>
      <c r="S281" s="153">
        <v>0.03</v>
      </c>
      <c r="T281" s="153">
        <v>0</v>
      </c>
      <c r="U281" s="474">
        <v>1900</v>
      </c>
      <c r="V281">
        <v>2030</v>
      </c>
      <c r="W281">
        <v>0</v>
      </c>
      <c r="X281">
        <v>0</v>
      </c>
      <c r="Y281">
        <v>1304</v>
      </c>
      <c r="Z281">
        <v>311</v>
      </c>
      <c r="AA281" s="475" t="s">
        <v>23</v>
      </c>
    </row>
    <row r="282" spans="1:27" ht="15" hidden="1">
      <c r="A282" s="24">
        <v>1281</v>
      </c>
      <c r="B282" s="24">
        <v>1281</v>
      </c>
      <c r="C282" s="469" t="s">
        <v>676</v>
      </c>
      <c r="D282" t="s">
        <v>149</v>
      </c>
      <c r="E282" s="470">
        <v>2</v>
      </c>
      <c r="F282" s="471">
        <v>30</v>
      </c>
      <c r="G282">
        <v>1</v>
      </c>
      <c r="H282">
        <v>1</v>
      </c>
      <c r="I282" s="472">
        <f t="shared" si="12"/>
        <v>0.40033333333333337</v>
      </c>
      <c r="J282" s="153">
        <v>0.3706666666666667</v>
      </c>
      <c r="K282" s="153">
        <v>0.3666666666666667</v>
      </c>
      <c r="L282" s="153">
        <v>0.44799999999999995</v>
      </c>
      <c r="M282" s="153">
        <v>0.41600000000000009</v>
      </c>
      <c r="N282" s="472">
        <f t="shared" si="14"/>
        <v>0.40033333333333337</v>
      </c>
      <c r="O282" s="153">
        <v>0.3706666666666667</v>
      </c>
      <c r="P282" s="153">
        <v>0.3666666666666667</v>
      </c>
      <c r="Q282" s="153">
        <v>0.44799999999999995</v>
      </c>
      <c r="R282" s="153">
        <v>0.41600000000000009</v>
      </c>
      <c r="S282" s="153">
        <v>0.01</v>
      </c>
      <c r="T282" s="153">
        <v>0.02</v>
      </c>
      <c r="U282" s="474">
        <v>2013</v>
      </c>
      <c r="V282">
        <v>2033</v>
      </c>
      <c r="W282">
        <v>0</v>
      </c>
      <c r="X282">
        <v>0</v>
      </c>
      <c r="Y282">
        <v>1315</v>
      </c>
      <c r="Z282">
        <v>360</v>
      </c>
      <c r="AA282" s="475" t="s">
        <v>24</v>
      </c>
    </row>
    <row r="283" spans="1:27" ht="15" hidden="1">
      <c r="A283" s="24">
        <v>1282</v>
      </c>
      <c r="B283" s="24">
        <v>1282</v>
      </c>
      <c r="C283" s="469" t="s">
        <v>677</v>
      </c>
      <c r="D283" t="s">
        <v>149</v>
      </c>
      <c r="E283" s="470">
        <v>2</v>
      </c>
      <c r="F283" s="471">
        <v>30</v>
      </c>
      <c r="G283">
        <v>1</v>
      </c>
      <c r="H283">
        <v>1</v>
      </c>
      <c r="I283" s="472">
        <f t="shared" si="12"/>
        <v>0.40033333333333337</v>
      </c>
      <c r="J283" s="153">
        <v>0.3706666666666667</v>
      </c>
      <c r="K283" s="153">
        <v>0.3666666666666667</v>
      </c>
      <c r="L283" s="153">
        <v>0.44799999999999995</v>
      </c>
      <c r="M283" s="153">
        <v>0.41600000000000009</v>
      </c>
      <c r="N283" s="472">
        <f t="shared" si="14"/>
        <v>0.40033333333333337</v>
      </c>
      <c r="O283" s="153">
        <v>0.3706666666666667</v>
      </c>
      <c r="P283" s="153">
        <v>0.3666666666666667</v>
      </c>
      <c r="Q283" s="153">
        <v>0.44799999999999995</v>
      </c>
      <c r="R283" s="153">
        <v>0.41600000000000009</v>
      </c>
      <c r="S283" s="153">
        <v>0.01</v>
      </c>
      <c r="T283" s="153">
        <v>0.02</v>
      </c>
      <c r="U283" s="474">
        <v>2013</v>
      </c>
      <c r="V283">
        <v>2033</v>
      </c>
      <c r="W283">
        <v>0</v>
      </c>
      <c r="X283">
        <v>0</v>
      </c>
      <c r="Y283">
        <v>1315</v>
      </c>
      <c r="Z283">
        <v>360</v>
      </c>
      <c r="AA283" s="475" t="s">
        <v>24</v>
      </c>
    </row>
    <row r="284" spans="1:27" ht="15">
      <c r="A284" s="24">
        <v>1283</v>
      </c>
      <c r="B284" s="24">
        <v>1283</v>
      </c>
      <c r="C284" s="469" t="s">
        <v>678</v>
      </c>
      <c r="D284" t="s">
        <v>152</v>
      </c>
      <c r="E284" s="470">
        <v>3</v>
      </c>
      <c r="F284" s="471">
        <v>34.5</v>
      </c>
      <c r="G284">
        <v>1</v>
      </c>
      <c r="H284">
        <v>1</v>
      </c>
      <c r="I284" s="472">
        <f t="shared" si="12"/>
        <v>0.47039166666666665</v>
      </c>
      <c r="J284" s="473">
        <v>0.36503333333333332</v>
      </c>
      <c r="K284" s="473">
        <v>0.44336666666666663</v>
      </c>
      <c r="L284" s="473">
        <v>0.58906666666666663</v>
      </c>
      <c r="M284" s="473">
        <v>0.48410000000000003</v>
      </c>
      <c r="N284" s="472">
        <f t="shared" si="14"/>
        <v>0.47039166666666665</v>
      </c>
      <c r="O284" s="473">
        <v>0.36503333333333332</v>
      </c>
      <c r="P284" s="473">
        <v>0.44336666666666663</v>
      </c>
      <c r="Q284" s="473">
        <v>0.58906666666666663</v>
      </c>
      <c r="R284" s="473">
        <v>0.48410000000000003</v>
      </c>
      <c r="S284" s="153">
        <v>0.01</v>
      </c>
      <c r="T284" s="153">
        <v>0.02</v>
      </c>
      <c r="U284" s="474">
        <v>2012</v>
      </c>
      <c r="V284">
        <v>2032</v>
      </c>
      <c r="W284">
        <v>0</v>
      </c>
      <c r="X284">
        <v>0</v>
      </c>
      <c r="Y284">
        <v>1315</v>
      </c>
      <c r="Z284">
        <v>361</v>
      </c>
      <c r="AA284" s="475" t="s">
        <v>24</v>
      </c>
    </row>
    <row r="285" spans="1:27" ht="15">
      <c r="A285" s="24">
        <v>1284</v>
      </c>
      <c r="B285" s="24">
        <v>1284</v>
      </c>
      <c r="C285" s="469" t="s">
        <v>679</v>
      </c>
      <c r="D285" t="s">
        <v>152</v>
      </c>
      <c r="E285" s="470">
        <v>3</v>
      </c>
      <c r="F285" s="471">
        <v>32.9</v>
      </c>
      <c r="G285">
        <v>1</v>
      </c>
      <c r="H285">
        <v>1</v>
      </c>
      <c r="I285" s="472">
        <f t="shared" si="12"/>
        <v>0.47039166666666665</v>
      </c>
      <c r="J285" s="473">
        <v>0.36503333333333332</v>
      </c>
      <c r="K285" s="473">
        <v>0.44336666666666663</v>
      </c>
      <c r="L285" s="473">
        <v>0.58906666666666663</v>
      </c>
      <c r="M285" s="473">
        <v>0.48410000000000003</v>
      </c>
      <c r="N285" s="472">
        <f t="shared" si="14"/>
        <v>0.47039166666666665</v>
      </c>
      <c r="O285" s="473">
        <v>0.36503333333333332</v>
      </c>
      <c r="P285" s="473">
        <v>0.44336666666666663</v>
      </c>
      <c r="Q285" s="473">
        <v>0.58906666666666663</v>
      </c>
      <c r="R285" s="473">
        <v>0.48410000000000003</v>
      </c>
      <c r="S285" s="153">
        <v>0.01</v>
      </c>
      <c r="T285" s="153">
        <v>0.02</v>
      </c>
      <c r="U285" s="474">
        <v>2015</v>
      </c>
      <c r="V285">
        <v>2035</v>
      </c>
      <c r="W285">
        <v>0</v>
      </c>
      <c r="X285">
        <v>0</v>
      </c>
      <c r="Y285">
        <v>1315</v>
      </c>
      <c r="Z285">
        <v>361</v>
      </c>
      <c r="AA285" s="475" t="s">
        <v>24</v>
      </c>
    </row>
    <row r="286" spans="1:27" ht="15">
      <c r="A286" s="24">
        <v>1285</v>
      </c>
      <c r="B286" s="24">
        <v>1285</v>
      </c>
      <c r="C286" s="469" t="s">
        <v>680</v>
      </c>
      <c r="D286" t="s">
        <v>152</v>
      </c>
      <c r="E286" s="470">
        <v>3</v>
      </c>
      <c r="F286" s="471">
        <v>25.599999999999998</v>
      </c>
      <c r="G286">
        <v>1</v>
      </c>
      <c r="H286">
        <v>1</v>
      </c>
      <c r="I286" s="472">
        <f t="shared" si="12"/>
        <v>0.47039166666666665</v>
      </c>
      <c r="J286" s="473">
        <v>0.36503333333333332</v>
      </c>
      <c r="K286" s="473">
        <v>0.44336666666666663</v>
      </c>
      <c r="L286" s="473">
        <v>0.58906666666666663</v>
      </c>
      <c r="M286" s="473">
        <v>0.48410000000000003</v>
      </c>
      <c r="N286" s="472">
        <f t="shared" si="14"/>
        <v>0.47039166666666665</v>
      </c>
      <c r="O286" s="473">
        <v>0.36503333333333332</v>
      </c>
      <c r="P286" s="473">
        <v>0.44336666666666663</v>
      </c>
      <c r="Q286" s="473">
        <v>0.58906666666666663</v>
      </c>
      <c r="R286" s="473">
        <v>0.48410000000000003</v>
      </c>
      <c r="S286" s="153">
        <v>0.01</v>
      </c>
      <c r="T286" s="153">
        <v>0.02</v>
      </c>
      <c r="U286" s="474">
        <v>2008</v>
      </c>
      <c r="V286">
        <v>2028</v>
      </c>
      <c r="W286">
        <v>0</v>
      </c>
      <c r="X286">
        <v>0</v>
      </c>
      <c r="Y286">
        <v>1315</v>
      </c>
      <c r="Z286">
        <v>361</v>
      </c>
      <c r="AA286" s="475" t="s">
        <v>24</v>
      </c>
    </row>
    <row r="287" spans="1:27" ht="15">
      <c r="A287" s="24">
        <v>1286</v>
      </c>
      <c r="B287" s="24">
        <v>1286</v>
      </c>
      <c r="C287" s="469" t="s">
        <v>681</v>
      </c>
      <c r="D287" t="s">
        <v>152</v>
      </c>
      <c r="E287" s="470">
        <v>3</v>
      </c>
      <c r="F287" s="471">
        <v>14</v>
      </c>
      <c r="G287">
        <v>1</v>
      </c>
      <c r="H287">
        <v>1</v>
      </c>
      <c r="I287" s="472">
        <f t="shared" si="12"/>
        <v>0.47039166666666665</v>
      </c>
      <c r="J287" s="473">
        <v>0.36503333333333332</v>
      </c>
      <c r="K287" s="473">
        <v>0.44336666666666663</v>
      </c>
      <c r="L287" s="473">
        <v>0.58906666666666663</v>
      </c>
      <c r="M287" s="473">
        <v>0.48410000000000003</v>
      </c>
      <c r="N287" s="472">
        <f t="shared" si="14"/>
        <v>0.47039166666666665</v>
      </c>
      <c r="O287" s="473">
        <v>0.36503333333333332</v>
      </c>
      <c r="P287" s="473">
        <v>0.44336666666666663</v>
      </c>
      <c r="Q287" s="473">
        <v>0.58906666666666663</v>
      </c>
      <c r="R287" s="473">
        <v>0.48410000000000003</v>
      </c>
      <c r="S287" s="153">
        <v>0.01</v>
      </c>
      <c r="T287" s="153">
        <v>0.02</v>
      </c>
      <c r="U287" s="474">
        <v>2013</v>
      </c>
      <c r="V287">
        <v>2033</v>
      </c>
      <c r="W287">
        <v>0</v>
      </c>
      <c r="X287">
        <v>0</v>
      </c>
      <c r="Y287">
        <v>1315</v>
      </c>
      <c r="Z287">
        <v>361</v>
      </c>
      <c r="AA287" s="475" t="s">
        <v>24</v>
      </c>
    </row>
    <row r="288" spans="1:27" ht="15">
      <c r="A288" s="24">
        <v>1287</v>
      </c>
      <c r="B288" s="24">
        <v>1287</v>
      </c>
      <c r="C288" s="469" t="s">
        <v>682</v>
      </c>
      <c r="D288" t="s">
        <v>152</v>
      </c>
      <c r="E288" s="470">
        <v>3</v>
      </c>
      <c r="F288" s="471">
        <v>24.3</v>
      </c>
      <c r="G288">
        <v>1</v>
      </c>
      <c r="H288">
        <v>1</v>
      </c>
      <c r="I288" s="472">
        <f t="shared" si="12"/>
        <v>0.47039166666666665</v>
      </c>
      <c r="J288" s="473">
        <v>0.36503333333333332</v>
      </c>
      <c r="K288" s="473">
        <v>0.44336666666666663</v>
      </c>
      <c r="L288" s="473">
        <v>0.58906666666666663</v>
      </c>
      <c r="M288" s="473">
        <v>0.48410000000000003</v>
      </c>
      <c r="N288" s="472">
        <f t="shared" si="14"/>
        <v>0.47039166666666665</v>
      </c>
      <c r="O288" s="473">
        <v>0.36503333333333332</v>
      </c>
      <c r="P288" s="473">
        <v>0.44336666666666663</v>
      </c>
      <c r="Q288" s="473">
        <v>0.58906666666666663</v>
      </c>
      <c r="R288" s="473">
        <v>0.48410000000000003</v>
      </c>
      <c r="S288" s="153">
        <v>0.01</v>
      </c>
      <c r="T288" s="153">
        <v>0.02</v>
      </c>
      <c r="U288" s="474">
        <v>2014</v>
      </c>
      <c r="V288">
        <v>2034</v>
      </c>
      <c r="W288">
        <v>0</v>
      </c>
      <c r="X288">
        <v>0</v>
      </c>
      <c r="Y288">
        <v>1315</v>
      </c>
      <c r="Z288">
        <v>361</v>
      </c>
      <c r="AA288" s="475" t="s">
        <v>24</v>
      </c>
    </row>
    <row r="289" spans="1:27" ht="15" hidden="1">
      <c r="A289" s="24">
        <v>1288</v>
      </c>
      <c r="B289" s="24">
        <v>1288</v>
      </c>
      <c r="C289" s="469" t="s">
        <v>683</v>
      </c>
      <c r="D289" t="s">
        <v>149</v>
      </c>
      <c r="E289" s="470">
        <v>2</v>
      </c>
      <c r="F289" s="471">
        <v>0.6</v>
      </c>
      <c r="G289">
        <v>1</v>
      </c>
      <c r="H289">
        <v>1</v>
      </c>
      <c r="I289" s="472">
        <f t="shared" si="12"/>
        <v>0.40033333333333337</v>
      </c>
      <c r="J289" s="153">
        <v>0.3706666666666667</v>
      </c>
      <c r="K289" s="153">
        <v>0.3666666666666667</v>
      </c>
      <c r="L289" s="153">
        <v>0.44799999999999995</v>
      </c>
      <c r="M289" s="153">
        <v>0.41600000000000009</v>
      </c>
      <c r="N289" s="472">
        <f t="shared" si="14"/>
        <v>0.40033333333333337</v>
      </c>
      <c r="O289" s="153">
        <v>0.3706666666666667</v>
      </c>
      <c r="P289" s="153">
        <v>0.3666666666666667</v>
      </c>
      <c r="Q289" s="153">
        <v>0.44799999999999995</v>
      </c>
      <c r="R289" s="153">
        <v>0.41600000000000009</v>
      </c>
      <c r="S289" s="153">
        <v>0.01</v>
      </c>
      <c r="T289" s="153">
        <v>0.02</v>
      </c>
      <c r="U289" s="474">
        <v>2011</v>
      </c>
      <c r="V289">
        <v>2031</v>
      </c>
      <c r="W289">
        <v>0</v>
      </c>
      <c r="X289">
        <v>0</v>
      </c>
      <c r="Y289">
        <v>1315</v>
      </c>
      <c r="Z289">
        <v>360</v>
      </c>
      <c r="AA289" s="475" t="s">
        <v>24</v>
      </c>
    </row>
    <row r="290" spans="1:27" ht="15" hidden="1">
      <c r="A290" s="24">
        <v>1289</v>
      </c>
      <c r="B290" s="24">
        <v>1289</v>
      </c>
      <c r="C290" s="469" t="s">
        <v>684</v>
      </c>
      <c r="D290" t="s">
        <v>149</v>
      </c>
      <c r="E290" s="470">
        <v>2</v>
      </c>
      <c r="F290" s="471">
        <v>30</v>
      </c>
      <c r="G290">
        <v>1</v>
      </c>
      <c r="H290">
        <v>1</v>
      </c>
      <c r="I290" s="472">
        <f t="shared" si="12"/>
        <v>0.40033333333333337</v>
      </c>
      <c r="J290" s="153">
        <v>0.3706666666666667</v>
      </c>
      <c r="K290" s="153">
        <v>0.3666666666666667</v>
      </c>
      <c r="L290" s="153">
        <v>0.44799999999999995</v>
      </c>
      <c r="M290" s="153">
        <v>0.41600000000000009</v>
      </c>
      <c r="N290" s="472">
        <f t="shared" si="14"/>
        <v>0.40033333333333337</v>
      </c>
      <c r="O290" s="153">
        <v>0.3706666666666667</v>
      </c>
      <c r="P290" s="153">
        <v>0.3666666666666667</v>
      </c>
      <c r="Q290" s="153">
        <v>0.44799999999999995</v>
      </c>
      <c r="R290" s="153">
        <v>0.41600000000000009</v>
      </c>
      <c r="S290" s="153">
        <v>0.01</v>
      </c>
      <c r="T290" s="153">
        <v>0.02</v>
      </c>
      <c r="U290" s="474">
        <v>2011</v>
      </c>
      <c r="V290">
        <v>2031</v>
      </c>
      <c r="W290">
        <v>0</v>
      </c>
      <c r="X290">
        <v>0</v>
      </c>
      <c r="Y290">
        <v>1315</v>
      </c>
      <c r="Z290">
        <v>360</v>
      </c>
      <c r="AA290" s="475" t="s">
        <v>24</v>
      </c>
    </row>
    <row r="291" spans="1:27" ht="15">
      <c r="A291" s="24">
        <v>1290</v>
      </c>
      <c r="B291" s="24">
        <v>1290</v>
      </c>
      <c r="C291" s="469" t="s">
        <v>685</v>
      </c>
      <c r="D291" t="s">
        <v>152</v>
      </c>
      <c r="E291" s="470">
        <v>3</v>
      </c>
      <c r="F291" s="471">
        <v>50</v>
      </c>
      <c r="G291">
        <v>1</v>
      </c>
      <c r="H291">
        <v>1</v>
      </c>
      <c r="I291" s="472">
        <f t="shared" si="12"/>
        <v>0.47039166666666665</v>
      </c>
      <c r="J291" s="473">
        <v>0.36503333333333332</v>
      </c>
      <c r="K291" s="473">
        <v>0.44336666666666663</v>
      </c>
      <c r="L291" s="473">
        <v>0.58906666666666663</v>
      </c>
      <c r="M291" s="473">
        <v>0.48410000000000003</v>
      </c>
      <c r="N291" s="472">
        <f t="shared" si="14"/>
        <v>0.47039166666666665</v>
      </c>
      <c r="O291" s="473">
        <v>0.36503333333333332</v>
      </c>
      <c r="P291" s="473">
        <v>0.44336666666666663</v>
      </c>
      <c r="Q291" s="473">
        <v>0.58906666666666663</v>
      </c>
      <c r="R291" s="473">
        <v>0.48410000000000003</v>
      </c>
      <c r="S291" s="153">
        <v>0.01</v>
      </c>
      <c r="T291" s="153">
        <v>0.02</v>
      </c>
      <c r="U291" s="474">
        <v>2010</v>
      </c>
      <c r="V291">
        <v>2030</v>
      </c>
      <c r="W291">
        <v>0</v>
      </c>
      <c r="X291">
        <v>0</v>
      </c>
      <c r="Y291">
        <v>1315</v>
      </c>
      <c r="Z291">
        <v>361</v>
      </c>
      <c r="AA291" s="475" t="s">
        <v>24</v>
      </c>
    </row>
    <row r="292" spans="1:27" ht="15">
      <c r="A292" s="24">
        <v>1291</v>
      </c>
      <c r="B292" s="24">
        <v>1291</v>
      </c>
      <c r="C292" s="469" t="s">
        <v>686</v>
      </c>
      <c r="D292" t="s">
        <v>152</v>
      </c>
      <c r="E292" s="470">
        <v>3</v>
      </c>
      <c r="F292" s="471">
        <v>30</v>
      </c>
      <c r="G292">
        <v>1</v>
      </c>
      <c r="H292">
        <v>1</v>
      </c>
      <c r="I292" s="472">
        <f t="shared" si="12"/>
        <v>0.47039166666666665</v>
      </c>
      <c r="J292" s="473">
        <v>0.36503333333333332</v>
      </c>
      <c r="K292" s="473">
        <v>0.44336666666666663</v>
      </c>
      <c r="L292" s="473">
        <v>0.58906666666666663</v>
      </c>
      <c r="M292" s="473">
        <v>0.48410000000000003</v>
      </c>
      <c r="N292" s="472">
        <f t="shared" si="14"/>
        <v>0.47039166666666665</v>
      </c>
      <c r="O292" s="473">
        <v>0.36503333333333332</v>
      </c>
      <c r="P292" s="473">
        <v>0.44336666666666663</v>
      </c>
      <c r="Q292" s="473">
        <v>0.58906666666666663</v>
      </c>
      <c r="R292" s="473">
        <v>0.48410000000000003</v>
      </c>
      <c r="S292" s="153">
        <v>0.01</v>
      </c>
      <c r="T292" s="153">
        <v>0.02</v>
      </c>
      <c r="U292" s="474">
        <v>2013</v>
      </c>
      <c r="V292">
        <v>2033</v>
      </c>
      <c r="W292">
        <v>0</v>
      </c>
      <c r="X292">
        <v>0</v>
      </c>
      <c r="Y292">
        <v>1315</v>
      </c>
      <c r="Z292">
        <v>361</v>
      </c>
      <c r="AA292" s="475" t="s">
        <v>24</v>
      </c>
    </row>
    <row r="293" spans="1:27" ht="15" hidden="1">
      <c r="A293" s="24">
        <v>1292</v>
      </c>
      <c r="B293" s="24">
        <v>1292</v>
      </c>
      <c r="C293" s="469" t="s">
        <v>687</v>
      </c>
      <c r="D293" t="s">
        <v>152</v>
      </c>
      <c r="E293" s="470">
        <v>3</v>
      </c>
      <c r="F293" s="471">
        <v>2.1030000000000002</v>
      </c>
      <c r="G293">
        <v>1</v>
      </c>
      <c r="H293">
        <v>1</v>
      </c>
      <c r="I293" s="472">
        <f t="shared" si="12"/>
        <v>0.26420000000000005</v>
      </c>
      <c r="J293" s="33">
        <v>0.29123333333333334</v>
      </c>
      <c r="K293" s="33">
        <f>0.296266666666667-0.07</f>
        <v>0.226266666666667</v>
      </c>
      <c r="L293" s="33">
        <f>0.3193-0.07</f>
        <v>0.24929999999999997</v>
      </c>
      <c r="M293" s="33">
        <v>0.28999999999999998</v>
      </c>
      <c r="N293" s="472">
        <f t="shared" si="14"/>
        <v>0.26420000000000005</v>
      </c>
      <c r="O293" s="33">
        <v>0.29123333333333334</v>
      </c>
      <c r="P293" s="33">
        <f>0.296266666666667-0.07</f>
        <v>0.226266666666667</v>
      </c>
      <c r="Q293" s="33">
        <f>0.3193-0.07</f>
        <v>0.24929999999999997</v>
      </c>
      <c r="R293" s="33">
        <v>0.28999999999999998</v>
      </c>
      <c r="S293" s="153">
        <v>0.04</v>
      </c>
      <c r="T293" s="153">
        <v>0</v>
      </c>
      <c r="U293" s="474">
        <v>2014</v>
      </c>
      <c r="V293">
        <v>2034</v>
      </c>
      <c r="W293">
        <v>0</v>
      </c>
      <c r="X293">
        <v>0</v>
      </c>
      <c r="Y293">
        <v>1315</v>
      </c>
      <c r="Z293">
        <v>347</v>
      </c>
      <c r="AA293" s="475" t="s">
        <v>25</v>
      </c>
    </row>
    <row r="294" spans="1:27" ht="15">
      <c r="A294" s="24">
        <v>1293</v>
      </c>
      <c r="B294" s="24">
        <v>1293</v>
      </c>
      <c r="C294" s="469" t="s">
        <v>688</v>
      </c>
      <c r="D294" t="s">
        <v>152</v>
      </c>
      <c r="E294" s="470">
        <v>3</v>
      </c>
      <c r="F294" s="471">
        <v>19.8</v>
      </c>
      <c r="G294">
        <v>1</v>
      </c>
      <c r="H294">
        <v>1</v>
      </c>
      <c r="I294" s="472">
        <f t="shared" si="12"/>
        <v>0.47039166666666665</v>
      </c>
      <c r="J294" s="473">
        <v>0.36503333333333332</v>
      </c>
      <c r="K294" s="473">
        <v>0.44336666666666663</v>
      </c>
      <c r="L294" s="473">
        <v>0.58906666666666663</v>
      </c>
      <c r="M294" s="473">
        <v>0.48410000000000003</v>
      </c>
      <c r="N294" s="472">
        <f t="shared" si="14"/>
        <v>0.47039166666666665</v>
      </c>
      <c r="O294" s="473">
        <v>0.36503333333333332</v>
      </c>
      <c r="P294" s="473">
        <v>0.44336666666666663</v>
      </c>
      <c r="Q294" s="473">
        <v>0.58906666666666663</v>
      </c>
      <c r="R294" s="473">
        <v>0.48410000000000003</v>
      </c>
      <c r="S294" s="153">
        <v>0.01</v>
      </c>
      <c r="T294" s="153">
        <v>0.02</v>
      </c>
      <c r="U294" s="474">
        <v>2012</v>
      </c>
      <c r="V294">
        <v>2032</v>
      </c>
      <c r="W294">
        <v>0</v>
      </c>
      <c r="X294">
        <v>0</v>
      </c>
      <c r="Y294">
        <v>1315</v>
      </c>
      <c r="Z294">
        <v>361</v>
      </c>
      <c r="AA294" s="475" t="s">
        <v>24</v>
      </c>
    </row>
    <row r="295" spans="1:27" ht="15">
      <c r="A295" s="24">
        <v>1294</v>
      </c>
      <c r="B295" s="24">
        <v>1294</v>
      </c>
      <c r="C295" s="469" t="s">
        <v>689</v>
      </c>
      <c r="D295" t="s">
        <v>152</v>
      </c>
      <c r="E295" s="470">
        <v>3</v>
      </c>
      <c r="F295" s="471">
        <v>19.8</v>
      </c>
      <c r="G295">
        <v>1</v>
      </c>
      <c r="H295">
        <v>1</v>
      </c>
      <c r="I295" s="472">
        <f t="shared" si="12"/>
        <v>0.47039166666666665</v>
      </c>
      <c r="J295" s="473">
        <v>0.36503333333333332</v>
      </c>
      <c r="K295" s="473">
        <v>0.44336666666666663</v>
      </c>
      <c r="L295" s="473">
        <v>0.58906666666666663</v>
      </c>
      <c r="M295" s="473">
        <v>0.48410000000000003</v>
      </c>
      <c r="N295" s="472">
        <f t="shared" si="14"/>
        <v>0.47039166666666665</v>
      </c>
      <c r="O295" s="473">
        <v>0.36503333333333332</v>
      </c>
      <c r="P295" s="473">
        <v>0.44336666666666663</v>
      </c>
      <c r="Q295" s="473">
        <v>0.58906666666666663</v>
      </c>
      <c r="R295" s="473">
        <v>0.48410000000000003</v>
      </c>
      <c r="S295" s="153">
        <v>0.01</v>
      </c>
      <c r="T295" s="153">
        <v>0.02</v>
      </c>
      <c r="U295" s="474">
        <v>2013</v>
      </c>
      <c r="V295">
        <v>2033</v>
      </c>
      <c r="W295">
        <v>0</v>
      </c>
      <c r="X295">
        <v>0</v>
      </c>
      <c r="Y295">
        <v>1315</v>
      </c>
      <c r="Z295">
        <v>361</v>
      </c>
      <c r="AA295" s="475" t="s">
        <v>24</v>
      </c>
    </row>
    <row r="296" spans="1:27" ht="15">
      <c r="A296" s="24">
        <v>1295</v>
      </c>
      <c r="B296" s="24">
        <v>1295</v>
      </c>
      <c r="C296" s="469" t="s">
        <v>690</v>
      </c>
      <c r="D296" t="s">
        <v>152</v>
      </c>
      <c r="E296" s="470">
        <v>3</v>
      </c>
      <c r="F296" s="471">
        <v>30</v>
      </c>
      <c r="G296">
        <v>1</v>
      </c>
      <c r="H296">
        <v>1</v>
      </c>
      <c r="I296" s="472">
        <f t="shared" si="12"/>
        <v>0.47039166666666665</v>
      </c>
      <c r="J296" s="473">
        <v>0.36503333333333332</v>
      </c>
      <c r="K296" s="473">
        <v>0.44336666666666663</v>
      </c>
      <c r="L296" s="473">
        <v>0.58906666666666663</v>
      </c>
      <c r="M296" s="473">
        <v>0.48410000000000003</v>
      </c>
      <c r="N296" s="472">
        <f t="shared" si="14"/>
        <v>0.47039166666666665</v>
      </c>
      <c r="O296" s="473">
        <v>0.36503333333333332</v>
      </c>
      <c r="P296" s="473">
        <v>0.44336666666666663</v>
      </c>
      <c r="Q296" s="473">
        <v>0.58906666666666663</v>
      </c>
      <c r="R296" s="473">
        <v>0.48410000000000003</v>
      </c>
      <c r="S296" s="153">
        <v>0.01</v>
      </c>
      <c r="T296" s="153">
        <v>0.02</v>
      </c>
      <c r="U296" s="474">
        <v>2014</v>
      </c>
      <c r="V296">
        <v>2034</v>
      </c>
      <c r="W296">
        <v>0</v>
      </c>
      <c r="X296">
        <v>0</v>
      </c>
      <c r="Y296">
        <v>1315</v>
      </c>
      <c r="Z296">
        <v>361</v>
      </c>
      <c r="AA296" s="475" t="s">
        <v>24</v>
      </c>
    </row>
    <row r="297" spans="1:27" ht="15">
      <c r="A297" s="24">
        <v>1296</v>
      </c>
      <c r="B297" s="24">
        <v>1296</v>
      </c>
      <c r="C297" s="469" t="s">
        <v>691</v>
      </c>
      <c r="D297" t="s">
        <v>152</v>
      </c>
      <c r="E297" s="470">
        <v>3</v>
      </c>
      <c r="F297" s="471">
        <v>30</v>
      </c>
      <c r="G297">
        <v>1</v>
      </c>
      <c r="H297">
        <v>1</v>
      </c>
      <c r="I297" s="472">
        <f t="shared" si="12"/>
        <v>0.47039166666666665</v>
      </c>
      <c r="J297" s="473">
        <v>0.36503333333333332</v>
      </c>
      <c r="K297" s="473">
        <v>0.44336666666666663</v>
      </c>
      <c r="L297" s="473">
        <v>0.58906666666666663</v>
      </c>
      <c r="M297" s="473">
        <v>0.48410000000000003</v>
      </c>
      <c r="N297" s="472">
        <f t="shared" si="14"/>
        <v>0.47039166666666665</v>
      </c>
      <c r="O297" s="473">
        <v>0.36503333333333332</v>
      </c>
      <c r="P297" s="473">
        <v>0.44336666666666663</v>
      </c>
      <c r="Q297" s="473">
        <v>0.58906666666666663</v>
      </c>
      <c r="R297" s="473">
        <v>0.48410000000000003</v>
      </c>
      <c r="S297" s="153">
        <v>0.01</v>
      </c>
      <c r="T297" s="153">
        <v>0.02</v>
      </c>
      <c r="U297" s="474">
        <v>2013</v>
      </c>
      <c r="V297">
        <v>2033</v>
      </c>
      <c r="W297">
        <v>0</v>
      </c>
      <c r="X297">
        <v>0</v>
      </c>
      <c r="Y297">
        <v>1315</v>
      </c>
      <c r="Z297">
        <v>361</v>
      </c>
      <c r="AA297" s="475" t="s">
        <v>24</v>
      </c>
    </row>
    <row r="298" spans="1:27" ht="15">
      <c r="A298" s="24">
        <v>1297</v>
      </c>
      <c r="B298" s="24">
        <v>1297</v>
      </c>
      <c r="C298" s="469" t="s">
        <v>692</v>
      </c>
      <c r="D298" t="s">
        <v>152</v>
      </c>
      <c r="E298" s="470">
        <v>3</v>
      </c>
      <c r="F298" s="471">
        <v>30</v>
      </c>
      <c r="G298">
        <v>1</v>
      </c>
      <c r="H298">
        <v>1</v>
      </c>
      <c r="I298" s="472">
        <f t="shared" si="12"/>
        <v>0.47039166666666665</v>
      </c>
      <c r="J298" s="473">
        <v>0.36503333333333332</v>
      </c>
      <c r="K298" s="473">
        <v>0.44336666666666663</v>
      </c>
      <c r="L298" s="473">
        <v>0.58906666666666663</v>
      </c>
      <c r="M298" s="473">
        <v>0.48410000000000003</v>
      </c>
      <c r="N298" s="472">
        <f t="shared" si="14"/>
        <v>0.47039166666666665</v>
      </c>
      <c r="O298" s="473">
        <v>0.36503333333333332</v>
      </c>
      <c r="P298" s="473">
        <v>0.44336666666666663</v>
      </c>
      <c r="Q298" s="473">
        <v>0.58906666666666663</v>
      </c>
      <c r="R298" s="473">
        <v>0.48410000000000003</v>
      </c>
      <c r="S298" s="153">
        <v>0.01</v>
      </c>
      <c r="T298" s="153">
        <v>0.02</v>
      </c>
      <c r="U298" s="474">
        <v>2013</v>
      </c>
      <c r="V298">
        <v>2033</v>
      </c>
      <c r="W298">
        <v>0</v>
      </c>
      <c r="X298">
        <v>0</v>
      </c>
      <c r="Y298">
        <v>1315</v>
      </c>
      <c r="Z298">
        <v>361</v>
      </c>
      <c r="AA298" s="475" t="s">
        <v>24</v>
      </c>
    </row>
    <row r="299" spans="1:27" ht="15">
      <c r="A299" s="24">
        <v>1298</v>
      </c>
      <c r="B299" s="24">
        <v>1298</v>
      </c>
      <c r="C299" s="469" t="s">
        <v>693</v>
      </c>
      <c r="D299" t="s">
        <v>152</v>
      </c>
      <c r="E299" s="470">
        <v>3</v>
      </c>
      <c r="F299" s="471">
        <v>23.8</v>
      </c>
      <c r="G299">
        <v>1</v>
      </c>
      <c r="H299">
        <v>1</v>
      </c>
      <c r="I299" s="472">
        <f t="shared" si="12"/>
        <v>0.47039166666666665</v>
      </c>
      <c r="J299" s="473">
        <v>0.36503333333333332</v>
      </c>
      <c r="K299" s="473">
        <v>0.44336666666666663</v>
      </c>
      <c r="L299" s="473">
        <v>0.58906666666666663</v>
      </c>
      <c r="M299" s="473">
        <v>0.48410000000000003</v>
      </c>
      <c r="N299" s="472">
        <f t="shared" si="14"/>
        <v>0.47039166666666665</v>
      </c>
      <c r="O299" s="473">
        <v>0.36503333333333332</v>
      </c>
      <c r="P299" s="473">
        <v>0.44336666666666663</v>
      </c>
      <c r="Q299" s="473">
        <v>0.58906666666666663</v>
      </c>
      <c r="R299" s="473">
        <v>0.48410000000000003</v>
      </c>
      <c r="S299" s="153">
        <v>0.01</v>
      </c>
      <c r="T299" s="153">
        <v>0.02</v>
      </c>
      <c r="U299" s="474">
        <v>2015</v>
      </c>
      <c r="V299">
        <v>2035</v>
      </c>
      <c r="W299">
        <v>0</v>
      </c>
      <c r="X299">
        <v>0</v>
      </c>
      <c r="Y299">
        <v>1315</v>
      </c>
      <c r="Z299">
        <v>361</v>
      </c>
      <c r="AA299" s="475" t="s">
        <v>24</v>
      </c>
    </row>
    <row r="300" spans="1:27" ht="15">
      <c r="A300" s="24">
        <v>1299</v>
      </c>
      <c r="B300" s="24">
        <v>1299</v>
      </c>
      <c r="C300" s="469" t="s">
        <v>694</v>
      </c>
      <c r="D300" t="s">
        <v>152</v>
      </c>
      <c r="E300" s="470">
        <v>3</v>
      </c>
      <c r="F300" s="471">
        <v>22.1</v>
      </c>
      <c r="G300">
        <v>1</v>
      </c>
      <c r="H300">
        <v>1</v>
      </c>
      <c r="I300" s="472">
        <f t="shared" si="12"/>
        <v>0.47039166666666665</v>
      </c>
      <c r="J300" s="473">
        <v>0.36503333333333332</v>
      </c>
      <c r="K300" s="473">
        <v>0.44336666666666663</v>
      </c>
      <c r="L300" s="473">
        <v>0.58906666666666663</v>
      </c>
      <c r="M300" s="473">
        <v>0.48410000000000003</v>
      </c>
      <c r="N300" s="472">
        <f t="shared" si="14"/>
        <v>0.47039166666666665</v>
      </c>
      <c r="O300" s="473">
        <v>0.36503333333333332</v>
      </c>
      <c r="P300" s="473">
        <v>0.44336666666666663</v>
      </c>
      <c r="Q300" s="473">
        <v>0.58906666666666663</v>
      </c>
      <c r="R300" s="473">
        <v>0.48410000000000003</v>
      </c>
      <c r="S300" s="153">
        <v>0.01</v>
      </c>
      <c r="T300" s="153">
        <v>0.02</v>
      </c>
      <c r="U300" s="474">
        <v>2015</v>
      </c>
      <c r="V300">
        <v>2035</v>
      </c>
      <c r="W300">
        <v>0</v>
      </c>
      <c r="X300">
        <v>0</v>
      </c>
      <c r="Y300">
        <v>1315</v>
      </c>
      <c r="Z300">
        <v>361</v>
      </c>
      <c r="AA300" s="475" t="s">
        <v>24</v>
      </c>
    </row>
    <row r="301" spans="1:27" ht="15" hidden="1">
      <c r="A301" s="24">
        <v>1300</v>
      </c>
      <c r="B301" s="24">
        <v>1300</v>
      </c>
      <c r="C301" s="469" t="s">
        <v>695</v>
      </c>
      <c r="D301" t="s">
        <v>152</v>
      </c>
      <c r="E301" s="470">
        <v>3</v>
      </c>
      <c r="F301" s="471">
        <v>8.5</v>
      </c>
      <c r="G301">
        <v>1</v>
      </c>
      <c r="H301">
        <v>1</v>
      </c>
      <c r="I301" s="472">
        <f t="shared" si="12"/>
        <v>0.47039166666666665</v>
      </c>
      <c r="J301" s="473">
        <v>0.36503333333333332</v>
      </c>
      <c r="K301" s="473">
        <v>0.44336666666666663</v>
      </c>
      <c r="L301" s="473">
        <v>0.58906666666666663</v>
      </c>
      <c r="M301" s="473">
        <v>0.48410000000000003</v>
      </c>
      <c r="N301" s="472">
        <f t="shared" si="14"/>
        <v>0.47039166666666665</v>
      </c>
      <c r="O301" s="473">
        <v>0.36503333333333332</v>
      </c>
      <c r="P301" s="473">
        <v>0.44336666666666663</v>
      </c>
      <c r="Q301" s="473">
        <v>0.58906666666666663</v>
      </c>
      <c r="R301" s="473">
        <v>0.48410000000000003</v>
      </c>
      <c r="S301" s="153">
        <v>0.01</v>
      </c>
      <c r="T301" s="153">
        <v>0.02</v>
      </c>
      <c r="U301" s="474">
        <v>2016</v>
      </c>
      <c r="V301">
        <v>2036</v>
      </c>
      <c r="W301">
        <v>0</v>
      </c>
      <c r="X301">
        <v>0</v>
      </c>
      <c r="Y301">
        <v>1315</v>
      </c>
      <c r="Z301">
        <v>361</v>
      </c>
      <c r="AA301" s="475" t="s">
        <v>24</v>
      </c>
    </row>
    <row r="302" spans="1:27" ht="15" hidden="1">
      <c r="A302" s="24">
        <v>1301</v>
      </c>
      <c r="B302" s="24">
        <v>1301</v>
      </c>
      <c r="C302" s="469" t="s">
        <v>696</v>
      </c>
      <c r="D302" t="s">
        <v>149</v>
      </c>
      <c r="E302" s="470">
        <v>2</v>
      </c>
      <c r="F302" s="471">
        <v>10.5</v>
      </c>
      <c r="G302">
        <v>1</v>
      </c>
      <c r="H302">
        <v>1</v>
      </c>
      <c r="I302" s="472">
        <f t="shared" si="12"/>
        <v>0.40033333333333337</v>
      </c>
      <c r="J302" s="153">
        <v>0.3706666666666667</v>
      </c>
      <c r="K302" s="153">
        <v>0.3666666666666667</v>
      </c>
      <c r="L302" s="153">
        <v>0.44799999999999995</v>
      </c>
      <c r="M302" s="153">
        <v>0.41600000000000009</v>
      </c>
      <c r="N302" s="472">
        <f t="shared" si="14"/>
        <v>0.40033333333333337</v>
      </c>
      <c r="O302" s="153">
        <v>0.3706666666666667</v>
      </c>
      <c r="P302" s="153">
        <v>0.3666666666666667</v>
      </c>
      <c r="Q302" s="153">
        <v>0.44799999999999995</v>
      </c>
      <c r="R302" s="153">
        <v>0.41600000000000009</v>
      </c>
      <c r="S302" s="153">
        <v>0.01</v>
      </c>
      <c r="T302" s="153">
        <v>0.02</v>
      </c>
      <c r="U302" s="474">
        <v>2011</v>
      </c>
      <c r="V302">
        <v>2031</v>
      </c>
      <c r="W302">
        <v>0</v>
      </c>
      <c r="X302">
        <v>0</v>
      </c>
      <c r="Y302">
        <v>1315</v>
      </c>
      <c r="Z302">
        <v>360</v>
      </c>
      <c r="AA302" s="475" t="s">
        <v>24</v>
      </c>
    </row>
    <row r="303" spans="1:27" ht="15">
      <c r="A303" s="24">
        <v>1302</v>
      </c>
      <c r="B303" s="24">
        <v>1302</v>
      </c>
      <c r="C303" s="469" t="s">
        <v>697</v>
      </c>
      <c r="D303" t="s">
        <v>152</v>
      </c>
      <c r="E303" s="470">
        <v>3</v>
      </c>
      <c r="F303" s="471">
        <v>4.5</v>
      </c>
      <c r="G303">
        <v>1</v>
      </c>
      <c r="H303">
        <v>1</v>
      </c>
      <c r="I303" s="472">
        <f t="shared" si="12"/>
        <v>0.47039166666666665</v>
      </c>
      <c r="J303" s="473">
        <v>0.36503333333333332</v>
      </c>
      <c r="K303" s="473">
        <v>0.44336666666666663</v>
      </c>
      <c r="L303" s="473">
        <v>0.58906666666666663</v>
      </c>
      <c r="M303" s="473">
        <v>0.48410000000000003</v>
      </c>
      <c r="N303" s="472">
        <f t="shared" si="14"/>
        <v>0.47039166666666665</v>
      </c>
      <c r="O303" s="473">
        <v>0.36503333333333332</v>
      </c>
      <c r="P303" s="473">
        <v>0.44336666666666663</v>
      </c>
      <c r="Q303" s="473">
        <v>0.58906666666666663</v>
      </c>
      <c r="R303" s="473">
        <v>0.48410000000000003</v>
      </c>
      <c r="S303" s="153">
        <v>0.01</v>
      </c>
      <c r="T303" s="153">
        <v>0.02</v>
      </c>
      <c r="U303" s="474">
        <v>2009</v>
      </c>
      <c r="V303">
        <v>2029</v>
      </c>
      <c r="W303">
        <v>0</v>
      </c>
      <c r="X303">
        <v>0</v>
      </c>
      <c r="Y303">
        <v>1315</v>
      </c>
      <c r="Z303">
        <v>361</v>
      </c>
      <c r="AA303" s="475" t="s">
        <v>24</v>
      </c>
    </row>
    <row r="304" spans="1:27" ht="15">
      <c r="A304" s="24">
        <v>1303</v>
      </c>
      <c r="B304" s="24">
        <v>1303</v>
      </c>
      <c r="C304" s="469" t="s">
        <v>698</v>
      </c>
      <c r="D304" t="s">
        <v>152</v>
      </c>
      <c r="E304" s="470">
        <v>3</v>
      </c>
      <c r="F304" s="471">
        <v>9.6</v>
      </c>
      <c r="G304">
        <v>1</v>
      </c>
      <c r="H304">
        <v>1</v>
      </c>
      <c r="I304" s="472">
        <f t="shared" si="12"/>
        <v>0.47039166666666665</v>
      </c>
      <c r="J304" s="473">
        <v>0.36503333333333332</v>
      </c>
      <c r="K304" s="473">
        <v>0.44336666666666663</v>
      </c>
      <c r="L304" s="473">
        <v>0.58906666666666663</v>
      </c>
      <c r="M304" s="473">
        <v>0.48410000000000003</v>
      </c>
      <c r="N304" s="472">
        <f t="shared" si="14"/>
        <v>0.47039166666666665</v>
      </c>
      <c r="O304" s="473">
        <v>0.36503333333333332</v>
      </c>
      <c r="P304" s="473">
        <v>0.44336666666666663</v>
      </c>
      <c r="Q304" s="473">
        <v>0.58906666666666663</v>
      </c>
      <c r="R304" s="473">
        <v>0.48410000000000003</v>
      </c>
      <c r="S304" s="153">
        <v>0.01</v>
      </c>
      <c r="T304" s="153">
        <v>0.02</v>
      </c>
      <c r="U304" s="474">
        <v>2012</v>
      </c>
      <c r="V304">
        <v>2032</v>
      </c>
      <c r="W304">
        <v>0</v>
      </c>
      <c r="X304">
        <v>0</v>
      </c>
      <c r="Y304">
        <v>1315</v>
      </c>
      <c r="Z304">
        <v>361</v>
      </c>
      <c r="AA304" s="475" t="s">
        <v>24</v>
      </c>
    </row>
    <row r="305" spans="1:27" ht="15">
      <c r="A305" s="24">
        <v>1304</v>
      </c>
      <c r="B305" s="24">
        <v>1304</v>
      </c>
      <c r="C305" s="469" t="s">
        <v>699</v>
      </c>
      <c r="D305" t="s">
        <v>152</v>
      </c>
      <c r="E305" s="470">
        <v>3</v>
      </c>
      <c r="F305" s="471">
        <v>57</v>
      </c>
      <c r="G305">
        <v>1</v>
      </c>
      <c r="H305">
        <v>1</v>
      </c>
      <c r="I305" s="472">
        <f t="shared" si="12"/>
        <v>0.47039166666666665</v>
      </c>
      <c r="J305" s="473">
        <v>0.36503333333333332</v>
      </c>
      <c r="K305" s="473">
        <v>0.44336666666666663</v>
      </c>
      <c r="L305" s="473">
        <v>0.58906666666666663</v>
      </c>
      <c r="M305" s="473">
        <v>0.48410000000000003</v>
      </c>
      <c r="N305" s="472">
        <f t="shared" si="14"/>
        <v>0.47039166666666665</v>
      </c>
      <c r="O305" s="473">
        <v>0.36503333333333332</v>
      </c>
      <c r="P305" s="473">
        <v>0.44336666666666663</v>
      </c>
      <c r="Q305" s="473">
        <v>0.58906666666666663</v>
      </c>
      <c r="R305" s="473">
        <v>0.48410000000000003</v>
      </c>
      <c r="S305" s="153">
        <v>0.01</v>
      </c>
      <c r="T305" s="153">
        <v>0.02</v>
      </c>
      <c r="U305" s="474">
        <v>2010</v>
      </c>
      <c r="V305">
        <v>2030</v>
      </c>
      <c r="W305">
        <v>0</v>
      </c>
      <c r="X305">
        <v>0</v>
      </c>
      <c r="Y305">
        <v>1315</v>
      </c>
      <c r="Z305">
        <v>361</v>
      </c>
      <c r="AA305" s="475" t="s">
        <v>24</v>
      </c>
    </row>
    <row r="306" spans="1:27" ht="15">
      <c r="A306" s="24">
        <v>1305</v>
      </c>
      <c r="B306" s="24">
        <v>1305</v>
      </c>
      <c r="C306" s="469" t="s">
        <v>700</v>
      </c>
      <c r="D306" t="s">
        <v>152</v>
      </c>
      <c r="E306" s="470">
        <v>3</v>
      </c>
      <c r="F306" s="471">
        <v>10.5</v>
      </c>
      <c r="G306">
        <v>1</v>
      </c>
      <c r="H306">
        <v>1</v>
      </c>
      <c r="I306" s="472">
        <f t="shared" si="12"/>
        <v>0.47039166666666665</v>
      </c>
      <c r="J306" s="473">
        <v>0.36503333333333332</v>
      </c>
      <c r="K306" s="473">
        <v>0.44336666666666663</v>
      </c>
      <c r="L306" s="473">
        <v>0.58906666666666663</v>
      </c>
      <c r="M306" s="473">
        <v>0.48410000000000003</v>
      </c>
      <c r="N306" s="472">
        <f t="shared" si="14"/>
        <v>0.47039166666666665</v>
      </c>
      <c r="O306" s="473">
        <v>0.36503333333333332</v>
      </c>
      <c r="P306" s="473">
        <v>0.44336666666666663</v>
      </c>
      <c r="Q306" s="473">
        <v>0.58906666666666663</v>
      </c>
      <c r="R306" s="473">
        <v>0.48410000000000003</v>
      </c>
      <c r="S306" s="153">
        <v>0.01</v>
      </c>
      <c r="T306" s="153">
        <v>0.02</v>
      </c>
      <c r="U306" s="474">
        <v>2008</v>
      </c>
      <c r="V306">
        <v>2028</v>
      </c>
      <c r="W306">
        <v>0</v>
      </c>
      <c r="X306">
        <v>0</v>
      </c>
      <c r="Y306">
        <v>1315</v>
      </c>
      <c r="Z306">
        <v>361</v>
      </c>
      <c r="AA306" s="475" t="s">
        <v>24</v>
      </c>
    </row>
    <row r="307" spans="1:27" ht="15">
      <c r="A307" s="24">
        <v>1306</v>
      </c>
      <c r="B307" s="24">
        <v>1306</v>
      </c>
      <c r="C307" s="469" t="s">
        <v>701</v>
      </c>
      <c r="D307" t="s">
        <v>152</v>
      </c>
      <c r="E307" s="470">
        <v>3</v>
      </c>
      <c r="F307" s="471">
        <v>4.5</v>
      </c>
      <c r="G307">
        <v>1</v>
      </c>
      <c r="H307">
        <v>1</v>
      </c>
      <c r="I307" s="472">
        <f t="shared" si="12"/>
        <v>0.47039166666666665</v>
      </c>
      <c r="J307" s="473">
        <v>0.36503333333333332</v>
      </c>
      <c r="K307" s="473">
        <v>0.44336666666666663</v>
      </c>
      <c r="L307" s="473">
        <v>0.58906666666666663</v>
      </c>
      <c r="M307" s="473">
        <v>0.48410000000000003</v>
      </c>
      <c r="N307" s="472">
        <f t="shared" si="14"/>
        <v>0.47039166666666665</v>
      </c>
      <c r="O307" s="473">
        <v>0.36503333333333332</v>
      </c>
      <c r="P307" s="473">
        <v>0.44336666666666663</v>
      </c>
      <c r="Q307" s="473">
        <v>0.58906666666666663</v>
      </c>
      <c r="R307" s="473">
        <v>0.48410000000000003</v>
      </c>
      <c r="S307" s="153">
        <v>0.01</v>
      </c>
      <c r="T307" s="153">
        <v>0.02</v>
      </c>
      <c r="U307" s="474">
        <v>2009</v>
      </c>
      <c r="V307">
        <v>2029</v>
      </c>
      <c r="W307">
        <v>0</v>
      </c>
      <c r="X307">
        <v>0</v>
      </c>
      <c r="Y307">
        <v>1315</v>
      </c>
      <c r="Z307">
        <v>361</v>
      </c>
      <c r="AA307" s="475" t="s">
        <v>24</v>
      </c>
    </row>
    <row r="308" spans="1:27" ht="15" hidden="1">
      <c r="A308" s="24">
        <v>1307</v>
      </c>
      <c r="B308" s="24">
        <v>1307</v>
      </c>
      <c r="C308" s="469" t="s">
        <v>702</v>
      </c>
      <c r="D308" t="s">
        <v>152</v>
      </c>
      <c r="E308" s="470">
        <v>3</v>
      </c>
      <c r="F308" s="471">
        <v>30</v>
      </c>
      <c r="G308">
        <v>1</v>
      </c>
      <c r="H308">
        <v>1</v>
      </c>
      <c r="I308" s="472">
        <f t="shared" si="12"/>
        <v>0.47039166666666665</v>
      </c>
      <c r="J308" s="473">
        <v>0.36503333333333332</v>
      </c>
      <c r="K308" s="473">
        <v>0.44336666666666663</v>
      </c>
      <c r="L308" s="473">
        <v>0.58906666666666663</v>
      </c>
      <c r="M308" s="473">
        <v>0.48410000000000003</v>
      </c>
      <c r="N308" s="472">
        <f t="shared" si="14"/>
        <v>0.47039166666666665</v>
      </c>
      <c r="O308" s="473">
        <v>0.36503333333333332</v>
      </c>
      <c r="P308" s="473">
        <v>0.44336666666666663</v>
      </c>
      <c r="Q308" s="473">
        <v>0.58906666666666663</v>
      </c>
      <c r="R308" s="473">
        <v>0.48410000000000003</v>
      </c>
      <c r="S308" s="153">
        <v>0.01</v>
      </c>
      <c r="T308" s="153">
        <v>0.02</v>
      </c>
      <c r="U308" s="474">
        <v>2016</v>
      </c>
      <c r="V308">
        <v>2036</v>
      </c>
      <c r="W308">
        <v>0</v>
      </c>
      <c r="X308">
        <v>0</v>
      </c>
      <c r="Y308">
        <v>1315</v>
      </c>
      <c r="Z308">
        <v>361</v>
      </c>
      <c r="AA308" s="475" t="s">
        <v>24</v>
      </c>
    </row>
    <row r="309" spans="1:27" ht="15" hidden="1">
      <c r="A309" s="24">
        <v>1308</v>
      </c>
      <c r="B309" s="24">
        <v>1308</v>
      </c>
      <c r="C309" s="469" t="s">
        <v>703</v>
      </c>
      <c r="D309" t="s">
        <v>152</v>
      </c>
      <c r="E309" s="470">
        <v>3</v>
      </c>
      <c r="F309" s="471">
        <v>47</v>
      </c>
      <c r="G309">
        <v>1</v>
      </c>
      <c r="H309">
        <v>1</v>
      </c>
      <c r="I309" s="472">
        <f t="shared" si="12"/>
        <v>0.32845968612834514</v>
      </c>
      <c r="J309" s="153">
        <v>3.8473756479098807E-2</v>
      </c>
      <c r="K309" s="153">
        <v>0.39358026214566905</v>
      </c>
      <c r="L309" s="153">
        <v>0.53857526864315253</v>
      </c>
      <c r="M309" s="153">
        <v>0.3432094572454602</v>
      </c>
      <c r="N309" s="472">
        <f t="shared" si="14"/>
        <v>0.32845968612834514</v>
      </c>
      <c r="O309" s="153">
        <v>3.8473756479098807E-2</v>
      </c>
      <c r="P309" s="153">
        <v>0.39358026214566905</v>
      </c>
      <c r="Q309" s="153">
        <v>0.53857526864315253</v>
      </c>
      <c r="R309" s="153">
        <v>0.3432094572454602</v>
      </c>
      <c r="S309" s="153">
        <v>0.03</v>
      </c>
      <c r="T309" s="153">
        <v>0</v>
      </c>
      <c r="U309" s="474">
        <v>2007</v>
      </c>
      <c r="V309">
        <v>2023</v>
      </c>
      <c r="W309">
        <v>0</v>
      </c>
      <c r="X309">
        <v>0</v>
      </c>
      <c r="Y309">
        <v>1304</v>
      </c>
      <c r="Z309">
        <v>311</v>
      </c>
      <c r="AA309" s="475" t="s">
        <v>23</v>
      </c>
    </row>
    <row r="310" spans="1:27" ht="15">
      <c r="A310" s="24">
        <v>1309</v>
      </c>
      <c r="B310" s="24">
        <v>1309</v>
      </c>
      <c r="C310" s="469" t="s">
        <v>704</v>
      </c>
      <c r="D310" t="s">
        <v>152</v>
      </c>
      <c r="E310" s="470">
        <v>3</v>
      </c>
      <c r="F310" s="471">
        <v>30</v>
      </c>
      <c r="G310">
        <v>1</v>
      </c>
      <c r="H310">
        <v>1</v>
      </c>
      <c r="I310" s="472">
        <f t="shared" si="12"/>
        <v>0.47039166666666665</v>
      </c>
      <c r="J310" s="473">
        <v>0.36503333333333332</v>
      </c>
      <c r="K310" s="473">
        <v>0.44336666666666663</v>
      </c>
      <c r="L310" s="473">
        <v>0.58906666666666663</v>
      </c>
      <c r="M310" s="473">
        <v>0.48410000000000003</v>
      </c>
      <c r="N310" s="472">
        <f t="shared" si="14"/>
        <v>0.47039166666666665</v>
      </c>
      <c r="O310" s="473">
        <v>0.36503333333333332</v>
      </c>
      <c r="P310" s="473">
        <v>0.44336666666666663</v>
      </c>
      <c r="Q310" s="473">
        <v>0.58906666666666663</v>
      </c>
      <c r="R310" s="473">
        <v>0.48410000000000003</v>
      </c>
      <c r="S310" s="153">
        <v>0.01</v>
      </c>
      <c r="T310" s="153">
        <v>0.02</v>
      </c>
      <c r="U310" s="474">
        <v>2014</v>
      </c>
      <c r="V310">
        <v>2034</v>
      </c>
      <c r="W310">
        <v>0</v>
      </c>
      <c r="X310">
        <v>0</v>
      </c>
      <c r="Y310">
        <v>1315</v>
      </c>
      <c r="Z310">
        <v>361</v>
      </c>
      <c r="AA310" s="475" t="s">
        <v>24</v>
      </c>
    </row>
    <row r="311" spans="1:27" ht="15" hidden="1">
      <c r="A311" s="24">
        <v>1310</v>
      </c>
      <c r="B311" s="24">
        <v>1310</v>
      </c>
      <c r="C311" s="469" t="s">
        <v>705</v>
      </c>
      <c r="D311" t="s">
        <v>149</v>
      </c>
      <c r="E311" s="470">
        <v>2</v>
      </c>
      <c r="F311" s="471">
        <v>6</v>
      </c>
      <c r="G311">
        <v>1</v>
      </c>
      <c r="H311">
        <v>1</v>
      </c>
      <c r="I311" s="472">
        <f t="shared" si="12"/>
        <v>0.40033333333333337</v>
      </c>
      <c r="J311" s="153">
        <v>0.3706666666666667</v>
      </c>
      <c r="K311" s="153">
        <v>0.3666666666666667</v>
      </c>
      <c r="L311" s="153">
        <v>0.44799999999999995</v>
      </c>
      <c r="M311" s="153">
        <v>0.41600000000000009</v>
      </c>
      <c r="N311" s="472">
        <f t="shared" si="14"/>
        <v>0.40033333333333337</v>
      </c>
      <c r="O311" s="153">
        <v>0.3706666666666667</v>
      </c>
      <c r="P311" s="153">
        <v>0.3666666666666667</v>
      </c>
      <c r="Q311" s="153">
        <v>0.44799999999999995</v>
      </c>
      <c r="R311" s="153">
        <v>0.41600000000000009</v>
      </c>
      <c r="S311" s="153">
        <v>0.01</v>
      </c>
      <c r="T311" s="153">
        <v>0.02</v>
      </c>
      <c r="U311" s="474">
        <v>2011</v>
      </c>
      <c r="V311">
        <v>2031</v>
      </c>
      <c r="W311">
        <v>0</v>
      </c>
      <c r="X311">
        <v>0</v>
      </c>
      <c r="Y311">
        <v>1315</v>
      </c>
      <c r="Z311">
        <v>360</v>
      </c>
      <c r="AA311" s="475" t="s">
        <v>24</v>
      </c>
    </row>
    <row r="312" spans="1:27" ht="15" hidden="1">
      <c r="A312" s="24">
        <v>1311</v>
      </c>
      <c r="B312" s="24">
        <v>1311</v>
      </c>
      <c r="C312" s="469" t="s">
        <v>706</v>
      </c>
      <c r="D312" t="s">
        <v>149</v>
      </c>
      <c r="E312" s="470">
        <v>2</v>
      </c>
      <c r="F312" s="471">
        <v>0</v>
      </c>
      <c r="G312">
        <v>1</v>
      </c>
      <c r="H312">
        <v>1</v>
      </c>
      <c r="I312" s="472">
        <f t="shared" si="12"/>
        <v>0.40033333333333337</v>
      </c>
      <c r="J312" s="153">
        <v>0.3706666666666667</v>
      </c>
      <c r="K312" s="153">
        <v>0.3666666666666667</v>
      </c>
      <c r="L312" s="153">
        <v>0.44799999999999995</v>
      </c>
      <c r="M312" s="153">
        <v>0.41600000000000009</v>
      </c>
      <c r="N312" s="472">
        <f t="shared" si="14"/>
        <v>0.40033333333333337</v>
      </c>
      <c r="O312" s="153">
        <v>0.3706666666666667</v>
      </c>
      <c r="P312" s="153">
        <v>0.3666666666666667</v>
      </c>
      <c r="Q312" s="153">
        <v>0.44799999999999995</v>
      </c>
      <c r="R312" s="153">
        <v>0.41600000000000009</v>
      </c>
      <c r="S312" s="153">
        <v>0.01</v>
      </c>
      <c r="T312" s="153">
        <v>0.02</v>
      </c>
      <c r="U312" s="474">
        <v>2014</v>
      </c>
      <c r="V312">
        <v>2034</v>
      </c>
      <c r="W312">
        <v>0</v>
      </c>
      <c r="X312">
        <v>0</v>
      </c>
      <c r="Y312">
        <v>1315</v>
      </c>
      <c r="Z312">
        <v>360</v>
      </c>
      <c r="AA312" s="475" t="s">
        <v>24</v>
      </c>
    </row>
    <row r="313" spans="1:27" ht="15" hidden="1">
      <c r="A313" s="24">
        <v>1312</v>
      </c>
      <c r="B313" s="24">
        <v>1312</v>
      </c>
      <c r="C313" s="469" t="s">
        <v>707</v>
      </c>
      <c r="D313" t="s">
        <v>149</v>
      </c>
      <c r="E313" s="470">
        <v>2</v>
      </c>
      <c r="F313" s="471">
        <v>0</v>
      </c>
      <c r="G313">
        <v>1</v>
      </c>
      <c r="H313">
        <v>1</v>
      </c>
      <c r="I313" s="472">
        <f t="shared" si="12"/>
        <v>0.40033333333333337</v>
      </c>
      <c r="J313" s="153">
        <v>0.3706666666666667</v>
      </c>
      <c r="K313" s="153">
        <v>0.3666666666666667</v>
      </c>
      <c r="L313" s="153">
        <v>0.44799999999999995</v>
      </c>
      <c r="M313" s="153">
        <v>0.41600000000000009</v>
      </c>
      <c r="N313" s="472">
        <f t="shared" si="14"/>
        <v>0.40033333333333337</v>
      </c>
      <c r="O313" s="153">
        <v>0.3706666666666667</v>
      </c>
      <c r="P313" s="153">
        <v>0.3666666666666667</v>
      </c>
      <c r="Q313" s="153">
        <v>0.44799999999999995</v>
      </c>
      <c r="R313" s="153">
        <v>0.41600000000000009</v>
      </c>
      <c r="S313" s="153">
        <v>0.01</v>
      </c>
      <c r="T313" s="153">
        <v>0.02</v>
      </c>
      <c r="U313" s="474">
        <v>2014</v>
      </c>
      <c r="V313">
        <v>2034</v>
      </c>
      <c r="W313">
        <v>0</v>
      </c>
      <c r="X313">
        <v>0</v>
      </c>
      <c r="Y313">
        <v>1315</v>
      </c>
      <c r="Z313">
        <v>360</v>
      </c>
      <c r="AA313" s="475" t="s">
        <v>24</v>
      </c>
    </row>
    <row r="314" spans="1:27" ht="15" hidden="1">
      <c r="A314" s="24">
        <v>1313</v>
      </c>
      <c r="B314" s="24">
        <v>1313</v>
      </c>
      <c r="C314" s="469" t="s">
        <v>708</v>
      </c>
      <c r="D314" t="s">
        <v>149</v>
      </c>
      <c r="E314" s="470">
        <v>2</v>
      </c>
      <c r="F314" s="471">
        <v>0</v>
      </c>
      <c r="G314">
        <v>1</v>
      </c>
      <c r="H314">
        <v>1</v>
      </c>
      <c r="I314" s="472">
        <f t="shared" si="12"/>
        <v>0.40033333333333337</v>
      </c>
      <c r="J314" s="153">
        <v>0.3706666666666667</v>
      </c>
      <c r="K314" s="153">
        <v>0.3666666666666667</v>
      </c>
      <c r="L314" s="153">
        <v>0.44799999999999995</v>
      </c>
      <c r="M314" s="153">
        <v>0.41600000000000009</v>
      </c>
      <c r="N314" s="472">
        <f t="shared" si="14"/>
        <v>0.40033333333333337</v>
      </c>
      <c r="O314" s="153">
        <v>0.3706666666666667</v>
      </c>
      <c r="P314" s="153">
        <v>0.3666666666666667</v>
      </c>
      <c r="Q314" s="153">
        <v>0.44799999999999995</v>
      </c>
      <c r="R314" s="153">
        <v>0.41600000000000009</v>
      </c>
      <c r="S314" s="153">
        <v>0.01</v>
      </c>
      <c r="T314" s="153">
        <v>0.02</v>
      </c>
      <c r="U314" s="474">
        <v>2014</v>
      </c>
      <c r="V314">
        <v>2034</v>
      </c>
      <c r="W314">
        <v>0</v>
      </c>
      <c r="X314">
        <v>0</v>
      </c>
      <c r="Y314">
        <v>1315</v>
      </c>
      <c r="Z314">
        <v>360</v>
      </c>
      <c r="AA314" s="475" t="s">
        <v>24</v>
      </c>
    </row>
    <row r="315" spans="1:27" ht="15" hidden="1">
      <c r="A315" s="24">
        <v>1314</v>
      </c>
      <c r="B315" s="24">
        <v>1314</v>
      </c>
      <c r="C315" s="469" t="s">
        <v>709</v>
      </c>
      <c r="D315" t="s">
        <v>152</v>
      </c>
      <c r="E315" s="470">
        <v>3</v>
      </c>
      <c r="F315" s="471">
        <v>0</v>
      </c>
      <c r="G315">
        <v>1</v>
      </c>
      <c r="H315">
        <v>1</v>
      </c>
      <c r="I315" s="472">
        <f t="shared" si="12"/>
        <v>0.32845968612834514</v>
      </c>
      <c r="J315" s="153">
        <v>3.8473756479098807E-2</v>
      </c>
      <c r="K315" s="153">
        <v>0.39358026214566905</v>
      </c>
      <c r="L315" s="153">
        <v>0.53857526864315253</v>
      </c>
      <c r="M315" s="153">
        <v>0.3432094572454602</v>
      </c>
      <c r="N315" s="472">
        <f t="shared" si="14"/>
        <v>0.32845968612834514</v>
      </c>
      <c r="O315" s="153">
        <v>3.8473756479098807E-2</v>
      </c>
      <c r="P315" s="153">
        <v>0.39358026214566905</v>
      </c>
      <c r="Q315" s="153">
        <v>0.53857526864315253</v>
      </c>
      <c r="R315" s="153">
        <v>0.3432094572454602</v>
      </c>
      <c r="S315" s="153">
        <v>0.03</v>
      </c>
      <c r="T315" s="153">
        <v>0</v>
      </c>
      <c r="U315" s="474">
        <v>1900</v>
      </c>
      <c r="V315">
        <v>2030</v>
      </c>
      <c r="W315">
        <v>0</v>
      </c>
      <c r="X315">
        <v>0</v>
      </c>
      <c r="Y315">
        <v>1304</v>
      </c>
      <c r="Z315">
        <v>311</v>
      </c>
      <c r="AA315" s="475" t="s">
        <v>23</v>
      </c>
    </row>
    <row r="316" spans="1:27" ht="15" hidden="1">
      <c r="A316" s="24">
        <v>1315</v>
      </c>
      <c r="B316" s="24">
        <v>1315</v>
      </c>
      <c r="C316" s="469" t="s">
        <v>710</v>
      </c>
      <c r="D316" t="s">
        <v>149</v>
      </c>
      <c r="E316" s="470">
        <v>2</v>
      </c>
      <c r="F316" s="471">
        <v>0</v>
      </c>
      <c r="G316">
        <v>1</v>
      </c>
      <c r="H316">
        <v>1</v>
      </c>
      <c r="I316" s="472">
        <f t="shared" si="12"/>
        <v>0.40033333333333337</v>
      </c>
      <c r="J316" s="153">
        <v>0.3706666666666667</v>
      </c>
      <c r="K316" s="153">
        <v>0.3666666666666667</v>
      </c>
      <c r="L316" s="153">
        <v>0.44799999999999995</v>
      </c>
      <c r="M316" s="153">
        <v>0.41600000000000009</v>
      </c>
      <c r="N316" s="472">
        <f t="shared" si="14"/>
        <v>0.40033333333333337</v>
      </c>
      <c r="O316" s="153">
        <v>0.3706666666666667</v>
      </c>
      <c r="P316" s="153">
        <v>0.3666666666666667</v>
      </c>
      <c r="Q316" s="153">
        <v>0.44799999999999995</v>
      </c>
      <c r="R316" s="153">
        <v>0.41600000000000009</v>
      </c>
      <c r="S316" s="153">
        <v>0.01</v>
      </c>
      <c r="T316" s="153">
        <v>0.02</v>
      </c>
      <c r="U316" s="474">
        <v>2014</v>
      </c>
      <c r="V316">
        <v>2034</v>
      </c>
      <c r="W316">
        <v>0</v>
      </c>
      <c r="X316">
        <v>0</v>
      </c>
      <c r="Y316">
        <v>1315</v>
      </c>
      <c r="Z316">
        <v>360</v>
      </c>
      <c r="AA316" s="475" t="s">
        <v>24</v>
      </c>
    </row>
    <row r="317" spans="1:27" ht="15" hidden="1">
      <c r="A317" s="24">
        <v>1316</v>
      </c>
      <c r="B317" s="24">
        <v>1316</v>
      </c>
      <c r="C317" s="469" t="s">
        <v>711</v>
      </c>
      <c r="D317" t="s">
        <v>149</v>
      </c>
      <c r="E317" s="470">
        <v>2</v>
      </c>
      <c r="F317" s="471">
        <v>24</v>
      </c>
      <c r="G317">
        <v>1</v>
      </c>
      <c r="H317">
        <v>1</v>
      </c>
      <c r="I317" s="472">
        <f t="shared" si="12"/>
        <v>0.40033333333333337</v>
      </c>
      <c r="J317" s="153">
        <v>0.3706666666666667</v>
      </c>
      <c r="K317" s="153">
        <v>0.3666666666666667</v>
      </c>
      <c r="L317" s="153">
        <v>0.44799999999999995</v>
      </c>
      <c r="M317" s="153">
        <v>0.41600000000000009</v>
      </c>
      <c r="N317" s="472">
        <f t="shared" si="14"/>
        <v>0.40033333333333337</v>
      </c>
      <c r="O317" s="153">
        <v>0.3706666666666667</v>
      </c>
      <c r="P317" s="153">
        <v>0.3666666666666667</v>
      </c>
      <c r="Q317" s="153">
        <v>0.44799999999999995</v>
      </c>
      <c r="R317" s="153">
        <v>0.41600000000000009</v>
      </c>
      <c r="S317" s="153">
        <v>0.01</v>
      </c>
      <c r="T317" s="153">
        <v>0.02</v>
      </c>
      <c r="U317" s="474">
        <v>2014</v>
      </c>
      <c r="V317">
        <v>2034</v>
      </c>
      <c r="W317">
        <v>0</v>
      </c>
      <c r="X317">
        <v>0</v>
      </c>
      <c r="Y317">
        <v>1315</v>
      </c>
      <c r="Z317">
        <v>360</v>
      </c>
      <c r="AA317" s="475" t="s">
        <v>24</v>
      </c>
    </row>
    <row r="318" spans="1:27" ht="15" hidden="1">
      <c r="A318" s="24">
        <v>1317</v>
      </c>
      <c r="B318" s="24">
        <v>1317</v>
      </c>
      <c r="C318" s="469" t="s">
        <v>712</v>
      </c>
      <c r="D318" t="s">
        <v>149</v>
      </c>
      <c r="E318" s="470">
        <v>2</v>
      </c>
      <c r="F318" s="471">
        <v>22</v>
      </c>
      <c r="G318">
        <v>1</v>
      </c>
      <c r="H318">
        <v>1</v>
      </c>
      <c r="I318" s="472">
        <f t="shared" si="12"/>
        <v>0.40033333333333337</v>
      </c>
      <c r="J318" s="153">
        <v>0.3706666666666667</v>
      </c>
      <c r="K318" s="153">
        <v>0.3666666666666667</v>
      </c>
      <c r="L318" s="153">
        <v>0.44799999999999995</v>
      </c>
      <c r="M318" s="153">
        <v>0.41600000000000009</v>
      </c>
      <c r="N318" s="472">
        <f t="shared" si="14"/>
        <v>0.40033333333333337</v>
      </c>
      <c r="O318" s="153">
        <v>0.3706666666666667</v>
      </c>
      <c r="P318" s="153">
        <v>0.3666666666666667</v>
      </c>
      <c r="Q318" s="153">
        <v>0.44799999999999995</v>
      </c>
      <c r="R318" s="153">
        <v>0.41600000000000009</v>
      </c>
      <c r="S318" s="153">
        <v>0.01</v>
      </c>
      <c r="T318" s="153">
        <v>0.02</v>
      </c>
      <c r="U318" s="474">
        <v>2014</v>
      </c>
      <c r="V318">
        <v>2034</v>
      </c>
      <c r="W318">
        <v>0</v>
      </c>
      <c r="X318">
        <v>0</v>
      </c>
      <c r="Y318">
        <v>1315</v>
      </c>
      <c r="Z318">
        <v>360</v>
      </c>
      <c r="AA318" s="475" t="s">
        <v>24</v>
      </c>
    </row>
    <row r="319" spans="1:27" ht="15" hidden="1">
      <c r="A319" s="24">
        <v>1318</v>
      </c>
      <c r="B319" s="24">
        <v>1318</v>
      </c>
      <c r="C319" s="469" t="s">
        <v>713</v>
      </c>
      <c r="D319" t="s">
        <v>149</v>
      </c>
      <c r="E319" s="470">
        <v>2</v>
      </c>
      <c r="F319" s="471">
        <v>22</v>
      </c>
      <c r="G319">
        <v>1</v>
      </c>
      <c r="H319">
        <v>1</v>
      </c>
      <c r="I319" s="472">
        <f t="shared" si="12"/>
        <v>0.40033333333333337</v>
      </c>
      <c r="J319" s="153">
        <v>0.3706666666666667</v>
      </c>
      <c r="K319" s="153">
        <v>0.3666666666666667</v>
      </c>
      <c r="L319" s="153">
        <v>0.44799999999999995</v>
      </c>
      <c r="M319" s="153">
        <v>0.41600000000000009</v>
      </c>
      <c r="N319" s="472">
        <f t="shared" si="14"/>
        <v>0.40033333333333337</v>
      </c>
      <c r="O319" s="153">
        <v>0.3706666666666667</v>
      </c>
      <c r="P319" s="153">
        <v>0.3666666666666667</v>
      </c>
      <c r="Q319" s="153">
        <v>0.44799999999999995</v>
      </c>
      <c r="R319" s="153">
        <v>0.41600000000000009</v>
      </c>
      <c r="S319" s="153">
        <v>0.01</v>
      </c>
      <c r="T319" s="153">
        <v>0.02</v>
      </c>
      <c r="U319" s="474">
        <v>2014</v>
      </c>
      <c r="V319">
        <v>2034</v>
      </c>
      <c r="W319">
        <v>0</v>
      </c>
      <c r="X319">
        <v>0</v>
      </c>
      <c r="Y319">
        <v>1315</v>
      </c>
      <c r="Z319">
        <v>360</v>
      </c>
      <c r="AA319" s="475" t="s">
        <v>24</v>
      </c>
    </row>
    <row r="320" spans="1:27" ht="15" hidden="1">
      <c r="A320" s="24">
        <v>1319</v>
      </c>
      <c r="B320" s="24">
        <v>1319</v>
      </c>
      <c r="C320" s="469" t="s">
        <v>714</v>
      </c>
      <c r="D320" t="s">
        <v>149</v>
      </c>
      <c r="E320" s="470">
        <v>2</v>
      </c>
      <c r="F320" s="471">
        <v>17.899999999999999</v>
      </c>
      <c r="G320">
        <v>1</v>
      </c>
      <c r="H320">
        <v>1</v>
      </c>
      <c r="I320" s="472">
        <f t="shared" si="12"/>
        <v>0.40033333333333337</v>
      </c>
      <c r="J320" s="153">
        <v>0.3706666666666667</v>
      </c>
      <c r="K320" s="153">
        <v>0.3666666666666667</v>
      </c>
      <c r="L320" s="153">
        <v>0.44799999999999995</v>
      </c>
      <c r="M320" s="153">
        <v>0.41600000000000009</v>
      </c>
      <c r="N320" s="472">
        <f t="shared" si="14"/>
        <v>0.40033333333333337</v>
      </c>
      <c r="O320" s="153">
        <v>0.3706666666666667</v>
      </c>
      <c r="P320" s="153">
        <v>0.3666666666666667</v>
      </c>
      <c r="Q320" s="153">
        <v>0.44799999999999995</v>
      </c>
      <c r="R320" s="153">
        <v>0.41600000000000009</v>
      </c>
      <c r="S320" s="153">
        <v>0.01</v>
      </c>
      <c r="T320" s="153">
        <v>0.02</v>
      </c>
      <c r="U320" s="474">
        <v>2015</v>
      </c>
      <c r="V320">
        <v>2035</v>
      </c>
      <c r="W320">
        <v>0</v>
      </c>
      <c r="X320">
        <v>0</v>
      </c>
      <c r="Y320">
        <v>1315</v>
      </c>
      <c r="Z320">
        <v>360</v>
      </c>
      <c r="AA320" s="475" t="s">
        <v>24</v>
      </c>
    </row>
    <row r="321" spans="1:27" ht="15" hidden="1">
      <c r="A321" s="24">
        <v>1320</v>
      </c>
      <c r="B321" s="24">
        <v>1320</v>
      </c>
      <c r="C321" s="469" t="s">
        <v>715</v>
      </c>
      <c r="D321" t="s">
        <v>149</v>
      </c>
      <c r="E321" s="470">
        <v>2</v>
      </c>
      <c r="F321" s="471">
        <v>30</v>
      </c>
      <c r="G321">
        <v>1</v>
      </c>
      <c r="H321">
        <v>1</v>
      </c>
      <c r="I321" s="472">
        <f t="shared" si="12"/>
        <v>0.40033333333333337</v>
      </c>
      <c r="J321" s="153">
        <v>0.3706666666666667</v>
      </c>
      <c r="K321" s="153">
        <v>0.3666666666666667</v>
      </c>
      <c r="L321" s="153">
        <v>0.44799999999999995</v>
      </c>
      <c r="M321" s="153">
        <v>0.41600000000000009</v>
      </c>
      <c r="N321" s="472">
        <f t="shared" si="14"/>
        <v>0.40033333333333337</v>
      </c>
      <c r="O321" s="153">
        <v>0.3706666666666667</v>
      </c>
      <c r="P321" s="153">
        <v>0.3666666666666667</v>
      </c>
      <c r="Q321" s="153">
        <v>0.44799999999999995</v>
      </c>
      <c r="R321" s="153">
        <v>0.41600000000000009</v>
      </c>
      <c r="S321" s="153">
        <v>0.01</v>
      </c>
      <c r="T321" s="153">
        <v>0.02</v>
      </c>
      <c r="U321" s="474">
        <v>2014</v>
      </c>
      <c r="V321">
        <v>2034</v>
      </c>
      <c r="W321">
        <v>0</v>
      </c>
      <c r="X321">
        <v>0</v>
      </c>
      <c r="Y321">
        <v>1315</v>
      </c>
      <c r="Z321">
        <v>360</v>
      </c>
      <c r="AA321" s="475" t="s">
        <v>24</v>
      </c>
    </row>
    <row r="322" spans="1:27" ht="15">
      <c r="A322" s="24">
        <v>1321</v>
      </c>
      <c r="B322" s="24">
        <v>1321</v>
      </c>
      <c r="C322" s="469" t="s">
        <v>716</v>
      </c>
      <c r="D322" t="s">
        <v>152</v>
      </c>
      <c r="E322" s="470">
        <v>3</v>
      </c>
      <c r="F322" s="471">
        <v>4.5</v>
      </c>
      <c r="G322">
        <v>1</v>
      </c>
      <c r="H322">
        <v>1</v>
      </c>
      <c r="I322" s="472">
        <f t="shared" ref="I322:I385" si="16">AVERAGE(J322:M322)</f>
        <v>0.47039166666666665</v>
      </c>
      <c r="J322" s="473">
        <v>0.36503333333333332</v>
      </c>
      <c r="K322" s="473">
        <v>0.44336666666666663</v>
      </c>
      <c r="L322" s="473">
        <v>0.58906666666666663</v>
      </c>
      <c r="M322" s="473">
        <v>0.48410000000000003</v>
      </c>
      <c r="N322" s="472">
        <f t="shared" ref="N322:N385" si="17">AVERAGE(O322:R322)</f>
        <v>0.47039166666666665</v>
      </c>
      <c r="O322" s="473">
        <v>0.36503333333333332</v>
      </c>
      <c r="P322" s="473">
        <v>0.44336666666666663</v>
      </c>
      <c r="Q322" s="473">
        <v>0.58906666666666663</v>
      </c>
      <c r="R322" s="473">
        <v>0.48410000000000003</v>
      </c>
      <c r="S322" s="153">
        <v>0.01</v>
      </c>
      <c r="T322" s="153">
        <v>0.02</v>
      </c>
      <c r="U322" s="474">
        <v>2009</v>
      </c>
      <c r="V322">
        <v>2029</v>
      </c>
      <c r="W322">
        <v>0</v>
      </c>
      <c r="X322">
        <v>0</v>
      </c>
      <c r="Y322">
        <v>1315</v>
      </c>
      <c r="Z322">
        <v>361</v>
      </c>
      <c r="AA322" s="475" t="s">
        <v>24</v>
      </c>
    </row>
    <row r="323" spans="1:27" ht="15">
      <c r="A323" s="24">
        <v>1322</v>
      </c>
      <c r="B323" s="24">
        <v>1322</v>
      </c>
      <c r="C323" s="469" t="s">
        <v>717</v>
      </c>
      <c r="D323" t="s">
        <v>152</v>
      </c>
      <c r="E323" s="470">
        <v>3</v>
      </c>
      <c r="F323" s="471">
        <v>4.5</v>
      </c>
      <c r="G323">
        <v>1</v>
      </c>
      <c r="H323">
        <v>1</v>
      </c>
      <c r="I323" s="472">
        <f t="shared" si="16"/>
        <v>0.47039166666666665</v>
      </c>
      <c r="J323" s="473">
        <v>0.36503333333333332</v>
      </c>
      <c r="K323" s="473">
        <v>0.44336666666666663</v>
      </c>
      <c r="L323" s="473">
        <v>0.58906666666666663</v>
      </c>
      <c r="M323" s="473">
        <v>0.48410000000000003</v>
      </c>
      <c r="N323" s="472">
        <f t="shared" si="17"/>
        <v>0.47039166666666665</v>
      </c>
      <c r="O323" s="473">
        <v>0.36503333333333332</v>
      </c>
      <c r="P323" s="473">
        <v>0.44336666666666663</v>
      </c>
      <c r="Q323" s="473">
        <v>0.58906666666666663</v>
      </c>
      <c r="R323" s="473">
        <v>0.48410000000000003</v>
      </c>
      <c r="S323" s="153">
        <v>0.01</v>
      </c>
      <c r="T323" s="153">
        <v>0.02</v>
      </c>
      <c r="U323" s="474">
        <v>2009</v>
      </c>
      <c r="V323">
        <v>2029</v>
      </c>
      <c r="W323">
        <v>0</v>
      </c>
      <c r="X323">
        <v>0</v>
      </c>
      <c r="Y323">
        <v>1315</v>
      </c>
      <c r="Z323">
        <v>361</v>
      </c>
      <c r="AA323" s="475" t="s">
        <v>24</v>
      </c>
    </row>
    <row r="324" spans="1:27" ht="15">
      <c r="A324" s="24">
        <v>1323</v>
      </c>
      <c r="B324" s="24">
        <v>1323</v>
      </c>
      <c r="C324" s="469" t="s">
        <v>718</v>
      </c>
      <c r="D324" t="s">
        <v>152</v>
      </c>
      <c r="E324" s="470">
        <v>3</v>
      </c>
      <c r="F324" s="471">
        <v>4.5</v>
      </c>
      <c r="G324">
        <v>1</v>
      </c>
      <c r="H324">
        <v>1</v>
      </c>
      <c r="I324" s="472">
        <f t="shared" si="16"/>
        <v>0.47039166666666665</v>
      </c>
      <c r="J324" s="473">
        <v>0.36503333333333332</v>
      </c>
      <c r="K324" s="473">
        <v>0.44336666666666663</v>
      </c>
      <c r="L324" s="473">
        <v>0.58906666666666663</v>
      </c>
      <c r="M324" s="473">
        <v>0.48410000000000003</v>
      </c>
      <c r="N324" s="472">
        <f t="shared" si="17"/>
        <v>0.47039166666666665</v>
      </c>
      <c r="O324" s="473">
        <v>0.36503333333333332</v>
      </c>
      <c r="P324" s="473">
        <v>0.44336666666666663</v>
      </c>
      <c r="Q324" s="473">
        <v>0.58906666666666663</v>
      </c>
      <c r="R324" s="473">
        <v>0.48410000000000003</v>
      </c>
      <c r="S324" s="153">
        <v>0.01</v>
      </c>
      <c r="T324" s="153">
        <v>0.02</v>
      </c>
      <c r="U324" s="474">
        <v>2009</v>
      </c>
      <c r="V324">
        <v>2029</v>
      </c>
      <c r="W324">
        <v>0</v>
      </c>
      <c r="X324">
        <v>0</v>
      </c>
      <c r="Y324">
        <v>1315</v>
      </c>
      <c r="Z324">
        <v>361</v>
      </c>
      <c r="AA324" s="475" t="s">
        <v>24</v>
      </c>
    </row>
    <row r="325" spans="1:27" ht="15" hidden="1">
      <c r="A325" s="24">
        <v>1324</v>
      </c>
      <c r="B325" s="24">
        <v>1324</v>
      </c>
      <c r="C325" s="469" t="s">
        <v>719</v>
      </c>
      <c r="D325" t="s">
        <v>149</v>
      </c>
      <c r="E325" s="470">
        <v>2</v>
      </c>
      <c r="F325" s="471">
        <v>1.0649999999999999</v>
      </c>
      <c r="G325">
        <v>1</v>
      </c>
      <c r="H325">
        <v>1</v>
      </c>
      <c r="I325" s="472">
        <f t="shared" si="16"/>
        <v>0.32845968612834514</v>
      </c>
      <c r="J325" s="153">
        <v>3.8473756479098807E-2</v>
      </c>
      <c r="K325" s="153">
        <v>0.39358026214566905</v>
      </c>
      <c r="L325" s="153">
        <v>0.53857526864315253</v>
      </c>
      <c r="M325" s="153">
        <v>0.3432094572454602</v>
      </c>
      <c r="N325" s="472">
        <f t="shared" si="17"/>
        <v>0.32845968612834514</v>
      </c>
      <c r="O325" s="153">
        <v>3.8473756479098807E-2</v>
      </c>
      <c r="P325" s="153">
        <v>0.39358026214566905</v>
      </c>
      <c r="Q325" s="153">
        <v>0.53857526864315253</v>
      </c>
      <c r="R325" s="153">
        <v>0.3432094572454602</v>
      </c>
      <c r="S325" s="153">
        <v>0.03</v>
      </c>
      <c r="T325" s="153">
        <v>0</v>
      </c>
      <c r="U325" s="474">
        <v>2013</v>
      </c>
      <c r="V325">
        <v>2030</v>
      </c>
      <c r="W325">
        <v>0</v>
      </c>
      <c r="X325">
        <v>0</v>
      </c>
      <c r="Y325">
        <v>1304</v>
      </c>
      <c r="Z325">
        <v>311</v>
      </c>
      <c r="AA325" s="475" t="s">
        <v>23</v>
      </c>
    </row>
    <row r="326" spans="1:27" ht="15" hidden="1">
      <c r="A326" s="24">
        <v>1325</v>
      </c>
      <c r="B326" s="24">
        <v>1325</v>
      </c>
      <c r="C326" s="469" t="s">
        <v>720</v>
      </c>
      <c r="D326" t="s">
        <v>149</v>
      </c>
      <c r="E326" s="470">
        <v>2</v>
      </c>
      <c r="F326" s="471">
        <v>0</v>
      </c>
      <c r="G326">
        <v>1</v>
      </c>
      <c r="H326">
        <v>1</v>
      </c>
      <c r="I326" s="472">
        <f t="shared" si="16"/>
        <v>0.32845968612834514</v>
      </c>
      <c r="J326" s="153">
        <v>3.8473756479098807E-2</v>
      </c>
      <c r="K326" s="153">
        <v>0.39358026214566905</v>
      </c>
      <c r="L326" s="153">
        <v>0.53857526864315253</v>
      </c>
      <c r="M326" s="153">
        <v>0.3432094572454602</v>
      </c>
      <c r="N326" s="472">
        <f t="shared" si="17"/>
        <v>0.32845968612834514</v>
      </c>
      <c r="O326" s="153">
        <v>3.8473756479098807E-2</v>
      </c>
      <c r="P326" s="153">
        <v>0.39358026214566905</v>
      </c>
      <c r="Q326" s="153">
        <v>0.53857526864315253</v>
      </c>
      <c r="R326" s="153">
        <v>0.3432094572454602</v>
      </c>
      <c r="S326" s="153">
        <v>0.03</v>
      </c>
      <c r="T326" s="153">
        <v>0</v>
      </c>
      <c r="U326" s="474">
        <v>1900</v>
      </c>
      <c r="V326">
        <v>2030</v>
      </c>
      <c r="W326">
        <v>0</v>
      </c>
      <c r="X326">
        <v>0</v>
      </c>
      <c r="Y326">
        <v>1304</v>
      </c>
      <c r="Z326">
        <v>311</v>
      </c>
      <c r="AA326" s="475" t="s">
        <v>23</v>
      </c>
    </row>
    <row r="327" spans="1:27" ht="15" hidden="1">
      <c r="A327" s="24">
        <v>1326</v>
      </c>
      <c r="B327" s="24">
        <v>1326</v>
      </c>
      <c r="C327" s="469" t="s">
        <v>721</v>
      </c>
      <c r="D327" t="s">
        <v>146</v>
      </c>
      <c r="E327" s="470">
        <v>1</v>
      </c>
      <c r="F327" s="471">
        <v>37.5</v>
      </c>
      <c r="G327">
        <v>1</v>
      </c>
      <c r="H327">
        <v>1</v>
      </c>
      <c r="I327" s="472">
        <f t="shared" si="16"/>
        <v>0.32845968612834514</v>
      </c>
      <c r="J327" s="153">
        <v>3.8473756479098807E-2</v>
      </c>
      <c r="K327" s="153">
        <v>0.39358026214566905</v>
      </c>
      <c r="L327" s="153">
        <v>0.53857526864315253</v>
      </c>
      <c r="M327" s="153">
        <v>0.3432094572454602</v>
      </c>
      <c r="N327" s="472">
        <f t="shared" si="17"/>
        <v>0.32845968612834514</v>
      </c>
      <c r="O327" s="153">
        <v>3.8473756479098807E-2</v>
      </c>
      <c r="P327" s="153">
        <v>0.39358026214566905</v>
      </c>
      <c r="Q327" s="153">
        <v>0.53857526864315253</v>
      </c>
      <c r="R327" s="153">
        <v>0.3432094572454602</v>
      </c>
      <c r="S327" s="153">
        <v>0.03</v>
      </c>
      <c r="T327" s="153">
        <v>0</v>
      </c>
      <c r="U327" s="474">
        <v>2010</v>
      </c>
      <c r="V327">
        <v>2023</v>
      </c>
      <c r="W327">
        <v>0</v>
      </c>
      <c r="X327">
        <v>0</v>
      </c>
      <c r="Y327">
        <v>1304</v>
      </c>
      <c r="Z327">
        <v>311</v>
      </c>
      <c r="AA327" s="475" t="s">
        <v>23</v>
      </c>
    </row>
    <row r="328" spans="1:27" ht="15">
      <c r="A328" s="24">
        <v>1327</v>
      </c>
      <c r="B328" s="24">
        <v>1327</v>
      </c>
      <c r="C328" s="469" t="s">
        <v>722</v>
      </c>
      <c r="D328" t="s">
        <v>152</v>
      </c>
      <c r="E328" s="470">
        <v>3</v>
      </c>
      <c r="F328" s="471">
        <v>4.5</v>
      </c>
      <c r="G328">
        <v>1</v>
      </c>
      <c r="H328">
        <v>1</v>
      </c>
      <c r="I328" s="472">
        <f t="shared" si="16"/>
        <v>0.47039166666666665</v>
      </c>
      <c r="J328" s="473">
        <v>0.36503333333333332</v>
      </c>
      <c r="K328" s="473">
        <v>0.44336666666666663</v>
      </c>
      <c r="L328" s="473">
        <v>0.58906666666666663</v>
      </c>
      <c r="M328" s="473">
        <v>0.48410000000000003</v>
      </c>
      <c r="N328" s="472">
        <f t="shared" si="17"/>
        <v>0.47039166666666665</v>
      </c>
      <c r="O328" s="473">
        <v>0.36503333333333332</v>
      </c>
      <c r="P328" s="473">
        <v>0.44336666666666663</v>
      </c>
      <c r="Q328" s="473">
        <v>0.58906666666666663</v>
      </c>
      <c r="R328" s="473">
        <v>0.48410000000000003</v>
      </c>
      <c r="S328" s="153">
        <v>0.01</v>
      </c>
      <c r="T328" s="153">
        <v>0.02</v>
      </c>
      <c r="U328" s="474">
        <v>2009</v>
      </c>
      <c r="V328">
        <v>2029</v>
      </c>
      <c r="W328">
        <v>0</v>
      </c>
      <c r="X328">
        <v>0</v>
      </c>
      <c r="Y328">
        <v>1315</v>
      </c>
      <c r="Z328">
        <v>361</v>
      </c>
      <c r="AA328" s="475" t="s">
        <v>24</v>
      </c>
    </row>
    <row r="329" spans="1:27" ht="15" hidden="1">
      <c r="A329" s="24">
        <v>1328</v>
      </c>
      <c r="B329" s="24">
        <v>1328</v>
      </c>
      <c r="C329" s="469" t="s">
        <v>723</v>
      </c>
      <c r="D329" t="s">
        <v>146</v>
      </c>
      <c r="E329" s="470">
        <v>1</v>
      </c>
      <c r="F329" s="471">
        <v>0</v>
      </c>
      <c r="G329">
        <v>1</v>
      </c>
      <c r="H329">
        <v>1</v>
      </c>
      <c r="I329" s="472">
        <f t="shared" si="16"/>
        <v>0.32845968612834514</v>
      </c>
      <c r="J329" s="153">
        <v>3.8473756479098807E-2</v>
      </c>
      <c r="K329" s="153">
        <v>0.39358026214566905</v>
      </c>
      <c r="L329" s="153">
        <v>0.53857526864315253</v>
      </c>
      <c r="M329" s="153">
        <v>0.3432094572454602</v>
      </c>
      <c r="N329" s="472">
        <f t="shared" si="17"/>
        <v>0.32845968612834514</v>
      </c>
      <c r="O329" s="153">
        <v>3.8473756479098807E-2</v>
      </c>
      <c r="P329" s="153">
        <v>0.39358026214566905</v>
      </c>
      <c r="Q329" s="153">
        <v>0.53857526864315253</v>
      </c>
      <c r="R329" s="153">
        <v>0.3432094572454602</v>
      </c>
      <c r="S329" s="153">
        <v>0.03</v>
      </c>
      <c r="T329" s="153">
        <v>0</v>
      </c>
      <c r="U329" s="474">
        <v>1900</v>
      </c>
      <c r="V329">
        <v>2030</v>
      </c>
      <c r="W329">
        <v>0</v>
      </c>
      <c r="X329">
        <v>0</v>
      </c>
      <c r="Y329">
        <v>1304</v>
      </c>
      <c r="Z329">
        <v>311</v>
      </c>
      <c r="AA329" s="475" t="s">
        <v>23</v>
      </c>
    </row>
    <row r="330" spans="1:27" ht="15">
      <c r="A330" s="24">
        <v>1329</v>
      </c>
      <c r="B330" s="24">
        <v>1329</v>
      </c>
      <c r="C330" s="469" t="s">
        <v>724</v>
      </c>
      <c r="D330" t="s">
        <v>152</v>
      </c>
      <c r="E330" s="470">
        <v>3</v>
      </c>
      <c r="F330" s="471">
        <v>18.899999999999999</v>
      </c>
      <c r="G330">
        <v>1</v>
      </c>
      <c r="H330">
        <v>1</v>
      </c>
      <c r="I330" s="472">
        <f t="shared" si="16"/>
        <v>0.47039166666666665</v>
      </c>
      <c r="J330" s="473">
        <v>0.36503333333333332</v>
      </c>
      <c r="K330" s="473">
        <v>0.44336666666666663</v>
      </c>
      <c r="L330" s="473">
        <v>0.58906666666666663</v>
      </c>
      <c r="M330" s="473">
        <v>0.48410000000000003</v>
      </c>
      <c r="N330" s="472">
        <f t="shared" si="17"/>
        <v>0.47039166666666665</v>
      </c>
      <c r="O330" s="473">
        <v>0.36503333333333332</v>
      </c>
      <c r="P330" s="473">
        <v>0.44336666666666663</v>
      </c>
      <c r="Q330" s="473">
        <v>0.58906666666666663</v>
      </c>
      <c r="R330" s="473">
        <v>0.48410000000000003</v>
      </c>
      <c r="S330" s="153">
        <v>0.01</v>
      </c>
      <c r="T330" s="153">
        <v>0.02</v>
      </c>
      <c r="U330" s="474">
        <v>2014</v>
      </c>
      <c r="V330">
        <v>2034</v>
      </c>
      <c r="W330">
        <v>0</v>
      </c>
      <c r="X330">
        <v>0</v>
      </c>
      <c r="Y330">
        <v>1315</v>
      </c>
      <c r="Z330">
        <v>361</v>
      </c>
      <c r="AA330" s="475" t="s">
        <v>24</v>
      </c>
    </row>
    <row r="331" spans="1:27" ht="15">
      <c r="A331" s="24">
        <v>1330</v>
      </c>
      <c r="B331" s="24">
        <v>1330</v>
      </c>
      <c r="C331" s="469" t="s">
        <v>725</v>
      </c>
      <c r="D331" t="s">
        <v>152</v>
      </c>
      <c r="E331" s="470">
        <v>3</v>
      </c>
      <c r="F331" s="471">
        <v>27</v>
      </c>
      <c r="G331">
        <v>1</v>
      </c>
      <c r="H331">
        <v>1</v>
      </c>
      <c r="I331" s="472">
        <f t="shared" si="16"/>
        <v>0.47039166666666665</v>
      </c>
      <c r="J331" s="473">
        <v>0.36503333333333332</v>
      </c>
      <c r="K331" s="473">
        <v>0.44336666666666663</v>
      </c>
      <c r="L331" s="473">
        <v>0.58906666666666663</v>
      </c>
      <c r="M331" s="473">
        <v>0.48410000000000003</v>
      </c>
      <c r="N331" s="472">
        <f t="shared" si="17"/>
        <v>0.47039166666666665</v>
      </c>
      <c r="O331" s="473">
        <v>0.36503333333333332</v>
      </c>
      <c r="P331" s="473">
        <v>0.44336666666666663</v>
      </c>
      <c r="Q331" s="473">
        <v>0.58906666666666663</v>
      </c>
      <c r="R331" s="473">
        <v>0.48410000000000003</v>
      </c>
      <c r="S331" s="153">
        <v>0.01</v>
      </c>
      <c r="T331" s="153">
        <v>0.02</v>
      </c>
      <c r="U331" s="474">
        <v>2012</v>
      </c>
      <c r="V331">
        <v>2032</v>
      </c>
      <c r="W331">
        <v>0</v>
      </c>
      <c r="X331">
        <v>0</v>
      </c>
      <c r="Y331">
        <v>1315</v>
      </c>
      <c r="Z331">
        <v>361</v>
      </c>
      <c r="AA331" s="475" t="s">
        <v>24</v>
      </c>
    </row>
    <row r="332" spans="1:27" ht="15" hidden="1">
      <c r="A332" s="24">
        <v>1331</v>
      </c>
      <c r="B332" s="24">
        <v>1331</v>
      </c>
      <c r="C332" s="469" t="s">
        <v>726</v>
      </c>
      <c r="D332" t="s">
        <v>149</v>
      </c>
      <c r="E332" s="470">
        <v>2</v>
      </c>
      <c r="F332" s="471">
        <v>21.6</v>
      </c>
      <c r="G332">
        <v>1</v>
      </c>
      <c r="H332">
        <v>1</v>
      </c>
      <c r="I332" s="472">
        <f t="shared" si="16"/>
        <v>0.40033333333333337</v>
      </c>
      <c r="J332" s="153">
        <v>0.3706666666666667</v>
      </c>
      <c r="K332" s="153">
        <v>0.3666666666666667</v>
      </c>
      <c r="L332" s="153">
        <v>0.44799999999999995</v>
      </c>
      <c r="M332" s="153">
        <v>0.41600000000000009</v>
      </c>
      <c r="N332" s="472">
        <f t="shared" si="17"/>
        <v>0.40033333333333337</v>
      </c>
      <c r="O332" s="153">
        <v>0.3706666666666667</v>
      </c>
      <c r="P332" s="153">
        <v>0.3666666666666667</v>
      </c>
      <c r="Q332" s="153">
        <v>0.44799999999999995</v>
      </c>
      <c r="R332" s="153">
        <v>0.41600000000000009</v>
      </c>
      <c r="S332" s="153">
        <v>0.01</v>
      </c>
      <c r="T332" s="153">
        <v>0.02</v>
      </c>
      <c r="U332" s="474">
        <v>2014</v>
      </c>
      <c r="V332">
        <v>2034</v>
      </c>
      <c r="W332">
        <v>0</v>
      </c>
      <c r="X332">
        <v>0</v>
      </c>
      <c r="Y332">
        <v>1315</v>
      </c>
      <c r="Z332">
        <v>360</v>
      </c>
      <c r="AA332" s="475" t="s">
        <v>24</v>
      </c>
    </row>
    <row r="333" spans="1:27" ht="15" hidden="1">
      <c r="A333" s="24">
        <v>1332</v>
      </c>
      <c r="B333" s="24">
        <v>1332</v>
      </c>
      <c r="C333" s="469" t="s">
        <v>727</v>
      </c>
      <c r="D333" t="s">
        <v>149</v>
      </c>
      <c r="E333" s="470">
        <v>2</v>
      </c>
      <c r="F333" s="471">
        <v>27</v>
      </c>
      <c r="G333">
        <v>1</v>
      </c>
      <c r="H333">
        <v>1</v>
      </c>
      <c r="I333" s="472">
        <f t="shared" si="16"/>
        <v>0.40033333333333337</v>
      </c>
      <c r="J333" s="153">
        <v>0.3706666666666667</v>
      </c>
      <c r="K333" s="153">
        <v>0.3666666666666667</v>
      </c>
      <c r="L333" s="153">
        <v>0.44799999999999995</v>
      </c>
      <c r="M333" s="153">
        <v>0.41600000000000009</v>
      </c>
      <c r="N333" s="472">
        <f t="shared" si="17"/>
        <v>0.40033333333333337</v>
      </c>
      <c r="O333" s="153">
        <v>0.3706666666666667</v>
      </c>
      <c r="P333" s="153">
        <v>0.3666666666666667</v>
      </c>
      <c r="Q333" s="153">
        <v>0.44799999999999995</v>
      </c>
      <c r="R333" s="153">
        <v>0.41600000000000009</v>
      </c>
      <c r="S333" s="153">
        <v>0.01</v>
      </c>
      <c r="T333" s="153">
        <v>0.02</v>
      </c>
      <c r="U333" s="474">
        <v>2014</v>
      </c>
      <c r="V333">
        <v>2034</v>
      </c>
      <c r="W333">
        <v>0</v>
      </c>
      <c r="X333">
        <v>0</v>
      </c>
      <c r="Y333">
        <v>1315</v>
      </c>
      <c r="Z333">
        <v>360</v>
      </c>
      <c r="AA333" s="475" t="s">
        <v>24</v>
      </c>
    </row>
    <row r="334" spans="1:27" ht="15" hidden="1">
      <c r="A334" s="24">
        <v>1333</v>
      </c>
      <c r="B334" s="24">
        <v>1333</v>
      </c>
      <c r="C334" s="469" t="s">
        <v>728</v>
      </c>
      <c r="D334" t="s">
        <v>149</v>
      </c>
      <c r="E334" s="470">
        <v>2</v>
      </c>
      <c r="F334" s="471">
        <v>29.7</v>
      </c>
      <c r="G334">
        <v>1</v>
      </c>
      <c r="H334">
        <v>1</v>
      </c>
      <c r="I334" s="472">
        <f t="shared" si="16"/>
        <v>0.40033333333333337</v>
      </c>
      <c r="J334" s="153">
        <v>0.3706666666666667</v>
      </c>
      <c r="K334" s="153">
        <v>0.3666666666666667</v>
      </c>
      <c r="L334" s="153">
        <v>0.44799999999999995</v>
      </c>
      <c r="M334" s="153">
        <v>0.41600000000000009</v>
      </c>
      <c r="N334" s="472">
        <f t="shared" si="17"/>
        <v>0.40033333333333337</v>
      </c>
      <c r="O334" s="153">
        <v>0.3706666666666667</v>
      </c>
      <c r="P334" s="153">
        <v>0.3666666666666667</v>
      </c>
      <c r="Q334" s="153">
        <v>0.44799999999999995</v>
      </c>
      <c r="R334" s="153">
        <v>0.41600000000000009</v>
      </c>
      <c r="S334" s="153">
        <v>0.01</v>
      </c>
      <c r="T334" s="153">
        <v>0.02</v>
      </c>
      <c r="U334" s="474">
        <v>2014</v>
      </c>
      <c r="V334">
        <v>2034</v>
      </c>
      <c r="W334">
        <v>0</v>
      </c>
      <c r="X334">
        <v>0</v>
      </c>
      <c r="Y334">
        <v>1315</v>
      </c>
      <c r="Z334">
        <v>360</v>
      </c>
      <c r="AA334" s="475" t="s">
        <v>24</v>
      </c>
    </row>
    <row r="335" spans="1:27" ht="15">
      <c r="A335" s="24">
        <v>1334</v>
      </c>
      <c r="B335" s="24">
        <v>1334</v>
      </c>
      <c r="C335" s="469" t="s">
        <v>729</v>
      </c>
      <c r="D335" t="s">
        <v>152</v>
      </c>
      <c r="E335" s="470">
        <v>3</v>
      </c>
      <c r="F335" s="471">
        <v>20.7</v>
      </c>
      <c r="G335">
        <v>1</v>
      </c>
      <c r="H335">
        <v>1</v>
      </c>
      <c r="I335" s="472">
        <f t="shared" si="16"/>
        <v>0.47039166666666665</v>
      </c>
      <c r="J335" s="473">
        <v>0.36503333333333332</v>
      </c>
      <c r="K335" s="473">
        <v>0.44336666666666663</v>
      </c>
      <c r="L335" s="473">
        <v>0.58906666666666663</v>
      </c>
      <c r="M335" s="473">
        <v>0.48410000000000003</v>
      </c>
      <c r="N335" s="472">
        <f t="shared" si="17"/>
        <v>0.47039166666666665</v>
      </c>
      <c r="O335" s="473">
        <v>0.36503333333333332</v>
      </c>
      <c r="P335" s="473">
        <v>0.44336666666666663</v>
      </c>
      <c r="Q335" s="473">
        <v>0.58906666666666663</v>
      </c>
      <c r="R335" s="473">
        <v>0.48410000000000003</v>
      </c>
      <c r="S335" s="153">
        <v>0.01</v>
      </c>
      <c r="T335" s="153">
        <v>0.02</v>
      </c>
      <c r="U335" s="474">
        <v>2013</v>
      </c>
      <c r="V335">
        <v>2033</v>
      </c>
      <c r="W335">
        <v>0</v>
      </c>
      <c r="X335">
        <v>0</v>
      </c>
      <c r="Y335">
        <v>1315</v>
      </c>
      <c r="Z335">
        <v>361</v>
      </c>
      <c r="AA335" s="475" t="s">
        <v>24</v>
      </c>
    </row>
    <row r="336" spans="1:27" ht="15" hidden="1">
      <c r="A336" s="24">
        <v>1335</v>
      </c>
      <c r="B336" s="24">
        <v>1335</v>
      </c>
      <c r="C336" s="469" t="s">
        <v>730</v>
      </c>
      <c r="D336" t="s">
        <v>149</v>
      </c>
      <c r="E336" s="470">
        <v>2</v>
      </c>
      <c r="F336" s="471">
        <v>30</v>
      </c>
      <c r="G336">
        <v>1</v>
      </c>
      <c r="H336">
        <v>1</v>
      </c>
      <c r="I336" s="472">
        <f t="shared" si="16"/>
        <v>0.40033333333333337</v>
      </c>
      <c r="J336" s="153">
        <v>0.3706666666666667</v>
      </c>
      <c r="K336" s="153">
        <v>0.3666666666666667</v>
      </c>
      <c r="L336" s="153">
        <v>0.44799999999999995</v>
      </c>
      <c r="M336" s="153">
        <v>0.41600000000000009</v>
      </c>
      <c r="N336" s="472">
        <f t="shared" si="17"/>
        <v>0.40033333333333337</v>
      </c>
      <c r="O336" s="153">
        <v>0.3706666666666667</v>
      </c>
      <c r="P336" s="153">
        <v>0.3666666666666667</v>
      </c>
      <c r="Q336" s="153">
        <v>0.44799999999999995</v>
      </c>
      <c r="R336" s="153">
        <v>0.41600000000000009</v>
      </c>
      <c r="S336" s="153">
        <v>0.01</v>
      </c>
      <c r="T336" s="153">
        <v>0.02</v>
      </c>
      <c r="U336" s="474">
        <v>2012</v>
      </c>
      <c r="V336">
        <v>2032</v>
      </c>
      <c r="W336">
        <v>0</v>
      </c>
      <c r="X336">
        <v>0</v>
      </c>
      <c r="Y336">
        <v>1315</v>
      </c>
      <c r="Z336">
        <v>360</v>
      </c>
      <c r="AA336" s="475" t="s">
        <v>24</v>
      </c>
    </row>
    <row r="337" spans="1:27" ht="15" hidden="1">
      <c r="A337" s="24">
        <v>1336</v>
      </c>
      <c r="B337" s="24">
        <v>1336</v>
      </c>
      <c r="C337" s="469" t="s">
        <v>731</v>
      </c>
      <c r="D337" t="s">
        <v>149</v>
      </c>
      <c r="E337" s="470">
        <v>2</v>
      </c>
      <c r="F337" s="471">
        <v>30</v>
      </c>
      <c r="G337">
        <v>1</v>
      </c>
      <c r="H337">
        <v>1</v>
      </c>
      <c r="I337" s="472">
        <f t="shared" si="16"/>
        <v>0.40033333333333337</v>
      </c>
      <c r="J337" s="153">
        <v>0.3706666666666667</v>
      </c>
      <c r="K337" s="153">
        <v>0.3666666666666667</v>
      </c>
      <c r="L337" s="153">
        <v>0.44799999999999995</v>
      </c>
      <c r="M337" s="153">
        <v>0.41600000000000009</v>
      </c>
      <c r="N337" s="472">
        <f t="shared" si="17"/>
        <v>0.40033333333333337</v>
      </c>
      <c r="O337" s="153">
        <v>0.3706666666666667</v>
      </c>
      <c r="P337" s="153">
        <v>0.3666666666666667</v>
      </c>
      <c r="Q337" s="153">
        <v>0.44799999999999995</v>
      </c>
      <c r="R337" s="153">
        <v>0.41600000000000009</v>
      </c>
      <c r="S337" s="153">
        <v>0.01</v>
      </c>
      <c r="T337" s="153">
        <v>0.02</v>
      </c>
      <c r="U337" s="474">
        <v>2012</v>
      </c>
      <c r="V337">
        <v>2032</v>
      </c>
      <c r="W337">
        <v>0</v>
      </c>
      <c r="X337">
        <v>0</v>
      </c>
      <c r="Y337">
        <v>1315</v>
      </c>
      <c r="Z337">
        <v>360</v>
      </c>
      <c r="AA337" s="475" t="s">
        <v>24</v>
      </c>
    </row>
    <row r="338" spans="1:27" ht="15" hidden="1">
      <c r="A338" s="24">
        <v>1337</v>
      </c>
      <c r="B338" s="24">
        <v>1337</v>
      </c>
      <c r="C338" s="469" t="s">
        <v>732</v>
      </c>
      <c r="D338" t="s">
        <v>149</v>
      </c>
      <c r="E338" s="470">
        <v>2</v>
      </c>
      <c r="F338" s="471">
        <v>30</v>
      </c>
      <c r="G338">
        <v>1</v>
      </c>
      <c r="H338">
        <v>1</v>
      </c>
      <c r="I338" s="472">
        <f t="shared" si="16"/>
        <v>0.40033333333333337</v>
      </c>
      <c r="J338" s="153">
        <v>0.3706666666666667</v>
      </c>
      <c r="K338" s="153">
        <v>0.3666666666666667</v>
      </c>
      <c r="L338" s="153">
        <v>0.44799999999999995</v>
      </c>
      <c r="M338" s="153">
        <v>0.41600000000000009</v>
      </c>
      <c r="N338" s="472">
        <f t="shared" si="17"/>
        <v>0.40033333333333337</v>
      </c>
      <c r="O338" s="153">
        <v>0.3706666666666667</v>
      </c>
      <c r="P338" s="153">
        <v>0.3666666666666667</v>
      </c>
      <c r="Q338" s="153">
        <v>0.44799999999999995</v>
      </c>
      <c r="R338" s="153">
        <v>0.41600000000000009</v>
      </c>
      <c r="S338" s="153">
        <v>0.01</v>
      </c>
      <c r="T338" s="153">
        <v>0.02</v>
      </c>
      <c r="U338" s="474">
        <v>2012</v>
      </c>
      <c r="V338">
        <v>2032</v>
      </c>
      <c r="W338">
        <v>0</v>
      </c>
      <c r="X338">
        <v>0</v>
      </c>
      <c r="Y338">
        <v>1315</v>
      </c>
      <c r="Z338">
        <v>360</v>
      </c>
      <c r="AA338" s="475" t="s">
        <v>24</v>
      </c>
    </row>
    <row r="339" spans="1:27" ht="15" hidden="1">
      <c r="A339" s="24">
        <v>1338</v>
      </c>
      <c r="B339" s="24">
        <v>1338</v>
      </c>
      <c r="C339" s="469" t="s">
        <v>733</v>
      </c>
      <c r="D339" t="s">
        <v>149</v>
      </c>
      <c r="E339" s="470">
        <v>2</v>
      </c>
      <c r="F339" s="471">
        <v>30</v>
      </c>
      <c r="G339">
        <v>1</v>
      </c>
      <c r="H339">
        <v>1</v>
      </c>
      <c r="I339" s="472">
        <f t="shared" si="16"/>
        <v>0.40033333333333337</v>
      </c>
      <c r="J339" s="153">
        <v>0.3706666666666667</v>
      </c>
      <c r="K339" s="153">
        <v>0.3666666666666667</v>
      </c>
      <c r="L339" s="153">
        <v>0.44799999999999995</v>
      </c>
      <c r="M339" s="153">
        <v>0.41600000000000009</v>
      </c>
      <c r="N339" s="472">
        <f t="shared" si="17"/>
        <v>0.40033333333333337</v>
      </c>
      <c r="O339" s="153">
        <v>0.3706666666666667</v>
      </c>
      <c r="P339" s="153">
        <v>0.3666666666666667</v>
      </c>
      <c r="Q339" s="153">
        <v>0.44799999999999995</v>
      </c>
      <c r="R339" s="153">
        <v>0.41600000000000009</v>
      </c>
      <c r="S339" s="153">
        <v>0.01</v>
      </c>
      <c r="T339" s="153">
        <v>0.02</v>
      </c>
      <c r="U339" s="474">
        <v>2011</v>
      </c>
      <c r="V339">
        <v>2031</v>
      </c>
      <c r="W339">
        <v>0</v>
      </c>
      <c r="X339">
        <v>0</v>
      </c>
      <c r="Y339">
        <v>1315</v>
      </c>
      <c r="Z339">
        <v>360</v>
      </c>
      <c r="AA339" s="475" t="s">
        <v>24</v>
      </c>
    </row>
    <row r="340" spans="1:27" ht="15">
      <c r="A340" s="24">
        <v>1339</v>
      </c>
      <c r="B340" s="24">
        <v>1339</v>
      </c>
      <c r="C340" s="469" t="s">
        <v>734</v>
      </c>
      <c r="D340" t="s">
        <v>152</v>
      </c>
      <c r="E340" s="470">
        <v>3</v>
      </c>
      <c r="F340" s="471">
        <v>42</v>
      </c>
      <c r="G340">
        <v>1</v>
      </c>
      <c r="H340">
        <v>1</v>
      </c>
      <c r="I340" s="472">
        <f t="shared" si="16"/>
        <v>0.47039166666666665</v>
      </c>
      <c r="J340" s="473">
        <v>0.36503333333333332</v>
      </c>
      <c r="K340" s="473">
        <v>0.44336666666666663</v>
      </c>
      <c r="L340" s="473">
        <v>0.58906666666666663</v>
      </c>
      <c r="M340" s="473">
        <v>0.48410000000000003</v>
      </c>
      <c r="N340" s="472">
        <f t="shared" si="17"/>
        <v>0.47039166666666665</v>
      </c>
      <c r="O340" s="473">
        <v>0.36503333333333332</v>
      </c>
      <c r="P340" s="473">
        <v>0.44336666666666663</v>
      </c>
      <c r="Q340" s="473">
        <v>0.58906666666666663</v>
      </c>
      <c r="R340" s="473">
        <v>0.48410000000000003</v>
      </c>
      <c r="S340" s="153">
        <v>0.01</v>
      </c>
      <c r="T340" s="153">
        <v>0.02</v>
      </c>
      <c r="U340" s="474">
        <v>2012</v>
      </c>
      <c r="V340">
        <v>2032</v>
      </c>
      <c r="W340">
        <v>0</v>
      </c>
      <c r="X340">
        <v>0</v>
      </c>
      <c r="Y340">
        <v>1315</v>
      </c>
      <c r="Z340">
        <v>361</v>
      </c>
      <c r="AA340" s="475" t="s">
        <v>24</v>
      </c>
    </row>
    <row r="341" spans="1:27" ht="15" hidden="1">
      <c r="A341" s="24">
        <v>1340</v>
      </c>
      <c r="B341" s="24">
        <v>1340</v>
      </c>
      <c r="C341" s="469" t="s">
        <v>735</v>
      </c>
      <c r="D341" t="s">
        <v>149</v>
      </c>
      <c r="E341" s="470">
        <v>2</v>
      </c>
      <c r="F341" s="471">
        <v>3.0680000000000001</v>
      </c>
      <c r="G341">
        <v>1</v>
      </c>
      <c r="H341">
        <v>1</v>
      </c>
      <c r="I341" s="472">
        <f t="shared" si="16"/>
        <v>0.25418333333333343</v>
      </c>
      <c r="J341" s="33">
        <v>0.29116666666666663</v>
      </c>
      <c r="K341" s="33">
        <f t="shared" ref="K341" si="18">0.2844-0.07</f>
        <v>0.21439999999999998</v>
      </c>
      <c r="L341" s="33">
        <f>0.291166666666667-0.07</f>
        <v>0.22116666666666701</v>
      </c>
      <c r="M341" s="33">
        <v>0.28999999999999998</v>
      </c>
      <c r="N341" s="472">
        <f t="shared" si="17"/>
        <v>0.25418333333333343</v>
      </c>
      <c r="O341" s="33">
        <v>0.29116666666666663</v>
      </c>
      <c r="P341" s="33">
        <f t="shared" ref="P341" si="19">0.2844-0.07</f>
        <v>0.21439999999999998</v>
      </c>
      <c r="Q341" s="33">
        <f>0.291166666666667-0.07</f>
        <v>0.22116666666666701</v>
      </c>
      <c r="R341" s="33">
        <v>0.28999999999999998</v>
      </c>
      <c r="S341" s="153">
        <v>0.04</v>
      </c>
      <c r="T341" s="153">
        <v>0</v>
      </c>
      <c r="U341" s="474">
        <v>2014</v>
      </c>
      <c r="V341">
        <v>2034</v>
      </c>
      <c r="W341">
        <v>0</v>
      </c>
      <c r="X341">
        <v>0</v>
      </c>
      <c r="Y341">
        <v>1315</v>
      </c>
      <c r="Z341">
        <v>347</v>
      </c>
      <c r="AA341" s="475" t="s">
        <v>25</v>
      </c>
    </row>
    <row r="342" spans="1:27" ht="15">
      <c r="A342" s="24">
        <v>1341</v>
      </c>
      <c r="B342" s="24">
        <v>1341</v>
      </c>
      <c r="C342" s="469" t="s">
        <v>736</v>
      </c>
      <c r="D342" t="s">
        <v>152</v>
      </c>
      <c r="E342" s="470">
        <v>3</v>
      </c>
      <c r="F342" s="471">
        <v>21.84</v>
      </c>
      <c r="G342">
        <v>1</v>
      </c>
      <c r="H342">
        <v>1</v>
      </c>
      <c r="I342" s="472">
        <f t="shared" si="16"/>
        <v>0.47039166666666665</v>
      </c>
      <c r="J342" s="473">
        <v>0.36503333333333332</v>
      </c>
      <c r="K342" s="473">
        <v>0.44336666666666663</v>
      </c>
      <c r="L342" s="473">
        <v>0.58906666666666663</v>
      </c>
      <c r="M342" s="473">
        <v>0.48410000000000003</v>
      </c>
      <c r="N342" s="472">
        <f t="shared" si="17"/>
        <v>0.47039166666666665</v>
      </c>
      <c r="O342" s="473">
        <v>0.36503333333333332</v>
      </c>
      <c r="P342" s="473">
        <v>0.44336666666666663</v>
      </c>
      <c r="Q342" s="473">
        <v>0.58906666666666663</v>
      </c>
      <c r="R342" s="473">
        <v>0.48410000000000003</v>
      </c>
      <c r="S342" s="153">
        <v>0.01</v>
      </c>
      <c r="T342" s="153">
        <v>0.02</v>
      </c>
      <c r="U342" s="474">
        <v>2013</v>
      </c>
      <c r="V342">
        <v>2033</v>
      </c>
      <c r="W342">
        <v>0</v>
      </c>
      <c r="X342">
        <v>0</v>
      </c>
      <c r="Y342">
        <v>1315</v>
      </c>
      <c r="Z342">
        <v>361</v>
      </c>
      <c r="AA342" s="475" t="s">
        <v>24</v>
      </c>
    </row>
    <row r="343" spans="1:27" ht="15">
      <c r="A343" s="24">
        <v>1342</v>
      </c>
      <c r="B343" s="24">
        <v>1342</v>
      </c>
      <c r="C343" s="469" t="s">
        <v>737</v>
      </c>
      <c r="D343" t="s">
        <v>152</v>
      </c>
      <c r="E343" s="470">
        <v>3</v>
      </c>
      <c r="F343" s="471">
        <v>30</v>
      </c>
      <c r="G343">
        <v>1</v>
      </c>
      <c r="H343">
        <v>1</v>
      </c>
      <c r="I343" s="472">
        <f t="shared" si="16"/>
        <v>0.47039166666666665</v>
      </c>
      <c r="J343" s="473">
        <v>0.36503333333333332</v>
      </c>
      <c r="K343" s="473">
        <v>0.44336666666666663</v>
      </c>
      <c r="L343" s="473">
        <v>0.58906666666666663</v>
      </c>
      <c r="M343" s="473">
        <v>0.48410000000000003</v>
      </c>
      <c r="N343" s="472">
        <f t="shared" si="17"/>
        <v>0.47039166666666665</v>
      </c>
      <c r="O343" s="473">
        <v>0.36503333333333332</v>
      </c>
      <c r="P343" s="473">
        <v>0.44336666666666663</v>
      </c>
      <c r="Q343" s="473">
        <v>0.58906666666666663</v>
      </c>
      <c r="R343" s="473">
        <v>0.48410000000000003</v>
      </c>
      <c r="S343" s="153">
        <v>0.01</v>
      </c>
      <c r="T343" s="153">
        <v>0.02</v>
      </c>
      <c r="U343" s="474">
        <v>2014</v>
      </c>
      <c r="V343">
        <v>2034</v>
      </c>
      <c r="W343">
        <v>0</v>
      </c>
      <c r="X343">
        <v>0</v>
      </c>
      <c r="Y343">
        <v>1315</v>
      </c>
      <c r="Z343">
        <v>361</v>
      </c>
      <c r="AA343" s="475" t="s">
        <v>24</v>
      </c>
    </row>
    <row r="344" spans="1:27" ht="15" hidden="1">
      <c r="A344" s="24">
        <v>1343</v>
      </c>
      <c r="B344" s="24">
        <v>1343</v>
      </c>
      <c r="C344" s="469" t="s">
        <v>738</v>
      </c>
      <c r="D344" t="s">
        <v>152</v>
      </c>
      <c r="E344" s="470">
        <v>3</v>
      </c>
      <c r="F344" s="471">
        <v>30</v>
      </c>
      <c r="G344">
        <v>1</v>
      </c>
      <c r="H344">
        <v>1</v>
      </c>
      <c r="I344" s="472">
        <f t="shared" si="16"/>
        <v>0.47039166666666665</v>
      </c>
      <c r="J344" s="473">
        <v>0.36503333333333332</v>
      </c>
      <c r="K344" s="473">
        <v>0.44336666666666663</v>
      </c>
      <c r="L344" s="473">
        <v>0.58906666666666663</v>
      </c>
      <c r="M344" s="473">
        <v>0.48410000000000003</v>
      </c>
      <c r="N344" s="472">
        <f t="shared" si="17"/>
        <v>0.47039166666666665</v>
      </c>
      <c r="O344" s="473">
        <v>0.36503333333333332</v>
      </c>
      <c r="P344" s="473">
        <v>0.44336666666666663</v>
      </c>
      <c r="Q344" s="473">
        <v>0.58906666666666663</v>
      </c>
      <c r="R344" s="473">
        <v>0.48410000000000003</v>
      </c>
      <c r="S344" s="153">
        <v>0.01</v>
      </c>
      <c r="T344" s="153">
        <v>0.02</v>
      </c>
      <c r="U344" s="474">
        <v>2017</v>
      </c>
      <c r="V344">
        <v>2037</v>
      </c>
      <c r="W344">
        <v>0</v>
      </c>
      <c r="X344">
        <v>0</v>
      </c>
      <c r="Y344">
        <v>1315</v>
      </c>
      <c r="Z344">
        <v>361</v>
      </c>
      <c r="AA344" s="475" t="s">
        <v>24</v>
      </c>
    </row>
    <row r="345" spans="1:27" ht="15">
      <c r="A345" s="24">
        <v>1344</v>
      </c>
      <c r="B345" s="24">
        <v>1344</v>
      </c>
      <c r="C345" s="469" t="s">
        <v>739</v>
      </c>
      <c r="D345" t="s">
        <v>152</v>
      </c>
      <c r="E345" s="470">
        <v>3</v>
      </c>
      <c r="F345" s="471">
        <v>28.56</v>
      </c>
      <c r="G345">
        <v>1</v>
      </c>
      <c r="H345">
        <v>1</v>
      </c>
      <c r="I345" s="472">
        <f t="shared" si="16"/>
        <v>0.47039166666666665</v>
      </c>
      <c r="J345" s="473">
        <v>0.36503333333333332</v>
      </c>
      <c r="K345" s="473">
        <v>0.44336666666666663</v>
      </c>
      <c r="L345" s="473">
        <v>0.58906666666666663</v>
      </c>
      <c r="M345" s="473">
        <v>0.48410000000000003</v>
      </c>
      <c r="N345" s="472">
        <f t="shared" si="17"/>
        <v>0.47039166666666665</v>
      </c>
      <c r="O345" s="473">
        <v>0.36503333333333332</v>
      </c>
      <c r="P345" s="473">
        <v>0.44336666666666663</v>
      </c>
      <c r="Q345" s="473">
        <v>0.58906666666666663</v>
      </c>
      <c r="R345" s="473">
        <v>0.48410000000000003</v>
      </c>
      <c r="S345" s="153">
        <v>0.01</v>
      </c>
      <c r="T345" s="153">
        <v>0.02</v>
      </c>
      <c r="U345" s="474">
        <v>2014</v>
      </c>
      <c r="V345">
        <v>2034</v>
      </c>
      <c r="W345">
        <v>0</v>
      </c>
      <c r="X345">
        <v>0</v>
      </c>
      <c r="Y345">
        <v>1315</v>
      </c>
      <c r="Z345">
        <v>361</v>
      </c>
      <c r="AA345" s="475" t="s">
        <v>24</v>
      </c>
    </row>
    <row r="346" spans="1:27" ht="15" hidden="1">
      <c r="A346" s="24">
        <v>1345</v>
      </c>
      <c r="B346" s="24">
        <v>1345</v>
      </c>
      <c r="C346" s="469" t="s">
        <v>740</v>
      </c>
      <c r="D346" t="s">
        <v>149</v>
      </c>
      <c r="E346" s="470">
        <v>2</v>
      </c>
      <c r="F346" s="471">
        <v>70</v>
      </c>
      <c r="G346">
        <v>1</v>
      </c>
      <c r="H346">
        <v>1</v>
      </c>
      <c r="I346" s="472">
        <f t="shared" si="16"/>
        <v>0.40033333333333337</v>
      </c>
      <c r="J346" s="153">
        <v>0.3706666666666667</v>
      </c>
      <c r="K346" s="153">
        <v>0.3666666666666667</v>
      </c>
      <c r="L346" s="153">
        <v>0.44799999999999995</v>
      </c>
      <c r="M346" s="153">
        <v>0.41600000000000009</v>
      </c>
      <c r="N346" s="472">
        <f t="shared" si="17"/>
        <v>0.40033333333333337</v>
      </c>
      <c r="O346" s="153">
        <v>0.3706666666666667</v>
      </c>
      <c r="P346" s="153">
        <v>0.3666666666666667</v>
      </c>
      <c r="Q346" s="153">
        <v>0.44799999999999995</v>
      </c>
      <c r="R346" s="153">
        <v>0.41600000000000009</v>
      </c>
      <c r="S346" s="153">
        <v>0.01</v>
      </c>
      <c r="T346" s="153">
        <v>0.02</v>
      </c>
      <c r="U346" s="474">
        <v>2011</v>
      </c>
      <c r="V346">
        <v>2031</v>
      </c>
      <c r="W346">
        <v>0</v>
      </c>
      <c r="X346">
        <v>0</v>
      </c>
      <c r="Y346">
        <v>1315</v>
      </c>
      <c r="Z346">
        <v>360</v>
      </c>
      <c r="AA346" s="475" t="s">
        <v>24</v>
      </c>
    </row>
    <row r="347" spans="1:27" ht="15">
      <c r="A347" s="24">
        <v>1346</v>
      </c>
      <c r="B347" s="24">
        <v>1346</v>
      </c>
      <c r="C347" s="469" t="s">
        <v>741</v>
      </c>
      <c r="D347" t="s">
        <v>152</v>
      </c>
      <c r="E347" s="470">
        <v>3</v>
      </c>
      <c r="F347" s="471">
        <v>27.3</v>
      </c>
      <c r="G347">
        <v>1</v>
      </c>
      <c r="H347">
        <v>1</v>
      </c>
      <c r="I347" s="472">
        <f t="shared" si="16"/>
        <v>0.47039166666666665</v>
      </c>
      <c r="J347" s="473">
        <v>0.36503333333333332</v>
      </c>
      <c r="K347" s="473">
        <v>0.44336666666666663</v>
      </c>
      <c r="L347" s="473">
        <v>0.58906666666666663</v>
      </c>
      <c r="M347" s="473">
        <v>0.48410000000000003</v>
      </c>
      <c r="N347" s="472">
        <f t="shared" si="17"/>
        <v>0.47039166666666665</v>
      </c>
      <c r="O347" s="473">
        <v>0.36503333333333332</v>
      </c>
      <c r="P347" s="473">
        <v>0.44336666666666663</v>
      </c>
      <c r="Q347" s="473">
        <v>0.58906666666666663</v>
      </c>
      <c r="R347" s="473">
        <v>0.48410000000000003</v>
      </c>
      <c r="S347" s="153">
        <v>0.01</v>
      </c>
      <c r="T347" s="153">
        <v>0.02</v>
      </c>
      <c r="U347" s="474">
        <v>2012</v>
      </c>
      <c r="V347">
        <v>2032</v>
      </c>
      <c r="W347">
        <v>0</v>
      </c>
      <c r="X347">
        <v>0</v>
      </c>
      <c r="Y347">
        <v>1315</v>
      </c>
      <c r="Z347">
        <v>361</v>
      </c>
      <c r="AA347" s="475" t="s">
        <v>24</v>
      </c>
    </row>
    <row r="348" spans="1:27" ht="15">
      <c r="A348" s="24">
        <v>1347</v>
      </c>
      <c r="B348" s="24">
        <v>1347</v>
      </c>
      <c r="C348" s="469" t="s">
        <v>742</v>
      </c>
      <c r="D348" t="s">
        <v>152</v>
      </c>
      <c r="E348" s="470">
        <v>3</v>
      </c>
      <c r="F348" s="471">
        <v>28.2</v>
      </c>
      <c r="G348">
        <v>1</v>
      </c>
      <c r="H348">
        <v>1</v>
      </c>
      <c r="I348" s="472">
        <f t="shared" si="16"/>
        <v>0.47039166666666665</v>
      </c>
      <c r="J348" s="473">
        <v>0.36503333333333332</v>
      </c>
      <c r="K348" s="473">
        <v>0.44336666666666663</v>
      </c>
      <c r="L348" s="473">
        <v>0.58906666666666663</v>
      </c>
      <c r="M348" s="473">
        <v>0.48410000000000003</v>
      </c>
      <c r="N348" s="472">
        <f t="shared" si="17"/>
        <v>0.47039166666666665</v>
      </c>
      <c r="O348" s="473">
        <v>0.36503333333333332</v>
      </c>
      <c r="P348" s="473">
        <v>0.44336666666666663</v>
      </c>
      <c r="Q348" s="473">
        <v>0.58906666666666663</v>
      </c>
      <c r="R348" s="473">
        <v>0.48410000000000003</v>
      </c>
      <c r="S348" s="153">
        <v>0.01</v>
      </c>
      <c r="T348" s="153">
        <v>0.02</v>
      </c>
      <c r="U348" s="474">
        <v>2014</v>
      </c>
      <c r="V348">
        <v>2034</v>
      </c>
      <c r="W348">
        <v>0</v>
      </c>
      <c r="X348">
        <v>0</v>
      </c>
      <c r="Y348">
        <v>1315</v>
      </c>
      <c r="Z348">
        <v>361</v>
      </c>
      <c r="AA348" s="475" t="s">
        <v>24</v>
      </c>
    </row>
    <row r="349" spans="1:27" ht="15">
      <c r="A349" s="24">
        <v>1348</v>
      </c>
      <c r="B349" s="24">
        <v>1348</v>
      </c>
      <c r="C349" s="469" t="s">
        <v>743</v>
      </c>
      <c r="D349" t="s">
        <v>152</v>
      </c>
      <c r="E349" s="470">
        <v>3</v>
      </c>
      <c r="F349" s="471">
        <v>31.5</v>
      </c>
      <c r="G349">
        <v>1</v>
      </c>
      <c r="H349">
        <v>1</v>
      </c>
      <c r="I349" s="472">
        <f t="shared" si="16"/>
        <v>0.47039166666666665</v>
      </c>
      <c r="J349" s="473">
        <v>0.36503333333333332</v>
      </c>
      <c r="K349" s="473">
        <v>0.44336666666666663</v>
      </c>
      <c r="L349" s="473">
        <v>0.58906666666666663</v>
      </c>
      <c r="M349" s="473">
        <v>0.48410000000000003</v>
      </c>
      <c r="N349" s="472">
        <f t="shared" si="17"/>
        <v>0.47039166666666665</v>
      </c>
      <c r="O349" s="473">
        <v>0.36503333333333332</v>
      </c>
      <c r="P349" s="473">
        <v>0.44336666666666663</v>
      </c>
      <c r="Q349" s="473">
        <v>0.58906666666666663</v>
      </c>
      <c r="R349" s="473">
        <v>0.48410000000000003</v>
      </c>
      <c r="S349" s="153">
        <v>0.01</v>
      </c>
      <c r="T349" s="153">
        <v>0.02</v>
      </c>
      <c r="U349" s="474">
        <v>2010</v>
      </c>
      <c r="V349">
        <v>2030</v>
      </c>
      <c r="W349">
        <v>0</v>
      </c>
      <c r="X349">
        <v>0</v>
      </c>
      <c r="Y349">
        <v>1315</v>
      </c>
      <c r="Z349">
        <v>361</v>
      </c>
      <c r="AA349" s="475" t="s">
        <v>24</v>
      </c>
    </row>
    <row r="350" spans="1:27" ht="15">
      <c r="A350" s="24">
        <v>1349</v>
      </c>
      <c r="B350" s="24">
        <v>1349</v>
      </c>
      <c r="C350" s="469" t="s">
        <v>744</v>
      </c>
      <c r="D350" t="s">
        <v>152</v>
      </c>
      <c r="E350" s="470">
        <v>3</v>
      </c>
      <c r="F350" s="471">
        <v>30</v>
      </c>
      <c r="G350">
        <v>1</v>
      </c>
      <c r="H350">
        <v>1</v>
      </c>
      <c r="I350" s="472">
        <f t="shared" si="16"/>
        <v>0.47039166666666665</v>
      </c>
      <c r="J350" s="473">
        <v>0.36503333333333332</v>
      </c>
      <c r="K350" s="473">
        <v>0.44336666666666663</v>
      </c>
      <c r="L350" s="473">
        <v>0.58906666666666663</v>
      </c>
      <c r="M350" s="473">
        <v>0.48410000000000003</v>
      </c>
      <c r="N350" s="472">
        <f t="shared" si="17"/>
        <v>0.47039166666666665</v>
      </c>
      <c r="O350" s="473">
        <v>0.36503333333333332</v>
      </c>
      <c r="P350" s="473">
        <v>0.44336666666666663</v>
      </c>
      <c r="Q350" s="473">
        <v>0.58906666666666663</v>
      </c>
      <c r="R350" s="473">
        <v>0.48410000000000003</v>
      </c>
      <c r="S350" s="153">
        <v>0.01</v>
      </c>
      <c r="T350" s="153">
        <v>0.02</v>
      </c>
      <c r="U350" s="474">
        <v>2013</v>
      </c>
      <c r="V350">
        <v>2033</v>
      </c>
      <c r="W350">
        <v>0</v>
      </c>
      <c r="X350">
        <v>0</v>
      </c>
      <c r="Y350">
        <v>1315</v>
      </c>
      <c r="Z350">
        <v>361</v>
      </c>
      <c r="AA350" s="475" t="s">
        <v>24</v>
      </c>
    </row>
    <row r="351" spans="1:27" ht="15">
      <c r="A351" s="24">
        <v>1350</v>
      </c>
      <c r="B351" s="24">
        <v>1350</v>
      </c>
      <c r="C351" s="469" t="s">
        <v>745</v>
      </c>
      <c r="D351" t="s">
        <v>152</v>
      </c>
      <c r="E351" s="470">
        <v>3</v>
      </c>
      <c r="F351" s="471">
        <v>30</v>
      </c>
      <c r="G351">
        <v>1</v>
      </c>
      <c r="H351">
        <v>1</v>
      </c>
      <c r="I351" s="472">
        <f t="shared" si="16"/>
        <v>0.47039166666666665</v>
      </c>
      <c r="J351" s="473">
        <v>0.36503333333333332</v>
      </c>
      <c r="K351" s="473">
        <v>0.44336666666666663</v>
      </c>
      <c r="L351" s="473">
        <v>0.58906666666666663</v>
      </c>
      <c r="M351" s="473">
        <v>0.48410000000000003</v>
      </c>
      <c r="N351" s="472">
        <f t="shared" si="17"/>
        <v>0.47039166666666665</v>
      </c>
      <c r="O351" s="473">
        <v>0.36503333333333332</v>
      </c>
      <c r="P351" s="473">
        <v>0.44336666666666663</v>
      </c>
      <c r="Q351" s="473">
        <v>0.58906666666666663</v>
      </c>
      <c r="R351" s="473">
        <v>0.48410000000000003</v>
      </c>
      <c r="S351" s="153">
        <v>0.01</v>
      </c>
      <c r="T351" s="153">
        <v>0.02</v>
      </c>
      <c r="U351" s="474">
        <v>2013</v>
      </c>
      <c r="V351">
        <v>2033</v>
      </c>
      <c r="W351">
        <v>0</v>
      </c>
      <c r="X351">
        <v>0</v>
      </c>
      <c r="Y351">
        <v>1315</v>
      </c>
      <c r="Z351">
        <v>361</v>
      </c>
      <c r="AA351" s="475" t="s">
        <v>24</v>
      </c>
    </row>
    <row r="352" spans="1:27" ht="15">
      <c r="A352" s="24">
        <v>1351</v>
      </c>
      <c r="B352" s="24">
        <v>1351</v>
      </c>
      <c r="C352" s="469" t="s">
        <v>746</v>
      </c>
      <c r="D352" t="s">
        <v>152</v>
      </c>
      <c r="E352" s="470">
        <v>3</v>
      </c>
      <c r="F352" s="471">
        <v>30</v>
      </c>
      <c r="G352">
        <v>1</v>
      </c>
      <c r="H352">
        <v>1</v>
      </c>
      <c r="I352" s="472">
        <f t="shared" si="16"/>
        <v>0.47039166666666665</v>
      </c>
      <c r="J352" s="473">
        <v>0.36503333333333332</v>
      </c>
      <c r="K352" s="473">
        <v>0.44336666666666663</v>
      </c>
      <c r="L352" s="473">
        <v>0.58906666666666663</v>
      </c>
      <c r="M352" s="473">
        <v>0.48410000000000003</v>
      </c>
      <c r="N352" s="472">
        <f t="shared" si="17"/>
        <v>0.47039166666666665</v>
      </c>
      <c r="O352" s="473">
        <v>0.36503333333333332</v>
      </c>
      <c r="P352" s="473">
        <v>0.44336666666666663</v>
      </c>
      <c r="Q352" s="473">
        <v>0.58906666666666663</v>
      </c>
      <c r="R352" s="473">
        <v>0.48410000000000003</v>
      </c>
      <c r="S352" s="153">
        <v>0.01</v>
      </c>
      <c r="T352" s="153">
        <v>0.02</v>
      </c>
      <c r="U352" s="474">
        <v>2013</v>
      </c>
      <c r="V352">
        <v>2033</v>
      </c>
      <c r="W352">
        <v>0</v>
      </c>
      <c r="X352">
        <v>0</v>
      </c>
      <c r="Y352">
        <v>1315</v>
      </c>
      <c r="Z352">
        <v>361</v>
      </c>
      <c r="AA352" s="475" t="s">
        <v>24</v>
      </c>
    </row>
    <row r="353" spans="1:27" ht="15">
      <c r="A353" s="24">
        <v>1352</v>
      </c>
      <c r="B353" s="24">
        <v>1352</v>
      </c>
      <c r="C353" s="469" t="s">
        <v>747</v>
      </c>
      <c r="D353" t="s">
        <v>152</v>
      </c>
      <c r="E353" s="470">
        <v>3</v>
      </c>
      <c r="F353" s="471">
        <v>27</v>
      </c>
      <c r="G353">
        <v>1</v>
      </c>
      <c r="H353">
        <v>1</v>
      </c>
      <c r="I353" s="472">
        <f t="shared" si="16"/>
        <v>0.47039166666666665</v>
      </c>
      <c r="J353" s="473">
        <v>0.36503333333333332</v>
      </c>
      <c r="K353" s="473">
        <v>0.44336666666666663</v>
      </c>
      <c r="L353" s="473">
        <v>0.58906666666666663</v>
      </c>
      <c r="M353" s="473">
        <v>0.48410000000000003</v>
      </c>
      <c r="N353" s="472">
        <f t="shared" si="17"/>
        <v>0.47039166666666665</v>
      </c>
      <c r="O353" s="473">
        <v>0.36503333333333332</v>
      </c>
      <c r="P353" s="473">
        <v>0.44336666666666663</v>
      </c>
      <c r="Q353" s="473">
        <v>0.58906666666666663</v>
      </c>
      <c r="R353" s="473">
        <v>0.48410000000000003</v>
      </c>
      <c r="S353" s="153">
        <v>0.01</v>
      </c>
      <c r="T353" s="153">
        <v>0.02</v>
      </c>
      <c r="U353" s="474">
        <v>2013</v>
      </c>
      <c r="V353">
        <v>2033</v>
      </c>
      <c r="W353">
        <v>0</v>
      </c>
      <c r="X353">
        <v>0</v>
      </c>
      <c r="Y353">
        <v>1315</v>
      </c>
      <c r="Z353">
        <v>361</v>
      </c>
      <c r="AA353" s="475" t="s">
        <v>24</v>
      </c>
    </row>
    <row r="354" spans="1:27" ht="15">
      <c r="A354" s="24">
        <v>1353</v>
      </c>
      <c r="B354" s="24">
        <v>1353</v>
      </c>
      <c r="C354" s="469" t="s">
        <v>748</v>
      </c>
      <c r="D354" t="s">
        <v>152</v>
      </c>
      <c r="E354" s="470">
        <v>3</v>
      </c>
      <c r="F354" s="471">
        <v>8</v>
      </c>
      <c r="G354">
        <v>1</v>
      </c>
      <c r="H354">
        <v>1</v>
      </c>
      <c r="I354" s="472">
        <f t="shared" si="16"/>
        <v>0.47039166666666665</v>
      </c>
      <c r="J354" s="473">
        <v>0.36503333333333332</v>
      </c>
      <c r="K354" s="473">
        <v>0.44336666666666663</v>
      </c>
      <c r="L354" s="473">
        <v>0.58906666666666663</v>
      </c>
      <c r="M354" s="473">
        <v>0.48410000000000003</v>
      </c>
      <c r="N354" s="472">
        <f t="shared" si="17"/>
        <v>0.47039166666666665</v>
      </c>
      <c r="O354" s="473">
        <v>0.36503333333333332</v>
      </c>
      <c r="P354" s="473">
        <v>0.44336666666666663</v>
      </c>
      <c r="Q354" s="473">
        <v>0.58906666666666663</v>
      </c>
      <c r="R354" s="473">
        <v>0.48410000000000003</v>
      </c>
      <c r="S354" s="153">
        <v>0.01</v>
      </c>
      <c r="T354" s="153">
        <v>0.02</v>
      </c>
      <c r="U354" s="474">
        <v>2012</v>
      </c>
      <c r="V354">
        <v>2032</v>
      </c>
      <c r="W354">
        <v>0</v>
      </c>
      <c r="X354">
        <v>0</v>
      </c>
      <c r="Y354">
        <v>1315</v>
      </c>
      <c r="Z354">
        <v>361</v>
      </c>
      <c r="AA354" s="475" t="s">
        <v>24</v>
      </c>
    </row>
    <row r="355" spans="1:27" ht="15">
      <c r="A355" s="24">
        <v>1354</v>
      </c>
      <c r="B355" s="24">
        <v>1354</v>
      </c>
      <c r="C355" s="469" t="s">
        <v>749</v>
      </c>
      <c r="D355" t="s">
        <v>152</v>
      </c>
      <c r="E355" s="470">
        <v>3</v>
      </c>
      <c r="F355" s="471">
        <v>29.4</v>
      </c>
      <c r="G355">
        <v>1</v>
      </c>
      <c r="H355">
        <v>1</v>
      </c>
      <c r="I355" s="472">
        <f t="shared" si="16"/>
        <v>0.47039166666666665</v>
      </c>
      <c r="J355" s="473">
        <v>0.36503333333333332</v>
      </c>
      <c r="K355" s="473">
        <v>0.44336666666666663</v>
      </c>
      <c r="L355" s="473">
        <v>0.58906666666666663</v>
      </c>
      <c r="M355" s="473">
        <v>0.48410000000000003</v>
      </c>
      <c r="N355" s="472">
        <f t="shared" si="17"/>
        <v>0.47039166666666665</v>
      </c>
      <c r="O355" s="473">
        <v>0.36503333333333332</v>
      </c>
      <c r="P355" s="473">
        <v>0.44336666666666663</v>
      </c>
      <c r="Q355" s="473">
        <v>0.58906666666666663</v>
      </c>
      <c r="R355" s="473">
        <v>0.48410000000000003</v>
      </c>
      <c r="S355" s="153">
        <v>0.01</v>
      </c>
      <c r="T355" s="153">
        <v>0.02</v>
      </c>
      <c r="U355" s="474">
        <v>2012</v>
      </c>
      <c r="V355">
        <v>2032</v>
      </c>
      <c r="W355">
        <v>0</v>
      </c>
      <c r="X355">
        <v>0</v>
      </c>
      <c r="Y355">
        <v>1315</v>
      </c>
      <c r="Z355">
        <v>361</v>
      </c>
      <c r="AA355" s="475" t="s">
        <v>24</v>
      </c>
    </row>
    <row r="356" spans="1:27" ht="15">
      <c r="A356" s="24">
        <v>1355</v>
      </c>
      <c r="B356" s="24">
        <v>1355</v>
      </c>
      <c r="C356" s="469" t="s">
        <v>750</v>
      </c>
      <c r="D356" t="s">
        <v>152</v>
      </c>
      <c r="E356" s="470">
        <v>3</v>
      </c>
      <c r="F356" s="471">
        <v>27.3</v>
      </c>
      <c r="G356">
        <v>1</v>
      </c>
      <c r="H356">
        <v>1</v>
      </c>
      <c r="I356" s="472">
        <f t="shared" si="16"/>
        <v>0.47039166666666665</v>
      </c>
      <c r="J356" s="473">
        <v>0.36503333333333332</v>
      </c>
      <c r="K356" s="473">
        <v>0.44336666666666663</v>
      </c>
      <c r="L356" s="473">
        <v>0.58906666666666663</v>
      </c>
      <c r="M356" s="473">
        <v>0.48410000000000003</v>
      </c>
      <c r="N356" s="472">
        <f t="shared" si="17"/>
        <v>0.47039166666666665</v>
      </c>
      <c r="O356" s="473">
        <v>0.36503333333333332</v>
      </c>
      <c r="P356" s="473">
        <v>0.44336666666666663</v>
      </c>
      <c r="Q356" s="473">
        <v>0.58906666666666663</v>
      </c>
      <c r="R356" s="473">
        <v>0.48410000000000003</v>
      </c>
      <c r="S356" s="153">
        <v>0.01</v>
      </c>
      <c r="T356" s="153">
        <v>0.02</v>
      </c>
      <c r="U356" s="474">
        <v>2012</v>
      </c>
      <c r="V356">
        <v>2032</v>
      </c>
      <c r="W356">
        <v>0</v>
      </c>
      <c r="X356">
        <v>0</v>
      </c>
      <c r="Y356">
        <v>1315</v>
      </c>
      <c r="Z356">
        <v>361</v>
      </c>
      <c r="AA356" s="475" t="s">
        <v>24</v>
      </c>
    </row>
    <row r="357" spans="1:27" ht="15">
      <c r="A357" s="24">
        <v>1356</v>
      </c>
      <c r="B357" s="24">
        <v>1356</v>
      </c>
      <c r="C357" s="469" t="s">
        <v>751</v>
      </c>
      <c r="D357" t="s">
        <v>152</v>
      </c>
      <c r="E357" s="470">
        <v>3</v>
      </c>
      <c r="F357" s="471">
        <v>25.2</v>
      </c>
      <c r="G357">
        <v>1</v>
      </c>
      <c r="H357">
        <v>1</v>
      </c>
      <c r="I357" s="472">
        <f t="shared" si="16"/>
        <v>0.47039166666666665</v>
      </c>
      <c r="J357" s="473">
        <v>0.36503333333333332</v>
      </c>
      <c r="K357" s="473">
        <v>0.44336666666666663</v>
      </c>
      <c r="L357" s="473">
        <v>0.58906666666666663</v>
      </c>
      <c r="M357" s="473">
        <v>0.48410000000000003</v>
      </c>
      <c r="N357" s="472">
        <f t="shared" si="17"/>
        <v>0.47039166666666665</v>
      </c>
      <c r="O357" s="473">
        <v>0.36503333333333332</v>
      </c>
      <c r="P357" s="473">
        <v>0.44336666666666663</v>
      </c>
      <c r="Q357" s="473">
        <v>0.58906666666666663</v>
      </c>
      <c r="R357" s="473">
        <v>0.48410000000000003</v>
      </c>
      <c r="S357" s="153">
        <v>0.01</v>
      </c>
      <c r="T357" s="153">
        <v>0.02</v>
      </c>
      <c r="U357" s="474">
        <v>2012</v>
      </c>
      <c r="V357">
        <v>2032</v>
      </c>
      <c r="W357">
        <v>0</v>
      </c>
      <c r="X357">
        <v>0</v>
      </c>
      <c r="Y357">
        <v>1315</v>
      </c>
      <c r="Z357">
        <v>361</v>
      </c>
      <c r="AA357" s="475" t="s">
        <v>24</v>
      </c>
    </row>
    <row r="358" spans="1:27" ht="15">
      <c r="A358" s="24">
        <v>1357</v>
      </c>
      <c r="B358" s="24">
        <v>1357</v>
      </c>
      <c r="C358" s="469" t="s">
        <v>752</v>
      </c>
      <c r="D358" t="s">
        <v>152</v>
      </c>
      <c r="E358" s="470">
        <v>3</v>
      </c>
      <c r="F358" s="471">
        <v>25.2</v>
      </c>
      <c r="G358">
        <v>1</v>
      </c>
      <c r="H358">
        <v>1</v>
      </c>
      <c r="I358" s="472">
        <f t="shared" si="16"/>
        <v>0.47039166666666665</v>
      </c>
      <c r="J358" s="473">
        <v>0.36503333333333332</v>
      </c>
      <c r="K358" s="473">
        <v>0.44336666666666663</v>
      </c>
      <c r="L358" s="473">
        <v>0.58906666666666663</v>
      </c>
      <c r="M358" s="473">
        <v>0.48410000000000003</v>
      </c>
      <c r="N358" s="472">
        <f t="shared" si="17"/>
        <v>0.47039166666666665</v>
      </c>
      <c r="O358" s="473">
        <v>0.36503333333333332</v>
      </c>
      <c r="P358" s="473">
        <v>0.44336666666666663</v>
      </c>
      <c r="Q358" s="473">
        <v>0.58906666666666663</v>
      </c>
      <c r="R358" s="473">
        <v>0.48410000000000003</v>
      </c>
      <c r="S358" s="153">
        <v>0.01</v>
      </c>
      <c r="T358" s="153">
        <v>0.02</v>
      </c>
      <c r="U358" s="474">
        <v>2012</v>
      </c>
      <c r="V358">
        <v>2032</v>
      </c>
      <c r="W358">
        <v>0</v>
      </c>
      <c r="X358">
        <v>0</v>
      </c>
      <c r="Y358">
        <v>1315</v>
      </c>
      <c r="Z358">
        <v>361</v>
      </c>
      <c r="AA358" s="475" t="s">
        <v>24</v>
      </c>
    </row>
    <row r="359" spans="1:27" ht="15">
      <c r="A359" s="24">
        <v>1358</v>
      </c>
      <c r="B359" s="24">
        <v>1358</v>
      </c>
      <c r="C359" s="469" t="s">
        <v>753</v>
      </c>
      <c r="D359" t="s">
        <v>152</v>
      </c>
      <c r="E359" s="470">
        <v>3</v>
      </c>
      <c r="F359" s="471">
        <v>29.4</v>
      </c>
      <c r="G359">
        <v>1</v>
      </c>
      <c r="H359">
        <v>1</v>
      </c>
      <c r="I359" s="472">
        <f t="shared" si="16"/>
        <v>0.47039166666666665</v>
      </c>
      <c r="J359" s="473">
        <v>0.36503333333333332</v>
      </c>
      <c r="K359" s="473">
        <v>0.44336666666666663</v>
      </c>
      <c r="L359" s="473">
        <v>0.58906666666666663</v>
      </c>
      <c r="M359" s="473">
        <v>0.48410000000000003</v>
      </c>
      <c r="N359" s="472">
        <f t="shared" si="17"/>
        <v>0.47039166666666665</v>
      </c>
      <c r="O359" s="473">
        <v>0.36503333333333332</v>
      </c>
      <c r="P359" s="473">
        <v>0.44336666666666663</v>
      </c>
      <c r="Q359" s="473">
        <v>0.58906666666666663</v>
      </c>
      <c r="R359" s="473">
        <v>0.48410000000000003</v>
      </c>
      <c r="S359" s="153">
        <v>0.01</v>
      </c>
      <c r="T359" s="153">
        <v>0.02</v>
      </c>
      <c r="U359" s="474">
        <v>2012</v>
      </c>
      <c r="V359">
        <v>2032</v>
      </c>
      <c r="W359">
        <v>0</v>
      </c>
      <c r="X359">
        <v>0</v>
      </c>
      <c r="Y359">
        <v>1315</v>
      </c>
      <c r="Z359">
        <v>361</v>
      </c>
      <c r="AA359" s="475" t="s">
        <v>24</v>
      </c>
    </row>
    <row r="360" spans="1:27" ht="15">
      <c r="A360" s="24">
        <v>1359</v>
      </c>
      <c r="B360" s="24">
        <v>1359</v>
      </c>
      <c r="C360" s="469" t="s">
        <v>754</v>
      </c>
      <c r="D360" t="s">
        <v>152</v>
      </c>
      <c r="E360" s="470">
        <v>3</v>
      </c>
      <c r="F360" s="471">
        <v>20</v>
      </c>
      <c r="G360">
        <v>1</v>
      </c>
      <c r="H360">
        <v>1</v>
      </c>
      <c r="I360" s="472">
        <f t="shared" si="16"/>
        <v>0.47039166666666665</v>
      </c>
      <c r="J360" s="473">
        <v>0.36503333333333332</v>
      </c>
      <c r="K360" s="473">
        <v>0.44336666666666663</v>
      </c>
      <c r="L360" s="473">
        <v>0.58906666666666663</v>
      </c>
      <c r="M360" s="473">
        <v>0.48410000000000003</v>
      </c>
      <c r="N360" s="472">
        <f t="shared" si="17"/>
        <v>0.47039166666666665</v>
      </c>
      <c r="O360" s="473">
        <v>0.36503333333333332</v>
      </c>
      <c r="P360" s="473">
        <v>0.44336666666666663</v>
      </c>
      <c r="Q360" s="473">
        <v>0.58906666666666663</v>
      </c>
      <c r="R360" s="473">
        <v>0.48410000000000003</v>
      </c>
      <c r="S360" s="153">
        <v>0.01</v>
      </c>
      <c r="T360" s="153">
        <v>0.02</v>
      </c>
      <c r="U360" s="474">
        <v>2013</v>
      </c>
      <c r="V360">
        <v>2033</v>
      </c>
      <c r="W360">
        <v>0</v>
      </c>
      <c r="X360">
        <v>0</v>
      </c>
      <c r="Y360">
        <v>1315</v>
      </c>
      <c r="Z360">
        <v>361</v>
      </c>
      <c r="AA360" s="475" t="s">
        <v>24</v>
      </c>
    </row>
    <row r="361" spans="1:27" ht="15" hidden="1">
      <c r="A361" s="24">
        <v>1360</v>
      </c>
      <c r="B361" s="24">
        <v>1360</v>
      </c>
      <c r="C361" s="469" t="s">
        <v>755</v>
      </c>
      <c r="D361" t="s">
        <v>149</v>
      </c>
      <c r="E361" s="470">
        <v>2</v>
      </c>
      <c r="F361" s="471">
        <v>8</v>
      </c>
      <c r="G361">
        <v>1</v>
      </c>
      <c r="H361">
        <v>1</v>
      </c>
      <c r="I361" s="472">
        <f t="shared" si="16"/>
        <v>0.40033333333333337</v>
      </c>
      <c r="J361" s="153">
        <v>0.3706666666666667</v>
      </c>
      <c r="K361" s="153">
        <v>0.3666666666666667</v>
      </c>
      <c r="L361" s="153">
        <v>0.44799999999999995</v>
      </c>
      <c r="M361" s="153">
        <v>0.41600000000000009</v>
      </c>
      <c r="N361" s="472">
        <f t="shared" si="17"/>
        <v>0.40033333333333337</v>
      </c>
      <c r="O361" s="153">
        <v>0.3706666666666667</v>
      </c>
      <c r="P361" s="153">
        <v>0.3666666666666667</v>
      </c>
      <c r="Q361" s="153">
        <v>0.44799999999999995</v>
      </c>
      <c r="R361" s="153">
        <v>0.41600000000000009</v>
      </c>
      <c r="S361" s="153">
        <v>0.01</v>
      </c>
      <c r="T361" s="153">
        <v>0.02</v>
      </c>
      <c r="U361" s="474">
        <v>2012</v>
      </c>
      <c r="V361">
        <v>2032</v>
      </c>
      <c r="W361">
        <v>0</v>
      </c>
      <c r="X361">
        <v>0</v>
      </c>
      <c r="Y361">
        <v>1315</v>
      </c>
      <c r="Z361">
        <v>360</v>
      </c>
      <c r="AA361" s="475" t="s">
        <v>24</v>
      </c>
    </row>
    <row r="362" spans="1:27" ht="15" hidden="1">
      <c r="A362" s="24">
        <v>1361</v>
      </c>
      <c r="B362" s="24">
        <v>1361</v>
      </c>
      <c r="C362" s="469" t="s">
        <v>756</v>
      </c>
      <c r="D362" t="s">
        <v>149</v>
      </c>
      <c r="E362" s="470">
        <v>2</v>
      </c>
      <c r="F362" s="471">
        <v>20</v>
      </c>
      <c r="G362">
        <v>1</v>
      </c>
      <c r="H362">
        <v>1</v>
      </c>
      <c r="I362" s="472">
        <f t="shared" si="16"/>
        <v>0.40033333333333337</v>
      </c>
      <c r="J362" s="153">
        <v>0.3706666666666667</v>
      </c>
      <c r="K362" s="153">
        <v>0.3666666666666667</v>
      </c>
      <c r="L362" s="153">
        <v>0.44799999999999995</v>
      </c>
      <c r="M362" s="153">
        <v>0.41600000000000009</v>
      </c>
      <c r="N362" s="472">
        <f t="shared" si="17"/>
        <v>0.40033333333333337</v>
      </c>
      <c r="O362" s="153">
        <v>0.3706666666666667</v>
      </c>
      <c r="P362" s="153">
        <v>0.3666666666666667</v>
      </c>
      <c r="Q362" s="153">
        <v>0.44799999999999995</v>
      </c>
      <c r="R362" s="153">
        <v>0.41600000000000009</v>
      </c>
      <c r="S362" s="153">
        <v>0.01</v>
      </c>
      <c r="T362" s="153">
        <v>0.02</v>
      </c>
      <c r="U362" s="474">
        <v>2013</v>
      </c>
      <c r="V362">
        <v>2033</v>
      </c>
      <c r="W362">
        <v>0</v>
      </c>
      <c r="X362">
        <v>0</v>
      </c>
      <c r="Y362">
        <v>1315</v>
      </c>
      <c r="Z362">
        <v>360</v>
      </c>
      <c r="AA362" s="475" t="s">
        <v>24</v>
      </c>
    </row>
    <row r="363" spans="1:27" ht="15" hidden="1">
      <c r="A363" s="24">
        <v>1362</v>
      </c>
      <c r="B363" s="24">
        <v>1362</v>
      </c>
      <c r="C363" s="469" t="s">
        <v>757</v>
      </c>
      <c r="D363" t="s">
        <v>149</v>
      </c>
      <c r="E363" s="470">
        <v>2</v>
      </c>
      <c r="F363" s="471">
        <v>14</v>
      </c>
      <c r="G363">
        <v>1</v>
      </c>
      <c r="H363">
        <v>1</v>
      </c>
      <c r="I363" s="472">
        <f t="shared" si="16"/>
        <v>0.40033333333333337</v>
      </c>
      <c r="J363" s="153">
        <v>0.3706666666666667</v>
      </c>
      <c r="K363" s="153">
        <v>0.3666666666666667</v>
      </c>
      <c r="L363" s="153">
        <v>0.44799999999999995</v>
      </c>
      <c r="M363" s="153">
        <v>0.41600000000000009</v>
      </c>
      <c r="N363" s="472">
        <f t="shared" si="17"/>
        <v>0.40033333333333337</v>
      </c>
      <c r="O363" s="153">
        <v>0.3706666666666667</v>
      </c>
      <c r="P363" s="153">
        <v>0.3666666666666667</v>
      </c>
      <c r="Q363" s="153">
        <v>0.44799999999999995</v>
      </c>
      <c r="R363" s="153">
        <v>0.41600000000000009</v>
      </c>
      <c r="S363" s="153">
        <v>0.01</v>
      </c>
      <c r="T363" s="153">
        <v>0.02</v>
      </c>
      <c r="U363" s="474">
        <v>2012</v>
      </c>
      <c r="V363">
        <v>2032</v>
      </c>
      <c r="W363">
        <v>0</v>
      </c>
      <c r="X363">
        <v>0</v>
      </c>
      <c r="Y363">
        <v>1315</v>
      </c>
      <c r="Z363">
        <v>360</v>
      </c>
      <c r="AA363" s="475" t="s">
        <v>24</v>
      </c>
    </row>
    <row r="364" spans="1:27" ht="15">
      <c r="A364" s="24">
        <v>1363</v>
      </c>
      <c r="B364" s="24">
        <v>1363</v>
      </c>
      <c r="C364" s="469" t="s">
        <v>758</v>
      </c>
      <c r="D364" t="s">
        <v>152</v>
      </c>
      <c r="E364" s="470">
        <v>3</v>
      </c>
      <c r="F364" s="471">
        <v>30.004000000000001</v>
      </c>
      <c r="G364">
        <v>1</v>
      </c>
      <c r="H364">
        <v>1</v>
      </c>
      <c r="I364" s="472">
        <f t="shared" si="16"/>
        <v>0.47039166666666665</v>
      </c>
      <c r="J364" s="473">
        <v>0.36503333333333332</v>
      </c>
      <c r="K364" s="473">
        <v>0.44336666666666663</v>
      </c>
      <c r="L364" s="473">
        <v>0.58906666666666663</v>
      </c>
      <c r="M364" s="473">
        <v>0.48410000000000003</v>
      </c>
      <c r="N364" s="472">
        <f t="shared" si="17"/>
        <v>0.47039166666666665</v>
      </c>
      <c r="O364" s="473">
        <v>0.36503333333333332</v>
      </c>
      <c r="P364" s="473">
        <v>0.44336666666666663</v>
      </c>
      <c r="Q364" s="473">
        <v>0.58906666666666663</v>
      </c>
      <c r="R364" s="473">
        <v>0.48410000000000003</v>
      </c>
      <c r="S364" s="153">
        <v>0.01</v>
      </c>
      <c r="T364" s="153">
        <v>0.02</v>
      </c>
      <c r="U364" s="474">
        <v>2014</v>
      </c>
      <c r="V364">
        <v>2034</v>
      </c>
      <c r="W364">
        <v>0</v>
      </c>
      <c r="X364">
        <v>0</v>
      </c>
      <c r="Y364">
        <v>1315</v>
      </c>
      <c r="Z364">
        <v>361</v>
      </c>
      <c r="AA364" s="475" t="s">
        <v>24</v>
      </c>
    </row>
    <row r="365" spans="1:27" ht="15">
      <c r="A365" s="24">
        <v>1364</v>
      </c>
      <c r="B365" s="24">
        <v>1364</v>
      </c>
      <c r="C365" s="469" t="s">
        <v>759</v>
      </c>
      <c r="D365" t="s">
        <v>152</v>
      </c>
      <c r="E365" s="470">
        <v>3</v>
      </c>
      <c r="F365" s="471">
        <v>25.2</v>
      </c>
      <c r="G365">
        <v>1</v>
      </c>
      <c r="H365">
        <v>1</v>
      </c>
      <c r="I365" s="472">
        <f t="shared" si="16"/>
        <v>0.47039166666666665</v>
      </c>
      <c r="J365" s="473">
        <v>0.36503333333333332</v>
      </c>
      <c r="K365" s="473">
        <v>0.44336666666666663</v>
      </c>
      <c r="L365" s="473">
        <v>0.58906666666666663</v>
      </c>
      <c r="M365" s="473">
        <v>0.48410000000000003</v>
      </c>
      <c r="N365" s="472">
        <f t="shared" si="17"/>
        <v>0.47039166666666665</v>
      </c>
      <c r="O365" s="473">
        <v>0.36503333333333332</v>
      </c>
      <c r="P365" s="473">
        <v>0.44336666666666663</v>
      </c>
      <c r="Q365" s="473">
        <v>0.58906666666666663</v>
      </c>
      <c r="R365" s="473">
        <v>0.48410000000000003</v>
      </c>
      <c r="S365" s="153">
        <v>0.01</v>
      </c>
      <c r="T365" s="153">
        <v>0.02</v>
      </c>
      <c r="U365" s="474">
        <v>2009</v>
      </c>
      <c r="V365">
        <v>2029</v>
      </c>
      <c r="W365">
        <v>0</v>
      </c>
      <c r="X365">
        <v>0</v>
      </c>
      <c r="Y365">
        <v>1315</v>
      </c>
      <c r="Z365">
        <v>361</v>
      </c>
      <c r="AA365" s="475" t="s">
        <v>24</v>
      </c>
    </row>
    <row r="366" spans="1:27" ht="15" hidden="1">
      <c r="A366" s="24">
        <v>1365</v>
      </c>
      <c r="B366" s="24">
        <v>1365</v>
      </c>
      <c r="C366" s="469" t="s">
        <v>760</v>
      </c>
      <c r="D366" t="s">
        <v>146</v>
      </c>
      <c r="E366" s="470">
        <v>1</v>
      </c>
      <c r="F366" s="471">
        <v>28.05</v>
      </c>
      <c r="G366">
        <v>1</v>
      </c>
      <c r="H366">
        <v>1</v>
      </c>
      <c r="I366" s="472">
        <f t="shared" si="16"/>
        <v>0.40033333333333337</v>
      </c>
      <c r="J366" s="153">
        <v>0.3706666666666667</v>
      </c>
      <c r="K366" s="153">
        <v>0.3666666666666667</v>
      </c>
      <c r="L366" s="153">
        <v>0.44799999999999995</v>
      </c>
      <c r="M366" s="153">
        <v>0.41600000000000009</v>
      </c>
      <c r="N366" s="472">
        <f t="shared" si="17"/>
        <v>0.40033333333333337</v>
      </c>
      <c r="O366" s="153">
        <v>0.3706666666666667</v>
      </c>
      <c r="P366" s="153">
        <v>0.3666666666666667</v>
      </c>
      <c r="Q366" s="153">
        <v>0.44799999999999995</v>
      </c>
      <c r="R366" s="153">
        <v>0.41600000000000009</v>
      </c>
      <c r="S366" s="153">
        <v>0.01</v>
      </c>
      <c r="T366" s="153">
        <v>0.02</v>
      </c>
      <c r="U366" s="474">
        <v>2010</v>
      </c>
      <c r="V366">
        <v>2030</v>
      </c>
      <c r="W366">
        <v>0</v>
      </c>
      <c r="X366">
        <v>0</v>
      </c>
      <c r="Y366">
        <v>1315</v>
      </c>
      <c r="Z366">
        <v>360</v>
      </c>
      <c r="AA366" s="475" t="s">
        <v>24</v>
      </c>
    </row>
    <row r="367" spans="1:27" ht="15">
      <c r="A367" s="24">
        <v>1366</v>
      </c>
      <c r="B367" s="24">
        <v>1366</v>
      </c>
      <c r="C367" s="469" t="s">
        <v>761</v>
      </c>
      <c r="D367" t="s">
        <v>152</v>
      </c>
      <c r="E367" s="470">
        <v>3</v>
      </c>
      <c r="F367" s="471">
        <v>4.25</v>
      </c>
      <c r="G367">
        <v>1</v>
      </c>
      <c r="H367">
        <v>1</v>
      </c>
      <c r="I367" s="472">
        <f t="shared" si="16"/>
        <v>0.47039166666666665</v>
      </c>
      <c r="J367" s="473">
        <v>0.36503333333333332</v>
      </c>
      <c r="K367" s="473">
        <v>0.44336666666666663</v>
      </c>
      <c r="L367" s="473">
        <v>0.58906666666666663</v>
      </c>
      <c r="M367" s="473">
        <v>0.48410000000000003</v>
      </c>
      <c r="N367" s="472">
        <f t="shared" si="17"/>
        <v>0.47039166666666665</v>
      </c>
      <c r="O367" s="473">
        <v>0.36503333333333332</v>
      </c>
      <c r="P367" s="473">
        <v>0.44336666666666663</v>
      </c>
      <c r="Q367" s="473">
        <v>0.58906666666666663</v>
      </c>
      <c r="R367" s="473">
        <v>0.48410000000000003</v>
      </c>
      <c r="S367" s="153">
        <v>0.01</v>
      </c>
      <c r="T367" s="153">
        <v>0.02</v>
      </c>
      <c r="U367" s="474">
        <v>2007</v>
      </c>
      <c r="V367">
        <v>2027</v>
      </c>
      <c r="W367">
        <v>0</v>
      </c>
      <c r="X367">
        <v>0</v>
      </c>
      <c r="Y367">
        <v>1315</v>
      </c>
      <c r="Z367">
        <v>361</v>
      </c>
      <c r="AA367" s="475" t="s">
        <v>24</v>
      </c>
    </row>
    <row r="368" spans="1:27" ht="15" hidden="1">
      <c r="A368" s="24">
        <v>1367</v>
      </c>
      <c r="B368" s="24">
        <v>1367</v>
      </c>
      <c r="C368" s="469" t="s">
        <v>762</v>
      </c>
      <c r="D368" t="s">
        <v>152</v>
      </c>
      <c r="E368" s="470">
        <v>3</v>
      </c>
      <c r="F368" s="471">
        <v>30.004000000000001</v>
      </c>
      <c r="G368">
        <v>1</v>
      </c>
      <c r="H368">
        <v>1</v>
      </c>
      <c r="I368" s="472">
        <f t="shared" si="16"/>
        <v>0.47039166666666665</v>
      </c>
      <c r="J368" s="473">
        <v>0.36503333333333332</v>
      </c>
      <c r="K368" s="473">
        <v>0.44336666666666663</v>
      </c>
      <c r="L368" s="473">
        <v>0.58906666666666663</v>
      </c>
      <c r="M368" s="473">
        <v>0.48410000000000003</v>
      </c>
      <c r="N368" s="472">
        <f t="shared" si="17"/>
        <v>0.47039166666666665</v>
      </c>
      <c r="O368" s="473">
        <v>0.36503333333333332</v>
      </c>
      <c r="P368" s="473">
        <v>0.44336666666666663</v>
      </c>
      <c r="Q368" s="473">
        <v>0.58906666666666663</v>
      </c>
      <c r="R368" s="473">
        <v>0.48410000000000003</v>
      </c>
      <c r="S368" s="153">
        <v>0.01</v>
      </c>
      <c r="T368" s="153">
        <v>0.02</v>
      </c>
      <c r="U368" s="474">
        <v>2017</v>
      </c>
      <c r="V368">
        <v>2037</v>
      </c>
      <c r="W368">
        <v>0</v>
      </c>
      <c r="X368">
        <v>0</v>
      </c>
      <c r="Y368">
        <v>1315</v>
      </c>
      <c r="Z368">
        <v>361</v>
      </c>
      <c r="AA368" s="475" t="s">
        <v>24</v>
      </c>
    </row>
    <row r="369" spans="1:27" ht="15">
      <c r="A369" s="24">
        <v>1368</v>
      </c>
      <c r="B369" s="24">
        <v>1368</v>
      </c>
      <c r="C369" s="469" t="s">
        <v>763</v>
      </c>
      <c r="D369" t="s">
        <v>152</v>
      </c>
      <c r="E369" s="470">
        <v>3</v>
      </c>
      <c r="F369" s="471">
        <v>20.8</v>
      </c>
      <c r="G369">
        <v>1</v>
      </c>
      <c r="H369">
        <v>1</v>
      </c>
      <c r="I369" s="472">
        <f t="shared" si="16"/>
        <v>0.47039166666666665</v>
      </c>
      <c r="J369" s="473">
        <v>0.36503333333333332</v>
      </c>
      <c r="K369" s="473">
        <v>0.44336666666666663</v>
      </c>
      <c r="L369" s="473">
        <v>0.58906666666666663</v>
      </c>
      <c r="M369" s="473">
        <v>0.48410000000000003</v>
      </c>
      <c r="N369" s="472">
        <f t="shared" si="17"/>
        <v>0.47039166666666665</v>
      </c>
      <c r="O369" s="473">
        <v>0.36503333333333332</v>
      </c>
      <c r="P369" s="473">
        <v>0.44336666666666663</v>
      </c>
      <c r="Q369" s="473">
        <v>0.58906666666666663</v>
      </c>
      <c r="R369" s="473">
        <v>0.48410000000000003</v>
      </c>
      <c r="S369" s="153">
        <v>0.01</v>
      </c>
      <c r="T369" s="153">
        <v>0.02</v>
      </c>
      <c r="U369" s="474">
        <v>2012</v>
      </c>
      <c r="V369">
        <v>2032</v>
      </c>
      <c r="W369">
        <v>0</v>
      </c>
      <c r="X369">
        <v>0</v>
      </c>
      <c r="Y369">
        <v>1315</v>
      </c>
      <c r="Z369">
        <v>361</v>
      </c>
      <c r="AA369" s="475" t="s">
        <v>24</v>
      </c>
    </row>
    <row r="370" spans="1:27" ht="15">
      <c r="A370" s="24">
        <v>1369</v>
      </c>
      <c r="B370" s="24">
        <v>1369</v>
      </c>
      <c r="C370" s="469" t="s">
        <v>764</v>
      </c>
      <c r="D370" t="s">
        <v>152</v>
      </c>
      <c r="E370" s="470">
        <v>3</v>
      </c>
      <c r="F370" s="471">
        <v>28.8</v>
      </c>
      <c r="G370">
        <v>1</v>
      </c>
      <c r="H370">
        <v>1</v>
      </c>
      <c r="I370" s="472">
        <f t="shared" si="16"/>
        <v>0.47039166666666665</v>
      </c>
      <c r="J370" s="473">
        <v>0.36503333333333332</v>
      </c>
      <c r="K370" s="473">
        <v>0.44336666666666663</v>
      </c>
      <c r="L370" s="473">
        <v>0.58906666666666663</v>
      </c>
      <c r="M370" s="473">
        <v>0.48410000000000003</v>
      </c>
      <c r="N370" s="472">
        <f t="shared" si="17"/>
        <v>0.47039166666666665</v>
      </c>
      <c r="O370" s="473">
        <v>0.36503333333333332</v>
      </c>
      <c r="P370" s="473">
        <v>0.44336666666666663</v>
      </c>
      <c r="Q370" s="473">
        <v>0.58906666666666663</v>
      </c>
      <c r="R370" s="473">
        <v>0.48410000000000003</v>
      </c>
      <c r="S370" s="153">
        <v>0.01</v>
      </c>
      <c r="T370" s="153">
        <v>0.02</v>
      </c>
      <c r="U370" s="474">
        <v>2012</v>
      </c>
      <c r="V370">
        <v>2032</v>
      </c>
      <c r="W370">
        <v>0</v>
      </c>
      <c r="X370">
        <v>0</v>
      </c>
      <c r="Y370">
        <v>1315</v>
      </c>
      <c r="Z370">
        <v>361</v>
      </c>
      <c r="AA370" s="475" t="s">
        <v>24</v>
      </c>
    </row>
    <row r="371" spans="1:27" ht="15" hidden="1">
      <c r="A371" s="24">
        <v>1370</v>
      </c>
      <c r="B371" s="24">
        <v>1370</v>
      </c>
      <c r="C371" s="469" t="s">
        <v>765</v>
      </c>
      <c r="D371" t="s">
        <v>149</v>
      </c>
      <c r="E371" s="470">
        <v>2</v>
      </c>
      <c r="F371" s="471">
        <v>25.2</v>
      </c>
      <c r="G371">
        <v>1</v>
      </c>
      <c r="H371">
        <v>1</v>
      </c>
      <c r="I371" s="472">
        <f t="shared" si="16"/>
        <v>0.40033333333333337</v>
      </c>
      <c r="J371" s="153">
        <v>0.3706666666666667</v>
      </c>
      <c r="K371" s="153">
        <v>0.3666666666666667</v>
      </c>
      <c r="L371" s="153">
        <v>0.44799999999999995</v>
      </c>
      <c r="M371" s="153">
        <v>0.41600000000000009</v>
      </c>
      <c r="N371" s="472">
        <f t="shared" si="17"/>
        <v>0.40033333333333337</v>
      </c>
      <c r="O371" s="153">
        <v>0.3706666666666667</v>
      </c>
      <c r="P371" s="153">
        <v>0.3666666666666667</v>
      </c>
      <c r="Q371" s="153">
        <v>0.44799999999999995</v>
      </c>
      <c r="R371" s="153">
        <v>0.41600000000000009</v>
      </c>
      <c r="S371" s="153">
        <v>0.01</v>
      </c>
      <c r="T371" s="153">
        <v>0.02</v>
      </c>
      <c r="U371" s="474">
        <v>2015</v>
      </c>
      <c r="V371">
        <v>2035</v>
      </c>
      <c r="W371">
        <v>0</v>
      </c>
      <c r="X371">
        <v>0</v>
      </c>
      <c r="Y371">
        <v>1315</v>
      </c>
      <c r="Z371">
        <v>360</v>
      </c>
      <c r="AA371" s="475" t="s">
        <v>24</v>
      </c>
    </row>
    <row r="372" spans="1:27" ht="15">
      <c r="A372" s="24">
        <v>1371</v>
      </c>
      <c r="B372" s="24">
        <v>1371</v>
      </c>
      <c r="C372" s="469" t="s">
        <v>766</v>
      </c>
      <c r="D372" t="s">
        <v>152</v>
      </c>
      <c r="E372" s="470">
        <v>3</v>
      </c>
      <c r="F372" s="471">
        <v>16.8</v>
      </c>
      <c r="G372">
        <v>1</v>
      </c>
      <c r="H372">
        <v>1</v>
      </c>
      <c r="I372" s="472">
        <f t="shared" si="16"/>
        <v>0.47039166666666665</v>
      </c>
      <c r="J372" s="473">
        <v>0.36503333333333332</v>
      </c>
      <c r="K372" s="473">
        <v>0.44336666666666663</v>
      </c>
      <c r="L372" s="473">
        <v>0.58906666666666663</v>
      </c>
      <c r="M372" s="473">
        <v>0.48410000000000003</v>
      </c>
      <c r="N372" s="472">
        <f t="shared" si="17"/>
        <v>0.47039166666666665</v>
      </c>
      <c r="O372" s="473">
        <v>0.36503333333333332</v>
      </c>
      <c r="P372" s="473">
        <v>0.44336666666666663</v>
      </c>
      <c r="Q372" s="473">
        <v>0.58906666666666663</v>
      </c>
      <c r="R372" s="473">
        <v>0.48410000000000003</v>
      </c>
      <c r="S372" s="153">
        <v>0.01</v>
      </c>
      <c r="T372" s="153">
        <v>0.02</v>
      </c>
      <c r="U372" s="474">
        <v>2012</v>
      </c>
      <c r="V372">
        <v>2032</v>
      </c>
      <c r="W372">
        <v>0</v>
      </c>
      <c r="X372">
        <v>0</v>
      </c>
      <c r="Y372">
        <v>1315</v>
      </c>
      <c r="Z372">
        <v>361</v>
      </c>
      <c r="AA372" s="475" t="s">
        <v>24</v>
      </c>
    </row>
    <row r="373" spans="1:27" ht="15">
      <c r="A373" s="24">
        <v>1372</v>
      </c>
      <c r="B373" s="24">
        <v>1372</v>
      </c>
      <c r="C373" s="469" t="s">
        <v>767</v>
      </c>
      <c r="D373" t="s">
        <v>152</v>
      </c>
      <c r="E373" s="470">
        <v>3</v>
      </c>
      <c r="F373" s="471">
        <v>27.3</v>
      </c>
      <c r="G373">
        <v>1</v>
      </c>
      <c r="H373">
        <v>1</v>
      </c>
      <c r="I373" s="472">
        <f t="shared" si="16"/>
        <v>0.47039166666666665</v>
      </c>
      <c r="J373" s="473">
        <v>0.36503333333333332</v>
      </c>
      <c r="K373" s="473">
        <v>0.44336666666666663</v>
      </c>
      <c r="L373" s="473">
        <v>0.58906666666666663</v>
      </c>
      <c r="M373" s="473">
        <v>0.48410000000000003</v>
      </c>
      <c r="N373" s="472">
        <f t="shared" si="17"/>
        <v>0.47039166666666665</v>
      </c>
      <c r="O373" s="473">
        <v>0.36503333333333332</v>
      </c>
      <c r="P373" s="473">
        <v>0.44336666666666663</v>
      </c>
      <c r="Q373" s="473">
        <v>0.58906666666666663</v>
      </c>
      <c r="R373" s="473">
        <v>0.48410000000000003</v>
      </c>
      <c r="S373" s="153">
        <v>0.01</v>
      </c>
      <c r="T373" s="153">
        <v>0.02</v>
      </c>
      <c r="U373" s="474">
        <v>2012</v>
      </c>
      <c r="V373">
        <v>2032</v>
      </c>
      <c r="W373">
        <v>0</v>
      </c>
      <c r="X373">
        <v>0</v>
      </c>
      <c r="Y373">
        <v>1315</v>
      </c>
      <c r="Z373">
        <v>361</v>
      </c>
      <c r="AA373" s="475" t="s">
        <v>24</v>
      </c>
    </row>
    <row r="374" spans="1:27" ht="15">
      <c r="A374" s="24">
        <v>1373</v>
      </c>
      <c r="B374" s="24">
        <v>1373</v>
      </c>
      <c r="C374" s="469" t="s">
        <v>768</v>
      </c>
      <c r="D374" t="s">
        <v>152</v>
      </c>
      <c r="E374" s="470">
        <v>3</v>
      </c>
      <c r="F374" s="471">
        <v>37.799999999999997</v>
      </c>
      <c r="G374">
        <v>1</v>
      </c>
      <c r="H374">
        <v>1</v>
      </c>
      <c r="I374" s="472">
        <f t="shared" si="16"/>
        <v>0.47039166666666665</v>
      </c>
      <c r="J374" s="473">
        <v>0.36503333333333332</v>
      </c>
      <c r="K374" s="473">
        <v>0.44336666666666663</v>
      </c>
      <c r="L374" s="473">
        <v>0.58906666666666663</v>
      </c>
      <c r="M374" s="473">
        <v>0.48410000000000003</v>
      </c>
      <c r="N374" s="472">
        <f t="shared" si="17"/>
        <v>0.47039166666666665</v>
      </c>
      <c r="O374" s="473">
        <v>0.36503333333333332</v>
      </c>
      <c r="P374" s="473">
        <v>0.44336666666666663</v>
      </c>
      <c r="Q374" s="473">
        <v>0.58906666666666663</v>
      </c>
      <c r="R374" s="473">
        <v>0.48410000000000003</v>
      </c>
      <c r="S374" s="153">
        <v>0.01</v>
      </c>
      <c r="T374" s="153">
        <v>0.02</v>
      </c>
      <c r="U374" s="474">
        <v>2012</v>
      </c>
      <c r="V374">
        <v>2032</v>
      </c>
      <c r="W374">
        <v>0</v>
      </c>
      <c r="X374">
        <v>0</v>
      </c>
      <c r="Y374">
        <v>1315</v>
      </c>
      <c r="Z374">
        <v>361</v>
      </c>
      <c r="AA374" s="475" t="s">
        <v>24</v>
      </c>
    </row>
    <row r="375" spans="1:27" ht="15">
      <c r="A375" s="24">
        <v>1374</v>
      </c>
      <c r="B375" s="24">
        <v>1374</v>
      </c>
      <c r="C375" s="469" t="s">
        <v>769</v>
      </c>
      <c r="D375" t="s">
        <v>152</v>
      </c>
      <c r="E375" s="470">
        <v>3</v>
      </c>
      <c r="F375" s="471">
        <v>54.6</v>
      </c>
      <c r="G375">
        <v>1</v>
      </c>
      <c r="H375">
        <v>1</v>
      </c>
      <c r="I375" s="472">
        <f t="shared" si="16"/>
        <v>0.47039166666666665</v>
      </c>
      <c r="J375" s="473">
        <v>0.36503333333333332</v>
      </c>
      <c r="K375" s="473">
        <v>0.44336666666666663</v>
      </c>
      <c r="L375" s="473">
        <v>0.58906666666666663</v>
      </c>
      <c r="M375" s="473">
        <v>0.48410000000000003</v>
      </c>
      <c r="N375" s="472">
        <f t="shared" si="17"/>
        <v>0.47039166666666665</v>
      </c>
      <c r="O375" s="473">
        <v>0.36503333333333332</v>
      </c>
      <c r="P375" s="473">
        <v>0.44336666666666663</v>
      </c>
      <c r="Q375" s="473">
        <v>0.58906666666666663</v>
      </c>
      <c r="R375" s="473">
        <v>0.48410000000000003</v>
      </c>
      <c r="S375" s="153">
        <v>0.01</v>
      </c>
      <c r="T375" s="153">
        <v>0.02</v>
      </c>
      <c r="U375" s="474">
        <v>2009</v>
      </c>
      <c r="V375">
        <v>2029</v>
      </c>
      <c r="W375">
        <v>0</v>
      </c>
      <c r="X375">
        <v>0</v>
      </c>
      <c r="Y375">
        <v>1315</v>
      </c>
      <c r="Z375">
        <v>361</v>
      </c>
      <c r="AA375" s="475" t="s">
        <v>24</v>
      </c>
    </row>
    <row r="376" spans="1:27" ht="15" hidden="1">
      <c r="A376" s="24">
        <v>1375</v>
      </c>
      <c r="B376" s="24">
        <v>1375</v>
      </c>
      <c r="C376" s="469" t="s">
        <v>770</v>
      </c>
      <c r="D376" t="s">
        <v>149</v>
      </c>
      <c r="E376" s="470">
        <v>2</v>
      </c>
      <c r="F376" s="471">
        <v>4.2</v>
      </c>
      <c r="G376">
        <v>1</v>
      </c>
      <c r="H376">
        <v>1</v>
      </c>
      <c r="I376" s="472">
        <f t="shared" si="16"/>
        <v>0.32845968612834514</v>
      </c>
      <c r="J376" s="153">
        <v>3.8473756479098807E-2</v>
      </c>
      <c r="K376" s="153">
        <v>0.39358026214566905</v>
      </c>
      <c r="L376" s="153">
        <v>0.53857526864315253</v>
      </c>
      <c r="M376" s="153">
        <v>0.3432094572454602</v>
      </c>
      <c r="N376" s="472">
        <f t="shared" si="17"/>
        <v>0.32845968612834514</v>
      </c>
      <c r="O376" s="153">
        <v>3.8473756479098807E-2</v>
      </c>
      <c r="P376" s="153">
        <v>0.39358026214566905</v>
      </c>
      <c r="Q376" s="153">
        <v>0.53857526864315253</v>
      </c>
      <c r="R376" s="153">
        <v>0.3432094572454602</v>
      </c>
      <c r="S376" s="153">
        <v>0.03</v>
      </c>
      <c r="T376" s="153">
        <v>0</v>
      </c>
      <c r="U376" s="474">
        <v>2010</v>
      </c>
      <c r="V376">
        <v>2023</v>
      </c>
      <c r="W376">
        <v>0</v>
      </c>
      <c r="X376">
        <v>0</v>
      </c>
      <c r="Y376">
        <v>1304</v>
      </c>
      <c r="Z376">
        <v>311</v>
      </c>
      <c r="AA376" s="475" t="s">
        <v>23</v>
      </c>
    </row>
    <row r="377" spans="1:27" ht="15" hidden="1">
      <c r="A377" s="24">
        <v>1376</v>
      </c>
      <c r="B377" s="24">
        <v>1376</v>
      </c>
      <c r="C377" s="469" t="s">
        <v>771</v>
      </c>
      <c r="D377" t="s">
        <v>149</v>
      </c>
      <c r="E377" s="470">
        <v>2</v>
      </c>
      <c r="F377" s="471">
        <v>0</v>
      </c>
      <c r="G377">
        <v>1</v>
      </c>
      <c r="H377">
        <v>1</v>
      </c>
      <c r="I377" s="472">
        <f t="shared" si="16"/>
        <v>0.32845968612834514</v>
      </c>
      <c r="J377" s="153">
        <v>3.8473756479098807E-2</v>
      </c>
      <c r="K377" s="153">
        <v>0.39358026214566905</v>
      </c>
      <c r="L377" s="153">
        <v>0.53857526864315253</v>
      </c>
      <c r="M377" s="153">
        <v>0.3432094572454602</v>
      </c>
      <c r="N377" s="472">
        <f t="shared" si="17"/>
        <v>0.32845968612834514</v>
      </c>
      <c r="O377" s="153">
        <v>3.8473756479098807E-2</v>
      </c>
      <c r="P377" s="153">
        <v>0.39358026214566905</v>
      </c>
      <c r="Q377" s="153">
        <v>0.53857526864315253</v>
      </c>
      <c r="R377" s="153">
        <v>0.3432094572454602</v>
      </c>
      <c r="S377" s="153">
        <v>0.03</v>
      </c>
      <c r="T377" s="153">
        <v>0</v>
      </c>
      <c r="U377" s="474">
        <v>1900</v>
      </c>
      <c r="V377">
        <v>2030</v>
      </c>
      <c r="W377">
        <v>0</v>
      </c>
      <c r="X377">
        <v>0</v>
      </c>
      <c r="Y377">
        <v>1304</v>
      </c>
      <c r="Z377">
        <v>311</v>
      </c>
      <c r="AA377" s="475" t="s">
        <v>23</v>
      </c>
    </row>
    <row r="378" spans="1:27" ht="15" hidden="1">
      <c r="A378" s="24">
        <v>1377</v>
      </c>
      <c r="B378" s="24">
        <v>1377</v>
      </c>
      <c r="C378" s="469" t="s">
        <v>772</v>
      </c>
      <c r="D378" t="s">
        <v>146</v>
      </c>
      <c r="E378" s="470">
        <v>1</v>
      </c>
      <c r="F378" s="471">
        <v>56</v>
      </c>
      <c r="G378">
        <v>1</v>
      </c>
      <c r="H378">
        <v>1</v>
      </c>
      <c r="I378" s="472">
        <f t="shared" si="16"/>
        <v>0.32845968612834514</v>
      </c>
      <c r="J378" s="153">
        <v>3.8473756479098807E-2</v>
      </c>
      <c r="K378" s="153">
        <v>0.39358026214566905</v>
      </c>
      <c r="L378" s="153">
        <v>0.53857526864315253</v>
      </c>
      <c r="M378" s="153">
        <v>0.3432094572454602</v>
      </c>
      <c r="N378" s="472">
        <f t="shared" si="17"/>
        <v>0.32845968612834514</v>
      </c>
      <c r="O378" s="153">
        <v>3.8473756479098807E-2</v>
      </c>
      <c r="P378" s="153">
        <v>0.39358026214566905</v>
      </c>
      <c r="Q378" s="153">
        <v>0.53857526864315253</v>
      </c>
      <c r="R378" s="153">
        <v>0.3432094572454602</v>
      </c>
      <c r="S378" s="153">
        <v>0.03</v>
      </c>
      <c r="T378" s="153">
        <v>0</v>
      </c>
      <c r="U378" s="474">
        <v>2010</v>
      </c>
      <c r="V378">
        <v>2023</v>
      </c>
      <c r="W378">
        <v>0</v>
      </c>
      <c r="X378">
        <v>0</v>
      </c>
      <c r="Y378">
        <v>1304</v>
      </c>
      <c r="Z378">
        <v>311</v>
      </c>
      <c r="AA378" s="475" t="s">
        <v>23</v>
      </c>
    </row>
    <row r="379" spans="1:27" ht="15" hidden="1">
      <c r="A379" s="24">
        <v>1378</v>
      </c>
      <c r="B379" s="24">
        <v>1378</v>
      </c>
      <c r="C379" s="469" t="s">
        <v>773</v>
      </c>
      <c r="D379" t="s">
        <v>146</v>
      </c>
      <c r="E379" s="470">
        <v>1</v>
      </c>
      <c r="F379" s="471">
        <v>0</v>
      </c>
      <c r="G379">
        <v>1</v>
      </c>
      <c r="H379">
        <v>1</v>
      </c>
      <c r="I379" s="472">
        <f t="shared" si="16"/>
        <v>0.32845968612834514</v>
      </c>
      <c r="J379" s="153">
        <v>3.8473756479098807E-2</v>
      </c>
      <c r="K379" s="153">
        <v>0.39358026214566905</v>
      </c>
      <c r="L379" s="153">
        <v>0.53857526864315253</v>
      </c>
      <c r="M379" s="153">
        <v>0.3432094572454602</v>
      </c>
      <c r="N379" s="472">
        <f t="shared" si="17"/>
        <v>0.32845968612834514</v>
      </c>
      <c r="O379" s="153">
        <v>3.8473756479098807E-2</v>
      </c>
      <c r="P379" s="153">
        <v>0.39358026214566905</v>
      </c>
      <c r="Q379" s="153">
        <v>0.53857526864315253</v>
      </c>
      <c r="R379" s="153">
        <v>0.3432094572454602</v>
      </c>
      <c r="S379" s="153">
        <v>0.03</v>
      </c>
      <c r="T379" s="153">
        <v>0</v>
      </c>
      <c r="U379" s="474">
        <v>2016</v>
      </c>
      <c r="V379">
        <v>2035</v>
      </c>
      <c r="W379">
        <v>0</v>
      </c>
      <c r="X379">
        <v>0</v>
      </c>
      <c r="Y379">
        <v>1304</v>
      </c>
      <c r="Z379">
        <v>311</v>
      </c>
      <c r="AA379" s="475" t="s">
        <v>23</v>
      </c>
    </row>
    <row r="380" spans="1:27" ht="15">
      <c r="A380" s="24">
        <v>1379</v>
      </c>
      <c r="B380" s="24">
        <v>1379</v>
      </c>
      <c r="C380" s="469" t="s">
        <v>774</v>
      </c>
      <c r="D380" t="s">
        <v>152</v>
      </c>
      <c r="E380" s="470">
        <v>3</v>
      </c>
      <c r="F380" s="471">
        <v>30.4</v>
      </c>
      <c r="G380">
        <v>1</v>
      </c>
      <c r="H380">
        <v>1</v>
      </c>
      <c r="I380" s="472">
        <f t="shared" si="16"/>
        <v>0.47039166666666665</v>
      </c>
      <c r="J380" s="473">
        <v>0.36503333333333332</v>
      </c>
      <c r="K380" s="473">
        <v>0.44336666666666663</v>
      </c>
      <c r="L380" s="473">
        <v>0.58906666666666663</v>
      </c>
      <c r="M380" s="473">
        <v>0.48410000000000003</v>
      </c>
      <c r="N380" s="472">
        <f t="shared" si="17"/>
        <v>0.47039166666666665</v>
      </c>
      <c r="O380" s="473">
        <v>0.36503333333333332</v>
      </c>
      <c r="P380" s="473">
        <v>0.44336666666666663</v>
      </c>
      <c r="Q380" s="473">
        <v>0.58906666666666663</v>
      </c>
      <c r="R380" s="473">
        <v>0.48410000000000003</v>
      </c>
      <c r="S380" s="153">
        <v>0.01</v>
      </c>
      <c r="T380" s="153">
        <v>0.02</v>
      </c>
      <c r="U380" s="474">
        <v>2012</v>
      </c>
      <c r="V380">
        <v>2032</v>
      </c>
      <c r="W380">
        <v>0</v>
      </c>
      <c r="X380">
        <v>0</v>
      </c>
      <c r="Y380">
        <v>1315</v>
      </c>
      <c r="Z380">
        <v>361</v>
      </c>
      <c r="AA380" s="475" t="s">
        <v>24</v>
      </c>
    </row>
    <row r="381" spans="1:27" ht="15">
      <c r="A381" s="24">
        <v>1380</v>
      </c>
      <c r="B381" s="24">
        <v>1380</v>
      </c>
      <c r="C381" s="469" t="s">
        <v>775</v>
      </c>
      <c r="D381" t="s">
        <v>152</v>
      </c>
      <c r="E381" s="470">
        <v>3</v>
      </c>
      <c r="F381" s="471">
        <v>29.7</v>
      </c>
      <c r="G381">
        <v>1</v>
      </c>
      <c r="H381">
        <v>1</v>
      </c>
      <c r="I381" s="472">
        <f t="shared" si="16"/>
        <v>0.47039166666666665</v>
      </c>
      <c r="J381" s="473">
        <v>0.36503333333333332</v>
      </c>
      <c r="K381" s="473">
        <v>0.44336666666666663</v>
      </c>
      <c r="L381" s="473">
        <v>0.58906666666666663</v>
      </c>
      <c r="M381" s="473">
        <v>0.48410000000000003</v>
      </c>
      <c r="N381" s="472">
        <f t="shared" si="17"/>
        <v>0.47039166666666665</v>
      </c>
      <c r="O381" s="473">
        <v>0.36503333333333332</v>
      </c>
      <c r="P381" s="473">
        <v>0.44336666666666663</v>
      </c>
      <c r="Q381" s="473">
        <v>0.58906666666666663</v>
      </c>
      <c r="R381" s="473">
        <v>0.48410000000000003</v>
      </c>
      <c r="S381" s="153">
        <v>0.01</v>
      </c>
      <c r="T381" s="153">
        <v>0.02</v>
      </c>
      <c r="U381" s="474">
        <v>2014</v>
      </c>
      <c r="V381">
        <v>2034</v>
      </c>
      <c r="W381">
        <v>0</v>
      </c>
      <c r="X381">
        <v>0</v>
      </c>
      <c r="Y381">
        <v>1315</v>
      </c>
      <c r="Z381">
        <v>361</v>
      </c>
      <c r="AA381" s="475" t="s">
        <v>24</v>
      </c>
    </row>
    <row r="382" spans="1:27" ht="15">
      <c r="A382" s="24">
        <v>1381</v>
      </c>
      <c r="B382" s="24">
        <v>1381</v>
      </c>
      <c r="C382" s="469" t="s">
        <v>776</v>
      </c>
      <c r="D382" t="s">
        <v>152</v>
      </c>
      <c r="E382" s="470">
        <v>3</v>
      </c>
      <c r="F382" s="471">
        <v>11.2</v>
      </c>
      <c r="G382">
        <v>1</v>
      </c>
      <c r="H382">
        <v>1</v>
      </c>
      <c r="I382" s="472">
        <f t="shared" si="16"/>
        <v>0.47039166666666665</v>
      </c>
      <c r="J382" s="473">
        <v>0.36503333333333332</v>
      </c>
      <c r="K382" s="473">
        <v>0.44336666666666663</v>
      </c>
      <c r="L382" s="473">
        <v>0.58906666666666663</v>
      </c>
      <c r="M382" s="473">
        <v>0.48410000000000003</v>
      </c>
      <c r="N382" s="472">
        <f t="shared" si="17"/>
        <v>0.47039166666666665</v>
      </c>
      <c r="O382" s="473">
        <v>0.36503333333333332</v>
      </c>
      <c r="P382" s="473">
        <v>0.44336666666666663</v>
      </c>
      <c r="Q382" s="473">
        <v>0.58906666666666663</v>
      </c>
      <c r="R382" s="473">
        <v>0.48410000000000003</v>
      </c>
      <c r="S382" s="153">
        <v>0.01</v>
      </c>
      <c r="T382" s="153">
        <v>0.02</v>
      </c>
      <c r="U382" s="474">
        <v>2012</v>
      </c>
      <c r="V382">
        <v>2032</v>
      </c>
      <c r="W382">
        <v>0</v>
      </c>
      <c r="X382">
        <v>0</v>
      </c>
      <c r="Y382">
        <v>1315</v>
      </c>
      <c r="Z382">
        <v>361</v>
      </c>
      <c r="AA382" s="475" t="s">
        <v>24</v>
      </c>
    </row>
    <row r="383" spans="1:27" ht="15" hidden="1">
      <c r="A383" s="24">
        <v>1382</v>
      </c>
      <c r="B383" s="24">
        <v>1382</v>
      </c>
      <c r="C383" s="469" t="s">
        <v>777</v>
      </c>
      <c r="D383" t="s">
        <v>146</v>
      </c>
      <c r="E383" s="470">
        <v>1</v>
      </c>
      <c r="F383" s="471">
        <v>56</v>
      </c>
      <c r="G383">
        <v>1</v>
      </c>
      <c r="H383">
        <v>1</v>
      </c>
      <c r="I383" s="472">
        <f t="shared" si="16"/>
        <v>0.32845968612834514</v>
      </c>
      <c r="J383" s="153">
        <v>3.8473756479098807E-2</v>
      </c>
      <c r="K383" s="153">
        <v>0.39358026214566905</v>
      </c>
      <c r="L383" s="153">
        <v>0.53857526864315253</v>
      </c>
      <c r="M383" s="153">
        <v>0.3432094572454602</v>
      </c>
      <c r="N383" s="472">
        <f t="shared" si="17"/>
        <v>0.32845968612834514</v>
      </c>
      <c r="O383" s="153">
        <v>3.8473756479098807E-2</v>
      </c>
      <c r="P383" s="153">
        <v>0.39358026214566905</v>
      </c>
      <c r="Q383" s="153">
        <v>0.53857526864315253</v>
      </c>
      <c r="R383" s="153">
        <v>0.3432094572454602</v>
      </c>
      <c r="S383" s="153">
        <v>0.03</v>
      </c>
      <c r="T383" s="153">
        <v>0</v>
      </c>
      <c r="U383" s="474">
        <v>2010</v>
      </c>
      <c r="V383">
        <v>2023</v>
      </c>
      <c r="W383">
        <v>0</v>
      </c>
      <c r="X383">
        <v>0</v>
      </c>
      <c r="Y383">
        <v>1304</v>
      </c>
      <c r="Z383">
        <v>311</v>
      </c>
      <c r="AA383" s="475" t="s">
        <v>23</v>
      </c>
    </row>
    <row r="384" spans="1:27" ht="15" hidden="1">
      <c r="A384" s="24">
        <v>1383</v>
      </c>
      <c r="B384" s="24">
        <v>1383</v>
      </c>
      <c r="C384" s="469" t="s">
        <v>778</v>
      </c>
      <c r="D384" t="s">
        <v>146</v>
      </c>
      <c r="E384" s="470">
        <v>1</v>
      </c>
      <c r="F384" s="471">
        <v>0</v>
      </c>
      <c r="G384">
        <v>1</v>
      </c>
      <c r="H384">
        <v>1</v>
      </c>
      <c r="I384" s="472">
        <f t="shared" si="16"/>
        <v>0.32845968612834514</v>
      </c>
      <c r="J384" s="153">
        <v>3.8473756479098807E-2</v>
      </c>
      <c r="K384" s="153">
        <v>0.39358026214566905</v>
      </c>
      <c r="L384" s="153">
        <v>0.53857526864315253</v>
      </c>
      <c r="M384" s="153">
        <v>0.3432094572454602</v>
      </c>
      <c r="N384" s="472">
        <f t="shared" si="17"/>
        <v>0.32845968612834514</v>
      </c>
      <c r="O384" s="153">
        <v>3.8473756479098807E-2</v>
      </c>
      <c r="P384" s="153">
        <v>0.39358026214566905</v>
      </c>
      <c r="Q384" s="153">
        <v>0.53857526864315253</v>
      </c>
      <c r="R384" s="153">
        <v>0.3432094572454602</v>
      </c>
      <c r="S384" s="153">
        <v>0.03</v>
      </c>
      <c r="T384" s="153">
        <v>0</v>
      </c>
      <c r="U384" s="474">
        <v>1900</v>
      </c>
      <c r="V384">
        <v>2030</v>
      </c>
      <c r="W384">
        <v>0</v>
      </c>
      <c r="X384">
        <v>0</v>
      </c>
      <c r="Y384">
        <v>1304</v>
      </c>
      <c r="Z384">
        <v>311</v>
      </c>
      <c r="AA384" s="475" t="s">
        <v>23</v>
      </c>
    </row>
    <row r="385" spans="1:27" ht="15" hidden="1">
      <c r="A385" s="24">
        <v>1384</v>
      </c>
      <c r="B385" s="24">
        <v>1384</v>
      </c>
      <c r="C385" s="469" t="s">
        <v>779</v>
      </c>
      <c r="D385" t="s">
        <v>146</v>
      </c>
      <c r="E385" s="470">
        <v>1</v>
      </c>
      <c r="F385" s="471">
        <v>40</v>
      </c>
      <c r="G385">
        <v>1</v>
      </c>
      <c r="H385">
        <v>1</v>
      </c>
      <c r="I385" s="472">
        <f t="shared" si="16"/>
        <v>0.32845968612834514</v>
      </c>
      <c r="J385" s="153">
        <v>3.8473756479098807E-2</v>
      </c>
      <c r="K385" s="153">
        <v>0.39358026214566905</v>
      </c>
      <c r="L385" s="153">
        <v>0.53857526864315253</v>
      </c>
      <c r="M385" s="153">
        <v>0.3432094572454602</v>
      </c>
      <c r="N385" s="472">
        <f t="shared" si="17"/>
        <v>0.32845968612834514</v>
      </c>
      <c r="O385" s="153">
        <v>3.8473756479098807E-2</v>
      </c>
      <c r="P385" s="153">
        <v>0.39358026214566905</v>
      </c>
      <c r="Q385" s="153">
        <v>0.53857526864315253</v>
      </c>
      <c r="R385" s="153">
        <v>0.3432094572454602</v>
      </c>
      <c r="S385" s="153">
        <v>0.03</v>
      </c>
      <c r="T385" s="153">
        <v>0</v>
      </c>
      <c r="U385" s="474">
        <v>2006</v>
      </c>
      <c r="V385">
        <v>2030</v>
      </c>
      <c r="W385">
        <v>0</v>
      </c>
      <c r="X385">
        <v>0</v>
      </c>
      <c r="Y385">
        <v>1304</v>
      </c>
      <c r="Z385">
        <v>311</v>
      </c>
      <c r="AA385" s="475" t="s">
        <v>23</v>
      </c>
    </row>
    <row r="386" spans="1:27" ht="15" hidden="1">
      <c r="A386" s="24">
        <v>1385</v>
      </c>
      <c r="B386" s="24">
        <v>1385</v>
      </c>
      <c r="C386" s="469" t="s">
        <v>780</v>
      </c>
      <c r="D386" t="s">
        <v>146</v>
      </c>
      <c r="E386" s="470">
        <v>1</v>
      </c>
      <c r="F386" s="471">
        <v>0</v>
      </c>
      <c r="G386">
        <v>1</v>
      </c>
      <c r="H386">
        <v>1</v>
      </c>
      <c r="I386" s="472">
        <f t="shared" ref="I386:I449" si="20">AVERAGE(J386:M386)</f>
        <v>0.32845968612834514</v>
      </c>
      <c r="J386" s="153">
        <v>3.8473756479098807E-2</v>
      </c>
      <c r="K386" s="153">
        <v>0.39358026214566905</v>
      </c>
      <c r="L386" s="153">
        <v>0.53857526864315253</v>
      </c>
      <c r="M386" s="153">
        <v>0.3432094572454602</v>
      </c>
      <c r="N386" s="472">
        <f t="shared" ref="N386:N449" si="21">AVERAGE(O386:R386)</f>
        <v>0.32845968612834514</v>
      </c>
      <c r="O386" s="153">
        <v>3.8473756479098807E-2</v>
      </c>
      <c r="P386" s="153">
        <v>0.39358026214566905</v>
      </c>
      <c r="Q386" s="153">
        <v>0.53857526864315253</v>
      </c>
      <c r="R386" s="153">
        <v>0.3432094572454602</v>
      </c>
      <c r="S386" s="153">
        <v>0.03</v>
      </c>
      <c r="T386" s="153">
        <v>0</v>
      </c>
      <c r="U386" s="474">
        <v>2016</v>
      </c>
      <c r="V386">
        <v>2035</v>
      </c>
      <c r="W386">
        <v>0</v>
      </c>
      <c r="X386">
        <v>0</v>
      </c>
      <c r="Y386">
        <v>1304</v>
      </c>
      <c r="Z386">
        <v>311</v>
      </c>
      <c r="AA386" s="475" t="s">
        <v>23</v>
      </c>
    </row>
    <row r="387" spans="1:27" ht="15" hidden="1">
      <c r="A387" s="24">
        <v>1386</v>
      </c>
      <c r="B387" s="24">
        <v>1386</v>
      </c>
      <c r="C387" s="469" t="s">
        <v>781</v>
      </c>
      <c r="D387" t="s">
        <v>146</v>
      </c>
      <c r="E387" s="470">
        <v>1</v>
      </c>
      <c r="F387" s="471">
        <v>17.926829268292693</v>
      </c>
      <c r="G387">
        <v>1</v>
      </c>
      <c r="H387">
        <v>1</v>
      </c>
      <c r="I387" s="472">
        <f t="shared" si="20"/>
        <v>0.32845968612834514</v>
      </c>
      <c r="J387" s="153">
        <v>3.8473756479098807E-2</v>
      </c>
      <c r="K387" s="153">
        <v>0.39358026214566905</v>
      </c>
      <c r="L387" s="153">
        <v>0.53857526864315253</v>
      </c>
      <c r="M387" s="153">
        <v>0.3432094572454602</v>
      </c>
      <c r="N387" s="472">
        <f t="shared" si="21"/>
        <v>0.32845968612834514</v>
      </c>
      <c r="O387" s="153">
        <v>3.8473756479098807E-2</v>
      </c>
      <c r="P387" s="153">
        <v>0.39358026214566905</v>
      </c>
      <c r="Q387" s="153">
        <v>0.53857526864315253</v>
      </c>
      <c r="R387" s="153">
        <v>0.3432094572454602</v>
      </c>
      <c r="S387" s="153">
        <v>0.03</v>
      </c>
      <c r="T387" s="153">
        <v>0</v>
      </c>
      <c r="U387" s="474">
        <v>2013</v>
      </c>
      <c r="V387">
        <v>2030</v>
      </c>
      <c r="W387">
        <v>0</v>
      </c>
      <c r="X387">
        <v>0</v>
      </c>
      <c r="Y387">
        <v>1304</v>
      </c>
      <c r="Z387">
        <v>311</v>
      </c>
      <c r="AA387" s="475" t="s">
        <v>23</v>
      </c>
    </row>
    <row r="388" spans="1:27" ht="15" hidden="1">
      <c r="A388" s="24">
        <v>1387</v>
      </c>
      <c r="B388" s="24">
        <v>1387</v>
      </c>
      <c r="C388" s="469" t="s">
        <v>782</v>
      </c>
      <c r="D388" t="s">
        <v>149</v>
      </c>
      <c r="E388" s="470">
        <v>2</v>
      </c>
      <c r="F388" s="471">
        <v>50</v>
      </c>
      <c r="G388">
        <v>1</v>
      </c>
      <c r="H388">
        <v>1</v>
      </c>
      <c r="I388" s="472">
        <f t="shared" si="20"/>
        <v>0.40033333333333337</v>
      </c>
      <c r="J388" s="153">
        <v>0.3706666666666667</v>
      </c>
      <c r="K388" s="153">
        <v>0.3666666666666667</v>
      </c>
      <c r="L388" s="153">
        <v>0.44799999999999995</v>
      </c>
      <c r="M388" s="153">
        <v>0.41600000000000009</v>
      </c>
      <c r="N388" s="472">
        <f t="shared" si="21"/>
        <v>0.40033333333333337</v>
      </c>
      <c r="O388" s="153">
        <v>0.3706666666666667</v>
      </c>
      <c r="P388" s="153">
        <v>0.3666666666666667</v>
      </c>
      <c r="Q388" s="153">
        <v>0.44799999999999995</v>
      </c>
      <c r="R388" s="153">
        <v>0.41600000000000009</v>
      </c>
      <c r="S388" s="153">
        <v>0.01</v>
      </c>
      <c r="T388" s="153">
        <v>0.02</v>
      </c>
      <c r="U388" s="474">
        <v>2006</v>
      </c>
      <c r="V388">
        <v>2026</v>
      </c>
      <c r="W388">
        <v>0</v>
      </c>
      <c r="X388">
        <v>0</v>
      </c>
      <c r="Y388">
        <v>1315</v>
      </c>
      <c r="Z388">
        <v>360</v>
      </c>
      <c r="AA388" s="475" t="s">
        <v>24</v>
      </c>
    </row>
    <row r="389" spans="1:27" ht="15" hidden="1">
      <c r="A389" s="24">
        <v>1388</v>
      </c>
      <c r="B389" s="24">
        <v>1388</v>
      </c>
      <c r="C389" s="469" t="s">
        <v>783</v>
      </c>
      <c r="D389" t="s">
        <v>149</v>
      </c>
      <c r="E389" s="470">
        <v>2</v>
      </c>
      <c r="F389" s="471">
        <v>29.9</v>
      </c>
      <c r="G389">
        <v>1</v>
      </c>
      <c r="H389">
        <v>1</v>
      </c>
      <c r="I389" s="472">
        <f t="shared" si="20"/>
        <v>0.40033333333333337</v>
      </c>
      <c r="J389" s="153">
        <v>0.3706666666666667</v>
      </c>
      <c r="K389" s="153">
        <v>0.3666666666666667</v>
      </c>
      <c r="L389" s="153">
        <v>0.44799999999999995</v>
      </c>
      <c r="M389" s="153">
        <v>0.41600000000000009</v>
      </c>
      <c r="N389" s="472">
        <f t="shared" si="21"/>
        <v>0.40033333333333337</v>
      </c>
      <c r="O389" s="153">
        <v>0.3706666666666667</v>
      </c>
      <c r="P389" s="153">
        <v>0.3666666666666667</v>
      </c>
      <c r="Q389" s="153">
        <v>0.44799999999999995</v>
      </c>
      <c r="R389" s="153">
        <v>0.41600000000000009</v>
      </c>
      <c r="S389" s="153">
        <v>0.01</v>
      </c>
      <c r="T389" s="153">
        <v>0.02</v>
      </c>
      <c r="U389" s="474">
        <v>2014</v>
      </c>
      <c r="V389">
        <v>2034</v>
      </c>
      <c r="W389">
        <v>0</v>
      </c>
      <c r="X389">
        <v>0</v>
      </c>
      <c r="Y389">
        <v>1315</v>
      </c>
      <c r="Z389">
        <v>360</v>
      </c>
      <c r="AA389" s="475" t="s">
        <v>24</v>
      </c>
    </row>
    <row r="390" spans="1:27" ht="15" hidden="1">
      <c r="A390" s="24">
        <v>1389</v>
      </c>
      <c r="B390" s="24">
        <v>1389</v>
      </c>
      <c r="C390" s="469" t="s">
        <v>784</v>
      </c>
      <c r="D390" t="s">
        <v>149</v>
      </c>
      <c r="E390" s="470">
        <v>2</v>
      </c>
      <c r="F390" s="471">
        <v>23</v>
      </c>
      <c r="G390">
        <v>1</v>
      </c>
      <c r="H390">
        <v>1</v>
      </c>
      <c r="I390" s="472">
        <f t="shared" si="20"/>
        <v>0.40033333333333337</v>
      </c>
      <c r="J390" s="153">
        <v>0.3706666666666667</v>
      </c>
      <c r="K390" s="153">
        <v>0.3666666666666667</v>
      </c>
      <c r="L390" s="153">
        <v>0.44799999999999995</v>
      </c>
      <c r="M390" s="153">
        <v>0.41600000000000009</v>
      </c>
      <c r="N390" s="472">
        <f t="shared" si="21"/>
        <v>0.40033333333333337</v>
      </c>
      <c r="O390" s="153">
        <v>0.3706666666666667</v>
      </c>
      <c r="P390" s="153">
        <v>0.3666666666666667</v>
      </c>
      <c r="Q390" s="153">
        <v>0.44799999999999995</v>
      </c>
      <c r="R390" s="153">
        <v>0.41600000000000009</v>
      </c>
      <c r="S390" s="153">
        <v>0.01</v>
      </c>
      <c r="T390" s="153">
        <v>0.02</v>
      </c>
      <c r="U390" s="474">
        <v>2016</v>
      </c>
      <c r="V390">
        <v>2036</v>
      </c>
      <c r="W390">
        <v>0</v>
      </c>
      <c r="X390">
        <v>0</v>
      </c>
      <c r="Y390">
        <v>1315</v>
      </c>
      <c r="Z390">
        <v>360</v>
      </c>
      <c r="AA390" s="475" t="s">
        <v>24</v>
      </c>
    </row>
    <row r="391" spans="1:27" ht="15">
      <c r="A391" s="24">
        <v>1390</v>
      </c>
      <c r="B391" s="24">
        <v>1390</v>
      </c>
      <c r="C391" s="469" t="s">
        <v>785</v>
      </c>
      <c r="D391" t="s">
        <v>152</v>
      </c>
      <c r="E391" s="470">
        <v>3</v>
      </c>
      <c r="F391" s="471">
        <v>28.2</v>
      </c>
      <c r="G391">
        <v>1</v>
      </c>
      <c r="H391">
        <v>1</v>
      </c>
      <c r="I391" s="472">
        <f t="shared" si="20"/>
        <v>0.47039166666666665</v>
      </c>
      <c r="J391" s="473">
        <v>0.36503333333333332</v>
      </c>
      <c r="K391" s="473">
        <v>0.44336666666666663</v>
      </c>
      <c r="L391" s="473">
        <v>0.58906666666666663</v>
      </c>
      <c r="M391" s="473">
        <v>0.48410000000000003</v>
      </c>
      <c r="N391" s="472">
        <f t="shared" si="21"/>
        <v>0.47039166666666665</v>
      </c>
      <c r="O391" s="473">
        <v>0.36503333333333332</v>
      </c>
      <c r="P391" s="473">
        <v>0.44336666666666663</v>
      </c>
      <c r="Q391" s="473">
        <v>0.58906666666666663</v>
      </c>
      <c r="R391" s="473">
        <v>0.48410000000000003</v>
      </c>
      <c r="S391" s="153">
        <v>0.01</v>
      </c>
      <c r="T391" s="153">
        <v>0.02</v>
      </c>
      <c r="U391" s="474">
        <v>2014</v>
      </c>
      <c r="V391">
        <v>2034</v>
      </c>
      <c r="W391">
        <v>0</v>
      </c>
      <c r="X391">
        <v>0</v>
      </c>
      <c r="Y391">
        <v>1315</v>
      </c>
      <c r="Z391">
        <v>361</v>
      </c>
      <c r="AA391" s="475" t="s">
        <v>24</v>
      </c>
    </row>
    <row r="392" spans="1:27" ht="15">
      <c r="A392" s="24">
        <v>1391</v>
      </c>
      <c r="B392" s="24">
        <v>1391</v>
      </c>
      <c r="C392" s="469" t="s">
        <v>786</v>
      </c>
      <c r="D392" t="s">
        <v>152</v>
      </c>
      <c r="E392" s="470">
        <v>3</v>
      </c>
      <c r="F392" s="471">
        <v>16.100000000000001</v>
      </c>
      <c r="G392">
        <v>1</v>
      </c>
      <c r="H392">
        <v>1</v>
      </c>
      <c r="I392" s="472">
        <f t="shared" si="20"/>
        <v>0.47039166666666665</v>
      </c>
      <c r="J392" s="473">
        <v>0.36503333333333332</v>
      </c>
      <c r="K392" s="473">
        <v>0.44336666666666663</v>
      </c>
      <c r="L392" s="473">
        <v>0.58906666666666663</v>
      </c>
      <c r="M392" s="473">
        <v>0.48410000000000003</v>
      </c>
      <c r="N392" s="472">
        <f t="shared" si="21"/>
        <v>0.47039166666666665</v>
      </c>
      <c r="O392" s="473">
        <v>0.36503333333333332</v>
      </c>
      <c r="P392" s="473">
        <v>0.44336666666666663</v>
      </c>
      <c r="Q392" s="473">
        <v>0.58906666666666663</v>
      </c>
      <c r="R392" s="473">
        <v>0.48410000000000003</v>
      </c>
      <c r="S392" s="153">
        <v>0.01</v>
      </c>
      <c r="T392" s="153">
        <v>0.02</v>
      </c>
      <c r="U392" s="474">
        <v>2013</v>
      </c>
      <c r="V392">
        <v>2033</v>
      </c>
      <c r="W392">
        <v>0</v>
      </c>
      <c r="X392">
        <v>0</v>
      </c>
      <c r="Y392">
        <v>1315</v>
      </c>
      <c r="Z392">
        <v>361</v>
      </c>
      <c r="AA392" s="475" t="s">
        <v>24</v>
      </c>
    </row>
    <row r="393" spans="1:27" ht="15">
      <c r="A393" s="24">
        <v>1392</v>
      </c>
      <c r="B393" s="24">
        <v>1392</v>
      </c>
      <c r="C393" s="469" t="s">
        <v>787</v>
      </c>
      <c r="D393" t="s">
        <v>152</v>
      </c>
      <c r="E393" s="470">
        <v>3</v>
      </c>
      <c r="F393" s="471">
        <v>3.23</v>
      </c>
      <c r="G393">
        <v>1</v>
      </c>
      <c r="H393">
        <v>1</v>
      </c>
      <c r="I393" s="472">
        <f t="shared" si="20"/>
        <v>0.47039166666666665</v>
      </c>
      <c r="J393" s="473">
        <v>0.36503333333333332</v>
      </c>
      <c r="K393" s="473">
        <v>0.44336666666666663</v>
      </c>
      <c r="L393" s="473">
        <v>0.58906666666666663</v>
      </c>
      <c r="M393" s="473">
        <v>0.48410000000000003</v>
      </c>
      <c r="N393" s="472">
        <f t="shared" si="21"/>
        <v>0.47039166666666665</v>
      </c>
      <c r="O393" s="473">
        <v>0.36503333333333332</v>
      </c>
      <c r="P393" s="473">
        <v>0.44336666666666663</v>
      </c>
      <c r="Q393" s="473">
        <v>0.58906666666666663</v>
      </c>
      <c r="R393" s="473">
        <v>0.48410000000000003</v>
      </c>
      <c r="S393" s="153">
        <v>0.01</v>
      </c>
      <c r="T393" s="153">
        <v>0.02</v>
      </c>
      <c r="U393" s="474">
        <v>2009</v>
      </c>
      <c r="V393">
        <v>2029</v>
      </c>
      <c r="W393">
        <v>0</v>
      </c>
      <c r="X393">
        <v>0</v>
      </c>
      <c r="Y393">
        <v>1315</v>
      </c>
      <c r="Z393">
        <v>361</v>
      </c>
      <c r="AA393" s="475" t="s">
        <v>24</v>
      </c>
    </row>
    <row r="394" spans="1:27" ht="15">
      <c r="A394" s="24">
        <v>1393</v>
      </c>
      <c r="B394" s="24">
        <v>1393</v>
      </c>
      <c r="C394" s="469" t="s">
        <v>788</v>
      </c>
      <c r="D394" t="s">
        <v>152</v>
      </c>
      <c r="E394" s="470">
        <v>3</v>
      </c>
      <c r="F394" s="471">
        <v>24</v>
      </c>
      <c r="G394">
        <v>1</v>
      </c>
      <c r="H394">
        <v>1</v>
      </c>
      <c r="I394" s="472">
        <f t="shared" si="20"/>
        <v>0.47039166666666665</v>
      </c>
      <c r="J394" s="473">
        <v>0.36503333333333332</v>
      </c>
      <c r="K394" s="473">
        <v>0.44336666666666663</v>
      </c>
      <c r="L394" s="473">
        <v>0.58906666666666663</v>
      </c>
      <c r="M394" s="473">
        <v>0.48410000000000003</v>
      </c>
      <c r="N394" s="472">
        <f t="shared" si="21"/>
        <v>0.47039166666666665</v>
      </c>
      <c r="O394" s="473">
        <v>0.36503333333333332</v>
      </c>
      <c r="P394" s="473">
        <v>0.44336666666666663</v>
      </c>
      <c r="Q394" s="473">
        <v>0.58906666666666663</v>
      </c>
      <c r="R394" s="473">
        <v>0.48410000000000003</v>
      </c>
      <c r="S394" s="153">
        <v>0.01</v>
      </c>
      <c r="T394" s="153">
        <v>0.02</v>
      </c>
      <c r="U394" s="474">
        <v>2012</v>
      </c>
      <c r="V394">
        <v>2032</v>
      </c>
      <c r="W394">
        <v>0</v>
      </c>
      <c r="X394">
        <v>0</v>
      </c>
      <c r="Y394">
        <v>1315</v>
      </c>
      <c r="Z394">
        <v>361</v>
      </c>
      <c r="AA394" s="475" t="s">
        <v>24</v>
      </c>
    </row>
    <row r="395" spans="1:27" ht="15">
      <c r="A395" s="24">
        <v>1394</v>
      </c>
      <c r="B395" s="24">
        <v>1394</v>
      </c>
      <c r="C395" s="469" t="s">
        <v>789</v>
      </c>
      <c r="D395" t="s">
        <v>152</v>
      </c>
      <c r="E395" s="470">
        <v>3</v>
      </c>
      <c r="F395" s="471">
        <v>20.7</v>
      </c>
      <c r="G395">
        <v>1</v>
      </c>
      <c r="H395">
        <v>1</v>
      </c>
      <c r="I395" s="472">
        <f t="shared" si="20"/>
        <v>0.47039166666666665</v>
      </c>
      <c r="J395" s="473">
        <v>0.36503333333333332</v>
      </c>
      <c r="K395" s="473">
        <v>0.44336666666666663</v>
      </c>
      <c r="L395" s="473">
        <v>0.58906666666666663</v>
      </c>
      <c r="M395" s="473">
        <v>0.48410000000000003</v>
      </c>
      <c r="N395" s="472">
        <f t="shared" si="21"/>
        <v>0.47039166666666665</v>
      </c>
      <c r="O395" s="473">
        <v>0.36503333333333332</v>
      </c>
      <c r="P395" s="473">
        <v>0.44336666666666663</v>
      </c>
      <c r="Q395" s="473">
        <v>0.58906666666666663</v>
      </c>
      <c r="R395" s="473">
        <v>0.48410000000000003</v>
      </c>
      <c r="S395" s="153">
        <v>0.01</v>
      </c>
      <c r="T395" s="153">
        <v>0.02</v>
      </c>
      <c r="U395" s="474">
        <v>2013</v>
      </c>
      <c r="V395">
        <v>2033</v>
      </c>
      <c r="W395">
        <v>0</v>
      </c>
      <c r="X395">
        <v>0</v>
      </c>
      <c r="Y395">
        <v>1315</v>
      </c>
      <c r="Z395">
        <v>361</v>
      </c>
      <c r="AA395" s="475" t="s">
        <v>24</v>
      </c>
    </row>
    <row r="396" spans="1:27" ht="15">
      <c r="A396" s="24">
        <v>1395</v>
      </c>
      <c r="B396" s="24">
        <v>1395</v>
      </c>
      <c r="C396" s="469" t="s">
        <v>790</v>
      </c>
      <c r="D396" t="s">
        <v>152</v>
      </c>
      <c r="E396" s="470">
        <v>3</v>
      </c>
      <c r="F396" s="471">
        <v>35.07</v>
      </c>
      <c r="G396">
        <v>1</v>
      </c>
      <c r="H396">
        <v>1</v>
      </c>
      <c r="I396" s="472">
        <f t="shared" si="20"/>
        <v>0.47039166666666665</v>
      </c>
      <c r="J396" s="473">
        <v>0.36503333333333332</v>
      </c>
      <c r="K396" s="473">
        <v>0.44336666666666663</v>
      </c>
      <c r="L396" s="473">
        <v>0.58906666666666663</v>
      </c>
      <c r="M396" s="473">
        <v>0.48410000000000003</v>
      </c>
      <c r="N396" s="472">
        <f t="shared" si="21"/>
        <v>0.47039166666666665</v>
      </c>
      <c r="O396" s="473">
        <v>0.36503333333333332</v>
      </c>
      <c r="P396" s="473">
        <v>0.44336666666666663</v>
      </c>
      <c r="Q396" s="473">
        <v>0.58906666666666663</v>
      </c>
      <c r="R396" s="473">
        <v>0.48410000000000003</v>
      </c>
      <c r="S396" s="153">
        <v>0.01</v>
      </c>
      <c r="T396" s="153">
        <v>0.02</v>
      </c>
      <c r="U396" s="474">
        <v>2012</v>
      </c>
      <c r="V396">
        <v>2032</v>
      </c>
      <c r="W396">
        <v>0</v>
      </c>
      <c r="X396">
        <v>0</v>
      </c>
      <c r="Y396">
        <v>1315</v>
      </c>
      <c r="Z396">
        <v>361</v>
      </c>
      <c r="AA396" s="475" t="s">
        <v>24</v>
      </c>
    </row>
    <row r="397" spans="1:27" ht="15">
      <c r="A397" s="24">
        <v>1396</v>
      </c>
      <c r="B397" s="24">
        <v>1396</v>
      </c>
      <c r="C397" s="469" t="s">
        <v>791</v>
      </c>
      <c r="D397" t="s">
        <v>152</v>
      </c>
      <c r="E397" s="470">
        <v>3</v>
      </c>
      <c r="F397" s="471">
        <v>4.25</v>
      </c>
      <c r="G397">
        <v>1</v>
      </c>
      <c r="H397">
        <v>1</v>
      </c>
      <c r="I397" s="472">
        <f t="shared" si="20"/>
        <v>0.47039166666666665</v>
      </c>
      <c r="J397" s="473">
        <v>0.36503333333333332</v>
      </c>
      <c r="K397" s="473">
        <v>0.44336666666666663</v>
      </c>
      <c r="L397" s="473">
        <v>0.58906666666666663</v>
      </c>
      <c r="M397" s="473">
        <v>0.48410000000000003</v>
      </c>
      <c r="N397" s="472">
        <f t="shared" si="21"/>
        <v>0.47039166666666665</v>
      </c>
      <c r="O397" s="473">
        <v>0.36503333333333332</v>
      </c>
      <c r="P397" s="473">
        <v>0.44336666666666663</v>
      </c>
      <c r="Q397" s="473">
        <v>0.58906666666666663</v>
      </c>
      <c r="R397" s="473">
        <v>0.48410000000000003</v>
      </c>
      <c r="S397" s="153">
        <v>0.01</v>
      </c>
      <c r="T397" s="153">
        <v>0.02</v>
      </c>
      <c r="U397" s="474">
        <v>2010</v>
      </c>
      <c r="V397">
        <v>2030</v>
      </c>
      <c r="W397">
        <v>0</v>
      </c>
      <c r="X397">
        <v>0</v>
      </c>
      <c r="Y397">
        <v>1315</v>
      </c>
      <c r="Z397">
        <v>361</v>
      </c>
      <c r="AA397" s="475" t="s">
        <v>24</v>
      </c>
    </row>
    <row r="398" spans="1:27" ht="15">
      <c r="A398" s="24">
        <v>1397</v>
      </c>
      <c r="B398" s="24">
        <v>1397</v>
      </c>
      <c r="C398" s="469" t="s">
        <v>792</v>
      </c>
      <c r="D398" t="s">
        <v>152</v>
      </c>
      <c r="E398" s="470">
        <v>3</v>
      </c>
      <c r="F398" s="471">
        <v>26</v>
      </c>
      <c r="G398">
        <v>1</v>
      </c>
      <c r="H398">
        <v>1</v>
      </c>
      <c r="I398" s="472">
        <f t="shared" si="20"/>
        <v>0.47039166666666665</v>
      </c>
      <c r="J398" s="473">
        <v>0.36503333333333332</v>
      </c>
      <c r="K398" s="473">
        <v>0.44336666666666663</v>
      </c>
      <c r="L398" s="473">
        <v>0.58906666666666663</v>
      </c>
      <c r="M398" s="473">
        <v>0.48410000000000003</v>
      </c>
      <c r="N398" s="472">
        <f t="shared" si="21"/>
        <v>0.47039166666666665</v>
      </c>
      <c r="O398" s="473">
        <v>0.36503333333333332</v>
      </c>
      <c r="P398" s="473">
        <v>0.44336666666666663</v>
      </c>
      <c r="Q398" s="473">
        <v>0.58906666666666663</v>
      </c>
      <c r="R398" s="473">
        <v>0.48410000000000003</v>
      </c>
      <c r="S398" s="153">
        <v>0.01</v>
      </c>
      <c r="T398" s="153">
        <v>0.02</v>
      </c>
      <c r="U398" s="474">
        <v>2012</v>
      </c>
      <c r="V398">
        <v>2032</v>
      </c>
      <c r="W398">
        <v>0</v>
      </c>
      <c r="X398">
        <v>0</v>
      </c>
      <c r="Y398">
        <v>1315</v>
      </c>
      <c r="Z398">
        <v>361</v>
      </c>
      <c r="AA398" s="475" t="s">
        <v>24</v>
      </c>
    </row>
    <row r="399" spans="1:27" ht="15">
      <c r="A399" s="24">
        <v>1398</v>
      </c>
      <c r="B399" s="24">
        <v>1398</v>
      </c>
      <c r="C399" s="469" t="s">
        <v>793</v>
      </c>
      <c r="D399" t="s">
        <v>152</v>
      </c>
      <c r="E399" s="470">
        <v>3</v>
      </c>
      <c r="F399" s="471">
        <v>26</v>
      </c>
      <c r="G399">
        <v>1</v>
      </c>
      <c r="H399">
        <v>1</v>
      </c>
      <c r="I399" s="472">
        <f t="shared" si="20"/>
        <v>0.47039166666666665</v>
      </c>
      <c r="J399" s="473">
        <v>0.36503333333333332</v>
      </c>
      <c r="K399" s="473">
        <v>0.44336666666666663</v>
      </c>
      <c r="L399" s="473">
        <v>0.58906666666666663</v>
      </c>
      <c r="M399" s="473">
        <v>0.48410000000000003</v>
      </c>
      <c r="N399" s="472">
        <f t="shared" si="21"/>
        <v>0.47039166666666665</v>
      </c>
      <c r="O399" s="473">
        <v>0.36503333333333332</v>
      </c>
      <c r="P399" s="473">
        <v>0.44336666666666663</v>
      </c>
      <c r="Q399" s="473">
        <v>0.58906666666666663</v>
      </c>
      <c r="R399" s="473">
        <v>0.48410000000000003</v>
      </c>
      <c r="S399" s="153">
        <v>0.01</v>
      </c>
      <c r="T399" s="153">
        <v>0.02</v>
      </c>
      <c r="U399" s="474">
        <v>2012</v>
      </c>
      <c r="V399">
        <v>2032</v>
      </c>
      <c r="W399">
        <v>0</v>
      </c>
      <c r="X399">
        <v>0</v>
      </c>
      <c r="Y399">
        <v>1315</v>
      </c>
      <c r="Z399">
        <v>361</v>
      </c>
      <c r="AA399" s="475" t="s">
        <v>24</v>
      </c>
    </row>
    <row r="400" spans="1:27" ht="15">
      <c r="A400" s="24">
        <v>1399</v>
      </c>
      <c r="B400" s="24">
        <v>1399</v>
      </c>
      <c r="C400" s="469" t="s">
        <v>794</v>
      </c>
      <c r="D400" t="s">
        <v>152</v>
      </c>
      <c r="E400" s="470">
        <v>3</v>
      </c>
      <c r="F400" s="471">
        <v>26</v>
      </c>
      <c r="G400">
        <v>1</v>
      </c>
      <c r="H400">
        <v>1</v>
      </c>
      <c r="I400" s="472">
        <f t="shared" si="20"/>
        <v>0.47039166666666665</v>
      </c>
      <c r="J400" s="473">
        <v>0.36503333333333332</v>
      </c>
      <c r="K400" s="473">
        <v>0.44336666666666663</v>
      </c>
      <c r="L400" s="473">
        <v>0.58906666666666663</v>
      </c>
      <c r="M400" s="473">
        <v>0.48410000000000003</v>
      </c>
      <c r="N400" s="472">
        <f t="shared" si="21"/>
        <v>0.47039166666666665</v>
      </c>
      <c r="O400" s="473">
        <v>0.36503333333333332</v>
      </c>
      <c r="P400" s="473">
        <v>0.44336666666666663</v>
      </c>
      <c r="Q400" s="473">
        <v>0.58906666666666663</v>
      </c>
      <c r="R400" s="473">
        <v>0.48410000000000003</v>
      </c>
      <c r="S400" s="153">
        <v>0.01</v>
      </c>
      <c r="T400" s="153">
        <v>0.02</v>
      </c>
      <c r="U400" s="474">
        <v>2012</v>
      </c>
      <c r="V400">
        <v>2032</v>
      </c>
      <c r="W400">
        <v>0</v>
      </c>
      <c r="X400">
        <v>0</v>
      </c>
      <c r="Y400">
        <v>1315</v>
      </c>
      <c r="Z400">
        <v>361</v>
      </c>
      <c r="AA400" s="475" t="s">
        <v>24</v>
      </c>
    </row>
    <row r="401" spans="1:27" ht="15">
      <c r="A401" s="24">
        <v>1400</v>
      </c>
      <c r="B401" s="24">
        <v>1400</v>
      </c>
      <c r="C401" s="469" t="s">
        <v>795</v>
      </c>
      <c r="D401" t="s">
        <v>152</v>
      </c>
      <c r="E401" s="470">
        <v>3</v>
      </c>
      <c r="F401" s="471">
        <v>26</v>
      </c>
      <c r="G401">
        <v>1</v>
      </c>
      <c r="H401">
        <v>1</v>
      </c>
      <c r="I401" s="472">
        <f t="shared" si="20"/>
        <v>0.47039166666666665</v>
      </c>
      <c r="J401" s="473">
        <v>0.36503333333333332</v>
      </c>
      <c r="K401" s="473">
        <v>0.44336666666666663</v>
      </c>
      <c r="L401" s="473">
        <v>0.58906666666666663</v>
      </c>
      <c r="M401" s="473">
        <v>0.48410000000000003</v>
      </c>
      <c r="N401" s="472">
        <f t="shared" si="21"/>
        <v>0.47039166666666665</v>
      </c>
      <c r="O401" s="473">
        <v>0.36503333333333332</v>
      </c>
      <c r="P401" s="473">
        <v>0.44336666666666663</v>
      </c>
      <c r="Q401" s="473">
        <v>0.58906666666666663</v>
      </c>
      <c r="R401" s="473">
        <v>0.48410000000000003</v>
      </c>
      <c r="S401" s="153">
        <v>0.01</v>
      </c>
      <c r="T401" s="153">
        <v>0.02</v>
      </c>
      <c r="U401" s="474">
        <v>2012</v>
      </c>
      <c r="V401">
        <v>2032</v>
      </c>
      <c r="W401">
        <v>0</v>
      </c>
      <c r="X401">
        <v>0</v>
      </c>
      <c r="Y401">
        <v>1315</v>
      </c>
      <c r="Z401">
        <v>361</v>
      </c>
      <c r="AA401" s="475" t="s">
        <v>24</v>
      </c>
    </row>
    <row r="402" spans="1:27" ht="15">
      <c r="A402" s="24">
        <v>1401</v>
      </c>
      <c r="B402" s="24">
        <v>1401</v>
      </c>
      <c r="C402" s="469" t="s">
        <v>796</v>
      </c>
      <c r="D402" t="s">
        <v>152</v>
      </c>
      <c r="E402" s="470">
        <v>3</v>
      </c>
      <c r="F402" s="471">
        <v>23.1</v>
      </c>
      <c r="G402">
        <v>1</v>
      </c>
      <c r="H402">
        <v>1</v>
      </c>
      <c r="I402" s="472">
        <f t="shared" si="20"/>
        <v>0.47039166666666665</v>
      </c>
      <c r="J402" s="473">
        <v>0.36503333333333332</v>
      </c>
      <c r="K402" s="473">
        <v>0.44336666666666663</v>
      </c>
      <c r="L402" s="473">
        <v>0.58906666666666663</v>
      </c>
      <c r="M402" s="473">
        <v>0.48410000000000003</v>
      </c>
      <c r="N402" s="472">
        <f t="shared" si="21"/>
        <v>0.47039166666666665</v>
      </c>
      <c r="O402" s="473">
        <v>0.36503333333333332</v>
      </c>
      <c r="P402" s="473">
        <v>0.44336666666666663</v>
      </c>
      <c r="Q402" s="473">
        <v>0.58906666666666663</v>
      </c>
      <c r="R402" s="473">
        <v>0.48410000000000003</v>
      </c>
      <c r="S402" s="153">
        <v>0.01</v>
      </c>
      <c r="T402" s="153">
        <v>0.02</v>
      </c>
      <c r="U402" s="474">
        <v>2012</v>
      </c>
      <c r="V402">
        <v>2032</v>
      </c>
      <c r="W402">
        <v>0</v>
      </c>
      <c r="X402">
        <v>0</v>
      </c>
      <c r="Y402">
        <v>1315</v>
      </c>
      <c r="Z402">
        <v>361</v>
      </c>
      <c r="AA402" s="475" t="s">
        <v>24</v>
      </c>
    </row>
    <row r="403" spans="1:27" ht="15" hidden="1">
      <c r="A403" s="24">
        <v>1402</v>
      </c>
      <c r="B403" s="24">
        <v>1402</v>
      </c>
      <c r="C403" s="469" t="s">
        <v>797</v>
      </c>
      <c r="D403" t="s">
        <v>146</v>
      </c>
      <c r="E403" s="470">
        <v>1</v>
      </c>
      <c r="F403" s="471">
        <v>87.073170731707307</v>
      </c>
      <c r="G403">
        <v>1</v>
      </c>
      <c r="H403">
        <v>1</v>
      </c>
      <c r="I403" s="472">
        <f t="shared" si="20"/>
        <v>0.32845968612834514</v>
      </c>
      <c r="J403" s="153">
        <v>3.8473756479098807E-2</v>
      </c>
      <c r="K403" s="153">
        <v>0.39358026214566905</v>
      </c>
      <c r="L403" s="153">
        <v>0.53857526864315253</v>
      </c>
      <c r="M403" s="153">
        <v>0.3432094572454602</v>
      </c>
      <c r="N403" s="472">
        <f t="shared" si="21"/>
        <v>0.32845968612834514</v>
      </c>
      <c r="O403" s="153">
        <v>3.8473756479098807E-2</v>
      </c>
      <c r="P403" s="153">
        <v>0.39358026214566905</v>
      </c>
      <c r="Q403" s="153">
        <v>0.53857526864315253</v>
      </c>
      <c r="R403" s="153">
        <v>0.3432094572454602</v>
      </c>
      <c r="S403" s="153">
        <v>0.03</v>
      </c>
      <c r="T403" s="153">
        <v>0</v>
      </c>
      <c r="U403" s="474">
        <v>2010</v>
      </c>
      <c r="V403">
        <v>2023</v>
      </c>
      <c r="W403">
        <v>0</v>
      </c>
      <c r="X403">
        <v>0</v>
      </c>
      <c r="Y403">
        <v>1304</v>
      </c>
      <c r="Z403">
        <v>311</v>
      </c>
      <c r="AA403" s="475" t="s">
        <v>23</v>
      </c>
    </row>
    <row r="404" spans="1:27" ht="15">
      <c r="A404" s="24">
        <v>1403</v>
      </c>
      <c r="B404" s="24">
        <v>1403</v>
      </c>
      <c r="C404" s="469" t="s">
        <v>798</v>
      </c>
      <c r="D404" t="s">
        <v>152</v>
      </c>
      <c r="E404" s="470">
        <v>3</v>
      </c>
      <c r="F404" s="471">
        <v>30.24</v>
      </c>
      <c r="G404">
        <v>1</v>
      </c>
      <c r="H404">
        <v>1</v>
      </c>
      <c r="I404" s="472">
        <f t="shared" si="20"/>
        <v>0.47039166666666665</v>
      </c>
      <c r="J404" s="473">
        <v>0.36503333333333332</v>
      </c>
      <c r="K404" s="473">
        <v>0.44336666666666663</v>
      </c>
      <c r="L404" s="473">
        <v>0.58906666666666663</v>
      </c>
      <c r="M404" s="473">
        <v>0.48410000000000003</v>
      </c>
      <c r="N404" s="472">
        <f t="shared" si="21"/>
        <v>0.47039166666666665</v>
      </c>
      <c r="O404" s="473">
        <v>0.36503333333333332</v>
      </c>
      <c r="P404" s="473">
        <v>0.44336666666666663</v>
      </c>
      <c r="Q404" s="473">
        <v>0.58906666666666663</v>
      </c>
      <c r="R404" s="473">
        <v>0.48410000000000003</v>
      </c>
      <c r="S404" s="153">
        <v>0.01</v>
      </c>
      <c r="T404" s="153">
        <v>0.02</v>
      </c>
      <c r="U404" s="474">
        <v>2014</v>
      </c>
      <c r="V404">
        <v>2034</v>
      </c>
      <c r="W404">
        <v>0</v>
      </c>
      <c r="X404">
        <v>0</v>
      </c>
      <c r="Y404">
        <v>1315</v>
      </c>
      <c r="Z404">
        <v>361</v>
      </c>
      <c r="AA404" s="475" t="s">
        <v>24</v>
      </c>
    </row>
    <row r="405" spans="1:27" ht="15" hidden="1">
      <c r="A405" s="24">
        <v>1404</v>
      </c>
      <c r="B405" s="24">
        <v>1404</v>
      </c>
      <c r="C405" s="469" t="s">
        <v>799</v>
      </c>
      <c r="D405" t="s">
        <v>152</v>
      </c>
      <c r="E405" s="470">
        <v>3</v>
      </c>
      <c r="F405" s="471">
        <v>33.200000000000003</v>
      </c>
      <c r="G405">
        <v>1</v>
      </c>
      <c r="H405">
        <v>1</v>
      </c>
      <c r="I405" s="472">
        <f t="shared" si="20"/>
        <v>0.32845968612834514</v>
      </c>
      <c r="J405" s="153">
        <v>3.8473756479098807E-2</v>
      </c>
      <c r="K405" s="153">
        <v>0.39358026214566905</v>
      </c>
      <c r="L405" s="153">
        <v>0.53857526864315253</v>
      </c>
      <c r="M405" s="153">
        <v>0.3432094572454602</v>
      </c>
      <c r="N405" s="472">
        <f t="shared" si="21"/>
        <v>0.32845968612834514</v>
      </c>
      <c r="O405" s="153">
        <v>3.8473756479098807E-2</v>
      </c>
      <c r="P405" s="153">
        <v>0.39358026214566905</v>
      </c>
      <c r="Q405" s="153">
        <v>0.53857526864315253</v>
      </c>
      <c r="R405" s="153">
        <v>0.3432094572454602</v>
      </c>
      <c r="S405" s="153">
        <v>0.03</v>
      </c>
      <c r="T405" s="153">
        <v>0</v>
      </c>
      <c r="U405" s="474">
        <v>2010</v>
      </c>
      <c r="V405">
        <v>2023</v>
      </c>
      <c r="W405">
        <v>0</v>
      </c>
      <c r="X405">
        <v>0</v>
      </c>
      <c r="Y405">
        <v>1304</v>
      </c>
      <c r="Z405">
        <v>311</v>
      </c>
      <c r="AA405" s="475" t="s">
        <v>23</v>
      </c>
    </row>
    <row r="406" spans="1:27" ht="15">
      <c r="A406" s="24">
        <v>1405</v>
      </c>
      <c r="B406" s="24">
        <v>1405</v>
      </c>
      <c r="C406" s="469" t="s">
        <v>800</v>
      </c>
      <c r="D406" t="s">
        <v>152</v>
      </c>
      <c r="E406" s="470">
        <v>3</v>
      </c>
      <c r="F406" s="471">
        <v>4.5</v>
      </c>
      <c r="G406">
        <v>1</v>
      </c>
      <c r="H406">
        <v>1</v>
      </c>
      <c r="I406" s="472">
        <f t="shared" si="20"/>
        <v>0.47039166666666665</v>
      </c>
      <c r="J406" s="473">
        <v>0.36503333333333332</v>
      </c>
      <c r="K406" s="473">
        <v>0.44336666666666663</v>
      </c>
      <c r="L406" s="473">
        <v>0.58906666666666663</v>
      </c>
      <c r="M406" s="473">
        <v>0.48410000000000003</v>
      </c>
      <c r="N406" s="472">
        <f t="shared" si="21"/>
        <v>0.47039166666666665</v>
      </c>
      <c r="O406" s="473">
        <v>0.36503333333333332</v>
      </c>
      <c r="P406" s="473">
        <v>0.44336666666666663</v>
      </c>
      <c r="Q406" s="473">
        <v>0.58906666666666663</v>
      </c>
      <c r="R406" s="473">
        <v>0.48410000000000003</v>
      </c>
      <c r="S406" s="153">
        <v>0.01</v>
      </c>
      <c r="T406" s="153">
        <v>0.02</v>
      </c>
      <c r="U406" s="474">
        <v>2009</v>
      </c>
      <c r="V406">
        <v>2029</v>
      </c>
      <c r="W406">
        <v>0</v>
      </c>
      <c r="X406">
        <v>0</v>
      </c>
      <c r="Y406">
        <v>1315</v>
      </c>
      <c r="Z406">
        <v>361</v>
      </c>
      <c r="AA406" s="475" t="s">
        <v>24</v>
      </c>
    </row>
    <row r="407" spans="1:27" ht="15">
      <c r="A407" s="24">
        <v>1406</v>
      </c>
      <c r="B407" s="24">
        <v>1406</v>
      </c>
      <c r="C407" s="469" t="s">
        <v>801</v>
      </c>
      <c r="D407" t="s">
        <v>152</v>
      </c>
      <c r="E407" s="470">
        <v>3</v>
      </c>
      <c r="F407" s="471">
        <v>20</v>
      </c>
      <c r="G407">
        <v>1</v>
      </c>
      <c r="H407">
        <v>1</v>
      </c>
      <c r="I407" s="472">
        <f t="shared" si="20"/>
        <v>0.47039166666666665</v>
      </c>
      <c r="J407" s="473">
        <v>0.36503333333333332</v>
      </c>
      <c r="K407" s="473">
        <v>0.44336666666666663</v>
      </c>
      <c r="L407" s="473">
        <v>0.58906666666666663</v>
      </c>
      <c r="M407" s="473">
        <v>0.48410000000000003</v>
      </c>
      <c r="N407" s="472">
        <f t="shared" si="21"/>
        <v>0.47039166666666665</v>
      </c>
      <c r="O407" s="473">
        <v>0.36503333333333332</v>
      </c>
      <c r="P407" s="473">
        <v>0.44336666666666663</v>
      </c>
      <c r="Q407" s="473">
        <v>0.58906666666666663</v>
      </c>
      <c r="R407" s="473">
        <v>0.48410000000000003</v>
      </c>
      <c r="S407" s="153">
        <v>0.01</v>
      </c>
      <c r="T407" s="153">
        <v>0.02</v>
      </c>
      <c r="U407" s="474">
        <v>2013</v>
      </c>
      <c r="V407">
        <v>2033</v>
      </c>
      <c r="W407">
        <v>0</v>
      </c>
      <c r="X407">
        <v>0</v>
      </c>
      <c r="Y407">
        <v>1315</v>
      </c>
      <c r="Z407">
        <v>361</v>
      </c>
      <c r="AA407" s="475" t="s">
        <v>24</v>
      </c>
    </row>
    <row r="408" spans="1:27" ht="15">
      <c r="A408" s="24">
        <v>1407</v>
      </c>
      <c r="B408" s="24">
        <v>1407</v>
      </c>
      <c r="C408" s="469" t="s">
        <v>802</v>
      </c>
      <c r="D408" t="s">
        <v>152</v>
      </c>
      <c r="E408" s="470">
        <v>3</v>
      </c>
      <c r="F408" s="471">
        <v>14.4</v>
      </c>
      <c r="G408">
        <v>1</v>
      </c>
      <c r="H408">
        <v>1</v>
      </c>
      <c r="I408" s="472">
        <f t="shared" si="20"/>
        <v>0.47039166666666665</v>
      </c>
      <c r="J408" s="473">
        <v>0.36503333333333332</v>
      </c>
      <c r="K408" s="473">
        <v>0.44336666666666663</v>
      </c>
      <c r="L408" s="473">
        <v>0.58906666666666663</v>
      </c>
      <c r="M408" s="473">
        <v>0.48410000000000003</v>
      </c>
      <c r="N408" s="472">
        <f t="shared" si="21"/>
        <v>0.47039166666666665</v>
      </c>
      <c r="O408" s="473">
        <v>0.36503333333333332</v>
      </c>
      <c r="P408" s="473">
        <v>0.44336666666666663</v>
      </c>
      <c r="Q408" s="473">
        <v>0.58906666666666663</v>
      </c>
      <c r="R408" s="473">
        <v>0.48410000000000003</v>
      </c>
      <c r="S408" s="153">
        <v>0.01</v>
      </c>
      <c r="T408" s="153">
        <v>0.02</v>
      </c>
      <c r="U408" s="474">
        <v>2011</v>
      </c>
      <c r="V408">
        <v>2031</v>
      </c>
      <c r="W408">
        <v>0</v>
      </c>
      <c r="X408">
        <v>0</v>
      </c>
      <c r="Y408">
        <v>1315</v>
      </c>
      <c r="Z408">
        <v>361</v>
      </c>
      <c r="AA408" s="475" t="s">
        <v>24</v>
      </c>
    </row>
    <row r="409" spans="1:27" ht="15">
      <c r="A409" s="24">
        <v>1408</v>
      </c>
      <c r="B409" s="24">
        <v>1408</v>
      </c>
      <c r="C409" s="469" t="s">
        <v>803</v>
      </c>
      <c r="D409" t="s">
        <v>152</v>
      </c>
      <c r="E409" s="470">
        <v>3</v>
      </c>
      <c r="F409" s="471">
        <v>68.47</v>
      </c>
      <c r="G409">
        <v>1</v>
      </c>
      <c r="H409">
        <v>1</v>
      </c>
      <c r="I409" s="472">
        <f t="shared" si="20"/>
        <v>0.47039166666666665</v>
      </c>
      <c r="J409" s="473">
        <v>0.36503333333333332</v>
      </c>
      <c r="K409" s="473">
        <v>0.44336666666666663</v>
      </c>
      <c r="L409" s="473">
        <v>0.58906666666666663</v>
      </c>
      <c r="M409" s="473">
        <v>0.48410000000000003</v>
      </c>
      <c r="N409" s="472">
        <f t="shared" si="21"/>
        <v>0.47039166666666665</v>
      </c>
      <c r="O409" s="473">
        <v>0.36503333333333332</v>
      </c>
      <c r="P409" s="473">
        <v>0.44336666666666663</v>
      </c>
      <c r="Q409" s="473">
        <v>0.58906666666666663</v>
      </c>
      <c r="R409" s="473">
        <v>0.48410000000000003</v>
      </c>
      <c r="S409" s="153">
        <v>0.01</v>
      </c>
      <c r="T409" s="153">
        <v>0.02</v>
      </c>
      <c r="U409" s="474">
        <v>2012</v>
      </c>
      <c r="V409">
        <v>2032</v>
      </c>
      <c r="W409">
        <v>0</v>
      </c>
      <c r="X409">
        <v>0</v>
      </c>
      <c r="Y409">
        <v>1315</v>
      </c>
      <c r="Z409">
        <v>361</v>
      </c>
      <c r="AA409" s="475" t="s">
        <v>24</v>
      </c>
    </row>
    <row r="410" spans="1:27" ht="15">
      <c r="A410" s="24">
        <v>1409</v>
      </c>
      <c r="B410" s="24">
        <v>1409</v>
      </c>
      <c r="C410" s="469" t="s">
        <v>804</v>
      </c>
      <c r="D410" t="s">
        <v>152</v>
      </c>
      <c r="E410" s="470">
        <v>3</v>
      </c>
      <c r="F410" s="471">
        <v>10.199999999999999</v>
      </c>
      <c r="G410">
        <v>1</v>
      </c>
      <c r="H410">
        <v>1</v>
      </c>
      <c r="I410" s="472">
        <f t="shared" si="20"/>
        <v>0.47039166666666665</v>
      </c>
      <c r="J410" s="473">
        <v>0.36503333333333332</v>
      </c>
      <c r="K410" s="473">
        <v>0.44336666666666663</v>
      </c>
      <c r="L410" s="473">
        <v>0.58906666666666663</v>
      </c>
      <c r="M410" s="473">
        <v>0.48410000000000003</v>
      </c>
      <c r="N410" s="472">
        <f t="shared" si="21"/>
        <v>0.47039166666666665</v>
      </c>
      <c r="O410" s="473">
        <v>0.36503333333333332</v>
      </c>
      <c r="P410" s="473">
        <v>0.44336666666666663</v>
      </c>
      <c r="Q410" s="473">
        <v>0.58906666666666663</v>
      </c>
      <c r="R410" s="473">
        <v>0.48410000000000003</v>
      </c>
      <c r="S410" s="153">
        <v>0.01</v>
      </c>
      <c r="T410" s="153">
        <v>0.02</v>
      </c>
      <c r="U410" s="474">
        <v>2007</v>
      </c>
      <c r="V410">
        <v>2027</v>
      </c>
      <c r="W410">
        <v>0</v>
      </c>
      <c r="X410">
        <v>0</v>
      </c>
      <c r="Y410">
        <v>1315</v>
      </c>
      <c r="Z410">
        <v>361</v>
      </c>
      <c r="AA410" s="475" t="s">
        <v>24</v>
      </c>
    </row>
    <row r="411" spans="1:27" ht="15" hidden="1">
      <c r="A411" s="24">
        <v>1410</v>
      </c>
      <c r="B411" s="24">
        <v>1410</v>
      </c>
      <c r="C411" s="469" t="s">
        <v>805</v>
      </c>
      <c r="D411" t="s">
        <v>149</v>
      </c>
      <c r="E411" s="470">
        <v>2</v>
      </c>
      <c r="F411" s="471">
        <v>22</v>
      </c>
      <c r="G411">
        <v>1</v>
      </c>
      <c r="H411">
        <v>1</v>
      </c>
      <c r="I411" s="472">
        <f t="shared" si="20"/>
        <v>0.40033333333333337</v>
      </c>
      <c r="J411" s="153">
        <v>0.3706666666666667</v>
      </c>
      <c r="K411" s="153">
        <v>0.3666666666666667</v>
      </c>
      <c r="L411" s="153">
        <v>0.44799999999999995</v>
      </c>
      <c r="M411" s="153">
        <v>0.41600000000000009</v>
      </c>
      <c r="N411" s="472">
        <f t="shared" si="21"/>
        <v>0.40033333333333337</v>
      </c>
      <c r="O411" s="153">
        <v>0.3706666666666667</v>
      </c>
      <c r="P411" s="153">
        <v>0.3666666666666667</v>
      </c>
      <c r="Q411" s="153">
        <v>0.44799999999999995</v>
      </c>
      <c r="R411" s="153">
        <v>0.41600000000000009</v>
      </c>
      <c r="S411" s="153">
        <v>0.01</v>
      </c>
      <c r="T411" s="153">
        <v>0.02</v>
      </c>
      <c r="U411" s="474">
        <v>2014</v>
      </c>
      <c r="V411">
        <v>2034</v>
      </c>
      <c r="W411">
        <v>0</v>
      </c>
      <c r="X411">
        <v>0</v>
      </c>
      <c r="Y411">
        <v>1315</v>
      </c>
      <c r="Z411">
        <v>360</v>
      </c>
      <c r="AA411" s="475" t="s">
        <v>24</v>
      </c>
    </row>
    <row r="412" spans="1:27" ht="15" hidden="1">
      <c r="A412" s="24">
        <v>1411</v>
      </c>
      <c r="B412" s="24">
        <v>1411</v>
      </c>
      <c r="C412" s="469" t="s">
        <v>806</v>
      </c>
      <c r="D412" t="s">
        <v>149</v>
      </c>
      <c r="E412" s="470">
        <v>2</v>
      </c>
      <c r="F412" s="471">
        <v>24</v>
      </c>
      <c r="G412">
        <v>1</v>
      </c>
      <c r="H412">
        <v>1</v>
      </c>
      <c r="I412" s="472">
        <f t="shared" si="20"/>
        <v>0.40033333333333337</v>
      </c>
      <c r="J412" s="153">
        <v>0.3706666666666667</v>
      </c>
      <c r="K412" s="153">
        <v>0.3666666666666667</v>
      </c>
      <c r="L412" s="153">
        <v>0.44799999999999995</v>
      </c>
      <c r="M412" s="153">
        <v>0.41600000000000009</v>
      </c>
      <c r="N412" s="472">
        <f t="shared" si="21"/>
        <v>0.40033333333333337</v>
      </c>
      <c r="O412" s="153">
        <v>0.3706666666666667</v>
      </c>
      <c r="P412" s="153">
        <v>0.3666666666666667</v>
      </c>
      <c r="Q412" s="153">
        <v>0.44799999999999995</v>
      </c>
      <c r="R412" s="153">
        <v>0.41600000000000009</v>
      </c>
      <c r="S412" s="153">
        <v>0.01</v>
      </c>
      <c r="T412" s="153">
        <v>0.02</v>
      </c>
      <c r="U412" s="474">
        <v>2014</v>
      </c>
      <c r="V412">
        <v>2034</v>
      </c>
      <c r="W412">
        <v>0</v>
      </c>
      <c r="X412">
        <v>0</v>
      </c>
      <c r="Y412">
        <v>1315</v>
      </c>
      <c r="Z412">
        <v>360</v>
      </c>
      <c r="AA412" s="475" t="s">
        <v>24</v>
      </c>
    </row>
    <row r="413" spans="1:27" ht="15">
      <c r="A413" s="24">
        <v>1412</v>
      </c>
      <c r="B413" s="24">
        <v>1412</v>
      </c>
      <c r="C413" s="469" t="s">
        <v>807</v>
      </c>
      <c r="D413" t="s">
        <v>152</v>
      </c>
      <c r="E413" s="470">
        <v>3</v>
      </c>
      <c r="F413" s="471">
        <v>30.55</v>
      </c>
      <c r="G413">
        <v>1</v>
      </c>
      <c r="H413">
        <v>1</v>
      </c>
      <c r="I413" s="472">
        <f t="shared" si="20"/>
        <v>0.47039166666666665</v>
      </c>
      <c r="J413" s="473">
        <v>0.36503333333333332</v>
      </c>
      <c r="K413" s="473">
        <v>0.44336666666666663</v>
      </c>
      <c r="L413" s="473">
        <v>0.58906666666666663</v>
      </c>
      <c r="M413" s="473">
        <v>0.48410000000000003</v>
      </c>
      <c r="N413" s="472">
        <f t="shared" si="21"/>
        <v>0.47039166666666665</v>
      </c>
      <c r="O413" s="473">
        <v>0.36503333333333332</v>
      </c>
      <c r="P413" s="473">
        <v>0.44336666666666663</v>
      </c>
      <c r="Q413" s="473">
        <v>0.58906666666666663</v>
      </c>
      <c r="R413" s="473">
        <v>0.48410000000000003</v>
      </c>
      <c r="S413" s="153">
        <v>0.01</v>
      </c>
      <c r="T413" s="153">
        <v>0.02</v>
      </c>
      <c r="U413" s="474">
        <v>2014</v>
      </c>
      <c r="V413">
        <v>2034</v>
      </c>
      <c r="W413">
        <v>0</v>
      </c>
      <c r="X413">
        <v>0</v>
      </c>
      <c r="Y413">
        <v>1315</v>
      </c>
      <c r="Z413">
        <v>361</v>
      </c>
      <c r="AA413" s="475" t="s">
        <v>24</v>
      </c>
    </row>
    <row r="414" spans="1:27" ht="15">
      <c r="A414" s="24">
        <v>1413</v>
      </c>
      <c r="B414" s="24">
        <v>1413</v>
      </c>
      <c r="C414" s="469" t="s">
        <v>808</v>
      </c>
      <c r="D414" t="s">
        <v>152</v>
      </c>
      <c r="E414" s="470">
        <v>3</v>
      </c>
      <c r="F414" s="471">
        <v>25.85</v>
      </c>
      <c r="G414">
        <v>1</v>
      </c>
      <c r="H414">
        <v>1</v>
      </c>
      <c r="I414" s="472">
        <f t="shared" si="20"/>
        <v>0.47039166666666665</v>
      </c>
      <c r="J414" s="473">
        <v>0.36503333333333332</v>
      </c>
      <c r="K414" s="473">
        <v>0.44336666666666663</v>
      </c>
      <c r="L414" s="473">
        <v>0.58906666666666663</v>
      </c>
      <c r="M414" s="473">
        <v>0.48410000000000003</v>
      </c>
      <c r="N414" s="472">
        <f t="shared" si="21"/>
        <v>0.47039166666666665</v>
      </c>
      <c r="O414" s="473">
        <v>0.36503333333333332</v>
      </c>
      <c r="P414" s="473">
        <v>0.44336666666666663</v>
      </c>
      <c r="Q414" s="473">
        <v>0.58906666666666663</v>
      </c>
      <c r="R414" s="473">
        <v>0.48410000000000003</v>
      </c>
      <c r="S414" s="153">
        <v>0.01</v>
      </c>
      <c r="T414" s="153">
        <v>0.02</v>
      </c>
      <c r="U414" s="474">
        <v>2014</v>
      </c>
      <c r="V414">
        <v>2034</v>
      </c>
      <c r="W414">
        <v>0</v>
      </c>
      <c r="X414">
        <v>0</v>
      </c>
      <c r="Y414">
        <v>1315</v>
      </c>
      <c r="Z414">
        <v>361</v>
      </c>
      <c r="AA414" s="475" t="s">
        <v>24</v>
      </c>
    </row>
    <row r="415" spans="1:27" ht="15">
      <c r="A415" s="24">
        <v>1414</v>
      </c>
      <c r="B415" s="24">
        <v>1414</v>
      </c>
      <c r="C415" s="469" t="s">
        <v>809</v>
      </c>
      <c r="D415" t="s">
        <v>152</v>
      </c>
      <c r="E415" s="470">
        <v>3</v>
      </c>
      <c r="F415" s="471">
        <v>30.24</v>
      </c>
      <c r="G415">
        <v>1</v>
      </c>
      <c r="H415">
        <v>1</v>
      </c>
      <c r="I415" s="472">
        <f t="shared" si="20"/>
        <v>0.47039166666666665</v>
      </c>
      <c r="J415" s="473">
        <v>0.36503333333333332</v>
      </c>
      <c r="K415" s="473">
        <v>0.44336666666666663</v>
      </c>
      <c r="L415" s="473">
        <v>0.58906666666666663</v>
      </c>
      <c r="M415" s="473">
        <v>0.48410000000000003</v>
      </c>
      <c r="N415" s="472">
        <f t="shared" si="21"/>
        <v>0.47039166666666665</v>
      </c>
      <c r="O415" s="473">
        <v>0.36503333333333332</v>
      </c>
      <c r="P415" s="473">
        <v>0.44336666666666663</v>
      </c>
      <c r="Q415" s="473">
        <v>0.58906666666666663</v>
      </c>
      <c r="R415" s="473">
        <v>0.48410000000000003</v>
      </c>
      <c r="S415" s="153">
        <v>0.01</v>
      </c>
      <c r="T415" s="153">
        <v>0.02</v>
      </c>
      <c r="U415" s="474">
        <v>2013</v>
      </c>
      <c r="V415">
        <v>2033</v>
      </c>
      <c r="W415">
        <v>0</v>
      </c>
      <c r="X415">
        <v>0</v>
      </c>
      <c r="Y415">
        <v>1315</v>
      </c>
      <c r="Z415">
        <v>361</v>
      </c>
      <c r="AA415" s="475" t="s">
        <v>24</v>
      </c>
    </row>
    <row r="416" spans="1:27" ht="15">
      <c r="A416" s="24">
        <v>1415</v>
      </c>
      <c r="B416" s="24">
        <v>1415</v>
      </c>
      <c r="C416" s="469" t="s">
        <v>810</v>
      </c>
      <c r="D416" t="s">
        <v>152</v>
      </c>
      <c r="E416" s="470">
        <v>3</v>
      </c>
      <c r="F416" s="471">
        <v>32.9</v>
      </c>
      <c r="G416">
        <v>1</v>
      </c>
      <c r="H416">
        <v>1</v>
      </c>
      <c r="I416" s="472">
        <f t="shared" si="20"/>
        <v>0.47039166666666665</v>
      </c>
      <c r="J416" s="473">
        <v>0.36503333333333332</v>
      </c>
      <c r="K416" s="473">
        <v>0.44336666666666663</v>
      </c>
      <c r="L416" s="473">
        <v>0.58906666666666663</v>
      </c>
      <c r="M416" s="473">
        <v>0.48410000000000003</v>
      </c>
      <c r="N416" s="472">
        <f t="shared" si="21"/>
        <v>0.47039166666666665</v>
      </c>
      <c r="O416" s="473">
        <v>0.36503333333333332</v>
      </c>
      <c r="P416" s="473">
        <v>0.44336666666666663</v>
      </c>
      <c r="Q416" s="473">
        <v>0.58906666666666663</v>
      </c>
      <c r="R416" s="473">
        <v>0.48410000000000003</v>
      </c>
      <c r="S416" s="153">
        <v>0.01</v>
      </c>
      <c r="T416" s="153">
        <v>0.02</v>
      </c>
      <c r="U416" s="474">
        <v>2015</v>
      </c>
      <c r="V416">
        <v>2035</v>
      </c>
      <c r="W416">
        <v>0</v>
      </c>
      <c r="X416">
        <v>0</v>
      </c>
      <c r="Y416">
        <v>1315</v>
      </c>
      <c r="Z416">
        <v>361</v>
      </c>
      <c r="AA416" s="475" t="s">
        <v>24</v>
      </c>
    </row>
    <row r="417" spans="1:27" ht="15" hidden="1">
      <c r="A417" s="24">
        <v>1416</v>
      </c>
      <c r="B417" s="24">
        <v>1416</v>
      </c>
      <c r="C417" s="469" t="s">
        <v>811</v>
      </c>
      <c r="D417" t="s">
        <v>152</v>
      </c>
      <c r="E417" s="470">
        <v>3</v>
      </c>
      <c r="F417" s="471">
        <v>29.16</v>
      </c>
      <c r="G417">
        <v>1</v>
      </c>
      <c r="H417">
        <v>1</v>
      </c>
      <c r="I417" s="472">
        <f t="shared" si="20"/>
        <v>0.47039166666666665</v>
      </c>
      <c r="J417" s="473">
        <v>0.36503333333333332</v>
      </c>
      <c r="K417" s="473">
        <v>0.44336666666666663</v>
      </c>
      <c r="L417" s="473">
        <v>0.58906666666666663</v>
      </c>
      <c r="M417" s="473">
        <v>0.48410000000000003</v>
      </c>
      <c r="N417" s="472">
        <f t="shared" si="21"/>
        <v>0.47039166666666665</v>
      </c>
      <c r="O417" s="473">
        <v>0.36503333333333332</v>
      </c>
      <c r="P417" s="473">
        <v>0.44336666666666663</v>
      </c>
      <c r="Q417" s="473">
        <v>0.58906666666666663</v>
      </c>
      <c r="R417" s="473">
        <v>0.48410000000000003</v>
      </c>
      <c r="S417" s="153">
        <v>0.01</v>
      </c>
      <c r="T417" s="153">
        <v>0.02</v>
      </c>
      <c r="U417" s="474">
        <v>2016</v>
      </c>
      <c r="V417">
        <v>2036</v>
      </c>
      <c r="W417">
        <v>0</v>
      </c>
      <c r="X417">
        <v>0</v>
      </c>
      <c r="Y417">
        <v>1315</v>
      </c>
      <c r="Z417">
        <v>361</v>
      </c>
      <c r="AA417" s="475" t="s">
        <v>24</v>
      </c>
    </row>
    <row r="418" spans="1:27" ht="15">
      <c r="A418" s="24">
        <v>1417</v>
      </c>
      <c r="B418" s="24">
        <v>1417</v>
      </c>
      <c r="C418" s="469" t="s">
        <v>812</v>
      </c>
      <c r="D418" t="s">
        <v>152</v>
      </c>
      <c r="E418" s="470">
        <v>3</v>
      </c>
      <c r="F418" s="471">
        <v>28.8</v>
      </c>
      <c r="G418">
        <v>1</v>
      </c>
      <c r="H418">
        <v>1</v>
      </c>
      <c r="I418" s="472">
        <f t="shared" si="20"/>
        <v>0.47039166666666665</v>
      </c>
      <c r="J418" s="473">
        <v>0.36503333333333332</v>
      </c>
      <c r="K418" s="473">
        <v>0.44336666666666663</v>
      </c>
      <c r="L418" s="473">
        <v>0.58906666666666663</v>
      </c>
      <c r="M418" s="473">
        <v>0.48410000000000003</v>
      </c>
      <c r="N418" s="472">
        <f t="shared" si="21"/>
        <v>0.47039166666666665</v>
      </c>
      <c r="O418" s="473">
        <v>0.36503333333333332</v>
      </c>
      <c r="P418" s="473">
        <v>0.44336666666666663</v>
      </c>
      <c r="Q418" s="473">
        <v>0.58906666666666663</v>
      </c>
      <c r="R418" s="473">
        <v>0.48410000000000003</v>
      </c>
      <c r="S418" s="153">
        <v>0.01</v>
      </c>
      <c r="T418" s="153">
        <v>0.02</v>
      </c>
      <c r="U418" s="474">
        <v>2012</v>
      </c>
      <c r="V418">
        <v>2032</v>
      </c>
      <c r="W418">
        <v>0</v>
      </c>
      <c r="X418">
        <v>0</v>
      </c>
      <c r="Y418">
        <v>1315</v>
      </c>
      <c r="Z418">
        <v>361</v>
      </c>
      <c r="AA418" s="475" t="s">
        <v>24</v>
      </c>
    </row>
    <row r="419" spans="1:27" ht="15">
      <c r="A419" s="24">
        <v>1418</v>
      </c>
      <c r="B419" s="24">
        <v>1418</v>
      </c>
      <c r="C419" s="469" t="s">
        <v>813</v>
      </c>
      <c r="D419" t="s">
        <v>152</v>
      </c>
      <c r="E419" s="470">
        <v>3</v>
      </c>
      <c r="F419" s="471">
        <v>28.8</v>
      </c>
      <c r="G419">
        <v>1</v>
      </c>
      <c r="H419">
        <v>1</v>
      </c>
      <c r="I419" s="472">
        <f t="shared" si="20"/>
        <v>0.47039166666666665</v>
      </c>
      <c r="J419" s="473">
        <v>0.36503333333333332</v>
      </c>
      <c r="K419" s="473">
        <v>0.44336666666666663</v>
      </c>
      <c r="L419" s="473">
        <v>0.58906666666666663</v>
      </c>
      <c r="M419" s="473">
        <v>0.48410000000000003</v>
      </c>
      <c r="N419" s="472">
        <f t="shared" si="21"/>
        <v>0.47039166666666665</v>
      </c>
      <c r="O419" s="473">
        <v>0.36503333333333332</v>
      </c>
      <c r="P419" s="473">
        <v>0.44336666666666663</v>
      </c>
      <c r="Q419" s="473">
        <v>0.58906666666666663</v>
      </c>
      <c r="R419" s="473">
        <v>0.48410000000000003</v>
      </c>
      <c r="S419" s="153">
        <v>0.01</v>
      </c>
      <c r="T419" s="153">
        <v>0.02</v>
      </c>
      <c r="U419" s="474">
        <v>2012</v>
      </c>
      <c r="V419">
        <v>2032</v>
      </c>
      <c r="W419">
        <v>0</v>
      </c>
      <c r="X419">
        <v>0</v>
      </c>
      <c r="Y419">
        <v>1315</v>
      </c>
      <c r="Z419">
        <v>361</v>
      </c>
      <c r="AA419" s="475" t="s">
        <v>24</v>
      </c>
    </row>
    <row r="420" spans="1:27" ht="15">
      <c r="A420" s="24">
        <v>1419</v>
      </c>
      <c r="B420" s="24">
        <v>1419</v>
      </c>
      <c r="C420" s="469" t="s">
        <v>814</v>
      </c>
      <c r="D420" t="s">
        <v>152</v>
      </c>
      <c r="E420" s="470">
        <v>3</v>
      </c>
      <c r="F420" s="471">
        <v>28.8</v>
      </c>
      <c r="G420">
        <v>1</v>
      </c>
      <c r="H420">
        <v>1</v>
      </c>
      <c r="I420" s="472">
        <f t="shared" si="20"/>
        <v>0.47039166666666665</v>
      </c>
      <c r="J420" s="473">
        <v>0.36503333333333332</v>
      </c>
      <c r="K420" s="473">
        <v>0.44336666666666663</v>
      </c>
      <c r="L420" s="473">
        <v>0.58906666666666663</v>
      </c>
      <c r="M420" s="473">
        <v>0.48410000000000003</v>
      </c>
      <c r="N420" s="472">
        <f t="shared" si="21"/>
        <v>0.47039166666666665</v>
      </c>
      <c r="O420" s="473">
        <v>0.36503333333333332</v>
      </c>
      <c r="P420" s="473">
        <v>0.44336666666666663</v>
      </c>
      <c r="Q420" s="473">
        <v>0.58906666666666663</v>
      </c>
      <c r="R420" s="473">
        <v>0.48410000000000003</v>
      </c>
      <c r="S420" s="153">
        <v>0.01</v>
      </c>
      <c r="T420" s="153">
        <v>0.02</v>
      </c>
      <c r="U420" s="474">
        <v>2012</v>
      </c>
      <c r="V420">
        <v>2032</v>
      </c>
      <c r="W420">
        <v>0</v>
      </c>
      <c r="X420">
        <v>0</v>
      </c>
      <c r="Y420">
        <v>1315</v>
      </c>
      <c r="Z420">
        <v>361</v>
      </c>
      <c r="AA420" s="475" t="s">
        <v>24</v>
      </c>
    </row>
    <row r="421" spans="1:27" ht="15">
      <c r="A421" s="24">
        <v>1420</v>
      </c>
      <c r="B421" s="24">
        <v>1420</v>
      </c>
      <c r="C421" s="469" t="s">
        <v>815</v>
      </c>
      <c r="D421" t="s">
        <v>152</v>
      </c>
      <c r="E421" s="470">
        <v>3</v>
      </c>
      <c r="F421" s="471">
        <v>30</v>
      </c>
      <c r="G421">
        <v>1</v>
      </c>
      <c r="H421">
        <v>1</v>
      </c>
      <c r="I421" s="472">
        <f t="shared" si="20"/>
        <v>0.47039166666666665</v>
      </c>
      <c r="J421" s="473">
        <v>0.36503333333333332</v>
      </c>
      <c r="K421" s="473">
        <v>0.44336666666666663</v>
      </c>
      <c r="L421" s="473">
        <v>0.58906666666666663</v>
      </c>
      <c r="M421" s="473">
        <v>0.48410000000000003</v>
      </c>
      <c r="N421" s="472">
        <f t="shared" si="21"/>
        <v>0.47039166666666665</v>
      </c>
      <c r="O421" s="473">
        <v>0.36503333333333332</v>
      </c>
      <c r="P421" s="473">
        <v>0.44336666666666663</v>
      </c>
      <c r="Q421" s="473">
        <v>0.58906666666666663</v>
      </c>
      <c r="R421" s="473">
        <v>0.48410000000000003</v>
      </c>
      <c r="S421" s="153">
        <v>0.01</v>
      </c>
      <c r="T421" s="153">
        <v>0.02</v>
      </c>
      <c r="U421" s="474">
        <v>2012</v>
      </c>
      <c r="V421">
        <v>2032</v>
      </c>
      <c r="W421">
        <v>0</v>
      </c>
      <c r="X421">
        <v>0</v>
      </c>
      <c r="Y421">
        <v>1315</v>
      </c>
      <c r="Z421">
        <v>361</v>
      </c>
      <c r="AA421" s="475" t="s">
        <v>24</v>
      </c>
    </row>
    <row r="422" spans="1:27" ht="15">
      <c r="A422" s="24">
        <v>1421</v>
      </c>
      <c r="B422" s="24">
        <v>1421</v>
      </c>
      <c r="C422" s="469" t="s">
        <v>816</v>
      </c>
      <c r="D422" t="s">
        <v>152</v>
      </c>
      <c r="E422" s="470">
        <v>3</v>
      </c>
      <c r="F422" s="471">
        <v>28.8</v>
      </c>
      <c r="G422">
        <v>1</v>
      </c>
      <c r="H422">
        <v>1</v>
      </c>
      <c r="I422" s="472">
        <f t="shared" si="20"/>
        <v>0.47039166666666665</v>
      </c>
      <c r="J422" s="473">
        <v>0.36503333333333332</v>
      </c>
      <c r="K422" s="473">
        <v>0.44336666666666663</v>
      </c>
      <c r="L422" s="473">
        <v>0.58906666666666663</v>
      </c>
      <c r="M422" s="473">
        <v>0.48410000000000003</v>
      </c>
      <c r="N422" s="472">
        <f t="shared" si="21"/>
        <v>0.47039166666666665</v>
      </c>
      <c r="O422" s="473">
        <v>0.36503333333333332</v>
      </c>
      <c r="P422" s="473">
        <v>0.44336666666666663</v>
      </c>
      <c r="Q422" s="473">
        <v>0.58906666666666663</v>
      </c>
      <c r="R422" s="473">
        <v>0.48410000000000003</v>
      </c>
      <c r="S422" s="153">
        <v>0.01</v>
      </c>
      <c r="T422" s="153">
        <v>0.02</v>
      </c>
      <c r="U422" s="474">
        <v>2012</v>
      </c>
      <c r="V422">
        <v>2032</v>
      </c>
      <c r="W422">
        <v>0</v>
      </c>
      <c r="X422">
        <v>0</v>
      </c>
      <c r="Y422">
        <v>1315</v>
      </c>
      <c r="Z422">
        <v>361</v>
      </c>
      <c r="AA422" s="475" t="s">
        <v>24</v>
      </c>
    </row>
    <row r="423" spans="1:27" ht="15" hidden="1">
      <c r="A423" s="24">
        <v>1422</v>
      </c>
      <c r="B423" s="24">
        <v>1422</v>
      </c>
      <c r="C423" s="469" t="s">
        <v>817</v>
      </c>
      <c r="D423" t="s">
        <v>152</v>
      </c>
      <c r="E423" s="470">
        <v>3</v>
      </c>
      <c r="F423" s="471">
        <v>0</v>
      </c>
      <c r="G423">
        <v>1</v>
      </c>
      <c r="H423">
        <v>1</v>
      </c>
      <c r="I423" s="472">
        <f t="shared" si="20"/>
        <v>0.32845968612834514</v>
      </c>
      <c r="J423" s="153">
        <v>3.8473756479098807E-2</v>
      </c>
      <c r="K423" s="153">
        <v>0.39358026214566905</v>
      </c>
      <c r="L423" s="153">
        <v>0.53857526864315253</v>
      </c>
      <c r="M423" s="153">
        <v>0.3432094572454602</v>
      </c>
      <c r="N423" s="472">
        <f t="shared" si="21"/>
        <v>0.32845968612834514</v>
      </c>
      <c r="O423" s="153">
        <v>3.8473756479098807E-2</v>
      </c>
      <c r="P423" s="153">
        <v>0.39358026214566905</v>
      </c>
      <c r="Q423" s="153">
        <v>0.53857526864315253</v>
      </c>
      <c r="R423" s="153">
        <v>0.3432094572454602</v>
      </c>
      <c r="S423" s="153">
        <v>0.03</v>
      </c>
      <c r="T423" s="153">
        <v>0</v>
      </c>
      <c r="U423" s="474">
        <v>1900</v>
      </c>
      <c r="V423">
        <v>2030</v>
      </c>
      <c r="W423">
        <v>0</v>
      </c>
      <c r="X423">
        <v>0</v>
      </c>
      <c r="Y423">
        <v>1304</v>
      </c>
      <c r="Z423">
        <v>311</v>
      </c>
      <c r="AA423" s="475" t="s">
        <v>23</v>
      </c>
    </row>
    <row r="424" spans="1:27" ht="15" hidden="1">
      <c r="A424" s="24">
        <v>1423</v>
      </c>
      <c r="B424" s="24">
        <v>1423</v>
      </c>
      <c r="C424" s="469" t="s">
        <v>818</v>
      </c>
      <c r="D424" t="s">
        <v>152</v>
      </c>
      <c r="E424" s="470">
        <v>3</v>
      </c>
      <c r="F424" s="471">
        <v>15</v>
      </c>
      <c r="G424">
        <v>1</v>
      </c>
      <c r="H424">
        <v>1</v>
      </c>
      <c r="I424" s="472">
        <f t="shared" si="20"/>
        <v>0.32845968612834514</v>
      </c>
      <c r="J424" s="153">
        <v>3.8473756479098807E-2</v>
      </c>
      <c r="K424" s="153">
        <v>0.39358026214566905</v>
      </c>
      <c r="L424" s="153">
        <v>0.53857526864315253</v>
      </c>
      <c r="M424" s="153">
        <v>0.3432094572454602</v>
      </c>
      <c r="N424" s="472">
        <f t="shared" si="21"/>
        <v>0.32845968612834514</v>
      </c>
      <c r="O424" s="153">
        <v>3.8473756479098807E-2</v>
      </c>
      <c r="P424" s="153">
        <v>0.39358026214566905</v>
      </c>
      <c r="Q424" s="153">
        <v>0.53857526864315253</v>
      </c>
      <c r="R424" s="153">
        <v>0.3432094572454602</v>
      </c>
      <c r="S424" s="153">
        <v>0.03</v>
      </c>
      <c r="T424" s="153">
        <v>0</v>
      </c>
      <c r="U424" s="474">
        <v>1900</v>
      </c>
      <c r="V424">
        <v>2030</v>
      </c>
      <c r="W424">
        <v>0</v>
      </c>
      <c r="X424">
        <v>0</v>
      </c>
      <c r="Y424">
        <v>1304</v>
      </c>
      <c r="Z424">
        <v>311</v>
      </c>
      <c r="AA424" s="475" t="s">
        <v>23</v>
      </c>
    </row>
    <row r="425" spans="1:27" ht="15" hidden="1">
      <c r="A425" s="24">
        <v>1424</v>
      </c>
      <c r="B425" s="24">
        <v>1424</v>
      </c>
      <c r="C425" s="469" t="s">
        <v>819</v>
      </c>
      <c r="D425" t="s">
        <v>152</v>
      </c>
      <c r="E425" s="470">
        <v>3</v>
      </c>
      <c r="F425" s="471">
        <v>0</v>
      </c>
      <c r="G425">
        <v>1</v>
      </c>
      <c r="H425">
        <v>1</v>
      </c>
      <c r="I425" s="472">
        <f t="shared" si="20"/>
        <v>0.32845968612834514</v>
      </c>
      <c r="J425" s="153">
        <v>3.8473756479098807E-2</v>
      </c>
      <c r="K425" s="153">
        <v>0.39358026214566905</v>
      </c>
      <c r="L425" s="153">
        <v>0.53857526864315253</v>
      </c>
      <c r="M425" s="153">
        <v>0.3432094572454602</v>
      </c>
      <c r="N425" s="472">
        <f t="shared" si="21"/>
        <v>0.32845968612834514</v>
      </c>
      <c r="O425" s="153">
        <v>3.8473756479098807E-2</v>
      </c>
      <c r="P425" s="153">
        <v>0.39358026214566905</v>
      </c>
      <c r="Q425" s="153">
        <v>0.53857526864315253</v>
      </c>
      <c r="R425" s="153">
        <v>0.3432094572454602</v>
      </c>
      <c r="S425" s="153">
        <v>0.03</v>
      </c>
      <c r="T425" s="153">
        <v>0</v>
      </c>
      <c r="U425" s="474">
        <v>1900</v>
      </c>
      <c r="V425">
        <v>2030</v>
      </c>
      <c r="W425">
        <v>0</v>
      </c>
      <c r="X425">
        <v>0</v>
      </c>
      <c r="Y425">
        <v>1304</v>
      </c>
      <c r="Z425">
        <v>311</v>
      </c>
      <c r="AA425" s="475" t="s">
        <v>23</v>
      </c>
    </row>
    <row r="426" spans="1:27" ht="15" hidden="1">
      <c r="A426" s="24">
        <v>1425</v>
      </c>
      <c r="B426" s="24">
        <v>1425</v>
      </c>
      <c r="C426" s="469" t="s">
        <v>820</v>
      </c>
      <c r="D426" t="s">
        <v>146</v>
      </c>
      <c r="E426" s="470">
        <v>1</v>
      </c>
      <c r="F426" s="471">
        <v>3.5</v>
      </c>
      <c r="G426">
        <v>1</v>
      </c>
      <c r="H426">
        <v>1</v>
      </c>
      <c r="I426" s="472">
        <f t="shared" si="20"/>
        <v>0.32845968612834514</v>
      </c>
      <c r="J426" s="153">
        <v>3.8473756479098807E-2</v>
      </c>
      <c r="K426" s="153">
        <v>0.39358026214566905</v>
      </c>
      <c r="L426" s="153">
        <v>0.53857526864315253</v>
      </c>
      <c r="M426" s="153">
        <v>0.3432094572454602</v>
      </c>
      <c r="N426" s="472">
        <f t="shared" si="21"/>
        <v>0.32845968612834514</v>
      </c>
      <c r="O426" s="153">
        <v>3.8473756479098807E-2</v>
      </c>
      <c r="P426" s="153">
        <v>0.39358026214566905</v>
      </c>
      <c r="Q426" s="153">
        <v>0.53857526864315253</v>
      </c>
      <c r="R426" s="153">
        <v>0.3432094572454602</v>
      </c>
      <c r="S426" s="153">
        <v>0.03</v>
      </c>
      <c r="T426" s="153">
        <v>0</v>
      </c>
      <c r="U426" s="474">
        <v>2010</v>
      </c>
      <c r="V426">
        <v>2023</v>
      </c>
      <c r="W426">
        <v>0</v>
      </c>
      <c r="X426">
        <v>0</v>
      </c>
      <c r="Y426">
        <v>1304</v>
      </c>
      <c r="Z426">
        <v>311</v>
      </c>
      <c r="AA426" s="475" t="s">
        <v>23</v>
      </c>
    </row>
    <row r="427" spans="1:27" ht="15" hidden="1">
      <c r="A427" s="24">
        <v>1426</v>
      </c>
      <c r="B427" s="24">
        <v>1426</v>
      </c>
      <c r="C427" s="469" t="s">
        <v>821</v>
      </c>
      <c r="D427" t="s">
        <v>146</v>
      </c>
      <c r="E427" s="470">
        <v>1</v>
      </c>
      <c r="F427" s="471">
        <v>0</v>
      </c>
      <c r="G427">
        <v>1</v>
      </c>
      <c r="H427">
        <v>1</v>
      </c>
      <c r="I427" s="472">
        <f t="shared" si="20"/>
        <v>0.32845968612834514</v>
      </c>
      <c r="J427" s="153">
        <v>3.8473756479098807E-2</v>
      </c>
      <c r="K427" s="153">
        <v>0.39358026214566905</v>
      </c>
      <c r="L427" s="153">
        <v>0.53857526864315253</v>
      </c>
      <c r="M427" s="153">
        <v>0.3432094572454602</v>
      </c>
      <c r="N427" s="472">
        <f t="shared" si="21"/>
        <v>0.32845968612834514</v>
      </c>
      <c r="O427" s="153">
        <v>3.8473756479098807E-2</v>
      </c>
      <c r="P427" s="153">
        <v>0.39358026214566905</v>
      </c>
      <c r="Q427" s="153">
        <v>0.53857526864315253</v>
      </c>
      <c r="R427" s="153">
        <v>0.3432094572454602</v>
      </c>
      <c r="S427" s="153">
        <v>0.03</v>
      </c>
      <c r="T427" s="153">
        <v>0</v>
      </c>
      <c r="U427" s="474">
        <v>1900</v>
      </c>
      <c r="V427">
        <v>2030</v>
      </c>
      <c r="W427">
        <v>0</v>
      </c>
      <c r="X427">
        <v>0</v>
      </c>
      <c r="Y427">
        <v>1304</v>
      </c>
      <c r="Z427">
        <v>311</v>
      </c>
      <c r="AA427" s="475" t="s">
        <v>23</v>
      </c>
    </row>
    <row r="428" spans="1:27" ht="15">
      <c r="A428" s="24">
        <v>1427</v>
      </c>
      <c r="B428" s="24">
        <v>1427</v>
      </c>
      <c r="C428" s="469" t="s">
        <v>822</v>
      </c>
      <c r="D428" t="s">
        <v>152</v>
      </c>
      <c r="E428" s="470">
        <v>3</v>
      </c>
      <c r="F428" s="471">
        <v>30.004000000000001</v>
      </c>
      <c r="G428">
        <v>1</v>
      </c>
      <c r="H428">
        <v>1</v>
      </c>
      <c r="I428" s="472">
        <f t="shared" si="20"/>
        <v>0.47039166666666665</v>
      </c>
      <c r="J428" s="473">
        <v>0.36503333333333332</v>
      </c>
      <c r="K428" s="473">
        <v>0.44336666666666663</v>
      </c>
      <c r="L428" s="473">
        <v>0.58906666666666663</v>
      </c>
      <c r="M428" s="473">
        <v>0.48410000000000003</v>
      </c>
      <c r="N428" s="472">
        <f t="shared" si="21"/>
        <v>0.47039166666666665</v>
      </c>
      <c r="O428" s="473">
        <v>0.36503333333333332</v>
      </c>
      <c r="P428" s="473">
        <v>0.44336666666666663</v>
      </c>
      <c r="Q428" s="473">
        <v>0.58906666666666663</v>
      </c>
      <c r="R428" s="473">
        <v>0.48410000000000003</v>
      </c>
      <c r="S428" s="153">
        <v>0.01</v>
      </c>
      <c r="T428" s="153">
        <v>0.02</v>
      </c>
      <c r="U428" s="474">
        <v>2014</v>
      </c>
      <c r="V428">
        <v>2034</v>
      </c>
      <c r="W428">
        <v>0</v>
      </c>
      <c r="X428">
        <v>0</v>
      </c>
      <c r="Y428">
        <v>1315</v>
      </c>
      <c r="Z428">
        <v>361</v>
      </c>
      <c r="AA428" s="475" t="s">
        <v>24</v>
      </c>
    </row>
    <row r="429" spans="1:27" ht="15">
      <c r="A429" s="24">
        <v>1428</v>
      </c>
      <c r="B429" s="24">
        <v>1428</v>
      </c>
      <c r="C429" s="469" t="s">
        <v>823</v>
      </c>
      <c r="D429" t="s">
        <v>152</v>
      </c>
      <c r="E429" s="470">
        <v>3</v>
      </c>
      <c r="F429" s="471">
        <v>32.9</v>
      </c>
      <c r="G429">
        <v>1</v>
      </c>
      <c r="H429">
        <v>1</v>
      </c>
      <c r="I429" s="472">
        <f t="shared" si="20"/>
        <v>0.47039166666666665</v>
      </c>
      <c r="J429" s="473">
        <v>0.36503333333333332</v>
      </c>
      <c r="K429" s="473">
        <v>0.44336666666666663</v>
      </c>
      <c r="L429" s="473">
        <v>0.58906666666666663</v>
      </c>
      <c r="M429" s="473">
        <v>0.48410000000000003</v>
      </c>
      <c r="N429" s="472">
        <f t="shared" si="21"/>
        <v>0.47039166666666665</v>
      </c>
      <c r="O429" s="473">
        <v>0.36503333333333332</v>
      </c>
      <c r="P429" s="473">
        <v>0.44336666666666663</v>
      </c>
      <c r="Q429" s="473">
        <v>0.58906666666666663</v>
      </c>
      <c r="R429" s="473">
        <v>0.48410000000000003</v>
      </c>
      <c r="S429" s="153">
        <v>0.01</v>
      </c>
      <c r="T429" s="153">
        <v>0.02</v>
      </c>
      <c r="U429" s="474">
        <v>2015</v>
      </c>
      <c r="V429">
        <v>2035</v>
      </c>
      <c r="W429">
        <v>0</v>
      </c>
      <c r="X429">
        <v>0</v>
      </c>
      <c r="Y429">
        <v>1315</v>
      </c>
      <c r="Z429">
        <v>361</v>
      </c>
      <c r="AA429" s="475" t="s">
        <v>24</v>
      </c>
    </row>
    <row r="430" spans="1:27" ht="15">
      <c r="A430" s="24">
        <v>1429</v>
      </c>
      <c r="B430" s="24">
        <v>1429</v>
      </c>
      <c r="C430" s="469" t="s">
        <v>824</v>
      </c>
      <c r="D430" t="s">
        <v>152</v>
      </c>
      <c r="E430" s="470">
        <v>3</v>
      </c>
      <c r="F430" s="471">
        <v>28.8</v>
      </c>
      <c r="G430">
        <v>1</v>
      </c>
      <c r="H430">
        <v>1</v>
      </c>
      <c r="I430" s="472">
        <f t="shared" si="20"/>
        <v>0.47039166666666665</v>
      </c>
      <c r="J430" s="473">
        <v>0.36503333333333332</v>
      </c>
      <c r="K430" s="473">
        <v>0.44336666666666663</v>
      </c>
      <c r="L430" s="473">
        <v>0.58906666666666663</v>
      </c>
      <c r="M430" s="473">
        <v>0.48410000000000003</v>
      </c>
      <c r="N430" s="472">
        <f t="shared" si="21"/>
        <v>0.47039166666666665</v>
      </c>
      <c r="O430" s="473">
        <v>0.36503333333333332</v>
      </c>
      <c r="P430" s="473">
        <v>0.44336666666666663</v>
      </c>
      <c r="Q430" s="473">
        <v>0.58906666666666663</v>
      </c>
      <c r="R430" s="473">
        <v>0.48410000000000003</v>
      </c>
      <c r="S430" s="153">
        <v>0.01</v>
      </c>
      <c r="T430" s="153">
        <v>0.02</v>
      </c>
      <c r="U430" s="474">
        <v>2012</v>
      </c>
      <c r="V430">
        <v>2032</v>
      </c>
      <c r="W430">
        <v>0</v>
      </c>
      <c r="X430">
        <v>0</v>
      </c>
      <c r="Y430">
        <v>1315</v>
      </c>
      <c r="Z430">
        <v>361</v>
      </c>
      <c r="AA430" s="475" t="s">
        <v>24</v>
      </c>
    </row>
    <row r="431" spans="1:27" ht="15">
      <c r="A431" s="24">
        <v>1430</v>
      </c>
      <c r="B431" s="24">
        <v>1430</v>
      </c>
      <c r="C431" s="469" t="s">
        <v>825</v>
      </c>
      <c r="D431" t="s">
        <v>152</v>
      </c>
      <c r="E431" s="470">
        <v>3</v>
      </c>
      <c r="F431" s="471">
        <v>30.06</v>
      </c>
      <c r="G431">
        <v>1</v>
      </c>
      <c r="H431">
        <v>1</v>
      </c>
      <c r="I431" s="472">
        <f t="shared" si="20"/>
        <v>0.47039166666666665</v>
      </c>
      <c r="J431" s="473">
        <v>0.36503333333333332</v>
      </c>
      <c r="K431" s="473">
        <v>0.44336666666666663</v>
      </c>
      <c r="L431" s="473">
        <v>0.58906666666666663</v>
      </c>
      <c r="M431" s="473">
        <v>0.48410000000000003</v>
      </c>
      <c r="N431" s="472">
        <f t="shared" si="21"/>
        <v>0.47039166666666665</v>
      </c>
      <c r="O431" s="473">
        <v>0.36503333333333332</v>
      </c>
      <c r="P431" s="473">
        <v>0.44336666666666663</v>
      </c>
      <c r="Q431" s="473">
        <v>0.58906666666666663</v>
      </c>
      <c r="R431" s="473">
        <v>0.48410000000000003</v>
      </c>
      <c r="S431" s="153">
        <v>0.01</v>
      </c>
      <c r="T431" s="153">
        <v>0.02</v>
      </c>
      <c r="U431" s="474">
        <v>2012</v>
      </c>
      <c r="V431">
        <v>2032</v>
      </c>
      <c r="W431">
        <v>0</v>
      </c>
      <c r="X431">
        <v>0</v>
      </c>
      <c r="Y431">
        <v>1315</v>
      </c>
      <c r="Z431">
        <v>361</v>
      </c>
      <c r="AA431" s="475" t="s">
        <v>24</v>
      </c>
    </row>
    <row r="432" spans="1:27" ht="15">
      <c r="A432" s="24">
        <v>1431</v>
      </c>
      <c r="B432" s="24">
        <v>1431</v>
      </c>
      <c r="C432" s="469" t="s">
        <v>826</v>
      </c>
      <c r="D432" t="s">
        <v>152</v>
      </c>
      <c r="E432" s="470">
        <v>3</v>
      </c>
      <c r="F432" s="471">
        <v>30</v>
      </c>
      <c r="G432">
        <v>1</v>
      </c>
      <c r="H432">
        <v>1</v>
      </c>
      <c r="I432" s="472">
        <f t="shared" si="20"/>
        <v>0.47039166666666665</v>
      </c>
      <c r="J432" s="473">
        <v>0.36503333333333332</v>
      </c>
      <c r="K432" s="473">
        <v>0.44336666666666663</v>
      </c>
      <c r="L432" s="473">
        <v>0.58906666666666663</v>
      </c>
      <c r="M432" s="473">
        <v>0.48410000000000003</v>
      </c>
      <c r="N432" s="472">
        <f t="shared" si="21"/>
        <v>0.47039166666666665</v>
      </c>
      <c r="O432" s="473">
        <v>0.36503333333333332</v>
      </c>
      <c r="P432" s="473">
        <v>0.44336666666666663</v>
      </c>
      <c r="Q432" s="473">
        <v>0.58906666666666663</v>
      </c>
      <c r="R432" s="473">
        <v>0.48410000000000003</v>
      </c>
      <c r="S432" s="153">
        <v>0.01</v>
      </c>
      <c r="T432" s="153">
        <v>0.02</v>
      </c>
      <c r="U432" s="474">
        <v>2012</v>
      </c>
      <c r="V432">
        <v>2032</v>
      </c>
      <c r="W432">
        <v>0</v>
      </c>
      <c r="X432">
        <v>0</v>
      </c>
      <c r="Y432">
        <v>1315</v>
      </c>
      <c r="Z432">
        <v>361</v>
      </c>
      <c r="AA432" s="475" t="s">
        <v>24</v>
      </c>
    </row>
    <row r="433" spans="1:27" ht="15">
      <c r="A433" s="24">
        <v>1432</v>
      </c>
      <c r="B433" s="24">
        <v>1432</v>
      </c>
      <c r="C433" s="469" t="s">
        <v>827</v>
      </c>
      <c r="D433" t="s">
        <v>152</v>
      </c>
      <c r="E433" s="470">
        <v>3</v>
      </c>
      <c r="F433" s="471">
        <v>30</v>
      </c>
      <c r="G433">
        <v>1</v>
      </c>
      <c r="H433">
        <v>1</v>
      </c>
      <c r="I433" s="472">
        <f t="shared" si="20"/>
        <v>0.47039166666666665</v>
      </c>
      <c r="J433" s="473">
        <v>0.36503333333333332</v>
      </c>
      <c r="K433" s="473">
        <v>0.44336666666666663</v>
      </c>
      <c r="L433" s="473">
        <v>0.58906666666666663</v>
      </c>
      <c r="M433" s="473">
        <v>0.48410000000000003</v>
      </c>
      <c r="N433" s="472">
        <f t="shared" si="21"/>
        <v>0.47039166666666665</v>
      </c>
      <c r="O433" s="473">
        <v>0.36503333333333332</v>
      </c>
      <c r="P433" s="473">
        <v>0.44336666666666663</v>
      </c>
      <c r="Q433" s="473">
        <v>0.58906666666666663</v>
      </c>
      <c r="R433" s="473">
        <v>0.48410000000000003</v>
      </c>
      <c r="S433" s="153">
        <v>0.01</v>
      </c>
      <c r="T433" s="153">
        <v>0.02</v>
      </c>
      <c r="U433" s="474">
        <v>2012</v>
      </c>
      <c r="V433">
        <v>2032</v>
      </c>
      <c r="W433">
        <v>0</v>
      </c>
      <c r="X433">
        <v>0</v>
      </c>
      <c r="Y433">
        <v>1315</v>
      </c>
      <c r="Z433">
        <v>361</v>
      </c>
      <c r="AA433" s="475" t="s">
        <v>24</v>
      </c>
    </row>
    <row r="434" spans="1:27" ht="15">
      <c r="A434" s="24">
        <v>1433</v>
      </c>
      <c r="B434" s="24">
        <v>1433</v>
      </c>
      <c r="C434" s="469" t="s">
        <v>828</v>
      </c>
      <c r="D434" t="s">
        <v>152</v>
      </c>
      <c r="E434" s="470">
        <v>3</v>
      </c>
      <c r="F434" s="471">
        <v>30</v>
      </c>
      <c r="G434">
        <v>1</v>
      </c>
      <c r="H434">
        <v>1</v>
      </c>
      <c r="I434" s="472">
        <f t="shared" si="20"/>
        <v>0.47039166666666665</v>
      </c>
      <c r="J434" s="473">
        <v>0.36503333333333332</v>
      </c>
      <c r="K434" s="473">
        <v>0.44336666666666663</v>
      </c>
      <c r="L434" s="473">
        <v>0.58906666666666663</v>
      </c>
      <c r="M434" s="473">
        <v>0.48410000000000003</v>
      </c>
      <c r="N434" s="472">
        <f t="shared" si="21"/>
        <v>0.47039166666666665</v>
      </c>
      <c r="O434" s="473">
        <v>0.36503333333333332</v>
      </c>
      <c r="P434" s="473">
        <v>0.44336666666666663</v>
      </c>
      <c r="Q434" s="473">
        <v>0.58906666666666663</v>
      </c>
      <c r="R434" s="473">
        <v>0.48410000000000003</v>
      </c>
      <c r="S434" s="153">
        <v>0.01</v>
      </c>
      <c r="T434" s="153">
        <v>0.02</v>
      </c>
      <c r="U434" s="474">
        <v>2013</v>
      </c>
      <c r="V434">
        <v>2033</v>
      </c>
      <c r="W434">
        <v>0</v>
      </c>
      <c r="X434">
        <v>0</v>
      </c>
      <c r="Y434">
        <v>1315</v>
      </c>
      <c r="Z434">
        <v>361</v>
      </c>
      <c r="AA434" s="475" t="s">
        <v>24</v>
      </c>
    </row>
    <row r="435" spans="1:27" ht="15" hidden="1">
      <c r="A435" s="24">
        <v>1434</v>
      </c>
      <c r="B435" s="24">
        <v>1434</v>
      </c>
      <c r="C435" s="469" t="s">
        <v>829</v>
      </c>
      <c r="D435" t="s">
        <v>149</v>
      </c>
      <c r="E435" s="470">
        <v>2</v>
      </c>
      <c r="F435" s="471">
        <v>50</v>
      </c>
      <c r="G435">
        <v>1</v>
      </c>
      <c r="H435">
        <v>1</v>
      </c>
      <c r="I435" s="472">
        <f t="shared" si="20"/>
        <v>0.40033333333333337</v>
      </c>
      <c r="J435" s="153">
        <v>0.3706666666666667</v>
      </c>
      <c r="K435" s="153">
        <v>0.3666666666666667</v>
      </c>
      <c r="L435" s="153">
        <v>0.44799999999999995</v>
      </c>
      <c r="M435" s="153">
        <v>0.41600000000000009</v>
      </c>
      <c r="N435" s="472">
        <f t="shared" si="21"/>
        <v>0.40033333333333337</v>
      </c>
      <c r="O435" s="153">
        <v>0.3706666666666667</v>
      </c>
      <c r="P435" s="153">
        <v>0.3666666666666667</v>
      </c>
      <c r="Q435" s="153">
        <v>0.44799999999999995</v>
      </c>
      <c r="R435" s="153">
        <v>0.41600000000000009</v>
      </c>
      <c r="S435" s="153">
        <v>0.01</v>
      </c>
      <c r="T435" s="153">
        <v>0.02</v>
      </c>
      <c r="U435" s="474">
        <v>2006</v>
      </c>
      <c r="V435">
        <v>2026</v>
      </c>
      <c r="W435">
        <v>0</v>
      </c>
      <c r="X435">
        <v>0</v>
      </c>
      <c r="Y435">
        <v>1315</v>
      </c>
      <c r="Z435">
        <v>360</v>
      </c>
      <c r="AA435" s="475" t="s">
        <v>24</v>
      </c>
    </row>
    <row r="436" spans="1:27" ht="15" hidden="1">
      <c r="A436" s="24">
        <v>1435</v>
      </c>
      <c r="B436" s="24">
        <v>1435</v>
      </c>
      <c r="C436" s="469" t="s">
        <v>830</v>
      </c>
      <c r="D436" t="s">
        <v>149</v>
      </c>
      <c r="E436" s="470">
        <v>2</v>
      </c>
      <c r="F436" s="471">
        <v>27.6</v>
      </c>
      <c r="G436">
        <v>1</v>
      </c>
      <c r="H436">
        <v>1</v>
      </c>
      <c r="I436" s="472">
        <f t="shared" si="20"/>
        <v>0.40033333333333337</v>
      </c>
      <c r="J436" s="153">
        <v>0.3706666666666667</v>
      </c>
      <c r="K436" s="153">
        <v>0.3666666666666667</v>
      </c>
      <c r="L436" s="153">
        <v>0.44799999999999995</v>
      </c>
      <c r="M436" s="153">
        <v>0.41600000000000009</v>
      </c>
      <c r="N436" s="472">
        <f t="shared" si="21"/>
        <v>0.40033333333333337</v>
      </c>
      <c r="O436" s="153">
        <v>0.3706666666666667</v>
      </c>
      <c r="P436" s="153">
        <v>0.3666666666666667</v>
      </c>
      <c r="Q436" s="153">
        <v>0.44799999999999995</v>
      </c>
      <c r="R436" s="153">
        <v>0.41600000000000009</v>
      </c>
      <c r="S436" s="153">
        <v>0.01</v>
      </c>
      <c r="T436" s="153">
        <v>0.02</v>
      </c>
      <c r="U436" s="474">
        <v>2012</v>
      </c>
      <c r="V436">
        <v>2032</v>
      </c>
      <c r="W436">
        <v>0</v>
      </c>
      <c r="X436">
        <v>0</v>
      </c>
      <c r="Y436">
        <v>1315</v>
      </c>
      <c r="Z436">
        <v>360</v>
      </c>
      <c r="AA436" s="475" t="s">
        <v>24</v>
      </c>
    </row>
    <row r="437" spans="1:27" ht="15" hidden="1">
      <c r="A437" s="24">
        <v>1436</v>
      </c>
      <c r="B437" s="24">
        <v>1436</v>
      </c>
      <c r="C437" s="469" t="s">
        <v>831</v>
      </c>
      <c r="D437" t="s">
        <v>149</v>
      </c>
      <c r="E437" s="470">
        <v>2</v>
      </c>
      <c r="F437" s="471">
        <v>29.9</v>
      </c>
      <c r="G437">
        <v>1</v>
      </c>
      <c r="H437">
        <v>1</v>
      </c>
      <c r="I437" s="472">
        <f t="shared" si="20"/>
        <v>0.40033333333333337</v>
      </c>
      <c r="J437" s="153">
        <v>0.3706666666666667</v>
      </c>
      <c r="K437" s="153">
        <v>0.3666666666666667</v>
      </c>
      <c r="L437" s="153">
        <v>0.44799999999999995</v>
      </c>
      <c r="M437" s="153">
        <v>0.41600000000000009</v>
      </c>
      <c r="N437" s="472">
        <f t="shared" si="21"/>
        <v>0.40033333333333337</v>
      </c>
      <c r="O437" s="153">
        <v>0.3706666666666667</v>
      </c>
      <c r="P437" s="153">
        <v>0.3666666666666667</v>
      </c>
      <c r="Q437" s="153">
        <v>0.44799999999999995</v>
      </c>
      <c r="R437" s="153">
        <v>0.41600000000000009</v>
      </c>
      <c r="S437" s="153">
        <v>0.01</v>
      </c>
      <c r="T437" s="153">
        <v>0.02</v>
      </c>
      <c r="U437" s="474">
        <v>2013</v>
      </c>
      <c r="V437">
        <v>2033</v>
      </c>
      <c r="W437">
        <v>0</v>
      </c>
      <c r="X437">
        <v>0</v>
      </c>
      <c r="Y437">
        <v>1315</v>
      </c>
      <c r="Z437">
        <v>360</v>
      </c>
      <c r="AA437" s="475" t="s">
        <v>24</v>
      </c>
    </row>
    <row r="438" spans="1:27" ht="15" hidden="1">
      <c r="A438" s="24">
        <v>1437</v>
      </c>
      <c r="B438" s="24">
        <v>1437</v>
      </c>
      <c r="C438" s="469" t="s">
        <v>832</v>
      </c>
      <c r="D438" t="s">
        <v>146</v>
      </c>
      <c r="E438" s="470">
        <v>1</v>
      </c>
      <c r="F438" s="471">
        <v>30.805349161073828</v>
      </c>
      <c r="G438">
        <v>1</v>
      </c>
      <c r="H438">
        <v>1</v>
      </c>
      <c r="I438" s="472">
        <f t="shared" si="20"/>
        <v>0.32845968612834514</v>
      </c>
      <c r="J438" s="153">
        <v>3.8473756479098807E-2</v>
      </c>
      <c r="K438" s="153">
        <v>0.39358026214566905</v>
      </c>
      <c r="L438" s="153">
        <v>0.53857526864315253</v>
      </c>
      <c r="M438" s="153">
        <v>0.3432094572454602</v>
      </c>
      <c r="N438" s="472">
        <f t="shared" si="21"/>
        <v>0.32845968612834514</v>
      </c>
      <c r="O438" s="153">
        <v>3.8473756479098807E-2</v>
      </c>
      <c r="P438" s="153">
        <v>0.39358026214566905</v>
      </c>
      <c r="Q438" s="153">
        <v>0.53857526864315253</v>
      </c>
      <c r="R438" s="153">
        <v>0.3432094572454602</v>
      </c>
      <c r="S438" s="153">
        <v>0.03</v>
      </c>
      <c r="T438" s="153">
        <v>0</v>
      </c>
      <c r="U438" s="474">
        <v>2009</v>
      </c>
      <c r="V438">
        <v>2023</v>
      </c>
      <c r="W438">
        <v>0</v>
      </c>
      <c r="X438">
        <v>0</v>
      </c>
      <c r="Y438">
        <v>1304</v>
      </c>
      <c r="Z438">
        <v>311</v>
      </c>
      <c r="AA438" s="475" t="s">
        <v>23</v>
      </c>
    </row>
    <row r="439" spans="1:27" ht="15" hidden="1">
      <c r="A439" s="24">
        <v>1438</v>
      </c>
      <c r="B439" s="24">
        <v>1438</v>
      </c>
      <c r="C439" s="469" t="s">
        <v>833</v>
      </c>
      <c r="D439" t="s">
        <v>146</v>
      </c>
      <c r="E439" s="470">
        <v>1</v>
      </c>
      <c r="F439" s="471">
        <v>54.194650838926172</v>
      </c>
      <c r="G439">
        <v>1</v>
      </c>
      <c r="H439">
        <v>1</v>
      </c>
      <c r="I439" s="472">
        <f t="shared" si="20"/>
        <v>0.32845968612834514</v>
      </c>
      <c r="J439" s="153">
        <v>3.8473756479098807E-2</v>
      </c>
      <c r="K439" s="153">
        <v>0.39358026214566905</v>
      </c>
      <c r="L439" s="153">
        <v>0.53857526864315253</v>
      </c>
      <c r="M439" s="153">
        <v>0.3432094572454602</v>
      </c>
      <c r="N439" s="472">
        <f t="shared" si="21"/>
        <v>0.32845968612834514</v>
      </c>
      <c r="O439" s="153">
        <v>3.8473756479098807E-2</v>
      </c>
      <c r="P439" s="153">
        <v>0.39358026214566905</v>
      </c>
      <c r="Q439" s="153">
        <v>0.53857526864315253</v>
      </c>
      <c r="R439" s="153">
        <v>0.3432094572454602</v>
      </c>
      <c r="S439" s="153">
        <v>0.03</v>
      </c>
      <c r="T439" s="153">
        <v>0</v>
      </c>
      <c r="U439" s="474">
        <v>2010</v>
      </c>
      <c r="V439">
        <v>2023</v>
      </c>
      <c r="W439">
        <v>0</v>
      </c>
      <c r="X439">
        <v>0</v>
      </c>
      <c r="Y439">
        <v>1304</v>
      </c>
      <c r="Z439">
        <v>311</v>
      </c>
      <c r="AA439" s="475" t="s">
        <v>23</v>
      </c>
    </row>
    <row r="440" spans="1:27" ht="15">
      <c r="A440" s="24">
        <v>1439</v>
      </c>
      <c r="B440" s="24">
        <v>1439</v>
      </c>
      <c r="C440" s="469" t="s">
        <v>834</v>
      </c>
      <c r="D440" t="s">
        <v>152</v>
      </c>
      <c r="E440" s="470">
        <v>3</v>
      </c>
      <c r="F440" s="471">
        <v>25.6</v>
      </c>
      <c r="G440">
        <v>1</v>
      </c>
      <c r="H440">
        <v>1</v>
      </c>
      <c r="I440" s="472">
        <f t="shared" si="20"/>
        <v>0.47039166666666665</v>
      </c>
      <c r="J440" s="473">
        <v>0.36503333333333332</v>
      </c>
      <c r="K440" s="473">
        <v>0.44336666666666663</v>
      </c>
      <c r="L440" s="473">
        <v>0.58906666666666663</v>
      </c>
      <c r="M440" s="473">
        <v>0.48410000000000003</v>
      </c>
      <c r="N440" s="472">
        <f t="shared" si="21"/>
        <v>0.47039166666666665</v>
      </c>
      <c r="O440" s="473">
        <v>0.36503333333333332</v>
      </c>
      <c r="P440" s="473">
        <v>0.44336666666666663</v>
      </c>
      <c r="Q440" s="473">
        <v>0.58906666666666663</v>
      </c>
      <c r="R440" s="473">
        <v>0.48410000000000003</v>
      </c>
      <c r="S440" s="153">
        <v>0.01</v>
      </c>
      <c r="T440" s="153">
        <v>0.02</v>
      </c>
      <c r="U440" s="474">
        <v>2012</v>
      </c>
      <c r="V440">
        <v>2032</v>
      </c>
      <c r="W440">
        <v>0</v>
      </c>
      <c r="X440">
        <v>0</v>
      </c>
      <c r="Y440">
        <v>1315</v>
      </c>
      <c r="Z440">
        <v>361</v>
      </c>
      <c r="AA440" s="475" t="s">
        <v>24</v>
      </c>
    </row>
    <row r="441" spans="1:27" ht="15" hidden="1">
      <c r="A441" s="24">
        <v>1440</v>
      </c>
      <c r="B441" s="24">
        <v>1440</v>
      </c>
      <c r="C441" s="469" t="s">
        <v>835</v>
      </c>
      <c r="D441" t="s">
        <v>149</v>
      </c>
      <c r="E441" s="470">
        <v>2</v>
      </c>
      <c r="F441" s="471">
        <v>2.5</v>
      </c>
      <c r="G441">
        <v>1</v>
      </c>
      <c r="H441">
        <v>1</v>
      </c>
      <c r="I441" s="472">
        <f t="shared" si="20"/>
        <v>0.40033333333333337</v>
      </c>
      <c r="J441" s="153">
        <v>0.3706666666666667</v>
      </c>
      <c r="K441" s="153">
        <v>0.3666666666666667</v>
      </c>
      <c r="L441" s="153">
        <v>0.44799999999999995</v>
      </c>
      <c r="M441" s="153">
        <v>0.41600000000000009</v>
      </c>
      <c r="N441" s="472">
        <f t="shared" si="21"/>
        <v>0.40033333333333337</v>
      </c>
      <c r="O441" s="153">
        <v>0.3706666666666667</v>
      </c>
      <c r="P441" s="153">
        <v>0.3666666666666667</v>
      </c>
      <c r="Q441" s="153">
        <v>0.44799999999999995</v>
      </c>
      <c r="R441" s="153">
        <v>0.41600000000000009</v>
      </c>
      <c r="S441" s="153">
        <v>0.01</v>
      </c>
      <c r="T441" s="153">
        <v>0.02</v>
      </c>
      <c r="U441" s="474">
        <v>1999</v>
      </c>
      <c r="V441">
        <v>2019</v>
      </c>
      <c r="W441">
        <v>0</v>
      </c>
      <c r="X441">
        <v>0</v>
      </c>
      <c r="Y441">
        <v>1315</v>
      </c>
      <c r="Z441">
        <v>360</v>
      </c>
      <c r="AA441" s="475" t="s">
        <v>24</v>
      </c>
    </row>
    <row r="442" spans="1:27" ht="15" hidden="1">
      <c r="A442" s="24">
        <v>1441</v>
      </c>
      <c r="B442" s="24">
        <v>1441</v>
      </c>
      <c r="C442" s="469" t="s">
        <v>836</v>
      </c>
      <c r="D442" t="s">
        <v>149</v>
      </c>
      <c r="E442" s="470">
        <v>2</v>
      </c>
      <c r="F442" s="471">
        <v>28</v>
      </c>
      <c r="G442">
        <v>1</v>
      </c>
      <c r="H442">
        <v>1</v>
      </c>
      <c r="I442" s="472">
        <f t="shared" si="20"/>
        <v>0.32845968612834514</v>
      </c>
      <c r="J442" s="153">
        <v>3.8473756479098807E-2</v>
      </c>
      <c r="K442" s="153">
        <v>0.39358026214566905</v>
      </c>
      <c r="L442" s="153">
        <v>0.53857526864315253</v>
      </c>
      <c r="M442" s="153">
        <v>0.3432094572454602</v>
      </c>
      <c r="N442" s="472">
        <f t="shared" si="21"/>
        <v>0.32845968612834514</v>
      </c>
      <c r="O442" s="153">
        <v>3.8473756479098807E-2</v>
      </c>
      <c r="P442" s="153">
        <v>0.39358026214566905</v>
      </c>
      <c r="Q442" s="153">
        <v>0.53857526864315253</v>
      </c>
      <c r="R442" s="153">
        <v>0.3432094572454602</v>
      </c>
      <c r="S442" s="153">
        <v>0.03</v>
      </c>
      <c r="T442" s="153">
        <v>0</v>
      </c>
      <c r="U442" s="474">
        <v>2010</v>
      </c>
      <c r="V442">
        <v>2023</v>
      </c>
      <c r="W442">
        <v>0</v>
      </c>
      <c r="X442">
        <v>0</v>
      </c>
      <c r="Y442">
        <v>1304</v>
      </c>
      <c r="Z442">
        <v>311</v>
      </c>
      <c r="AA442" s="475" t="s">
        <v>23</v>
      </c>
    </row>
    <row r="443" spans="1:27" ht="15">
      <c r="A443" s="24">
        <v>1442</v>
      </c>
      <c r="B443" s="24">
        <v>1442</v>
      </c>
      <c r="C443" s="469" t="s">
        <v>837</v>
      </c>
      <c r="D443" t="s">
        <v>152</v>
      </c>
      <c r="E443" s="470">
        <v>3</v>
      </c>
      <c r="F443" s="471">
        <v>25.2</v>
      </c>
      <c r="G443">
        <v>1</v>
      </c>
      <c r="H443">
        <v>1</v>
      </c>
      <c r="I443" s="472">
        <f t="shared" si="20"/>
        <v>0.47039166666666665</v>
      </c>
      <c r="J443" s="473">
        <v>0.36503333333333332</v>
      </c>
      <c r="K443" s="473">
        <v>0.44336666666666663</v>
      </c>
      <c r="L443" s="473">
        <v>0.58906666666666663</v>
      </c>
      <c r="M443" s="473">
        <v>0.48410000000000003</v>
      </c>
      <c r="N443" s="472">
        <f t="shared" si="21"/>
        <v>0.47039166666666665</v>
      </c>
      <c r="O443" s="473">
        <v>0.36503333333333332</v>
      </c>
      <c r="P443" s="473">
        <v>0.44336666666666663</v>
      </c>
      <c r="Q443" s="473">
        <v>0.58906666666666663</v>
      </c>
      <c r="R443" s="473">
        <v>0.48410000000000003</v>
      </c>
      <c r="S443" s="153">
        <v>0.01</v>
      </c>
      <c r="T443" s="153">
        <v>0.02</v>
      </c>
      <c r="U443" s="474">
        <v>2008</v>
      </c>
      <c r="V443">
        <v>2028</v>
      </c>
      <c r="W443">
        <v>0</v>
      </c>
      <c r="X443">
        <v>0</v>
      </c>
      <c r="Y443">
        <v>1315</v>
      </c>
      <c r="Z443">
        <v>361</v>
      </c>
      <c r="AA443" s="475" t="s">
        <v>24</v>
      </c>
    </row>
    <row r="444" spans="1:27" ht="15" hidden="1">
      <c r="A444" s="24">
        <v>1443</v>
      </c>
      <c r="B444" s="24">
        <v>1443</v>
      </c>
      <c r="C444" s="469" t="s">
        <v>838</v>
      </c>
      <c r="D444" t="s">
        <v>149</v>
      </c>
      <c r="E444" s="470">
        <v>2</v>
      </c>
      <c r="F444" s="471">
        <v>0</v>
      </c>
      <c r="G444">
        <v>1</v>
      </c>
      <c r="H444">
        <v>1</v>
      </c>
      <c r="I444" s="472">
        <f t="shared" si="20"/>
        <v>0.32845968612834514</v>
      </c>
      <c r="J444" s="153">
        <v>3.8473756479098807E-2</v>
      </c>
      <c r="K444" s="153">
        <v>0.39358026214566905</v>
      </c>
      <c r="L444" s="153">
        <v>0.53857526864315253</v>
      </c>
      <c r="M444" s="153">
        <v>0.3432094572454602</v>
      </c>
      <c r="N444" s="472">
        <f t="shared" si="21"/>
        <v>0.32845968612834514</v>
      </c>
      <c r="O444" s="153">
        <v>3.8473756479098807E-2</v>
      </c>
      <c r="P444" s="153">
        <v>0.39358026214566905</v>
      </c>
      <c r="Q444" s="153">
        <v>0.53857526864315253</v>
      </c>
      <c r="R444" s="153">
        <v>0.3432094572454602</v>
      </c>
      <c r="S444" s="153">
        <v>0.03</v>
      </c>
      <c r="T444" s="153">
        <v>0</v>
      </c>
      <c r="U444" s="474">
        <v>1900</v>
      </c>
      <c r="V444">
        <v>2030</v>
      </c>
      <c r="W444">
        <v>0</v>
      </c>
      <c r="X444">
        <v>0</v>
      </c>
      <c r="Y444">
        <v>1304</v>
      </c>
      <c r="Z444">
        <v>311</v>
      </c>
      <c r="AA444" s="475" t="s">
        <v>23</v>
      </c>
    </row>
    <row r="445" spans="1:27" ht="15" hidden="1">
      <c r="A445" s="24">
        <v>1444</v>
      </c>
      <c r="B445" s="24">
        <v>1444</v>
      </c>
      <c r="C445" s="469" t="s">
        <v>839</v>
      </c>
      <c r="D445" t="s">
        <v>149</v>
      </c>
      <c r="E445" s="470">
        <v>2</v>
      </c>
      <c r="F445" s="471">
        <v>8</v>
      </c>
      <c r="G445">
        <v>1</v>
      </c>
      <c r="H445">
        <v>1</v>
      </c>
      <c r="I445" s="472">
        <f t="shared" si="20"/>
        <v>0.40033333333333337</v>
      </c>
      <c r="J445" s="153">
        <v>0.3706666666666667</v>
      </c>
      <c r="K445" s="153">
        <v>0.3666666666666667</v>
      </c>
      <c r="L445" s="153">
        <v>0.44799999999999995</v>
      </c>
      <c r="M445" s="153">
        <v>0.41600000000000009</v>
      </c>
      <c r="N445" s="472">
        <f t="shared" si="21"/>
        <v>0.40033333333333337</v>
      </c>
      <c r="O445" s="153">
        <v>0.3706666666666667</v>
      </c>
      <c r="P445" s="153">
        <v>0.3666666666666667</v>
      </c>
      <c r="Q445" s="153">
        <v>0.44799999999999995</v>
      </c>
      <c r="R445" s="153">
        <v>0.41600000000000009</v>
      </c>
      <c r="S445" s="153">
        <v>0.01</v>
      </c>
      <c r="T445" s="153">
        <v>0.02</v>
      </c>
      <c r="U445" s="474">
        <v>2010</v>
      </c>
      <c r="V445">
        <v>2030</v>
      </c>
      <c r="W445">
        <v>0</v>
      </c>
      <c r="X445">
        <v>0</v>
      </c>
      <c r="Y445">
        <v>1315</v>
      </c>
      <c r="Z445">
        <v>360</v>
      </c>
      <c r="AA445" s="475" t="s">
        <v>24</v>
      </c>
    </row>
    <row r="446" spans="1:27" ht="15" hidden="1">
      <c r="A446" s="24">
        <v>1445</v>
      </c>
      <c r="B446" s="24">
        <v>1445</v>
      </c>
      <c r="C446" s="469" t="s">
        <v>840</v>
      </c>
      <c r="D446" t="s">
        <v>146</v>
      </c>
      <c r="E446" s="470">
        <v>1</v>
      </c>
      <c r="F446" s="471">
        <v>49.509196932515337</v>
      </c>
      <c r="G446">
        <v>1</v>
      </c>
      <c r="H446">
        <v>1</v>
      </c>
      <c r="I446" s="472">
        <f t="shared" si="20"/>
        <v>0.32845968612834514</v>
      </c>
      <c r="J446" s="153">
        <v>3.8473756479098807E-2</v>
      </c>
      <c r="K446" s="153">
        <v>0.39358026214566905</v>
      </c>
      <c r="L446" s="153">
        <v>0.53857526864315253</v>
      </c>
      <c r="M446" s="153">
        <v>0.3432094572454602</v>
      </c>
      <c r="N446" s="472">
        <f t="shared" si="21"/>
        <v>0.32845968612834514</v>
      </c>
      <c r="O446" s="153">
        <v>3.8473756479098807E-2</v>
      </c>
      <c r="P446" s="153">
        <v>0.39358026214566905</v>
      </c>
      <c r="Q446" s="153">
        <v>0.53857526864315253</v>
      </c>
      <c r="R446" s="153">
        <v>0.3432094572454602</v>
      </c>
      <c r="S446" s="153">
        <v>0.03</v>
      </c>
      <c r="T446" s="153">
        <v>0</v>
      </c>
      <c r="U446" s="474">
        <v>2009</v>
      </c>
      <c r="V446">
        <v>2023</v>
      </c>
      <c r="W446">
        <v>0</v>
      </c>
      <c r="X446">
        <v>0</v>
      </c>
      <c r="Y446">
        <v>1304</v>
      </c>
      <c r="Z446">
        <v>311</v>
      </c>
      <c r="AA446" s="475" t="s">
        <v>23</v>
      </c>
    </row>
    <row r="447" spans="1:27" ht="15" hidden="1">
      <c r="A447" s="24">
        <v>1446</v>
      </c>
      <c r="B447" s="24">
        <v>1446</v>
      </c>
      <c r="C447" s="469" t="s">
        <v>841</v>
      </c>
      <c r="D447" t="s">
        <v>146</v>
      </c>
      <c r="E447" s="470">
        <v>1</v>
      </c>
      <c r="F447" s="471">
        <v>40.490803067484663</v>
      </c>
      <c r="G447">
        <v>1</v>
      </c>
      <c r="H447">
        <v>1</v>
      </c>
      <c r="I447" s="472">
        <f t="shared" si="20"/>
        <v>0.32845968612834514</v>
      </c>
      <c r="J447" s="153">
        <v>3.8473756479098807E-2</v>
      </c>
      <c r="K447" s="153">
        <v>0.39358026214566905</v>
      </c>
      <c r="L447" s="153">
        <v>0.53857526864315253</v>
      </c>
      <c r="M447" s="153">
        <v>0.3432094572454602</v>
      </c>
      <c r="N447" s="472">
        <f t="shared" si="21"/>
        <v>0.32845968612834514</v>
      </c>
      <c r="O447" s="153">
        <v>3.8473756479098807E-2</v>
      </c>
      <c r="P447" s="153">
        <v>0.39358026214566905</v>
      </c>
      <c r="Q447" s="153">
        <v>0.53857526864315253</v>
      </c>
      <c r="R447" s="153">
        <v>0.3432094572454602</v>
      </c>
      <c r="S447" s="153">
        <v>0.03</v>
      </c>
      <c r="T447" s="153">
        <v>0</v>
      </c>
      <c r="U447" s="474">
        <v>2010</v>
      </c>
      <c r="V447">
        <v>2023</v>
      </c>
      <c r="W447">
        <v>0</v>
      </c>
      <c r="X447">
        <v>0</v>
      </c>
      <c r="Y447">
        <v>1304</v>
      </c>
      <c r="Z447">
        <v>311</v>
      </c>
      <c r="AA447" s="475" t="s">
        <v>23</v>
      </c>
    </row>
    <row r="448" spans="1:27" ht="15" hidden="1">
      <c r="A448" s="24">
        <v>1447</v>
      </c>
      <c r="B448" s="24">
        <v>1447</v>
      </c>
      <c r="C448" s="469" t="s">
        <v>842</v>
      </c>
      <c r="D448" t="s">
        <v>146</v>
      </c>
      <c r="E448" s="470">
        <v>1</v>
      </c>
      <c r="F448" s="471">
        <v>39.6</v>
      </c>
      <c r="G448">
        <v>1</v>
      </c>
      <c r="H448">
        <v>1</v>
      </c>
      <c r="I448" s="472">
        <f t="shared" si="20"/>
        <v>0.32845968612834514</v>
      </c>
      <c r="J448" s="153">
        <v>3.8473756479098807E-2</v>
      </c>
      <c r="K448" s="153">
        <v>0.39358026214566905</v>
      </c>
      <c r="L448" s="153">
        <v>0.53857526864315253</v>
      </c>
      <c r="M448" s="153">
        <v>0.3432094572454602</v>
      </c>
      <c r="N448" s="472">
        <f t="shared" si="21"/>
        <v>0.32845968612834514</v>
      </c>
      <c r="O448" s="153">
        <v>3.8473756479098807E-2</v>
      </c>
      <c r="P448" s="153">
        <v>0.39358026214566905</v>
      </c>
      <c r="Q448" s="153">
        <v>0.53857526864315253</v>
      </c>
      <c r="R448" s="153">
        <v>0.3432094572454602</v>
      </c>
      <c r="S448" s="153">
        <v>0.03</v>
      </c>
      <c r="T448" s="153">
        <v>0</v>
      </c>
      <c r="U448" s="474">
        <v>2010</v>
      </c>
      <c r="V448">
        <v>2023</v>
      </c>
      <c r="W448">
        <v>0</v>
      </c>
      <c r="X448">
        <v>0</v>
      </c>
      <c r="Y448">
        <v>1304</v>
      </c>
      <c r="Z448">
        <v>311</v>
      </c>
      <c r="AA448" s="475" t="s">
        <v>23</v>
      </c>
    </row>
    <row r="449" spans="1:27" ht="15" hidden="1">
      <c r="A449" s="24">
        <v>1448</v>
      </c>
      <c r="B449" s="24">
        <v>1448</v>
      </c>
      <c r="C449" s="469" t="s">
        <v>843</v>
      </c>
      <c r="D449" t="s">
        <v>149</v>
      </c>
      <c r="E449" s="470">
        <v>2</v>
      </c>
      <c r="F449" s="471">
        <v>4.8</v>
      </c>
      <c r="G449">
        <v>1</v>
      </c>
      <c r="H449">
        <v>1</v>
      </c>
      <c r="I449" s="472">
        <f t="shared" si="20"/>
        <v>0.40033333333333337</v>
      </c>
      <c r="J449" s="153">
        <v>0.3706666666666667</v>
      </c>
      <c r="K449" s="153">
        <v>0.3666666666666667</v>
      </c>
      <c r="L449" s="153">
        <v>0.44799999999999995</v>
      </c>
      <c r="M449" s="153">
        <v>0.41600000000000009</v>
      </c>
      <c r="N449" s="472">
        <f t="shared" si="21"/>
        <v>0.40033333333333337</v>
      </c>
      <c r="O449" s="153">
        <v>0.3706666666666667</v>
      </c>
      <c r="P449" s="153">
        <v>0.3666666666666667</v>
      </c>
      <c r="Q449" s="153">
        <v>0.44799999999999995</v>
      </c>
      <c r="R449" s="153">
        <v>0.41600000000000009</v>
      </c>
      <c r="S449" s="153">
        <v>0.01</v>
      </c>
      <c r="T449" s="153">
        <v>0.02</v>
      </c>
      <c r="U449" s="474">
        <v>2004</v>
      </c>
      <c r="V449">
        <v>2024</v>
      </c>
      <c r="W449">
        <v>0</v>
      </c>
      <c r="X449">
        <v>0</v>
      </c>
      <c r="Y449">
        <v>1315</v>
      </c>
      <c r="Z449">
        <v>360</v>
      </c>
      <c r="AA449" s="475" t="s">
        <v>24</v>
      </c>
    </row>
    <row r="450" spans="1:27" ht="15">
      <c r="A450" s="24">
        <v>1449</v>
      </c>
      <c r="B450" s="24">
        <v>1449</v>
      </c>
      <c r="C450" s="469" t="s">
        <v>844</v>
      </c>
      <c r="D450" t="s">
        <v>152</v>
      </c>
      <c r="E450" s="470">
        <v>3</v>
      </c>
      <c r="F450" s="471">
        <v>30.55</v>
      </c>
      <c r="G450">
        <v>1</v>
      </c>
      <c r="H450">
        <v>1</v>
      </c>
      <c r="I450" s="472">
        <f t="shared" ref="I450:I513" si="22">AVERAGE(J450:M450)</f>
        <v>0.47039166666666665</v>
      </c>
      <c r="J450" s="473">
        <v>0.36503333333333332</v>
      </c>
      <c r="K450" s="473">
        <v>0.44336666666666663</v>
      </c>
      <c r="L450" s="473">
        <v>0.58906666666666663</v>
      </c>
      <c r="M450" s="473">
        <v>0.48410000000000003</v>
      </c>
      <c r="N450" s="472">
        <f t="shared" ref="N450:N513" si="23">AVERAGE(O450:R450)</f>
        <v>0.47039166666666665</v>
      </c>
      <c r="O450" s="473">
        <v>0.36503333333333332</v>
      </c>
      <c r="P450" s="473">
        <v>0.44336666666666663</v>
      </c>
      <c r="Q450" s="473">
        <v>0.58906666666666663</v>
      </c>
      <c r="R450" s="473">
        <v>0.48410000000000003</v>
      </c>
      <c r="S450" s="153">
        <v>0.01</v>
      </c>
      <c r="T450" s="153">
        <v>0.02</v>
      </c>
      <c r="U450" s="474">
        <v>2014</v>
      </c>
      <c r="V450">
        <v>2034</v>
      </c>
      <c r="W450">
        <v>0</v>
      </c>
      <c r="X450">
        <v>0</v>
      </c>
      <c r="Y450">
        <v>1315</v>
      </c>
      <c r="Z450">
        <v>361</v>
      </c>
      <c r="AA450" s="475" t="s">
        <v>24</v>
      </c>
    </row>
    <row r="451" spans="1:27" ht="15">
      <c r="A451" s="24">
        <v>1450</v>
      </c>
      <c r="B451" s="24">
        <v>1450</v>
      </c>
      <c r="C451" s="469" t="s">
        <v>845</v>
      </c>
      <c r="D451" t="s">
        <v>152</v>
      </c>
      <c r="E451" s="470">
        <v>3</v>
      </c>
      <c r="F451" s="471">
        <v>30</v>
      </c>
      <c r="G451">
        <v>1</v>
      </c>
      <c r="H451">
        <v>1</v>
      </c>
      <c r="I451" s="472">
        <f t="shared" si="22"/>
        <v>0.47039166666666665</v>
      </c>
      <c r="J451" s="473">
        <v>0.36503333333333332</v>
      </c>
      <c r="K451" s="473">
        <v>0.44336666666666663</v>
      </c>
      <c r="L451" s="473">
        <v>0.58906666666666663</v>
      </c>
      <c r="M451" s="473">
        <v>0.48410000000000003</v>
      </c>
      <c r="N451" s="472">
        <f t="shared" si="23"/>
        <v>0.47039166666666665</v>
      </c>
      <c r="O451" s="473">
        <v>0.36503333333333332</v>
      </c>
      <c r="P451" s="473">
        <v>0.44336666666666663</v>
      </c>
      <c r="Q451" s="473">
        <v>0.58906666666666663</v>
      </c>
      <c r="R451" s="473">
        <v>0.48410000000000003</v>
      </c>
      <c r="S451" s="153">
        <v>0.01</v>
      </c>
      <c r="T451" s="153">
        <v>0.02</v>
      </c>
      <c r="U451" s="474">
        <v>2013</v>
      </c>
      <c r="V451">
        <v>2033</v>
      </c>
      <c r="W451">
        <v>0</v>
      </c>
      <c r="X451">
        <v>0</v>
      </c>
      <c r="Y451">
        <v>1315</v>
      </c>
      <c r="Z451">
        <v>361</v>
      </c>
      <c r="AA451" s="475" t="s">
        <v>24</v>
      </c>
    </row>
    <row r="452" spans="1:27" ht="15" hidden="1">
      <c r="A452" s="24">
        <v>1451</v>
      </c>
      <c r="B452" s="24">
        <v>1451</v>
      </c>
      <c r="C452" s="469" t="s">
        <v>846</v>
      </c>
      <c r="D452" t="s">
        <v>146</v>
      </c>
      <c r="E452" s="470">
        <v>1</v>
      </c>
      <c r="F452" s="471">
        <v>0</v>
      </c>
      <c r="G452">
        <v>1</v>
      </c>
      <c r="H452">
        <v>1</v>
      </c>
      <c r="I452" s="472">
        <f t="shared" si="22"/>
        <v>0.32845968612834514</v>
      </c>
      <c r="J452" s="153">
        <v>3.8473756479098807E-2</v>
      </c>
      <c r="K452" s="153">
        <v>0.39358026214566905</v>
      </c>
      <c r="L452" s="153">
        <v>0.53857526864315253</v>
      </c>
      <c r="M452" s="153">
        <v>0.3432094572454602</v>
      </c>
      <c r="N452" s="472">
        <f t="shared" si="23"/>
        <v>0.32845968612834514</v>
      </c>
      <c r="O452" s="153">
        <v>3.8473756479098807E-2</v>
      </c>
      <c r="P452" s="153">
        <v>0.39358026214566905</v>
      </c>
      <c r="Q452" s="153">
        <v>0.53857526864315253</v>
      </c>
      <c r="R452" s="153">
        <v>0.3432094572454602</v>
      </c>
      <c r="S452" s="153">
        <v>0.03</v>
      </c>
      <c r="T452" s="153">
        <v>0</v>
      </c>
      <c r="U452" s="474">
        <v>1900</v>
      </c>
      <c r="V452">
        <v>2030</v>
      </c>
      <c r="W452">
        <v>0</v>
      </c>
      <c r="X452">
        <v>0</v>
      </c>
      <c r="Y452">
        <v>1304</v>
      </c>
      <c r="Z452">
        <v>311</v>
      </c>
      <c r="AA452" s="475" t="s">
        <v>23</v>
      </c>
    </row>
    <row r="453" spans="1:27" ht="15" hidden="1">
      <c r="A453" s="24">
        <v>1452</v>
      </c>
      <c r="B453" s="24">
        <v>1452</v>
      </c>
      <c r="C453" s="469" t="s">
        <v>847</v>
      </c>
      <c r="D453" t="s">
        <v>146</v>
      </c>
      <c r="E453" s="470">
        <v>1</v>
      </c>
      <c r="F453" s="471">
        <v>12</v>
      </c>
      <c r="G453">
        <v>1</v>
      </c>
      <c r="H453">
        <v>1</v>
      </c>
      <c r="I453" s="472">
        <f t="shared" si="22"/>
        <v>0.32845968612834514</v>
      </c>
      <c r="J453" s="153">
        <v>3.8473756479098807E-2</v>
      </c>
      <c r="K453" s="153">
        <v>0.39358026214566905</v>
      </c>
      <c r="L453" s="153">
        <v>0.53857526864315253</v>
      </c>
      <c r="M453" s="153">
        <v>0.3432094572454602</v>
      </c>
      <c r="N453" s="472">
        <f t="shared" si="23"/>
        <v>0.32845968612834514</v>
      </c>
      <c r="O453" s="153">
        <v>3.8473756479098807E-2</v>
      </c>
      <c r="P453" s="153">
        <v>0.39358026214566905</v>
      </c>
      <c r="Q453" s="153">
        <v>0.53857526864315253</v>
      </c>
      <c r="R453" s="153">
        <v>0.3432094572454602</v>
      </c>
      <c r="S453" s="153">
        <v>0.03</v>
      </c>
      <c r="T453" s="153">
        <v>0</v>
      </c>
      <c r="U453" s="474">
        <v>2010</v>
      </c>
      <c r="V453">
        <v>2023</v>
      </c>
      <c r="W453">
        <v>0</v>
      </c>
      <c r="X453">
        <v>0</v>
      </c>
      <c r="Y453">
        <v>1304</v>
      </c>
      <c r="Z453">
        <v>311</v>
      </c>
      <c r="AA453" s="475" t="s">
        <v>23</v>
      </c>
    </row>
    <row r="454" spans="1:27" ht="15" hidden="1">
      <c r="A454" s="24">
        <v>1453</v>
      </c>
      <c r="B454" s="24">
        <v>1453</v>
      </c>
      <c r="C454" s="469" t="s">
        <v>848</v>
      </c>
      <c r="D454" t="s">
        <v>152</v>
      </c>
      <c r="E454" s="470">
        <v>3</v>
      </c>
      <c r="F454" s="471">
        <v>5</v>
      </c>
      <c r="G454">
        <v>1</v>
      </c>
      <c r="H454">
        <v>1</v>
      </c>
      <c r="I454" s="472">
        <f t="shared" si="22"/>
        <v>0.26420000000000005</v>
      </c>
      <c r="J454" s="33">
        <v>0.29123333333333334</v>
      </c>
      <c r="K454" s="33">
        <f>0.296266666666667-0.07</f>
        <v>0.226266666666667</v>
      </c>
      <c r="L454" s="33">
        <f>0.3193-0.07</f>
        <v>0.24929999999999997</v>
      </c>
      <c r="M454" s="33">
        <v>0.28999999999999998</v>
      </c>
      <c r="N454" s="472">
        <f t="shared" si="23"/>
        <v>0.26420000000000005</v>
      </c>
      <c r="O454" s="33">
        <v>0.29123333333333334</v>
      </c>
      <c r="P454" s="33">
        <f>0.296266666666667-0.07</f>
        <v>0.226266666666667</v>
      </c>
      <c r="Q454" s="33">
        <f>0.3193-0.07</f>
        <v>0.24929999999999997</v>
      </c>
      <c r="R454" s="33">
        <v>0.28999999999999998</v>
      </c>
      <c r="S454" s="153">
        <v>0.04</v>
      </c>
      <c r="T454" s="153">
        <v>0</v>
      </c>
      <c r="U454" s="474">
        <v>2015</v>
      </c>
      <c r="V454">
        <v>2035</v>
      </c>
      <c r="W454">
        <v>0</v>
      </c>
      <c r="X454">
        <v>0</v>
      </c>
      <c r="Y454">
        <v>1315</v>
      </c>
      <c r="Z454">
        <v>347</v>
      </c>
      <c r="AA454" s="475" t="s">
        <v>25</v>
      </c>
    </row>
    <row r="455" spans="1:27" ht="15" hidden="1">
      <c r="A455" s="24">
        <v>1454</v>
      </c>
      <c r="B455" s="24">
        <v>1454</v>
      </c>
      <c r="C455" s="469" t="s">
        <v>849</v>
      </c>
      <c r="D455" t="s">
        <v>146</v>
      </c>
      <c r="E455" s="470">
        <v>1</v>
      </c>
      <c r="F455" s="471">
        <v>0</v>
      </c>
      <c r="G455">
        <v>1</v>
      </c>
      <c r="H455">
        <v>1</v>
      </c>
      <c r="I455" s="472">
        <f t="shared" si="22"/>
        <v>0.32845968612834514</v>
      </c>
      <c r="J455" s="153">
        <v>3.8473756479098807E-2</v>
      </c>
      <c r="K455" s="153">
        <v>0.39358026214566905</v>
      </c>
      <c r="L455" s="153">
        <v>0.53857526864315253</v>
      </c>
      <c r="M455" s="153">
        <v>0.3432094572454602</v>
      </c>
      <c r="N455" s="472">
        <f t="shared" si="23"/>
        <v>0.32845968612834514</v>
      </c>
      <c r="O455" s="153">
        <v>3.8473756479098807E-2</v>
      </c>
      <c r="P455" s="153">
        <v>0.39358026214566905</v>
      </c>
      <c r="Q455" s="153">
        <v>0.53857526864315253</v>
      </c>
      <c r="R455" s="153">
        <v>0.3432094572454602</v>
      </c>
      <c r="S455" s="153">
        <v>0.03</v>
      </c>
      <c r="T455" s="153">
        <v>0</v>
      </c>
      <c r="U455" s="474">
        <v>1900</v>
      </c>
      <c r="V455">
        <v>2030</v>
      </c>
      <c r="W455">
        <v>0</v>
      </c>
      <c r="X455">
        <v>0</v>
      </c>
      <c r="Y455">
        <v>1304</v>
      </c>
      <c r="Z455">
        <v>311</v>
      </c>
      <c r="AA455" s="475" t="s">
        <v>23</v>
      </c>
    </row>
    <row r="456" spans="1:27" ht="15" hidden="1">
      <c r="A456" s="24">
        <v>1455</v>
      </c>
      <c r="B456" s="24">
        <v>1455</v>
      </c>
      <c r="C456" s="469" t="s">
        <v>850</v>
      </c>
      <c r="D456" t="s">
        <v>146</v>
      </c>
      <c r="E456" s="470">
        <v>1</v>
      </c>
      <c r="F456" s="471">
        <v>16.335999999999999</v>
      </c>
      <c r="G456">
        <v>1</v>
      </c>
      <c r="H456">
        <v>1</v>
      </c>
      <c r="I456" s="472">
        <f t="shared" si="22"/>
        <v>0.32845968612834514</v>
      </c>
      <c r="J456" s="153">
        <v>3.8473756479098807E-2</v>
      </c>
      <c r="K456" s="153">
        <v>0.39358026214566905</v>
      </c>
      <c r="L456" s="153">
        <v>0.53857526864315253</v>
      </c>
      <c r="M456" s="153">
        <v>0.3432094572454602</v>
      </c>
      <c r="N456" s="472">
        <f t="shared" si="23"/>
        <v>0.32845968612834514</v>
      </c>
      <c r="O456" s="153">
        <v>3.8473756479098807E-2</v>
      </c>
      <c r="P456" s="153">
        <v>0.39358026214566905</v>
      </c>
      <c r="Q456" s="153">
        <v>0.53857526864315253</v>
      </c>
      <c r="R456" s="153">
        <v>0.3432094572454602</v>
      </c>
      <c r="S456" s="153">
        <v>0.03</v>
      </c>
      <c r="T456" s="153">
        <v>0</v>
      </c>
      <c r="U456" s="474">
        <v>2005</v>
      </c>
      <c r="V456">
        <v>2023</v>
      </c>
      <c r="W456">
        <v>0</v>
      </c>
      <c r="X456">
        <v>0</v>
      </c>
      <c r="Y456">
        <v>1304</v>
      </c>
      <c r="Z456">
        <v>311</v>
      </c>
      <c r="AA456" s="475" t="s">
        <v>23</v>
      </c>
    </row>
    <row r="457" spans="1:27" ht="15" hidden="1">
      <c r="A457" s="24">
        <v>1456</v>
      </c>
      <c r="B457" s="24">
        <v>1456</v>
      </c>
      <c r="C457" s="469" t="s">
        <v>851</v>
      </c>
      <c r="D457" t="s">
        <v>146</v>
      </c>
      <c r="E457" s="470">
        <v>1</v>
      </c>
      <c r="F457" s="471">
        <v>0</v>
      </c>
      <c r="G457">
        <v>1</v>
      </c>
      <c r="H457">
        <v>1</v>
      </c>
      <c r="I457" s="472">
        <f t="shared" si="22"/>
        <v>0.32845968612834514</v>
      </c>
      <c r="J457" s="153">
        <v>3.8473756479098807E-2</v>
      </c>
      <c r="K457" s="153">
        <v>0.39358026214566905</v>
      </c>
      <c r="L457" s="153">
        <v>0.53857526864315253</v>
      </c>
      <c r="M457" s="153">
        <v>0.3432094572454602</v>
      </c>
      <c r="N457" s="472">
        <f t="shared" si="23"/>
        <v>0.32845968612834514</v>
      </c>
      <c r="O457" s="153">
        <v>3.8473756479098807E-2</v>
      </c>
      <c r="P457" s="153">
        <v>0.39358026214566905</v>
      </c>
      <c r="Q457" s="153">
        <v>0.53857526864315253</v>
      </c>
      <c r="R457" s="153">
        <v>0.3432094572454602</v>
      </c>
      <c r="S457" s="153">
        <v>0.03</v>
      </c>
      <c r="T457" s="153">
        <v>0</v>
      </c>
      <c r="U457" s="474">
        <v>1900</v>
      </c>
      <c r="V457">
        <v>2030</v>
      </c>
      <c r="W457">
        <v>0</v>
      </c>
      <c r="X457">
        <v>0</v>
      </c>
      <c r="Y457">
        <v>1304</v>
      </c>
      <c r="Z457">
        <v>311</v>
      </c>
      <c r="AA457" s="475" t="s">
        <v>23</v>
      </c>
    </row>
    <row r="458" spans="1:27" ht="15" hidden="1">
      <c r="A458" s="24">
        <v>1457</v>
      </c>
      <c r="B458" s="24">
        <v>1457</v>
      </c>
      <c r="C458" s="469" t="s">
        <v>852</v>
      </c>
      <c r="D458" t="s">
        <v>152</v>
      </c>
      <c r="E458" s="470">
        <v>3</v>
      </c>
      <c r="F458" s="471">
        <v>5</v>
      </c>
      <c r="G458">
        <v>1</v>
      </c>
      <c r="H458">
        <v>1</v>
      </c>
      <c r="I458" s="472">
        <f t="shared" si="22"/>
        <v>0.26420000000000005</v>
      </c>
      <c r="J458" s="33">
        <v>0.29123333333333334</v>
      </c>
      <c r="K458" s="33">
        <f>0.296266666666667-0.07</f>
        <v>0.226266666666667</v>
      </c>
      <c r="L458" s="33">
        <f>0.3193-0.07</f>
        <v>0.24929999999999997</v>
      </c>
      <c r="M458" s="33">
        <v>0.28999999999999998</v>
      </c>
      <c r="N458" s="472">
        <f t="shared" si="23"/>
        <v>0.26420000000000005</v>
      </c>
      <c r="O458" s="33">
        <v>0.29123333333333334</v>
      </c>
      <c r="P458" s="33">
        <f>0.296266666666667-0.07</f>
        <v>0.226266666666667</v>
      </c>
      <c r="Q458" s="33">
        <f>0.3193-0.07</f>
        <v>0.24929999999999997</v>
      </c>
      <c r="R458" s="33">
        <v>0.28999999999999998</v>
      </c>
      <c r="S458" s="153">
        <v>0.04</v>
      </c>
      <c r="T458" s="153">
        <v>0</v>
      </c>
      <c r="U458" s="474">
        <v>2015</v>
      </c>
      <c r="V458">
        <v>2035</v>
      </c>
      <c r="W458">
        <v>0</v>
      </c>
      <c r="X458">
        <v>0</v>
      </c>
      <c r="Y458">
        <v>1315</v>
      </c>
      <c r="Z458">
        <v>347</v>
      </c>
      <c r="AA458" s="475" t="s">
        <v>25</v>
      </c>
    </row>
    <row r="459" spans="1:27" ht="15" hidden="1">
      <c r="A459" s="24">
        <v>1458</v>
      </c>
      <c r="B459" s="24">
        <v>1458</v>
      </c>
      <c r="C459" s="476" t="s">
        <v>853</v>
      </c>
      <c r="D459" t="s">
        <v>146</v>
      </c>
      <c r="E459" s="477">
        <v>1</v>
      </c>
      <c r="F459" s="471">
        <v>10</v>
      </c>
      <c r="G459">
        <v>1</v>
      </c>
      <c r="H459">
        <v>1</v>
      </c>
      <c r="I459" s="472">
        <f t="shared" si="22"/>
        <v>0.25418333333333343</v>
      </c>
      <c r="J459" s="33">
        <v>0.29116666666666663</v>
      </c>
      <c r="K459" s="33">
        <f t="shared" ref="K459" si="24">0.2844-0.07</f>
        <v>0.21439999999999998</v>
      </c>
      <c r="L459" s="33">
        <f>0.291166666666667-0.07</f>
        <v>0.22116666666666701</v>
      </c>
      <c r="M459" s="33">
        <v>0.28999999999999998</v>
      </c>
      <c r="N459" s="472">
        <f t="shared" si="23"/>
        <v>0.25418333333333343</v>
      </c>
      <c r="O459" s="33">
        <v>0.29116666666666663</v>
      </c>
      <c r="P459" s="33">
        <f t="shared" ref="P459" si="25">0.2844-0.07</f>
        <v>0.21439999999999998</v>
      </c>
      <c r="Q459" s="33">
        <f>0.291166666666667-0.07</f>
        <v>0.22116666666666701</v>
      </c>
      <c r="R459" s="33">
        <v>0.28999999999999998</v>
      </c>
      <c r="S459" s="153">
        <v>0.04</v>
      </c>
      <c r="T459" s="153">
        <v>0</v>
      </c>
      <c r="U459" s="478">
        <v>2017</v>
      </c>
      <c r="V459" s="24">
        <f t="shared" ref="V459:V460" si="26">U459+20</f>
        <v>2037</v>
      </c>
      <c r="W459">
        <v>0</v>
      </c>
      <c r="X459">
        <v>0</v>
      </c>
      <c r="Y459">
        <v>1315</v>
      </c>
      <c r="Z459">
        <v>347</v>
      </c>
      <c r="AA459" s="475" t="s">
        <v>25</v>
      </c>
    </row>
    <row r="460" spans="1:27" ht="15" hidden="1">
      <c r="A460" s="24">
        <v>1459</v>
      </c>
      <c r="B460" s="24">
        <v>1459</v>
      </c>
      <c r="C460" s="476" t="s">
        <v>854</v>
      </c>
      <c r="D460" t="s">
        <v>152</v>
      </c>
      <c r="E460" s="477">
        <v>3</v>
      </c>
      <c r="F460" s="471">
        <v>20</v>
      </c>
      <c r="G460">
        <v>1</v>
      </c>
      <c r="H460">
        <v>1</v>
      </c>
      <c r="I460" s="472">
        <f t="shared" si="22"/>
        <v>0.26420000000000005</v>
      </c>
      <c r="J460" s="33">
        <v>0.29123333333333334</v>
      </c>
      <c r="K460" s="33">
        <f>0.296266666666667-0.07</f>
        <v>0.226266666666667</v>
      </c>
      <c r="L460" s="33">
        <f>0.3193-0.07</f>
        <v>0.24929999999999997</v>
      </c>
      <c r="M460" s="33">
        <v>0.28999999999999998</v>
      </c>
      <c r="N460" s="472">
        <f t="shared" si="23"/>
        <v>0.26420000000000005</v>
      </c>
      <c r="O460" s="33">
        <v>0.29123333333333334</v>
      </c>
      <c r="P460" s="33">
        <f>0.296266666666667-0.07</f>
        <v>0.226266666666667</v>
      </c>
      <c r="Q460" s="33">
        <f>0.3193-0.07</f>
        <v>0.24929999999999997</v>
      </c>
      <c r="R460" s="33">
        <v>0.28999999999999998</v>
      </c>
      <c r="S460" s="153">
        <v>0.04</v>
      </c>
      <c r="T460" s="153">
        <v>0</v>
      </c>
      <c r="U460" s="478">
        <v>2017</v>
      </c>
      <c r="V460" s="24">
        <f t="shared" si="26"/>
        <v>2037</v>
      </c>
      <c r="W460">
        <v>0</v>
      </c>
      <c r="X460">
        <v>0</v>
      </c>
      <c r="Y460">
        <v>1315</v>
      </c>
      <c r="Z460">
        <v>347</v>
      </c>
      <c r="AA460" s="475" t="s">
        <v>25</v>
      </c>
    </row>
    <row r="461" spans="1:27" ht="15">
      <c r="A461" s="24">
        <v>1460</v>
      </c>
      <c r="B461" s="24">
        <v>1460</v>
      </c>
      <c r="C461" s="469" t="s">
        <v>855</v>
      </c>
      <c r="D461" t="s">
        <v>152</v>
      </c>
      <c r="E461" s="470">
        <v>3</v>
      </c>
      <c r="F461" s="471">
        <v>30.55</v>
      </c>
      <c r="G461">
        <v>1</v>
      </c>
      <c r="H461">
        <v>1</v>
      </c>
      <c r="I461" s="472">
        <f t="shared" si="22"/>
        <v>0.47039166666666665</v>
      </c>
      <c r="J461" s="473">
        <v>0.36503333333333332</v>
      </c>
      <c r="K461" s="473">
        <v>0.44336666666666663</v>
      </c>
      <c r="L461" s="473">
        <v>0.58906666666666663</v>
      </c>
      <c r="M461" s="473">
        <v>0.48410000000000003</v>
      </c>
      <c r="N461" s="472">
        <f t="shared" si="23"/>
        <v>0.47039166666666665</v>
      </c>
      <c r="O461" s="473">
        <v>0.36503333333333332</v>
      </c>
      <c r="P461" s="473">
        <v>0.44336666666666663</v>
      </c>
      <c r="Q461" s="473">
        <v>0.58906666666666663</v>
      </c>
      <c r="R461" s="473">
        <v>0.48410000000000003</v>
      </c>
      <c r="S461" s="153">
        <v>0.01</v>
      </c>
      <c r="T461" s="153">
        <v>0.02</v>
      </c>
      <c r="U461" s="474">
        <v>2014</v>
      </c>
      <c r="V461">
        <v>2034</v>
      </c>
      <c r="W461">
        <v>0</v>
      </c>
      <c r="X461">
        <v>0</v>
      </c>
      <c r="Y461">
        <v>1315</v>
      </c>
      <c r="Z461">
        <v>361</v>
      </c>
      <c r="AA461" s="475" t="s">
        <v>24</v>
      </c>
    </row>
    <row r="462" spans="1:27" ht="15">
      <c r="A462" s="24">
        <v>1461</v>
      </c>
      <c r="B462" s="24">
        <v>1461</v>
      </c>
      <c r="C462" s="469" t="s">
        <v>856</v>
      </c>
      <c r="D462" t="s">
        <v>152</v>
      </c>
      <c r="E462" s="470">
        <v>3</v>
      </c>
      <c r="F462" s="471">
        <v>30</v>
      </c>
      <c r="G462">
        <v>1</v>
      </c>
      <c r="H462">
        <v>1</v>
      </c>
      <c r="I462" s="472">
        <f t="shared" si="22"/>
        <v>0.47039166666666665</v>
      </c>
      <c r="J462" s="473">
        <v>0.36503333333333332</v>
      </c>
      <c r="K462" s="473">
        <v>0.44336666666666663</v>
      </c>
      <c r="L462" s="473">
        <v>0.58906666666666663</v>
      </c>
      <c r="M462" s="473">
        <v>0.48410000000000003</v>
      </c>
      <c r="N462" s="472">
        <f t="shared" si="23"/>
        <v>0.47039166666666665</v>
      </c>
      <c r="O462" s="473">
        <v>0.36503333333333332</v>
      </c>
      <c r="P462" s="473">
        <v>0.44336666666666663</v>
      </c>
      <c r="Q462" s="473">
        <v>0.58906666666666663</v>
      </c>
      <c r="R462" s="473">
        <v>0.48410000000000003</v>
      </c>
      <c r="S462" s="153">
        <v>0.01</v>
      </c>
      <c r="T462" s="153">
        <v>0.02</v>
      </c>
      <c r="U462" s="474">
        <v>2012</v>
      </c>
      <c r="V462">
        <v>2032</v>
      </c>
      <c r="W462">
        <v>0</v>
      </c>
      <c r="X462">
        <v>0</v>
      </c>
      <c r="Y462">
        <v>1315</v>
      </c>
      <c r="Z462">
        <v>361</v>
      </c>
      <c r="AA462" s="475" t="s">
        <v>24</v>
      </c>
    </row>
    <row r="463" spans="1:27" ht="15">
      <c r="A463" s="24">
        <v>1462</v>
      </c>
      <c r="B463" s="24">
        <v>1462</v>
      </c>
      <c r="C463" s="469" t="s">
        <v>857</v>
      </c>
      <c r="D463" t="s">
        <v>152</v>
      </c>
      <c r="E463" s="470">
        <v>3</v>
      </c>
      <c r="F463" s="471">
        <v>18</v>
      </c>
      <c r="G463">
        <v>1</v>
      </c>
      <c r="H463">
        <v>1</v>
      </c>
      <c r="I463" s="472">
        <f t="shared" si="22"/>
        <v>0.47039166666666665</v>
      </c>
      <c r="J463" s="473">
        <v>0.36503333333333332</v>
      </c>
      <c r="K463" s="473">
        <v>0.44336666666666663</v>
      </c>
      <c r="L463" s="473">
        <v>0.58906666666666663</v>
      </c>
      <c r="M463" s="473">
        <v>0.48410000000000003</v>
      </c>
      <c r="N463" s="472">
        <f t="shared" si="23"/>
        <v>0.47039166666666665</v>
      </c>
      <c r="O463" s="473">
        <v>0.36503333333333332</v>
      </c>
      <c r="P463" s="473">
        <v>0.44336666666666663</v>
      </c>
      <c r="Q463" s="473">
        <v>0.58906666666666663</v>
      </c>
      <c r="R463" s="473">
        <v>0.48410000000000003</v>
      </c>
      <c r="S463" s="153">
        <v>0.01</v>
      </c>
      <c r="T463" s="153">
        <v>0.02</v>
      </c>
      <c r="U463" s="474">
        <v>2013</v>
      </c>
      <c r="V463">
        <v>2033</v>
      </c>
      <c r="W463">
        <v>0</v>
      </c>
      <c r="X463">
        <v>0</v>
      </c>
      <c r="Y463">
        <v>1315</v>
      </c>
      <c r="Z463">
        <v>361</v>
      </c>
      <c r="AA463" s="475" t="s">
        <v>24</v>
      </c>
    </row>
    <row r="464" spans="1:27" ht="15" hidden="1">
      <c r="A464" s="24">
        <v>1463</v>
      </c>
      <c r="B464" s="24">
        <v>1463</v>
      </c>
      <c r="C464" s="469" t="s">
        <v>858</v>
      </c>
      <c r="D464" t="s">
        <v>152</v>
      </c>
      <c r="E464" s="470">
        <v>3</v>
      </c>
      <c r="F464" s="471">
        <v>5.68</v>
      </c>
      <c r="G464">
        <v>1</v>
      </c>
      <c r="H464">
        <v>1</v>
      </c>
      <c r="I464" s="472">
        <f t="shared" si="22"/>
        <v>0.32845968612834514</v>
      </c>
      <c r="J464" s="153">
        <v>3.8473756479098807E-2</v>
      </c>
      <c r="K464" s="153">
        <v>0.39358026214566905</v>
      </c>
      <c r="L464" s="153">
        <v>0.53857526864315253</v>
      </c>
      <c r="M464" s="153">
        <v>0.3432094572454602</v>
      </c>
      <c r="N464" s="472">
        <f t="shared" si="23"/>
        <v>0.32845968612834514</v>
      </c>
      <c r="O464" s="153">
        <v>3.8473756479098807E-2</v>
      </c>
      <c r="P464" s="153">
        <v>0.39358026214566905</v>
      </c>
      <c r="Q464" s="153">
        <v>0.53857526864315253</v>
      </c>
      <c r="R464" s="153">
        <v>0.3432094572454602</v>
      </c>
      <c r="S464" s="153">
        <v>0.03</v>
      </c>
      <c r="T464" s="153">
        <v>0</v>
      </c>
      <c r="U464" s="474">
        <v>2008</v>
      </c>
      <c r="V464">
        <v>2023</v>
      </c>
      <c r="W464">
        <v>0</v>
      </c>
      <c r="X464">
        <v>0</v>
      </c>
      <c r="Y464">
        <v>1304</v>
      </c>
      <c r="Z464">
        <v>311</v>
      </c>
      <c r="AA464" s="475" t="s">
        <v>23</v>
      </c>
    </row>
    <row r="465" spans="1:27" ht="15" hidden="1">
      <c r="A465" s="24">
        <v>1464</v>
      </c>
      <c r="B465" s="24">
        <v>1464</v>
      </c>
      <c r="C465" s="469" t="s">
        <v>859</v>
      </c>
      <c r="D465" t="s">
        <v>152</v>
      </c>
      <c r="E465" s="470">
        <v>3</v>
      </c>
      <c r="F465" s="471">
        <v>0</v>
      </c>
      <c r="G465">
        <v>1</v>
      </c>
      <c r="H465">
        <v>1</v>
      </c>
      <c r="I465" s="472">
        <f t="shared" si="22"/>
        <v>0.32845968612834514</v>
      </c>
      <c r="J465" s="153">
        <v>3.8473756479098807E-2</v>
      </c>
      <c r="K465" s="153">
        <v>0.39358026214566905</v>
      </c>
      <c r="L465" s="153">
        <v>0.53857526864315253</v>
      </c>
      <c r="M465" s="153">
        <v>0.3432094572454602</v>
      </c>
      <c r="N465" s="472">
        <f t="shared" si="23"/>
        <v>0.32845968612834514</v>
      </c>
      <c r="O465" s="153">
        <v>3.8473756479098807E-2</v>
      </c>
      <c r="P465" s="153">
        <v>0.39358026214566905</v>
      </c>
      <c r="Q465" s="153">
        <v>0.53857526864315253</v>
      </c>
      <c r="R465" s="153">
        <v>0.3432094572454602</v>
      </c>
      <c r="S465" s="153">
        <v>0.03</v>
      </c>
      <c r="T465" s="153">
        <v>0</v>
      </c>
      <c r="U465" s="474">
        <v>1900</v>
      </c>
      <c r="V465">
        <v>2030</v>
      </c>
      <c r="W465">
        <v>0</v>
      </c>
      <c r="X465">
        <v>0</v>
      </c>
      <c r="Y465">
        <v>1304</v>
      </c>
      <c r="Z465">
        <v>311</v>
      </c>
      <c r="AA465" s="475" t="s">
        <v>23</v>
      </c>
    </row>
    <row r="466" spans="1:27" ht="15" hidden="1">
      <c r="A466" s="24">
        <v>1465</v>
      </c>
      <c r="B466" s="24">
        <v>1465</v>
      </c>
      <c r="C466" s="469" t="s">
        <v>860</v>
      </c>
      <c r="D466" t="s">
        <v>146</v>
      </c>
      <c r="E466" s="470">
        <v>1</v>
      </c>
      <c r="F466" s="471">
        <v>42.192643576856199</v>
      </c>
      <c r="G466">
        <v>1</v>
      </c>
      <c r="H466">
        <v>1</v>
      </c>
      <c r="I466" s="472">
        <f t="shared" si="22"/>
        <v>0.32845968612834514</v>
      </c>
      <c r="J466" s="153">
        <v>3.8473756479098807E-2</v>
      </c>
      <c r="K466" s="153">
        <v>0.39358026214566905</v>
      </c>
      <c r="L466" s="153">
        <v>0.53857526864315253</v>
      </c>
      <c r="M466" s="153">
        <v>0.3432094572454602</v>
      </c>
      <c r="N466" s="472">
        <f t="shared" si="23"/>
        <v>0.32845968612834514</v>
      </c>
      <c r="O466" s="153">
        <v>3.8473756479098807E-2</v>
      </c>
      <c r="P466" s="153">
        <v>0.39358026214566905</v>
      </c>
      <c r="Q466" s="153">
        <v>0.53857526864315253</v>
      </c>
      <c r="R466" s="153">
        <v>0.3432094572454602</v>
      </c>
      <c r="S466" s="153">
        <v>0.03</v>
      </c>
      <c r="T466" s="153">
        <v>0</v>
      </c>
      <c r="U466" s="474">
        <v>2006</v>
      </c>
      <c r="V466">
        <v>2030</v>
      </c>
      <c r="W466">
        <v>0</v>
      </c>
      <c r="X466">
        <v>0</v>
      </c>
      <c r="Y466">
        <v>1304</v>
      </c>
      <c r="Z466">
        <v>311</v>
      </c>
      <c r="AA466" s="475" t="s">
        <v>23</v>
      </c>
    </row>
    <row r="467" spans="1:27" ht="15" hidden="1">
      <c r="A467" s="24">
        <v>1466</v>
      </c>
      <c r="B467" s="24">
        <v>1466</v>
      </c>
      <c r="C467" s="469" t="s">
        <v>861</v>
      </c>
      <c r="D467" t="s">
        <v>146</v>
      </c>
      <c r="E467" s="470">
        <v>1</v>
      </c>
      <c r="F467" s="471">
        <v>47.807356423143801</v>
      </c>
      <c r="G467">
        <v>1</v>
      </c>
      <c r="H467">
        <v>1</v>
      </c>
      <c r="I467" s="472">
        <f t="shared" si="22"/>
        <v>0.32845968612834514</v>
      </c>
      <c r="J467" s="153">
        <v>3.8473756479098807E-2</v>
      </c>
      <c r="K467" s="153">
        <v>0.39358026214566905</v>
      </c>
      <c r="L467" s="153">
        <v>0.53857526864315253</v>
      </c>
      <c r="M467" s="153">
        <v>0.3432094572454602</v>
      </c>
      <c r="N467" s="472">
        <f t="shared" si="23"/>
        <v>0.32845968612834514</v>
      </c>
      <c r="O467" s="153">
        <v>3.8473756479098807E-2</v>
      </c>
      <c r="P467" s="153">
        <v>0.39358026214566905</v>
      </c>
      <c r="Q467" s="153">
        <v>0.53857526864315253</v>
      </c>
      <c r="R467" s="153">
        <v>0.3432094572454602</v>
      </c>
      <c r="S467" s="153">
        <v>0.03</v>
      </c>
      <c r="T467" s="153">
        <v>0</v>
      </c>
      <c r="U467" s="474">
        <v>2013</v>
      </c>
      <c r="V467">
        <v>2035</v>
      </c>
      <c r="W467">
        <v>0</v>
      </c>
      <c r="X467">
        <v>0</v>
      </c>
      <c r="Y467">
        <v>1304</v>
      </c>
      <c r="Z467">
        <v>311</v>
      </c>
      <c r="AA467" s="475" t="s">
        <v>23</v>
      </c>
    </row>
    <row r="468" spans="1:27" ht="15">
      <c r="A468" s="24">
        <v>1467</v>
      </c>
      <c r="B468" s="24">
        <v>1467</v>
      </c>
      <c r="C468" s="469" t="s">
        <v>862</v>
      </c>
      <c r="D468" t="s">
        <v>152</v>
      </c>
      <c r="E468" s="470">
        <v>3</v>
      </c>
      <c r="F468" s="471">
        <v>18</v>
      </c>
      <c r="G468">
        <v>1</v>
      </c>
      <c r="H468">
        <v>1</v>
      </c>
      <c r="I468" s="472">
        <f t="shared" si="22"/>
        <v>0.47039166666666665</v>
      </c>
      <c r="J468" s="473">
        <v>0.36503333333333332</v>
      </c>
      <c r="K468" s="473">
        <v>0.44336666666666663</v>
      </c>
      <c r="L468" s="473">
        <v>0.58906666666666663</v>
      </c>
      <c r="M468" s="473">
        <v>0.48410000000000003</v>
      </c>
      <c r="N468" s="472">
        <f t="shared" si="23"/>
        <v>0.47039166666666665</v>
      </c>
      <c r="O468" s="473">
        <v>0.36503333333333332</v>
      </c>
      <c r="P468" s="473">
        <v>0.44336666666666663</v>
      </c>
      <c r="Q468" s="473">
        <v>0.58906666666666663</v>
      </c>
      <c r="R468" s="473">
        <v>0.48410000000000003</v>
      </c>
      <c r="S468" s="153">
        <v>0.01</v>
      </c>
      <c r="T468" s="153">
        <v>0.02</v>
      </c>
      <c r="U468" s="474">
        <v>2008</v>
      </c>
      <c r="V468">
        <v>2028</v>
      </c>
      <c r="W468">
        <v>0</v>
      </c>
      <c r="X468">
        <v>0</v>
      </c>
      <c r="Y468">
        <v>1315</v>
      </c>
      <c r="Z468">
        <v>361</v>
      </c>
      <c r="AA468" s="475" t="s">
        <v>24</v>
      </c>
    </row>
    <row r="469" spans="1:27" ht="15" hidden="1">
      <c r="A469" s="24">
        <v>1468</v>
      </c>
      <c r="B469" s="24">
        <v>1468</v>
      </c>
      <c r="C469" s="469" t="s">
        <v>863</v>
      </c>
      <c r="D469" t="s">
        <v>146</v>
      </c>
      <c r="E469" s="470">
        <v>1</v>
      </c>
      <c r="F469" s="471">
        <v>47.82</v>
      </c>
      <c r="G469">
        <v>1</v>
      </c>
      <c r="H469">
        <v>1</v>
      </c>
      <c r="I469" s="472">
        <f t="shared" si="22"/>
        <v>0.32845968612834514</v>
      </c>
      <c r="J469" s="153">
        <v>3.8473756479098807E-2</v>
      </c>
      <c r="K469" s="153">
        <v>0.39358026214566905</v>
      </c>
      <c r="L469" s="153">
        <v>0.53857526864315253</v>
      </c>
      <c r="M469" s="153">
        <v>0.3432094572454602</v>
      </c>
      <c r="N469" s="472">
        <f t="shared" si="23"/>
        <v>0.32845968612834514</v>
      </c>
      <c r="O469" s="153">
        <v>3.8473756479098807E-2</v>
      </c>
      <c r="P469" s="153">
        <v>0.39358026214566905</v>
      </c>
      <c r="Q469" s="153">
        <v>0.53857526864315253</v>
      </c>
      <c r="R469" s="153">
        <v>0.3432094572454602</v>
      </c>
      <c r="S469" s="153">
        <v>0.03</v>
      </c>
      <c r="T469" s="153">
        <v>0</v>
      </c>
      <c r="U469" s="474">
        <v>2010</v>
      </c>
      <c r="V469">
        <v>2023</v>
      </c>
      <c r="W469">
        <v>0</v>
      </c>
      <c r="X469">
        <v>0</v>
      </c>
      <c r="Y469">
        <v>1304</v>
      </c>
      <c r="Z469">
        <v>311</v>
      </c>
      <c r="AA469" s="475" t="s">
        <v>23</v>
      </c>
    </row>
    <row r="470" spans="1:27" ht="15" hidden="1">
      <c r="A470" s="24">
        <v>1469</v>
      </c>
      <c r="B470" s="24">
        <v>1469</v>
      </c>
      <c r="C470" s="469" t="s">
        <v>864</v>
      </c>
      <c r="D470" t="s">
        <v>146</v>
      </c>
      <c r="E470" s="470">
        <v>1</v>
      </c>
      <c r="F470" s="471">
        <v>0</v>
      </c>
      <c r="G470">
        <v>1</v>
      </c>
      <c r="H470">
        <v>1</v>
      </c>
      <c r="I470" s="472">
        <f t="shared" si="22"/>
        <v>0.32845968612834514</v>
      </c>
      <c r="J470" s="153">
        <v>3.8473756479098807E-2</v>
      </c>
      <c r="K470" s="153">
        <v>0.39358026214566905</v>
      </c>
      <c r="L470" s="153">
        <v>0.53857526864315253</v>
      </c>
      <c r="M470" s="153">
        <v>0.3432094572454602</v>
      </c>
      <c r="N470" s="472">
        <f t="shared" si="23"/>
        <v>0.32845968612834514</v>
      </c>
      <c r="O470" s="153">
        <v>3.8473756479098807E-2</v>
      </c>
      <c r="P470" s="153">
        <v>0.39358026214566905</v>
      </c>
      <c r="Q470" s="153">
        <v>0.53857526864315253</v>
      </c>
      <c r="R470" s="153">
        <v>0.3432094572454602</v>
      </c>
      <c r="S470" s="153">
        <v>0.03</v>
      </c>
      <c r="T470" s="153">
        <v>0</v>
      </c>
      <c r="U470" s="474">
        <v>1900</v>
      </c>
      <c r="V470">
        <v>2030</v>
      </c>
      <c r="W470">
        <v>0</v>
      </c>
      <c r="X470">
        <v>0</v>
      </c>
      <c r="Y470">
        <v>1304</v>
      </c>
      <c r="Z470">
        <v>311</v>
      </c>
      <c r="AA470" s="475" t="s">
        <v>23</v>
      </c>
    </row>
    <row r="471" spans="1:27" ht="15">
      <c r="A471" s="24">
        <v>1470</v>
      </c>
      <c r="B471" s="24">
        <v>1470</v>
      </c>
      <c r="C471" s="469" t="s">
        <v>865</v>
      </c>
      <c r="D471" t="s">
        <v>152</v>
      </c>
      <c r="E471" s="470">
        <v>3</v>
      </c>
      <c r="F471" s="471">
        <v>20.7</v>
      </c>
      <c r="G471">
        <v>1</v>
      </c>
      <c r="H471">
        <v>1</v>
      </c>
      <c r="I471" s="472">
        <f t="shared" si="22"/>
        <v>0.47039166666666665</v>
      </c>
      <c r="J471" s="473">
        <v>0.36503333333333332</v>
      </c>
      <c r="K471" s="473">
        <v>0.44336666666666663</v>
      </c>
      <c r="L471" s="473">
        <v>0.58906666666666663</v>
      </c>
      <c r="M471" s="473">
        <v>0.48410000000000003</v>
      </c>
      <c r="N471" s="472">
        <f t="shared" si="23"/>
        <v>0.47039166666666665</v>
      </c>
      <c r="O471" s="473">
        <v>0.36503333333333332</v>
      </c>
      <c r="P471" s="473">
        <v>0.44336666666666663</v>
      </c>
      <c r="Q471" s="473">
        <v>0.58906666666666663</v>
      </c>
      <c r="R471" s="473">
        <v>0.48410000000000003</v>
      </c>
      <c r="S471" s="153">
        <v>0.01</v>
      </c>
      <c r="T471" s="153">
        <v>0.02</v>
      </c>
      <c r="U471" s="474">
        <v>2013</v>
      </c>
      <c r="V471">
        <v>2033</v>
      </c>
      <c r="W471">
        <v>0</v>
      </c>
      <c r="X471">
        <v>0</v>
      </c>
      <c r="Y471">
        <v>1315</v>
      </c>
      <c r="Z471">
        <v>361</v>
      </c>
      <c r="AA471" s="475" t="s">
        <v>24</v>
      </c>
    </row>
    <row r="472" spans="1:27" ht="15">
      <c r="A472" s="24">
        <v>1471</v>
      </c>
      <c r="B472" s="24">
        <v>1471</v>
      </c>
      <c r="C472" s="469" t="s">
        <v>866</v>
      </c>
      <c r="D472" t="s">
        <v>152</v>
      </c>
      <c r="E472" s="470">
        <v>3</v>
      </c>
      <c r="F472" s="471">
        <v>30.24</v>
      </c>
      <c r="G472">
        <v>1</v>
      </c>
      <c r="H472">
        <v>1</v>
      </c>
      <c r="I472" s="472">
        <f t="shared" si="22"/>
        <v>0.47039166666666665</v>
      </c>
      <c r="J472" s="473">
        <v>0.36503333333333332</v>
      </c>
      <c r="K472" s="473">
        <v>0.44336666666666663</v>
      </c>
      <c r="L472" s="473">
        <v>0.58906666666666663</v>
      </c>
      <c r="M472" s="473">
        <v>0.48410000000000003</v>
      </c>
      <c r="N472" s="472">
        <f t="shared" si="23"/>
        <v>0.47039166666666665</v>
      </c>
      <c r="O472" s="473">
        <v>0.36503333333333332</v>
      </c>
      <c r="P472" s="473">
        <v>0.44336666666666663</v>
      </c>
      <c r="Q472" s="473">
        <v>0.58906666666666663</v>
      </c>
      <c r="R472" s="473">
        <v>0.48410000000000003</v>
      </c>
      <c r="S472" s="153">
        <v>0.01</v>
      </c>
      <c r="T472" s="153">
        <v>0.02</v>
      </c>
      <c r="U472" s="474">
        <v>2014</v>
      </c>
      <c r="V472">
        <v>2034</v>
      </c>
      <c r="W472">
        <v>0</v>
      </c>
      <c r="X472">
        <v>0</v>
      </c>
      <c r="Y472">
        <v>1315</v>
      </c>
      <c r="Z472">
        <v>361</v>
      </c>
      <c r="AA472" s="475" t="s">
        <v>24</v>
      </c>
    </row>
    <row r="473" spans="1:27" ht="15">
      <c r="A473" s="24">
        <v>1472</v>
      </c>
      <c r="B473" s="24">
        <v>1472</v>
      </c>
      <c r="C473" s="469" t="s">
        <v>867</v>
      </c>
      <c r="D473" t="s">
        <v>152</v>
      </c>
      <c r="E473" s="470">
        <v>3</v>
      </c>
      <c r="F473" s="471">
        <v>24</v>
      </c>
      <c r="G473">
        <v>1</v>
      </c>
      <c r="H473">
        <v>1</v>
      </c>
      <c r="I473" s="472">
        <f t="shared" si="22"/>
        <v>0.47039166666666665</v>
      </c>
      <c r="J473" s="473">
        <v>0.36503333333333332</v>
      </c>
      <c r="K473" s="473">
        <v>0.44336666666666663</v>
      </c>
      <c r="L473" s="473">
        <v>0.58906666666666663</v>
      </c>
      <c r="M473" s="473">
        <v>0.48410000000000003</v>
      </c>
      <c r="N473" s="472">
        <f t="shared" si="23"/>
        <v>0.47039166666666665</v>
      </c>
      <c r="O473" s="473">
        <v>0.36503333333333332</v>
      </c>
      <c r="P473" s="473">
        <v>0.44336666666666663</v>
      </c>
      <c r="Q473" s="473">
        <v>0.58906666666666663</v>
      </c>
      <c r="R473" s="473">
        <v>0.48410000000000003</v>
      </c>
      <c r="S473" s="153">
        <v>0.01</v>
      </c>
      <c r="T473" s="153">
        <v>0.02</v>
      </c>
      <c r="U473" s="474">
        <v>2012</v>
      </c>
      <c r="V473">
        <v>2032</v>
      </c>
      <c r="W473">
        <v>0</v>
      </c>
      <c r="X473">
        <v>0</v>
      </c>
      <c r="Y473">
        <v>1315</v>
      </c>
      <c r="Z473">
        <v>361</v>
      </c>
      <c r="AA473" s="475" t="s">
        <v>24</v>
      </c>
    </row>
    <row r="474" spans="1:27" ht="15">
      <c r="A474" s="24">
        <v>1473</v>
      </c>
      <c r="B474" s="24">
        <v>1473</v>
      </c>
      <c r="C474" s="469" t="s">
        <v>868</v>
      </c>
      <c r="D474" t="s">
        <v>152</v>
      </c>
      <c r="E474" s="470">
        <v>3</v>
      </c>
      <c r="F474" s="471">
        <v>4.25</v>
      </c>
      <c r="G474">
        <v>1</v>
      </c>
      <c r="H474">
        <v>1</v>
      </c>
      <c r="I474" s="472">
        <f t="shared" si="22"/>
        <v>0.47039166666666665</v>
      </c>
      <c r="J474" s="473">
        <v>0.36503333333333332</v>
      </c>
      <c r="K474" s="473">
        <v>0.44336666666666663</v>
      </c>
      <c r="L474" s="473">
        <v>0.58906666666666663</v>
      </c>
      <c r="M474" s="473">
        <v>0.48410000000000003</v>
      </c>
      <c r="N474" s="472">
        <f t="shared" si="23"/>
        <v>0.47039166666666665</v>
      </c>
      <c r="O474" s="473">
        <v>0.36503333333333332</v>
      </c>
      <c r="P474" s="473">
        <v>0.44336666666666663</v>
      </c>
      <c r="Q474" s="473">
        <v>0.58906666666666663</v>
      </c>
      <c r="R474" s="473">
        <v>0.48410000000000003</v>
      </c>
      <c r="S474" s="153">
        <v>0.01</v>
      </c>
      <c r="T474" s="153">
        <v>0.02</v>
      </c>
      <c r="U474" s="474">
        <v>2010</v>
      </c>
      <c r="V474">
        <v>2030</v>
      </c>
      <c r="W474">
        <v>0</v>
      </c>
      <c r="X474">
        <v>0</v>
      </c>
      <c r="Y474">
        <v>1315</v>
      </c>
      <c r="Z474">
        <v>361</v>
      </c>
      <c r="AA474" s="475" t="s">
        <v>24</v>
      </c>
    </row>
    <row r="475" spans="1:27" ht="15">
      <c r="A475" s="24">
        <v>1474</v>
      </c>
      <c r="B475" s="24">
        <v>1474</v>
      </c>
      <c r="C475" s="469" t="s">
        <v>869</v>
      </c>
      <c r="D475" t="s">
        <v>152</v>
      </c>
      <c r="E475" s="470">
        <v>3</v>
      </c>
      <c r="F475" s="471">
        <v>27.2</v>
      </c>
      <c r="G475">
        <v>1</v>
      </c>
      <c r="H475">
        <v>1</v>
      </c>
      <c r="I475" s="472">
        <f t="shared" si="22"/>
        <v>0.47039166666666665</v>
      </c>
      <c r="J475" s="473">
        <v>0.36503333333333332</v>
      </c>
      <c r="K475" s="473">
        <v>0.44336666666666663</v>
      </c>
      <c r="L475" s="473">
        <v>0.58906666666666663</v>
      </c>
      <c r="M475" s="473">
        <v>0.48410000000000003</v>
      </c>
      <c r="N475" s="472">
        <f t="shared" si="23"/>
        <v>0.47039166666666665</v>
      </c>
      <c r="O475" s="473">
        <v>0.36503333333333332</v>
      </c>
      <c r="P475" s="473">
        <v>0.44336666666666663</v>
      </c>
      <c r="Q475" s="473">
        <v>0.58906666666666663</v>
      </c>
      <c r="R475" s="473">
        <v>0.48410000000000003</v>
      </c>
      <c r="S475" s="153">
        <v>0.01</v>
      </c>
      <c r="T475" s="153">
        <v>0.02</v>
      </c>
      <c r="U475" s="474">
        <v>2012</v>
      </c>
      <c r="V475">
        <v>2032</v>
      </c>
      <c r="W475">
        <v>0</v>
      </c>
      <c r="X475">
        <v>0</v>
      </c>
      <c r="Y475">
        <v>1315</v>
      </c>
      <c r="Z475">
        <v>361</v>
      </c>
      <c r="AA475" s="475" t="s">
        <v>24</v>
      </c>
    </row>
    <row r="476" spans="1:27" ht="15" hidden="1">
      <c r="A476" s="24">
        <v>1475</v>
      </c>
      <c r="B476" s="24">
        <v>1475</v>
      </c>
      <c r="C476" s="469" t="s">
        <v>870</v>
      </c>
      <c r="D476" t="s">
        <v>149</v>
      </c>
      <c r="E476" s="470">
        <v>2</v>
      </c>
      <c r="F476" s="471">
        <v>11.2</v>
      </c>
      <c r="G476">
        <v>1</v>
      </c>
      <c r="H476">
        <v>1</v>
      </c>
      <c r="I476" s="472">
        <f t="shared" si="22"/>
        <v>0.40033333333333337</v>
      </c>
      <c r="J476" s="153">
        <v>0.3706666666666667</v>
      </c>
      <c r="K476" s="153">
        <v>0.3666666666666667</v>
      </c>
      <c r="L476" s="153">
        <v>0.44799999999999995</v>
      </c>
      <c r="M476" s="153">
        <v>0.41600000000000009</v>
      </c>
      <c r="N476" s="472">
        <f t="shared" si="23"/>
        <v>0.40033333333333337</v>
      </c>
      <c r="O476" s="153">
        <v>0.3706666666666667</v>
      </c>
      <c r="P476" s="153">
        <v>0.3666666666666667</v>
      </c>
      <c r="Q476" s="153">
        <v>0.44799999999999995</v>
      </c>
      <c r="R476" s="153">
        <v>0.41600000000000009</v>
      </c>
      <c r="S476" s="153">
        <v>0.01</v>
      </c>
      <c r="T476" s="153">
        <v>0.02</v>
      </c>
      <c r="U476" s="474">
        <v>2013</v>
      </c>
      <c r="V476">
        <v>2033</v>
      </c>
      <c r="W476">
        <v>0</v>
      </c>
      <c r="X476">
        <v>0</v>
      </c>
      <c r="Y476">
        <v>1315</v>
      </c>
      <c r="Z476">
        <v>360</v>
      </c>
      <c r="AA476" s="475" t="s">
        <v>24</v>
      </c>
    </row>
    <row r="477" spans="1:27" ht="15">
      <c r="A477" s="24">
        <v>1476</v>
      </c>
      <c r="B477" s="24">
        <v>1476</v>
      </c>
      <c r="C477" s="469" t="s">
        <v>871</v>
      </c>
      <c r="D477" t="s">
        <v>152</v>
      </c>
      <c r="E477" s="470">
        <v>3</v>
      </c>
      <c r="F477" s="471">
        <v>20</v>
      </c>
      <c r="G477">
        <v>1</v>
      </c>
      <c r="H477">
        <v>1</v>
      </c>
      <c r="I477" s="472">
        <f t="shared" si="22"/>
        <v>0.47039166666666665</v>
      </c>
      <c r="J477" s="473">
        <v>0.36503333333333332</v>
      </c>
      <c r="K477" s="473">
        <v>0.44336666666666663</v>
      </c>
      <c r="L477" s="473">
        <v>0.58906666666666663</v>
      </c>
      <c r="M477" s="473">
        <v>0.48410000000000003</v>
      </c>
      <c r="N477" s="472">
        <f t="shared" si="23"/>
        <v>0.47039166666666665</v>
      </c>
      <c r="O477" s="473">
        <v>0.36503333333333332</v>
      </c>
      <c r="P477" s="473">
        <v>0.44336666666666663</v>
      </c>
      <c r="Q477" s="473">
        <v>0.58906666666666663</v>
      </c>
      <c r="R477" s="473">
        <v>0.48410000000000003</v>
      </c>
      <c r="S477" s="153">
        <v>0.01</v>
      </c>
      <c r="T477" s="153">
        <v>0.02</v>
      </c>
      <c r="U477" s="474">
        <v>2014</v>
      </c>
      <c r="V477">
        <v>2034</v>
      </c>
      <c r="W477">
        <v>0</v>
      </c>
      <c r="X477">
        <v>0</v>
      </c>
      <c r="Y477">
        <v>1315</v>
      </c>
      <c r="Z477">
        <v>361</v>
      </c>
      <c r="AA477" s="475" t="s">
        <v>24</v>
      </c>
    </row>
    <row r="478" spans="1:27" ht="15">
      <c r="A478" s="24">
        <v>1477</v>
      </c>
      <c r="B478" s="24">
        <v>1477</v>
      </c>
      <c r="C478" s="469" t="s">
        <v>872</v>
      </c>
      <c r="D478" t="s">
        <v>152</v>
      </c>
      <c r="E478" s="470">
        <v>3</v>
      </c>
      <c r="F478" s="471">
        <v>20</v>
      </c>
      <c r="G478">
        <v>1</v>
      </c>
      <c r="H478">
        <v>1</v>
      </c>
      <c r="I478" s="472">
        <f t="shared" si="22"/>
        <v>0.47039166666666665</v>
      </c>
      <c r="J478" s="473">
        <v>0.36503333333333332</v>
      </c>
      <c r="K478" s="473">
        <v>0.44336666666666663</v>
      </c>
      <c r="L478" s="473">
        <v>0.58906666666666663</v>
      </c>
      <c r="M478" s="473">
        <v>0.48410000000000003</v>
      </c>
      <c r="N478" s="472">
        <f t="shared" si="23"/>
        <v>0.47039166666666665</v>
      </c>
      <c r="O478" s="473">
        <v>0.36503333333333332</v>
      </c>
      <c r="P478" s="473">
        <v>0.44336666666666663</v>
      </c>
      <c r="Q478" s="473">
        <v>0.58906666666666663</v>
      </c>
      <c r="R478" s="473">
        <v>0.48410000000000003</v>
      </c>
      <c r="S478" s="153">
        <v>0.01</v>
      </c>
      <c r="T478" s="153">
        <v>0.02</v>
      </c>
      <c r="U478" s="474">
        <v>2014</v>
      </c>
      <c r="V478">
        <v>2034</v>
      </c>
      <c r="W478">
        <v>0</v>
      </c>
      <c r="X478">
        <v>0</v>
      </c>
      <c r="Y478">
        <v>1315</v>
      </c>
      <c r="Z478">
        <v>361</v>
      </c>
      <c r="AA478" s="475" t="s">
        <v>24</v>
      </c>
    </row>
    <row r="479" spans="1:27" ht="15">
      <c r="A479" s="24">
        <v>1478</v>
      </c>
      <c r="B479" s="24">
        <v>1478</v>
      </c>
      <c r="C479" s="469" t="s">
        <v>873</v>
      </c>
      <c r="D479" t="s">
        <v>152</v>
      </c>
      <c r="E479" s="470">
        <v>3</v>
      </c>
      <c r="F479" s="471">
        <v>6.4</v>
      </c>
      <c r="G479">
        <v>1</v>
      </c>
      <c r="H479">
        <v>1</v>
      </c>
      <c r="I479" s="472">
        <f t="shared" si="22"/>
        <v>0.47039166666666665</v>
      </c>
      <c r="J479" s="473">
        <v>0.36503333333333332</v>
      </c>
      <c r="K479" s="473">
        <v>0.44336666666666663</v>
      </c>
      <c r="L479" s="473">
        <v>0.58906666666666663</v>
      </c>
      <c r="M479" s="473">
        <v>0.48410000000000003</v>
      </c>
      <c r="N479" s="472">
        <f t="shared" si="23"/>
        <v>0.47039166666666665</v>
      </c>
      <c r="O479" s="473">
        <v>0.36503333333333332</v>
      </c>
      <c r="P479" s="473">
        <v>0.44336666666666663</v>
      </c>
      <c r="Q479" s="473">
        <v>0.58906666666666663</v>
      </c>
      <c r="R479" s="473">
        <v>0.48410000000000003</v>
      </c>
      <c r="S479" s="153">
        <v>0.01</v>
      </c>
      <c r="T479" s="153">
        <v>0.02</v>
      </c>
      <c r="U479" s="474">
        <v>2012</v>
      </c>
      <c r="V479">
        <v>2032</v>
      </c>
      <c r="W479">
        <v>0</v>
      </c>
      <c r="X479">
        <v>0</v>
      </c>
      <c r="Y479">
        <v>1315</v>
      </c>
      <c r="Z479">
        <v>361</v>
      </c>
      <c r="AA479" s="475" t="s">
        <v>24</v>
      </c>
    </row>
    <row r="480" spans="1:27" ht="15">
      <c r="A480" s="24">
        <v>1479</v>
      </c>
      <c r="B480" s="24">
        <v>1479</v>
      </c>
      <c r="C480" s="469" t="s">
        <v>874</v>
      </c>
      <c r="D480" t="s">
        <v>152</v>
      </c>
      <c r="E480" s="470">
        <v>3</v>
      </c>
      <c r="F480" s="471">
        <v>28.8</v>
      </c>
      <c r="G480">
        <v>1</v>
      </c>
      <c r="H480">
        <v>1</v>
      </c>
      <c r="I480" s="472">
        <f t="shared" si="22"/>
        <v>0.47039166666666665</v>
      </c>
      <c r="J480" s="473">
        <v>0.36503333333333332</v>
      </c>
      <c r="K480" s="473">
        <v>0.44336666666666663</v>
      </c>
      <c r="L480" s="473">
        <v>0.58906666666666663</v>
      </c>
      <c r="M480" s="473">
        <v>0.48410000000000003</v>
      </c>
      <c r="N480" s="472">
        <f t="shared" si="23"/>
        <v>0.47039166666666665</v>
      </c>
      <c r="O480" s="473">
        <v>0.36503333333333332</v>
      </c>
      <c r="P480" s="473">
        <v>0.44336666666666663</v>
      </c>
      <c r="Q480" s="473">
        <v>0.58906666666666663</v>
      </c>
      <c r="R480" s="473">
        <v>0.48410000000000003</v>
      </c>
      <c r="S480" s="153">
        <v>0.01</v>
      </c>
      <c r="T480" s="153">
        <v>0.02</v>
      </c>
      <c r="U480" s="474">
        <v>2010</v>
      </c>
      <c r="V480">
        <v>2030</v>
      </c>
      <c r="W480">
        <v>0</v>
      </c>
      <c r="X480">
        <v>0</v>
      </c>
      <c r="Y480">
        <v>1315</v>
      </c>
      <c r="Z480">
        <v>361</v>
      </c>
      <c r="AA480" s="475" t="s">
        <v>24</v>
      </c>
    </row>
    <row r="481" spans="1:27" ht="15">
      <c r="A481" s="24">
        <v>1480</v>
      </c>
      <c r="B481" s="24">
        <v>1480</v>
      </c>
      <c r="C481" s="469" t="s">
        <v>875</v>
      </c>
      <c r="D481" t="s">
        <v>152</v>
      </c>
      <c r="E481" s="470">
        <v>3</v>
      </c>
      <c r="F481" s="471">
        <v>104.4</v>
      </c>
      <c r="G481">
        <v>1</v>
      </c>
      <c r="H481">
        <v>1</v>
      </c>
      <c r="I481" s="472">
        <f t="shared" si="22"/>
        <v>0.47039166666666665</v>
      </c>
      <c r="J481" s="473">
        <v>0.36503333333333332</v>
      </c>
      <c r="K481" s="473">
        <v>0.44336666666666663</v>
      </c>
      <c r="L481" s="473">
        <v>0.58906666666666663</v>
      </c>
      <c r="M481" s="473">
        <v>0.48410000000000003</v>
      </c>
      <c r="N481" s="472">
        <f t="shared" si="23"/>
        <v>0.47039166666666665</v>
      </c>
      <c r="O481" s="473">
        <v>0.36503333333333332</v>
      </c>
      <c r="P481" s="473">
        <v>0.44336666666666663</v>
      </c>
      <c r="Q481" s="473">
        <v>0.58906666666666663</v>
      </c>
      <c r="R481" s="473">
        <v>0.48410000000000003</v>
      </c>
      <c r="S481" s="153">
        <v>0.01</v>
      </c>
      <c r="T481" s="153">
        <v>0.02</v>
      </c>
      <c r="U481" s="474">
        <v>2009</v>
      </c>
      <c r="V481">
        <v>2029</v>
      </c>
      <c r="W481">
        <v>0</v>
      </c>
      <c r="X481">
        <v>0</v>
      </c>
      <c r="Y481">
        <v>1315</v>
      </c>
      <c r="Z481">
        <v>361</v>
      </c>
      <c r="AA481" s="475" t="s">
        <v>24</v>
      </c>
    </row>
    <row r="482" spans="1:27" ht="15">
      <c r="A482" s="24">
        <v>1481</v>
      </c>
      <c r="B482" s="24">
        <v>1481</v>
      </c>
      <c r="C482" s="469" t="s">
        <v>876</v>
      </c>
      <c r="D482" t="s">
        <v>152</v>
      </c>
      <c r="E482" s="470">
        <v>3</v>
      </c>
      <c r="F482" s="471">
        <v>28.8</v>
      </c>
      <c r="G482">
        <v>1</v>
      </c>
      <c r="H482">
        <v>1</v>
      </c>
      <c r="I482" s="472">
        <f t="shared" si="22"/>
        <v>0.47039166666666665</v>
      </c>
      <c r="J482" s="473">
        <v>0.36503333333333332</v>
      </c>
      <c r="K482" s="473">
        <v>0.44336666666666663</v>
      </c>
      <c r="L482" s="473">
        <v>0.58906666666666663</v>
      </c>
      <c r="M482" s="473">
        <v>0.48410000000000003</v>
      </c>
      <c r="N482" s="472">
        <f t="shared" si="23"/>
        <v>0.47039166666666665</v>
      </c>
      <c r="O482" s="473">
        <v>0.36503333333333332</v>
      </c>
      <c r="P482" s="473">
        <v>0.44336666666666663</v>
      </c>
      <c r="Q482" s="473">
        <v>0.58906666666666663</v>
      </c>
      <c r="R482" s="473">
        <v>0.48410000000000003</v>
      </c>
      <c r="S482" s="153">
        <v>0.01</v>
      </c>
      <c r="T482" s="153">
        <v>0.02</v>
      </c>
      <c r="U482" s="474">
        <v>2009</v>
      </c>
      <c r="V482">
        <v>2029</v>
      </c>
      <c r="W482">
        <v>0</v>
      </c>
      <c r="X482">
        <v>0</v>
      </c>
      <c r="Y482">
        <v>1315</v>
      </c>
      <c r="Z482">
        <v>361</v>
      </c>
      <c r="AA482" s="475" t="s">
        <v>24</v>
      </c>
    </row>
    <row r="483" spans="1:27" ht="15">
      <c r="A483" s="24">
        <v>1482</v>
      </c>
      <c r="B483" s="24">
        <v>1482</v>
      </c>
      <c r="C483" s="469" t="s">
        <v>877</v>
      </c>
      <c r="D483" t="s">
        <v>152</v>
      </c>
      <c r="E483" s="470">
        <v>3</v>
      </c>
      <c r="F483" s="471">
        <v>4.5</v>
      </c>
      <c r="G483">
        <v>1</v>
      </c>
      <c r="H483">
        <v>1</v>
      </c>
      <c r="I483" s="472">
        <f t="shared" si="22"/>
        <v>0.47039166666666665</v>
      </c>
      <c r="J483" s="473">
        <v>0.36503333333333332</v>
      </c>
      <c r="K483" s="473">
        <v>0.44336666666666663</v>
      </c>
      <c r="L483" s="473">
        <v>0.58906666666666663</v>
      </c>
      <c r="M483" s="473">
        <v>0.48410000000000003</v>
      </c>
      <c r="N483" s="472">
        <f t="shared" si="23"/>
        <v>0.47039166666666665</v>
      </c>
      <c r="O483" s="473">
        <v>0.36503333333333332</v>
      </c>
      <c r="P483" s="473">
        <v>0.44336666666666663</v>
      </c>
      <c r="Q483" s="473">
        <v>0.58906666666666663</v>
      </c>
      <c r="R483" s="473">
        <v>0.48410000000000003</v>
      </c>
      <c r="S483" s="153">
        <v>0.01</v>
      </c>
      <c r="T483" s="153">
        <v>0.02</v>
      </c>
      <c r="U483" s="474">
        <v>2009</v>
      </c>
      <c r="V483">
        <v>2029</v>
      </c>
      <c r="W483">
        <v>0</v>
      </c>
      <c r="X483">
        <v>0</v>
      </c>
      <c r="Y483">
        <v>1315</v>
      </c>
      <c r="Z483">
        <v>361</v>
      </c>
      <c r="AA483" s="475" t="s">
        <v>24</v>
      </c>
    </row>
    <row r="484" spans="1:27" ht="15" hidden="1">
      <c r="A484" s="24">
        <v>1483</v>
      </c>
      <c r="B484" s="24">
        <v>1483</v>
      </c>
      <c r="C484" s="469" t="s">
        <v>878</v>
      </c>
      <c r="D484" t="s">
        <v>149</v>
      </c>
      <c r="E484" s="470">
        <v>2</v>
      </c>
      <c r="F484" s="471">
        <v>30</v>
      </c>
      <c r="G484">
        <v>1</v>
      </c>
      <c r="H484">
        <v>1</v>
      </c>
      <c r="I484" s="472">
        <f t="shared" si="22"/>
        <v>0.40033333333333337</v>
      </c>
      <c r="J484" s="153">
        <v>0.3706666666666667</v>
      </c>
      <c r="K484" s="153">
        <v>0.3666666666666667</v>
      </c>
      <c r="L484" s="153">
        <v>0.44799999999999995</v>
      </c>
      <c r="M484" s="153">
        <v>0.41600000000000009</v>
      </c>
      <c r="N484" s="472">
        <f t="shared" si="23"/>
        <v>0.40033333333333337</v>
      </c>
      <c r="O484" s="153">
        <v>0.3706666666666667</v>
      </c>
      <c r="P484" s="153">
        <v>0.3666666666666667</v>
      </c>
      <c r="Q484" s="153">
        <v>0.44799999999999995</v>
      </c>
      <c r="R484" s="153">
        <v>0.41600000000000009</v>
      </c>
      <c r="S484" s="153">
        <v>0.01</v>
      </c>
      <c r="T484" s="153">
        <v>0.02</v>
      </c>
      <c r="U484" s="474">
        <v>2011</v>
      </c>
      <c r="V484">
        <v>2031</v>
      </c>
      <c r="W484">
        <v>0</v>
      </c>
      <c r="X484">
        <v>0</v>
      </c>
      <c r="Y484">
        <v>1315</v>
      </c>
      <c r="Z484">
        <v>360</v>
      </c>
      <c r="AA484" s="475" t="s">
        <v>24</v>
      </c>
    </row>
    <row r="485" spans="1:27" ht="15">
      <c r="A485" s="24">
        <v>1484</v>
      </c>
      <c r="B485" s="24">
        <v>1484</v>
      </c>
      <c r="C485" s="469" t="s">
        <v>879</v>
      </c>
      <c r="D485" t="s">
        <v>152</v>
      </c>
      <c r="E485" s="470">
        <v>3</v>
      </c>
      <c r="F485" s="471">
        <v>25.5</v>
      </c>
      <c r="G485">
        <v>1</v>
      </c>
      <c r="H485">
        <v>1</v>
      </c>
      <c r="I485" s="472">
        <f t="shared" si="22"/>
        <v>0.47039166666666665</v>
      </c>
      <c r="J485" s="473">
        <v>0.36503333333333332</v>
      </c>
      <c r="K485" s="473">
        <v>0.44336666666666663</v>
      </c>
      <c r="L485" s="473">
        <v>0.58906666666666663</v>
      </c>
      <c r="M485" s="473">
        <v>0.48410000000000003</v>
      </c>
      <c r="N485" s="472">
        <f t="shared" si="23"/>
        <v>0.47039166666666665</v>
      </c>
      <c r="O485" s="473">
        <v>0.36503333333333332</v>
      </c>
      <c r="P485" s="473">
        <v>0.44336666666666663</v>
      </c>
      <c r="Q485" s="473">
        <v>0.58906666666666663</v>
      </c>
      <c r="R485" s="473">
        <v>0.48410000000000003</v>
      </c>
      <c r="S485" s="153">
        <v>0.01</v>
      </c>
      <c r="T485" s="153">
        <v>0.02</v>
      </c>
      <c r="U485" s="474">
        <v>2012</v>
      </c>
      <c r="V485">
        <v>2032</v>
      </c>
      <c r="W485">
        <v>0</v>
      </c>
      <c r="X485">
        <v>0</v>
      </c>
      <c r="Y485">
        <v>1315</v>
      </c>
      <c r="Z485">
        <v>361</v>
      </c>
      <c r="AA485" s="475" t="s">
        <v>24</v>
      </c>
    </row>
    <row r="486" spans="1:27" ht="15" hidden="1">
      <c r="A486" s="24">
        <v>1485</v>
      </c>
      <c r="B486" s="24">
        <v>1485</v>
      </c>
      <c r="C486" s="469" t="s">
        <v>880</v>
      </c>
      <c r="D486" t="s">
        <v>149</v>
      </c>
      <c r="E486" s="470">
        <v>2</v>
      </c>
      <c r="F486" s="471">
        <v>22</v>
      </c>
      <c r="G486">
        <v>1</v>
      </c>
      <c r="H486">
        <v>1</v>
      </c>
      <c r="I486" s="472">
        <f t="shared" si="22"/>
        <v>0.40033333333333337</v>
      </c>
      <c r="J486" s="153">
        <v>0.3706666666666667</v>
      </c>
      <c r="K486" s="153">
        <v>0.3666666666666667</v>
      </c>
      <c r="L486" s="153">
        <v>0.44799999999999995</v>
      </c>
      <c r="M486" s="153">
        <v>0.41600000000000009</v>
      </c>
      <c r="N486" s="472">
        <f t="shared" si="23"/>
        <v>0.40033333333333337</v>
      </c>
      <c r="O486" s="153">
        <v>0.3706666666666667</v>
      </c>
      <c r="P486" s="153">
        <v>0.3666666666666667</v>
      </c>
      <c r="Q486" s="153">
        <v>0.44799999999999995</v>
      </c>
      <c r="R486" s="153">
        <v>0.41600000000000009</v>
      </c>
      <c r="S486" s="153">
        <v>0.01</v>
      </c>
      <c r="T486" s="153">
        <v>0.02</v>
      </c>
      <c r="U486" s="474">
        <v>2013</v>
      </c>
      <c r="V486">
        <v>2033</v>
      </c>
      <c r="W486">
        <v>0</v>
      </c>
      <c r="X486">
        <v>0</v>
      </c>
      <c r="Y486">
        <v>1315</v>
      </c>
      <c r="Z486">
        <v>360</v>
      </c>
      <c r="AA486" s="475" t="s">
        <v>24</v>
      </c>
    </row>
    <row r="487" spans="1:27" ht="15" hidden="1">
      <c r="A487" s="24">
        <v>1486</v>
      </c>
      <c r="B487" s="24">
        <v>1486</v>
      </c>
      <c r="C487" s="469" t="s">
        <v>881</v>
      </c>
      <c r="D487" t="s">
        <v>149</v>
      </c>
      <c r="E487" s="470">
        <v>2</v>
      </c>
      <c r="F487" s="471">
        <v>20</v>
      </c>
      <c r="G487">
        <v>1</v>
      </c>
      <c r="H487">
        <v>1</v>
      </c>
      <c r="I487" s="472">
        <f t="shared" si="22"/>
        <v>0.40033333333333337</v>
      </c>
      <c r="J487" s="153">
        <v>0.3706666666666667</v>
      </c>
      <c r="K487" s="153">
        <v>0.3666666666666667</v>
      </c>
      <c r="L487" s="153">
        <v>0.44799999999999995</v>
      </c>
      <c r="M487" s="153">
        <v>0.41600000000000009</v>
      </c>
      <c r="N487" s="472">
        <f t="shared" si="23"/>
        <v>0.40033333333333337</v>
      </c>
      <c r="O487" s="153">
        <v>0.3706666666666667</v>
      </c>
      <c r="P487" s="153">
        <v>0.3666666666666667</v>
      </c>
      <c r="Q487" s="153">
        <v>0.44799999999999995</v>
      </c>
      <c r="R487" s="153">
        <v>0.41600000000000009</v>
      </c>
      <c r="S487" s="153">
        <v>0.01</v>
      </c>
      <c r="T487" s="153">
        <v>0.02</v>
      </c>
      <c r="U487" s="474">
        <v>2013</v>
      </c>
      <c r="V487">
        <v>2033</v>
      </c>
      <c r="W487">
        <v>0</v>
      </c>
      <c r="X487">
        <v>0</v>
      </c>
      <c r="Y487">
        <v>1315</v>
      </c>
      <c r="Z487">
        <v>360</v>
      </c>
      <c r="AA487" s="475" t="s">
        <v>24</v>
      </c>
    </row>
    <row r="488" spans="1:27" ht="15" hidden="1">
      <c r="A488" s="24">
        <v>1487</v>
      </c>
      <c r="B488" s="24">
        <v>1487</v>
      </c>
      <c r="C488" s="469" t="s">
        <v>882</v>
      </c>
      <c r="D488" t="s">
        <v>149</v>
      </c>
      <c r="E488" s="470">
        <v>2</v>
      </c>
      <c r="F488" s="471">
        <v>22</v>
      </c>
      <c r="G488">
        <v>1</v>
      </c>
      <c r="H488">
        <v>1</v>
      </c>
      <c r="I488" s="472">
        <f t="shared" si="22"/>
        <v>0.40033333333333337</v>
      </c>
      <c r="J488" s="153">
        <v>0.3706666666666667</v>
      </c>
      <c r="K488" s="153">
        <v>0.3666666666666667</v>
      </c>
      <c r="L488" s="153">
        <v>0.44799999999999995</v>
      </c>
      <c r="M488" s="153">
        <v>0.41600000000000009</v>
      </c>
      <c r="N488" s="472">
        <f t="shared" si="23"/>
        <v>0.40033333333333337</v>
      </c>
      <c r="O488" s="153">
        <v>0.3706666666666667</v>
      </c>
      <c r="P488" s="153">
        <v>0.3666666666666667</v>
      </c>
      <c r="Q488" s="153">
        <v>0.44799999999999995</v>
      </c>
      <c r="R488" s="153">
        <v>0.41600000000000009</v>
      </c>
      <c r="S488" s="153">
        <v>0.01</v>
      </c>
      <c r="T488" s="153">
        <v>0.02</v>
      </c>
      <c r="U488" s="474">
        <v>2013</v>
      </c>
      <c r="V488">
        <v>2033</v>
      </c>
      <c r="W488">
        <v>0</v>
      </c>
      <c r="X488">
        <v>0</v>
      </c>
      <c r="Y488">
        <v>1315</v>
      </c>
      <c r="Z488">
        <v>360</v>
      </c>
      <c r="AA488" s="475" t="s">
        <v>24</v>
      </c>
    </row>
    <row r="489" spans="1:27" ht="15">
      <c r="A489" s="24">
        <v>1488</v>
      </c>
      <c r="B489" s="24">
        <v>1488</v>
      </c>
      <c r="C489" s="469" t="s">
        <v>883</v>
      </c>
      <c r="D489" t="s">
        <v>152</v>
      </c>
      <c r="E489" s="470">
        <v>3</v>
      </c>
      <c r="F489" s="471">
        <v>55.11</v>
      </c>
      <c r="G489">
        <v>1</v>
      </c>
      <c r="H489">
        <v>1</v>
      </c>
      <c r="I489" s="472">
        <f t="shared" si="22"/>
        <v>0.47039166666666665</v>
      </c>
      <c r="J489" s="473">
        <v>0.36503333333333332</v>
      </c>
      <c r="K489" s="473">
        <v>0.44336666666666663</v>
      </c>
      <c r="L489" s="473">
        <v>0.58906666666666663</v>
      </c>
      <c r="M489" s="473">
        <v>0.48410000000000003</v>
      </c>
      <c r="N489" s="472">
        <f t="shared" si="23"/>
        <v>0.47039166666666665</v>
      </c>
      <c r="O489" s="473">
        <v>0.36503333333333332</v>
      </c>
      <c r="P489" s="473">
        <v>0.44336666666666663</v>
      </c>
      <c r="Q489" s="473">
        <v>0.58906666666666663</v>
      </c>
      <c r="R489" s="473">
        <v>0.48410000000000003</v>
      </c>
      <c r="S489" s="153">
        <v>0.01</v>
      </c>
      <c r="T489" s="153">
        <v>0.02</v>
      </c>
      <c r="U489" s="474">
        <v>2012</v>
      </c>
      <c r="V489">
        <v>2032</v>
      </c>
      <c r="W489">
        <v>0</v>
      </c>
      <c r="X489">
        <v>0</v>
      </c>
      <c r="Y489">
        <v>1315</v>
      </c>
      <c r="Z489">
        <v>361</v>
      </c>
      <c r="AA489" s="475" t="s">
        <v>24</v>
      </c>
    </row>
    <row r="490" spans="1:27" ht="15">
      <c r="A490" s="24">
        <v>1489</v>
      </c>
      <c r="B490" s="24">
        <v>1489</v>
      </c>
      <c r="C490" s="469" t="s">
        <v>884</v>
      </c>
      <c r="D490" t="s">
        <v>152</v>
      </c>
      <c r="E490" s="470">
        <v>3</v>
      </c>
      <c r="F490" s="471">
        <v>60.12</v>
      </c>
      <c r="G490">
        <v>1</v>
      </c>
      <c r="H490">
        <v>1</v>
      </c>
      <c r="I490" s="472">
        <f t="shared" si="22"/>
        <v>0.47039166666666665</v>
      </c>
      <c r="J490" s="473">
        <v>0.36503333333333332</v>
      </c>
      <c r="K490" s="473">
        <v>0.44336666666666663</v>
      </c>
      <c r="L490" s="473">
        <v>0.58906666666666663</v>
      </c>
      <c r="M490" s="473">
        <v>0.48410000000000003</v>
      </c>
      <c r="N490" s="472">
        <f t="shared" si="23"/>
        <v>0.47039166666666665</v>
      </c>
      <c r="O490" s="473">
        <v>0.36503333333333332</v>
      </c>
      <c r="P490" s="473">
        <v>0.44336666666666663</v>
      </c>
      <c r="Q490" s="473">
        <v>0.58906666666666663</v>
      </c>
      <c r="R490" s="473">
        <v>0.48410000000000003</v>
      </c>
      <c r="S490" s="153">
        <v>0.01</v>
      </c>
      <c r="T490" s="153">
        <v>0.02</v>
      </c>
      <c r="U490" s="474">
        <v>2012</v>
      </c>
      <c r="V490">
        <v>2032</v>
      </c>
      <c r="W490">
        <v>0</v>
      </c>
      <c r="X490">
        <v>0</v>
      </c>
      <c r="Y490">
        <v>1315</v>
      </c>
      <c r="Z490">
        <v>361</v>
      </c>
      <c r="AA490" s="475" t="s">
        <v>24</v>
      </c>
    </row>
    <row r="491" spans="1:27" ht="15">
      <c r="A491" s="24">
        <v>1490</v>
      </c>
      <c r="B491" s="24">
        <v>1490</v>
      </c>
      <c r="C491" s="469" t="s">
        <v>885</v>
      </c>
      <c r="D491" t="s">
        <v>152</v>
      </c>
      <c r="E491" s="470">
        <v>3</v>
      </c>
      <c r="F491" s="471">
        <v>30</v>
      </c>
      <c r="G491">
        <v>1</v>
      </c>
      <c r="H491">
        <v>1</v>
      </c>
      <c r="I491" s="472">
        <f t="shared" si="22"/>
        <v>0.47039166666666665</v>
      </c>
      <c r="J491" s="473">
        <v>0.36503333333333332</v>
      </c>
      <c r="K491" s="473">
        <v>0.44336666666666663</v>
      </c>
      <c r="L491" s="473">
        <v>0.58906666666666663</v>
      </c>
      <c r="M491" s="473">
        <v>0.48410000000000003</v>
      </c>
      <c r="N491" s="472">
        <f t="shared" si="23"/>
        <v>0.47039166666666665</v>
      </c>
      <c r="O491" s="473">
        <v>0.36503333333333332</v>
      </c>
      <c r="P491" s="473">
        <v>0.44336666666666663</v>
      </c>
      <c r="Q491" s="473">
        <v>0.58906666666666663</v>
      </c>
      <c r="R491" s="473">
        <v>0.48410000000000003</v>
      </c>
      <c r="S491" s="153">
        <v>0.01</v>
      </c>
      <c r="T491" s="153">
        <v>0.02</v>
      </c>
      <c r="U491" s="474">
        <v>2013</v>
      </c>
      <c r="V491">
        <v>2033</v>
      </c>
      <c r="W491">
        <v>0</v>
      </c>
      <c r="X491">
        <v>0</v>
      </c>
      <c r="Y491">
        <v>1315</v>
      </c>
      <c r="Z491">
        <v>361</v>
      </c>
      <c r="AA491" s="475" t="s">
        <v>24</v>
      </c>
    </row>
    <row r="492" spans="1:27" ht="15">
      <c r="A492" s="24">
        <v>1491</v>
      </c>
      <c r="B492" s="24">
        <v>1491</v>
      </c>
      <c r="C492" s="469" t="s">
        <v>886</v>
      </c>
      <c r="D492" t="s">
        <v>152</v>
      </c>
      <c r="E492" s="470">
        <v>3</v>
      </c>
      <c r="F492" s="471">
        <v>30</v>
      </c>
      <c r="G492">
        <v>1</v>
      </c>
      <c r="H492">
        <v>1</v>
      </c>
      <c r="I492" s="472">
        <f t="shared" si="22"/>
        <v>0.47039166666666665</v>
      </c>
      <c r="J492" s="473">
        <v>0.36503333333333332</v>
      </c>
      <c r="K492" s="473">
        <v>0.44336666666666663</v>
      </c>
      <c r="L492" s="473">
        <v>0.58906666666666663</v>
      </c>
      <c r="M492" s="473">
        <v>0.48410000000000003</v>
      </c>
      <c r="N492" s="472">
        <f t="shared" si="23"/>
        <v>0.47039166666666665</v>
      </c>
      <c r="O492" s="473">
        <v>0.36503333333333332</v>
      </c>
      <c r="P492" s="473">
        <v>0.44336666666666663</v>
      </c>
      <c r="Q492" s="473">
        <v>0.58906666666666663</v>
      </c>
      <c r="R492" s="473">
        <v>0.48410000000000003</v>
      </c>
      <c r="S492" s="153">
        <v>0.01</v>
      </c>
      <c r="T492" s="153">
        <v>0.02</v>
      </c>
      <c r="U492" s="474">
        <v>2013</v>
      </c>
      <c r="V492">
        <v>2033</v>
      </c>
      <c r="W492">
        <v>0</v>
      </c>
      <c r="X492">
        <v>0</v>
      </c>
      <c r="Y492">
        <v>1315</v>
      </c>
      <c r="Z492">
        <v>361</v>
      </c>
      <c r="AA492" s="475" t="s">
        <v>24</v>
      </c>
    </row>
    <row r="493" spans="1:27" ht="15">
      <c r="A493" s="24">
        <v>1492</v>
      </c>
      <c r="B493" s="24">
        <v>1492</v>
      </c>
      <c r="C493" s="469" t="s">
        <v>887</v>
      </c>
      <c r="D493" t="s">
        <v>152</v>
      </c>
      <c r="E493" s="470">
        <v>3</v>
      </c>
      <c r="F493" s="471">
        <v>30</v>
      </c>
      <c r="G493">
        <v>1</v>
      </c>
      <c r="H493">
        <v>1</v>
      </c>
      <c r="I493" s="472">
        <f t="shared" si="22"/>
        <v>0.47039166666666665</v>
      </c>
      <c r="J493" s="473">
        <v>0.36503333333333332</v>
      </c>
      <c r="K493" s="473">
        <v>0.44336666666666663</v>
      </c>
      <c r="L493" s="473">
        <v>0.58906666666666663</v>
      </c>
      <c r="M493" s="473">
        <v>0.48410000000000003</v>
      </c>
      <c r="N493" s="472">
        <f t="shared" si="23"/>
        <v>0.47039166666666665</v>
      </c>
      <c r="O493" s="473">
        <v>0.36503333333333332</v>
      </c>
      <c r="P493" s="473">
        <v>0.44336666666666663</v>
      </c>
      <c r="Q493" s="473">
        <v>0.58906666666666663</v>
      </c>
      <c r="R493" s="473">
        <v>0.48410000000000003</v>
      </c>
      <c r="S493" s="153">
        <v>0.01</v>
      </c>
      <c r="T493" s="153">
        <v>0.02</v>
      </c>
      <c r="U493" s="474">
        <v>2013</v>
      </c>
      <c r="V493">
        <v>2033</v>
      </c>
      <c r="W493">
        <v>0</v>
      </c>
      <c r="X493">
        <v>0</v>
      </c>
      <c r="Y493">
        <v>1315</v>
      </c>
      <c r="Z493">
        <v>361</v>
      </c>
      <c r="AA493" s="475" t="s">
        <v>24</v>
      </c>
    </row>
    <row r="494" spans="1:27" ht="15">
      <c r="A494" s="24">
        <v>1493</v>
      </c>
      <c r="B494" s="24">
        <v>1493</v>
      </c>
      <c r="C494" s="469" t="s">
        <v>888</v>
      </c>
      <c r="D494" t="s">
        <v>152</v>
      </c>
      <c r="E494" s="470">
        <v>3</v>
      </c>
      <c r="F494" s="471">
        <v>30</v>
      </c>
      <c r="G494">
        <v>1</v>
      </c>
      <c r="H494">
        <v>1</v>
      </c>
      <c r="I494" s="472">
        <f t="shared" si="22"/>
        <v>0.47039166666666665</v>
      </c>
      <c r="J494" s="473">
        <v>0.36503333333333332</v>
      </c>
      <c r="K494" s="473">
        <v>0.44336666666666663</v>
      </c>
      <c r="L494" s="473">
        <v>0.58906666666666663</v>
      </c>
      <c r="M494" s="473">
        <v>0.48410000000000003</v>
      </c>
      <c r="N494" s="472">
        <f t="shared" si="23"/>
        <v>0.47039166666666665</v>
      </c>
      <c r="O494" s="473">
        <v>0.36503333333333332</v>
      </c>
      <c r="P494" s="473">
        <v>0.44336666666666663</v>
      </c>
      <c r="Q494" s="473">
        <v>0.58906666666666663</v>
      </c>
      <c r="R494" s="473">
        <v>0.48410000000000003</v>
      </c>
      <c r="S494" s="153">
        <v>0.01</v>
      </c>
      <c r="T494" s="153">
        <v>0.02</v>
      </c>
      <c r="U494" s="474">
        <v>2013</v>
      </c>
      <c r="V494">
        <v>2033</v>
      </c>
      <c r="W494">
        <v>0</v>
      </c>
      <c r="X494">
        <v>0</v>
      </c>
      <c r="Y494">
        <v>1315</v>
      </c>
      <c r="Z494">
        <v>361</v>
      </c>
      <c r="AA494" s="475" t="s">
        <v>24</v>
      </c>
    </row>
    <row r="495" spans="1:27" ht="15">
      <c r="A495" s="24">
        <v>1494</v>
      </c>
      <c r="B495" s="24">
        <v>1494</v>
      </c>
      <c r="C495" s="469" t="s">
        <v>889</v>
      </c>
      <c r="D495" t="s">
        <v>152</v>
      </c>
      <c r="E495" s="470">
        <v>3</v>
      </c>
      <c r="F495" s="471">
        <v>30</v>
      </c>
      <c r="G495">
        <v>1</v>
      </c>
      <c r="H495">
        <v>1</v>
      </c>
      <c r="I495" s="472">
        <f t="shared" si="22"/>
        <v>0.47039166666666665</v>
      </c>
      <c r="J495" s="473">
        <v>0.36503333333333332</v>
      </c>
      <c r="K495" s="473">
        <v>0.44336666666666663</v>
      </c>
      <c r="L495" s="473">
        <v>0.58906666666666663</v>
      </c>
      <c r="M495" s="473">
        <v>0.48410000000000003</v>
      </c>
      <c r="N495" s="472">
        <f t="shared" si="23"/>
        <v>0.47039166666666665</v>
      </c>
      <c r="O495" s="473">
        <v>0.36503333333333332</v>
      </c>
      <c r="P495" s="473">
        <v>0.44336666666666663</v>
      </c>
      <c r="Q495" s="473">
        <v>0.58906666666666663</v>
      </c>
      <c r="R495" s="473">
        <v>0.48410000000000003</v>
      </c>
      <c r="S495" s="153">
        <v>0.01</v>
      </c>
      <c r="T495" s="153">
        <v>0.02</v>
      </c>
      <c r="U495" s="474">
        <v>2013</v>
      </c>
      <c r="V495">
        <v>2033</v>
      </c>
      <c r="W495">
        <v>0</v>
      </c>
      <c r="X495">
        <v>0</v>
      </c>
      <c r="Y495">
        <v>1315</v>
      </c>
      <c r="Z495">
        <v>361</v>
      </c>
      <c r="AA495" s="475" t="s">
        <v>24</v>
      </c>
    </row>
    <row r="496" spans="1:27" ht="15">
      <c r="A496" s="24">
        <v>1495</v>
      </c>
      <c r="B496" s="24">
        <v>1495</v>
      </c>
      <c r="C496" s="469" t="s">
        <v>890</v>
      </c>
      <c r="D496" t="s">
        <v>152</v>
      </c>
      <c r="E496" s="470">
        <v>3</v>
      </c>
      <c r="F496" s="471">
        <v>29.7</v>
      </c>
      <c r="G496">
        <v>1</v>
      </c>
      <c r="H496">
        <v>1</v>
      </c>
      <c r="I496" s="472">
        <f t="shared" si="22"/>
        <v>0.47039166666666665</v>
      </c>
      <c r="J496" s="473">
        <v>0.36503333333333332</v>
      </c>
      <c r="K496" s="473">
        <v>0.44336666666666663</v>
      </c>
      <c r="L496" s="473">
        <v>0.58906666666666663</v>
      </c>
      <c r="M496" s="473">
        <v>0.48410000000000003</v>
      </c>
      <c r="N496" s="472">
        <f t="shared" si="23"/>
        <v>0.47039166666666665</v>
      </c>
      <c r="O496" s="473">
        <v>0.36503333333333332</v>
      </c>
      <c r="P496" s="473">
        <v>0.44336666666666663</v>
      </c>
      <c r="Q496" s="473">
        <v>0.58906666666666663</v>
      </c>
      <c r="R496" s="473">
        <v>0.48410000000000003</v>
      </c>
      <c r="S496" s="153">
        <v>0.01</v>
      </c>
      <c r="T496" s="153">
        <v>0.02</v>
      </c>
      <c r="U496" s="474">
        <v>2015</v>
      </c>
      <c r="V496">
        <v>2035</v>
      </c>
      <c r="W496">
        <v>0</v>
      </c>
      <c r="X496">
        <v>0</v>
      </c>
      <c r="Y496">
        <v>1315</v>
      </c>
      <c r="Z496">
        <v>361</v>
      </c>
      <c r="AA496" s="475" t="s">
        <v>24</v>
      </c>
    </row>
    <row r="497" spans="1:27" ht="15">
      <c r="A497" s="24">
        <v>1496</v>
      </c>
      <c r="B497" s="24">
        <v>1496</v>
      </c>
      <c r="C497" s="469" t="s">
        <v>891</v>
      </c>
      <c r="D497" t="s">
        <v>152</v>
      </c>
      <c r="E497" s="470">
        <v>3</v>
      </c>
      <c r="F497" s="471">
        <v>27</v>
      </c>
      <c r="G497">
        <v>1</v>
      </c>
      <c r="H497">
        <v>1</v>
      </c>
      <c r="I497" s="472">
        <f t="shared" si="22"/>
        <v>0.47039166666666665</v>
      </c>
      <c r="J497" s="473">
        <v>0.36503333333333332</v>
      </c>
      <c r="K497" s="473">
        <v>0.44336666666666663</v>
      </c>
      <c r="L497" s="473">
        <v>0.58906666666666663</v>
      </c>
      <c r="M497" s="473">
        <v>0.48410000000000003</v>
      </c>
      <c r="N497" s="472">
        <f t="shared" si="23"/>
        <v>0.47039166666666665</v>
      </c>
      <c r="O497" s="473">
        <v>0.36503333333333332</v>
      </c>
      <c r="P497" s="473">
        <v>0.44336666666666663</v>
      </c>
      <c r="Q497" s="473">
        <v>0.58906666666666663</v>
      </c>
      <c r="R497" s="473">
        <v>0.48410000000000003</v>
      </c>
      <c r="S497" s="153">
        <v>0.01</v>
      </c>
      <c r="T497" s="153">
        <v>0.02</v>
      </c>
      <c r="U497" s="474">
        <v>2015</v>
      </c>
      <c r="V497">
        <v>2035</v>
      </c>
      <c r="W497">
        <v>0</v>
      </c>
      <c r="X497">
        <v>0</v>
      </c>
      <c r="Y497">
        <v>1315</v>
      </c>
      <c r="Z497">
        <v>361</v>
      </c>
      <c r="AA497" s="475" t="s">
        <v>24</v>
      </c>
    </row>
    <row r="498" spans="1:27" ht="15">
      <c r="A498" s="24">
        <v>1497</v>
      </c>
      <c r="B498" s="24">
        <v>1497</v>
      </c>
      <c r="C498" s="469" t="s">
        <v>892</v>
      </c>
      <c r="D498" t="s">
        <v>152</v>
      </c>
      <c r="E498" s="470">
        <v>3</v>
      </c>
      <c r="F498" s="471">
        <v>29.7</v>
      </c>
      <c r="G498">
        <v>1</v>
      </c>
      <c r="H498">
        <v>1</v>
      </c>
      <c r="I498" s="472">
        <f t="shared" si="22"/>
        <v>0.47039166666666665</v>
      </c>
      <c r="J498" s="473">
        <v>0.36503333333333332</v>
      </c>
      <c r="K498" s="473">
        <v>0.44336666666666663</v>
      </c>
      <c r="L498" s="473">
        <v>0.58906666666666663</v>
      </c>
      <c r="M498" s="473">
        <v>0.48410000000000003</v>
      </c>
      <c r="N498" s="472">
        <f t="shared" si="23"/>
        <v>0.47039166666666665</v>
      </c>
      <c r="O498" s="473">
        <v>0.36503333333333332</v>
      </c>
      <c r="P498" s="473">
        <v>0.44336666666666663</v>
      </c>
      <c r="Q498" s="473">
        <v>0.58906666666666663</v>
      </c>
      <c r="R498" s="473">
        <v>0.48410000000000003</v>
      </c>
      <c r="S498" s="153">
        <v>0.01</v>
      </c>
      <c r="T498" s="153">
        <v>0.02</v>
      </c>
      <c r="U498" s="474">
        <v>2015</v>
      </c>
      <c r="V498">
        <v>2035</v>
      </c>
      <c r="W498">
        <v>0</v>
      </c>
      <c r="X498">
        <v>0</v>
      </c>
      <c r="Y498">
        <v>1315</v>
      </c>
      <c r="Z498">
        <v>361</v>
      </c>
      <c r="AA498" s="475" t="s">
        <v>24</v>
      </c>
    </row>
    <row r="499" spans="1:27" ht="15">
      <c r="A499" s="24">
        <v>1498</v>
      </c>
      <c r="B499" s="24">
        <v>1498</v>
      </c>
      <c r="C499" s="469" t="s">
        <v>893</v>
      </c>
      <c r="D499" t="s">
        <v>152</v>
      </c>
      <c r="E499" s="470">
        <v>3</v>
      </c>
      <c r="F499" s="471">
        <v>29.7</v>
      </c>
      <c r="G499">
        <v>1</v>
      </c>
      <c r="H499">
        <v>1</v>
      </c>
      <c r="I499" s="472">
        <f t="shared" si="22"/>
        <v>0.47039166666666665</v>
      </c>
      <c r="J499" s="473">
        <v>0.36503333333333332</v>
      </c>
      <c r="K499" s="473">
        <v>0.44336666666666663</v>
      </c>
      <c r="L499" s="473">
        <v>0.58906666666666663</v>
      </c>
      <c r="M499" s="473">
        <v>0.48410000000000003</v>
      </c>
      <c r="N499" s="472">
        <f t="shared" si="23"/>
        <v>0.47039166666666665</v>
      </c>
      <c r="O499" s="473">
        <v>0.36503333333333332</v>
      </c>
      <c r="P499" s="473">
        <v>0.44336666666666663</v>
      </c>
      <c r="Q499" s="473">
        <v>0.58906666666666663</v>
      </c>
      <c r="R499" s="473">
        <v>0.48410000000000003</v>
      </c>
      <c r="S499" s="153">
        <v>0.01</v>
      </c>
      <c r="T499" s="153">
        <v>0.02</v>
      </c>
      <c r="U499" s="474">
        <v>2015</v>
      </c>
      <c r="V499">
        <v>2035</v>
      </c>
      <c r="W499">
        <v>0</v>
      </c>
      <c r="X499">
        <v>0</v>
      </c>
      <c r="Y499">
        <v>1315</v>
      </c>
      <c r="Z499">
        <v>361</v>
      </c>
      <c r="AA499" s="475" t="s">
        <v>24</v>
      </c>
    </row>
    <row r="500" spans="1:27" ht="15">
      <c r="A500" s="24">
        <v>1499</v>
      </c>
      <c r="B500" s="24">
        <v>1499</v>
      </c>
      <c r="C500" s="469" t="s">
        <v>894</v>
      </c>
      <c r="D500" t="s">
        <v>152</v>
      </c>
      <c r="E500" s="470">
        <v>3</v>
      </c>
      <c r="F500" s="471">
        <v>29.7</v>
      </c>
      <c r="G500">
        <v>1</v>
      </c>
      <c r="H500">
        <v>1</v>
      </c>
      <c r="I500" s="472">
        <f t="shared" si="22"/>
        <v>0.47039166666666665</v>
      </c>
      <c r="J500" s="473">
        <v>0.36503333333333332</v>
      </c>
      <c r="K500" s="473">
        <v>0.44336666666666663</v>
      </c>
      <c r="L500" s="473">
        <v>0.58906666666666663</v>
      </c>
      <c r="M500" s="473">
        <v>0.48410000000000003</v>
      </c>
      <c r="N500" s="472">
        <f t="shared" si="23"/>
        <v>0.47039166666666665</v>
      </c>
      <c r="O500" s="473">
        <v>0.36503333333333332</v>
      </c>
      <c r="P500" s="473">
        <v>0.44336666666666663</v>
      </c>
      <c r="Q500" s="473">
        <v>0.58906666666666663</v>
      </c>
      <c r="R500" s="473">
        <v>0.48410000000000003</v>
      </c>
      <c r="S500" s="153">
        <v>0.01</v>
      </c>
      <c r="T500" s="153">
        <v>0.02</v>
      </c>
      <c r="U500" s="474">
        <v>2015</v>
      </c>
      <c r="V500">
        <v>2035</v>
      </c>
      <c r="W500">
        <v>0</v>
      </c>
      <c r="X500">
        <v>0</v>
      </c>
      <c r="Y500">
        <v>1315</v>
      </c>
      <c r="Z500">
        <v>361</v>
      </c>
      <c r="AA500" s="475" t="s">
        <v>24</v>
      </c>
    </row>
    <row r="501" spans="1:27" ht="15">
      <c r="A501" s="24">
        <v>1500</v>
      </c>
      <c r="B501" s="24">
        <v>1500</v>
      </c>
      <c r="C501" s="469" t="s">
        <v>895</v>
      </c>
      <c r="D501" t="s">
        <v>152</v>
      </c>
      <c r="E501" s="470">
        <v>3</v>
      </c>
      <c r="F501" s="471">
        <v>21.6</v>
      </c>
      <c r="G501">
        <v>1</v>
      </c>
      <c r="H501">
        <v>1</v>
      </c>
      <c r="I501" s="472">
        <f t="shared" si="22"/>
        <v>0.47039166666666665</v>
      </c>
      <c r="J501" s="473">
        <v>0.36503333333333332</v>
      </c>
      <c r="K501" s="473">
        <v>0.44336666666666663</v>
      </c>
      <c r="L501" s="473">
        <v>0.58906666666666663</v>
      </c>
      <c r="M501" s="473">
        <v>0.48410000000000003</v>
      </c>
      <c r="N501" s="472">
        <f t="shared" si="23"/>
        <v>0.47039166666666665</v>
      </c>
      <c r="O501" s="473">
        <v>0.36503333333333332</v>
      </c>
      <c r="P501" s="473">
        <v>0.44336666666666663</v>
      </c>
      <c r="Q501" s="473">
        <v>0.58906666666666663</v>
      </c>
      <c r="R501" s="473">
        <v>0.48410000000000003</v>
      </c>
      <c r="S501" s="153">
        <v>0.01</v>
      </c>
      <c r="T501" s="153">
        <v>0.02</v>
      </c>
      <c r="U501" s="474">
        <v>2014</v>
      </c>
      <c r="V501">
        <v>2034</v>
      </c>
      <c r="W501">
        <v>0</v>
      </c>
      <c r="X501">
        <v>0</v>
      </c>
      <c r="Y501">
        <v>1315</v>
      </c>
      <c r="Z501">
        <v>361</v>
      </c>
      <c r="AA501" s="475" t="s">
        <v>24</v>
      </c>
    </row>
    <row r="502" spans="1:27" ht="15">
      <c r="A502" s="24">
        <v>1501</v>
      </c>
      <c r="B502" s="24">
        <v>1501</v>
      </c>
      <c r="C502" s="469" t="s">
        <v>896</v>
      </c>
      <c r="D502" t="s">
        <v>152</v>
      </c>
      <c r="E502" s="470">
        <v>3</v>
      </c>
      <c r="F502" s="471">
        <v>49.3</v>
      </c>
      <c r="G502">
        <v>1</v>
      </c>
      <c r="H502">
        <v>1</v>
      </c>
      <c r="I502" s="472">
        <f t="shared" si="22"/>
        <v>0.47039166666666665</v>
      </c>
      <c r="J502" s="473">
        <v>0.36503333333333332</v>
      </c>
      <c r="K502" s="473">
        <v>0.44336666666666663</v>
      </c>
      <c r="L502" s="473">
        <v>0.58906666666666663</v>
      </c>
      <c r="M502" s="473">
        <v>0.48410000000000003</v>
      </c>
      <c r="N502" s="472">
        <f t="shared" si="23"/>
        <v>0.47039166666666665</v>
      </c>
      <c r="O502" s="473">
        <v>0.36503333333333332</v>
      </c>
      <c r="P502" s="473">
        <v>0.44336666666666663</v>
      </c>
      <c r="Q502" s="473">
        <v>0.58906666666666663</v>
      </c>
      <c r="R502" s="473">
        <v>0.48410000000000003</v>
      </c>
      <c r="S502" s="153">
        <v>0.01</v>
      </c>
      <c r="T502" s="153">
        <v>0.02</v>
      </c>
      <c r="U502" s="474">
        <v>2006</v>
      </c>
      <c r="V502">
        <v>2026</v>
      </c>
      <c r="W502">
        <v>0</v>
      </c>
      <c r="X502">
        <v>0</v>
      </c>
      <c r="Y502">
        <v>1315</v>
      </c>
      <c r="Z502">
        <v>361</v>
      </c>
      <c r="AA502" s="475" t="s">
        <v>24</v>
      </c>
    </row>
    <row r="503" spans="1:27" ht="15" hidden="1">
      <c r="A503" s="24">
        <v>1502</v>
      </c>
      <c r="B503" s="24">
        <v>1502</v>
      </c>
      <c r="C503" s="469" t="s">
        <v>897</v>
      </c>
      <c r="D503" t="s">
        <v>149</v>
      </c>
      <c r="E503" s="470">
        <v>2</v>
      </c>
      <c r="F503" s="471">
        <v>30</v>
      </c>
      <c r="G503">
        <v>1</v>
      </c>
      <c r="H503">
        <v>1</v>
      </c>
      <c r="I503" s="472">
        <f t="shared" si="22"/>
        <v>0.40033333333333337</v>
      </c>
      <c r="J503" s="153">
        <v>0.3706666666666667</v>
      </c>
      <c r="K503" s="153">
        <v>0.3666666666666667</v>
      </c>
      <c r="L503" s="153">
        <v>0.44799999999999995</v>
      </c>
      <c r="M503" s="153">
        <v>0.41600000000000009</v>
      </c>
      <c r="N503" s="472">
        <f t="shared" si="23"/>
        <v>0.40033333333333337</v>
      </c>
      <c r="O503" s="153">
        <v>0.3706666666666667</v>
      </c>
      <c r="P503" s="153">
        <v>0.3666666666666667</v>
      </c>
      <c r="Q503" s="153">
        <v>0.44799999999999995</v>
      </c>
      <c r="R503" s="153">
        <v>0.41600000000000009</v>
      </c>
      <c r="S503" s="153">
        <v>0.01</v>
      </c>
      <c r="T503" s="153">
        <v>0.02</v>
      </c>
      <c r="U503" s="474">
        <v>2011</v>
      </c>
      <c r="V503">
        <v>2031</v>
      </c>
      <c r="W503">
        <v>0</v>
      </c>
      <c r="X503">
        <v>0</v>
      </c>
      <c r="Y503">
        <v>1315</v>
      </c>
      <c r="Z503">
        <v>360</v>
      </c>
      <c r="AA503" s="475" t="s">
        <v>24</v>
      </c>
    </row>
    <row r="504" spans="1:27" ht="15">
      <c r="A504" s="24">
        <v>1503</v>
      </c>
      <c r="B504" s="24">
        <v>1503</v>
      </c>
      <c r="C504" s="469" t="s">
        <v>898</v>
      </c>
      <c r="D504" t="s">
        <v>152</v>
      </c>
      <c r="E504" s="470">
        <v>3</v>
      </c>
      <c r="F504" s="471">
        <v>30.4</v>
      </c>
      <c r="G504">
        <v>1</v>
      </c>
      <c r="H504">
        <v>1</v>
      </c>
      <c r="I504" s="472">
        <f t="shared" si="22"/>
        <v>0.47039166666666665</v>
      </c>
      <c r="J504" s="473">
        <v>0.36503333333333332</v>
      </c>
      <c r="K504" s="473">
        <v>0.44336666666666663</v>
      </c>
      <c r="L504" s="473">
        <v>0.58906666666666663</v>
      </c>
      <c r="M504" s="473">
        <v>0.48410000000000003</v>
      </c>
      <c r="N504" s="472">
        <f t="shared" si="23"/>
        <v>0.47039166666666665</v>
      </c>
      <c r="O504" s="473">
        <v>0.36503333333333332</v>
      </c>
      <c r="P504" s="473">
        <v>0.44336666666666663</v>
      </c>
      <c r="Q504" s="473">
        <v>0.58906666666666663</v>
      </c>
      <c r="R504" s="473">
        <v>0.48410000000000003</v>
      </c>
      <c r="S504" s="153">
        <v>0.01</v>
      </c>
      <c r="T504" s="153">
        <v>0.02</v>
      </c>
      <c r="U504" s="474">
        <v>2012</v>
      </c>
      <c r="V504">
        <v>2032</v>
      </c>
      <c r="W504">
        <v>0</v>
      </c>
      <c r="X504">
        <v>0</v>
      </c>
      <c r="Y504">
        <v>1315</v>
      </c>
      <c r="Z504">
        <v>361</v>
      </c>
      <c r="AA504" s="475" t="s">
        <v>24</v>
      </c>
    </row>
    <row r="505" spans="1:27" ht="15" hidden="1">
      <c r="A505" s="24">
        <v>1504</v>
      </c>
      <c r="B505" s="24">
        <v>1504</v>
      </c>
      <c r="C505" s="469" t="s">
        <v>899</v>
      </c>
      <c r="D505" t="s">
        <v>149</v>
      </c>
      <c r="E505" s="470">
        <v>2</v>
      </c>
      <c r="F505" s="471">
        <v>30</v>
      </c>
      <c r="G505">
        <v>1</v>
      </c>
      <c r="H505">
        <v>1</v>
      </c>
      <c r="I505" s="472">
        <f t="shared" si="22"/>
        <v>0.40033333333333337</v>
      </c>
      <c r="J505" s="153">
        <v>0.3706666666666667</v>
      </c>
      <c r="K505" s="153">
        <v>0.3666666666666667</v>
      </c>
      <c r="L505" s="153">
        <v>0.44799999999999995</v>
      </c>
      <c r="M505" s="153">
        <v>0.41600000000000009</v>
      </c>
      <c r="N505" s="472">
        <f t="shared" si="23"/>
        <v>0.40033333333333337</v>
      </c>
      <c r="O505" s="153">
        <v>0.3706666666666667</v>
      </c>
      <c r="P505" s="153">
        <v>0.3666666666666667</v>
      </c>
      <c r="Q505" s="153">
        <v>0.44799999999999995</v>
      </c>
      <c r="R505" s="153">
        <v>0.41600000000000009</v>
      </c>
      <c r="S505" s="153">
        <v>0.01</v>
      </c>
      <c r="T505" s="153">
        <v>0.02</v>
      </c>
      <c r="U505" s="474">
        <v>2011</v>
      </c>
      <c r="V505">
        <v>2031</v>
      </c>
      <c r="W505">
        <v>0</v>
      </c>
      <c r="X505">
        <v>0</v>
      </c>
      <c r="Y505">
        <v>1315</v>
      </c>
      <c r="Z505">
        <v>360</v>
      </c>
      <c r="AA505" s="475" t="s">
        <v>24</v>
      </c>
    </row>
    <row r="506" spans="1:27" ht="15" hidden="1">
      <c r="A506" s="24">
        <v>1505</v>
      </c>
      <c r="B506" s="24">
        <v>1505</v>
      </c>
      <c r="C506" s="469" t="s">
        <v>900</v>
      </c>
      <c r="D506" t="s">
        <v>149</v>
      </c>
      <c r="E506" s="470">
        <v>2</v>
      </c>
      <c r="F506" s="471">
        <v>50</v>
      </c>
      <c r="G506">
        <v>1</v>
      </c>
      <c r="H506">
        <v>1</v>
      </c>
      <c r="I506" s="472">
        <f t="shared" si="22"/>
        <v>0.40033333333333337</v>
      </c>
      <c r="J506" s="153">
        <v>0.3706666666666667</v>
      </c>
      <c r="K506" s="153">
        <v>0.3666666666666667</v>
      </c>
      <c r="L506" s="153">
        <v>0.44799999999999995</v>
      </c>
      <c r="M506" s="153">
        <v>0.41600000000000009</v>
      </c>
      <c r="N506" s="472">
        <f t="shared" si="23"/>
        <v>0.40033333333333337</v>
      </c>
      <c r="O506" s="153">
        <v>0.3706666666666667</v>
      </c>
      <c r="P506" s="153">
        <v>0.3666666666666667</v>
      </c>
      <c r="Q506" s="153">
        <v>0.44799999999999995</v>
      </c>
      <c r="R506" s="153">
        <v>0.41600000000000009</v>
      </c>
      <c r="S506" s="153">
        <v>0.01</v>
      </c>
      <c r="T506" s="153">
        <v>0.02</v>
      </c>
      <c r="U506" s="474">
        <v>2006</v>
      </c>
      <c r="V506">
        <v>2026</v>
      </c>
      <c r="W506">
        <v>0</v>
      </c>
      <c r="X506">
        <v>0</v>
      </c>
      <c r="Y506">
        <v>1315</v>
      </c>
      <c r="Z506">
        <v>360</v>
      </c>
      <c r="AA506" s="475" t="s">
        <v>24</v>
      </c>
    </row>
    <row r="507" spans="1:27" ht="15" hidden="1">
      <c r="A507" s="24">
        <v>1506</v>
      </c>
      <c r="B507" s="24">
        <v>1506</v>
      </c>
      <c r="C507" s="469" t="s">
        <v>901</v>
      </c>
      <c r="D507" t="s">
        <v>149</v>
      </c>
      <c r="E507" s="470">
        <v>2</v>
      </c>
      <c r="F507" s="471">
        <v>29.9</v>
      </c>
      <c r="G507">
        <v>1</v>
      </c>
      <c r="H507">
        <v>1</v>
      </c>
      <c r="I507" s="472">
        <f t="shared" si="22"/>
        <v>0.40033333333333337</v>
      </c>
      <c r="J507" s="153">
        <v>0.3706666666666667</v>
      </c>
      <c r="K507" s="153">
        <v>0.3666666666666667</v>
      </c>
      <c r="L507" s="153">
        <v>0.44799999999999995</v>
      </c>
      <c r="M507" s="153">
        <v>0.41600000000000009</v>
      </c>
      <c r="N507" s="472">
        <f t="shared" si="23"/>
        <v>0.40033333333333337</v>
      </c>
      <c r="O507" s="153">
        <v>0.3706666666666667</v>
      </c>
      <c r="P507" s="153">
        <v>0.3666666666666667</v>
      </c>
      <c r="Q507" s="153">
        <v>0.44799999999999995</v>
      </c>
      <c r="R507" s="153">
        <v>0.41600000000000009</v>
      </c>
      <c r="S507" s="153">
        <v>0.01</v>
      </c>
      <c r="T507" s="153">
        <v>0.02</v>
      </c>
      <c r="U507" s="474">
        <v>2012</v>
      </c>
      <c r="V507">
        <v>2032</v>
      </c>
      <c r="W507">
        <v>0</v>
      </c>
      <c r="X507">
        <v>0</v>
      </c>
      <c r="Y507">
        <v>1315</v>
      </c>
      <c r="Z507">
        <v>360</v>
      </c>
      <c r="AA507" s="475" t="s">
        <v>24</v>
      </c>
    </row>
    <row r="508" spans="1:27" ht="15" hidden="1">
      <c r="A508" s="24">
        <v>1507</v>
      </c>
      <c r="B508" s="24">
        <v>1507</v>
      </c>
      <c r="C508" s="469" t="s">
        <v>902</v>
      </c>
      <c r="D508" t="s">
        <v>149</v>
      </c>
      <c r="E508" s="470">
        <v>2</v>
      </c>
      <c r="F508" s="471">
        <v>27.6</v>
      </c>
      <c r="G508">
        <v>1</v>
      </c>
      <c r="H508">
        <v>1</v>
      </c>
      <c r="I508" s="472">
        <f t="shared" si="22"/>
        <v>0.40033333333333337</v>
      </c>
      <c r="J508" s="153">
        <v>0.3706666666666667</v>
      </c>
      <c r="K508" s="153">
        <v>0.3666666666666667</v>
      </c>
      <c r="L508" s="153">
        <v>0.44799999999999995</v>
      </c>
      <c r="M508" s="153">
        <v>0.41600000000000009</v>
      </c>
      <c r="N508" s="472">
        <f t="shared" si="23"/>
        <v>0.40033333333333337</v>
      </c>
      <c r="O508" s="153">
        <v>0.3706666666666667</v>
      </c>
      <c r="P508" s="153">
        <v>0.3666666666666667</v>
      </c>
      <c r="Q508" s="153">
        <v>0.44799999999999995</v>
      </c>
      <c r="R508" s="153">
        <v>0.41600000000000009</v>
      </c>
      <c r="S508" s="153">
        <v>0.01</v>
      </c>
      <c r="T508" s="153">
        <v>0.02</v>
      </c>
      <c r="U508" s="474">
        <v>2012</v>
      </c>
      <c r="V508">
        <v>2032</v>
      </c>
      <c r="W508">
        <v>0</v>
      </c>
      <c r="X508">
        <v>0</v>
      </c>
      <c r="Y508">
        <v>1315</v>
      </c>
      <c r="Z508">
        <v>360</v>
      </c>
      <c r="AA508" s="475" t="s">
        <v>24</v>
      </c>
    </row>
    <row r="509" spans="1:27" ht="15">
      <c r="A509" s="24">
        <v>1508</v>
      </c>
      <c r="B509" s="24">
        <v>1508</v>
      </c>
      <c r="C509" s="469" t="s">
        <v>903</v>
      </c>
      <c r="D509" t="s">
        <v>152</v>
      </c>
      <c r="E509" s="470">
        <v>3</v>
      </c>
      <c r="F509" s="471">
        <v>29.7</v>
      </c>
      <c r="G509">
        <v>1</v>
      </c>
      <c r="H509">
        <v>1</v>
      </c>
      <c r="I509" s="472">
        <f t="shared" si="22"/>
        <v>0.47039166666666665</v>
      </c>
      <c r="J509" s="473">
        <v>0.36503333333333332</v>
      </c>
      <c r="K509" s="473">
        <v>0.44336666666666663</v>
      </c>
      <c r="L509" s="473">
        <v>0.58906666666666663</v>
      </c>
      <c r="M509" s="473">
        <v>0.48410000000000003</v>
      </c>
      <c r="N509" s="472">
        <f t="shared" si="23"/>
        <v>0.47039166666666665</v>
      </c>
      <c r="O509" s="473">
        <v>0.36503333333333332</v>
      </c>
      <c r="P509" s="473">
        <v>0.44336666666666663</v>
      </c>
      <c r="Q509" s="473">
        <v>0.58906666666666663</v>
      </c>
      <c r="R509" s="473">
        <v>0.48410000000000003</v>
      </c>
      <c r="S509" s="153">
        <v>0.01</v>
      </c>
      <c r="T509" s="153">
        <v>0.02</v>
      </c>
      <c r="U509" s="474">
        <v>2014</v>
      </c>
      <c r="V509">
        <v>2034</v>
      </c>
      <c r="W509">
        <v>0</v>
      </c>
      <c r="X509">
        <v>0</v>
      </c>
      <c r="Y509">
        <v>1315</v>
      </c>
      <c r="Z509">
        <v>361</v>
      </c>
      <c r="AA509" s="475" t="s">
        <v>24</v>
      </c>
    </row>
    <row r="510" spans="1:27" ht="15" hidden="1">
      <c r="A510" s="24">
        <v>1509</v>
      </c>
      <c r="B510" s="24">
        <v>1509</v>
      </c>
      <c r="C510" s="469" t="s">
        <v>904</v>
      </c>
      <c r="D510" t="s">
        <v>146</v>
      </c>
      <c r="E510" s="470">
        <v>1</v>
      </c>
      <c r="F510" s="471">
        <v>2</v>
      </c>
      <c r="G510">
        <v>1</v>
      </c>
      <c r="H510">
        <v>1</v>
      </c>
      <c r="I510" s="472">
        <f t="shared" si="22"/>
        <v>0.32845968612834514</v>
      </c>
      <c r="J510" s="153">
        <v>3.8473756479098807E-2</v>
      </c>
      <c r="K510" s="153">
        <v>0.39358026214566905</v>
      </c>
      <c r="L510" s="153">
        <v>0.53857526864315253</v>
      </c>
      <c r="M510" s="153">
        <v>0.3432094572454602</v>
      </c>
      <c r="N510" s="472">
        <f t="shared" si="23"/>
        <v>0.32845968612834514</v>
      </c>
      <c r="O510" s="153">
        <v>3.8473756479098807E-2</v>
      </c>
      <c r="P510" s="153">
        <v>0.39358026214566905</v>
      </c>
      <c r="Q510" s="153">
        <v>0.53857526864315253</v>
      </c>
      <c r="R510" s="153">
        <v>0.3432094572454602</v>
      </c>
      <c r="S510" s="153">
        <v>0.03</v>
      </c>
      <c r="T510" s="153">
        <v>0</v>
      </c>
      <c r="U510" s="474">
        <v>2010</v>
      </c>
      <c r="V510">
        <v>2023</v>
      </c>
      <c r="W510">
        <v>0</v>
      </c>
      <c r="X510">
        <v>0</v>
      </c>
      <c r="Y510">
        <v>1304</v>
      </c>
      <c r="Z510">
        <v>311</v>
      </c>
      <c r="AA510" s="475" t="s">
        <v>23</v>
      </c>
    </row>
    <row r="511" spans="1:27" ht="15">
      <c r="A511" s="24">
        <v>1510</v>
      </c>
      <c r="B511" s="24">
        <v>1510</v>
      </c>
      <c r="C511" s="469" t="s">
        <v>905</v>
      </c>
      <c r="D511" t="s">
        <v>152</v>
      </c>
      <c r="E511" s="470">
        <v>3</v>
      </c>
      <c r="F511" s="471">
        <v>29.6</v>
      </c>
      <c r="G511">
        <v>1</v>
      </c>
      <c r="H511">
        <v>1</v>
      </c>
      <c r="I511" s="472">
        <f t="shared" si="22"/>
        <v>0.47039166666666665</v>
      </c>
      <c r="J511" s="473">
        <v>0.36503333333333332</v>
      </c>
      <c r="K511" s="473">
        <v>0.44336666666666663</v>
      </c>
      <c r="L511" s="473">
        <v>0.58906666666666663</v>
      </c>
      <c r="M511" s="473">
        <v>0.48410000000000003</v>
      </c>
      <c r="N511" s="472">
        <f t="shared" si="23"/>
        <v>0.47039166666666665</v>
      </c>
      <c r="O511" s="473">
        <v>0.36503333333333332</v>
      </c>
      <c r="P511" s="473">
        <v>0.44336666666666663</v>
      </c>
      <c r="Q511" s="473">
        <v>0.58906666666666663</v>
      </c>
      <c r="R511" s="473">
        <v>0.48410000000000003</v>
      </c>
      <c r="S511" s="153">
        <v>0.01</v>
      </c>
      <c r="T511" s="153">
        <v>0.02</v>
      </c>
      <c r="U511" s="474">
        <v>2015</v>
      </c>
      <c r="V511">
        <v>2035</v>
      </c>
      <c r="W511">
        <v>0</v>
      </c>
      <c r="X511">
        <v>0</v>
      </c>
      <c r="Y511">
        <v>1315</v>
      </c>
      <c r="Z511">
        <v>361</v>
      </c>
      <c r="AA511" s="475" t="s">
        <v>24</v>
      </c>
    </row>
    <row r="512" spans="1:27" ht="15">
      <c r="A512" s="24">
        <v>1511</v>
      </c>
      <c r="B512" s="24">
        <v>1511</v>
      </c>
      <c r="C512" s="469" t="s">
        <v>906</v>
      </c>
      <c r="D512" t="s">
        <v>152</v>
      </c>
      <c r="E512" s="470">
        <v>3</v>
      </c>
      <c r="F512" s="471">
        <v>29.6</v>
      </c>
      <c r="G512">
        <v>1</v>
      </c>
      <c r="H512">
        <v>1</v>
      </c>
      <c r="I512" s="472">
        <f t="shared" si="22"/>
        <v>0.47039166666666665</v>
      </c>
      <c r="J512" s="473">
        <v>0.36503333333333332</v>
      </c>
      <c r="K512" s="473">
        <v>0.44336666666666663</v>
      </c>
      <c r="L512" s="473">
        <v>0.58906666666666663</v>
      </c>
      <c r="M512" s="473">
        <v>0.48410000000000003</v>
      </c>
      <c r="N512" s="472">
        <f t="shared" si="23"/>
        <v>0.47039166666666665</v>
      </c>
      <c r="O512" s="473">
        <v>0.36503333333333332</v>
      </c>
      <c r="P512" s="473">
        <v>0.44336666666666663</v>
      </c>
      <c r="Q512" s="473">
        <v>0.58906666666666663</v>
      </c>
      <c r="R512" s="473">
        <v>0.48410000000000003</v>
      </c>
      <c r="S512" s="153">
        <v>0.01</v>
      </c>
      <c r="T512" s="153">
        <v>0.02</v>
      </c>
      <c r="U512" s="474">
        <v>2015</v>
      </c>
      <c r="V512">
        <v>2035</v>
      </c>
      <c r="W512">
        <v>0</v>
      </c>
      <c r="X512">
        <v>0</v>
      </c>
      <c r="Y512">
        <v>1315</v>
      </c>
      <c r="Z512">
        <v>361</v>
      </c>
      <c r="AA512" s="475" t="s">
        <v>24</v>
      </c>
    </row>
    <row r="513" spans="1:27" ht="15">
      <c r="A513" s="24">
        <v>1512</v>
      </c>
      <c r="B513" s="24">
        <v>1512</v>
      </c>
      <c r="C513" s="469" t="s">
        <v>907</v>
      </c>
      <c r="D513" t="s">
        <v>152</v>
      </c>
      <c r="E513" s="470">
        <v>3</v>
      </c>
      <c r="F513" s="471">
        <v>28.9</v>
      </c>
      <c r="G513">
        <v>1</v>
      </c>
      <c r="H513">
        <v>1</v>
      </c>
      <c r="I513" s="472">
        <f t="shared" si="22"/>
        <v>0.47039166666666665</v>
      </c>
      <c r="J513" s="473">
        <v>0.36503333333333332</v>
      </c>
      <c r="K513" s="473">
        <v>0.44336666666666663</v>
      </c>
      <c r="L513" s="473">
        <v>0.58906666666666663</v>
      </c>
      <c r="M513" s="473">
        <v>0.48410000000000003</v>
      </c>
      <c r="N513" s="472">
        <f t="shared" si="23"/>
        <v>0.47039166666666665</v>
      </c>
      <c r="O513" s="473">
        <v>0.36503333333333332</v>
      </c>
      <c r="P513" s="473">
        <v>0.44336666666666663</v>
      </c>
      <c r="Q513" s="473">
        <v>0.58906666666666663</v>
      </c>
      <c r="R513" s="473">
        <v>0.48410000000000003</v>
      </c>
      <c r="S513" s="153">
        <v>0.01</v>
      </c>
      <c r="T513" s="153">
        <v>0.02</v>
      </c>
      <c r="U513" s="474">
        <v>2015</v>
      </c>
      <c r="V513">
        <v>2035</v>
      </c>
      <c r="W513">
        <v>0</v>
      </c>
      <c r="X513">
        <v>0</v>
      </c>
      <c r="Y513">
        <v>1315</v>
      </c>
      <c r="Z513">
        <v>361</v>
      </c>
      <c r="AA513" s="475" t="s">
        <v>24</v>
      </c>
    </row>
    <row r="514" spans="1:27" ht="15" hidden="1">
      <c r="A514" s="24">
        <v>1513</v>
      </c>
      <c r="B514" s="24">
        <v>1513</v>
      </c>
      <c r="C514" s="469" t="s">
        <v>908</v>
      </c>
      <c r="D514" t="s">
        <v>146</v>
      </c>
      <c r="E514" s="470">
        <v>1</v>
      </c>
      <c r="F514" s="471">
        <v>0</v>
      </c>
      <c r="G514">
        <v>1</v>
      </c>
      <c r="H514">
        <v>1</v>
      </c>
      <c r="I514" s="472">
        <f t="shared" ref="I514:I577" si="27">AVERAGE(J514:M514)</f>
        <v>0.32845968612834514</v>
      </c>
      <c r="J514" s="153">
        <v>3.8473756479098807E-2</v>
      </c>
      <c r="K514" s="153">
        <v>0.39358026214566905</v>
      </c>
      <c r="L514" s="153">
        <v>0.53857526864315253</v>
      </c>
      <c r="M514" s="153">
        <v>0.3432094572454602</v>
      </c>
      <c r="N514" s="472">
        <f t="shared" ref="N514:N577" si="28">AVERAGE(O514:R514)</f>
        <v>0.32845968612834514</v>
      </c>
      <c r="O514" s="153">
        <v>3.8473756479098807E-2</v>
      </c>
      <c r="P514" s="153">
        <v>0.39358026214566905</v>
      </c>
      <c r="Q514" s="153">
        <v>0.53857526864315253</v>
      </c>
      <c r="R514" s="153">
        <v>0.3432094572454602</v>
      </c>
      <c r="S514" s="153">
        <v>0.03</v>
      </c>
      <c r="T514" s="153">
        <v>0</v>
      </c>
      <c r="U514" s="474">
        <v>1900</v>
      </c>
      <c r="V514">
        <v>2030</v>
      </c>
      <c r="W514">
        <v>0</v>
      </c>
      <c r="X514">
        <v>0</v>
      </c>
      <c r="Y514">
        <v>1304</v>
      </c>
      <c r="Z514">
        <v>311</v>
      </c>
      <c r="AA514" s="475" t="s">
        <v>23</v>
      </c>
    </row>
    <row r="515" spans="1:27" ht="15" hidden="1">
      <c r="A515" s="24">
        <v>1514</v>
      </c>
      <c r="B515" s="24">
        <v>1514</v>
      </c>
      <c r="C515" s="469" t="s">
        <v>909</v>
      </c>
      <c r="D515" t="s">
        <v>146</v>
      </c>
      <c r="E515" s="470">
        <v>1</v>
      </c>
      <c r="F515" s="471">
        <v>70</v>
      </c>
      <c r="G515">
        <v>1</v>
      </c>
      <c r="H515">
        <v>1</v>
      </c>
      <c r="I515" s="472">
        <f t="shared" si="27"/>
        <v>0.32845968612834514</v>
      </c>
      <c r="J515" s="153">
        <v>3.8473756479098807E-2</v>
      </c>
      <c r="K515" s="153">
        <v>0.39358026214566905</v>
      </c>
      <c r="L515" s="153">
        <v>0.53857526864315253</v>
      </c>
      <c r="M515" s="153">
        <v>0.3432094572454602</v>
      </c>
      <c r="N515" s="472">
        <f t="shared" si="28"/>
        <v>0.32845968612834514</v>
      </c>
      <c r="O515" s="153">
        <v>3.8473756479098807E-2</v>
      </c>
      <c r="P515" s="153">
        <v>0.39358026214566905</v>
      </c>
      <c r="Q515" s="153">
        <v>0.53857526864315253</v>
      </c>
      <c r="R515" s="153">
        <v>0.3432094572454602</v>
      </c>
      <c r="S515" s="153">
        <v>0.03</v>
      </c>
      <c r="T515" s="153">
        <v>0</v>
      </c>
      <c r="U515" s="474">
        <v>2009</v>
      </c>
      <c r="V515">
        <v>2023</v>
      </c>
      <c r="W515">
        <v>0</v>
      </c>
      <c r="X515">
        <v>0</v>
      </c>
      <c r="Y515">
        <v>1304</v>
      </c>
      <c r="Z515">
        <v>311</v>
      </c>
      <c r="AA515" s="475" t="s">
        <v>23</v>
      </c>
    </row>
    <row r="516" spans="1:27" ht="15" hidden="1">
      <c r="A516" s="24">
        <v>1515</v>
      </c>
      <c r="B516" s="24">
        <v>1515</v>
      </c>
      <c r="C516" s="469" t="s">
        <v>910</v>
      </c>
      <c r="D516" t="s">
        <v>146</v>
      </c>
      <c r="E516" s="470">
        <v>1</v>
      </c>
      <c r="F516" s="471">
        <v>0</v>
      </c>
      <c r="G516">
        <v>1</v>
      </c>
      <c r="H516">
        <v>1</v>
      </c>
      <c r="I516" s="472">
        <f t="shared" si="27"/>
        <v>0.32845968612834514</v>
      </c>
      <c r="J516" s="153">
        <v>3.8473756479098807E-2</v>
      </c>
      <c r="K516" s="153">
        <v>0.39358026214566905</v>
      </c>
      <c r="L516" s="153">
        <v>0.53857526864315253</v>
      </c>
      <c r="M516" s="153">
        <v>0.3432094572454602</v>
      </c>
      <c r="N516" s="472">
        <f t="shared" si="28"/>
        <v>0.32845968612834514</v>
      </c>
      <c r="O516" s="153">
        <v>3.8473756479098807E-2</v>
      </c>
      <c r="P516" s="153">
        <v>0.39358026214566905</v>
      </c>
      <c r="Q516" s="153">
        <v>0.53857526864315253</v>
      </c>
      <c r="R516" s="153">
        <v>0.3432094572454602</v>
      </c>
      <c r="S516" s="153">
        <v>0.03</v>
      </c>
      <c r="T516" s="153">
        <v>0</v>
      </c>
      <c r="U516" s="474">
        <v>1900</v>
      </c>
      <c r="V516">
        <v>2030</v>
      </c>
      <c r="W516">
        <v>0</v>
      </c>
      <c r="X516">
        <v>0</v>
      </c>
      <c r="Y516">
        <v>1304</v>
      </c>
      <c r="Z516">
        <v>311</v>
      </c>
      <c r="AA516" s="475" t="s">
        <v>23</v>
      </c>
    </row>
    <row r="517" spans="1:27" ht="15">
      <c r="A517" s="24">
        <v>1516</v>
      </c>
      <c r="B517" s="24">
        <v>1516</v>
      </c>
      <c r="C517" s="469" t="s">
        <v>911</v>
      </c>
      <c r="D517" t="s">
        <v>152</v>
      </c>
      <c r="E517" s="470">
        <v>3</v>
      </c>
      <c r="F517" s="471">
        <v>28.9</v>
      </c>
      <c r="G517">
        <v>1</v>
      </c>
      <c r="H517">
        <v>1</v>
      </c>
      <c r="I517" s="472">
        <f t="shared" si="27"/>
        <v>0.47039166666666665</v>
      </c>
      <c r="J517" s="473">
        <v>0.36503333333333332</v>
      </c>
      <c r="K517" s="473">
        <v>0.44336666666666663</v>
      </c>
      <c r="L517" s="473">
        <v>0.58906666666666663</v>
      </c>
      <c r="M517" s="473">
        <v>0.48410000000000003</v>
      </c>
      <c r="N517" s="472">
        <f t="shared" si="28"/>
        <v>0.47039166666666665</v>
      </c>
      <c r="O517" s="473">
        <v>0.36503333333333332</v>
      </c>
      <c r="P517" s="473">
        <v>0.44336666666666663</v>
      </c>
      <c r="Q517" s="473">
        <v>0.58906666666666663</v>
      </c>
      <c r="R517" s="473">
        <v>0.48410000000000003</v>
      </c>
      <c r="S517" s="153">
        <v>0.01</v>
      </c>
      <c r="T517" s="153">
        <v>0.02</v>
      </c>
      <c r="U517" s="474">
        <v>2015</v>
      </c>
      <c r="V517">
        <v>2035</v>
      </c>
      <c r="W517">
        <v>0</v>
      </c>
      <c r="X517">
        <v>0</v>
      </c>
      <c r="Y517">
        <v>1315</v>
      </c>
      <c r="Z517">
        <v>361</v>
      </c>
      <c r="AA517" s="475" t="s">
        <v>24</v>
      </c>
    </row>
    <row r="518" spans="1:27" ht="15" hidden="1">
      <c r="A518" s="24">
        <v>1517</v>
      </c>
      <c r="B518" s="24">
        <v>1517</v>
      </c>
      <c r="C518" s="469" t="s">
        <v>912</v>
      </c>
      <c r="D518" t="s">
        <v>146</v>
      </c>
      <c r="E518" s="470">
        <v>1</v>
      </c>
      <c r="F518" s="471">
        <v>16.399999999999999</v>
      </c>
      <c r="G518">
        <v>1</v>
      </c>
      <c r="H518">
        <v>1</v>
      </c>
      <c r="I518" s="472">
        <f t="shared" si="27"/>
        <v>0.32845968612834514</v>
      </c>
      <c r="J518" s="153">
        <v>3.8473756479098807E-2</v>
      </c>
      <c r="K518" s="153">
        <v>0.39358026214566905</v>
      </c>
      <c r="L518" s="153">
        <v>0.53857526864315253</v>
      </c>
      <c r="M518" s="153">
        <v>0.3432094572454602</v>
      </c>
      <c r="N518" s="472">
        <f t="shared" si="28"/>
        <v>0.32845968612834514</v>
      </c>
      <c r="O518" s="153">
        <v>3.8473756479098807E-2</v>
      </c>
      <c r="P518" s="153">
        <v>0.39358026214566905</v>
      </c>
      <c r="Q518" s="153">
        <v>0.53857526864315253</v>
      </c>
      <c r="R518" s="153">
        <v>0.3432094572454602</v>
      </c>
      <c r="S518" s="153">
        <v>0.03</v>
      </c>
      <c r="T518" s="153">
        <v>0</v>
      </c>
      <c r="U518" s="474">
        <v>2005</v>
      </c>
      <c r="V518">
        <v>2023</v>
      </c>
      <c r="W518">
        <v>0</v>
      </c>
      <c r="X518">
        <v>0</v>
      </c>
      <c r="Y518">
        <v>1304</v>
      </c>
      <c r="Z518">
        <v>311</v>
      </c>
      <c r="AA518" s="475" t="s">
        <v>23</v>
      </c>
    </row>
    <row r="519" spans="1:27" ht="15" hidden="1">
      <c r="A519" s="24">
        <v>1518</v>
      </c>
      <c r="B519" s="24">
        <v>1518</v>
      </c>
      <c r="C519" s="469" t="s">
        <v>913</v>
      </c>
      <c r="D519" t="s">
        <v>146</v>
      </c>
      <c r="E519" s="470">
        <v>1</v>
      </c>
      <c r="F519" s="471">
        <v>0</v>
      </c>
      <c r="G519">
        <v>1</v>
      </c>
      <c r="H519">
        <v>1</v>
      </c>
      <c r="I519" s="472">
        <f t="shared" si="27"/>
        <v>0.32845968612834514</v>
      </c>
      <c r="J519" s="153">
        <v>3.8473756479098807E-2</v>
      </c>
      <c r="K519" s="153">
        <v>0.39358026214566905</v>
      </c>
      <c r="L519" s="153">
        <v>0.53857526864315253</v>
      </c>
      <c r="M519" s="153">
        <v>0.3432094572454602</v>
      </c>
      <c r="N519" s="472">
        <f t="shared" si="28"/>
        <v>0.32845968612834514</v>
      </c>
      <c r="O519" s="153">
        <v>3.8473756479098807E-2</v>
      </c>
      <c r="P519" s="153">
        <v>0.39358026214566905</v>
      </c>
      <c r="Q519" s="153">
        <v>0.53857526864315253</v>
      </c>
      <c r="R519" s="153">
        <v>0.3432094572454602</v>
      </c>
      <c r="S519" s="153">
        <v>0.03</v>
      </c>
      <c r="T519" s="153">
        <v>0</v>
      </c>
      <c r="U519" s="474">
        <v>1900</v>
      </c>
      <c r="V519">
        <v>2030</v>
      </c>
      <c r="W519">
        <v>0</v>
      </c>
      <c r="X519">
        <v>0</v>
      </c>
      <c r="Y519">
        <v>1304</v>
      </c>
      <c r="Z519">
        <v>311</v>
      </c>
      <c r="AA519" s="475" t="s">
        <v>23</v>
      </c>
    </row>
    <row r="520" spans="1:27" ht="15">
      <c r="A520" s="24">
        <v>1519</v>
      </c>
      <c r="B520" s="24">
        <v>1519</v>
      </c>
      <c r="C520" s="469" t="s">
        <v>914</v>
      </c>
      <c r="D520" t="s">
        <v>152</v>
      </c>
      <c r="E520" s="470">
        <v>3</v>
      </c>
      <c r="F520" s="471">
        <v>28.9</v>
      </c>
      <c r="G520">
        <v>1</v>
      </c>
      <c r="H520">
        <v>1</v>
      </c>
      <c r="I520" s="472">
        <f t="shared" si="27"/>
        <v>0.47039166666666665</v>
      </c>
      <c r="J520" s="473">
        <v>0.36503333333333332</v>
      </c>
      <c r="K520" s="473">
        <v>0.44336666666666663</v>
      </c>
      <c r="L520" s="473">
        <v>0.58906666666666663</v>
      </c>
      <c r="M520" s="473">
        <v>0.48410000000000003</v>
      </c>
      <c r="N520" s="472">
        <f t="shared" si="28"/>
        <v>0.47039166666666665</v>
      </c>
      <c r="O520" s="473">
        <v>0.36503333333333332</v>
      </c>
      <c r="P520" s="473">
        <v>0.44336666666666663</v>
      </c>
      <c r="Q520" s="473">
        <v>0.58906666666666663</v>
      </c>
      <c r="R520" s="473">
        <v>0.48410000000000003</v>
      </c>
      <c r="S520" s="153">
        <v>0.01</v>
      </c>
      <c r="T520" s="153">
        <v>0.02</v>
      </c>
      <c r="U520" s="474">
        <v>2015</v>
      </c>
      <c r="V520">
        <v>2035</v>
      </c>
      <c r="W520">
        <v>0</v>
      </c>
      <c r="X520">
        <v>0</v>
      </c>
      <c r="Y520">
        <v>1315</v>
      </c>
      <c r="Z520">
        <v>361</v>
      </c>
      <c r="AA520" s="475" t="s">
        <v>24</v>
      </c>
    </row>
    <row r="521" spans="1:27" ht="15" hidden="1">
      <c r="A521" s="24">
        <v>1520</v>
      </c>
      <c r="B521" s="24">
        <v>1520</v>
      </c>
      <c r="C521" s="469" t="s">
        <v>915</v>
      </c>
      <c r="D521" t="s">
        <v>146</v>
      </c>
      <c r="E521" s="470">
        <v>1</v>
      </c>
      <c r="F521" s="471">
        <v>0.42</v>
      </c>
      <c r="G521">
        <v>1</v>
      </c>
      <c r="H521">
        <v>1</v>
      </c>
      <c r="I521" s="472">
        <f t="shared" si="27"/>
        <v>0.40033333333333337</v>
      </c>
      <c r="J521" s="153">
        <v>0.3706666666666667</v>
      </c>
      <c r="K521" s="153">
        <v>0.3666666666666667</v>
      </c>
      <c r="L521" s="153">
        <v>0.44799999999999995</v>
      </c>
      <c r="M521" s="153">
        <v>0.41600000000000009</v>
      </c>
      <c r="N521" s="472">
        <f t="shared" si="28"/>
        <v>0.40033333333333337</v>
      </c>
      <c r="O521" s="153">
        <v>0.3706666666666667</v>
      </c>
      <c r="P521" s="153">
        <v>0.3666666666666667</v>
      </c>
      <c r="Q521" s="153">
        <v>0.44799999999999995</v>
      </c>
      <c r="R521" s="153">
        <v>0.41600000000000009</v>
      </c>
      <c r="S521" s="153">
        <v>0.01</v>
      </c>
      <c r="T521" s="153">
        <v>0.02</v>
      </c>
      <c r="U521" s="474">
        <v>2010</v>
      </c>
      <c r="V521">
        <v>2030</v>
      </c>
      <c r="W521">
        <v>0</v>
      </c>
      <c r="X521">
        <v>0</v>
      </c>
      <c r="Y521">
        <v>1315</v>
      </c>
      <c r="Z521">
        <v>360</v>
      </c>
      <c r="AA521" s="475" t="s">
        <v>24</v>
      </c>
    </row>
    <row r="522" spans="1:27" ht="15" hidden="1">
      <c r="A522" s="24">
        <v>1521</v>
      </c>
      <c r="B522" s="24">
        <v>1521</v>
      </c>
      <c r="C522" s="469" t="s">
        <v>916</v>
      </c>
      <c r="D522" t="s">
        <v>146</v>
      </c>
      <c r="E522" s="470">
        <v>1</v>
      </c>
      <c r="F522" s="471">
        <v>59.680851063829785</v>
      </c>
      <c r="G522">
        <v>1</v>
      </c>
      <c r="H522">
        <v>1</v>
      </c>
      <c r="I522" s="472">
        <f t="shared" si="27"/>
        <v>0.32845968612834514</v>
      </c>
      <c r="J522" s="153">
        <v>3.8473756479098807E-2</v>
      </c>
      <c r="K522" s="153">
        <v>0.39358026214566905</v>
      </c>
      <c r="L522" s="153">
        <v>0.53857526864315253</v>
      </c>
      <c r="M522" s="153">
        <v>0.3432094572454602</v>
      </c>
      <c r="N522" s="472">
        <f t="shared" si="28"/>
        <v>0.32845968612834514</v>
      </c>
      <c r="O522" s="153">
        <v>3.8473756479098807E-2</v>
      </c>
      <c r="P522" s="153">
        <v>0.39358026214566905</v>
      </c>
      <c r="Q522" s="153">
        <v>0.53857526864315253</v>
      </c>
      <c r="R522" s="153">
        <v>0.3432094572454602</v>
      </c>
      <c r="S522" s="153">
        <v>0.03</v>
      </c>
      <c r="T522" s="153">
        <v>0</v>
      </c>
      <c r="U522" s="474">
        <v>2012</v>
      </c>
      <c r="V522">
        <v>2030</v>
      </c>
      <c r="W522">
        <v>0</v>
      </c>
      <c r="X522">
        <v>0</v>
      </c>
      <c r="Y522">
        <v>1304</v>
      </c>
      <c r="Z522">
        <v>311</v>
      </c>
      <c r="AA522" s="475" t="s">
        <v>23</v>
      </c>
    </row>
    <row r="523" spans="1:27" ht="15" hidden="1">
      <c r="A523" s="24">
        <v>1522</v>
      </c>
      <c r="B523" s="24">
        <v>1522</v>
      </c>
      <c r="C523" s="469" t="s">
        <v>917</v>
      </c>
      <c r="D523" t="s">
        <v>146</v>
      </c>
      <c r="E523" s="470">
        <v>1</v>
      </c>
      <c r="F523" s="471">
        <v>0.31914893617021278</v>
      </c>
      <c r="G523">
        <v>1</v>
      </c>
      <c r="H523">
        <v>1</v>
      </c>
      <c r="I523" s="472">
        <f t="shared" si="27"/>
        <v>0.32845968612834514</v>
      </c>
      <c r="J523" s="153">
        <v>3.8473756479098807E-2</v>
      </c>
      <c r="K523" s="153">
        <v>0.39358026214566905</v>
      </c>
      <c r="L523" s="153">
        <v>0.53857526864315253</v>
      </c>
      <c r="M523" s="153">
        <v>0.3432094572454602</v>
      </c>
      <c r="N523" s="472">
        <f t="shared" si="28"/>
        <v>0.32845968612834514</v>
      </c>
      <c r="O523" s="153">
        <v>3.8473756479098807E-2</v>
      </c>
      <c r="P523" s="153">
        <v>0.39358026214566905</v>
      </c>
      <c r="Q523" s="153">
        <v>0.53857526864315253</v>
      </c>
      <c r="R523" s="153">
        <v>0.3432094572454602</v>
      </c>
      <c r="S523" s="153">
        <v>0.03</v>
      </c>
      <c r="T523" s="153">
        <v>0</v>
      </c>
      <c r="U523" s="474">
        <v>2014</v>
      </c>
      <c r="V523">
        <v>2035</v>
      </c>
      <c r="W523">
        <v>0</v>
      </c>
      <c r="X523">
        <v>0</v>
      </c>
      <c r="Y523">
        <v>1304</v>
      </c>
      <c r="Z523">
        <v>311</v>
      </c>
      <c r="AA523" s="475" t="s">
        <v>23</v>
      </c>
    </row>
    <row r="524" spans="1:27" ht="15" hidden="1">
      <c r="A524" s="24">
        <v>1523</v>
      </c>
      <c r="B524" s="24">
        <v>1523</v>
      </c>
      <c r="C524" s="469" t="s">
        <v>918</v>
      </c>
      <c r="D524" t="s">
        <v>146</v>
      </c>
      <c r="E524" s="470">
        <v>1</v>
      </c>
      <c r="F524" s="471">
        <v>8.8000000000000007</v>
      </c>
      <c r="G524">
        <v>1</v>
      </c>
      <c r="H524">
        <v>1</v>
      </c>
      <c r="I524" s="472">
        <f t="shared" si="27"/>
        <v>0.32845968612834514</v>
      </c>
      <c r="J524" s="153">
        <v>3.8473756479098807E-2</v>
      </c>
      <c r="K524" s="153">
        <v>0.39358026214566905</v>
      </c>
      <c r="L524" s="153">
        <v>0.53857526864315253</v>
      </c>
      <c r="M524" s="153">
        <v>0.3432094572454602</v>
      </c>
      <c r="N524" s="472">
        <f t="shared" si="28"/>
        <v>0.32845968612834514</v>
      </c>
      <c r="O524" s="153">
        <v>3.8473756479098807E-2</v>
      </c>
      <c r="P524" s="153">
        <v>0.39358026214566905</v>
      </c>
      <c r="Q524" s="153">
        <v>0.53857526864315253</v>
      </c>
      <c r="R524" s="153">
        <v>0.3432094572454602</v>
      </c>
      <c r="S524" s="153">
        <v>0.03</v>
      </c>
      <c r="T524" s="153">
        <v>0</v>
      </c>
      <c r="U524" s="474">
        <v>2010</v>
      </c>
      <c r="V524">
        <v>2023</v>
      </c>
      <c r="W524">
        <v>0</v>
      </c>
      <c r="X524">
        <v>0</v>
      </c>
      <c r="Y524">
        <v>1304</v>
      </c>
      <c r="Z524">
        <v>311</v>
      </c>
      <c r="AA524" s="475" t="s">
        <v>23</v>
      </c>
    </row>
    <row r="525" spans="1:27" ht="15">
      <c r="A525" s="24">
        <v>1524</v>
      </c>
      <c r="B525" s="24">
        <v>1524</v>
      </c>
      <c r="C525" s="469" t="s">
        <v>919</v>
      </c>
      <c r="D525" t="s">
        <v>152</v>
      </c>
      <c r="E525" s="470">
        <v>3</v>
      </c>
      <c r="F525" s="471">
        <v>4.25</v>
      </c>
      <c r="G525">
        <v>1</v>
      </c>
      <c r="H525">
        <v>1</v>
      </c>
      <c r="I525" s="472">
        <f t="shared" si="27"/>
        <v>0.47039166666666665</v>
      </c>
      <c r="J525" s="473">
        <v>0.36503333333333332</v>
      </c>
      <c r="K525" s="473">
        <v>0.44336666666666663</v>
      </c>
      <c r="L525" s="473">
        <v>0.58906666666666663</v>
      </c>
      <c r="M525" s="473">
        <v>0.48410000000000003</v>
      </c>
      <c r="N525" s="472">
        <f t="shared" si="28"/>
        <v>0.47039166666666665</v>
      </c>
      <c r="O525" s="473">
        <v>0.36503333333333332</v>
      </c>
      <c r="P525" s="473">
        <v>0.44336666666666663</v>
      </c>
      <c r="Q525" s="473">
        <v>0.58906666666666663</v>
      </c>
      <c r="R525" s="473">
        <v>0.48410000000000003</v>
      </c>
      <c r="S525" s="153">
        <v>0.01</v>
      </c>
      <c r="T525" s="153">
        <v>0.02</v>
      </c>
      <c r="U525" s="474">
        <v>2010</v>
      </c>
      <c r="V525">
        <v>2030</v>
      </c>
      <c r="W525">
        <v>0</v>
      </c>
      <c r="X525">
        <v>0</v>
      </c>
      <c r="Y525">
        <v>1315</v>
      </c>
      <c r="Z525">
        <v>361</v>
      </c>
      <c r="AA525" s="475" t="s">
        <v>24</v>
      </c>
    </row>
    <row r="526" spans="1:27" ht="15" hidden="1">
      <c r="A526" s="24">
        <v>1525</v>
      </c>
      <c r="B526" s="24">
        <v>1525</v>
      </c>
      <c r="C526" s="469" t="s">
        <v>920</v>
      </c>
      <c r="D526" t="s">
        <v>149</v>
      </c>
      <c r="E526" s="470">
        <v>2</v>
      </c>
      <c r="F526" s="471">
        <v>3</v>
      </c>
      <c r="G526">
        <v>1</v>
      </c>
      <c r="H526">
        <v>1</v>
      </c>
      <c r="I526" s="472">
        <f t="shared" si="27"/>
        <v>0.40033333333333337</v>
      </c>
      <c r="J526" s="153">
        <v>0.3706666666666667</v>
      </c>
      <c r="K526" s="153">
        <v>0.3666666666666667</v>
      </c>
      <c r="L526" s="153">
        <v>0.44799999999999995</v>
      </c>
      <c r="M526" s="153">
        <v>0.41600000000000009</v>
      </c>
      <c r="N526" s="472">
        <f t="shared" si="28"/>
        <v>0.40033333333333337</v>
      </c>
      <c r="O526" s="153">
        <v>0.3706666666666667</v>
      </c>
      <c r="P526" s="153">
        <v>0.3666666666666667</v>
      </c>
      <c r="Q526" s="153">
        <v>0.44799999999999995</v>
      </c>
      <c r="R526" s="153">
        <v>0.41600000000000009</v>
      </c>
      <c r="S526" s="153">
        <v>0.01</v>
      </c>
      <c r="T526" s="153">
        <v>0.02</v>
      </c>
      <c r="U526" s="474">
        <v>2018</v>
      </c>
      <c r="V526">
        <v>2038</v>
      </c>
      <c r="W526">
        <v>0</v>
      </c>
      <c r="X526">
        <v>0</v>
      </c>
      <c r="Y526">
        <v>1315</v>
      </c>
      <c r="Z526">
        <v>360</v>
      </c>
      <c r="AA526" s="475" t="s">
        <v>24</v>
      </c>
    </row>
    <row r="527" spans="1:27" ht="15" hidden="1">
      <c r="A527" s="24">
        <v>1526</v>
      </c>
      <c r="B527" s="24">
        <v>1526</v>
      </c>
      <c r="C527" s="469" t="s">
        <v>921</v>
      </c>
      <c r="D527" t="s">
        <v>146</v>
      </c>
      <c r="E527" s="470">
        <v>1</v>
      </c>
      <c r="F527" s="471">
        <v>0</v>
      </c>
      <c r="G527">
        <v>1</v>
      </c>
      <c r="H527">
        <v>1</v>
      </c>
      <c r="I527" s="472">
        <f t="shared" si="27"/>
        <v>0.32845968612834514</v>
      </c>
      <c r="J527" s="153">
        <v>3.8473756479098807E-2</v>
      </c>
      <c r="K527" s="153">
        <v>0.39358026214566905</v>
      </c>
      <c r="L527" s="153">
        <v>0.53857526864315253</v>
      </c>
      <c r="M527" s="153">
        <v>0.3432094572454602</v>
      </c>
      <c r="N527" s="472">
        <f t="shared" si="28"/>
        <v>0.32845968612834514</v>
      </c>
      <c r="O527" s="153">
        <v>3.8473756479098807E-2</v>
      </c>
      <c r="P527" s="153">
        <v>0.39358026214566905</v>
      </c>
      <c r="Q527" s="153">
        <v>0.53857526864315253</v>
      </c>
      <c r="R527" s="153">
        <v>0.3432094572454602</v>
      </c>
      <c r="S527" s="153">
        <v>0.03</v>
      </c>
      <c r="T527" s="153">
        <v>0</v>
      </c>
      <c r="U527" s="474">
        <v>1900</v>
      </c>
      <c r="V527">
        <v>2030</v>
      </c>
      <c r="W527">
        <v>0</v>
      </c>
      <c r="X527">
        <v>0</v>
      </c>
      <c r="Y527">
        <v>1304</v>
      </c>
      <c r="Z527">
        <v>311</v>
      </c>
      <c r="AA527" s="475" t="s">
        <v>23</v>
      </c>
    </row>
    <row r="528" spans="1:27" ht="15">
      <c r="A528" s="24">
        <v>1527</v>
      </c>
      <c r="B528" s="24">
        <v>1527</v>
      </c>
      <c r="C528" s="469" t="s">
        <v>922</v>
      </c>
      <c r="D528" t="s">
        <v>152</v>
      </c>
      <c r="E528" s="470">
        <v>3</v>
      </c>
      <c r="F528" s="471">
        <v>26</v>
      </c>
      <c r="G528">
        <v>1</v>
      </c>
      <c r="H528">
        <v>1</v>
      </c>
      <c r="I528" s="472">
        <f t="shared" si="27"/>
        <v>0.47039166666666665</v>
      </c>
      <c r="J528" s="473">
        <v>0.36503333333333332</v>
      </c>
      <c r="K528" s="473">
        <v>0.44336666666666663</v>
      </c>
      <c r="L528" s="473">
        <v>0.58906666666666663</v>
      </c>
      <c r="M528" s="473">
        <v>0.48410000000000003</v>
      </c>
      <c r="N528" s="472">
        <f t="shared" si="28"/>
        <v>0.47039166666666665</v>
      </c>
      <c r="O528" s="473">
        <v>0.36503333333333332</v>
      </c>
      <c r="P528" s="473">
        <v>0.44336666666666663</v>
      </c>
      <c r="Q528" s="473">
        <v>0.58906666666666663</v>
      </c>
      <c r="R528" s="473">
        <v>0.48410000000000003</v>
      </c>
      <c r="S528" s="153">
        <v>0.01</v>
      </c>
      <c r="T528" s="153">
        <v>0.02</v>
      </c>
      <c r="U528" s="474">
        <v>2014</v>
      </c>
      <c r="V528">
        <v>2034</v>
      </c>
      <c r="W528">
        <v>0</v>
      </c>
      <c r="X528">
        <v>0</v>
      </c>
      <c r="Y528">
        <v>1315</v>
      </c>
      <c r="Z528">
        <v>361</v>
      </c>
      <c r="AA528" s="475" t="s">
        <v>24</v>
      </c>
    </row>
    <row r="529" spans="1:27" ht="15">
      <c r="A529" s="24">
        <v>1528</v>
      </c>
      <c r="B529" s="24">
        <v>1528</v>
      </c>
      <c r="C529" s="469" t="s">
        <v>923</v>
      </c>
      <c r="D529" t="s">
        <v>152</v>
      </c>
      <c r="E529" s="470">
        <v>3</v>
      </c>
      <c r="F529" s="471">
        <v>24</v>
      </c>
      <c r="G529">
        <v>1</v>
      </c>
      <c r="H529">
        <v>1</v>
      </c>
      <c r="I529" s="472">
        <f t="shared" si="27"/>
        <v>0.47039166666666665</v>
      </c>
      <c r="J529" s="473">
        <v>0.36503333333333332</v>
      </c>
      <c r="K529" s="473">
        <v>0.44336666666666663</v>
      </c>
      <c r="L529" s="473">
        <v>0.58906666666666663</v>
      </c>
      <c r="M529" s="473">
        <v>0.48410000000000003</v>
      </c>
      <c r="N529" s="472">
        <f t="shared" si="28"/>
        <v>0.47039166666666665</v>
      </c>
      <c r="O529" s="473">
        <v>0.36503333333333332</v>
      </c>
      <c r="P529" s="473">
        <v>0.44336666666666663</v>
      </c>
      <c r="Q529" s="473">
        <v>0.58906666666666663</v>
      </c>
      <c r="R529" s="473">
        <v>0.48410000000000003</v>
      </c>
      <c r="S529" s="153">
        <v>0.01</v>
      </c>
      <c r="T529" s="153">
        <v>0.02</v>
      </c>
      <c r="U529" s="474">
        <v>2014</v>
      </c>
      <c r="V529">
        <v>2034</v>
      </c>
      <c r="W529">
        <v>0</v>
      </c>
      <c r="X529">
        <v>0</v>
      </c>
      <c r="Y529">
        <v>1315</v>
      </c>
      <c r="Z529">
        <v>361</v>
      </c>
      <c r="AA529" s="475" t="s">
        <v>24</v>
      </c>
    </row>
    <row r="530" spans="1:27" ht="15">
      <c r="A530" s="24">
        <v>1529</v>
      </c>
      <c r="B530" s="24">
        <v>1529</v>
      </c>
      <c r="C530" s="469" t="s">
        <v>924</v>
      </c>
      <c r="D530" t="s">
        <v>152</v>
      </c>
      <c r="E530" s="470">
        <v>3</v>
      </c>
      <c r="F530" s="471">
        <v>30</v>
      </c>
      <c r="G530">
        <v>1</v>
      </c>
      <c r="H530">
        <v>1</v>
      </c>
      <c r="I530" s="472">
        <f t="shared" si="27"/>
        <v>0.47039166666666665</v>
      </c>
      <c r="J530" s="473">
        <v>0.36503333333333332</v>
      </c>
      <c r="K530" s="473">
        <v>0.44336666666666663</v>
      </c>
      <c r="L530" s="473">
        <v>0.58906666666666663</v>
      </c>
      <c r="M530" s="473">
        <v>0.48410000000000003</v>
      </c>
      <c r="N530" s="472">
        <f t="shared" si="28"/>
        <v>0.47039166666666665</v>
      </c>
      <c r="O530" s="473">
        <v>0.36503333333333332</v>
      </c>
      <c r="P530" s="473">
        <v>0.44336666666666663</v>
      </c>
      <c r="Q530" s="473">
        <v>0.58906666666666663</v>
      </c>
      <c r="R530" s="473">
        <v>0.48410000000000003</v>
      </c>
      <c r="S530" s="153">
        <v>0.01</v>
      </c>
      <c r="T530" s="153">
        <v>0.02</v>
      </c>
      <c r="U530" s="474">
        <v>2013</v>
      </c>
      <c r="V530">
        <v>2033</v>
      </c>
      <c r="W530">
        <v>0</v>
      </c>
      <c r="X530">
        <v>0</v>
      </c>
      <c r="Y530">
        <v>1315</v>
      </c>
      <c r="Z530">
        <v>361</v>
      </c>
      <c r="AA530" s="475" t="s">
        <v>24</v>
      </c>
    </row>
    <row r="531" spans="1:27" ht="15">
      <c r="A531" s="24">
        <v>1530</v>
      </c>
      <c r="B531" s="24">
        <v>1530</v>
      </c>
      <c r="C531" s="469" t="s">
        <v>925</v>
      </c>
      <c r="D531" t="s">
        <v>152</v>
      </c>
      <c r="E531" s="470">
        <v>3</v>
      </c>
      <c r="F531" s="471">
        <v>30</v>
      </c>
      <c r="G531">
        <v>1</v>
      </c>
      <c r="H531">
        <v>1</v>
      </c>
      <c r="I531" s="472">
        <f t="shared" si="27"/>
        <v>0.47039166666666665</v>
      </c>
      <c r="J531" s="473">
        <v>0.36503333333333332</v>
      </c>
      <c r="K531" s="473">
        <v>0.44336666666666663</v>
      </c>
      <c r="L531" s="473">
        <v>0.58906666666666663</v>
      </c>
      <c r="M531" s="473">
        <v>0.48410000000000003</v>
      </c>
      <c r="N531" s="472">
        <f t="shared" si="28"/>
        <v>0.47039166666666665</v>
      </c>
      <c r="O531" s="473">
        <v>0.36503333333333332</v>
      </c>
      <c r="P531" s="473">
        <v>0.44336666666666663</v>
      </c>
      <c r="Q531" s="473">
        <v>0.58906666666666663</v>
      </c>
      <c r="R531" s="473">
        <v>0.48410000000000003</v>
      </c>
      <c r="S531" s="153">
        <v>0.01</v>
      </c>
      <c r="T531" s="153">
        <v>0.02</v>
      </c>
      <c r="U531" s="474">
        <v>2013</v>
      </c>
      <c r="V531">
        <v>2033</v>
      </c>
      <c r="W531">
        <v>0</v>
      </c>
      <c r="X531">
        <v>0</v>
      </c>
      <c r="Y531">
        <v>1315</v>
      </c>
      <c r="Z531">
        <v>361</v>
      </c>
      <c r="AA531" s="475" t="s">
        <v>24</v>
      </c>
    </row>
    <row r="532" spans="1:27" ht="15">
      <c r="A532" s="24">
        <v>1531</v>
      </c>
      <c r="B532" s="24">
        <v>1531</v>
      </c>
      <c r="C532" s="469" t="s">
        <v>926</v>
      </c>
      <c r="D532" t="s">
        <v>152</v>
      </c>
      <c r="E532" s="470">
        <v>3</v>
      </c>
      <c r="F532" s="471">
        <v>30.06</v>
      </c>
      <c r="G532">
        <v>1</v>
      </c>
      <c r="H532">
        <v>1</v>
      </c>
      <c r="I532" s="472">
        <f t="shared" si="27"/>
        <v>0.47039166666666665</v>
      </c>
      <c r="J532" s="473">
        <v>0.36503333333333332</v>
      </c>
      <c r="K532" s="473">
        <v>0.44336666666666663</v>
      </c>
      <c r="L532" s="473">
        <v>0.58906666666666663</v>
      </c>
      <c r="M532" s="473">
        <v>0.48410000000000003</v>
      </c>
      <c r="N532" s="472">
        <f t="shared" si="28"/>
        <v>0.47039166666666665</v>
      </c>
      <c r="O532" s="473">
        <v>0.36503333333333332</v>
      </c>
      <c r="P532" s="473">
        <v>0.44336666666666663</v>
      </c>
      <c r="Q532" s="473">
        <v>0.58906666666666663</v>
      </c>
      <c r="R532" s="473">
        <v>0.48410000000000003</v>
      </c>
      <c r="S532" s="153">
        <v>0.01</v>
      </c>
      <c r="T532" s="153">
        <v>0.02</v>
      </c>
      <c r="U532" s="474">
        <v>2012</v>
      </c>
      <c r="V532">
        <v>2032</v>
      </c>
      <c r="W532">
        <v>0</v>
      </c>
      <c r="X532">
        <v>0</v>
      </c>
      <c r="Y532">
        <v>1315</v>
      </c>
      <c r="Z532">
        <v>361</v>
      </c>
      <c r="AA532" s="475" t="s">
        <v>24</v>
      </c>
    </row>
    <row r="533" spans="1:27" ht="15">
      <c r="A533" s="24">
        <v>1532</v>
      </c>
      <c r="B533" s="24">
        <v>1532</v>
      </c>
      <c r="C533" s="469" t="s">
        <v>927</v>
      </c>
      <c r="D533" t="s">
        <v>152</v>
      </c>
      <c r="E533" s="470">
        <v>3</v>
      </c>
      <c r="F533" s="471">
        <v>30.24</v>
      </c>
      <c r="G533">
        <v>1</v>
      </c>
      <c r="H533">
        <v>1</v>
      </c>
      <c r="I533" s="472">
        <f t="shared" si="27"/>
        <v>0.47039166666666665</v>
      </c>
      <c r="J533" s="473">
        <v>0.36503333333333332</v>
      </c>
      <c r="K533" s="473">
        <v>0.44336666666666663</v>
      </c>
      <c r="L533" s="473">
        <v>0.58906666666666663</v>
      </c>
      <c r="M533" s="473">
        <v>0.48410000000000003</v>
      </c>
      <c r="N533" s="472">
        <f t="shared" si="28"/>
        <v>0.47039166666666665</v>
      </c>
      <c r="O533" s="473">
        <v>0.36503333333333332</v>
      </c>
      <c r="P533" s="473">
        <v>0.44336666666666663</v>
      </c>
      <c r="Q533" s="473">
        <v>0.58906666666666663</v>
      </c>
      <c r="R533" s="473">
        <v>0.48410000000000003</v>
      </c>
      <c r="S533" s="153">
        <v>0.01</v>
      </c>
      <c r="T533" s="153">
        <v>0.02</v>
      </c>
      <c r="U533" s="474">
        <v>2013</v>
      </c>
      <c r="V533">
        <v>2033</v>
      </c>
      <c r="W533">
        <v>0</v>
      </c>
      <c r="X533">
        <v>0</v>
      </c>
      <c r="Y533">
        <v>1315</v>
      </c>
      <c r="Z533">
        <v>361</v>
      </c>
      <c r="AA533" s="475" t="s">
        <v>24</v>
      </c>
    </row>
    <row r="534" spans="1:27" ht="15">
      <c r="A534" s="24">
        <v>1533</v>
      </c>
      <c r="B534" s="24">
        <v>1533</v>
      </c>
      <c r="C534" s="469" t="s">
        <v>928</v>
      </c>
      <c r="D534" t="s">
        <v>152</v>
      </c>
      <c r="E534" s="470">
        <v>3</v>
      </c>
      <c r="F534" s="471">
        <v>19.2</v>
      </c>
      <c r="G534">
        <v>1</v>
      </c>
      <c r="H534">
        <v>1</v>
      </c>
      <c r="I534" s="472">
        <f t="shared" si="27"/>
        <v>0.47039166666666665</v>
      </c>
      <c r="J534" s="473">
        <v>0.36503333333333332</v>
      </c>
      <c r="K534" s="473">
        <v>0.44336666666666663</v>
      </c>
      <c r="L534" s="473">
        <v>0.58906666666666663</v>
      </c>
      <c r="M534" s="473">
        <v>0.48410000000000003</v>
      </c>
      <c r="N534" s="472">
        <f t="shared" si="28"/>
        <v>0.47039166666666665</v>
      </c>
      <c r="O534" s="473">
        <v>0.36503333333333332</v>
      </c>
      <c r="P534" s="473">
        <v>0.44336666666666663</v>
      </c>
      <c r="Q534" s="473">
        <v>0.58906666666666663</v>
      </c>
      <c r="R534" s="473">
        <v>0.48410000000000003</v>
      </c>
      <c r="S534" s="153">
        <v>0.01</v>
      </c>
      <c r="T534" s="153">
        <v>0.02</v>
      </c>
      <c r="U534" s="474">
        <v>2012</v>
      </c>
      <c r="V534">
        <v>2032</v>
      </c>
      <c r="W534">
        <v>0</v>
      </c>
      <c r="X534">
        <v>0</v>
      </c>
      <c r="Y534">
        <v>1315</v>
      </c>
      <c r="Z534">
        <v>361</v>
      </c>
      <c r="AA534" s="475" t="s">
        <v>24</v>
      </c>
    </row>
    <row r="535" spans="1:27" ht="15" hidden="1">
      <c r="A535" s="24">
        <v>1534</v>
      </c>
      <c r="B535" s="24">
        <v>1534</v>
      </c>
      <c r="C535" s="469" t="s">
        <v>929</v>
      </c>
      <c r="D535" t="s">
        <v>146</v>
      </c>
      <c r="E535" s="470">
        <v>1</v>
      </c>
      <c r="F535" s="471">
        <v>89</v>
      </c>
      <c r="G535">
        <v>1</v>
      </c>
      <c r="H535">
        <v>1</v>
      </c>
      <c r="I535" s="472">
        <f t="shared" si="27"/>
        <v>0.32845968612834514</v>
      </c>
      <c r="J535" s="153">
        <v>3.8473756479098807E-2</v>
      </c>
      <c r="K535" s="153">
        <v>0.39358026214566905</v>
      </c>
      <c r="L535" s="153">
        <v>0.53857526864315253</v>
      </c>
      <c r="M535" s="153">
        <v>0.3432094572454602</v>
      </c>
      <c r="N535" s="472">
        <f t="shared" si="28"/>
        <v>0.32845968612834514</v>
      </c>
      <c r="O535" s="153">
        <v>3.8473756479098807E-2</v>
      </c>
      <c r="P535" s="153">
        <v>0.39358026214566905</v>
      </c>
      <c r="Q535" s="153">
        <v>0.53857526864315253</v>
      </c>
      <c r="R535" s="153">
        <v>0.3432094572454602</v>
      </c>
      <c r="S535" s="153">
        <v>0.03</v>
      </c>
      <c r="T535" s="153">
        <v>0</v>
      </c>
      <c r="U535" s="474">
        <v>2010</v>
      </c>
      <c r="V535">
        <v>2023</v>
      </c>
      <c r="W535">
        <v>0</v>
      </c>
      <c r="X535">
        <v>0</v>
      </c>
      <c r="Y535">
        <v>1304</v>
      </c>
      <c r="Z535">
        <v>311</v>
      </c>
      <c r="AA535" s="475" t="s">
        <v>23</v>
      </c>
    </row>
    <row r="536" spans="1:27" ht="15">
      <c r="A536" s="24">
        <v>1535</v>
      </c>
      <c r="B536" s="24">
        <v>1535</v>
      </c>
      <c r="C536" s="469" t="s">
        <v>930</v>
      </c>
      <c r="D536" t="s">
        <v>152</v>
      </c>
      <c r="E536" s="470">
        <v>3</v>
      </c>
      <c r="F536" s="471">
        <v>30</v>
      </c>
      <c r="G536">
        <v>1</v>
      </c>
      <c r="H536">
        <v>1</v>
      </c>
      <c r="I536" s="472">
        <f t="shared" si="27"/>
        <v>0.47039166666666665</v>
      </c>
      <c r="J536" s="473">
        <v>0.36503333333333332</v>
      </c>
      <c r="K536" s="473">
        <v>0.44336666666666663</v>
      </c>
      <c r="L536" s="473">
        <v>0.58906666666666663</v>
      </c>
      <c r="M536" s="473">
        <v>0.48410000000000003</v>
      </c>
      <c r="N536" s="472">
        <f t="shared" si="28"/>
        <v>0.47039166666666665</v>
      </c>
      <c r="O536" s="473">
        <v>0.36503333333333332</v>
      </c>
      <c r="P536" s="473">
        <v>0.44336666666666663</v>
      </c>
      <c r="Q536" s="473">
        <v>0.58906666666666663</v>
      </c>
      <c r="R536" s="473">
        <v>0.48410000000000003</v>
      </c>
      <c r="S536" s="153">
        <v>0.01</v>
      </c>
      <c r="T536" s="153">
        <v>0.02</v>
      </c>
      <c r="U536" s="474">
        <v>2013</v>
      </c>
      <c r="V536">
        <v>2033</v>
      </c>
      <c r="W536">
        <v>0</v>
      </c>
      <c r="X536">
        <v>0</v>
      </c>
      <c r="Y536">
        <v>1315</v>
      </c>
      <c r="Z536">
        <v>361</v>
      </c>
      <c r="AA536" s="475" t="s">
        <v>24</v>
      </c>
    </row>
    <row r="537" spans="1:27" ht="15">
      <c r="A537" s="24">
        <v>1536</v>
      </c>
      <c r="B537" s="24">
        <v>1536</v>
      </c>
      <c r="C537" s="469" t="s">
        <v>931</v>
      </c>
      <c r="D537" t="s">
        <v>152</v>
      </c>
      <c r="E537" s="470">
        <v>3</v>
      </c>
      <c r="F537" s="471">
        <v>29.7</v>
      </c>
      <c r="G537">
        <v>1</v>
      </c>
      <c r="H537">
        <v>1</v>
      </c>
      <c r="I537" s="472">
        <f t="shared" si="27"/>
        <v>0.47039166666666665</v>
      </c>
      <c r="J537" s="473">
        <v>0.36503333333333332</v>
      </c>
      <c r="K537" s="473">
        <v>0.44336666666666663</v>
      </c>
      <c r="L537" s="473">
        <v>0.58906666666666663</v>
      </c>
      <c r="M537" s="473">
        <v>0.48410000000000003</v>
      </c>
      <c r="N537" s="472">
        <f t="shared" si="28"/>
        <v>0.47039166666666665</v>
      </c>
      <c r="O537" s="473">
        <v>0.36503333333333332</v>
      </c>
      <c r="P537" s="473">
        <v>0.44336666666666663</v>
      </c>
      <c r="Q537" s="473">
        <v>0.58906666666666663</v>
      </c>
      <c r="R537" s="473">
        <v>0.48410000000000003</v>
      </c>
      <c r="S537" s="153">
        <v>0.01</v>
      </c>
      <c r="T537" s="153">
        <v>0.02</v>
      </c>
      <c r="U537" s="474">
        <v>2014</v>
      </c>
      <c r="V537">
        <v>2034</v>
      </c>
      <c r="W537">
        <v>0</v>
      </c>
      <c r="X537">
        <v>0</v>
      </c>
      <c r="Y537">
        <v>1315</v>
      </c>
      <c r="Z537">
        <v>361</v>
      </c>
      <c r="AA537" s="475" t="s">
        <v>24</v>
      </c>
    </row>
    <row r="538" spans="1:27" ht="15">
      <c r="A538" s="24">
        <v>1537</v>
      </c>
      <c r="B538" s="24">
        <v>1537</v>
      </c>
      <c r="C538" s="469" t="s">
        <v>932</v>
      </c>
      <c r="D538" t="s">
        <v>152</v>
      </c>
      <c r="E538" s="470">
        <v>3</v>
      </c>
      <c r="F538" s="471">
        <v>30</v>
      </c>
      <c r="G538">
        <v>1</v>
      </c>
      <c r="H538">
        <v>1</v>
      </c>
      <c r="I538" s="472">
        <f t="shared" si="27"/>
        <v>0.47039166666666665</v>
      </c>
      <c r="J538" s="473">
        <v>0.36503333333333332</v>
      </c>
      <c r="K538" s="473">
        <v>0.44336666666666663</v>
      </c>
      <c r="L538" s="473">
        <v>0.58906666666666663</v>
      </c>
      <c r="M538" s="473">
        <v>0.48410000000000003</v>
      </c>
      <c r="N538" s="472">
        <f t="shared" si="28"/>
        <v>0.47039166666666665</v>
      </c>
      <c r="O538" s="473">
        <v>0.36503333333333332</v>
      </c>
      <c r="P538" s="473">
        <v>0.44336666666666663</v>
      </c>
      <c r="Q538" s="473">
        <v>0.58906666666666663</v>
      </c>
      <c r="R538" s="473">
        <v>0.48410000000000003</v>
      </c>
      <c r="S538" s="153">
        <v>0.01</v>
      </c>
      <c r="T538" s="153">
        <v>0.02</v>
      </c>
      <c r="U538" s="474">
        <v>2012</v>
      </c>
      <c r="V538">
        <v>2032</v>
      </c>
      <c r="W538">
        <v>0</v>
      </c>
      <c r="X538">
        <v>0</v>
      </c>
      <c r="Y538">
        <v>1315</v>
      </c>
      <c r="Z538">
        <v>361</v>
      </c>
      <c r="AA538" s="475" t="s">
        <v>24</v>
      </c>
    </row>
    <row r="539" spans="1:27" ht="15">
      <c r="A539" s="24">
        <v>1538</v>
      </c>
      <c r="B539" s="24">
        <v>1538</v>
      </c>
      <c r="C539" s="469" t="s">
        <v>933</v>
      </c>
      <c r="D539" t="s">
        <v>152</v>
      </c>
      <c r="E539" s="470">
        <v>3</v>
      </c>
      <c r="F539" s="471">
        <v>30</v>
      </c>
      <c r="G539">
        <v>1</v>
      </c>
      <c r="H539">
        <v>1</v>
      </c>
      <c r="I539" s="472">
        <f t="shared" si="27"/>
        <v>0.47039166666666665</v>
      </c>
      <c r="J539" s="473">
        <v>0.36503333333333332</v>
      </c>
      <c r="K539" s="473">
        <v>0.44336666666666663</v>
      </c>
      <c r="L539" s="473">
        <v>0.58906666666666663</v>
      </c>
      <c r="M539" s="473">
        <v>0.48410000000000003</v>
      </c>
      <c r="N539" s="472">
        <f t="shared" si="28"/>
        <v>0.47039166666666665</v>
      </c>
      <c r="O539" s="473">
        <v>0.36503333333333332</v>
      </c>
      <c r="P539" s="473">
        <v>0.44336666666666663</v>
      </c>
      <c r="Q539" s="473">
        <v>0.58906666666666663</v>
      </c>
      <c r="R539" s="473">
        <v>0.48410000000000003</v>
      </c>
      <c r="S539" s="153">
        <v>0.01</v>
      </c>
      <c r="T539" s="153">
        <v>0.02</v>
      </c>
      <c r="U539" s="474">
        <v>2012</v>
      </c>
      <c r="V539">
        <v>2032</v>
      </c>
      <c r="W539">
        <v>0</v>
      </c>
      <c r="X539">
        <v>0</v>
      </c>
      <c r="Y539">
        <v>1315</v>
      </c>
      <c r="Z539">
        <v>361</v>
      </c>
      <c r="AA539" s="475" t="s">
        <v>24</v>
      </c>
    </row>
    <row r="540" spans="1:27" ht="15">
      <c r="A540" s="24">
        <v>1539</v>
      </c>
      <c r="B540" s="24">
        <v>1539</v>
      </c>
      <c r="C540" s="469" t="s">
        <v>934</v>
      </c>
      <c r="D540" t="s">
        <v>152</v>
      </c>
      <c r="E540" s="470">
        <v>3</v>
      </c>
      <c r="F540" s="471">
        <v>30</v>
      </c>
      <c r="G540">
        <v>1</v>
      </c>
      <c r="H540">
        <v>1</v>
      </c>
      <c r="I540" s="472">
        <f t="shared" si="27"/>
        <v>0.47039166666666665</v>
      </c>
      <c r="J540" s="473">
        <v>0.36503333333333332</v>
      </c>
      <c r="K540" s="473">
        <v>0.44336666666666663</v>
      </c>
      <c r="L540" s="473">
        <v>0.58906666666666663</v>
      </c>
      <c r="M540" s="473">
        <v>0.48410000000000003</v>
      </c>
      <c r="N540" s="472">
        <f t="shared" si="28"/>
        <v>0.47039166666666665</v>
      </c>
      <c r="O540" s="473">
        <v>0.36503333333333332</v>
      </c>
      <c r="P540" s="473">
        <v>0.44336666666666663</v>
      </c>
      <c r="Q540" s="473">
        <v>0.58906666666666663</v>
      </c>
      <c r="R540" s="473">
        <v>0.48410000000000003</v>
      </c>
      <c r="S540" s="153">
        <v>0.01</v>
      </c>
      <c r="T540" s="153">
        <v>0.02</v>
      </c>
      <c r="U540" s="474">
        <v>2012</v>
      </c>
      <c r="V540">
        <v>2032</v>
      </c>
      <c r="W540">
        <v>0</v>
      </c>
      <c r="X540">
        <v>0</v>
      </c>
      <c r="Y540">
        <v>1315</v>
      </c>
      <c r="Z540">
        <v>361</v>
      </c>
      <c r="AA540" s="475" t="s">
        <v>24</v>
      </c>
    </row>
    <row r="541" spans="1:27" ht="15">
      <c r="A541" s="24">
        <v>1540</v>
      </c>
      <c r="B541" s="24">
        <v>1540</v>
      </c>
      <c r="C541" s="469" t="s">
        <v>935</v>
      </c>
      <c r="D541" t="s">
        <v>152</v>
      </c>
      <c r="E541" s="470">
        <v>3</v>
      </c>
      <c r="F541" s="471">
        <v>30</v>
      </c>
      <c r="G541">
        <v>1</v>
      </c>
      <c r="H541">
        <v>1</v>
      </c>
      <c r="I541" s="472">
        <f t="shared" si="27"/>
        <v>0.47039166666666665</v>
      </c>
      <c r="J541" s="473">
        <v>0.36503333333333332</v>
      </c>
      <c r="K541" s="473">
        <v>0.44336666666666663</v>
      </c>
      <c r="L541" s="473">
        <v>0.58906666666666663</v>
      </c>
      <c r="M541" s="473">
        <v>0.48410000000000003</v>
      </c>
      <c r="N541" s="472">
        <f t="shared" si="28"/>
        <v>0.47039166666666665</v>
      </c>
      <c r="O541" s="473">
        <v>0.36503333333333332</v>
      </c>
      <c r="P541" s="473">
        <v>0.44336666666666663</v>
      </c>
      <c r="Q541" s="473">
        <v>0.58906666666666663</v>
      </c>
      <c r="R541" s="473">
        <v>0.48410000000000003</v>
      </c>
      <c r="S541" s="153">
        <v>0.01</v>
      </c>
      <c r="T541" s="153">
        <v>0.02</v>
      </c>
      <c r="U541" s="474">
        <v>2012</v>
      </c>
      <c r="V541">
        <v>2032</v>
      </c>
      <c r="W541">
        <v>0</v>
      </c>
      <c r="X541">
        <v>0</v>
      </c>
      <c r="Y541">
        <v>1315</v>
      </c>
      <c r="Z541">
        <v>361</v>
      </c>
      <c r="AA541" s="475" t="s">
        <v>24</v>
      </c>
    </row>
    <row r="542" spans="1:27" ht="15" hidden="1">
      <c r="A542" s="24">
        <v>1541</v>
      </c>
      <c r="B542" s="24">
        <v>1541</v>
      </c>
      <c r="C542" s="469" t="s">
        <v>936</v>
      </c>
      <c r="D542" t="s">
        <v>146</v>
      </c>
      <c r="E542" s="470">
        <v>1</v>
      </c>
      <c r="F542" s="471">
        <v>0</v>
      </c>
      <c r="G542">
        <v>1</v>
      </c>
      <c r="H542">
        <v>1</v>
      </c>
      <c r="I542" s="472">
        <f t="shared" si="27"/>
        <v>0.32845968612834514</v>
      </c>
      <c r="J542" s="153">
        <v>3.8473756479098807E-2</v>
      </c>
      <c r="K542" s="153">
        <v>0.39358026214566905</v>
      </c>
      <c r="L542" s="153">
        <v>0.53857526864315253</v>
      </c>
      <c r="M542" s="153">
        <v>0.3432094572454602</v>
      </c>
      <c r="N542" s="472">
        <f t="shared" si="28"/>
        <v>0.32845968612834514</v>
      </c>
      <c r="O542" s="153">
        <v>3.8473756479098807E-2</v>
      </c>
      <c r="P542" s="153">
        <v>0.39358026214566905</v>
      </c>
      <c r="Q542" s="153">
        <v>0.53857526864315253</v>
      </c>
      <c r="R542" s="153">
        <v>0.3432094572454602</v>
      </c>
      <c r="S542" s="153">
        <v>0.03</v>
      </c>
      <c r="T542" s="153">
        <v>0</v>
      </c>
      <c r="U542" s="474">
        <v>1900</v>
      </c>
      <c r="V542">
        <v>2030</v>
      </c>
      <c r="W542">
        <v>0</v>
      </c>
      <c r="X542">
        <v>0</v>
      </c>
      <c r="Y542">
        <v>1304</v>
      </c>
      <c r="Z542">
        <v>311</v>
      </c>
      <c r="AA542" s="475" t="s">
        <v>23</v>
      </c>
    </row>
    <row r="543" spans="1:27" ht="15">
      <c r="A543" s="24">
        <v>1542</v>
      </c>
      <c r="B543" s="24">
        <v>1542</v>
      </c>
      <c r="C543" s="469" t="s">
        <v>937</v>
      </c>
      <c r="D543" t="s">
        <v>152</v>
      </c>
      <c r="E543" s="470">
        <v>3</v>
      </c>
      <c r="F543" s="471">
        <v>30</v>
      </c>
      <c r="G543">
        <v>1</v>
      </c>
      <c r="H543">
        <v>1</v>
      </c>
      <c r="I543" s="472">
        <f t="shared" si="27"/>
        <v>0.47039166666666665</v>
      </c>
      <c r="J543" s="473">
        <v>0.36503333333333332</v>
      </c>
      <c r="K543" s="473">
        <v>0.44336666666666663</v>
      </c>
      <c r="L543" s="473">
        <v>0.58906666666666663</v>
      </c>
      <c r="M543" s="473">
        <v>0.48410000000000003</v>
      </c>
      <c r="N543" s="472">
        <f t="shared" si="28"/>
        <v>0.47039166666666665</v>
      </c>
      <c r="O543" s="473">
        <v>0.36503333333333332</v>
      </c>
      <c r="P543" s="473">
        <v>0.44336666666666663</v>
      </c>
      <c r="Q543" s="473">
        <v>0.58906666666666663</v>
      </c>
      <c r="R543" s="473">
        <v>0.48410000000000003</v>
      </c>
      <c r="S543" s="153">
        <v>0.01</v>
      </c>
      <c r="T543" s="153">
        <v>0.02</v>
      </c>
      <c r="U543" s="474">
        <v>2012</v>
      </c>
      <c r="V543">
        <v>2032</v>
      </c>
      <c r="W543">
        <v>0</v>
      </c>
      <c r="X543">
        <v>0</v>
      </c>
      <c r="Y543">
        <v>1315</v>
      </c>
      <c r="Z543">
        <v>361</v>
      </c>
      <c r="AA543" s="475" t="s">
        <v>24</v>
      </c>
    </row>
    <row r="544" spans="1:27" ht="15" hidden="1">
      <c r="A544" s="24">
        <v>1543</v>
      </c>
      <c r="B544" s="24">
        <v>1543</v>
      </c>
      <c r="C544" s="469" t="s">
        <v>938</v>
      </c>
      <c r="D544" t="s">
        <v>146</v>
      </c>
      <c r="E544" s="470">
        <v>1</v>
      </c>
      <c r="F544" s="471">
        <v>20</v>
      </c>
      <c r="G544">
        <v>1</v>
      </c>
      <c r="H544">
        <v>1</v>
      </c>
      <c r="I544" s="472">
        <f t="shared" si="27"/>
        <v>0.32845968612834514</v>
      </c>
      <c r="J544" s="153">
        <v>3.8473756479098807E-2</v>
      </c>
      <c r="K544" s="153">
        <v>0.39358026214566905</v>
      </c>
      <c r="L544" s="153">
        <v>0.53857526864315253</v>
      </c>
      <c r="M544" s="153">
        <v>0.3432094572454602</v>
      </c>
      <c r="N544" s="472">
        <f t="shared" si="28"/>
        <v>0.32845968612834514</v>
      </c>
      <c r="O544" s="153">
        <v>3.8473756479098807E-2</v>
      </c>
      <c r="P544" s="153">
        <v>0.39358026214566905</v>
      </c>
      <c r="Q544" s="153">
        <v>0.53857526864315253</v>
      </c>
      <c r="R544" s="153">
        <v>0.3432094572454602</v>
      </c>
      <c r="S544" s="153">
        <v>0.03</v>
      </c>
      <c r="T544" s="153">
        <v>0</v>
      </c>
      <c r="U544" s="474">
        <v>2012</v>
      </c>
      <c r="V544">
        <v>2030</v>
      </c>
      <c r="W544">
        <v>0</v>
      </c>
      <c r="X544">
        <v>0</v>
      </c>
      <c r="Y544">
        <v>1304</v>
      </c>
      <c r="Z544">
        <v>311</v>
      </c>
      <c r="AA544" s="475" t="s">
        <v>23</v>
      </c>
    </row>
    <row r="545" spans="1:27" ht="15" hidden="1">
      <c r="A545" s="24">
        <v>1544</v>
      </c>
      <c r="B545" s="24">
        <v>1544</v>
      </c>
      <c r="C545" s="469" t="s">
        <v>939</v>
      </c>
      <c r="D545" t="s">
        <v>146</v>
      </c>
      <c r="E545" s="470">
        <v>1</v>
      </c>
      <c r="F545" s="471">
        <v>0</v>
      </c>
      <c r="G545">
        <v>1</v>
      </c>
      <c r="H545">
        <v>1</v>
      </c>
      <c r="I545" s="472">
        <f t="shared" si="27"/>
        <v>0.32845968612834514</v>
      </c>
      <c r="J545" s="153">
        <v>3.8473756479098807E-2</v>
      </c>
      <c r="K545" s="153">
        <v>0.39358026214566905</v>
      </c>
      <c r="L545" s="153">
        <v>0.53857526864315253</v>
      </c>
      <c r="M545" s="153">
        <v>0.3432094572454602</v>
      </c>
      <c r="N545" s="472">
        <f t="shared" si="28"/>
        <v>0.32845968612834514</v>
      </c>
      <c r="O545" s="153">
        <v>3.8473756479098807E-2</v>
      </c>
      <c r="P545" s="153">
        <v>0.39358026214566905</v>
      </c>
      <c r="Q545" s="153">
        <v>0.53857526864315253</v>
      </c>
      <c r="R545" s="153">
        <v>0.3432094572454602</v>
      </c>
      <c r="S545" s="153">
        <v>0.03</v>
      </c>
      <c r="T545" s="153">
        <v>0</v>
      </c>
      <c r="U545" s="474">
        <v>1900</v>
      </c>
      <c r="V545">
        <v>2030</v>
      </c>
      <c r="W545">
        <v>0</v>
      </c>
      <c r="X545">
        <v>0</v>
      </c>
      <c r="Y545">
        <v>1304</v>
      </c>
      <c r="Z545">
        <v>311</v>
      </c>
      <c r="AA545" s="475" t="s">
        <v>23</v>
      </c>
    </row>
    <row r="546" spans="1:27" ht="15" hidden="1">
      <c r="A546" s="24">
        <v>1545</v>
      </c>
      <c r="B546" s="24">
        <v>1545</v>
      </c>
      <c r="C546" s="469" t="s">
        <v>940</v>
      </c>
      <c r="D546" t="s">
        <v>146</v>
      </c>
      <c r="E546" s="470">
        <v>1</v>
      </c>
      <c r="F546" s="471">
        <v>16</v>
      </c>
      <c r="G546">
        <v>1</v>
      </c>
      <c r="H546">
        <v>1</v>
      </c>
      <c r="I546" s="472">
        <f t="shared" si="27"/>
        <v>0.32845968612834514</v>
      </c>
      <c r="J546" s="153">
        <v>3.8473756479098807E-2</v>
      </c>
      <c r="K546" s="153">
        <v>0.39358026214566905</v>
      </c>
      <c r="L546" s="153">
        <v>0.53857526864315253</v>
      </c>
      <c r="M546" s="153">
        <v>0.3432094572454602</v>
      </c>
      <c r="N546" s="472">
        <f t="shared" si="28"/>
        <v>0.32845968612834514</v>
      </c>
      <c r="O546" s="153">
        <v>3.8473756479098807E-2</v>
      </c>
      <c r="P546" s="153">
        <v>0.39358026214566905</v>
      </c>
      <c r="Q546" s="153">
        <v>0.53857526864315253</v>
      </c>
      <c r="R546" s="153">
        <v>0.3432094572454602</v>
      </c>
      <c r="S546" s="153">
        <v>0.03</v>
      </c>
      <c r="T546" s="153">
        <v>0</v>
      </c>
      <c r="U546" s="474">
        <v>2005</v>
      </c>
      <c r="V546">
        <v>2023</v>
      </c>
      <c r="W546">
        <v>0</v>
      </c>
      <c r="X546">
        <v>0</v>
      </c>
      <c r="Y546">
        <v>1304</v>
      </c>
      <c r="Z546">
        <v>311</v>
      </c>
      <c r="AA546" s="475" t="s">
        <v>23</v>
      </c>
    </row>
    <row r="547" spans="1:27" ht="15" hidden="1">
      <c r="A547" s="24">
        <v>1546</v>
      </c>
      <c r="B547" s="24">
        <v>1546</v>
      </c>
      <c r="C547" s="469" t="s">
        <v>941</v>
      </c>
      <c r="D547" t="s">
        <v>146</v>
      </c>
      <c r="E547" s="470">
        <v>1</v>
      </c>
      <c r="F547" s="471">
        <v>0</v>
      </c>
      <c r="G547">
        <v>1</v>
      </c>
      <c r="H547">
        <v>1</v>
      </c>
      <c r="I547" s="472">
        <f t="shared" si="27"/>
        <v>0.32845968612834514</v>
      </c>
      <c r="J547" s="153">
        <v>3.8473756479098807E-2</v>
      </c>
      <c r="K547" s="153">
        <v>0.39358026214566905</v>
      </c>
      <c r="L547" s="153">
        <v>0.53857526864315253</v>
      </c>
      <c r="M547" s="153">
        <v>0.3432094572454602</v>
      </c>
      <c r="N547" s="472">
        <f t="shared" si="28"/>
        <v>0.32845968612834514</v>
      </c>
      <c r="O547" s="153">
        <v>3.8473756479098807E-2</v>
      </c>
      <c r="P547" s="153">
        <v>0.39358026214566905</v>
      </c>
      <c r="Q547" s="153">
        <v>0.53857526864315253</v>
      </c>
      <c r="R547" s="153">
        <v>0.3432094572454602</v>
      </c>
      <c r="S547" s="153">
        <v>0.03</v>
      </c>
      <c r="T547" s="153">
        <v>0</v>
      </c>
      <c r="U547" s="474">
        <v>1900</v>
      </c>
      <c r="V547">
        <v>2030</v>
      </c>
      <c r="W547">
        <v>0</v>
      </c>
      <c r="X547">
        <v>0</v>
      </c>
      <c r="Y547">
        <v>1304</v>
      </c>
      <c r="Z547">
        <v>311</v>
      </c>
      <c r="AA547" s="475" t="s">
        <v>23</v>
      </c>
    </row>
    <row r="548" spans="1:27" ht="15">
      <c r="A548" s="24">
        <v>1547</v>
      </c>
      <c r="B548" s="24">
        <v>1547</v>
      </c>
      <c r="C548" s="469" t="s">
        <v>942</v>
      </c>
      <c r="D548" t="s">
        <v>152</v>
      </c>
      <c r="E548" s="470">
        <v>3</v>
      </c>
      <c r="F548" s="471">
        <v>30</v>
      </c>
      <c r="G548">
        <v>1</v>
      </c>
      <c r="H548">
        <v>1</v>
      </c>
      <c r="I548" s="472">
        <f t="shared" si="27"/>
        <v>0.47039166666666665</v>
      </c>
      <c r="J548" s="473">
        <v>0.36503333333333332</v>
      </c>
      <c r="K548" s="473">
        <v>0.44336666666666663</v>
      </c>
      <c r="L548" s="473">
        <v>0.58906666666666663</v>
      </c>
      <c r="M548" s="473">
        <v>0.48410000000000003</v>
      </c>
      <c r="N548" s="472">
        <f t="shared" si="28"/>
        <v>0.47039166666666665</v>
      </c>
      <c r="O548" s="473">
        <v>0.36503333333333332</v>
      </c>
      <c r="P548" s="473">
        <v>0.44336666666666663</v>
      </c>
      <c r="Q548" s="473">
        <v>0.58906666666666663</v>
      </c>
      <c r="R548" s="473">
        <v>0.48410000000000003</v>
      </c>
      <c r="S548" s="153">
        <v>0.01</v>
      </c>
      <c r="T548" s="153">
        <v>0.02</v>
      </c>
      <c r="U548" s="474">
        <v>2012</v>
      </c>
      <c r="V548">
        <v>2032</v>
      </c>
      <c r="W548">
        <v>0</v>
      </c>
      <c r="X548">
        <v>0</v>
      </c>
      <c r="Y548">
        <v>1315</v>
      </c>
      <c r="Z548">
        <v>361</v>
      </c>
      <c r="AA548" s="475" t="s">
        <v>24</v>
      </c>
    </row>
    <row r="549" spans="1:27" ht="15">
      <c r="A549" s="24">
        <v>1548</v>
      </c>
      <c r="B549" s="24">
        <v>1548</v>
      </c>
      <c r="C549" s="469" t="s">
        <v>943</v>
      </c>
      <c r="D549" t="s">
        <v>152</v>
      </c>
      <c r="E549" s="470">
        <v>3</v>
      </c>
      <c r="F549" s="471">
        <v>14</v>
      </c>
      <c r="G549">
        <v>1</v>
      </c>
      <c r="H549">
        <v>1</v>
      </c>
      <c r="I549" s="472">
        <f t="shared" si="27"/>
        <v>0.47039166666666665</v>
      </c>
      <c r="J549" s="473">
        <v>0.36503333333333332</v>
      </c>
      <c r="K549" s="473">
        <v>0.44336666666666663</v>
      </c>
      <c r="L549" s="473">
        <v>0.58906666666666663</v>
      </c>
      <c r="M549" s="473">
        <v>0.48410000000000003</v>
      </c>
      <c r="N549" s="472">
        <f t="shared" si="28"/>
        <v>0.47039166666666665</v>
      </c>
      <c r="O549" s="473">
        <v>0.36503333333333332</v>
      </c>
      <c r="P549" s="473">
        <v>0.44336666666666663</v>
      </c>
      <c r="Q549" s="473">
        <v>0.58906666666666663</v>
      </c>
      <c r="R549" s="473">
        <v>0.48410000000000003</v>
      </c>
      <c r="S549" s="153">
        <v>0.01</v>
      </c>
      <c r="T549" s="153">
        <v>0.02</v>
      </c>
      <c r="U549" s="474">
        <v>2014</v>
      </c>
      <c r="V549">
        <v>2034</v>
      </c>
      <c r="W549">
        <v>0</v>
      </c>
      <c r="X549">
        <v>0</v>
      </c>
      <c r="Y549">
        <v>1315</v>
      </c>
      <c r="Z549">
        <v>361</v>
      </c>
      <c r="AA549" s="475" t="s">
        <v>24</v>
      </c>
    </row>
    <row r="550" spans="1:27" ht="15">
      <c r="A550" s="24">
        <v>1549</v>
      </c>
      <c r="B550" s="24">
        <v>1549</v>
      </c>
      <c r="C550" s="469" t="s">
        <v>944</v>
      </c>
      <c r="D550" t="s">
        <v>152</v>
      </c>
      <c r="E550" s="470">
        <v>3</v>
      </c>
      <c r="F550" s="471">
        <v>18.8</v>
      </c>
      <c r="G550">
        <v>1</v>
      </c>
      <c r="H550">
        <v>1</v>
      </c>
      <c r="I550" s="472">
        <f t="shared" si="27"/>
        <v>0.47039166666666665</v>
      </c>
      <c r="J550" s="473">
        <v>0.36503333333333332</v>
      </c>
      <c r="K550" s="473">
        <v>0.44336666666666663</v>
      </c>
      <c r="L550" s="473">
        <v>0.58906666666666663</v>
      </c>
      <c r="M550" s="473">
        <v>0.48410000000000003</v>
      </c>
      <c r="N550" s="472">
        <f t="shared" si="28"/>
        <v>0.47039166666666665</v>
      </c>
      <c r="O550" s="473">
        <v>0.36503333333333332</v>
      </c>
      <c r="P550" s="473">
        <v>0.44336666666666663</v>
      </c>
      <c r="Q550" s="473">
        <v>0.58906666666666663</v>
      </c>
      <c r="R550" s="473">
        <v>0.48410000000000003</v>
      </c>
      <c r="S550" s="153">
        <v>0.01</v>
      </c>
      <c r="T550" s="153">
        <v>0.02</v>
      </c>
      <c r="U550" s="474">
        <v>2014</v>
      </c>
      <c r="V550">
        <v>2034</v>
      </c>
      <c r="W550">
        <v>0</v>
      </c>
      <c r="X550">
        <v>0</v>
      </c>
      <c r="Y550">
        <v>1315</v>
      </c>
      <c r="Z550">
        <v>361</v>
      </c>
      <c r="AA550" s="475" t="s">
        <v>24</v>
      </c>
    </row>
    <row r="551" spans="1:27" ht="15">
      <c r="A551" s="24">
        <v>1550</v>
      </c>
      <c r="B551" s="24">
        <v>1550</v>
      </c>
      <c r="C551" s="469" t="s">
        <v>945</v>
      </c>
      <c r="D551" t="s">
        <v>152</v>
      </c>
      <c r="E551" s="470">
        <v>3</v>
      </c>
      <c r="F551" s="471">
        <v>23.1</v>
      </c>
      <c r="G551">
        <v>1</v>
      </c>
      <c r="H551">
        <v>1</v>
      </c>
      <c r="I551" s="472">
        <f t="shared" si="27"/>
        <v>0.47039166666666665</v>
      </c>
      <c r="J551" s="473">
        <v>0.36503333333333332</v>
      </c>
      <c r="K551" s="473">
        <v>0.44336666666666663</v>
      </c>
      <c r="L551" s="473">
        <v>0.58906666666666663</v>
      </c>
      <c r="M551" s="473">
        <v>0.48410000000000003</v>
      </c>
      <c r="N551" s="472">
        <f t="shared" si="28"/>
        <v>0.47039166666666665</v>
      </c>
      <c r="O551" s="473">
        <v>0.36503333333333332</v>
      </c>
      <c r="P551" s="473">
        <v>0.44336666666666663</v>
      </c>
      <c r="Q551" s="473">
        <v>0.58906666666666663</v>
      </c>
      <c r="R551" s="473">
        <v>0.48410000000000003</v>
      </c>
      <c r="S551" s="153">
        <v>0.01</v>
      </c>
      <c r="T551" s="153">
        <v>0.02</v>
      </c>
      <c r="U551" s="474">
        <v>2012</v>
      </c>
      <c r="V551">
        <v>2032</v>
      </c>
      <c r="W551">
        <v>0</v>
      </c>
      <c r="X551">
        <v>0</v>
      </c>
      <c r="Y551">
        <v>1315</v>
      </c>
      <c r="Z551">
        <v>361</v>
      </c>
      <c r="AA551" s="475" t="s">
        <v>24</v>
      </c>
    </row>
    <row r="552" spans="1:27" ht="15">
      <c r="A552" s="24">
        <v>1551</v>
      </c>
      <c r="B552" s="24">
        <v>1551</v>
      </c>
      <c r="C552" s="469" t="s">
        <v>946</v>
      </c>
      <c r="D552" t="s">
        <v>152</v>
      </c>
      <c r="E552" s="470">
        <v>3</v>
      </c>
      <c r="F552" s="471">
        <v>16.5</v>
      </c>
      <c r="G552">
        <v>1</v>
      </c>
      <c r="H552">
        <v>1</v>
      </c>
      <c r="I552" s="472">
        <f t="shared" si="27"/>
        <v>0.47039166666666665</v>
      </c>
      <c r="J552" s="473">
        <v>0.36503333333333332</v>
      </c>
      <c r="K552" s="473">
        <v>0.44336666666666663</v>
      </c>
      <c r="L552" s="473">
        <v>0.58906666666666663</v>
      </c>
      <c r="M552" s="473">
        <v>0.48410000000000003</v>
      </c>
      <c r="N552" s="472">
        <f t="shared" si="28"/>
        <v>0.47039166666666665</v>
      </c>
      <c r="O552" s="473">
        <v>0.36503333333333332</v>
      </c>
      <c r="P552" s="473">
        <v>0.44336666666666663</v>
      </c>
      <c r="Q552" s="473">
        <v>0.58906666666666663</v>
      </c>
      <c r="R552" s="473">
        <v>0.48410000000000003</v>
      </c>
      <c r="S552" s="153">
        <v>0.01</v>
      </c>
      <c r="T552" s="153">
        <v>0.02</v>
      </c>
      <c r="U552" s="474">
        <v>2008</v>
      </c>
      <c r="V552">
        <v>2028</v>
      </c>
      <c r="W552">
        <v>0</v>
      </c>
      <c r="X552">
        <v>0</v>
      </c>
      <c r="Y552">
        <v>1315</v>
      </c>
      <c r="Z552">
        <v>361</v>
      </c>
      <c r="AA552" s="475" t="s">
        <v>24</v>
      </c>
    </row>
    <row r="553" spans="1:27" ht="15">
      <c r="A553" s="24">
        <v>1552</v>
      </c>
      <c r="B553" s="24">
        <v>1552</v>
      </c>
      <c r="C553" s="469" t="s">
        <v>947</v>
      </c>
      <c r="D553" t="s">
        <v>152</v>
      </c>
      <c r="E553" s="470">
        <v>3</v>
      </c>
      <c r="F553" s="471">
        <v>14.7</v>
      </c>
      <c r="G553">
        <v>1</v>
      </c>
      <c r="H553">
        <v>1</v>
      </c>
      <c r="I553" s="472">
        <f t="shared" si="27"/>
        <v>0.47039166666666665</v>
      </c>
      <c r="J553" s="473">
        <v>0.36503333333333332</v>
      </c>
      <c r="K553" s="473">
        <v>0.44336666666666663</v>
      </c>
      <c r="L553" s="473">
        <v>0.58906666666666663</v>
      </c>
      <c r="M553" s="473">
        <v>0.48410000000000003</v>
      </c>
      <c r="N553" s="472">
        <f t="shared" si="28"/>
        <v>0.47039166666666665</v>
      </c>
      <c r="O553" s="473">
        <v>0.36503333333333332</v>
      </c>
      <c r="P553" s="473">
        <v>0.44336666666666663</v>
      </c>
      <c r="Q553" s="473">
        <v>0.58906666666666663</v>
      </c>
      <c r="R553" s="473">
        <v>0.48410000000000003</v>
      </c>
      <c r="S553" s="153">
        <v>0.01</v>
      </c>
      <c r="T553" s="153">
        <v>0.02</v>
      </c>
      <c r="U553" s="474">
        <v>2012</v>
      </c>
      <c r="V553">
        <v>2032</v>
      </c>
      <c r="W553">
        <v>0</v>
      </c>
      <c r="X553">
        <v>0</v>
      </c>
      <c r="Y553">
        <v>1315</v>
      </c>
      <c r="Z553">
        <v>361</v>
      </c>
      <c r="AA553" s="475" t="s">
        <v>24</v>
      </c>
    </row>
    <row r="554" spans="1:27" ht="15">
      <c r="A554" s="24">
        <v>1553</v>
      </c>
      <c r="B554" s="24">
        <v>1553</v>
      </c>
      <c r="C554" s="469" t="s">
        <v>948</v>
      </c>
      <c r="D554" t="s">
        <v>152</v>
      </c>
      <c r="E554" s="470">
        <v>3</v>
      </c>
      <c r="F554" s="471">
        <v>30</v>
      </c>
      <c r="G554">
        <v>1</v>
      </c>
      <c r="H554">
        <v>1</v>
      </c>
      <c r="I554" s="472">
        <f t="shared" si="27"/>
        <v>0.47039166666666665</v>
      </c>
      <c r="J554" s="473">
        <v>0.36503333333333332</v>
      </c>
      <c r="K554" s="473">
        <v>0.44336666666666663</v>
      </c>
      <c r="L554" s="473">
        <v>0.58906666666666663</v>
      </c>
      <c r="M554" s="473">
        <v>0.48410000000000003</v>
      </c>
      <c r="N554" s="472">
        <f t="shared" si="28"/>
        <v>0.47039166666666665</v>
      </c>
      <c r="O554" s="473">
        <v>0.36503333333333332</v>
      </c>
      <c r="P554" s="473">
        <v>0.44336666666666663</v>
      </c>
      <c r="Q554" s="473">
        <v>0.58906666666666663</v>
      </c>
      <c r="R554" s="473">
        <v>0.48410000000000003</v>
      </c>
      <c r="S554" s="153">
        <v>0.01</v>
      </c>
      <c r="T554" s="153">
        <v>0.02</v>
      </c>
      <c r="U554" s="474">
        <v>2013</v>
      </c>
      <c r="V554">
        <v>2033</v>
      </c>
      <c r="W554">
        <v>0</v>
      </c>
      <c r="X554">
        <v>0</v>
      </c>
      <c r="Y554">
        <v>1315</v>
      </c>
      <c r="Z554">
        <v>361</v>
      </c>
      <c r="AA554" s="475" t="s">
        <v>24</v>
      </c>
    </row>
    <row r="555" spans="1:27" ht="15" hidden="1">
      <c r="A555" s="24">
        <v>1554</v>
      </c>
      <c r="B555" s="24">
        <v>1554</v>
      </c>
      <c r="C555" s="469" t="s">
        <v>949</v>
      </c>
      <c r="D555" t="s">
        <v>152</v>
      </c>
      <c r="E555" s="470">
        <v>3</v>
      </c>
      <c r="F555" s="471">
        <v>30</v>
      </c>
      <c r="G555">
        <v>1</v>
      </c>
      <c r="H555">
        <v>1</v>
      </c>
      <c r="I555" s="472">
        <f t="shared" si="27"/>
        <v>0.47039166666666665</v>
      </c>
      <c r="J555" s="473">
        <v>0.36503333333333332</v>
      </c>
      <c r="K555" s="473">
        <v>0.44336666666666663</v>
      </c>
      <c r="L555" s="473">
        <v>0.58906666666666663</v>
      </c>
      <c r="M555" s="473">
        <v>0.48410000000000003</v>
      </c>
      <c r="N555" s="472">
        <f t="shared" si="28"/>
        <v>0.47039166666666665</v>
      </c>
      <c r="O555" s="473">
        <v>0.36503333333333332</v>
      </c>
      <c r="P555" s="473">
        <v>0.44336666666666663</v>
      </c>
      <c r="Q555" s="473">
        <v>0.58906666666666663</v>
      </c>
      <c r="R555" s="473">
        <v>0.48410000000000003</v>
      </c>
      <c r="S555" s="153">
        <v>0.01</v>
      </c>
      <c r="T555" s="153">
        <v>0.02</v>
      </c>
      <c r="U555" s="474">
        <v>2016</v>
      </c>
      <c r="V555">
        <v>2036</v>
      </c>
      <c r="W555">
        <v>0</v>
      </c>
      <c r="X555">
        <v>0</v>
      </c>
      <c r="Y555">
        <v>1315</v>
      </c>
      <c r="Z555">
        <v>361</v>
      </c>
      <c r="AA555" s="475" t="s">
        <v>24</v>
      </c>
    </row>
    <row r="556" spans="1:27" ht="15">
      <c r="A556" s="24">
        <v>1555</v>
      </c>
      <c r="B556" s="24">
        <v>1555</v>
      </c>
      <c r="C556" s="469" t="s">
        <v>950</v>
      </c>
      <c r="D556" t="s">
        <v>152</v>
      </c>
      <c r="E556" s="470">
        <v>3</v>
      </c>
      <c r="F556" s="471">
        <v>25.388000000000002</v>
      </c>
      <c r="G556">
        <v>1</v>
      </c>
      <c r="H556">
        <v>1</v>
      </c>
      <c r="I556" s="472">
        <f t="shared" si="27"/>
        <v>0.47039166666666665</v>
      </c>
      <c r="J556" s="473">
        <v>0.36503333333333332</v>
      </c>
      <c r="K556" s="473">
        <v>0.44336666666666663</v>
      </c>
      <c r="L556" s="473">
        <v>0.58906666666666663</v>
      </c>
      <c r="M556" s="473">
        <v>0.48410000000000003</v>
      </c>
      <c r="N556" s="472">
        <f t="shared" si="28"/>
        <v>0.47039166666666665</v>
      </c>
      <c r="O556" s="473">
        <v>0.36503333333333332</v>
      </c>
      <c r="P556" s="473">
        <v>0.44336666666666663</v>
      </c>
      <c r="Q556" s="473">
        <v>0.58906666666666663</v>
      </c>
      <c r="R556" s="473">
        <v>0.48410000000000003</v>
      </c>
      <c r="S556" s="153">
        <v>0.01</v>
      </c>
      <c r="T556" s="153">
        <v>0.02</v>
      </c>
      <c r="U556" s="474">
        <v>2013</v>
      </c>
      <c r="V556">
        <v>2033</v>
      </c>
      <c r="W556">
        <v>0</v>
      </c>
      <c r="X556">
        <v>0</v>
      </c>
      <c r="Y556">
        <v>1315</v>
      </c>
      <c r="Z556">
        <v>361</v>
      </c>
      <c r="AA556" s="475" t="s">
        <v>24</v>
      </c>
    </row>
    <row r="557" spans="1:27" ht="15" hidden="1">
      <c r="A557" s="24">
        <v>1556</v>
      </c>
      <c r="B557" s="24">
        <v>1556</v>
      </c>
      <c r="C557" s="469" t="s">
        <v>951</v>
      </c>
      <c r="D557" t="s">
        <v>149</v>
      </c>
      <c r="E557" s="470">
        <v>2</v>
      </c>
      <c r="F557" s="471">
        <v>2.0990000000000002</v>
      </c>
      <c r="G557">
        <v>1</v>
      </c>
      <c r="H557">
        <v>1</v>
      </c>
      <c r="I557" s="472">
        <f t="shared" si="27"/>
        <v>0.40033333333333337</v>
      </c>
      <c r="J557" s="153">
        <v>0.3706666666666667</v>
      </c>
      <c r="K557" s="153">
        <v>0.3666666666666667</v>
      </c>
      <c r="L557" s="153">
        <v>0.44799999999999995</v>
      </c>
      <c r="M557" s="153">
        <v>0.41600000000000009</v>
      </c>
      <c r="N557" s="472">
        <f t="shared" si="28"/>
        <v>0.40033333333333337</v>
      </c>
      <c r="O557" s="153">
        <v>0.3706666666666667</v>
      </c>
      <c r="P557" s="153">
        <v>0.3666666666666667</v>
      </c>
      <c r="Q557" s="153">
        <v>0.44799999999999995</v>
      </c>
      <c r="R557" s="153">
        <v>0.41600000000000009</v>
      </c>
      <c r="S557" s="153">
        <v>0.01</v>
      </c>
      <c r="T557" s="153">
        <v>0.02</v>
      </c>
      <c r="U557" s="474">
        <v>2007</v>
      </c>
      <c r="V557">
        <v>2027</v>
      </c>
      <c r="W557">
        <v>0</v>
      </c>
      <c r="X557">
        <v>0</v>
      </c>
      <c r="Y557">
        <v>1315</v>
      </c>
      <c r="Z557">
        <v>360</v>
      </c>
      <c r="AA557" s="475" t="s">
        <v>24</v>
      </c>
    </row>
    <row r="558" spans="1:27" ht="15">
      <c r="A558" s="24">
        <v>1557</v>
      </c>
      <c r="B558" s="24">
        <v>1557</v>
      </c>
      <c r="C558" s="469" t="s">
        <v>952</v>
      </c>
      <c r="D558" t="s">
        <v>152</v>
      </c>
      <c r="E558" s="470">
        <v>3</v>
      </c>
      <c r="F558" s="471">
        <v>22.4</v>
      </c>
      <c r="G558">
        <v>1</v>
      </c>
      <c r="H558">
        <v>1</v>
      </c>
      <c r="I558" s="472">
        <f t="shared" si="27"/>
        <v>0.47039166666666665</v>
      </c>
      <c r="J558" s="473">
        <v>0.36503333333333332</v>
      </c>
      <c r="K558" s="473">
        <v>0.44336666666666663</v>
      </c>
      <c r="L558" s="473">
        <v>0.58906666666666663</v>
      </c>
      <c r="M558" s="473">
        <v>0.48410000000000003</v>
      </c>
      <c r="N558" s="472">
        <f t="shared" si="28"/>
        <v>0.47039166666666665</v>
      </c>
      <c r="O558" s="473">
        <v>0.36503333333333332</v>
      </c>
      <c r="P558" s="473">
        <v>0.44336666666666663</v>
      </c>
      <c r="Q558" s="473">
        <v>0.58906666666666663</v>
      </c>
      <c r="R558" s="473">
        <v>0.48410000000000003</v>
      </c>
      <c r="S558" s="153">
        <v>0.01</v>
      </c>
      <c r="T558" s="153">
        <v>0.02</v>
      </c>
      <c r="U558" s="474">
        <v>2014</v>
      </c>
      <c r="V558">
        <v>2034</v>
      </c>
      <c r="W558">
        <v>0</v>
      </c>
      <c r="X558">
        <v>0</v>
      </c>
      <c r="Y558">
        <v>1315</v>
      </c>
      <c r="Z558">
        <v>361</v>
      </c>
      <c r="AA558" s="475" t="s">
        <v>24</v>
      </c>
    </row>
    <row r="559" spans="1:27" ht="15">
      <c r="A559" s="24">
        <v>1558</v>
      </c>
      <c r="B559" s="24">
        <v>1558</v>
      </c>
      <c r="C559" s="469" t="s">
        <v>953</v>
      </c>
      <c r="D559" t="s">
        <v>152</v>
      </c>
      <c r="E559" s="470">
        <v>3</v>
      </c>
      <c r="F559" s="471">
        <v>22.4</v>
      </c>
      <c r="G559">
        <v>1</v>
      </c>
      <c r="H559">
        <v>1</v>
      </c>
      <c r="I559" s="472">
        <f t="shared" si="27"/>
        <v>0.47039166666666665</v>
      </c>
      <c r="J559" s="473">
        <v>0.36503333333333332</v>
      </c>
      <c r="K559" s="473">
        <v>0.44336666666666663</v>
      </c>
      <c r="L559" s="473">
        <v>0.58906666666666663</v>
      </c>
      <c r="M559" s="473">
        <v>0.48410000000000003</v>
      </c>
      <c r="N559" s="472">
        <f t="shared" si="28"/>
        <v>0.47039166666666665</v>
      </c>
      <c r="O559" s="473">
        <v>0.36503333333333332</v>
      </c>
      <c r="P559" s="473">
        <v>0.44336666666666663</v>
      </c>
      <c r="Q559" s="473">
        <v>0.58906666666666663</v>
      </c>
      <c r="R559" s="473">
        <v>0.48410000000000003</v>
      </c>
      <c r="S559" s="153">
        <v>0.01</v>
      </c>
      <c r="T559" s="153">
        <v>0.02</v>
      </c>
      <c r="U559" s="474">
        <v>2014</v>
      </c>
      <c r="V559">
        <v>2034</v>
      </c>
      <c r="W559">
        <v>0</v>
      </c>
      <c r="X559">
        <v>0</v>
      </c>
      <c r="Y559">
        <v>1315</v>
      </c>
      <c r="Z559">
        <v>361</v>
      </c>
      <c r="AA559" s="475" t="s">
        <v>24</v>
      </c>
    </row>
    <row r="560" spans="1:27" ht="15">
      <c r="A560" s="24">
        <v>1559</v>
      </c>
      <c r="B560" s="24">
        <v>1559</v>
      </c>
      <c r="C560" s="469" t="s">
        <v>954</v>
      </c>
      <c r="D560" t="s">
        <v>152</v>
      </c>
      <c r="E560" s="470">
        <v>3</v>
      </c>
      <c r="F560" s="471">
        <v>22.4</v>
      </c>
      <c r="G560">
        <v>1</v>
      </c>
      <c r="H560">
        <v>1</v>
      </c>
      <c r="I560" s="472">
        <f t="shared" si="27"/>
        <v>0.47039166666666665</v>
      </c>
      <c r="J560" s="473">
        <v>0.36503333333333332</v>
      </c>
      <c r="K560" s="473">
        <v>0.44336666666666663</v>
      </c>
      <c r="L560" s="473">
        <v>0.58906666666666663</v>
      </c>
      <c r="M560" s="473">
        <v>0.48410000000000003</v>
      </c>
      <c r="N560" s="472">
        <f t="shared" si="28"/>
        <v>0.47039166666666665</v>
      </c>
      <c r="O560" s="473">
        <v>0.36503333333333332</v>
      </c>
      <c r="P560" s="473">
        <v>0.44336666666666663</v>
      </c>
      <c r="Q560" s="473">
        <v>0.58906666666666663</v>
      </c>
      <c r="R560" s="473">
        <v>0.48410000000000003</v>
      </c>
      <c r="S560" s="153">
        <v>0.01</v>
      </c>
      <c r="T560" s="153">
        <v>0.02</v>
      </c>
      <c r="U560" s="474">
        <v>2014</v>
      </c>
      <c r="V560">
        <v>2034</v>
      </c>
      <c r="W560">
        <v>0</v>
      </c>
      <c r="X560">
        <v>0</v>
      </c>
      <c r="Y560">
        <v>1315</v>
      </c>
      <c r="Z560">
        <v>361</v>
      </c>
      <c r="AA560" s="475" t="s">
        <v>24</v>
      </c>
    </row>
    <row r="561" spans="1:27" ht="15">
      <c r="A561" s="24">
        <v>1560</v>
      </c>
      <c r="B561" s="24">
        <v>1560</v>
      </c>
      <c r="C561" s="469" t="s">
        <v>955</v>
      </c>
      <c r="D561" t="s">
        <v>152</v>
      </c>
      <c r="E561" s="470">
        <v>3</v>
      </c>
      <c r="F561" s="471">
        <v>11.2</v>
      </c>
      <c r="G561">
        <v>1</v>
      </c>
      <c r="H561">
        <v>1</v>
      </c>
      <c r="I561" s="472">
        <f t="shared" si="27"/>
        <v>0.47039166666666665</v>
      </c>
      <c r="J561" s="473">
        <v>0.36503333333333332</v>
      </c>
      <c r="K561" s="473">
        <v>0.44336666666666663</v>
      </c>
      <c r="L561" s="473">
        <v>0.58906666666666663</v>
      </c>
      <c r="M561" s="473">
        <v>0.48410000000000003</v>
      </c>
      <c r="N561" s="472">
        <f t="shared" si="28"/>
        <v>0.47039166666666665</v>
      </c>
      <c r="O561" s="473">
        <v>0.36503333333333332</v>
      </c>
      <c r="P561" s="473">
        <v>0.44336666666666663</v>
      </c>
      <c r="Q561" s="473">
        <v>0.58906666666666663</v>
      </c>
      <c r="R561" s="473">
        <v>0.48410000000000003</v>
      </c>
      <c r="S561" s="153">
        <v>0.01</v>
      </c>
      <c r="T561" s="153">
        <v>0.02</v>
      </c>
      <c r="U561" s="474">
        <v>2014</v>
      </c>
      <c r="V561">
        <v>2034</v>
      </c>
      <c r="W561">
        <v>0</v>
      </c>
      <c r="X561">
        <v>0</v>
      </c>
      <c r="Y561">
        <v>1315</v>
      </c>
      <c r="Z561">
        <v>361</v>
      </c>
      <c r="AA561" s="475" t="s">
        <v>24</v>
      </c>
    </row>
    <row r="562" spans="1:27" ht="15">
      <c r="A562" s="24">
        <v>1561</v>
      </c>
      <c r="B562" s="24">
        <v>1561</v>
      </c>
      <c r="C562" s="469" t="s">
        <v>956</v>
      </c>
      <c r="D562" t="s">
        <v>152</v>
      </c>
      <c r="E562" s="470">
        <v>3</v>
      </c>
      <c r="F562" s="471">
        <v>24</v>
      </c>
      <c r="G562">
        <v>1</v>
      </c>
      <c r="H562">
        <v>1</v>
      </c>
      <c r="I562" s="472">
        <f t="shared" si="27"/>
        <v>0.47039166666666665</v>
      </c>
      <c r="J562" s="473">
        <v>0.36503333333333332</v>
      </c>
      <c r="K562" s="473">
        <v>0.44336666666666663</v>
      </c>
      <c r="L562" s="473">
        <v>0.58906666666666663</v>
      </c>
      <c r="M562" s="473">
        <v>0.48410000000000003</v>
      </c>
      <c r="N562" s="472">
        <f t="shared" si="28"/>
        <v>0.47039166666666665</v>
      </c>
      <c r="O562" s="473">
        <v>0.36503333333333332</v>
      </c>
      <c r="P562" s="473">
        <v>0.44336666666666663</v>
      </c>
      <c r="Q562" s="473">
        <v>0.58906666666666663</v>
      </c>
      <c r="R562" s="473">
        <v>0.48410000000000003</v>
      </c>
      <c r="S562" s="153">
        <v>0.01</v>
      </c>
      <c r="T562" s="153">
        <v>0.02</v>
      </c>
      <c r="U562" s="474">
        <v>2014</v>
      </c>
      <c r="V562">
        <v>2034</v>
      </c>
      <c r="W562">
        <v>0</v>
      </c>
      <c r="X562">
        <v>0</v>
      </c>
      <c r="Y562">
        <v>1315</v>
      </c>
      <c r="Z562">
        <v>361</v>
      </c>
      <c r="AA562" s="475" t="s">
        <v>24</v>
      </c>
    </row>
    <row r="563" spans="1:27" ht="15">
      <c r="A563" s="24">
        <v>1562</v>
      </c>
      <c r="B563" s="24">
        <v>1562</v>
      </c>
      <c r="C563" s="469" t="s">
        <v>957</v>
      </c>
      <c r="D563" t="s">
        <v>152</v>
      </c>
      <c r="E563" s="470">
        <v>3</v>
      </c>
      <c r="F563" s="471">
        <v>12.8</v>
      </c>
      <c r="G563">
        <v>1</v>
      </c>
      <c r="H563">
        <v>1</v>
      </c>
      <c r="I563" s="472">
        <f t="shared" si="27"/>
        <v>0.47039166666666665</v>
      </c>
      <c r="J563" s="473">
        <v>0.36503333333333332</v>
      </c>
      <c r="K563" s="473">
        <v>0.44336666666666663</v>
      </c>
      <c r="L563" s="473">
        <v>0.58906666666666663</v>
      </c>
      <c r="M563" s="473">
        <v>0.48410000000000003</v>
      </c>
      <c r="N563" s="472">
        <f t="shared" si="28"/>
        <v>0.47039166666666665</v>
      </c>
      <c r="O563" s="473">
        <v>0.36503333333333332</v>
      </c>
      <c r="P563" s="473">
        <v>0.44336666666666663</v>
      </c>
      <c r="Q563" s="473">
        <v>0.58906666666666663</v>
      </c>
      <c r="R563" s="473">
        <v>0.48410000000000003</v>
      </c>
      <c r="S563" s="153">
        <v>0.01</v>
      </c>
      <c r="T563" s="153">
        <v>0.02</v>
      </c>
      <c r="U563" s="474">
        <v>2014</v>
      </c>
      <c r="V563">
        <v>2034</v>
      </c>
      <c r="W563">
        <v>0</v>
      </c>
      <c r="X563">
        <v>0</v>
      </c>
      <c r="Y563">
        <v>1315</v>
      </c>
      <c r="Z563">
        <v>361</v>
      </c>
      <c r="AA563" s="475" t="s">
        <v>24</v>
      </c>
    </row>
    <row r="564" spans="1:27" ht="15">
      <c r="A564" s="24">
        <v>1563</v>
      </c>
      <c r="B564" s="24">
        <v>1563</v>
      </c>
      <c r="C564" s="469" t="s">
        <v>958</v>
      </c>
      <c r="D564" t="s">
        <v>152</v>
      </c>
      <c r="E564" s="470">
        <v>3</v>
      </c>
      <c r="F564" s="471">
        <v>14.4</v>
      </c>
      <c r="G564">
        <v>1</v>
      </c>
      <c r="H564">
        <v>1</v>
      </c>
      <c r="I564" s="472">
        <f t="shared" si="27"/>
        <v>0.47039166666666665</v>
      </c>
      <c r="J564" s="473">
        <v>0.36503333333333332</v>
      </c>
      <c r="K564" s="473">
        <v>0.44336666666666663</v>
      </c>
      <c r="L564" s="473">
        <v>0.58906666666666663</v>
      </c>
      <c r="M564" s="473">
        <v>0.48410000000000003</v>
      </c>
      <c r="N564" s="472">
        <f t="shared" si="28"/>
        <v>0.47039166666666665</v>
      </c>
      <c r="O564" s="473">
        <v>0.36503333333333332</v>
      </c>
      <c r="P564" s="473">
        <v>0.44336666666666663</v>
      </c>
      <c r="Q564" s="473">
        <v>0.58906666666666663</v>
      </c>
      <c r="R564" s="473">
        <v>0.48410000000000003</v>
      </c>
      <c r="S564" s="153">
        <v>0.01</v>
      </c>
      <c r="T564" s="153">
        <v>0.02</v>
      </c>
      <c r="U564" s="474">
        <v>2014</v>
      </c>
      <c r="V564">
        <v>2034</v>
      </c>
      <c r="W564">
        <v>0</v>
      </c>
      <c r="X564">
        <v>0</v>
      </c>
      <c r="Y564">
        <v>1315</v>
      </c>
      <c r="Z564">
        <v>361</v>
      </c>
      <c r="AA564" s="475" t="s">
        <v>24</v>
      </c>
    </row>
    <row r="565" spans="1:27" ht="15">
      <c r="A565" s="24">
        <v>1564</v>
      </c>
      <c r="B565" s="24">
        <v>1564</v>
      </c>
      <c r="C565" s="469" t="s">
        <v>959</v>
      </c>
      <c r="D565" t="s">
        <v>152</v>
      </c>
      <c r="E565" s="470">
        <v>3</v>
      </c>
      <c r="F565" s="471">
        <v>14.4</v>
      </c>
      <c r="G565">
        <v>1</v>
      </c>
      <c r="H565">
        <v>1</v>
      </c>
      <c r="I565" s="472">
        <f t="shared" si="27"/>
        <v>0.47039166666666665</v>
      </c>
      <c r="J565" s="473">
        <v>0.36503333333333332</v>
      </c>
      <c r="K565" s="473">
        <v>0.44336666666666663</v>
      </c>
      <c r="L565" s="473">
        <v>0.58906666666666663</v>
      </c>
      <c r="M565" s="473">
        <v>0.48410000000000003</v>
      </c>
      <c r="N565" s="472">
        <f t="shared" si="28"/>
        <v>0.47039166666666665</v>
      </c>
      <c r="O565" s="473">
        <v>0.36503333333333332</v>
      </c>
      <c r="P565" s="473">
        <v>0.44336666666666663</v>
      </c>
      <c r="Q565" s="473">
        <v>0.58906666666666663</v>
      </c>
      <c r="R565" s="473">
        <v>0.48410000000000003</v>
      </c>
      <c r="S565" s="153">
        <v>0.01</v>
      </c>
      <c r="T565" s="153">
        <v>0.02</v>
      </c>
      <c r="U565" s="474">
        <v>2014</v>
      </c>
      <c r="V565">
        <v>2034</v>
      </c>
      <c r="W565">
        <v>0</v>
      </c>
      <c r="X565">
        <v>0</v>
      </c>
      <c r="Y565">
        <v>1315</v>
      </c>
      <c r="Z565">
        <v>361</v>
      </c>
      <c r="AA565" s="475" t="s">
        <v>24</v>
      </c>
    </row>
    <row r="566" spans="1:27" ht="15">
      <c r="A566" s="24">
        <v>1565</v>
      </c>
      <c r="B566" s="24">
        <v>1565</v>
      </c>
      <c r="C566" s="469" t="s">
        <v>960</v>
      </c>
      <c r="D566" t="s">
        <v>152</v>
      </c>
      <c r="E566" s="470">
        <v>3</v>
      </c>
      <c r="F566" s="471">
        <v>11.2</v>
      </c>
      <c r="G566">
        <v>1</v>
      </c>
      <c r="H566">
        <v>1</v>
      </c>
      <c r="I566" s="472">
        <f t="shared" si="27"/>
        <v>0.47039166666666665</v>
      </c>
      <c r="J566" s="473">
        <v>0.36503333333333332</v>
      </c>
      <c r="K566" s="473">
        <v>0.44336666666666663</v>
      </c>
      <c r="L566" s="473">
        <v>0.58906666666666663</v>
      </c>
      <c r="M566" s="473">
        <v>0.48410000000000003</v>
      </c>
      <c r="N566" s="472">
        <f t="shared" si="28"/>
        <v>0.47039166666666665</v>
      </c>
      <c r="O566" s="473">
        <v>0.36503333333333332</v>
      </c>
      <c r="P566" s="473">
        <v>0.44336666666666663</v>
      </c>
      <c r="Q566" s="473">
        <v>0.58906666666666663</v>
      </c>
      <c r="R566" s="473">
        <v>0.48410000000000003</v>
      </c>
      <c r="S566" s="153">
        <v>0.01</v>
      </c>
      <c r="T566" s="153">
        <v>0.02</v>
      </c>
      <c r="U566" s="474">
        <v>2014</v>
      </c>
      <c r="V566">
        <v>2034</v>
      </c>
      <c r="W566">
        <v>0</v>
      </c>
      <c r="X566">
        <v>0</v>
      </c>
      <c r="Y566">
        <v>1315</v>
      </c>
      <c r="Z566">
        <v>361</v>
      </c>
      <c r="AA566" s="475" t="s">
        <v>24</v>
      </c>
    </row>
    <row r="567" spans="1:27" ht="15">
      <c r="A567" s="24">
        <v>1566</v>
      </c>
      <c r="B567" s="24">
        <v>1566</v>
      </c>
      <c r="C567" s="469" t="s">
        <v>961</v>
      </c>
      <c r="D567" t="s">
        <v>152</v>
      </c>
      <c r="E567" s="470">
        <v>3</v>
      </c>
      <c r="F567" s="471">
        <v>14.4</v>
      </c>
      <c r="G567">
        <v>1</v>
      </c>
      <c r="H567">
        <v>1</v>
      </c>
      <c r="I567" s="472">
        <f t="shared" si="27"/>
        <v>0.47039166666666665</v>
      </c>
      <c r="J567" s="473">
        <v>0.36503333333333332</v>
      </c>
      <c r="K567" s="473">
        <v>0.44336666666666663</v>
      </c>
      <c r="L567" s="473">
        <v>0.58906666666666663</v>
      </c>
      <c r="M567" s="473">
        <v>0.48410000000000003</v>
      </c>
      <c r="N567" s="472">
        <f t="shared" si="28"/>
        <v>0.47039166666666665</v>
      </c>
      <c r="O567" s="473">
        <v>0.36503333333333332</v>
      </c>
      <c r="P567" s="473">
        <v>0.44336666666666663</v>
      </c>
      <c r="Q567" s="473">
        <v>0.58906666666666663</v>
      </c>
      <c r="R567" s="473">
        <v>0.48410000000000003</v>
      </c>
      <c r="S567" s="153">
        <v>0.01</v>
      </c>
      <c r="T567" s="153">
        <v>0.02</v>
      </c>
      <c r="U567" s="474">
        <v>2014</v>
      </c>
      <c r="V567">
        <v>2034</v>
      </c>
      <c r="W567">
        <v>0</v>
      </c>
      <c r="X567">
        <v>0</v>
      </c>
      <c r="Y567">
        <v>1315</v>
      </c>
      <c r="Z567">
        <v>361</v>
      </c>
      <c r="AA567" s="475" t="s">
        <v>24</v>
      </c>
    </row>
    <row r="568" spans="1:27" ht="15">
      <c r="A568" s="24">
        <v>1567</v>
      </c>
      <c r="B568" s="24">
        <v>1567</v>
      </c>
      <c r="C568" s="469" t="s">
        <v>962</v>
      </c>
      <c r="D568" t="s">
        <v>152</v>
      </c>
      <c r="E568" s="470">
        <v>3</v>
      </c>
      <c r="F568" s="471">
        <v>23.52</v>
      </c>
      <c r="G568">
        <v>1</v>
      </c>
      <c r="H568">
        <v>1</v>
      </c>
      <c r="I568" s="472">
        <f t="shared" si="27"/>
        <v>0.47039166666666665</v>
      </c>
      <c r="J568" s="473">
        <v>0.36503333333333332</v>
      </c>
      <c r="K568" s="473">
        <v>0.44336666666666663</v>
      </c>
      <c r="L568" s="473">
        <v>0.58906666666666663</v>
      </c>
      <c r="M568" s="473">
        <v>0.48410000000000003</v>
      </c>
      <c r="N568" s="472">
        <f t="shared" si="28"/>
        <v>0.47039166666666665</v>
      </c>
      <c r="O568" s="473">
        <v>0.36503333333333332</v>
      </c>
      <c r="P568" s="473">
        <v>0.44336666666666663</v>
      </c>
      <c r="Q568" s="473">
        <v>0.58906666666666663</v>
      </c>
      <c r="R568" s="473">
        <v>0.48410000000000003</v>
      </c>
      <c r="S568" s="153">
        <v>0.01</v>
      </c>
      <c r="T568" s="153">
        <v>0.02</v>
      </c>
      <c r="U568" s="474">
        <v>2013</v>
      </c>
      <c r="V568">
        <v>2033</v>
      </c>
      <c r="W568">
        <v>0</v>
      </c>
      <c r="X568">
        <v>0</v>
      </c>
      <c r="Y568">
        <v>1315</v>
      </c>
      <c r="Z568">
        <v>361</v>
      </c>
      <c r="AA568" s="475" t="s">
        <v>24</v>
      </c>
    </row>
    <row r="569" spans="1:27" ht="15" hidden="1">
      <c r="A569" s="24">
        <v>1568</v>
      </c>
      <c r="B569" s="24">
        <v>1568</v>
      </c>
      <c r="C569" s="469" t="s">
        <v>963</v>
      </c>
      <c r="D569" t="s">
        <v>149</v>
      </c>
      <c r="E569" s="470">
        <v>2</v>
      </c>
      <c r="F569" s="471">
        <v>29.7</v>
      </c>
      <c r="G569">
        <v>1</v>
      </c>
      <c r="H569">
        <v>1</v>
      </c>
      <c r="I569" s="472">
        <f t="shared" si="27"/>
        <v>0.40033333333333337</v>
      </c>
      <c r="J569" s="153">
        <v>0.3706666666666667</v>
      </c>
      <c r="K569" s="153">
        <v>0.3666666666666667</v>
      </c>
      <c r="L569" s="153">
        <v>0.44799999999999995</v>
      </c>
      <c r="M569" s="153">
        <v>0.41600000000000009</v>
      </c>
      <c r="N569" s="472">
        <f t="shared" si="28"/>
        <v>0.40033333333333337</v>
      </c>
      <c r="O569" s="153">
        <v>0.3706666666666667</v>
      </c>
      <c r="P569" s="153">
        <v>0.3666666666666667</v>
      </c>
      <c r="Q569" s="153">
        <v>0.44799999999999995</v>
      </c>
      <c r="R569" s="153">
        <v>0.41600000000000009</v>
      </c>
      <c r="S569" s="153">
        <v>0.01</v>
      </c>
      <c r="T569" s="153">
        <v>0.02</v>
      </c>
      <c r="U569" s="474">
        <v>2014</v>
      </c>
      <c r="V569">
        <v>2034</v>
      </c>
      <c r="W569">
        <v>0</v>
      </c>
      <c r="X569">
        <v>0</v>
      </c>
      <c r="Y569">
        <v>1315</v>
      </c>
      <c r="Z569">
        <v>360</v>
      </c>
      <c r="AA569" s="475" t="s">
        <v>24</v>
      </c>
    </row>
    <row r="570" spans="1:27" ht="15" hidden="1">
      <c r="A570" s="24">
        <v>1569</v>
      </c>
      <c r="B570" s="24">
        <v>1569</v>
      </c>
      <c r="C570" s="469" t="s">
        <v>964</v>
      </c>
      <c r="D570" t="s">
        <v>152</v>
      </c>
      <c r="E570" s="470">
        <v>3</v>
      </c>
      <c r="F570" s="471">
        <v>30</v>
      </c>
      <c r="G570">
        <v>1</v>
      </c>
      <c r="H570">
        <v>1</v>
      </c>
      <c r="I570" s="472">
        <f t="shared" si="27"/>
        <v>0.47039166666666665</v>
      </c>
      <c r="J570" s="473">
        <v>0.36503333333333332</v>
      </c>
      <c r="K570" s="473">
        <v>0.44336666666666663</v>
      </c>
      <c r="L570" s="473">
        <v>0.58906666666666663</v>
      </c>
      <c r="M570" s="473">
        <v>0.48410000000000003</v>
      </c>
      <c r="N570" s="472">
        <f t="shared" si="28"/>
        <v>0.47039166666666665</v>
      </c>
      <c r="O570" s="473">
        <v>0.36503333333333332</v>
      </c>
      <c r="P570" s="473">
        <v>0.44336666666666663</v>
      </c>
      <c r="Q570" s="473">
        <v>0.58906666666666663</v>
      </c>
      <c r="R570" s="473">
        <v>0.48410000000000003</v>
      </c>
      <c r="S570" s="153">
        <v>0.01</v>
      </c>
      <c r="T570" s="153">
        <v>0.02</v>
      </c>
      <c r="U570" s="474">
        <v>2016</v>
      </c>
      <c r="V570">
        <v>2036</v>
      </c>
      <c r="W570">
        <v>0</v>
      </c>
      <c r="X570">
        <v>0</v>
      </c>
      <c r="Y570">
        <v>1315</v>
      </c>
      <c r="Z570">
        <v>361</v>
      </c>
      <c r="AA570" s="475" t="s">
        <v>24</v>
      </c>
    </row>
    <row r="571" spans="1:27" ht="15">
      <c r="A571" s="24">
        <v>1570</v>
      </c>
      <c r="B571" s="24">
        <v>1570</v>
      </c>
      <c r="C571" s="469" t="s">
        <v>965</v>
      </c>
      <c r="D571" t="s">
        <v>152</v>
      </c>
      <c r="E571" s="470">
        <v>3</v>
      </c>
      <c r="F571" s="471">
        <v>30</v>
      </c>
      <c r="G571">
        <v>1</v>
      </c>
      <c r="H571">
        <v>1</v>
      </c>
      <c r="I571" s="472">
        <f t="shared" si="27"/>
        <v>0.47039166666666665</v>
      </c>
      <c r="J571" s="473">
        <v>0.36503333333333332</v>
      </c>
      <c r="K571" s="473">
        <v>0.44336666666666663</v>
      </c>
      <c r="L571" s="473">
        <v>0.58906666666666663</v>
      </c>
      <c r="M571" s="473">
        <v>0.48410000000000003</v>
      </c>
      <c r="N571" s="472">
        <f t="shared" si="28"/>
        <v>0.47039166666666665</v>
      </c>
      <c r="O571" s="473">
        <v>0.36503333333333332</v>
      </c>
      <c r="P571" s="473">
        <v>0.44336666666666663</v>
      </c>
      <c r="Q571" s="473">
        <v>0.58906666666666663</v>
      </c>
      <c r="R571" s="473">
        <v>0.48410000000000003</v>
      </c>
      <c r="S571" s="153">
        <v>0.01</v>
      </c>
      <c r="T571" s="153">
        <v>0.02</v>
      </c>
      <c r="U571" s="474">
        <v>2013</v>
      </c>
      <c r="V571">
        <v>2033</v>
      </c>
      <c r="W571">
        <v>0</v>
      </c>
      <c r="X571">
        <v>0</v>
      </c>
      <c r="Y571">
        <v>1315</v>
      </c>
      <c r="Z571">
        <v>361</v>
      </c>
      <c r="AA571" s="475" t="s">
        <v>24</v>
      </c>
    </row>
    <row r="572" spans="1:27" ht="15">
      <c r="A572" s="24">
        <v>1571</v>
      </c>
      <c r="B572" s="24">
        <v>1571</v>
      </c>
      <c r="C572" s="469" t="s">
        <v>966</v>
      </c>
      <c r="D572" t="s">
        <v>152</v>
      </c>
      <c r="E572" s="470">
        <v>3</v>
      </c>
      <c r="F572" s="471">
        <v>16.2</v>
      </c>
      <c r="G572">
        <v>1</v>
      </c>
      <c r="H572">
        <v>1</v>
      </c>
      <c r="I572" s="472">
        <f t="shared" si="27"/>
        <v>0.47039166666666665</v>
      </c>
      <c r="J572" s="473">
        <v>0.36503333333333332</v>
      </c>
      <c r="K572" s="473">
        <v>0.44336666666666663</v>
      </c>
      <c r="L572" s="473">
        <v>0.58906666666666663</v>
      </c>
      <c r="M572" s="473">
        <v>0.48410000000000003</v>
      </c>
      <c r="N572" s="472">
        <f t="shared" si="28"/>
        <v>0.47039166666666665</v>
      </c>
      <c r="O572" s="473">
        <v>0.36503333333333332</v>
      </c>
      <c r="P572" s="473">
        <v>0.44336666666666663</v>
      </c>
      <c r="Q572" s="473">
        <v>0.58906666666666663</v>
      </c>
      <c r="R572" s="473">
        <v>0.48410000000000003</v>
      </c>
      <c r="S572" s="153">
        <v>0.01</v>
      </c>
      <c r="T572" s="153">
        <v>0.02</v>
      </c>
      <c r="U572" s="474">
        <v>2014</v>
      </c>
      <c r="V572">
        <v>2034</v>
      </c>
      <c r="W572">
        <v>0</v>
      </c>
      <c r="X572">
        <v>0</v>
      </c>
      <c r="Y572">
        <v>1315</v>
      </c>
      <c r="Z572">
        <v>361</v>
      </c>
      <c r="AA572" s="475" t="s">
        <v>24</v>
      </c>
    </row>
    <row r="573" spans="1:27" ht="15">
      <c r="A573" s="24">
        <v>1572</v>
      </c>
      <c r="B573" s="24">
        <v>1572</v>
      </c>
      <c r="C573" s="469" t="s">
        <v>967</v>
      </c>
      <c r="D573" t="s">
        <v>152</v>
      </c>
      <c r="E573" s="470">
        <v>3</v>
      </c>
      <c r="F573" s="471">
        <v>29.6</v>
      </c>
      <c r="G573">
        <v>1</v>
      </c>
      <c r="H573">
        <v>1</v>
      </c>
      <c r="I573" s="472">
        <f t="shared" si="27"/>
        <v>0.47039166666666665</v>
      </c>
      <c r="J573" s="473">
        <v>0.36503333333333332</v>
      </c>
      <c r="K573" s="473">
        <v>0.44336666666666663</v>
      </c>
      <c r="L573" s="473">
        <v>0.58906666666666663</v>
      </c>
      <c r="M573" s="473">
        <v>0.48410000000000003</v>
      </c>
      <c r="N573" s="472">
        <f t="shared" si="28"/>
        <v>0.47039166666666665</v>
      </c>
      <c r="O573" s="473">
        <v>0.36503333333333332</v>
      </c>
      <c r="P573" s="473">
        <v>0.44336666666666663</v>
      </c>
      <c r="Q573" s="473">
        <v>0.58906666666666663</v>
      </c>
      <c r="R573" s="473">
        <v>0.48410000000000003</v>
      </c>
      <c r="S573" s="153">
        <v>0.01</v>
      </c>
      <c r="T573" s="153">
        <v>0.02</v>
      </c>
      <c r="U573" s="474">
        <v>2015</v>
      </c>
      <c r="V573">
        <v>2035</v>
      </c>
      <c r="W573">
        <v>0</v>
      </c>
      <c r="X573">
        <v>0</v>
      </c>
      <c r="Y573">
        <v>1315</v>
      </c>
      <c r="Z573">
        <v>361</v>
      </c>
      <c r="AA573" s="475" t="s">
        <v>24</v>
      </c>
    </row>
    <row r="574" spans="1:27" ht="15">
      <c r="A574" s="24">
        <v>1573</v>
      </c>
      <c r="B574" s="24">
        <v>1573</v>
      </c>
      <c r="C574" s="469" t="s">
        <v>968</v>
      </c>
      <c r="D574" t="s">
        <v>152</v>
      </c>
      <c r="E574" s="470">
        <v>3</v>
      </c>
      <c r="F574" s="471">
        <v>29.6</v>
      </c>
      <c r="G574">
        <v>1</v>
      </c>
      <c r="H574">
        <v>1</v>
      </c>
      <c r="I574" s="472">
        <f t="shared" si="27"/>
        <v>0.47039166666666665</v>
      </c>
      <c r="J574" s="473">
        <v>0.36503333333333332</v>
      </c>
      <c r="K574" s="473">
        <v>0.44336666666666663</v>
      </c>
      <c r="L574" s="473">
        <v>0.58906666666666663</v>
      </c>
      <c r="M574" s="473">
        <v>0.48410000000000003</v>
      </c>
      <c r="N574" s="472">
        <f t="shared" si="28"/>
        <v>0.47039166666666665</v>
      </c>
      <c r="O574" s="473">
        <v>0.36503333333333332</v>
      </c>
      <c r="P574" s="473">
        <v>0.44336666666666663</v>
      </c>
      <c r="Q574" s="473">
        <v>0.58906666666666663</v>
      </c>
      <c r="R574" s="473">
        <v>0.48410000000000003</v>
      </c>
      <c r="S574" s="153">
        <v>0.01</v>
      </c>
      <c r="T574" s="153">
        <v>0.02</v>
      </c>
      <c r="U574" s="474">
        <v>2015</v>
      </c>
      <c r="V574">
        <v>2035</v>
      </c>
      <c r="W574">
        <v>0</v>
      </c>
      <c r="X574">
        <v>0</v>
      </c>
      <c r="Y574">
        <v>1315</v>
      </c>
      <c r="Z574">
        <v>361</v>
      </c>
      <c r="AA574" s="475" t="s">
        <v>24</v>
      </c>
    </row>
    <row r="575" spans="1:27" ht="15" hidden="1">
      <c r="A575" s="24">
        <v>1574</v>
      </c>
      <c r="B575" s="24">
        <v>1574</v>
      </c>
      <c r="C575" s="469" t="s">
        <v>969</v>
      </c>
      <c r="D575" t="s">
        <v>149</v>
      </c>
      <c r="E575" s="470">
        <v>2</v>
      </c>
      <c r="F575" s="471">
        <v>28</v>
      </c>
      <c r="G575">
        <v>1</v>
      </c>
      <c r="H575">
        <v>1</v>
      </c>
      <c r="I575" s="472">
        <f t="shared" si="27"/>
        <v>0.40033333333333337</v>
      </c>
      <c r="J575" s="153">
        <v>0.3706666666666667</v>
      </c>
      <c r="K575" s="153">
        <v>0.3666666666666667</v>
      </c>
      <c r="L575" s="153">
        <v>0.44799999999999995</v>
      </c>
      <c r="M575" s="153">
        <v>0.41600000000000009</v>
      </c>
      <c r="N575" s="472">
        <f t="shared" si="28"/>
        <v>0.40033333333333337</v>
      </c>
      <c r="O575" s="153">
        <v>0.3706666666666667</v>
      </c>
      <c r="P575" s="153">
        <v>0.3666666666666667</v>
      </c>
      <c r="Q575" s="153">
        <v>0.44799999999999995</v>
      </c>
      <c r="R575" s="153">
        <v>0.41600000000000009</v>
      </c>
      <c r="S575" s="153">
        <v>0.01</v>
      </c>
      <c r="T575" s="153">
        <v>0.02</v>
      </c>
      <c r="U575" s="474">
        <v>2014</v>
      </c>
      <c r="V575">
        <v>2034</v>
      </c>
      <c r="W575">
        <v>0</v>
      </c>
      <c r="X575">
        <v>0</v>
      </c>
      <c r="Y575">
        <v>1315</v>
      </c>
      <c r="Z575">
        <v>360</v>
      </c>
      <c r="AA575" s="475" t="s">
        <v>24</v>
      </c>
    </row>
    <row r="576" spans="1:27" ht="15" hidden="1">
      <c r="A576" s="24">
        <v>1575</v>
      </c>
      <c r="B576" s="24">
        <v>1575</v>
      </c>
      <c r="C576" s="469" t="s">
        <v>970</v>
      </c>
      <c r="D576" t="s">
        <v>149</v>
      </c>
      <c r="E576" s="470">
        <v>2</v>
      </c>
      <c r="F576" s="471">
        <v>19.690000000000001</v>
      </c>
      <c r="G576">
        <v>1</v>
      </c>
      <c r="H576">
        <v>1</v>
      </c>
      <c r="I576" s="472">
        <f t="shared" si="27"/>
        <v>0.40033333333333337</v>
      </c>
      <c r="J576" s="153">
        <v>0.3706666666666667</v>
      </c>
      <c r="K576" s="153">
        <v>0.3666666666666667</v>
      </c>
      <c r="L576" s="153">
        <v>0.44799999999999995</v>
      </c>
      <c r="M576" s="153">
        <v>0.41600000000000009</v>
      </c>
      <c r="N576" s="472">
        <f t="shared" si="28"/>
        <v>0.40033333333333337</v>
      </c>
      <c r="O576" s="153">
        <v>0.3706666666666667</v>
      </c>
      <c r="P576" s="153">
        <v>0.3666666666666667</v>
      </c>
      <c r="Q576" s="153">
        <v>0.44799999999999995</v>
      </c>
      <c r="R576" s="153">
        <v>0.41600000000000009</v>
      </c>
      <c r="S576" s="153">
        <v>0.01</v>
      </c>
      <c r="T576" s="153">
        <v>0.02</v>
      </c>
      <c r="U576" s="474">
        <v>2016</v>
      </c>
      <c r="V576">
        <v>2036</v>
      </c>
      <c r="W576">
        <v>0</v>
      </c>
      <c r="X576">
        <v>0</v>
      </c>
      <c r="Y576">
        <v>1315</v>
      </c>
      <c r="Z576">
        <v>360</v>
      </c>
      <c r="AA576" s="475" t="s">
        <v>24</v>
      </c>
    </row>
    <row r="577" spans="1:27" ht="15" hidden="1">
      <c r="A577" s="24">
        <v>1576</v>
      </c>
      <c r="B577" s="24">
        <v>1576</v>
      </c>
      <c r="C577" s="469" t="s">
        <v>971</v>
      </c>
      <c r="D577" t="s">
        <v>149</v>
      </c>
      <c r="E577" s="470">
        <v>2</v>
      </c>
      <c r="F577" s="471">
        <v>7.16</v>
      </c>
      <c r="G577">
        <v>1</v>
      </c>
      <c r="H577">
        <v>1</v>
      </c>
      <c r="I577" s="472">
        <f t="shared" si="27"/>
        <v>0.40033333333333337</v>
      </c>
      <c r="J577" s="153">
        <v>0.3706666666666667</v>
      </c>
      <c r="K577" s="153">
        <v>0.3666666666666667</v>
      </c>
      <c r="L577" s="153">
        <v>0.44799999999999995</v>
      </c>
      <c r="M577" s="153">
        <v>0.41600000000000009</v>
      </c>
      <c r="N577" s="472">
        <f t="shared" si="28"/>
        <v>0.40033333333333337</v>
      </c>
      <c r="O577" s="153">
        <v>0.3706666666666667</v>
      </c>
      <c r="P577" s="153">
        <v>0.3666666666666667</v>
      </c>
      <c r="Q577" s="153">
        <v>0.44799999999999995</v>
      </c>
      <c r="R577" s="153">
        <v>0.41600000000000009</v>
      </c>
      <c r="S577" s="153">
        <v>0.01</v>
      </c>
      <c r="T577" s="153">
        <v>0.02</v>
      </c>
      <c r="U577" s="474">
        <v>2016</v>
      </c>
      <c r="V577">
        <v>2036</v>
      </c>
      <c r="W577">
        <v>0</v>
      </c>
      <c r="X577">
        <v>0</v>
      </c>
      <c r="Y577">
        <v>1315</v>
      </c>
      <c r="Z577">
        <v>360</v>
      </c>
      <c r="AA577" s="475" t="s">
        <v>24</v>
      </c>
    </row>
    <row r="578" spans="1:27" ht="15" hidden="1">
      <c r="A578" s="24">
        <v>1577</v>
      </c>
      <c r="B578" s="24">
        <v>1577</v>
      </c>
      <c r="C578" s="469" t="s">
        <v>972</v>
      </c>
      <c r="D578" t="s">
        <v>149</v>
      </c>
      <c r="E578" s="470">
        <v>2</v>
      </c>
      <c r="F578" s="471">
        <v>14.32</v>
      </c>
      <c r="G578">
        <v>1</v>
      </c>
      <c r="H578">
        <v>1</v>
      </c>
      <c r="I578" s="472">
        <f t="shared" ref="I578:I641" si="29">AVERAGE(J578:M578)</f>
        <v>0.40033333333333337</v>
      </c>
      <c r="J578" s="153">
        <v>0.3706666666666667</v>
      </c>
      <c r="K578" s="153">
        <v>0.3666666666666667</v>
      </c>
      <c r="L578" s="153">
        <v>0.44799999999999995</v>
      </c>
      <c r="M578" s="153">
        <v>0.41600000000000009</v>
      </c>
      <c r="N578" s="472">
        <f t="shared" ref="N578:N641" si="30">AVERAGE(O578:R578)</f>
        <v>0.40033333333333337</v>
      </c>
      <c r="O578" s="153">
        <v>0.3706666666666667</v>
      </c>
      <c r="P578" s="153">
        <v>0.3666666666666667</v>
      </c>
      <c r="Q578" s="153">
        <v>0.44799999999999995</v>
      </c>
      <c r="R578" s="153">
        <v>0.41600000000000009</v>
      </c>
      <c r="S578" s="153">
        <v>0.01</v>
      </c>
      <c r="T578" s="153">
        <v>0.02</v>
      </c>
      <c r="U578" s="474">
        <v>2016</v>
      </c>
      <c r="V578">
        <v>2036</v>
      </c>
      <c r="W578">
        <v>0</v>
      </c>
      <c r="X578">
        <v>0</v>
      </c>
      <c r="Y578">
        <v>1315</v>
      </c>
      <c r="Z578">
        <v>360</v>
      </c>
      <c r="AA578" s="475" t="s">
        <v>24</v>
      </c>
    </row>
    <row r="579" spans="1:27" ht="15" hidden="1">
      <c r="A579" s="24">
        <v>1578</v>
      </c>
      <c r="B579" s="24">
        <v>1578</v>
      </c>
      <c r="C579" s="469" t="s">
        <v>973</v>
      </c>
      <c r="D579" t="s">
        <v>149</v>
      </c>
      <c r="E579" s="470">
        <v>2</v>
      </c>
      <c r="F579" s="471">
        <v>16.11</v>
      </c>
      <c r="G579">
        <v>1</v>
      </c>
      <c r="H579">
        <v>1</v>
      </c>
      <c r="I579" s="472">
        <f t="shared" si="29"/>
        <v>0.40033333333333337</v>
      </c>
      <c r="J579" s="153">
        <v>0.3706666666666667</v>
      </c>
      <c r="K579" s="153">
        <v>0.3666666666666667</v>
      </c>
      <c r="L579" s="153">
        <v>0.44799999999999995</v>
      </c>
      <c r="M579" s="153">
        <v>0.41600000000000009</v>
      </c>
      <c r="N579" s="472">
        <f t="shared" si="30"/>
        <v>0.40033333333333337</v>
      </c>
      <c r="O579" s="153">
        <v>0.3706666666666667</v>
      </c>
      <c r="P579" s="153">
        <v>0.3666666666666667</v>
      </c>
      <c r="Q579" s="153">
        <v>0.44799999999999995</v>
      </c>
      <c r="R579" s="153">
        <v>0.41600000000000009</v>
      </c>
      <c r="S579" s="153">
        <v>0.01</v>
      </c>
      <c r="T579" s="153">
        <v>0.02</v>
      </c>
      <c r="U579" s="474">
        <v>2016</v>
      </c>
      <c r="V579">
        <v>2036</v>
      </c>
      <c r="W579">
        <v>0</v>
      </c>
      <c r="X579">
        <v>0</v>
      </c>
      <c r="Y579">
        <v>1315</v>
      </c>
      <c r="Z579">
        <v>360</v>
      </c>
      <c r="AA579" s="475" t="s">
        <v>24</v>
      </c>
    </row>
    <row r="580" spans="1:27" ht="15" hidden="1">
      <c r="A580" s="24">
        <v>1579</v>
      </c>
      <c r="B580" s="24">
        <v>1579</v>
      </c>
      <c r="C580" s="469" t="s">
        <v>974</v>
      </c>
      <c r="D580" t="s">
        <v>149</v>
      </c>
      <c r="E580" s="470">
        <v>2</v>
      </c>
      <c r="F580" s="471">
        <v>30</v>
      </c>
      <c r="G580">
        <v>1</v>
      </c>
      <c r="H580">
        <v>1</v>
      </c>
      <c r="I580" s="472">
        <f t="shared" si="29"/>
        <v>0.40033333333333337</v>
      </c>
      <c r="J580" s="153">
        <v>0.3706666666666667</v>
      </c>
      <c r="K580" s="153">
        <v>0.3666666666666667</v>
      </c>
      <c r="L580" s="153">
        <v>0.44799999999999995</v>
      </c>
      <c r="M580" s="153">
        <v>0.41600000000000009</v>
      </c>
      <c r="N580" s="472">
        <f t="shared" si="30"/>
        <v>0.40033333333333337</v>
      </c>
      <c r="O580" s="153">
        <v>0.3706666666666667</v>
      </c>
      <c r="P580" s="153">
        <v>0.3666666666666667</v>
      </c>
      <c r="Q580" s="153">
        <v>0.44799999999999995</v>
      </c>
      <c r="R580" s="153">
        <v>0.41600000000000009</v>
      </c>
      <c r="S580" s="153">
        <v>0.01</v>
      </c>
      <c r="T580" s="153">
        <v>0.02</v>
      </c>
      <c r="U580" s="474">
        <v>2014</v>
      </c>
      <c r="V580">
        <v>2034</v>
      </c>
      <c r="W580">
        <v>0</v>
      </c>
      <c r="X580">
        <v>0</v>
      </c>
      <c r="Y580">
        <v>1315</v>
      </c>
      <c r="Z580">
        <v>360</v>
      </c>
      <c r="AA580" s="475" t="s">
        <v>24</v>
      </c>
    </row>
    <row r="581" spans="1:27" ht="15" hidden="1">
      <c r="A581" s="24">
        <v>1580</v>
      </c>
      <c r="B581" s="24">
        <v>1580</v>
      </c>
      <c r="C581" s="469" t="s">
        <v>975</v>
      </c>
      <c r="D581" t="s">
        <v>149</v>
      </c>
      <c r="E581" s="470">
        <v>2</v>
      </c>
      <c r="F581" s="471">
        <v>20</v>
      </c>
      <c r="G581">
        <v>1</v>
      </c>
      <c r="H581">
        <v>1</v>
      </c>
      <c r="I581" s="472">
        <f t="shared" si="29"/>
        <v>0.40033333333333337</v>
      </c>
      <c r="J581" s="153">
        <v>0.3706666666666667</v>
      </c>
      <c r="K581" s="153">
        <v>0.3666666666666667</v>
      </c>
      <c r="L581" s="153">
        <v>0.44799999999999995</v>
      </c>
      <c r="M581" s="153">
        <v>0.41600000000000009</v>
      </c>
      <c r="N581" s="472">
        <f t="shared" si="30"/>
        <v>0.40033333333333337</v>
      </c>
      <c r="O581" s="153">
        <v>0.3706666666666667</v>
      </c>
      <c r="P581" s="153">
        <v>0.3666666666666667</v>
      </c>
      <c r="Q581" s="153">
        <v>0.44799999999999995</v>
      </c>
      <c r="R581" s="153">
        <v>0.41600000000000009</v>
      </c>
      <c r="S581" s="153">
        <v>0.01</v>
      </c>
      <c r="T581" s="153">
        <v>0.02</v>
      </c>
      <c r="U581" s="474">
        <v>2014</v>
      </c>
      <c r="V581">
        <v>2034</v>
      </c>
      <c r="W581">
        <v>0</v>
      </c>
      <c r="X581">
        <v>0</v>
      </c>
      <c r="Y581">
        <v>1315</v>
      </c>
      <c r="Z581">
        <v>360</v>
      </c>
      <c r="AA581" s="475" t="s">
        <v>24</v>
      </c>
    </row>
    <row r="582" spans="1:27" ht="15" hidden="1">
      <c r="A582" s="24">
        <v>1581</v>
      </c>
      <c r="B582" s="24">
        <v>1581</v>
      </c>
      <c r="C582" s="469" t="s">
        <v>976</v>
      </c>
      <c r="D582" t="s">
        <v>149</v>
      </c>
      <c r="E582" s="470">
        <v>2</v>
      </c>
      <c r="F582" s="471">
        <v>20</v>
      </c>
      <c r="G582">
        <v>1</v>
      </c>
      <c r="H582">
        <v>1</v>
      </c>
      <c r="I582" s="472">
        <f t="shared" si="29"/>
        <v>0.40033333333333337</v>
      </c>
      <c r="J582" s="153">
        <v>0.3706666666666667</v>
      </c>
      <c r="K582" s="153">
        <v>0.3666666666666667</v>
      </c>
      <c r="L582" s="153">
        <v>0.44799999999999995</v>
      </c>
      <c r="M582" s="153">
        <v>0.41600000000000009</v>
      </c>
      <c r="N582" s="472">
        <f t="shared" si="30"/>
        <v>0.40033333333333337</v>
      </c>
      <c r="O582" s="153">
        <v>0.3706666666666667</v>
      </c>
      <c r="P582" s="153">
        <v>0.3666666666666667</v>
      </c>
      <c r="Q582" s="153">
        <v>0.44799999999999995</v>
      </c>
      <c r="R582" s="153">
        <v>0.41600000000000009</v>
      </c>
      <c r="S582" s="153">
        <v>0.01</v>
      </c>
      <c r="T582" s="153">
        <v>0.02</v>
      </c>
      <c r="U582" s="474">
        <v>2014</v>
      </c>
      <c r="V582">
        <v>2034</v>
      </c>
      <c r="W582">
        <v>0</v>
      </c>
      <c r="X582">
        <v>0</v>
      </c>
      <c r="Y582">
        <v>1315</v>
      </c>
      <c r="Z582">
        <v>360</v>
      </c>
      <c r="AA582" s="475" t="s">
        <v>24</v>
      </c>
    </row>
    <row r="583" spans="1:27" ht="15" hidden="1">
      <c r="A583" s="24">
        <v>1582</v>
      </c>
      <c r="B583" s="24">
        <v>1582</v>
      </c>
      <c r="C583" s="469" t="s">
        <v>977</v>
      </c>
      <c r="D583" t="s">
        <v>149</v>
      </c>
      <c r="E583" s="470">
        <v>2</v>
      </c>
      <c r="F583" s="471">
        <v>26</v>
      </c>
      <c r="G583">
        <v>1</v>
      </c>
      <c r="H583">
        <v>1</v>
      </c>
      <c r="I583" s="472">
        <f t="shared" si="29"/>
        <v>0.40033333333333337</v>
      </c>
      <c r="J583" s="153">
        <v>0.3706666666666667</v>
      </c>
      <c r="K583" s="153">
        <v>0.3666666666666667</v>
      </c>
      <c r="L583" s="153">
        <v>0.44799999999999995</v>
      </c>
      <c r="M583" s="153">
        <v>0.41600000000000009</v>
      </c>
      <c r="N583" s="472">
        <f t="shared" si="30"/>
        <v>0.40033333333333337</v>
      </c>
      <c r="O583" s="153">
        <v>0.3706666666666667</v>
      </c>
      <c r="P583" s="153">
        <v>0.3666666666666667</v>
      </c>
      <c r="Q583" s="153">
        <v>0.44799999999999995</v>
      </c>
      <c r="R583" s="153">
        <v>0.41600000000000009</v>
      </c>
      <c r="S583" s="153">
        <v>0.01</v>
      </c>
      <c r="T583" s="153">
        <v>0.02</v>
      </c>
      <c r="U583" s="474">
        <v>2014</v>
      </c>
      <c r="V583">
        <v>2034</v>
      </c>
      <c r="W583">
        <v>0</v>
      </c>
      <c r="X583">
        <v>0</v>
      </c>
      <c r="Y583">
        <v>1315</v>
      </c>
      <c r="Z583">
        <v>360</v>
      </c>
      <c r="AA583" s="475" t="s">
        <v>24</v>
      </c>
    </row>
    <row r="584" spans="1:27" ht="15" hidden="1">
      <c r="A584" s="24">
        <v>1583</v>
      </c>
      <c r="B584" s="24">
        <v>1583</v>
      </c>
      <c r="C584" s="469" t="s">
        <v>978</v>
      </c>
      <c r="D584" t="s">
        <v>149</v>
      </c>
      <c r="E584" s="470">
        <v>2</v>
      </c>
      <c r="F584" s="471">
        <v>30</v>
      </c>
      <c r="G584">
        <v>1</v>
      </c>
      <c r="H584">
        <v>1</v>
      </c>
      <c r="I584" s="472">
        <f t="shared" si="29"/>
        <v>0.40033333333333337</v>
      </c>
      <c r="J584" s="153">
        <v>0.3706666666666667</v>
      </c>
      <c r="K584" s="153">
        <v>0.3666666666666667</v>
      </c>
      <c r="L584" s="153">
        <v>0.44799999999999995</v>
      </c>
      <c r="M584" s="153">
        <v>0.41600000000000009</v>
      </c>
      <c r="N584" s="472">
        <f t="shared" si="30"/>
        <v>0.40033333333333337</v>
      </c>
      <c r="O584" s="153">
        <v>0.3706666666666667</v>
      </c>
      <c r="P584" s="153">
        <v>0.3666666666666667</v>
      </c>
      <c r="Q584" s="153">
        <v>0.44799999999999995</v>
      </c>
      <c r="R584" s="153">
        <v>0.41600000000000009</v>
      </c>
      <c r="S584" s="153">
        <v>0.01</v>
      </c>
      <c r="T584" s="153">
        <v>0.02</v>
      </c>
      <c r="U584" s="474">
        <v>2014</v>
      </c>
      <c r="V584">
        <v>2034</v>
      </c>
      <c r="W584">
        <v>0</v>
      </c>
      <c r="X584">
        <v>0</v>
      </c>
      <c r="Y584">
        <v>1315</v>
      </c>
      <c r="Z584">
        <v>360</v>
      </c>
      <c r="AA584" s="475" t="s">
        <v>24</v>
      </c>
    </row>
    <row r="585" spans="1:27" ht="15" hidden="1">
      <c r="A585" s="24">
        <v>1584</v>
      </c>
      <c r="B585" s="24">
        <v>1584</v>
      </c>
      <c r="C585" s="469" t="s">
        <v>979</v>
      </c>
      <c r="D585" t="s">
        <v>146</v>
      </c>
      <c r="E585" s="470">
        <v>1</v>
      </c>
      <c r="F585" s="471">
        <v>20</v>
      </c>
      <c r="G585">
        <v>1</v>
      </c>
      <c r="H585">
        <v>1</v>
      </c>
      <c r="I585" s="472">
        <f t="shared" si="29"/>
        <v>0.32845968612834514</v>
      </c>
      <c r="J585" s="153">
        <v>3.8473756479098807E-2</v>
      </c>
      <c r="K585" s="153">
        <v>0.39358026214566905</v>
      </c>
      <c r="L585" s="153">
        <v>0.53857526864315253</v>
      </c>
      <c r="M585" s="153">
        <v>0.3432094572454602</v>
      </c>
      <c r="N585" s="472">
        <f t="shared" si="30"/>
        <v>0.32845968612834514</v>
      </c>
      <c r="O585" s="153">
        <v>3.8473756479098807E-2</v>
      </c>
      <c r="P585" s="153">
        <v>0.39358026214566905</v>
      </c>
      <c r="Q585" s="153">
        <v>0.53857526864315253</v>
      </c>
      <c r="R585" s="153">
        <v>0.3432094572454602</v>
      </c>
      <c r="S585" s="153">
        <v>0.03</v>
      </c>
      <c r="T585" s="153">
        <v>0</v>
      </c>
      <c r="U585" s="474">
        <v>2010</v>
      </c>
      <c r="V585">
        <v>2023</v>
      </c>
      <c r="W585">
        <v>0</v>
      </c>
      <c r="X585">
        <v>0</v>
      </c>
      <c r="Y585">
        <v>1304</v>
      </c>
      <c r="Z585">
        <v>311</v>
      </c>
      <c r="AA585" s="475" t="s">
        <v>23</v>
      </c>
    </row>
    <row r="586" spans="1:27" ht="15" hidden="1">
      <c r="A586" s="24">
        <v>1585</v>
      </c>
      <c r="B586" s="24">
        <v>1585</v>
      </c>
      <c r="C586" s="469" t="s">
        <v>980</v>
      </c>
      <c r="D586" t="s">
        <v>149</v>
      </c>
      <c r="E586" s="470">
        <v>2</v>
      </c>
      <c r="F586" s="471">
        <v>30</v>
      </c>
      <c r="G586">
        <v>1</v>
      </c>
      <c r="H586">
        <v>1</v>
      </c>
      <c r="I586" s="472">
        <f t="shared" si="29"/>
        <v>0.40033333333333337</v>
      </c>
      <c r="J586" s="153">
        <v>0.3706666666666667</v>
      </c>
      <c r="K586" s="153">
        <v>0.3666666666666667</v>
      </c>
      <c r="L586" s="153">
        <v>0.44799999999999995</v>
      </c>
      <c r="M586" s="153">
        <v>0.41600000000000009</v>
      </c>
      <c r="N586" s="472">
        <f t="shared" si="30"/>
        <v>0.40033333333333337</v>
      </c>
      <c r="O586" s="153">
        <v>0.3706666666666667</v>
      </c>
      <c r="P586" s="153">
        <v>0.3666666666666667</v>
      </c>
      <c r="Q586" s="153">
        <v>0.44799999999999995</v>
      </c>
      <c r="R586" s="153">
        <v>0.41600000000000009</v>
      </c>
      <c r="S586" s="153">
        <v>0.01</v>
      </c>
      <c r="T586" s="153">
        <v>0.02</v>
      </c>
      <c r="U586" s="474">
        <v>2014</v>
      </c>
      <c r="V586">
        <v>2034</v>
      </c>
      <c r="W586">
        <v>0</v>
      </c>
      <c r="X586">
        <v>0</v>
      </c>
      <c r="Y586">
        <v>1315</v>
      </c>
      <c r="Z586">
        <v>360</v>
      </c>
      <c r="AA586" s="475" t="s">
        <v>24</v>
      </c>
    </row>
    <row r="587" spans="1:27" ht="15" hidden="1">
      <c r="A587" s="24">
        <v>1586</v>
      </c>
      <c r="B587" s="24">
        <v>1586</v>
      </c>
      <c r="C587" s="469" t="s">
        <v>981</v>
      </c>
      <c r="D587" t="s">
        <v>149</v>
      </c>
      <c r="E587" s="470">
        <v>2</v>
      </c>
      <c r="F587" s="471">
        <v>18</v>
      </c>
      <c r="G587">
        <v>1</v>
      </c>
      <c r="H587">
        <v>1</v>
      </c>
      <c r="I587" s="472">
        <f t="shared" si="29"/>
        <v>0.40033333333333337</v>
      </c>
      <c r="J587" s="153">
        <v>0.3706666666666667</v>
      </c>
      <c r="K587" s="153">
        <v>0.3666666666666667</v>
      </c>
      <c r="L587" s="153">
        <v>0.44799999999999995</v>
      </c>
      <c r="M587" s="153">
        <v>0.41600000000000009</v>
      </c>
      <c r="N587" s="472">
        <f t="shared" si="30"/>
        <v>0.40033333333333337</v>
      </c>
      <c r="O587" s="153">
        <v>0.3706666666666667</v>
      </c>
      <c r="P587" s="153">
        <v>0.3666666666666667</v>
      </c>
      <c r="Q587" s="153">
        <v>0.44799999999999995</v>
      </c>
      <c r="R587" s="153">
        <v>0.41600000000000009</v>
      </c>
      <c r="S587" s="153">
        <v>0.01</v>
      </c>
      <c r="T587" s="153">
        <v>0.02</v>
      </c>
      <c r="U587" s="474">
        <v>2014</v>
      </c>
      <c r="V587">
        <v>2034</v>
      </c>
      <c r="W587">
        <v>0</v>
      </c>
      <c r="X587">
        <v>0</v>
      </c>
      <c r="Y587">
        <v>1315</v>
      </c>
      <c r="Z587">
        <v>360</v>
      </c>
      <c r="AA587" s="475" t="s">
        <v>24</v>
      </c>
    </row>
    <row r="588" spans="1:27" ht="15" hidden="1">
      <c r="A588" s="24">
        <v>1587</v>
      </c>
      <c r="B588" s="24">
        <v>1587</v>
      </c>
      <c r="C588" s="469" t="s">
        <v>982</v>
      </c>
      <c r="D588" t="s">
        <v>149</v>
      </c>
      <c r="E588" s="470">
        <v>2</v>
      </c>
      <c r="F588" s="471">
        <v>30</v>
      </c>
      <c r="G588">
        <v>1</v>
      </c>
      <c r="H588">
        <v>1</v>
      </c>
      <c r="I588" s="472">
        <f t="shared" si="29"/>
        <v>0.40033333333333337</v>
      </c>
      <c r="J588" s="153">
        <v>0.3706666666666667</v>
      </c>
      <c r="K588" s="153">
        <v>0.3666666666666667</v>
      </c>
      <c r="L588" s="153">
        <v>0.44799999999999995</v>
      </c>
      <c r="M588" s="153">
        <v>0.41600000000000009</v>
      </c>
      <c r="N588" s="472">
        <f t="shared" si="30"/>
        <v>0.40033333333333337</v>
      </c>
      <c r="O588" s="153">
        <v>0.3706666666666667</v>
      </c>
      <c r="P588" s="153">
        <v>0.3666666666666667</v>
      </c>
      <c r="Q588" s="153">
        <v>0.44799999999999995</v>
      </c>
      <c r="R588" s="153">
        <v>0.41600000000000009</v>
      </c>
      <c r="S588" s="153">
        <v>0.01</v>
      </c>
      <c r="T588" s="153">
        <v>0.02</v>
      </c>
      <c r="U588" s="474">
        <v>2014</v>
      </c>
      <c r="V588">
        <v>2034</v>
      </c>
      <c r="W588">
        <v>0</v>
      </c>
      <c r="X588">
        <v>0</v>
      </c>
      <c r="Y588">
        <v>1315</v>
      </c>
      <c r="Z588">
        <v>360</v>
      </c>
      <c r="AA588" s="475" t="s">
        <v>24</v>
      </c>
    </row>
    <row r="589" spans="1:27" ht="15" hidden="1">
      <c r="A589" s="24">
        <v>1588</v>
      </c>
      <c r="B589" s="24">
        <v>1588</v>
      </c>
      <c r="C589" s="469" t="s">
        <v>983</v>
      </c>
      <c r="D589" t="s">
        <v>149</v>
      </c>
      <c r="E589" s="470">
        <v>2</v>
      </c>
      <c r="F589" s="471">
        <v>26</v>
      </c>
      <c r="G589">
        <v>1</v>
      </c>
      <c r="H589">
        <v>1</v>
      </c>
      <c r="I589" s="472">
        <f t="shared" si="29"/>
        <v>0.40033333333333337</v>
      </c>
      <c r="J589" s="153">
        <v>0.3706666666666667</v>
      </c>
      <c r="K589" s="153">
        <v>0.3666666666666667</v>
      </c>
      <c r="L589" s="153">
        <v>0.44799999999999995</v>
      </c>
      <c r="M589" s="153">
        <v>0.41600000000000009</v>
      </c>
      <c r="N589" s="472">
        <f t="shared" si="30"/>
        <v>0.40033333333333337</v>
      </c>
      <c r="O589" s="153">
        <v>0.3706666666666667</v>
      </c>
      <c r="P589" s="153">
        <v>0.3666666666666667</v>
      </c>
      <c r="Q589" s="153">
        <v>0.44799999999999995</v>
      </c>
      <c r="R589" s="153">
        <v>0.41600000000000009</v>
      </c>
      <c r="S589" s="153">
        <v>0.01</v>
      </c>
      <c r="T589" s="153">
        <v>0.02</v>
      </c>
      <c r="U589" s="474">
        <v>2014</v>
      </c>
      <c r="V589">
        <v>2034</v>
      </c>
      <c r="W589">
        <v>0</v>
      </c>
      <c r="X589">
        <v>0</v>
      </c>
      <c r="Y589">
        <v>1315</v>
      </c>
      <c r="Z589">
        <v>360</v>
      </c>
      <c r="AA589" s="475" t="s">
        <v>24</v>
      </c>
    </row>
    <row r="590" spans="1:27" ht="15" hidden="1">
      <c r="A590" s="24">
        <v>1589</v>
      </c>
      <c r="B590" s="24">
        <v>1589</v>
      </c>
      <c r="C590" s="469" t="s">
        <v>984</v>
      </c>
      <c r="D590" t="s">
        <v>146</v>
      </c>
      <c r="E590" s="470">
        <v>1</v>
      </c>
      <c r="F590" s="471">
        <v>0</v>
      </c>
      <c r="G590">
        <v>1</v>
      </c>
      <c r="H590">
        <v>1</v>
      </c>
      <c r="I590" s="472">
        <f t="shared" si="29"/>
        <v>0.32845968612834514</v>
      </c>
      <c r="J590" s="153">
        <v>3.8473756479098807E-2</v>
      </c>
      <c r="K590" s="153">
        <v>0.39358026214566905</v>
      </c>
      <c r="L590" s="153">
        <v>0.53857526864315253</v>
      </c>
      <c r="M590" s="153">
        <v>0.3432094572454602</v>
      </c>
      <c r="N590" s="472">
        <f t="shared" si="30"/>
        <v>0.32845968612834514</v>
      </c>
      <c r="O590" s="153">
        <v>3.8473756479098807E-2</v>
      </c>
      <c r="P590" s="153">
        <v>0.39358026214566905</v>
      </c>
      <c r="Q590" s="153">
        <v>0.53857526864315253</v>
      </c>
      <c r="R590" s="153">
        <v>0.3432094572454602</v>
      </c>
      <c r="S590" s="153">
        <v>0.03</v>
      </c>
      <c r="T590" s="153">
        <v>0</v>
      </c>
      <c r="U590" s="474">
        <v>1900</v>
      </c>
      <c r="V590">
        <v>2030</v>
      </c>
      <c r="W590">
        <v>0</v>
      </c>
      <c r="X590">
        <v>0</v>
      </c>
      <c r="Y590">
        <v>1304</v>
      </c>
      <c r="Z590">
        <v>311</v>
      </c>
      <c r="AA590" s="475" t="s">
        <v>23</v>
      </c>
    </row>
    <row r="591" spans="1:27" ht="15">
      <c r="A591" s="24">
        <v>1590</v>
      </c>
      <c r="B591" s="24">
        <v>1590</v>
      </c>
      <c r="C591" s="469" t="s">
        <v>985</v>
      </c>
      <c r="D591" t="s">
        <v>152</v>
      </c>
      <c r="E591" s="470">
        <v>3</v>
      </c>
      <c r="F591" s="471">
        <v>4.25</v>
      </c>
      <c r="G591">
        <v>1</v>
      </c>
      <c r="H591">
        <v>1</v>
      </c>
      <c r="I591" s="472">
        <f t="shared" si="29"/>
        <v>0.47039166666666665</v>
      </c>
      <c r="J591" s="473">
        <v>0.36503333333333332</v>
      </c>
      <c r="K591" s="473">
        <v>0.44336666666666663</v>
      </c>
      <c r="L591" s="473">
        <v>0.58906666666666663</v>
      </c>
      <c r="M591" s="473">
        <v>0.48410000000000003</v>
      </c>
      <c r="N591" s="472">
        <f t="shared" si="30"/>
        <v>0.47039166666666665</v>
      </c>
      <c r="O591" s="473">
        <v>0.36503333333333332</v>
      </c>
      <c r="P591" s="473">
        <v>0.44336666666666663</v>
      </c>
      <c r="Q591" s="473">
        <v>0.58906666666666663</v>
      </c>
      <c r="R591" s="473">
        <v>0.48410000000000003</v>
      </c>
      <c r="S591" s="153">
        <v>0.01</v>
      </c>
      <c r="T591" s="153">
        <v>0.02</v>
      </c>
      <c r="U591" s="474">
        <v>2011</v>
      </c>
      <c r="V591">
        <v>2031</v>
      </c>
      <c r="W591">
        <v>0</v>
      </c>
      <c r="X591">
        <v>0</v>
      </c>
      <c r="Y591">
        <v>1315</v>
      </c>
      <c r="Z591">
        <v>361</v>
      </c>
      <c r="AA591" s="475" t="s">
        <v>24</v>
      </c>
    </row>
    <row r="592" spans="1:27" ht="15" hidden="1">
      <c r="A592" s="24">
        <v>1591</v>
      </c>
      <c r="B592" s="24">
        <v>1591</v>
      </c>
      <c r="C592" s="469" t="s">
        <v>986</v>
      </c>
      <c r="D592" t="s">
        <v>146</v>
      </c>
      <c r="E592" s="470">
        <v>1</v>
      </c>
      <c r="F592" s="471">
        <v>0</v>
      </c>
      <c r="G592">
        <v>1</v>
      </c>
      <c r="H592">
        <v>1</v>
      </c>
      <c r="I592" s="472">
        <f t="shared" si="29"/>
        <v>0.32845968612834514</v>
      </c>
      <c r="J592" s="153">
        <v>3.8473756479098807E-2</v>
      </c>
      <c r="K592" s="153">
        <v>0.39358026214566905</v>
      </c>
      <c r="L592" s="153">
        <v>0.53857526864315253</v>
      </c>
      <c r="M592" s="153">
        <v>0.3432094572454602</v>
      </c>
      <c r="N592" s="472">
        <f t="shared" si="30"/>
        <v>0.32845968612834514</v>
      </c>
      <c r="O592" s="153">
        <v>3.8473756479098807E-2</v>
      </c>
      <c r="P592" s="153">
        <v>0.39358026214566905</v>
      </c>
      <c r="Q592" s="153">
        <v>0.53857526864315253</v>
      </c>
      <c r="R592" s="153">
        <v>0.3432094572454602</v>
      </c>
      <c r="S592" s="153">
        <v>0.03</v>
      </c>
      <c r="T592" s="153">
        <v>0</v>
      </c>
      <c r="U592" s="474">
        <v>1900</v>
      </c>
      <c r="V592">
        <v>2030</v>
      </c>
      <c r="W592">
        <v>0</v>
      </c>
      <c r="X592">
        <v>0</v>
      </c>
      <c r="Y592">
        <v>1304</v>
      </c>
      <c r="Z592">
        <v>311</v>
      </c>
      <c r="AA592" s="475" t="s">
        <v>23</v>
      </c>
    </row>
    <row r="593" spans="1:27" ht="15" hidden="1">
      <c r="A593" s="24">
        <v>1592</v>
      </c>
      <c r="B593" s="24">
        <v>1592</v>
      </c>
      <c r="C593" s="469" t="s">
        <v>987</v>
      </c>
      <c r="D593" t="s">
        <v>146</v>
      </c>
      <c r="E593" s="470">
        <v>1</v>
      </c>
      <c r="F593" s="471">
        <v>72.7</v>
      </c>
      <c r="G593">
        <v>1</v>
      </c>
      <c r="H593">
        <v>1</v>
      </c>
      <c r="I593" s="472">
        <f t="shared" si="29"/>
        <v>0.32845968612834514</v>
      </c>
      <c r="J593" s="153">
        <v>3.8473756479098807E-2</v>
      </c>
      <c r="K593" s="153">
        <v>0.39358026214566905</v>
      </c>
      <c r="L593" s="153">
        <v>0.53857526864315253</v>
      </c>
      <c r="M593" s="153">
        <v>0.3432094572454602</v>
      </c>
      <c r="N593" s="472">
        <f t="shared" si="30"/>
        <v>0.32845968612834514</v>
      </c>
      <c r="O593" s="153">
        <v>3.8473756479098807E-2</v>
      </c>
      <c r="P593" s="153">
        <v>0.39358026214566905</v>
      </c>
      <c r="Q593" s="153">
        <v>0.53857526864315253</v>
      </c>
      <c r="R593" s="153">
        <v>0.3432094572454602</v>
      </c>
      <c r="S593" s="153">
        <v>0.03</v>
      </c>
      <c r="T593" s="153">
        <v>0</v>
      </c>
      <c r="U593" s="474">
        <v>2010</v>
      </c>
      <c r="V593">
        <v>2023</v>
      </c>
      <c r="W593">
        <v>0</v>
      </c>
      <c r="X593">
        <v>0</v>
      </c>
      <c r="Y593">
        <v>1304</v>
      </c>
      <c r="Z593">
        <v>311</v>
      </c>
      <c r="AA593" s="475" t="s">
        <v>23</v>
      </c>
    </row>
    <row r="594" spans="1:27" ht="15" hidden="1">
      <c r="A594" s="24">
        <v>1593</v>
      </c>
      <c r="B594" s="24">
        <v>1593</v>
      </c>
      <c r="C594" s="469" t="s">
        <v>988</v>
      </c>
      <c r="D594" t="s">
        <v>146</v>
      </c>
      <c r="E594" s="470">
        <v>1</v>
      </c>
      <c r="F594" s="471">
        <v>54</v>
      </c>
      <c r="G594">
        <v>1</v>
      </c>
      <c r="H594">
        <v>1</v>
      </c>
      <c r="I594" s="472">
        <f t="shared" si="29"/>
        <v>0.32845968612834514</v>
      </c>
      <c r="J594" s="153">
        <v>3.8473756479098807E-2</v>
      </c>
      <c r="K594" s="153">
        <v>0.39358026214566905</v>
      </c>
      <c r="L594" s="153">
        <v>0.53857526864315253</v>
      </c>
      <c r="M594" s="153">
        <v>0.3432094572454602</v>
      </c>
      <c r="N594" s="472">
        <f t="shared" si="30"/>
        <v>0.32845968612834514</v>
      </c>
      <c r="O594" s="153">
        <v>3.8473756479098807E-2</v>
      </c>
      <c r="P594" s="153">
        <v>0.39358026214566905</v>
      </c>
      <c r="Q594" s="153">
        <v>0.53857526864315253</v>
      </c>
      <c r="R594" s="153">
        <v>0.3432094572454602</v>
      </c>
      <c r="S594" s="153">
        <v>0.03</v>
      </c>
      <c r="T594" s="153">
        <v>0</v>
      </c>
      <c r="U594" s="474">
        <v>2005</v>
      </c>
      <c r="V594">
        <v>2023</v>
      </c>
      <c r="W594">
        <v>0</v>
      </c>
      <c r="X594">
        <v>0</v>
      </c>
      <c r="Y594">
        <v>1304</v>
      </c>
      <c r="Z594">
        <v>311</v>
      </c>
      <c r="AA594" s="475" t="s">
        <v>23</v>
      </c>
    </row>
    <row r="595" spans="1:27" ht="15" hidden="1">
      <c r="A595" s="24">
        <v>1594</v>
      </c>
      <c r="B595" s="24">
        <v>1594</v>
      </c>
      <c r="C595" s="476" t="s">
        <v>989</v>
      </c>
      <c r="D595" t="s">
        <v>152</v>
      </c>
      <c r="E595" s="477">
        <v>3</v>
      </c>
      <c r="F595" s="471">
        <v>27</v>
      </c>
      <c r="G595">
        <v>1</v>
      </c>
      <c r="H595">
        <v>1</v>
      </c>
      <c r="I595" s="472">
        <f t="shared" si="29"/>
        <v>0.26420000000000005</v>
      </c>
      <c r="J595" s="33">
        <v>0.29123333333333334</v>
      </c>
      <c r="K595" s="33">
        <f>0.296266666666667-0.07</f>
        <v>0.226266666666667</v>
      </c>
      <c r="L595" s="33">
        <f>0.3193-0.07</f>
        <v>0.24929999999999997</v>
      </c>
      <c r="M595" s="33">
        <v>0.28999999999999998</v>
      </c>
      <c r="N595" s="472">
        <f t="shared" si="30"/>
        <v>0.26420000000000005</v>
      </c>
      <c r="O595" s="33">
        <v>0.29123333333333334</v>
      </c>
      <c r="P595" s="33">
        <f>0.296266666666667-0.07</f>
        <v>0.226266666666667</v>
      </c>
      <c r="Q595" s="33">
        <f>0.3193-0.07</f>
        <v>0.24929999999999997</v>
      </c>
      <c r="R595" s="33">
        <v>0.28999999999999998</v>
      </c>
      <c r="S595" s="153">
        <v>0.04</v>
      </c>
      <c r="T595" s="153">
        <v>0</v>
      </c>
      <c r="U595" s="478">
        <v>2017</v>
      </c>
      <c r="V595" s="24">
        <f>U595+20</f>
        <v>2037</v>
      </c>
      <c r="W595">
        <v>0</v>
      </c>
      <c r="X595">
        <v>0</v>
      </c>
      <c r="Y595">
        <v>1315</v>
      </c>
      <c r="Z595">
        <v>347</v>
      </c>
      <c r="AA595" s="475" t="s">
        <v>25</v>
      </c>
    </row>
    <row r="596" spans="1:27" ht="15" hidden="1">
      <c r="A596" s="24">
        <v>1595</v>
      </c>
      <c r="B596" s="24">
        <v>1595</v>
      </c>
      <c r="C596" s="469" t="s">
        <v>990</v>
      </c>
      <c r="D596" t="s">
        <v>152</v>
      </c>
      <c r="E596" s="470">
        <v>3</v>
      </c>
      <c r="F596" s="471">
        <v>30</v>
      </c>
      <c r="G596">
        <v>1</v>
      </c>
      <c r="H596">
        <v>1</v>
      </c>
      <c r="I596" s="472">
        <f t="shared" si="29"/>
        <v>0.47039166666666665</v>
      </c>
      <c r="J596" s="473">
        <v>0.36503333333333332</v>
      </c>
      <c r="K596" s="473">
        <v>0.44336666666666663</v>
      </c>
      <c r="L596" s="473">
        <v>0.58906666666666663</v>
      </c>
      <c r="M596" s="473">
        <v>0.48410000000000003</v>
      </c>
      <c r="N596" s="472">
        <f t="shared" si="30"/>
        <v>0.47039166666666665</v>
      </c>
      <c r="O596" s="473">
        <v>0.36503333333333332</v>
      </c>
      <c r="P596" s="473">
        <v>0.44336666666666663</v>
      </c>
      <c r="Q596" s="473">
        <v>0.58906666666666663</v>
      </c>
      <c r="R596" s="473">
        <v>0.48410000000000003</v>
      </c>
      <c r="S596" s="153">
        <v>0.01</v>
      </c>
      <c r="T596" s="153">
        <v>0.02</v>
      </c>
      <c r="U596" s="474">
        <v>2016</v>
      </c>
      <c r="V596">
        <v>2036</v>
      </c>
      <c r="W596">
        <v>0</v>
      </c>
      <c r="X596">
        <v>0</v>
      </c>
      <c r="Y596">
        <v>1315</v>
      </c>
      <c r="Z596">
        <v>361</v>
      </c>
      <c r="AA596" s="475" t="s">
        <v>24</v>
      </c>
    </row>
    <row r="597" spans="1:27" ht="15">
      <c r="A597" s="24">
        <v>1596</v>
      </c>
      <c r="B597" s="24">
        <v>1596</v>
      </c>
      <c r="C597" s="469" t="s">
        <v>991</v>
      </c>
      <c r="D597" t="s">
        <v>152</v>
      </c>
      <c r="E597" s="470">
        <v>3</v>
      </c>
      <c r="F597" s="471">
        <v>42</v>
      </c>
      <c r="G597">
        <v>1</v>
      </c>
      <c r="H597">
        <v>1</v>
      </c>
      <c r="I597" s="472">
        <f t="shared" si="29"/>
        <v>0.47039166666666665</v>
      </c>
      <c r="J597" s="473">
        <v>0.36503333333333332</v>
      </c>
      <c r="K597" s="473">
        <v>0.44336666666666663</v>
      </c>
      <c r="L597" s="473">
        <v>0.58906666666666663</v>
      </c>
      <c r="M597" s="473">
        <v>0.48410000000000003</v>
      </c>
      <c r="N597" s="472">
        <f t="shared" si="30"/>
        <v>0.47039166666666665</v>
      </c>
      <c r="O597" s="473">
        <v>0.36503333333333332</v>
      </c>
      <c r="P597" s="473">
        <v>0.44336666666666663</v>
      </c>
      <c r="Q597" s="473">
        <v>0.58906666666666663</v>
      </c>
      <c r="R597" s="473">
        <v>0.48410000000000003</v>
      </c>
      <c r="S597" s="153">
        <v>0.01</v>
      </c>
      <c r="T597" s="153">
        <v>0.02</v>
      </c>
      <c r="U597" s="474">
        <v>2010</v>
      </c>
      <c r="V597">
        <v>2030</v>
      </c>
      <c r="W597">
        <v>0</v>
      </c>
      <c r="X597">
        <v>0</v>
      </c>
      <c r="Y597">
        <v>1315</v>
      </c>
      <c r="Z597">
        <v>361</v>
      </c>
      <c r="AA597" s="475" t="s">
        <v>24</v>
      </c>
    </row>
    <row r="598" spans="1:27" ht="15">
      <c r="A598" s="24">
        <v>1597</v>
      </c>
      <c r="B598" s="24">
        <v>1597</v>
      </c>
      <c r="C598" s="469" t="s">
        <v>992</v>
      </c>
      <c r="D598" t="s">
        <v>152</v>
      </c>
      <c r="E598" s="470">
        <v>3</v>
      </c>
      <c r="F598" s="471">
        <v>2.4</v>
      </c>
      <c r="G598">
        <v>1</v>
      </c>
      <c r="H598">
        <v>1</v>
      </c>
      <c r="I598" s="472">
        <f t="shared" si="29"/>
        <v>0.47039166666666665</v>
      </c>
      <c r="J598" s="473">
        <v>0.36503333333333332</v>
      </c>
      <c r="K598" s="473">
        <v>0.44336666666666663</v>
      </c>
      <c r="L598" s="473">
        <v>0.58906666666666663</v>
      </c>
      <c r="M598" s="473">
        <v>0.48410000000000003</v>
      </c>
      <c r="N598" s="472">
        <f t="shared" si="30"/>
        <v>0.47039166666666665</v>
      </c>
      <c r="O598" s="473">
        <v>0.36503333333333332</v>
      </c>
      <c r="P598" s="473">
        <v>0.44336666666666663</v>
      </c>
      <c r="Q598" s="473">
        <v>0.58906666666666663</v>
      </c>
      <c r="R598" s="473">
        <v>0.48410000000000003</v>
      </c>
      <c r="S598" s="153">
        <v>0.01</v>
      </c>
      <c r="T598" s="153">
        <v>0.02</v>
      </c>
      <c r="U598" s="474">
        <v>1900</v>
      </c>
      <c r="V598" s="24">
        <v>2028</v>
      </c>
      <c r="W598">
        <v>0</v>
      </c>
      <c r="X598">
        <v>0</v>
      </c>
      <c r="Y598">
        <v>1315</v>
      </c>
      <c r="Z598">
        <v>361</v>
      </c>
      <c r="AA598" s="475" t="s">
        <v>24</v>
      </c>
    </row>
    <row r="599" spans="1:27" ht="15">
      <c r="A599" s="24">
        <v>1598</v>
      </c>
      <c r="B599" s="24">
        <v>1598</v>
      </c>
      <c r="C599" s="469" t="s">
        <v>993</v>
      </c>
      <c r="D599" t="s">
        <v>152</v>
      </c>
      <c r="E599" s="470">
        <v>3</v>
      </c>
      <c r="F599" s="471">
        <v>5</v>
      </c>
      <c r="G599">
        <v>1</v>
      </c>
      <c r="H599">
        <v>1</v>
      </c>
      <c r="I599" s="472">
        <f t="shared" si="29"/>
        <v>0.47039166666666665</v>
      </c>
      <c r="J599" s="473">
        <v>0.36503333333333332</v>
      </c>
      <c r="K599" s="473">
        <v>0.44336666666666663</v>
      </c>
      <c r="L599" s="473">
        <v>0.58906666666666663</v>
      </c>
      <c r="M599" s="473">
        <v>0.48410000000000003</v>
      </c>
      <c r="N599" s="472">
        <f t="shared" si="30"/>
        <v>0.47039166666666665</v>
      </c>
      <c r="O599" s="473">
        <v>0.36503333333333332</v>
      </c>
      <c r="P599" s="473">
        <v>0.44336666666666663</v>
      </c>
      <c r="Q599" s="473">
        <v>0.58906666666666663</v>
      </c>
      <c r="R599" s="473">
        <v>0.48410000000000003</v>
      </c>
      <c r="S599" s="153">
        <v>0.01</v>
      </c>
      <c r="T599" s="153">
        <v>0.02</v>
      </c>
      <c r="U599" s="474">
        <v>1999</v>
      </c>
      <c r="V599">
        <v>2019</v>
      </c>
      <c r="W599">
        <v>0</v>
      </c>
      <c r="X599">
        <v>0</v>
      </c>
      <c r="Y599">
        <v>1315</v>
      </c>
      <c r="Z599">
        <v>361</v>
      </c>
      <c r="AA599" s="475" t="s">
        <v>24</v>
      </c>
    </row>
    <row r="600" spans="1:27" ht="15" hidden="1">
      <c r="A600" s="24">
        <v>1599</v>
      </c>
      <c r="B600" s="24">
        <v>1599</v>
      </c>
      <c r="C600" s="469" t="s">
        <v>994</v>
      </c>
      <c r="D600" t="s">
        <v>146</v>
      </c>
      <c r="E600" s="470">
        <v>1</v>
      </c>
      <c r="F600" s="471">
        <v>0</v>
      </c>
      <c r="G600">
        <v>1</v>
      </c>
      <c r="H600">
        <v>1</v>
      </c>
      <c r="I600" s="472">
        <f t="shared" si="29"/>
        <v>0.32845968612834514</v>
      </c>
      <c r="J600" s="153">
        <v>3.8473756479098807E-2</v>
      </c>
      <c r="K600" s="153">
        <v>0.39358026214566905</v>
      </c>
      <c r="L600" s="153">
        <v>0.53857526864315253</v>
      </c>
      <c r="M600" s="153">
        <v>0.3432094572454602</v>
      </c>
      <c r="N600" s="472">
        <f t="shared" si="30"/>
        <v>0.32845968612834514</v>
      </c>
      <c r="O600" s="153">
        <v>3.8473756479098807E-2</v>
      </c>
      <c r="P600" s="153">
        <v>0.39358026214566905</v>
      </c>
      <c r="Q600" s="153">
        <v>0.53857526864315253</v>
      </c>
      <c r="R600" s="153">
        <v>0.3432094572454602</v>
      </c>
      <c r="S600" s="153">
        <v>0.03</v>
      </c>
      <c r="T600" s="153">
        <v>0</v>
      </c>
      <c r="U600" s="474">
        <v>1900</v>
      </c>
      <c r="V600">
        <v>2030</v>
      </c>
      <c r="W600">
        <v>0</v>
      </c>
      <c r="X600">
        <v>0</v>
      </c>
      <c r="Y600">
        <v>1304</v>
      </c>
      <c r="Z600">
        <v>311</v>
      </c>
      <c r="AA600" s="475" t="s">
        <v>23</v>
      </c>
    </row>
    <row r="601" spans="1:27" ht="15" hidden="1">
      <c r="A601" s="24">
        <v>1600</v>
      </c>
      <c r="B601" s="24">
        <v>1600</v>
      </c>
      <c r="C601" s="469" t="s">
        <v>995</v>
      </c>
      <c r="D601" t="s">
        <v>146</v>
      </c>
      <c r="E601" s="470">
        <v>1</v>
      </c>
      <c r="F601" s="471">
        <v>29.814814814814813</v>
      </c>
      <c r="G601">
        <v>1</v>
      </c>
      <c r="H601">
        <v>1</v>
      </c>
      <c r="I601" s="472">
        <f t="shared" si="29"/>
        <v>0.32845968612834514</v>
      </c>
      <c r="J601" s="153">
        <v>3.8473756479098807E-2</v>
      </c>
      <c r="K601" s="153">
        <v>0.39358026214566905</v>
      </c>
      <c r="L601" s="153">
        <v>0.53857526864315253</v>
      </c>
      <c r="M601" s="153">
        <v>0.3432094572454602</v>
      </c>
      <c r="N601" s="472">
        <f t="shared" si="30"/>
        <v>0.32845968612834514</v>
      </c>
      <c r="O601" s="153">
        <v>3.8473756479098807E-2</v>
      </c>
      <c r="P601" s="153">
        <v>0.39358026214566905</v>
      </c>
      <c r="Q601" s="153">
        <v>0.53857526864315253</v>
      </c>
      <c r="R601" s="153">
        <v>0.3432094572454602</v>
      </c>
      <c r="S601" s="153">
        <v>0.03</v>
      </c>
      <c r="T601" s="153">
        <v>0</v>
      </c>
      <c r="U601" s="474">
        <v>2012</v>
      </c>
      <c r="V601">
        <v>2030</v>
      </c>
      <c r="W601">
        <v>0</v>
      </c>
      <c r="X601">
        <v>0</v>
      </c>
      <c r="Y601">
        <v>1304</v>
      </c>
      <c r="Z601">
        <v>311</v>
      </c>
      <c r="AA601" s="475" t="s">
        <v>23</v>
      </c>
    </row>
    <row r="602" spans="1:27" ht="15">
      <c r="A602" s="24">
        <v>1601</v>
      </c>
      <c r="B602" s="24">
        <v>1601</v>
      </c>
      <c r="C602" s="469" t="s">
        <v>996</v>
      </c>
      <c r="D602" t="s">
        <v>152</v>
      </c>
      <c r="E602" s="470">
        <v>3</v>
      </c>
      <c r="F602" s="471">
        <v>5</v>
      </c>
      <c r="G602">
        <v>1</v>
      </c>
      <c r="H602">
        <v>1</v>
      </c>
      <c r="I602" s="472">
        <f t="shared" si="29"/>
        <v>0.47039166666666665</v>
      </c>
      <c r="J602" s="473">
        <v>0.36503333333333332</v>
      </c>
      <c r="K602" s="473">
        <v>0.44336666666666663</v>
      </c>
      <c r="L602" s="473">
        <v>0.58906666666666663</v>
      </c>
      <c r="M602" s="473">
        <v>0.48410000000000003</v>
      </c>
      <c r="N602" s="472">
        <f t="shared" si="30"/>
        <v>0.47039166666666665</v>
      </c>
      <c r="O602" s="473">
        <v>0.36503333333333332</v>
      </c>
      <c r="P602" s="473">
        <v>0.44336666666666663</v>
      </c>
      <c r="Q602" s="473">
        <v>0.58906666666666663</v>
      </c>
      <c r="R602" s="473">
        <v>0.48410000000000003</v>
      </c>
      <c r="S602" s="153">
        <v>0.01</v>
      </c>
      <c r="T602" s="153">
        <v>0.02</v>
      </c>
      <c r="U602" s="474">
        <v>1999</v>
      </c>
      <c r="V602">
        <v>2019</v>
      </c>
      <c r="W602">
        <v>0</v>
      </c>
      <c r="X602">
        <v>0</v>
      </c>
      <c r="Y602">
        <v>1315</v>
      </c>
      <c r="Z602">
        <v>361</v>
      </c>
      <c r="AA602" s="475" t="s">
        <v>24</v>
      </c>
    </row>
    <row r="603" spans="1:27" ht="15" hidden="1">
      <c r="A603" s="24">
        <v>1602</v>
      </c>
      <c r="B603" s="24">
        <v>1602</v>
      </c>
      <c r="C603" s="469" t="s">
        <v>997</v>
      </c>
      <c r="D603" t="s">
        <v>146</v>
      </c>
      <c r="E603" s="470">
        <v>1</v>
      </c>
      <c r="F603" s="471">
        <v>0.1851851851851852</v>
      </c>
      <c r="G603">
        <v>1</v>
      </c>
      <c r="H603">
        <v>1</v>
      </c>
      <c r="I603" s="472">
        <f t="shared" si="29"/>
        <v>0.32845968612834514</v>
      </c>
      <c r="J603" s="153">
        <v>3.8473756479098807E-2</v>
      </c>
      <c r="K603" s="153">
        <v>0.39358026214566905</v>
      </c>
      <c r="L603" s="153">
        <v>0.53857526864315253</v>
      </c>
      <c r="M603" s="153">
        <v>0.3432094572454602</v>
      </c>
      <c r="N603" s="472">
        <f t="shared" si="30"/>
        <v>0.32845968612834514</v>
      </c>
      <c r="O603" s="153">
        <v>3.8473756479098807E-2</v>
      </c>
      <c r="P603" s="153">
        <v>0.39358026214566905</v>
      </c>
      <c r="Q603" s="153">
        <v>0.53857526864315253</v>
      </c>
      <c r="R603" s="153">
        <v>0.3432094572454602</v>
      </c>
      <c r="S603" s="153">
        <v>0.03</v>
      </c>
      <c r="T603" s="153">
        <v>0</v>
      </c>
      <c r="U603" s="474">
        <v>2014</v>
      </c>
      <c r="V603">
        <v>2035</v>
      </c>
      <c r="W603">
        <v>0</v>
      </c>
      <c r="X603">
        <v>0</v>
      </c>
      <c r="Y603">
        <v>1304</v>
      </c>
      <c r="Z603">
        <v>311</v>
      </c>
      <c r="AA603" s="475" t="s">
        <v>23</v>
      </c>
    </row>
    <row r="604" spans="1:27" ht="15">
      <c r="A604" s="24">
        <v>1603</v>
      </c>
      <c r="B604" s="24">
        <v>1603</v>
      </c>
      <c r="C604" s="469" t="s">
        <v>998</v>
      </c>
      <c r="D604" t="s">
        <v>152</v>
      </c>
      <c r="E604" s="470">
        <v>3</v>
      </c>
      <c r="F604" s="471">
        <v>5</v>
      </c>
      <c r="G604">
        <v>1</v>
      </c>
      <c r="H604">
        <v>1</v>
      </c>
      <c r="I604" s="472">
        <f t="shared" si="29"/>
        <v>0.47039166666666665</v>
      </c>
      <c r="J604" s="473">
        <v>0.36503333333333332</v>
      </c>
      <c r="K604" s="473">
        <v>0.44336666666666663</v>
      </c>
      <c r="L604" s="473">
        <v>0.58906666666666663</v>
      </c>
      <c r="M604" s="473">
        <v>0.48410000000000003</v>
      </c>
      <c r="N604" s="472">
        <f t="shared" si="30"/>
        <v>0.47039166666666665</v>
      </c>
      <c r="O604" s="473">
        <v>0.36503333333333332</v>
      </c>
      <c r="P604" s="473">
        <v>0.44336666666666663</v>
      </c>
      <c r="Q604" s="473">
        <v>0.58906666666666663</v>
      </c>
      <c r="R604" s="473">
        <v>0.48410000000000003</v>
      </c>
      <c r="S604" s="153">
        <v>0.01</v>
      </c>
      <c r="T604" s="153">
        <v>0.02</v>
      </c>
      <c r="U604" s="474">
        <v>1998</v>
      </c>
      <c r="V604">
        <v>2018</v>
      </c>
      <c r="W604">
        <v>0</v>
      </c>
      <c r="X604">
        <v>0</v>
      </c>
      <c r="Y604">
        <v>1315</v>
      </c>
      <c r="Z604">
        <v>361</v>
      </c>
      <c r="AA604" s="475" t="s">
        <v>24</v>
      </c>
    </row>
    <row r="605" spans="1:27" ht="15" hidden="1">
      <c r="A605" s="24">
        <v>1604</v>
      </c>
      <c r="B605" s="24">
        <v>1604</v>
      </c>
      <c r="C605" s="469" t="s">
        <v>999</v>
      </c>
      <c r="D605" t="s">
        <v>146</v>
      </c>
      <c r="E605" s="470">
        <v>1</v>
      </c>
      <c r="F605" s="471">
        <v>9.375</v>
      </c>
      <c r="G605">
        <v>1</v>
      </c>
      <c r="H605">
        <v>1</v>
      </c>
      <c r="I605" s="472">
        <f t="shared" si="29"/>
        <v>0.32845968612834514</v>
      </c>
      <c r="J605" s="153">
        <v>3.8473756479098807E-2</v>
      </c>
      <c r="K605" s="153">
        <v>0.39358026214566905</v>
      </c>
      <c r="L605" s="153">
        <v>0.53857526864315253</v>
      </c>
      <c r="M605" s="153">
        <v>0.3432094572454602</v>
      </c>
      <c r="N605" s="472">
        <f t="shared" si="30"/>
        <v>0.32845968612834514</v>
      </c>
      <c r="O605" s="153">
        <v>3.8473756479098807E-2</v>
      </c>
      <c r="P605" s="153">
        <v>0.39358026214566905</v>
      </c>
      <c r="Q605" s="153">
        <v>0.53857526864315253</v>
      </c>
      <c r="R605" s="153">
        <v>0.3432094572454602</v>
      </c>
      <c r="S605" s="153">
        <v>0.03</v>
      </c>
      <c r="T605" s="153">
        <v>0</v>
      </c>
      <c r="U605" s="474">
        <v>2010</v>
      </c>
      <c r="V605">
        <v>2023</v>
      </c>
      <c r="W605">
        <v>0</v>
      </c>
      <c r="X605">
        <v>0</v>
      </c>
      <c r="Y605">
        <v>1304</v>
      </c>
      <c r="Z605">
        <v>311</v>
      </c>
      <c r="AA605" s="475" t="s">
        <v>23</v>
      </c>
    </row>
    <row r="606" spans="1:27" ht="15" hidden="1">
      <c r="A606" s="24">
        <v>1605</v>
      </c>
      <c r="B606" s="24">
        <v>1605</v>
      </c>
      <c r="C606" s="469" t="s">
        <v>1000</v>
      </c>
      <c r="D606" t="s">
        <v>146</v>
      </c>
      <c r="E606" s="470">
        <v>1</v>
      </c>
      <c r="F606" s="471">
        <v>20.625</v>
      </c>
      <c r="G606">
        <v>1</v>
      </c>
      <c r="H606">
        <v>1</v>
      </c>
      <c r="I606" s="472">
        <f t="shared" si="29"/>
        <v>0.32845968612834514</v>
      </c>
      <c r="J606" s="153">
        <v>3.8473756479098807E-2</v>
      </c>
      <c r="K606" s="153">
        <v>0.39358026214566905</v>
      </c>
      <c r="L606" s="153">
        <v>0.53857526864315253</v>
      </c>
      <c r="M606" s="153">
        <v>0.3432094572454602</v>
      </c>
      <c r="N606" s="472">
        <f t="shared" si="30"/>
        <v>0.32845968612834514</v>
      </c>
      <c r="O606" s="153">
        <v>3.8473756479098807E-2</v>
      </c>
      <c r="P606" s="153">
        <v>0.39358026214566905</v>
      </c>
      <c r="Q606" s="153">
        <v>0.53857526864315253</v>
      </c>
      <c r="R606" s="153">
        <v>0.3432094572454602</v>
      </c>
      <c r="S606" s="153">
        <v>0.03</v>
      </c>
      <c r="T606" s="153">
        <v>0</v>
      </c>
      <c r="U606" s="474">
        <v>2010</v>
      </c>
      <c r="V606">
        <v>2023</v>
      </c>
      <c r="W606">
        <v>0</v>
      </c>
      <c r="X606">
        <v>0</v>
      </c>
      <c r="Y606">
        <v>1304</v>
      </c>
      <c r="Z606">
        <v>311</v>
      </c>
      <c r="AA606" s="475" t="s">
        <v>23</v>
      </c>
    </row>
    <row r="607" spans="1:27" ht="15" hidden="1">
      <c r="A607" s="24">
        <v>1606</v>
      </c>
      <c r="B607" s="24">
        <v>1606</v>
      </c>
      <c r="C607" s="469" t="s">
        <v>1001</v>
      </c>
      <c r="D607" t="s">
        <v>149</v>
      </c>
      <c r="E607" s="470">
        <v>2</v>
      </c>
      <c r="F607" s="471">
        <v>27.675000000000001</v>
      </c>
      <c r="G607">
        <v>1</v>
      </c>
      <c r="H607">
        <v>1</v>
      </c>
      <c r="I607" s="472">
        <f t="shared" si="29"/>
        <v>0.40033333333333337</v>
      </c>
      <c r="J607" s="153">
        <v>0.3706666666666667</v>
      </c>
      <c r="K607" s="153">
        <v>0.3666666666666667</v>
      </c>
      <c r="L607" s="153">
        <v>0.44799999999999995</v>
      </c>
      <c r="M607" s="153">
        <v>0.41600000000000009</v>
      </c>
      <c r="N607" s="472">
        <f t="shared" si="30"/>
        <v>0.40033333333333337</v>
      </c>
      <c r="O607" s="153">
        <v>0.3706666666666667</v>
      </c>
      <c r="P607" s="153">
        <v>0.3666666666666667</v>
      </c>
      <c r="Q607" s="153">
        <v>0.44799999999999995</v>
      </c>
      <c r="R607" s="153">
        <v>0.41600000000000009</v>
      </c>
      <c r="S607" s="153">
        <v>0.01</v>
      </c>
      <c r="T607" s="153">
        <v>0.02</v>
      </c>
      <c r="U607" s="474">
        <v>2014</v>
      </c>
      <c r="V607">
        <v>2034</v>
      </c>
      <c r="W607">
        <v>0</v>
      </c>
      <c r="X607">
        <v>0</v>
      </c>
      <c r="Y607">
        <v>1315</v>
      </c>
      <c r="Z607">
        <v>360</v>
      </c>
      <c r="AA607" s="475" t="s">
        <v>24</v>
      </c>
    </row>
    <row r="608" spans="1:27" ht="15" hidden="1">
      <c r="A608" s="24">
        <v>1607</v>
      </c>
      <c r="B608" s="24">
        <v>1607</v>
      </c>
      <c r="C608" s="469" t="s">
        <v>1002</v>
      </c>
      <c r="D608" t="s">
        <v>146</v>
      </c>
      <c r="E608" s="470">
        <v>1</v>
      </c>
      <c r="F608" s="471">
        <v>23.999961000000006</v>
      </c>
      <c r="G608">
        <v>1</v>
      </c>
      <c r="H608">
        <v>1</v>
      </c>
      <c r="I608" s="472">
        <f t="shared" si="29"/>
        <v>0.32845968612834514</v>
      </c>
      <c r="J608" s="153">
        <v>3.8473756479098807E-2</v>
      </c>
      <c r="K608" s="153">
        <v>0.39358026214566905</v>
      </c>
      <c r="L608" s="153">
        <v>0.53857526864315253</v>
      </c>
      <c r="M608" s="153">
        <v>0.3432094572454602</v>
      </c>
      <c r="N608" s="472">
        <f t="shared" si="30"/>
        <v>0.32845968612834514</v>
      </c>
      <c r="O608" s="153">
        <v>3.8473756479098807E-2</v>
      </c>
      <c r="P608" s="153">
        <v>0.39358026214566905</v>
      </c>
      <c r="Q608" s="153">
        <v>0.53857526864315253</v>
      </c>
      <c r="R608" s="153">
        <v>0.3432094572454602</v>
      </c>
      <c r="S608" s="153">
        <v>0.03</v>
      </c>
      <c r="T608" s="153">
        <v>0</v>
      </c>
      <c r="U608" s="474">
        <v>2012</v>
      </c>
      <c r="V608">
        <v>2030</v>
      </c>
      <c r="W608">
        <v>0</v>
      </c>
      <c r="X608">
        <v>0</v>
      </c>
      <c r="Y608">
        <v>1304</v>
      </c>
      <c r="Z608">
        <v>311</v>
      </c>
      <c r="AA608" s="475" t="s">
        <v>23</v>
      </c>
    </row>
    <row r="609" spans="1:27" ht="15">
      <c r="A609" s="24">
        <v>1608</v>
      </c>
      <c r="B609" s="24">
        <v>1608</v>
      </c>
      <c r="C609" s="469" t="s">
        <v>1003</v>
      </c>
      <c r="D609" t="s">
        <v>152</v>
      </c>
      <c r="E609" s="470">
        <v>3</v>
      </c>
      <c r="F609" s="471">
        <v>4.25</v>
      </c>
      <c r="G609">
        <v>1</v>
      </c>
      <c r="H609">
        <v>1</v>
      </c>
      <c r="I609" s="472">
        <f t="shared" si="29"/>
        <v>0.47039166666666665</v>
      </c>
      <c r="J609" s="473">
        <v>0.36503333333333332</v>
      </c>
      <c r="K609" s="473">
        <v>0.44336666666666663</v>
      </c>
      <c r="L609" s="473">
        <v>0.58906666666666663</v>
      </c>
      <c r="M609" s="473">
        <v>0.48410000000000003</v>
      </c>
      <c r="N609" s="472">
        <f t="shared" si="30"/>
        <v>0.47039166666666665</v>
      </c>
      <c r="O609" s="473">
        <v>0.36503333333333332</v>
      </c>
      <c r="P609" s="473">
        <v>0.44336666666666663</v>
      </c>
      <c r="Q609" s="473">
        <v>0.58906666666666663</v>
      </c>
      <c r="R609" s="473">
        <v>0.48410000000000003</v>
      </c>
      <c r="S609" s="153">
        <v>0.01</v>
      </c>
      <c r="T609" s="153">
        <v>0.02</v>
      </c>
      <c r="U609" s="474">
        <v>2010</v>
      </c>
      <c r="V609">
        <v>2030</v>
      </c>
      <c r="W609">
        <v>0</v>
      </c>
      <c r="X609">
        <v>0</v>
      </c>
      <c r="Y609">
        <v>1315</v>
      </c>
      <c r="Z609">
        <v>361</v>
      </c>
      <c r="AA609" s="475" t="s">
        <v>24</v>
      </c>
    </row>
    <row r="610" spans="1:27" ht="15" hidden="1">
      <c r="A610" s="24">
        <v>1609</v>
      </c>
      <c r="B610" s="24">
        <v>1609</v>
      </c>
      <c r="C610" s="476" t="s">
        <v>1004</v>
      </c>
      <c r="D610" t="s">
        <v>152</v>
      </c>
      <c r="E610" s="477">
        <v>3</v>
      </c>
      <c r="F610" s="471">
        <v>23.7</v>
      </c>
      <c r="G610">
        <v>1</v>
      </c>
      <c r="H610">
        <v>1</v>
      </c>
      <c r="I610" s="472">
        <f t="shared" si="29"/>
        <v>0.47039166666666665</v>
      </c>
      <c r="J610" s="473">
        <v>0.36503333333333332</v>
      </c>
      <c r="K610" s="473">
        <v>0.44336666666666663</v>
      </c>
      <c r="L610" s="473">
        <v>0.58906666666666663</v>
      </c>
      <c r="M610" s="473">
        <v>0.48410000000000003</v>
      </c>
      <c r="N610" s="472">
        <f t="shared" si="30"/>
        <v>0.47039166666666665</v>
      </c>
      <c r="O610" s="473">
        <v>0.36503333333333332</v>
      </c>
      <c r="P610" s="473">
        <v>0.44336666666666663</v>
      </c>
      <c r="Q610" s="473">
        <v>0.58906666666666663</v>
      </c>
      <c r="R610" s="473">
        <v>0.48410000000000003</v>
      </c>
      <c r="S610" s="153">
        <v>0.01</v>
      </c>
      <c r="T610" s="153">
        <v>0.02</v>
      </c>
      <c r="U610" s="478">
        <v>2018</v>
      </c>
      <c r="V610" s="24">
        <f t="shared" ref="V610:V615" si="31">U610+20</f>
        <v>2038</v>
      </c>
      <c r="W610">
        <v>0</v>
      </c>
      <c r="X610">
        <v>0</v>
      </c>
      <c r="Y610">
        <v>1315</v>
      </c>
      <c r="Z610">
        <v>361</v>
      </c>
      <c r="AA610" s="475" t="s">
        <v>24</v>
      </c>
    </row>
    <row r="611" spans="1:27" ht="15" hidden="1">
      <c r="A611" s="24">
        <v>1610</v>
      </c>
      <c r="B611" s="24">
        <v>1610</v>
      </c>
      <c r="C611" s="476" t="s">
        <v>1005</v>
      </c>
      <c r="D611" t="s">
        <v>152</v>
      </c>
      <c r="E611" s="477">
        <v>3</v>
      </c>
      <c r="F611" s="471">
        <v>16.2</v>
      </c>
      <c r="G611">
        <v>1</v>
      </c>
      <c r="H611">
        <v>1</v>
      </c>
      <c r="I611" s="472">
        <f t="shared" si="29"/>
        <v>0.47039166666666665</v>
      </c>
      <c r="J611" s="473">
        <v>0.36503333333333332</v>
      </c>
      <c r="K611" s="473">
        <v>0.44336666666666663</v>
      </c>
      <c r="L611" s="473">
        <v>0.58906666666666663</v>
      </c>
      <c r="M611" s="473">
        <v>0.48410000000000003</v>
      </c>
      <c r="N611" s="472">
        <f t="shared" si="30"/>
        <v>0.47039166666666665</v>
      </c>
      <c r="O611" s="473">
        <v>0.36503333333333332</v>
      </c>
      <c r="P611" s="473">
        <v>0.44336666666666663</v>
      </c>
      <c r="Q611" s="473">
        <v>0.58906666666666663</v>
      </c>
      <c r="R611" s="473">
        <v>0.48410000000000003</v>
      </c>
      <c r="S611" s="153">
        <v>0.01</v>
      </c>
      <c r="T611" s="153">
        <v>0.02</v>
      </c>
      <c r="U611" s="478">
        <v>2018</v>
      </c>
      <c r="V611" s="24">
        <f t="shared" si="31"/>
        <v>2038</v>
      </c>
      <c r="W611">
        <v>0</v>
      </c>
      <c r="X611">
        <v>0</v>
      </c>
      <c r="Y611">
        <v>1315</v>
      </c>
      <c r="Z611">
        <v>361</v>
      </c>
      <c r="AA611" s="475" t="s">
        <v>24</v>
      </c>
    </row>
    <row r="612" spans="1:27" ht="15" hidden="1">
      <c r="A612" s="24">
        <v>1611</v>
      </c>
      <c r="B612" s="24">
        <v>1611</v>
      </c>
      <c r="C612" s="476" t="s">
        <v>1006</v>
      </c>
      <c r="D612" t="s">
        <v>152</v>
      </c>
      <c r="E612" s="477">
        <v>3</v>
      </c>
      <c r="F612" s="471">
        <v>27</v>
      </c>
      <c r="G612">
        <v>1</v>
      </c>
      <c r="H612">
        <v>1</v>
      </c>
      <c r="I612" s="472">
        <f t="shared" si="29"/>
        <v>0.26420000000000005</v>
      </c>
      <c r="J612" s="33">
        <v>0.29123333333333334</v>
      </c>
      <c r="K612" s="33">
        <f>0.296266666666667-0.07</f>
        <v>0.226266666666667</v>
      </c>
      <c r="L612" s="33">
        <f>0.3193-0.07</f>
        <v>0.24929999999999997</v>
      </c>
      <c r="M612" s="33">
        <v>0.28999999999999998</v>
      </c>
      <c r="N612" s="472">
        <f t="shared" si="30"/>
        <v>0.26420000000000005</v>
      </c>
      <c r="O612" s="33">
        <v>0.29123333333333334</v>
      </c>
      <c r="P612" s="33">
        <f>0.296266666666667-0.07</f>
        <v>0.226266666666667</v>
      </c>
      <c r="Q612" s="33">
        <f>0.3193-0.07</f>
        <v>0.24929999999999997</v>
      </c>
      <c r="R612" s="33">
        <v>0.28999999999999998</v>
      </c>
      <c r="S612" s="153">
        <v>0.04</v>
      </c>
      <c r="T612" s="153">
        <v>0</v>
      </c>
      <c r="U612" s="478">
        <v>2017</v>
      </c>
      <c r="V612" s="24">
        <f t="shared" si="31"/>
        <v>2037</v>
      </c>
      <c r="W612">
        <v>0</v>
      </c>
      <c r="X612">
        <v>0</v>
      </c>
      <c r="Y612">
        <v>1315</v>
      </c>
      <c r="Z612">
        <v>347</v>
      </c>
      <c r="AA612" s="475" t="s">
        <v>25</v>
      </c>
    </row>
    <row r="613" spans="1:27" ht="15" hidden="1">
      <c r="A613" s="24">
        <v>1612</v>
      </c>
      <c r="B613" s="24">
        <v>1612</v>
      </c>
      <c r="C613" s="476" t="s">
        <v>1007</v>
      </c>
      <c r="D613" t="s">
        <v>152</v>
      </c>
      <c r="E613" s="477">
        <v>3</v>
      </c>
      <c r="F613" s="471">
        <v>12</v>
      </c>
      <c r="G613">
        <v>1</v>
      </c>
      <c r="H613">
        <v>1</v>
      </c>
      <c r="I613" s="472">
        <f t="shared" si="29"/>
        <v>0.47039166666666665</v>
      </c>
      <c r="J613" s="473">
        <v>0.36503333333333332</v>
      </c>
      <c r="K613" s="473">
        <v>0.44336666666666663</v>
      </c>
      <c r="L613" s="473">
        <v>0.58906666666666663</v>
      </c>
      <c r="M613" s="473">
        <v>0.48410000000000003</v>
      </c>
      <c r="N613" s="472">
        <f t="shared" si="30"/>
        <v>0.47039166666666665</v>
      </c>
      <c r="O613" s="473">
        <v>0.36503333333333332</v>
      </c>
      <c r="P613" s="473">
        <v>0.44336666666666663</v>
      </c>
      <c r="Q613" s="473">
        <v>0.58906666666666663</v>
      </c>
      <c r="R613" s="473">
        <v>0.48410000000000003</v>
      </c>
      <c r="S613" s="153">
        <v>0.01</v>
      </c>
      <c r="T613" s="153">
        <v>0.02</v>
      </c>
      <c r="U613" s="478">
        <v>2018</v>
      </c>
      <c r="V613" s="24">
        <f t="shared" si="31"/>
        <v>2038</v>
      </c>
      <c r="W613">
        <v>0</v>
      </c>
      <c r="X613">
        <v>0</v>
      </c>
      <c r="Y613">
        <v>1315</v>
      </c>
      <c r="Z613">
        <v>361</v>
      </c>
      <c r="AA613" s="475" t="s">
        <v>24</v>
      </c>
    </row>
    <row r="614" spans="1:27" ht="15" hidden="1">
      <c r="A614" s="24">
        <v>1613</v>
      </c>
      <c r="B614" s="24">
        <v>1613</v>
      </c>
      <c r="C614" s="476" t="s">
        <v>1008</v>
      </c>
      <c r="D614" t="s">
        <v>152</v>
      </c>
      <c r="E614" s="477">
        <v>3</v>
      </c>
      <c r="F614" s="471">
        <v>13.5</v>
      </c>
      <c r="G614">
        <v>1</v>
      </c>
      <c r="H614">
        <v>1</v>
      </c>
      <c r="I614" s="472">
        <f t="shared" si="29"/>
        <v>0.47039166666666665</v>
      </c>
      <c r="J614" s="473">
        <v>0.36503333333333332</v>
      </c>
      <c r="K614" s="473">
        <v>0.44336666666666663</v>
      </c>
      <c r="L614" s="473">
        <v>0.58906666666666663</v>
      </c>
      <c r="M614" s="473">
        <v>0.48410000000000003</v>
      </c>
      <c r="N614" s="472">
        <f t="shared" si="30"/>
        <v>0.47039166666666665</v>
      </c>
      <c r="O614" s="473">
        <v>0.36503333333333332</v>
      </c>
      <c r="P614" s="473">
        <v>0.44336666666666663</v>
      </c>
      <c r="Q614" s="473">
        <v>0.58906666666666663</v>
      </c>
      <c r="R614" s="473">
        <v>0.48410000000000003</v>
      </c>
      <c r="S614" s="153">
        <v>0.01</v>
      </c>
      <c r="T614" s="153">
        <v>0.02</v>
      </c>
      <c r="U614" s="478">
        <v>2018</v>
      </c>
      <c r="V614" s="24">
        <f t="shared" si="31"/>
        <v>2038</v>
      </c>
      <c r="W614">
        <v>0</v>
      </c>
      <c r="X614">
        <v>0</v>
      </c>
      <c r="Y614">
        <v>1315</v>
      </c>
      <c r="Z614">
        <v>361</v>
      </c>
      <c r="AA614" s="475" t="s">
        <v>24</v>
      </c>
    </row>
    <row r="615" spans="1:27" ht="15" hidden="1">
      <c r="A615" s="24">
        <v>1614</v>
      </c>
      <c r="B615" s="24">
        <v>1614</v>
      </c>
      <c r="C615" s="476" t="s">
        <v>1009</v>
      </c>
      <c r="D615" t="s">
        <v>152</v>
      </c>
      <c r="E615" s="477">
        <v>3</v>
      </c>
      <c r="F615" s="471">
        <v>21.6</v>
      </c>
      <c r="G615">
        <v>1</v>
      </c>
      <c r="H615">
        <v>1</v>
      </c>
      <c r="I615" s="472">
        <f t="shared" si="29"/>
        <v>0.47039166666666665</v>
      </c>
      <c r="J615" s="473">
        <v>0.36503333333333332</v>
      </c>
      <c r="K615" s="473">
        <v>0.44336666666666663</v>
      </c>
      <c r="L615" s="473">
        <v>0.58906666666666663</v>
      </c>
      <c r="M615" s="473">
        <v>0.48410000000000003</v>
      </c>
      <c r="N615" s="472">
        <f t="shared" si="30"/>
        <v>0.47039166666666665</v>
      </c>
      <c r="O615" s="473">
        <v>0.36503333333333332</v>
      </c>
      <c r="P615" s="473">
        <v>0.44336666666666663</v>
      </c>
      <c r="Q615" s="473">
        <v>0.58906666666666663</v>
      </c>
      <c r="R615" s="473">
        <v>0.48410000000000003</v>
      </c>
      <c r="S615" s="153">
        <v>0.01</v>
      </c>
      <c r="T615" s="153">
        <v>0.02</v>
      </c>
      <c r="U615" s="478">
        <v>2018</v>
      </c>
      <c r="V615" s="24">
        <f t="shared" si="31"/>
        <v>2038</v>
      </c>
      <c r="W615">
        <v>0</v>
      </c>
      <c r="X615">
        <v>0</v>
      </c>
      <c r="Y615">
        <v>1315</v>
      </c>
      <c r="Z615">
        <v>361</v>
      </c>
      <c r="AA615" s="475" t="s">
        <v>24</v>
      </c>
    </row>
    <row r="616" spans="1:27" ht="15" hidden="1">
      <c r="A616" s="24">
        <v>1615</v>
      </c>
      <c r="B616" s="24">
        <v>1615</v>
      </c>
      <c r="C616" s="469" t="s">
        <v>1010</v>
      </c>
      <c r="D616" t="s">
        <v>146</v>
      </c>
      <c r="E616" s="470">
        <v>1</v>
      </c>
      <c r="F616" s="471">
        <v>60.000038999999994</v>
      </c>
      <c r="G616">
        <v>1</v>
      </c>
      <c r="H616">
        <v>1</v>
      </c>
      <c r="I616" s="472">
        <f t="shared" si="29"/>
        <v>0.32845968612834514</v>
      </c>
      <c r="J616" s="153">
        <v>3.8473756479098807E-2</v>
      </c>
      <c r="K616" s="153">
        <v>0.39358026214566905</v>
      </c>
      <c r="L616" s="153">
        <v>0.53857526864315253</v>
      </c>
      <c r="M616" s="153">
        <v>0.3432094572454602</v>
      </c>
      <c r="N616" s="472">
        <f t="shared" si="30"/>
        <v>0.32845968612834514</v>
      </c>
      <c r="O616" s="153">
        <v>3.8473756479098807E-2</v>
      </c>
      <c r="P616" s="153">
        <v>0.39358026214566905</v>
      </c>
      <c r="Q616" s="153">
        <v>0.53857526864315253</v>
      </c>
      <c r="R616" s="153">
        <v>0.3432094572454602</v>
      </c>
      <c r="S616" s="153">
        <v>0.03</v>
      </c>
      <c r="T616" s="153">
        <v>0</v>
      </c>
      <c r="U616" s="474">
        <v>2010</v>
      </c>
      <c r="V616">
        <v>2023</v>
      </c>
      <c r="W616">
        <v>0</v>
      </c>
      <c r="X616">
        <v>0</v>
      </c>
      <c r="Y616">
        <v>1304</v>
      </c>
      <c r="Z616">
        <v>311</v>
      </c>
      <c r="AA616" s="475" t="s">
        <v>23</v>
      </c>
    </row>
    <row r="617" spans="1:27" ht="15" hidden="1">
      <c r="A617" s="24">
        <v>1616</v>
      </c>
      <c r="B617" s="24">
        <v>1616</v>
      </c>
      <c r="C617" s="469" t="s">
        <v>1011</v>
      </c>
      <c r="D617" t="s">
        <v>146</v>
      </c>
      <c r="E617" s="470">
        <v>1</v>
      </c>
      <c r="F617" s="471">
        <v>12</v>
      </c>
      <c r="G617">
        <v>1</v>
      </c>
      <c r="H617">
        <v>1</v>
      </c>
      <c r="I617" s="472">
        <f t="shared" si="29"/>
        <v>0.32845968612834514</v>
      </c>
      <c r="J617" s="153">
        <v>3.8473756479098807E-2</v>
      </c>
      <c r="K617" s="153">
        <v>0.39358026214566905</v>
      </c>
      <c r="L617" s="153">
        <v>0.53857526864315253</v>
      </c>
      <c r="M617" s="153">
        <v>0.3432094572454602</v>
      </c>
      <c r="N617" s="472">
        <f t="shared" si="30"/>
        <v>0.32845968612834514</v>
      </c>
      <c r="O617" s="153">
        <v>3.8473756479098807E-2</v>
      </c>
      <c r="P617" s="153">
        <v>0.39358026214566905</v>
      </c>
      <c r="Q617" s="153">
        <v>0.53857526864315253</v>
      </c>
      <c r="R617" s="153">
        <v>0.3432094572454602</v>
      </c>
      <c r="S617" s="153">
        <v>0.03</v>
      </c>
      <c r="T617" s="153">
        <v>0</v>
      </c>
      <c r="U617" s="474">
        <v>2008</v>
      </c>
      <c r="V617">
        <v>2023</v>
      </c>
      <c r="W617">
        <v>0</v>
      </c>
      <c r="X617">
        <v>0</v>
      </c>
      <c r="Y617">
        <v>1304</v>
      </c>
      <c r="Z617">
        <v>311</v>
      </c>
      <c r="AA617" s="475" t="s">
        <v>23</v>
      </c>
    </row>
    <row r="618" spans="1:27" ht="15" hidden="1">
      <c r="A618" s="24">
        <v>1617</v>
      </c>
      <c r="B618" s="24">
        <v>1617</v>
      </c>
      <c r="C618" s="476" t="s">
        <v>1012</v>
      </c>
      <c r="D618" t="s">
        <v>152</v>
      </c>
      <c r="E618" s="477">
        <v>3</v>
      </c>
      <c r="F618" s="471">
        <v>14</v>
      </c>
      <c r="G618">
        <v>1</v>
      </c>
      <c r="H618">
        <v>1</v>
      </c>
      <c r="I618" s="472">
        <f t="shared" si="29"/>
        <v>0.47039166666666665</v>
      </c>
      <c r="J618" s="473">
        <v>0.36503333333333332</v>
      </c>
      <c r="K618" s="473">
        <v>0.44336666666666663</v>
      </c>
      <c r="L618" s="473">
        <v>0.58906666666666663</v>
      </c>
      <c r="M618" s="473">
        <v>0.48410000000000003</v>
      </c>
      <c r="N618" s="472">
        <f t="shared" si="30"/>
        <v>0.47039166666666665</v>
      </c>
      <c r="O618" s="473">
        <v>0.36503333333333332</v>
      </c>
      <c r="P618" s="473">
        <v>0.44336666666666663</v>
      </c>
      <c r="Q618" s="473">
        <v>0.58906666666666663</v>
      </c>
      <c r="R618" s="473">
        <v>0.48410000000000003</v>
      </c>
      <c r="S618" s="153">
        <v>0.01</v>
      </c>
      <c r="T618" s="153">
        <v>0.02</v>
      </c>
      <c r="U618" s="478">
        <v>2018</v>
      </c>
      <c r="V618" s="24">
        <f t="shared" ref="V618:V622" si="32">U618+20</f>
        <v>2038</v>
      </c>
      <c r="W618">
        <v>0</v>
      </c>
      <c r="X618">
        <v>0</v>
      </c>
      <c r="Y618">
        <v>1315</v>
      </c>
      <c r="Z618">
        <v>361</v>
      </c>
      <c r="AA618" s="475" t="s">
        <v>24</v>
      </c>
    </row>
    <row r="619" spans="1:27" ht="15" hidden="1">
      <c r="A619" s="24">
        <v>1618</v>
      </c>
      <c r="B619" s="24">
        <v>1618</v>
      </c>
      <c r="C619" s="476" t="s">
        <v>1013</v>
      </c>
      <c r="D619" t="s">
        <v>152</v>
      </c>
      <c r="E619" s="477">
        <v>3</v>
      </c>
      <c r="F619" s="471">
        <v>12.95</v>
      </c>
      <c r="G619">
        <v>1</v>
      </c>
      <c r="H619">
        <v>1</v>
      </c>
      <c r="I619" s="472">
        <f t="shared" si="29"/>
        <v>0.47039166666666665</v>
      </c>
      <c r="J619" s="473">
        <v>0.36503333333333332</v>
      </c>
      <c r="K619" s="473">
        <v>0.44336666666666663</v>
      </c>
      <c r="L619" s="473">
        <v>0.58906666666666663</v>
      </c>
      <c r="M619" s="473">
        <v>0.48410000000000003</v>
      </c>
      <c r="N619" s="472">
        <f t="shared" si="30"/>
        <v>0.47039166666666665</v>
      </c>
      <c r="O619" s="473">
        <v>0.36503333333333332</v>
      </c>
      <c r="P619" s="473">
        <v>0.44336666666666663</v>
      </c>
      <c r="Q619" s="473">
        <v>0.58906666666666663</v>
      </c>
      <c r="R619" s="473">
        <v>0.48410000000000003</v>
      </c>
      <c r="S619" s="153">
        <v>0.01</v>
      </c>
      <c r="T619" s="153">
        <v>0.02</v>
      </c>
      <c r="U619" s="478">
        <v>2016</v>
      </c>
      <c r="V619" s="24">
        <f t="shared" si="32"/>
        <v>2036</v>
      </c>
      <c r="W619">
        <v>0</v>
      </c>
      <c r="X619">
        <v>0</v>
      </c>
      <c r="Y619">
        <v>1315</v>
      </c>
      <c r="Z619">
        <v>361</v>
      </c>
      <c r="AA619" s="475" t="s">
        <v>24</v>
      </c>
    </row>
    <row r="620" spans="1:27" ht="15" hidden="1">
      <c r="A620" s="24">
        <v>1619</v>
      </c>
      <c r="B620" s="24">
        <v>1619</v>
      </c>
      <c r="C620" s="476" t="s">
        <v>1014</v>
      </c>
      <c r="D620" t="s">
        <v>152</v>
      </c>
      <c r="E620" s="477">
        <v>3</v>
      </c>
      <c r="F620" s="471">
        <v>8.1</v>
      </c>
      <c r="G620">
        <v>1</v>
      </c>
      <c r="H620">
        <v>1</v>
      </c>
      <c r="I620" s="472">
        <f t="shared" si="29"/>
        <v>0.47039166666666665</v>
      </c>
      <c r="J620" s="473">
        <v>0.36503333333333332</v>
      </c>
      <c r="K620" s="473">
        <v>0.44336666666666663</v>
      </c>
      <c r="L620" s="473">
        <v>0.58906666666666663</v>
      </c>
      <c r="M620" s="473">
        <v>0.48410000000000003</v>
      </c>
      <c r="N620" s="472">
        <f t="shared" si="30"/>
        <v>0.47039166666666665</v>
      </c>
      <c r="O620" s="473">
        <v>0.36503333333333332</v>
      </c>
      <c r="P620" s="473">
        <v>0.44336666666666663</v>
      </c>
      <c r="Q620" s="473">
        <v>0.58906666666666663</v>
      </c>
      <c r="R620" s="473">
        <v>0.48410000000000003</v>
      </c>
      <c r="S620" s="153">
        <v>0.01</v>
      </c>
      <c r="T620" s="153">
        <v>0.02</v>
      </c>
      <c r="U620" s="478">
        <v>2018</v>
      </c>
      <c r="V620" s="24">
        <f t="shared" si="32"/>
        <v>2038</v>
      </c>
      <c r="W620">
        <v>0</v>
      </c>
      <c r="X620">
        <v>0</v>
      </c>
      <c r="Y620">
        <v>1315</v>
      </c>
      <c r="Z620">
        <v>361</v>
      </c>
      <c r="AA620" s="475" t="s">
        <v>24</v>
      </c>
    </row>
    <row r="621" spans="1:27" ht="15" hidden="1">
      <c r="A621" s="24">
        <v>1620</v>
      </c>
      <c r="B621" s="24">
        <v>1620</v>
      </c>
      <c r="C621" s="476" t="s">
        <v>1015</v>
      </c>
      <c r="D621" t="s">
        <v>152</v>
      </c>
      <c r="E621" s="477">
        <v>3</v>
      </c>
      <c r="F621" s="471">
        <v>10</v>
      </c>
      <c r="G621">
        <v>1</v>
      </c>
      <c r="H621">
        <v>1</v>
      </c>
      <c r="I621" s="472">
        <f t="shared" si="29"/>
        <v>0.47039166666666665</v>
      </c>
      <c r="J621" s="473">
        <v>0.36503333333333332</v>
      </c>
      <c r="K621" s="473">
        <v>0.44336666666666663</v>
      </c>
      <c r="L621" s="473">
        <v>0.58906666666666663</v>
      </c>
      <c r="M621" s="473">
        <v>0.48410000000000003</v>
      </c>
      <c r="N621" s="472">
        <f t="shared" si="30"/>
        <v>0.47039166666666665</v>
      </c>
      <c r="O621" s="473">
        <v>0.36503333333333332</v>
      </c>
      <c r="P621" s="473">
        <v>0.44336666666666663</v>
      </c>
      <c r="Q621" s="473">
        <v>0.58906666666666663</v>
      </c>
      <c r="R621" s="473">
        <v>0.48410000000000003</v>
      </c>
      <c r="S621" s="153">
        <v>0.01</v>
      </c>
      <c r="T621" s="153">
        <v>0.02</v>
      </c>
      <c r="U621" s="478">
        <v>2018</v>
      </c>
      <c r="V621" s="24">
        <f t="shared" si="32"/>
        <v>2038</v>
      </c>
      <c r="W621">
        <v>0</v>
      </c>
      <c r="X621">
        <v>0</v>
      </c>
      <c r="Y621">
        <v>1315</v>
      </c>
      <c r="Z621">
        <v>361</v>
      </c>
      <c r="AA621" s="475" t="s">
        <v>24</v>
      </c>
    </row>
    <row r="622" spans="1:27" ht="15" hidden="1">
      <c r="A622" s="24">
        <v>1621</v>
      </c>
      <c r="B622" s="24">
        <v>1621</v>
      </c>
      <c r="C622" s="476" t="s">
        <v>1016</v>
      </c>
      <c r="D622" t="s">
        <v>152</v>
      </c>
      <c r="E622" s="477">
        <v>3</v>
      </c>
      <c r="F622" s="471">
        <v>27.5</v>
      </c>
      <c r="G622">
        <v>1</v>
      </c>
      <c r="H622">
        <v>1</v>
      </c>
      <c r="I622" s="472">
        <f t="shared" si="29"/>
        <v>0.47039166666666665</v>
      </c>
      <c r="J622" s="473">
        <v>0.36503333333333332</v>
      </c>
      <c r="K622" s="473">
        <v>0.44336666666666663</v>
      </c>
      <c r="L622" s="473">
        <v>0.58906666666666663</v>
      </c>
      <c r="M622" s="473">
        <v>0.48410000000000003</v>
      </c>
      <c r="N622" s="472">
        <f t="shared" si="30"/>
        <v>0.47039166666666665</v>
      </c>
      <c r="O622" s="473">
        <v>0.36503333333333332</v>
      </c>
      <c r="P622" s="473">
        <v>0.44336666666666663</v>
      </c>
      <c r="Q622" s="473">
        <v>0.58906666666666663</v>
      </c>
      <c r="R622" s="473">
        <v>0.48410000000000003</v>
      </c>
      <c r="S622" s="153">
        <v>0.01</v>
      </c>
      <c r="T622" s="153">
        <v>0.02</v>
      </c>
      <c r="U622" s="478">
        <v>2018</v>
      </c>
      <c r="V622" s="24">
        <f t="shared" si="32"/>
        <v>2038</v>
      </c>
      <c r="W622">
        <v>0</v>
      </c>
      <c r="X622">
        <v>0</v>
      </c>
      <c r="Y622">
        <v>1315</v>
      </c>
      <c r="Z622">
        <v>361</v>
      </c>
      <c r="AA622" s="475" t="s">
        <v>24</v>
      </c>
    </row>
    <row r="623" spans="1:27" ht="15" hidden="1">
      <c r="A623" s="24">
        <v>1622</v>
      </c>
      <c r="B623" s="24">
        <v>1622</v>
      </c>
      <c r="C623" s="469" t="s">
        <v>1017</v>
      </c>
      <c r="D623" t="s">
        <v>146</v>
      </c>
      <c r="E623" s="470">
        <v>1</v>
      </c>
      <c r="F623" s="471">
        <v>0</v>
      </c>
      <c r="G623">
        <v>1</v>
      </c>
      <c r="H623">
        <v>1</v>
      </c>
      <c r="I623" s="472">
        <f t="shared" si="29"/>
        <v>0.32845968612834514</v>
      </c>
      <c r="J623" s="153">
        <v>3.8473756479098807E-2</v>
      </c>
      <c r="K623" s="153">
        <v>0.39358026214566905</v>
      </c>
      <c r="L623" s="153">
        <v>0.53857526864315253</v>
      </c>
      <c r="M623" s="153">
        <v>0.3432094572454602</v>
      </c>
      <c r="N623" s="472">
        <f t="shared" si="30"/>
        <v>0.32845968612834514</v>
      </c>
      <c r="O623" s="153">
        <v>3.8473756479098807E-2</v>
      </c>
      <c r="P623" s="153">
        <v>0.39358026214566905</v>
      </c>
      <c r="Q623" s="153">
        <v>0.53857526864315253</v>
      </c>
      <c r="R623" s="153">
        <v>0.3432094572454602</v>
      </c>
      <c r="S623" s="153">
        <v>0.03</v>
      </c>
      <c r="T623" s="153">
        <v>0</v>
      </c>
      <c r="U623" s="474">
        <v>1900</v>
      </c>
      <c r="V623">
        <v>2030</v>
      </c>
      <c r="W623">
        <v>0</v>
      </c>
      <c r="X623">
        <v>0</v>
      </c>
      <c r="Y623">
        <v>1304</v>
      </c>
      <c r="Z623">
        <v>311</v>
      </c>
      <c r="AA623" s="475" t="s">
        <v>23</v>
      </c>
    </row>
    <row r="624" spans="1:27" ht="15" hidden="1">
      <c r="A624" s="24">
        <v>1623</v>
      </c>
      <c r="B624" s="24">
        <v>1623</v>
      </c>
      <c r="C624" s="469" t="s">
        <v>1018</v>
      </c>
      <c r="D624" t="s">
        <v>152</v>
      </c>
      <c r="E624" s="470">
        <v>3</v>
      </c>
      <c r="F624" s="471">
        <v>4.0720000000000001</v>
      </c>
      <c r="G624">
        <v>1</v>
      </c>
      <c r="H624">
        <v>1</v>
      </c>
      <c r="I624" s="472">
        <f t="shared" si="29"/>
        <v>0.32845968612834514</v>
      </c>
      <c r="J624" s="153">
        <v>3.8473756479098807E-2</v>
      </c>
      <c r="K624" s="153">
        <v>0.39358026214566905</v>
      </c>
      <c r="L624" s="153">
        <v>0.53857526864315253</v>
      </c>
      <c r="M624" s="153">
        <v>0.3432094572454602</v>
      </c>
      <c r="N624" s="472">
        <f t="shared" si="30"/>
        <v>0.32845968612834514</v>
      </c>
      <c r="O624" s="153">
        <v>3.8473756479098807E-2</v>
      </c>
      <c r="P624" s="153">
        <v>0.39358026214566905</v>
      </c>
      <c r="Q624" s="153">
        <v>0.53857526864315253</v>
      </c>
      <c r="R624" s="153">
        <v>0.3432094572454602</v>
      </c>
      <c r="S624" s="153">
        <v>0.03</v>
      </c>
      <c r="T624" s="153">
        <v>0</v>
      </c>
      <c r="U624" s="474">
        <v>1900</v>
      </c>
      <c r="V624">
        <v>2030</v>
      </c>
      <c r="W624">
        <v>0</v>
      </c>
      <c r="X624">
        <v>0</v>
      </c>
      <c r="Y624">
        <v>1304</v>
      </c>
      <c r="Z624">
        <v>311</v>
      </c>
      <c r="AA624" s="475" t="s">
        <v>23</v>
      </c>
    </row>
    <row r="625" spans="1:27" ht="15" hidden="1">
      <c r="A625" s="24">
        <v>1624</v>
      </c>
      <c r="B625" s="24">
        <v>1624</v>
      </c>
      <c r="C625" s="469" t="s">
        <v>1019</v>
      </c>
      <c r="D625" t="s">
        <v>152</v>
      </c>
      <c r="E625" s="470">
        <v>3</v>
      </c>
      <c r="F625" s="471">
        <v>0</v>
      </c>
      <c r="G625">
        <v>1</v>
      </c>
      <c r="H625">
        <v>1</v>
      </c>
      <c r="I625" s="472">
        <f t="shared" si="29"/>
        <v>0.32845968612834514</v>
      </c>
      <c r="J625" s="153">
        <v>3.8473756479098807E-2</v>
      </c>
      <c r="K625" s="153">
        <v>0.39358026214566905</v>
      </c>
      <c r="L625" s="153">
        <v>0.53857526864315253</v>
      </c>
      <c r="M625" s="153">
        <v>0.3432094572454602</v>
      </c>
      <c r="N625" s="472">
        <f t="shared" si="30"/>
        <v>0.32845968612834514</v>
      </c>
      <c r="O625" s="153">
        <v>3.8473756479098807E-2</v>
      </c>
      <c r="P625" s="153">
        <v>0.39358026214566905</v>
      </c>
      <c r="Q625" s="153">
        <v>0.53857526864315253</v>
      </c>
      <c r="R625" s="153">
        <v>0.3432094572454602</v>
      </c>
      <c r="S625" s="153">
        <v>0.03</v>
      </c>
      <c r="T625" s="153">
        <v>0</v>
      </c>
      <c r="U625" s="474">
        <v>1900</v>
      </c>
      <c r="V625">
        <v>2030</v>
      </c>
      <c r="W625">
        <v>0</v>
      </c>
      <c r="X625">
        <v>0</v>
      </c>
      <c r="Y625">
        <v>1304</v>
      </c>
      <c r="Z625">
        <v>311</v>
      </c>
      <c r="AA625" s="475" t="s">
        <v>23</v>
      </c>
    </row>
    <row r="626" spans="1:27" ht="15" hidden="1">
      <c r="A626" s="24">
        <v>1625</v>
      </c>
      <c r="B626" s="24">
        <v>1625</v>
      </c>
      <c r="C626" s="469" t="s">
        <v>1020</v>
      </c>
      <c r="D626" t="s">
        <v>146</v>
      </c>
      <c r="E626" s="470">
        <v>1</v>
      </c>
      <c r="F626" s="471">
        <v>17.97570850202429</v>
      </c>
      <c r="G626">
        <v>1</v>
      </c>
      <c r="H626">
        <v>1</v>
      </c>
      <c r="I626" s="472">
        <f t="shared" si="29"/>
        <v>0.32845968612834514</v>
      </c>
      <c r="J626" s="153">
        <v>3.8473756479098807E-2</v>
      </c>
      <c r="K626" s="153">
        <v>0.39358026214566905</v>
      </c>
      <c r="L626" s="153">
        <v>0.53857526864315253</v>
      </c>
      <c r="M626" s="153">
        <v>0.3432094572454602</v>
      </c>
      <c r="N626" s="472">
        <f t="shared" si="30"/>
        <v>0.32845968612834514</v>
      </c>
      <c r="O626" s="153">
        <v>3.8473756479098807E-2</v>
      </c>
      <c r="P626" s="153">
        <v>0.39358026214566905</v>
      </c>
      <c r="Q626" s="153">
        <v>0.53857526864315253</v>
      </c>
      <c r="R626" s="153">
        <v>0.3432094572454602</v>
      </c>
      <c r="S626" s="153">
        <v>0.03</v>
      </c>
      <c r="T626" s="153">
        <v>0</v>
      </c>
      <c r="U626" s="474">
        <v>2012</v>
      </c>
      <c r="V626">
        <v>2030</v>
      </c>
      <c r="W626">
        <v>0</v>
      </c>
      <c r="X626">
        <v>0</v>
      </c>
      <c r="Y626">
        <v>1304</v>
      </c>
      <c r="Z626">
        <v>311</v>
      </c>
      <c r="AA626" s="475" t="s">
        <v>23</v>
      </c>
    </row>
    <row r="627" spans="1:27" ht="15" hidden="1">
      <c r="A627" s="24">
        <v>1626</v>
      </c>
      <c r="B627" s="24">
        <v>1626</v>
      </c>
      <c r="C627" s="476" t="s">
        <v>1021</v>
      </c>
      <c r="D627" t="s">
        <v>152</v>
      </c>
      <c r="E627" s="477">
        <v>3</v>
      </c>
      <c r="F627" s="471">
        <v>30</v>
      </c>
      <c r="G627">
        <v>1</v>
      </c>
      <c r="H627">
        <v>1</v>
      </c>
      <c r="I627" s="472">
        <f t="shared" si="29"/>
        <v>0.47039166666666665</v>
      </c>
      <c r="J627" s="473">
        <v>0.36503333333333332</v>
      </c>
      <c r="K627" s="473">
        <v>0.44336666666666663</v>
      </c>
      <c r="L627" s="473">
        <v>0.58906666666666663</v>
      </c>
      <c r="M627" s="473">
        <v>0.48410000000000003</v>
      </c>
      <c r="N627" s="472">
        <f t="shared" si="30"/>
        <v>0.47039166666666665</v>
      </c>
      <c r="O627" s="473">
        <v>0.36503333333333332</v>
      </c>
      <c r="P627" s="473">
        <v>0.44336666666666663</v>
      </c>
      <c r="Q627" s="473">
        <v>0.58906666666666663</v>
      </c>
      <c r="R627" s="473">
        <v>0.48410000000000003</v>
      </c>
      <c r="S627" s="153">
        <v>0.01</v>
      </c>
      <c r="T627" s="153">
        <v>0.02</v>
      </c>
      <c r="U627" s="478">
        <v>2018</v>
      </c>
      <c r="V627" s="24">
        <f t="shared" ref="V627:V629" si="33">U627+20</f>
        <v>2038</v>
      </c>
      <c r="W627">
        <v>0</v>
      </c>
      <c r="X627">
        <v>0</v>
      </c>
      <c r="Y627">
        <v>1315</v>
      </c>
      <c r="Z627">
        <v>361</v>
      </c>
      <c r="AA627" s="475" t="s">
        <v>24</v>
      </c>
    </row>
    <row r="628" spans="1:27" ht="15" hidden="1">
      <c r="A628" s="24">
        <v>1627</v>
      </c>
      <c r="B628" s="24">
        <v>1627</v>
      </c>
      <c r="C628" s="476" t="s">
        <v>1022</v>
      </c>
      <c r="D628" t="s">
        <v>152</v>
      </c>
      <c r="E628" s="477">
        <v>3</v>
      </c>
      <c r="F628" s="471">
        <v>30</v>
      </c>
      <c r="G628">
        <v>1</v>
      </c>
      <c r="H628">
        <v>1</v>
      </c>
      <c r="I628" s="472">
        <f t="shared" si="29"/>
        <v>0.47039166666666665</v>
      </c>
      <c r="J628" s="473">
        <v>0.36503333333333332</v>
      </c>
      <c r="K628" s="473">
        <v>0.44336666666666663</v>
      </c>
      <c r="L628" s="473">
        <v>0.58906666666666663</v>
      </c>
      <c r="M628" s="473">
        <v>0.48410000000000003</v>
      </c>
      <c r="N628" s="472">
        <f t="shared" si="30"/>
        <v>0.47039166666666665</v>
      </c>
      <c r="O628" s="473">
        <v>0.36503333333333332</v>
      </c>
      <c r="P628" s="473">
        <v>0.44336666666666663</v>
      </c>
      <c r="Q628" s="473">
        <v>0.58906666666666663</v>
      </c>
      <c r="R628" s="473">
        <v>0.48410000000000003</v>
      </c>
      <c r="S628" s="153">
        <v>0.01</v>
      </c>
      <c r="T628" s="153">
        <v>0.02</v>
      </c>
      <c r="U628" s="478">
        <v>2018</v>
      </c>
      <c r="V628" s="24">
        <f t="shared" si="33"/>
        <v>2038</v>
      </c>
      <c r="W628">
        <v>0</v>
      </c>
      <c r="X628">
        <v>0</v>
      </c>
      <c r="Y628">
        <v>1315</v>
      </c>
      <c r="Z628">
        <v>361</v>
      </c>
      <c r="AA628" s="475" t="s">
        <v>24</v>
      </c>
    </row>
    <row r="629" spans="1:27" ht="15" hidden="1">
      <c r="A629" s="24">
        <v>1628</v>
      </c>
      <c r="B629" s="24">
        <v>1628</v>
      </c>
      <c r="C629" s="476" t="s">
        <v>1023</v>
      </c>
      <c r="D629" t="s">
        <v>152</v>
      </c>
      <c r="E629" s="477">
        <v>3</v>
      </c>
      <c r="F629" s="471">
        <v>26</v>
      </c>
      <c r="G629">
        <v>1</v>
      </c>
      <c r="H629">
        <v>1</v>
      </c>
      <c r="I629" s="472">
        <f t="shared" si="29"/>
        <v>0.47039166666666665</v>
      </c>
      <c r="J629" s="473">
        <v>0.36503333333333332</v>
      </c>
      <c r="K629" s="473">
        <v>0.44336666666666663</v>
      </c>
      <c r="L629" s="473">
        <v>0.58906666666666663</v>
      </c>
      <c r="M629" s="473">
        <v>0.48410000000000003</v>
      </c>
      <c r="N629" s="472">
        <f t="shared" si="30"/>
        <v>0.47039166666666665</v>
      </c>
      <c r="O629" s="473">
        <v>0.36503333333333332</v>
      </c>
      <c r="P629" s="473">
        <v>0.44336666666666663</v>
      </c>
      <c r="Q629" s="473">
        <v>0.58906666666666663</v>
      </c>
      <c r="R629" s="473">
        <v>0.48410000000000003</v>
      </c>
      <c r="S629" s="153">
        <v>0.01</v>
      </c>
      <c r="T629" s="153">
        <v>0.02</v>
      </c>
      <c r="U629" s="478">
        <v>2016</v>
      </c>
      <c r="V629" s="24">
        <f t="shared" si="33"/>
        <v>2036</v>
      </c>
      <c r="W629">
        <v>0</v>
      </c>
      <c r="X629">
        <v>0</v>
      </c>
      <c r="Y629">
        <v>1315</v>
      </c>
      <c r="Z629">
        <v>361</v>
      </c>
      <c r="AA629" s="475" t="s">
        <v>24</v>
      </c>
    </row>
    <row r="630" spans="1:27" ht="15" hidden="1">
      <c r="A630" s="24">
        <v>1629</v>
      </c>
      <c r="B630" s="24">
        <v>1629</v>
      </c>
      <c r="C630" s="469" t="s">
        <v>1024</v>
      </c>
      <c r="D630" t="s">
        <v>146</v>
      </c>
      <c r="E630" s="470">
        <v>1</v>
      </c>
      <c r="F630" s="471">
        <v>42.02429149797571</v>
      </c>
      <c r="G630">
        <v>1</v>
      </c>
      <c r="H630">
        <v>1</v>
      </c>
      <c r="I630" s="472">
        <f t="shared" si="29"/>
        <v>0.32845968612834514</v>
      </c>
      <c r="J630" s="153">
        <v>3.8473756479098807E-2</v>
      </c>
      <c r="K630" s="153">
        <v>0.39358026214566905</v>
      </c>
      <c r="L630" s="153">
        <v>0.53857526864315253</v>
      </c>
      <c r="M630" s="153">
        <v>0.3432094572454602</v>
      </c>
      <c r="N630" s="472">
        <f t="shared" si="30"/>
        <v>0.32845968612834514</v>
      </c>
      <c r="O630" s="153">
        <v>3.8473756479098807E-2</v>
      </c>
      <c r="P630" s="153">
        <v>0.39358026214566905</v>
      </c>
      <c r="Q630" s="153">
        <v>0.53857526864315253</v>
      </c>
      <c r="R630" s="153">
        <v>0.3432094572454602</v>
      </c>
      <c r="S630" s="153">
        <v>0.03</v>
      </c>
      <c r="T630" s="153">
        <v>0</v>
      </c>
      <c r="U630" s="474">
        <v>2009</v>
      </c>
      <c r="V630">
        <v>2023</v>
      </c>
      <c r="W630">
        <v>0</v>
      </c>
      <c r="X630">
        <v>0</v>
      </c>
      <c r="Y630">
        <v>1304</v>
      </c>
      <c r="Z630">
        <v>311</v>
      </c>
      <c r="AA630" s="475" t="s">
        <v>23</v>
      </c>
    </row>
    <row r="631" spans="1:27" ht="15" hidden="1">
      <c r="A631" s="24">
        <v>1630</v>
      </c>
      <c r="B631" s="24">
        <v>1630</v>
      </c>
      <c r="C631" s="476" t="s">
        <v>1025</v>
      </c>
      <c r="D631" t="s">
        <v>152</v>
      </c>
      <c r="E631" s="477">
        <v>3</v>
      </c>
      <c r="F631" s="471">
        <v>4</v>
      </c>
      <c r="G631">
        <v>1</v>
      </c>
      <c r="H631">
        <v>1</v>
      </c>
      <c r="I631" s="472">
        <f t="shared" si="29"/>
        <v>0.47039166666666665</v>
      </c>
      <c r="J631" s="473">
        <v>0.36503333333333332</v>
      </c>
      <c r="K631" s="473">
        <v>0.44336666666666663</v>
      </c>
      <c r="L631" s="473">
        <v>0.58906666666666663</v>
      </c>
      <c r="M631" s="473">
        <v>0.48410000000000003</v>
      </c>
      <c r="N631" s="472">
        <f t="shared" si="30"/>
        <v>0.47039166666666665</v>
      </c>
      <c r="O631" s="473">
        <v>0.36503333333333332</v>
      </c>
      <c r="P631" s="473">
        <v>0.44336666666666663</v>
      </c>
      <c r="Q631" s="473">
        <v>0.58906666666666663</v>
      </c>
      <c r="R631" s="473">
        <v>0.48410000000000003</v>
      </c>
      <c r="S631" s="153">
        <v>0.01</v>
      </c>
      <c r="T631" s="153">
        <v>0.02</v>
      </c>
      <c r="U631" s="478">
        <v>2016</v>
      </c>
      <c r="V631" s="24">
        <f>U631+20</f>
        <v>2036</v>
      </c>
      <c r="W631">
        <v>0</v>
      </c>
      <c r="X631">
        <v>0</v>
      </c>
      <c r="Y631">
        <v>1315</v>
      </c>
      <c r="Z631">
        <v>361</v>
      </c>
      <c r="AA631" s="475" t="s">
        <v>24</v>
      </c>
    </row>
    <row r="632" spans="1:27" ht="15" hidden="1">
      <c r="A632" s="24">
        <v>1631</v>
      </c>
      <c r="B632" s="24">
        <v>1631</v>
      </c>
      <c r="C632" s="469" t="s">
        <v>1026</v>
      </c>
      <c r="D632" t="s">
        <v>146</v>
      </c>
      <c r="E632" s="470">
        <v>1</v>
      </c>
      <c r="F632" s="471">
        <v>16.741085106382975</v>
      </c>
      <c r="G632">
        <v>1</v>
      </c>
      <c r="H632">
        <v>1</v>
      </c>
      <c r="I632" s="472">
        <f t="shared" si="29"/>
        <v>0.32845968612834514</v>
      </c>
      <c r="J632" s="153">
        <v>3.8473756479098807E-2</v>
      </c>
      <c r="K632" s="153">
        <v>0.39358026214566905</v>
      </c>
      <c r="L632" s="153">
        <v>0.53857526864315253</v>
      </c>
      <c r="M632" s="153">
        <v>0.3432094572454602</v>
      </c>
      <c r="N632" s="472">
        <f t="shared" si="30"/>
        <v>0.32845968612834514</v>
      </c>
      <c r="O632" s="153">
        <v>3.8473756479098807E-2</v>
      </c>
      <c r="P632" s="153">
        <v>0.39358026214566905</v>
      </c>
      <c r="Q632" s="153">
        <v>0.53857526864315253</v>
      </c>
      <c r="R632" s="153">
        <v>0.3432094572454602</v>
      </c>
      <c r="S632" s="153">
        <v>0.03</v>
      </c>
      <c r="T632" s="153">
        <v>0</v>
      </c>
      <c r="U632" s="474">
        <v>2001</v>
      </c>
      <c r="V632">
        <v>2023</v>
      </c>
      <c r="W632">
        <v>0</v>
      </c>
      <c r="X632">
        <v>0</v>
      </c>
      <c r="Y632">
        <v>1304</v>
      </c>
      <c r="Z632">
        <v>311</v>
      </c>
      <c r="AA632" s="475" t="s">
        <v>23</v>
      </c>
    </row>
    <row r="633" spans="1:27" ht="15" hidden="1">
      <c r="A633" s="24">
        <v>1632</v>
      </c>
      <c r="B633" s="24">
        <v>1632</v>
      </c>
      <c r="C633" s="469" t="s">
        <v>1027</v>
      </c>
      <c r="D633" t="s">
        <v>146</v>
      </c>
      <c r="E633" s="470">
        <v>1</v>
      </c>
      <c r="F633" s="471">
        <v>57.058914893617022</v>
      </c>
      <c r="G633">
        <v>1</v>
      </c>
      <c r="H633">
        <v>1</v>
      </c>
      <c r="I633" s="472">
        <f t="shared" si="29"/>
        <v>0.32845968612834514</v>
      </c>
      <c r="J633" s="153">
        <v>3.8473756479098807E-2</v>
      </c>
      <c r="K633" s="153">
        <v>0.39358026214566905</v>
      </c>
      <c r="L633" s="153">
        <v>0.53857526864315253</v>
      </c>
      <c r="M633" s="153">
        <v>0.3432094572454602</v>
      </c>
      <c r="N633" s="472">
        <f t="shared" si="30"/>
        <v>0.32845968612834514</v>
      </c>
      <c r="O633" s="153">
        <v>3.8473756479098807E-2</v>
      </c>
      <c r="P633" s="153">
        <v>0.39358026214566905</v>
      </c>
      <c r="Q633" s="153">
        <v>0.53857526864315253</v>
      </c>
      <c r="R633" s="153">
        <v>0.3432094572454602</v>
      </c>
      <c r="S633" s="153">
        <v>0.03</v>
      </c>
      <c r="T633" s="153">
        <v>0</v>
      </c>
      <c r="U633" s="474">
        <v>2014</v>
      </c>
      <c r="V633">
        <v>2035</v>
      </c>
      <c r="W633">
        <v>0</v>
      </c>
      <c r="X633">
        <v>0</v>
      </c>
      <c r="Y633">
        <v>1304</v>
      </c>
      <c r="Z633">
        <v>311</v>
      </c>
      <c r="AA633" s="475" t="s">
        <v>23</v>
      </c>
    </row>
    <row r="634" spans="1:27" ht="15" hidden="1">
      <c r="A634" s="24">
        <v>1633</v>
      </c>
      <c r="B634" s="24">
        <v>1633</v>
      </c>
      <c r="C634" s="469" t="s">
        <v>1028</v>
      </c>
      <c r="D634" t="s">
        <v>146</v>
      </c>
      <c r="E634" s="470">
        <v>1</v>
      </c>
      <c r="F634" s="471">
        <v>33.75</v>
      </c>
      <c r="G634">
        <v>1</v>
      </c>
      <c r="H634">
        <v>1</v>
      </c>
      <c r="I634" s="472">
        <f t="shared" si="29"/>
        <v>0.32845968612834514</v>
      </c>
      <c r="J634" s="153">
        <v>3.8473756479098807E-2</v>
      </c>
      <c r="K634" s="153">
        <v>0.39358026214566905</v>
      </c>
      <c r="L634" s="153">
        <v>0.53857526864315253</v>
      </c>
      <c r="M634" s="153">
        <v>0.3432094572454602</v>
      </c>
      <c r="N634" s="472">
        <f t="shared" si="30"/>
        <v>0.32845968612834514</v>
      </c>
      <c r="O634" s="153">
        <v>3.8473756479098807E-2</v>
      </c>
      <c r="P634" s="153">
        <v>0.39358026214566905</v>
      </c>
      <c r="Q634" s="153">
        <v>0.53857526864315253</v>
      </c>
      <c r="R634" s="153">
        <v>0.3432094572454602</v>
      </c>
      <c r="S634" s="153">
        <v>0.03</v>
      </c>
      <c r="T634" s="153">
        <v>0</v>
      </c>
      <c r="U634" s="474">
        <v>2013</v>
      </c>
      <c r="V634">
        <v>2030</v>
      </c>
      <c r="W634">
        <v>0</v>
      </c>
      <c r="X634">
        <v>0</v>
      </c>
      <c r="Y634">
        <v>1304</v>
      </c>
      <c r="Z634">
        <v>311</v>
      </c>
      <c r="AA634" s="475" t="s">
        <v>23</v>
      </c>
    </row>
    <row r="635" spans="1:27" ht="15" hidden="1">
      <c r="A635" s="24">
        <v>1634</v>
      </c>
      <c r="B635" s="24">
        <v>1634</v>
      </c>
      <c r="C635" s="469" t="s">
        <v>1029</v>
      </c>
      <c r="D635" t="s">
        <v>146</v>
      </c>
      <c r="E635" s="470">
        <v>1</v>
      </c>
      <c r="F635" s="471">
        <v>0</v>
      </c>
      <c r="G635">
        <v>1</v>
      </c>
      <c r="H635">
        <v>1</v>
      </c>
      <c r="I635" s="472">
        <f t="shared" si="29"/>
        <v>0.32845968612834514</v>
      </c>
      <c r="J635" s="153">
        <v>3.8473756479098807E-2</v>
      </c>
      <c r="K635" s="153">
        <v>0.39358026214566905</v>
      </c>
      <c r="L635" s="153">
        <v>0.53857526864315253</v>
      </c>
      <c r="M635" s="153">
        <v>0.3432094572454602</v>
      </c>
      <c r="N635" s="472">
        <f t="shared" si="30"/>
        <v>0.32845968612834514</v>
      </c>
      <c r="O635" s="153">
        <v>3.8473756479098807E-2</v>
      </c>
      <c r="P635" s="153">
        <v>0.39358026214566905</v>
      </c>
      <c r="Q635" s="153">
        <v>0.53857526864315253</v>
      </c>
      <c r="R635" s="153">
        <v>0.3432094572454602</v>
      </c>
      <c r="S635" s="153">
        <v>0.03</v>
      </c>
      <c r="T635" s="153">
        <v>0</v>
      </c>
      <c r="U635" s="474">
        <v>1900</v>
      </c>
      <c r="V635">
        <v>2030</v>
      </c>
      <c r="W635">
        <v>0</v>
      </c>
      <c r="X635">
        <v>0</v>
      </c>
      <c r="Y635">
        <v>1304</v>
      </c>
      <c r="Z635">
        <v>311</v>
      </c>
      <c r="AA635" s="475" t="s">
        <v>23</v>
      </c>
    </row>
    <row r="636" spans="1:27" ht="15" hidden="1">
      <c r="A636" s="24">
        <v>1635</v>
      </c>
      <c r="B636" s="24">
        <v>1635</v>
      </c>
      <c r="C636" s="469" t="s">
        <v>1030</v>
      </c>
      <c r="D636" t="s">
        <v>146</v>
      </c>
      <c r="E636" s="470">
        <v>1</v>
      </c>
      <c r="F636" s="471">
        <v>35</v>
      </c>
      <c r="G636">
        <v>1</v>
      </c>
      <c r="H636">
        <v>1</v>
      </c>
      <c r="I636" s="472">
        <f t="shared" si="29"/>
        <v>0.32845968612834514</v>
      </c>
      <c r="J636" s="153">
        <v>3.8473756479098807E-2</v>
      </c>
      <c r="K636" s="153">
        <v>0.39358026214566905</v>
      </c>
      <c r="L636" s="153">
        <v>0.53857526864315253</v>
      </c>
      <c r="M636" s="153">
        <v>0.3432094572454602</v>
      </c>
      <c r="N636" s="472">
        <f t="shared" si="30"/>
        <v>0.32845968612834514</v>
      </c>
      <c r="O636" s="153">
        <v>3.8473756479098807E-2</v>
      </c>
      <c r="P636" s="153">
        <v>0.39358026214566905</v>
      </c>
      <c r="Q636" s="153">
        <v>0.53857526864315253</v>
      </c>
      <c r="R636" s="153">
        <v>0.3432094572454602</v>
      </c>
      <c r="S636" s="153">
        <v>0.03</v>
      </c>
      <c r="T636" s="153">
        <v>0</v>
      </c>
      <c r="U636" s="474">
        <v>2010</v>
      </c>
      <c r="V636">
        <v>2023</v>
      </c>
      <c r="W636">
        <v>0</v>
      </c>
      <c r="X636">
        <v>0</v>
      </c>
      <c r="Y636">
        <v>1304</v>
      </c>
      <c r="Z636">
        <v>311</v>
      </c>
      <c r="AA636" s="475" t="s">
        <v>23</v>
      </c>
    </row>
    <row r="637" spans="1:27" ht="15" hidden="1">
      <c r="A637" s="24">
        <v>1636</v>
      </c>
      <c r="B637" s="24">
        <v>1636</v>
      </c>
      <c r="C637" s="476" t="s">
        <v>1031</v>
      </c>
      <c r="D637" t="s">
        <v>152</v>
      </c>
      <c r="E637" s="477">
        <v>3</v>
      </c>
      <c r="F637" s="471">
        <v>12</v>
      </c>
      <c r="G637">
        <v>1</v>
      </c>
      <c r="H637">
        <v>1</v>
      </c>
      <c r="I637" s="472">
        <f t="shared" si="29"/>
        <v>0.47039166666666665</v>
      </c>
      <c r="J637" s="473">
        <v>0.36503333333333332</v>
      </c>
      <c r="K637" s="473">
        <v>0.44336666666666663</v>
      </c>
      <c r="L637" s="473">
        <v>0.58906666666666663</v>
      </c>
      <c r="M637" s="473">
        <v>0.48410000000000003</v>
      </c>
      <c r="N637" s="472">
        <f t="shared" si="30"/>
        <v>0.47039166666666665</v>
      </c>
      <c r="O637" s="473">
        <v>0.36503333333333332</v>
      </c>
      <c r="P637" s="473">
        <v>0.44336666666666663</v>
      </c>
      <c r="Q637" s="473">
        <v>0.58906666666666663</v>
      </c>
      <c r="R637" s="473">
        <v>0.48410000000000003</v>
      </c>
      <c r="S637" s="153">
        <v>0.01</v>
      </c>
      <c r="T637" s="153">
        <v>0.02</v>
      </c>
      <c r="U637" s="478">
        <v>2018</v>
      </c>
      <c r="V637" s="24">
        <f t="shared" ref="V637:V643" si="34">U637+20</f>
        <v>2038</v>
      </c>
      <c r="W637">
        <v>0</v>
      </c>
      <c r="X637">
        <v>0</v>
      </c>
      <c r="Y637">
        <v>1315</v>
      </c>
      <c r="Z637">
        <v>361</v>
      </c>
      <c r="AA637" s="475" t="s">
        <v>24</v>
      </c>
    </row>
    <row r="638" spans="1:27" ht="15" hidden="1">
      <c r="A638" s="24">
        <v>1637</v>
      </c>
      <c r="B638" s="24">
        <v>1637</v>
      </c>
      <c r="C638" s="476" t="s">
        <v>1032</v>
      </c>
      <c r="D638" t="s">
        <v>152</v>
      </c>
      <c r="E638" s="477">
        <v>3</v>
      </c>
      <c r="F638" s="471">
        <v>30</v>
      </c>
      <c r="G638">
        <v>1</v>
      </c>
      <c r="H638">
        <v>1</v>
      </c>
      <c r="I638" s="472">
        <f t="shared" si="29"/>
        <v>0.47039166666666665</v>
      </c>
      <c r="J638" s="473">
        <v>0.36503333333333332</v>
      </c>
      <c r="K638" s="473">
        <v>0.44336666666666663</v>
      </c>
      <c r="L638" s="473">
        <v>0.58906666666666663</v>
      </c>
      <c r="M638" s="473">
        <v>0.48410000000000003</v>
      </c>
      <c r="N638" s="472">
        <f t="shared" si="30"/>
        <v>0.47039166666666665</v>
      </c>
      <c r="O638" s="473">
        <v>0.36503333333333332</v>
      </c>
      <c r="P638" s="473">
        <v>0.44336666666666663</v>
      </c>
      <c r="Q638" s="473">
        <v>0.58906666666666663</v>
      </c>
      <c r="R638" s="473">
        <v>0.48410000000000003</v>
      </c>
      <c r="S638" s="153">
        <v>0.01</v>
      </c>
      <c r="T638" s="153">
        <v>0.02</v>
      </c>
      <c r="U638" s="478">
        <v>2018</v>
      </c>
      <c r="V638" s="24">
        <f t="shared" si="34"/>
        <v>2038</v>
      </c>
      <c r="W638">
        <v>0</v>
      </c>
      <c r="X638">
        <v>0</v>
      </c>
      <c r="Y638">
        <v>1315</v>
      </c>
      <c r="Z638">
        <v>361</v>
      </c>
      <c r="AA638" s="475" t="s">
        <v>24</v>
      </c>
    </row>
    <row r="639" spans="1:27" ht="15" hidden="1">
      <c r="A639" s="24">
        <v>1638</v>
      </c>
      <c r="B639" s="24">
        <v>1638</v>
      </c>
      <c r="C639" s="476" t="s">
        <v>1033</v>
      </c>
      <c r="D639" t="s">
        <v>152</v>
      </c>
      <c r="E639" s="477">
        <v>3</v>
      </c>
      <c r="F639" s="471">
        <v>12</v>
      </c>
      <c r="G639">
        <v>1</v>
      </c>
      <c r="H639">
        <v>1</v>
      </c>
      <c r="I639" s="472">
        <f t="shared" si="29"/>
        <v>0.47039166666666665</v>
      </c>
      <c r="J639" s="473">
        <v>0.36503333333333332</v>
      </c>
      <c r="K639" s="473">
        <v>0.44336666666666663</v>
      </c>
      <c r="L639" s="473">
        <v>0.58906666666666663</v>
      </c>
      <c r="M639" s="473">
        <v>0.48410000000000003</v>
      </c>
      <c r="N639" s="472">
        <f t="shared" si="30"/>
        <v>0.47039166666666665</v>
      </c>
      <c r="O639" s="473">
        <v>0.36503333333333332</v>
      </c>
      <c r="P639" s="473">
        <v>0.44336666666666663</v>
      </c>
      <c r="Q639" s="473">
        <v>0.58906666666666663</v>
      </c>
      <c r="R639" s="473">
        <v>0.48410000000000003</v>
      </c>
      <c r="S639" s="153">
        <v>0.01</v>
      </c>
      <c r="T639" s="153">
        <v>0.02</v>
      </c>
      <c r="U639" s="478">
        <v>2016</v>
      </c>
      <c r="V639" s="24">
        <f t="shared" si="34"/>
        <v>2036</v>
      </c>
      <c r="W639">
        <v>0</v>
      </c>
      <c r="X639">
        <v>0</v>
      </c>
      <c r="Y639">
        <v>1315</v>
      </c>
      <c r="Z639">
        <v>361</v>
      </c>
      <c r="AA639" s="475" t="s">
        <v>24</v>
      </c>
    </row>
    <row r="640" spans="1:27" ht="15" hidden="1">
      <c r="A640" s="24">
        <v>1639</v>
      </c>
      <c r="B640" s="24">
        <v>1639</v>
      </c>
      <c r="C640" s="476" t="s">
        <v>1034</v>
      </c>
      <c r="D640" t="s">
        <v>152</v>
      </c>
      <c r="E640" s="477">
        <v>3</v>
      </c>
      <c r="F640" s="471">
        <v>8</v>
      </c>
      <c r="G640">
        <v>1</v>
      </c>
      <c r="H640">
        <v>1</v>
      </c>
      <c r="I640" s="472">
        <f t="shared" si="29"/>
        <v>0.47039166666666665</v>
      </c>
      <c r="J640" s="473">
        <v>0.36503333333333332</v>
      </c>
      <c r="K640" s="473">
        <v>0.44336666666666663</v>
      </c>
      <c r="L640" s="473">
        <v>0.58906666666666663</v>
      </c>
      <c r="M640" s="473">
        <v>0.48410000000000003</v>
      </c>
      <c r="N640" s="472">
        <f t="shared" si="30"/>
        <v>0.47039166666666665</v>
      </c>
      <c r="O640" s="473">
        <v>0.36503333333333332</v>
      </c>
      <c r="P640" s="473">
        <v>0.44336666666666663</v>
      </c>
      <c r="Q640" s="473">
        <v>0.58906666666666663</v>
      </c>
      <c r="R640" s="473">
        <v>0.48410000000000003</v>
      </c>
      <c r="S640" s="153">
        <v>0.01</v>
      </c>
      <c r="T640" s="153">
        <v>0.02</v>
      </c>
      <c r="U640" s="478">
        <v>2016</v>
      </c>
      <c r="V640" s="24">
        <f t="shared" si="34"/>
        <v>2036</v>
      </c>
      <c r="W640">
        <v>0</v>
      </c>
      <c r="X640">
        <v>0</v>
      </c>
      <c r="Y640">
        <v>1315</v>
      </c>
      <c r="Z640">
        <v>361</v>
      </c>
      <c r="AA640" s="475" t="s">
        <v>24</v>
      </c>
    </row>
    <row r="641" spans="1:27" ht="15" hidden="1">
      <c r="A641" s="24">
        <v>1640</v>
      </c>
      <c r="B641" s="24">
        <v>1640</v>
      </c>
      <c r="C641" s="476" t="s">
        <v>1035</v>
      </c>
      <c r="D641" t="s">
        <v>152</v>
      </c>
      <c r="E641" s="477">
        <v>3</v>
      </c>
      <c r="F641" s="471">
        <v>30</v>
      </c>
      <c r="G641">
        <v>1</v>
      </c>
      <c r="H641">
        <v>1</v>
      </c>
      <c r="I641" s="472">
        <f t="shared" si="29"/>
        <v>0.47039166666666665</v>
      </c>
      <c r="J641" s="473">
        <v>0.36503333333333332</v>
      </c>
      <c r="K641" s="473">
        <v>0.44336666666666663</v>
      </c>
      <c r="L641" s="473">
        <v>0.58906666666666663</v>
      </c>
      <c r="M641" s="473">
        <v>0.48410000000000003</v>
      </c>
      <c r="N641" s="472">
        <f t="shared" si="30"/>
        <v>0.47039166666666665</v>
      </c>
      <c r="O641" s="473">
        <v>0.36503333333333332</v>
      </c>
      <c r="P641" s="473">
        <v>0.44336666666666663</v>
      </c>
      <c r="Q641" s="473">
        <v>0.58906666666666663</v>
      </c>
      <c r="R641" s="473">
        <v>0.48410000000000003</v>
      </c>
      <c r="S641" s="153">
        <v>0.01</v>
      </c>
      <c r="T641" s="153">
        <v>0.02</v>
      </c>
      <c r="U641" s="478">
        <v>2018</v>
      </c>
      <c r="V641" s="24">
        <f t="shared" si="34"/>
        <v>2038</v>
      </c>
      <c r="W641">
        <v>0</v>
      </c>
      <c r="X641">
        <v>0</v>
      </c>
      <c r="Y641">
        <v>1315</v>
      </c>
      <c r="Z641">
        <v>361</v>
      </c>
      <c r="AA641" s="475" t="s">
        <v>24</v>
      </c>
    </row>
    <row r="642" spans="1:27" ht="15" hidden="1">
      <c r="A642" s="24">
        <v>1641</v>
      </c>
      <c r="B642" s="24">
        <v>1641</v>
      </c>
      <c r="C642" s="476" t="s">
        <v>1036</v>
      </c>
      <c r="D642" t="s">
        <v>152</v>
      </c>
      <c r="E642" s="477">
        <v>3</v>
      </c>
      <c r="F642" s="471">
        <v>10</v>
      </c>
      <c r="G642">
        <v>1</v>
      </c>
      <c r="H642">
        <v>1</v>
      </c>
      <c r="I642" s="472">
        <f t="shared" ref="I642:I705" si="35">AVERAGE(J642:M642)</f>
        <v>0.47039166666666665</v>
      </c>
      <c r="J642" s="473">
        <v>0.36503333333333332</v>
      </c>
      <c r="K642" s="473">
        <v>0.44336666666666663</v>
      </c>
      <c r="L642" s="473">
        <v>0.58906666666666663</v>
      </c>
      <c r="M642" s="473">
        <v>0.48410000000000003</v>
      </c>
      <c r="N642" s="472">
        <f t="shared" ref="N642:N705" si="36">AVERAGE(O642:R642)</f>
        <v>0.47039166666666665</v>
      </c>
      <c r="O642" s="473">
        <v>0.36503333333333332</v>
      </c>
      <c r="P642" s="473">
        <v>0.44336666666666663</v>
      </c>
      <c r="Q642" s="473">
        <v>0.58906666666666663</v>
      </c>
      <c r="R642" s="473">
        <v>0.48410000000000003</v>
      </c>
      <c r="S642" s="153">
        <v>0.01</v>
      </c>
      <c r="T642" s="153">
        <v>0.02</v>
      </c>
      <c r="U642" s="478">
        <v>2016</v>
      </c>
      <c r="V642" s="24">
        <f t="shared" si="34"/>
        <v>2036</v>
      </c>
      <c r="W642">
        <v>0</v>
      </c>
      <c r="X642">
        <v>0</v>
      </c>
      <c r="Y642">
        <v>1315</v>
      </c>
      <c r="Z642">
        <v>361</v>
      </c>
      <c r="AA642" s="475" t="s">
        <v>24</v>
      </c>
    </row>
    <row r="643" spans="1:27" ht="15" hidden="1">
      <c r="A643" s="24">
        <v>1642</v>
      </c>
      <c r="B643" s="24">
        <v>1642</v>
      </c>
      <c r="C643" s="476" t="s">
        <v>1037</v>
      </c>
      <c r="D643" t="s">
        <v>152</v>
      </c>
      <c r="E643" s="477">
        <v>3</v>
      </c>
      <c r="F643" s="471">
        <v>8</v>
      </c>
      <c r="G643">
        <v>1</v>
      </c>
      <c r="H643">
        <v>1</v>
      </c>
      <c r="I643" s="472">
        <f t="shared" si="35"/>
        <v>0.47039166666666665</v>
      </c>
      <c r="J643" s="473">
        <v>0.36503333333333332</v>
      </c>
      <c r="K643" s="473">
        <v>0.44336666666666663</v>
      </c>
      <c r="L643" s="473">
        <v>0.58906666666666663</v>
      </c>
      <c r="M643" s="473">
        <v>0.48410000000000003</v>
      </c>
      <c r="N643" s="472">
        <f t="shared" si="36"/>
        <v>0.47039166666666665</v>
      </c>
      <c r="O643" s="473">
        <v>0.36503333333333332</v>
      </c>
      <c r="P643" s="473">
        <v>0.44336666666666663</v>
      </c>
      <c r="Q643" s="473">
        <v>0.58906666666666663</v>
      </c>
      <c r="R643" s="473">
        <v>0.48410000000000003</v>
      </c>
      <c r="S643" s="153">
        <v>0.01</v>
      </c>
      <c r="T643" s="153">
        <v>0.02</v>
      </c>
      <c r="U643" s="478">
        <v>2016</v>
      </c>
      <c r="V643" s="24">
        <f t="shared" si="34"/>
        <v>2036</v>
      </c>
      <c r="W643">
        <v>0</v>
      </c>
      <c r="X643">
        <v>0</v>
      </c>
      <c r="Y643">
        <v>1315</v>
      </c>
      <c r="Z643">
        <v>361</v>
      </c>
      <c r="AA643" s="475" t="s">
        <v>24</v>
      </c>
    </row>
    <row r="644" spans="1:27" ht="15" hidden="1">
      <c r="A644" s="24">
        <f t="shared" ref="A644:B659" si="37">1000+ROW()-1</f>
        <v>1643</v>
      </c>
      <c r="B644" s="24">
        <f t="shared" si="37"/>
        <v>1643</v>
      </c>
      <c r="C644" s="469" t="s">
        <v>1038</v>
      </c>
      <c r="D644" t="s">
        <v>146</v>
      </c>
      <c r="E644" s="470">
        <v>1</v>
      </c>
      <c r="F644" s="471">
        <v>0</v>
      </c>
      <c r="G644">
        <v>1</v>
      </c>
      <c r="H644">
        <v>1</v>
      </c>
      <c r="I644" s="472">
        <f t="shared" si="35"/>
        <v>0.32845968612834514</v>
      </c>
      <c r="J644" s="153">
        <v>3.8473756479098807E-2</v>
      </c>
      <c r="K644" s="153">
        <v>0.39358026214566905</v>
      </c>
      <c r="L644" s="153">
        <v>0.53857526864315253</v>
      </c>
      <c r="M644" s="153">
        <v>0.3432094572454602</v>
      </c>
      <c r="N644" s="472">
        <f t="shared" si="36"/>
        <v>0.32845968612834514</v>
      </c>
      <c r="O644" s="153">
        <v>3.8473756479098807E-2</v>
      </c>
      <c r="P644" s="153">
        <v>0.39358026214566905</v>
      </c>
      <c r="Q644" s="153">
        <v>0.53857526864315253</v>
      </c>
      <c r="R644" s="153">
        <v>0.3432094572454602</v>
      </c>
      <c r="S644" s="153">
        <v>0.03</v>
      </c>
      <c r="T644" s="153">
        <v>0</v>
      </c>
      <c r="U644" s="474">
        <v>1900</v>
      </c>
      <c r="V644">
        <v>2030</v>
      </c>
      <c r="W644">
        <v>0</v>
      </c>
      <c r="X644">
        <v>0</v>
      </c>
      <c r="Y644">
        <v>1304</v>
      </c>
      <c r="Z644">
        <v>311</v>
      </c>
      <c r="AA644" s="475" t="s">
        <v>23</v>
      </c>
    </row>
    <row r="645" spans="1:27" ht="15" hidden="1">
      <c r="A645" s="24">
        <f t="shared" si="37"/>
        <v>1644</v>
      </c>
      <c r="B645" s="24">
        <f t="shared" si="37"/>
        <v>1644</v>
      </c>
      <c r="C645" s="469" t="s">
        <v>1039</v>
      </c>
      <c r="D645" t="s">
        <v>154</v>
      </c>
      <c r="E645" s="470">
        <v>4</v>
      </c>
      <c r="F645" s="471">
        <v>23.970037453183515</v>
      </c>
      <c r="G645">
        <v>1</v>
      </c>
      <c r="H645">
        <v>1</v>
      </c>
      <c r="I645" s="472">
        <f t="shared" si="35"/>
        <v>0.32845968612834514</v>
      </c>
      <c r="J645" s="153">
        <v>3.8473756479098807E-2</v>
      </c>
      <c r="K645" s="153">
        <v>0.39358026214566905</v>
      </c>
      <c r="L645" s="153">
        <v>0.53857526864315253</v>
      </c>
      <c r="M645" s="153">
        <v>0.3432094572454602</v>
      </c>
      <c r="N645" s="472">
        <f t="shared" si="36"/>
        <v>0.32845968612834514</v>
      </c>
      <c r="O645" s="153">
        <v>3.8473756479098807E-2</v>
      </c>
      <c r="P645" s="153">
        <v>0.39358026214566905</v>
      </c>
      <c r="Q645" s="153">
        <v>0.53857526864315253</v>
      </c>
      <c r="R645" s="153">
        <v>0.3432094572454602</v>
      </c>
      <c r="S645" s="153">
        <v>0.03</v>
      </c>
      <c r="T645" s="153">
        <v>0</v>
      </c>
      <c r="U645" s="474">
        <v>2013</v>
      </c>
      <c r="V645">
        <v>2030</v>
      </c>
      <c r="W645">
        <v>0</v>
      </c>
      <c r="X645">
        <v>0</v>
      </c>
      <c r="Y645">
        <v>1304</v>
      </c>
      <c r="Z645">
        <v>311</v>
      </c>
      <c r="AA645" s="475" t="s">
        <v>23</v>
      </c>
    </row>
    <row r="646" spans="1:27" ht="15" hidden="1">
      <c r="A646" s="24">
        <f t="shared" si="37"/>
        <v>1645</v>
      </c>
      <c r="B646" s="24">
        <f t="shared" si="37"/>
        <v>1645</v>
      </c>
      <c r="C646" s="469" t="s">
        <v>1040</v>
      </c>
      <c r="D646" t="s">
        <v>154</v>
      </c>
      <c r="E646" s="470">
        <v>4</v>
      </c>
      <c r="F646" s="471">
        <v>56.029962546816485</v>
      </c>
      <c r="G646">
        <v>1</v>
      </c>
      <c r="H646">
        <v>1</v>
      </c>
      <c r="I646" s="472">
        <f t="shared" si="35"/>
        <v>0.32845968612834514</v>
      </c>
      <c r="J646" s="153">
        <v>3.8473756479098807E-2</v>
      </c>
      <c r="K646" s="153">
        <v>0.39358026214566905</v>
      </c>
      <c r="L646" s="153">
        <v>0.53857526864315253</v>
      </c>
      <c r="M646" s="153">
        <v>0.3432094572454602</v>
      </c>
      <c r="N646" s="472">
        <f t="shared" si="36"/>
        <v>0.32845968612834514</v>
      </c>
      <c r="O646" s="153">
        <v>3.8473756479098807E-2</v>
      </c>
      <c r="P646" s="153">
        <v>0.39358026214566905</v>
      </c>
      <c r="Q646" s="153">
        <v>0.53857526864315253</v>
      </c>
      <c r="R646" s="153">
        <v>0.3432094572454602</v>
      </c>
      <c r="S646" s="153">
        <v>0.03</v>
      </c>
      <c r="T646" s="153">
        <v>0</v>
      </c>
      <c r="U646" s="474">
        <v>2013</v>
      </c>
      <c r="V646">
        <v>2030</v>
      </c>
      <c r="W646">
        <v>0</v>
      </c>
      <c r="X646">
        <v>0</v>
      </c>
      <c r="Y646">
        <v>1304</v>
      </c>
      <c r="Z646">
        <v>311</v>
      </c>
      <c r="AA646" s="475" t="s">
        <v>23</v>
      </c>
    </row>
    <row r="647" spans="1:27" ht="15" hidden="1">
      <c r="A647" s="24">
        <f t="shared" si="37"/>
        <v>1646</v>
      </c>
      <c r="B647" s="24">
        <f t="shared" si="37"/>
        <v>1646</v>
      </c>
      <c r="C647" s="469" t="s">
        <v>1041</v>
      </c>
      <c r="D647" t="s">
        <v>146</v>
      </c>
      <c r="E647" s="470">
        <v>1</v>
      </c>
      <c r="F647" s="471">
        <v>10.147839940828401</v>
      </c>
      <c r="G647">
        <v>1</v>
      </c>
      <c r="H647">
        <v>1</v>
      </c>
      <c r="I647" s="472">
        <f t="shared" si="35"/>
        <v>0.32845968612834514</v>
      </c>
      <c r="J647" s="153">
        <v>3.8473756479098807E-2</v>
      </c>
      <c r="K647" s="153">
        <v>0.39358026214566905</v>
      </c>
      <c r="L647" s="153">
        <v>0.53857526864315253</v>
      </c>
      <c r="M647" s="153">
        <v>0.3432094572454602</v>
      </c>
      <c r="N647" s="472">
        <f t="shared" si="36"/>
        <v>0.32845968612834514</v>
      </c>
      <c r="O647" s="153">
        <v>3.8473756479098807E-2</v>
      </c>
      <c r="P647" s="153">
        <v>0.39358026214566905</v>
      </c>
      <c r="Q647" s="153">
        <v>0.53857526864315253</v>
      </c>
      <c r="R647" s="153">
        <v>0.3432094572454602</v>
      </c>
      <c r="S647" s="153">
        <v>0.03</v>
      </c>
      <c r="T647" s="153">
        <v>0</v>
      </c>
      <c r="U647" s="474">
        <v>2013</v>
      </c>
      <c r="V647">
        <v>2030</v>
      </c>
      <c r="W647">
        <v>0</v>
      </c>
      <c r="X647">
        <v>0</v>
      </c>
      <c r="Y647">
        <v>1304</v>
      </c>
      <c r="Z647">
        <v>311</v>
      </c>
      <c r="AA647" s="475" t="s">
        <v>23</v>
      </c>
    </row>
    <row r="648" spans="1:27" ht="15" hidden="1">
      <c r="A648" s="24">
        <f t="shared" si="37"/>
        <v>1647</v>
      </c>
      <c r="B648" s="24">
        <f t="shared" si="37"/>
        <v>1647</v>
      </c>
      <c r="C648" s="469" t="s">
        <v>1042</v>
      </c>
      <c r="D648" t="s">
        <v>146</v>
      </c>
      <c r="E648" s="470">
        <v>1</v>
      </c>
      <c r="F648" s="471">
        <v>24.852160059171599</v>
      </c>
      <c r="G648">
        <v>1</v>
      </c>
      <c r="H648">
        <v>1</v>
      </c>
      <c r="I648" s="472">
        <f t="shared" si="35"/>
        <v>0.32845968612834514</v>
      </c>
      <c r="J648" s="153">
        <v>3.8473756479098807E-2</v>
      </c>
      <c r="K648" s="153">
        <v>0.39358026214566905</v>
      </c>
      <c r="L648" s="153">
        <v>0.53857526864315253</v>
      </c>
      <c r="M648" s="153">
        <v>0.3432094572454602</v>
      </c>
      <c r="N648" s="472">
        <f t="shared" si="36"/>
        <v>0.32845968612834514</v>
      </c>
      <c r="O648" s="153">
        <v>3.8473756479098807E-2</v>
      </c>
      <c r="P648" s="153">
        <v>0.39358026214566905</v>
      </c>
      <c r="Q648" s="153">
        <v>0.53857526864315253</v>
      </c>
      <c r="R648" s="153">
        <v>0.3432094572454602</v>
      </c>
      <c r="S648" s="153">
        <v>0.03</v>
      </c>
      <c r="T648" s="153">
        <v>0</v>
      </c>
      <c r="U648" s="474">
        <v>2010</v>
      </c>
      <c r="V648">
        <v>2023</v>
      </c>
      <c r="W648">
        <v>0</v>
      </c>
      <c r="X648">
        <v>0</v>
      </c>
      <c r="Y648">
        <v>1304</v>
      </c>
      <c r="Z648">
        <v>311</v>
      </c>
      <c r="AA648" s="475" t="s">
        <v>23</v>
      </c>
    </row>
    <row r="649" spans="1:27" ht="15" hidden="1">
      <c r="A649" s="24">
        <f t="shared" si="37"/>
        <v>1648</v>
      </c>
      <c r="B649" s="24">
        <f t="shared" si="37"/>
        <v>1648</v>
      </c>
      <c r="C649" s="469" t="s">
        <v>1043</v>
      </c>
      <c r="D649" t="s">
        <v>146</v>
      </c>
      <c r="E649" s="470">
        <v>1</v>
      </c>
      <c r="F649" s="471">
        <v>32</v>
      </c>
      <c r="G649">
        <v>1</v>
      </c>
      <c r="H649">
        <v>1</v>
      </c>
      <c r="I649" s="472">
        <f t="shared" si="35"/>
        <v>0.32845968612834514</v>
      </c>
      <c r="J649" s="153">
        <v>3.8473756479098807E-2</v>
      </c>
      <c r="K649" s="153">
        <v>0.39358026214566905</v>
      </c>
      <c r="L649" s="153">
        <v>0.53857526864315253</v>
      </c>
      <c r="M649" s="153">
        <v>0.3432094572454602</v>
      </c>
      <c r="N649" s="472">
        <f t="shared" si="36"/>
        <v>0.32845968612834514</v>
      </c>
      <c r="O649" s="153">
        <v>3.8473756479098807E-2</v>
      </c>
      <c r="P649" s="153">
        <v>0.39358026214566905</v>
      </c>
      <c r="Q649" s="153">
        <v>0.53857526864315253</v>
      </c>
      <c r="R649" s="153">
        <v>0.3432094572454602</v>
      </c>
      <c r="S649" s="153">
        <v>0.03</v>
      </c>
      <c r="T649" s="153">
        <v>0</v>
      </c>
      <c r="U649" s="474">
        <v>2006</v>
      </c>
      <c r="V649">
        <v>2030</v>
      </c>
      <c r="W649">
        <v>0</v>
      </c>
      <c r="X649">
        <v>0</v>
      </c>
      <c r="Y649">
        <v>1304</v>
      </c>
      <c r="Z649">
        <v>311</v>
      </c>
      <c r="AA649" s="475" t="s">
        <v>23</v>
      </c>
    </row>
    <row r="650" spans="1:27" ht="15" hidden="1">
      <c r="A650" s="24">
        <f t="shared" si="37"/>
        <v>1649</v>
      </c>
      <c r="B650" s="24">
        <f t="shared" si="37"/>
        <v>1649</v>
      </c>
      <c r="C650" s="469" t="s">
        <v>1044</v>
      </c>
      <c r="D650" t="s">
        <v>146</v>
      </c>
      <c r="E650" s="470">
        <v>1</v>
      </c>
      <c r="F650" s="471">
        <v>0</v>
      </c>
      <c r="G650">
        <v>1</v>
      </c>
      <c r="H650">
        <v>1</v>
      </c>
      <c r="I650" s="472">
        <f t="shared" si="35"/>
        <v>0.32845968612834514</v>
      </c>
      <c r="J650" s="153">
        <v>3.8473756479098807E-2</v>
      </c>
      <c r="K650" s="153">
        <v>0.39358026214566905</v>
      </c>
      <c r="L650" s="153">
        <v>0.53857526864315253</v>
      </c>
      <c r="M650" s="153">
        <v>0.3432094572454602</v>
      </c>
      <c r="N650" s="472">
        <f t="shared" si="36"/>
        <v>0.32845968612834514</v>
      </c>
      <c r="O650" s="153">
        <v>3.8473756479098807E-2</v>
      </c>
      <c r="P650" s="153">
        <v>0.39358026214566905</v>
      </c>
      <c r="Q650" s="153">
        <v>0.53857526864315253</v>
      </c>
      <c r="R650" s="153">
        <v>0.3432094572454602</v>
      </c>
      <c r="S650" s="153">
        <v>0.03</v>
      </c>
      <c r="T650" s="153">
        <v>0</v>
      </c>
      <c r="U650" s="474">
        <v>2006</v>
      </c>
      <c r="V650">
        <v>2030</v>
      </c>
      <c r="W650">
        <v>0</v>
      </c>
      <c r="X650">
        <v>0</v>
      </c>
      <c r="Y650">
        <v>1304</v>
      </c>
      <c r="Z650">
        <v>311</v>
      </c>
      <c r="AA650" s="475" t="s">
        <v>23</v>
      </c>
    </row>
    <row r="651" spans="1:27" ht="15" hidden="1">
      <c r="A651" s="24">
        <f t="shared" si="37"/>
        <v>1650</v>
      </c>
      <c r="B651" s="24">
        <f t="shared" si="37"/>
        <v>1650</v>
      </c>
      <c r="C651" s="469" t="s">
        <v>1045</v>
      </c>
      <c r="D651" t="s">
        <v>152</v>
      </c>
      <c r="E651" s="470">
        <v>3</v>
      </c>
      <c r="F651" s="471">
        <v>25</v>
      </c>
      <c r="G651">
        <v>1</v>
      </c>
      <c r="H651">
        <v>1</v>
      </c>
      <c r="I651" s="472">
        <f t="shared" si="35"/>
        <v>0.32845968612834514</v>
      </c>
      <c r="J651" s="153">
        <v>3.8473756479098807E-2</v>
      </c>
      <c r="K651" s="153">
        <v>0.39358026214566905</v>
      </c>
      <c r="L651" s="153">
        <v>0.53857526864315253</v>
      </c>
      <c r="M651" s="153">
        <v>0.3432094572454602</v>
      </c>
      <c r="N651" s="472">
        <f t="shared" si="36"/>
        <v>0.32845968612834514</v>
      </c>
      <c r="O651" s="153">
        <v>3.8473756479098807E-2</v>
      </c>
      <c r="P651" s="153">
        <v>0.39358026214566905</v>
      </c>
      <c r="Q651" s="153">
        <v>0.53857526864315253</v>
      </c>
      <c r="R651" s="153">
        <v>0.3432094572454602</v>
      </c>
      <c r="S651" s="153">
        <v>0.03</v>
      </c>
      <c r="T651" s="153">
        <v>0</v>
      </c>
      <c r="U651" s="474">
        <v>2008</v>
      </c>
      <c r="V651">
        <v>2023</v>
      </c>
      <c r="W651">
        <v>0</v>
      </c>
      <c r="X651">
        <v>0</v>
      </c>
      <c r="Y651">
        <v>1304</v>
      </c>
      <c r="Z651">
        <v>311</v>
      </c>
      <c r="AA651" s="475" t="s">
        <v>23</v>
      </c>
    </row>
    <row r="652" spans="1:27" ht="15" hidden="1">
      <c r="A652" s="24">
        <f t="shared" si="37"/>
        <v>1651</v>
      </c>
      <c r="B652" s="24">
        <f t="shared" si="37"/>
        <v>1651</v>
      </c>
      <c r="C652" s="469" t="s">
        <v>1046</v>
      </c>
      <c r="D652" t="s">
        <v>152</v>
      </c>
      <c r="E652" s="470">
        <v>3</v>
      </c>
      <c r="F652" s="471">
        <v>0</v>
      </c>
      <c r="G652">
        <v>1</v>
      </c>
      <c r="H652">
        <v>1</v>
      </c>
      <c r="I652" s="472">
        <f t="shared" si="35"/>
        <v>0.32845968612834514</v>
      </c>
      <c r="J652" s="153">
        <v>3.8473756479098807E-2</v>
      </c>
      <c r="K652" s="153">
        <v>0.39358026214566905</v>
      </c>
      <c r="L652" s="153">
        <v>0.53857526864315253</v>
      </c>
      <c r="M652" s="153">
        <v>0.3432094572454602</v>
      </c>
      <c r="N652" s="472">
        <f t="shared" si="36"/>
        <v>0.32845968612834514</v>
      </c>
      <c r="O652" s="153">
        <v>3.8473756479098807E-2</v>
      </c>
      <c r="P652" s="153">
        <v>0.39358026214566905</v>
      </c>
      <c r="Q652" s="153">
        <v>0.53857526864315253</v>
      </c>
      <c r="R652" s="153">
        <v>0.3432094572454602</v>
      </c>
      <c r="S652" s="153">
        <v>0.03</v>
      </c>
      <c r="T652" s="153">
        <v>0</v>
      </c>
      <c r="U652" s="474">
        <v>1900</v>
      </c>
      <c r="V652">
        <v>2030</v>
      </c>
      <c r="W652">
        <v>0</v>
      </c>
      <c r="X652">
        <v>0</v>
      </c>
      <c r="Y652">
        <v>1304</v>
      </c>
      <c r="Z652">
        <v>311</v>
      </c>
      <c r="AA652" s="475" t="s">
        <v>23</v>
      </c>
    </row>
    <row r="653" spans="1:27" ht="15" hidden="1">
      <c r="A653" s="24">
        <f t="shared" si="37"/>
        <v>1652</v>
      </c>
      <c r="B653" s="24">
        <f t="shared" si="37"/>
        <v>1652</v>
      </c>
      <c r="C653" s="469" t="s">
        <v>1047</v>
      </c>
      <c r="D653" t="s">
        <v>149</v>
      </c>
      <c r="E653" s="470">
        <v>2</v>
      </c>
      <c r="F653" s="471">
        <v>10</v>
      </c>
      <c r="G653">
        <v>1</v>
      </c>
      <c r="H653">
        <v>1</v>
      </c>
      <c r="I653" s="472">
        <f t="shared" si="35"/>
        <v>0.32845968612834514</v>
      </c>
      <c r="J653" s="153">
        <v>3.8473756479098807E-2</v>
      </c>
      <c r="K653" s="153">
        <v>0.39358026214566905</v>
      </c>
      <c r="L653" s="153">
        <v>0.53857526864315253</v>
      </c>
      <c r="M653" s="153">
        <v>0.3432094572454602</v>
      </c>
      <c r="N653" s="472">
        <f t="shared" si="36"/>
        <v>0.32845968612834514</v>
      </c>
      <c r="O653" s="153">
        <v>3.8473756479098807E-2</v>
      </c>
      <c r="P653" s="153">
        <v>0.39358026214566905</v>
      </c>
      <c r="Q653" s="153">
        <v>0.53857526864315253</v>
      </c>
      <c r="R653" s="153">
        <v>0.3432094572454602</v>
      </c>
      <c r="S653" s="153">
        <v>0.03</v>
      </c>
      <c r="T653" s="153">
        <v>0</v>
      </c>
      <c r="U653" s="474">
        <v>2003</v>
      </c>
      <c r="V653">
        <v>2023</v>
      </c>
      <c r="W653">
        <v>0</v>
      </c>
      <c r="X653">
        <v>0</v>
      </c>
      <c r="Y653">
        <v>1304</v>
      </c>
      <c r="Z653">
        <v>311</v>
      </c>
      <c r="AA653" s="475" t="s">
        <v>23</v>
      </c>
    </row>
    <row r="654" spans="1:27" ht="15" hidden="1">
      <c r="A654" s="24">
        <f t="shared" si="37"/>
        <v>1653</v>
      </c>
      <c r="B654" s="24">
        <f t="shared" si="37"/>
        <v>1653</v>
      </c>
      <c r="C654" s="469" t="s">
        <v>1048</v>
      </c>
      <c r="D654" t="s">
        <v>149</v>
      </c>
      <c r="E654" s="470">
        <v>2</v>
      </c>
      <c r="F654" s="471">
        <v>0</v>
      </c>
      <c r="G654">
        <v>1</v>
      </c>
      <c r="H654">
        <v>1</v>
      </c>
      <c r="I654" s="472">
        <f t="shared" si="35"/>
        <v>0.32845968612834514</v>
      </c>
      <c r="J654" s="153">
        <v>3.8473756479098807E-2</v>
      </c>
      <c r="K654" s="153">
        <v>0.39358026214566905</v>
      </c>
      <c r="L654" s="153">
        <v>0.53857526864315253</v>
      </c>
      <c r="M654" s="153">
        <v>0.3432094572454602</v>
      </c>
      <c r="N654" s="472">
        <f t="shared" si="36"/>
        <v>0.32845968612834514</v>
      </c>
      <c r="O654" s="153">
        <v>3.8473756479098807E-2</v>
      </c>
      <c r="P654" s="153">
        <v>0.39358026214566905</v>
      </c>
      <c r="Q654" s="153">
        <v>0.53857526864315253</v>
      </c>
      <c r="R654" s="153">
        <v>0.3432094572454602</v>
      </c>
      <c r="S654" s="153">
        <v>0.03</v>
      </c>
      <c r="T654" s="153">
        <v>0</v>
      </c>
      <c r="U654" s="474">
        <v>1900</v>
      </c>
      <c r="V654">
        <v>2030</v>
      </c>
      <c r="W654">
        <v>0</v>
      </c>
      <c r="X654">
        <v>0</v>
      </c>
      <c r="Y654">
        <v>1304</v>
      </c>
      <c r="Z654">
        <v>311</v>
      </c>
      <c r="AA654" s="475" t="s">
        <v>23</v>
      </c>
    </row>
    <row r="655" spans="1:27" ht="15" hidden="1">
      <c r="A655" s="24">
        <f t="shared" si="37"/>
        <v>1654</v>
      </c>
      <c r="B655" s="24">
        <f t="shared" si="37"/>
        <v>1654</v>
      </c>
      <c r="C655" s="469" t="s">
        <v>1049</v>
      </c>
      <c r="D655" t="s">
        <v>146</v>
      </c>
      <c r="E655" s="470">
        <v>1</v>
      </c>
      <c r="F655" s="471">
        <v>25</v>
      </c>
      <c r="G655">
        <v>1</v>
      </c>
      <c r="H655">
        <v>1</v>
      </c>
      <c r="I655" s="472">
        <f t="shared" si="35"/>
        <v>0.32845968612834514</v>
      </c>
      <c r="J655" s="153">
        <v>3.8473756479098807E-2</v>
      </c>
      <c r="K655" s="153">
        <v>0.39358026214566905</v>
      </c>
      <c r="L655" s="153">
        <v>0.53857526864315253</v>
      </c>
      <c r="M655" s="153">
        <v>0.3432094572454602</v>
      </c>
      <c r="N655" s="472">
        <f t="shared" si="36"/>
        <v>0.32845968612834514</v>
      </c>
      <c r="O655" s="153">
        <v>3.8473756479098807E-2</v>
      </c>
      <c r="P655" s="153">
        <v>0.39358026214566905</v>
      </c>
      <c r="Q655" s="153">
        <v>0.53857526864315253</v>
      </c>
      <c r="R655" s="153">
        <v>0.3432094572454602</v>
      </c>
      <c r="S655" s="153">
        <v>0.03</v>
      </c>
      <c r="T655" s="153">
        <v>0</v>
      </c>
      <c r="U655" s="474">
        <v>2002</v>
      </c>
      <c r="V655">
        <v>2023</v>
      </c>
      <c r="W655">
        <v>0</v>
      </c>
      <c r="X655">
        <v>0</v>
      </c>
      <c r="Y655">
        <v>1304</v>
      </c>
      <c r="Z655">
        <v>311</v>
      </c>
      <c r="AA655" s="475" t="s">
        <v>23</v>
      </c>
    </row>
    <row r="656" spans="1:27" ht="15" hidden="1">
      <c r="A656" s="24">
        <f t="shared" si="37"/>
        <v>1655</v>
      </c>
      <c r="B656" s="24">
        <f t="shared" si="37"/>
        <v>1655</v>
      </c>
      <c r="C656" s="469" t="s">
        <v>1050</v>
      </c>
      <c r="D656" t="s">
        <v>146</v>
      </c>
      <c r="E656" s="470">
        <v>1</v>
      </c>
      <c r="F656" s="471">
        <v>0</v>
      </c>
      <c r="G656">
        <v>1</v>
      </c>
      <c r="H656">
        <v>1</v>
      </c>
      <c r="I656" s="472">
        <f t="shared" si="35"/>
        <v>0.32845968612834514</v>
      </c>
      <c r="J656" s="153">
        <v>3.8473756479098807E-2</v>
      </c>
      <c r="K656" s="153">
        <v>0.39358026214566905</v>
      </c>
      <c r="L656" s="153">
        <v>0.53857526864315253</v>
      </c>
      <c r="M656" s="153">
        <v>0.3432094572454602</v>
      </c>
      <c r="N656" s="472">
        <f t="shared" si="36"/>
        <v>0.32845968612834514</v>
      </c>
      <c r="O656" s="153">
        <v>3.8473756479098807E-2</v>
      </c>
      <c r="P656" s="153">
        <v>0.39358026214566905</v>
      </c>
      <c r="Q656" s="153">
        <v>0.53857526864315253</v>
      </c>
      <c r="R656" s="153">
        <v>0.3432094572454602</v>
      </c>
      <c r="S656" s="153">
        <v>0.03</v>
      </c>
      <c r="T656" s="153">
        <v>0</v>
      </c>
      <c r="U656" s="474">
        <v>2023</v>
      </c>
      <c r="V656">
        <v>2045</v>
      </c>
      <c r="W656">
        <v>0</v>
      </c>
      <c r="X656">
        <v>0</v>
      </c>
      <c r="Y656">
        <v>1304</v>
      </c>
      <c r="Z656">
        <v>311</v>
      </c>
      <c r="AA656" s="475" t="s">
        <v>23</v>
      </c>
    </row>
    <row r="657" spans="1:27" ht="15" hidden="1">
      <c r="A657" s="24">
        <f t="shared" si="37"/>
        <v>1656</v>
      </c>
      <c r="B657" s="24">
        <f t="shared" si="37"/>
        <v>1656</v>
      </c>
      <c r="C657" s="469" t="s">
        <v>1051</v>
      </c>
      <c r="D657" t="s">
        <v>146</v>
      </c>
      <c r="E657" s="470">
        <v>1</v>
      </c>
      <c r="F657" s="471">
        <v>5</v>
      </c>
      <c r="G657">
        <v>1</v>
      </c>
      <c r="H657">
        <v>1</v>
      </c>
      <c r="I657" s="472">
        <f t="shared" si="35"/>
        <v>0.32845968612834514</v>
      </c>
      <c r="J657" s="153">
        <v>3.8473756479098807E-2</v>
      </c>
      <c r="K657" s="153">
        <v>0.39358026214566905</v>
      </c>
      <c r="L657" s="153">
        <v>0.53857526864315253</v>
      </c>
      <c r="M657" s="153">
        <v>0.3432094572454602</v>
      </c>
      <c r="N657" s="472">
        <f t="shared" si="36"/>
        <v>0.32845968612834514</v>
      </c>
      <c r="O657" s="153">
        <v>3.8473756479098807E-2</v>
      </c>
      <c r="P657" s="153">
        <v>0.39358026214566905</v>
      </c>
      <c r="Q657" s="153">
        <v>0.53857526864315253</v>
      </c>
      <c r="R657" s="153">
        <v>0.3432094572454602</v>
      </c>
      <c r="S657" s="153">
        <v>0.03</v>
      </c>
      <c r="T657" s="153">
        <v>0</v>
      </c>
      <c r="U657" s="474">
        <v>2009</v>
      </c>
      <c r="V657">
        <v>2023</v>
      </c>
      <c r="W657">
        <v>0</v>
      </c>
      <c r="X657">
        <v>0</v>
      </c>
      <c r="Y657">
        <v>1304</v>
      </c>
      <c r="Z657">
        <v>311</v>
      </c>
      <c r="AA657" s="475" t="s">
        <v>23</v>
      </c>
    </row>
    <row r="658" spans="1:27" ht="15" hidden="1">
      <c r="A658" s="24">
        <f t="shared" si="37"/>
        <v>1657</v>
      </c>
      <c r="B658" s="24">
        <f t="shared" si="37"/>
        <v>1657</v>
      </c>
      <c r="C658" s="469" t="s">
        <v>1052</v>
      </c>
      <c r="D658" t="s">
        <v>146</v>
      </c>
      <c r="E658" s="470">
        <v>1</v>
      </c>
      <c r="F658" s="471">
        <v>0</v>
      </c>
      <c r="G658">
        <v>1</v>
      </c>
      <c r="H658">
        <v>1</v>
      </c>
      <c r="I658" s="472">
        <f t="shared" si="35"/>
        <v>0.32845968612834514</v>
      </c>
      <c r="J658" s="153">
        <v>3.8473756479098807E-2</v>
      </c>
      <c r="K658" s="153">
        <v>0.39358026214566905</v>
      </c>
      <c r="L658" s="153">
        <v>0.53857526864315253</v>
      </c>
      <c r="M658" s="153">
        <v>0.3432094572454602</v>
      </c>
      <c r="N658" s="472">
        <f t="shared" si="36"/>
        <v>0.32845968612834514</v>
      </c>
      <c r="O658" s="153">
        <v>3.8473756479098807E-2</v>
      </c>
      <c r="P658" s="153">
        <v>0.39358026214566905</v>
      </c>
      <c r="Q658" s="153">
        <v>0.53857526864315253</v>
      </c>
      <c r="R658" s="153">
        <v>0.3432094572454602</v>
      </c>
      <c r="S658" s="153">
        <v>0.03</v>
      </c>
      <c r="T658" s="153">
        <v>0</v>
      </c>
      <c r="U658" s="474">
        <v>1900</v>
      </c>
      <c r="V658">
        <v>2030</v>
      </c>
      <c r="W658">
        <v>0</v>
      </c>
      <c r="X658">
        <v>0</v>
      </c>
      <c r="Y658">
        <v>1304</v>
      </c>
      <c r="Z658">
        <v>311</v>
      </c>
      <c r="AA658" s="475" t="s">
        <v>23</v>
      </c>
    </row>
    <row r="659" spans="1:27" ht="15" hidden="1">
      <c r="A659" s="24">
        <f t="shared" si="37"/>
        <v>1658</v>
      </c>
      <c r="B659" s="24">
        <f t="shared" si="37"/>
        <v>1658</v>
      </c>
      <c r="C659" s="476" t="s">
        <v>1053</v>
      </c>
      <c r="D659" t="s">
        <v>149</v>
      </c>
      <c r="E659" s="477">
        <v>2</v>
      </c>
      <c r="F659" s="471">
        <v>3</v>
      </c>
      <c r="G659">
        <v>1</v>
      </c>
      <c r="H659">
        <v>1</v>
      </c>
      <c r="I659" s="472">
        <f t="shared" si="35"/>
        <v>0.40033333333333337</v>
      </c>
      <c r="J659" s="153">
        <v>0.3706666666666667</v>
      </c>
      <c r="K659" s="153">
        <v>0.3666666666666667</v>
      </c>
      <c r="L659" s="153">
        <v>0.44799999999999995</v>
      </c>
      <c r="M659" s="153">
        <v>0.41600000000000009</v>
      </c>
      <c r="N659" s="472">
        <f t="shared" si="36"/>
        <v>0.40033333333333337</v>
      </c>
      <c r="O659" s="153">
        <v>0.3706666666666667</v>
      </c>
      <c r="P659" s="153">
        <v>0.3666666666666667</v>
      </c>
      <c r="Q659" s="153">
        <v>0.44799999999999995</v>
      </c>
      <c r="R659" s="153">
        <v>0.41600000000000009</v>
      </c>
      <c r="S659" s="153">
        <v>0.01</v>
      </c>
      <c r="T659" s="153">
        <v>0.02</v>
      </c>
      <c r="U659" s="478">
        <v>2018</v>
      </c>
      <c r="V659" s="24">
        <f>U659+20</f>
        <v>2038</v>
      </c>
      <c r="W659">
        <v>0</v>
      </c>
      <c r="X659">
        <v>0</v>
      </c>
      <c r="Y659">
        <v>1315</v>
      </c>
      <c r="Z659">
        <v>360</v>
      </c>
      <c r="AA659" s="475" t="s">
        <v>24</v>
      </c>
    </row>
    <row r="660" spans="1:27" ht="15" hidden="1">
      <c r="A660" s="24">
        <f t="shared" ref="A660:B679" si="38">1000+ROW()-1</f>
        <v>1659</v>
      </c>
      <c r="B660" s="24">
        <f t="shared" si="38"/>
        <v>1659</v>
      </c>
      <c r="C660" s="469" t="s">
        <v>1054</v>
      </c>
      <c r="D660" t="s">
        <v>146</v>
      </c>
      <c r="E660" s="470">
        <v>1</v>
      </c>
      <c r="F660" s="471">
        <v>9.5754716981132049</v>
      </c>
      <c r="G660">
        <v>1</v>
      </c>
      <c r="H660">
        <v>1</v>
      </c>
      <c r="I660" s="472">
        <f t="shared" si="35"/>
        <v>0.32845968612834514</v>
      </c>
      <c r="J660" s="153">
        <v>3.8473756479098807E-2</v>
      </c>
      <c r="K660" s="153">
        <v>0.39358026214566905</v>
      </c>
      <c r="L660" s="153">
        <v>0.53857526864315253</v>
      </c>
      <c r="M660" s="153">
        <v>0.3432094572454602</v>
      </c>
      <c r="N660" s="472">
        <f t="shared" si="36"/>
        <v>0.32845968612834514</v>
      </c>
      <c r="O660" s="153">
        <v>3.8473756479098807E-2</v>
      </c>
      <c r="P660" s="153">
        <v>0.39358026214566905</v>
      </c>
      <c r="Q660" s="153">
        <v>0.53857526864315253</v>
      </c>
      <c r="R660" s="153">
        <v>0.3432094572454602</v>
      </c>
      <c r="S660" s="153">
        <v>0.03</v>
      </c>
      <c r="T660" s="153">
        <v>0</v>
      </c>
      <c r="U660" s="474">
        <v>2011</v>
      </c>
      <c r="V660">
        <v>2030</v>
      </c>
      <c r="W660">
        <v>0</v>
      </c>
      <c r="X660">
        <v>0</v>
      </c>
      <c r="Y660">
        <v>1304</v>
      </c>
      <c r="Z660">
        <v>311</v>
      </c>
      <c r="AA660" s="475" t="s">
        <v>23</v>
      </c>
    </row>
    <row r="661" spans="1:27" ht="15" hidden="1">
      <c r="A661" s="24">
        <f t="shared" si="38"/>
        <v>1660</v>
      </c>
      <c r="B661" s="24">
        <f t="shared" si="38"/>
        <v>1660</v>
      </c>
      <c r="C661" s="476" t="s">
        <v>1055</v>
      </c>
      <c r="D661" t="s">
        <v>149</v>
      </c>
      <c r="E661" s="477">
        <v>2</v>
      </c>
      <c r="F661" s="471">
        <v>9</v>
      </c>
      <c r="G661">
        <v>1</v>
      </c>
      <c r="H661">
        <v>1</v>
      </c>
      <c r="I661" s="472">
        <f t="shared" si="35"/>
        <v>0.40033333333333337</v>
      </c>
      <c r="J661" s="153">
        <v>0.3706666666666667</v>
      </c>
      <c r="K661" s="153">
        <v>0.3666666666666667</v>
      </c>
      <c r="L661" s="153">
        <v>0.44799999999999995</v>
      </c>
      <c r="M661" s="153">
        <v>0.41600000000000009</v>
      </c>
      <c r="N661" s="472">
        <f t="shared" si="36"/>
        <v>0.40033333333333337</v>
      </c>
      <c r="O661" s="153">
        <v>0.3706666666666667</v>
      </c>
      <c r="P661" s="153">
        <v>0.3666666666666667</v>
      </c>
      <c r="Q661" s="153">
        <v>0.44799999999999995</v>
      </c>
      <c r="R661" s="153">
        <v>0.41600000000000009</v>
      </c>
      <c r="S661" s="153">
        <v>0.01</v>
      </c>
      <c r="T661" s="153">
        <v>0.02</v>
      </c>
      <c r="U661" s="478">
        <v>2018</v>
      </c>
      <c r="V661" s="24">
        <f t="shared" ref="V661:V666" si="39">U661+20</f>
        <v>2038</v>
      </c>
      <c r="W661">
        <v>0</v>
      </c>
      <c r="X661">
        <v>0</v>
      </c>
      <c r="Y661">
        <v>1315</v>
      </c>
      <c r="Z661">
        <v>360</v>
      </c>
      <c r="AA661" s="475" t="s">
        <v>24</v>
      </c>
    </row>
    <row r="662" spans="1:27" ht="15" hidden="1">
      <c r="A662" s="24">
        <f t="shared" si="38"/>
        <v>1661</v>
      </c>
      <c r="B662" s="24">
        <f t="shared" si="38"/>
        <v>1661</v>
      </c>
      <c r="C662" s="476" t="s">
        <v>1056</v>
      </c>
      <c r="D662" t="s">
        <v>149</v>
      </c>
      <c r="E662" s="477">
        <v>2</v>
      </c>
      <c r="F662" s="471">
        <v>9</v>
      </c>
      <c r="G662">
        <v>1</v>
      </c>
      <c r="H662">
        <v>1</v>
      </c>
      <c r="I662" s="472">
        <f t="shared" si="35"/>
        <v>0.40033333333333337</v>
      </c>
      <c r="J662" s="153">
        <v>0.3706666666666667</v>
      </c>
      <c r="K662" s="153">
        <v>0.3666666666666667</v>
      </c>
      <c r="L662" s="153">
        <v>0.44799999999999995</v>
      </c>
      <c r="M662" s="153">
        <v>0.41600000000000009</v>
      </c>
      <c r="N662" s="472">
        <f t="shared" si="36"/>
        <v>0.40033333333333337</v>
      </c>
      <c r="O662" s="153">
        <v>0.3706666666666667</v>
      </c>
      <c r="P662" s="153">
        <v>0.3666666666666667</v>
      </c>
      <c r="Q662" s="153">
        <v>0.44799999999999995</v>
      </c>
      <c r="R662" s="153">
        <v>0.41600000000000009</v>
      </c>
      <c r="S662" s="153">
        <v>0.01</v>
      </c>
      <c r="T662" s="153">
        <v>0.02</v>
      </c>
      <c r="U662" s="478">
        <v>2018</v>
      </c>
      <c r="V662" s="24">
        <f t="shared" si="39"/>
        <v>2038</v>
      </c>
      <c r="W662">
        <v>0</v>
      </c>
      <c r="X662">
        <v>0</v>
      </c>
      <c r="Y662">
        <v>1315</v>
      </c>
      <c r="Z662">
        <v>360</v>
      </c>
      <c r="AA662" s="475" t="s">
        <v>24</v>
      </c>
    </row>
    <row r="663" spans="1:27" ht="15" hidden="1">
      <c r="A663" s="24">
        <f t="shared" si="38"/>
        <v>1662</v>
      </c>
      <c r="B663" s="24">
        <f t="shared" si="38"/>
        <v>1662</v>
      </c>
      <c r="C663" s="476" t="s">
        <v>1057</v>
      </c>
      <c r="D663" t="s">
        <v>149</v>
      </c>
      <c r="E663" s="477">
        <v>2</v>
      </c>
      <c r="F663" s="471">
        <v>3</v>
      </c>
      <c r="G663">
        <v>1</v>
      </c>
      <c r="H663">
        <v>1</v>
      </c>
      <c r="I663" s="472">
        <f t="shared" si="35"/>
        <v>0.40033333333333337</v>
      </c>
      <c r="J663" s="153">
        <v>0.3706666666666667</v>
      </c>
      <c r="K663" s="153">
        <v>0.3666666666666667</v>
      </c>
      <c r="L663" s="153">
        <v>0.44799999999999995</v>
      </c>
      <c r="M663" s="153">
        <v>0.41600000000000009</v>
      </c>
      <c r="N663" s="472">
        <f t="shared" si="36"/>
        <v>0.40033333333333337</v>
      </c>
      <c r="O663" s="153">
        <v>0.3706666666666667</v>
      </c>
      <c r="P663" s="153">
        <v>0.3666666666666667</v>
      </c>
      <c r="Q663" s="153">
        <v>0.44799999999999995</v>
      </c>
      <c r="R663" s="153">
        <v>0.41600000000000009</v>
      </c>
      <c r="S663" s="153">
        <v>0.01</v>
      </c>
      <c r="T663" s="153">
        <v>0.02</v>
      </c>
      <c r="U663" s="478">
        <v>2018</v>
      </c>
      <c r="V663" s="24">
        <f t="shared" si="39"/>
        <v>2038</v>
      </c>
      <c r="W663">
        <v>0</v>
      </c>
      <c r="X663">
        <v>0</v>
      </c>
      <c r="Y663">
        <v>1315</v>
      </c>
      <c r="Z663">
        <v>360</v>
      </c>
      <c r="AA663" s="475" t="s">
        <v>24</v>
      </c>
    </row>
    <row r="664" spans="1:27" ht="15" hidden="1">
      <c r="A664" s="24">
        <f t="shared" si="38"/>
        <v>1663</v>
      </c>
      <c r="B664" s="24">
        <f t="shared" si="38"/>
        <v>1663</v>
      </c>
      <c r="C664" s="476" t="s">
        <v>1058</v>
      </c>
      <c r="D664" t="s">
        <v>149</v>
      </c>
      <c r="E664" s="477">
        <v>2</v>
      </c>
      <c r="F664" s="471">
        <v>3</v>
      </c>
      <c r="G664">
        <v>1</v>
      </c>
      <c r="H664">
        <v>1</v>
      </c>
      <c r="I664" s="472">
        <f t="shared" si="35"/>
        <v>0.40033333333333337</v>
      </c>
      <c r="J664" s="153">
        <v>0.3706666666666667</v>
      </c>
      <c r="K664" s="153">
        <v>0.3666666666666667</v>
      </c>
      <c r="L664" s="153">
        <v>0.44799999999999995</v>
      </c>
      <c r="M664" s="153">
        <v>0.41600000000000009</v>
      </c>
      <c r="N664" s="472">
        <f t="shared" si="36"/>
        <v>0.40033333333333337</v>
      </c>
      <c r="O664" s="153">
        <v>0.3706666666666667</v>
      </c>
      <c r="P664" s="153">
        <v>0.3666666666666667</v>
      </c>
      <c r="Q664" s="153">
        <v>0.44799999999999995</v>
      </c>
      <c r="R664" s="153">
        <v>0.41600000000000009</v>
      </c>
      <c r="S664" s="153">
        <v>0.01</v>
      </c>
      <c r="T664" s="153">
        <v>0.02</v>
      </c>
      <c r="U664" s="478">
        <v>2018</v>
      </c>
      <c r="V664" s="24">
        <f t="shared" si="39"/>
        <v>2038</v>
      </c>
      <c r="W664">
        <v>0</v>
      </c>
      <c r="X664">
        <v>0</v>
      </c>
      <c r="Y664">
        <v>1315</v>
      </c>
      <c r="Z664">
        <v>360</v>
      </c>
      <c r="AA664" s="475" t="s">
        <v>24</v>
      </c>
    </row>
    <row r="665" spans="1:27" ht="15" hidden="1">
      <c r="A665" s="24">
        <f t="shared" si="38"/>
        <v>1664</v>
      </c>
      <c r="B665" s="24">
        <f t="shared" si="38"/>
        <v>1664</v>
      </c>
      <c r="C665" s="476" t="s">
        <v>1059</v>
      </c>
      <c r="D665" t="s">
        <v>149</v>
      </c>
      <c r="E665" s="477">
        <v>2</v>
      </c>
      <c r="F665" s="471">
        <v>3</v>
      </c>
      <c r="G665">
        <v>1</v>
      </c>
      <c r="H665">
        <v>1</v>
      </c>
      <c r="I665" s="472">
        <f t="shared" si="35"/>
        <v>0.40033333333333337</v>
      </c>
      <c r="J665" s="153">
        <v>0.3706666666666667</v>
      </c>
      <c r="K665" s="153">
        <v>0.3666666666666667</v>
      </c>
      <c r="L665" s="153">
        <v>0.44799999999999995</v>
      </c>
      <c r="M665" s="153">
        <v>0.41600000000000009</v>
      </c>
      <c r="N665" s="472">
        <f t="shared" si="36"/>
        <v>0.40033333333333337</v>
      </c>
      <c r="O665" s="153">
        <v>0.3706666666666667</v>
      </c>
      <c r="P665" s="153">
        <v>0.3666666666666667</v>
      </c>
      <c r="Q665" s="153">
        <v>0.44799999999999995</v>
      </c>
      <c r="R665" s="153">
        <v>0.41600000000000009</v>
      </c>
      <c r="S665" s="153">
        <v>0.01</v>
      </c>
      <c r="T665" s="153">
        <v>0.02</v>
      </c>
      <c r="U665" s="478">
        <v>2018</v>
      </c>
      <c r="V665" s="24">
        <f t="shared" si="39"/>
        <v>2038</v>
      </c>
      <c r="W665">
        <v>0</v>
      </c>
      <c r="X665">
        <v>0</v>
      </c>
      <c r="Y665">
        <v>1315</v>
      </c>
      <c r="Z665">
        <v>360</v>
      </c>
      <c r="AA665" s="475" t="s">
        <v>24</v>
      </c>
    </row>
    <row r="666" spans="1:27" ht="15" hidden="1">
      <c r="A666" s="24">
        <f t="shared" si="38"/>
        <v>1665</v>
      </c>
      <c r="B666" s="24">
        <f t="shared" si="38"/>
        <v>1665</v>
      </c>
      <c r="C666" s="476" t="s">
        <v>1060</v>
      </c>
      <c r="D666" t="s">
        <v>149</v>
      </c>
      <c r="E666" s="477">
        <v>2</v>
      </c>
      <c r="F666" s="471">
        <v>6</v>
      </c>
      <c r="G666">
        <v>1</v>
      </c>
      <c r="H666">
        <v>1</v>
      </c>
      <c r="I666" s="472">
        <f t="shared" si="35"/>
        <v>0.40033333333333337</v>
      </c>
      <c r="J666" s="153">
        <v>0.3706666666666667</v>
      </c>
      <c r="K666" s="153">
        <v>0.3666666666666667</v>
      </c>
      <c r="L666" s="153">
        <v>0.44799999999999995</v>
      </c>
      <c r="M666" s="153">
        <v>0.41600000000000009</v>
      </c>
      <c r="N666" s="472">
        <f t="shared" si="36"/>
        <v>0.40033333333333337</v>
      </c>
      <c r="O666" s="153">
        <v>0.3706666666666667</v>
      </c>
      <c r="P666" s="153">
        <v>0.3666666666666667</v>
      </c>
      <c r="Q666" s="153">
        <v>0.44799999999999995</v>
      </c>
      <c r="R666" s="153">
        <v>0.41600000000000009</v>
      </c>
      <c r="S666" s="153">
        <v>0.01</v>
      </c>
      <c r="T666" s="153">
        <v>0.02</v>
      </c>
      <c r="U666" s="478">
        <v>2018</v>
      </c>
      <c r="V666" s="24">
        <f t="shared" si="39"/>
        <v>2038</v>
      </c>
      <c r="W666">
        <v>0</v>
      </c>
      <c r="X666">
        <v>0</v>
      </c>
      <c r="Y666">
        <v>1315</v>
      </c>
      <c r="Z666">
        <v>360</v>
      </c>
      <c r="AA666" s="475" t="s">
        <v>24</v>
      </c>
    </row>
    <row r="667" spans="1:27" ht="15" hidden="1">
      <c r="A667" s="24">
        <f t="shared" si="38"/>
        <v>1666</v>
      </c>
      <c r="B667" s="24">
        <f t="shared" si="38"/>
        <v>1666</v>
      </c>
      <c r="C667" s="469" t="s">
        <v>1061</v>
      </c>
      <c r="D667" t="s">
        <v>146</v>
      </c>
      <c r="E667" s="470">
        <v>1</v>
      </c>
      <c r="F667" s="471">
        <v>60.424528301886795</v>
      </c>
      <c r="G667">
        <v>1</v>
      </c>
      <c r="H667">
        <v>1</v>
      </c>
      <c r="I667" s="472">
        <f t="shared" si="35"/>
        <v>0.32845968612834514</v>
      </c>
      <c r="J667" s="153">
        <v>3.8473756479098807E-2</v>
      </c>
      <c r="K667" s="153">
        <v>0.39358026214566905</v>
      </c>
      <c r="L667" s="153">
        <v>0.53857526864315253</v>
      </c>
      <c r="M667" s="153">
        <v>0.3432094572454602</v>
      </c>
      <c r="N667" s="472">
        <f t="shared" si="36"/>
        <v>0.32845968612834514</v>
      </c>
      <c r="O667" s="153">
        <v>3.8473756479098807E-2</v>
      </c>
      <c r="P667" s="153">
        <v>0.39358026214566905</v>
      </c>
      <c r="Q667" s="153">
        <v>0.53857526864315253</v>
      </c>
      <c r="R667" s="153">
        <v>0.3432094572454602</v>
      </c>
      <c r="S667" s="153">
        <v>0.03</v>
      </c>
      <c r="T667" s="153">
        <v>0</v>
      </c>
      <c r="U667" s="474">
        <v>2018</v>
      </c>
      <c r="V667">
        <v>2023</v>
      </c>
      <c r="W667">
        <v>0</v>
      </c>
      <c r="X667">
        <v>0</v>
      </c>
      <c r="Y667">
        <v>1304</v>
      </c>
      <c r="Z667">
        <v>311</v>
      </c>
      <c r="AA667" s="475" t="s">
        <v>23</v>
      </c>
    </row>
    <row r="668" spans="1:27" ht="15" hidden="1">
      <c r="A668" s="24">
        <f t="shared" si="38"/>
        <v>1667</v>
      </c>
      <c r="B668" s="24">
        <f t="shared" si="38"/>
        <v>1667</v>
      </c>
      <c r="C668" s="469" t="s">
        <v>1062</v>
      </c>
      <c r="D668" t="s">
        <v>146</v>
      </c>
      <c r="E668" s="470">
        <v>1</v>
      </c>
      <c r="F668" s="471">
        <v>40.200000000000003</v>
      </c>
      <c r="G668">
        <v>1</v>
      </c>
      <c r="H668">
        <v>1</v>
      </c>
      <c r="I668" s="472">
        <f t="shared" si="35"/>
        <v>0.32845968612834514</v>
      </c>
      <c r="J668" s="153">
        <v>3.8473756479098807E-2</v>
      </c>
      <c r="K668" s="153">
        <v>0.39358026214566905</v>
      </c>
      <c r="L668" s="153">
        <v>0.53857526864315253</v>
      </c>
      <c r="M668" s="153">
        <v>0.3432094572454602</v>
      </c>
      <c r="N668" s="472">
        <f t="shared" si="36"/>
        <v>0.32845968612834514</v>
      </c>
      <c r="O668" s="153">
        <v>3.8473756479098807E-2</v>
      </c>
      <c r="P668" s="153">
        <v>0.39358026214566905</v>
      </c>
      <c r="Q668" s="153">
        <v>0.53857526864315253</v>
      </c>
      <c r="R668" s="153">
        <v>0.3432094572454602</v>
      </c>
      <c r="S668" s="153">
        <v>0.03</v>
      </c>
      <c r="T668" s="153">
        <v>0</v>
      </c>
      <c r="U668" s="474">
        <v>2008</v>
      </c>
      <c r="V668">
        <v>2023</v>
      </c>
      <c r="W668">
        <v>0</v>
      </c>
      <c r="X668">
        <v>0</v>
      </c>
      <c r="Y668">
        <v>1304</v>
      </c>
      <c r="Z668">
        <v>311</v>
      </c>
      <c r="AA668" s="475" t="s">
        <v>23</v>
      </c>
    </row>
    <row r="669" spans="1:27" ht="15" hidden="1">
      <c r="A669" s="24">
        <f t="shared" si="38"/>
        <v>1668</v>
      </c>
      <c r="B669" s="24">
        <f t="shared" si="38"/>
        <v>1668</v>
      </c>
      <c r="C669" s="476" t="s">
        <v>1063</v>
      </c>
      <c r="D669" t="s">
        <v>149</v>
      </c>
      <c r="E669" s="477">
        <v>2</v>
      </c>
      <c r="F669" s="471">
        <v>6</v>
      </c>
      <c r="G669">
        <v>1</v>
      </c>
      <c r="H669">
        <v>1</v>
      </c>
      <c r="I669" s="472">
        <f t="shared" si="35"/>
        <v>0.40033333333333337</v>
      </c>
      <c r="J669" s="153">
        <v>0.3706666666666667</v>
      </c>
      <c r="K669" s="153">
        <v>0.3666666666666667</v>
      </c>
      <c r="L669" s="153">
        <v>0.44799999999999995</v>
      </c>
      <c r="M669" s="153">
        <v>0.41600000000000009</v>
      </c>
      <c r="N669" s="472">
        <f t="shared" si="36"/>
        <v>0.40033333333333337</v>
      </c>
      <c r="O669" s="153">
        <v>0.3706666666666667</v>
      </c>
      <c r="P669" s="153">
        <v>0.3666666666666667</v>
      </c>
      <c r="Q669" s="153">
        <v>0.44799999999999995</v>
      </c>
      <c r="R669" s="153">
        <v>0.41600000000000009</v>
      </c>
      <c r="S669" s="153">
        <v>0.01</v>
      </c>
      <c r="T669" s="153">
        <v>0.02</v>
      </c>
      <c r="U669" s="478">
        <v>2018</v>
      </c>
      <c r="V669" s="24">
        <f t="shared" ref="V669:V675" si="40">U669+20</f>
        <v>2038</v>
      </c>
      <c r="W669">
        <v>0</v>
      </c>
      <c r="X669">
        <v>0</v>
      </c>
      <c r="Y669">
        <v>1315</v>
      </c>
      <c r="Z669">
        <v>360</v>
      </c>
      <c r="AA669" s="475" t="s">
        <v>24</v>
      </c>
    </row>
    <row r="670" spans="1:27" ht="15" hidden="1">
      <c r="A670" s="24">
        <f t="shared" si="38"/>
        <v>1669</v>
      </c>
      <c r="B670" s="24">
        <f t="shared" si="38"/>
        <v>1669</v>
      </c>
      <c r="C670" s="476" t="s">
        <v>1064</v>
      </c>
      <c r="D670" t="s">
        <v>149</v>
      </c>
      <c r="E670" s="477">
        <v>2</v>
      </c>
      <c r="F670" s="471">
        <v>6</v>
      </c>
      <c r="G670">
        <v>1</v>
      </c>
      <c r="H670">
        <v>1</v>
      </c>
      <c r="I670" s="472">
        <f t="shared" si="35"/>
        <v>0.40033333333333337</v>
      </c>
      <c r="J670" s="153">
        <v>0.3706666666666667</v>
      </c>
      <c r="K670" s="153">
        <v>0.3666666666666667</v>
      </c>
      <c r="L670" s="153">
        <v>0.44799999999999995</v>
      </c>
      <c r="M670" s="153">
        <v>0.41600000000000009</v>
      </c>
      <c r="N670" s="472">
        <f t="shared" si="36"/>
        <v>0.40033333333333337</v>
      </c>
      <c r="O670" s="153">
        <v>0.3706666666666667</v>
      </c>
      <c r="P670" s="153">
        <v>0.3666666666666667</v>
      </c>
      <c r="Q670" s="153">
        <v>0.44799999999999995</v>
      </c>
      <c r="R670" s="153">
        <v>0.41600000000000009</v>
      </c>
      <c r="S670" s="153">
        <v>0.01</v>
      </c>
      <c r="T670" s="153">
        <v>0.02</v>
      </c>
      <c r="U670" s="478">
        <v>2018</v>
      </c>
      <c r="V670" s="24">
        <f t="shared" si="40"/>
        <v>2038</v>
      </c>
      <c r="W670">
        <v>0</v>
      </c>
      <c r="X670">
        <v>0</v>
      </c>
      <c r="Y670">
        <v>1315</v>
      </c>
      <c r="Z670">
        <v>360</v>
      </c>
      <c r="AA670" s="475" t="s">
        <v>24</v>
      </c>
    </row>
    <row r="671" spans="1:27" ht="15" hidden="1">
      <c r="A671" s="24">
        <f t="shared" si="38"/>
        <v>1670</v>
      </c>
      <c r="B671" s="24">
        <f t="shared" si="38"/>
        <v>1670</v>
      </c>
      <c r="C671" s="476" t="s">
        <v>1065</v>
      </c>
      <c r="D671" t="s">
        <v>149</v>
      </c>
      <c r="E671" s="477">
        <v>2</v>
      </c>
      <c r="F671" s="471">
        <v>6</v>
      </c>
      <c r="G671">
        <v>1</v>
      </c>
      <c r="H671">
        <v>1</v>
      </c>
      <c r="I671" s="472">
        <f t="shared" si="35"/>
        <v>0.40033333333333337</v>
      </c>
      <c r="J671" s="153">
        <v>0.3706666666666667</v>
      </c>
      <c r="K671" s="153">
        <v>0.3666666666666667</v>
      </c>
      <c r="L671" s="153">
        <v>0.44799999999999995</v>
      </c>
      <c r="M671" s="153">
        <v>0.41600000000000009</v>
      </c>
      <c r="N671" s="472">
        <f t="shared" si="36"/>
        <v>0.40033333333333337</v>
      </c>
      <c r="O671" s="153">
        <v>0.3706666666666667</v>
      </c>
      <c r="P671" s="153">
        <v>0.3666666666666667</v>
      </c>
      <c r="Q671" s="153">
        <v>0.44799999999999995</v>
      </c>
      <c r="R671" s="153">
        <v>0.41600000000000009</v>
      </c>
      <c r="S671" s="153">
        <v>0.01</v>
      </c>
      <c r="T671" s="153">
        <v>0.02</v>
      </c>
      <c r="U671" s="478">
        <v>2018</v>
      </c>
      <c r="V671" s="24">
        <f t="shared" si="40"/>
        <v>2038</v>
      </c>
      <c r="W671">
        <v>0</v>
      </c>
      <c r="X671">
        <v>0</v>
      </c>
      <c r="Y671">
        <v>1315</v>
      </c>
      <c r="Z671">
        <v>360</v>
      </c>
      <c r="AA671" s="475" t="s">
        <v>24</v>
      </c>
    </row>
    <row r="672" spans="1:27" ht="15" hidden="1">
      <c r="A672" s="24">
        <f t="shared" si="38"/>
        <v>1671</v>
      </c>
      <c r="B672" s="24">
        <f t="shared" si="38"/>
        <v>1671</v>
      </c>
      <c r="C672" s="476" t="s">
        <v>1066</v>
      </c>
      <c r="D672" t="s">
        <v>149</v>
      </c>
      <c r="E672" s="477">
        <v>2</v>
      </c>
      <c r="F672" s="471">
        <v>6</v>
      </c>
      <c r="G672">
        <v>1</v>
      </c>
      <c r="H672">
        <v>1</v>
      </c>
      <c r="I672" s="472">
        <f t="shared" si="35"/>
        <v>0.40033333333333337</v>
      </c>
      <c r="J672" s="153">
        <v>0.3706666666666667</v>
      </c>
      <c r="K672" s="153">
        <v>0.3666666666666667</v>
      </c>
      <c r="L672" s="153">
        <v>0.44799999999999995</v>
      </c>
      <c r="M672" s="153">
        <v>0.41600000000000009</v>
      </c>
      <c r="N672" s="472">
        <f t="shared" si="36"/>
        <v>0.40033333333333337</v>
      </c>
      <c r="O672" s="153">
        <v>0.3706666666666667</v>
      </c>
      <c r="P672" s="153">
        <v>0.3666666666666667</v>
      </c>
      <c r="Q672" s="153">
        <v>0.44799999999999995</v>
      </c>
      <c r="R672" s="153">
        <v>0.41600000000000009</v>
      </c>
      <c r="S672" s="153">
        <v>0.01</v>
      </c>
      <c r="T672" s="153">
        <v>0.02</v>
      </c>
      <c r="U672" s="478">
        <v>2018</v>
      </c>
      <c r="V672" s="24">
        <f t="shared" si="40"/>
        <v>2038</v>
      </c>
      <c r="W672">
        <v>0</v>
      </c>
      <c r="X672">
        <v>0</v>
      </c>
      <c r="Y672">
        <v>1315</v>
      </c>
      <c r="Z672">
        <v>360</v>
      </c>
      <c r="AA672" s="475" t="s">
        <v>24</v>
      </c>
    </row>
    <row r="673" spans="1:27" ht="15" hidden="1">
      <c r="A673" s="24">
        <f t="shared" si="38"/>
        <v>1672</v>
      </c>
      <c r="B673" s="24">
        <f t="shared" si="38"/>
        <v>1672</v>
      </c>
      <c r="C673" s="476" t="s">
        <v>1067</v>
      </c>
      <c r="D673" t="s">
        <v>149</v>
      </c>
      <c r="E673" s="477">
        <v>2</v>
      </c>
      <c r="F673" s="471">
        <v>6</v>
      </c>
      <c r="G673">
        <v>1</v>
      </c>
      <c r="H673">
        <v>1</v>
      </c>
      <c r="I673" s="472">
        <f t="shared" si="35"/>
        <v>0.40033333333333337</v>
      </c>
      <c r="J673" s="153">
        <v>0.3706666666666667</v>
      </c>
      <c r="K673" s="153">
        <v>0.3666666666666667</v>
      </c>
      <c r="L673" s="153">
        <v>0.44799999999999995</v>
      </c>
      <c r="M673" s="153">
        <v>0.41600000000000009</v>
      </c>
      <c r="N673" s="472">
        <f t="shared" si="36"/>
        <v>0.40033333333333337</v>
      </c>
      <c r="O673" s="153">
        <v>0.3706666666666667</v>
      </c>
      <c r="P673" s="153">
        <v>0.3666666666666667</v>
      </c>
      <c r="Q673" s="153">
        <v>0.44799999999999995</v>
      </c>
      <c r="R673" s="153">
        <v>0.41600000000000009</v>
      </c>
      <c r="S673" s="153">
        <v>0.01</v>
      </c>
      <c r="T673" s="153">
        <v>0.02</v>
      </c>
      <c r="U673" s="478">
        <v>2018</v>
      </c>
      <c r="V673" s="24">
        <f t="shared" si="40"/>
        <v>2038</v>
      </c>
      <c r="W673">
        <v>0</v>
      </c>
      <c r="X673">
        <v>0</v>
      </c>
      <c r="Y673">
        <v>1315</v>
      </c>
      <c r="Z673">
        <v>360</v>
      </c>
      <c r="AA673" s="475" t="s">
        <v>24</v>
      </c>
    </row>
    <row r="674" spans="1:27" ht="15" hidden="1">
      <c r="A674" s="24">
        <f t="shared" si="38"/>
        <v>1673</v>
      </c>
      <c r="B674" s="24">
        <f t="shared" si="38"/>
        <v>1673</v>
      </c>
      <c r="C674" s="476" t="s">
        <v>1068</v>
      </c>
      <c r="D674" t="s">
        <v>149</v>
      </c>
      <c r="E674" s="477">
        <v>2</v>
      </c>
      <c r="F674" s="471">
        <v>6</v>
      </c>
      <c r="G674">
        <v>1</v>
      </c>
      <c r="H674">
        <v>1</v>
      </c>
      <c r="I674" s="472">
        <f t="shared" si="35"/>
        <v>0.40033333333333337</v>
      </c>
      <c r="J674" s="153">
        <v>0.3706666666666667</v>
      </c>
      <c r="K674" s="153">
        <v>0.3666666666666667</v>
      </c>
      <c r="L674" s="153">
        <v>0.44799999999999995</v>
      </c>
      <c r="M674" s="153">
        <v>0.41600000000000009</v>
      </c>
      <c r="N674" s="472">
        <f t="shared" si="36"/>
        <v>0.40033333333333337</v>
      </c>
      <c r="O674" s="153">
        <v>0.3706666666666667</v>
      </c>
      <c r="P674" s="153">
        <v>0.3666666666666667</v>
      </c>
      <c r="Q674" s="153">
        <v>0.44799999999999995</v>
      </c>
      <c r="R674" s="153">
        <v>0.41600000000000009</v>
      </c>
      <c r="S674" s="153">
        <v>0.01</v>
      </c>
      <c r="T674" s="153">
        <v>0.02</v>
      </c>
      <c r="U674" s="478">
        <v>2018</v>
      </c>
      <c r="V674" s="24">
        <f t="shared" si="40"/>
        <v>2038</v>
      </c>
      <c r="W674">
        <v>0</v>
      </c>
      <c r="X674">
        <v>0</v>
      </c>
      <c r="Y674">
        <v>1315</v>
      </c>
      <c r="Z674">
        <v>360</v>
      </c>
      <c r="AA674" s="475" t="s">
        <v>24</v>
      </c>
    </row>
    <row r="675" spans="1:27" ht="15" hidden="1">
      <c r="A675" s="24">
        <f t="shared" si="38"/>
        <v>1674</v>
      </c>
      <c r="B675" s="24">
        <f t="shared" si="38"/>
        <v>1674</v>
      </c>
      <c r="C675" s="476" t="s">
        <v>1069</v>
      </c>
      <c r="D675" t="s">
        <v>149</v>
      </c>
      <c r="E675" s="477">
        <v>2</v>
      </c>
      <c r="F675" s="471">
        <v>3</v>
      </c>
      <c r="G675">
        <v>1</v>
      </c>
      <c r="H675">
        <v>1</v>
      </c>
      <c r="I675" s="472">
        <f t="shared" si="35"/>
        <v>0.40033333333333337</v>
      </c>
      <c r="J675" s="153">
        <v>0.3706666666666667</v>
      </c>
      <c r="K675" s="153">
        <v>0.3666666666666667</v>
      </c>
      <c r="L675" s="153">
        <v>0.44799999999999995</v>
      </c>
      <c r="M675" s="153">
        <v>0.41600000000000009</v>
      </c>
      <c r="N675" s="472">
        <f t="shared" si="36"/>
        <v>0.40033333333333337</v>
      </c>
      <c r="O675" s="153">
        <v>0.3706666666666667</v>
      </c>
      <c r="P675" s="153">
        <v>0.3666666666666667</v>
      </c>
      <c r="Q675" s="153">
        <v>0.44799999999999995</v>
      </c>
      <c r="R675" s="153">
        <v>0.41600000000000009</v>
      </c>
      <c r="S675" s="153">
        <v>0.01</v>
      </c>
      <c r="T675" s="153">
        <v>0.02</v>
      </c>
      <c r="U675" s="478">
        <v>2018</v>
      </c>
      <c r="V675" s="24">
        <f t="shared" si="40"/>
        <v>2038</v>
      </c>
      <c r="W675">
        <v>0</v>
      </c>
      <c r="X675">
        <v>0</v>
      </c>
      <c r="Y675">
        <v>1315</v>
      </c>
      <c r="Z675">
        <v>360</v>
      </c>
      <c r="AA675" s="475" t="s">
        <v>24</v>
      </c>
    </row>
    <row r="676" spans="1:27" ht="15" hidden="1">
      <c r="A676" s="24">
        <f t="shared" si="38"/>
        <v>1675</v>
      </c>
      <c r="B676" s="24">
        <f t="shared" si="38"/>
        <v>1675</v>
      </c>
      <c r="C676" s="469" t="s">
        <v>1070</v>
      </c>
      <c r="D676" t="s">
        <v>146</v>
      </c>
      <c r="E676" s="470">
        <v>1</v>
      </c>
      <c r="F676" s="471">
        <v>0</v>
      </c>
      <c r="G676">
        <v>1</v>
      </c>
      <c r="H676">
        <v>1</v>
      </c>
      <c r="I676" s="472">
        <f t="shared" si="35"/>
        <v>0.32845968612834514</v>
      </c>
      <c r="J676" s="153">
        <v>3.8473756479098807E-2</v>
      </c>
      <c r="K676" s="153">
        <v>0.39358026214566905</v>
      </c>
      <c r="L676" s="153">
        <v>0.53857526864315253</v>
      </c>
      <c r="M676" s="153">
        <v>0.3432094572454602</v>
      </c>
      <c r="N676" s="472">
        <f t="shared" si="36"/>
        <v>0.32845968612834514</v>
      </c>
      <c r="O676" s="153">
        <v>3.8473756479098807E-2</v>
      </c>
      <c r="P676" s="153">
        <v>0.39358026214566905</v>
      </c>
      <c r="Q676" s="153">
        <v>0.53857526864315253</v>
      </c>
      <c r="R676" s="153">
        <v>0.3432094572454602</v>
      </c>
      <c r="S676" s="153">
        <v>0.03</v>
      </c>
      <c r="T676" s="153">
        <v>0</v>
      </c>
      <c r="U676" s="474">
        <v>2016</v>
      </c>
      <c r="V676">
        <v>2035</v>
      </c>
      <c r="W676">
        <v>0</v>
      </c>
      <c r="X676">
        <v>0</v>
      </c>
      <c r="Y676">
        <v>1304</v>
      </c>
      <c r="Z676">
        <v>311</v>
      </c>
      <c r="AA676" s="475" t="s">
        <v>23</v>
      </c>
    </row>
    <row r="677" spans="1:27" ht="15" hidden="1">
      <c r="A677" s="24">
        <f t="shared" si="38"/>
        <v>1676</v>
      </c>
      <c r="B677" s="24">
        <f t="shared" si="38"/>
        <v>1676</v>
      </c>
      <c r="C677" s="469" t="s">
        <v>1071</v>
      </c>
      <c r="D677" t="s">
        <v>146</v>
      </c>
      <c r="E677" s="470">
        <v>1</v>
      </c>
      <c r="F677" s="471">
        <v>2.8571657142857205</v>
      </c>
      <c r="G677">
        <v>1</v>
      </c>
      <c r="H677">
        <v>1</v>
      </c>
      <c r="I677" s="472">
        <f t="shared" si="35"/>
        <v>0.32845968612834514</v>
      </c>
      <c r="J677" s="153">
        <v>3.8473756479098807E-2</v>
      </c>
      <c r="K677" s="153">
        <v>0.39358026214566905</v>
      </c>
      <c r="L677" s="153">
        <v>0.53857526864315253</v>
      </c>
      <c r="M677" s="153">
        <v>0.3432094572454602</v>
      </c>
      <c r="N677" s="472">
        <f t="shared" si="36"/>
        <v>0.32845968612834514</v>
      </c>
      <c r="O677" s="153">
        <v>3.8473756479098807E-2</v>
      </c>
      <c r="P677" s="153">
        <v>0.39358026214566905</v>
      </c>
      <c r="Q677" s="153">
        <v>0.53857526864315253</v>
      </c>
      <c r="R677" s="153">
        <v>0.3432094572454602</v>
      </c>
      <c r="S677" s="153">
        <v>0.03</v>
      </c>
      <c r="T677" s="153">
        <v>0</v>
      </c>
      <c r="U677" s="474">
        <v>2010</v>
      </c>
      <c r="V677">
        <v>2023</v>
      </c>
      <c r="W677">
        <v>0</v>
      </c>
      <c r="X677">
        <v>0</v>
      </c>
      <c r="Y677">
        <v>1304</v>
      </c>
      <c r="Z677">
        <v>311</v>
      </c>
      <c r="AA677" s="475" t="s">
        <v>23</v>
      </c>
    </row>
    <row r="678" spans="1:27" ht="15" hidden="1">
      <c r="A678" s="24">
        <f t="shared" si="38"/>
        <v>1677</v>
      </c>
      <c r="B678" s="24">
        <f t="shared" si="38"/>
        <v>1677</v>
      </c>
      <c r="C678" s="469" t="s">
        <v>1072</v>
      </c>
      <c r="D678" t="s">
        <v>146</v>
      </c>
      <c r="E678" s="470">
        <v>1</v>
      </c>
      <c r="F678" s="471">
        <v>57.142834285714279</v>
      </c>
      <c r="G678">
        <v>1</v>
      </c>
      <c r="H678">
        <v>1</v>
      </c>
      <c r="I678" s="472">
        <f t="shared" si="35"/>
        <v>0.32845968612834514</v>
      </c>
      <c r="J678" s="153">
        <v>3.8473756479098807E-2</v>
      </c>
      <c r="K678" s="153">
        <v>0.39358026214566905</v>
      </c>
      <c r="L678" s="153">
        <v>0.53857526864315253</v>
      </c>
      <c r="M678" s="153">
        <v>0.3432094572454602</v>
      </c>
      <c r="N678" s="472">
        <f t="shared" si="36"/>
        <v>0.32845968612834514</v>
      </c>
      <c r="O678" s="153">
        <v>3.8473756479098807E-2</v>
      </c>
      <c r="P678" s="153">
        <v>0.39358026214566905</v>
      </c>
      <c r="Q678" s="153">
        <v>0.53857526864315253</v>
      </c>
      <c r="R678" s="153">
        <v>0.3432094572454602</v>
      </c>
      <c r="S678" s="153">
        <v>0.03</v>
      </c>
      <c r="T678" s="153">
        <v>0</v>
      </c>
      <c r="U678" s="474">
        <v>2011</v>
      </c>
      <c r="V678">
        <v>2030</v>
      </c>
      <c r="W678">
        <v>0</v>
      </c>
      <c r="X678">
        <v>0</v>
      </c>
      <c r="Y678">
        <v>1304</v>
      </c>
      <c r="Z678">
        <v>311</v>
      </c>
      <c r="AA678" s="475" t="s">
        <v>23</v>
      </c>
    </row>
    <row r="679" spans="1:27" ht="15" hidden="1">
      <c r="A679" s="24">
        <f t="shared" si="38"/>
        <v>1678</v>
      </c>
      <c r="B679" s="24">
        <f t="shared" si="38"/>
        <v>1678</v>
      </c>
      <c r="C679" s="476" t="s">
        <v>1073</v>
      </c>
      <c r="D679" t="s">
        <v>149</v>
      </c>
      <c r="E679" s="477">
        <v>2</v>
      </c>
      <c r="F679" s="471">
        <v>6</v>
      </c>
      <c r="G679">
        <v>1</v>
      </c>
      <c r="H679">
        <v>1</v>
      </c>
      <c r="I679" s="472">
        <f t="shared" si="35"/>
        <v>0.40033333333333337</v>
      </c>
      <c r="J679" s="153">
        <v>0.3706666666666667</v>
      </c>
      <c r="K679" s="153">
        <v>0.3666666666666667</v>
      </c>
      <c r="L679" s="153">
        <v>0.44799999999999995</v>
      </c>
      <c r="M679" s="153">
        <v>0.41600000000000009</v>
      </c>
      <c r="N679" s="472">
        <f t="shared" si="36"/>
        <v>0.40033333333333337</v>
      </c>
      <c r="O679" s="153">
        <v>0.3706666666666667</v>
      </c>
      <c r="P679" s="153">
        <v>0.3666666666666667</v>
      </c>
      <c r="Q679" s="153">
        <v>0.44799999999999995</v>
      </c>
      <c r="R679" s="153">
        <v>0.41600000000000009</v>
      </c>
      <c r="S679" s="153">
        <v>0.01</v>
      </c>
      <c r="T679" s="153">
        <v>0.02</v>
      </c>
      <c r="U679" s="478">
        <v>2018</v>
      </c>
      <c r="V679" s="24">
        <f>U679+20</f>
        <v>2038</v>
      </c>
      <c r="W679">
        <v>0</v>
      </c>
      <c r="X679">
        <v>0</v>
      </c>
      <c r="Y679">
        <v>1315</v>
      </c>
      <c r="Z679">
        <v>360</v>
      </c>
      <c r="AA679" s="475" t="s">
        <v>24</v>
      </c>
    </row>
    <row r="680" spans="1:27" ht="15" hidden="1">
      <c r="A680" s="24">
        <f t="shared" ref="A680:B699" si="41">1000+ROW()-1</f>
        <v>1679</v>
      </c>
      <c r="B680" s="24">
        <f t="shared" si="41"/>
        <v>1679</v>
      </c>
      <c r="C680" s="469" t="s">
        <v>1074</v>
      </c>
      <c r="D680" t="s">
        <v>146</v>
      </c>
      <c r="E680" s="470">
        <v>1</v>
      </c>
      <c r="F680" s="471">
        <v>17.391297391304349</v>
      </c>
      <c r="G680">
        <v>1</v>
      </c>
      <c r="H680">
        <v>1</v>
      </c>
      <c r="I680" s="472">
        <f t="shared" si="35"/>
        <v>0.32845968612834514</v>
      </c>
      <c r="J680" s="153">
        <v>3.8473756479098807E-2</v>
      </c>
      <c r="K680" s="153">
        <v>0.39358026214566905</v>
      </c>
      <c r="L680" s="153">
        <v>0.53857526864315253</v>
      </c>
      <c r="M680" s="153">
        <v>0.3432094572454602</v>
      </c>
      <c r="N680" s="472">
        <f t="shared" si="36"/>
        <v>0.32845968612834514</v>
      </c>
      <c r="O680" s="153">
        <v>3.8473756479098807E-2</v>
      </c>
      <c r="P680" s="153">
        <v>0.39358026214566905</v>
      </c>
      <c r="Q680" s="153">
        <v>0.53857526864315253</v>
      </c>
      <c r="R680" s="153">
        <v>0.3432094572454602</v>
      </c>
      <c r="S680" s="153">
        <v>0.03</v>
      </c>
      <c r="T680" s="153">
        <v>0</v>
      </c>
      <c r="U680" s="474">
        <v>2007</v>
      </c>
      <c r="V680">
        <v>2023</v>
      </c>
      <c r="W680">
        <v>0</v>
      </c>
      <c r="X680">
        <v>0</v>
      </c>
      <c r="Y680">
        <v>1304</v>
      </c>
      <c r="Z680">
        <v>311</v>
      </c>
      <c r="AA680" s="475" t="s">
        <v>23</v>
      </c>
    </row>
    <row r="681" spans="1:27" ht="15" hidden="1">
      <c r="A681" s="24">
        <f t="shared" si="41"/>
        <v>1680</v>
      </c>
      <c r="B681" s="24">
        <f t="shared" si="41"/>
        <v>1680</v>
      </c>
      <c r="C681" s="476" t="s">
        <v>1075</v>
      </c>
      <c r="D681" t="s">
        <v>149</v>
      </c>
      <c r="E681" s="477">
        <v>2</v>
      </c>
      <c r="F681" s="471">
        <v>3</v>
      </c>
      <c r="G681">
        <v>1</v>
      </c>
      <c r="H681">
        <v>1</v>
      </c>
      <c r="I681" s="472">
        <f t="shared" si="35"/>
        <v>0.40033333333333337</v>
      </c>
      <c r="J681" s="153">
        <v>0.3706666666666667</v>
      </c>
      <c r="K681" s="153">
        <v>0.3666666666666667</v>
      </c>
      <c r="L681" s="153">
        <v>0.44799999999999995</v>
      </c>
      <c r="M681" s="153">
        <v>0.41600000000000009</v>
      </c>
      <c r="N681" s="472">
        <f t="shared" si="36"/>
        <v>0.40033333333333337</v>
      </c>
      <c r="O681" s="153">
        <v>0.3706666666666667</v>
      </c>
      <c r="P681" s="153">
        <v>0.3666666666666667</v>
      </c>
      <c r="Q681" s="153">
        <v>0.44799999999999995</v>
      </c>
      <c r="R681" s="153">
        <v>0.41600000000000009</v>
      </c>
      <c r="S681" s="153">
        <v>0.01</v>
      </c>
      <c r="T681" s="153">
        <v>0.02</v>
      </c>
      <c r="U681" s="478">
        <v>2018</v>
      </c>
      <c r="V681" s="24">
        <f t="shared" ref="V681:V682" si="42">U681+20</f>
        <v>2038</v>
      </c>
      <c r="W681">
        <v>0</v>
      </c>
      <c r="X681">
        <v>0</v>
      </c>
      <c r="Y681">
        <v>1315</v>
      </c>
      <c r="Z681">
        <v>360</v>
      </c>
      <c r="AA681" s="475" t="s">
        <v>24</v>
      </c>
    </row>
    <row r="682" spans="1:27" ht="15" hidden="1">
      <c r="A682" s="24">
        <f t="shared" si="41"/>
        <v>1681</v>
      </c>
      <c r="B682" s="24">
        <f t="shared" si="41"/>
        <v>1681</v>
      </c>
      <c r="C682" s="476" t="s">
        <v>1076</v>
      </c>
      <c r="D682" t="s">
        <v>149</v>
      </c>
      <c r="E682" s="477">
        <v>2</v>
      </c>
      <c r="F682" s="471">
        <v>6</v>
      </c>
      <c r="G682">
        <v>1</v>
      </c>
      <c r="H682">
        <v>1</v>
      </c>
      <c r="I682" s="472">
        <f t="shared" si="35"/>
        <v>0.40033333333333337</v>
      </c>
      <c r="J682" s="153">
        <v>0.3706666666666667</v>
      </c>
      <c r="K682" s="153">
        <v>0.3666666666666667</v>
      </c>
      <c r="L682" s="153">
        <v>0.44799999999999995</v>
      </c>
      <c r="M682" s="153">
        <v>0.41600000000000009</v>
      </c>
      <c r="N682" s="472">
        <f t="shared" si="36"/>
        <v>0.40033333333333337</v>
      </c>
      <c r="O682" s="153">
        <v>0.3706666666666667</v>
      </c>
      <c r="P682" s="153">
        <v>0.3666666666666667</v>
      </c>
      <c r="Q682" s="153">
        <v>0.44799999999999995</v>
      </c>
      <c r="R682" s="153">
        <v>0.41600000000000009</v>
      </c>
      <c r="S682" s="153">
        <v>0.01</v>
      </c>
      <c r="T682" s="153">
        <v>0.02</v>
      </c>
      <c r="U682" s="478">
        <v>2018</v>
      </c>
      <c r="V682" s="24">
        <f t="shared" si="42"/>
        <v>2038</v>
      </c>
      <c r="W682">
        <v>0</v>
      </c>
      <c r="X682">
        <v>0</v>
      </c>
      <c r="Y682">
        <v>1315</v>
      </c>
      <c r="Z682">
        <v>360</v>
      </c>
      <c r="AA682" s="475" t="s">
        <v>24</v>
      </c>
    </row>
    <row r="683" spans="1:27" ht="15" hidden="1">
      <c r="A683" s="24">
        <f t="shared" si="41"/>
        <v>1682</v>
      </c>
      <c r="B683" s="24">
        <f t="shared" si="41"/>
        <v>1682</v>
      </c>
      <c r="C683" s="469" t="s">
        <v>1077</v>
      </c>
      <c r="D683" t="s">
        <v>146</v>
      </c>
      <c r="E683" s="470">
        <v>1</v>
      </c>
      <c r="F683" s="471">
        <v>62.608702608695651</v>
      </c>
      <c r="G683">
        <v>1</v>
      </c>
      <c r="H683">
        <v>1</v>
      </c>
      <c r="I683" s="472">
        <f t="shared" si="35"/>
        <v>0.32845968612834514</v>
      </c>
      <c r="J683" s="153">
        <v>3.8473756479098807E-2</v>
      </c>
      <c r="K683" s="153">
        <v>0.39358026214566905</v>
      </c>
      <c r="L683" s="153">
        <v>0.53857526864315253</v>
      </c>
      <c r="M683" s="153">
        <v>0.3432094572454602</v>
      </c>
      <c r="N683" s="472">
        <f t="shared" si="36"/>
        <v>0.32845968612834514</v>
      </c>
      <c r="O683" s="153">
        <v>3.8473756479098807E-2</v>
      </c>
      <c r="P683" s="153">
        <v>0.39358026214566905</v>
      </c>
      <c r="Q683" s="153">
        <v>0.53857526864315253</v>
      </c>
      <c r="R683" s="153">
        <v>0.3432094572454602</v>
      </c>
      <c r="S683" s="153">
        <v>0.03</v>
      </c>
      <c r="T683" s="153">
        <v>0</v>
      </c>
      <c r="U683" s="474">
        <v>2008</v>
      </c>
      <c r="V683">
        <v>2023</v>
      </c>
      <c r="W683">
        <v>0</v>
      </c>
      <c r="X683">
        <v>0</v>
      </c>
      <c r="Y683">
        <v>1304</v>
      </c>
      <c r="Z683">
        <v>311</v>
      </c>
      <c r="AA683" s="475" t="s">
        <v>23</v>
      </c>
    </row>
    <row r="684" spans="1:27" ht="15" hidden="1">
      <c r="A684" s="24">
        <f t="shared" si="41"/>
        <v>1683</v>
      </c>
      <c r="B684" s="24">
        <f t="shared" si="41"/>
        <v>1683</v>
      </c>
      <c r="C684" s="469" t="s">
        <v>1078</v>
      </c>
      <c r="D684" t="s">
        <v>146</v>
      </c>
      <c r="E684" s="470">
        <v>1</v>
      </c>
      <c r="F684" s="471">
        <v>8.6207862068965539</v>
      </c>
      <c r="G684">
        <v>1</v>
      </c>
      <c r="H684">
        <v>1</v>
      </c>
      <c r="I684" s="472">
        <f t="shared" si="35"/>
        <v>0.32845968612834514</v>
      </c>
      <c r="J684" s="153">
        <v>3.8473756479098807E-2</v>
      </c>
      <c r="K684" s="153">
        <v>0.39358026214566905</v>
      </c>
      <c r="L684" s="153">
        <v>0.53857526864315253</v>
      </c>
      <c r="M684" s="153">
        <v>0.3432094572454602</v>
      </c>
      <c r="N684" s="472">
        <f t="shared" si="36"/>
        <v>0.32845968612834514</v>
      </c>
      <c r="O684" s="153">
        <v>3.8473756479098807E-2</v>
      </c>
      <c r="P684" s="153">
        <v>0.39358026214566905</v>
      </c>
      <c r="Q684" s="153">
        <v>0.53857526864315253</v>
      </c>
      <c r="R684" s="153">
        <v>0.3432094572454602</v>
      </c>
      <c r="S684" s="153">
        <v>0.03</v>
      </c>
      <c r="T684" s="153">
        <v>0</v>
      </c>
      <c r="U684" s="474">
        <v>2010</v>
      </c>
      <c r="V684">
        <v>2023</v>
      </c>
      <c r="W684">
        <v>0</v>
      </c>
      <c r="X684">
        <v>0</v>
      </c>
      <c r="Y684">
        <v>1304</v>
      </c>
      <c r="Z684">
        <v>311</v>
      </c>
      <c r="AA684" s="475" t="s">
        <v>23</v>
      </c>
    </row>
    <row r="685" spans="1:27" ht="15" hidden="1">
      <c r="A685" s="24">
        <f t="shared" si="41"/>
        <v>1684</v>
      </c>
      <c r="B685" s="24">
        <f t="shared" si="41"/>
        <v>1684</v>
      </c>
      <c r="C685" s="469" t="s">
        <v>1079</v>
      </c>
      <c r="D685" t="s">
        <v>146</v>
      </c>
      <c r="E685" s="470">
        <v>1</v>
      </c>
      <c r="F685" s="471">
        <v>41.379213793103446</v>
      </c>
      <c r="G685">
        <v>1</v>
      </c>
      <c r="H685">
        <v>1</v>
      </c>
      <c r="I685" s="472">
        <f t="shared" si="35"/>
        <v>0.32845968612834514</v>
      </c>
      <c r="J685" s="153">
        <v>3.8473756479098807E-2</v>
      </c>
      <c r="K685" s="153">
        <v>0.39358026214566905</v>
      </c>
      <c r="L685" s="153">
        <v>0.53857526864315253</v>
      </c>
      <c r="M685" s="153">
        <v>0.3432094572454602</v>
      </c>
      <c r="N685" s="472">
        <f t="shared" si="36"/>
        <v>0.32845968612834514</v>
      </c>
      <c r="O685" s="153">
        <v>3.8473756479098807E-2</v>
      </c>
      <c r="P685" s="153">
        <v>0.39358026214566905</v>
      </c>
      <c r="Q685" s="153">
        <v>0.53857526864315253</v>
      </c>
      <c r="R685" s="153">
        <v>0.3432094572454602</v>
      </c>
      <c r="S685" s="153">
        <v>0.03</v>
      </c>
      <c r="T685" s="153">
        <v>0</v>
      </c>
      <c r="U685" s="474">
        <v>2009</v>
      </c>
      <c r="V685">
        <v>2023</v>
      </c>
      <c r="W685">
        <v>0</v>
      </c>
      <c r="X685">
        <v>0</v>
      </c>
      <c r="Y685">
        <v>1304</v>
      </c>
      <c r="Z685">
        <v>311</v>
      </c>
      <c r="AA685" s="475" t="s">
        <v>23</v>
      </c>
    </row>
    <row r="686" spans="1:27" ht="15" hidden="1">
      <c r="A686" s="24">
        <f t="shared" si="41"/>
        <v>1685</v>
      </c>
      <c r="B686" s="24">
        <f t="shared" si="41"/>
        <v>1685</v>
      </c>
      <c r="C686" s="469" t="s">
        <v>1080</v>
      </c>
      <c r="D686" t="s">
        <v>149</v>
      </c>
      <c r="E686" s="470">
        <v>2</v>
      </c>
      <c r="F686" s="471">
        <v>71.900000000000006</v>
      </c>
      <c r="G686">
        <v>1</v>
      </c>
      <c r="H686">
        <v>1</v>
      </c>
      <c r="I686" s="472">
        <f t="shared" si="35"/>
        <v>0.32845968612834514</v>
      </c>
      <c r="J686" s="153">
        <v>3.8473756479098807E-2</v>
      </c>
      <c r="K686" s="153">
        <v>0.39358026214566905</v>
      </c>
      <c r="L686" s="153">
        <v>0.53857526864315253</v>
      </c>
      <c r="M686" s="153">
        <v>0.3432094572454602</v>
      </c>
      <c r="N686" s="472">
        <f t="shared" si="36"/>
        <v>0.32845968612834514</v>
      </c>
      <c r="O686" s="153">
        <v>3.8473756479098807E-2</v>
      </c>
      <c r="P686" s="153">
        <v>0.39358026214566905</v>
      </c>
      <c r="Q686" s="153">
        <v>0.53857526864315253</v>
      </c>
      <c r="R686" s="153">
        <v>0.3432094572454602</v>
      </c>
      <c r="S686" s="153">
        <v>0.03</v>
      </c>
      <c r="T686" s="153">
        <v>0</v>
      </c>
      <c r="U686" s="474">
        <v>2009</v>
      </c>
      <c r="V686">
        <v>2023</v>
      </c>
      <c r="W686">
        <v>0</v>
      </c>
      <c r="X686">
        <v>0</v>
      </c>
      <c r="Y686">
        <v>1304</v>
      </c>
      <c r="Z686">
        <v>311</v>
      </c>
      <c r="AA686" s="475" t="s">
        <v>23</v>
      </c>
    </row>
    <row r="687" spans="1:27" ht="15" hidden="1">
      <c r="A687" s="24">
        <f t="shared" si="41"/>
        <v>1686</v>
      </c>
      <c r="B687" s="24">
        <f t="shared" si="41"/>
        <v>1686</v>
      </c>
      <c r="C687" s="469" t="s">
        <v>1081</v>
      </c>
      <c r="D687" t="s">
        <v>149</v>
      </c>
      <c r="E687" s="470">
        <v>2</v>
      </c>
      <c r="F687" s="471">
        <v>0</v>
      </c>
      <c r="G687">
        <v>1</v>
      </c>
      <c r="H687">
        <v>1</v>
      </c>
      <c r="I687" s="472">
        <f t="shared" si="35"/>
        <v>0.32845968612834514</v>
      </c>
      <c r="J687" s="153">
        <v>3.8473756479098807E-2</v>
      </c>
      <c r="K687" s="153">
        <v>0.39358026214566905</v>
      </c>
      <c r="L687" s="153">
        <v>0.53857526864315253</v>
      </c>
      <c r="M687" s="153">
        <v>0.3432094572454602</v>
      </c>
      <c r="N687" s="472">
        <f t="shared" si="36"/>
        <v>0.32845968612834514</v>
      </c>
      <c r="O687" s="153">
        <v>3.8473756479098807E-2</v>
      </c>
      <c r="P687" s="153">
        <v>0.39358026214566905</v>
      </c>
      <c r="Q687" s="153">
        <v>0.53857526864315253</v>
      </c>
      <c r="R687" s="153">
        <v>0.3432094572454602</v>
      </c>
      <c r="S687" s="153">
        <v>0.03</v>
      </c>
      <c r="T687" s="153">
        <v>0</v>
      </c>
      <c r="U687" s="474">
        <v>1900</v>
      </c>
      <c r="V687">
        <v>2030</v>
      </c>
      <c r="W687">
        <v>0</v>
      </c>
      <c r="X687">
        <v>0</v>
      </c>
      <c r="Y687">
        <v>1304</v>
      </c>
      <c r="Z687">
        <v>311</v>
      </c>
      <c r="AA687" s="475" t="s">
        <v>23</v>
      </c>
    </row>
    <row r="688" spans="1:27" ht="15" hidden="1">
      <c r="A688" s="24">
        <f t="shared" si="41"/>
        <v>1687</v>
      </c>
      <c r="B688" s="24">
        <f t="shared" si="41"/>
        <v>1687</v>
      </c>
      <c r="C688" s="476" t="s">
        <v>1082</v>
      </c>
      <c r="D688" t="s">
        <v>149</v>
      </c>
      <c r="E688" s="477">
        <v>2</v>
      </c>
      <c r="F688" s="471">
        <v>6</v>
      </c>
      <c r="G688">
        <v>1</v>
      </c>
      <c r="H688">
        <v>1</v>
      </c>
      <c r="I688" s="472">
        <f t="shared" si="35"/>
        <v>0.40033333333333337</v>
      </c>
      <c r="J688" s="153">
        <v>0.3706666666666667</v>
      </c>
      <c r="K688" s="153">
        <v>0.3666666666666667</v>
      </c>
      <c r="L688" s="153">
        <v>0.44799999999999995</v>
      </c>
      <c r="M688" s="153">
        <v>0.41600000000000009</v>
      </c>
      <c r="N688" s="472">
        <f t="shared" si="36"/>
        <v>0.40033333333333337</v>
      </c>
      <c r="O688" s="153">
        <v>0.3706666666666667</v>
      </c>
      <c r="P688" s="153">
        <v>0.3666666666666667</v>
      </c>
      <c r="Q688" s="153">
        <v>0.44799999999999995</v>
      </c>
      <c r="R688" s="153">
        <v>0.41600000000000009</v>
      </c>
      <c r="S688" s="153">
        <v>0.01</v>
      </c>
      <c r="T688" s="153">
        <v>0.02</v>
      </c>
      <c r="U688" s="478">
        <v>2018</v>
      </c>
      <c r="V688" s="24">
        <f t="shared" ref="V688:V695" si="43">U688+20</f>
        <v>2038</v>
      </c>
      <c r="W688">
        <v>0</v>
      </c>
      <c r="X688">
        <v>0</v>
      </c>
      <c r="Y688">
        <v>1315</v>
      </c>
      <c r="Z688">
        <v>360</v>
      </c>
      <c r="AA688" s="475" t="s">
        <v>24</v>
      </c>
    </row>
    <row r="689" spans="1:27" ht="15" hidden="1">
      <c r="A689" s="24">
        <f t="shared" si="41"/>
        <v>1688</v>
      </c>
      <c r="B689" s="24">
        <f t="shared" si="41"/>
        <v>1688</v>
      </c>
      <c r="C689" s="476" t="s">
        <v>1083</v>
      </c>
      <c r="D689" t="s">
        <v>149</v>
      </c>
      <c r="E689" s="477">
        <v>2</v>
      </c>
      <c r="F689" s="471">
        <v>6</v>
      </c>
      <c r="G689">
        <v>1</v>
      </c>
      <c r="H689">
        <v>1</v>
      </c>
      <c r="I689" s="472">
        <f t="shared" si="35"/>
        <v>0.40033333333333337</v>
      </c>
      <c r="J689" s="153">
        <v>0.3706666666666667</v>
      </c>
      <c r="K689" s="153">
        <v>0.3666666666666667</v>
      </c>
      <c r="L689" s="153">
        <v>0.44799999999999995</v>
      </c>
      <c r="M689" s="153">
        <v>0.41600000000000009</v>
      </c>
      <c r="N689" s="472">
        <f t="shared" si="36"/>
        <v>0.40033333333333337</v>
      </c>
      <c r="O689" s="153">
        <v>0.3706666666666667</v>
      </c>
      <c r="P689" s="153">
        <v>0.3666666666666667</v>
      </c>
      <c r="Q689" s="153">
        <v>0.44799999999999995</v>
      </c>
      <c r="R689" s="153">
        <v>0.41600000000000009</v>
      </c>
      <c r="S689" s="153">
        <v>0.01</v>
      </c>
      <c r="T689" s="153">
        <v>0.02</v>
      </c>
      <c r="U689" s="478">
        <v>2018</v>
      </c>
      <c r="V689" s="24">
        <f t="shared" si="43"/>
        <v>2038</v>
      </c>
      <c r="W689">
        <v>0</v>
      </c>
      <c r="X689">
        <v>0</v>
      </c>
      <c r="Y689">
        <v>1315</v>
      </c>
      <c r="Z689">
        <v>360</v>
      </c>
      <c r="AA689" s="475" t="s">
        <v>24</v>
      </c>
    </row>
    <row r="690" spans="1:27" ht="15" hidden="1">
      <c r="A690" s="24">
        <f t="shared" si="41"/>
        <v>1689</v>
      </c>
      <c r="B690" s="24">
        <f t="shared" si="41"/>
        <v>1689</v>
      </c>
      <c r="C690" s="476" t="s">
        <v>1084</v>
      </c>
      <c r="D690" t="s">
        <v>149</v>
      </c>
      <c r="E690" s="477">
        <v>2</v>
      </c>
      <c r="F690" s="471">
        <v>9</v>
      </c>
      <c r="G690">
        <v>1</v>
      </c>
      <c r="H690">
        <v>1</v>
      </c>
      <c r="I690" s="472">
        <f t="shared" si="35"/>
        <v>0.40033333333333337</v>
      </c>
      <c r="J690" s="153">
        <v>0.3706666666666667</v>
      </c>
      <c r="K690" s="153">
        <v>0.3666666666666667</v>
      </c>
      <c r="L690" s="153">
        <v>0.44799999999999995</v>
      </c>
      <c r="M690" s="153">
        <v>0.41600000000000009</v>
      </c>
      <c r="N690" s="472">
        <f t="shared" si="36"/>
        <v>0.40033333333333337</v>
      </c>
      <c r="O690" s="153">
        <v>0.3706666666666667</v>
      </c>
      <c r="P690" s="153">
        <v>0.3666666666666667</v>
      </c>
      <c r="Q690" s="153">
        <v>0.44799999999999995</v>
      </c>
      <c r="R690" s="153">
        <v>0.41600000000000009</v>
      </c>
      <c r="S690" s="153">
        <v>0.01</v>
      </c>
      <c r="T690" s="153">
        <v>0.02</v>
      </c>
      <c r="U690" s="478">
        <v>2018</v>
      </c>
      <c r="V690" s="24">
        <f t="shared" si="43"/>
        <v>2038</v>
      </c>
      <c r="W690">
        <v>0</v>
      </c>
      <c r="X690">
        <v>0</v>
      </c>
      <c r="Y690">
        <v>1315</v>
      </c>
      <c r="Z690">
        <v>360</v>
      </c>
      <c r="AA690" s="475" t="s">
        <v>24</v>
      </c>
    </row>
    <row r="691" spans="1:27" ht="15" hidden="1">
      <c r="A691" s="24">
        <f t="shared" si="41"/>
        <v>1690</v>
      </c>
      <c r="B691" s="24">
        <f t="shared" si="41"/>
        <v>1690</v>
      </c>
      <c r="C691" s="476" t="s">
        <v>1085</v>
      </c>
      <c r="D691" t="s">
        <v>149</v>
      </c>
      <c r="E691" s="477">
        <v>2</v>
      </c>
      <c r="F691" s="471">
        <v>6</v>
      </c>
      <c r="G691">
        <v>1</v>
      </c>
      <c r="H691">
        <v>1</v>
      </c>
      <c r="I691" s="472">
        <f t="shared" si="35"/>
        <v>0.40033333333333337</v>
      </c>
      <c r="J691" s="153">
        <v>0.3706666666666667</v>
      </c>
      <c r="K691" s="153">
        <v>0.3666666666666667</v>
      </c>
      <c r="L691" s="153">
        <v>0.44799999999999995</v>
      </c>
      <c r="M691" s="153">
        <v>0.41600000000000009</v>
      </c>
      <c r="N691" s="472">
        <f t="shared" si="36"/>
        <v>0.40033333333333337</v>
      </c>
      <c r="O691" s="153">
        <v>0.3706666666666667</v>
      </c>
      <c r="P691" s="153">
        <v>0.3666666666666667</v>
      </c>
      <c r="Q691" s="153">
        <v>0.44799999999999995</v>
      </c>
      <c r="R691" s="153">
        <v>0.41600000000000009</v>
      </c>
      <c r="S691" s="153">
        <v>0.01</v>
      </c>
      <c r="T691" s="153">
        <v>0.02</v>
      </c>
      <c r="U691" s="478">
        <v>2018</v>
      </c>
      <c r="V691" s="24">
        <f t="shared" si="43"/>
        <v>2038</v>
      </c>
      <c r="W691">
        <v>0</v>
      </c>
      <c r="X691">
        <v>0</v>
      </c>
      <c r="Y691">
        <v>1315</v>
      </c>
      <c r="Z691">
        <v>360</v>
      </c>
      <c r="AA691" s="475" t="s">
        <v>24</v>
      </c>
    </row>
    <row r="692" spans="1:27" ht="15" hidden="1">
      <c r="A692" s="24">
        <f t="shared" si="41"/>
        <v>1691</v>
      </c>
      <c r="B692" s="24">
        <f t="shared" si="41"/>
        <v>1691</v>
      </c>
      <c r="C692" s="476" t="s">
        <v>1086</v>
      </c>
      <c r="D692" t="s">
        <v>149</v>
      </c>
      <c r="E692" s="477">
        <v>2</v>
      </c>
      <c r="F692" s="471">
        <v>6</v>
      </c>
      <c r="G692">
        <v>1</v>
      </c>
      <c r="H692">
        <v>1</v>
      </c>
      <c r="I692" s="472">
        <f t="shared" si="35"/>
        <v>0.40033333333333337</v>
      </c>
      <c r="J692" s="153">
        <v>0.3706666666666667</v>
      </c>
      <c r="K692" s="153">
        <v>0.3666666666666667</v>
      </c>
      <c r="L692" s="153">
        <v>0.44799999999999995</v>
      </c>
      <c r="M692" s="153">
        <v>0.41600000000000009</v>
      </c>
      <c r="N692" s="472">
        <f t="shared" si="36"/>
        <v>0.40033333333333337</v>
      </c>
      <c r="O692" s="153">
        <v>0.3706666666666667</v>
      </c>
      <c r="P692" s="153">
        <v>0.3666666666666667</v>
      </c>
      <c r="Q692" s="153">
        <v>0.44799999999999995</v>
      </c>
      <c r="R692" s="153">
        <v>0.41600000000000009</v>
      </c>
      <c r="S692" s="153">
        <v>0.01</v>
      </c>
      <c r="T692" s="153">
        <v>0.02</v>
      </c>
      <c r="U692" s="478">
        <v>2018</v>
      </c>
      <c r="V692" s="24">
        <f t="shared" si="43"/>
        <v>2038</v>
      </c>
      <c r="W692">
        <v>0</v>
      </c>
      <c r="X692">
        <v>0</v>
      </c>
      <c r="Y692">
        <v>1315</v>
      </c>
      <c r="Z692">
        <v>360</v>
      </c>
      <c r="AA692" s="475" t="s">
        <v>24</v>
      </c>
    </row>
    <row r="693" spans="1:27" ht="15" hidden="1">
      <c r="A693" s="24">
        <f t="shared" si="41"/>
        <v>1692</v>
      </c>
      <c r="B693" s="24">
        <f t="shared" si="41"/>
        <v>1692</v>
      </c>
      <c r="C693" s="476" t="s">
        <v>1087</v>
      </c>
      <c r="D693" t="s">
        <v>149</v>
      </c>
      <c r="E693" s="477">
        <v>2</v>
      </c>
      <c r="F693" s="471">
        <v>6</v>
      </c>
      <c r="G693">
        <v>1</v>
      </c>
      <c r="H693">
        <v>1</v>
      </c>
      <c r="I693" s="472">
        <f t="shared" si="35"/>
        <v>0.40033333333333337</v>
      </c>
      <c r="J693" s="153">
        <v>0.3706666666666667</v>
      </c>
      <c r="K693" s="153">
        <v>0.3666666666666667</v>
      </c>
      <c r="L693" s="153">
        <v>0.44799999999999995</v>
      </c>
      <c r="M693" s="153">
        <v>0.41600000000000009</v>
      </c>
      <c r="N693" s="472">
        <f t="shared" si="36"/>
        <v>0.40033333333333337</v>
      </c>
      <c r="O693" s="153">
        <v>0.3706666666666667</v>
      </c>
      <c r="P693" s="153">
        <v>0.3666666666666667</v>
      </c>
      <c r="Q693" s="153">
        <v>0.44799999999999995</v>
      </c>
      <c r="R693" s="153">
        <v>0.41600000000000009</v>
      </c>
      <c r="S693" s="153">
        <v>0.01</v>
      </c>
      <c r="T693" s="153">
        <v>0.02</v>
      </c>
      <c r="U693" s="478">
        <v>2018</v>
      </c>
      <c r="V693" s="24">
        <f t="shared" si="43"/>
        <v>2038</v>
      </c>
      <c r="W693">
        <v>0</v>
      </c>
      <c r="X693">
        <v>0</v>
      </c>
      <c r="Y693">
        <v>1315</v>
      </c>
      <c r="Z693">
        <v>360</v>
      </c>
      <c r="AA693" s="475" t="s">
        <v>24</v>
      </c>
    </row>
    <row r="694" spans="1:27" ht="15" hidden="1">
      <c r="A694" s="24">
        <f t="shared" si="41"/>
        <v>1693</v>
      </c>
      <c r="B694" s="24">
        <f t="shared" si="41"/>
        <v>1693</v>
      </c>
      <c r="C694" s="476" t="s">
        <v>1088</v>
      </c>
      <c r="D694" t="s">
        <v>149</v>
      </c>
      <c r="E694" s="477">
        <v>2</v>
      </c>
      <c r="F694" s="471">
        <v>6</v>
      </c>
      <c r="G694">
        <v>1</v>
      </c>
      <c r="H694">
        <v>1</v>
      </c>
      <c r="I694" s="472">
        <f t="shared" si="35"/>
        <v>0.40033333333333337</v>
      </c>
      <c r="J694" s="153">
        <v>0.3706666666666667</v>
      </c>
      <c r="K694" s="153">
        <v>0.3666666666666667</v>
      </c>
      <c r="L694" s="153">
        <v>0.44799999999999995</v>
      </c>
      <c r="M694" s="153">
        <v>0.41600000000000009</v>
      </c>
      <c r="N694" s="472">
        <f t="shared" si="36"/>
        <v>0.40033333333333337</v>
      </c>
      <c r="O694" s="153">
        <v>0.3706666666666667</v>
      </c>
      <c r="P694" s="153">
        <v>0.3666666666666667</v>
      </c>
      <c r="Q694" s="153">
        <v>0.44799999999999995</v>
      </c>
      <c r="R694" s="153">
        <v>0.41600000000000009</v>
      </c>
      <c r="S694" s="153">
        <v>0.01</v>
      </c>
      <c r="T694" s="153">
        <v>0.02</v>
      </c>
      <c r="U694" s="478">
        <v>2018</v>
      </c>
      <c r="V694" s="24">
        <f t="shared" si="43"/>
        <v>2038</v>
      </c>
      <c r="W694">
        <v>0</v>
      </c>
      <c r="X694">
        <v>0</v>
      </c>
      <c r="Y694">
        <v>1315</v>
      </c>
      <c r="Z694">
        <v>360</v>
      </c>
      <c r="AA694" s="475" t="s">
        <v>24</v>
      </c>
    </row>
    <row r="695" spans="1:27" ht="15" hidden="1">
      <c r="A695" s="24">
        <f t="shared" si="41"/>
        <v>1694</v>
      </c>
      <c r="B695" s="24">
        <f t="shared" si="41"/>
        <v>1694</v>
      </c>
      <c r="C695" s="476" t="s">
        <v>1089</v>
      </c>
      <c r="D695" t="s">
        <v>152</v>
      </c>
      <c r="E695" s="477">
        <v>3</v>
      </c>
      <c r="F695" s="471">
        <v>28</v>
      </c>
      <c r="G695">
        <v>1</v>
      </c>
      <c r="H695">
        <v>1</v>
      </c>
      <c r="I695" s="472">
        <f t="shared" si="35"/>
        <v>0.26420000000000005</v>
      </c>
      <c r="J695" s="33">
        <v>0.29123333333333334</v>
      </c>
      <c r="K695" s="33">
        <f>0.296266666666667-0.07</f>
        <v>0.226266666666667</v>
      </c>
      <c r="L695" s="33">
        <f>0.3193-0.07</f>
        <v>0.24929999999999997</v>
      </c>
      <c r="M695" s="33">
        <v>0.28999999999999998</v>
      </c>
      <c r="N695" s="472">
        <f t="shared" si="36"/>
        <v>0.26420000000000005</v>
      </c>
      <c r="O695" s="33">
        <v>0.29123333333333334</v>
      </c>
      <c r="P695" s="33">
        <f>0.296266666666667-0.07</f>
        <v>0.226266666666667</v>
      </c>
      <c r="Q695" s="33">
        <f>0.3193-0.07</f>
        <v>0.24929999999999997</v>
      </c>
      <c r="R695" s="33">
        <v>0.28999999999999998</v>
      </c>
      <c r="S695" s="153">
        <v>0.04</v>
      </c>
      <c r="T695" s="153">
        <v>0</v>
      </c>
      <c r="U695" s="478">
        <v>2017</v>
      </c>
      <c r="V695" s="24">
        <f t="shared" si="43"/>
        <v>2037</v>
      </c>
      <c r="W695">
        <v>0</v>
      </c>
      <c r="X695">
        <v>0</v>
      </c>
      <c r="Y695">
        <v>1315</v>
      </c>
      <c r="Z695">
        <v>347</v>
      </c>
      <c r="AA695" s="475" t="s">
        <v>25</v>
      </c>
    </row>
    <row r="696" spans="1:27" ht="15" hidden="1">
      <c r="A696" s="24">
        <f t="shared" si="41"/>
        <v>1695</v>
      </c>
      <c r="B696" s="24">
        <f t="shared" si="41"/>
        <v>1695</v>
      </c>
      <c r="C696" s="469" t="s">
        <v>1090</v>
      </c>
      <c r="D696" t="s">
        <v>149</v>
      </c>
      <c r="E696" s="470">
        <v>2</v>
      </c>
      <c r="F696" s="471">
        <v>52</v>
      </c>
      <c r="G696">
        <v>1</v>
      </c>
      <c r="H696">
        <v>1</v>
      </c>
      <c r="I696" s="472">
        <f t="shared" si="35"/>
        <v>0.32845968612834514</v>
      </c>
      <c r="J696" s="153">
        <v>3.8473756479098807E-2</v>
      </c>
      <c r="K696" s="153">
        <v>0.39358026214566905</v>
      </c>
      <c r="L696" s="153">
        <v>0.53857526864315253</v>
      </c>
      <c r="M696" s="153">
        <v>0.3432094572454602</v>
      </c>
      <c r="N696" s="472">
        <f t="shared" si="36"/>
        <v>0.32845968612834514</v>
      </c>
      <c r="O696" s="153">
        <v>3.8473756479098807E-2</v>
      </c>
      <c r="P696" s="153">
        <v>0.39358026214566905</v>
      </c>
      <c r="Q696" s="153">
        <v>0.53857526864315253</v>
      </c>
      <c r="R696" s="153">
        <v>0.3432094572454602</v>
      </c>
      <c r="S696" s="153">
        <v>0.03</v>
      </c>
      <c r="T696" s="153">
        <v>0</v>
      </c>
      <c r="U696" s="474">
        <v>2010</v>
      </c>
      <c r="V696">
        <v>2023</v>
      </c>
      <c r="W696">
        <v>0</v>
      </c>
      <c r="X696">
        <v>0</v>
      </c>
      <c r="Y696">
        <v>1304</v>
      </c>
      <c r="Z696">
        <v>311</v>
      </c>
      <c r="AA696" s="475" t="s">
        <v>23</v>
      </c>
    </row>
    <row r="697" spans="1:27" ht="15" hidden="1">
      <c r="A697" s="24">
        <f t="shared" si="41"/>
        <v>1696</v>
      </c>
      <c r="B697" s="24">
        <f t="shared" si="41"/>
        <v>1696</v>
      </c>
      <c r="C697" s="469" t="s">
        <v>1091</v>
      </c>
      <c r="D697" t="s">
        <v>149</v>
      </c>
      <c r="E697" s="470">
        <v>2</v>
      </c>
      <c r="F697" s="471">
        <v>0</v>
      </c>
      <c r="G697">
        <v>1</v>
      </c>
      <c r="H697">
        <v>1</v>
      </c>
      <c r="I697" s="472">
        <f t="shared" si="35"/>
        <v>0.32845968612834514</v>
      </c>
      <c r="J697" s="153">
        <v>3.8473756479098807E-2</v>
      </c>
      <c r="K697" s="153">
        <v>0.39358026214566905</v>
      </c>
      <c r="L697" s="153">
        <v>0.53857526864315253</v>
      </c>
      <c r="M697" s="153">
        <v>0.3432094572454602</v>
      </c>
      <c r="N697" s="472">
        <f t="shared" si="36"/>
        <v>0.32845968612834514</v>
      </c>
      <c r="O697" s="153">
        <v>3.8473756479098807E-2</v>
      </c>
      <c r="P697" s="153">
        <v>0.39358026214566905</v>
      </c>
      <c r="Q697" s="153">
        <v>0.53857526864315253</v>
      </c>
      <c r="R697" s="153">
        <v>0.3432094572454602</v>
      </c>
      <c r="S697" s="153">
        <v>0.03</v>
      </c>
      <c r="T697" s="153">
        <v>0</v>
      </c>
      <c r="U697" s="474">
        <v>1900</v>
      </c>
      <c r="V697">
        <v>2030</v>
      </c>
      <c r="W697">
        <v>0</v>
      </c>
      <c r="X697">
        <v>0</v>
      </c>
      <c r="Y697">
        <v>1304</v>
      </c>
      <c r="Z697">
        <v>311</v>
      </c>
      <c r="AA697" s="475" t="s">
        <v>23</v>
      </c>
    </row>
    <row r="698" spans="1:27" ht="15" hidden="1">
      <c r="A698" s="24">
        <f t="shared" si="41"/>
        <v>1697</v>
      </c>
      <c r="B698" s="24">
        <f t="shared" si="41"/>
        <v>1697</v>
      </c>
      <c r="C698" s="469" t="s">
        <v>1092</v>
      </c>
      <c r="D698" t="s">
        <v>146</v>
      </c>
      <c r="E698" s="470">
        <v>1</v>
      </c>
      <c r="F698" s="471">
        <v>12.098000000000001</v>
      </c>
      <c r="G698">
        <v>1</v>
      </c>
      <c r="H698">
        <v>1</v>
      </c>
      <c r="I698" s="472">
        <f t="shared" si="35"/>
        <v>0.32845968612834514</v>
      </c>
      <c r="J698" s="153">
        <v>3.8473756479098807E-2</v>
      </c>
      <c r="K698" s="153">
        <v>0.39358026214566905</v>
      </c>
      <c r="L698" s="153">
        <v>0.53857526864315253</v>
      </c>
      <c r="M698" s="153">
        <v>0.3432094572454602</v>
      </c>
      <c r="N698" s="472">
        <f t="shared" si="36"/>
        <v>0.32845968612834514</v>
      </c>
      <c r="O698" s="153">
        <v>3.8473756479098807E-2</v>
      </c>
      <c r="P698" s="153">
        <v>0.39358026214566905</v>
      </c>
      <c r="Q698" s="153">
        <v>0.53857526864315253</v>
      </c>
      <c r="R698" s="153">
        <v>0.3432094572454602</v>
      </c>
      <c r="S698" s="153">
        <v>0.03</v>
      </c>
      <c r="T698" s="153">
        <v>0</v>
      </c>
      <c r="U698" s="474">
        <v>2010</v>
      </c>
      <c r="V698">
        <v>2023</v>
      </c>
      <c r="W698">
        <v>0</v>
      </c>
      <c r="X698">
        <v>0</v>
      </c>
      <c r="Y698">
        <v>1304</v>
      </c>
      <c r="Z698">
        <v>311</v>
      </c>
      <c r="AA698" s="475" t="s">
        <v>23</v>
      </c>
    </row>
    <row r="699" spans="1:27" ht="15" hidden="1">
      <c r="A699" s="24">
        <f t="shared" si="41"/>
        <v>1698</v>
      </c>
      <c r="B699" s="24">
        <f t="shared" si="41"/>
        <v>1698</v>
      </c>
      <c r="C699" s="469" t="s">
        <v>1093</v>
      </c>
      <c r="D699" t="s">
        <v>146</v>
      </c>
      <c r="E699" s="470">
        <v>1</v>
      </c>
      <c r="F699" s="471">
        <v>0</v>
      </c>
      <c r="G699">
        <v>1</v>
      </c>
      <c r="H699">
        <v>1</v>
      </c>
      <c r="I699" s="472">
        <f t="shared" si="35"/>
        <v>0.32845968612834514</v>
      </c>
      <c r="J699" s="153">
        <v>3.8473756479098807E-2</v>
      </c>
      <c r="K699" s="153">
        <v>0.39358026214566905</v>
      </c>
      <c r="L699" s="153">
        <v>0.53857526864315253</v>
      </c>
      <c r="M699" s="153">
        <v>0.3432094572454602</v>
      </c>
      <c r="N699" s="472">
        <f t="shared" si="36"/>
        <v>0.32845968612834514</v>
      </c>
      <c r="O699" s="153">
        <v>3.8473756479098807E-2</v>
      </c>
      <c r="P699" s="153">
        <v>0.39358026214566905</v>
      </c>
      <c r="Q699" s="153">
        <v>0.53857526864315253</v>
      </c>
      <c r="R699" s="153">
        <v>0.3432094572454602</v>
      </c>
      <c r="S699" s="153">
        <v>0.03</v>
      </c>
      <c r="T699" s="153">
        <v>0</v>
      </c>
      <c r="U699" s="474">
        <v>1900</v>
      </c>
      <c r="V699">
        <v>2030</v>
      </c>
      <c r="W699">
        <v>0</v>
      </c>
      <c r="X699">
        <v>0</v>
      </c>
      <c r="Y699">
        <v>1304</v>
      </c>
      <c r="Z699">
        <v>311</v>
      </c>
      <c r="AA699" s="475" t="s">
        <v>23</v>
      </c>
    </row>
    <row r="700" spans="1:27" ht="15" hidden="1">
      <c r="A700" s="24">
        <f t="shared" ref="A700:B719" si="44">1000+ROW()-1</f>
        <v>1699</v>
      </c>
      <c r="B700" s="24">
        <f t="shared" si="44"/>
        <v>1699</v>
      </c>
      <c r="C700" s="469" t="s">
        <v>1094</v>
      </c>
      <c r="D700" t="s">
        <v>149</v>
      </c>
      <c r="E700" s="470">
        <v>2</v>
      </c>
      <c r="F700" s="471">
        <v>5</v>
      </c>
      <c r="G700">
        <v>1</v>
      </c>
      <c r="H700">
        <v>1</v>
      </c>
      <c r="I700" s="472">
        <f t="shared" si="35"/>
        <v>0.32845968612834514</v>
      </c>
      <c r="J700" s="153">
        <v>3.8473756479098807E-2</v>
      </c>
      <c r="K700" s="153">
        <v>0.39358026214566905</v>
      </c>
      <c r="L700" s="153">
        <v>0.53857526864315253</v>
      </c>
      <c r="M700" s="153">
        <v>0.3432094572454602</v>
      </c>
      <c r="N700" s="472">
        <f t="shared" si="36"/>
        <v>0.32845968612834514</v>
      </c>
      <c r="O700" s="153">
        <v>3.8473756479098807E-2</v>
      </c>
      <c r="P700" s="153">
        <v>0.39358026214566905</v>
      </c>
      <c r="Q700" s="153">
        <v>0.53857526864315253</v>
      </c>
      <c r="R700" s="153">
        <v>0.3432094572454602</v>
      </c>
      <c r="S700" s="153">
        <v>0.03</v>
      </c>
      <c r="T700" s="153">
        <v>0</v>
      </c>
      <c r="U700" s="474">
        <v>1900</v>
      </c>
      <c r="V700">
        <v>2030</v>
      </c>
      <c r="W700">
        <v>0</v>
      </c>
      <c r="X700">
        <v>0</v>
      </c>
      <c r="Y700">
        <v>1304</v>
      </c>
      <c r="Z700">
        <v>311</v>
      </c>
      <c r="AA700" s="475" t="s">
        <v>23</v>
      </c>
    </row>
    <row r="701" spans="1:27" ht="15" hidden="1">
      <c r="A701" s="24">
        <f t="shared" si="44"/>
        <v>1700</v>
      </c>
      <c r="B701" s="24">
        <f t="shared" si="44"/>
        <v>1700</v>
      </c>
      <c r="C701" s="469" t="s">
        <v>1095</v>
      </c>
      <c r="D701" t="s">
        <v>149</v>
      </c>
      <c r="E701" s="470">
        <v>2</v>
      </c>
      <c r="F701" s="471">
        <v>0</v>
      </c>
      <c r="G701">
        <v>1</v>
      </c>
      <c r="H701">
        <v>1</v>
      </c>
      <c r="I701" s="472">
        <f t="shared" si="35"/>
        <v>0.32845968612834514</v>
      </c>
      <c r="J701" s="153">
        <v>3.8473756479098807E-2</v>
      </c>
      <c r="K701" s="153">
        <v>0.39358026214566905</v>
      </c>
      <c r="L701" s="153">
        <v>0.53857526864315253</v>
      </c>
      <c r="M701" s="153">
        <v>0.3432094572454602</v>
      </c>
      <c r="N701" s="472">
        <f t="shared" si="36"/>
        <v>0.32845968612834514</v>
      </c>
      <c r="O701" s="153">
        <v>3.8473756479098807E-2</v>
      </c>
      <c r="P701" s="153">
        <v>0.39358026214566905</v>
      </c>
      <c r="Q701" s="153">
        <v>0.53857526864315253</v>
      </c>
      <c r="R701" s="153">
        <v>0.3432094572454602</v>
      </c>
      <c r="S701" s="153">
        <v>0.03</v>
      </c>
      <c r="T701" s="153">
        <v>0</v>
      </c>
      <c r="U701" s="474">
        <v>1900</v>
      </c>
      <c r="V701">
        <v>2030</v>
      </c>
      <c r="W701">
        <v>0</v>
      </c>
      <c r="X701">
        <v>0</v>
      </c>
      <c r="Y701">
        <v>1304</v>
      </c>
      <c r="Z701">
        <v>311</v>
      </c>
      <c r="AA701" s="475" t="s">
        <v>23</v>
      </c>
    </row>
    <row r="702" spans="1:27" ht="15" hidden="1">
      <c r="A702" s="24">
        <f t="shared" si="44"/>
        <v>1701</v>
      </c>
      <c r="B702" s="24">
        <f t="shared" si="44"/>
        <v>1701</v>
      </c>
      <c r="C702" s="469" t="s">
        <v>1096</v>
      </c>
      <c r="D702" t="s">
        <v>146</v>
      </c>
      <c r="E702" s="470">
        <v>1</v>
      </c>
      <c r="F702" s="471">
        <v>60</v>
      </c>
      <c r="G702">
        <v>1</v>
      </c>
      <c r="H702">
        <v>1</v>
      </c>
      <c r="I702" s="472">
        <f t="shared" si="35"/>
        <v>0.32845968612834514</v>
      </c>
      <c r="J702" s="153">
        <v>3.8473756479098807E-2</v>
      </c>
      <c r="K702" s="153">
        <v>0.39358026214566905</v>
      </c>
      <c r="L702" s="153">
        <v>0.53857526864315253</v>
      </c>
      <c r="M702" s="153">
        <v>0.3432094572454602</v>
      </c>
      <c r="N702" s="472">
        <f t="shared" si="36"/>
        <v>0.32845968612834514</v>
      </c>
      <c r="O702" s="153">
        <v>3.8473756479098807E-2</v>
      </c>
      <c r="P702" s="153">
        <v>0.39358026214566905</v>
      </c>
      <c r="Q702" s="153">
        <v>0.53857526864315253</v>
      </c>
      <c r="R702" s="153">
        <v>0.3432094572454602</v>
      </c>
      <c r="S702" s="153">
        <v>0.03</v>
      </c>
      <c r="T702" s="153">
        <v>0</v>
      </c>
      <c r="U702" s="474">
        <v>2009</v>
      </c>
      <c r="V702">
        <v>2023</v>
      </c>
      <c r="W702">
        <v>0</v>
      </c>
      <c r="X702">
        <v>0</v>
      </c>
      <c r="Y702">
        <v>1304</v>
      </c>
      <c r="Z702">
        <v>311</v>
      </c>
      <c r="AA702" s="475" t="s">
        <v>23</v>
      </c>
    </row>
    <row r="703" spans="1:27" ht="15" hidden="1">
      <c r="A703" s="24">
        <f t="shared" si="44"/>
        <v>1702</v>
      </c>
      <c r="B703" s="24">
        <f t="shared" si="44"/>
        <v>1702</v>
      </c>
      <c r="C703" s="469" t="s">
        <v>1097</v>
      </c>
      <c r="D703" t="s">
        <v>146</v>
      </c>
      <c r="E703" s="470">
        <v>1</v>
      </c>
      <c r="F703" s="471">
        <v>0</v>
      </c>
      <c r="G703">
        <v>1</v>
      </c>
      <c r="H703">
        <v>1</v>
      </c>
      <c r="I703" s="472">
        <f t="shared" si="35"/>
        <v>0.32845968612834514</v>
      </c>
      <c r="J703" s="153">
        <v>3.8473756479098807E-2</v>
      </c>
      <c r="K703" s="153">
        <v>0.39358026214566905</v>
      </c>
      <c r="L703" s="153">
        <v>0.53857526864315253</v>
      </c>
      <c r="M703" s="153">
        <v>0.3432094572454602</v>
      </c>
      <c r="N703" s="472">
        <f t="shared" si="36"/>
        <v>0.32845968612834514</v>
      </c>
      <c r="O703" s="153">
        <v>3.8473756479098807E-2</v>
      </c>
      <c r="P703" s="153">
        <v>0.39358026214566905</v>
      </c>
      <c r="Q703" s="153">
        <v>0.53857526864315253</v>
      </c>
      <c r="R703" s="153">
        <v>0.3432094572454602</v>
      </c>
      <c r="S703" s="153">
        <v>0.03</v>
      </c>
      <c r="T703" s="153">
        <v>0</v>
      </c>
      <c r="U703" s="474">
        <v>2016</v>
      </c>
      <c r="V703">
        <v>2035</v>
      </c>
      <c r="W703">
        <v>0</v>
      </c>
      <c r="X703">
        <v>0</v>
      </c>
      <c r="Y703">
        <v>1304</v>
      </c>
      <c r="Z703">
        <v>311</v>
      </c>
      <c r="AA703" s="475" t="s">
        <v>23</v>
      </c>
    </row>
    <row r="704" spans="1:27" ht="15" hidden="1">
      <c r="A704" s="24">
        <f t="shared" si="44"/>
        <v>1703</v>
      </c>
      <c r="B704" s="24">
        <f t="shared" si="44"/>
        <v>1703</v>
      </c>
      <c r="C704" s="469" t="s">
        <v>1098</v>
      </c>
      <c r="D704" t="s">
        <v>146</v>
      </c>
      <c r="E704" s="470">
        <v>1</v>
      </c>
      <c r="F704" s="471">
        <v>40</v>
      </c>
      <c r="G704">
        <v>1</v>
      </c>
      <c r="H704">
        <v>1</v>
      </c>
      <c r="I704" s="472">
        <f t="shared" si="35"/>
        <v>0.32845968612834514</v>
      </c>
      <c r="J704" s="153">
        <v>3.8473756479098807E-2</v>
      </c>
      <c r="K704" s="153">
        <v>0.39358026214566905</v>
      </c>
      <c r="L704" s="153">
        <v>0.53857526864315253</v>
      </c>
      <c r="M704" s="153">
        <v>0.3432094572454602</v>
      </c>
      <c r="N704" s="472">
        <f t="shared" si="36"/>
        <v>0.32845968612834514</v>
      </c>
      <c r="O704" s="153">
        <v>3.8473756479098807E-2</v>
      </c>
      <c r="P704" s="153">
        <v>0.39358026214566905</v>
      </c>
      <c r="Q704" s="153">
        <v>0.53857526864315253</v>
      </c>
      <c r="R704" s="153">
        <v>0.3432094572454602</v>
      </c>
      <c r="S704" s="153">
        <v>0.03</v>
      </c>
      <c r="T704" s="153">
        <v>0</v>
      </c>
      <c r="U704" s="474">
        <v>2014</v>
      </c>
      <c r="V704">
        <v>2030</v>
      </c>
      <c r="W704">
        <v>0</v>
      </c>
      <c r="X704">
        <v>0</v>
      </c>
      <c r="Y704">
        <v>1304</v>
      </c>
      <c r="Z704">
        <v>311</v>
      </c>
      <c r="AA704" s="475" t="s">
        <v>23</v>
      </c>
    </row>
    <row r="705" spans="1:27" ht="15" hidden="1">
      <c r="A705" s="24">
        <f t="shared" si="44"/>
        <v>1704</v>
      </c>
      <c r="B705" s="24">
        <f t="shared" si="44"/>
        <v>1704</v>
      </c>
      <c r="C705" s="476" t="s">
        <v>1099</v>
      </c>
      <c r="D705" t="s">
        <v>149</v>
      </c>
      <c r="E705" s="477">
        <v>2</v>
      </c>
      <c r="F705" s="471">
        <v>9</v>
      </c>
      <c r="G705">
        <v>1</v>
      </c>
      <c r="H705">
        <v>1</v>
      </c>
      <c r="I705" s="472">
        <f t="shared" si="35"/>
        <v>0.40033333333333337</v>
      </c>
      <c r="J705" s="153">
        <v>0.3706666666666667</v>
      </c>
      <c r="K705" s="153">
        <v>0.3666666666666667</v>
      </c>
      <c r="L705" s="153">
        <v>0.44799999999999995</v>
      </c>
      <c r="M705" s="153">
        <v>0.41600000000000009</v>
      </c>
      <c r="N705" s="472">
        <f t="shared" si="36"/>
        <v>0.40033333333333337</v>
      </c>
      <c r="O705" s="153">
        <v>0.3706666666666667</v>
      </c>
      <c r="P705" s="153">
        <v>0.3666666666666667</v>
      </c>
      <c r="Q705" s="153">
        <v>0.44799999999999995</v>
      </c>
      <c r="R705" s="153">
        <v>0.41600000000000009</v>
      </c>
      <c r="S705" s="153">
        <v>0.01</v>
      </c>
      <c r="T705" s="153">
        <v>0.02</v>
      </c>
      <c r="U705" s="478">
        <v>2018</v>
      </c>
      <c r="V705" s="24">
        <f t="shared" ref="V705:V712" si="45">U705+20</f>
        <v>2038</v>
      </c>
      <c r="W705">
        <v>0</v>
      </c>
      <c r="X705">
        <v>0</v>
      </c>
      <c r="Y705">
        <v>1315</v>
      </c>
      <c r="Z705">
        <v>360</v>
      </c>
      <c r="AA705" s="475" t="s">
        <v>24</v>
      </c>
    </row>
    <row r="706" spans="1:27" ht="15" hidden="1">
      <c r="A706" s="24">
        <f t="shared" si="44"/>
        <v>1705</v>
      </c>
      <c r="B706" s="24">
        <f t="shared" si="44"/>
        <v>1705</v>
      </c>
      <c r="C706" s="476" t="s">
        <v>1100</v>
      </c>
      <c r="D706" t="s">
        <v>149</v>
      </c>
      <c r="E706" s="477">
        <v>2</v>
      </c>
      <c r="F706" s="471">
        <v>6</v>
      </c>
      <c r="G706">
        <v>1</v>
      </c>
      <c r="H706">
        <v>1</v>
      </c>
      <c r="I706" s="472">
        <f t="shared" ref="I706:I769" si="46">AVERAGE(J706:M706)</f>
        <v>0.40033333333333337</v>
      </c>
      <c r="J706" s="153">
        <v>0.3706666666666667</v>
      </c>
      <c r="K706" s="153">
        <v>0.3666666666666667</v>
      </c>
      <c r="L706" s="153">
        <v>0.44799999999999995</v>
      </c>
      <c r="M706" s="153">
        <v>0.41600000000000009</v>
      </c>
      <c r="N706" s="472">
        <f t="shared" ref="N706:N769" si="47">AVERAGE(O706:R706)</f>
        <v>0.40033333333333337</v>
      </c>
      <c r="O706" s="153">
        <v>0.3706666666666667</v>
      </c>
      <c r="P706" s="153">
        <v>0.3666666666666667</v>
      </c>
      <c r="Q706" s="153">
        <v>0.44799999999999995</v>
      </c>
      <c r="R706" s="153">
        <v>0.41600000000000009</v>
      </c>
      <c r="S706" s="153">
        <v>0.01</v>
      </c>
      <c r="T706" s="153">
        <v>0.02</v>
      </c>
      <c r="U706" s="478">
        <v>2016</v>
      </c>
      <c r="V706" s="24">
        <f t="shared" si="45"/>
        <v>2036</v>
      </c>
      <c r="W706">
        <v>0</v>
      </c>
      <c r="X706">
        <v>0</v>
      </c>
      <c r="Y706">
        <v>1315</v>
      </c>
      <c r="Z706">
        <v>360</v>
      </c>
      <c r="AA706" s="475" t="s">
        <v>24</v>
      </c>
    </row>
    <row r="707" spans="1:27" ht="15" hidden="1">
      <c r="A707" s="24">
        <f t="shared" si="44"/>
        <v>1706</v>
      </c>
      <c r="B707" s="24">
        <f t="shared" si="44"/>
        <v>1706</v>
      </c>
      <c r="C707" s="476" t="s">
        <v>1101</v>
      </c>
      <c r="D707" t="s">
        <v>149</v>
      </c>
      <c r="E707" s="477">
        <v>2</v>
      </c>
      <c r="F707" s="471">
        <v>6</v>
      </c>
      <c r="G707">
        <v>1</v>
      </c>
      <c r="H707">
        <v>1</v>
      </c>
      <c r="I707" s="472">
        <f t="shared" si="46"/>
        <v>0.40033333333333337</v>
      </c>
      <c r="J707" s="153">
        <v>0.3706666666666667</v>
      </c>
      <c r="K707" s="153">
        <v>0.3666666666666667</v>
      </c>
      <c r="L707" s="153">
        <v>0.44799999999999995</v>
      </c>
      <c r="M707" s="153">
        <v>0.41600000000000009</v>
      </c>
      <c r="N707" s="472">
        <f t="shared" si="47"/>
        <v>0.40033333333333337</v>
      </c>
      <c r="O707" s="153">
        <v>0.3706666666666667</v>
      </c>
      <c r="P707" s="153">
        <v>0.3666666666666667</v>
      </c>
      <c r="Q707" s="153">
        <v>0.44799999999999995</v>
      </c>
      <c r="R707" s="153">
        <v>0.41600000000000009</v>
      </c>
      <c r="S707" s="153">
        <v>0.01</v>
      </c>
      <c r="T707" s="153">
        <v>0.02</v>
      </c>
      <c r="U707" s="478">
        <v>2016</v>
      </c>
      <c r="V707" s="24">
        <f t="shared" si="45"/>
        <v>2036</v>
      </c>
      <c r="W707">
        <v>0</v>
      </c>
      <c r="X707">
        <v>0</v>
      </c>
      <c r="Y707">
        <v>1315</v>
      </c>
      <c r="Z707">
        <v>360</v>
      </c>
      <c r="AA707" s="475" t="s">
        <v>24</v>
      </c>
    </row>
    <row r="708" spans="1:27" ht="15" hidden="1">
      <c r="A708" s="24">
        <f t="shared" si="44"/>
        <v>1707</v>
      </c>
      <c r="B708" s="24">
        <f t="shared" si="44"/>
        <v>1707</v>
      </c>
      <c r="C708" s="476" t="s">
        <v>1102</v>
      </c>
      <c r="D708" t="s">
        <v>149</v>
      </c>
      <c r="E708" s="477">
        <v>2</v>
      </c>
      <c r="F708" s="471">
        <v>6</v>
      </c>
      <c r="G708">
        <v>1</v>
      </c>
      <c r="H708">
        <v>1</v>
      </c>
      <c r="I708" s="472">
        <f t="shared" si="46"/>
        <v>0.40033333333333337</v>
      </c>
      <c r="J708" s="153">
        <v>0.3706666666666667</v>
      </c>
      <c r="K708" s="153">
        <v>0.3666666666666667</v>
      </c>
      <c r="L708" s="153">
        <v>0.44799999999999995</v>
      </c>
      <c r="M708" s="153">
        <v>0.41600000000000009</v>
      </c>
      <c r="N708" s="472">
        <f t="shared" si="47"/>
        <v>0.40033333333333337</v>
      </c>
      <c r="O708" s="153">
        <v>0.3706666666666667</v>
      </c>
      <c r="P708" s="153">
        <v>0.3666666666666667</v>
      </c>
      <c r="Q708" s="153">
        <v>0.44799999999999995</v>
      </c>
      <c r="R708" s="153">
        <v>0.41600000000000009</v>
      </c>
      <c r="S708" s="153">
        <v>0.01</v>
      </c>
      <c r="T708" s="153">
        <v>0.02</v>
      </c>
      <c r="U708" s="478">
        <v>2016</v>
      </c>
      <c r="V708" s="24">
        <f t="shared" si="45"/>
        <v>2036</v>
      </c>
      <c r="W708">
        <v>0</v>
      </c>
      <c r="X708">
        <v>0</v>
      </c>
      <c r="Y708">
        <v>1315</v>
      </c>
      <c r="Z708">
        <v>360</v>
      </c>
      <c r="AA708" s="475" t="s">
        <v>24</v>
      </c>
    </row>
    <row r="709" spans="1:27" ht="15" hidden="1">
      <c r="A709" s="24">
        <f t="shared" si="44"/>
        <v>1708</v>
      </c>
      <c r="B709" s="24">
        <f t="shared" si="44"/>
        <v>1708</v>
      </c>
      <c r="C709" s="476" t="s">
        <v>1103</v>
      </c>
      <c r="D709" t="s">
        <v>149</v>
      </c>
      <c r="E709" s="477">
        <v>2</v>
      </c>
      <c r="F709" s="471">
        <v>6</v>
      </c>
      <c r="G709">
        <v>1</v>
      </c>
      <c r="H709">
        <v>1</v>
      </c>
      <c r="I709" s="472">
        <f t="shared" si="46"/>
        <v>0.40033333333333337</v>
      </c>
      <c r="J709" s="153">
        <v>0.3706666666666667</v>
      </c>
      <c r="K709" s="153">
        <v>0.3666666666666667</v>
      </c>
      <c r="L709" s="153">
        <v>0.44799999999999995</v>
      </c>
      <c r="M709" s="153">
        <v>0.41600000000000009</v>
      </c>
      <c r="N709" s="472">
        <f t="shared" si="47"/>
        <v>0.40033333333333337</v>
      </c>
      <c r="O709" s="153">
        <v>0.3706666666666667</v>
      </c>
      <c r="P709" s="153">
        <v>0.3666666666666667</v>
      </c>
      <c r="Q709" s="153">
        <v>0.44799999999999995</v>
      </c>
      <c r="R709" s="153">
        <v>0.41600000000000009</v>
      </c>
      <c r="S709" s="153">
        <v>0.01</v>
      </c>
      <c r="T709" s="153">
        <v>0.02</v>
      </c>
      <c r="U709" s="478">
        <v>2016</v>
      </c>
      <c r="V709" s="24">
        <f t="shared" si="45"/>
        <v>2036</v>
      </c>
      <c r="W709">
        <v>0</v>
      </c>
      <c r="X709">
        <v>0</v>
      </c>
      <c r="Y709">
        <v>1315</v>
      </c>
      <c r="Z709">
        <v>360</v>
      </c>
      <c r="AA709" s="475" t="s">
        <v>24</v>
      </c>
    </row>
    <row r="710" spans="1:27" ht="15" hidden="1">
      <c r="A710" s="24">
        <f t="shared" si="44"/>
        <v>1709</v>
      </c>
      <c r="B710" s="24">
        <f t="shared" si="44"/>
        <v>1709</v>
      </c>
      <c r="C710" s="476" t="s">
        <v>1104</v>
      </c>
      <c r="D710" t="s">
        <v>149</v>
      </c>
      <c r="E710" s="477">
        <v>2</v>
      </c>
      <c r="F710" s="471">
        <v>6</v>
      </c>
      <c r="G710">
        <v>1</v>
      </c>
      <c r="H710">
        <v>1</v>
      </c>
      <c r="I710" s="472">
        <f t="shared" si="46"/>
        <v>0.40033333333333337</v>
      </c>
      <c r="J710" s="153">
        <v>0.3706666666666667</v>
      </c>
      <c r="K710" s="153">
        <v>0.3666666666666667</v>
      </c>
      <c r="L710" s="153">
        <v>0.44799999999999995</v>
      </c>
      <c r="M710" s="153">
        <v>0.41600000000000009</v>
      </c>
      <c r="N710" s="472">
        <f t="shared" si="47"/>
        <v>0.40033333333333337</v>
      </c>
      <c r="O710" s="153">
        <v>0.3706666666666667</v>
      </c>
      <c r="P710" s="153">
        <v>0.3666666666666667</v>
      </c>
      <c r="Q710" s="153">
        <v>0.44799999999999995</v>
      </c>
      <c r="R710" s="153">
        <v>0.41600000000000009</v>
      </c>
      <c r="S710" s="153">
        <v>0.01</v>
      </c>
      <c r="T710" s="153">
        <v>0.02</v>
      </c>
      <c r="U710" s="478">
        <v>2016</v>
      </c>
      <c r="V710" s="24">
        <f t="shared" si="45"/>
        <v>2036</v>
      </c>
      <c r="W710">
        <v>0</v>
      </c>
      <c r="X710">
        <v>0</v>
      </c>
      <c r="Y710">
        <v>1315</v>
      </c>
      <c r="Z710">
        <v>360</v>
      </c>
      <c r="AA710" s="475" t="s">
        <v>24</v>
      </c>
    </row>
    <row r="711" spans="1:27" ht="15" hidden="1">
      <c r="A711" s="24">
        <f t="shared" si="44"/>
        <v>1710</v>
      </c>
      <c r="B711" s="24">
        <f t="shared" si="44"/>
        <v>1710</v>
      </c>
      <c r="C711" s="476" t="s">
        <v>1105</v>
      </c>
      <c r="D711" t="s">
        <v>149</v>
      </c>
      <c r="E711" s="477">
        <v>2</v>
      </c>
      <c r="F711" s="471">
        <v>6</v>
      </c>
      <c r="G711">
        <v>1</v>
      </c>
      <c r="H711">
        <v>1</v>
      </c>
      <c r="I711" s="472">
        <f t="shared" si="46"/>
        <v>0.40033333333333337</v>
      </c>
      <c r="J711" s="153">
        <v>0.3706666666666667</v>
      </c>
      <c r="K711" s="153">
        <v>0.3666666666666667</v>
      </c>
      <c r="L711" s="153">
        <v>0.44799999999999995</v>
      </c>
      <c r="M711" s="153">
        <v>0.41600000000000009</v>
      </c>
      <c r="N711" s="472">
        <f t="shared" si="47"/>
        <v>0.40033333333333337</v>
      </c>
      <c r="O711" s="153">
        <v>0.3706666666666667</v>
      </c>
      <c r="P711" s="153">
        <v>0.3666666666666667</v>
      </c>
      <c r="Q711" s="153">
        <v>0.44799999999999995</v>
      </c>
      <c r="R711" s="153">
        <v>0.41600000000000009</v>
      </c>
      <c r="S711" s="153">
        <v>0.01</v>
      </c>
      <c r="T711" s="153">
        <v>0.02</v>
      </c>
      <c r="U711" s="478">
        <v>2018</v>
      </c>
      <c r="V711" s="24">
        <f t="shared" si="45"/>
        <v>2038</v>
      </c>
      <c r="W711">
        <v>0</v>
      </c>
      <c r="X711">
        <v>0</v>
      </c>
      <c r="Y711">
        <v>1315</v>
      </c>
      <c r="Z711">
        <v>360</v>
      </c>
      <c r="AA711" s="475" t="s">
        <v>24</v>
      </c>
    </row>
    <row r="712" spans="1:27" ht="15" hidden="1">
      <c r="A712" s="24">
        <f t="shared" si="44"/>
        <v>1711</v>
      </c>
      <c r="B712" s="24">
        <f t="shared" si="44"/>
        <v>1711</v>
      </c>
      <c r="C712" s="476" t="s">
        <v>1106</v>
      </c>
      <c r="D712" t="s">
        <v>149</v>
      </c>
      <c r="E712" s="477">
        <v>2</v>
      </c>
      <c r="F712" s="471">
        <v>9</v>
      </c>
      <c r="G712">
        <v>1</v>
      </c>
      <c r="H712">
        <v>1</v>
      </c>
      <c r="I712" s="472">
        <f t="shared" si="46"/>
        <v>0.40033333333333337</v>
      </c>
      <c r="J712" s="153">
        <v>0.3706666666666667</v>
      </c>
      <c r="K712" s="153">
        <v>0.3666666666666667</v>
      </c>
      <c r="L712" s="153">
        <v>0.44799999999999995</v>
      </c>
      <c r="M712" s="153">
        <v>0.41600000000000009</v>
      </c>
      <c r="N712" s="472">
        <f t="shared" si="47"/>
        <v>0.40033333333333337</v>
      </c>
      <c r="O712" s="153">
        <v>0.3706666666666667</v>
      </c>
      <c r="P712" s="153">
        <v>0.3666666666666667</v>
      </c>
      <c r="Q712" s="153">
        <v>0.44799999999999995</v>
      </c>
      <c r="R712" s="153">
        <v>0.41600000000000009</v>
      </c>
      <c r="S712" s="153">
        <v>0.01</v>
      </c>
      <c r="T712" s="153">
        <v>0.02</v>
      </c>
      <c r="U712" s="478">
        <v>2018</v>
      </c>
      <c r="V712" s="24">
        <f t="shared" si="45"/>
        <v>2038</v>
      </c>
      <c r="W712">
        <v>0</v>
      </c>
      <c r="X712">
        <v>0</v>
      </c>
      <c r="Y712">
        <v>1315</v>
      </c>
      <c r="Z712">
        <v>360</v>
      </c>
      <c r="AA712" s="475" t="s">
        <v>24</v>
      </c>
    </row>
    <row r="713" spans="1:27" ht="15" hidden="1">
      <c r="A713" s="24">
        <f t="shared" si="44"/>
        <v>1712</v>
      </c>
      <c r="B713" s="24">
        <f t="shared" si="44"/>
        <v>1712</v>
      </c>
      <c r="C713" s="469" t="s">
        <v>1107</v>
      </c>
      <c r="D713" t="s">
        <v>146</v>
      </c>
      <c r="E713" s="470">
        <v>1</v>
      </c>
      <c r="F713" s="471">
        <v>0</v>
      </c>
      <c r="G713">
        <v>1</v>
      </c>
      <c r="H713">
        <v>1</v>
      </c>
      <c r="I713" s="472">
        <f t="shared" si="46"/>
        <v>0.32845968612834514</v>
      </c>
      <c r="J713" s="153">
        <v>3.8473756479098807E-2</v>
      </c>
      <c r="K713" s="153">
        <v>0.39358026214566905</v>
      </c>
      <c r="L713" s="153">
        <v>0.53857526864315253</v>
      </c>
      <c r="M713" s="153">
        <v>0.3432094572454602</v>
      </c>
      <c r="N713" s="472">
        <f t="shared" si="47"/>
        <v>0.32845968612834514</v>
      </c>
      <c r="O713" s="153">
        <v>3.8473756479098807E-2</v>
      </c>
      <c r="P713" s="153">
        <v>0.39358026214566905</v>
      </c>
      <c r="Q713" s="153">
        <v>0.53857526864315253</v>
      </c>
      <c r="R713" s="153">
        <v>0.3432094572454602</v>
      </c>
      <c r="S713" s="153">
        <v>0.03</v>
      </c>
      <c r="T713" s="153">
        <v>0</v>
      </c>
      <c r="U713" s="474">
        <v>1900</v>
      </c>
      <c r="V713">
        <v>2030</v>
      </c>
      <c r="W713">
        <v>0</v>
      </c>
      <c r="X713">
        <v>0</v>
      </c>
      <c r="Y713">
        <v>1304</v>
      </c>
      <c r="Z713">
        <v>311</v>
      </c>
      <c r="AA713" s="475" t="s">
        <v>23</v>
      </c>
    </row>
    <row r="714" spans="1:27" ht="15" hidden="1">
      <c r="A714" s="24">
        <f t="shared" si="44"/>
        <v>1713</v>
      </c>
      <c r="B714" s="24">
        <f t="shared" si="44"/>
        <v>1713</v>
      </c>
      <c r="C714" s="469" t="s">
        <v>1108</v>
      </c>
      <c r="D714" t="s">
        <v>146</v>
      </c>
      <c r="E714" s="470">
        <v>1</v>
      </c>
      <c r="F714" s="471">
        <v>40</v>
      </c>
      <c r="G714">
        <v>1</v>
      </c>
      <c r="H714">
        <v>1</v>
      </c>
      <c r="I714" s="472">
        <f t="shared" si="46"/>
        <v>0.32845968612834514</v>
      </c>
      <c r="J714" s="153">
        <v>3.8473756479098807E-2</v>
      </c>
      <c r="K714" s="153">
        <v>0.39358026214566905</v>
      </c>
      <c r="L714" s="153">
        <v>0.53857526864315253</v>
      </c>
      <c r="M714" s="153">
        <v>0.3432094572454602</v>
      </c>
      <c r="N714" s="472">
        <f t="shared" si="47"/>
        <v>0.32845968612834514</v>
      </c>
      <c r="O714" s="153">
        <v>3.8473756479098807E-2</v>
      </c>
      <c r="P714" s="153">
        <v>0.39358026214566905</v>
      </c>
      <c r="Q714" s="153">
        <v>0.53857526864315253</v>
      </c>
      <c r="R714" s="153">
        <v>0.3432094572454602</v>
      </c>
      <c r="S714" s="153">
        <v>0.03</v>
      </c>
      <c r="T714" s="153">
        <v>0</v>
      </c>
      <c r="U714" s="474">
        <v>2014</v>
      </c>
      <c r="V714">
        <v>2030</v>
      </c>
      <c r="W714">
        <v>0</v>
      </c>
      <c r="X714">
        <v>0</v>
      </c>
      <c r="Y714">
        <v>1304</v>
      </c>
      <c r="Z714">
        <v>311</v>
      </c>
      <c r="AA714" s="475" t="s">
        <v>23</v>
      </c>
    </row>
    <row r="715" spans="1:27" ht="15" hidden="1">
      <c r="A715" s="24">
        <f t="shared" si="44"/>
        <v>1714</v>
      </c>
      <c r="B715" s="24">
        <f t="shared" si="44"/>
        <v>1714</v>
      </c>
      <c r="C715" s="476" t="s">
        <v>1109</v>
      </c>
      <c r="D715" t="s">
        <v>149</v>
      </c>
      <c r="E715" s="477">
        <v>2</v>
      </c>
      <c r="F715" s="471">
        <v>9</v>
      </c>
      <c r="G715">
        <v>1</v>
      </c>
      <c r="H715">
        <v>1</v>
      </c>
      <c r="I715" s="472">
        <f t="shared" si="46"/>
        <v>0.40033333333333337</v>
      </c>
      <c r="J715" s="153">
        <v>0.3706666666666667</v>
      </c>
      <c r="K715" s="153">
        <v>0.3666666666666667</v>
      </c>
      <c r="L715" s="153">
        <v>0.44799999999999995</v>
      </c>
      <c r="M715" s="153">
        <v>0.41600000000000009</v>
      </c>
      <c r="N715" s="472">
        <f t="shared" si="47"/>
        <v>0.40033333333333337</v>
      </c>
      <c r="O715" s="153">
        <v>0.3706666666666667</v>
      </c>
      <c r="P715" s="153">
        <v>0.3666666666666667</v>
      </c>
      <c r="Q715" s="153">
        <v>0.44799999999999995</v>
      </c>
      <c r="R715" s="153">
        <v>0.41600000000000009</v>
      </c>
      <c r="S715" s="153">
        <v>0.01</v>
      </c>
      <c r="T715" s="153">
        <v>0.02</v>
      </c>
      <c r="U715" s="478">
        <v>2018</v>
      </c>
      <c r="V715" s="24">
        <f>U715+20</f>
        <v>2038</v>
      </c>
      <c r="W715">
        <v>0</v>
      </c>
      <c r="X715">
        <v>0</v>
      </c>
      <c r="Y715">
        <v>1315</v>
      </c>
      <c r="Z715">
        <v>360</v>
      </c>
      <c r="AA715" s="475" t="s">
        <v>24</v>
      </c>
    </row>
    <row r="716" spans="1:27" ht="15" hidden="1">
      <c r="A716" s="24">
        <f t="shared" si="44"/>
        <v>1715</v>
      </c>
      <c r="B716" s="24">
        <f t="shared" si="44"/>
        <v>1715</v>
      </c>
      <c r="C716" s="469" t="s">
        <v>1110</v>
      </c>
      <c r="D716" t="s">
        <v>146</v>
      </c>
      <c r="E716" s="470">
        <v>1</v>
      </c>
      <c r="F716" s="471">
        <v>0</v>
      </c>
      <c r="G716">
        <v>1</v>
      </c>
      <c r="H716">
        <v>1</v>
      </c>
      <c r="I716" s="472">
        <f t="shared" si="46"/>
        <v>0.32845968612834514</v>
      </c>
      <c r="J716" s="153">
        <v>3.8473756479098807E-2</v>
      </c>
      <c r="K716" s="153">
        <v>0.39358026214566905</v>
      </c>
      <c r="L716" s="153">
        <v>0.53857526864315253</v>
      </c>
      <c r="M716" s="153">
        <v>0.3432094572454602</v>
      </c>
      <c r="N716" s="472">
        <f t="shared" si="47"/>
        <v>0.32845968612834514</v>
      </c>
      <c r="O716" s="153">
        <v>3.8473756479098807E-2</v>
      </c>
      <c r="P716" s="153">
        <v>0.39358026214566905</v>
      </c>
      <c r="Q716" s="153">
        <v>0.53857526864315253</v>
      </c>
      <c r="R716" s="153">
        <v>0.3432094572454602</v>
      </c>
      <c r="S716" s="153">
        <v>0.03</v>
      </c>
      <c r="T716" s="153">
        <v>0</v>
      </c>
      <c r="U716" s="474">
        <v>1900</v>
      </c>
      <c r="V716">
        <v>2030</v>
      </c>
      <c r="W716">
        <v>0</v>
      </c>
      <c r="X716">
        <v>0</v>
      </c>
      <c r="Y716">
        <v>1304</v>
      </c>
      <c r="Z716">
        <v>311</v>
      </c>
      <c r="AA716" s="475" t="s">
        <v>23</v>
      </c>
    </row>
    <row r="717" spans="1:27" ht="15" hidden="1">
      <c r="A717" s="24">
        <f t="shared" si="44"/>
        <v>1716</v>
      </c>
      <c r="B717" s="24">
        <f t="shared" si="44"/>
        <v>1716</v>
      </c>
      <c r="C717" s="476" t="s">
        <v>1111</v>
      </c>
      <c r="D717" t="s">
        <v>149</v>
      </c>
      <c r="E717" s="477">
        <v>2</v>
      </c>
      <c r="F717" s="471">
        <v>3</v>
      </c>
      <c r="G717">
        <v>1</v>
      </c>
      <c r="H717">
        <v>1</v>
      </c>
      <c r="I717" s="472">
        <f t="shared" si="46"/>
        <v>0.40033333333333337</v>
      </c>
      <c r="J717" s="153">
        <v>0.3706666666666667</v>
      </c>
      <c r="K717" s="153">
        <v>0.3666666666666667</v>
      </c>
      <c r="L717" s="153">
        <v>0.44799999999999995</v>
      </c>
      <c r="M717" s="153">
        <v>0.41600000000000009</v>
      </c>
      <c r="N717" s="472">
        <f t="shared" si="47"/>
        <v>0.40033333333333337</v>
      </c>
      <c r="O717" s="153">
        <v>0.3706666666666667</v>
      </c>
      <c r="P717" s="153">
        <v>0.3666666666666667</v>
      </c>
      <c r="Q717" s="153">
        <v>0.44799999999999995</v>
      </c>
      <c r="R717" s="153">
        <v>0.41600000000000009</v>
      </c>
      <c r="S717" s="153">
        <v>0.01</v>
      </c>
      <c r="T717" s="153">
        <v>0.02</v>
      </c>
      <c r="U717" s="478">
        <v>2018</v>
      </c>
      <c r="V717" s="24">
        <f t="shared" ref="V717:V718" si="48">U717+20</f>
        <v>2038</v>
      </c>
      <c r="W717">
        <v>0</v>
      </c>
      <c r="X717">
        <v>0</v>
      </c>
      <c r="Y717">
        <v>1315</v>
      </c>
      <c r="Z717">
        <v>360</v>
      </c>
      <c r="AA717" s="475" t="s">
        <v>24</v>
      </c>
    </row>
    <row r="718" spans="1:27" ht="15" hidden="1">
      <c r="A718" s="24">
        <f t="shared" si="44"/>
        <v>1717</v>
      </c>
      <c r="B718" s="24">
        <f t="shared" si="44"/>
        <v>1717</v>
      </c>
      <c r="C718" s="476" t="s">
        <v>1112</v>
      </c>
      <c r="D718" t="s">
        <v>149</v>
      </c>
      <c r="E718" s="477">
        <v>2</v>
      </c>
      <c r="F718" s="471">
        <v>6</v>
      </c>
      <c r="G718">
        <v>1</v>
      </c>
      <c r="H718">
        <v>1</v>
      </c>
      <c r="I718" s="472">
        <f t="shared" si="46"/>
        <v>0.40033333333333337</v>
      </c>
      <c r="J718" s="153">
        <v>0.3706666666666667</v>
      </c>
      <c r="K718" s="153">
        <v>0.3666666666666667</v>
      </c>
      <c r="L718" s="153">
        <v>0.44799999999999995</v>
      </c>
      <c r="M718" s="153">
        <v>0.41600000000000009</v>
      </c>
      <c r="N718" s="472">
        <f t="shared" si="47"/>
        <v>0.40033333333333337</v>
      </c>
      <c r="O718" s="153">
        <v>0.3706666666666667</v>
      </c>
      <c r="P718" s="153">
        <v>0.3666666666666667</v>
      </c>
      <c r="Q718" s="153">
        <v>0.44799999999999995</v>
      </c>
      <c r="R718" s="153">
        <v>0.41600000000000009</v>
      </c>
      <c r="S718" s="153">
        <v>0.01</v>
      </c>
      <c r="T718" s="153">
        <v>0.02</v>
      </c>
      <c r="U718" s="478">
        <v>2018</v>
      </c>
      <c r="V718" s="24">
        <f t="shared" si="48"/>
        <v>2038</v>
      </c>
      <c r="W718">
        <v>0</v>
      </c>
      <c r="X718">
        <v>0</v>
      </c>
      <c r="Y718">
        <v>1315</v>
      </c>
      <c r="Z718">
        <v>360</v>
      </c>
      <c r="AA718" s="475" t="s">
        <v>24</v>
      </c>
    </row>
    <row r="719" spans="1:27" ht="15" hidden="1">
      <c r="A719" s="24">
        <f t="shared" si="44"/>
        <v>1718</v>
      </c>
      <c r="B719" s="24">
        <f t="shared" si="44"/>
        <v>1718</v>
      </c>
      <c r="C719" s="469" t="s">
        <v>1113</v>
      </c>
      <c r="D719" t="s">
        <v>146</v>
      </c>
      <c r="E719" s="470">
        <v>1</v>
      </c>
      <c r="F719" s="471">
        <v>12.03</v>
      </c>
      <c r="G719">
        <v>1</v>
      </c>
      <c r="H719">
        <v>1</v>
      </c>
      <c r="I719" s="472">
        <f t="shared" si="46"/>
        <v>0.32845968612834514</v>
      </c>
      <c r="J719" s="153">
        <v>3.8473756479098807E-2</v>
      </c>
      <c r="K719" s="153">
        <v>0.39358026214566905</v>
      </c>
      <c r="L719" s="153">
        <v>0.53857526864315253</v>
      </c>
      <c r="M719" s="153">
        <v>0.3432094572454602</v>
      </c>
      <c r="N719" s="472">
        <f t="shared" si="47"/>
        <v>0.32845968612834514</v>
      </c>
      <c r="O719" s="153">
        <v>3.8473756479098807E-2</v>
      </c>
      <c r="P719" s="153">
        <v>0.39358026214566905</v>
      </c>
      <c r="Q719" s="153">
        <v>0.53857526864315253</v>
      </c>
      <c r="R719" s="153">
        <v>0.3432094572454602</v>
      </c>
      <c r="S719" s="153">
        <v>0.03</v>
      </c>
      <c r="T719" s="153">
        <v>0</v>
      </c>
      <c r="U719" s="474">
        <v>2014</v>
      </c>
      <c r="V719">
        <v>2030</v>
      </c>
      <c r="W719">
        <v>0</v>
      </c>
      <c r="X719">
        <v>0</v>
      </c>
      <c r="Y719">
        <v>1304</v>
      </c>
      <c r="Z719">
        <v>311</v>
      </c>
      <c r="AA719" s="475" t="s">
        <v>23</v>
      </c>
    </row>
    <row r="720" spans="1:27" ht="15" hidden="1">
      <c r="A720" s="24">
        <f t="shared" ref="A720:B738" si="49">1000+ROW()-1</f>
        <v>1719</v>
      </c>
      <c r="B720" s="24">
        <f t="shared" si="49"/>
        <v>1719</v>
      </c>
      <c r="C720" s="469" t="s">
        <v>1114</v>
      </c>
      <c r="D720" t="s">
        <v>146</v>
      </c>
      <c r="E720" s="470">
        <v>1</v>
      </c>
      <c r="F720" s="471">
        <v>0</v>
      </c>
      <c r="G720">
        <v>1</v>
      </c>
      <c r="H720">
        <v>1</v>
      </c>
      <c r="I720" s="472">
        <f t="shared" si="46"/>
        <v>0.32845968612834514</v>
      </c>
      <c r="J720" s="153">
        <v>3.8473756479098807E-2</v>
      </c>
      <c r="K720" s="153">
        <v>0.39358026214566905</v>
      </c>
      <c r="L720" s="153">
        <v>0.53857526864315253</v>
      </c>
      <c r="M720" s="153">
        <v>0.3432094572454602</v>
      </c>
      <c r="N720" s="472">
        <f t="shared" si="47"/>
        <v>0.32845968612834514</v>
      </c>
      <c r="O720" s="153">
        <v>3.8473756479098807E-2</v>
      </c>
      <c r="P720" s="153">
        <v>0.39358026214566905</v>
      </c>
      <c r="Q720" s="153">
        <v>0.53857526864315253</v>
      </c>
      <c r="R720" s="153">
        <v>0.3432094572454602</v>
      </c>
      <c r="S720" s="153">
        <v>0.03</v>
      </c>
      <c r="T720" s="153">
        <v>0</v>
      </c>
      <c r="U720" s="474">
        <v>1900</v>
      </c>
      <c r="V720">
        <v>2030</v>
      </c>
      <c r="W720">
        <v>0</v>
      </c>
      <c r="X720">
        <v>0</v>
      </c>
      <c r="Y720">
        <v>1304</v>
      </c>
      <c r="Z720">
        <v>311</v>
      </c>
      <c r="AA720" s="475" t="s">
        <v>23</v>
      </c>
    </row>
    <row r="721" spans="1:27" ht="15" hidden="1">
      <c r="A721" s="24">
        <f t="shared" si="49"/>
        <v>1720</v>
      </c>
      <c r="B721" s="24">
        <f t="shared" si="49"/>
        <v>1720</v>
      </c>
      <c r="C721" s="476" t="s">
        <v>1115</v>
      </c>
      <c r="D721" t="s">
        <v>152</v>
      </c>
      <c r="E721" s="477">
        <v>3</v>
      </c>
      <c r="F721" s="471">
        <v>26</v>
      </c>
      <c r="G721">
        <v>1</v>
      </c>
      <c r="H721">
        <v>1</v>
      </c>
      <c r="I721" s="472">
        <f t="shared" si="46"/>
        <v>0.47039166666666665</v>
      </c>
      <c r="J721" s="473">
        <v>0.36503333333333332</v>
      </c>
      <c r="K721" s="473">
        <v>0.44336666666666663</v>
      </c>
      <c r="L721" s="473">
        <v>0.58906666666666663</v>
      </c>
      <c r="M721" s="473">
        <v>0.48410000000000003</v>
      </c>
      <c r="N721" s="472">
        <f t="shared" si="47"/>
        <v>0.47039166666666665</v>
      </c>
      <c r="O721" s="473">
        <v>0.36503333333333332</v>
      </c>
      <c r="P721" s="473">
        <v>0.44336666666666663</v>
      </c>
      <c r="Q721" s="473">
        <v>0.58906666666666663</v>
      </c>
      <c r="R721" s="473">
        <v>0.48410000000000003</v>
      </c>
      <c r="S721" s="153">
        <v>0.01</v>
      </c>
      <c r="T721" s="153">
        <v>0.02</v>
      </c>
      <c r="U721" s="478">
        <v>2018</v>
      </c>
      <c r="V721" s="24">
        <f t="shared" ref="V721:V722" si="50">U721+20</f>
        <v>2038</v>
      </c>
      <c r="W721">
        <v>0</v>
      </c>
      <c r="X721">
        <v>0</v>
      </c>
      <c r="Y721">
        <v>1315</v>
      </c>
      <c r="Z721">
        <v>361</v>
      </c>
      <c r="AA721" s="475" t="s">
        <v>24</v>
      </c>
    </row>
    <row r="722" spans="1:27" ht="15" hidden="1">
      <c r="A722" s="24">
        <f t="shared" si="49"/>
        <v>1721</v>
      </c>
      <c r="B722" s="24">
        <f t="shared" si="49"/>
        <v>1721</v>
      </c>
      <c r="C722" s="476" t="s">
        <v>1116</v>
      </c>
      <c r="D722" t="s">
        <v>152</v>
      </c>
      <c r="E722" s="477">
        <v>3</v>
      </c>
      <c r="F722" s="471">
        <v>30</v>
      </c>
      <c r="G722">
        <v>1</v>
      </c>
      <c r="H722">
        <v>1</v>
      </c>
      <c r="I722" s="472">
        <f t="shared" si="46"/>
        <v>0.47039166666666665</v>
      </c>
      <c r="J722" s="473">
        <v>0.36503333333333332</v>
      </c>
      <c r="K722" s="473">
        <v>0.44336666666666663</v>
      </c>
      <c r="L722" s="473">
        <v>0.58906666666666663</v>
      </c>
      <c r="M722" s="473">
        <v>0.48410000000000003</v>
      </c>
      <c r="N722" s="472">
        <f t="shared" si="47"/>
        <v>0.47039166666666665</v>
      </c>
      <c r="O722" s="473">
        <v>0.36503333333333332</v>
      </c>
      <c r="P722" s="473">
        <v>0.44336666666666663</v>
      </c>
      <c r="Q722" s="473">
        <v>0.58906666666666663</v>
      </c>
      <c r="R722" s="473">
        <v>0.48410000000000003</v>
      </c>
      <c r="S722" s="153">
        <v>0.01</v>
      </c>
      <c r="T722" s="153">
        <v>0.02</v>
      </c>
      <c r="U722" s="478">
        <v>2016</v>
      </c>
      <c r="V722" s="24">
        <f t="shared" si="50"/>
        <v>2036</v>
      </c>
      <c r="W722">
        <v>0</v>
      </c>
      <c r="X722">
        <v>0</v>
      </c>
      <c r="Y722">
        <v>1315</v>
      </c>
      <c r="Z722">
        <v>361</v>
      </c>
      <c r="AA722" s="475" t="s">
        <v>24</v>
      </c>
    </row>
    <row r="723" spans="1:27" ht="15" hidden="1">
      <c r="A723" s="24">
        <f t="shared" si="49"/>
        <v>1722</v>
      </c>
      <c r="B723" s="24">
        <f t="shared" si="49"/>
        <v>1722</v>
      </c>
      <c r="C723" s="469" t="s">
        <v>1117</v>
      </c>
      <c r="D723" t="s">
        <v>152</v>
      </c>
      <c r="E723" s="470">
        <v>3</v>
      </c>
      <c r="F723" s="471">
        <v>62.5</v>
      </c>
      <c r="G723">
        <v>1</v>
      </c>
      <c r="H723">
        <v>1</v>
      </c>
      <c r="I723" s="472">
        <f t="shared" si="46"/>
        <v>0.32845968612834514</v>
      </c>
      <c r="J723" s="153">
        <v>3.8473756479098807E-2</v>
      </c>
      <c r="K723" s="153">
        <v>0.39358026214566905</v>
      </c>
      <c r="L723" s="153">
        <v>0.53857526864315253</v>
      </c>
      <c r="M723" s="153">
        <v>0.3432094572454602</v>
      </c>
      <c r="N723" s="472">
        <f t="shared" si="47"/>
        <v>0.32845968612834514</v>
      </c>
      <c r="O723" s="153">
        <v>3.8473756479098807E-2</v>
      </c>
      <c r="P723" s="153">
        <v>0.39358026214566905</v>
      </c>
      <c r="Q723" s="153">
        <v>0.53857526864315253</v>
      </c>
      <c r="R723" s="153">
        <v>0.3432094572454602</v>
      </c>
      <c r="S723" s="153">
        <v>0.03</v>
      </c>
      <c r="T723" s="153">
        <v>0</v>
      </c>
      <c r="U723" s="474">
        <v>2010</v>
      </c>
      <c r="V723">
        <v>2023</v>
      </c>
      <c r="W723">
        <v>0</v>
      </c>
      <c r="X723">
        <v>0</v>
      </c>
      <c r="Y723">
        <v>1304</v>
      </c>
      <c r="Z723">
        <v>311</v>
      </c>
      <c r="AA723" s="475" t="s">
        <v>23</v>
      </c>
    </row>
    <row r="724" spans="1:27" ht="15" hidden="1">
      <c r="A724" s="24">
        <f t="shared" si="49"/>
        <v>1723</v>
      </c>
      <c r="B724" s="24">
        <f t="shared" si="49"/>
        <v>1723</v>
      </c>
      <c r="C724" s="469" t="s">
        <v>1118</v>
      </c>
      <c r="D724" t="s">
        <v>152</v>
      </c>
      <c r="E724" s="470">
        <v>3</v>
      </c>
      <c r="F724" s="471">
        <v>0</v>
      </c>
      <c r="G724">
        <v>1</v>
      </c>
      <c r="H724">
        <v>1</v>
      </c>
      <c r="I724" s="472">
        <f t="shared" si="46"/>
        <v>0.32845968612834514</v>
      </c>
      <c r="J724" s="153">
        <v>3.8473756479098807E-2</v>
      </c>
      <c r="K724" s="153">
        <v>0.39358026214566905</v>
      </c>
      <c r="L724" s="153">
        <v>0.53857526864315253</v>
      </c>
      <c r="M724" s="153">
        <v>0.3432094572454602</v>
      </c>
      <c r="N724" s="472">
        <f t="shared" si="47"/>
        <v>0.32845968612834514</v>
      </c>
      <c r="O724" s="153">
        <v>3.8473756479098807E-2</v>
      </c>
      <c r="P724" s="153">
        <v>0.39358026214566905</v>
      </c>
      <c r="Q724" s="153">
        <v>0.53857526864315253</v>
      </c>
      <c r="R724" s="153">
        <v>0.3432094572454602</v>
      </c>
      <c r="S724" s="153">
        <v>0.03</v>
      </c>
      <c r="T724" s="153">
        <v>0</v>
      </c>
      <c r="U724" s="474">
        <v>1900</v>
      </c>
      <c r="V724">
        <v>2030</v>
      </c>
      <c r="W724">
        <v>0</v>
      </c>
      <c r="X724">
        <v>0</v>
      </c>
      <c r="Y724">
        <v>1304</v>
      </c>
      <c r="Z724">
        <v>311</v>
      </c>
      <c r="AA724" s="475" t="s">
        <v>23</v>
      </c>
    </row>
    <row r="725" spans="1:27" ht="15" hidden="1">
      <c r="A725" s="24">
        <f t="shared" si="49"/>
        <v>1724</v>
      </c>
      <c r="B725" s="24">
        <f t="shared" si="49"/>
        <v>1724</v>
      </c>
      <c r="C725" s="469" t="s">
        <v>1119</v>
      </c>
      <c r="D725" t="s">
        <v>146</v>
      </c>
      <c r="E725" s="470">
        <v>1</v>
      </c>
      <c r="F725" s="471">
        <v>28</v>
      </c>
      <c r="G725">
        <v>1</v>
      </c>
      <c r="H725">
        <v>1</v>
      </c>
      <c r="I725" s="472">
        <f t="shared" si="46"/>
        <v>0.32845968612834514</v>
      </c>
      <c r="J725" s="153">
        <v>3.8473756479098807E-2</v>
      </c>
      <c r="K725" s="153">
        <v>0.39358026214566905</v>
      </c>
      <c r="L725" s="153">
        <v>0.53857526864315253</v>
      </c>
      <c r="M725" s="153">
        <v>0.3432094572454602</v>
      </c>
      <c r="N725" s="472">
        <f t="shared" si="47"/>
        <v>0.32845968612834514</v>
      </c>
      <c r="O725" s="153">
        <v>3.8473756479098807E-2</v>
      </c>
      <c r="P725" s="153">
        <v>0.39358026214566905</v>
      </c>
      <c r="Q725" s="153">
        <v>0.53857526864315253</v>
      </c>
      <c r="R725" s="153">
        <v>0.3432094572454602</v>
      </c>
      <c r="S725" s="153">
        <v>0.03</v>
      </c>
      <c r="T725" s="153">
        <v>0</v>
      </c>
      <c r="U725" s="474">
        <v>2006</v>
      </c>
      <c r="V725">
        <v>2030</v>
      </c>
      <c r="W725">
        <v>0</v>
      </c>
      <c r="X725">
        <v>0</v>
      </c>
      <c r="Y725">
        <v>1304</v>
      </c>
      <c r="Z725">
        <v>311</v>
      </c>
      <c r="AA725" s="475" t="s">
        <v>23</v>
      </c>
    </row>
    <row r="726" spans="1:27" ht="15" hidden="1">
      <c r="A726" s="24">
        <f t="shared" si="49"/>
        <v>1725</v>
      </c>
      <c r="B726" s="24">
        <f t="shared" si="49"/>
        <v>1725</v>
      </c>
      <c r="C726" s="476" t="s">
        <v>1120</v>
      </c>
      <c r="D726" t="s">
        <v>152</v>
      </c>
      <c r="E726" s="477">
        <v>3</v>
      </c>
      <c r="F726" s="471">
        <v>30</v>
      </c>
      <c r="G726">
        <v>1</v>
      </c>
      <c r="H726">
        <v>1</v>
      </c>
      <c r="I726" s="472">
        <f t="shared" si="46"/>
        <v>0.47039166666666665</v>
      </c>
      <c r="J726" s="473">
        <v>0.36503333333333332</v>
      </c>
      <c r="K726" s="473">
        <v>0.44336666666666663</v>
      </c>
      <c r="L726" s="473">
        <v>0.58906666666666663</v>
      </c>
      <c r="M726" s="473">
        <v>0.48410000000000003</v>
      </c>
      <c r="N726" s="472">
        <f t="shared" si="47"/>
        <v>0.47039166666666665</v>
      </c>
      <c r="O726" s="473">
        <v>0.36503333333333332</v>
      </c>
      <c r="P726" s="473">
        <v>0.44336666666666663</v>
      </c>
      <c r="Q726" s="473">
        <v>0.58906666666666663</v>
      </c>
      <c r="R726" s="473">
        <v>0.48410000000000003</v>
      </c>
      <c r="S726" s="153">
        <v>0.01</v>
      </c>
      <c r="T726" s="153">
        <v>0.02</v>
      </c>
      <c r="U726" s="478">
        <v>2016</v>
      </c>
      <c r="V726" s="24">
        <f>U726+20</f>
        <v>2036</v>
      </c>
      <c r="W726">
        <v>0</v>
      </c>
      <c r="X726">
        <v>0</v>
      </c>
      <c r="Y726">
        <v>1315</v>
      </c>
      <c r="Z726">
        <v>361</v>
      </c>
      <c r="AA726" s="475" t="s">
        <v>24</v>
      </c>
    </row>
    <row r="727" spans="1:27" ht="15" hidden="1">
      <c r="A727" s="24">
        <f t="shared" si="49"/>
        <v>1726</v>
      </c>
      <c r="B727" s="24">
        <f t="shared" si="49"/>
        <v>1726</v>
      </c>
      <c r="C727" s="469" t="s">
        <v>1121</v>
      </c>
      <c r="D727" t="s">
        <v>146</v>
      </c>
      <c r="E727" s="470">
        <v>1</v>
      </c>
      <c r="F727" s="471">
        <v>0</v>
      </c>
      <c r="G727">
        <v>1</v>
      </c>
      <c r="H727">
        <v>1</v>
      </c>
      <c r="I727" s="472">
        <f t="shared" si="46"/>
        <v>0.32845968612834514</v>
      </c>
      <c r="J727" s="153">
        <v>3.8473756479098807E-2</v>
      </c>
      <c r="K727" s="153">
        <v>0.39358026214566905</v>
      </c>
      <c r="L727" s="153">
        <v>0.53857526864315253</v>
      </c>
      <c r="M727" s="153">
        <v>0.3432094572454602</v>
      </c>
      <c r="N727" s="472">
        <f t="shared" si="47"/>
        <v>0.32845968612834514</v>
      </c>
      <c r="O727" s="153">
        <v>3.8473756479098807E-2</v>
      </c>
      <c r="P727" s="153">
        <v>0.39358026214566905</v>
      </c>
      <c r="Q727" s="153">
        <v>0.53857526864315253</v>
      </c>
      <c r="R727" s="153">
        <v>0.3432094572454602</v>
      </c>
      <c r="S727" s="153">
        <v>0.03</v>
      </c>
      <c r="T727" s="153">
        <v>0</v>
      </c>
      <c r="U727" s="474">
        <v>2006</v>
      </c>
      <c r="V727">
        <v>2030</v>
      </c>
      <c r="W727">
        <v>0</v>
      </c>
      <c r="X727">
        <v>0</v>
      </c>
      <c r="Y727">
        <v>1304</v>
      </c>
      <c r="Z727">
        <v>311</v>
      </c>
      <c r="AA727" s="475" t="s">
        <v>23</v>
      </c>
    </row>
    <row r="728" spans="1:27" ht="15" hidden="1">
      <c r="A728" s="24">
        <f t="shared" si="49"/>
        <v>1727</v>
      </c>
      <c r="B728" s="24">
        <f t="shared" si="49"/>
        <v>1727</v>
      </c>
      <c r="C728" s="469" t="s">
        <v>1122</v>
      </c>
      <c r="D728" t="s">
        <v>146</v>
      </c>
      <c r="E728" s="470">
        <v>1</v>
      </c>
      <c r="F728" s="471">
        <v>0</v>
      </c>
      <c r="G728">
        <v>1</v>
      </c>
      <c r="H728">
        <v>1</v>
      </c>
      <c r="I728" s="472">
        <f t="shared" si="46"/>
        <v>0.32845968612834514</v>
      </c>
      <c r="J728" s="153">
        <v>3.8473756479098807E-2</v>
      </c>
      <c r="K728" s="153">
        <v>0.39358026214566905</v>
      </c>
      <c r="L728" s="153">
        <v>0.53857526864315253</v>
      </c>
      <c r="M728" s="153">
        <v>0.3432094572454602</v>
      </c>
      <c r="N728" s="472">
        <f t="shared" si="47"/>
        <v>0.32845968612834514</v>
      </c>
      <c r="O728" s="153">
        <v>3.8473756479098807E-2</v>
      </c>
      <c r="P728" s="153">
        <v>0.39358026214566905</v>
      </c>
      <c r="Q728" s="153">
        <v>0.53857526864315253</v>
      </c>
      <c r="R728" s="153">
        <v>0.3432094572454602</v>
      </c>
      <c r="S728" s="153">
        <v>0.03</v>
      </c>
      <c r="T728" s="153">
        <v>0</v>
      </c>
      <c r="U728" s="474">
        <v>1900</v>
      </c>
      <c r="V728">
        <v>2030</v>
      </c>
      <c r="W728">
        <v>0</v>
      </c>
      <c r="X728">
        <v>0</v>
      </c>
      <c r="Y728">
        <v>1304</v>
      </c>
      <c r="Z728">
        <v>311</v>
      </c>
      <c r="AA728" s="475" t="s">
        <v>23</v>
      </c>
    </row>
    <row r="729" spans="1:27" ht="15" hidden="1">
      <c r="A729" s="24">
        <f t="shared" si="49"/>
        <v>1728</v>
      </c>
      <c r="B729" s="24">
        <f t="shared" si="49"/>
        <v>1728</v>
      </c>
      <c r="C729" s="469" t="s">
        <v>1123</v>
      </c>
      <c r="D729" t="s">
        <v>146</v>
      </c>
      <c r="E729" s="470">
        <v>1</v>
      </c>
      <c r="F729" s="471">
        <v>77.00003013043478</v>
      </c>
      <c r="G729">
        <v>1</v>
      </c>
      <c r="H729">
        <v>1</v>
      </c>
      <c r="I729" s="472">
        <f t="shared" si="46"/>
        <v>0.32845968612834514</v>
      </c>
      <c r="J729" s="153">
        <v>3.8473756479098807E-2</v>
      </c>
      <c r="K729" s="153">
        <v>0.39358026214566905</v>
      </c>
      <c r="L729" s="153">
        <v>0.53857526864315253</v>
      </c>
      <c r="M729" s="153">
        <v>0.3432094572454602</v>
      </c>
      <c r="N729" s="472">
        <f t="shared" si="47"/>
        <v>0.32845968612834514</v>
      </c>
      <c r="O729" s="153">
        <v>3.8473756479098807E-2</v>
      </c>
      <c r="P729" s="153">
        <v>0.39358026214566905</v>
      </c>
      <c r="Q729" s="153">
        <v>0.53857526864315253</v>
      </c>
      <c r="R729" s="153">
        <v>0.3432094572454602</v>
      </c>
      <c r="S729" s="153">
        <v>0.03</v>
      </c>
      <c r="T729" s="153">
        <v>0</v>
      </c>
      <c r="U729" s="474">
        <v>2010</v>
      </c>
      <c r="V729">
        <v>2023</v>
      </c>
      <c r="W729">
        <v>0</v>
      </c>
      <c r="X729">
        <v>0</v>
      </c>
      <c r="Y729">
        <v>1304</v>
      </c>
      <c r="Z729">
        <v>311</v>
      </c>
      <c r="AA729" s="475" t="s">
        <v>23</v>
      </c>
    </row>
    <row r="730" spans="1:27" ht="15" hidden="1">
      <c r="A730" s="24">
        <f t="shared" si="49"/>
        <v>1729</v>
      </c>
      <c r="B730" s="24">
        <f t="shared" si="49"/>
        <v>1729</v>
      </c>
      <c r="C730" s="469" t="s">
        <v>1124</v>
      </c>
      <c r="D730" t="s">
        <v>152</v>
      </c>
      <c r="E730" s="470">
        <v>3</v>
      </c>
      <c r="F730" s="471">
        <v>25.52</v>
      </c>
      <c r="G730">
        <v>1</v>
      </c>
      <c r="H730">
        <v>1</v>
      </c>
      <c r="I730" s="472">
        <f t="shared" si="46"/>
        <v>0.32845968612834514</v>
      </c>
      <c r="J730" s="153">
        <v>3.8473756479098807E-2</v>
      </c>
      <c r="K730" s="153">
        <v>0.39358026214566905</v>
      </c>
      <c r="L730" s="153">
        <v>0.53857526864315253</v>
      </c>
      <c r="M730" s="153">
        <v>0.3432094572454602</v>
      </c>
      <c r="N730" s="472">
        <f t="shared" si="47"/>
        <v>0.32845968612834514</v>
      </c>
      <c r="O730" s="153">
        <v>3.8473756479098807E-2</v>
      </c>
      <c r="P730" s="153">
        <v>0.39358026214566905</v>
      </c>
      <c r="Q730" s="153">
        <v>0.53857526864315253</v>
      </c>
      <c r="R730" s="153">
        <v>0.3432094572454602</v>
      </c>
      <c r="S730" s="153">
        <v>0.03</v>
      </c>
      <c r="T730" s="153">
        <v>0</v>
      </c>
      <c r="U730" s="474">
        <v>2010</v>
      </c>
      <c r="V730">
        <v>2023</v>
      </c>
      <c r="W730">
        <v>0</v>
      </c>
      <c r="X730">
        <v>0</v>
      </c>
      <c r="Y730">
        <v>1304</v>
      </c>
      <c r="Z730">
        <v>311</v>
      </c>
      <c r="AA730" s="475" t="s">
        <v>23</v>
      </c>
    </row>
    <row r="731" spans="1:27" ht="15" hidden="1">
      <c r="A731" s="24">
        <f t="shared" si="49"/>
        <v>1730</v>
      </c>
      <c r="B731" s="24">
        <f t="shared" si="49"/>
        <v>1730</v>
      </c>
      <c r="C731" s="469" t="s">
        <v>1125</v>
      </c>
      <c r="D731" t="s">
        <v>152</v>
      </c>
      <c r="E731" s="470">
        <v>3</v>
      </c>
      <c r="F731" s="471">
        <v>0</v>
      </c>
      <c r="G731">
        <v>1</v>
      </c>
      <c r="H731">
        <v>1</v>
      </c>
      <c r="I731" s="472">
        <f t="shared" si="46"/>
        <v>0.32845968612834514</v>
      </c>
      <c r="J731" s="153">
        <v>3.8473756479098807E-2</v>
      </c>
      <c r="K731" s="153">
        <v>0.39358026214566905</v>
      </c>
      <c r="L731" s="153">
        <v>0.53857526864315253</v>
      </c>
      <c r="M731" s="153">
        <v>0.3432094572454602</v>
      </c>
      <c r="N731" s="472">
        <f t="shared" si="47"/>
        <v>0.32845968612834514</v>
      </c>
      <c r="O731" s="153">
        <v>3.8473756479098807E-2</v>
      </c>
      <c r="P731" s="153">
        <v>0.39358026214566905</v>
      </c>
      <c r="Q731" s="153">
        <v>0.53857526864315253</v>
      </c>
      <c r="R731" s="153">
        <v>0.3432094572454602</v>
      </c>
      <c r="S731" s="153">
        <v>0.03</v>
      </c>
      <c r="T731" s="153">
        <v>0</v>
      </c>
      <c r="U731" s="474">
        <v>1900</v>
      </c>
      <c r="V731">
        <v>2030</v>
      </c>
      <c r="W731">
        <v>0</v>
      </c>
      <c r="X731">
        <v>0</v>
      </c>
      <c r="Y731">
        <v>1304</v>
      </c>
      <c r="Z731">
        <v>311</v>
      </c>
      <c r="AA731" s="475" t="s">
        <v>23</v>
      </c>
    </row>
    <row r="732" spans="1:27" ht="15" hidden="1">
      <c r="A732" s="24">
        <f t="shared" si="49"/>
        <v>1731</v>
      </c>
      <c r="B732" s="24">
        <f t="shared" si="49"/>
        <v>1731</v>
      </c>
      <c r="C732" s="469" t="s">
        <v>1126</v>
      </c>
      <c r="D732" t="s">
        <v>146</v>
      </c>
      <c r="E732" s="470">
        <v>1</v>
      </c>
      <c r="F732" s="471">
        <v>37.974414186193798</v>
      </c>
      <c r="G732">
        <v>1</v>
      </c>
      <c r="H732">
        <v>1</v>
      </c>
      <c r="I732" s="472">
        <f t="shared" si="46"/>
        <v>0.32845968612834514</v>
      </c>
      <c r="J732" s="153">
        <v>3.8473756479098807E-2</v>
      </c>
      <c r="K732" s="153">
        <v>0.39358026214566905</v>
      </c>
      <c r="L732" s="153">
        <v>0.53857526864315253</v>
      </c>
      <c r="M732" s="153">
        <v>0.3432094572454602</v>
      </c>
      <c r="N732" s="472">
        <f t="shared" si="47"/>
        <v>0.32845968612834514</v>
      </c>
      <c r="O732" s="153">
        <v>3.8473756479098807E-2</v>
      </c>
      <c r="P732" s="153">
        <v>0.39358026214566905</v>
      </c>
      <c r="Q732" s="153">
        <v>0.53857526864315253</v>
      </c>
      <c r="R732" s="153">
        <v>0.3432094572454602</v>
      </c>
      <c r="S732" s="153">
        <v>0.03</v>
      </c>
      <c r="T732" s="153">
        <v>0</v>
      </c>
      <c r="U732" s="474">
        <v>2010</v>
      </c>
      <c r="V732">
        <v>2023</v>
      </c>
      <c r="W732">
        <v>0</v>
      </c>
      <c r="X732">
        <v>0</v>
      </c>
      <c r="Y732">
        <v>1304</v>
      </c>
      <c r="Z732">
        <v>311</v>
      </c>
      <c r="AA732" s="475" t="s">
        <v>23</v>
      </c>
    </row>
    <row r="733" spans="1:27" ht="15" hidden="1">
      <c r="A733" s="24">
        <f t="shared" si="49"/>
        <v>1732</v>
      </c>
      <c r="B733" s="24">
        <f t="shared" si="49"/>
        <v>1732</v>
      </c>
      <c r="C733" s="476" t="s">
        <v>1127</v>
      </c>
      <c r="D733" t="s">
        <v>152</v>
      </c>
      <c r="E733" s="477">
        <v>3</v>
      </c>
      <c r="F733" s="471">
        <v>30</v>
      </c>
      <c r="G733">
        <v>1</v>
      </c>
      <c r="H733">
        <v>1</v>
      </c>
      <c r="I733" s="472">
        <f t="shared" si="46"/>
        <v>0.47039166666666665</v>
      </c>
      <c r="J733" s="473">
        <v>0.36503333333333332</v>
      </c>
      <c r="K733" s="473">
        <v>0.44336666666666663</v>
      </c>
      <c r="L733" s="473">
        <v>0.58906666666666663</v>
      </c>
      <c r="M733" s="473">
        <v>0.48410000000000003</v>
      </c>
      <c r="N733" s="472">
        <f t="shared" si="47"/>
        <v>0.47039166666666665</v>
      </c>
      <c r="O733" s="473">
        <v>0.36503333333333332</v>
      </c>
      <c r="P733" s="473">
        <v>0.44336666666666663</v>
      </c>
      <c r="Q733" s="473">
        <v>0.58906666666666663</v>
      </c>
      <c r="R733" s="473">
        <v>0.48410000000000003</v>
      </c>
      <c r="S733" s="153">
        <v>0.01</v>
      </c>
      <c r="T733" s="153">
        <v>0.02</v>
      </c>
      <c r="U733" s="478">
        <v>2016</v>
      </c>
      <c r="V733" s="24">
        <f t="shared" ref="V733:V735" si="51">U733+20</f>
        <v>2036</v>
      </c>
      <c r="W733">
        <v>0</v>
      </c>
      <c r="X733">
        <v>0</v>
      </c>
      <c r="Y733">
        <v>1315</v>
      </c>
      <c r="Z733">
        <v>361</v>
      </c>
      <c r="AA733" s="475" t="s">
        <v>24</v>
      </c>
    </row>
    <row r="734" spans="1:27" ht="15" hidden="1">
      <c r="A734" s="24">
        <f t="shared" si="49"/>
        <v>1733</v>
      </c>
      <c r="B734" s="24">
        <f t="shared" si="49"/>
        <v>1733</v>
      </c>
      <c r="C734" s="476" t="s">
        <v>1128</v>
      </c>
      <c r="D734" t="s">
        <v>152</v>
      </c>
      <c r="E734" s="477">
        <v>3</v>
      </c>
      <c r="F734" s="471">
        <v>30</v>
      </c>
      <c r="G734">
        <v>1</v>
      </c>
      <c r="H734">
        <v>1</v>
      </c>
      <c r="I734" s="472">
        <f t="shared" si="46"/>
        <v>0.47039166666666665</v>
      </c>
      <c r="J734" s="473">
        <v>0.36503333333333332</v>
      </c>
      <c r="K734" s="473">
        <v>0.44336666666666663</v>
      </c>
      <c r="L734" s="473">
        <v>0.58906666666666663</v>
      </c>
      <c r="M734" s="473">
        <v>0.48410000000000003</v>
      </c>
      <c r="N734" s="472">
        <f t="shared" si="47"/>
        <v>0.47039166666666665</v>
      </c>
      <c r="O734" s="473">
        <v>0.36503333333333332</v>
      </c>
      <c r="P734" s="473">
        <v>0.44336666666666663</v>
      </c>
      <c r="Q734" s="473">
        <v>0.58906666666666663</v>
      </c>
      <c r="R734" s="473">
        <v>0.48410000000000003</v>
      </c>
      <c r="S734" s="153">
        <v>0.01</v>
      </c>
      <c r="T734" s="153">
        <v>0.02</v>
      </c>
      <c r="U734" s="478">
        <v>2016</v>
      </c>
      <c r="V734" s="24">
        <f t="shared" si="51"/>
        <v>2036</v>
      </c>
      <c r="W734">
        <v>0</v>
      </c>
      <c r="X734">
        <v>0</v>
      </c>
      <c r="Y734">
        <v>1315</v>
      </c>
      <c r="Z734">
        <v>361</v>
      </c>
      <c r="AA734" s="475" t="s">
        <v>24</v>
      </c>
    </row>
    <row r="735" spans="1:27" ht="15" hidden="1">
      <c r="A735" s="24">
        <f t="shared" si="49"/>
        <v>1734</v>
      </c>
      <c r="B735" s="24">
        <f t="shared" si="49"/>
        <v>1734</v>
      </c>
      <c r="C735" s="476" t="s">
        <v>1129</v>
      </c>
      <c r="D735" t="s">
        <v>152</v>
      </c>
      <c r="E735" s="477">
        <v>3</v>
      </c>
      <c r="F735" s="471">
        <v>9.4</v>
      </c>
      <c r="G735">
        <v>1</v>
      </c>
      <c r="H735">
        <v>1</v>
      </c>
      <c r="I735" s="472">
        <f t="shared" si="46"/>
        <v>0.47039166666666665</v>
      </c>
      <c r="J735" s="473">
        <v>0.36503333333333332</v>
      </c>
      <c r="K735" s="473">
        <v>0.44336666666666663</v>
      </c>
      <c r="L735" s="473">
        <v>0.58906666666666663</v>
      </c>
      <c r="M735" s="473">
        <v>0.48410000000000003</v>
      </c>
      <c r="N735" s="472">
        <f t="shared" si="47"/>
        <v>0.47039166666666665</v>
      </c>
      <c r="O735" s="473">
        <v>0.36503333333333332</v>
      </c>
      <c r="P735" s="473">
        <v>0.44336666666666663</v>
      </c>
      <c r="Q735" s="473">
        <v>0.58906666666666663</v>
      </c>
      <c r="R735" s="473">
        <v>0.48410000000000003</v>
      </c>
      <c r="S735" s="153">
        <v>0.01</v>
      </c>
      <c r="T735" s="153">
        <v>0.02</v>
      </c>
      <c r="U735" s="478">
        <v>2016</v>
      </c>
      <c r="V735" s="24">
        <f t="shared" si="51"/>
        <v>2036</v>
      </c>
      <c r="W735">
        <v>0</v>
      </c>
      <c r="X735">
        <v>0</v>
      </c>
      <c r="Y735">
        <v>1315</v>
      </c>
      <c r="Z735">
        <v>361</v>
      </c>
      <c r="AA735" s="475" t="s">
        <v>24</v>
      </c>
    </row>
    <row r="736" spans="1:27" ht="15" hidden="1">
      <c r="A736" s="24">
        <f t="shared" si="49"/>
        <v>1735</v>
      </c>
      <c r="B736" s="24">
        <f t="shared" si="49"/>
        <v>1735</v>
      </c>
      <c r="C736" s="469" t="s">
        <v>1130</v>
      </c>
      <c r="D736" t="s">
        <v>146</v>
      </c>
      <c r="E736" s="470">
        <v>1</v>
      </c>
      <c r="F736" s="471">
        <v>32.425585813806208</v>
      </c>
      <c r="G736">
        <v>1</v>
      </c>
      <c r="H736">
        <v>1</v>
      </c>
      <c r="I736" s="472">
        <f t="shared" si="46"/>
        <v>0.32845968612834514</v>
      </c>
      <c r="J736" s="153">
        <v>3.8473756479098807E-2</v>
      </c>
      <c r="K736" s="153">
        <v>0.39358026214566905</v>
      </c>
      <c r="L736" s="153">
        <v>0.53857526864315253</v>
      </c>
      <c r="M736" s="153">
        <v>0.3432094572454602</v>
      </c>
      <c r="N736" s="472">
        <f t="shared" si="47"/>
        <v>0.32845968612834514</v>
      </c>
      <c r="O736" s="153">
        <v>3.8473756479098807E-2</v>
      </c>
      <c r="P736" s="153">
        <v>0.39358026214566905</v>
      </c>
      <c r="Q736" s="153">
        <v>0.53857526864315253</v>
      </c>
      <c r="R736" s="153">
        <v>0.3432094572454602</v>
      </c>
      <c r="S736" s="153">
        <v>0.03</v>
      </c>
      <c r="T736" s="153">
        <v>0</v>
      </c>
      <c r="U736" s="474">
        <v>2010</v>
      </c>
      <c r="V736">
        <v>2023</v>
      </c>
      <c r="W736">
        <v>0</v>
      </c>
      <c r="X736">
        <v>0</v>
      </c>
      <c r="Y736">
        <v>1304</v>
      </c>
      <c r="Z736">
        <v>311</v>
      </c>
      <c r="AA736" s="475" t="s">
        <v>23</v>
      </c>
    </row>
    <row r="737" spans="1:27" ht="15" hidden="1">
      <c r="A737" s="24">
        <f t="shared" si="49"/>
        <v>1736</v>
      </c>
      <c r="B737" s="24">
        <f t="shared" si="49"/>
        <v>1736</v>
      </c>
      <c r="C737" s="469" t="s">
        <v>1131</v>
      </c>
      <c r="D737" t="s">
        <v>146</v>
      </c>
      <c r="E737" s="470">
        <v>1</v>
      </c>
      <c r="F737" s="471">
        <v>39.5</v>
      </c>
      <c r="G737">
        <v>1</v>
      </c>
      <c r="H737">
        <v>1</v>
      </c>
      <c r="I737" s="472">
        <f t="shared" si="46"/>
        <v>0.32845968612834514</v>
      </c>
      <c r="J737" s="153">
        <v>3.8473756479098807E-2</v>
      </c>
      <c r="K737" s="153">
        <v>0.39358026214566905</v>
      </c>
      <c r="L737" s="153">
        <v>0.53857526864315253</v>
      </c>
      <c r="M737" s="153">
        <v>0.3432094572454602</v>
      </c>
      <c r="N737" s="472">
        <f t="shared" si="47"/>
        <v>0.32845968612834514</v>
      </c>
      <c r="O737" s="153">
        <v>3.8473756479098807E-2</v>
      </c>
      <c r="P737" s="153">
        <v>0.39358026214566905</v>
      </c>
      <c r="Q737" s="153">
        <v>0.53857526864315253</v>
      </c>
      <c r="R737" s="153">
        <v>0.3432094572454602</v>
      </c>
      <c r="S737" s="153">
        <v>0.03</v>
      </c>
      <c r="T737" s="153">
        <v>0</v>
      </c>
      <c r="U737" s="474">
        <v>2013</v>
      </c>
      <c r="V737">
        <v>2030</v>
      </c>
      <c r="W737">
        <v>0</v>
      </c>
      <c r="X737">
        <v>0</v>
      </c>
      <c r="Y737">
        <v>1304</v>
      </c>
      <c r="Z737">
        <v>311</v>
      </c>
      <c r="AA737" s="475" t="s">
        <v>23</v>
      </c>
    </row>
    <row r="738" spans="1:27" ht="15" hidden="1">
      <c r="A738" s="24">
        <f t="shared" si="49"/>
        <v>1737</v>
      </c>
      <c r="B738" s="24">
        <f t="shared" si="49"/>
        <v>1737</v>
      </c>
      <c r="C738" s="476" t="s">
        <v>1132</v>
      </c>
      <c r="D738" t="s">
        <v>152</v>
      </c>
      <c r="E738" s="477">
        <v>3</v>
      </c>
      <c r="F738" s="471">
        <v>18.8</v>
      </c>
      <c r="G738">
        <v>1</v>
      </c>
      <c r="H738">
        <v>1</v>
      </c>
      <c r="I738" s="472">
        <f t="shared" si="46"/>
        <v>0.47039166666666665</v>
      </c>
      <c r="J738" s="473">
        <v>0.36503333333333332</v>
      </c>
      <c r="K738" s="473">
        <v>0.44336666666666663</v>
      </c>
      <c r="L738" s="473">
        <v>0.58906666666666663</v>
      </c>
      <c r="M738" s="473">
        <v>0.48410000000000003</v>
      </c>
      <c r="N738" s="472">
        <f t="shared" si="47"/>
        <v>0.47039166666666665</v>
      </c>
      <c r="O738" s="473">
        <v>0.36503333333333332</v>
      </c>
      <c r="P738" s="473">
        <v>0.44336666666666663</v>
      </c>
      <c r="Q738" s="473">
        <v>0.58906666666666663</v>
      </c>
      <c r="R738" s="473">
        <v>0.48410000000000003</v>
      </c>
      <c r="S738" s="153">
        <v>0.01</v>
      </c>
      <c r="T738" s="153">
        <v>0.02</v>
      </c>
      <c r="U738" s="478">
        <v>2016</v>
      </c>
      <c r="V738" s="24">
        <f t="shared" ref="V738:V739" si="52">U738+20</f>
        <v>2036</v>
      </c>
      <c r="W738">
        <v>0</v>
      </c>
      <c r="X738">
        <v>0</v>
      </c>
      <c r="Y738">
        <v>1315</v>
      </c>
      <c r="Z738">
        <v>361</v>
      </c>
      <c r="AA738" s="475" t="s">
        <v>24</v>
      </c>
    </row>
    <row r="739" spans="1:27" ht="15" hidden="1">
      <c r="A739" s="24">
        <f t="shared" ref="A739:B757" si="53">1000+ROW()-1</f>
        <v>1738</v>
      </c>
      <c r="B739" s="24">
        <f t="shared" si="53"/>
        <v>1738</v>
      </c>
      <c r="C739" s="476" t="s">
        <v>1133</v>
      </c>
      <c r="D739" t="s">
        <v>152</v>
      </c>
      <c r="E739" s="477">
        <v>3</v>
      </c>
      <c r="F739" s="471">
        <v>4.7</v>
      </c>
      <c r="G739">
        <v>1</v>
      </c>
      <c r="H739">
        <v>1</v>
      </c>
      <c r="I739" s="472">
        <f t="shared" si="46"/>
        <v>0.47039166666666665</v>
      </c>
      <c r="J739" s="473">
        <v>0.36503333333333332</v>
      </c>
      <c r="K739" s="473">
        <v>0.44336666666666663</v>
      </c>
      <c r="L739" s="473">
        <v>0.58906666666666663</v>
      </c>
      <c r="M739" s="473">
        <v>0.48410000000000003</v>
      </c>
      <c r="N739" s="472">
        <f t="shared" si="47"/>
        <v>0.47039166666666665</v>
      </c>
      <c r="O739" s="473">
        <v>0.36503333333333332</v>
      </c>
      <c r="P739" s="473">
        <v>0.44336666666666663</v>
      </c>
      <c r="Q739" s="473">
        <v>0.58906666666666663</v>
      </c>
      <c r="R739" s="473">
        <v>0.48410000000000003</v>
      </c>
      <c r="S739" s="153">
        <v>0.01</v>
      </c>
      <c r="T739" s="153">
        <v>0.02</v>
      </c>
      <c r="U739" s="478">
        <v>2016</v>
      </c>
      <c r="V739" s="24">
        <f t="shared" si="52"/>
        <v>2036</v>
      </c>
      <c r="W739">
        <v>0</v>
      </c>
      <c r="X739">
        <v>0</v>
      </c>
      <c r="Y739">
        <v>1315</v>
      </c>
      <c r="Z739">
        <v>361</v>
      </c>
      <c r="AA739" s="475" t="s">
        <v>24</v>
      </c>
    </row>
    <row r="740" spans="1:27" ht="15" hidden="1">
      <c r="A740" s="24">
        <f t="shared" si="53"/>
        <v>1739</v>
      </c>
      <c r="B740" s="24">
        <f t="shared" si="53"/>
        <v>1739</v>
      </c>
      <c r="C740" s="469" t="s">
        <v>1134</v>
      </c>
      <c r="D740" t="s">
        <v>146</v>
      </c>
      <c r="E740" s="470">
        <v>1</v>
      </c>
      <c r="F740" s="471">
        <v>0</v>
      </c>
      <c r="G740">
        <v>1</v>
      </c>
      <c r="H740">
        <v>1</v>
      </c>
      <c r="I740" s="472">
        <f t="shared" si="46"/>
        <v>0.32845968612834514</v>
      </c>
      <c r="J740" s="153">
        <v>3.8473756479098807E-2</v>
      </c>
      <c r="K740" s="153">
        <v>0.39358026214566905</v>
      </c>
      <c r="L740" s="153">
        <v>0.53857526864315253</v>
      </c>
      <c r="M740" s="153">
        <v>0.3432094572454602</v>
      </c>
      <c r="N740" s="472">
        <f t="shared" si="47"/>
        <v>0.32845968612834514</v>
      </c>
      <c r="O740" s="153">
        <v>3.8473756479098807E-2</v>
      </c>
      <c r="P740" s="153">
        <v>0.39358026214566905</v>
      </c>
      <c r="Q740" s="153">
        <v>0.53857526864315253</v>
      </c>
      <c r="R740" s="153">
        <v>0.3432094572454602</v>
      </c>
      <c r="S740" s="153">
        <v>0.03</v>
      </c>
      <c r="T740" s="153">
        <v>0</v>
      </c>
      <c r="U740" s="474">
        <v>1900</v>
      </c>
      <c r="V740">
        <v>2030</v>
      </c>
      <c r="W740">
        <v>0</v>
      </c>
      <c r="X740">
        <v>0</v>
      </c>
      <c r="Y740">
        <v>1304</v>
      </c>
      <c r="Z740">
        <v>311</v>
      </c>
      <c r="AA740" s="475" t="s">
        <v>23</v>
      </c>
    </row>
    <row r="741" spans="1:27" ht="15" hidden="1">
      <c r="A741" s="24">
        <f t="shared" si="53"/>
        <v>1740</v>
      </c>
      <c r="B741" s="24">
        <f t="shared" si="53"/>
        <v>1740</v>
      </c>
      <c r="C741" s="476" t="s">
        <v>1135</v>
      </c>
      <c r="D741" t="s">
        <v>152</v>
      </c>
      <c r="E741" s="477">
        <v>3</v>
      </c>
      <c r="F741" s="471">
        <v>11.75</v>
      </c>
      <c r="G741">
        <v>1</v>
      </c>
      <c r="H741">
        <v>1</v>
      </c>
      <c r="I741" s="472">
        <f t="shared" si="46"/>
        <v>0.47039166666666665</v>
      </c>
      <c r="J741" s="473">
        <v>0.36503333333333332</v>
      </c>
      <c r="K741" s="473">
        <v>0.44336666666666663</v>
      </c>
      <c r="L741" s="473">
        <v>0.58906666666666663</v>
      </c>
      <c r="M741" s="473">
        <v>0.48410000000000003</v>
      </c>
      <c r="N741" s="472">
        <f t="shared" si="47"/>
        <v>0.47039166666666665</v>
      </c>
      <c r="O741" s="473">
        <v>0.36503333333333332</v>
      </c>
      <c r="P741" s="473">
        <v>0.44336666666666663</v>
      </c>
      <c r="Q741" s="473">
        <v>0.58906666666666663</v>
      </c>
      <c r="R741" s="473">
        <v>0.48410000000000003</v>
      </c>
      <c r="S741" s="153">
        <v>0.01</v>
      </c>
      <c r="T741" s="153">
        <v>0.02</v>
      </c>
      <c r="U741" s="478">
        <v>2016</v>
      </c>
      <c r="V741" s="24">
        <f t="shared" ref="V741:V752" si="54">U741+20</f>
        <v>2036</v>
      </c>
      <c r="W741">
        <v>0</v>
      </c>
      <c r="X741">
        <v>0</v>
      </c>
      <c r="Y741">
        <v>1315</v>
      </c>
      <c r="Z741">
        <v>361</v>
      </c>
      <c r="AA741" s="475" t="s">
        <v>24</v>
      </c>
    </row>
    <row r="742" spans="1:27" ht="15" hidden="1">
      <c r="A742" s="24">
        <f t="shared" si="53"/>
        <v>1741</v>
      </c>
      <c r="B742" s="24">
        <f t="shared" si="53"/>
        <v>1741</v>
      </c>
      <c r="C742" s="476" t="s">
        <v>1136</v>
      </c>
      <c r="D742" t="s">
        <v>152</v>
      </c>
      <c r="E742" s="477">
        <v>3</v>
      </c>
      <c r="F742" s="471">
        <v>11.75</v>
      </c>
      <c r="G742">
        <v>1</v>
      </c>
      <c r="H742">
        <v>1</v>
      </c>
      <c r="I742" s="472">
        <f t="shared" si="46"/>
        <v>0.47039166666666665</v>
      </c>
      <c r="J742" s="473">
        <v>0.36503333333333332</v>
      </c>
      <c r="K742" s="473">
        <v>0.44336666666666663</v>
      </c>
      <c r="L742" s="473">
        <v>0.58906666666666663</v>
      </c>
      <c r="M742" s="473">
        <v>0.48410000000000003</v>
      </c>
      <c r="N742" s="472">
        <f t="shared" si="47"/>
        <v>0.47039166666666665</v>
      </c>
      <c r="O742" s="473">
        <v>0.36503333333333332</v>
      </c>
      <c r="P742" s="473">
        <v>0.44336666666666663</v>
      </c>
      <c r="Q742" s="473">
        <v>0.58906666666666663</v>
      </c>
      <c r="R742" s="473">
        <v>0.48410000000000003</v>
      </c>
      <c r="S742" s="153">
        <v>0.01</v>
      </c>
      <c r="T742" s="153">
        <v>0.02</v>
      </c>
      <c r="U742" s="478">
        <v>2016</v>
      </c>
      <c r="V742" s="24">
        <f t="shared" si="54"/>
        <v>2036</v>
      </c>
      <c r="W742">
        <v>0</v>
      </c>
      <c r="X742">
        <v>0</v>
      </c>
      <c r="Y742">
        <v>1315</v>
      </c>
      <c r="Z742">
        <v>361</v>
      </c>
      <c r="AA742" s="475" t="s">
        <v>24</v>
      </c>
    </row>
    <row r="743" spans="1:27" ht="15" hidden="1">
      <c r="A743" s="24">
        <f t="shared" si="53"/>
        <v>1742</v>
      </c>
      <c r="B743" s="24">
        <f t="shared" si="53"/>
        <v>1742</v>
      </c>
      <c r="C743" s="476" t="s">
        <v>1137</v>
      </c>
      <c r="D743" t="s">
        <v>152</v>
      </c>
      <c r="E743" s="477">
        <v>3</v>
      </c>
      <c r="F743" s="471">
        <v>9.4</v>
      </c>
      <c r="G743">
        <v>1</v>
      </c>
      <c r="H743">
        <v>1</v>
      </c>
      <c r="I743" s="472">
        <f t="shared" si="46"/>
        <v>0.47039166666666665</v>
      </c>
      <c r="J743" s="473">
        <v>0.36503333333333332</v>
      </c>
      <c r="K743" s="473">
        <v>0.44336666666666663</v>
      </c>
      <c r="L743" s="473">
        <v>0.58906666666666663</v>
      </c>
      <c r="M743" s="473">
        <v>0.48410000000000003</v>
      </c>
      <c r="N743" s="472">
        <f t="shared" si="47"/>
        <v>0.47039166666666665</v>
      </c>
      <c r="O743" s="473">
        <v>0.36503333333333332</v>
      </c>
      <c r="P743" s="473">
        <v>0.44336666666666663</v>
      </c>
      <c r="Q743" s="473">
        <v>0.58906666666666663</v>
      </c>
      <c r="R743" s="473">
        <v>0.48410000000000003</v>
      </c>
      <c r="S743" s="153">
        <v>0.01</v>
      </c>
      <c r="T743" s="153">
        <v>0.02</v>
      </c>
      <c r="U743" s="478">
        <v>2016</v>
      </c>
      <c r="V743" s="24">
        <f t="shared" si="54"/>
        <v>2036</v>
      </c>
      <c r="W743">
        <v>0</v>
      </c>
      <c r="X743">
        <v>0</v>
      </c>
      <c r="Y743">
        <v>1315</v>
      </c>
      <c r="Z743">
        <v>361</v>
      </c>
      <c r="AA743" s="475" t="s">
        <v>24</v>
      </c>
    </row>
    <row r="744" spans="1:27" ht="15" hidden="1">
      <c r="A744" s="24">
        <f t="shared" si="53"/>
        <v>1743</v>
      </c>
      <c r="B744" s="24">
        <f t="shared" si="53"/>
        <v>1743</v>
      </c>
      <c r="C744" s="476" t="s">
        <v>1138</v>
      </c>
      <c r="D744" t="s">
        <v>152</v>
      </c>
      <c r="E744" s="477">
        <v>3</v>
      </c>
      <c r="F744" s="471">
        <v>11.75</v>
      </c>
      <c r="G744">
        <v>1</v>
      </c>
      <c r="H744">
        <v>1</v>
      </c>
      <c r="I744" s="472">
        <f t="shared" si="46"/>
        <v>0.47039166666666665</v>
      </c>
      <c r="J744" s="473">
        <v>0.36503333333333332</v>
      </c>
      <c r="K744" s="473">
        <v>0.44336666666666663</v>
      </c>
      <c r="L744" s="473">
        <v>0.58906666666666663</v>
      </c>
      <c r="M744" s="473">
        <v>0.48410000000000003</v>
      </c>
      <c r="N744" s="472">
        <f t="shared" si="47"/>
        <v>0.47039166666666665</v>
      </c>
      <c r="O744" s="473">
        <v>0.36503333333333332</v>
      </c>
      <c r="P744" s="473">
        <v>0.44336666666666663</v>
      </c>
      <c r="Q744" s="473">
        <v>0.58906666666666663</v>
      </c>
      <c r="R744" s="473">
        <v>0.48410000000000003</v>
      </c>
      <c r="S744" s="153">
        <v>0.01</v>
      </c>
      <c r="T744" s="153">
        <v>0.02</v>
      </c>
      <c r="U744" s="478">
        <v>2016</v>
      </c>
      <c r="V744" s="24">
        <f t="shared" si="54"/>
        <v>2036</v>
      </c>
      <c r="W744">
        <v>0</v>
      </c>
      <c r="X744">
        <v>0</v>
      </c>
      <c r="Y744">
        <v>1315</v>
      </c>
      <c r="Z744">
        <v>361</v>
      </c>
      <c r="AA744" s="475" t="s">
        <v>24</v>
      </c>
    </row>
    <row r="745" spans="1:27" ht="15" hidden="1">
      <c r="A745" s="24">
        <f t="shared" si="53"/>
        <v>1744</v>
      </c>
      <c r="B745" s="24">
        <f t="shared" si="53"/>
        <v>1744</v>
      </c>
      <c r="C745" s="476" t="s">
        <v>1139</v>
      </c>
      <c r="D745" t="s">
        <v>152</v>
      </c>
      <c r="E745" s="477">
        <v>3</v>
      </c>
      <c r="F745" s="471">
        <v>4.7</v>
      </c>
      <c r="G745">
        <v>1</v>
      </c>
      <c r="H745">
        <v>1</v>
      </c>
      <c r="I745" s="472">
        <f t="shared" si="46"/>
        <v>0.47039166666666665</v>
      </c>
      <c r="J745" s="473">
        <v>0.36503333333333332</v>
      </c>
      <c r="K745" s="473">
        <v>0.44336666666666663</v>
      </c>
      <c r="L745" s="473">
        <v>0.58906666666666663</v>
      </c>
      <c r="M745" s="473">
        <v>0.48410000000000003</v>
      </c>
      <c r="N745" s="472">
        <f t="shared" si="47"/>
        <v>0.47039166666666665</v>
      </c>
      <c r="O745" s="473">
        <v>0.36503333333333332</v>
      </c>
      <c r="P745" s="473">
        <v>0.44336666666666663</v>
      </c>
      <c r="Q745" s="473">
        <v>0.58906666666666663</v>
      </c>
      <c r="R745" s="473">
        <v>0.48410000000000003</v>
      </c>
      <c r="S745" s="153">
        <v>0.01</v>
      </c>
      <c r="T745" s="153">
        <v>0.02</v>
      </c>
      <c r="U745" s="478">
        <v>2016</v>
      </c>
      <c r="V745" s="24">
        <f t="shared" si="54"/>
        <v>2036</v>
      </c>
      <c r="W745">
        <v>0</v>
      </c>
      <c r="X745">
        <v>0</v>
      </c>
      <c r="Y745">
        <v>1315</v>
      </c>
      <c r="Z745">
        <v>361</v>
      </c>
      <c r="AA745" s="475" t="s">
        <v>24</v>
      </c>
    </row>
    <row r="746" spans="1:27" ht="15" hidden="1">
      <c r="A746" s="24">
        <f t="shared" si="53"/>
        <v>1745</v>
      </c>
      <c r="B746" s="24">
        <f t="shared" si="53"/>
        <v>1745</v>
      </c>
      <c r="C746" s="476" t="s">
        <v>1140</v>
      </c>
      <c r="D746" t="s">
        <v>152</v>
      </c>
      <c r="E746" s="477">
        <v>3</v>
      </c>
      <c r="F746" s="471">
        <v>16.2</v>
      </c>
      <c r="G746">
        <v>1</v>
      </c>
      <c r="H746">
        <v>1</v>
      </c>
      <c r="I746" s="472">
        <f t="shared" si="46"/>
        <v>0.47039166666666665</v>
      </c>
      <c r="J746" s="473">
        <v>0.36503333333333332</v>
      </c>
      <c r="K746" s="473">
        <v>0.44336666666666663</v>
      </c>
      <c r="L746" s="473">
        <v>0.58906666666666663</v>
      </c>
      <c r="M746" s="473">
        <v>0.48410000000000003</v>
      </c>
      <c r="N746" s="472">
        <f t="shared" si="47"/>
        <v>0.47039166666666665</v>
      </c>
      <c r="O746" s="473">
        <v>0.36503333333333332</v>
      </c>
      <c r="P746" s="473">
        <v>0.44336666666666663</v>
      </c>
      <c r="Q746" s="473">
        <v>0.58906666666666663</v>
      </c>
      <c r="R746" s="473">
        <v>0.48410000000000003</v>
      </c>
      <c r="S746" s="153">
        <v>0.01</v>
      </c>
      <c r="T746" s="153">
        <v>0.02</v>
      </c>
      <c r="U746" s="478">
        <v>2018</v>
      </c>
      <c r="V746" s="24">
        <f t="shared" si="54"/>
        <v>2038</v>
      </c>
      <c r="W746">
        <v>0</v>
      </c>
      <c r="X746">
        <v>0</v>
      </c>
      <c r="Y746">
        <v>1315</v>
      </c>
      <c r="Z746">
        <v>361</v>
      </c>
      <c r="AA746" s="475" t="s">
        <v>24</v>
      </c>
    </row>
    <row r="747" spans="1:27" ht="15" hidden="1">
      <c r="A747" s="24">
        <f t="shared" si="53"/>
        <v>1746</v>
      </c>
      <c r="B747" s="24">
        <f t="shared" si="53"/>
        <v>1746</v>
      </c>
      <c r="C747" s="476" t="s">
        <v>1141</v>
      </c>
      <c r="D747" t="s">
        <v>152</v>
      </c>
      <c r="E747" s="477">
        <v>3</v>
      </c>
      <c r="F747" s="471">
        <v>2.5</v>
      </c>
      <c r="G747">
        <v>1</v>
      </c>
      <c r="H747">
        <v>1</v>
      </c>
      <c r="I747" s="472">
        <f t="shared" si="46"/>
        <v>0.47039166666666665</v>
      </c>
      <c r="J747" s="473">
        <v>0.36503333333333332</v>
      </c>
      <c r="K747" s="473">
        <v>0.44336666666666663</v>
      </c>
      <c r="L747" s="473">
        <v>0.58906666666666663</v>
      </c>
      <c r="M747" s="473">
        <v>0.48410000000000003</v>
      </c>
      <c r="N747" s="472">
        <f t="shared" si="47"/>
        <v>0.47039166666666665</v>
      </c>
      <c r="O747" s="473">
        <v>0.36503333333333332</v>
      </c>
      <c r="P747" s="473">
        <v>0.44336666666666663</v>
      </c>
      <c r="Q747" s="473">
        <v>0.58906666666666663</v>
      </c>
      <c r="R747" s="473">
        <v>0.48410000000000003</v>
      </c>
      <c r="S747" s="153">
        <v>0.01</v>
      </c>
      <c r="T747" s="153">
        <v>0.02</v>
      </c>
      <c r="U747" s="478">
        <v>2018</v>
      </c>
      <c r="V747" s="24">
        <f t="shared" si="54"/>
        <v>2038</v>
      </c>
      <c r="W747">
        <v>0</v>
      </c>
      <c r="X747">
        <v>0</v>
      </c>
      <c r="Y747">
        <v>1315</v>
      </c>
      <c r="Z747">
        <v>361</v>
      </c>
      <c r="AA747" s="475" t="s">
        <v>24</v>
      </c>
    </row>
    <row r="748" spans="1:27" ht="15" hidden="1">
      <c r="A748" s="24">
        <f t="shared" si="53"/>
        <v>1747</v>
      </c>
      <c r="B748" s="24">
        <f t="shared" si="53"/>
        <v>1747</v>
      </c>
      <c r="C748" s="476" t="s">
        <v>1142</v>
      </c>
      <c r="D748" t="s">
        <v>152</v>
      </c>
      <c r="E748" s="477">
        <v>3</v>
      </c>
      <c r="F748" s="471">
        <v>12.5</v>
      </c>
      <c r="G748">
        <v>1</v>
      </c>
      <c r="H748">
        <v>1</v>
      </c>
      <c r="I748" s="472">
        <f t="shared" si="46"/>
        <v>0.47039166666666665</v>
      </c>
      <c r="J748" s="473">
        <v>0.36503333333333332</v>
      </c>
      <c r="K748" s="473">
        <v>0.44336666666666663</v>
      </c>
      <c r="L748" s="473">
        <v>0.58906666666666663</v>
      </c>
      <c r="M748" s="473">
        <v>0.48410000000000003</v>
      </c>
      <c r="N748" s="472">
        <f t="shared" si="47"/>
        <v>0.47039166666666665</v>
      </c>
      <c r="O748" s="473">
        <v>0.36503333333333332</v>
      </c>
      <c r="P748" s="473">
        <v>0.44336666666666663</v>
      </c>
      <c r="Q748" s="473">
        <v>0.58906666666666663</v>
      </c>
      <c r="R748" s="473">
        <v>0.48410000000000003</v>
      </c>
      <c r="S748" s="153">
        <v>0.01</v>
      </c>
      <c r="T748" s="153">
        <v>0.02</v>
      </c>
      <c r="U748" s="478">
        <v>2018</v>
      </c>
      <c r="V748" s="24">
        <f t="shared" si="54"/>
        <v>2038</v>
      </c>
      <c r="W748">
        <v>0</v>
      </c>
      <c r="X748">
        <v>0</v>
      </c>
      <c r="Y748">
        <v>1315</v>
      </c>
      <c r="Z748">
        <v>361</v>
      </c>
      <c r="AA748" s="475" t="s">
        <v>24</v>
      </c>
    </row>
    <row r="749" spans="1:27" ht="15" hidden="1">
      <c r="A749" s="24">
        <f t="shared" si="53"/>
        <v>1748</v>
      </c>
      <c r="B749" s="24">
        <f t="shared" si="53"/>
        <v>1748</v>
      </c>
      <c r="C749" s="476" t="s">
        <v>1143</v>
      </c>
      <c r="D749" t="s">
        <v>152</v>
      </c>
      <c r="E749" s="477">
        <v>3</v>
      </c>
      <c r="F749" s="471">
        <v>21</v>
      </c>
      <c r="G749">
        <v>1</v>
      </c>
      <c r="H749">
        <v>1</v>
      </c>
      <c r="I749" s="472">
        <f t="shared" si="46"/>
        <v>0.47039166666666665</v>
      </c>
      <c r="J749" s="473">
        <v>0.36503333333333332</v>
      </c>
      <c r="K749" s="473">
        <v>0.44336666666666663</v>
      </c>
      <c r="L749" s="473">
        <v>0.58906666666666663</v>
      </c>
      <c r="M749" s="473">
        <v>0.48410000000000003</v>
      </c>
      <c r="N749" s="472">
        <f t="shared" si="47"/>
        <v>0.47039166666666665</v>
      </c>
      <c r="O749" s="473">
        <v>0.36503333333333332</v>
      </c>
      <c r="P749" s="473">
        <v>0.44336666666666663</v>
      </c>
      <c r="Q749" s="473">
        <v>0.58906666666666663</v>
      </c>
      <c r="R749" s="473">
        <v>0.48410000000000003</v>
      </c>
      <c r="S749" s="153">
        <v>0.01</v>
      </c>
      <c r="T749" s="153">
        <v>0.02</v>
      </c>
      <c r="U749" s="478">
        <v>2018</v>
      </c>
      <c r="V749" s="24">
        <f t="shared" si="54"/>
        <v>2038</v>
      </c>
      <c r="W749">
        <v>0</v>
      </c>
      <c r="X749">
        <v>0</v>
      </c>
      <c r="Y749">
        <v>1315</v>
      </c>
      <c r="Z749">
        <v>361</v>
      </c>
      <c r="AA749" s="475" t="s">
        <v>24</v>
      </c>
    </row>
    <row r="750" spans="1:27" ht="15" hidden="1">
      <c r="A750" s="24">
        <f t="shared" si="53"/>
        <v>1749</v>
      </c>
      <c r="B750" s="24">
        <f t="shared" si="53"/>
        <v>1749</v>
      </c>
      <c r="C750" s="476" t="s">
        <v>1144</v>
      </c>
      <c r="D750" t="s">
        <v>152</v>
      </c>
      <c r="E750" s="477">
        <v>3</v>
      </c>
      <c r="F750" s="471">
        <v>4.2</v>
      </c>
      <c r="G750">
        <v>1</v>
      </c>
      <c r="H750">
        <v>1</v>
      </c>
      <c r="I750" s="472">
        <f t="shared" si="46"/>
        <v>0.47039166666666665</v>
      </c>
      <c r="J750" s="473">
        <v>0.36503333333333332</v>
      </c>
      <c r="K750" s="473">
        <v>0.44336666666666663</v>
      </c>
      <c r="L750" s="473">
        <v>0.58906666666666663</v>
      </c>
      <c r="M750" s="473">
        <v>0.48410000000000003</v>
      </c>
      <c r="N750" s="472">
        <f t="shared" si="47"/>
        <v>0.47039166666666665</v>
      </c>
      <c r="O750" s="473">
        <v>0.36503333333333332</v>
      </c>
      <c r="P750" s="473">
        <v>0.44336666666666663</v>
      </c>
      <c r="Q750" s="473">
        <v>0.58906666666666663</v>
      </c>
      <c r="R750" s="473">
        <v>0.48410000000000003</v>
      </c>
      <c r="S750" s="153">
        <v>0.01</v>
      </c>
      <c r="T750" s="153">
        <v>0.02</v>
      </c>
      <c r="U750" s="478">
        <v>2018</v>
      </c>
      <c r="V750" s="24">
        <f t="shared" si="54"/>
        <v>2038</v>
      </c>
      <c r="W750">
        <v>0</v>
      </c>
      <c r="X750">
        <v>0</v>
      </c>
      <c r="Y750">
        <v>1315</v>
      </c>
      <c r="Z750">
        <v>361</v>
      </c>
      <c r="AA750" s="475" t="s">
        <v>24</v>
      </c>
    </row>
    <row r="751" spans="1:27" ht="15" hidden="1">
      <c r="A751" s="24">
        <f t="shared" si="53"/>
        <v>1750</v>
      </c>
      <c r="B751" s="24">
        <f t="shared" si="53"/>
        <v>1750</v>
      </c>
      <c r="C751" s="476" t="s">
        <v>1145</v>
      </c>
      <c r="D751" t="s">
        <v>152</v>
      </c>
      <c r="E751" s="477">
        <v>3</v>
      </c>
      <c r="F751" s="471">
        <v>2.1</v>
      </c>
      <c r="G751">
        <v>1</v>
      </c>
      <c r="H751">
        <v>1</v>
      </c>
      <c r="I751" s="472">
        <f t="shared" si="46"/>
        <v>0.47039166666666665</v>
      </c>
      <c r="J751" s="473">
        <v>0.36503333333333332</v>
      </c>
      <c r="K751" s="473">
        <v>0.44336666666666663</v>
      </c>
      <c r="L751" s="473">
        <v>0.58906666666666663</v>
      </c>
      <c r="M751" s="473">
        <v>0.48410000000000003</v>
      </c>
      <c r="N751" s="472">
        <f t="shared" si="47"/>
        <v>0.47039166666666665</v>
      </c>
      <c r="O751" s="473">
        <v>0.36503333333333332</v>
      </c>
      <c r="P751" s="473">
        <v>0.44336666666666663</v>
      </c>
      <c r="Q751" s="473">
        <v>0.58906666666666663</v>
      </c>
      <c r="R751" s="473">
        <v>0.48410000000000003</v>
      </c>
      <c r="S751" s="153">
        <v>0.01</v>
      </c>
      <c r="T751" s="153">
        <v>0.02</v>
      </c>
      <c r="U751" s="478">
        <v>2018</v>
      </c>
      <c r="V751" s="24">
        <f t="shared" si="54"/>
        <v>2038</v>
      </c>
      <c r="W751">
        <v>0</v>
      </c>
      <c r="X751">
        <v>0</v>
      </c>
      <c r="Y751">
        <v>1315</v>
      </c>
      <c r="Z751">
        <v>361</v>
      </c>
      <c r="AA751" s="475" t="s">
        <v>24</v>
      </c>
    </row>
    <row r="752" spans="1:27" ht="15" hidden="1">
      <c r="A752" s="24">
        <f t="shared" si="53"/>
        <v>1751</v>
      </c>
      <c r="B752" s="24">
        <f t="shared" si="53"/>
        <v>1751</v>
      </c>
      <c r="C752" s="476" t="s">
        <v>1146</v>
      </c>
      <c r="D752" t="s">
        <v>152</v>
      </c>
      <c r="E752" s="477">
        <v>3</v>
      </c>
      <c r="F752" s="471">
        <v>12.6</v>
      </c>
      <c r="G752">
        <v>1</v>
      </c>
      <c r="H752">
        <v>1</v>
      </c>
      <c r="I752" s="472">
        <f t="shared" si="46"/>
        <v>0.47039166666666665</v>
      </c>
      <c r="J752" s="473">
        <v>0.36503333333333332</v>
      </c>
      <c r="K752" s="473">
        <v>0.44336666666666663</v>
      </c>
      <c r="L752" s="473">
        <v>0.58906666666666663</v>
      </c>
      <c r="M752" s="473">
        <v>0.48410000000000003</v>
      </c>
      <c r="N752" s="472">
        <f t="shared" si="47"/>
        <v>0.47039166666666665</v>
      </c>
      <c r="O752" s="473">
        <v>0.36503333333333332</v>
      </c>
      <c r="P752" s="473">
        <v>0.44336666666666663</v>
      </c>
      <c r="Q752" s="473">
        <v>0.58906666666666663</v>
      </c>
      <c r="R752" s="473">
        <v>0.48410000000000003</v>
      </c>
      <c r="S752" s="153">
        <v>0.01</v>
      </c>
      <c r="T752" s="153">
        <v>0.02</v>
      </c>
      <c r="U752" s="478">
        <v>2018</v>
      </c>
      <c r="V752" s="24">
        <f t="shared" si="54"/>
        <v>2038</v>
      </c>
      <c r="W752">
        <v>0</v>
      </c>
      <c r="X752">
        <v>0</v>
      </c>
      <c r="Y752">
        <v>1315</v>
      </c>
      <c r="Z752">
        <v>361</v>
      </c>
      <c r="AA752" s="475" t="s">
        <v>24</v>
      </c>
    </row>
    <row r="753" spans="1:27" ht="15" hidden="1">
      <c r="A753" s="24">
        <f t="shared" si="53"/>
        <v>1752</v>
      </c>
      <c r="B753" s="24">
        <f t="shared" si="53"/>
        <v>1752</v>
      </c>
      <c r="C753" s="469" t="s">
        <v>1147</v>
      </c>
      <c r="D753" t="s">
        <v>149</v>
      </c>
      <c r="E753" s="470">
        <v>2</v>
      </c>
      <c r="F753" s="471">
        <v>50.5</v>
      </c>
      <c r="G753">
        <v>1</v>
      </c>
      <c r="H753">
        <v>1</v>
      </c>
      <c r="I753" s="472">
        <f t="shared" si="46"/>
        <v>0.32845968612834514</v>
      </c>
      <c r="J753" s="153">
        <v>3.8473756479098807E-2</v>
      </c>
      <c r="K753" s="153">
        <v>0.39358026214566905</v>
      </c>
      <c r="L753" s="153">
        <v>0.53857526864315253</v>
      </c>
      <c r="M753" s="153">
        <v>0.3432094572454602</v>
      </c>
      <c r="N753" s="472">
        <f t="shared" si="47"/>
        <v>0.32845968612834514</v>
      </c>
      <c r="O753" s="153">
        <v>3.8473756479098807E-2</v>
      </c>
      <c r="P753" s="153">
        <v>0.39358026214566905</v>
      </c>
      <c r="Q753" s="153">
        <v>0.53857526864315253</v>
      </c>
      <c r="R753" s="153">
        <v>0.3432094572454602</v>
      </c>
      <c r="S753" s="153">
        <v>0.03</v>
      </c>
      <c r="T753" s="153">
        <v>0</v>
      </c>
      <c r="U753" s="474">
        <v>2010</v>
      </c>
      <c r="V753">
        <v>2023</v>
      </c>
      <c r="W753">
        <v>0</v>
      </c>
      <c r="X753">
        <v>0</v>
      </c>
      <c r="Y753">
        <v>1304</v>
      </c>
      <c r="Z753">
        <v>311</v>
      </c>
      <c r="AA753" s="475" t="s">
        <v>23</v>
      </c>
    </row>
    <row r="754" spans="1:27" ht="15" hidden="1">
      <c r="A754" s="24">
        <f t="shared" si="53"/>
        <v>1753</v>
      </c>
      <c r="B754" s="24">
        <f t="shared" si="53"/>
        <v>1753</v>
      </c>
      <c r="C754" s="469" t="s">
        <v>1148</v>
      </c>
      <c r="D754" t="s">
        <v>149</v>
      </c>
      <c r="E754" s="470">
        <v>2</v>
      </c>
      <c r="F754" s="471">
        <v>0</v>
      </c>
      <c r="G754">
        <v>1</v>
      </c>
      <c r="H754">
        <v>1</v>
      </c>
      <c r="I754" s="472">
        <f t="shared" si="46"/>
        <v>0.32845968612834514</v>
      </c>
      <c r="J754" s="153">
        <v>3.8473756479098807E-2</v>
      </c>
      <c r="K754" s="153">
        <v>0.39358026214566905</v>
      </c>
      <c r="L754" s="153">
        <v>0.53857526864315253</v>
      </c>
      <c r="M754" s="153">
        <v>0.3432094572454602</v>
      </c>
      <c r="N754" s="472">
        <f t="shared" si="47"/>
        <v>0.32845968612834514</v>
      </c>
      <c r="O754" s="153">
        <v>3.8473756479098807E-2</v>
      </c>
      <c r="P754" s="153">
        <v>0.39358026214566905</v>
      </c>
      <c r="Q754" s="153">
        <v>0.53857526864315253</v>
      </c>
      <c r="R754" s="153">
        <v>0.3432094572454602</v>
      </c>
      <c r="S754" s="153">
        <v>0.03</v>
      </c>
      <c r="T754" s="153">
        <v>0</v>
      </c>
      <c r="U754" s="474">
        <v>1900</v>
      </c>
      <c r="V754">
        <v>2030</v>
      </c>
      <c r="W754">
        <v>0</v>
      </c>
      <c r="X754">
        <v>0</v>
      </c>
      <c r="Y754">
        <v>1304</v>
      </c>
      <c r="Z754">
        <v>311</v>
      </c>
      <c r="AA754" s="475" t="s">
        <v>23</v>
      </c>
    </row>
    <row r="755" spans="1:27" ht="15" hidden="1">
      <c r="A755" s="24">
        <f t="shared" si="53"/>
        <v>1754</v>
      </c>
      <c r="B755" s="24">
        <f t="shared" si="53"/>
        <v>1754</v>
      </c>
      <c r="C755" s="476" t="s">
        <v>1149</v>
      </c>
      <c r="D755" t="s">
        <v>152</v>
      </c>
      <c r="E755" s="477">
        <v>3</v>
      </c>
      <c r="F755" s="471">
        <v>4.2</v>
      </c>
      <c r="G755">
        <v>1</v>
      </c>
      <c r="H755">
        <v>1</v>
      </c>
      <c r="I755" s="472">
        <f t="shared" si="46"/>
        <v>0.47039166666666665</v>
      </c>
      <c r="J755" s="473">
        <v>0.36503333333333332</v>
      </c>
      <c r="K755" s="473">
        <v>0.44336666666666663</v>
      </c>
      <c r="L755" s="473">
        <v>0.58906666666666663</v>
      </c>
      <c r="M755" s="473">
        <v>0.48410000000000003</v>
      </c>
      <c r="N755" s="472">
        <f t="shared" si="47"/>
        <v>0.47039166666666665</v>
      </c>
      <c r="O755" s="473">
        <v>0.36503333333333332</v>
      </c>
      <c r="P755" s="473">
        <v>0.44336666666666663</v>
      </c>
      <c r="Q755" s="473">
        <v>0.58906666666666663</v>
      </c>
      <c r="R755" s="473">
        <v>0.48410000000000003</v>
      </c>
      <c r="S755" s="153">
        <v>0.01</v>
      </c>
      <c r="T755" s="153">
        <v>0.02</v>
      </c>
      <c r="U755" s="478">
        <v>2018</v>
      </c>
      <c r="V755" s="24">
        <f t="shared" ref="V755:V758" si="55">U755+20</f>
        <v>2038</v>
      </c>
      <c r="W755">
        <v>0</v>
      </c>
      <c r="X755">
        <v>0</v>
      </c>
      <c r="Y755">
        <v>1315</v>
      </c>
      <c r="Z755">
        <v>361</v>
      </c>
      <c r="AA755" s="475" t="s">
        <v>24</v>
      </c>
    </row>
    <row r="756" spans="1:27" ht="15" hidden="1">
      <c r="A756" s="24">
        <f t="shared" si="53"/>
        <v>1755</v>
      </c>
      <c r="B756" s="24">
        <f t="shared" si="53"/>
        <v>1755</v>
      </c>
      <c r="C756" s="476" t="s">
        <v>1150</v>
      </c>
      <c r="D756" t="s">
        <v>152</v>
      </c>
      <c r="E756" s="477">
        <v>3</v>
      </c>
      <c r="F756" s="471">
        <v>6.3</v>
      </c>
      <c r="G756">
        <v>1</v>
      </c>
      <c r="H756">
        <v>1</v>
      </c>
      <c r="I756" s="472">
        <f t="shared" si="46"/>
        <v>0.47039166666666665</v>
      </c>
      <c r="J756" s="473">
        <v>0.36503333333333332</v>
      </c>
      <c r="K756" s="473">
        <v>0.44336666666666663</v>
      </c>
      <c r="L756" s="473">
        <v>0.58906666666666663</v>
      </c>
      <c r="M756" s="473">
        <v>0.48410000000000003</v>
      </c>
      <c r="N756" s="472">
        <f t="shared" si="47"/>
        <v>0.47039166666666665</v>
      </c>
      <c r="O756" s="473">
        <v>0.36503333333333332</v>
      </c>
      <c r="P756" s="473">
        <v>0.44336666666666663</v>
      </c>
      <c r="Q756" s="473">
        <v>0.58906666666666663</v>
      </c>
      <c r="R756" s="473">
        <v>0.48410000000000003</v>
      </c>
      <c r="S756" s="153">
        <v>0.01</v>
      </c>
      <c r="T756" s="153">
        <v>0.02</v>
      </c>
      <c r="U756" s="478">
        <v>2018</v>
      </c>
      <c r="V756" s="24">
        <f t="shared" si="55"/>
        <v>2038</v>
      </c>
      <c r="W756">
        <v>0</v>
      </c>
      <c r="X756">
        <v>0</v>
      </c>
      <c r="Y756">
        <v>1315</v>
      </c>
      <c r="Z756">
        <v>361</v>
      </c>
      <c r="AA756" s="475" t="s">
        <v>24</v>
      </c>
    </row>
    <row r="757" spans="1:27" ht="15" hidden="1">
      <c r="A757" s="24">
        <f t="shared" si="53"/>
        <v>1756</v>
      </c>
      <c r="B757" s="24">
        <f t="shared" si="53"/>
        <v>1756</v>
      </c>
      <c r="C757" s="476" t="s">
        <v>1151</v>
      </c>
      <c r="D757" t="s">
        <v>152</v>
      </c>
      <c r="E757" s="477">
        <v>3</v>
      </c>
      <c r="F757" s="471">
        <v>4.2</v>
      </c>
      <c r="G757">
        <v>1</v>
      </c>
      <c r="H757">
        <v>1</v>
      </c>
      <c r="I757" s="472">
        <f t="shared" si="46"/>
        <v>0.47039166666666665</v>
      </c>
      <c r="J757" s="473">
        <v>0.36503333333333332</v>
      </c>
      <c r="K757" s="473">
        <v>0.44336666666666663</v>
      </c>
      <c r="L757" s="473">
        <v>0.58906666666666663</v>
      </c>
      <c r="M757" s="473">
        <v>0.48410000000000003</v>
      </c>
      <c r="N757" s="472">
        <f t="shared" si="47"/>
        <v>0.47039166666666665</v>
      </c>
      <c r="O757" s="473">
        <v>0.36503333333333332</v>
      </c>
      <c r="P757" s="473">
        <v>0.44336666666666663</v>
      </c>
      <c r="Q757" s="473">
        <v>0.58906666666666663</v>
      </c>
      <c r="R757" s="473">
        <v>0.48410000000000003</v>
      </c>
      <c r="S757" s="153">
        <v>0.01</v>
      </c>
      <c r="T757" s="153">
        <v>0.02</v>
      </c>
      <c r="U757" s="478">
        <v>2018</v>
      </c>
      <c r="V757" s="24">
        <f t="shared" si="55"/>
        <v>2038</v>
      </c>
      <c r="W757">
        <v>0</v>
      </c>
      <c r="X757">
        <v>0</v>
      </c>
      <c r="Y757">
        <v>1315</v>
      </c>
      <c r="Z757">
        <v>361</v>
      </c>
      <c r="AA757" s="475" t="s">
        <v>24</v>
      </c>
    </row>
    <row r="758" spans="1:27" ht="15" hidden="1">
      <c r="A758" s="24">
        <f t="shared" ref="A758:B777" si="56">1000+ROW()-1</f>
        <v>1757</v>
      </c>
      <c r="B758" s="24">
        <f t="shared" si="56"/>
        <v>1757</v>
      </c>
      <c r="C758" s="476" t="s">
        <v>1152</v>
      </c>
      <c r="D758" t="s">
        <v>152</v>
      </c>
      <c r="E758" s="477">
        <v>3</v>
      </c>
      <c r="F758" s="471">
        <v>18.899999999999999</v>
      </c>
      <c r="G758">
        <v>1</v>
      </c>
      <c r="H758">
        <v>1</v>
      </c>
      <c r="I758" s="472">
        <f t="shared" si="46"/>
        <v>0.47039166666666665</v>
      </c>
      <c r="J758" s="473">
        <v>0.36503333333333332</v>
      </c>
      <c r="K758" s="473">
        <v>0.44336666666666663</v>
      </c>
      <c r="L758" s="473">
        <v>0.58906666666666663</v>
      </c>
      <c r="M758" s="473">
        <v>0.48410000000000003</v>
      </c>
      <c r="N758" s="472">
        <f t="shared" si="47"/>
        <v>0.47039166666666665</v>
      </c>
      <c r="O758" s="473">
        <v>0.36503333333333332</v>
      </c>
      <c r="P758" s="473">
        <v>0.44336666666666663</v>
      </c>
      <c r="Q758" s="473">
        <v>0.58906666666666663</v>
      </c>
      <c r="R758" s="473">
        <v>0.48410000000000003</v>
      </c>
      <c r="S758" s="153">
        <v>0.01</v>
      </c>
      <c r="T758" s="153">
        <v>0.02</v>
      </c>
      <c r="U758" s="478">
        <v>2018</v>
      </c>
      <c r="V758" s="24">
        <f t="shared" si="55"/>
        <v>2038</v>
      </c>
      <c r="W758">
        <v>0</v>
      </c>
      <c r="X758">
        <v>0</v>
      </c>
      <c r="Y758">
        <v>1315</v>
      </c>
      <c r="Z758">
        <v>361</v>
      </c>
      <c r="AA758" s="475" t="s">
        <v>24</v>
      </c>
    </row>
    <row r="759" spans="1:27" ht="15" hidden="1">
      <c r="A759" s="24">
        <f t="shared" si="56"/>
        <v>1758</v>
      </c>
      <c r="B759" s="24">
        <f t="shared" si="56"/>
        <v>1758</v>
      </c>
      <c r="C759" s="469" t="s">
        <v>1153</v>
      </c>
      <c r="D759" t="s">
        <v>146</v>
      </c>
      <c r="E759" s="470">
        <v>1</v>
      </c>
      <c r="F759" s="471">
        <v>12.004087401025643</v>
      </c>
      <c r="G759">
        <v>1</v>
      </c>
      <c r="H759">
        <v>1</v>
      </c>
      <c r="I759" s="472">
        <f t="shared" si="46"/>
        <v>0.32845968612834514</v>
      </c>
      <c r="J759" s="153">
        <v>3.8473756479098807E-2</v>
      </c>
      <c r="K759" s="153">
        <v>0.39358026214566905</v>
      </c>
      <c r="L759" s="153">
        <v>0.53857526864315253</v>
      </c>
      <c r="M759" s="153">
        <v>0.3432094572454602</v>
      </c>
      <c r="N759" s="472">
        <f t="shared" si="47"/>
        <v>0.32845968612834514</v>
      </c>
      <c r="O759" s="153">
        <v>3.8473756479098807E-2</v>
      </c>
      <c r="P759" s="153">
        <v>0.39358026214566905</v>
      </c>
      <c r="Q759" s="153">
        <v>0.53857526864315253</v>
      </c>
      <c r="R759" s="153">
        <v>0.3432094572454602</v>
      </c>
      <c r="S759" s="153">
        <v>0.03</v>
      </c>
      <c r="T759" s="153">
        <v>0</v>
      </c>
      <c r="U759" s="474">
        <v>2008</v>
      </c>
      <c r="V759">
        <v>2023</v>
      </c>
      <c r="W759">
        <v>0</v>
      </c>
      <c r="X759">
        <v>0</v>
      </c>
      <c r="Y759">
        <v>1304</v>
      </c>
      <c r="Z759">
        <v>311</v>
      </c>
      <c r="AA759" s="475" t="s">
        <v>23</v>
      </c>
    </row>
    <row r="760" spans="1:27" ht="15" hidden="1">
      <c r="A760" s="24">
        <f t="shared" si="56"/>
        <v>1759</v>
      </c>
      <c r="B760" s="24">
        <f t="shared" si="56"/>
        <v>1759</v>
      </c>
      <c r="C760" s="469" t="s">
        <v>1154</v>
      </c>
      <c r="D760" t="s">
        <v>146</v>
      </c>
      <c r="E760" s="470">
        <v>1</v>
      </c>
      <c r="F760" s="471">
        <v>12.635912598974357</v>
      </c>
      <c r="G760">
        <v>1</v>
      </c>
      <c r="H760">
        <v>1</v>
      </c>
      <c r="I760" s="472">
        <f t="shared" si="46"/>
        <v>0.32845968612834514</v>
      </c>
      <c r="J760" s="153">
        <v>3.8473756479098807E-2</v>
      </c>
      <c r="K760" s="153">
        <v>0.39358026214566905</v>
      </c>
      <c r="L760" s="153">
        <v>0.53857526864315253</v>
      </c>
      <c r="M760" s="153">
        <v>0.3432094572454602</v>
      </c>
      <c r="N760" s="472">
        <f t="shared" si="47"/>
        <v>0.32845968612834514</v>
      </c>
      <c r="O760" s="153">
        <v>3.8473756479098807E-2</v>
      </c>
      <c r="P760" s="153">
        <v>0.39358026214566905</v>
      </c>
      <c r="Q760" s="153">
        <v>0.53857526864315253</v>
      </c>
      <c r="R760" s="153">
        <v>0.3432094572454602</v>
      </c>
      <c r="S760" s="153">
        <v>0.03</v>
      </c>
      <c r="T760" s="153">
        <v>0</v>
      </c>
      <c r="U760" s="474">
        <v>2009</v>
      </c>
      <c r="V760">
        <v>2023</v>
      </c>
      <c r="W760">
        <v>0</v>
      </c>
      <c r="X760">
        <v>0</v>
      </c>
      <c r="Y760">
        <v>1304</v>
      </c>
      <c r="Z760">
        <v>311</v>
      </c>
      <c r="AA760" s="475" t="s">
        <v>23</v>
      </c>
    </row>
    <row r="761" spans="1:27" ht="15" hidden="1">
      <c r="A761" s="24">
        <f t="shared" si="56"/>
        <v>1760</v>
      </c>
      <c r="B761" s="24">
        <f t="shared" si="56"/>
        <v>1760</v>
      </c>
      <c r="C761" s="476" t="s">
        <v>1155</v>
      </c>
      <c r="D761" t="s">
        <v>152</v>
      </c>
      <c r="E761" s="477">
        <v>3</v>
      </c>
      <c r="F761" s="471">
        <v>4.2</v>
      </c>
      <c r="G761">
        <v>1</v>
      </c>
      <c r="H761">
        <v>1</v>
      </c>
      <c r="I761" s="472">
        <f t="shared" si="46"/>
        <v>0.47039166666666665</v>
      </c>
      <c r="J761" s="473">
        <v>0.36503333333333332</v>
      </c>
      <c r="K761" s="473">
        <v>0.44336666666666663</v>
      </c>
      <c r="L761" s="473">
        <v>0.58906666666666663</v>
      </c>
      <c r="M761" s="473">
        <v>0.48410000000000003</v>
      </c>
      <c r="N761" s="472">
        <f t="shared" si="47"/>
        <v>0.47039166666666665</v>
      </c>
      <c r="O761" s="473">
        <v>0.36503333333333332</v>
      </c>
      <c r="P761" s="473">
        <v>0.44336666666666663</v>
      </c>
      <c r="Q761" s="473">
        <v>0.58906666666666663</v>
      </c>
      <c r="R761" s="473">
        <v>0.48410000000000003</v>
      </c>
      <c r="S761" s="153">
        <v>0.01</v>
      </c>
      <c r="T761" s="153">
        <v>0.02</v>
      </c>
      <c r="U761" s="478">
        <v>2018</v>
      </c>
      <c r="V761" s="24">
        <f t="shared" ref="V761:V776" si="57">U761+20</f>
        <v>2038</v>
      </c>
      <c r="W761">
        <v>0</v>
      </c>
      <c r="X761">
        <v>0</v>
      </c>
      <c r="Y761">
        <v>1315</v>
      </c>
      <c r="Z761">
        <v>361</v>
      </c>
      <c r="AA761" s="475" t="s">
        <v>24</v>
      </c>
    </row>
    <row r="762" spans="1:27" ht="15" hidden="1">
      <c r="A762" s="24">
        <f t="shared" si="56"/>
        <v>1761</v>
      </c>
      <c r="B762" s="24">
        <f t="shared" si="56"/>
        <v>1761</v>
      </c>
      <c r="C762" s="476" t="s">
        <v>1156</v>
      </c>
      <c r="D762" t="s">
        <v>152</v>
      </c>
      <c r="E762" s="477">
        <v>3</v>
      </c>
      <c r="F762" s="471">
        <v>12.6</v>
      </c>
      <c r="G762">
        <v>1</v>
      </c>
      <c r="H762">
        <v>1</v>
      </c>
      <c r="I762" s="472">
        <f t="shared" si="46"/>
        <v>0.47039166666666665</v>
      </c>
      <c r="J762" s="473">
        <v>0.36503333333333332</v>
      </c>
      <c r="K762" s="473">
        <v>0.44336666666666663</v>
      </c>
      <c r="L762" s="473">
        <v>0.58906666666666663</v>
      </c>
      <c r="M762" s="473">
        <v>0.48410000000000003</v>
      </c>
      <c r="N762" s="472">
        <f t="shared" si="47"/>
        <v>0.47039166666666665</v>
      </c>
      <c r="O762" s="473">
        <v>0.36503333333333332</v>
      </c>
      <c r="P762" s="473">
        <v>0.44336666666666663</v>
      </c>
      <c r="Q762" s="473">
        <v>0.58906666666666663</v>
      </c>
      <c r="R762" s="473">
        <v>0.48410000000000003</v>
      </c>
      <c r="S762" s="153">
        <v>0.01</v>
      </c>
      <c r="T762" s="153">
        <v>0.02</v>
      </c>
      <c r="U762" s="478">
        <v>2018</v>
      </c>
      <c r="V762" s="24">
        <f t="shared" si="57"/>
        <v>2038</v>
      </c>
      <c r="W762">
        <v>0</v>
      </c>
      <c r="X762">
        <v>0</v>
      </c>
      <c r="Y762">
        <v>1315</v>
      </c>
      <c r="Z762">
        <v>361</v>
      </c>
      <c r="AA762" s="475" t="s">
        <v>24</v>
      </c>
    </row>
    <row r="763" spans="1:27" ht="15" hidden="1">
      <c r="A763" s="24">
        <f t="shared" si="56"/>
        <v>1762</v>
      </c>
      <c r="B763" s="24">
        <f t="shared" si="56"/>
        <v>1762</v>
      </c>
      <c r="C763" s="476" t="s">
        <v>1157</v>
      </c>
      <c r="D763" t="s">
        <v>152</v>
      </c>
      <c r="E763" s="477">
        <v>3</v>
      </c>
      <c r="F763" s="471">
        <v>20.16</v>
      </c>
      <c r="G763">
        <v>1</v>
      </c>
      <c r="H763">
        <v>1</v>
      </c>
      <c r="I763" s="472">
        <f t="shared" si="46"/>
        <v>0.47039166666666665</v>
      </c>
      <c r="J763" s="473">
        <v>0.36503333333333332</v>
      </c>
      <c r="K763" s="473">
        <v>0.44336666666666663</v>
      </c>
      <c r="L763" s="473">
        <v>0.58906666666666663</v>
      </c>
      <c r="M763" s="473">
        <v>0.48410000000000003</v>
      </c>
      <c r="N763" s="472">
        <f t="shared" si="47"/>
        <v>0.47039166666666665</v>
      </c>
      <c r="O763" s="473">
        <v>0.36503333333333332</v>
      </c>
      <c r="P763" s="473">
        <v>0.44336666666666663</v>
      </c>
      <c r="Q763" s="473">
        <v>0.58906666666666663</v>
      </c>
      <c r="R763" s="473">
        <v>0.48410000000000003</v>
      </c>
      <c r="S763" s="153">
        <v>0.01</v>
      </c>
      <c r="T763" s="153">
        <v>0.02</v>
      </c>
      <c r="U763" s="478">
        <v>2016</v>
      </c>
      <c r="V763" s="24">
        <f t="shared" si="57"/>
        <v>2036</v>
      </c>
      <c r="W763">
        <v>0</v>
      </c>
      <c r="X763">
        <v>0</v>
      </c>
      <c r="Y763">
        <v>1315</v>
      </c>
      <c r="Z763">
        <v>361</v>
      </c>
      <c r="AA763" s="475" t="s">
        <v>24</v>
      </c>
    </row>
    <row r="764" spans="1:27" ht="15" hidden="1">
      <c r="A764" s="24">
        <f t="shared" si="56"/>
        <v>1763</v>
      </c>
      <c r="B764" s="24">
        <f t="shared" si="56"/>
        <v>1763</v>
      </c>
      <c r="C764" s="476" t="s">
        <v>1158</v>
      </c>
      <c r="D764" t="s">
        <v>152</v>
      </c>
      <c r="E764" s="477">
        <v>3</v>
      </c>
      <c r="F764" s="471">
        <v>20</v>
      </c>
      <c r="G764">
        <v>1</v>
      </c>
      <c r="H764">
        <v>1</v>
      </c>
      <c r="I764" s="472">
        <f t="shared" si="46"/>
        <v>0.47039166666666665</v>
      </c>
      <c r="J764" s="473">
        <v>0.36503333333333332</v>
      </c>
      <c r="K764" s="473">
        <v>0.44336666666666663</v>
      </c>
      <c r="L764" s="473">
        <v>0.58906666666666663</v>
      </c>
      <c r="M764" s="473">
        <v>0.48410000000000003</v>
      </c>
      <c r="N764" s="472">
        <f t="shared" si="47"/>
        <v>0.47039166666666665</v>
      </c>
      <c r="O764" s="473">
        <v>0.36503333333333332</v>
      </c>
      <c r="P764" s="473">
        <v>0.44336666666666663</v>
      </c>
      <c r="Q764" s="473">
        <v>0.58906666666666663</v>
      </c>
      <c r="R764" s="473">
        <v>0.48410000000000003</v>
      </c>
      <c r="S764" s="153">
        <v>0.01</v>
      </c>
      <c r="T764" s="153">
        <v>0.02</v>
      </c>
      <c r="U764" s="478">
        <v>2018</v>
      </c>
      <c r="V764" s="24">
        <f t="shared" si="57"/>
        <v>2038</v>
      </c>
      <c r="W764">
        <v>0</v>
      </c>
      <c r="X764">
        <v>0</v>
      </c>
      <c r="Y764">
        <v>1315</v>
      </c>
      <c r="Z764">
        <v>361</v>
      </c>
      <c r="AA764" s="475" t="s">
        <v>24</v>
      </c>
    </row>
    <row r="765" spans="1:27" ht="15" hidden="1">
      <c r="A765" s="24">
        <f t="shared" si="56"/>
        <v>1764</v>
      </c>
      <c r="B765" s="24">
        <f t="shared" si="56"/>
        <v>1764</v>
      </c>
      <c r="C765" s="476" t="s">
        <v>1159</v>
      </c>
      <c r="D765" t="s">
        <v>152</v>
      </c>
      <c r="E765" s="477">
        <v>3</v>
      </c>
      <c r="F765" s="471">
        <v>26</v>
      </c>
      <c r="G765">
        <v>1</v>
      </c>
      <c r="H765">
        <v>1</v>
      </c>
      <c r="I765" s="472">
        <f t="shared" si="46"/>
        <v>0.47039166666666665</v>
      </c>
      <c r="J765" s="473">
        <v>0.36503333333333332</v>
      </c>
      <c r="K765" s="473">
        <v>0.44336666666666663</v>
      </c>
      <c r="L765" s="473">
        <v>0.58906666666666663</v>
      </c>
      <c r="M765" s="473">
        <v>0.48410000000000003</v>
      </c>
      <c r="N765" s="472">
        <f t="shared" si="47"/>
        <v>0.47039166666666665</v>
      </c>
      <c r="O765" s="473">
        <v>0.36503333333333332</v>
      </c>
      <c r="P765" s="473">
        <v>0.44336666666666663</v>
      </c>
      <c r="Q765" s="473">
        <v>0.58906666666666663</v>
      </c>
      <c r="R765" s="473">
        <v>0.48410000000000003</v>
      </c>
      <c r="S765" s="153">
        <v>0.01</v>
      </c>
      <c r="T765" s="153">
        <v>0.02</v>
      </c>
      <c r="U765" s="478">
        <v>2018</v>
      </c>
      <c r="V765" s="24">
        <f t="shared" si="57"/>
        <v>2038</v>
      </c>
      <c r="W765">
        <v>0</v>
      </c>
      <c r="X765">
        <v>0</v>
      </c>
      <c r="Y765">
        <v>1315</v>
      </c>
      <c r="Z765">
        <v>361</v>
      </c>
      <c r="AA765" s="475" t="s">
        <v>24</v>
      </c>
    </row>
    <row r="766" spans="1:27" ht="15" hidden="1">
      <c r="A766" s="24">
        <f t="shared" si="56"/>
        <v>1765</v>
      </c>
      <c r="B766" s="24">
        <f t="shared" si="56"/>
        <v>1765</v>
      </c>
      <c r="C766" s="476" t="s">
        <v>1160</v>
      </c>
      <c r="D766" t="s">
        <v>152</v>
      </c>
      <c r="E766" s="477">
        <v>3</v>
      </c>
      <c r="F766" s="471">
        <v>2.7</v>
      </c>
      <c r="G766">
        <v>1</v>
      </c>
      <c r="H766">
        <v>1</v>
      </c>
      <c r="I766" s="472">
        <f t="shared" si="46"/>
        <v>0.47039166666666665</v>
      </c>
      <c r="J766" s="473">
        <v>0.36503333333333332</v>
      </c>
      <c r="K766" s="473">
        <v>0.44336666666666663</v>
      </c>
      <c r="L766" s="473">
        <v>0.58906666666666663</v>
      </c>
      <c r="M766" s="473">
        <v>0.48410000000000003</v>
      </c>
      <c r="N766" s="472">
        <f t="shared" si="47"/>
        <v>0.47039166666666665</v>
      </c>
      <c r="O766" s="473">
        <v>0.36503333333333332</v>
      </c>
      <c r="P766" s="473">
        <v>0.44336666666666663</v>
      </c>
      <c r="Q766" s="473">
        <v>0.58906666666666663</v>
      </c>
      <c r="R766" s="473">
        <v>0.48410000000000003</v>
      </c>
      <c r="S766" s="153">
        <v>0.01</v>
      </c>
      <c r="T766" s="153">
        <v>0.02</v>
      </c>
      <c r="U766" s="478">
        <v>2016</v>
      </c>
      <c r="V766" s="24">
        <f t="shared" si="57"/>
        <v>2036</v>
      </c>
      <c r="W766">
        <v>0</v>
      </c>
      <c r="X766">
        <v>0</v>
      </c>
      <c r="Y766">
        <v>1315</v>
      </c>
      <c r="Z766">
        <v>361</v>
      </c>
      <c r="AA766" s="475" t="s">
        <v>24</v>
      </c>
    </row>
    <row r="767" spans="1:27" ht="15" hidden="1">
      <c r="A767" s="24">
        <f t="shared" si="56"/>
        <v>1766</v>
      </c>
      <c r="B767" s="24">
        <f t="shared" si="56"/>
        <v>1766</v>
      </c>
      <c r="C767" s="476" t="s">
        <v>1161</v>
      </c>
      <c r="D767" t="s">
        <v>152</v>
      </c>
      <c r="E767" s="477">
        <v>3</v>
      </c>
      <c r="F767" s="471">
        <v>5.4</v>
      </c>
      <c r="G767">
        <v>1</v>
      </c>
      <c r="H767">
        <v>1</v>
      </c>
      <c r="I767" s="472">
        <f t="shared" si="46"/>
        <v>0.47039166666666665</v>
      </c>
      <c r="J767" s="473">
        <v>0.36503333333333332</v>
      </c>
      <c r="K767" s="473">
        <v>0.44336666666666663</v>
      </c>
      <c r="L767" s="473">
        <v>0.58906666666666663</v>
      </c>
      <c r="M767" s="473">
        <v>0.48410000000000003</v>
      </c>
      <c r="N767" s="472">
        <f t="shared" si="47"/>
        <v>0.47039166666666665</v>
      </c>
      <c r="O767" s="473">
        <v>0.36503333333333332</v>
      </c>
      <c r="P767" s="473">
        <v>0.44336666666666663</v>
      </c>
      <c r="Q767" s="473">
        <v>0.58906666666666663</v>
      </c>
      <c r="R767" s="473">
        <v>0.48410000000000003</v>
      </c>
      <c r="S767" s="153">
        <v>0.01</v>
      </c>
      <c r="T767" s="153">
        <v>0.02</v>
      </c>
      <c r="U767" s="478">
        <v>2016</v>
      </c>
      <c r="V767" s="24">
        <f t="shared" si="57"/>
        <v>2036</v>
      </c>
      <c r="W767">
        <v>0</v>
      </c>
      <c r="X767">
        <v>0</v>
      </c>
      <c r="Y767">
        <v>1315</v>
      </c>
      <c r="Z767">
        <v>361</v>
      </c>
      <c r="AA767" s="475" t="s">
        <v>24</v>
      </c>
    </row>
    <row r="768" spans="1:27" ht="15" hidden="1">
      <c r="A768" s="24">
        <f t="shared" si="56"/>
        <v>1767</v>
      </c>
      <c r="B768" s="24">
        <f t="shared" si="56"/>
        <v>1767</v>
      </c>
      <c r="C768" s="476" t="s">
        <v>1162</v>
      </c>
      <c r="D768" t="s">
        <v>152</v>
      </c>
      <c r="E768" s="477">
        <v>3</v>
      </c>
      <c r="F768" s="471">
        <v>5.4</v>
      </c>
      <c r="G768">
        <v>1</v>
      </c>
      <c r="H768">
        <v>1</v>
      </c>
      <c r="I768" s="472">
        <f t="shared" si="46"/>
        <v>0.47039166666666665</v>
      </c>
      <c r="J768" s="473">
        <v>0.36503333333333332</v>
      </c>
      <c r="K768" s="473">
        <v>0.44336666666666663</v>
      </c>
      <c r="L768" s="473">
        <v>0.58906666666666663</v>
      </c>
      <c r="M768" s="473">
        <v>0.48410000000000003</v>
      </c>
      <c r="N768" s="472">
        <f t="shared" si="47"/>
        <v>0.47039166666666665</v>
      </c>
      <c r="O768" s="473">
        <v>0.36503333333333332</v>
      </c>
      <c r="P768" s="473">
        <v>0.44336666666666663</v>
      </c>
      <c r="Q768" s="473">
        <v>0.58906666666666663</v>
      </c>
      <c r="R768" s="473">
        <v>0.48410000000000003</v>
      </c>
      <c r="S768" s="153">
        <v>0.01</v>
      </c>
      <c r="T768" s="153">
        <v>0.02</v>
      </c>
      <c r="U768" s="478">
        <v>2016</v>
      </c>
      <c r="V768" s="24">
        <f t="shared" si="57"/>
        <v>2036</v>
      </c>
      <c r="W768">
        <v>0</v>
      </c>
      <c r="X768">
        <v>0</v>
      </c>
      <c r="Y768">
        <v>1315</v>
      </c>
      <c r="Z768">
        <v>361</v>
      </c>
      <c r="AA768" s="475" t="s">
        <v>24</v>
      </c>
    </row>
    <row r="769" spans="1:27" ht="15" hidden="1">
      <c r="A769" s="24">
        <f t="shared" si="56"/>
        <v>1768</v>
      </c>
      <c r="B769" s="24">
        <f t="shared" si="56"/>
        <v>1768</v>
      </c>
      <c r="C769" s="476" t="s">
        <v>1163</v>
      </c>
      <c r="D769" t="s">
        <v>152</v>
      </c>
      <c r="E769" s="477">
        <v>3</v>
      </c>
      <c r="F769" s="471">
        <v>5.4</v>
      </c>
      <c r="G769">
        <v>1</v>
      </c>
      <c r="H769">
        <v>1</v>
      </c>
      <c r="I769" s="472">
        <f t="shared" si="46"/>
        <v>0.47039166666666665</v>
      </c>
      <c r="J769" s="473">
        <v>0.36503333333333332</v>
      </c>
      <c r="K769" s="473">
        <v>0.44336666666666663</v>
      </c>
      <c r="L769" s="473">
        <v>0.58906666666666663</v>
      </c>
      <c r="M769" s="473">
        <v>0.48410000000000003</v>
      </c>
      <c r="N769" s="472">
        <f t="shared" si="47"/>
        <v>0.47039166666666665</v>
      </c>
      <c r="O769" s="473">
        <v>0.36503333333333332</v>
      </c>
      <c r="P769" s="473">
        <v>0.44336666666666663</v>
      </c>
      <c r="Q769" s="473">
        <v>0.58906666666666663</v>
      </c>
      <c r="R769" s="473">
        <v>0.48410000000000003</v>
      </c>
      <c r="S769" s="153">
        <v>0.01</v>
      </c>
      <c r="T769" s="153">
        <v>0.02</v>
      </c>
      <c r="U769" s="478">
        <v>2016</v>
      </c>
      <c r="V769" s="24">
        <f t="shared" si="57"/>
        <v>2036</v>
      </c>
      <c r="W769">
        <v>0</v>
      </c>
      <c r="X769">
        <v>0</v>
      </c>
      <c r="Y769">
        <v>1315</v>
      </c>
      <c r="Z769">
        <v>361</v>
      </c>
      <c r="AA769" s="475" t="s">
        <v>24</v>
      </c>
    </row>
    <row r="770" spans="1:27" ht="15" hidden="1">
      <c r="A770" s="24">
        <f t="shared" si="56"/>
        <v>1769</v>
      </c>
      <c r="B770" s="24">
        <f t="shared" si="56"/>
        <v>1769</v>
      </c>
      <c r="C770" s="476" t="s">
        <v>1164</v>
      </c>
      <c r="D770" t="s">
        <v>152</v>
      </c>
      <c r="E770" s="477">
        <v>3</v>
      </c>
      <c r="F770" s="471">
        <v>30.24</v>
      </c>
      <c r="G770">
        <v>1</v>
      </c>
      <c r="H770">
        <v>1</v>
      </c>
      <c r="I770" s="472">
        <f t="shared" ref="I770:I833" si="58">AVERAGE(J770:M770)</f>
        <v>0.47039166666666665</v>
      </c>
      <c r="J770" s="473">
        <v>0.36503333333333332</v>
      </c>
      <c r="K770" s="473">
        <v>0.44336666666666663</v>
      </c>
      <c r="L770" s="473">
        <v>0.58906666666666663</v>
      </c>
      <c r="M770" s="473">
        <v>0.48410000000000003</v>
      </c>
      <c r="N770" s="472">
        <f t="shared" ref="N770:N833" si="59">AVERAGE(O770:R770)</f>
        <v>0.47039166666666665</v>
      </c>
      <c r="O770" s="473">
        <v>0.36503333333333332</v>
      </c>
      <c r="P770" s="473">
        <v>0.44336666666666663</v>
      </c>
      <c r="Q770" s="473">
        <v>0.58906666666666663</v>
      </c>
      <c r="R770" s="473">
        <v>0.48410000000000003</v>
      </c>
      <c r="S770" s="153">
        <v>0.01</v>
      </c>
      <c r="T770" s="153">
        <v>0.02</v>
      </c>
      <c r="U770" s="478">
        <v>2016</v>
      </c>
      <c r="V770" s="24">
        <f t="shared" si="57"/>
        <v>2036</v>
      </c>
      <c r="W770">
        <v>0</v>
      </c>
      <c r="X770">
        <v>0</v>
      </c>
      <c r="Y770">
        <v>1315</v>
      </c>
      <c r="Z770">
        <v>361</v>
      </c>
      <c r="AA770" s="475" t="s">
        <v>24</v>
      </c>
    </row>
    <row r="771" spans="1:27" ht="15" hidden="1">
      <c r="A771" s="24">
        <f t="shared" si="56"/>
        <v>1770</v>
      </c>
      <c r="B771" s="24">
        <f t="shared" si="56"/>
        <v>1770</v>
      </c>
      <c r="C771" s="476" t="s">
        <v>1165</v>
      </c>
      <c r="D771" t="s">
        <v>152</v>
      </c>
      <c r="E771" s="477">
        <v>3</v>
      </c>
      <c r="F771" s="471">
        <v>12</v>
      </c>
      <c r="G771">
        <v>1</v>
      </c>
      <c r="H771">
        <v>1</v>
      </c>
      <c r="I771" s="472">
        <f t="shared" si="58"/>
        <v>0.47039166666666665</v>
      </c>
      <c r="J771" s="473">
        <v>0.36503333333333332</v>
      </c>
      <c r="K771" s="473">
        <v>0.44336666666666663</v>
      </c>
      <c r="L771" s="473">
        <v>0.58906666666666663</v>
      </c>
      <c r="M771" s="473">
        <v>0.48410000000000003</v>
      </c>
      <c r="N771" s="472">
        <f t="shared" si="59"/>
        <v>0.47039166666666665</v>
      </c>
      <c r="O771" s="473">
        <v>0.36503333333333332</v>
      </c>
      <c r="P771" s="473">
        <v>0.44336666666666663</v>
      </c>
      <c r="Q771" s="473">
        <v>0.58906666666666663</v>
      </c>
      <c r="R771" s="473">
        <v>0.48410000000000003</v>
      </c>
      <c r="S771" s="153">
        <v>0.01</v>
      </c>
      <c r="T771" s="153">
        <v>0.02</v>
      </c>
      <c r="U771" s="478">
        <v>2016</v>
      </c>
      <c r="V771" s="24">
        <f t="shared" si="57"/>
        <v>2036</v>
      </c>
      <c r="W771">
        <v>0</v>
      </c>
      <c r="X771">
        <v>0</v>
      </c>
      <c r="Y771">
        <v>1315</v>
      </c>
      <c r="Z771">
        <v>361</v>
      </c>
      <c r="AA771" s="475" t="s">
        <v>24</v>
      </c>
    </row>
    <row r="772" spans="1:27" ht="15" hidden="1">
      <c r="A772" s="24">
        <f t="shared" si="56"/>
        <v>1771</v>
      </c>
      <c r="B772" s="24">
        <f t="shared" si="56"/>
        <v>1771</v>
      </c>
      <c r="C772" s="476" t="s">
        <v>1166</v>
      </c>
      <c r="D772" t="s">
        <v>152</v>
      </c>
      <c r="E772" s="477">
        <v>3</v>
      </c>
      <c r="F772" s="471">
        <v>9</v>
      </c>
      <c r="G772">
        <v>1</v>
      </c>
      <c r="H772">
        <v>1</v>
      </c>
      <c r="I772" s="472">
        <f t="shared" si="58"/>
        <v>0.47039166666666665</v>
      </c>
      <c r="J772" s="473">
        <v>0.36503333333333332</v>
      </c>
      <c r="K772" s="473">
        <v>0.44336666666666663</v>
      </c>
      <c r="L772" s="473">
        <v>0.58906666666666663</v>
      </c>
      <c r="M772" s="473">
        <v>0.48410000000000003</v>
      </c>
      <c r="N772" s="472">
        <f t="shared" si="59"/>
        <v>0.47039166666666665</v>
      </c>
      <c r="O772" s="473">
        <v>0.36503333333333332</v>
      </c>
      <c r="P772" s="473">
        <v>0.44336666666666663</v>
      </c>
      <c r="Q772" s="473">
        <v>0.58906666666666663</v>
      </c>
      <c r="R772" s="473">
        <v>0.48410000000000003</v>
      </c>
      <c r="S772" s="153">
        <v>0.01</v>
      </c>
      <c r="T772" s="153">
        <v>0.02</v>
      </c>
      <c r="U772" s="478">
        <v>2016</v>
      </c>
      <c r="V772" s="24">
        <f t="shared" si="57"/>
        <v>2036</v>
      </c>
      <c r="W772">
        <v>0</v>
      </c>
      <c r="X772">
        <v>0</v>
      </c>
      <c r="Y772">
        <v>1315</v>
      </c>
      <c r="Z772">
        <v>361</v>
      </c>
      <c r="AA772" s="475" t="s">
        <v>24</v>
      </c>
    </row>
    <row r="773" spans="1:27" ht="15" hidden="1">
      <c r="A773" s="24">
        <f t="shared" si="56"/>
        <v>1772</v>
      </c>
      <c r="B773" s="24">
        <f t="shared" si="56"/>
        <v>1772</v>
      </c>
      <c r="C773" s="476" t="s">
        <v>1167</v>
      </c>
      <c r="D773" t="s">
        <v>152</v>
      </c>
      <c r="E773" s="477">
        <v>3</v>
      </c>
      <c r="F773" s="471">
        <v>3</v>
      </c>
      <c r="G773">
        <v>1</v>
      </c>
      <c r="H773">
        <v>1</v>
      </c>
      <c r="I773" s="472">
        <f t="shared" si="58"/>
        <v>0.47039166666666665</v>
      </c>
      <c r="J773" s="473">
        <v>0.36503333333333332</v>
      </c>
      <c r="K773" s="473">
        <v>0.44336666666666663</v>
      </c>
      <c r="L773" s="473">
        <v>0.58906666666666663</v>
      </c>
      <c r="M773" s="473">
        <v>0.48410000000000003</v>
      </c>
      <c r="N773" s="472">
        <f t="shared" si="59"/>
        <v>0.47039166666666665</v>
      </c>
      <c r="O773" s="473">
        <v>0.36503333333333332</v>
      </c>
      <c r="P773" s="473">
        <v>0.44336666666666663</v>
      </c>
      <c r="Q773" s="473">
        <v>0.58906666666666663</v>
      </c>
      <c r="R773" s="473">
        <v>0.48410000000000003</v>
      </c>
      <c r="S773" s="153">
        <v>0.01</v>
      </c>
      <c r="T773" s="153">
        <v>0.02</v>
      </c>
      <c r="U773" s="478">
        <v>2016</v>
      </c>
      <c r="V773" s="24">
        <f t="shared" si="57"/>
        <v>2036</v>
      </c>
      <c r="W773">
        <v>0</v>
      </c>
      <c r="X773">
        <v>0</v>
      </c>
      <c r="Y773">
        <v>1315</v>
      </c>
      <c r="Z773">
        <v>361</v>
      </c>
      <c r="AA773" s="475" t="s">
        <v>24</v>
      </c>
    </row>
    <row r="774" spans="1:27" ht="15" hidden="1">
      <c r="A774" s="24">
        <f t="shared" si="56"/>
        <v>1773</v>
      </c>
      <c r="B774" s="24">
        <f t="shared" si="56"/>
        <v>1773</v>
      </c>
      <c r="C774" s="476" t="s">
        <v>1168</v>
      </c>
      <c r="D774" t="s">
        <v>152</v>
      </c>
      <c r="E774" s="477">
        <v>3</v>
      </c>
      <c r="F774" s="471">
        <v>3</v>
      </c>
      <c r="G774">
        <v>1</v>
      </c>
      <c r="H774">
        <v>1</v>
      </c>
      <c r="I774" s="472">
        <f t="shared" si="58"/>
        <v>0.47039166666666665</v>
      </c>
      <c r="J774" s="473">
        <v>0.36503333333333332</v>
      </c>
      <c r="K774" s="473">
        <v>0.44336666666666663</v>
      </c>
      <c r="L774" s="473">
        <v>0.58906666666666663</v>
      </c>
      <c r="M774" s="473">
        <v>0.48410000000000003</v>
      </c>
      <c r="N774" s="472">
        <f t="shared" si="59"/>
        <v>0.47039166666666665</v>
      </c>
      <c r="O774" s="473">
        <v>0.36503333333333332</v>
      </c>
      <c r="P774" s="473">
        <v>0.44336666666666663</v>
      </c>
      <c r="Q774" s="473">
        <v>0.58906666666666663</v>
      </c>
      <c r="R774" s="473">
        <v>0.48410000000000003</v>
      </c>
      <c r="S774" s="153">
        <v>0.01</v>
      </c>
      <c r="T774" s="153">
        <v>0.02</v>
      </c>
      <c r="U774" s="478">
        <v>2016</v>
      </c>
      <c r="V774" s="24">
        <f t="shared" si="57"/>
        <v>2036</v>
      </c>
      <c r="W774">
        <v>0</v>
      </c>
      <c r="X774">
        <v>0</v>
      </c>
      <c r="Y774">
        <v>1315</v>
      </c>
      <c r="Z774">
        <v>361</v>
      </c>
      <c r="AA774" s="475" t="s">
        <v>24</v>
      </c>
    </row>
    <row r="775" spans="1:27" ht="15" hidden="1">
      <c r="A775" s="24">
        <f t="shared" si="56"/>
        <v>1774</v>
      </c>
      <c r="B775" s="24">
        <f t="shared" si="56"/>
        <v>1774</v>
      </c>
      <c r="C775" s="476" t="s">
        <v>1169</v>
      </c>
      <c r="D775" t="s">
        <v>152</v>
      </c>
      <c r="E775" s="477">
        <v>3</v>
      </c>
      <c r="F775" s="471">
        <v>15</v>
      </c>
      <c r="G775">
        <v>1</v>
      </c>
      <c r="H775">
        <v>1</v>
      </c>
      <c r="I775" s="472">
        <f t="shared" si="58"/>
        <v>0.47039166666666665</v>
      </c>
      <c r="J775" s="473">
        <v>0.36503333333333332</v>
      </c>
      <c r="K775" s="473">
        <v>0.44336666666666663</v>
      </c>
      <c r="L775" s="473">
        <v>0.58906666666666663</v>
      </c>
      <c r="M775" s="473">
        <v>0.48410000000000003</v>
      </c>
      <c r="N775" s="472">
        <f t="shared" si="59"/>
        <v>0.47039166666666665</v>
      </c>
      <c r="O775" s="473">
        <v>0.36503333333333332</v>
      </c>
      <c r="P775" s="473">
        <v>0.44336666666666663</v>
      </c>
      <c r="Q775" s="473">
        <v>0.58906666666666663</v>
      </c>
      <c r="R775" s="473">
        <v>0.48410000000000003</v>
      </c>
      <c r="S775" s="153">
        <v>0.01</v>
      </c>
      <c r="T775" s="153">
        <v>0.02</v>
      </c>
      <c r="U775" s="478">
        <v>2016</v>
      </c>
      <c r="V775" s="24">
        <f t="shared" si="57"/>
        <v>2036</v>
      </c>
      <c r="W775">
        <v>0</v>
      </c>
      <c r="X775">
        <v>0</v>
      </c>
      <c r="Y775">
        <v>1315</v>
      </c>
      <c r="Z775">
        <v>361</v>
      </c>
      <c r="AA775" s="475" t="s">
        <v>24</v>
      </c>
    </row>
    <row r="776" spans="1:27" ht="15" hidden="1">
      <c r="A776" s="24">
        <f t="shared" si="56"/>
        <v>1775</v>
      </c>
      <c r="B776" s="24">
        <f t="shared" si="56"/>
        <v>1775</v>
      </c>
      <c r="C776" s="476" t="s">
        <v>1170</v>
      </c>
      <c r="D776" t="s">
        <v>152</v>
      </c>
      <c r="E776" s="477">
        <v>3</v>
      </c>
      <c r="F776" s="471">
        <v>3</v>
      </c>
      <c r="G776">
        <v>1</v>
      </c>
      <c r="H776">
        <v>1</v>
      </c>
      <c r="I776" s="472">
        <f t="shared" si="58"/>
        <v>0.47039166666666665</v>
      </c>
      <c r="J776" s="473">
        <v>0.36503333333333332</v>
      </c>
      <c r="K776" s="473">
        <v>0.44336666666666663</v>
      </c>
      <c r="L776" s="473">
        <v>0.58906666666666663</v>
      </c>
      <c r="M776" s="473">
        <v>0.48410000000000003</v>
      </c>
      <c r="N776" s="472">
        <f t="shared" si="59"/>
        <v>0.47039166666666665</v>
      </c>
      <c r="O776" s="473">
        <v>0.36503333333333332</v>
      </c>
      <c r="P776" s="473">
        <v>0.44336666666666663</v>
      </c>
      <c r="Q776" s="473">
        <v>0.58906666666666663</v>
      </c>
      <c r="R776" s="473">
        <v>0.48410000000000003</v>
      </c>
      <c r="S776" s="153">
        <v>0.01</v>
      </c>
      <c r="T776" s="153">
        <v>0.02</v>
      </c>
      <c r="U776" s="478">
        <v>2016</v>
      </c>
      <c r="V776" s="24">
        <f t="shared" si="57"/>
        <v>2036</v>
      </c>
      <c r="W776">
        <v>0</v>
      </c>
      <c r="X776">
        <v>0</v>
      </c>
      <c r="Y776">
        <v>1315</v>
      </c>
      <c r="Z776">
        <v>361</v>
      </c>
      <c r="AA776" s="475" t="s">
        <v>24</v>
      </c>
    </row>
    <row r="777" spans="1:27" ht="15" hidden="1">
      <c r="A777" s="24">
        <f t="shared" si="56"/>
        <v>1776</v>
      </c>
      <c r="B777" s="24">
        <f t="shared" si="56"/>
        <v>1776</v>
      </c>
      <c r="C777" s="469" t="s">
        <v>1171</v>
      </c>
      <c r="D777" t="s">
        <v>146</v>
      </c>
      <c r="E777" s="470">
        <v>1</v>
      </c>
      <c r="F777" s="471">
        <v>25.2</v>
      </c>
      <c r="G777">
        <v>1</v>
      </c>
      <c r="H777">
        <v>1</v>
      </c>
      <c r="I777" s="472">
        <f t="shared" si="58"/>
        <v>0.32845968612834514</v>
      </c>
      <c r="J777" s="153">
        <v>3.8473756479098807E-2</v>
      </c>
      <c r="K777" s="153">
        <v>0.39358026214566905</v>
      </c>
      <c r="L777" s="153">
        <v>0.53857526864315253</v>
      </c>
      <c r="M777" s="153">
        <v>0.3432094572454602</v>
      </c>
      <c r="N777" s="472">
        <f t="shared" si="59"/>
        <v>0.32845968612834514</v>
      </c>
      <c r="O777" s="153">
        <v>3.8473756479098807E-2</v>
      </c>
      <c r="P777" s="153">
        <v>0.39358026214566905</v>
      </c>
      <c r="Q777" s="153">
        <v>0.53857526864315253</v>
      </c>
      <c r="R777" s="153">
        <v>0.3432094572454602</v>
      </c>
      <c r="S777" s="153">
        <v>0.03</v>
      </c>
      <c r="T777" s="153">
        <v>0</v>
      </c>
      <c r="U777" s="474">
        <v>2010</v>
      </c>
      <c r="V777">
        <v>2023</v>
      </c>
      <c r="W777">
        <v>0</v>
      </c>
      <c r="X777">
        <v>0</v>
      </c>
      <c r="Y777">
        <v>1304</v>
      </c>
      <c r="Z777">
        <v>311</v>
      </c>
      <c r="AA777" s="475" t="s">
        <v>23</v>
      </c>
    </row>
    <row r="778" spans="1:27" ht="15" hidden="1">
      <c r="A778" s="24">
        <f t="shared" ref="A778:B797" si="60">1000+ROW()-1</f>
        <v>1777</v>
      </c>
      <c r="B778" s="24">
        <f t="shared" si="60"/>
        <v>1777</v>
      </c>
      <c r="C778" s="476" t="s">
        <v>1172</v>
      </c>
      <c r="D778" t="s">
        <v>152</v>
      </c>
      <c r="E778" s="477">
        <v>3</v>
      </c>
      <c r="F778" s="471">
        <v>14</v>
      </c>
      <c r="G778">
        <v>1</v>
      </c>
      <c r="H778">
        <v>1</v>
      </c>
      <c r="I778" s="472">
        <f t="shared" si="58"/>
        <v>0.47039166666666665</v>
      </c>
      <c r="J778" s="473">
        <v>0.36503333333333332</v>
      </c>
      <c r="K778" s="473">
        <v>0.44336666666666663</v>
      </c>
      <c r="L778" s="473">
        <v>0.58906666666666663</v>
      </c>
      <c r="M778" s="473">
        <v>0.48410000000000003</v>
      </c>
      <c r="N778" s="472">
        <f t="shared" si="59"/>
        <v>0.47039166666666665</v>
      </c>
      <c r="O778" s="473">
        <v>0.36503333333333332</v>
      </c>
      <c r="P778" s="473">
        <v>0.44336666666666663</v>
      </c>
      <c r="Q778" s="473">
        <v>0.58906666666666663</v>
      </c>
      <c r="R778" s="473">
        <v>0.48410000000000003</v>
      </c>
      <c r="S778" s="153">
        <v>0.01</v>
      </c>
      <c r="T778" s="153">
        <v>0.02</v>
      </c>
      <c r="U778" s="478">
        <v>2018</v>
      </c>
      <c r="V778" s="24">
        <f>U778+20</f>
        <v>2038</v>
      </c>
      <c r="W778">
        <v>0</v>
      </c>
      <c r="X778">
        <v>0</v>
      </c>
      <c r="Y778">
        <v>1315</v>
      </c>
      <c r="Z778">
        <v>361</v>
      </c>
      <c r="AA778" s="475" t="s">
        <v>24</v>
      </c>
    </row>
    <row r="779" spans="1:27" ht="15" hidden="1">
      <c r="A779" s="24">
        <f t="shared" si="60"/>
        <v>1778</v>
      </c>
      <c r="B779" s="24">
        <f t="shared" si="60"/>
        <v>1778</v>
      </c>
      <c r="C779" s="469" t="s">
        <v>1173</v>
      </c>
      <c r="D779" t="s">
        <v>146</v>
      </c>
      <c r="E779" s="470">
        <v>1</v>
      </c>
      <c r="F779" s="471">
        <v>0</v>
      </c>
      <c r="G779">
        <v>1</v>
      </c>
      <c r="H779">
        <v>1</v>
      </c>
      <c r="I779" s="472">
        <f t="shared" si="58"/>
        <v>0.32845968612834514</v>
      </c>
      <c r="J779" s="153">
        <v>3.8473756479098807E-2</v>
      </c>
      <c r="K779" s="153">
        <v>0.39358026214566905</v>
      </c>
      <c r="L779" s="153">
        <v>0.53857526864315253</v>
      </c>
      <c r="M779" s="153">
        <v>0.3432094572454602</v>
      </c>
      <c r="N779" s="472">
        <f t="shared" si="59"/>
        <v>0.32845968612834514</v>
      </c>
      <c r="O779" s="153">
        <v>3.8473756479098807E-2</v>
      </c>
      <c r="P779" s="153">
        <v>0.39358026214566905</v>
      </c>
      <c r="Q779" s="153">
        <v>0.53857526864315253</v>
      </c>
      <c r="R779" s="153">
        <v>0.3432094572454602</v>
      </c>
      <c r="S779" s="153">
        <v>0.03</v>
      </c>
      <c r="T779" s="153">
        <v>0</v>
      </c>
      <c r="U779" s="474">
        <v>1900</v>
      </c>
      <c r="V779">
        <v>2030</v>
      </c>
      <c r="W779">
        <v>0</v>
      </c>
      <c r="X779">
        <v>0</v>
      </c>
      <c r="Y779">
        <v>1304</v>
      </c>
      <c r="Z779">
        <v>311</v>
      </c>
      <c r="AA779" s="475" t="s">
        <v>23</v>
      </c>
    </row>
    <row r="780" spans="1:27" ht="15" hidden="1">
      <c r="A780" s="24">
        <f t="shared" si="60"/>
        <v>1779</v>
      </c>
      <c r="B780" s="24">
        <f t="shared" si="60"/>
        <v>1779</v>
      </c>
      <c r="C780" s="469" t="s">
        <v>1174</v>
      </c>
      <c r="D780" t="s">
        <v>152</v>
      </c>
      <c r="E780" s="470">
        <v>3</v>
      </c>
      <c r="F780" s="471">
        <v>19.73</v>
      </c>
      <c r="G780">
        <v>1</v>
      </c>
      <c r="H780">
        <v>1</v>
      </c>
      <c r="I780" s="472">
        <f t="shared" si="58"/>
        <v>0.32845968612834514</v>
      </c>
      <c r="J780" s="153">
        <v>3.8473756479098807E-2</v>
      </c>
      <c r="K780" s="153">
        <v>0.39358026214566905</v>
      </c>
      <c r="L780" s="153">
        <v>0.53857526864315253</v>
      </c>
      <c r="M780" s="153">
        <v>0.3432094572454602</v>
      </c>
      <c r="N780" s="472">
        <f t="shared" si="59"/>
        <v>0.32845968612834514</v>
      </c>
      <c r="O780" s="153">
        <v>3.8473756479098807E-2</v>
      </c>
      <c r="P780" s="153">
        <v>0.39358026214566905</v>
      </c>
      <c r="Q780" s="153">
        <v>0.53857526864315253</v>
      </c>
      <c r="R780" s="153">
        <v>0.3432094572454602</v>
      </c>
      <c r="S780" s="153">
        <v>0.03</v>
      </c>
      <c r="T780" s="153">
        <v>0</v>
      </c>
      <c r="U780" s="474">
        <v>2010</v>
      </c>
      <c r="V780">
        <v>2023</v>
      </c>
      <c r="W780">
        <v>0</v>
      </c>
      <c r="X780">
        <v>0</v>
      </c>
      <c r="Y780">
        <v>1304</v>
      </c>
      <c r="Z780">
        <v>311</v>
      </c>
      <c r="AA780" s="475" t="s">
        <v>23</v>
      </c>
    </row>
    <row r="781" spans="1:27" ht="15" hidden="1">
      <c r="A781" s="24">
        <f t="shared" si="60"/>
        <v>1780</v>
      </c>
      <c r="B781" s="24">
        <f t="shared" si="60"/>
        <v>1780</v>
      </c>
      <c r="C781" s="476" t="s">
        <v>1175</v>
      </c>
      <c r="D781" t="s">
        <v>152</v>
      </c>
      <c r="E781" s="477">
        <v>3</v>
      </c>
      <c r="F781" s="471">
        <v>14</v>
      </c>
      <c r="G781">
        <v>1</v>
      </c>
      <c r="H781">
        <v>1</v>
      </c>
      <c r="I781" s="472">
        <f t="shared" si="58"/>
        <v>0.47039166666666665</v>
      </c>
      <c r="J781" s="473">
        <v>0.36503333333333332</v>
      </c>
      <c r="K781" s="473">
        <v>0.44336666666666663</v>
      </c>
      <c r="L781" s="473">
        <v>0.58906666666666663</v>
      </c>
      <c r="M781" s="473">
        <v>0.48410000000000003</v>
      </c>
      <c r="N781" s="472">
        <f t="shared" si="59"/>
        <v>0.47039166666666665</v>
      </c>
      <c r="O781" s="473">
        <v>0.36503333333333332</v>
      </c>
      <c r="P781" s="473">
        <v>0.44336666666666663</v>
      </c>
      <c r="Q781" s="473">
        <v>0.58906666666666663</v>
      </c>
      <c r="R781" s="473">
        <v>0.48410000000000003</v>
      </c>
      <c r="S781" s="153">
        <v>0.01</v>
      </c>
      <c r="T781" s="153">
        <v>0.02</v>
      </c>
      <c r="U781" s="478">
        <v>2018</v>
      </c>
      <c r="V781" s="24">
        <f t="shared" ref="V781:V782" si="61">U781+20</f>
        <v>2038</v>
      </c>
      <c r="W781">
        <v>0</v>
      </c>
      <c r="X781">
        <v>0</v>
      </c>
      <c r="Y781">
        <v>1315</v>
      </c>
      <c r="Z781">
        <v>361</v>
      </c>
      <c r="AA781" s="475" t="s">
        <v>24</v>
      </c>
    </row>
    <row r="782" spans="1:27" ht="15" hidden="1">
      <c r="A782" s="24">
        <f t="shared" si="60"/>
        <v>1781</v>
      </c>
      <c r="B782" s="24">
        <f t="shared" si="60"/>
        <v>1781</v>
      </c>
      <c r="C782" s="476" t="s">
        <v>1176</v>
      </c>
      <c r="D782" t="s">
        <v>152</v>
      </c>
      <c r="E782" s="477">
        <v>3</v>
      </c>
      <c r="F782" s="471">
        <v>9.25</v>
      </c>
      <c r="G782">
        <v>1</v>
      </c>
      <c r="H782">
        <v>1</v>
      </c>
      <c r="I782" s="472">
        <f t="shared" si="58"/>
        <v>0.47039166666666665</v>
      </c>
      <c r="J782" s="473">
        <v>0.36503333333333332</v>
      </c>
      <c r="K782" s="473">
        <v>0.44336666666666663</v>
      </c>
      <c r="L782" s="473">
        <v>0.58906666666666663</v>
      </c>
      <c r="M782" s="473">
        <v>0.48410000000000003</v>
      </c>
      <c r="N782" s="472">
        <f t="shared" si="59"/>
        <v>0.47039166666666665</v>
      </c>
      <c r="O782" s="473">
        <v>0.36503333333333332</v>
      </c>
      <c r="P782" s="473">
        <v>0.44336666666666663</v>
      </c>
      <c r="Q782" s="473">
        <v>0.58906666666666663</v>
      </c>
      <c r="R782" s="473">
        <v>0.48410000000000003</v>
      </c>
      <c r="S782" s="153">
        <v>0.01</v>
      </c>
      <c r="T782" s="153">
        <v>0.02</v>
      </c>
      <c r="U782" s="478">
        <v>2016</v>
      </c>
      <c r="V782" s="24">
        <f t="shared" si="61"/>
        <v>2036</v>
      </c>
      <c r="W782">
        <v>0</v>
      </c>
      <c r="X782">
        <v>0</v>
      </c>
      <c r="Y782">
        <v>1315</v>
      </c>
      <c r="Z782">
        <v>361</v>
      </c>
      <c r="AA782" s="475" t="s">
        <v>24</v>
      </c>
    </row>
    <row r="783" spans="1:27" ht="15" hidden="1">
      <c r="A783" s="24">
        <f t="shared" si="60"/>
        <v>1782</v>
      </c>
      <c r="B783" s="24">
        <f t="shared" si="60"/>
        <v>1782</v>
      </c>
      <c r="C783" s="469" t="s">
        <v>1177</v>
      </c>
      <c r="D783" t="s">
        <v>152</v>
      </c>
      <c r="E783" s="470">
        <v>3</v>
      </c>
      <c r="F783" s="471">
        <v>0</v>
      </c>
      <c r="G783">
        <v>1</v>
      </c>
      <c r="H783">
        <v>1</v>
      </c>
      <c r="I783" s="472">
        <f t="shared" si="58"/>
        <v>0.32845968612834514</v>
      </c>
      <c r="J783" s="153">
        <v>3.8473756479098807E-2</v>
      </c>
      <c r="K783" s="153">
        <v>0.39358026214566905</v>
      </c>
      <c r="L783" s="153">
        <v>0.53857526864315253</v>
      </c>
      <c r="M783" s="153">
        <v>0.3432094572454602</v>
      </c>
      <c r="N783" s="472">
        <f t="shared" si="59"/>
        <v>0.32845968612834514</v>
      </c>
      <c r="O783" s="153">
        <v>3.8473756479098807E-2</v>
      </c>
      <c r="P783" s="153">
        <v>0.39358026214566905</v>
      </c>
      <c r="Q783" s="153">
        <v>0.53857526864315253</v>
      </c>
      <c r="R783" s="153">
        <v>0.3432094572454602</v>
      </c>
      <c r="S783" s="153">
        <v>0.03</v>
      </c>
      <c r="T783" s="153">
        <v>0</v>
      </c>
      <c r="U783" s="474">
        <v>1900</v>
      </c>
      <c r="V783">
        <v>2030</v>
      </c>
      <c r="W783">
        <v>0</v>
      </c>
      <c r="X783">
        <v>0</v>
      </c>
      <c r="Y783">
        <v>1304</v>
      </c>
      <c r="Z783">
        <v>311</v>
      </c>
      <c r="AA783" s="475" t="s">
        <v>23</v>
      </c>
    </row>
    <row r="784" spans="1:27" ht="15" hidden="1">
      <c r="A784" s="24">
        <f t="shared" si="60"/>
        <v>1783</v>
      </c>
      <c r="B784" s="24">
        <f t="shared" si="60"/>
        <v>1783</v>
      </c>
      <c r="C784" s="476" t="s">
        <v>1178</v>
      </c>
      <c r="D784" t="s">
        <v>152</v>
      </c>
      <c r="E784" s="477">
        <v>3</v>
      </c>
      <c r="F784" s="471">
        <v>12.95</v>
      </c>
      <c r="G784">
        <v>1</v>
      </c>
      <c r="H784">
        <v>1</v>
      </c>
      <c r="I784" s="472">
        <f t="shared" si="58"/>
        <v>0.47039166666666665</v>
      </c>
      <c r="J784" s="473">
        <v>0.36503333333333332</v>
      </c>
      <c r="K784" s="473">
        <v>0.44336666666666663</v>
      </c>
      <c r="L784" s="473">
        <v>0.58906666666666663</v>
      </c>
      <c r="M784" s="473">
        <v>0.48410000000000003</v>
      </c>
      <c r="N784" s="472">
        <f t="shared" si="59"/>
        <v>0.47039166666666665</v>
      </c>
      <c r="O784" s="473">
        <v>0.36503333333333332</v>
      </c>
      <c r="P784" s="473">
        <v>0.44336666666666663</v>
      </c>
      <c r="Q784" s="473">
        <v>0.58906666666666663</v>
      </c>
      <c r="R784" s="473">
        <v>0.48410000000000003</v>
      </c>
      <c r="S784" s="153">
        <v>0.01</v>
      </c>
      <c r="T784" s="153">
        <v>0.02</v>
      </c>
      <c r="U784" s="478">
        <v>2016</v>
      </c>
      <c r="V784" s="24">
        <f t="shared" ref="V784:V787" si="62">U784+20</f>
        <v>2036</v>
      </c>
      <c r="W784">
        <v>0</v>
      </c>
      <c r="X784">
        <v>0</v>
      </c>
      <c r="Y784">
        <v>1315</v>
      </c>
      <c r="Z784">
        <v>361</v>
      </c>
      <c r="AA784" s="475" t="s">
        <v>24</v>
      </c>
    </row>
    <row r="785" spans="1:27" ht="15" hidden="1">
      <c r="A785" s="24">
        <f t="shared" si="60"/>
        <v>1784</v>
      </c>
      <c r="B785" s="24">
        <f t="shared" si="60"/>
        <v>1784</v>
      </c>
      <c r="C785" s="476" t="s">
        <v>1179</v>
      </c>
      <c r="D785" t="s">
        <v>152</v>
      </c>
      <c r="E785" s="477">
        <v>3</v>
      </c>
      <c r="F785" s="471">
        <v>30</v>
      </c>
      <c r="G785">
        <v>1</v>
      </c>
      <c r="H785">
        <v>1</v>
      </c>
      <c r="I785" s="472">
        <f t="shared" si="58"/>
        <v>0.47039166666666665</v>
      </c>
      <c r="J785" s="473">
        <v>0.36503333333333332</v>
      </c>
      <c r="K785" s="473">
        <v>0.44336666666666663</v>
      </c>
      <c r="L785" s="473">
        <v>0.58906666666666663</v>
      </c>
      <c r="M785" s="473">
        <v>0.48410000000000003</v>
      </c>
      <c r="N785" s="472">
        <f t="shared" si="59"/>
        <v>0.47039166666666665</v>
      </c>
      <c r="O785" s="473">
        <v>0.36503333333333332</v>
      </c>
      <c r="P785" s="473">
        <v>0.44336666666666663</v>
      </c>
      <c r="Q785" s="473">
        <v>0.58906666666666663</v>
      </c>
      <c r="R785" s="473">
        <v>0.48410000000000003</v>
      </c>
      <c r="S785" s="153">
        <v>0.01</v>
      </c>
      <c r="T785" s="153">
        <v>0.02</v>
      </c>
      <c r="U785" s="478">
        <v>2016</v>
      </c>
      <c r="V785" s="24">
        <f t="shared" si="62"/>
        <v>2036</v>
      </c>
      <c r="W785">
        <v>0</v>
      </c>
      <c r="X785">
        <v>0</v>
      </c>
      <c r="Y785">
        <v>1315</v>
      </c>
      <c r="Z785">
        <v>361</v>
      </c>
      <c r="AA785" s="475" t="s">
        <v>24</v>
      </c>
    </row>
    <row r="786" spans="1:27" ht="15" hidden="1">
      <c r="A786" s="24">
        <f t="shared" si="60"/>
        <v>1785</v>
      </c>
      <c r="B786" s="24">
        <f t="shared" si="60"/>
        <v>1785</v>
      </c>
      <c r="C786" s="476" t="s">
        <v>1180</v>
      </c>
      <c r="D786" t="s">
        <v>152</v>
      </c>
      <c r="E786" s="477">
        <v>3</v>
      </c>
      <c r="F786" s="471">
        <v>30</v>
      </c>
      <c r="G786">
        <v>1</v>
      </c>
      <c r="H786">
        <v>1</v>
      </c>
      <c r="I786" s="472">
        <f t="shared" si="58"/>
        <v>0.47039166666666665</v>
      </c>
      <c r="J786" s="473">
        <v>0.36503333333333332</v>
      </c>
      <c r="K786" s="473">
        <v>0.44336666666666663</v>
      </c>
      <c r="L786" s="473">
        <v>0.58906666666666663</v>
      </c>
      <c r="M786" s="473">
        <v>0.48410000000000003</v>
      </c>
      <c r="N786" s="472">
        <f t="shared" si="59"/>
        <v>0.47039166666666665</v>
      </c>
      <c r="O786" s="473">
        <v>0.36503333333333332</v>
      </c>
      <c r="P786" s="473">
        <v>0.44336666666666663</v>
      </c>
      <c r="Q786" s="473">
        <v>0.58906666666666663</v>
      </c>
      <c r="R786" s="473">
        <v>0.48410000000000003</v>
      </c>
      <c r="S786" s="153">
        <v>0.01</v>
      </c>
      <c r="T786" s="153">
        <v>0.02</v>
      </c>
      <c r="U786" s="478">
        <v>2016</v>
      </c>
      <c r="V786" s="24">
        <f t="shared" si="62"/>
        <v>2036</v>
      </c>
      <c r="W786">
        <v>0</v>
      </c>
      <c r="X786">
        <v>0</v>
      </c>
      <c r="Y786">
        <v>1315</v>
      </c>
      <c r="Z786">
        <v>361</v>
      </c>
      <c r="AA786" s="475" t="s">
        <v>24</v>
      </c>
    </row>
    <row r="787" spans="1:27" ht="15" hidden="1">
      <c r="A787" s="24">
        <f t="shared" si="60"/>
        <v>1786</v>
      </c>
      <c r="B787" s="24">
        <f t="shared" si="60"/>
        <v>1786</v>
      </c>
      <c r="C787" s="476" t="s">
        <v>1181</v>
      </c>
      <c r="D787" t="s">
        <v>152</v>
      </c>
      <c r="E787" s="477">
        <v>3</v>
      </c>
      <c r="F787" s="471">
        <v>30</v>
      </c>
      <c r="G787">
        <v>1</v>
      </c>
      <c r="H787">
        <v>1</v>
      </c>
      <c r="I787" s="472">
        <f t="shared" si="58"/>
        <v>0.47039166666666665</v>
      </c>
      <c r="J787" s="473">
        <v>0.36503333333333332</v>
      </c>
      <c r="K787" s="473">
        <v>0.44336666666666663</v>
      </c>
      <c r="L787" s="473">
        <v>0.58906666666666663</v>
      </c>
      <c r="M787" s="473">
        <v>0.48410000000000003</v>
      </c>
      <c r="N787" s="472">
        <f t="shared" si="59"/>
        <v>0.47039166666666665</v>
      </c>
      <c r="O787" s="473">
        <v>0.36503333333333332</v>
      </c>
      <c r="P787" s="473">
        <v>0.44336666666666663</v>
      </c>
      <c r="Q787" s="473">
        <v>0.58906666666666663</v>
      </c>
      <c r="R787" s="473">
        <v>0.48410000000000003</v>
      </c>
      <c r="S787" s="153">
        <v>0.01</v>
      </c>
      <c r="T787" s="153">
        <v>0.02</v>
      </c>
      <c r="U787" s="478">
        <v>2016</v>
      </c>
      <c r="V787" s="24">
        <f t="shared" si="62"/>
        <v>2036</v>
      </c>
      <c r="W787">
        <v>0</v>
      </c>
      <c r="X787">
        <v>0</v>
      </c>
      <c r="Y787">
        <v>1315</v>
      </c>
      <c r="Z787">
        <v>361</v>
      </c>
      <c r="AA787" s="475" t="s">
        <v>24</v>
      </c>
    </row>
    <row r="788" spans="1:27" ht="15" hidden="1">
      <c r="A788" s="24">
        <f t="shared" si="60"/>
        <v>1787</v>
      </c>
      <c r="B788" s="24">
        <f t="shared" si="60"/>
        <v>1787</v>
      </c>
      <c r="C788" s="469" t="s">
        <v>1182</v>
      </c>
      <c r="D788" t="s">
        <v>146</v>
      </c>
      <c r="E788" s="470">
        <v>1</v>
      </c>
      <c r="F788" s="471">
        <v>42</v>
      </c>
      <c r="G788">
        <v>1</v>
      </c>
      <c r="H788">
        <v>1</v>
      </c>
      <c r="I788" s="472">
        <f t="shared" si="58"/>
        <v>0.32845968612834514</v>
      </c>
      <c r="J788" s="153">
        <v>3.8473756479098807E-2</v>
      </c>
      <c r="K788" s="153">
        <v>0.39358026214566905</v>
      </c>
      <c r="L788" s="153">
        <v>0.53857526864315253</v>
      </c>
      <c r="M788" s="153">
        <v>0.3432094572454602</v>
      </c>
      <c r="N788" s="472">
        <f t="shared" si="59"/>
        <v>0.32845968612834514</v>
      </c>
      <c r="O788" s="153">
        <v>3.8473756479098807E-2</v>
      </c>
      <c r="P788" s="153">
        <v>0.39358026214566905</v>
      </c>
      <c r="Q788" s="153">
        <v>0.53857526864315253</v>
      </c>
      <c r="R788" s="153">
        <v>0.3432094572454602</v>
      </c>
      <c r="S788" s="153">
        <v>0.03</v>
      </c>
      <c r="T788" s="153">
        <v>0</v>
      </c>
      <c r="U788" s="474">
        <v>2010</v>
      </c>
      <c r="V788">
        <v>2023</v>
      </c>
      <c r="W788">
        <v>0</v>
      </c>
      <c r="X788">
        <v>0</v>
      </c>
      <c r="Y788">
        <v>1304</v>
      </c>
      <c r="Z788">
        <v>311</v>
      </c>
      <c r="AA788" s="475" t="s">
        <v>23</v>
      </c>
    </row>
    <row r="789" spans="1:27" ht="15" hidden="1">
      <c r="A789" s="24">
        <f t="shared" si="60"/>
        <v>1788</v>
      </c>
      <c r="B789" s="24">
        <f t="shared" si="60"/>
        <v>1788</v>
      </c>
      <c r="C789" s="469" t="s">
        <v>1183</v>
      </c>
      <c r="D789" t="s">
        <v>146</v>
      </c>
      <c r="E789" s="470">
        <v>1</v>
      </c>
      <c r="F789" s="471">
        <v>0</v>
      </c>
      <c r="G789">
        <v>1</v>
      </c>
      <c r="H789">
        <v>1</v>
      </c>
      <c r="I789" s="472">
        <f t="shared" si="58"/>
        <v>0.32845968612834514</v>
      </c>
      <c r="J789" s="153">
        <v>3.8473756479098807E-2</v>
      </c>
      <c r="K789" s="153">
        <v>0.39358026214566905</v>
      </c>
      <c r="L789" s="153">
        <v>0.53857526864315253</v>
      </c>
      <c r="M789" s="153">
        <v>0.3432094572454602</v>
      </c>
      <c r="N789" s="472">
        <f t="shared" si="59"/>
        <v>0.32845968612834514</v>
      </c>
      <c r="O789" s="153">
        <v>3.8473756479098807E-2</v>
      </c>
      <c r="P789" s="153">
        <v>0.39358026214566905</v>
      </c>
      <c r="Q789" s="153">
        <v>0.53857526864315253</v>
      </c>
      <c r="R789" s="153">
        <v>0.3432094572454602</v>
      </c>
      <c r="S789" s="153">
        <v>0.03</v>
      </c>
      <c r="T789" s="153">
        <v>0</v>
      </c>
      <c r="U789" s="474">
        <v>1900</v>
      </c>
      <c r="V789">
        <v>2030</v>
      </c>
      <c r="W789">
        <v>0</v>
      </c>
      <c r="X789">
        <v>0</v>
      </c>
      <c r="Y789">
        <v>1304</v>
      </c>
      <c r="Z789">
        <v>311</v>
      </c>
      <c r="AA789" s="475" t="s">
        <v>23</v>
      </c>
    </row>
    <row r="790" spans="1:27" ht="15" hidden="1">
      <c r="A790" s="24">
        <f t="shared" si="60"/>
        <v>1789</v>
      </c>
      <c r="B790" s="24">
        <f t="shared" si="60"/>
        <v>1789</v>
      </c>
      <c r="C790" s="476" t="s">
        <v>1184</v>
      </c>
      <c r="D790" t="s">
        <v>152</v>
      </c>
      <c r="E790" s="477">
        <v>3</v>
      </c>
      <c r="F790" s="471">
        <v>30</v>
      </c>
      <c r="G790">
        <v>1</v>
      </c>
      <c r="H790">
        <v>1</v>
      </c>
      <c r="I790" s="472">
        <f t="shared" si="58"/>
        <v>0.47039166666666665</v>
      </c>
      <c r="J790" s="473">
        <v>0.36503333333333332</v>
      </c>
      <c r="K790" s="473">
        <v>0.44336666666666663</v>
      </c>
      <c r="L790" s="473">
        <v>0.58906666666666663</v>
      </c>
      <c r="M790" s="473">
        <v>0.48410000000000003</v>
      </c>
      <c r="N790" s="472">
        <f t="shared" si="59"/>
        <v>0.47039166666666665</v>
      </c>
      <c r="O790" s="473">
        <v>0.36503333333333332</v>
      </c>
      <c r="P790" s="473">
        <v>0.44336666666666663</v>
      </c>
      <c r="Q790" s="473">
        <v>0.58906666666666663</v>
      </c>
      <c r="R790" s="473">
        <v>0.48410000000000003</v>
      </c>
      <c r="S790" s="153">
        <v>0.01</v>
      </c>
      <c r="T790" s="153">
        <v>0.02</v>
      </c>
      <c r="U790" s="478">
        <v>2016</v>
      </c>
      <c r="V790" s="24">
        <f t="shared" ref="V790:V793" si="63">U790+20</f>
        <v>2036</v>
      </c>
      <c r="W790">
        <v>0</v>
      </c>
      <c r="X790">
        <v>0</v>
      </c>
      <c r="Y790">
        <v>1315</v>
      </c>
      <c r="Z790">
        <v>361</v>
      </c>
      <c r="AA790" s="475" t="s">
        <v>24</v>
      </c>
    </row>
    <row r="791" spans="1:27" ht="15" hidden="1">
      <c r="A791" s="24">
        <f t="shared" si="60"/>
        <v>1790</v>
      </c>
      <c r="B791" s="24">
        <f t="shared" si="60"/>
        <v>1790</v>
      </c>
      <c r="C791" s="476" t="s">
        <v>1185</v>
      </c>
      <c r="D791" t="s">
        <v>152</v>
      </c>
      <c r="E791" s="477">
        <v>3</v>
      </c>
      <c r="F791" s="471">
        <v>30</v>
      </c>
      <c r="G791">
        <v>1</v>
      </c>
      <c r="H791">
        <v>1</v>
      </c>
      <c r="I791" s="472">
        <f t="shared" si="58"/>
        <v>0.47039166666666665</v>
      </c>
      <c r="J791" s="473">
        <v>0.36503333333333332</v>
      </c>
      <c r="K791" s="473">
        <v>0.44336666666666663</v>
      </c>
      <c r="L791" s="473">
        <v>0.58906666666666663</v>
      </c>
      <c r="M791" s="473">
        <v>0.48410000000000003</v>
      </c>
      <c r="N791" s="472">
        <f t="shared" si="59"/>
        <v>0.47039166666666665</v>
      </c>
      <c r="O791" s="473">
        <v>0.36503333333333332</v>
      </c>
      <c r="P791" s="473">
        <v>0.44336666666666663</v>
      </c>
      <c r="Q791" s="473">
        <v>0.58906666666666663</v>
      </c>
      <c r="R791" s="473">
        <v>0.48410000000000003</v>
      </c>
      <c r="S791" s="153">
        <v>0.01</v>
      </c>
      <c r="T791" s="153">
        <v>0.02</v>
      </c>
      <c r="U791" s="478">
        <v>2016</v>
      </c>
      <c r="V791" s="24">
        <f t="shared" si="63"/>
        <v>2036</v>
      </c>
      <c r="W791">
        <v>0</v>
      </c>
      <c r="X791">
        <v>0</v>
      </c>
      <c r="Y791">
        <v>1315</v>
      </c>
      <c r="Z791">
        <v>361</v>
      </c>
      <c r="AA791" s="475" t="s">
        <v>24</v>
      </c>
    </row>
    <row r="792" spans="1:27" ht="15" hidden="1">
      <c r="A792" s="24">
        <f t="shared" si="60"/>
        <v>1791</v>
      </c>
      <c r="B792" s="24">
        <f t="shared" si="60"/>
        <v>1791</v>
      </c>
      <c r="C792" s="476" t="s">
        <v>1186</v>
      </c>
      <c r="D792" t="s">
        <v>152</v>
      </c>
      <c r="E792" s="477">
        <v>3</v>
      </c>
      <c r="F792" s="471">
        <v>30</v>
      </c>
      <c r="G792">
        <v>1</v>
      </c>
      <c r="H792">
        <v>1</v>
      </c>
      <c r="I792" s="472">
        <f t="shared" si="58"/>
        <v>0.47039166666666665</v>
      </c>
      <c r="J792" s="473">
        <v>0.36503333333333332</v>
      </c>
      <c r="K792" s="473">
        <v>0.44336666666666663</v>
      </c>
      <c r="L792" s="473">
        <v>0.58906666666666663</v>
      </c>
      <c r="M792" s="473">
        <v>0.48410000000000003</v>
      </c>
      <c r="N792" s="472">
        <f t="shared" si="59"/>
        <v>0.47039166666666665</v>
      </c>
      <c r="O792" s="473">
        <v>0.36503333333333332</v>
      </c>
      <c r="P792" s="473">
        <v>0.44336666666666663</v>
      </c>
      <c r="Q792" s="473">
        <v>0.58906666666666663</v>
      </c>
      <c r="R792" s="473">
        <v>0.48410000000000003</v>
      </c>
      <c r="S792" s="153">
        <v>0.01</v>
      </c>
      <c r="T792" s="153">
        <v>0.02</v>
      </c>
      <c r="U792" s="478">
        <v>2018</v>
      </c>
      <c r="V792" s="24">
        <f t="shared" si="63"/>
        <v>2038</v>
      </c>
      <c r="W792">
        <v>0</v>
      </c>
      <c r="X792">
        <v>0</v>
      </c>
      <c r="Y792">
        <v>1315</v>
      </c>
      <c r="Z792">
        <v>361</v>
      </c>
      <c r="AA792" s="475" t="s">
        <v>24</v>
      </c>
    </row>
    <row r="793" spans="1:27" ht="15" hidden="1">
      <c r="A793" s="24">
        <f t="shared" si="60"/>
        <v>1792</v>
      </c>
      <c r="B793" s="24">
        <f t="shared" si="60"/>
        <v>1792</v>
      </c>
      <c r="C793" s="476" t="s">
        <v>1187</v>
      </c>
      <c r="D793" t="s">
        <v>152</v>
      </c>
      <c r="E793" s="477">
        <v>3</v>
      </c>
      <c r="F793" s="471">
        <v>4.2</v>
      </c>
      <c r="G793">
        <v>1</v>
      </c>
      <c r="H793">
        <v>1</v>
      </c>
      <c r="I793" s="472">
        <f t="shared" si="58"/>
        <v>0.47039166666666665</v>
      </c>
      <c r="J793" s="473">
        <v>0.36503333333333332</v>
      </c>
      <c r="K793" s="473">
        <v>0.44336666666666663</v>
      </c>
      <c r="L793" s="473">
        <v>0.58906666666666663</v>
      </c>
      <c r="M793" s="473">
        <v>0.48410000000000003</v>
      </c>
      <c r="N793" s="472">
        <f t="shared" si="59"/>
        <v>0.47039166666666665</v>
      </c>
      <c r="O793" s="473">
        <v>0.36503333333333332</v>
      </c>
      <c r="P793" s="473">
        <v>0.44336666666666663</v>
      </c>
      <c r="Q793" s="473">
        <v>0.58906666666666663</v>
      </c>
      <c r="R793" s="473">
        <v>0.48410000000000003</v>
      </c>
      <c r="S793" s="153">
        <v>0.01</v>
      </c>
      <c r="T793" s="153">
        <v>0.02</v>
      </c>
      <c r="U793" s="478">
        <v>2016</v>
      </c>
      <c r="V793" s="24">
        <f t="shared" si="63"/>
        <v>2036</v>
      </c>
      <c r="W793">
        <v>0</v>
      </c>
      <c r="X793">
        <v>0</v>
      </c>
      <c r="Y793">
        <v>1315</v>
      </c>
      <c r="Z793">
        <v>361</v>
      </c>
      <c r="AA793" s="475" t="s">
        <v>24</v>
      </c>
    </row>
    <row r="794" spans="1:27" ht="15" hidden="1">
      <c r="A794" s="24">
        <f t="shared" si="60"/>
        <v>1793</v>
      </c>
      <c r="B794" s="24">
        <f t="shared" si="60"/>
        <v>1793</v>
      </c>
      <c r="C794" s="469" t="s">
        <v>1188</v>
      </c>
      <c r="D794" t="s">
        <v>146</v>
      </c>
      <c r="E794" s="470">
        <v>1</v>
      </c>
      <c r="F794" s="471">
        <v>30</v>
      </c>
      <c r="G794">
        <v>1</v>
      </c>
      <c r="H794">
        <v>1</v>
      </c>
      <c r="I794" s="472">
        <f t="shared" si="58"/>
        <v>0.32845968612834514</v>
      </c>
      <c r="J794" s="153">
        <v>3.8473756479098807E-2</v>
      </c>
      <c r="K794" s="153">
        <v>0.39358026214566905</v>
      </c>
      <c r="L794" s="153">
        <v>0.53857526864315253</v>
      </c>
      <c r="M794" s="153">
        <v>0.3432094572454602</v>
      </c>
      <c r="N794" s="472">
        <f t="shared" si="59"/>
        <v>0.32845968612834514</v>
      </c>
      <c r="O794" s="153">
        <v>3.8473756479098807E-2</v>
      </c>
      <c r="P794" s="153">
        <v>0.39358026214566905</v>
      </c>
      <c r="Q794" s="153">
        <v>0.53857526864315253</v>
      </c>
      <c r="R794" s="153">
        <v>0.3432094572454602</v>
      </c>
      <c r="S794" s="153">
        <v>0.03</v>
      </c>
      <c r="T794" s="153">
        <v>0</v>
      </c>
      <c r="U794" s="474">
        <v>2010</v>
      </c>
      <c r="V794">
        <v>2023</v>
      </c>
      <c r="W794">
        <v>0</v>
      </c>
      <c r="X794">
        <v>0</v>
      </c>
      <c r="Y794">
        <v>1304</v>
      </c>
      <c r="Z794">
        <v>311</v>
      </c>
      <c r="AA794" s="475" t="s">
        <v>23</v>
      </c>
    </row>
    <row r="795" spans="1:27" ht="15" hidden="1">
      <c r="A795" s="24">
        <f t="shared" si="60"/>
        <v>1794</v>
      </c>
      <c r="B795" s="24">
        <f t="shared" si="60"/>
        <v>1794</v>
      </c>
      <c r="C795" s="469" t="s">
        <v>1189</v>
      </c>
      <c r="D795" t="s">
        <v>146</v>
      </c>
      <c r="E795" s="470">
        <v>1</v>
      </c>
      <c r="F795" s="471">
        <v>0</v>
      </c>
      <c r="G795">
        <v>1</v>
      </c>
      <c r="H795">
        <v>1</v>
      </c>
      <c r="I795" s="472">
        <f t="shared" si="58"/>
        <v>0.32845968612834514</v>
      </c>
      <c r="J795" s="153">
        <v>3.8473756479098807E-2</v>
      </c>
      <c r="K795" s="153">
        <v>0.39358026214566905</v>
      </c>
      <c r="L795" s="153">
        <v>0.53857526864315253</v>
      </c>
      <c r="M795" s="153">
        <v>0.3432094572454602</v>
      </c>
      <c r="N795" s="472">
        <f t="shared" si="59"/>
        <v>0.32845968612834514</v>
      </c>
      <c r="O795" s="153">
        <v>3.8473756479098807E-2</v>
      </c>
      <c r="P795" s="153">
        <v>0.39358026214566905</v>
      </c>
      <c r="Q795" s="153">
        <v>0.53857526864315253</v>
      </c>
      <c r="R795" s="153">
        <v>0.3432094572454602</v>
      </c>
      <c r="S795" s="153">
        <v>0.03</v>
      </c>
      <c r="T795" s="153">
        <v>0</v>
      </c>
      <c r="U795" s="474">
        <v>1900</v>
      </c>
      <c r="V795">
        <v>2030</v>
      </c>
      <c r="W795">
        <v>0</v>
      </c>
      <c r="X795">
        <v>0</v>
      </c>
      <c r="Y795">
        <v>1304</v>
      </c>
      <c r="Z795">
        <v>311</v>
      </c>
      <c r="AA795" s="475" t="s">
        <v>23</v>
      </c>
    </row>
    <row r="796" spans="1:27" ht="15" hidden="1">
      <c r="A796" s="24">
        <f t="shared" si="60"/>
        <v>1795</v>
      </c>
      <c r="B796" s="24">
        <f t="shared" si="60"/>
        <v>1795</v>
      </c>
      <c r="C796" s="469" t="s">
        <v>1190</v>
      </c>
      <c r="D796" t="s">
        <v>146</v>
      </c>
      <c r="E796" s="470">
        <v>1</v>
      </c>
      <c r="F796" s="471">
        <v>58</v>
      </c>
      <c r="G796">
        <v>1</v>
      </c>
      <c r="H796">
        <v>1</v>
      </c>
      <c r="I796" s="472">
        <f t="shared" si="58"/>
        <v>0.32845968612834514</v>
      </c>
      <c r="J796" s="153">
        <v>3.8473756479098807E-2</v>
      </c>
      <c r="K796" s="153">
        <v>0.39358026214566905</v>
      </c>
      <c r="L796" s="153">
        <v>0.53857526864315253</v>
      </c>
      <c r="M796" s="153">
        <v>0.3432094572454602</v>
      </c>
      <c r="N796" s="472">
        <f t="shared" si="59"/>
        <v>0.32845968612834514</v>
      </c>
      <c r="O796" s="153">
        <v>3.8473756479098807E-2</v>
      </c>
      <c r="P796" s="153">
        <v>0.39358026214566905</v>
      </c>
      <c r="Q796" s="153">
        <v>0.53857526864315253</v>
      </c>
      <c r="R796" s="153">
        <v>0.3432094572454602</v>
      </c>
      <c r="S796" s="153">
        <v>0.03</v>
      </c>
      <c r="T796" s="153">
        <v>0</v>
      </c>
      <c r="U796" s="474">
        <v>2010</v>
      </c>
      <c r="V796">
        <v>2023</v>
      </c>
      <c r="W796">
        <v>0</v>
      </c>
      <c r="X796">
        <v>0</v>
      </c>
      <c r="Y796">
        <v>1304</v>
      </c>
      <c r="Z796">
        <v>311</v>
      </c>
      <c r="AA796" s="475" t="s">
        <v>23</v>
      </c>
    </row>
    <row r="797" spans="1:27" ht="15" hidden="1">
      <c r="A797" s="24">
        <f t="shared" si="60"/>
        <v>1796</v>
      </c>
      <c r="B797" s="24">
        <f t="shared" si="60"/>
        <v>1796</v>
      </c>
      <c r="C797" s="469" t="s">
        <v>1191</v>
      </c>
      <c r="D797" t="s">
        <v>146</v>
      </c>
      <c r="E797" s="470">
        <v>1</v>
      </c>
      <c r="F797" s="471">
        <v>0</v>
      </c>
      <c r="G797">
        <v>1</v>
      </c>
      <c r="H797">
        <v>1</v>
      </c>
      <c r="I797" s="472">
        <f t="shared" si="58"/>
        <v>0.32845968612834514</v>
      </c>
      <c r="J797" s="153">
        <v>3.8473756479098807E-2</v>
      </c>
      <c r="K797" s="153">
        <v>0.39358026214566905</v>
      </c>
      <c r="L797" s="153">
        <v>0.53857526864315253</v>
      </c>
      <c r="M797" s="153">
        <v>0.3432094572454602</v>
      </c>
      <c r="N797" s="472">
        <f t="shared" si="59"/>
        <v>0.32845968612834514</v>
      </c>
      <c r="O797" s="153">
        <v>3.8473756479098807E-2</v>
      </c>
      <c r="P797" s="153">
        <v>0.39358026214566905</v>
      </c>
      <c r="Q797" s="153">
        <v>0.53857526864315253</v>
      </c>
      <c r="R797" s="153">
        <v>0.3432094572454602</v>
      </c>
      <c r="S797" s="153">
        <v>0.03</v>
      </c>
      <c r="T797" s="153">
        <v>0</v>
      </c>
      <c r="U797" s="474">
        <v>1900</v>
      </c>
      <c r="V797">
        <v>2030</v>
      </c>
      <c r="W797">
        <v>0</v>
      </c>
      <c r="X797">
        <v>0</v>
      </c>
      <c r="Y797">
        <v>1304</v>
      </c>
      <c r="Z797">
        <v>311</v>
      </c>
      <c r="AA797" s="475" t="s">
        <v>23</v>
      </c>
    </row>
    <row r="798" spans="1:27" ht="15" hidden="1">
      <c r="A798" s="24">
        <f t="shared" ref="A798:B817" si="64">1000+ROW()-1</f>
        <v>1797</v>
      </c>
      <c r="B798" s="24">
        <f t="shared" si="64"/>
        <v>1797</v>
      </c>
      <c r="C798" s="476" t="s">
        <v>1192</v>
      </c>
      <c r="D798" t="s">
        <v>152</v>
      </c>
      <c r="E798" s="477">
        <v>3</v>
      </c>
      <c r="F798" s="471">
        <v>4.2</v>
      </c>
      <c r="G798">
        <v>1</v>
      </c>
      <c r="H798">
        <v>1</v>
      </c>
      <c r="I798" s="472">
        <f t="shared" si="58"/>
        <v>0.47039166666666665</v>
      </c>
      <c r="J798" s="473">
        <v>0.36503333333333332</v>
      </c>
      <c r="K798" s="473">
        <v>0.44336666666666663</v>
      </c>
      <c r="L798" s="473">
        <v>0.58906666666666663</v>
      </c>
      <c r="M798" s="473">
        <v>0.48410000000000003</v>
      </c>
      <c r="N798" s="472">
        <f t="shared" si="59"/>
        <v>0.47039166666666665</v>
      </c>
      <c r="O798" s="473">
        <v>0.36503333333333332</v>
      </c>
      <c r="P798" s="473">
        <v>0.44336666666666663</v>
      </c>
      <c r="Q798" s="473">
        <v>0.58906666666666663</v>
      </c>
      <c r="R798" s="473">
        <v>0.48410000000000003</v>
      </c>
      <c r="S798" s="153">
        <v>0.01</v>
      </c>
      <c r="T798" s="153">
        <v>0.02</v>
      </c>
      <c r="U798" s="478">
        <v>2016</v>
      </c>
      <c r="V798" s="24">
        <f t="shared" ref="V798:V810" si="65">U798+20</f>
        <v>2036</v>
      </c>
      <c r="W798">
        <v>0</v>
      </c>
      <c r="X798">
        <v>0</v>
      </c>
      <c r="Y798">
        <v>1315</v>
      </c>
      <c r="Z798">
        <v>361</v>
      </c>
      <c r="AA798" s="475" t="s">
        <v>24</v>
      </c>
    </row>
    <row r="799" spans="1:27" ht="15" hidden="1">
      <c r="A799" s="24">
        <f t="shared" si="64"/>
        <v>1798</v>
      </c>
      <c r="B799" s="24">
        <f t="shared" si="64"/>
        <v>1798</v>
      </c>
      <c r="C799" s="476" t="s">
        <v>1193</v>
      </c>
      <c r="D799" t="s">
        <v>152</v>
      </c>
      <c r="E799" s="477">
        <v>3</v>
      </c>
      <c r="F799" s="471">
        <v>4.2</v>
      </c>
      <c r="G799">
        <v>1</v>
      </c>
      <c r="H799">
        <v>1</v>
      </c>
      <c r="I799" s="472">
        <f t="shared" si="58"/>
        <v>0.47039166666666665</v>
      </c>
      <c r="J799" s="473">
        <v>0.36503333333333332</v>
      </c>
      <c r="K799" s="473">
        <v>0.44336666666666663</v>
      </c>
      <c r="L799" s="473">
        <v>0.58906666666666663</v>
      </c>
      <c r="M799" s="473">
        <v>0.48410000000000003</v>
      </c>
      <c r="N799" s="472">
        <f t="shared" si="59"/>
        <v>0.47039166666666665</v>
      </c>
      <c r="O799" s="473">
        <v>0.36503333333333332</v>
      </c>
      <c r="P799" s="473">
        <v>0.44336666666666663</v>
      </c>
      <c r="Q799" s="473">
        <v>0.58906666666666663</v>
      </c>
      <c r="R799" s="473">
        <v>0.48410000000000003</v>
      </c>
      <c r="S799" s="153">
        <v>0.01</v>
      </c>
      <c r="T799" s="153">
        <v>0.02</v>
      </c>
      <c r="U799" s="478">
        <v>2016</v>
      </c>
      <c r="V799" s="24">
        <f t="shared" si="65"/>
        <v>2036</v>
      </c>
      <c r="W799">
        <v>0</v>
      </c>
      <c r="X799">
        <v>0</v>
      </c>
      <c r="Y799">
        <v>1315</v>
      </c>
      <c r="Z799">
        <v>361</v>
      </c>
      <c r="AA799" s="475" t="s">
        <v>24</v>
      </c>
    </row>
    <row r="800" spans="1:27" ht="15" hidden="1">
      <c r="A800" s="24">
        <f t="shared" si="64"/>
        <v>1799</v>
      </c>
      <c r="B800" s="24">
        <f t="shared" si="64"/>
        <v>1799</v>
      </c>
      <c r="C800" s="476" t="s">
        <v>1194</v>
      </c>
      <c r="D800" t="s">
        <v>152</v>
      </c>
      <c r="E800" s="477">
        <v>3</v>
      </c>
      <c r="F800" s="471">
        <v>2.1</v>
      </c>
      <c r="G800">
        <v>1</v>
      </c>
      <c r="H800">
        <v>1</v>
      </c>
      <c r="I800" s="472">
        <f t="shared" si="58"/>
        <v>0.47039166666666665</v>
      </c>
      <c r="J800" s="473">
        <v>0.36503333333333332</v>
      </c>
      <c r="K800" s="473">
        <v>0.44336666666666663</v>
      </c>
      <c r="L800" s="473">
        <v>0.58906666666666663</v>
      </c>
      <c r="M800" s="473">
        <v>0.48410000000000003</v>
      </c>
      <c r="N800" s="472">
        <f t="shared" si="59"/>
        <v>0.47039166666666665</v>
      </c>
      <c r="O800" s="473">
        <v>0.36503333333333332</v>
      </c>
      <c r="P800" s="473">
        <v>0.44336666666666663</v>
      </c>
      <c r="Q800" s="473">
        <v>0.58906666666666663</v>
      </c>
      <c r="R800" s="473">
        <v>0.48410000000000003</v>
      </c>
      <c r="S800" s="153">
        <v>0.01</v>
      </c>
      <c r="T800" s="153">
        <v>0.02</v>
      </c>
      <c r="U800" s="478">
        <v>2016</v>
      </c>
      <c r="V800" s="24">
        <f t="shared" si="65"/>
        <v>2036</v>
      </c>
      <c r="W800">
        <v>0</v>
      </c>
      <c r="X800">
        <v>0</v>
      </c>
      <c r="Y800">
        <v>1315</v>
      </c>
      <c r="Z800">
        <v>361</v>
      </c>
      <c r="AA800" s="475" t="s">
        <v>24</v>
      </c>
    </row>
    <row r="801" spans="1:27" ht="15" hidden="1">
      <c r="A801" s="24">
        <f t="shared" si="64"/>
        <v>1800</v>
      </c>
      <c r="B801" s="24">
        <f t="shared" si="64"/>
        <v>1800</v>
      </c>
      <c r="C801" s="476" t="s">
        <v>1195</v>
      </c>
      <c r="D801" t="s">
        <v>152</v>
      </c>
      <c r="E801" s="477">
        <v>3</v>
      </c>
      <c r="F801" s="471">
        <v>2.1</v>
      </c>
      <c r="G801">
        <v>1</v>
      </c>
      <c r="H801">
        <v>1</v>
      </c>
      <c r="I801" s="472">
        <f t="shared" si="58"/>
        <v>0.47039166666666665</v>
      </c>
      <c r="J801" s="473">
        <v>0.36503333333333332</v>
      </c>
      <c r="K801" s="473">
        <v>0.44336666666666663</v>
      </c>
      <c r="L801" s="473">
        <v>0.58906666666666663</v>
      </c>
      <c r="M801" s="473">
        <v>0.48410000000000003</v>
      </c>
      <c r="N801" s="472">
        <f t="shared" si="59"/>
        <v>0.47039166666666665</v>
      </c>
      <c r="O801" s="473">
        <v>0.36503333333333332</v>
      </c>
      <c r="P801" s="473">
        <v>0.44336666666666663</v>
      </c>
      <c r="Q801" s="473">
        <v>0.58906666666666663</v>
      </c>
      <c r="R801" s="473">
        <v>0.48410000000000003</v>
      </c>
      <c r="S801" s="153">
        <v>0.01</v>
      </c>
      <c r="T801" s="153">
        <v>0.02</v>
      </c>
      <c r="U801" s="478">
        <v>2016</v>
      </c>
      <c r="V801" s="24">
        <f t="shared" si="65"/>
        <v>2036</v>
      </c>
      <c r="W801">
        <v>0</v>
      </c>
      <c r="X801">
        <v>0</v>
      </c>
      <c r="Y801">
        <v>1315</v>
      </c>
      <c r="Z801">
        <v>361</v>
      </c>
      <c r="AA801" s="475" t="s">
        <v>24</v>
      </c>
    </row>
    <row r="802" spans="1:27" ht="15" hidden="1">
      <c r="A802" s="24">
        <f t="shared" si="64"/>
        <v>1801</v>
      </c>
      <c r="B802" s="24">
        <f t="shared" si="64"/>
        <v>1801</v>
      </c>
      <c r="C802" s="476" t="s">
        <v>1196</v>
      </c>
      <c r="D802" t="s">
        <v>152</v>
      </c>
      <c r="E802" s="477">
        <v>3</v>
      </c>
      <c r="F802" s="471">
        <v>2.1</v>
      </c>
      <c r="G802">
        <v>1</v>
      </c>
      <c r="H802">
        <v>1</v>
      </c>
      <c r="I802" s="472">
        <f t="shared" si="58"/>
        <v>0.47039166666666665</v>
      </c>
      <c r="J802" s="473">
        <v>0.36503333333333332</v>
      </c>
      <c r="K802" s="473">
        <v>0.44336666666666663</v>
      </c>
      <c r="L802" s="473">
        <v>0.58906666666666663</v>
      </c>
      <c r="M802" s="473">
        <v>0.48410000000000003</v>
      </c>
      <c r="N802" s="472">
        <f t="shared" si="59"/>
        <v>0.47039166666666665</v>
      </c>
      <c r="O802" s="473">
        <v>0.36503333333333332</v>
      </c>
      <c r="P802" s="473">
        <v>0.44336666666666663</v>
      </c>
      <c r="Q802" s="473">
        <v>0.58906666666666663</v>
      </c>
      <c r="R802" s="473">
        <v>0.48410000000000003</v>
      </c>
      <c r="S802" s="153">
        <v>0.01</v>
      </c>
      <c r="T802" s="153">
        <v>0.02</v>
      </c>
      <c r="U802" s="478">
        <v>2016</v>
      </c>
      <c r="V802" s="24">
        <f t="shared" si="65"/>
        <v>2036</v>
      </c>
      <c r="W802">
        <v>0</v>
      </c>
      <c r="X802">
        <v>0</v>
      </c>
      <c r="Y802">
        <v>1315</v>
      </c>
      <c r="Z802">
        <v>361</v>
      </c>
      <c r="AA802" s="475" t="s">
        <v>24</v>
      </c>
    </row>
    <row r="803" spans="1:27" ht="15" hidden="1">
      <c r="A803" s="24">
        <f t="shared" si="64"/>
        <v>1802</v>
      </c>
      <c r="B803" s="24">
        <f t="shared" si="64"/>
        <v>1802</v>
      </c>
      <c r="C803" s="476" t="s">
        <v>1197</v>
      </c>
      <c r="D803" t="s">
        <v>152</v>
      </c>
      <c r="E803" s="477">
        <v>3</v>
      </c>
      <c r="F803" s="471">
        <v>6.3</v>
      </c>
      <c r="G803">
        <v>1</v>
      </c>
      <c r="H803">
        <v>1</v>
      </c>
      <c r="I803" s="472">
        <f t="shared" si="58"/>
        <v>0.47039166666666665</v>
      </c>
      <c r="J803" s="473">
        <v>0.36503333333333332</v>
      </c>
      <c r="K803" s="473">
        <v>0.44336666666666663</v>
      </c>
      <c r="L803" s="473">
        <v>0.58906666666666663</v>
      </c>
      <c r="M803" s="473">
        <v>0.48410000000000003</v>
      </c>
      <c r="N803" s="472">
        <f t="shared" si="59"/>
        <v>0.47039166666666665</v>
      </c>
      <c r="O803" s="473">
        <v>0.36503333333333332</v>
      </c>
      <c r="P803" s="473">
        <v>0.44336666666666663</v>
      </c>
      <c r="Q803" s="473">
        <v>0.58906666666666663</v>
      </c>
      <c r="R803" s="473">
        <v>0.48410000000000003</v>
      </c>
      <c r="S803" s="153">
        <v>0.01</v>
      </c>
      <c r="T803" s="153">
        <v>0.02</v>
      </c>
      <c r="U803" s="478">
        <v>2016</v>
      </c>
      <c r="V803" s="24">
        <f t="shared" si="65"/>
        <v>2036</v>
      </c>
      <c r="W803">
        <v>0</v>
      </c>
      <c r="X803">
        <v>0</v>
      </c>
      <c r="Y803">
        <v>1315</v>
      </c>
      <c r="Z803">
        <v>361</v>
      </c>
      <c r="AA803" s="475" t="s">
        <v>24</v>
      </c>
    </row>
    <row r="804" spans="1:27" ht="15" hidden="1">
      <c r="A804" s="24">
        <f t="shared" si="64"/>
        <v>1803</v>
      </c>
      <c r="B804" s="24">
        <f t="shared" si="64"/>
        <v>1803</v>
      </c>
      <c r="C804" s="476" t="s">
        <v>1198</v>
      </c>
      <c r="D804" t="s">
        <v>152</v>
      </c>
      <c r="E804" s="477">
        <v>3</v>
      </c>
      <c r="F804" s="471">
        <v>8.4</v>
      </c>
      <c r="G804">
        <v>1</v>
      </c>
      <c r="H804">
        <v>1</v>
      </c>
      <c r="I804" s="472">
        <f t="shared" si="58"/>
        <v>0.47039166666666665</v>
      </c>
      <c r="J804" s="473">
        <v>0.36503333333333332</v>
      </c>
      <c r="K804" s="473">
        <v>0.44336666666666663</v>
      </c>
      <c r="L804" s="473">
        <v>0.58906666666666663</v>
      </c>
      <c r="M804" s="473">
        <v>0.48410000000000003</v>
      </c>
      <c r="N804" s="472">
        <f t="shared" si="59"/>
        <v>0.47039166666666665</v>
      </c>
      <c r="O804" s="473">
        <v>0.36503333333333332</v>
      </c>
      <c r="P804" s="473">
        <v>0.44336666666666663</v>
      </c>
      <c r="Q804" s="473">
        <v>0.58906666666666663</v>
      </c>
      <c r="R804" s="473">
        <v>0.48410000000000003</v>
      </c>
      <c r="S804" s="153">
        <v>0.01</v>
      </c>
      <c r="T804" s="153">
        <v>0.02</v>
      </c>
      <c r="U804" s="478">
        <v>2016</v>
      </c>
      <c r="V804" s="24">
        <f t="shared" si="65"/>
        <v>2036</v>
      </c>
      <c r="W804">
        <v>0</v>
      </c>
      <c r="X804">
        <v>0</v>
      </c>
      <c r="Y804">
        <v>1315</v>
      </c>
      <c r="Z804">
        <v>361</v>
      </c>
      <c r="AA804" s="475" t="s">
        <v>24</v>
      </c>
    </row>
    <row r="805" spans="1:27" ht="15" hidden="1">
      <c r="A805" s="24">
        <f t="shared" si="64"/>
        <v>1804</v>
      </c>
      <c r="B805" s="24">
        <f t="shared" si="64"/>
        <v>1804</v>
      </c>
      <c r="C805" s="476" t="s">
        <v>1199</v>
      </c>
      <c r="D805" t="s">
        <v>152</v>
      </c>
      <c r="E805" s="477">
        <v>3</v>
      </c>
      <c r="F805" s="471">
        <v>8.4</v>
      </c>
      <c r="G805">
        <v>1</v>
      </c>
      <c r="H805">
        <v>1</v>
      </c>
      <c r="I805" s="472">
        <f t="shared" si="58"/>
        <v>0.47039166666666665</v>
      </c>
      <c r="J805" s="473">
        <v>0.36503333333333332</v>
      </c>
      <c r="K805" s="473">
        <v>0.44336666666666663</v>
      </c>
      <c r="L805" s="473">
        <v>0.58906666666666663</v>
      </c>
      <c r="M805" s="473">
        <v>0.48410000000000003</v>
      </c>
      <c r="N805" s="472">
        <f t="shared" si="59"/>
        <v>0.47039166666666665</v>
      </c>
      <c r="O805" s="473">
        <v>0.36503333333333332</v>
      </c>
      <c r="P805" s="473">
        <v>0.44336666666666663</v>
      </c>
      <c r="Q805" s="473">
        <v>0.58906666666666663</v>
      </c>
      <c r="R805" s="473">
        <v>0.48410000000000003</v>
      </c>
      <c r="S805" s="153">
        <v>0.01</v>
      </c>
      <c r="T805" s="153">
        <v>0.02</v>
      </c>
      <c r="U805" s="478">
        <v>2016</v>
      </c>
      <c r="V805" s="24">
        <f t="shared" si="65"/>
        <v>2036</v>
      </c>
      <c r="W805">
        <v>0</v>
      </c>
      <c r="X805">
        <v>0</v>
      </c>
      <c r="Y805">
        <v>1315</v>
      </c>
      <c r="Z805">
        <v>361</v>
      </c>
      <c r="AA805" s="475" t="s">
        <v>24</v>
      </c>
    </row>
    <row r="806" spans="1:27" ht="15" hidden="1">
      <c r="A806" s="24">
        <f t="shared" si="64"/>
        <v>1805</v>
      </c>
      <c r="B806" s="24">
        <f t="shared" si="64"/>
        <v>1805</v>
      </c>
      <c r="C806" s="476" t="s">
        <v>1200</v>
      </c>
      <c r="D806" t="s">
        <v>152</v>
      </c>
      <c r="E806" s="477">
        <v>3</v>
      </c>
      <c r="F806" s="471">
        <v>6.3000000000000007</v>
      </c>
      <c r="G806">
        <v>1</v>
      </c>
      <c r="H806">
        <v>1</v>
      </c>
      <c r="I806" s="472">
        <f t="shared" si="58"/>
        <v>0.47039166666666665</v>
      </c>
      <c r="J806" s="473">
        <v>0.36503333333333332</v>
      </c>
      <c r="K806" s="473">
        <v>0.44336666666666663</v>
      </c>
      <c r="L806" s="473">
        <v>0.58906666666666663</v>
      </c>
      <c r="M806" s="473">
        <v>0.48410000000000003</v>
      </c>
      <c r="N806" s="472">
        <f t="shared" si="59"/>
        <v>0.47039166666666665</v>
      </c>
      <c r="O806" s="473">
        <v>0.36503333333333332</v>
      </c>
      <c r="P806" s="473">
        <v>0.44336666666666663</v>
      </c>
      <c r="Q806" s="473">
        <v>0.58906666666666663</v>
      </c>
      <c r="R806" s="473">
        <v>0.48410000000000003</v>
      </c>
      <c r="S806" s="153">
        <v>0.01</v>
      </c>
      <c r="T806" s="153">
        <v>0.02</v>
      </c>
      <c r="U806" s="478">
        <v>2016</v>
      </c>
      <c r="V806" s="24">
        <f t="shared" si="65"/>
        <v>2036</v>
      </c>
      <c r="W806">
        <v>0</v>
      </c>
      <c r="X806">
        <v>0</v>
      </c>
      <c r="Y806">
        <v>1315</v>
      </c>
      <c r="Z806">
        <v>361</v>
      </c>
      <c r="AA806" s="475" t="s">
        <v>24</v>
      </c>
    </row>
    <row r="807" spans="1:27" ht="15" hidden="1">
      <c r="A807" s="24">
        <f t="shared" si="64"/>
        <v>1806</v>
      </c>
      <c r="B807" s="24">
        <f t="shared" si="64"/>
        <v>1806</v>
      </c>
      <c r="C807" s="476" t="s">
        <v>1201</v>
      </c>
      <c r="D807" t="s">
        <v>152</v>
      </c>
      <c r="E807" s="477">
        <v>3</v>
      </c>
      <c r="F807" s="471">
        <v>28</v>
      </c>
      <c r="G807">
        <v>1</v>
      </c>
      <c r="H807">
        <v>1</v>
      </c>
      <c r="I807" s="472">
        <f t="shared" si="58"/>
        <v>0.26420000000000005</v>
      </c>
      <c r="J807" s="33">
        <v>0.29123333333333334</v>
      </c>
      <c r="K807" s="33">
        <f>0.296266666666667-0.07</f>
        <v>0.226266666666667</v>
      </c>
      <c r="L807" s="33">
        <f>0.3193-0.07</f>
        <v>0.24929999999999997</v>
      </c>
      <c r="M807" s="33">
        <v>0.28999999999999998</v>
      </c>
      <c r="N807" s="472">
        <f t="shared" si="59"/>
        <v>0.26420000000000005</v>
      </c>
      <c r="O807" s="33">
        <v>0.29123333333333334</v>
      </c>
      <c r="P807" s="33">
        <f>0.296266666666667-0.07</f>
        <v>0.226266666666667</v>
      </c>
      <c r="Q807" s="33">
        <f>0.3193-0.07</f>
        <v>0.24929999999999997</v>
      </c>
      <c r="R807" s="33">
        <v>0.28999999999999998</v>
      </c>
      <c r="S807" s="153">
        <v>0.04</v>
      </c>
      <c r="T807" s="153">
        <v>0</v>
      </c>
      <c r="U807" s="478">
        <v>2017</v>
      </c>
      <c r="V807" s="24">
        <f t="shared" si="65"/>
        <v>2037</v>
      </c>
      <c r="W807">
        <v>0</v>
      </c>
      <c r="X807">
        <v>0</v>
      </c>
      <c r="Y807">
        <v>1315</v>
      </c>
      <c r="Z807">
        <v>347</v>
      </c>
      <c r="AA807" s="475" t="s">
        <v>25</v>
      </c>
    </row>
    <row r="808" spans="1:27" ht="15" hidden="1">
      <c r="A808" s="24">
        <f t="shared" si="64"/>
        <v>1807</v>
      </c>
      <c r="B808" s="24">
        <f t="shared" si="64"/>
        <v>1807</v>
      </c>
      <c r="C808" s="476" t="s">
        <v>1202</v>
      </c>
      <c r="D808" t="s">
        <v>152</v>
      </c>
      <c r="E808" s="477">
        <v>3</v>
      </c>
      <c r="F808" s="471">
        <v>28</v>
      </c>
      <c r="G808">
        <v>1</v>
      </c>
      <c r="H808">
        <v>1</v>
      </c>
      <c r="I808" s="472">
        <f t="shared" si="58"/>
        <v>0.26420000000000005</v>
      </c>
      <c r="J808" s="33">
        <v>0.29123333333333334</v>
      </c>
      <c r="K808" s="33">
        <f>0.296266666666667-0.07</f>
        <v>0.226266666666667</v>
      </c>
      <c r="L808" s="33">
        <f>0.3193-0.07</f>
        <v>0.24929999999999997</v>
      </c>
      <c r="M808" s="33">
        <v>0.28999999999999998</v>
      </c>
      <c r="N808" s="472">
        <f t="shared" si="59"/>
        <v>0.26420000000000005</v>
      </c>
      <c r="O808" s="33">
        <v>0.29123333333333334</v>
      </c>
      <c r="P808" s="33">
        <f>0.296266666666667-0.07</f>
        <v>0.226266666666667</v>
      </c>
      <c r="Q808" s="33">
        <f>0.3193-0.07</f>
        <v>0.24929999999999997</v>
      </c>
      <c r="R808" s="33">
        <v>0.28999999999999998</v>
      </c>
      <c r="S808" s="153">
        <v>0.04</v>
      </c>
      <c r="T808" s="153">
        <v>0</v>
      </c>
      <c r="U808" s="478">
        <v>2017</v>
      </c>
      <c r="V808" s="24">
        <f t="shared" si="65"/>
        <v>2037</v>
      </c>
      <c r="W808">
        <v>0</v>
      </c>
      <c r="X808">
        <v>0</v>
      </c>
      <c r="Y808">
        <v>1315</v>
      </c>
      <c r="Z808">
        <v>347</v>
      </c>
      <c r="AA808" s="475" t="s">
        <v>25</v>
      </c>
    </row>
    <row r="809" spans="1:27" ht="15" hidden="1">
      <c r="A809" s="24">
        <f t="shared" si="64"/>
        <v>1808</v>
      </c>
      <c r="B809" s="24">
        <f t="shared" si="64"/>
        <v>1808</v>
      </c>
      <c r="C809" s="476" t="s">
        <v>1203</v>
      </c>
      <c r="D809" t="s">
        <v>152</v>
      </c>
      <c r="E809" s="477">
        <v>3</v>
      </c>
      <c r="F809" s="471">
        <v>28</v>
      </c>
      <c r="G809">
        <v>1</v>
      </c>
      <c r="H809">
        <v>1</v>
      </c>
      <c r="I809" s="472">
        <f t="shared" si="58"/>
        <v>0.26420000000000005</v>
      </c>
      <c r="J809" s="33">
        <v>0.29123333333333334</v>
      </c>
      <c r="K809" s="33">
        <f>0.296266666666667-0.07</f>
        <v>0.226266666666667</v>
      </c>
      <c r="L809" s="33">
        <f>0.3193-0.07</f>
        <v>0.24929999999999997</v>
      </c>
      <c r="M809" s="33">
        <v>0.28999999999999998</v>
      </c>
      <c r="N809" s="472">
        <f t="shared" si="59"/>
        <v>0.26420000000000005</v>
      </c>
      <c r="O809" s="33">
        <v>0.29123333333333334</v>
      </c>
      <c r="P809" s="33">
        <f>0.296266666666667-0.07</f>
        <v>0.226266666666667</v>
      </c>
      <c r="Q809" s="33">
        <f>0.3193-0.07</f>
        <v>0.24929999999999997</v>
      </c>
      <c r="R809" s="33">
        <v>0.28999999999999998</v>
      </c>
      <c r="S809" s="153">
        <v>0.04</v>
      </c>
      <c r="T809" s="153">
        <v>0</v>
      </c>
      <c r="U809" s="478">
        <v>2017</v>
      </c>
      <c r="V809" s="24">
        <f t="shared" si="65"/>
        <v>2037</v>
      </c>
      <c r="W809">
        <v>0</v>
      </c>
      <c r="X809">
        <v>0</v>
      </c>
      <c r="Y809">
        <v>1315</v>
      </c>
      <c r="Z809">
        <v>347</v>
      </c>
      <c r="AA809" s="475" t="s">
        <v>25</v>
      </c>
    </row>
    <row r="810" spans="1:27" ht="15" hidden="1">
      <c r="A810" s="24">
        <f t="shared" si="64"/>
        <v>1809</v>
      </c>
      <c r="B810" s="24">
        <f t="shared" si="64"/>
        <v>1809</v>
      </c>
      <c r="C810" s="476" t="s">
        <v>1204</v>
      </c>
      <c r="D810" t="s">
        <v>152</v>
      </c>
      <c r="E810" s="477">
        <v>3</v>
      </c>
      <c r="F810" s="471">
        <v>28</v>
      </c>
      <c r="G810">
        <v>1</v>
      </c>
      <c r="H810">
        <v>1</v>
      </c>
      <c r="I810" s="472">
        <f t="shared" si="58"/>
        <v>0.26420000000000005</v>
      </c>
      <c r="J810" s="33">
        <v>0.29123333333333334</v>
      </c>
      <c r="K810" s="33">
        <f>0.296266666666667-0.07</f>
        <v>0.226266666666667</v>
      </c>
      <c r="L810" s="33">
        <f>0.3193-0.07</f>
        <v>0.24929999999999997</v>
      </c>
      <c r="M810" s="33">
        <v>0.28999999999999998</v>
      </c>
      <c r="N810" s="472">
        <f t="shared" si="59"/>
        <v>0.26420000000000005</v>
      </c>
      <c r="O810" s="33">
        <v>0.29123333333333334</v>
      </c>
      <c r="P810" s="33">
        <f>0.296266666666667-0.07</f>
        <v>0.226266666666667</v>
      </c>
      <c r="Q810" s="33">
        <f>0.3193-0.07</f>
        <v>0.24929999999999997</v>
      </c>
      <c r="R810" s="33">
        <v>0.28999999999999998</v>
      </c>
      <c r="S810" s="153">
        <v>0.04</v>
      </c>
      <c r="T810" s="153">
        <v>0</v>
      </c>
      <c r="U810" s="478">
        <v>2017</v>
      </c>
      <c r="V810" s="24">
        <f t="shared" si="65"/>
        <v>2037</v>
      </c>
      <c r="W810">
        <v>0</v>
      </c>
      <c r="X810">
        <v>0</v>
      </c>
      <c r="Y810">
        <v>1315</v>
      </c>
      <c r="Z810">
        <v>347</v>
      </c>
      <c r="AA810" s="475" t="s">
        <v>25</v>
      </c>
    </row>
    <row r="811" spans="1:27" ht="15" hidden="1">
      <c r="A811" s="24">
        <f t="shared" si="64"/>
        <v>1810</v>
      </c>
      <c r="B811" s="24">
        <f t="shared" si="64"/>
        <v>1810</v>
      </c>
      <c r="C811" s="469" t="s">
        <v>1205</v>
      </c>
      <c r="D811" t="s">
        <v>146</v>
      </c>
      <c r="E811" s="470">
        <v>1</v>
      </c>
      <c r="F811" s="471">
        <v>82</v>
      </c>
      <c r="G811">
        <v>1</v>
      </c>
      <c r="H811">
        <v>1</v>
      </c>
      <c r="I811" s="472">
        <f t="shared" si="58"/>
        <v>0.32845968612834514</v>
      </c>
      <c r="J811" s="153">
        <v>3.8473756479098807E-2</v>
      </c>
      <c r="K811" s="153">
        <v>0.39358026214566905</v>
      </c>
      <c r="L811" s="153">
        <v>0.53857526864315253</v>
      </c>
      <c r="M811" s="153">
        <v>0.3432094572454602</v>
      </c>
      <c r="N811" s="472">
        <f t="shared" si="59"/>
        <v>0.32845968612834514</v>
      </c>
      <c r="O811" s="153">
        <v>3.8473756479098807E-2</v>
      </c>
      <c r="P811" s="153">
        <v>0.39358026214566905</v>
      </c>
      <c r="Q811" s="153">
        <v>0.53857526864315253</v>
      </c>
      <c r="R811" s="153">
        <v>0.3432094572454602</v>
      </c>
      <c r="S811" s="153">
        <v>0.03</v>
      </c>
      <c r="T811" s="153">
        <v>0</v>
      </c>
      <c r="U811" s="474">
        <v>2010</v>
      </c>
      <c r="V811">
        <v>2023</v>
      </c>
      <c r="W811">
        <v>0</v>
      </c>
      <c r="X811">
        <v>0</v>
      </c>
      <c r="Y811">
        <v>1304</v>
      </c>
      <c r="Z811">
        <v>311</v>
      </c>
      <c r="AA811" s="475" t="s">
        <v>23</v>
      </c>
    </row>
    <row r="812" spans="1:27" ht="15" hidden="1">
      <c r="A812" s="24">
        <f t="shared" si="64"/>
        <v>1811</v>
      </c>
      <c r="B812" s="24">
        <f t="shared" si="64"/>
        <v>1811</v>
      </c>
      <c r="C812" s="476" t="s">
        <v>1206</v>
      </c>
      <c r="D812" t="s">
        <v>152</v>
      </c>
      <c r="E812" s="477">
        <v>3</v>
      </c>
      <c r="F812" s="471">
        <v>2.0999999999999961</v>
      </c>
      <c r="G812">
        <v>1</v>
      </c>
      <c r="H812">
        <v>1</v>
      </c>
      <c r="I812" s="472">
        <f t="shared" si="58"/>
        <v>0.47039166666666665</v>
      </c>
      <c r="J812" s="473">
        <v>0.36503333333333332</v>
      </c>
      <c r="K812" s="473">
        <v>0.44336666666666663</v>
      </c>
      <c r="L812" s="473">
        <v>0.58906666666666663</v>
      </c>
      <c r="M812" s="473">
        <v>0.48410000000000003</v>
      </c>
      <c r="N812" s="472">
        <f t="shared" si="59"/>
        <v>0.47039166666666665</v>
      </c>
      <c r="O812" s="473">
        <v>0.36503333333333332</v>
      </c>
      <c r="P812" s="473">
        <v>0.44336666666666663</v>
      </c>
      <c r="Q812" s="473">
        <v>0.58906666666666663</v>
      </c>
      <c r="R812" s="473">
        <v>0.48410000000000003</v>
      </c>
      <c r="S812" s="153">
        <v>0.01</v>
      </c>
      <c r="T812" s="153">
        <v>0.02</v>
      </c>
      <c r="U812" s="478">
        <v>2016</v>
      </c>
      <c r="V812" s="24">
        <f>U812+20</f>
        <v>2036</v>
      </c>
      <c r="W812">
        <v>0</v>
      </c>
      <c r="X812">
        <v>0</v>
      </c>
      <c r="Y812">
        <v>1315</v>
      </c>
      <c r="Z812">
        <v>361</v>
      </c>
      <c r="AA812" s="475" t="s">
        <v>24</v>
      </c>
    </row>
    <row r="813" spans="1:27" ht="15" hidden="1">
      <c r="A813" s="24">
        <f t="shared" si="64"/>
        <v>1812</v>
      </c>
      <c r="B813" s="24">
        <f t="shared" si="64"/>
        <v>1812</v>
      </c>
      <c r="C813" s="469" t="s">
        <v>1207</v>
      </c>
      <c r="D813" t="s">
        <v>146</v>
      </c>
      <c r="E813" s="470">
        <v>1</v>
      </c>
      <c r="F813" s="471">
        <v>0</v>
      </c>
      <c r="G813">
        <v>1</v>
      </c>
      <c r="H813">
        <v>1</v>
      </c>
      <c r="I813" s="472">
        <f t="shared" si="58"/>
        <v>0.32845968612834514</v>
      </c>
      <c r="J813" s="153">
        <v>3.8473756479098807E-2</v>
      </c>
      <c r="K813" s="153">
        <v>0.39358026214566905</v>
      </c>
      <c r="L813" s="153">
        <v>0.53857526864315253</v>
      </c>
      <c r="M813" s="153">
        <v>0.3432094572454602</v>
      </c>
      <c r="N813" s="472">
        <f t="shared" si="59"/>
        <v>0.32845968612834514</v>
      </c>
      <c r="O813" s="153">
        <v>3.8473756479098807E-2</v>
      </c>
      <c r="P813" s="153">
        <v>0.39358026214566905</v>
      </c>
      <c r="Q813" s="153">
        <v>0.53857526864315253</v>
      </c>
      <c r="R813" s="153">
        <v>0.3432094572454602</v>
      </c>
      <c r="S813" s="153">
        <v>0.03</v>
      </c>
      <c r="T813" s="153">
        <v>0</v>
      </c>
      <c r="U813" s="474">
        <v>1900</v>
      </c>
      <c r="V813">
        <v>2030</v>
      </c>
      <c r="W813">
        <v>0</v>
      </c>
      <c r="X813">
        <v>0</v>
      </c>
      <c r="Y813">
        <v>1304</v>
      </c>
      <c r="Z813">
        <v>311</v>
      </c>
      <c r="AA813" s="475" t="s">
        <v>23</v>
      </c>
    </row>
    <row r="814" spans="1:27" ht="15" hidden="1">
      <c r="A814" s="24">
        <f t="shared" si="64"/>
        <v>1813</v>
      </c>
      <c r="B814" s="24">
        <f t="shared" si="64"/>
        <v>1813</v>
      </c>
      <c r="C814" s="469" t="s">
        <v>1208</v>
      </c>
      <c r="D814" t="s">
        <v>146</v>
      </c>
      <c r="E814" s="470">
        <v>1</v>
      </c>
      <c r="F814" s="471">
        <v>53.181818181818173</v>
      </c>
      <c r="G814">
        <v>1</v>
      </c>
      <c r="H814">
        <v>1</v>
      </c>
      <c r="I814" s="472">
        <f t="shared" si="58"/>
        <v>0.32845968612834514</v>
      </c>
      <c r="J814" s="153">
        <v>3.8473756479098807E-2</v>
      </c>
      <c r="K814" s="153">
        <v>0.39358026214566905</v>
      </c>
      <c r="L814" s="153">
        <v>0.53857526864315253</v>
      </c>
      <c r="M814" s="153">
        <v>0.3432094572454602</v>
      </c>
      <c r="N814" s="472">
        <f t="shared" si="59"/>
        <v>0.32845968612834514</v>
      </c>
      <c r="O814" s="153">
        <v>3.8473756479098807E-2</v>
      </c>
      <c r="P814" s="153">
        <v>0.39358026214566905</v>
      </c>
      <c r="Q814" s="153">
        <v>0.53857526864315253</v>
      </c>
      <c r="R814" s="153">
        <v>0.3432094572454602</v>
      </c>
      <c r="S814" s="153">
        <v>0.03</v>
      </c>
      <c r="T814" s="153">
        <v>0</v>
      </c>
      <c r="U814" s="474">
        <v>2010</v>
      </c>
      <c r="V814">
        <v>2023</v>
      </c>
      <c r="W814">
        <v>0</v>
      </c>
      <c r="X814">
        <v>0</v>
      </c>
      <c r="Y814">
        <v>1304</v>
      </c>
      <c r="Z814">
        <v>311</v>
      </c>
      <c r="AA814" s="475" t="s">
        <v>23</v>
      </c>
    </row>
    <row r="815" spans="1:27" ht="15" hidden="1">
      <c r="A815" s="24">
        <f t="shared" si="64"/>
        <v>1814</v>
      </c>
      <c r="B815" s="24">
        <f t="shared" si="64"/>
        <v>1814</v>
      </c>
      <c r="C815" s="476" t="s">
        <v>1209</v>
      </c>
      <c r="D815" t="s">
        <v>152</v>
      </c>
      <c r="E815" s="477">
        <v>3</v>
      </c>
      <c r="F815" s="471">
        <v>8.4</v>
      </c>
      <c r="G815">
        <v>1</v>
      </c>
      <c r="H815">
        <v>1</v>
      </c>
      <c r="I815" s="472">
        <f t="shared" si="58"/>
        <v>0.47039166666666665</v>
      </c>
      <c r="J815" s="473">
        <v>0.36503333333333332</v>
      </c>
      <c r="K815" s="473">
        <v>0.44336666666666663</v>
      </c>
      <c r="L815" s="473">
        <v>0.58906666666666663</v>
      </c>
      <c r="M815" s="473">
        <v>0.48410000000000003</v>
      </c>
      <c r="N815" s="472">
        <f t="shared" si="59"/>
        <v>0.47039166666666665</v>
      </c>
      <c r="O815" s="473">
        <v>0.36503333333333332</v>
      </c>
      <c r="P815" s="473">
        <v>0.44336666666666663</v>
      </c>
      <c r="Q815" s="473">
        <v>0.58906666666666663</v>
      </c>
      <c r="R815" s="473">
        <v>0.48410000000000003</v>
      </c>
      <c r="S815" s="153">
        <v>0.01</v>
      </c>
      <c r="T815" s="153">
        <v>0.02</v>
      </c>
      <c r="U815" s="478">
        <v>2016</v>
      </c>
      <c r="V815" s="24">
        <f>U815+20</f>
        <v>2036</v>
      </c>
      <c r="W815">
        <v>0</v>
      </c>
      <c r="X815">
        <v>0</v>
      </c>
      <c r="Y815">
        <v>1315</v>
      </c>
      <c r="Z815">
        <v>361</v>
      </c>
      <c r="AA815" s="475" t="s">
        <v>24</v>
      </c>
    </row>
    <row r="816" spans="1:27" ht="15" hidden="1">
      <c r="A816" s="24">
        <f t="shared" si="64"/>
        <v>1815</v>
      </c>
      <c r="B816" s="24">
        <f t="shared" si="64"/>
        <v>1815</v>
      </c>
      <c r="C816" s="469" t="s">
        <v>1210</v>
      </c>
      <c r="D816" t="s">
        <v>146</v>
      </c>
      <c r="E816" s="470">
        <v>1</v>
      </c>
      <c r="F816" s="471">
        <v>76.818181818181827</v>
      </c>
      <c r="G816">
        <v>1</v>
      </c>
      <c r="H816">
        <v>1</v>
      </c>
      <c r="I816" s="472">
        <f t="shared" si="58"/>
        <v>0.32845968612834514</v>
      </c>
      <c r="J816" s="153">
        <v>3.8473756479098807E-2</v>
      </c>
      <c r="K816" s="153">
        <v>0.39358026214566905</v>
      </c>
      <c r="L816" s="153">
        <v>0.53857526864315253</v>
      </c>
      <c r="M816" s="153">
        <v>0.3432094572454602</v>
      </c>
      <c r="N816" s="472">
        <f t="shared" si="59"/>
        <v>0.32845968612834514</v>
      </c>
      <c r="O816" s="153">
        <v>3.8473756479098807E-2</v>
      </c>
      <c r="P816" s="153">
        <v>0.39358026214566905</v>
      </c>
      <c r="Q816" s="153">
        <v>0.53857526864315253</v>
      </c>
      <c r="R816" s="153">
        <v>0.3432094572454602</v>
      </c>
      <c r="S816" s="153">
        <v>0.03</v>
      </c>
      <c r="T816" s="153">
        <v>0</v>
      </c>
      <c r="U816" s="474">
        <v>2010</v>
      </c>
      <c r="V816">
        <v>2023</v>
      </c>
      <c r="W816">
        <v>0</v>
      </c>
      <c r="X816">
        <v>0</v>
      </c>
      <c r="Y816">
        <v>1304</v>
      </c>
      <c r="Z816">
        <v>311</v>
      </c>
      <c r="AA816" s="475" t="s">
        <v>23</v>
      </c>
    </row>
    <row r="817" spans="1:27" ht="15" hidden="1">
      <c r="A817" s="24">
        <f t="shared" si="64"/>
        <v>1816</v>
      </c>
      <c r="B817" s="24">
        <f t="shared" si="64"/>
        <v>1816</v>
      </c>
      <c r="C817" s="476" t="s">
        <v>1211</v>
      </c>
      <c r="D817" t="s">
        <v>152</v>
      </c>
      <c r="E817" s="477">
        <v>3</v>
      </c>
      <c r="F817" s="471">
        <v>6.3</v>
      </c>
      <c r="G817">
        <v>1</v>
      </c>
      <c r="H817">
        <v>1</v>
      </c>
      <c r="I817" s="472">
        <f t="shared" si="58"/>
        <v>0.47039166666666665</v>
      </c>
      <c r="J817" s="473">
        <v>0.36503333333333332</v>
      </c>
      <c r="K817" s="473">
        <v>0.44336666666666663</v>
      </c>
      <c r="L817" s="473">
        <v>0.58906666666666663</v>
      </c>
      <c r="M817" s="473">
        <v>0.48410000000000003</v>
      </c>
      <c r="N817" s="472">
        <f t="shared" si="59"/>
        <v>0.47039166666666665</v>
      </c>
      <c r="O817" s="473">
        <v>0.36503333333333332</v>
      </c>
      <c r="P817" s="473">
        <v>0.44336666666666663</v>
      </c>
      <c r="Q817" s="473">
        <v>0.58906666666666663</v>
      </c>
      <c r="R817" s="473">
        <v>0.48410000000000003</v>
      </c>
      <c r="S817" s="153">
        <v>0.01</v>
      </c>
      <c r="T817" s="153">
        <v>0.02</v>
      </c>
      <c r="U817" s="478">
        <v>2016</v>
      </c>
      <c r="V817" s="24">
        <f t="shared" ref="V817:V823" si="66">U817+20</f>
        <v>2036</v>
      </c>
      <c r="W817">
        <v>0</v>
      </c>
      <c r="X817">
        <v>0</v>
      </c>
      <c r="Y817">
        <v>1315</v>
      </c>
      <c r="Z817">
        <v>361</v>
      </c>
      <c r="AA817" s="475" t="s">
        <v>24</v>
      </c>
    </row>
    <row r="818" spans="1:27" ht="15" hidden="1">
      <c r="A818" s="24">
        <f t="shared" ref="A818:B833" si="67">1000+ROW()-1</f>
        <v>1817</v>
      </c>
      <c r="B818" s="24">
        <f t="shared" si="67"/>
        <v>1817</v>
      </c>
      <c r="C818" s="476" t="s">
        <v>1212</v>
      </c>
      <c r="D818" t="s">
        <v>152</v>
      </c>
      <c r="E818" s="477">
        <v>3</v>
      </c>
      <c r="F818" s="471">
        <v>2.1</v>
      </c>
      <c r="G818">
        <v>1</v>
      </c>
      <c r="H818">
        <v>1</v>
      </c>
      <c r="I818" s="472">
        <f t="shared" si="58"/>
        <v>0.47039166666666665</v>
      </c>
      <c r="J818" s="473">
        <v>0.36503333333333332</v>
      </c>
      <c r="K818" s="473">
        <v>0.44336666666666663</v>
      </c>
      <c r="L818" s="473">
        <v>0.58906666666666663</v>
      </c>
      <c r="M818" s="473">
        <v>0.48410000000000003</v>
      </c>
      <c r="N818" s="472">
        <f t="shared" si="59"/>
        <v>0.47039166666666665</v>
      </c>
      <c r="O818" s="473">
        <v>0.36503333333333332</v>
      </c>
      <c r="P818" s="473">
        <v>0.44336666666666663</v>
      </c>
      <c r="Q818" s="473">
        <v>0.58906666666666663</v>
      </c>
      <c r="R818" s="473">
        <v>0.48410000000000003</v>
      </c>
      <c r="S818" s="153">
        <v>0.01</v>
      </c>
      <c r="T818" s="153">
        <v>0.02</v>
      </c>
      <c r="U818" s="478">
        <v>2016</v>
      </c>
      <c r="V818" s="24">
        <f t="shared" si="66"/>
        <v>2036</v>
      </c>
      <c r="W818">
        <v>0</v>
      </c>
      <c r="X818">
        <v>0</v>
      </c>
      <c r="Y818">
        <v>1315</v>
      </c>
      <c r="Z818">
        <v>361</v>
      </c>
      <c r="AA818" s="475" t="s">
        <v>24</v>
      </c>
    </row>
    <row r="819" spans="1:27" ht="15" hidden="1">
      <c r="A819" s="24">
        <f t="shared" si="67"/>
        <v>1818</v>
      </c>
      <c r="B819" s="24">
        <f t="shared" si="67"/>
        <v>1818</v>
      </c>
      <c r="C819" s="476" t="s">
        <v>1213</v>
      </c>
      <c r="D819" t="s">
        <v>152</v>
      </c>
      <c r="E819" s="477">
        <v>3</v>
      </c>
      <c r="F819" s="471">
        <v>2.1</v>
      </c>
      <c r="G819">
        <v>1</v>
      </c>
      <c r="H819">
        <v>1</v>
      </c>
      <c r="I819" s="472">
        <f t="shared" si="58"/>
        <v>0.47039166666666665</v>
      </c>
      <c r="J819" s="473">
        <v>0.36503333333333332</v>
      </c>
      <c r="K819" s="473">
        <v>0.44336666666666663</v>
      </c>
      <c r="L819" s="473">
        <v>0.58906666666666663</v>
      </c>
      <c r="M819" s="473">
        <v>0.48410000000000003</v>
      </c>
      <c r="N819" s="472">
        <f t="shared" si="59"/>
        <v>0.47039166666666665</v>
      </c>
      <c r="O819" s="473">
        <v>0.36503333333333332</v>
      </c>
      <c r="P819" s="473">
        <v>0.44336666666666663</v>
      </c>
      <c r="Q819" s="473">
        <v>0.58906666666666663</v>
      </c>
      <c r="R819" s="473">
        <v>0.48410000000000003</v>
      </c>
      <c r="S819" s="153">
        <v>0.01</v>
      </c>
      <c r="T819" s="153">
        <v>0.02</v>
      </c>
      <c r="U819" s="478">
        <v>2016</v>
      </c>
      <c r="V819" s="24">
        <f t="shared" si="66"/>
        <v>2036</v>
      </c>
      <c r="W819">
        <v>0</v>
      </c>
      <c r="X819">
        <v>0</v>
      </c>
      <c r="Y819">
        <v>1315</v>
      </c>
      <c r="Z819">
        <v>361</v>
      </c>
      <c r="AA819" s="475" t="s">
        <v>24</v>
      </c>
    </row>
    <row r="820" spans="1:27" ht="15" hidden="1">
      <c r="A820" s="24">
        <f t="shared" si="67"/>
        <v>1819</v>
      </c>
      <c r="B820" s="24">
        <f t="shared" si="67"/>
        <v>1819</v>
      </c>
      <c r="C820" s="476" t="s">
        <v>1214</v>
      </c>
      <c r="D820" t="s">
        <v>152</v>
      </c>
      <c r="E820" s="477">
        <v>3</v>
      </c>
      <c r="F820" s="471">
        <v>2.1</v>
      </c>
      <c r="G820">
        <v>1</v>
      </c>
      <c r="H820">
        <v>1</v>
      </c>
      <c r="I820" s="472">
        <f t="shared" si="58"/>
        <v>0.47039166666666665</v>
      </c>
      <c r="J820" s="473">
        <v>0.36503333333333332</v>
      </c>
      <c r="K820" s="473">
        <v>0.44336666666666663</v>
      </c>
      <c r="L820" s="473">
        <v>0.58906666666666663</v>
      </c>
      <c r="M820" s="473">
        <v>0.48410000000000003</v>
      </c>
      <c r="N820" s="472">
        <f t="shared" si="59"/>
        <v>0.47039166666666665</v>
      </c>
      <c r="O820" s="473">
        <v>0.36503333333333332</v>
      </c>
      <c r="P820" s="473">
        <v>0.44336666666666663</v>
      </c>
      <c r="Q820" s="473">
        <v>0.58906666666666663</v>
      </c>
      <c r="R820" s="473">
        <v>0.48410000000000003</v>
      </c>
      <c r="S820" s="153">
        <v>0.01</v>
      </c>
      <c r="T820" s="153">
        <v>0.02</v>
      </c>
      <c r="U820" s="478">
        <v>2016</v>
      </c>
      <c r="V820" s="24">
        <f t="shared" si="66"/>
        <v>2036</v>
      </c>
      <c r="W820">
        <v>0</v>
      </c>
      <c r="X820">
        <v>0</v>
      </c>
      <c r="Y820">
        <v>1315</v>
      </c>
      <c r="Z820">
        <v>361</v>
      </c>
      <c r="AA820" s="475" t="s">
        <v>24</v>
      </c>
    </row>
    <row r="821" spans="1:27" ht="15" hidden="1">
      <c r="A821" s="24">
        <f t="shared" si="67"/>
        <v>1820</v>
      </c>
      <c r="B821" s="24">
        <f t="shared" si="67"/>
        <v>1820</v>
      </c>
      <c r="C821" s="476" t="s">
        <v>1215</v>
      </c>
      <c r="D821" t="s">
        <v>152</v>
      </c>
      <c r="E821" s="477">
        <v>3</v>
      </c>
      <c r="F821" s="471">
        <v>4.1999999999999957</v>
      </c>
      <c r="G821">
        <v>1</v>
      </c>
      <c r="H821">
        <v>1</v>
      </c>
      <c r="I821" s="472">
        <f t="shared" si="58"/>
        <v>0.47039166666666665</v>
      </c>
      <c r="J821" s="473">
        <v>0.36503333333333332</v>
      </c>
      <c r="K821" s="473">
        <v>0.44336666666666663</v>
      </c>
      <c r="L821" s="473">
        <v>0.58906666666666663</v>
      </c>
      <c r="M821" s="473">
        <v>0.48410000000000003</v>
      </c>
      <c r="N821" s="472">
        <f t="shared" si="59"/>
        <v>0.47039166666666665</v>
      </c>
      <c r="O821" s="473">
        <v>0.36503333333333332</v>
      </c>
      <c r="P821" s="473">
        <v>0.44336666666666663</v>
      </c>
      <c r="Q821" s="473">
        <v>0.58906666666666663</v>
      </c>
      <c r="R821" s="473">
        <v>0.48410000000000003</v>
      </c>
      <c r="S821" s="153">
        <v>0.01</v>
      </c>
      <c r="T821" s="153">
        <v>0.02</v>
      </c>
      <c r="U821" s="478">
        <v>2016</v>
      </c>
      <c r="V821" s="24">
        <f t="shared" si="66"/>
        <v>2036</v>
      </c>
      <c r="W821">
        <v>0</v>
      </c>
      <c r="X821">
        <v>0</v>
      </c>
      <c r="Y821">
        <v>1315</v>
      </c>
      <c r="Z821">
        <v>361</v>
      </c>
      <c r="AA821" s="475" t="s">
        <v>24</v>
      </c>
    </row>
    <row r="822" spans="1:27" ht="15" hidden="1">
      <c r="A822" s="24">
        <f t="shared" si="67"/>
        <v>1821</v>
      </c>
      <c r="B822" s="24">
        <f t="shared" si="67"/>
        <v>1821</v>
      </c>
      <c r="C822" s="476" t="s">
        <v>1216</v>
      </c>
      <c r="D822" t="s">
        <v>149</v>
      </c>
      <c r="E822" s="477">
        <v>2</v>
      </c>
      <c r="F822" s="471">
        <v>8</v>
      </c>
      <c r="G822">
        <v>1</v>
      </c>
      <c r="H822">
        <v>1</v>
      </c>
      <c r="I822" s="472">
        <f t="shared" si="58"/>
        <v>0.40033333333333337</v>
      </c>
      <c r="J822" s="153">
        <v>0.3706666666666667</v>
      </c>
      <c r="K822" s="153">
        <v>0.3666666666666667</v>
      </c>
      <c r="L822" s="153">
        <v>0.44799999999999995</v>
      </c>
      <c r="M822" s="153">
        <v>0.41600000000000009</v>
      </c>
      <c r="N822" s="472">
        <f t="shared" si="59"/>
        <v>0.40033333333333337</v>
      </c>
      <c r="O822" s="153">
        <v>0.3706666666666667</v>
      </c>
      <c r="P822" s="153">
        <v>0.3666666666666667</v>
      </c>
      <c r="Q822" s="153">
        <v>0.44799999999999995</v>
      </c>
      <c r="R822" s="153">
        <v>0.41600000000000009</v>
      </c>
      <c r="S822" s="153">
        <v>0.01</v>
      </c>
      <c r="T822" s="153">
        <v>0.02</v>
      </c>
      <c r="U822" s="478">
        <v>2016</v>
      </c>
      <c r="V822" s="24">
        <f t="shared" si="66"/>
        <v>2036</v>
      </c>
      <c r="W822">
        <v>0</v>
      </c>
      <c r="X822">
        <v>0</v>
      </c>
      <c r="Y822">
        <v>1315</v>
      </c>
      <c r="Z822">
        <v>360</v>
      </c>
      <c r="AA822" s="475" t="s">
        <v>24</v>
      </c>
    </row>
    <row r="823" spans="1:27" ht="15" hidden="1">
      <c r="A823" s="24">
        <f t="shared" si="67"/>
        <v>1822</v>
      </c>
      <c r="B823" s="24">
        <f t="shared" si="67"/>
        <v>1822</v>
      </c>
      <c r="C823" s="476" t="s">
        <v>1217</v>
      </c>
      <c r="D823" t="s">
        <v>149</v>
      </c>
      <c r="E823" s="477">
        <v>2</v>
      </c>
      <c r="F823" s="471">
        <v>2</v>
      </c>
      <c r="G823">
        <v>1</v>
      </c>
      <c r="H823">
        <v>1</v>
      </c>
      <c r="I823" s="472">
        <f t="shared" si="58"/>
        <v>0.40033333333333337</v>
      </c>
      <c r="J823" s="153">
        <v>0.3706666666666667</v>
      </c>
      <c r="K823" s="153">
        <v>0.3666666666666667</v>
      </c>
      <c r="L823" s="153">
        <v>0.44799999999999995</v>
      </c>
      <c r="M823" s="153">
        <v>0.41600000000000009</v>
      </c>
      <c r="N823" s="472">
        <f t="shared" si="59"/>
        <v>0.40033333333333337</v>
      </c>
      <c r="O823" s="153">
        <v>0.3706666666666667</v>
      </c>
      <c r="P823" s="153">
        <v>0.3666666666666667</v>
      </c>
      <c r="Q823" s="153">
        <v>0.44799999999999995</v>
      </c>
      <c r="R823" s="153">
        <v>0.41600000000000009</v>
      </c>
      <c r="S823" s="153">
        <v>0.01</v>
      </c>
      <c r="T823" s="153">
        <v>0.02</v>
      </c>
      <c r="U823" s="478">
        <v>2016</v>
      </c>
      <c r="V823" s="24">
        <f t="shared" si="66"/>
        <v>2036</v>
      </c>
      <c r="W823">
        <v>0</v>
      </c>
      <c r="X823">
        <v>0</v>
      </c>
      <c r="Y823">
        <v>1315</v>
      </c>
      <c r="Z823">
        <v>360</v>
      </c>
      <c r="AA823" s="475" t="s">
        <v>24</v>
      </c>
    </row>
    <row r="824" spans="1:27" ht="15" hidden="1">
      <c r="A824" s="24">
        <f t="shared" si="67"/>
        <v>1823</v>
      </c>
      <c r="B824" s="24">
        <f t="shared" si="67"/>
        <v>1823</v>
      </c>
      <c r="C824" s="469" t="s">
        <v>1218</v>
      </c>
      <c r="D824" t="s">
        <v>152</v>
      </c>
      <c r="E824" s="470">
        <v>3</v>
      </c>
      <c r="F824" s="471">
        <v>20.2</v>
      </c>
      <c r="G824">
        <v>1</v>
      </c>
      <c r="H824">
        <v>1</v>
      </c>
      <c r="I824" s="472">
        <f t="shared" si="58"/>
        <v>0.32845968612834514</v>
      </c>
      <c r="J824" s="153">
        <v>3.8473756479098807E-2</v>
      </c>
      <c r="K824" s="153">
        <v>0.39358026214566905</v>
      </c>
      <c r="L824" s="153">
        <v>0.53857526864315253</v>
      </c>
      <c r="M824" s="153">
        <v>0.3432094572454602</v>
      </c>
      <c r="N824" s="472">
        <f t="shared" si="59"/>
        <v>0.32845968612834514</v>
      </c>
      <c r="O824" s="153">
        <v>3.8473756479098807E-2</v>
      </c>
      <c r="P824" s="153">
        <v>0.39358026214566905</v>
      </c>
      <c r="Q824" s="153">
        <v>0.53857526864315253</v>
      </c>
      <c r="R824" s="153">
        <v>0.3432094572454602</v>
      </c>
      <c r="S824" s="153">
        <v>0.03</v>
      </c>
      <c r="T824" s="153">
        <v>0</v>
      </c>
      <c r="U824" s="474">
        <v>2005</v>
      </c>
      <c r="V824">
        <v>2023</v>
      </c>
      <c r="W824">
        <v>0</v>
      </c>
      <c r="X824">
        <v>0</v>
      </c>
      <c r="Y824">
        <v>1304</v>
      </c>
      <c r="Z824">
        <v>311</v>
      </c>
      <c r="AA824" s="475" t="s">
        <v>23</v>
      </c>
    </row>
    <row r="825" spans="1:27" ht="15" hidden="1">
      <c r="A825" s="24">
        <f t="shared" si="67"/>
        <v>1824</v>
      </c>
      <c r="B825" s="24">
        <f t="shared" si="67"/>
        <v>1824</v>
      </c>
      <c r="C825" s="469" t="s">
        <v>1219</v>
      </c>
      <c r="D825" t="s">
        <v>152</v>
      </c>
      <c r="E825" s="470">
        <v>3</v>
      </c>
      <c r="F825" s="471">
        <v>0</v>
      </c>
      <c r="G825">
        <v>1</v>
      </c>
      <c r="H825">
        <v>1</v>
      </c>
      <c r="I825" s="472">
        <f t="shared" si="58"/>
        <v>0.32845968612834514</v>
      </c>
      <c r="J825" s="153">
        <v>3.8473756479098807E-2</v>
      </c>
      <c r="K825" s="153">
        <v>0.39358026214566905</v>
      </c>
      <c r="L825" s="153">
        <v>0.53857526864315253</v>
      </c>
      <c r="M825" s="153">
        <v>0.3432094572454602</v>
      </c>
      <c r="N825" s="472">
        <f t="shared" si="59"/>
        <v>0.32845968612834514</v>
      </c>
      <c r="O825" s="153">
        <v>3.8473756479098807E-2</v>
      </c>
      <c r="P825" s="153">
        <v>0.39358026214566905</v>
      </c>
      <c r="Q825" s="153">
        <v>0.53857526864315253</v>
      </c>
      <c r="R825" s="153">
        <v>0.3432094572454602</v>
      </c>
      <c r="S825" s="153">
        <v>0.03</v>
      </c>
      <c r="T825" s="153">
        <v>0</v>
      </c>
      <c r="U825" s="474">
        <v>1900</v>
      </c>
      <c r="V825">
        <v>2030</v>
      </c>
      <c r="W825">
        <v>0</v>
      </c>
      <c r="X825">
        <v>0</v>
      </c>
      <c r="Y825">
        <v>1304</v>
      </c>
      <c r="Z825">
        <v>311</v>
      </c>
      <c r="AA825" s="475" t="s">
        <v>23</v>
      </c>
    </row>
    <row r="826" spans="1:27" ht="15" hidden="1">
      <c r="A826" s="24">
        <f t="shared" si="67"/>
        <v>1825</v>
      </c>
      <c r="B826" s="24">
        <f t="shared" si="67"/>
        <v>1825</v>
      </c>
      <c r="C826" s="476" t="s">
        <v>1220</v>
      </c>
      <c r="D826" t="s">
        <v>152</v>
      </c>
      <c r="E826" s="477">
        <v>3</v>
      </c>
      <c r="F826" s="471">
        <v>26</v>
      </c>
      <c r="G826">
        <v>1</v>
      </c>
      <c r="H826">
        <v>1</v>
      </c>
      <c r="I826" s="472">
        <f t="shared" si="58"/>
        <v>0.47039166666666665</v>
      </c>
      <c r="J826" s="473">
        <v>0.36503333333333332</v>
      </c>
      <c r="K826" s="473">
        <v>0.44336666666666663</v>
      </c>
      <c r="L826" s="473">
        <v>0.58906666666666663</v>
      </c>
      <c r="M826" s="473">
        <v>0.48410000000000003</v>
      </c>
      <c r="N826" s="472">
        <f t="shared" si="59"/>
        <v>0.47039166666666665</v>
      </c>
      <c r="O826" s="473">
        <v>0.36503333333333332</v>
      </c>
      <c r="P826" s="473">
        <v>0.44336666666666663</v>
      </c>
      <c r="Q826" s="473">
        <v>0.58906666666666663</v>
      </c>
      <c r="R826" s="473">
        <v>0.48410000000000003</v>
      </c>
      <c r="S826" s="153">
        <v>0.01</v>
      </c>
      <c r="T826" s="153">
        <v>0.02</v>
      </c>
      <c r="U826" s="478">
        <v>2018</v>
      </c>
      <c r="V826" s="24">
        <f t="shared" ref="V826:V834" si="68">U826+20</f>
        <v>2038</v>
      </c>
      <c r="W826">
        <v>0</v>
      </c>
      <c r="X826">
        <v>0</v>
      </c>
      <c r="Y826">
        <v>1315</v>
      </c>
      <c r="Z826">
        <v>361</v>
      </c>
      <c r="AA826" s="475" t="s">
        <v>24</v>
      </c>
    </row>
    <row r="827" spans="1:27" ht="15" hidden="1">
      <c r="A827" s="24">
        <f t="shared" si="67"/>
        <v>1826</v>
      </c>
      <c r="B827" s="24">
        <f t="shared" si="67"/>
        <v>1826</v>
      </c>
      <c r="C827" s="476" t="s">
        <v>1221</v>
      </c>
      <c r="D827" t="s">
        <v>152</v>
      </c>
      <c r="E827" s="477">
        <v>3</v>
      </c>
      <c r="F827" s="471">
        <v>30</v>
      </c>
      <c r="G827">
        <v>1</v>
      </c>
      <c r="H827">
        <v>1</v>
      </c>
      <c r="I827" s="472">
        <f t="shared" si="58"/>
        <v>0.47039166666666665</v>
      </c>
      <c r="J827" s="473">
        <v>0.36503333333333332</v>
      </c>
      <c r="K827" s="473">
        <v>0.44336666666666663</v>
      </c>
      <c r="L827" s="473">
        <v>0.58906666666666663</v>
      </c>
      <c r="M827" s="473">
        <v>0.48410000000000003</v>
      </c>
      <c r="N827" s="472">
        <f t="shared" si="59"/>
        <v>0.47039166666666665</v>
      </c>
      <c r="O827" s="473">
        <v>0.36503333333333332</v>
      </c>
      <c r="P827" s="473">
        <v>0.44336666666666663</v>
      </c>
      <c r="Q827" s="473">
        <v>0.58906666666666663</v>
      </c>
      <c r="R827" s="473">
        <v>0.48410000000000003</v>
      </c>
      <c r="S827" s="153">
        <v>0.01</v>
      </c>
      <c r="T827" s="153">
        <v>0.02</v>
      </c>
      <c r="U827" s="478">
        <v>2018</v>
      </c>
      <c r="V827" s="24">
        <f t="shared" si="68"/>
        <v>2038</v>
      </c>
      <c r="W827">
        <v>0</v>
      </c>
      <c r="X827">
        <v>0</v>
      </c>
      <c r="Y827">
        <v>1315</v>
      </c>
      <c r="Z827">
        <v>361</v>
      </c>
      <c r="AA827" s="475" t="s">
        <v>24</v>
      </c>
    </row>
    <row r="828" spans="1:27" ht="15" hidden="1">
      <c r="A828" s="24">
        <f t="shared" si="67"/>
        <v>1827</v>
      </c>
      <c r="B828" s="24">
        <f t="shared" si="67"/>
        <v>1827</v>
      </c>
      <c r="C828" s="476" t="s">
        <v>1222</v>
      </c>
      <c r="D828" t="s">
        <v>152</v>
      </c>
      <c r="E828" s="477">
        <v>3</v>
      </c>
      <c r="F828" s="471">
        <v>28</v>
      </c>
      <c r="G828">
        <v>1</v>
      </c>
      <c r="H828">
        <v>1</v>
      </c>
      <c r="I828" s="472">
        <f t="shared" si="58"/>
        <v>0.47039166666666665</v>
      </c>
      <c r="J828" s="473">
        <v>0.36503333333333332</v>
      </c>
      <c r="K828" s="473">
        <v>0.44336666666666663</v>
      </c>
      <c r="L828" s="473">
        <v>0.58906666666666663</v>
      </c>
      <c r="M828" s="473">
        <v>0.48410000000000003</v>
      </c>
      <c r="N828" s="472">
        <f t="shared" si="59"/>
        <v>0.47039166666666665</v>
      </c>
      <c r="O828" s="473">
        <v>0.36503333333333332</v>
      </c>
      <c r="P828" s="473">
        <v>0.44336666666666663</v>
      </c>
      <c r="Q828" s="473">
        <v>0.58906666666666663</v>
      </c>
      <c r="R828" s="473">
        <v>0.48410000000000003</v>
      </c>
      <c r="S828" s="153">
        <v>0.01</v>
      </c>
      <c r="T828" s="153">
        <v>0.02</v>
      </c>
      <c r="U828" s="478">
        <v>2018</v>
      </c>
      <c r="V828" s="24">
        <f t="shared" si="68"/>
        <v>2038</v>
      </c>
      <c r="W828">
        <v>0</v>
      </c>
      <c r="X828">
        <v>0</v>
      </c>
      <c r="Y828">
        <v>1315</v>
      </c>
      <c r="Z828">
        <v>361</v>
      </c>
      <c r="AA828" s="475" t="s">
        <v>24</v>
      </c>
    </row>
    <row r="829" spans="1:27" ht="15" hidden="1">
      <c r="A829" s="24">
        <f t="shared" si="67"/>
        <v>1828</v>
      </c>
      <c r="B829" s="24">
        <f t="shared" si="67"/>
        <v>1828</v>
      </c>
      <c r="C829" s="476" t="s">
        <v>1223</v>
      </c>
      <c r="D829" t="s">
        <v>152</v>
      </c>
      <c r="E829" s="477">
        <v>3</v>
      </c>
      <c r="F829" s="471">
        <v>10</v>
      </c>
      <c r="G829">
        <v>1</v>
      </c>
      <c r="H829">
        <v>1</v>
      </c>
      <c r="I829" s="472">
        <f t="shared" si="58"/>
        <v>0.47039166666666665</v>
      </c>
      <c r="J829" s="473">
        <v>0.36503333333333332</v>
      </c>
      <c r="K829" s="473">
        <v>0.44336666666666663</v>
      </c>
      <c r="L829" s="473">
        <v>0.58906666666666663</v>
      </c>
      <c r="M829" s="473">
        <v>0.48410000000000003</v>
      </c>
      <c r="N829" s="472">
        <f t="shared" si="59"/>
        <v>0.47039166666666665</v>
      </c>
      <c r="O829" s="473">
        <v>0.36503333333333332</v>
      </c>
      <c r="P829" s="473">
        <v>0.44336666666666663</v>
      </c>
      <c r="Q829" s="473">
        <v>0.58906666666666663</v>
      </c>
      <c r="R829" s="473">
        <v>0.48410000000000003</v>
      </c>
      <c r="S829" s="153">
        <v>0.01</v>
      </c>
      <c r="T829" s="153">
        <v>0.02</v>
      </c>
      <c r="U829" s="478">
        <v>2018</v>
      </c>
      <c r="V829" s="24">
        <f t="shared" si="68"/>
        <v>2038</v>
      </c>
      <c r="W829">
        <v>0</v>
      </c>
      <c r="X829">
        <v>0</v>
      </c>
      <c r="Y829">
        <v>1315</v>
      </c>
      <c r="Z829">
        <v>361</v>
      </c>
      <c r="AA829" s="475" t="s">
        <v>24</v>
      </c>
    </row>
    <row r="830" spans="1:27" ht="15" hidden="1">
      <c r="A830" s="24">
        <f t="shared" si="67"/>
        <v>1829</v>
      </c>
      <c r="B830" s="24">
        <f t="shared" si="67"/>
        <v>1829</v>
      </c>
      <c r="C830" s="476" t="s">
        <v>1224</v>
      </c>
      <c r="D830" t="s">
        <v>152</v>
      </c>
      <c r="E830" s="477">
        <v>3</v>
      </c>
      <c r="F830" s="471">
        <v>27</v>
      </c>
      <c r="G830">
        <v>1</v>
      </c>
      <c r="H830">
        <v>1</v>
      </c>
      <c r="I830" s="472">
        <f t="shared" si="58"/>
        <v>0.47039166666666665</v>
      </c>
      <c r="J830" s="473">
        <v>0.36503333333333332</v>
      </c>
      <c r="K830" s="473">
        <v>0.44336666666666663</v>
      </c>
      <c r="L830" s="473">
        <v>0.58906666666666663</v>
      </c>
      <c r="M830" s="473">
        <v>0.48410000000000003</v>
      </c>
      <c r="N830" s="472">
        <f t="shared" si="59"/>
        <v>0.47039166666666665</v>
      </c>
      <c r="O830" s="473">
        <v>0.36503333333333332</v>
      </c>
      <c r="P830" s="473">
        <v>0.44336666666666663</v>
      </c>
      <c r="Q830" s="473">
        <v>0.58906666666666663</v>
      </c>
      <c r="R830" s="473">
        <v>0.48410000000000003</v>
      </c>
      <c r="S830" s="153">
        <v>0.01</v>
      </c>
      <c r="T830" s="153">
        <v>0.02</v>
      </c>
      <c r="U830" s="478">
        <v>2018</v>
      </c>
      <c r="V830" s="24">
        <f t="shared" si="68"/>
        <v>2038</v>
      </c>
      <c r="W830">
        <v>0</v>
      </c>
      <c r="X830">
        <v>0</v>
      </c>
      <c r="Y830">
        <v>1315</v>
      </c>
      <c r="Z830">
        <v>361</v>
      </c>
      <c r="AA830" s="475" t="s">
        <v>24</v>
      </c>
    </row>
    <row r="831" spans="1:27" ht="15" hidden="1">
      <c r="A831" s="24">
        <f t="shared" si="67"/>
        <v>1830</v>
      </c>
      <c r="B831" s="24">
        <f t="shared" si="67"/>
        <v>1830</v>
      </c>
      <c r="C831" s="476" t="s">
        <v>1225</v>
      </c>
      <c r="D831" t="s">
        <v>152</v>
      </c>
      <c r="E831" s="477">
        <v>3</v>
      </c>
      <c r="F831" s="471">
        <v>28</v>
      </c>
      <c r="G831">
        <v>1</v>
      </c>
      <c r="H831">
        <v>1</v>
      </c>
      <c r="I831" s="472">
        <f t="shared" si="58"/>
        <v>0.47039166666666665</v>
      </c>
      <c r="J831" s="473">
        <v>0.36503333333333332</v>
      </c>
      <c r="K831" s="473">
        <v>0.44336666666666663</v>
      </c>
      <c r="L831" s="473">
        <v>0.58906666666666663</v>
      </c>
      <c r="M831" s="473">
        <v>0.48410000000000003</v>
      </c>
      <c r="N831" s="472">
        <f t="shared" si="59"/>
        <v>0.47039166666666665</v>
      </c>
      <c r="O831" s="473">
        <v>0.36503333333333332</v>
      </c>
      <c r="P831" s="473">
        <v>0.44336666666666663</v>
      </c>
      <c r="Q831" s="473">
        <v>0.58906666666666663</v>
      </c>
      <c r="R831" s="473">
        <v>0.48410000000000003</v>
      </c>
      <c r="S831" s="153">
        <v>0.01</v>
      </c>
      <c r="T831" s="153">
        <v>0.02</v>
      </c>
      <c r="U831" s="478">
        <v>2018</v>
      </c>
      <c r="V831" s="24">
        <f t="shared" si="68"/>
        <v>2038</v>
      </c>
      <c r="W831">
        <v>0</v>
      </c>
      <c r="X831">
        <v>0</v>
      </c>
      <c r="Y831">
        <v>1315</v>
      </c>
      <c r="Z831">
        <v>361</v>
      </c>
      <c r="AA831" s="475" t="s">
        <v>24</v>
      </c>
    </row>
    <row r="832" spans="1:27" ht="15" hidden="1">
      <c r="A832" s="24">
        <f t="shared" si="67"/>
        <v>1831</v>
      </c>
      <c r="B832" s="24">
        <f t="shared" si="67"/>
        <v>1831</v>
      </c>
      <c r="C832" s="476" t="s">
        <v>1226</v>
      </c>
      <c r="D832" t="s">
        <v>152</v>
      </c>
      <c r="E832" s="477">
        <v>3</v>
      </c>
      <c r="F832" s="471">
        <v>24</v>
      </c>
      <c r="G832">
        <v>1</v>
      </c>
      <c r="H832">
        <v>1</v>
      </c>
      <c r="I832" s="472">
        <f t="shared" si="58"/>
        <v>0.47039166666666665</v>
      </c>
      <c r="J832" s="473">
        <v>0.36503333333333332</v>
      </c>
      <c r="K832" s="473">
        <v>0.44336666666666663</v>
      </c>
      <c r="L832" s="473">
        <v>0.58906666666666663</v>
      </c>
      <c r="M832" s="473">
        <v>0.48410000000000003</v>
      </c>
      <c r="N832" s="472">
        <f t="shared" si="59"/>
        <v>0.47039166666666665</v>
      </c>
      <c r="O832" s="473">
        <v>0.36503333333333332</v>
      </c>
      <c r="P832" s="473">
        <v>0.44336666666666663</v>
      </c>
      <c r="Q832" s="473">
        <v>0.58906666666666663</v>
      </c>
      <c r="R832" s="473">
        <v>0.48410000000000003</v>
      </c>
      <c r="S832" s="153">
        <v>0.01</v>
      </c>
      <c r="T832" s="153">
        <v>0.02</v>
      </c>
      <c r="U832" s="478">
        <v>2018</v>
      </c>
      <c r="V832" s="24">
        <f t="shared" si="68"/>
        <v>2038</v>
      </c>
      <c r="W832">
        <v>0</v>
      </c>
      <c r="X832">
        <v>0</v>
      </c>
      <c r="Y832">
        <v>1315</v>
      </c>
      <c r="Z832">
        <v>361</v>
      </c>
      <c r="AA832" s="475" t="s">
        <v>24</v>
      </c>
    </row>
    <row r="833" spans="1:27" ht="15" hidden="1">
      <c r="A833" s="24">
        <f t="shared" si="67"/>
        <v>1832</v>
      </c>
      <c r="B833" s="24">
        <f t="shared" si="67"/>
        <v>1832</v>
      </c>
      <c r="C833" s="476" t="s">
        <v>1227</v>
      </c>
      <c r="D833" t="s">
        <v>152</v>
      </c>
      <c r="E833" s="477">
        <v>3</v>
      </c>
      <c r="F833" s="471">
        <v>30</v>
      </c>
      <c r="G833">
        <v>1</v>
      </c>
      <c r="H833">
        <v>1</v>
      </c>
      <c r="I833" s="472">
        <f t="shared" si="58"/>
        <v>0.47039166666666665</v>
      </c>
      <c r="J833" s="473">
        <v>0.36503333333333332</v>
      </c>
      <c r="K833" s="473">
        <v>0.44336666666666663</v>
      </c>
      <c r="L833" s="473">
        <v>0.58906666666666663</v>
      </c>
      <c r="M833" s="473">
        <v>0.48410000000000003</v>
      </c>
      <c r="N833" s="472">
        <f t="shared" si="59"/>
        <v>0.47039166666666665</v>
      </c>
      <c r="O833" s="473">
        <v>0.36503333333333332</v>
      </c>
      <c r="P833" s="473">
        <v>0.44336666666666663</v>
      </c>
      <c r="Q833" s="473">
        <v>0.58906666666666663</v>
      </c>
      <c r="R833" s="473">
        <v>0.48410000000000003</v>
      </c>
      <c r="S833" s="153">
        <v>0.01</v>
      </c>
      <c r="T833" s="153">
        <v>0.02</v>
      </c>
      <c r="U833" s="478">
        <v>2018</v>
      </c>
      <c r="V833" s="24">
        <f t="shared" si="68"/>
        <v>2038</v>
      </c>
      <c r="W833">
        <v>0</v>
      </c>
      <c r="X833">
        <v>0</v>
      </c>
      <c r="Y833">
        <v>1315</v>
      </c>
      <c r="Z833">
        <v>361</v>
      </c>
      <c r="AA833" s="475" t="s">
        <v>24</v>
      </c>
    </row>
    <row r="834" spans="1:27" ht="15" hidden="1">
      <c r="A834" s="24">
        <f t="shared" ref="A834:B853" si="69">1000+ROW()-1</f>
        <v>1833</v>
      </c>
      <c r="B834" s="24">
        <f t="shared" si="69"/>
        <v>1833</v>
      </c>
      <c r="C834" s="476" t="s">
        <v>1228</v>
      </c>
      <c r="D834" t="s">
        <v>152</v>
      </c>
      <c r="E834" s="477">
        <v>3</v>
      </c>
      <c r="F834" s="471">
        <v>30</v>
      </c>
      <c r="G834">
        <v>1</v>
      </c>
      <c r="H834">
        <v>1</v>
      </c>
      <c r="I834" s="472">
        <f t="shared" ref="I834:I897" si="70">AVERAGE(J834:M834)</f>
        <v>0.47039166666666665</v>
      </c>
      <c r="J834" s="473">
        <v>0.36503333333333332</v>
      </c>
      <c r="K834" s="473">
        <v>0.44336666666666663</v>
      </c>
      <c r="L834" s="473">
        <v>0.58906666666666663</v>
      </c>
      <c r="M834" s="473">
        <v>0.48410000000000003</v>
      </c>
      <c r="N834" s="472">
        <f t="shared" ref="N834:N897" si="71">AVERAGE(O834:R834)</f>
        <v>0.47039166666666665</v>
      </c>
      <c r="O834" s="473">
        <v>0.36503333333333332</v>
      </c>
      <c r="P834" s="473">
        <v>0.44336666666666663</v>
      </c>
      <c r="Q834" s="473">
        <v>0.58906666666666663</v>
      </c>
      <c r="R834" s="473">
        <v>0.48410000000000003</v>
      </c>
      <c r="S834" s="153">
        <v>0.01</v>
      </c>
      <c r="T834" s="153">
        <v>0.02</v>
      </c>
      <c r="U834" s="478">
        <v>2018</v>
      </c>
      <c r="V834" s="24">
        <f t="shared" si="68"/>
        <v>2038</v>
      </c>
      <c r="W834">
        <v>0</v>
      </c>
      <c r="X834">
        <v>0</v>
      </c>
      <c r="Y834">
        <v>1315</v>
      </c>
      <c r="Z834">
        <v>361</v>
      </c>
      <c r="AA834" s="475" t="s">
        <v>24</v>
      </c>
    </row>
    <row r="835" spans="1:27" ht="15" hidden="1">
      <c r="A835" s="24">
        <f t="shared" si="69"/>
        <v>1834</v>
      </c>
      <c r="B835" s="24">
        <f t="shared" si="69"/>
        <v>1834</v>
      </c>
      <c r="C835" s="469" t="s">
        <v>1229</v>
      </c>
      <c r="D835" t="s">
        <v>146</v>
      </c>
      <c r="E835" s="470">
        <v>1</v>
      </c>
      <c r="F835" s="471">
        <v>40</v>
      </c>
      <c r="G835">
        <v>1</v>
      </c>
      <c r="H835">
        <v>1</v>
      </c>
      <c r="I835" s="472">
        <f t="shared" si="70"/>
        <v>0.32845968612834514</v>
      </c>
      <c r="J835" s="153">
        <v>3.8473756479098807E-2</v>
      </c>
      <c r="K835" s="153">
        <v>0.39358026214566905</v>
      </c>
      <c r="L835" s="153">
        <v>0.53857526864315253</v>
      </c>
      <c r="M835" s="153">
        <v>0.3432094572454602</v>
      </c>
      <c r="N835" s="472">
        <f t="shared" si="71"/>
        <v>0.32845968612834514</v>
      </c>
      <c r="O835" s="153">
        <v>3.8473756479098807E-2</v>
      </c>
      <c r="P835" s="153">
        <v>0.39358026214566905</v>
      </c>
      <c r="Q835" s="153">
        <v>0.53857526864315253</v>
      </c>
      <c r="R835" s="153">
        <v>0.3432094572454602</v>
      </c>
      <c r="S835" s="153">
        <v>0.03</v>
      </c>
      <c r="T835" s="153">
        <v>0</v>
      </c>
      <c r="U835" s="474">
        <v>2014</v>
      </c>
      <c r="V835">
        <v>2030</v>
      </c>
      <c r="W835">
        <v>0</v>
      </c>
      <c r="X835">
        <v>0</v>
      </c>
      <c r="Y835">
        <v>1304</v>
      </c>
      <c r="Z835">
        <v>311</v>
      </c>
      <c r="AA835" s="475" t="s">
        <v>23</v>
      </c>
    </row>
    <row r="836" spans="1:27" ht="15" hidden="1">
      <c r="A836" s="24">
        <f t="shared" si="69"/>
        <v>1835</v>
      </c>
      <c r="B836" s="24">
        <f t="shared" si="69"/>
        <v>1835</v>
      </c>
      <c r="C836" s="476" t="s">
        <v>1230</v>
      </c>
      <c r="D836" t="s">
        <v>152</v>
      </c>
      <c r="E836" s="477">
        <v>3</v>
      </c>
      <c r="F836" s="471">
        <v>28</v>
      </c>
      <c r="G836">
        <v>1</v>
      </c>
      <c r="H836">
        <v>1</v>
      </c>
      <c r="I836" s="472">
        <f t="shared" si="70"/>
        <v>0.47039166666666665</v>
      </c>
      <c r="J836" s="473">
        <v>0.36503333333333332</v>
      </c>
      <c r="K836" s="473">
        <v>0.44336666666666663</v>
      </c>
      <c r="L836" s="473">
        <v>0.58906666666666663</v>
      </c>
      <c r="M836" s="473">
        <v>0.48410000000000003</v>
      </c>
      <c r="N836" s="472">
        <f t="shared" si="71"/>
        <v>0.47039166666666665</v>
      </c>
      <c r="O836" s="473">
        <v>0.36503333333333332</v>
      </c>
      <c r="P836" s="473">
        <v>0.44336666666666663</v>
      </c>
      <c r="Q836" s="473">
        <v>0.58906666666666663</v>
      </c>
      <c r="R836" s="473">
        <v>0.48410000000000003</v>
      </c>
      <c r="S836" s="153">
        <v>0.01</v>
      </c>
      <c r="T836" s="153">
        <v>0.02</v>
      </c>
      <c r="U836" s="478">
        <v>2018</v>
      </c>
      <c r="V836" s="24">
        <f t="shared" ref="V836:V847" si="72">U836+20</f>
        <v>2038</v>
      </c>
      <c r="W836">
        <v>0</v>
      </c>
      <c r="X836">
        <v>0</v>
      </c>
      <c r="Y836">
        <v>1315</v>
      </c>
      <c r="Z836">
        <v>361</v>
      </c>
      <c r="AA836" s="475" t="s">
        <v>24</v>
      </c>
    </row>
    <row r="837" spans="1:27" ht="15" hidden="1">
      <c r="A837" s="24">
        <f t="shared" si="69"/>
        <v>1836</v>
      </c>
      <c r="B837" s="24">
        <f t="shared" si="69"/>
        <v>1836</v>
      </c>
      <c r="C837" s="476" t="s">
        <v>1231</v>
      </c>
      <c r="D837" t="s">
        <v>152</v>
      </c>
      <c r="E837" s="477">
        <v>3</v>
      </c>
      <c r="F837" s="471">
        <v>12</v>
      </c>
      <c r="G837">
        <v>1</v>
      </c>
      <c r="H837">
        <v>1</v>
      </c>
      <c r="I837" s="472">
        <f t="shared" si="70"/>
        <v>0.47039166666666665</v>
      </c>
      <c r="J837" s="473">
        <v>0.36503333333333332</v>
      </c>
      <c r="K837" s="473">
        <v>0.44336666666666663</v>
      </c>
      <c r="L837" s="473">
        <v>0.58906666666666663</v>
      </c>
      <c r="M837" s="473">
        <v>0.48410000000000003</v>
      </c>
      <c r="N837" s="472">
        <f t="shared" si="71"/>
        <v>0.47039166666666665</v>
      </c>
      <c r="O837" s="473">
        <v>0.36503333333333332</v>
      </c>
      <c r="P837" s="473">
        <v>0.44336666666666663</v>
      </c>
      <c r="Q837" s="473">
        <v>0.58906666666666663</v>
      </c>
      <c r="R837" s="473">
        <v>0.48410000000000003</v>
      </c>
      <c r="S837" s="153">
        <v>0.01</v>
      </c>
      <c r="T837" s="153">
        <v>0.02</v>
      </c>
      <c r="U837" s="478">
        <v>2018</v>
      </c>
      <c r="V837" s="24">
        <f t="shared" si="72"/>
        <v>2038</v>
      </c>
      <c r="W837">
        <v>0</v>
      </c>
      <c r="X837">
        <v>0</v>
      </c>
      <c r="Y837">
        <v>1315</v>
      </c>
      <c r="Z837">
        <v>361</v>
      </c>
      <c r="AA837" s="475" t="s">
        <v>24</v>
      </c>
    </row>
    <row r="838" spans="1:27" ht="15" hidden="1">
      <c r="A838" s="24">
        <f t="shared" si="69"/>
        <v>1837</v>
      </c>
      <c r="B838" s="24">
        <f t="shared" si="69"/>
        <v>1837</v>
      </c>
      <c r="C838" s="476" t="s">
        <v>1232</v>
      </c>
      <c r="D838" t="s">
        <v>152</v>
      </c>
      <c r="E838" s="477">
        <v>3</v>
      </c>
      <c r="F838" s="471">
        <v>20</v>
      </c>
      <c r="G838">
        <v>1</v>
      </c>
      <c r="H838">
        <v>1</v>
      </c>
      <c r="I838" s="472">
        <f t="shared" si="70"/>
        <v>0.47039166666666665</v>
      </c>
      <c r="J838" s="473">
        <v>0.36503333333333332</v>
      </c>
      <c r="K838" s="473">
        <v>0.44336666666666663</v>
      </c>
      <c r="L838" s="473">
        <v>0.58906666666666663</v>
      </c>
      <c r="M838" s="473">
        <v>0.48410000000000003</v>
      </c>
      <c r="N838" s="472">
        <f t="shared" si="71"/>
        <v>0.47039166666666665</v>
      </c>
      <c r="O838" s="473">
        <v>0.36503333333333332</v>
      </c>
      <c r="P838" s="473">
        <v>0.44336666666666663</v>
      </c>
      <c r="Q838" s="473">
        <v>0.58906666666666663</v>
      </c>
      <c r="R838" s="473">
        <v>0.48410000000000003</v>
      </c>
      <c r="S838" s="153">
        <v>0.01</v>
      </c>
      <c r="T838" s="153">
        <v>0.02</v>
      </c>
      <c r="U838" s="478">
        <v>2018</v>
      </c>
      <c r="V838" s="24">
        <f t="shared" si="72"/>
        <v>2038</v>
      </c>
      <c r="W838">
        <v>0</v>
      </c>
      <c r="X838">
        <v>0</v>
      </c>
      <c r="Y838">
        <v>1315</v>
      </c>
      <c r="Z838">
        <v>361</v>
      </c>
      <c r="AA838" s="475" t="s">
        <v>24</v>
      </c>
    </row>
    <row r="839" spans="1:27" ht="15" hidden="1">
      <c r="A839" s="24">
        <f t="shared" si="69"/>
        <v>1838</v>
      </c>
      <c r="B839" s="24">
        <f t="shared" si="69"/>
        <v>1838</v>
      </c>
      <c r="C839" s="476" t="s">
        <v>1233</v>
      </c>
      <c r="D839" t="s">
        <v>152</v>
      </c>
      <c r="E839" s="477">
        <v>3</v>
      </c>
      <c r="F839" s="471">
        <v>7.4</v>
      </c>
      <c r="G839">
        <v>1</v>
      </c>
      <c r="H839">
        <v>1</v>
      </c>
      <c r="I839" s="472">
        <f t="shared" si="70"/>
        <v>0.47039166666666665</v>
      </c>
      <c r="J839" s="473">
        <v>0.36503333333333332</v>
      </c>
      <c r="K839" s="473">
        <v>0.44336666666666663</v>
      </c>
      <c r="L839" s="473">
        <v>0.58906666666666663</v>
      </c>
      <c r="M839" s="473">
        <v>0.48410000000000003</v>
      </c>
      <c r="N839" s="472">
        <f t="shared" si="71"/>
        <v>0.47039166666666665</v>
      </c>
      <c r="O839" s="473">
        <v>0.36503333333333332</v>
      </c>
      <c r="P839" s="473">
        <v>0.44336666666666663</v>
      </c>
      <c r="Q839" s="473">
        <v>0.58906666666666663</v>
      </c>
      <c r="R839" s="473">
        <v>0.48410000000000003</v>
      </c>
      <c r="S839" s="153">
        <v>0.01</v>
      </c>
      <c r="T839" s="153">
        <v>0.02</v>
      </c>
      <c r="U839" s="478">
        <v>2016</v>
      </c>
      <c r="V839" s="24">
        <f t="shared" si="72"/>
        <v>2036</v>
      </c>
      <c r="W839">
        <v>0</v>
      </c>
      <c r="X839">
        <v>0</v>
      </c>
      <c r="Y839">
        <v>1315</v>
      </c>
      <c r="Z839">
        <v>361</v>
      </c>
      <c r="AA839" s="475" t="s">
        <v>24</v>
      </c>
    </row>
    <row r="840" spans="1:27" ht="15" hidden="1">
      <c r="A840" s="24">
        <f t="shared" si="69"/>
        <v>1839</v>
      </c>
      <c r="B840" s="24">
        <f t="shared" si="69"/>
        <v>1839</v>
      </c>
      <c r="C840" s="476" t="s">
        <v>1234</v>
      </c>
      <c r="D840" t="s">
        <v>152</v>
      </c>
      <c r="E840" s="477">
        <v>3</v>
      </c>
      <c r="F840" s="471">
        <v>22.2</v>
      </c>
      <c r="G840">
        <v>1</v>
      </c>
      <c r="H840">
        <v>1</v>
      </c>
      <c r="I840" s="472">
        <f t="shared" si="70"/>
        <v>0.47039166666666665</v>
      </c>
      <c r="J840" s="473">
        <v>0.36503333333333332</v>
      </c>
      <c r="K840" s="473">
        <v>0.44336666666666663</v>
      </c>
      <c r="L840" s="473">
        <v>0.58906666666666663</v>
      </c>
      <c r="M840" s="473">
        <v>0.48410000000000003</v>
      </c>
      <c r="N840" s="472">
        <f t="shared" si="71"/>
        <v>0.47039166666666665</v>
      </c>
      <c r="O840" s="473">
        <v>0.36503333333333332</v>
      </c>
      <c r="P840" s="473">
        <v>0.44336666666666663</v>
      </c>
      <c r="Q840" s="473">
        <v>0.58906666666666663</v>
      </c>
      <c r="R840" s="473">
        <v>0.48410000000000003</v>
      </c>
      <c r="S840" s="153">
        <v>0.01</v>
      </c>
      <c r="T840" s="153">
        <v>0.02</v>
      </c>
      <c r="U840" s="478">
        <v>2016</v>
      </c>
      <c r="V840" s="24">
        <f t="shared" si="72"/>
        <v>2036</v>
      </c>
      <c r="W840">
        <v>0</v>
      </c>
      <c r="X840">
        <v>0</v>
      </c>
      <c r="Y840">
        <v>1315</v>
      </c>
      <c r="Z840">
        <v>361</v>
      </c>
      <c r="AA840" s="475" t="s">
        <v>24</v>
      </c>
    </row>
    <row r="841" spans="1:27" ht="15" hidden="1">
      <c r="A841" s="24">
        <f t="shared" si="69"/>
        <v>1840</v>
      </c>
      <c r="B841" s="24">
        <f t="shared" si="69"/>
        <v>1840</v>
      </c>
      <c r="C841" s="476" t="s">
        <v>1235</v>
      </c>
      <c r="D841" t="s">
        <v>152</v>
      </c>
      <c r="E841" s="477">
        <v>3</v>
      </c>
      <c r="F841" s="471">
        <v>14</v>
      </c>
      <c r="G841">
        <v>1</v>
      </c>
      <c r="H841">
        <v>1</v>
      </c>
      <c r="I841" s="472">
        <f t="shared" si="70"/>
        <v>0.47039166666666665</v>
      </c>
      <c r="J841" s="473">
        <v>0.36503333333333332</v>
      </c>
      <c r="K841" s="473">
        <v>0.44336666666666663</v>
      </c>
      <c r="L841" s="473">
        <v>0.58906666666666663</v>
      </c>
      <c r="M841" s="473">
        <v>0.48410000000000003</v>
      </c>
      <c r="N841" s="472">
        <f t="shared" si="71"/>
        <v>0.47039166666666665</v>
      </c>
      <c r="O841" s="473">
        <v>0.36503333333333332</v>
      </c>
      <c r="P841" s="473">
        <v>0.44336666666666663</v>
      </c>
      <c r="Q841" s="473">
        <v>0.58906666666666663</v>
      </c>
      <c r="R841" s="473">
        <v>0.48410000000000003</v>
      </c>
      <c r="S841" s="153">
        <v>0.01</v>
      </c>
      <c r="T841" s="153">
        <v>0.02</v>
      </c>
      <c r="U841" s="478">
        <v>2018</v>
      </c>
      <c r="V841" s="24">
        <f t="shared" si="72"/>
        <v>2038</v>
      </c>
      <c r="W841">
        <v>0</v>
      </c>
      <c r="X841">
        <v>0</v>
      </c>
      <c r="Y841">
        <v>1315</v>
      </c>
      <c r="Z841">
        <v>361</v>
      </c>
      <c r="AA841" s="475" t="s">
        <v>24</v>
      </c>
    </row>
    <row r="842" spans="1:27" ht="15" hidden="1">
      <c r="A842" s="24">
        <f t="shared" si="69"/>
        <v>1841</v>
      </c>
      <c r="B842" s="24">
        <f t="shared" si="69"/>
        <v>1841</v>
      </c>
      <c r="C842" s="476" t="s">
        <v>1236</v>
      </c>
      <c r="D842" t="s">
        <v>152</v>
      </c>
      <c r="E842" s="477">
        <v>3</v>
      </c>
      <c r="F842" s="471">
        <v>27.75</v>
      </c>
      <c r="G842">
        <v>1</v>
      </c>
      <c r="H842">
        <v>1</v>
      </c>
      <c r="I842" s="472">
        <f t="shared" si="70"/>
        <v>0.47039166666666665</v>
      </c>
      <c r="J842" s="473">
        <v>0.36503333333333332</v>
      </c>
      <c r="K842" s="473">
        <v>0.44336666666666663</v>
      </c>
      <c r="L842" s="473">
        <v>0.58906666666666663</v>
      </c>
      <c r="M842" s="473">
        <v>0.48410000000000003</v>
      </c>
      <c r="N842" s="472">
        <f t="shared" si="71"/>
        <v>0.47039166666666665</v>
      </c>
      <c r="O842" s="473">
        <v>0.36503333333333332</v>
      </c>
      <c r="P842" s="473">
        <v>0.44336666666666663</v>
      </c>
      <c r="Q842" s="473">
        <v>0.58906666666666663</v>
      </c>
      <c r="R842" s="473">
        <v>0.48410000000000003</v>
      </c>
      <c r="S842" s="153">
        <v>0.01</v>
      </c>
      <c r="T842" s="153">
        <v>0.02</v>
      </c>
      <c r="U842" s="478">
        <v>2016</v>
      </c>
      <c r="V842" s="24">
        <f t="shared" si="72"/>
        <v>2036</v>
      </c>
      <c r="W842">
        <v>0</v>
      </c>
      <c r="X842">
        <v>0</v>
      </c>
      <c r="Y842">
        <v>1315</v>
      </c>
      <c r="Z842">
        <v>361</v>
      </c>
      <c r="AA842" s="475" t="s">
        <v>24</v>
      </c>
    </row>
    <row r="843" spans="1:27" ht="15" hidden="1">
      <c r="A843" s="24">
        <f t="shared" si="69"/>
        <v>1842</v>
      </c>
      <c r="B843" s="24">
        <f t="shared" si="69"/>
        <v>1842</v>
      </c>
      <c r="C843" s="476" t="s">
        <v>1237</v>
      </c>
      <c r="D843" t="s">
        <v>149</v>
      </c>
      <c r="E843" s="477">
        <v>2</v>
      </c>
      <c r="F843" s="471">
        <v>2</v>
      </c>
      <c r="G843">
        <v>1</v>
      </c>
      <c r="H843">
        <v>1</v>
      </c>
      <c r="I843" s="472">
        <f t="shared" si="70"/>
        <v>0.40033333333333337</v>
      </c>
      <c r="J843" s="153">
        <v>0.3706666666666667</v>
      </c>
      <c r="K843" s="153">
        <v>0.3666666666666667</v>
      </c>
      <c r="L843" s="153">
        <v>0.44799999999999995</v>
      </c>
      <c r="M843" s="153">
        <v>0.41600000000000009</v>
      </c>
      <c r="N843" s="472">
        <f t="shared" si="71"/>
        <v>0.40033333333333337</v>
      </c>
      <c r="O843" s="153">
        <v>0.3706666666666667</v>
      </c>
      <c r="P843" s="153">
        <v>0.3666666666666667</v>
      </c>
      <c r="Q843" s="153">
        <v>0.44799999999999995</v>
      </c>
      <c r="R843" s="153">
        <v>0.41600000000000009</v>
      </c>
      <c r="S843" s="153">
        <v>0.01</v>
      </c>
      <c r="T843" s="153">
        <v>0.02</v>
      </c>
      <c r="U843" s="478">
        <v>2016</v>
      </c>
      <c r="V843" s="24">
        <f t="shared" si="72"/>
        <v>2036</v>
      </c>
      <c r="W843">
        <v>0</v>
      </c>
      <c r="X843">
        <v>0</v>
      </c>
      <c r="Y843">
        <v>1315</v>
      </c>
      <c r="Z843">
        <v>360</v>
      </c>
      <c r="AA843" s="475" t="s">
        <v>24</v>
      </c>
    </row>
    <row r="844" spans="1:27" ht="15" hidden="1">
      <c r="A844" s="24">
        <f t="shared" si="69"/>
        <v>1843</v>
      </c>
      <c r="B844" s="24">
        <f t="shared" si="69"/>
        <v>1843</v>
      </c>
      <c r="C844" s="476" t="s">
        <v>1238</v>
      </c>
      <c r="D844" t="s">
        <v>149</v>
      </c>
      <c r="E844" s="477">
        <v>2</v>
      </c>
      <c r="F844" s="471">
        <v>18</v>
      </c>
      <c r="G844">
        <v>1</v>
      </c>
      <c r="H844">
        <v>1</v>
      </c>
      <c r="I844" s="472">
        <f t="shared" si="70"/>
        <v>0.40033333333333337</v>
      </c>
      <c r="J844" s="153">
        <v>0.3706666666666667</v>
      </c>
      <c r="K844" s="153">
        <v>0.3666666666666667</v>
      </c>
      <c r="L844" s="153">
        <v>0.44799999999999995</v>
      </c>
      <c r="M844" s="153">
        <v>0.41600000000000009</v>
      </c>
      <c r="N844" s="472">
        <f t="shared" si="71"/>
        <v>0.40033333333333337</v>
      </c>
      <c r="O844" s="153">
        <v>0.3706666666666667</v>
      </c>
      <c r="P844" s="153">
        <v>0.3666666666666667</v>
      </c>
      <c r="Q844" s="153">
        <v>0.44799999999999995</v>
      </c>
      <c r="R844" s="153">
        <v>0.41600000000000009</v>
      </c>
      <c r="S844" s="153">
        <v>0.01</v>
      </c>
      <c r="T844" s="153">
        <v>0.02</v>
      </c>
      <c r="U844" s="478">
        <v>2016</v>
      </c>
      <c r="V844" s="24">
        <f t="shared" si="72"/>
        <v>2036</v>
      </c>
      <c r="W844">
        <v>0</v>
      </c>
      <c r="X844">
        <v>0</v>
      </c>
      <c r="Y844">
        <v>1315</v>
      </c>
      <c r="Z844">
        <v>360</v>
      </c>
      <c r="AA844" s="475" t="s">
        <v>24</v>
      </c>
    </row>
    <row r="845" spans="1:27" ht="15" hidden="1">
      <c r="A845" s="24">
        <f t="shared" si="69"/>
        <v>1844</v>
      </c>
      <c r="B845" s="24">
        <f t="shared" si="69"/>
        <v>1844</v>
      </c>
      <c r="C845" s="476" t="s">
        <v>1239</v>
      </c>
      <c r="D845" t="s">
        <v>149</v>
      </c>
      <c r="E845" s="477">
        <v>2</v>
      </c>
      <c r="F845" s="471">
        <v>10</v>
      </c>
      <c r="G845">
        <v>1</v>
      </c>
      <c r="H845">
        <v>1</v>
      </c>
      <c r="I845" s="472">
        <f t="shared" si="70"/>
        <v>0.40033333333333337</v>
      </c>
      <c r="J845" s="153">
        <v>0.3706666666666667</v>
      </c>
      <c r="K845" s="153">
        <v>0.3666666666666667</v>
      </c>
      <c r="L845" s="153">
        <v>0.44799999999999995</v>
      </c>
      <c r="M845" s="153">
        <v>0.41600000000000009</v>
      </c>
      <c r="N845" s="472">
        <f t="shared" si="71"/>
        <v>0.40033333333333337</v>
      </c>
      <c r="O845" s="153">
        <v>0.3706666666666667</v>
      </c>
      <c r="P845" s="153">
        <v>0.3666666666666667</v>
      </c>
      <c r="Q845" s="153">
        <v>0.44799999999999995</v>
      </c>
      <c r="R845" s="153">
        <v>0.41600000000000009</v>
      </c>
      <c r="S845" s="153">
        <v>0.01</v>
      </c>
      <c r="T845" s="153">
        <v>0.02</v>
      </c>
      <c r="U845" s="478">
        <v>2016</v>
      </c>
      <c r="V845" s="24">
        <f t="shared" si="72"/>
        <v>2036</v>
      </c>
      <c r="W845">
        <v>0</v>
      </c>
      <c r="X845">
        <v>0</v>
      </c>
      <c r="Y845">
        <v>1315</v>
      </c>
      <c r="Z845">
        <v>360</v>
      </c>
      <c r="AA845" s="475" t="s">
        <v>24</v>
      </c>
    </row>
    <row r="846" spans="1:27" ht="15" hidden="1">
      <c r="A846" s="24">
        <f t="shared" si="69"/>
        <v>1845</v>
      </c>
      <c r="B846" s="24">
        <f t="shared" si="69"/>
        <v>1845</v>
      </c>
      <c r="C846" s="476" t="s">
        <v>1240</v>
      </c>
      <c r="D846" t="s">
        <v>152</v>
      </c>
      <c r="E846" s="477">
        <v>3</v>
      </c>
      <c r="F846" s="471">
        <v>29.9</v>
      </c>
      <c r="G846">
        <v>1</v>
      </c>
      <c r="H846">
        <v>1</v>
      </c>
      <c r="I846" s="472">
        <f t="shared" si="70"/>
        <v>0.47039166666666665</v>
      </c>
      <c r="J846" s="473">
        <v>0.36503333333333332</v>
      </c>
      <c r="K846" s="473">
        <v>0.44336666666666663</v>
      </c>
      <c r="L846" s="473">
        <v>0.58906666666666663</v>
      </c>
      <c r="M846" s="473">
        <v>0.48410000000000003</v>
      </c>
      <c r="N846" s="472">
        <f t="shared" si="71"/>
        <v>0.47039166666666665</v>
      </c>
      <c r="O846" s="473">
        <v>0.36503333333333332</v>
      </c>
      <c r="P846" s="473">
        <v>0.44336666666666663</v>
      </c>
      <c r="Q846" s="473">
        <v>0.58906666666666663</v>
      </c>
      <c r="R846" s="473">
        <v>0.48410000000000003</v>
      </c>
      <c r="S846" s="153">
        <v>0.01</v>
      </c>
      <c r="T846" s="153">
        <v>0.02</v>
      </c>
      <c r="U846" s="478">
        <v>2018</v>
      </c>
      <c r="V846" s="24">
        <f t="shared" si="72"/>
        <v>2038</v>
      </c>
      <c r="W846">
        <v>0</v>
      </c>
      <c r="X846">
        <v>0</v>
      </c>
      <c r="Y846">
        <v>1315</v>
      </c>
      <c r="Z846">
        <v>361</v>
      </c>
      <c r="AA846" s="475" t="s">
        <v>24</v>
      </c>
    </row>
    <row r="847" spans="1:27" ht="15" hidden="1">
      <c r="A847" s="24">
        <f t="shared" si="69"/>
        <v>1846</v>
      </c>
      <c r="B847" s="24">
        <f t="shared" si="69"/>
        <v>1846</v>
      </c>
      <c r="C847" s="476" t="s">
        <v>1241</v>
      </c>
      <c r="D847" t="s">
        <v>152</v>
      </c>
      <c r="E847" s="477">
        <v>3</v>
      </c>
      <c r="F847" s="471">
        <v>30</v>
      </c>
      <c r="G847">
        <v>1</v>
      </c>
      <c r="H847">
        <v>1</v>
      </c>
      <c r="I847" s="472">
        <f t="shared" si="70"/>
        <v>0.47039166666666665</v>
      </c>
      <c r="J847" s="473">
        <v>0.36503333333333332</v>
      </c>
      <c r="K847" s="473">
        <v>0.44336666666666663</v>
      </c>
      <c r="L847" s="473">
        <v>0.58906666666666663</v>
      </c>
      <c r="M847" s="473">
        <v>0.48410000000000003</v>
      </c>
      <c r="N847" s="472">
        <f t="shared" si="71"/>
        <v>0.47039166666666665</v>
      </c>
      <c r="O847" s="473">
        <v>0.36503333333333332</v>
      </c>
      <c r="P847" s="473">
        <v>0.44336666666666663</v>
      </c>
      <c r="Q847" s="473">
        <v>0.58906666666666663</v>
      </c>
      <c r="R847" s="473">
        <v>0.48410000000000003</v>
      </c>
      <c r="S847" s="153">
        <v>0.01</v>
      </c>
      <c r="T847" s="153">
        <v>0.02</v>
      </c>
      <c r="U847" s="478">
        <v>2018</v>
      </c>
      <c r="V847" s="24">
        <f t="shared" si="72"/>
        <v>2038</v>
      </c>
      <c r="W847">
        <v>0</v>
      </c>
      <c r="X847">
        <v>0</v>
      </c>
      <c r="Y847">
        <v>1315</v>
      </c>
      <c r="Z847">
        <v>361</v>
      </c>
      <c r="AA847" s="475" t="s">
        <v>24</v>
      </c>
    </row>
    <row r="848" spans="1:27" ht="15" hidden="1">
      <c r="A848" s="24">
        <f t="shared" si="69"/>
        <v>1847</v>
      </c>
      <c r="B848" s="24">
        <f t="shared" si="69"/>
        <v>1847</v>
      </c>
      <c r="C848" s="469" t="s">
        <v>1242</v>
      </c>
      <c r="D848" t="s">
        <v>146</v>
      </c>
      <c r="E848" s="470">
        <v>1</v>
      </c>
      <c r="F848" s="471">
        <v>0</v>
      </c>
      <c r="G848">
        <v>1</v>
      </c>
      <c r="H848">
        <v>1</v>
      </c>
      <c r="I848" s="472">
        <f t="shared" si="70"/>
        <v>0.32845968612834514</v>
      </c>
      <c r="J848" s="153">
        <v>3.8473756479098807E-2</v>
      </c>
      <c r="K848" s="153">
        <v>0.39358026214566905</v>
      </c>
      <c r="L848" s="153">
        <v>0.53857526864315253</v>
      </c>
      <c r="M848" s="153">
        <v>0.3432094572454602</v>
      </c>
      <c r="N848" s="472">
        <f t="shared" si="71"/>
        <v>0.32845968612834514</v>
      </c>
      <c r="O848" s="153">
        <v>3.8473756479098807E-2</v>
      </c>
      <c r="P848" s="153">
        <v>0.39358026214566905</v>
      </c>
      <c r="Q848" s="153">
        <v>0.53857526864315253</v>
      </c>
      <c r="R848" s="153">
        <v>0.3432094572454602</v>
      </c>
      <c r="S848" s="153">
        <v>0.03</v>
      </c>
      <c r="T848" s="153">
        <v>0</v>
      </c>
      <c r="U848" s="474">
        <v>1900</v>
      </c>
      <c r="V848">
        <v>2030</v>
      </c>
      <c r="W848">
        <v>0</v>
      </c>
      <c r="X848">
        <v>0</v>
      </c>
      <c r="Y848">
        <v>1304</v>
      </c>
      <c r="Z848">
        <v>311</v>
      </c>
      <c r="AA848" s="475" t="s">
        <v>23</v>
      </c>
    </row>
    <row r="849" spans="1:27" ht="15" hidden="1">
      <c r="A849" s="24">
        <f t="shared" si="69"/>
        <v>1848</v>
      </c>
      <c r="B849" s="24">
        <f t="shared" si="69"/>
        <v>1848</v>
      </c>
      <c r="C849" s="476" t="s">
        <v>1243</v>
      </c>
      <c r="D849" t="s">
        <v>152</v>
      </c>
      <c r="E849" s="477">
        <v>3</v>
      </c>
      <c r="F849" s="471">
        <v>30</v>
      </c>
      <c r="G849">
        <v>1</v>
      </c>
      <c r="H849">
        <v>1</v>
      </c>
      <c r="I849" s="472">
        <f t="shared" si="70"/>
        <v>0.47039166666666665</v>
      </c>
      <c r="J849" s="473">
        <v>0.36503333333333332</v>
      </c>
      <c r="K849" s="473">
        <v>0.44336666666666663</v>
      </c>
      <c r="L849" s="473">
        <v>0.58906666666666663</v>
      </c>
      <c r="M849" s="473">
        <v>0.48410000000000003</v>
      </c>
      <c r="N849" s="472">
        <f t="shared" si="71"/>
        <v>0.47039166666666665</v>
      </c>
      <c r="O849" s="473">
        <v>0.36503333333333332</v>
      </c>
      <c r="P849" s="473">
        <v>0.44336666666666663</v>
      </c>
      <c r="Q849" s="473">
        <v>0.58906666666666663</v>
      </c>
      <c r="R849" s="473">
        <v>0.48410000000000003</v>
      </c>
      <c r="S849" s="153">
        <v>0.01</v>
      </c>
      <c r="T849" s="153">
        <v>0.02</v>
      </c>
      <c r="U849" s="478">
        <v>2018</v>
      </c>
      <c r="V849" s="24">
        <f t="shared" ref="V849:V852" si="73">U849+20</f>
        <v>2038</v>
      </c>
      <c r="W849">
        <v>0</v>
      </c>
      <c r="X849">
        <v>0</v>
      </c>
      <c r="Y849">
        <v>1315</v>
      </c>
      <c r="Z849">
        <v>361</v>
      </c>
      <c r="AA849" s="475" t="s">
        <v>24</v>
      </c>
    </row>
    <row r="850" spans="1:27" ht="15" hidden="1">
      <c r="A850" s="24">
        <f t="shared" si="69"/>
        <v>1849</v>
      </c>
      <c r="B850" s="24">
        <f t="shared" si="69"/>
        <v>1849</v>
      </c>
      <c r="C850" s="476" t="s">
        <v>1244</v>
      </c>
      <c r="D850" t="s">
        <v>152</v>
      </c>
      <c r="E850" s="477">
        <v>3</v>
      </c>
      <c r="F850" s="471">
        <v>30</v>
      </c>
      <c r="G850">
        <v>1</v>
      </c>
      <c r="H850">
        <v>1</v>
      </c>
      <c r="I850" s="472">
        <f t="shared" si="70"/>
        <v>0.47039166666666665</v>
      </c>
      <c r="J850" s="473">
        <v>0.36503333333333332</v>
      </c>
      <c r="K850" s="473">
        <v>0.44336666666666663</v>
      </c>
      <c r="L850" s="473">
        <v>0.58906666666666663</v>
      </c>
      <c r="M850" s="473">
        <v>0.48410000000000003</v>
      </c>
      <c r="N850" s="472">
        <f t="shared" si="71"/>
        <v>0.47039166666666665</v>
      </c>
      <c r="O850" s="473">
        <v>0.36503333333333332</v>
      </c>
      <c r="P850" s="473">
        <v>0.44336666666666663</v>
      </c>
      <c r="Q850" s="473">
        <v>0.58906666666666663</v>
      </c>
      <c r="R850" s="473">
        <v>0.48410000000000003</v>
      </c>
      <c r="S850" s="153">
        <v>0.01</v>
      </c>
      <c r="T850" s="153">
        <v>0.02</v>
      </c>
      <c r="U850" s="478">
        <v>2018</v>
      </c>
      <c r="V850" s="24">
        <f t="shared" si="73"/>
        <v>2038</v>
      </c>
      <c r="W850">
        <v>0</v>
      </c>
      <c r="X850">
        <v>0</v>
      </c>
      <c r="Y850">
        <v>1315</v>
      </c>
      <c r="Z850">
        <v>361</v>
      </c>
      <c r="AA850" s="475" t="s">
        <v>24</v>
      </c>
    </row>
    <row r="851" spans="1:27" ht="15" hidden="1">
      <c r="A851" s="24">
        <f t="shared" si="69"/>
        <v>1850</v>
      </c>
      <c r="B851" s="24">
        <f t="shared" si="69"/>
        <v>1850</v>
      </c>
      <c r="C851" s="476" t="s">
        <v>1245</v>
      </c>
      <c r="D851" t="s">
        <v>152</v>
      </c>
      <c r="E851" s="477">
        <v>3</v>
      </c>
      <c r="F851" s="471">
        <v>20</v>
      </c>
      <c r="G851">
        <v>1</v>
      </c>
      <c r="H851">
        <v>1</v>
      </c>
      <c r="I851" s="472">
        <f t="shared" si="70"/>
        <v>0.47039166666666665</v>
      </c>
      <c r="J851" s="473">
        <v>0.36503333333333332</v>
      </c>
      <c r="K851" s="473">
        <v>0.44336666666666663</v>
      </c>
      <c r="L851" s="473">
        <v>0.58906666666666663</v>
      </c>
      <c r="M851" s="473">
        <v>0.48410000000000003</v>
      </c>
      <c r="N851" s="472">
        <f t="shared" si="71"/>
        <v>0.47039166666666665</v>
      </c>
      <c r="O851" s="473">
        <v>0.36503333333333332</v>
      </c>
      <c r="P851" s="473">
        <v>0.44336666666666663</v>
      </c>
      <c r="Q851" s="473">
        <v>0.58906666666666663</v>
      </c>
      <c r="R851" s="473">
        <v>0.48410000000000003</v>
      </c>
      <c r="S851" s="153">
        <v>0.01</v>
      </c>
      <c r="T851" s="153">
        <v>0.02</v>
      </c>
      <c r="U851" s="478">
        <v>2018</v>
      </c>
      <c r="V851" s="24">
        <f t="shared" si="73"/>
        <v>2038</v>
      </c>
      <c r="W851">
        <v>0</v>
      </c>
      <c r="X851">
        <v>0</v>
      </c>
      <c r="Y851">
        <v>1315</v>
      </c>
      <c r="Z851">
        <v>361</v>
      </c>
      <c r="AA851" s="475" t="s">
        <v>24</v>
      </c>
    </row>
    <row r="852" spans="1:27" ht="15" hidden="1">
      <c r="A852" s="24">
        <f t="shared" si="69"/>
        <v>1851</v>
      </c>
      <c r="B852" s="24">
        <f t="shared" si="69"/>
        <v>1851</v>
      </c>
      <c r="C852" s="476" t="s">
        <v>1246</v>
      </c>
      <c r="D852" t="s">
        <v>152</v>
      </c>
      <c r="E852" s="477">
        <v>3</v>
      </c>
      <c r="F852" s="471">
        <v>30</v>
      </c>
      <c r="G852">
        <v>1</v>
      </c>
      <c r="H852">
        <v>1</v>
      </c>
      <c r="I852" s="472">
        <f t="shared" si="70"/>
        <v>0.47039166666666665</v>
      </c>
      <c r="J852" s="473">
        <v>0.36503333333333332</v>
      </c>
      <c r="K852" s="473">
        <v>0.44336666666666663</v>
      </c>
      <c r="L852" s="473">
        <v>0.58906666666666663</v>
      </c>
      <c r="M852" s="473">
        <v>0.48410000000000003</v>
      </c>
      <c r="N852" s="472">
        <f t="shared" si="71"/>
        <v>0.47039166666666665</v>
      </c>
      <c r="O852" s="473">
        <v>0.36503333333333332</v>
      </c>
      <c r="P852" s="473">
        <v>0.44336666666666663</v>
      </c>
      <c r="Q852" s="473">
        <v>0.58906666666666663</v>
      </c>
      <c r="R852" s="473">
        <v>0.48410000000000003</v>
      </c>
      <c r="S852" s="153">
        <v>0.01</v>
      </c>
      <c r="T852" s="153">
        <v>0.02</v>
      </c>
      <c r="U852" s="478">
        <v>2018</v>
      </c>
      <c r="V852" s="24">
        <f t="shared" si="73"/>
        <v>2038</v>
      </c>
      <c r="W852">
        <v>0</v>
      </c>
      <c r="X852">
        <v>0</v>
      </c>
      <c r="Y852">
        <v>1315</v>
      </c>
      <c r="Z852">
        <v>361</v>
      </c>
      <c r="AA852" s="475" t="s">
        <v>24</v>
      </c>
    </row>
    <row r="853" spans="1:27" ht="15" hidden="1">
      <c r="A853" s="24">
        <f t="shared" si="69"/>
        <v>1852</v>
      </c>
      <c r="B853" s="24">
        <f t="shared" si="69"/>
        <v>1852</v>
      </c>
      <c r="C853" s="469" t="s">
        <v>1247</v>
      </c>
      <c r="D853" t="s">
        <v>146</v>
      </c>
      <c r="E853" s="470">
        <v>1</v>
      </c>
      <c r="F853" s="471">
        <v>23</v>
      </c>
      <c r="G853">
        <v>1</v>
      </c>
      <c r="H853">
        <v>1</v>
      </c>
      <c r="I853" s="472">
        <f t="shared" si="70"/>
        <v>0.32845968612834514</v>
      </c>
      <c r="J853" s="153">
        <v>3.8473756479098807E-2</v>
      </c>
      <c r="K853" s="153">
        <v>0.39358026214566905</v>
      </c>
      <c r="L853" s="153">
        <v>0.53857526864315253</v>
      </c>
      <c r="M853" s="153">
        <v>0.3432094572454602</v>
      </c>
      <c r="N853" s="472">
        <f t="shared" si="71"/>
        <v>0.32845968612834514</v>
      </c>
      <c r="O853" s="153">
        <v>3.8473756479098807E-2</v>
      </c>
      <c r="P853" s="153">
        <v>0.39358026214566905</v>
      </c>
      <c r="Q853" s="153">
        <v>0.53857526864315253</v>
      </c>
      <c r="R853" s="153">
        <v>0.3432094572454602</v>
      </c>
      <c r="S853" s="153">
        <v>0.03</v>
      </c>
      <c r="T853" s="153">
        <v>0</v>
      </c>
      <c r="U853" s="474">
        <v>2010</v>
      </c>
      <c r="V853">
        <v>2023</v>
      </c>
      <c r="W853">
        <v>0</v>
      </c>
      <c r="X853">
        <v>0</v>
      </c>
      <c r="Y853">
        <v>1304</v>
      </c>
      <c r="Z853">
        <v>311</v>
      </c>
      <c r="AA853" s="475" t="s">
        <v>23</v>
      </c>
    </row>
    <row r="854" spans="1:27" ht="15" hidden="1">
      <c r="A854" s="24">
        <f t="shared" ref="A854:B873" si="74">1000+ROW()-1</f>
        <v>1853</v>
      </c>
      <c r="B854" s="24">
        <f t="shared" si="74"/>
        <v>1853</v>
      </c>
      <c r="C854" s="476" t="s">
        <v>1248</v>
      </c>
      <c r="D854" t="s">
        <v>152</v>
      </c>
      <c r="E854" s="477">
        <v>3</v>
      </c>
      <c r="F854" s="471">
        <v>30</v>
      </c>
      <c r="G854">
        <v>1</v>
      </c>
      <c r="H854">
        <v>1</v>
      </c>
      <c r="I854" s="472">
        <f t="shared" si="70"/>
        <v>0.47039166666666665</v>
      </c>
      <c r="J854" s="473">
        <v>0.36503333333333332</v>
      </c>
      <c r="K854" s="473">
        <v>0.44336666666666663</v>
      </c>
      <c r="L854" s="473">
        <v>0.58906666666666663</v>
      </c>
      <c r="M854" s="473">
        <v>0.48410000000000003</v>
      </c>
      <c r="N854" s="472">
        <f t="shared" si="71"/>
        <v>0.47039166666666665</v>
      </c>
      <c r="O854" s="473">
        <v>0.36503333333333332</v>
      </c>
      <c r="P854" s="473">
        <v>0.44336666666666663</v>
      </c>
      <c r="Q854" s="473">
        <v>0.58906666666666663</v>
      </c>
      <c r="R854" s="473">
        <v>0.48410000000000003</v>
      </c>
      <c r="S854" s="153">
        <v>0.01</v>
      </c>
      <c r="T854" s="153">
        <v>0.02</v>
      </c>
      <c r="U854" s="478">
        <v>2018</v>
      </c>
      <c r="V854" s="24">
        <f t="shared" ref="V854:V858" si="75">U854+20</f>
        <v>2038</v>
      </c>
      <c r="W854">
        <v>0</v>
      </c>
      <c r="X854">
        <v>0</v>
      </c>
      <c r="Y854">
        <v>1315</v>
      </c>
      <c r="Z854">
        <v>361</v>
      </c>
      <c r="AA854" s="475" t="s">
        <v>24</v>
      </c>
    </row>
    <row r="855" spans="1:27" ht="15" hidden="1">
      <c r="A855" s="24">
        <f t="shared" si="74"/>
        <v>1854</v>
      </c>
      <c r="B855" s="24">
        <f t="shared" si="74"/>
        <v>1854</v>
      </c>
      <c r="C855" s="476" t="s">
        <v>1249</v>
      </c>
      <c r="D855" t="s">
        <v>152</v>
      </c>
      <c r="E855" s="477">
        <v>3</v>
      </c>
      <c r="F855" s="471">
        <v>20</v>
      </c>
      <c r="G855">
        <v>1</v>
      </c>
      <c r="H855">
        <v>1</v>
      </c>
      <c r="I855" s="472">
        <f t="shared" si="70"/>
        <v>0.47039166666666665</v>
      </c>
      <c r="J855" s="473">
        <v>0.36503333333333332</v>
      </c>
      <c r="K855" s="473">
        <v>0.44336666666666663</v>
      </c>
      <c r="L855" s="473">
        <v>0.58906666666666663</v>
      </c>
      <c r="M855" s="473">
        <v>0.48410000000000003</v>
      </c>
      <c r="N855" s="472">
        <f t="shared" si="71"/>
        <v>0.47039166666666665</v>
      </c>
      <c r="O855" s="473">
        <v>0.36503333333333332</v>
      </c>
      <c r="P855" s="473">
        <v>0.44336666666666663</v>
      </c>
      <c r="Q855" s="473">
        <v>0.58906666666666663</v>
      </c>
      <c r="R855" s="473">
        <v>0.48410000000000003</v>
      </c>
      <c r="S855" s="153">
        <v>0.01</v>
      </c>
      <c r="T855" s="153">
        <v>0.02</v>
      </c>
      <c r="U855" s="478">
        <v>2018</v>
      </c>
      <c r="V855" s="24">
        <f t="shared" si="75"/>
        <v>2038</v>
      </c>
      <c r="W855">
        <v>0</v>
      </c>
      <c r="X855">
        <v>0</v>
      </c>
      <c r="Y855">
        <v>1315</v>
      </c>
      <c r="Z855">
        <v>361</v>
      </c>
      <c r="AA855" s="475" t="s">
        <v>24</v>
      </c>
    </row>
    <row r="856" spans="1:27" ht="15" hidden="1">
      <c r="A856" s="24">
        <f t="shared" si="74"/>
        <v>1855</v>
      </c>
      <c r="B856" s="24">
        <f t="shared" si="74"/>
        <v>1855</v>
      </c>
      <c r="C856" s="476" t="s">
        <v>1250</v>
      </c>
      <c r="D856" t="s">
        <v>149</v>
      </c>
      <c r="E856" s="477">
        <v>2</v>
      </c>
      <c r="F856" s="471">
        <v>23.1</v>
      </c>
      <c r="G856">
        <v>1</v>
      </c>
      <c r="H856">
        <v>1</v>
      </c>
      <c r="I856" s="472">
        <f t="shared" si="70"/>
        <v>0.40033333333333337</v>
      </c>
      <c r="J856" s="153">
        <v>0.3706666666666667</v>
      </c>
      <c r="K856" s="153">
        <v>0.3666666666666667</v>
      </c>
      <c r="L856" s="153">
        <v>0.44799999999999995</v>
      </c>
      <c r="M856" s="153">
        <v>0.41600000000000009</v>
      </c>
      <c r="N856" s="472">
        <f t="shared" si="71"/>
        <v>0.40033333333333337</v>
      </c>
      <c r="O856" s="153">
        <v>0.3706666666666667</v>
      </c>
      <c r="P856" s="153">
        <v>0.3666666666666667</v>
      </c>
      <c r="Q856" s="153">
        <v>0.44799999999999995</v>
      </c>
      <c r="R856" s="153">
        <v>0.41600000000000009</v>
      </c>
      <c r="S856" s="153">
        <v>0.01</v>
      </c>
      <c r="T856" s="153">
        <v>0.02</v>
      </c>
      <c r="U856" s="478">
        <v>2018</v>
      </c>
      <c r="V856" s="24">
        <f t="shared" si="75"/>
        <v>2038</v>
      </c>
      <c r="W856">
        <v>0</v>
      </c>
      <c r="X856">
        <v>0</v>
      </c>
      <c r="Y856">
        <v>1315</v>
      </c>
      <c r="Z856">
        <v>360</v>
      </c>
      <c r="AA856" s="475" t="s">
        <v>24</v>
      </c>
    </row>
    <row r="857" spans="1:27" ht="15" hidden="1">
      <c r="A857" s="24">
        <f t="shared" si="74"/>
        <v>1856</v>
      </c>
      <c r="B857" s="24">
        <f t="shared" si="74"/>
        <v>1856</v>
      </c>
      <c r="C857" s="476" t="s">
        <v>1251</v>
      </c>
      <c r="D857" t="s">
        <v>152</v>
      </c>
      <c r="E857" s="477">
        <v>3</v>
      </c>
      <c r="F857" s="471">
        <v>30</v>
      </c>
      <c r="G857">
        <v>1</v>
      </c>
      <c r="H857">
        <v>1</v>
      </c>
      <c r="I857" s="472">
        <f t="shared" si="70"/>
        <v>0.47039166666666665</v>
      </c>
      <c r="J857" s="473">
        <v>0.36503333333333332</v>
      </c>
      <c r="K857" s="473">
        <v>0.44336666666666663</v>
      </c>
      <c r="L857" s="473">
        <v>0.58906666666666663</v>
      </c>
      <c r="M857" s="473">
        <v>0.48410000000000003</v>
      </c>
      <c r="N857" s="472">
        <f t="shared" si="71"/>
        <v>0.47039166666666665</v>
      </c>
      <c r="O857" s="473">
        <v>0.36503333333333332</v>
      </c>
      <c r="P857" s="473">
        <v>0.44336666666666663</v>
      </c>
      <c r="Q857" s="473">
        <v>0.58906666666666663</v>
      </c>
      <c r="R857" s="473">
        <v>0.48410000000000003</v>
      </c>
      <c r="S857" s="153">
        <v>0.01</v>
      </c>
      <c r="T857" s="153">
        <v>0.02</v>
      </c>
      <c r="U857" s="478">
        <v>2016</v>
      </c>
      <c r="V857" s="24">
        <f t="shared" si="75"/>
        <v>2036</v>
      </c>
      <c r="W857">
        <v>0</v>
      </c>
      <c r="X857">
        <v>0</v>
      </c>
      <c r="Y857">
        <v>1315</v>
      </c>
      <c r="Z857">
        <v>361</v>
      </c>
      <c r="AA857" s="475" t="s">
        <v>24</v>
      </c>
    </row>
    <row r="858" spans="1:27" ht="15" hidden="1">
      <c r="A858" s="24">
        <f t="shared" si="74"/>
        <v>1857</v>
      </c>
      <c r="B858" s="24">
        <f t="shared" si="74"/>
        <v>1857</v>
      </c>
      <c r="C858" s="476" t="s">
        <v>1252</v>
      </c>
      <c r="D858" t="s">
        <v>152</v>
      </c>
      <c r="E858" s="477">
        <v>3</v>
      </c>
      <c r="F858" s="471">
        <v>28</v>
      </c>
      <c r="G858">
        <v>1</v>
      </c>
      <c r="H858">
        <v>1</v>
      </c>
      <c r="I858" s="472">
        <f t="shared" si="70"/>
        <v>0.47039166666666665</v>
      </c>
      <c r="J858" s="473">
        <v>0.36503333333333332</v>
      </c>
      <c r="K858" s="473">
        <v>0.44336666666666663</v>
      </c>
      <c r="L858" s="473">
        <v>0.58906666666666663</v>
      </c>
      <c r="M858" s="473">
        <v>0.48410000000000003</v>
      </c>
      <c r="N858" s="472">
        <f t="shared" si="71"/>
        <v>0.47039166666666665</v>
      </c>
      <c r="O858" s="473">
        <v>0.36503333333333332</v>
      </c>
      <c r="P858" s="473">
        <v>0.44336666666666663</v>
      </c>
      <c r="Q858" s="473">
        <v>0.58906666666666663</v>
      </c>
      <c r="R858" s="473">
        <v>0.48410000000000003</v>
      </c>
      <c r="S858" s="153">
        <v>0.01</v>
      </c>
      <c r="T858" s="153">
        <v>0.02</v>
      </c>
      <c r="U858" s="478">
        <v>2018</v>
      </c>
      <c r="V858" s="24">
        <f t="shared" si="75"/>
        <v>2038</v>
      </c>
      <c r="W858">
        <v>0</v>
      </c>
      <c r="X858">
        <v>0</v>
      </c>
      <c r="Y858">
        <v>1315</v>
      </c>
      <c r="Z858">
        <v>361</v>
      </c>
      <c r="AA858" s="475" t="s">
        <v>24</v>
      </c>
    </row>
    <row r="859" spans="1:27" ht="15" hidden="1">
      <c r="A859" s="24">
        <f t="shared" si="74"/>
        <v>1858</v>
      </c>
      <c r="B859" s="24">
        <f t="shared" si="74"/>
        <v>1858</v>
      </c>
      <c r="C859" s="469" t="s">
        <v>1253</v>
      </c>
      <c r="D859" t="s">
        <v>146</v>
      </c>
      <c r="E859" s="470">
        <v>1</v>
      </c>
      <c r="F859" s="471">
        <v>0</v>
      </c>
      <c r="G859">
        <v>1</v>
      </c>
      <c r="H859">
        <v>1</v>
      </c>
      <c r="I859" s="472">
        <f t="shared" si="70"/>
        <v>0.32845968612834514</v>
      </c>
      <c r="J859" s="153">
        <v>3.8473756479098807E-2</v>
      </c>
      <c r="K859" s="153">
        <v>0.39358026214566905</v>
      </c>
      <c r="L859" s="153">
        <v>0.53857526864315253</v>
      </c>
      <c r="M859" s="153">
        <v>0.3432094572454602</v>
      </c>
      <c r="N859" s="472">
        <f t="shared" si="71"/>
        <v>0.32845968612834514</v>
      </c>
      <c r="O859" s="153">
        <v>3.8473756479098807E-2</v>
      </c>
      <c r="P859" s="153">
        <v>0.39358026214566905</v>
      </c>
      <c r="Q859" s="153">
        <v>0.53857526864315253</v>
      </c>
      <c r="R859" s="153">
        <v>0.3432094572454602</v>
      </c>
      <c r="S859" s="153">
        <v>0.03</v>
      </c>
      <c r="T859" s="153">
        <v>0</v>
      </c>
      <c r="U859" s="474">
        <v>1900</v>
      </c>
      <c r="V859">
        <v>2030</v>
      </c>
      <c r="W859">
        <v>0</v>
      </c>
      <c r="X859">
        <v>0</v>
      </c>
      <c r="Y859">
        <v>1304</v>
      </c>
      <c r="Z859">
        <v>311</v>
      </c>
      <c r="AA859" s="475" t="s">
        <v>23</v>
      </c>
    </row>
    <row r="860" spans="1:27" ht="15" hidden="1">
      <c r="A860" s="24">
        <f t="shared" si="74"/>
        <v>1859</v>
      </c>
      <c r="B860" s="24">
        <f t="shared" si="74"/>
        <v>1859</v>
      </c>
      <c r="C860" s="476" t="s">
        <v>1254</v>
      </c>
      <c r="D860" t="s">
        <v>152</v>
      </c>
      <c r="E860" s="477">
        <v>3</v>
      </c>
      <c r="F860" s="471">
        <v>28</v>
      </c>
      <c r="G860">
        <v>1</v>
      </c>
      <c r="H860">
        <v>1</v>
      </c>
      <c r="I860" s="472">
        <f t="shared" si="70"/>
        <v>0.47039166666666665</v>
      </c>
      <c r="J860" s="473">
        <v>0.36503333333333332</v>
      </c>
      <c r="K860" s="473">
        <v>0.44336666666666663</v>
      </c>
      <c r="L860" s="473">
        <v>0.58906666666666663</v>
      </c>
      <c r="M860" s="473">
        <v>0.48410000000000003</v>
      </c>
      <c r="N860" s="472">
        <f t="shared" si="71"/>
        <v>0.47039166666666665</v>
      </c>
      <c r="O860" s="473">
        <v>0.36503333333333332</v>
      </c>
      <c r="P860" s="473">
        <v>0.44336666666666663</v>
      </c>
      <c r="Q860" s="473">
        <v>0.58906666666666663</v>
      </c>
      <c r="R860" s="473">
        <v>0.48410000000000003</v>
      </c>
      <c r="S860" s="153">
        <v>0.01</v>
      </c>
      <c r="T860" s="153">
        <v>0.02</v>
      </c>
      <c r="U860" s="478">
        <v>2017</v>
      </c>
      <c r="V860" s="24">
        <f t="shared" ref="V860:V861" si="76">U860+20</f>
        <v>2037</v>
      </c>
      <c r="W860">
        <v>0</v>
      </c>
      <c r="X860">
        <v>0</v>
      </c>
      <c r="Y860">
        <v>1315</v>
      </c>
      <c r="Z860">
        <v>361</v>
      </c>
      <c r="AA860" s="475" t="s">
        <v>24</v>
      </c>
    </row>
    <row r="861" spans="1:27" ht="15" hidden="1">
      <c r="A861" s="24">
        <f t="shared" si="74"/>
        <v>1860</v>
      </c>
      <c r="B861" s="24">
        <f t="shared" si="74"/>
        <v>1860</v>
      </c>
      <c r="C861" s="476" t="s">
        <v>1255</v>
      </c>
      <c r="D861" t="s">
        <v>152</v>
      </c>
      <c r="E861" s="477">
        <v>3</v>
      </c>
      <c r="F861" s="471">
        <v>28</v>
      </c>
      <c r="G861">
        <v>1</v>
      </c>
      <c r="H861">
        <v>1</v>
      </c>
      <c r="I861" s="472">
        <f t="shared" si="70"/>
        <v>0.47039166666666665</v>
      </c>
      <c r="J861" s="473">
        <v>0.36503333333333332</v>
      </c>
      <c r="K861" s="473">
        <v>0.44336666666666663</v>
      </c>
      <c r="L861" s="473">
        <v>0.58906666666666663</v>
      </c>
      <c r="M861" s="473">
        <v>0.48410000000000003</v>
      </c>
      <c r="N861" s="472">
        <f t="shared" si="71"/>
        <v>0.47039166666666665</v>
      </c>
      <c r="O861" s="473">
        <v>0.36503333333333332</v>
      </c>
      <c r="P861" s="473">
        <v>0.44336666666666663</v>
      </c>
      <c r="Q861" s="473">
        <v>0.58906666666666663</v>
      </c>
      <c r="R861" s="473">
        <v>0.48410000000000003</v>
      </c>
      <c r="S861" s="153">
        <v>0.01</v>
      </c>
      <c r="T861" s="153">
        <v>0.02</v>
      </c>
      <c r="U861" s="478">
        <v>2018</v>
      </c>
      <c r="V861" s="24">
        <f t="shared" si="76"/>
        <v>2038</v>
      </c>
      <c r="W861">
        <v>0</v>
      </c>
      <c r="X861">
        <v>0</v>
      </c>
      <c r="Y861">
        <v>1315</v>
      </c>
      <c r="Z861">
        <v>361</v>
      </c>
      <c r="AA861" s="475" t="s">
        <v>24</v>
      </c>
    </row>
    <row r="862" spans="1:27" ht="15" hidden="1">
      <c r="A862" s="24">
        <f t="shared" si="74"/>
        <v>1861</v>
      </c>
      <c r="B862" s="24">
        <f t="shared" si="74"/>
        <v>1861</v>
      </c>
      <c r="C862" s="469" t="s">
        <v>1256</v>
      </c>
      <c r="D862" t="s">
        <v>149</v>
      </c>
      <c r="E862" s="470">
        <v>2</v>
      </c>
      <c r="F862" s="471">
        <v>10.897410256410257</v>
      </c>
      <c r="G862">
        <v>1</v>
      </c>
      <c r="H862">
        <v>1</v>
      </c>
      <c r="I862" s="472">
        <f t="shared" si="70"/>
        <v>0.32845968612834514</v>
      </c>
      <c r="J862" s="153">
        <v>3.8473756479098807E-2</v>
      </c>
      <c r="K862" s="153">
        <v>0.39358026214566905</v>
      </c>
      <c r="L862" s="153">
        <v>0.53857526864315253</v>
      </c>
      <c r="M862" s="153">
        <v>0.3432094572454602</v>
      </c>
      <c r="N862" s="472">
        <f t="shared" si="71"/>
        <v>0.32845968612834514</v>
      </c>
      <c r="O862" s="153">
        <v>3.8473756479098807E-2</v>
      </c>
      <c r="P862" s="153">
        <v>0.39358026214566905</v>
      </c>
      <c r="Q862" s="153">
        <v>0.53857526864315253</v>
      </c>
      <c r="R862" s="153">
        <v>0.3432094572454602</v>
      </c>
      <c r="S862" s="153">
        <v>0.03</v>
      </c>
      <c r="T862" s="153">
        <v>0</v>
      </c>
      <c r="U862" s="474">
        <v>2011</v>
      </c>
      <c r="V862">
        <v>2030</v>
      </c>
      <c r="W862">
        <v>0</v>
      </c>
      <c r="X862">
        <v>0</v>
      </c>
      <c r="Y862">
        <v>1304</v>
      </c>
      <c r="Z862">
        <v>311</v>
      </c>
      <c r="AA862" s="475" t="s">
        <v>23</v>
      </c>
    </row>
    <row r="863" spans="1:27" ht="15" hidden="1">
      <c r="A863" s="24">
        <f t="shared" si="74"/>
        <v>1862</v>
      </c>
      <c r="B863" s="24">
        <f t="shared" si="74"/>
        <v>1862</v>
      </c>
      <c r="C863" s="469" t="s">
        <v>1257</v>
      </c>
      <c r="D863" t="s">
        <v>149</v>
      </c>
      <c r="E863" s="470">
        <v>2</v>
      </c>
      <c r="F863" s="471">
        <v>1.6025897435897436</v>
      </c>
      <c r="G863">
        <v>1</v>
      </c>
      <c r="H863">
        <v>1</v>
      </c>
      <c r="I863" s="472">
        <f t="shared" si="70"/>
        <v>0.32845968612834514</v>
      </c>
      <c r="J863" s="153">
        <v>3.8473756479098807E-2</v>
      </c>
      <c r="K863" s="153">
        <v>0.39358026214566905</v>
      </c>
      <c r="L863" s="153">
        <v>0.53857526864315253</v>
      </c>
      <c r="M863" s="153">
        <v>0.3432094572454602</v>
      </c>
      <c r="N863" s="472">
        <f t="shared" si="71"/>
        <v>0.32845968612834514</v>
      </c>
      <c r="O863" s="153">
        <v>3.8473756479098807E-2</v>
      </c>
      <c r="P863" s="153">
        <v>0.39358026214566905</v>
      </c>
      <c r="Q863" s="153">
        <v>0.53857526864315253</v>
      </c>
      <c r="R863" s="153">
        <v>0.3432094572454602</v>
      </c>
      <c r="S863" s="153">
        <v>0.03</v>
      </c>
      <c r="T863" s="153">
        <v>0</v>
      </c>
      <c r="U863" s="474">
        <v>2011</v>
      </c>
      <c r="V863">
        <v>2030</v>
      </c>
      <c r="W863">
        <v>0</v>
      </c>
      <c r="X863">
        <v>0</v>
      </c>
      <c r="Y863">
        <v>1304</v>
      </c>
      <c r="Z863">
        <v>311</v>
      </c>
      <c r="AA863" s="475" t="s">
        <v>23</v>
      </c>
    </row>
    <row r="864" spans="1:27" ht="15" hidden="1">
      <c r="A864" s="24">
        <f t="shared" si="74"/>
        <v>1863</v>
      </c>
      <c r="B864" s="24">
        <f t="shared" si="74"/>
        <v>1863</v>
      </c>
      <c r="C864" s="469" t="s">
        <v>1258</v>
      </c>
      <c r="D864" t="s">
        <v>146</v>
      </c>
      <c r="E864" s="470">
        <v>1</v>
      </c>
      <c r="F864" s="471">
        <v>12</v>
      </c>
      <c r="G864">
        <v>1</v>
      </c>
      <c r="H864">
        <v>1</v>
      </c>
      <c r="I864" s="472">
        <f t="shared" si="70"/>
        <v>0.32845968612834514</v>
      </c>
      <c r="J864" s="153">
        <v>3.8473756479098807E-2</v>
      </c>
      <c r="K864" s="153">
        <v>0.39358026214566905</v>
      </c>
      <c r="L864" s="153">
        <v>0.53857526864315253</v>
      </c>
      <c r="M864" s="153">
        <v>0.3432094572454602</v>
      </c>
      <c r="N864" s="472">
        <f t="shared" si="71"/>
        <v>0.32845968612834514</v>
      </c>
      <c r="O864" s="153">
        <v>3.8473756479098807E-2</v>
      </c>
      <c r="P864" s="153">
        <v>0.39358026214566905</v>
      </c>
      <c r="Q864" s="153">
        <v>0.53857526864315253</v>
      </c>
      <c r="R864" s="153">
        <v>0.3432094572454602</v>
      </c>
      <c r="S864" s="153">
        <v>0.03</v>
      </c>
      <c r="T864" s="153">
        <v>0</v>
      </c>
      <c r="U864" s="474">
        <v>2010</v>
      </c>
      <c r="V864">
        <v>2023</v>
      </c>
      <c r="W864">
        <v>0</v>
      </c>
      <c r="X864">
        <v>0</v>
      </c>
      <c r="Y864">
        <v>1304</v>
      </c>
      <c r="Z864">
        <v>311</v>
      </c>
      <c r="AA864" s="475" t="s">
        <v>23</v>
      </c>
    </row>
    <row r="865" spans="1:27" ht="15" hidden="1">
      <c r="A865" s="24">
        <f t="shared" si="74"/>
        <v>1864</v>
      </c>
      <c r="B865" s="24">
        <f t="shared" si="74"/>
        <v>1864</v>
      </c>
      <c r="C865" s="476" t="s">
        <v>1259</v>
      </c>
      <c r="D865" t="s">
        <v>152</v>
      </c>
      <c r="E865" s="477">
        <v>3</v>
      </c>
      <c r="F865" s="471">
        <v>28</v>
      </c>
      <c r="G865">
        <v>1</v>
      </c>
      <c r="H865">
        <v>1</v>
      </c>
      <c r="I865" s="472">
        <f t="shared" si="70"/>
        <v>0.47039166666666665</v>
      </c>
      <c r="J865" s="473">
        <v>0.36503333333333332</v>
      </c>
      <c r="K865" s="473">
        <v>0.44336666666666663</v>
      </c>
      <c r="L865" s="473">
        <v>0.58906666666666663</v>
      </c>
      <c r="M865" s="473">
        <v>0.48410000000000003</v>
      </c>
      <c r="N865" s="472">
        <f t="shared" si="71"/>
        <v>0.47039166666666665</v>
      </c>
      <c r="O865" s="473">
        <v>0.36503333333333332</v>
      </c>
      <c r="P865" s="473">
        <v>0.44336666666666663</v>
      </c>
      <c r="Q865" s="473">
        <v>0.58906666666666663</v>
      </c>
      <c r="R865" s="473">
        <v>0.48410000000000003</v>
      </c>
      <c r="S865" s="153">
        <v>0.01</v>
      </c>
      <c r="T865" s="153">
        <v>0.02</v>
      </c>
      <c r="U865" s="478">
        <v>2018</v>
      </c>
      <c r="V865" s="24">
        <f t="shared" ref="V865:V873" si="77">U865+20</f>
        <v>2038</v>
      </c>
      <c r="W865">
        <v>0</v>
      </c>
      <c r="X865">
        <v>0</v>
      </c>
      <c r="Y865">
        <v>1315</v>
      </c>
      <c r="Z865">
        <v>361</v>
      </c>
      <c r="AA865" s="475" t="s">
        <v>24</v>
      </c>
    </row>
    <row r="866" spans="1:27" ht="15" hidden="1">
      <c r="A866" s="24">
        <f t="shared" si="74"/>
        <v>1865</v>
      </c>
      <c r="B866" s="24">
        <f t="shared" si="74"/>
        <v>1865</v>
      </c>
      <c r="C866" s="476" t="s">
        <v>1260</v>
      </c>
      <c r="D866" t="s">
        <v>152</v>
      </c>
      <c r="E866" s="477">
        <v>3</v>
      </c>
      <c r="F866" s="471">
        <v>30</v>
      </c>
      <c r="G866">
        <v>1</v>
      </c>
      <c r="H866">
        <v>1</v>
      </c>
      <c r="I866" s="472">
        <f t="shared" si="70"/>
        <v>0.47039166666666665</v>
      </c>
      <c r="J866" s="473">
        <v>0.36503333333333332</v>
      </c>
      <c r="K866" s="473">
        <v>0.44336666666666663</v>
      </c>
      <c r="L866" s="473">
        <v>0.58906666666666663</v>
      </c>
      <c r="M866" s="473">
        <v>0.48410000000000003</v>
      </c>
      <c r="N866" s="472">
        <f t="shared" si="71"/>
        <v>0.47039166666666665</v>
      </c>
      <c r="O866" s="473">
        <v>0.36503333333333332</v>
      </c>
      <c r="P866" s="473">
        <v>0.44336666666666663</v>
      </c>
      <c r="Q866" s="473">
        <v>0.58906666666666663</v>
      </c>
      <c r="R866" s="473">
        <v>0.48410000000000003</v>
      </c>
      <c r="S866" s="153">
        <v>0.01</v>
      </c>
      <c r="T866" s="153">
        <v>0.02</v>
      </c>
      <c r="U866" s="478">
        <v>2018</v>
      </c>
      <c r="V866" s="24">
        <f t="shared" si="77"/>
        <v>2038</v>
      </c>
      <c r="W866">
        <v>0</v>
      </c>
      <c r="X866">
        <v>0</v>
      </c>
      <c r="Y866">
        <v>1315</v>
      </c>
      <c r="Z866">
        <v>361</v>
      </c>
      <c r="AA866" s="475" t="s">
        <v>24</v>
      </c>
    </row>
    <row r="867" spans="1:27" ht="15" hidden="1">
      <c r="A867" s="24">
        <f t="shared" si="74"/>
        <v>1866</v>
      </c>
      <c r="B867" s="24">
        <f t="shared" si="74"/>
        <v>1866</v>
      </c>
      <c r="C867" s="476" t="s">
        <v>1261</v>
      </c>
      <c r="D867" t="s">
        <v>152</v>
      </c>
      <c r="E867" s="477">
        <v>3</v>
      </c>
      <c r="F867" s="471">
        <v>30</v>
      </c>
      <c r="G867">
        <v>1</v>
      </c>
      <c r="H867">
        <v>1</v>
      </c>
      <c r="I867" s="472">
        <f t="shared" si="70"/>
        <v>0.47039166666666665</v>
      </c>
      <c r="J867" s="473">
        <v>0.36503333333333332</v>
      </c>
      <c r="K867" s="473">
        <v>0.44336666666666663</v>
      </c>
      <c r="L867" s="473">
        <v>0.58906666666666663</v>
      </c>
      <c r="M867" s="473">
        <v>0.48410000000000003</v>
      </c>
      <c r="N867" s="472">
        <f t="shared" si="71"/>
        <v>0.47039166666666665</v>
      </c>
      <c r="O867" s="473">
        <v>0.36503333333333332</v>
      </c>
      <c r="P867" s="473">
        <v>0.44336666666666663</v>
      </c>
      <c r="Q867" s="473">
        <v>0.58906666666666663</v>
      </c>
      <c r="R867" s="473">
        <v>0.48410000000000003</v>
      </c>
      <c r="S867" s="153">
        <v>0.01</v>
      </c>
      <c r="T867" s="153">
        <v>0.02</v>
      </c>
      <c r="U867" s="478">
        <v>2018</v>
      </c>
      <c r="V867" s="24">
        <f t="shared" si="77"/>
        <v>2038</v>
      </c>
      <c r="W867">
        <v>0</v>
      </c>
      <c r="X867">
        <v>0</v>
      </c>
      <c r="Y867">
        <v>1315</v>
      </c>
      <c r="Z867">
        <v>361</v>
      </c>
      <c r="AA867" s="475" t="s">
        <v>24</v>
      </c>
    </row>
    <row r="868" spans="1:27" ht="15" hidden="1">
      <c r="A868" s="24">
        <f t="shared" si="74"/>
        <v>1867</v>
      </c>
      <c r="B868" s="24">
        <f t="shared" si="74"/>
        <v>1867</v>
      </c>
      <c r="C868" s="476" t="s">
        <v>1262</v>
      </c>
      <c r="D868" t="s">
        <v>152</v>
      </c>
      <c r="E868" s="477">
        <v>3</v>
      </c>
      <c r="F868" s="471">
        <v>18</v>
      </c>
      <c r="G868">
        <v>1</v>
      </c>
      <c r="H868">
        <v>1</v>
      </c>
      <c r="I868" s="472">
        <f t="shared" si="70"/>
        <v>0.47039166666666665</v>
      </c>
      <c r="J868" s="473">
        <v>0.36503333333333332</v>
      </c>
      <c r="K868" s="473">
        <v>0.44336666666666663</v>
      </c>
      <c r="L868" s="473">
        <v>0.58906666666666663</v>
      </c>
      <c r="M868" s="473">
        <v>0.48410000000000003</v>
      </c>
      <c r="N868" s="472">
        <f t="shared" si="71"/>
        <v>0.47039166666666665</v>
      </c>
      <c r="O868" s="473">
        <v>0.36503333333333332</v>
      </c>
      <c r="P868" s="473">
        <v>0.44336666666666663</v>
      </c>
      <c r="Q868" s="473">
        <v>0.58906666666666663</v>
      </c>
      <c r="R868" s="473">
        <v>0.48410000000000003</v>
      </c>
      <c r="S868" s="153">
        <v>0.01</v>
      </c>
      <c r="T868" s="153">
        <v>0.02</v>
      </c>
      <c r="U868" s="478">
        <v>2018</v>
      </c>
      <c r="V868" s="24">
        <f t="shared" si="77"/>
        <v>2038</v>
      </c>
      <c r="W868">
        <v>0</v>
      </c>
      <c r="X868">
        <v>0</v>
      </c>
      <c r="Y868">
        <v>1315</v>
      </c>
      <c r="Z868">
        <v>361</v>
      </c>
      <c r="AA868" s="475" t="s">
        <v>24</v>
      </c>
    </row>
    <row r="869" spans="1:27" ht="15" hidden="1">
      <c r="A869" s="24">
        <f t="shared" si="74"/>
        <v>1868</v>
      </c>
      <c r="B869" s="24">
        <f t="shared" si="74"/>
        <v>1868</v>
      </c>
      <c r="C869" s="476" t="s">
        <v>1263</v>
      </c>
      <c r="D869" t="s">
        <v>152</v>
      </c>
      <c r="E869" s="477">
        <v>3</v>
      </c>
      <c r="F869" s="471">
        <v>18</v>
      </c>
      <c r="G869">
        <v>1</v>
      </c>
      <c r="H869">
        <v>1</v>
      </c>
      <c r="I869" s="472">
        <f t="shared" si="70"/>
        <v>0.47039166666666665</v>
      </c>
      <c r="J869" s="473">
        <v>0.36503333333333332</v>
      </c>
      <c r="K869" s="473">
        <v>0.44336666666666663</v>
      </c>
      <c r="L869" s="473">
        <v>0.58906666666666663</v>
      </c>
      <c r="M869" s="473">
        <v>0.48410000000000003</v>
      </c>
      <c r="N869" s="472">
        <f t="shared" si="71"/>
        <v>0.47039166666666665</v>
      </c>
      <c r="O869" s="473">
        <v>0.36503333333333332</v>
      </c>
      <c r="P869" s="473">
        <v>0.44336666666666663</v>
      </c>
      <c r="Q869" s="473">
        <v>0.58906666666666663</v>
      </c>
      <c r="R869" s="473">
        <v>0.48410000000000003</v>
      </c>
      <c r="S869" s="153">
        <v>0.01</v>
      </c>
      <c r="T869" s="153">
        <v>0.02</v>
      </c>
      <c r="U869" s="478">
        <v>2018</v>
      </c>
      <c r="V869" s="24">
        <f t="shared" si="77"/>
        <v>2038</v>
      </c>
      <c r="W869">
        <v>0</v>
      </c>
      <c r="X869">
        <v>0</v>
      </c>
      <c r="Y869">
        <v>1315</v>
      </c>
      <c r="Z869">
        <v>361</v>
      </c>
      <c r="AA869" s="475" t="s">
        <v>24</v>
      </c>
    </row>
    <row r="870" spans="1:27" ht="15" hidden="1">
      <c r="A870" s="24">
        <f t="shared" si="74"/>
        <v>1869</v>
      </c>
      <c r="B870" s="24">
        <f t="shared" si="74"/>
        <v>1869</v>
      </c>
      <c r="C870" s="476" t="s">
        <v>1264</v>
      </c>
      <c r="D870" t="s">
        <v>152</v>
      </c>
      <c r="E870" s="477">
        <v>3</v>
      </c>
      <c r="F870" s="471">
        <v>25.2</v>
      </c>
      <c r="G870">
        <v>1</v>
      </c>
      <c r="H870">
        <v>1</v>
      </c>
      <c r="I870" s="472">
        <f t="shared" si="70"/>
        <v>0.47039166666666665</v>
      </c>
      <c r="J870" s="473">
        <v>0.36503333333333332</v>
      </c>
      <c r="K870" s="473">
        <v>0.44336666666666663</v>
      </c>
      <c r="L870" s="473">
        <v>0.58906666666666663</v>
      </c>
      <c r="M870" s="473">
        <v>0.48410000000000003</v>
      </c>
      <c r="N870" s="472">
        <f t="shared" si="71"/>
        <v>0.47039166666666665</v>
      </c>
      <c r="O870" s="473">
        <v>0.36503333333333332</v>
      </c>
      <c r="P870" s="473">
        <v>0.44336666666666663</v>
      </c>
      <c r="Q870" s="473">
        <v>0.58906666666666663</v>
      </c>
      <c r="R870" s="473">
        <v>0.48410000000000003</v>
      </c>
      <c r="S870" s="153">
        <v>0.01</v>
      </c>
      <c r="T870" s="153">
        <v>0.02</v>
      </c>
      <c r="U870" s="478">
        <v>2018</v>
      </c>
      <c r="V870" s="24">
        <f t="shared" si="77"/>
        <v>2038</v>
      </c>
      <c r="W870">
        <v>0</v>
      </c>
      <c r="X870">
        <v>0</v>
      </c>
      <c r="Y870">
        <v>1315</v>
      </c>
      <c r="Z870">
        <v>361</v>
      </c>
      <c r="AA870" s="475" t="s">
        <v>24</v>
      </c>
    </row>
    <row r="871" spans="1:27" ht="15" hidden="1">
      <c r="A871" s="24">
        <f t="shared" si="74"/>
        <v>1870</v>
      </c>
      <c r="B871" s="24">
        <f t="shared" si="74"/>
        <v>1870</v>
      </c>
      <c r="C871" s="476" t="s">
        <v>1265</v>
      </c>
      <c r="D871" t="s">
        <v>152</v>
      </c>
      <c r="E871" s="477">
        <v>3</v>
      </c>
      <c r="F871" s="471">
        <v>21.6</v>
      </c>
      <c r="G871">
        <v>1</v>
      </c>
      <c r="H871">
        <v>1</v>
      </c>
      <c r="I871" s="472">
        <f t="shared" si="70"/>
        <v>0.47039166666666665</v>
      </c>
      <c r="J871" s="473">
        <v>0.36503333333333332</v>
      </c>
      <c r="K871" s="473">
        <v>0.44336666666666663</v>
      </c>
      <c r="L871" s="473">
        <v>0.58906666666666663</v>
      </c>
      <c r="M871" s="473">
        <v>0.48410000000000003</v>
      </c>
      <c r="N871" s="472">
        <f t="shared" si="71"/>
        <v>0.47039166666666665</v>
      </c>
      <c r="O871" s="473">
        <v>0.36503333333333332</v>
      </c>
      <c r="P871" s="473">
        <v>0.44336666666666663</v>
      </c>
      <c r="Q871" s="473">
        <v>0.58906666666666663</v>
      </c>
      <c r="R871" s="473">
        <v>0.48410000000000003</v>
      </c>
      <c r="S871" s="153">
        <v>0.01</v>
      </c>
      <c r="T871" s="153">
        <v>0.02</v>
      </c>
      <c r="U871" s="478">
        <v>2018</v>
      </c>
      <c r="V871" s="24">
        <f t="shared" si="77"/>
        <v>2038</v>
      </c>
      <c r="W871">
        <v>0</v>
      </c>
      <c r="X871">
        <v>0</v>
      </c>
      <c r="Y871">
        <v>1315</v>
      </c>
      <c r="Z871">
        <v>361</v>
      </c>
      <c r="AA871" s="475" t="s">
        <v>24</v>
      </c>
    </row>
    <row r="872" spans="1:27" ht="15" hidden="1">
      <c r="A872" s="24">
        <f t="shared" si="74"/>
        <v>1871</v>
      </c>
      <c r="B872" s="24">
        <f t="shared" si="74"/>
        <v>1871</v>
      </c>
      <c r="C872" s="476" t="s">
        <v>1266</v>
      </c>
      <c r="D872" t="s">
        <v>152</v>
      </c>
      <c r="E872" s="477">
        <v>3</v>
      </c>
      <c r="F872" s="471">
        <v>30</v>
      </c>
      <c r="G872">
        <v>1</v>
      </c>
      <c r="H872">
        <v>1</v>
      </c>
      <c r="I872" s="472">
        <f t="shared" si="70"/>
        <v>0.47039166666666665</v>
      </c>
      <c r="J872" s="473">
        <v>0.36503333333333332</v>
      </c>
      <c r="K872" s="473">
        <v>0.44336666666666663</v>
      </c>
      <c r="L872" s="473">
        <v>0.58906666666666663</v>
      </c>
      <c r="M872" s="473">
        <v>0.48410000000000003</v>
      </c>
      <c r="N872" s="472">
        <f t="shared" si="71"/>
        <v>0.47039166666666665</v>
      </c>
      <c r="O872" s="473">
        <v>0.36503333333333332</v>
      </c>
      <c r="P872" s="473">
        <v>0.44336666666666663</v>
      </c>
      <c r="Q872" s="473">
        <v>0.58906666666666663</v>
      </c>
      <c r="R872" s="473">
        <v>0.48410000000000003</v>
      </c>
      <c r="S872" s="153">
        <v>0.01</v>
      </c>
      <c r="T872" s="153">
        <v>0.02</v>
      </c>
      <c r="U872" s="478">
        <v>2018</v>
      </c>
      <c r="V872" s="24">
        <f t="shared" si="77"/>
        <v>2038</v>
      </c>
      <c r="W872">
        <v>0</v>
      </c>
      <c r="X872">
        <v>0</v>
      </c>
      <c r="Y872">
        <v>1315</v>
      </c>
      <c r="Z872">
        <v>361</v>
      </c>
      <c r="AA872" s="475" t="s">
        <v>24</v>
      </c>
    </row>
    <row r="873" spans="1:27" ht="15" hidden="1">
      <c r="A873" s="24">
        <f t="shared" si="74"/>
        <v>1872</v>
      </c>
      <c r="B873" s="24">
        <f t="shared" si="74"/>
        <v>1872</v>
      </c>
      <c r="C873" s="476" t="s">
        <v>1267</v>
      </c>
      <c r="D873" t="s">
        <v>152</v>
      </c>
      <c r="E873" s="477">
        <v>3</v>
      </c>
      <c r="F873" s="471">
        <v>28</v>
      </c>
      <c r="G873">
        <v>1</v>
      </c>
      <c r="H873">
        <v>1</v>
      </c>
      <c r="I873" s="472">
        <f t="shared" si="70"/>
        <v>0.47039166666666665</v>
      </c>
      <c r="J873" s="473">
        <v>0.36503333333333332</v>
      </c>
      <c r="K873" s="473">
        <v>0.44336666666666663</v>
      </c>
      <c r="L873" s="473">
        <v>0.58906666666666663</v>
      </c>
      <c r="M873" s="473">
        <v>0.48410000000000003</v>
      </c>
      <c r="N873" s="472">
        <f t="shared" si="71"/>
        <v>0.47039166666666665</v>
      </c>
      <c r="O873" s="473">
        <v>0.36503333333333332</v>
      </c>
      <c r="P873" s="473">
        <v>0.44336666666666663</v>
      </c>
      <c r="Q873" s="473">
        <v>0.58906666666666663</v>
      </c>
      <c r="R873" s="473">
        <v>0.48410000000000003</v>
      </c>
      <c r="S873" s="153">
        <v>0.01</v>
      </c>
      <c r="T873" s="153">
        <v>0.02</v>
      </c>
      <c r="U873" s="478">
        <v>2018</v>
      </c>
      <c r="V873" s="24">
        <f t="shared" si="77"/>
        <v>2038</v>
      </c>
      <c r="W873">
        <v>0</v>
      </c>
      <c r="X873">
        <v>0</v>
      </c>
      <c r="Y873">
        <v>1315</v>
      </c>
      <c r="Z873">
        <v>361</v>
      </c>
      <c r="AA873" s="475" t="s">
        <v>24</v>
      </c>
    </row>
    <row r="874" spans="1:27" ht="15" hidden="1">
      <c r="A874" s="24">
        <f t="shared" ref="A874:B893" si="78">1000+ROW()-1</f>
        <v>1873</v>
      </c>
      <c r="B874" s="24">
        <f t="shared" si="78"/>
        <v>1873</v>
      </c>
      <c r="C874" s="469" t="s">
        <v>1268</v>
      </c>
      <c r="D874" t="s">
        <v>146</v>
      </c>
      <c r="E874" s="470">
        <v>1</v>
      </c>
      <c r="F874" s="471">
        <v>0</v>
      </c>
      <c r="G874">
        <v>1</v>
      </c>
      <c r="H874">
        <v>1</v>
      </c>
      <c r="I874" s="472">
        <f t="shared" si="70"/>
        <v>0.32845968612834514</v>
      </c>
      <c r="J874" s="153">
        <v>3.8473756479098807E-2</v>
      </c>
      <c r="K874" s="153">
        <v>0.39358026214566905</v>
      </c>
      <c r="L874" s="153">
        <v>0.53857526864315253</v>
      </c>
      <c r="M874" s="153">
        <v>0.3432094572454602</v>
      </c>
      <c r="N874" s="472">
        <f t="shared" si="71"/>
        <v>0.32845968612834514</v>
      </c>
      <c r="O874" s="153">
        <v>3.8473756479098807E-2</v>
      </c>
      <c r="P874" s="153">
        <v>0.39358026214566905</v>
      </c>
      <c r="Q874" s="153">
        <v>0.53857526864315253</v>
      </c>
      <c r="R874" s="153">
        <v>0.3432094572454602</v>
      </c>
      <c r="S874" s="153">
        <v>0.03</v>
      </c>
      <c r="T874" s="153">
        <v>0</v>
      </c>
      <c r="U874" s="474">
        <v>1900</v>
      </c>
      <c r="V874">
        <v>2030</v>
      </c>
      <c r="W874">
        <v>0</v>
      </c>
      <c r="X874">
        <v>0</v>
      </c>
      <c r="Y874">
        <v>1304</v>
      </c>
      <c r="Z874">
        <v>311</v>
      </c>
      <c r="AA874" s="475" t="s">
        <v>23</v>
      </c>
    </row>
    <row r="875" spans="1:27" ht="15" hidden="1">
      <c r="A875" s="24">
        <f t="shared" si="78"/>
        <v>1874</v>
      </c>
      <c r="B875" s="24">
        <f t="shared" si="78"/>
        <v>1874</v>
      </c>
      <c r="C875" s="476" t="s">
        <v>1269</v>
      </c>
      <c r="D875" t="s">
        <v>152</v>
      </c>
      <c r="E875" s="477">
        <v>3</v>
      </c>
      <c r="F875" s="471">
        <v>10.08</v>
      </c>
      <c r="G875">
        <v>1</v>
      </c>
      <c r="H875">
        <v>1</v>
      </c>
      <c r="I875" s="472">
        <f t="shared" si="70"/>
        <v>0.47039166666666665</v>
      </c>
      <c r="J875" s="473">
        <v>0.36503333333333332</v>
      </c>
      <c r="K875" s="473">
        <v>0.44336666666666663</v>
      </c>
      <c r="L875" s="473">
        <v>0.58906666666666663</v>
      </c>
      <c r="M875" s="473">
        <v>0.48410000000000003</v>
      </c>
      <c r="N875" s="472">
        <f t="shared" si="71"/>
        <v>0.47039166666666665</v>
      </c>
      <c r="O875" s="473">
        <v>0.36503333333333332</v>
      </c>
      <c r="P875" s="473">
        <v>0.44336666666666663</v>
      </c>
      <c r="Q875" s="473">
        <v>0.58906666666666663</v>
      </c>
      <c r="R875" s="473">
        <v>0.48410000000000003</v>
      </c>
      <c r="S875" s="153">
        <v>0.01</v>
      </c>
      <c r="T875" s="153">
        <v>0.02</v>
      </c>
      <c r="U875" s="478">
        <v>2016</v>
      </c>
      <c r="V875" s="24">
        <f>U875+20</f>
        <v>2036</v>
      </c>
      <c r="W875">
        <v>0</v>
      </c>
      <c r="X875">
        <v>0</v>
      </c>
      <c r="Y875">
        <v>1315</v>
      </c>
      <c r="Z875">
        <v>361</v>
      </c>
      <c r="AA875" s="475" t="s">
        <v>24</v>
      </c>
    </row>
    <row r="876" spans="1:27" ht="15" hidden="1">
      <c r="A876" s="24">
        <f t="shared" si="78"/>
        <v>1875</v>
      </c>
      <c r="B876" s="24">
        <f t="shared" si="78"/>
        <v>1875</v>
      </c>
      <c r="C876" s="469" t="s">
        <v>1270</v>
      </c>
      <c r="D876" t="s">
        <v>146</v>
      </c>
      <c r="E876" s="470">
        <v>1</v>
      </c>
      <c r="F876" s="471">
        <v>50</v>
      </c>
      <c r="G876">
        <v>1</v>
      </c>
      <c r="H876">
        <v>1</v>
      </c>
      <c r="I876" s="472">
        <f t="shared" si="70"/>
        <v>0.32845968612834514</v>
      </c>
      <c r="J876" s="153">
        <v>3.8473756479098807E-2</v>
      </c>
      <c r="K876" s="153">
        <v>0.39358026214566905</v>
      </c>
      <c r="L876" s="153">
        <v>0.53857526864315253</v>
      </c>
      <c r="M876" s="153">
        <v>0.3432094572454602</v>
      </c>
      <c r="N876" s="472">
        <f t="shared" si="71"/>
        <v>0.32845968612834514</v>
      </c>
      <c r="O876" s="153">
        <v>3.8473756479098807E-2</v>
      </c>
      <c r="P876" s="153">
        <v>0.39358026214566905</v>
      </c>
      <c r="Q876" s="153">
        <v>0.53857526864315253</v>
      </c>
      <c r="R876" s="153">
        <v>0.3432094572454602</v>
      </c>
      <c r="S876" s="153">
        <v>0.03</v>
      </c>
      <c r="T876" s="153">
        <v>0</v>
      </c>
      <c r="U876" s="474">
        <v>1900</v>
      </c>
      <c r="V876">
        <v>2030</v>
      </c>
      <c r="W876">
        <v>0</v>
      </c>
      <c r="X876">
        <v>0</v>
      </c>
      <c r="Y876">
        <v>1304</v>
      </c>
      <c r="Z876">
        <v>311</v>
      </c>
      <c r="AA876" s="475" t="s">
        <v>23</v>
      </c>
    </row>
    <row r="877" spans="1:27" ht="15" hidden="1">
      <c r="A877" s="24">
        <f t="shared" si="78"/>
        <v>1876</v>
      </c>
      <c r="B877" s="24">
        <f t="shared" si="78"/>
        <v>1876</v>
      </c>
      <c r="C877" s="469" t="s">
        <v>1271</v>
      </c>
      <c r="D877" t="s">
        <v>146</v>
      </c>
      <c r="E877" s="470">
        <v>1</v>
      </c>
      <c r="F877" s="471">
        <v>0</v>
      </c>
      <c r="G877">
        <v>1</v>
      </c>
      <c r="H877">
        <v>1</v>
      </c>
      <c r="I877" s="472">
        <f t="shared" si="70"/>
        <v>0.32845968612834514</v>
      </c>
      <c r="J877" s="153">
        <v>3.8473756479098807E-2</v>
      </c>
      <c r="K877" s="153">
        <v>0.39358026214566905</v>
      </c>
      <c r="L877" s="153">
        <v>0.53857526864315253</v>
      </c>
      <c r="M877" s="153">
        <v>0.3432094572454602</v>
      </c>
      <c r="N877" s="472">
        <f t="shared" si="71"/>
        <v>0.32845968612834514</v>
      </c>
      <c r="O877" s="153">
        <v>3.8473756479098807E-2</v>
      </c>
      <c r="P877" s="153">
        <v>0.39358026214566905</v>
      </c>
      <c r="Q877" s="153">
        <v>0.53857526864315253</v>
      </c>
      <c r="R877" s="153">
        <v>0.3432094572454602</v>
      </c>
      <c r="S877" s="153">
        <v>0.03</v>
      </c>
      <c r="T877" s="153">
        <v>0</v>
      </c>
      <c r="U877" s="474">
        <v>1900</v>
      </c>
      <c r="V877">
        <v>2030</v>
      </c>
      <c r="W877">
        <v>0</v>
      </c>
      <c r="X877">
        <v>0</v>
      </c>
      <c r="Y877">
        <v>1304</v>
      </c>
      <c r="Z877">
        <v>311</v>
      </c>
      <c r="AA877" s="475" t="s">
        <v>23</v>
      </c>
    </row>
    <row r="878" spans="1:27" ht="15" hidden="1">
      <c r="A878" s="24">
        <f t="shared" si="78"/>
        <v>1877</v>
      </c>
      <c r="B878" s="24">
        <f t="shared" si="78"/>
        <v>1877</v>
      </c>
      <c r="C878" s="476" t="s">
        <v>1272</v>
      </c>
      <c r="D878" t="s">
        <v>152</v>
      </c>
      <c r="E878" s="477">
        <v>3</v>
      </c>
      <c r="F878" s="471">
        <v>10.8</v>
      </c>
      <c r="G878">
        <v>1</v>
      </c>
      <c r="H878">
        <v>1</v>
      </c>
      <c r="I878" s="472">
        <f t="shared" si="70"/>
        <v>0.47039166666666665</v>
      </c>
      <c r="J878" s="473">
        <v>0.36503333333333332</v>
      </c>
      <c r="K878" s="473">
        <v>0.44336666666666663</v>
      </c>
      <c r="L878" s="473">
        <v>0.58906666666666663</v>
      </c>
      <c r="M878" s="473">
        <v>0.48410000000000003</v>
      </c>
      <c r="N878" s="472">
        <f t="shared" si="71"/>
        <v>0.47039166666666665</v>
      </c>
      <c r="O878" s="473">
        <v>0.36503333333333332</v>
      </c>
      <c r="P878" s="473">
        <v>0.44336666666666663</v>
      </c>
      <c r="Q878" s="473">
        <v>0.58906666666666663</v>
      </c>
      <c r="R878" s="473">
        <v>0.48410000000000003</v>
      </c>
      <c r="S878" s="153">
        <v>0.01</v>
      </c>
      <c r="T878" s="153">
        <v>0.02</v>
      </c>
      <c r="U878" s="478">
        <v>2018</v>
      </c>
      <c r="V878" s="24">
        <f>U878+20</f>
        <v>2038</v>
      </c>
      <c r="W878">
        <v>0</v>
      </c>
      <c r="X878">
        <v>0</v>
      </c>
      <c r="Y878">
        <v>1315</v>
      </c>
      <c r="Z878">
        <v>361</v>
      </c>
      <c r="AA878" s="475" t="s">
        <v>24</v>
      </c>
    </row>
    <row r="879" spans="1:27" ht="15" hidden="1">
      <c r="A879" s="24">
        <f t="shared" si="78"/>
        <v>1878</v>
      </c>
      <c r="B879" s="24">
        <f t="shared" si="78"/>
        <v>1878</v>
      </c>
      <c r="C879" s="469" t="s">
        <v>1273</v>
      </c>
      <c r="D879" t="s">
        <v>146</v>
      </c>
      <c r="E879" s="470">
        <v>1</v>
      </c>
      <c r="F879" s="471">
        <v>30.481751824817518</v>
      </c>
      <c r="G879">
        <v>1</v>
      </c>
      <c r="H879">
        <v>1</v>
      </c>
      <c r="I879" s="472">
        <f t="shared" si="70"/>
        <v>0.32845968612834514</v>
      </c>
      <c r="J879" s="153">
        <v>3.8473756479098807E-2</v>
      </c>
      <c r="K879" s="153">
        <v>0.39358026214566905</v>
      </c>
      <c r="L879" s="153">
        <v>0.53857526864315253</v>
      </c>
      <c r="M879" s="153">
        <v>0.3432094572454602</v>
      </c>
      <c r="N879" s="472">
        <f t="shared" si="71"/>
        <v>0.32845968612834514</v>
      </c>
      <c r="O879" s="153">
        <v>3.8473756479098807E-2</v>
      </c>
      <c r="P879" s="153">
        <v>0.39358026214566905</v>
      </c>
      <c r="Q879" s="153">
        <v>0.53857526864315253</v>
      </c>
      <c r="R879" s="153">
        <v>0.3432094572454602</v>
      </c>
      <c r="S879" s="153">
        <v>0.03</v>
      </c>
      <c r="T879" s="153">
        <v>0</v>
      </c>
      <c r="U879" s="474">
        <v>1900</v>
      </c>
      <c r="V879">
        <v>2030</v>
      </c>
      <c r="W879">
        <v>0</v>
      </c>
      <c r="X879">
        <v>0</v>
      </c>
      <c r="Y879">
        <v>1304</v>
      </c>
      <c r="Z879">
        <v>311</v>
      </c>
      <c r="AA879" s="475" t="s">
        <v>23</v>
      </c>
    </row>
    <row r="880" spans="1:27" ht="15" hidden="1">
      <c r="A880" s="24">
        <f t="shared" si="78"/>
        <v>1879</v>
      </c>
      <c r="B880" s="24">
        <f t="shared" si="78"/>
        <v>1879</v>
      </c>
      <c r="C880" s="469" t="s">
        <v>1274</v>
      </c>
      <c r="D880" t="s">
        <v>146</v>
      </c>
      <c r="E880" s="470">
        <v>1</v>
      </c>
      <c r="F880" s="471">
        <v>17.518248175182482</v>
      </c>
      <c r="G880">
        <v>1</v>
      </c>
      <c r="H880">
        <v>1</v>
      </c>
      <c r="I880" s="472">
        <f t="shared" si="70"/>
        <v>0.32845968612834514</v>
      </c>
      <c r="J880" s="153">
        <v>3.8473756479098807E-2</v>
      </c>
      <c r="K880" s="153">
        <v>0.39358026214566905</v>
      </c>
      <c r="L880" s="153">
        <v>0.53857526864315253</v>
      </c>
      <c r="M880" s="153">
        <v>0.3432094572454602</v>
      </c>
      <c r="N880" s="472">
        <f t="shared" si="71"/>
        <v>0.32845968612834514</v>
      </c>
      <c r="O880" s="153">
        <v>3.8473756479098807E-2</v>
      </c>
      <c r="P880" s="153">
        <v>0.39358026214566905</v>
      </c>
      <c r="Q880" s="153">
        <v>0.53857526864315253</v>
      </c>
      <c r="R880" s="153">
        <v>0.3432094572454602</v>
      </c>
      <c r="S880" s="153">
        <v>0.03</v>
      </c>
      <c r="T880" s="153">
        <v>0</v>
      </c>
      <c r="U880" s="474">
        <v>2010</v>
      </c>
      <c r="V880">
        <v>2023</v>
      </c>
      <c r="W880">
        <v>0</v>
      </c>
      <c r="X880">
        <v>0</v>
      </c>
      <c r="Y880">
        <v>1304</v>
      </c>
      <c r="Z880">
        <v>311</v>
      </c>
      <c r="AA880" s="475" t="s">
        <v>23</v>
      </c>
    </row>
    <row r="881" spans="1:27" ht="15" hidden="1">
      <c r="A881" s="24">
        <f t="shared" si="78"/>
        <v>1880</v>
      </c>
      <c r="B881" s="24">
        <f t="shared" si="78"/>
        <v>1880</v>
      </c>
      <c r="C881" s="476" t="s">
        <v>1275</v>
      </c>
      <c r="D881" t="s">
        <v>152</v>
      </c>
      <c r="E881" s="477">
        <v>3</v>
      </c>
      <c r="F881" s="471">
        <v>10.8</v>
      </c>
      <c r="G881">
        <v>1</v>
      </c>
      <c r="H881">
        <v>1</v>
      </c>
      <c r="I881" s="472">
        <f t="shared" si="70"/>
        <v>0.47039166666666665</v>
      </c>
      <c r="J881" s="473">
        <v>0.36503333333333332</v>
      </c>
      <c r="K881" s="473">
        <v>0.44336666666666663</v>
      </c>
      <c r="L881" s="473">
        <v>0.58906666666666663</v>
      </c>
      <c r="M881" s="473">
        <v>0.48410000000000003</v>
      </c>
      <c r="N881" s="472">
        <f t="shared" si="71"/>
        <v>0.47039166666666665</v>
      </c>
      <c r="O881" s="473">
        <v>0.36503333333333332</v>
      </c>
      <c r="P881" s="473">
        <v>0.44336666666666663</v>
      </c>
      <c r="Q881" s="473">
        <v>0.58906666666666663</v>
      </c>
      <c r="R881" s="473">
        <v>0.48410000000000003</v>
      </c>
      <c r="S881" s="153">
        <v>0.01</v>
      </c>
      <c r="T881" s="153">
        <v>0.02</v>
      </c>
      <c r="U881" s="478">
        <v>2018</v>
      </c>
      <c r="V881" s="24">
        <f t="shared" ref="V881:V886" si="79">U881+20</f>
        <v>2038</v>
      </c>
      <c r="W881">
        <v>0</v>
      </c>
      <c r="X881">
        <v>0</v>
      </c>
      <c r="Y881">
        <v>1315</v>
      </c>
      <c r="Z881">
        <v>361</v>
      </c>
      <c r="AA881" s="475" t="s">
        <v>24</v>
      </c>
    </row>
    <row r="882" spans="1:27" ht="15" hidden="1">
      <c r="A882" s="24">
        <f t="shared" si="78"/>
        <v>1881</v>
      </c>
      <c r="B882" s="24">
        <f t="shared" si="78"/>
        <v>1881</v>
      </c>
      <c r="C882" s="476" t="s">
        <v>1276</v>
      </c>
      <c r="D882" t="s">
        <v>152</v>
      </c>
      <c r="E882" s="477">
        <v>3</v>
      </c>
      <c r="F882" s="471">
        <v>8.1</v>
      </c>
      <c r="G882">
        <v>1</v>
      </c>
      <c r="H882">
        <v>1</v>
      </c>
      <c r="I882" s="472">
        <f t="shared" si="70"/>
        <v>0.47039166666666665</v>
      </c>
      <c r="J882" s="473">
        <v>0.36503333333333332</v>
      </c>
      <c r="K882" s="473">
        <v>0.44336666666666663</v>
      </c>
      <c r="L882" s="473">
        <v>0.58906666666666663</v>
      </c>
      <c r="M882" s="473">
        <v>0.48410000000000003</v>
      </c>
      <c r="N882" s="472">
        <f t="shared" si="71"/>
        <v>0.47039166666666665</v>
      </c>
      <c r="O882" s="473">
        <v>0.36503333333333332</v>
      </c>
      <c r="P882" s="473">
        <v>0.44336666666666663</v>
      </c>
      <c r="Q882" s="473">
        <v>0.58906666666666663</v>
      </c>
      <c r="R882" s="473">
        <v>0.48410000000000003</v>
      </c>
      <c r="S882" s="153">
        <v>0.01</v>
      </c>
      <c r="T882" s="153">
        <v>0.02</v>
      </c>
      <c r="U882" s="478">
        <v>2018</v>
      </c>
      <c r="V882" s="24">
        <f t="shared" si="79"/>
        <v>2038</v>
      </c>
      <c r="W882">
        <v>0</v>
      </c>
      <c r="X882">
        <v>0</v>
      </c>
      <c r="Y882">
        <v>1315</v>
      </c>
      <c r="Z882">
        <v>361</v>
      </c>
      <c r="AA882" s="475" t="s">
        <v>24</v>
      </c>
    </row>
    <row r="883" spans="1:27" ht="15" hidden="1">
      <c r="A883" s="24">
        <f t="shared" si="78"/>
        <v>1882</v>
      </c>
      <c r="B883" s="24">
        <f t="shared" si="78"/>
        <v>1882</v>
      </c>
      <c r="C883" s="476" t="s">
        <v>1277</v>
      </c>
      <c r="D883" t="s">
        <v>152</v>
      </c>
      <c r="E883" s="477">
        <v>3</v>
      </c>
      <c r="F883" s="471">
        <v>16.5</v>
      </c>
      <c r="G883">
        <v>1</v>
      </c>
      <c r="H883">
        <v>1</v>
      </c>
      <c r="I883" s="472">
        <f t="shared" si="70"/>
        <v>0.47039166666666665</v>
      </c>
      <c r="J883" s="473">
        <v>0.36503333333333332</v>
      </c>
      <c r="K883" s="473">
        <v>0.44336666666666663</v>
      </c>
      <c r="L883" s="473">
        <v>0.58906666666666663</v>
      </c>
      <c r="M883" s="473">
        <v>0.48410000000000003</v>
      </c>
      <c r="N883" s="472">
        <f t="shared" si="71"/>
        <v>0.47039166666666665</v>
      </c>
      <c r="O883" s="473">
        <v>0.36503333333333332</v>
      </c>
      <c r="P883" s="473">
        <v>0.44336666666666663</v>
      </c>
      <c r="Q883" s="473">
        <v>0.58906666666666663</v>
      </c>
      <c r="R883" s="473">
        <v>0.48410000000000003</v>
      </c>
      <c r="S883" s="153">
        <v>0.01</v>
      </c>
      <c r="T883" s="153">
        <v>0.02</v>
      </c>
      <c r="U883" s="478">
        <v>2018</v>
      </c>
      <c r="V883" s="24">
        <f t="shared" si="79"/>
        <v>2038</v>
      </c>
      <c r="W883">
        <v>0</v>
      </c>
      <c r="X883">
        <v>0</v>
      </c>
      <c r="Y883">
        <v>1315</v>
      </c>
      <c r="Z883">
        <v>361</v>
      </c>
      <c r="AA883" s="475" t="s">
        <v>24</v>
      </c>
    </row>
    <row r="884" spans="1:27" ht="15" hidden="1">
      <c r="A884" s="24">
        <f t="shared" si="78"/>
        <v>1883</v>
      </c>
      <c r="B884" s="24">
        <f t="shared" si="78"/>
        <v>1883</v>
      </c>
      <c r="C884" s="476" t="s">
        <v>1278</v>
      </c>
      <c r="D884" t="s">
        <v>149</v>
      </c>
      <c r="E884" s="477">
        <v>2</v>
      </c>
      <c r="F884" s="471">
        <v>21</v>
      </c>
      <c r="G884">
        <v>1</v>
      </c>
      <c r="H884">
        <v>1</v>
      </c>
      <c r="I884" s="472">
        <f t="shared" si="70"/>
        <v>0.40033333333333337</v>
      </c>
      <c r="J884" s="153">
        <v>0.3706666666666667</v>
      </c>
      <c r="K884" s="153">
        <v>0.3666666666666667</v>
      </c>
      <c r="L884" s="153">
        <v>0.44799999999999995</v>
      </c>
      <c r="M884" s="153">
        <v>0.41600000000000009</v>
      </c>
      <c r="N884" s="472">
        <f t="shared" si="71"/>
        <v>0.40033333333333337</v>
      </c>
      <c r="O884" s="153">
        <v>0.3706666666666667</v>
      </c>
      <c r="P884" s="153">
        <v>0.3666666666666667</v>
      </c>
      <c r="Q884" s="153">
        <v>0.44799999999999995</v>
      </c>
      <c r="R884" s="153">
        <v>0.41600000000000009</v>
      </c>
      <c r="S884" s="153">
        <v>0.01</v>
      </c>
      <c r="T884" s="153">
        <v>0.02</v>
      </c>
      <c r="U884" s="478">
        <v>2018</v>
      </c>
      <c r="V884" s="24">
        <f t="shared" si="79"/>
        <v>2038</v>
      </c>
      <c r="W884">
        <v>0</v>
      </c>
      <c r="X884">
        <v>0</v>
      </c>
      <c r="Y884">
        <v>1315</v>
      </c>
      <c r="Z884">
        <v>360</v>
      </c>
      <c r="AA884" s="475" t="s">
        <v>24</v>
      </c>
    </row>
    <row r="885" spans="1:27" ht="15" hidden="1">
      <c r="A885" s="24">
        <f t="shared" si="78"/>
        <v>1884</v>
      </c>
      <c r="B885" s="24">
        <f t="shared" si="78"/>
        <v>1884</v>
      </c>
      <c r="C885" s="476" t="s">
        <v>1279</v>
      </c>
      <c r="D885" t="s">
        <v>152</v>
      </c>
      <c r="E885" s="477">
        <v>3</v>
      </c>
      <c r="F885" s="471">
        <v>21</v>
      </c>
      <c r="G885">
        <v>1</v>
      </c>
      <c r="H885">
        <v>1</v>
      </c>
      <c r="I885" s="472">
        <f t="shared" si="70"/>
        <v>0.47039166666666665</v>
      </c>
      <c r="J885" s="473">
        <v>0.36503333333333332</v>
      </c>
      <c r="K885" s="473">
        <v>0.44336666666666663</v>
      </c>
      <c r="L885" s="473">
        <v>0.58906666666666663</v>
      </c>
      <c r="M885" s="473">
        <v>0.48410000000000003</v>
      </c>
      <c r="N885" s="472">
        <f t="shared" si="71"/>
        <v>0.47039166666666665</v>
      </c>
      <c r="O885" s="473">
        <v>0.36503333333333332</v>
      </c>
      <c r="P885" s="473">
        <v>0.44336666666666663</v>
      </c>
      <c r="Q885" s="473">
        <v>0.58906666666666663</v>
      </c>
      <c r="R885" s="473">
        <v>0.48410000000000003</v>
      </c>
      <c r="S885" s="153">
        <v>0.01</v>
      </c>
      <c r="T885" s="153">
        <v>0.02</v>
      </c>
      <c r="U885" s="478">
        <v>2018</v>
      </c>
      <c r="V885" s="24">
        <f t="shared" si="79"/>
        <v>2038</v>
      </c>
      <c r="W885">
        <v>0</v>
      </c>
      <c r="X885">
        <v>0</v>
      </c>
      <c r="Y885">
        <v>1315</v>
      </c>
      <c r="Z885">
        <v>361</v>
      </c>
      <c r="AA885" s="475" t="s">
        <v>24</v>
      </c>
    </row>
    <row r="886" spans="1:27" ht="15" hidden="1">
      <c r="A886" s="24">
        <f t="shared" si="78"/>
        <v>1885</v>
      </c>
      <c r="B886" s="24">
        <f t="shared" si="78"/>
        <v>1885</v>
      </c>
      <c r="C886" s="476" t="s">
        <v>1280</v>
      </c>
      <c r="D886" t="s">
        <v>149</v>
      </c>
      <c r="E886" s="477">
        <v>2</v>
      </c>
      <c r="F886" s="471">
        <v>6</v>
      </c>
      <c r="G886">
        <v>1</v>
      </c>
      <c r="H886">
        <v>1</v>
      </c>
      <c r="I886" s="472">
        <f t="shared" si="70"/>
        <v>0.40033333333333337</v>
      </c>
      <c r="J886" s="153">
        <v>0.3706666666666667</v>
      </c>
      <c r="K886" s="153">
        <v>0.3666666666666667</v>
      </c>
      <c r="L886" s="153">
        <v>0.44799999999999995</v>
      </c>
      <c r="M886" s="153">
        <v>0.41600000000000009</v>
      </c>
      <c r="N886" s="472">
        <f t="shared" si="71"/>
        <v>0.40033333333333337</v>
      </c>
      <c r="O886" s="153">
        <v>0.3706666666666667</v>
      </c>
      <c r="P886" s="153">
        <v>0.3666666666666667</v>
      </c>
      <c r="Q886" s="153">
        <v>0.44799999999999995</v>
      </c>
      <c r="R886" s="153">
        <v>0.41600000000000009</v>
      </c>
      <c r="S886" s="153">
        <v>0.01</v>
      </c>
      <c r="T886" s="153">
        <v>0.02</v>
      </c>
      <c r="U886" s="478">
        <v>2016</v>
      </c>
      <c r="V886" s="24">
        <f t="shared" si="79"/>
        <v>2036</v>
      </c>
      <c r="W886">
        <v>0</v>
      </c>
      <c r="X886">
        <v>0</v>
      </c>
      <c r="Y886">
        <v>1315</v>
      </c>
      <c r="Z886">
        <v>360</v>
      </c>
      <c r="AA886" s="475" t="s">
        <v>24</v>
      </c>
    </row>
    <row r="887" spans="1:27" ht="15" hidden="1">
      <c r="A887" s="24">
        <f t="shared" si="78"/>
        <v>1886</v>
      </c>
      <c r="B887" s="24">
        <f t="shared" si="78"/>
        <v>1886</v>
      </c>
      <c r="C887" s="469" t="s">
        <v>1281</v>
      </c>
      <c r="D887" t="s">
        <v>146</v>
      </c>
      <c r="E887" s="470">
        <v>1</v>
      </c>
      <c r="F887" s="471">
        <v>40.75</v>
      </c>
      <c r="G887">
        <v>1</v>
      </c>
      <c r="H887">
        <v>1</v>
      </c>
      <c r="I887" s="472">
        <f t="shared" si="70"/>
        <v>0.32845968612834514</v>
      </c>
      <c r="J887" s="153">
        <v>3.8473756479098807E-2</v>
      </c>
      <c r="K887" s="153">
        <v>0.39358026214566905</v>
      </c>
      <c r="L887" s="153">
        <v>0.53857526864315253</v>
      </c>
      <c r="M887" s="153">
        <v>0.3432094572454602</v>
      </c>
      <c r="N887" s="472">
        <f t="shared" si="71"/>
        <v>0.32845968612834514</v>
      </c>
      <c r="O887" s="153">
        <v>3.8473756479098807E-2</v>
      </c>
      <c r="P887" s="153">
        <v>0.39358026214566905</v>
      </c>
      <c r="Q887" s="153">
        <v>0.53857526864315253</v>
      </c>
      <c r="R887" s="153">
        <v>0.3432094572454602</v>
      </c>
      <c r="S887" s="153">
        <v>0.03</v>
      </c>
      <c r="T887" s="153">
        <v>0</v>
      </c>
      <c r="U887" s="474">
        <v>2010</v>
      </c>
      <c r="V887">
        <v>2023</v>
      </c>
      <c r="W887">
        <v>0</v>
      </c>
      <c r="X887">
        <v>0</v>
      </c>
      <c r="Y887">
        <v>1304</v>
      </c>
      <c r="Z887">
        <v>311</v>
      </c>
      <c r="AA887" s="475" t="s">
        <v>23</v>
      </c>
    </row>
    <row r="888" spans="1:27" ht="15" hidden="1">
      <c r="A888" s="24">
        <f t="shared" si="78"/>
        <v>1887</v>
      </c>
      <c r="B888" s="24">
        <f t="shared" si="78"/>
        <v>1887</v>
      </c>
      <c r="C888" s="469" t="s">
        <v>1282</v>
      </c>
      <c r="D888" t="s">
        <v>146</v>
      </c>
      <c r="E888" s="470">
        <v>1</v>
      </c>
      <c r="F888" s="471">
        <v>0</v>
      </c>
      <c r="G888">
        <v>1</v>
      </c>
      <c r="H888">
        <v>1</v>
      </c>
      <c r="I888" s="472">
        <f t="shared" si="70"/>
        <v>0.32845968612834514</v>
      </c>
      <c r="J888" s="153">
        <v>3.8473756479098807E-2</v>
      </c>
      <c r="K888" s="153">
        <v>0.39358026214566905</v>
      </c>
      <c r="L888" s="153">
        <v>0.53857526864315253</v>
      </c>
      <c r="M888" s="153">
        <v>0.3432094572454602</v>
      </c>
      <c r="N888" s="472">
        <f t="shared" si="71"/>
        <v>0.32845968612834514</v>
      </c>
      <c r="O888" s="153">
        <v>3.8473756479098807E-2</v>
      </c>
      <c r="P888" s="153">
        <v>0.39358026214566905</v>
      </c>
      <c r="Q888" s="153">
        <v>0.53857526864315253</v>
      </c>
      <c r="R888" s="153">
        <v>0.3432094572454602</v>
      </c>
      <c r="S888" s="153">
        <v>0.03</v>
      </c>
      <c r="T888" s="153">
        <v>0</v>
      </c>
      <c r="U888" s="474">
        <v>1900</v>
      </c>
      <c r="V888">
        <v>2030</v>
      </c>
      <c r="W888">
        <v>0</v>
      </c>
      <c r="X888">
        <v>0</v>
      </c>
      <c r="Y888">
        <v>1304</v>
      </c>
      <c r="Z888">
        <v>311</v>
      </c>
      <c r="AA888" s="475" t="s">
        <v>23</v>
      </c>
    </row>
    <row r="889" spans="1:27" ht="15" hidden="1">
      <c r="A889" s="24">
        <f t="shared" si="78"/>
        <v>1888</v>
      </c>
      <c r="B889" s="24">
        <f t="shared" si="78"/>
        <v>1888</v>
      </c>
      <c r="C889" s="469" t="s">
        <v>1283</v>
      </c>
      <c r="D889" t="s">
        <v>146</v>
      </c>
      <c r="E889" s="470">
        <v>1</v>
      </c>
      <c r="F889" s="471">
        <v>0.63603392226148259</v>
      </c>
      <c r="G889">
        <v>1</v>
      </c>
      <c r="H889">
        <v>1</v>
      </c>
      <c r="I889" s="472">
        <f t="shared" si="70"/>
        <v>0.32845968612834514</v>
      </c>
      <c r="J889" s="153">
        <v>3.8473756479098807E-2</v>
      </c>
      <c r="K889" s="153">
        <v>0.39358026214566905</v>
      </c>
      <c r="L889" s="153">
        <v>0.53857526864315253</v>
      </c>
      <c r="M889" s="153">
        <v>0.3432094572454602</v>
      </c>
      <c r="N889" s="472">
        <f t="shared" si="71"/>
        <v>0.32845968612834514</v>
      </c>
      <c r="O889" s="153">
        <v>3.8473756479098807E-2</v>
      </c>
      <c r="P889" s="153">
        <v>0.39358026214566905</v>
      </c>
      <c r="Q889" s="153">
        <v>0.53857526864315253</v>
      </c>
      <c r="R889" s="153">
        <v>0.3432094572454602</v>
      </c>
      <c r="S889" s="153">
        <v>0.03</v>
      </c>
      <c r="T889" s="153">
        <v>0</v>
      </c>
      <c r="U889" s="474">
        <v>1900</v>
      </c>
      <c r="V889">
        <v>2030</v>
      </c>
      <c r="W889">
        <v>0</v>
      </c>
      <c r="X889">
        <v>0</v>
      </c>
      <c r="Y889">
        <v>1304</v>
      </c>
      <c r="Z889">
        <v>311</v>
      </c>
      <c r="AA889" s="475" t="s">
        <v>23</v>
      </c>
    </row>
    <row r="890" spans="1:27" ht="15" hidden="1">
      <c r="A890" s="24">
        <f t="shared" si="78"/>
        <v>1889</v>
      </c>
      <c r="B890" s="24">
        <f t="shared" si="78"/>
        <v>1889</v>
      </c>
      <c r="C890" s="476" t="s">
        <v>1284</v>
      </c>
      <c r="D890" t="s">
        <v>149</v>
      </c>
      <c r="E890" s="477">
        <v>2</v>
      </c>
      <c r="F890" s="471">
        <v>2</v>
      </c>
      <c r="G890">
        <v>1</v>
      </c>
      <c r="H890">
        <v>1</v>
      </c>
      <c r="I890" s="472">
        <f t="shared" si="70"/>
        <v>0.40033333333333337</v>
      </c>
      <c r="J890" s="153">
        <v>0.3706666666666667</v>
      </c>
      <c r="K890" s="153">
        <v>0.3666666666666667</v>
      </c>
      <c r="L890" s="153">
        <v>0.44799999999999995</v>
      </c>
      <c r="M890" s="153">
        <v>0.41600000000000009</v>
      </c>
      <c r="N890" s="472">
        <f t="shared" si="71"/>
        <v>0.40033333333333337</v>
      </c>
      <c r="O890" s="153">
        <v>0.3706666666666667</v>
      </c>
      <c r="P890" s="153">
        <v>0.3666666666666667</v>
      </c>
      <c r="Q890" s="153">
        <v>0.44799999999999995</v>
      </c>
      <c r="R890" s="153">
        <v>0.41600000000000009</v>
      </c>
      <c r="S890" s="153">
        <v>0.01</v>
      </c>
      <c r="T890" s="153">
        <v>0.02</v>
      </c>
      <c r="U890" s="478">
        <v>2016</v>
      </c>
      <c r="V890" s="24">
        <f t="shared" ref="V890:V904" si="80">U890+20</f>
        <v>2036</v>
      </c>
      <c r="W890">
        <v>0</v>
      </c>
      <c r="X890">
        <v>0</v>
      </c>
      <c r="Y890">
        <v>1315</v>
      </c>
      <c r="Z890">
        <v>360</v>
      </c>
      <c r="AA890" s="475" t="s">
        <v>24</v>
      </c>
    </row>
    <row r="891" spans="1:27" ht="15" hidden="1">
      <c r="A891" s="24">
        <f t="shared" si="78"/>
        <v>1890</v>
      </c>
      <c r="B891" s="24">
        <f t="shared" si="78"/>
        <v>1890</v>
      </c>
      <c r="C891" s="476" t="s">
        <v>1285</v>
      </c>
      <c r="D891" t="s">
        <v>152</v>
      </c>
      <c r="E891" s="477">
        <v>3</v>
      </c>
      <c r="F891" s="471">
        <v>30</v>
      </c>
      <c r="G891">
        <v>1</v>
      </c>
      <c r="H891">
        <v>1</v>
      </c>
      <c r="I891" s="472">
        <f t="shared" si="70"/>
        <v>0.47039166666666665</v>
      </c>
      <c r="J891" s="473">
        <v>0.36503333333333332</v>
      </c>
      <c r="K891" s="473">
        <v>0.44336666666666663</v>
      </c>
      <c r="L891" s="473">
        <v>0.58906666666666663</v>
      </c>
      <c r="M891" s="473">
        <v>0.48410000000000003</v>
      </c>
      <c r="N891" s="472">
        <f t="shared" si="71"/>
        <v>0.47039166666666665</v>
      </c>
      <c r="O891" s="473">
        <v>0.36503333333333332</v>
      </c>
      <c r="P891" s="473">
        <v>0.44336666666666663</v>
      </c>
      <c r="Q891" s="473">
        <v>0.58906666666666663</v>
      </c>
      <c r="R891" s="473">
        <v>0.48410000000000003</v>
      </c>
      <c r="S891" s="153">
        <v>0.01</v>
      </c>
      <c r="T891" s="153">
        <v>0.02</v>
      </c>
      <c r="U891" s="478">
        <v>2018</v>
      </c>
      <c r="V891" s="24">
        <f t="shared" si="80"/>
        <v>2038</v>
      </c>
      <c r="W891">
        <v>0</v>
      </c>
      <c r="X891">
        <v>0</v>
      </c>
      <c r="Y891">
        <v>1315</v>
      </c>
      <c r="Z891">
        <v>361</v>
      </c>
      <c r="AA891" s="475" t="s">
        <v>24</v>
      </c>
    </row>
    <row r="892" spans="1:27" ht="15" hidden="1">
      <c r="A892" s="24">
        <f t="shared" si="78"/>
        <v>1891</v>
      </c>
      <c r="B892" s="24">
        <f t="shared" si="78"/>
        <v>1891</v>
      </c>
      <c r="C892" s="476" t="s">
        <v>1286</v>
      </c>
      <c r="D892" t="s">
        <v>152</v>
      </c>
      <c r="E892" s="477">
        <v>3</v>
      </c>
      <c r="F892" s="471">
        <v>30</v>
      </c>
      <c r="G892">
        <v>1</v>
      </c>
      <c r="H892">
        <v>1</v>
      </c>
      <c r="I892" s="472">
        <f t="shared" si="70"/>
        <v>0.47039166666666665</v>
      </c>
      <c r="J892" s="473">
        <v>0.36503333333333332</v>
      </c>
      <c r="K892" s="473">
        <v>0.44336666666666663</v>
      </c>
      <c r="L892" s="473">
        <v>0.58906666666666663</v>
      </c>
      <c r="M892" s="473">
        <v>0.48410000000000003</v>
      </c>
      <c r="N892" s="472">
        <f t="shared" si="71"/>
        <v>0.47039166666666665</v>
      </c>
      <c r="O892" s="473">
        <v>0.36503333333333332</v>
      </c>
      <c r="P892" s="473">
        <v>0.44336666666666663</v>
      </c>
      <c r="Q892" s="473">
        <v>0.58906666666666663</v>
      </c>
      <c r="R892" s="473">
        <v>0.48410000000000003</v>
      </c>
      <c r="S892" s="153">
        <v>0.01</v>
      </c>
      <c r="T892" s="153">
        <v>0.02</v>
      </c>
      <c r="U892" s="478">
        <v>2018</v>
      </c>
      <c r="V892" s="24">
        <f t="shared" si="80"/>
        <v>2038</v>
      </c>
      <c r="W892">
        <v>0</v>
      </c>
      <c r="X892">
        <v>0</v>
      </c>
      <c r="Y892">
        <v>1315</v>
      </c>
      <c r="Z892">
        <v>361</v>
      </c>
      <c r="AA892" s="475" t="s">
        <v>24</v>
      </c>
    </row>
    <row r="893" spans="1:27" ht="15" hidden="1">
      <c r="A893" s="24">
        <f t="shared" si="78"/>
        <v>1892</v>
      </c>
      <c r="B893" s="24">
        <f t="shared" si="78"/>
        <v>1892</v>
      </c>
      <c r="C893" s="476" t="s">
        <v>1287</v>
      </c>
      <c r="D893" t="s">
        <v>152</v>
      </c>
      <c r="E893" s="477">
        <v>3</v>
      </c>
      <c r="F893" s="471">
        <v>23.1</v>
      </c>
      <c r="G893">
        <v>1</v>
      </c>
      <c r="H893">
        <v>1</v>
      </c>
      <c r="I893" s="472">
        <f t="shared" si="70"/>
        <v>0.47039166666666665</v>
      </c>
      <c r="J893" s="473">
        <v>0.36503333333333332</v>
      </c>
      <c r="K893" s="473">
        <v>0.44336666666666663</v>
      </c>
      <c r="L893" s="473">
        <v>0.58906666666666663</v>
      </c>
      <c r="M893" s="473">
        <v>0.48410000000000003</v>
      </c>
      <c r="N893" s="472">
        <f t="shared" si="71"/>
        <v>0.47039166666666665</v>
      </c>
      <c r="O893" s="473">
        <v>0.36503333333333332</v>
      </c>
      <c r="P893" s="473">
        <v>0.44336666666666663</v>
      </c>
      <c r="Q893" s="473">
        <v>0.58906666666666663</v>
      </c>
      <c r="R893" s="473">
        <v>0.48410000000000003</v>
      </c>
      <c r="S893" s="153">
        <v>0.01</v>
      </c>
      <c r="T893" s="153">
        <v>0.02</v>
      </c>
      <c r="U893" s="478">
        <v>2018</v>
      </c>
      <c r="V893" s="24">
        <f t="shared" si="80"/>
        <v>2038</v>
      </c>
      <c r="W893">
        <v>0</v>
      </c>
      <c r="X893">
        <v>0</v>
      </c>
      <c r="Y893">
        <v>1315</v>
      </c>
      <c r="Z893">
        <v>361</v>
      </c>
      <c r="AA893" s="475" t="s">
        <v>24</v>
      </c>
    </row>
    <row r="894" spans="1:27" ht="15" hidden="1">
      <c r="A894" s="24">
        <f t="shared" ref="A894:B913" si="81">1000+ROW()-1</f>
        <v>1893</v>
      </c>
      <c r="B894" s="24">
        <f t="shared" si="81"/>
        <v>1893</v>
      </c>
      <c r="C894" s="476" t="s">
        <v>1288</v>
      </c>
      <c r="D894" t="s">
        <v>152</v>
      </c>
      <c r="E894" s="477">
        <v>3</v>
      </c>
      <c r="F894" s="471">
        <v>16.2</v>
      </c>
      <c r="G894">
        <v>1</v>
      </c>
      <c r="H894">
        <v>1</v>
      </c>
      <c r="I894" s="472">
        <f t="shared" si="70"/>
        <v>0.47039166666666665</v>
      </c>
      <c r="J894" s="473">
        <v>0.36503333333333332</v>
      </c>
      <c r="K894" s="473">
        <v>0.44336666666666663</v>
      </c>
      <c r="L894" s="473">
        <v>0.58906666666666663</v>
      </c>
      <c r="M894" s="473">
        <v>0.48410000000000003</v>
      </c>
      <c r="N894" s="472">
        <f t="shared" si="71"/>
        <v>0.47039166666666665</v>
      </c>
      <c r="O894" s="473">
        <v>0.36503333333333332</v>
      </c>
      <c r="P894" s="473">
        <v>0.44336666666666663</v>
      </c>
      <c r="Q894" s="473">
        <v>0.58906666666666663</v>
      </c>
      <c r="R894" s="473">
        <v>0.48410000000000003</v>
      </c>
      <c r="S894" s="153">
        <v>0.01</v>
      </c>
      <c r="T894" s="153">
        <v>0.02</v>
      </c>
      <c r="U894" s="478">
        <v>2018</v>
      </c>
      <c r="V894" s="24">
        <f t="shared" si="80"/>
        <v>2038</v>
      </c>
      <c r="W894">
        <v>0</v>
      </c>
      <c r="X894">
        <v>0</v>
      </c>
      <c r="Y894">
        <v>1315</v>
      </c>
      <c r="Z894">
        <v>361</v>
      </c>
      <c r="AA894" s="475" t="s">
        <v>24</v>
      </c>
    </row>
    <row r="895" spans="1:27" ht="15" hidden="1">
      <c r="A895" s="24">
        <f t="shared" si="81"/>
        <v>1894</v>
      </c>
      <c r="B895" s="24">
        <f t="shared" si="81"/>
        <v>1894</v>
      </c>
      <c r="C895" s="476" t="s">
        <v>1289</v>
      </c>
      <c r="D895" t="s">
        <v>152</v>
      </c>
      <c r="E895" s="477">
        <v>3</v>
      </c>
      <c r="F895" s="471">
        <v>31.45</v>
      </c>
      <c r="G895">
        <v>1</v>
      </c>
      <c r="H895">
        <v>1</v>
      </c>
      <c r="I895" s="472">
        <f t="shared" si="70"/>
        <v>0.47039166666666665</v>
      </c>
      <c r="J895" s="473">
        <v>0.36503333333333332</v>
      </c>
      <c r="K895" s="473">
        <v>0.44336666666666663</v>
      </c>
      <c r="L895" s="473">
        <v>0.58906666666666663</v>
      </c>
      <c r="M895" s="473">
        <v>0.48410000000000003</v>
      </c>
      <c r="N895" s="472">
        <f t="shared" si="71"/>
        <v>0.47039166666666665</v>
      </c>
      <c r="O895" s="473">
        <v>0.36503333333333332</v>
      </c>
      <c r="P895" s="473">
        <v>0.44336666666666663</v>
      </c>
      <c r="Q895" s="473">
        <v>0.58906666666666663</v>
      </c>
      <c r="R895" s="473">
        <v>0.48410000000000003</v>
      </c>
      <c r="S895" s="153">
        <v>0.01</v>
      </c>
      <c r="T895" s="153">
        <v>0.02</v>
      </c>
      <c r="U895" s="478">
        <v>2016</v>
      </c>
      <c r="V895" s="24">
        <f t="shared" si="80"/>
        <v>2036</v>
      </c>
      <c r="W895">
        <v>0</v>
      </c>
      <c r="X895">
        <v>0</v>
      </c>
      <c r="Y895">
        <v>1315</v>
      </c>
      <c r="Z895">
        <v>361</v>
      </c>
      <c r="AA895" s="475" t="s">
        <v>24</v>
      </c>
    </row>
    <row r="896" spans="1:27" ht="15" hidden="1">
      <c r="A896" s="24">
        <f t="shared" si="81"/>
        <v>1895</v>
      </c>
      <c r="B896" s="24">
        <f t="shared" si="81"/>
        <v>1895</v>
      </c>
      <c r="C896" s="476" t="s">
        <v>1290</v>
      </c>
      <c r="D896" t="s">
        <v>152</v>
      </c>
      <c r="E896" s="477">
        <v>3</v>
      </c>
      <c r="F896" s="471">
        <v>28</v>
      </c>
      <c r="G896">
        <v>1</v>
      </c>
      <c r="H896">
        <v>1</v>
      </c>
      <c r="I896" s="472">
        <f t="shared" si="70"/>
        <v>0.47039166666666665</v>
      </c>
      <c r="J896" s="473">
        <v>0.36503333333333332</v>
      </c>
      <c r="K896" s="473">
        <v>0.44336666666666663</v>
      </c>
      <c r="L896" s="473">
        <v>0.58906666666666663</v>
      </c>
      <c r="M896" s="473">
        <v>0.48410000000000003</v>
      </c>
      <c r="N896" s="472">
        <f t="shared" si="71"/>
        <v>0.47039166666666665</v>
      </c>
      <c r="O896" s="473">
        <v>0.36503333333333332</v>
      </c>
      <c r="P896" s="473">
        <v>0.44336666666666663</v>
      </c>
      <c r="Q896" s="473">
        <v>0.58906666666666663</v>
      </c>
      <c r="R896" s="473">
        <v>0.48410000000000003</v>
      </c>
      <c r="S896" s="153">
        <v>0.01</v>
      </c>
      <c r="T896" s="153">
        <v>0.02</v>
      </c>
      <c r="U896" s="478">
        <v>2018</v>
      </c>
      <c r="V896" s="24">
        <f t="shared" si="80"/>
        <v>2038</v>
      </c>
      <c r="W896">
        <v>0</v>
      </c>
      <c r="X896">
        <v>0</v>
      </c>
      <c r="Y896">
        <v>1315</v>
      </c>
      <c r="Z896">
        <v>361</v>
      </c>
      <c r="AA896" s="475" t="s">
        <v>24</v>
      </c>
    </row>
    <row r="897" spans="1:27" ht="15" hidden="1">
      <c r="A897" s="24">
        <f t="shared" si="81"/>
        <v>1896</v>
      </c>
      <c r="B897" s="24">
        <f t="shared" si="81"/>
        <v>1896</v>
      </c>
      <c r="C897" s="476" t="s">
        <v>1291</v>
      </c>
      <c r="D897" t="s">
        <v>152</v>
      </c>
      <c r="E897" s="477">
        <v>3</v>
      </c>
      <c r="F897" s="471">
        <v>15</v>
      </c>
      <c r="G897">
        <v>1</v>
      </c>
      <c r="H897">
        <v>1</v>
      </c>
      <c r="I897" s="472">
        <f t="shared" si="70"/>
        <v>0.47039166666666665</v>
      </c>
      <c r="J897" s="473">
        <v>0.36503333333333332</v>
      </c>
      <c r="K897" s="473">
        <v>0.44336666666666663</v>
      </c>
      <c r="L897" s="473">
        <v>0.58906666666666663</v>
      </c>
      <c r="M897" s="473">
        <v>0.48410000000000003</v>
      </c>
      <c r="N897" s="472">
        <f t="shared" si="71"/>
        <v>0.47039166666666665</v>
      </c>
      <c r="O897" s="473">
        <v>0.36503333333333332</v>
      </c>
      <c r="P897" s="473">
        <v>0.44336666666666663</v>
      </c>
      <c r="Q897" s="473">
        <v>0.58906666666666663</v>
      </c>
      <c r="R897" s="473">
        <v>0.48410000000000003</v>
      </c>
      <c r="S897" s="153">
        <v>0.01</v>
      </c>
      <c r="T897" s="153">
        <v>0.02</v>
      </c>
      <c r="U897" s="478">
        <v>2016</v>
      </c>
      <c r="V897" s="24">
        <f t="shared" si="80"/>
        <v>2036</v>
      </c>
      <c r="W897">
        <v>0</v>
      </c>
      <c r="X897">
        <v>0</v>
      </c>
      <c r="Y897">
        <v>1315</v>
      </c>
      <c r="Z897">
        <v>361</v>
      </c>
      <c r="AA897" s="475" t="s">
        <v>24</v>
      </c>
    </row>
    <row r="898" spans="1:27" ht="15" hidden="1">
      <c r="A898" s="24">
        <f t="shared" si="81"/>
        <v>1897</v>
      </c>
      <c r="B898" s="24">
        <f t="shared" si="81"/>
        <v>1897</v>
      </c>
      <c r="C898" s="476" t="s">
        <v>1292</v>
      </c>
      <c r="D898" t="s">
        <v>152</v>
      </c>
      <c r="E898" s="477">
        <v>3</v>
      </c>
      <c r="F898" s="471">
        <v>12</v>
      </c>
      <c r="G898">
        <v>1</v>
      </c>
      <c r="H898">
        <v>1</v>
      </c>
      <c r="I898" s="472">
        <f t="shared" ref="I898:I961" si="82">AVERAGE(J898:M898)</f>
        <v>0.47039166666666665</v>
      </c>
      <c r="J898" s="473">
        <v>0.36503333333333332</v>
      </c>
      <c r="K898" s="473">
        <v>0.44336666666666663</v>
      </c>
      <c r="L898" s="473">
        <v>0.58906666666666663</v>
      </c>
      <c r="M898" s="473">
        <v>0.48410000000000003</v>
      </c>
      <c r="N898" s="472">
        <f t="shared" ref="N898:N961" si="83">AVERAGE(O898:R898)</f>
        <v>0.47039166666666665</v>
      </c>
      <c r="O898" s="473">
        <v>0.36503333333333332</v>
      </c>
      <c r="P898" s="473">
        <v>0.44336666666666663</v>
      </c>
      <c r="Q898" s="473">
        <v>0.58906666666666663</v>
      </c>
      <c r="R898" s="473">
        <v>0.48410000000000003</v>
      </c>
      <c r="S898" s="153">
        <v>0.01</v>
      </c>
      <c r="T898" s="153">
        <v>0.02</v>
      </c>
      <c r="U898" s="478">
        <v>2016</v>
      </c>
      <c r="V898" s="24">
        <f t="shared" si="80"/>
        <v>2036</v>
      </c>
      <c r="W898">
        <v>0</v>
      </c>
      <c r="X898">
        <v>0</v>
      </c>
      <c r="Y898">
        <v>1315</v>
      </c>
      <c r="Z898">
        <v>361</v>
      </c>
      <c r="AA898" s="475" t="s">
        <v>24</v>
      </c>
    </row>
    <row r="899" spans="1:27" ht="15" hidden="1">
      <c r="A899" s="24">
        <f t="shared" si="81"/>
        <v>1898</v>
      </c>
      <c r="B899" s="24">
        <f t="shared" si="81"/>
        <v>1898</v>
      </c>
      <c r="C899" s="476" t="s">
        <v>1293</v>
      </c>
      <c r="D899" t="s">
        <v>152</v>
      </c>
      <c r="E899" s="477">
        <v>3</v>
      </c>
      <c r="F899" s="471">
        <v>18</v>
      </c>
      <c r="G899">
        <v>1</v>
      </c>
      <c r="H899">
        <v>1</v>
      </c>
      <c r="I899" s="472">
        <f t="shared" si="82"/>
        <v>0.47039166666666665</v>
      </c>
      <c r="J899" s="473">
        <v>0.36503333333333332</v>
      </c>
      <c r="K899" s="473">
        <v>0.44336666666666663</v>
      </c>
      <c r="L899" s="473">
        <v>0.58906666666666663</v>
      </c>
      <c r="M899" s="473">
        <v>0.48410000000000003</v>
      </c>
      <c r="N899" s="472">
        <f t="shared" si="83"/>
        <v>0.47039166666666665</v>
      </c>
      <c r="O899" s="473">
        <v>0.36503333333333332</v>
      </c>
      <c r="P899" s="473">
        <v>0.44336666666666663</v>
      </c>
      <c r="Q899" s="473">
        <v>0.58906666666666663</v>
      </c>
      <c r="R899" s="473">
        <v>0.48410000000000003</v>
      </c>
      <c r="S899" s="153">
        <v>0.01</v>
      </c>
      <c r="T899" s="153">
        <v>0.02</v>
      </c>
      <c r="U899" s="478">
        <v>2016</v>
      </c>
      <c r="V899" s="24">
        <f t="shared" si="80"/>
        <v>2036</v>
      </c>
      <c r="W899">
        <v>0</v>
      </c>
      <c r="X899">
        <v>0</v>
      </c>
      <c r="Y899">
        <v>1315</v>
      </c>
      <c r="Z899">
        <v>361</v>
      </c>
      <c r="AA899" s="475" t="s">
        <v>24</v>
      </c>
    </row>
    <row r="900" spans="1:27" ht="15" hidden="1">
      <c r="A900" s="24">
        <f t="shared" si="81"/>
        <v>1899</v>
      </c>
      <c r="B900" s="24">
        <f t="shared" si="81"/>
        <v>1899</v>
      </c>
      <c r="C900" s="476" t="s">
        <v>1294</v>
      </c>
      <c r="D900" t="s">
        <v>152</v>
      </c>
      <c r="E900" s="477">
        <v>3</v>
      </c>
      <c r="F900" s="471">
        <v>3</v>
      </c>
      <c r="G900">
        <v>1</v>
      </c>
      <c r="H900">
        <v>1</v>
      </c>
      <c r="I900" s="472">
        <f t="shared" si="82"/>
        <v>0.47039166666666665</v>
      </c>
      <c r="J900" s="473">
        <v>0.36503333333333332</v>
      </c>
      <c r="K900" s="473">
        <v>0.44336666666666663</v>
      </c>
      <c r="L900" s="473">
        <v>0.58906666666666663</v>
      </c>
      <c r="M900" s="473">
        <v>0.48410000000000003</v>
      </c>
      <c r="N900" s="472">
        <f t="shared" si="83"/>
        <v>0.47039166666666665</v>
      </c>
      <c r="O900" s="473">
        <v>0.36503333333333332</v>
      </c>
      <c r="P900" s="473">
        <v>0.44336666666666663</v>
      </c>
      <c r="Q900" s="473">
        <v>0.58906666666666663</v>
      </c>
      <c r="R900" s="473">
        <v>0.48410000000000003</v>
      </c>
      <c r="S900" s="153">
        <v>0.01</v>
      </c>
      <c r="T900" s="153">
        <v>0.02</v>
      </c>
      <c r="U900" s="478">
        <v>2016</v>
      </c>
      <c r="V900" s="24">
        <f t="shared" si="80"/>
        <v>2036</v>
      </c>
      <c r="W900">
        <v>0</v>
      </c>
      <c r="X900">
        <v>0</v>
      </c>
      <c r="Y900">
        <v>1315</v>
      </c>
      <c r="Z900">
        <v>361</v>
      </c>
      <c r="AA900" s="475" t="s">
        <v>24</v>
      </c>
    </row>
    <row r="901" spans="1:27" ht="15" hidden="1">
      <c r="A901" s="24">
        <f t="shared" si="81"/>
        <v>1900</v>
      </c>
      <c r="B901" s="24">
        <f t="shared" si="81"/>
        <v>1900</v>
      </c>
      <c r="C901" s="476" t="s">
        <v>1295</v>
      </c>
      <c r="D901" t="s">
        <v>152</v>
      </c>
      <c r="E901" s="477">
        <v>3</v>
      </c>
      <c r="F901" s="471">
        <v>6</v>
      </c>
      <c r="G901">
        <v>1</v>
      </c>
      <c r="H901">
        <v>1</v>
      </c>
      <c r="I901" s="472">
        <f t="shared" si="82"/>
        <v>0.47039166666666665</v>
      </c>
      <c r="J901" s="473">
        <v>0.36503333333333332</v>
      </c>
      <c r="K901" s="473">
        <v>0.44336666666666663</v>
      </c>
      <c r="L901" s="473">
        <v>0.58906666666666663</v>
      </c>
      <c r="M901" s="473">
        <v>0.48410000000000003</v>
      </c>
      <c r="N901" s="472">
        <f t="shared" si="83"/>
        <v>0.47039166666666665</v>
      </c>
      <c r="O901" s="473">
        <v>0.36503333333333332</v>
      </c>
      <c r="P901" s="473">
        <v>0.44336666666666663</v>
      </c>
      <c r="Q901" s="473">
        <v>0.58906666666666663</v>
      </c>
      <c r="R901" s="473">
        <v>0.48410000000000003</v>
      </c>
      <c r="S901" s="153">
        <v>0.01</v>
      </c>
      <c r="T901" s="153">
        <v>0.02</v>
      </c>
      <c r="U901" s="478">
        <v>2016</v>
      </c>
      <c r="V901" s="24">
        <f t="shared" si="80"/>
        <v>2036</v>
      </c>
      <c r="W901">
        <v>0</v>
      </c>
      <c r="X901">
        <v>0</v>
      </c>
      <c r="Y901">
        <v>1315</v>
      </c>
      <c r="Z901">
        <v>361</v>
      </c>
      <c r="AA901" s="475" t="s">
        <v>24</v>
      </c>
    </row>
    <row r="902" spans="1:27" ht="15" hidden="1">
      <c r="A902" s="24">
        <f t="shared" si="81"/>
        <v>1901</v>
      </c>
      <c r="B902" s="24">
        <f t="shared" si="81"/>
        <v>1901</v>
      </c>
      <c r="C902" s="476" t="s">
        <v>1296</v>
      </c>
      <c r="D902" t="s">
        <v>152</v>
      </c>
      <c r="E902" s="477">
        <v>3</v>
      </c>
      <c r="F902" s="471">
        <v>15</v>
      </c>
      <c r="G902">
        <v>1</v>
      </c>
      <c r="H902">
        <v>1</v>
      </c>
      <c r="I902" s="472">
        <f t="shared" si="82"/>
        <v>0.47039166666666665</v>
      </c>
      <c r="J902" s="473">
        <v>0.36503333333333332</v>
      </c>
      <c r="K902" s="473">
        <v>0.44336666666666663</v>
      </c>
      <c r="L902" s="473">
        <v>0.58906666666666663</v>
      </c>
      <c r="M902" s="473">
        <v>0.48410000000000003</v>
      </c>
      <c r="N902" s="472">
        <f t="shared" si="83"/>
        <v>0.47039166666666665</v>
      </c>
      <c r="O902" s="473">
        <v>0.36503333333333332</v>
      </c>
      <c r="P902" s="473">
        <v>0.44336666666666663</v>
      </c>
      <c r="Q902" s="473">
        <v>0.58906666666666663</v>
      </c>
      <c r="R902" s="473">
        <v>0.48410000000000003</v>
      </c>
      <c r="S902" s="153">
        <v>0.01</v>
      </c>
      <c r="T902" s="153">
        <v>0.02</v>
      </c>
      <c r="U902" s="478">
        <v>2016</v>
      </c>
      <c r="V902" s="24">
        <f t="shared" si="80"/>
        <v>2036</v>
      </c>
      <c r="W902">
        <v>0</v>
      </c>
      <c r="X902">
        <v>0</v>
      </c>
      <c r="Y902">
        <v>1315</v>
      </c>
      <c r="Z902">
        <v>361</v>
      </c>
      <c r="AA902" s="475" t="s">
        <v>24</v>
      </c>
    </row>
    <row r="903" spans="1:27" ht="15" hidden="1">
      <c r="A903" s="24">
        <f t="shared" si="81"/>
        <v>1902</v>
      </c>
      <c r="B903" s="24">
        <f t="shared" si="81"/>
        <v>1902</v>
      </c>
      <c r="C903" s="476" t="s">
        <v>1297</v>
      </c>
      <c r="D903" t="s">
        <v>152</v>
      </c>
      <c r="E903" s="477">
        <v>3</v>
      </c>
      <c r="F903" s="471">
        <v>21</v>
      </c>
      <c r="G903">
        <v>1</v>
      </c>
      <c r="H903">
        <v>1</v>
      </c>
      <c r="I903" s="472">
        <f t="shared" si="82"/>
        <v>0.47039166666666665</v>
      </c>
      <c r="J903" s="473">
        <v>0.36503333333333332</v>
      </c>
      <c r="K903" s="473">
        <v>0.44336666666666663</v>
      </c>
      <c r="L903" s="473">
        <v>0.58906666666666663</v>
      </c>
      <c r="M903" s="473">
        <v>0.48410000000000003</v>
      </c>
      <c r="N903" s="472">
        <f t="shared" si="83"/>
        <v>0.47039166666666665</v>
      </c>
      <c r="O903" s="473">
        <v>0.36503333333333332</v>
      </c>
      <c r="P903" s="473">
        <v>0.44336666666666663</v>
      </c>
      <c r="Q903" s="473">
        <v>0.58906666666666663</v>
      </c>
      <c r="R903" s="473">
        <v>0.48410000000000003</v>
      </c>
      <c r="S903" s="153">
        <v>0.01</v>
      </c>
      <c r="T903" s="153">
        <v>0.02</v>
      </c>
      <c r="U903" s="478">
        <v>2016</v>
      </c>
      <c r="V903" s="24">
        <f t="shared" si="80"/>
        <v>2036</v>
      </c>
      <c r="W903">
        <v>0</v>
      </c>
      <c r="X903">
        <v>0</v>
      </c>
      <c r="Y903">
        <v>1315</v>
      </c>
      <c r="Z903">
        <v>361</v>
      </c>
      <c r="AA903" s="475" t="s">
        <v>24</v>
      </c>
    </row>
    <row r="904" spans="1:27" ht="15" hidden="1">
      <c r="A904" s="24">
        <f t="shared" si="81"/>
        <v>1903</v>
      </c>
      <c r="B904" s="24">
        <f t="shared" si="81"/>
        <v>1903</v>
      </c>
      <c r="C904" s="476" t="s">
        <v>1298</v>
      </c>
      <c r="D904" t="s">
        <v>152</v>
      </c>
      <c r="E904" s="477">
        <v>3</v>
      </c>
      <c r="F904" s="471">
        <v>30</v>
      </c>
      <c r="G904">
        <v>1</v>
      </c>
      <c r="H904">
        <v>1</v>
      </c>
      <c r="I904" s="472">
        <f t="shared" si="82"/>
        <v>0.47039166666666665</v>
      </c>
      <c r="J904" s="473">
        <v>0.36503333333333332</v>
      </c>
      <c r="K904" s="473">
        <v>0.44336666666666663</v>
      </c>
      <c r="L904" s="473">
        <v>0.58906666666666663</v>
      </c>
      <c r="M904" s="473">
        <v>0.48410000000000003</v>
      </c>
      <c r="N904" s="472">
        <f t="shared" si="83"/>
        <v>0.47039166666666665</v>
      </c>
      <c r="O904" s="473">
        <v>0.36503333333333332</v>
      </c>
      <c r="P904" s="473">
        <v>0.44336666666666663</v>
      </c>
      <c r="Q904" s="473">
        <v>0.58906666666666663</v>
      </c>
      <c r="R904" s="473">
        <v>0.48410000000000003</v>
      </c>
      <c r="S904" s="153">
        <v>0.01</v>
      </c>
      <c r="T904" s="153">
        <v>0.02</v>
      </c>
      <c r="U904" s="478">
        <v>2016</v>
      </c>
      <c r="V904" s="24">
        <f t="shared" si="80"/>
        <v>2036</v>
      </c>
      <c r="W904">
        <v>0</v>
      </c>
      <c r="X904">
        <v>0</v>
      </c>
      <c r="Y904">
        <v>1315</v>
      </c>
      <c r="Z904">
        <v>361</v>
      </c>
      <c r="AA904" s="475" t="s">
        <v>24</v>
      </c>
    </row>
    <row r="905" spans="1:27" ht="15" hidden="1">
      <c r="A905" s="24">
        <f t="shared" si="81"/>
        <v>1904</v>
      </c>
      <c r="B905" s="24">
        <f t="shared" si="81"/>
        <v>1904</v>
      </c>
      <c r="C905" s="469" t="s">
        <v>1299</v>
      </c>
      <c r="D905" t="s">
        <v>146</v>
      </c>
      <c r="E905" s="470">
        <v>1</v>
      </c>
      <c r="F905" s="471">
        <v>59.363966077738517</v>
      </c>
      <c r="G905">
        <v>1</v>
      </c>
      <c r="H905">
        <v>1</v>
      </c>
      <c r="I905" s="472">
        <f t="shared" si="82"/>
        <v>0.32845968612834514</v>
      </c>
      <c r="J905" s="153">
        <v>3.8473756479098807E-2</v>
      </c>
      <c r="K905" s="153">
        <v>0.39358026214566905</v>
      </c>
      <c r="L905" s="153">
        <v>0.53857526864315253</v>
      </c>
      <c r="M905" s="153">
        <v>0.3432094572454602</v>
      </c>
      <c r="N905" s="472">
        <f t="shared" si="83"/>
        <v>0.32845968612834514</v>
      </c>
      <c r="O905" s="153">
        <v>3.8473756479098807E-2</v>
      </c>
      <c r="P905" s="153">
        <v>0.39358026214566905</v>
      </c>
      <c r="Q905" s="153">
        <v>0.53857526864315253</v>
      </c>
      <c r="R905" s="153">
        <v>0.3432094572454602</v>
      </c>
      <c r="S905" s="153">
        <v>0.03</v>
      </c>
      <c r="T905" s="153">
        <v>0</v>
      </c>
      <c r="U905" s="474">
        <v>2009</v>
      </c>
      <c r="V905">
        <v>2023</v>
      </c>
      <c r="W905">
        <v>0</v>
      </c>
      <c r="X905">
        <v>0</v>
      </c>
      <c r="Y905">
        <v>1304</v>
      </c>
      <c r="Z905">
        <v>311</v>
      </c>
      <c r="AA905" s="475" t="s">
        <v>23</v>
      </c>
    </row>
    <row r="906" spans="1:27" ht="15" hidden="1">
      <c r="A906" s="24">
        <f t="shared" si="81"/>
        <v>1905</v>
      </c>
      <c r="B906" s="24">
        <f t="shared" si="81"/>
        <v>1905</v>
      </c>
      <c r="C906" s="469" t="s">
        <v>1300</v>
      </c>
      <c r="D906" t="s">
        <v>146</v>
      </c>
      <c r="E906" s="470">
        <v>1</v>
      </c>
      <c r="F906" s="471">
        <v>28.643137254901958</v>
      </c>
      <c r="G906">
        <v>1</v>
      </c>
      <c r="H906">
        <v>1</v>
      </c>
      <c r="I906" s="472">
        <f t="shared" si="82"/>
        <v>0.32845968612834514</v>
      </c>
      <c r="J906" s="153">
        <v>3.8473756479098807E-2</v>
      </c>
      <c r="K906" s="153">
        <v>0.39358026214566905</v>
      </c>
      <c r="L906" s="153">
        <v>0.53857526864315253</v>
      </c>
      <c r="M906" s="153">
        <v>0.3432094572454602</v>
      </c>
      <c r="N906" s="472">
        <f t="shared" si="83"/>
        <v>0.32845968612834514</v>
      </c>
      <c r="O906" s="153">
        <v>3.8473756479098807E-2</v>
      </c>
      <c r="P906" s="153">
        <v>0.39358026214566905</v>
      </c>
      <c r="Q906" s="153">
        <v>0.53857526864315253</v>
      </c>
      <c r="R906" s="153">
        <v>0.3432094572454602</v>
      </c>
      <c r="S906" s="153">
        <v>0.03</v>
      </c>
      <c r="T906" s="153">
        <v>0</v>
      </c>
      <c r="U906" s="474">
        <v>2008</v>
      </c>
      <c r="V906">
        <v>2023</v>
      </c>
      <c r="W906">
        <v>0</v>
      </c>
      <c r="X906">
        <v>0</v>
      </c>
      <c r="Y906">
        <v>1304</v>
      </c>
      <c r="Z906">
        <v>311</v>
      </c>
      <c r="AA906" s="475" t="s">
        <v>23</v>
      </c>
    </row>
    <row r="907" spans="1:27" ht="15" hidden="1">
      <c r="A907" s="24">
        <f t="shared" si="81"/>
        <v>1906</v>
      </c>
      <c r="B907" s="24">
        <f t="shared" si="81"/>
        <v>1906</v>
      </c>
      <c r="C907" s="469" t="s">
        <v>1301</v>
      </c>
      <c r="D907" t="s">
        <v>146</v>
      </c>
      <c r="E907" s="470">
        <v>1</v>
      </c>
      <c r="F907" s="471">
        <v>54.356862745098042</v>
      </c>
      <c r="G907">
        <v>1</v>
      </c>
      <c r="H907">
        <v>1</v>
      </c>
      <c r="I907" s="472">
        <f t="shared" si="82"/>
        <v>0.32845968612834514</v>
      </c>
      <c r="J907" s="153">
        <v>3.8473756479098807E-2</v>
      </c>
      <c r="K907" s="153">
        <v>0.39358026214566905</v>
      </c>
      <c r="L907" s="153">
        <v>0.53857526864315253</v>
      </c>
      <c r="M907" s="153">
        <v>0.3432094572454602</v>
      </c>
      <c r="N907" s="472">
        <f t="shared" si="83"/>
        <v>0.32845968612834514</v>
      </c>
      <c r="O907" s="153">
        <v>3.8473756479098807E-2</v>
      </c>
      <c r="P907" s="153">
        <v>0.39358026214566905</v>
      </c>
      <c r="Q907" s="153">
        <v>0.53857526864315253</v>
      </c>
      <c r="R907" s="153">
        <v>0.3432094572454602</v>
      </c>
      <c r="S907" s="153">
        <v>0.03</v>
      </c>
      <c r="T907" s="153">
        <v>0</v>
      </c>
      <c r="U907" s="474">
        <v>2013</v>
      </c>
      <c r="V907">
        <v>2035</v>
      </c>
      <c r="W907">
        <v>0</v>
      </c>
      <c r="X907">
        <v>0</v>
      </c>
      <c r="Y907">
        <v>1304</v>
      </c>
      <c r="Z907">
        <v>311</v>
      </c>
      <c r="AA907" s="475" t="s">
        <v>23</v>
      </c>
    </row>
    <row r="908" spans="1:27" ht="15" hidden="1">
      <c r="A908" s="24">
        <f t="shared" si="81"/>
        <v>1907</v>
      </c>
      <c r="B908" s="24">
        <f t="shared" si="81"/>
        <v>1907</v>
      </c>
      <c r="C908" s="469" t="s">
        <v>1302</v>
      </c>
      <c r="D908" t="s">
        <v>146</v>
      </c>
      <c r="E908" s="470">
        <v>1</v>
      </c>
      <c r="F908" s="471">
        <v>42.5</v>
      </c>
      <c r="G908">
        <v>1</v>
      </c>
      <c r="H908">
        <v>1</v>
      </c>
      <c r="I908" s="472">
        <f t="shared" si="82"/>
        <v>0.32845968612834514</v>
      </c>
      <c r="J908" s="153">
        <v>3.8473756479098807E-2</v>
      </c>
      <c r="K908" s="153">
        <v>0.39358026214566905</v>
      </c>
      <c r="L908" s="153">
        <v>0.53857526864315253</v>
      </c>
      <c r="M908" s="153">
        <v>0.3432094572454602</v>
      </c>
      <c r="N908" s="472">
        <f t="shared" si="83"/>
        <v>0.32845968612834514</v>
      </c>
      <c r="O908" s="153">
        <v>3.8473756479098807E-2</v>
      </c>
      <c r="P908" s="153">
        <v>0.39358026214566905</v>
      </c>
      <c r="Q908" s="153">
        <v>0.53857526864315253</v>
      </c>
      <c r="R908" s="153">
        <v>0.3432094572454602</v>
      </c>
      <c r="S908" s="153">
        <v>0.03</v>
      </c>
      <c r="T908" s="153">
        <v>0</v>
      </c>
      <c r="U908" s="474">
        <v>1900</v>
      </c>
      <c r="V908">
        <v>2030</v>
      </c>
      <c r="W908">
        <v>0</v>
      </c>
      <c r="X908">
        <v>0</v>
      </c>
      <c r="Y908">
        <v>1304</v>
      </c>
      <c r="Z908">
        <v>311</v>
      </c>
      <c r="AA908" s="475" t="s">
        <v>23</v>
      </c>
    </row>
    <row r="909" spans="1:27" ht="15" hidden="1">
      <c r="A909" s="24">
        <f t="shared" si="81"/>
        <v>1908</v>
      </c>
      <c r="B909" s="24">
        <f t="shared" si="81"/>
        <v>1908</v>
      </c>
      <c r="C909" s="469" t="s">
        <v>1303</v>
      </c>
      <c r="D909" t="s">
        <v>146</v>
      </c>
      <c r="E909" s="470">
        <v>1</v>
      </c>
      <c r="F909" s="471">
        <v>0</v>
      </c>
      <c r="G909">
        <v>1</v>
      </c>
      <c r="H909">
        <v>1</v>
      </c>
      <c r="I909" s="472">
        <f t="shared" si="82"/>
        <v>0.32845968612834514</v>
      </c>
      <c r="J909" s="153">
        <v>3.8473756479098807E-2</v>
      </c>
      <c r="K909" s="153">
        <v>0.39358026214566905</v>
      </c>
      <c r="L909" s="153">
        <v>0.53857526864315253</v>
      </c>
      <c r="M909" s="153">
        <v>0.3432094572454602</v>
      </c>
      <c r="N909" s="472">
        <f t="shared" si="83"/>
        <v>0.32845968612834514</v>
      </c>
      <c r="O909" s="153">
        <v>3.8473756479098807E-2</v>
      </c>
      <c r="P909" s="153">
        <v>0.39358026214566905</v>
      </c>
      <c r="Q909" s="153">
        <v>0.53857526864315253</v>
      </c>
      <c r="R909" s="153">
        <v>0.3432094572454602</v>
      </c>
      <c r="S909" s="153">
        <v>0.03</v>
      </c>
      <c r="T909" s="153">
        <v>0</v>
      </c>
      <c r="U909" s="474">
        <v>1900</v>
      </c>
      <c r="V909">
        <v>2030</v>
      </c>
      <c r="W909">
        <v>0</v>
      </c>
      <c r="X909">
        <v>0</v>
      </c>
      <c r="Y909">
        <v>1304</v>
      </c>
      <c r="Z909">
        <v>311</v>
      </c>
      <c r="AA909" s="475" t="s">
        <v>23</v>
      </c>
    </row>
    <row r="910" spans="1:27" ht="15" hidden="1">
      <c r="A910" s="24">
        <f t="shared" si="81"/>
        <v>1909</v>
      </c>
      <c r="B910" s="24">
        <f t="shared" si="81"/>
        <v>1909</v>
      </c>
      <c r="C910" s="476" t="s">
        <v>1304</v>
      </c>
      <c r="D910" t="s">
        <v>152</v>
      </c>
      <c r="E910" s="477">
        <v>3</v>
      </c>
      <c r="F910" s="471">
        <v>21</v>
      </c>
      <c r="G910">
        <v>1</v>
      </c>
      <c r="H910">
        <v>1</v>
      </c>
      <c r="I910" s="472">
        <f t="shared" si="82"/>
        <v>0.47039166666666665</v>
      </c>
      <c r="J910" s="473">
        <v>0.36503333333333332</v>
      </c>
      <c r="K910" s="473">
        <v>0.44336666666666663</v>
      </c>
      <c r="L910" s="473">
        <v>0.58906666666666663</v>
      </c>
      <c r="M910" s="473">
        <v>0.48410000000000003</v>
      </c>
      <c r="N910" s="472">
        <f t="shared" si="83"/>
        <v>0.47039166666666665</v>
      </c>
      <c r="O910" s="473">
        <v>0.36503333333333332</v>
      </c>
      <c r="P910" s="473">
        <v>0.44336666666666663</v>
      </c>
      <c r="Q910" s="473">
        <v>0.58906666666666663</v>
      </c>
      <c r="R910" s="473">
        <v>0.48410000000000003</v>
      </c>
      <c r="S910" s="153">
        <v>0.01</v>
      </c>
      <c r="T910" s="153">
        <v>0.02</v>
      </c>
      <c r="U910" s="478">
        <v>2016</v>
      </c>
      <c r="V910" s="24">
        <f>U910+20</f>
        <v>2036</v>
      </c>
      <c r="W910">
        <v>0</v>
      </c>
      <c r="X910">
        <v>0</v>
      </c>
      <c r="Y910">
        <v>1315</v>
      </c>
      <c r="Z910">
        <v>361</v>
      </c>
      <c r="AA910" s="475" t="s">
        <v>24</v>
      </c>
    </row>
    <row r="911" spans="1:27" ht="15" hidden="1">
      <c r="A911" s="24">
        <f t="shared" si="81"/>
        <v>1910</v>
      </c>
      <c r="B911" s="24">
        <f t="shared" si="81"/>
        <v>1910</v>
      </c>
      <c r="C911" s="469" t="s">
        <v>1305</v>
      </c>
      <c r="D911" t="s">
        <v>152</v>
      </c>
      <c r="E911" s="470">
        <v>3</v>
      </c>
      <c r="F911" s="471">
        <v>14.7</v>
      </c>
      <c r="G911">
        <v>1</v>
      </c>
      <c r="H911">
        <v>1</v>
      </c>
      <c r="I911" s="472">
        <f t="shared" si="82"/>
        <v>0.32845968612834514</v>
      </c>
      <c r="J911" s="153">
        <v>3.8473756479098807E-2</v>
      </c>
      <c r="K911" s="153">
        <v>0.39358026214566905</v>
      </c>
      <c r="L911" s="153">
        <v>0.53857526864315253</v>
      </c>
      <c r="M911" s="153">
        <v>0.3432094572454602</v>
      </c>
      <c r="N911" s="472">
        <f t="shared" si="83"/>
        <v>0.32845968612834514</v>
      </c>
      <c r="O911" s="153">
        <v>3.8473756479098807E-2</v>
      </c>
      <c r="P911" s="153">
        <v>0.39358026214566905</v>
      </c>
      <c r="Q911" s="153">
        <v>0.53857526864315253</v>
      </c>
      <c r="R911" s="153">
        <v>0.3432094572454602</v>
      </c>
      <c r="S911" s="153">
        <v>0.03</v>
      </c>
      <c r="T911" s="153">
        <v>0</v>
      </c>
      <c r="U911" s="474">
        <v>2009</v>
      </c>
      <c r="V911">
        <v>2023</v>
      </c>
      <c r="W911">
        <v>0</v>
      </c>
      <c r="X911">
        <v>0</v>
      </c>
      <c r="Y911">
        <v>1304</v>
      </c>
      <c r="Z911">
        <v>311</v>
      </c>
      <c r="AA911" s="475" t="s">
        <v>23</v>
      </c>
    </row>
    <row r="912" spans="1:27" ht="15" hidden="1">
      <c r="A912" s="24">
        <f t="shared" si="81"/>
        <v>1911</v>
      </c>
      <c r="B912" s="24">
        <f t="shared" si="81"/>
        <v>1911</v>
      </c>
      <c r="C912" s="469" t="s">
        <v>1306</v>
      </c>
      <c r="D912" t="s">
        <v>152</v>
      </c>
      <c r="E912" s="470">
        <v>3</v>
      </c>
      <c r="F912" s="471">
        <v>0</v>
      </c>
      <c r="G912">
        <v>1</v>
      </c>
      <c r="H912">
        <v>1</v>
      </c>
      <c r="I912" s="472">
        <f t="shared" si="82"/>
        <v>0.32845968612834514</v>
      </c>
      <c r="J912" s="153">
        <v>3.8473756479098807E-2</v>
      </c>
      <c r="K912" s="153">
        <v>0.39358026214566905</v>
      </c>
      <c r="L912" s="153">
        <v>0.53857526864315253</v>
      </c>
      <c r="M912" s="153">
        <v>0.3432094572454602</v>
      </c>
      <c r="N912" s="472">
        <f t="shared" si="83"/>
        <v>0.32845968612834514</v>
      </c>
      <c r="O912" s="153">
        <v>3.8473756479098807E-2</v>
      </c>
      <c r="P912" s="153">
        <v>0.39358026214566905</v>
      </c>
      <c r="Q912" s="153">
        <v>0.53857526864315253</v>
      </c>
      <c r="R912" s="153">
        <v>0.3432094572454602</v>
      </c>
      <c r="S912" s="153">
        <v>0.03</v>
      </c>
      <c r="T912" s="153">
        <v>0</v>
      </c>
      <c r="U912" s="474">
        <v>1900</v>
      </c>
      <c r="V912">
        <v>2030</v>
      </c>
      <c r="W912">
        <v>0</v>
      </c>
      <c r="X912">
        <v>0</v>
      </c>
      <c r="Y912">
        <v>1304</v>
      </c>
      <c r="Z912">
        <v>311</v>
      </c>
      <c r="AA912" s="475" t="s">
        <v>23</v>
      </c>
    </row>
    <row r="913" spans="1:27" ht="15" hidden="1">
      <c r="A913" s="24">
        <f t="shared" si="81"/>
        <v>1912</v>
      </c>
      <c r="B913" s="24">
        <f t="shared" si="81"/>
        <v>1912</v>
      </c>
      <c r="C913" s="469" t="s">
        <v>1307</v>
      </c>
      <c r="D913" t="s">
        <v>146</v>
      </c>
      <c r="E913" s="470">
        <v>1</v>
      </c>
      <c r="F913" s="471">
        <v>56</v>
      </c>
      <c r="G913">
        <v>1</v>
      </c>
      <c r="H913">
        <v>1</v>
      </c>
      <c r="I913" s="472">
        <f t="shared" si="82"/>
        <v>0.32845968612834514</v>
      </c>
      <c r="J913" s="153">
        <v>3.8473756479098807E-2</v>
      </c>
      <c r="K913" s="153">
        <v>0.39358026214566905</v>
      </c>
      <c r="L913" s="153">
        <v>0.53857526864315253</v>
      </c>
      <c r="M913" s="153">
        <v>0.3432094572454602</v>
      </c>
      <c r="N913" s="472">
        <f t="shared" si="83"/>
        <v>0.32845968612834514</v>
      </c>
      <c r="O913" s="153">
        <v>3.8473756479098807E-2</v>
      </c>
      <c r="P913" s="153">
        <v>0.39358026214566905</v>
      </c>
      <c r="Q913" s="153">
        <v>0.53857526864315253</v>
      </c>
      <c r="R913" s="153">
        <v>0.3432094572454602</v>
      </c>
      <c r="S913" s="153">
        <v>0.03</v>
      </c>
      <c r="T913" s="153">
        <v>0</v>
      </c>
      <c r="U913" s="474">
        <v>2009</v>
      </c>
      <c r="V913">
        <v>2023</v>
      </c>
      <c r="W913">
        <v>0</v>
      </c>
      <c r="X913">
        <v>0</v>
      </c>
      <c r="Y913">
        <v>1304</v>
      </c>
      <c r="Z913">
        <v>311</v>
      </c>
      <c r="AA913" s="475" t="s">
        <v>23</v>
      </c>
    </row>
    <row r="914" spans="1:27" ht="15" hidden="1">
      <c r="A914" s="24">
        <f t="shared" ref="A914:B932" si="84">1000+ROW()-1</f>
        <v>1913</v>
      </c>
      <c r="B914" s="24">
        <f t="shared" si="84"/>
        <v>1913</v>
      </c>
      <c r="C914" s="469" t="s">
        <v>1308</v>
      </c>
      <c r="D914" t="s">
        <v>146</v>
      </c>
      <c r="E914" s="470">
        <v>1</v>
      </c>
      <c r="F914" s="471">
        <v>0</v>
      </c>
      <c r="G914">
        <v>1</v>
      </c>
      <c r="H914">
        <v>1</v>
      </c>
      <c r="I914" s="472">
        <f t="shared" si="82"/>
        <v>0.32845968612834514</v>
      </c>
      <c r="J914" s="153">
        <v>3.8473756479098807E-2</v>
      </c>
      <c r="K914" s="153">
        <v>0.39358026214566905</v>
      </c>
      <c r="L914" s="153">
        <v>0.53857526864315253</v>
      </c>
      <c r="M914" s="153">
        <v>0.3432094572454602</v>
      </c>
      <c r="N914" s="472">
        <f t="shared" si="83"/>
        <v>0.32845968612834514</v>
      </c>
      <c r="O914" s="153">
        <v>3.8473756479098807E-2</v>
      </c>
      <c r="P914" s="153">
        <v>0.39358026214566905</v>
      </c>
      <c r="Q914" s="153">
        <v>0.53857526864315253</v>
      </c>
      <c r="R914" s="153">
        <v>0.3432094572454602</v>
      </c>
      <c r="S914" s="153">
        <v>0.03</v>
      </c>
      <c r="T914" s="153">
        <v>0</v>
      </c>
      <c r="U914" s="474">
        <v>1900</v>
      </c>
      <c r="V914">
        <v>2030</v>
      </c>
      <c r="W914">
        <v>0</v>
      </c>
      <c r="X914">
        <v>0</v>
      </c>
      <c r="Y914">
        <v>1304</v>
      </c>
      <c r="Z914">
        <v>311</v>
      </c>
      <c r="AA914" s="475" t="s">
        <v>23</v>
      </c>
    </row>
    <row r="915" spans="1:27" ht="15" hidden="1">
      <c r="A915" s="24">
        <f t="shared" si="84"/>
        <v>1914</v>
      </c>
      <c r="B915" s="24">
        <f t="shared" si="84"/>
        <v>1914</v>
      </c>
      <c r="C915" s="469" t="s">
        <v>1309</v>
      </c>
      <c r="D915" t="s">
        <v>146</v>
      </c>
      <c r="E915" s="470">
        <v>1</v>
      </c>
      <c r="F915" s="471">
        <v>16</v>
      </c>
      <c r="G915">
        <v>1</v>
      </c>
      <c r="H915">
        <v>1</v>
      </c>
      <c r="I915" s="472">
        <f t="shared" si="82"/>
        <v>0.32845968612834514</v>
      </c>
      <c r="J915" s="153">
        <v>3.8473756479098807E-2</v>
      </c>
      <c r="K915" s="153">
        <v>0.39358026214566905</v>
      </c>
      <c r="L915" s="153">
        <v>0.53857526864315253</v>
      </c>
      <c r="M915" s="153">
        <v>0.3432094572454602</v>
      </c>
      <c r="N915" s="472">
        <f t="shared" si="83"/>
        <v>0.32845968612834514</v>
      </c>
      <c r="O915" s="153">
        <v>3.8473756479098807E-2</v>
      </c>
      <c r="P915" s="153">
        <v>0.39358026214566905</v>
      </c>
      <c r="Q915" s="153">
        <v>0.53857526864315253</v>
      </c>
      <c r="R915" s="153">
        <v>0.3432094572454602</v>
      </c>
      <c r="S915" s="153">
        <v>0.03</v>
      </c>
      <c r="T915" s="153">
        <v>0</v>
      </c>
      <c r="U915" s="474">
        <v>2010</v>
      </c>
      <c r="V915">
        <v>2023</v>
      </c>
      <c r="W915">
        <v>0</v>
      </c>
      <c r="X915">
        <v>0</v>
      </c>
      <c r="Y915">
        <v>1304</v>
      </c>
      <c r="Z915">
        <v>311</v>
      </c>
      <c r="AA915" s="475" t="s">
        <v>23</v>
      </c>
    </row>
    <row r="916" spans="1:27" ht="15" hidden="1">
      <c r="A916" s="24">
        <f t="shared" si="84"/>
        <v>1915</v>
      </c>
      <c r="B916" s="24">
        <f t="shared" si="84"/>
        <v>1915</v>
      </c>
      <c r="C916" s="469" t="s">
        <v>1310</v>
      </c>
      <c r="D916" t="s">
        <v>146</v>
      </c>
      <c r="E916" s="470">
        <v>1</v>
      </c>
      <c r="F916" s="471">
        <v>0</v>
      </c>
      <c r="G916">
        <v>1</v>
      </c>
      <c r="H916">
        <v>1</v>
      </c>
      <c r="I916" s="472">
        <f t="shared" si="82"/>
        <v>0.32845968612834514</v>
      </c>
      <c r="J916" s="153">
        <v>3.8473756479098807E-2</v>
      </c>
      <c r="K916" s="153">
        <v>0.39358026214566905</v>
      </c>
      <c r="L916" s="153">
        <v>0.53857526864315253</v>
      </c>
      <c r="M916" s="153">
        <v>0.3432094572454602</v>
      </c>
      <c r="N916" s="472">
        <f t="shared" si="83"/>
        <v>0.32845968612834514</v>
      </c>
      <c r="O916" s="153">
        <v>3.8473756479098807E-2</v>
      </c>
      <c r="P916" s="153">
        <v>0.39358026214566905</v>
      </c>
      <c r="Q916" s="153">
        <v>0.53857526864315253</v>
      </c>
      <c r="R916" s="153">
        <v>0.3432094572454602</v>
      </c>
      <c r="S916" s="153">
        <v>0.03</v>
      </c>
      <c r="T916" s="153">
        <v>0</v>
      </c>
      <c r="U916" s="474">
        <v>1900</v>
      </c>
      <c r="V916">
        <v>2030</v>
      </c>
      <c r="W916">
        <v>0</v>
      </c>
      <c r="X916">
        <v>0</v>
      </c>
      <c r="Y916">
        <v>1304</v>
      </c>
      <c r="Z916">
        <v>311</v>
      </c>
      <c r="AA916" s="475" t="s">
        <v>23</v>
      </c>
    </row>
    <row r="917" spans="1:27" ht="15" hidden="1">
      <c r="A917" s="24">
        <f t="shared" si="84"/>
        <v>1916</v>
      </c>
      <c r="B917" s="24">
        <f t="shared" si="84"/>
        <v>1916</v>
      </c>
      <c r="C917" s="476" t="s">
        <v>1311</v>
      </c>
      <c r="D917" t="s">
        <v>152</v>
      </c>
      <c r="E917" s="477">
        <v>3</v>
      </c>
      <c r="F917" s="471">
        <v>24</v>
      </c>
      <c r="G917">
        <v>1</v>
      </c>
      <c r="H917">
        <v>1</v>
      </c>
      <c r="I917" s="472">
        <f t="shared" si="82"/>
        <v>0.47039166666666665</v>
      </c>
      <c r="J917" s="473">
        <v>0.36503333333333332</v>
      </c>
      <c r="K917" s="473">
        <v>0.44336666666666663</v>
      </c>
      <c r="L917" s="473">
        <v>0.58906666666666663</v>
      </c>
      <c r="M917" s="473">
        <v>0.48410000000000003</v>
      </c>
      <c r="N917" s="472">
        <f t="shared" si="83"/>
        <v>0.47039166666666665</v>
      </c>
      <c r="O917" s="473">
        <v>0.36503333333333332</v>
      </c>
      <c r="P917" s="473">
        <v>0.44336666666666663</v>
      </c>
      <c r="Q917" s="473">
        <v>0.58906666666666663</v>
      </c>
      <c r="R917" s="473">
        <v>0.48410000000000003</v>
      </c>
      <c r="S917" s="153">
        <v>0.01</v>
      </c>
      <c r="T917" s="153">
        <v>0.02</v>
      </c>
      <c r="U917" s="478">
        <v>2016</v>
      </c>
      <c r="V917" s="24">
        <f t="shared" ref="V917:V920" si="85">U917+20</f>
        <v>2036</v>
      </c>
      <c r="W917">
        <v>0</v>
      </c>
      <c r="X917">
        <v>0</v>
      </c>
      <c r="Y917">
        <v>1315</v>
      </c>
      <c r="Z917">
        <v>361</v>
      </c>
      <c r="AA917" s="475" t="s">
        <v>24</v>
      </c>
    </row>
    <row r="918" spans="1:27" ht="15" hidden="1">
      <c r="A918" s="24">
        <f t="shared" si="84"/>
        <v>1917</v>
      </c>
      <c r="B918" s="24">
        <f t="shared" si="84"/>
        <v>1917</v>
      </c>
      <c r="C918" s="476" t="s">
        <v>1312</v>
      </c>
      <c r="D918" t="s">
        <v>152</v>
      </c>
      <c r="E918" s="477">
        <v>3</v>
      </c>
      <c r="F918" s="471">
        <v>28</v>
      </c>
      <c r="G918">
        <v>1</v>
      </c>
      <c r="H918">
        <v>1</v>
      </c>
      <c r="I918" s="472">
        <f t="shared" si="82"/>
        <v>0.26420000000000005</v>
      </c>
      <c r="J918" s="33">
        <v>0.29123333333333334</v>
      </c>
      <c r="K918" s="33">
        <f>0.296266666666667-0.07</f>
        <v>0.226266666666667</v>
      </c>
      <c r="L918" s="33">
        <f>0.3193-0.07</f>
        <v>0.24929999999999997</v>
      </c>
      <c r="M918" s="33">
        <v>0.28999999999999998</v>
      </c>
      <c r="N918" s="472">
        <f t="shared" si="83"/>
        <v>0.26420000000000005</v>
      </c>
      <c r="O918" s="33">
        <v>0.29123333333333334</v>
      </c>
      <c r="P918" s="33">
        <f>0.296266666666667-0.07</f>
        <v>0.226266666666667</v>
      </c>
      <c r="Q918" s="33">
        <f>0.3193-0.07</f>
        <v>0.24929999999999997</v>
      </c>
      <c r="R918" s="33">
        <v>0.28999999999999998</v>
      </c>
      <c r="S918" s="153">
        <v>0.04</v>
      </c>
      <c r="T918" s="153">
        <v>0</v>
      </c>
      <c r="U918" s="478">
        <v>2017</v>
      </c>
      <c r="V918" s="24">
        <f t="shared" si="85"/>
        <v>2037</v>
      </c>
      <c r="W918">
        <v>0</v>
      </c>
      <c r="X918">
        <v>0</v>
      </c>
      <c r="Y918">
        <v>1315</v>
      </c>
      <c r="Z918">
        <v>347</v>
      </c>
      <c r="AA918" s="475" t="s">
        <v>25</v>
      </c>
    </row>
    <row r="919" spans="1:27" ht="15" hidden="1">
      <c r="A919" s="24">
        <f t="shared" si="84"/>
        <v>1918</v>
      </c>
      <c r="B919" s="24">
        <f t="shared" si="84"/>
        <v>1918</v>
      </c>
      <c r="C919" s="476" t="s">
        <v>1313</v>
      </c>
      <c r="D919" t="s">
        <v>152</v>
      </c>
      <c r="E919" s="477">
        <v>3</v>
      </c>
      <c r="F919" s="471">
        <v>28</v>
      </c>
      <c r="G919">
        <v>1</v>
      </c>
      <c r="H919">
        <v>1</v>
      </c>
      <c r="I919" s="472">
        <f t="shared" si="82"/>
        <v>0.26420000000000005</v>
      </c>
      <c r="J919" s="33">
        <v>0.29123333333333334</v>
      </c>
      <c r="K919" s="33">
        <f>0.296266666666667-0.07</f>
        <v>0.226266666666667</v>
      </c>
      <c r="L919" s="33">
        <f>0.3193-0.07</f>
        <v>0.24929999999999997</v>
      </c>
      <c r="M919" s="33">
        <v>0.28999999999999998</v>
      </c>
      <c r="N919" s="472">
        <f t="shared" si="83"/>
        <v>0.26420000000000005</v>
      </c>
      <c r="O919" s="33">
        <v>0.29123333333333334</v>
      </c>
      <c r="P919" s="33">
        <f>0.296266666666667-0.07</f>
        <v>0.226266666666667</v>
      </c>
      <c r="Q919" s="33">
        <f>0.3193-0.07</f>
        <v>0.24929999999999997</v>
      </c>
      <c r="R919" s="33">
        <v>0.28999999999999998</v>
      </c>
      <c r="S919" s="153">
        <v>0.04</v>
      </c>
      <c r="T919" s="153">
        <v>0</v>
      </c>
      <c r="U919" s="478">
        <v>2017</v>
      </c>
      <c r="V919" s="24">
        <f t="shared" si="85"/>
        <v>2037</v>
      </c>
      <c r="W919">
        <v>0</v>
      </c>
      <c r="X919">
        <v>0</v>
      </c>
      <c r="Y919">
        <v>1315</v>
      </c>
      <c r="Z919">
        <v>347</v>
      </c>
      <c r="AA919" s="475" t="s">
        <v>25</v>
      </c>
    </row>
    <row r="920" spans="1:27" ht="15" hidden="1">
      <c r="A920" s="24">
        <f t="shared" si="84"/>
        <v>1919</v>
      </c>
      <c r="B920" s="24">
        <f t="shared" si="84"/>
        <v>1919</v>
      </c>
      <c r="C920" s="476" t="s">
        <v>1314</v>
      </c>
      <c r="D920" t="s">
        <v>152</v>
      </c>
      <c r="E920" s="477">
        <v>3</v>
      </c>
      <c r="F920" s="471">
        <v>29.835000000000001</v>
      </c>
      <c r="G920">
        <v>1</v>
      </c>
      <c r="H920">
        <v>1</v>
      </c>
      <c r="I920" s="472">
        <f t="shared" si="82"/>
        <v>0.26420000000000005</v>
      </c>
      <c r="J920" s="33">
        <v>0.29123333333333334</v>
      </c>
      <c r="K920" s="33">
        <f>0.296266666666667-0.07</f>
        <v>0.226266666666667</v>
      </c>
      <c r="L920" s="33">
        <f>0.3193-0.07</f>
        <v>0.24929999999999997</v>
      </c>
      <c r="M920" s="33">
        <v>0.28999999999999998</v>
      </c>
      <c r="N920" s="472">
        <f t="shared" si="83"/>
        <v>0.26420000000000005</v>
      </c>
      <c r="O920" s="33">
        <v>0.29123333333333334</v>
      </c>
      <c r="P920" s="33">
        <f>0.296266666666667-0.07</f>
        <v>0.226266666666667</v>
      </c>
      <c r="Q920" s="33">
        <f>0.3193-0.07</f>
        <v>0.24929999999999997</v>
      </c>
      <c r="R920" s="33">
        <v>0.28999999999999998</v>
      </c>
      <c r="S920" s="153">
        <v>0.04</v>
      </c>
      <c r="T920" s="153">
        <v>0</v>
      </c>
      <c r="U920" s="478">
        <v>2017</v>
      </c>
      <c r="V920" s="24">
        <f t="shared" si="85"/>
        <v>2037</v>
      </c>
      <c r="W920">
        <v>0</v>
      </c>
      <c r="X920">
        <v>0</v>
      </c>
      <c r="Y920">
        <v>1315</v>
      </c>
      <c r="Z920">
        <v>347</v>
      </c>
      <c r="AA920" s="475" t="s">
        <v>25</v>
      </c>
    </row>
    <row r="921" spans="1:27" ht="15" hidden="1">
      <c r="A921" s="24">
        <f t="shared" si="84"/>
        <v>1920</v>
      </c>
      <c r="B921" s="24">
        <f t="shared" si="84"/>
        <v>1920</v>
      </c>
      <c r="C921" s="469" t="s">
        <v>1315</v>
      </c>
      <c r="D921" t="s">
        <v>146</v>
      </c>
      <c r="E921" s="470">
        <v>1</v>
      </c>
      <c r="F921" s="471">
        <v>73</v>
      </c>
      <c r="G921">
        <v>1</v>
      </c>
      <c r="H921">
        <v>1</v>
      </c>
      <c r="I921" s="472">
        <f t="shared" si="82"/>
        <v>0.32845968612834514</v>
      </c>
      <c r="J921" s="153">
        <v>3.8473756479098807E-2</v>
      </c>
      <c r="K921" s="153">
        <v>0.39358026214566905</v>
      </c>
      <c r="L921" s="153">
        <v>0.53857526864315253</v>
      </c>
      <c r="M921" s="153">
        <v>0.3432094572454602</v>
      </c>
      <c r="N921" s="472">
        <f t="shared" si="83"/>
        <v>0.32845968612834514</v>
      </c>
      <c r="O921" s="153">
        <v>3.8473756479098807E-2</v>
      </c>
      <c r="P921" s="153">
        <v>0.39358026214566905</v>
      </c>
      <c r="Q921" s="153">
        <v>0.53857526864315253</v>
      </c>
      <c r="R921" s="153">
        <v>0.3432094572454602</v>
      </c>
      <c r="S921" s="153">
        <v>0.03</v>
      </c>
      <c r="T921" s="153">
        <v>0</v>
      </c>
      <c r="U921" s="474">
        <v>2010</v>
      </c>
      <c r="V921">
        <v>2023</v>
      </c>
      <c r="W921">
        <v>0</v>
      </c>
      <c r="X921">
        <v>0</v>
      </c>
      <c r="Y921">
        <v>1304</v>
      </c>
      <c r="Z921">
        <v>311</v>
      </c>
      <c r="AA921" s="475" t="s">
        <v>23</v>
      </c>
    </row>
    <row r="922" spans="1:27" ht="15" hidden="1">
      <c r="A922" s="24">
        <f t="shared" si="84"/>
        <v>1921</v>
      </c>
      <c r="B922" s="24">
        <f t="shared" si="84"/>
        <v>1921</v>
      </c>
      <c r="C922" s="469" t="s">
        <v>1316</v>
      </c>
      <c r="D922" t="s">
        <v>146</v>
      </c>
      <c r="E922" s="470">
        <v>1</v>
      </c>
      <c r="F922" s="471">
        <v>0</v>
      </c>
      <c r="G922">
        <v>1</v>
      </c>
      <c r="H922">
        <v>1</v>
      </c>
      <c r="I922" s="472">
        <f t="shared" si="82"/>
        <v>0.32845968612834514</v>
      </c>
      <c r="J922" s="153">
        <v>3.8473756479098807E-2</v>
      </c>
      <c r="K922" s="153">
        <v>0.39358026214566905</v>
      </c>
      <c r="L922" s="153">
        <v>0.53857526864315253</v>
      </c>
      <c r="M922" s="153">
        <v>0.3432094572454602</v>
      </c>
      <c r="N922" s="472">
        <f t="shared" si="83"/>
        <v>0.32845968612834514</v>
      </c>
      <c r="O922" s="153">
        <v>3.8473756479098807E-2</v>
      </c>
      <c r="P922" s="153">
        <v>0.39358026214566905</v>
      </c>
      <c r="Q922" s="153">
        <v>0.53857526864315253</v>
      </c>
      <c r="R922" s="153">
        <v>0.3432094572454602</v>
      </c>
      <c r="S922" s="153">
        <v>0.03</v>
      </c>
      <c r="T922" s="153">
        <v>0</v>
      </c>
      <c r="U922" s="474">
        <v>1900</v>
      </c>
      <c r="V922">
        <v>2030</v>
      </c>
      <c r="W922">
        <v>0</v>
      </c>
      <c r="X922">
        <v>0</v>
      </c>
      <c r="Y922">
        <v>1304</v>
      </c>
      <c r="Z922">
        <v>311</v>
      </c>
      <c r="AA922" s="475" t="s">
        <v>23</v>
      </c>
    </row>
    <row r="923" spans="1:27" ht="15" hidden="1">
      <c r="A923" s="24">
        <f t="shared" si="84"/>
        <v>1922</v>
      </c>
      <c r="B923" s="24">
        <f t="shared" si="84"/>
        <v>1922</v>
      </c>
      <c r="C923" s="469" t="s">
        <v>1317</v>
      </c>
      <c r="D923" t="s">
        <v>152</v>
      </c>
      <c r="E923" s="470">
        <v>3</v>
      </c>
      <c r="F923" s="471">
        <v>13.2</v>
      </c>
      <c r="G923">
        <v>1</v>
      </c>
      <c r="H923">
        <v>1</v>
      </c>
      <c r="I923" s="472">
        <f t="shared" si="82"/>
        <v>0.32845968612834514</v>
      </c>
      <c r="J923" s="153">
        <v>3.8473756479098807E-2</v>
      </c>
      <c r="K923" s="153">
        <v>0.39358026214566905</v>
      </c>
      <c r="L923" s="153">
        <v>0.53857526864315253</v>
      </c>
      <c r="M923" s="153">
        <v>0.3432094572454602</v>
      </c>
      <c r="N923" s="472">
        <f t="shared" si="83"/>
        <v>0.32845968612834514</v>
      </c>
      <c r="O923" s="153">
        <v>3.8473756479098807E-2</v>
      </c>
      <c r="P923" s="153">
        <v>0.39358026214566905</v>
      </c>
      <c r="Q923" s="153">
        <v>0.53857526864315253</v>
      </c>
      <c r="R923" s="153">
        <v>0.3432094572454602</v>
      </c>
      <c r="S923" s="153">
        <v>0.03</v>
      </c>
      <c r="T923" s="153">
        <v>0</v>
      </c>
      <c r="U923" s="474">
        <v>2010</v>
      </c>
      <c r="V923">
        <v>2023</v>
      </c>
      <c r="W923">
        <v>0</v>
      </c>
      <c r="X923">
        <v>0</v>
      </c>
      <c r="Y923">
        <v>1304</v>
      </c>
      <c r="Z923">
        <v>311</v>
      </c>
      <c r="AA923" s="475" t="s">
        <v>23</v>
      </c>
    </row>
    <row r="924" spans="1:27" ht="15" hidden="1">
      <c r="A924" s="24">
        <f t="shared" si="84"/>
        <v>1923</v>
      </c>
      <c r="B924" s="24">
        <f t="shared" si="84"/>
        <v>1923</v>
      </c>
      <c r="C924" s="476" t="s">
        <v>1318</v>
      </c>
      <c r="D924" t="s">
        <v>152</v>
      </c>
      <c r="E924" s="477">
        <v>3</v>
      </c>
      <c r="F924" s="471">
        <v>21</v>
      </c>
      <c r="G924">
        <v>1</v>
      </c>
      <c r="H924">
        <v>1</v>
      </c>
      <c r="I924" s="472">
        <f t="shared" si="82"/>
        <v>0.47039166666666665</v>
      </c>
      <c r="J924" s="473">
        <v>0.36503333333333332</v>
      </c>
      <c r="K924" s="473">
        <v>0.44336666666666663</v>
      </c>
      <c r="L924" s="473">
        <v>0.58906666666666663</v>
      </c>
      <c r="M924" s="473">
        <v>0.48410000000000003</v>
      </c>
      <c r="N924" s="472">
        <f t="shared" si="83"/>
        <v>0.47039166666666665</v>
      </c>
      <c r="O924" s="473">
        <v>0.36503333333333332</v>
      </c>
      <c r="P924" s="473">
        <v>0.44336666666666663</v>
      </c>
      <c r="Q924" s="473">
        <v>0.58906666666666663</v>
      </c>
      <c r="R924" s="473">
        <v>0.48410000000000003</v>
      </c>
      <c r="S924" s="153">
        <v>0.01</v>
      </c>
      <c r="T924" s="153">
        <v>0.02</v>
      </c>
      <c r="U924" s="478">
        <v>2016</v>
      </c>
      <c r="V924" s="24">
        <f t="shared" ref="V924:V927" si="86">U924+20</f>
        <v>2036</v>
      </c>
      <c r="W924">
        <v>0</v>
      </c>
      <c r="X924">
        <v>0</v>
      </c>
      <c r="Y924">
        <v>1315</v>
      </c>
      <c r="Z924">
        <v>361</v>
      </c>
      <c r="AA924" s="475" t="s">
        <v>24</v>
      </c>
    </row>
    <row r="925" spans="1:27" ht="15" hidden="1">
      <c r="A925" s="24">
        <f t="shared" si="84"/>
        <v>1924</v>
      </c>
      <c r="B925" s="24">
        <f t="shared" si="84"/>
        <v>1924</v>
      </c>
      <c r="C925" s="476" t="s">
        <v>1319</v>
      </c>
      <c r="D925" t="s">
        <v>152</v>
      </c>
      <c r="E925" s="477">
        <v>3</v>
      </c>
      <c r="F925" s="471">
        <v>21</v>
      </c>
      <c r="G925">
        <v>1</v>
      </c>
      <c r="H925">
        <v>1</v>
      </c>
      <c r="I925" s="472">
        <f t="shared" si="82"/>
        <v>0.47039166666666665</v>
      </c>
      <c r="J925" s="473">
        <v>0.36503333333333332</v>
      </c>
      <c r="K925" s="473">
        <v>0.44336666666666663</v>
      </c>
      <c r="L925" s="473">
        <v>0.58906666666666663</v>
      </c>
      <c r="M925" s="473">
        <v>0.48410000000000003</v>
      </c>
      <c r="N925" s="472">
        <f t="shared" si="83"/>
        <v>0.47039166666666665</v>
      </c>
      <c r="O925" s="473">
        <v>0.36503333333333332</v>
      </c>
      <c r="P925" s="473">
        <v>0.44336666666666663</v>
      </c>
      <c r="Q925" s="473">
        <v>0.58906666666666663</v>
      </c>
      <c r="R925" s="473">
        <v>0.48410000000000003</v>
      </c>
      <c r="S925" s="153">
        <v>0.01</v>
      </c>
      <c r="T925" s="153">
        <v>0.02</v>
      </c>
      <c r="U925" s="478">
        <v>2016</v>
      </c>
      <c r="V925" s="24">
        <f t="shared" si="86"/>
        <v>2036</v>
      </c>
      <c r="W925">
        <v>0</v>
      </c>
      <c r="X925">
        <v>0</v>
      </c>
      <c r="Y925">
        <v>1315</v>
      </c>
      <c r="Z925">
        <v>361</v>
      </c>
      <c r="AA925" s="475" t="s">
        <v>24</v>
      </c>
    </row>
    <row r="926" spans="1:27" ht="15" hidden="1">
      <c r="A926" s="24">
        <f t="shared" si="84"/>
        <v>1925</v>
      </c>
      <c r="B926" s="24">
        <f t="shared" si="84"/>
        <v>1925</v>
      </c>
      <c r="C926" s="476" t="s">
        <v>1320</v>
      </c>
      <c r="D926" t="s">
        <v>152</v>
      </c>
      <c r="E926" s="477">
        <v>3</v>
      </c>
      <c r="F926" s="471">
        <v>9</v>
      </c>
      <c r="G926">
        <v>1</v>
      </c>
      <c r="H926">
        <v>1</v>
      </c>
      <c r="I926" s="472">
        <f t="shared" si="82"/>
        <v>0.47039166666666665</v>
      </c>
      <c r="J926" s="473">
        <v>0.36503333333333332</v>
      </c>
      <c r="K926" s="473">
        <v>0.44336666666666663</v>
      </c>
      <c r="L926" s="473">
        <v>0.58906666666666663</v>
      </c>
      <c r="M926" s="473">
        <v>0.48410000000000003</v>
      </c>
      <c r="N926" s="472">
        <f t="shared" si="83"/>
        <v>0.47039166666666665</v>
      </c>
      <c r="O926" s="473">
        <v>0.36503333333333332</v>
      </c>
      <c r="P926" s="473">
        <v>0.44336666666666663</v>
      </c>
      <c r="Q926" s="473">
        <v>0.58906666666666663</v>
      </c>
      <c r="R926" s="473">
        <v>0.48410000000000003</v>
      </c>
      <c r="S926" s="153">
        <v>0.01</v>
      </c>
      <c r="T926" s="153">
        <v>0.02</v>
      </c>
      <c r="U926" s="478">
        <v>2018</v>
      </c>
      <c r="V926" s="24">
        <f t="shared" si="86"/>
        <v>2038</v>
      </c>
      <c r="W926">
        <v>0</v>
      </c>
      <c r="X926">
        <v>0</v>
      </c>
      <c r="Y926">
        <v>1315</v>
      </c>
      <c r="Z926">
        <v>361</v>
      </c>
      <c r="AA926" s="475" t="s">
        <v>24</v>
      </c>
    </row>
    <row r="927" spans="1:27" ht="15" hidden="1">
      <c r="A927" s="24">
        <f t="shared" si="84"/>
        <v>1926</v>
      </c>
      <c r="B927" s="24">
        <f t="shared" si="84"/>
        <v>1926</v>
      </c>
      <c r="C927" s="476" t="s">
        <v>1321</v>
      </c>
      <c r="D927" t="s">
        <v>152</v>
      </c>
      <c r="E927" s="477">
        <v>3</v>
      </c>
      <c r="F927" s="471">
        <v>21</v>
      </c>
      <c r="G927">
        <v>1</v>
      </c>
      <c r="H927">
        <v>1</v>
      </c>
      <c r="I927" s="472">
        <f t="shared" si="82"/>
        <v>0.47039166666666665</v>
      </c>
      <c r="J927" s="473">
        <v>0.36503333333333332</v>
      </c>
      <c r="K927" s="473">
        <v>0.44336666666666663</v>
      </c>
      <c r="L927" s="473">
        <v>0.58906666666666663</v>
      </c>
      <c r="M927" s="473">
        <v>0.48410000000000003</v>
      </c>
      <c r="N927" s="472">
        <f t="shared" si="83"/>
        <v>0.47039166666666665</v>
      </c>
      <c r="O927" s="473">
        <v>0.36503333333333332</v>
      </c>
      <c r="P927" s="473">
        <v>0.44336666666666663</v>
      </c>
      <c r="Q927" s="473">
        <v>0.58906666666666663</v>
      </c>
      <c r="R927" s="473">
        <v>0.48410000000000003</v>
      </c>
      <c r="S927" s="153">
        <v>0.01</v>
      </c>
      <c r="T927" s="153">
        <v>0.02</v>
      </c>
      <c r="U927" s="478">
        <v>2018</v>
      </c>
      <c r="V927" s="24">
        <f t="shared" si="86"/>
        <v>2038</v>
      </c>
      <c r="W927">
        <v>0</v>
      </c>
      <c r="X927">
        <v>0</v>
      </c>
      <c r="Y927">
        <v>1315</v>
      </c>
      <c r="Z927">
        <v>361</v>
      </c>
      <c r="AA927" s="475" t="s">
        <v>24</v>
      </c>
    </row>
    <row r="928" spans="1:27" ht="15" hidden="1">
      <c r="A928" s="24">
        <f t="shared" si="84"/>
        <v>1927</v>
      </c>
      <c r="B928" s="24">
        <f t="shared" si="84"/>
        <v>1927</v>
      </c>
      <c r="C928" s="469" t="s">
        <v>1322</v>
      </c>
      <c r="D928" t="s">
        <v>152</v>
      </c>
      <c r="E928" s="470">
        <v>3</v>
      </c>
      <c r="F928" s="471">
        <v>0</v>
      </c>
      <c r="G928">
        <v>1</v>
      </c>
      <c r="H928">
        <v>1</v>
      </c>
      <c r="I928" s="472">
        <f t="shared" si="82"/>
        <v>0.32845968612834514</v>
      </c>
      <c r="J928" s="153">
        <v>3.8473756479098807E-2</v>
      </c>
      <c r="K928" s="153">
        <v>0.39358026214566905</v>
      </c>
      <c r="L928" s="153">
        <v>0.53857526864315253</v>
      </c>
      <c r="M928" s="153">
        <v>0.3432094572454602</v>
      </c>
      <c r="N928" s="472">
        <f t="shared" si="83"/>
        <v>0.32845968612834514</v>
      </c>
      <c r="O928" s="153">
        <v>3.8473756479098807E-2</v>
      </c>
      <c r="P928" s="153">
        <v>0.39358026214566905</v>
      </c>
      <c r="Q928" s="153">
        <v>0.53857526864315253</v>
      </c>
      <c r="R928" s="153">
        <v>0.3432094572454602</v>
      </c>
      <c r="S928" s="153">
        <v>0.03</v>
      </c>
      <c r="T928" s="153">
        <v>0</v>
      </c>
      <c r="U928" s="474">
        <v>1900</v>
      </c>
      <c r="V928">
        <v>2030</v>
      </c>
      <c r="W928">
        <v>0</v>
      </c>
      <c r="X928">
        <v>0</v>
      </c>
      <c r="Y928">
        <v>1304</v>
      </c>
      <c r="Z928">
        <v>311</v>
      </c>
      <c r="AA928" s="475" t="s">
        <v>23</v>
      </c>
    </row>
    <row r="929" spans="1:27" ht="15" hidden="1">
      <c r="A929" s="24">
        <f t="shared" si="84"/>
        <v>1928</v>
      </c>
      <c r="B929" s="24">
        <f t="shared" si="84"/>
        <v>1928</v>
      </c>
      <c r="C929" s="469" t="s">
        <v>1323</v>
      </c>
      <c r="D929" t="s">
        <v>146</v>
      </c>
      <c r="E929" s="470">
        <v>1</v>
      </c>
      <c r="F929" s="471">
        <v>11.4</v>
      </c>
      <c r="G929">
        <v>1</v>
      </c>
      <c r="H929">
        <v>1</v>
      </c>
      <c r="I929" s="472">
        <f t="shared" si="82"/>
        <v>0.32845968612834514</v>
      </c>
      <c r="J929" s="153">
        <v>3.8473756479098807E-2</v>
      </c>
      <c r="K929" s="153">
        <v>0.39358026214566905</v>
      </c>
      <c r="L929" s="153">
        <v>0.53857526864315253</v>
      </c>
      <c r="M929" s="153">
        <v>0.3432094572454602</v>
      </c>
      <c r="N929" s="472">
        <f t="shared" si="83"/>
        <v>0.32845968612834514</v>
      </c>
      <c r="O929" s="153">
        <v>3.8473756479098807E-2</v>
      </c>
      <c r="P929" s="153">
        <v>0.39358026214566905</v>
      </c>
      <c r="Q929" s="153">
        <v>0.53857526864315253</v>
      </c>
      <c r="R929" s="153">
        <v>0.3432094572454602</v>
      </c>
      <c r="S929" s="153">
        <v>0.03</v>
      </c>
      <c r="T929" s="153">
        <v>0</v>
      </c>
      <c r="U929" s="474">
        <v>2011</v>
      </c>
      <c r="V929">
        <v>2030</v>
      </c>
      <c r="W929">
        <v>0</v>
      </c>
      <c r="X929">
        <v>0</v>
      </c>
      <c r="Y929">
        <v>1304</v>
      </c>
      <c r="Z929">
        <v>311</v>
      </c>
      <c r="AA929" s="475" t="s">
        <v>23</v>
      </c>
    </row>
    <row r="930" spans="1:27" ht="15" hidden="1">
      <c r="A930" s="24">
        <f t="shared" si="84"/>
        <v>1929</v>
      </c>
      <c r="B930" s="24">
        <f t="shared" si="84"/>
        <v>1929</v>
      </c>
      <c r="C930" s="469" t="s">
        <v>1324</v>
      </c>
      <c r="D930" t="s">
        <v>146</v>
      </c>
      <c r="E930" s="470">
        <v>1</v>
      </c>
      <c r="F930" s="471">
        <v>0</v>
      </c>
      <c r="G930">
        <v>1</v>
      </c>
      <c r="H930">
        <v>1</v>
      </c>
      <c r="I930" s="472">
        <f t="shared" si="82"/>
        <v>0.32845968612834514</v>
      </c>
      <c r="J930" s="153">
        <v>3.8473756479098807E-2</v>
      </c>
      <c r="K930" s="153">
        <v>0.39358026214566905</v>
      </c>
      <c r="L930" s="153">
        <v>0.53857526864315253</v>
      </c>
      <c r="M930" s="153">
        <v>0.3432094572454602</v>
      </c>
      <c r="N930" s="472">
        <f t="shared" si="83"/>
        <v>0.32845968612834514</v>
      </c>
      <c r="O930" s="153">
        <v>3.8473756479098807E-2</v>
      </c>
      <c r="P930" s="153">
        <v>0.39358026214566905</v>
      </c>
      <c r="Q930" s="153">
        <v>0.53857526864315253</v>
      </c>
      <c r="R930" s="153">
        <v>0.3432094572454602</v>
      </c>
      <c r="S930" s="153">
        <v>0.03</v>
      </c>
      <c r="T930" s="153">
        <v>0</v>
      </c>
      <c r="U930" s="474">
        <v>1900</v>
      </c>
      <c r="V930">
        <v>2030</v>
      </c>
      <c r="W930">
        <v>0</v>
      </c>
      <c r="X930">
        <v>0</v>
      </c>
      <c r="Y930">
        <v>1304</v>
      </c>
      <c r="Z930">
        <v>311</v>
      </c>
      <c r="AA930" s="475" t="s">
        <v>23</v>
      </c>
    </row>
    <row r="931" spans="1:27" ht="15" hidden="1">
      <c r="A931" s="24">
        <f t="shared" si="84"/>
        <v>1930</v>
      </c>
      <c r="B931" s="24">
        <f t="shared" si="84"/>
        <v>1930</v>
      </c>
      <c r="C931" s="476" t="s">
        <v>1325</v>
      </c>
      <c r="D931" t="s">
        <v>152</v>
      </c>
      <c r="E931" s="477">
        <v>3</v>
      </c>
      <c r="F931" s="471">
        <v>16.2</v>
      </c>
      <c r="G931">
        <v>1</v>
      </c>
      <c r="H931">
        <v>1</v>
      </c>
      <c r="I931" s="472">
        <f t="shared" si="82"/>
        <v>0.47039166666666665</v>
      </c>
      <c r="J931" s="473">
        <v>0.36503333333333332</v>
      </c>
      <c r="K931" s="473">
        <v>0.44336666666666663</v>
      </c>
      <c r="L931" s="473">
        <v>0.58906666666666663</v>
      </c>
      <c r="M931" s="473">
        <v>0.48410000000000003</v>
      </c>
      <c r="N931" s="472">
        <f t="shared" si="83"/>
        <v>0.47039166666666665</v>
      </c>
      <c r="O931" s="473">
        <v>0.36503333333333332</v>
      </c>
      <c r="P931" s="473">
        <v>0.44336666666666663</v>
      </c>
      <c r="Q931" s="473">
        <v>0.58906666666666663</v>
      </c>
      <c r="R931" s="473">
        <v>0.48410000000000003</v>
      </c>
      <c r="S931" s="153">
        <v>0.01</v>
      </c>
      <c r="T931" s="153">
        <v>0.02</v>
      </c>
      <c r="U931" s="478">
        <v>2018</v>
      </c>
      <c r="V931" s="24">
        <f t="shared" ref="V931:V952" si="87">U931+20</f>
        <v>2038</v>
      </c>
      <c r="W931">
        <v>0</v>
      </c>
      <c r="X931">
        <v>0</v>
      </c>
      <c r="Y931">
        <v>1315</v>
      </c>
      <c r="Z931">
        <v>361</v>
      </c>
      <c r="AA931" s="475" t="s">
        <v>24</v>
      </c>
    </row>
    <row r="932" spans="1:27" ht="15" hidden="1">
      <c r="A932" s="24">
        <f t="shared" si="84"/>
        <v>1931</v>
      </c>
      <c r="B932" s="24">
        <f t="shared" si="84"/>
        <v>1931</v>
      </c>
      <c r="C932" s="476" t="s">
        <v>1326</v>
      </c>
      <c r="D932" t="s">
        <v>152</v>
      </c>
      <c r="E932" s="477">
        <v>3</v>
      </c>
      <c r="F932" s="471">
        <v>30</v>
      </c>
      <c r="G932">
        <v>1</v>
      </c>
      <c r="H932">
        <v>1</v>
      </c>
      <c r="I932" s="472">
        <f t="shared" si="82"/>
        <v>0.47039166666666665</v>
      </c>
      <c r="J932" s="473">
        <v>0.36503333333333332</v>
      </c>
      <c r="K932" s="473">
        <v>0.44336666666666663</v>
      </c>
      <c r="L932" s="473">
        <v>0.58906666666666663</v>
      </c>
      <c r="M932" s="473">
        <v>0.48410000000000003</v>
      </c>
      <c r="N932" s="472">
        <f t="shared" si="83"/>
        <v>0.47039166666666665</v>
      </c>
      <c r="O932" s="473">
        <v>0.36503333333333332</v>
      </c>
      <c r="P932" s="473">
        <v>0.44336666666666663</v>
      </c>
      <c r="Q932" s="473">
        <v>0.58906666666666663</v>
      </c>
      <c r="R932" s="473">
        <v>0.48410000000000003</v>
      </c>
      <c r="S932" s="153">
        <v>0.01</v>
      </c>
      <c r="T932" s="153">
        <v>0.02</v>
      </c>
      <c r="U932" s="478">
        <v>2018</v>
      </c>
      <c r="V932" s="24">
        <f t="shared" si="87"/>
        <v>2038</v>
      </c>
      <c r="W932">
        <v>0</v>
      </c>
      <c r="X932">
        <v>0</v>
      </c>
      <c r="Y932">
        <v>1315</v>
      </c>
      <c r="Z932">
        <v>361</v>
      </c>
      <c r="AA932" s="475" t="s">
        <v>24</v>
      </c>
    </row>
    <row r="933" spans="1:27" ht="15" hidden="1">
      <c r="A933" s="24">
        <f t="shared" ref="A933:B948" si="88">1000+ROW()-1</f>
        <v>1932</v>
      </c>
      <c r="B933" s="24">
        <f t="shared" si="88"/>
        <v>1932</v>
      </c>
      <c r="C933" s="476" t="s">
        <v>1327</v>
      </c>
      <c r="D933" t="s">
        <v>152</v>
      </c>
      <c r="E933" s="477">
        <v>3</v>
      </c>
      <c r="F933" s="471">
        <v>18.899999999999999</v>
      </c>
      <c r="G933">
        <v>1</v>
      </c>
      <c r="H933">
        <v>1</v>
      </c>
      <c r="I933" s="472">
        <f t="shared" si="82"/>
        <v>0.47039166666666665</v>
      </c>
      <c r="J933" s="473">
        <v>0.36503333333333332</v>
      </c>
      <c r="K933" s="473">
        <v>0.44336666666666663</v>
      </c>
      <c r="L933" s="473">
        <v>0.58906666666666663</v>
      </c>
      <c r="M933" s="473">
        <v>0.48410000000000003</v>
      </c>
      <c r="N933" s="472">
        <f t="shared" si="83"/>
        <v>0.47039166666666665</v>
      </c>
      <c r="O933" s="473">
        <v>0.36503333333333332</v>
      </c>
      <c r="P933" s="473">
        <v>0.44336666666666663</v>
      </c>
      <c r="Q933" s="473">
        <v>0.58906666666666663</v>
      </c>
      <c r="R933" s="473">
        <v>0.48410000000000003</v>
      </c>
      <c r="S933" s="153">
        <v>0.01</v>
      </c>
      <c r="T933" s="153">
        <v>0.02</v>
      </c>
      <c r="U933" s="478">
        <v>2018</v>
      </c>
      <c r="V933" s="24">
        <f t="shared" si="87"/>
        <v>2038</v>
      </c>
      <c r="W933">
        <v>0</v>
      </c>
      <c r="X933">
        <v>0</v>
      </c>
      <c r="Y933">
        <v>1315</v>
      </c>
      <c r="Z933">
        <v>361</v>
      </c>
      <c r="AA933" s="475" t="s">
        <v>24</v>
      </c>
    </row>
    <row r="934" spans="1:27" ht="15" hidden="1">
      <c r="A934" s="24">
        <f t="shared" si="88"/>
        <v>1933</v>
      </c>
      <c r="B934" s="24">
        <f t="shared" si="88"/>
        <v>1933</v>
      </c>
      <c r="C934" s="476" t="s">
        <v>1328</v>
      </c>
      <c r="D934" t="s">
        <v>152</v>
      </c>
      <c r="E934" s="477">
        <v>3</v>
      </c>
      <c r="F934" s="471">
        <v>6</v>
      </c>
      <c r="G934">
        <v>1</v>
      </c>
      <c r="H934">
        <v>1</v>
      </c>
      <c r="I934" s="472">
        <f t="shared" si="82"/>
        <v>0.47039166666666665</v>
      </c>
      <c r="J934" s="473">
        <v>0.36503333333333332</v>
      </c>
      <c r="K934" s="473">
        <v>0.44336666666666663</v>
      </c>
      <c r="L934" s="473">
        <v>0.58906666666666663</v>
      </c>
      <c r="M934" s="473">
        <v>0.48410000000000003</v>
      </c>
      <c r="N934" s="472">
        <f t="shared" si="83"/>
        <v>0.47039166666666665</v>
      </c>
      <c r="O934" s="473">
        <v>0.36503333333333332</v>
      </c>
      <c r="P934" s="473">
        <v>0.44336666666666663</v>
      </c>
      <c r="Q934" s="473">
        <v>0.58906666666666663</v>
      </c>
      <c r="R934" s="473">
        <v>0.48410000000000003</v>
      </c>
      <c r="S934" s="153">
        <v>0.01</v>
      </c>
      <c r="T934" s="153">
        <v>0.02</v>
      </c>
      <c r="U934" s="478">
        <v>2016</v>
      </c>
      <c r="V934" s="24">
        <f t="shared" si="87"/>
        <v>2036</v>
      </c>
      <c r="W934">
        <v>0</v>
      </c>
      <c r="X934">
        <v>0</v>
      </c>
      <c r="Y934">
        <v>1315</v>
      </c>
      <c r="Z934">
        <v>361</v>
      </c>
      <c r="AA934" s="475" t="s">
        <v>24</v>
      </c>
    </row>
    <row r="935" spans="1:27" ht="15" hidden="1">
      <c r="A935" s="24">
        <f t="shared" si="88"/>
        <v>1934</v>
      </c>
      <c r="B935" s="24">
        <f t="shared" si="88"/>
        <v>1934</v>
      </c>
      <c r="C935" s="476" t="s">
        <v>1329</v>
      </c>
      <c r="D935" t="s">
        <v>152</v>
      </c>
      <c r="E935" s="477">
        <v>3</v>
      </c>
      <c r="F935" s="471">
        <v>9</v>
      </c>
      <c r="G935">
        <v>1</v>
      </c>
      <c r="H935">
        <v>1</v>
      </c>
      <c r="I935" s="472">
        <f t="shared" si="82"/>
        <v>0.47039166666666665</v>
      </c>
      <c r="J935" s="473">
        <v>0.36503333333333332</v>
      </c>
      <c r="K935" s="473">
        <v>0.44336666666666663</v>
      </c>
      <c r="L935" s="473">
        <v>0.58906666666666663</v>
      </c>
      <c r="M935" s="473">
        <v>0.48410000000000003</v>
      </c>
      <c r="N935" s="472">
        <f t="shared" si="83"/>
        <v>0.47039166666666665</v>
      </c>
      <c r="O935" s="473">
        <v>0.36503333333333332</v>
      </c>
      <c r="P935" s="473">
        <v>0.44336666666666663</v>
      </c>
      <c r="Q935" s="473">
        <v>0.58906666666666663</v>
      </c>
      <c r="R935" s="473">
        <v>0.48410000000000003</v>
      </c>
      <c r="S935" s="153">
        <v>0.01</v>
      </c>
      <c r="T935" s="153">
        <v>0.02</v>
      </c>
      <c r="U935" s="478">
        <v>2016</v>
      </c>
      <c r="V935" s="24">
        <f t="shared" si="87"/>
        <v>2036</v>
      </c>
      <c r="W935">
        <v>0</v>
      </c>
      <c r="X935">
        <v>0</v>
      </c>
      <c r="Y935">
        <v>1315</v>
      </c>
      <c r="Z935">
        <v>361</v>
      </c>
      <c r="AA935" s="475" t="s">
        <v>24</v>
      </c>
    </row>
    <row r="936" spans="1:27" ht="15" hidden="1">
      <c r="A936" s="24">
        <f t="shared" si="88"/>
        <v>1935</v>
      </c>
      <c r="B936" s="24">
        <f t="shared" si="88"/>
        <v>1935</v>
      </c>
      <c r="C936" s="476" t="s">
        <v>1330</v>
      </c>
      <c r="D936" t="s">
        <v>152</v>
      </c>
      <c r="E936" s="477">
        <v>3</v>
      </c>
      <c r="F936" s="471">
        <v>9</v>
      </c>
      <c r="G936">
        <v>1</v>
      </c>
      <c r="H936">
        <v>1</v>
      </c>
      <c r="I936" s="472">
        <f t="shared" si="82"/>
        <v>0.47039166666666665</v>
      </c>
      <c r="J936" s="473">
        <v>0.36503333333333332</v>
      </c>
      <c r="K936" s="473">
        <v>0.44336666666666663</v>
      </c>
      <c r="L936" s="473">
        <v>0.58906666666666663</v>
      </c>
      <c r="M936" s="473">
        <v>0.48410000000000003</v>
      </c>
      <c r="N936" s="472">
        <f t="shared" si="83"/>
        <v>0.47039166666666665</v>
      </c>
      <c r="O936" s="473">
        <v>0.36503333333333332</v>
      </c>
      <c r="P936" s="473">
        <v>0.44336666666666663</v>
      </c>
      <c r="Q936" s="473">
        <v>0.58906666666666663</v>
      </c>
      <c r="R936" s="473">
        <v>0.48410000000000003</v>
      </c>
      <c r="S936" s="153">
        <v>0.01</v>
      </c>
      <c r="T936" s="153">
        <v>0.02</v>
      </c>
      <c r="U936" s="478">
        <v>2016</v>
      </c>
      <c r="V936" s="24">
        <f t="shared" si="87"/>
        <v>2036</v>
      </c>
      <c r="W936">
        <v>0</v>
      </c>
      <c r="X936">
        <v>0</v>
      </c>
      <c r="Y936">
        <v>1315</v>
      </c>
      <c r="Z936">
        <v>361</v>
      </c>
      <c r="AA936" s="475" t="s">
        <v>24</v>
      </c>
    </row>
    <row r="937" spans="1:27" ht="15" hidden="1">
      <c r="A937" s="24">
        <f t="shared" si="88"/>
        <v>1936</v>
      </c>
      <c r="B937" s="24">
        <f t="shared" si="88"/>
        <v>1936</v>
      </c>
      <c r="C937" s="476" t="s">
        <v>1331</v>
      </c>
      <c r="D937" t="s">
        <v>152</v>
      </c>
      <c r="E937" s="477">
        <v>3</v>
      </c>
      <c r="F937" s="471">
        <v>6</v>
      </c>
      <c r="G937">
        <v>1</v>
      </c>
      <c r="H937">
        <v>1</v>
      </c>
      <c r="I937" s="472">
        <f t="shared" si="82"/>
        <v>0.47039166666666665</v>
      </c>
      <c r="J937" s="473">
        <v>0.36503333333333332</v>
      </c>
      <c r="K937" s="473">
        <v>0.44336666666666663</v>
      </c>
      <c r="L937" s="473">
        <v>0.58906666666666663</v>
      </c>
      <c r="M937" s="473">
        <v>0.48410000000000003</v>
      </c>
      <c r="N937" s="472">
        <f t="shared" si="83"/>
        <v>0.47039166666666665</v>
      </c>
      <c r="O937" s="473">
        <v>0.36503333333333332</v>
      </c>
      <c r="P937" s="473">
        <v>0.44336666666666663</v>
      </c>
      <c r="Q937" s="473">
        <v>0.58906666666666663</v>
      </c>
      <c r="R937" s="473">
        <v>0.48410000000000003</v>
      </c>
      <c r="S937" s="153">
        <v>0.01</v>
      </c>
      <c r="T937" s="153">
        <v>0.02</v>
      </c>
      <c r="U937" s="478">
        <v>2016</v>
      </c>
      <c r="V937" s="24">
        <f t="shared" si="87"/>
        <v>2036</v>
      </c>
      <c r="W937">
        <v>0</v>
      </c>
      <c r="X937">
        <v>0</v>
      </c>
      <c r="Y937">
        <v>1315</v>
      </c>
      <c r="Z937">
        <v>361</v>
      </c>
      <c r="AA937" s="475" t="s">
        <v>24</v>
      </c>
    </row>
    <row r="938" spans="1:27" ht="15" hidden="1">
      <c r="A938" s="24">
        <f t="shared" si="88"/>
        <v>1937</v>
      </c>
      <c r="B938" s="24">
        <f t="shared" si="88"/>
        <v>1937</v>
      </c>
      <c r="C938" s="476" t="s">
        <v>1332</v>
      </c>
      <c r="D938" t="s">
        <v>152</v>
      </c>
      <c r="E938" s="477">
        <v>3</v>
      </c>
      <c r="F938" s="471">
        <v>12</v>
      </c>
      <c r="G938">
        <v>1</v>
      </c>
      <c r="H938">
        <v>1</v>
      </c>
      <c r="I938" s="472">
        <f t="shared" si="82"/>
        <v>0.47039166666666665</v>
      </c>
      <c r="J938" s="473">
        <v>0.36503333333333332</v>
      </c>
      <c r="K938" s="473">
        <v>0.44336666666666663</v>
      </c>
      <c r="L938" s="473">
        <v>0.58906666666666663</v>
      </c>
      <c r="M938" s="473">
        <v>0.48410000000000003</v>
      </c>
      <c r="N938" s="472">
        <f t="shared" si="83"/>
        <v>0.47039166666666665</v>
      </c>
      <c r="O938" s="473">
        <v>0.36503333333333332</v>
      </c>
      <c r="P938" s="473">
        <v>0.44336666666666663</v>
      </c>
      <c r="Q938" s="473">
        <v>0.58906666666666663</v>
      </c>
      <c r="R938" s="473">
        <v>0.48410000000000003</v>
      </c>
      <c r="S938" s="153">
        <v>0.01</v>
      </c>
      <c r="T938" s="153">
        <v>0.02</v>
      </c>
      <c r="U938" s="478">
        <v>2016</v>
      </c>
      <c r="V938" s="24">
        <f t="shared" si="87"/>
        <v>2036</v>
      </c>
      <c r="W938">
        <v>0</v>
      </c>
      <c r="X938">
        <v>0</v>
      </c>
      <c r="Y938">
        <v>1315</v>
      </c>
      <c r="Z938">
        <v>361</v>
      </c>
      <c r="AA938" s="475" t="s">
        <v>24</v>
      </c>
    </row>
    <row r="939" spans="1:27" ht="15" hidden="1">
      <c r="A939" s="24">
        <f t="shared" si="88"/>
        <v>1938</v>
      </c>
      <c r="B939" s="24">
        <f t="shared" si="88"/>
        <v>1938</v>
      </c>
      <c r="C939" s="476" t="s">
        <v>1333</v>
      </c>
      <c r="D939" t="s">
        <v>152</v>
      </c>
      <c r="E939" s="477">
        <v>3</v>
      </c>
      <c r="F939" s="471">
        <v>6</v>
      </c>
      <c r="G939">
        <v>1</v>
      </c>
      <c r="H939">
        <v>1</v>
      </c>
      <c r="I939" s="472">
        <f t="shared" si="82"/>
        <v>0.47039166666666665</v>
      </c>
      <c r="J939" s="473">
        <v>0.36503333333333332</v>
      </c>
      <c r="K939" s="473">
        <v>0.44336666666666663</v>
      </c>
      <c r="L939" s="473">
        <v>0.58906666666666663</v>
      </c>
      <c r="M939" s="473">
        <v>0.48410000000000003</v>
      </c>
      <c r="N939" s="472">
        <f t="shared" si="83"/>
        <v>0.47039166666666665</v>
      </c>
      <c r="O939" s="473">
        <v>0.36503333333333332</v>
      </c>
      <c r="P939" s="473">
        <v>0.44336666666666663</v>
      </c>
      <c r="Q939" s="473">
        <v>0.58906666666666663</v>
      </c>
      <c r="R939" s="473">
        <v>0.48410000000000003</v>
      </c>
      <c r="S939" s="153">
        <v>0.01</v>
      </c>
      <c r="T939" s="153">
        <v>0.02</v>
      </c>
      <c r="U939" s="478">
        <v>2016</v>
      </c>
      <c r="V939" s="24">
        <f t="shared" si="87"/>
        <v>2036</v>
      </c>
      <c r="W939">
        <v>0</v>
      </c>
      <c r="X939">
        <v>0</v>
      </c>
      <c r="Y939">
        <v>1315</v>
      </c>
      <c r="Z939">
        <v>361</v>
      </c>
      <c r="AA939" s="475" t="s">
        <v>24</v>
      </c>
    </row>
    <row r="940" spans="1:27" ht="15" hidden="1">
      <c r="A940" s="24">
        <f t="shared" si="88"/>
        <v>1939</v>
      </c>
      <c r="B940" s="24">
        <f t="shared" si="88"/>
        <v>1939</v>
      </c>
      <c r="C940" s="476" t="s">
        <v>1334</v>
      </c>
      <c r="D940" t="s">
        <v>152</v>
      </c>
      <c r="E940" s="477">
        <v>3</v>
      </c>
      <c r="F940" s="471">
        <v>8.1</v>
      </c>
      <c r="G940">
        <v>1</v>
      </c>
      <c r="H940">
        <v>1</v>
      </c>
      <c r="I940" s="472">
        <f t="shared" si="82"/>
        <v>0.47039166666666665</v>
      </c>
      <c r="J940" s="473">
        <v>0.36503333333333332</v>
      </c>
      <c r="K940" s="473">
        <v>0.44336666666666663</v>
      </c>
      <c r="L940" s="473">
        <v>0.58906666666666663</v>
      </c>
      <c r="M940" s="473">
        <v>0.48410000000000003</v>
      </c>
      <c r="N940" s="472">
        <f t="shared" si="83"/>
        <v>0.47039166666666665</v>
      </c>
      <c r="O940" s="473">
        <v>0.36503333333333332</v>
      </c>
      <c r="P940" s="473">
        <v>0.44336666666666663</v>
      </c>
      <c r="Q940" s="473">
        <v>0.58906666666666663</v>
      </c>
      <c r="R940" s="473">
        <v>0.48410000000000003</v>
      </c>
      <c r="S940" s="153">
        <v>0.01</v>
      </c>
      <c r="T940" s="153">
        <v>0.02</v>
      </c>
      <c r="U940" s="478">
        <v>2018</v>
      </c>
      <c r="V940" s="24">
        <f t="shared" si="87"/>
        <v>2038</v>
      </c>
      <c r="W940">
        <v>0</v>
      </c>
      <c r="X940">
        <v>0</v>
      </c>
      <c r="Y940">
        <v>1315</v>
      </c>
      <c r="Z940">
        <v>361</v>
      </c>
      <c r="AA940" s="475" t="s">
        <v>24</v>
      </c>
    </row>
    <row r="941" spans="1:27" ht="15" hidden="1">
      <c r="A941" s="24">
        <f t="shared" si="88"/>
        <v>1940</v>
      </c>
      <c r="B941" s="24">
        <f t="shared" si="88"/>
        <v>1940</v>
      </c>
      <c r="C941" s="476" t="s">
        <v>1335</v>
      </c>
      <c r="D941" t="s">
        <v>152</v>
      </c>
      <c r="E941" s="477">
        <v>3</v>
      </c>
      <c r="F941" s="471">
        <v>28</v>
      </c>
      <c r="G941">
        <v>1</v>
      </c>
      <c r="H941">
        <v>1</v>
      </c>
      <c r="I941" s="472">
        <f t="shared" si="82"/>
        <v>0.47039166666666665</v>
      </c>
      <c r="J941" s="473">
        <v>0.36503333333333332</v>
      </c>
      <c r="K941" s="473">
        <v>0.44336666666666663</v>
      </c>
      <c r="L941" s="473">
        <v>0.58906666666666663</v>
      </c>
      <c r="M941" s="473">
        <v>0.48410000000000003</v>
      </c>
      <c r="N941" s="472">
        <f t="shared" si="83"/>
        <v>0.47039166666666665</v>
      </c>
      <c r="O941" s="473">
        <v>0.36503333333333332</v>
      </c>
      <c r="P941" s="473">
        <v>0.44336666666666663</v>
      </c>
      <c r="Q941" s="473">
        <v>0.58906666666666663</v>
      </c>
      <c r="R941" s="473">
        <v>0.48410000000000003</v>
      </c>
      <c r="S941" s="153">
        <v>0.01</v>
      </c>
      <c r="T941" s="153">
        <v>0.02</v>
      </c>
      <c r="U941" s="478">
        <v>2018</v>
      </c>
      <c r="V941" s="24">
        <f t="shared" si="87"/>
        <v>2038</v>
      </c>
      <c r="W941">
        <v>0</v>
      </c>
      <c r="X941">
        <v>0</v>
      </c>
      <c r="Y941">
        <v>1315</v>
      </c>
      <c r="Z941">
        <v>361</v>
      </c>
      <c r="AA941" s="475" t="s">
        <v>24</v>
      </c>
    </row>
    <row r="942" spans="1:27" ht="15" hidden="1">
      <c r="A942" s="24">
        <f t="shared" si="88"/>
        <v>1941</v>
      </c>
      <c r="B942" s="24">
        <f t="shared" si="88"/>
        <v>1941</v>
      </c>
      <c r="C942" s="476" t="s">
        <v>1336</v>
      </c>
      <c r="D942" t="s">
        <v>152</v>
      </c>
      <c r="E942" s="477">
        <v>3</v>
      </c>
      <c r="F942" s="471">
        <v>30</v>
      </c>
      <c r="G942">
        <v>1</v>
      </c>
      <c r="H942">
        <v>1</v>
      </c>
      <c r="I942" s="472">
        <f t="shared" si="82"/>
        <v>0.47039166666666665</v>
      </c>
      <c r="J942" s="473">
        <v>0.36503333333333332</v>
      </c>
      <c r="K942" s="473">
        <v>0.44336666666666663</v>
      </c>
      <c r="L942" s="473">
        <v>0.58906666666666663</v>
      </c>
      <c r="M942" s="473">
        <v>0.48410000000000003</v>
      </c>
      <c r="N942" s="472">
        <f t="shared" si="83"/>
        <v>0.47039166666666665</v>
      </c>
      <c r="O942" s="473">
        <v>0.36503333333333332</v>
      </c>
      <c r="P942" s="473">
        <v>0.44336666666666663</v>
      </c>
      <c r="Q942" s="473">
        <v>0.58906666666666663</v>
      </c>
      <c r="R942" s="473">
        <v>0.48410000000000003</v>
      </c>
      <c r="S942" s="153">
        <v>0.01</v>
      </c>
      <c r="T942" s="153">
        <v>0.02</v>
      </c>
      <c r="U942" s="478">
        <v>2018</v>
      </c>
      <c r="V942" s="24">
        <f t="shared" si="87"/>
        <v>2038</v>
      </c>
      <c r="W942">
        <v>0</v>
      </c>
      <c r="X942">
        <v>0</v>
      </c>
      <c r="Y942">
        <v>1315</v>
      </c>
      <c r="Z942">
        <v>361</v>
      </c>
      <c r="AA942" s="475" t="s">
        <v>24</v>
      </c>
    </row>
    <row r="943" spans="1:27" ht="15" hidden="1">
      <c r="A943" s="24">
        <f t="shared" si="88"/>
        <v>1942</v>
      </c>
      <c r="B943" s="24">
        <f t="shared" si="88"/>
        <v>1942</v>
      </c>
      <c r="C943" s="476" t="s">
        <v>1337</v>
      </c>
      <c r="D943" t="s">
        <v>152</v>
      </c>
      <c r="E943" s="477">
        <v>3</v>
      </c>
      <c r="F943" s="471">
        <v>26</v>
      </c>
      <c r="G943">
        <v>1</v>
      </c>
      <c r="H943">
        <v>1</v>
      </c>
      <c r="I943" s="472">
        <f t="shared" si="82"/>
        <v>0.47039166666666665</v>
      </c>
      <c r="J943" s="473">
        <v>0.36503333333333332</v>
      </c>
      <c r="K943" s="473">
        <v>0.44336666666666663</v>
      </c>
      <c r="L943" s="473">
        <v>0.58906666666666663</v>
      </c>
      <c r="M943" s="473">
        <v>0.48410000000000003</v>
      </c>
      <c r="N943" s="472">
        <f t="shared" si="83"/>
        <v>0.47039166666666665</v>
      </c>
      <c r="O943" s="473">
        <v>0.36503333333333332</v>
      </c>
      <c r="P943" s="473">
        <v>0.44336666666666663</v>
      </c>
      <c r="Q943" s="473">
        <v>0.58906666666666663</v>
      </c>
      <c r="R943" s="473">
        <v>0.48410000000000003</v>
      </c>
      <c r="S943" s="153">
        <v>0.01</v>
      </c>
      <c r="T943" s="153">
        <v>0.02</v>
      </c>
      <c r="U943" s="478">
        <v>2018</v>
      </c>
      <c r="V943" s="24">
        <f t="shared" si="87"/>
        <v>2038</v>
      </c>
      <c r="W943">
        <v>0</v>
      </c>
      <c r="X943">
        <v>0</v>
      </c>
      <c r="Y943">
        <v>1315</v>
      </c>
      <c r="Z943">
        <v>361</v>
      </c>
      <c r="AA943" s="475" t="s">
        <v>24</v>
      </c>
    </row>
    <row r="944" spans="1:27" ht="15" hidden="1">
      <c r="A944" s="24">
        <f t="shared" si="88"/>
        <v>1943</v>
      </c>
      <c r="B944" s="24">
        <f t="shared" si="88"/>
        <v>1943</v>
      </c>
      <c r="C944" s="476" t="s">
        <v>1338</v>
      </c>
      <c r="D944" t="s">
        <v>152</v>
      </c>
      <c r="E944" s="477">
        <v>3</v>
      </c>
      <c r="F944" s="471">
        <v>18</v>
      </c>
      <c r="G944">
        <v>1</v>
      </c>
      <c r="H944">
        <v>1</v>
      </c>
      <c r="I944" s="472">
        <f t="shared" si="82"/>
        <v>0.47039166666666665</v>
      </c>
      <c r="J944" s="473">
        <v>0.36503333333333332</v>
      </c>
      <c r="K944" s="473">
        <v>0.44336666666666663</v>
      </c>
      <c r="L944" s="473">
        <v>0.58906666666666663</v>
      </c>
      <c r="M944" s="473">
        <v>0.48410000000000003</v>
      </c>
      <c r="N944" s="472">
        <f t="shared" si="83"/>
        <v>0.47039166666666665</v>
      </c>
      <c r="O944" s="473">
        <v>0.36503333333333332</v>
      </c>
      <c r="P944" s="473">
        <v>0.44336666666666663</v>
      </c>
      <c r="Q944" s="473">
        <v>0.58906666666666663</v>
      </c>
      <c r="R944" s="473">
        <v>0.48410000000000003</v>
      </c>
      <c r="S944" s="153">
        <v>0.01</v>
      </c>
      <c r="T944" s="153">
        <v>0.02</v>
      </c>
      <c r="U944" s="478">
        <v>2016</v>
      </c>
      <c r="V944" s="24">
        <f t="shared" si="87"/>
        <v>2036</v>
      </c>
      <c r="W944">
        <v>0</v>
      </c>
      <c r="X944">
        <v>0</v>
      </c>
      <c r="Y944">
        <v>1315</v>
      </c>
      <c r="Z944">
        <v>361</v>
      </c>
      <c r="AA944" s="475" t="s">
        <v>24</v>
      </c>
    </row>
    <row r="945" spans="1:27" ht="15" hidden="1">
      <c r="A945" s="24">
        <f t="shared" si="88"/>
        <v>1944</v>
      </c>
      <c r="B945" s="24">
        <f t="shared" si="88"/>
        <v>1944</v>
      </c>
      <c r="C945" s="476" t="s">
        <v>1339</v>
      </c>
      <c r="D945" t="s">
        <v>152</v>
      </c>
      <c r="E945" s="477">
        <v>3</v>
      </c>
      <c r="F945" s="471">
        <v>18</v>
      </c>
      <c r="G945">
        <v>1</v>
      </c>
      <c r="H945">
        <v>1</v>
      </c>
      <c r="I945" s="472">
        <f t="shared" si="82"/>
        <v>0.47039166666666665</v>
      </c>
      <c r="J945" s="473">
        <v>0.36503333333333332</v>
      </c>
      <c r="K945" s="473">
        <v>0.44336666666666663</v>
      </c>
      <c r="L945" s="473">
        <v>0.58906666666666663</v>
      </c>
      <c r="M945" s="473">
        <v>0.48410000000000003</v>
      </c>
      <c r="N945" s="472">
        <f t="shared" si="83"/>
        <v>0.47039166666666665</v>
      </c>
      <c r="O945" s="473">
        <v>0.36503333333333332</v>
      </c>
      <c r="P945" s="473">
        <v>0.44336666666666663</v>
      </c>
      <c r="Q945" s="473">
        <v>0.58906666666666663</v>
      </c>
      <c r="R945" s="473">
        <v>0.48410000000000003</v>
      </c>
      <c r="S945" s="153">
        <v>0.01</v>
      </c>
      <c r="T945" s="153">
        <v>0.02</v>
      </c>
      <c r="U945" s="478">
        <v>2016</v>
      </c>
      <c r="V945" s="24">
        <f t="shared" si="87"/>
        <v>2036</v>
      </c>
      <c r="W945">
        <v>0</v>
      </c>
      <c r="X945">
        <v>0</v>
      </c>
      <c r="Y945">
        <v>1315</v>
      </c>
      <c r="Z945">
        <v>361</v>
      </c>
      <c r="AA945" s="475" t="s">
        <v>24</v>
      </c>
    </row>
    <row r="946" spans="1:27" ht="15" hidden="1">
      <c r="A946" s="24">
        <f t="shared" si="88"/>
        <v>1945</v>
      </c>
      <c r="B946" s="24">
        <f t="shared" si="88"/>
        <v>1945</v>
      </c>
      <c r="C946" s="476" t="s">
        <v>1340</v>
      </c>
      <c r="D946" t="s">
        <v>152</v>
      </c>
      <c r="E946" s="477">
        <v>3</v>
      </c>
      <c r="F946" s="471">
        <v>23.1</v>
      </c>
      <c r="G946">
        <v>1</v>
      </c>
      <c r="H946">
        <v>1</v>
      </c>
      <c r="I946" s="472">
        <f t="shared" si="82"/>
        <v>0.47039166666666665</v>
      </c>
      <c r="J946" s="473">
        <v>0.36503333333333332</v>
      </c>
      <c r="K946" s="473">
        <v>0.44336666666666663</v>
      </c>
      <c r="L946" s="473">
        <v>0.58906666666666663</v>
      </c>
      <c r="M946" s="473">
        <v>0.48410000000000003</v>
      </c>
      <c r="N946" s="472">
        <f t="shared" si="83"/>
        <v>0.47039166666666665</v>
      </c>
      <c r="O946" s="473">
        <v>0.36503333333333332</v>
      </c>
      <c r="P946" s="473">
        <v>0.44336666666666663</v>
      </c>
      <c r="Q946" s="473">
        <v>0.58906666666666663</v>
      </c>
      <c r="R946" s="473">
        <v>0.48410000000000003</v>
      </c>
      <c r="S946" s="153">
        <v>0.01</v>
      </c>
      <c r="T946" s="153">
        <v>0.02</v>
      </c>
      <c r="U946" s="478">
        <v>2016</v>
      </c>
      <c r="V946" s="24">
        <f t="shared" si="87"/>
        <v>2036</v>
      </c>
      <c r="W946">
        <v>0</v>
      </c>
      <c r="X946">
        <v>0</v>
      </c>
      <c r="Y946">
        <v>1315</v>
      </c>
      <c r="Z946">
        <v>361</v>
      </c>
      <c r="AA946" s="475" t="s">
        <v>24</v>
      </c>
    </row>
    <row r="947" spans="1:27" ht="15" hidden="1">
      <c r="A947" s="24">
        <f t="shared" si="88"/>
        <v>1946</v>
      </c>
      <c r="B947" s="24">
        <f t="shared" si="88"/>
        <v>1946</v>
      </c>
      <c r="C947" s="476" t="s">
        <v>1341</v>
      </c>
      <c r="D947" t="s">
        <v>152</v>
      </c>
      <c r="E947" s="477">
        <v>3</v>
      </c>
      <c r="F947" s="471">
        <v>30</v>
      </c>
      <c r="G947">
        <v>1</v>
      </c>
      <c r="H947">
        <v>1</v>
      </c>
      <c r="I947" s="472">
        <f t="shared" si="82"/>
        <v>0.47039166666666665</v>
      </c>
      <c r="J947" s="473">
        <v>0.36503333333333332</v>
      </c>
      <c r="K947" s="473">
        <v>0.44336666666666663</v>
      </c>
      <c r="L947" s="473">
        <v>0.58906666666666663</v>
      </c>
      <c r="M947" s="473">
        <v>0.48410000000000003</v>
      </c>
      <c r="N947" s="472">
        <f t="shared" si="83"/>
        <v>0.47039166666666665</v>
      </c>
      <c r="O947" s="473">
        <v>0.36503333333333332</v>
      </c>
      <c r="P947" s="473">
        <v>0.44336666666666663</v>
      </c>
      <c r="Q947" s="473">
        <v>0.58906666666666663</v>
      </c>
      <c r="R947" s="473">
        <v>0.48410000000000003</v>
      </c>
      <c r="S947" s="153">
        <v>0.01</v>
      </c>
      <c r="T947" s="153">
        <v>0.02</v>
      </c>
      <c r="U947" s="478">
        <v>2018</v>
      </c>
      <c r="V947" s="24">
        <f t="shared" si="87"/>
        <v>2038</v>
      </c>
      <c r="W947">
        <v>0</v>
      </c>
      <c r="X947">
        <v>0</v>
      </c>
      <c r="Y947">
        <v>1315</v>
      </c>
      <c r="Z947">
        <v>361</v>
      </c>
      <c r="AA947" s="475" t="s">
        <v>24</v>
      </c>
    </row>
    <row r="948" spans="1:27" ht="15" hidden="1">
      <c r="A948" s="24">
        <f t="shared" si="88"/>
        <v>1947</v>
      </c>
      <c r="B948" s="24">
        <f t="shared" si="88"/>
        <v>1947</v>
      </c>
      <c r="C948" s="476" t="s">
        <v>1342</v>
      </c>
      <c r="D948" t="s">
        <v>152</v>
      </c>
      <c r="E948" s="477">
        <v>3</v>
      </c>
      <c r="F948" s="471">
        <v>14.4</v>
      </c>
      <c r="G948">
        <v>1</v>
      </c>
      <c r="H948">
        <v>1</v>
      </c>
      <c r="I948" s="472">
        <f t="shared" si="82"/>
        <v>0.47039166666666665</v>
      </c>
      <c r="J948" s="473">
        <v>0.36503333333333332</v>
      </c>
      <c r="K948" s="473">
        <v>0.44336666666666663</v>
      </c>
      <c r="L948" s="473">
        <v>0.58906666666666663</v>
      </c>
      <c r="M948" s="473">
        <v>0.48410000000000003</v>
      </c>
      <c r="N948" s="472">
        <f t="shared" si="83"/>
        <v>0.47039166666666665</v>
      </c>
      <c r="O948" s="473">
        <v>0.36503333333333332</v>
      </c>
      <c r="P948" s="473">
        <v>0.44336666666666663</v>
      </c>
      <c r="Q948" s="473">
        <v>0.58906666666666663</v>
      </c>
      <c r="R948" s="473">
        <v>0.48410000000000003</v>
      </c>
      <c r="S948" s="153">
        <v>0.01</v>
      </c>
      <c r="T948" s="153">
        <v>0.02</v>
      </c>
      <c r="U948" s="478">
        <v>2018</v>
      </c>
      <c r="V948" s="24">
        <f t="shared" si="87"/>
        <v>2038</v>
      </c>
      <c r="W948">
        <v>0</v>
      </c>
      <c r="X948">
        <v>0</v>
      </c>
      <c r="Y948">
        <v>1315</v>
      </c>
      <c r="Z948">
        <v>361</v>
      </c>
      <c r="AA948" s="475" t="s">
        <v>24</v>
      </c>
    </row>
    <row r="949" spans="1:27" ht="15" hidden="1">
      <c r="A949" s="24">
        <f t="shared" ref="A949:B964" si="89">1000+ROW()-1</f>
        <v>1948</v>
      </c>
      <c r="B949" s="24">
        <f t="shared" si="89"/>
        <v>1948</v>
      </c>
      <c r="C949" s="476" t="s">
        <v>1343</v>
      </c>
      <c r="D949" t="s">
        <v>152</v>
      </c>
      <c r="E949" s="477">
        <v>3</v>
      </c>
      <c r="F949" s="471">
        <v>7.05</v>
      </c>
      <c r="G949">
        <v>1</v>
      </c>
      <c r="H949">
        <v>1</v>
      </c>
      <c r="I949" s="472">
        <f t="shared" si="82"/>
        <v>0.47039166666666665</v>
      </c>
      <c r="J949" s="473">
        <v>0.36503333333333332</v>
      </c>
      <c r="K949" s="473">
        <v>0.44336666666666663</v>
      </c>
      <c r="L949" s="473">
        <v>0.58906666666666663</v>
      </c>
      <c r="M949" s="473">
        <v>0.48410000000000003</v>
      </c>
      <c r="N949" s="472">
        <f t="shared" si="83"/>
        <v>0.47039166666666665</v>
      </c>
      <c r="O949" s="473">
        <v>0.36503333333333332</v>
      </c>
      <c r="P949" s="473">
        <v>0.44336666666666663</v>
      </c>
      <c r="Q949" s="473">
        <v>0.58906666666666663</v>
      </c>
      <c r="R949" s="473">
        <v>0.48410000000000003</v>
      </c>
      <c r="S949" s="153">
        <v>0.01</v>
      </c>
      <c r="T949" s="153">
        <v>0.02</v>
      </c>
      <c r="U949" s="478">
        <v>2016</v>
      </c>
      <c r="V949" s="24">
        <f t="shared" si="87"/>
        <v>2036</v>
      </c>
      <c r="W949">
        <v>0</v>
      </c>
      <c r="X949">
        <v>0</v>
      </c>
      <c r="Y949">
        <v>1315</v>
      </c>
      <c r="Z949">
        <v>361</v>
      </c>
      <c r="AA949" s="475" t="s">
        <v>24</v>
      </c>
    </row>
    <row r="950" spans="1:27" ht="15" hidden="1">
      <c r="A950" s="24">
        <f t="shared" si="89"/>
        <v>1949</v>
      </c>
      <c r="B950" s="24">
        <f t="shared" si="89"/>
        <v>1949</v>
      </c>
      <c r="C950" s="476" t="s">
        <v>1344</v>
      </c>
      <c r="D950" t="s">
        <v>152</v>
      </c>
      <c r="E950" s="477">
        <v>3</v>
      </c>
      <c r="F950" s="471">
        <v>2.35</v>
      </c>
      <c r="G950">
        <v>1</v>
      </c>
      <c r="H950">
        <v>1</v>
      </c>
      <c r="I950" s="472">
        <f t="shared" si="82"/>
        <v>0.47039166666666665</v>
      </c>
      <c r="J950" s="473">
        <v>0.36503333333333332</v>
      </c>
      <c r="K950" s="473">
        <v>0.44336666666666663</v>
      </c>
      <c r="L950" s="473">
        <v>0.58906666666666663</v>
      </c>
      <c r="M950" s="473">
        <v>0.48410000000000003</v>
      </c>
      <c r="N950" s="472">
        <f t="shared" si="83"/>
        <v>0.47039166666666665</v>
      </c>
      <c r="O950" s="473">
        <v>0.36503333333333332</v>
      </c>
      <c r="P950" s="473">
        <v>0.44336666666666663</v>
      </c>
      <c r="Q950" s="473">
        <v>0.58906666666666663</v>
      </c>
      <c r="R950" s="473">
        <v>0.48410000000000003</v>
      </c>
      <c r="S950" s="153">
        <v>0.01</v>
      </c>
      <c r="T950" s="153">
        <v>0.02</v>
      </c>
      <c r="U950" s="478">
        <v>2016</v>
      </c>
      <c r="V950" s="24">
        <f t="shared" si="87"/>
        <v>2036</v>
      </c>
      <c r="W950">
        <v>0</v>
      </c>
      <c r="X950">
        <v>0</v>
      </c>
      <c r="Y950">
        <v>1315</v>
      </c>
      <c r="Z950">
        <v>361</v>
      </c>
      <c r="AA950" s="475" t="s">
        <v>24</v>
      </c>
    </row>
    <row r="951" spans="1:27" ht="15" hidden="1">
      <c r="A951" s="24">
        <f t="shared" si="89"/>
        <v>1950</v>
      </c>
      <c r="B951" s="24">
        <f t="shared" si="89"/>
        <v>1950</v>
      </c>
      <c r="C951" s="476" t="s">
        <v>1345</v>
      </c>
      <c r="D951" t="s">
        <v>152</v>
      </c>
      <c r="E951" s="477">
        <v>3</v>
      </c>
      <c r="F951" s="471">
        <v>9.4</v>
      </c>
      <c r="G951">
        <v>1</v>
      </c>
      <c r="H951">
        <v>1</v>
      </c>
      <c r="I951" s="472">
        <f t="shared" si="82"/>
        <v>0.47039166666666665</v>
      </c>
      <c r="J951" s="473">
        <v>0.36503333333333332</v>
      </c>
      <c r="K951" s="473">
        <v>0.44336666666666663</v>
      </c>
      <c r="L951" s="473">
        <v>0.58906666666666663</v>
      </c>
      <c r="M951" s="473">
        <v>0.48410000000000003</v>
      </c>
      <c r="N951" s="472">
        <f t="shared" si="83"/>
        <v>0.47039166666666665</v>
      </c>
      <c r="O951" s="473">
        <v>0.36503333333333332</v>
      </c>
      <c r="P951" s="473">
        <v>0.44336666666666663</v>
      </c>
      <c r="Q951" s="473">
        <v>0.58906666666666663</v>
      </c>
      <c r="R951" s="473">
        <v>0.48410000000000003</v>
      </c>
      <c r="S951" s="153">
        <v>0.01</v>
      </c>
      <c r="T951" s="153">
        <v>0.02</v>
      </c>
      <c r="U951" s="478">
        <v>2016</v>
      </c>
      <c r="V951" s="24">
        <f t="shared" si="87"/>
        <v>2036</v>
      </c>
      <c r="W951">
        <v>0</v>
      </c>
      <c r="X951">
        <v>0</v>
      </c>
      <c r="Y951">
        <v>1315</v>
      </c>
      <c r="Z951">
        <v>361</v>
      </c>
      <c r="AA951" s="475" t="s">
        <v>24</v>
      </c>
    </row>
    <row r="952" spans="1:27" ht="15" hidden="1">
      <c r="A952" s="24">
        <f t="shared" si="89"/>
        <v>1951</v>
      </c>
      <c r="B952" s="24">
        <f t="shared" si="89"/>
        <v>1951</v>
      </c>
      <c r="C952" s="476" t="s">
        <v>1346</v>
      </c>
      <c r="D952" t="s">
        <v>152</v>
      </c>
      <c r="E952" s="477">
        <v>3</v>
      </c>
      <c r="F952" s="471">
        <v>2.35</v>
      </c>
      <c r="G952">
        <v>1</v>
      </c>
      <c r="H952">
        <v>1</v>
      </c>
      <c r="I952" s="472">
        <f t="shared" si="82"/>
        <v>0.47039166666666665</v>
      </c>
      <c r="J952" s="473">
        <v>0.36503333333333332</v>
      </c>
      <c r="K952" s="473">
        <v>0.44336666666666663</v>
      </c>
      <c r="L952" s="473">
        <v>0.58906666666666663</v>
      </c>
      <c r="M952" s="473">
        <v>0.48410000000000003</v>
      </c>
      <c r="N952" s="472">
        <f t="shared" si="83"/>
        <v>0.47039166666666665</v>
      </c>
      <c r="O952" s="473">
        <v>0.36503333333333332</v>
      </c>
      <c r="P952" s="473">
        <v>0.44336666666666663</v>
      </c>
      <c r="Q952" s="473">
        <v>0.58906666666666663</v>
      </c>
      <c r="R952" s="473">
        <v>0.48410000000000003</v>
      </c>
      <c r="S952" s="153">
        <v>0.01</v>
      </c>
      <c r="T952" s="153">
        <v>0.02</v>
      </c>
      <c r="U952" s="478">
        <v>2016</v>
      </c>
      <c r="V952" s="24">
        <f t="shared" si="87"/>
        <v>2036</v>
      </c>
      <c r="W952">
        <v>0</v>
      </c>
      <c r="X952">
        <v>0</v>
      </c>
      <c r="Y952">
        <v>1315</v>
      </c>
      <c r="Z952">
        <v>361</v>
      </c>
      <c r="AA952" s="475" t="s">
        <v>24</v>
      </c>
    </row>
    <row r="953" spans="1:27" ht="15" hidden="1">
      <c r="A953" s="24">
        <f t="shared" si="89"/>
        <v>1952</v>
      </c>
      <c r="B953" s="24">
        <f t="shared" si="89"/>
        <v>1952</v>
      </c>
      <c r="C953" s="469" t="s">
        <v>1347</v>
      </c>
      <c r="D953" t="s">
        <v>146</v>
      </c>
      <c r="E953" s="470">
        <v>1</v>
      </c>
      <c r="F953" s="471">
        <v>15</v>
      </c>
      <c r="G953">
        <v>1</v>
      </c>
      <c r="H953">
        <v>1</v>
      </c>
      <c r="I953" s="472">
        <f t="shared" si="82"/>
        <v>0.32845968612834514</v>
      </c>
      <c r="J953" s="153">
        <v>3.8473756479098807E-2</v>
      </c>
      <c r="K953" s="153">
        <v>0.39358026214566905</v>
      </c>
      <c r="L953" s="153">
        <v>0.53857526864315253</v>
      </c>
      <c r="M953" s="153">
        <v>0.3432094572454602</v>
      </c>
      <c r="N953" s="472">
        <f t="shared" si="83"/>
        <v>0.32845968612834514</v>
      </c>
      <c r="O953" s="153">
        <v>3.8473756479098807E-2</v>
      </c>
      <c r="P953" s="153">
        <v>0.39358026214566905</v>
      </c>
      <c r="Q953" s="153">
        <v>0.53857526864315253</v>
      </c>
      <c r="R953" s="153">
        <v>0.3432094572454602</v>
      </c>
      <c r="S953" s="153">
        <v>0.03</v>
      </c>
      <c r="T953" s="153">
        <v>0</v>
      </c>
      <c r="U953" s="474">
        <v>1900</v>
      </c>
      <c r="V953">
        <v>2030</v>
      </c>
      <c r="W953">
        <v>0</v>
      </c>
      <c r="X953">
        <v>0</v>
      </c>
      <c r="Y953">
        <v>1304</v>
      </c>
      <c r="Z953">
        <v>311</v>
      </c>
      <c r="AA953" s="475" t="s">
        <v>23</v>
      </c>
    </row>
    <row r="954" spans="1:27" ht="15" hidden="1">
      <c r="A954" s="24">
        <f t="shared" si="89"/>
        <v>1953</v>
      </c>
      <c r="B954" s="24">
        <f t="shared" si="89"/>
        <v>1953</v>
      </c>
      <c r="C954" s="469" t="s">
        <v>1348</v>
      </c>
      <c r="D954" t="s">
        <v>146</v>
      </c>
      <c r="E954" s="470">
        <v>1</v>
      </c>
      <c r="F954" s="471">
        <v>0</v>
      </c>
      <c r="G954">
        <v>1</v>
      </c>
      <c r="H954">
        <v>1</v>
      </c>
      <c r="I954" s="472">
        <f t="shared" si="82"/>
        <v>0.32845968612834514</v>
      </c>
      <c r="J954" s="153">
        <v>3.8473756479098807E-2</v>
      </c>
      <c r="K954" s="153">
        <v>0.39358026214566905</v>
      </c>
      <c r="L954" s="153">
        <v>0.53857526864315253</v>
      </c>
      <c r="M954" s="153">
        <v>0.3432094572454602</v>
      </c>
      <c r="N954" s="472">
        <f t="shared" si="83"/>
        <v>0.32845968612834514</v>
      </c>
      <c r="O954" s="153">
        <v>3.8473756479098807E-2</v>
      </c>
      <c r="P954" s="153">
        <v>0.39358026214566905</v>
      </c>
      <c r="Q954" s="153">
        <v>0.53857526864315253</v>
      </c>
      <c r="R954" s="153">
        <v>0.3432094572454602</v>
      </c>
      <c r="S954" s="153">
        <v>0.03</v>
      </c>
      <c r="T954" s="153">
        <v>0</v>
      </c>
      <c r="U954" s="474">
        <v>1900</v>
      </c>
      <c r="V954">
        <v>2030</v>
      </c>
      <c r="W954">
        <v>0</v>
      </c>
      <c r="X954">
        <v>0</v>
      </c>
      <c r="Y954">
        <v>1304</v>
      </c>
      <c r="Z954">
        <v>311</v>
      </c>
      <c r="AA954" s="475" t="s">
        <v>23</v>
      </c>
    </row>
    <row r="955" spans="1:27" ht="15" hidden="1">
      <c r="A955" s="24">
        <f t="shared" si="89"/>
        <v>1954</v>
      </c>
      <c r="B955" s="24">
        <f t="shared" si="89"/>
        <v>1954</v>
      </c>
      <c r="C955" s="476" t="s">
        <v>1349</v>
      </c>
      <c r="D955" t="s">
        <v>152</v>
      </c>
      <c r="E955" s="477">
        <v>3</v>
      </c>
      <c r="F955" s="471">
        <v>14.7</v>
      </c>
      <c r="G955">
        <v>1</v>
      </c>
      <c r="H955">
        <v>1</v>
      </c>
      <c r="I955" s="472">
        <f t="shared" si="82"/>
        <v>0.47039166666666665</v>
      </c>
      <c r="J955" s="473">
        <v>0.36503333333333332</v>
      </c>
      <c r="K955" s="473">
        <v>0.44336666666666663</v>
      </c>
      <c r="L955" s="473">
        <v>0.58906666666666663</v>
      </c>
      <c r="M955" s="473">
        <v>0.48410000000000003</v>
      </c>
      <c r="N955" s="472">
        <f t="shared" si="83"/>
        <v>0.47039166666666665</v>
      </c>
      <c r="O955" s="473">
        <v>0.36503333333333332</v>
      </c>
      <c r="P955" s="473">
        <v>0.44336666666666663</v>
      </c>
      <c r="Q955" s="473">
        <v>0.58906666666666663</v>
      </c>
      <c r="R955" s="473">
        <v>0.48410000000000003</v>
      </c>
      <c r="S955" s="153">
        <v>0.01</v>
      </c>
      <c r="T955" s="153">
        <v>0.02</v>
      </c>
      <c r="U955" s="478">
        <v>2018</v>
      </c>
      <c r="V955" s="24">
        <f t="shared" ref="V955:V978" si="90">U955+20</f>
        <v>2038</v>
      </c>
      <c r="W955">
        <v>0</v>
      </c>
      <c r="X955">
        <v>0</v>
      </c>
      <c r="Y955">
        <v>1315</v>
      </c>
      <c r="Z955">
        <v>361</v>
      </c>
      <c r="AA955" s="475" t="s">
        <v>24</v>
      </c>
    </row>
    <row r="956" spans="1:27" ht="15" hidden="1">
      <c r="A956" s="24">
        <f t="shared" si="89"/>
        <v>1955</v>
      </c>
      <c r="B956" s="24">
        <f t="shared" si="89"/>
        <v>1955</v>
      </c>
      <c r="C956" s="476" t="s">
        <v>1350</v>
      </c>
      <c r="D956" t="s">
        <v>152</v>
      </c>
      <c r="E956" s="477">
        <v>3</v>
      </c>
      <c r="F956" s="471">
        <v>2.35</v>
      </c>
      <c r="G956">
        <v>1</v>
      </c>
      <c r="H956">
        <v>1</v>
      </c>
      <c r="I956" s="472">
        <f t="shared" si="82"/>
        <v>0.47039166666666665</v>
      </c>
      <c r="J956" s="473">
        <v>0.36503333333333332</v>
      </c>
      <c r="K956" s="473">
        <v>0.44336666666666663</v>
      </c>
      <c r="L956" s="473">
        <v>0.58906666666666663</v>
      </c>
      <c r="M956" s="473">
        <v>0.48410000000000003</v>
      </c>
      <c r="N956" s="472">
        <f t="shared" si="83"/>
        <v>0.47039166666666665</v>
      </c>
      <c r="O956" s="473">
        <v>0.36503333333333332</v>
      </c>
      <c r="P956" s="473">
        <v>0.44336666666666663</v>
      </c>
      <c r="Q956" s="473">
        <v>0.58906666666666663</v>
      </c>
      <c r="R956" s="473">
        <v>0.48410000000000003</v>
      </c>
      <c r="S956" s="153">
        <v>0.01</v>
      </c>
      <c r="T956" s="153">
        <v>0.02</v>
      </c>
      <c r="U956" s="478">
        <v>2016</v>
      </c>
      <c r="V956" s="24">
        <f t="shared" si="90"/>
        <v>2036</v>
      </c>
      <c r="W956">
        <v>0</v>
      </c>
      <c r="X956">
        <v>0</v>
      </c>
      <c r="Y956">
        <v>1315</v>
      </c>
      <c r="Z956">
        <v>361</v>
      </c>
      <c r="AA956" s="475" t="s">
        <v>24</v>
      </c>
    </row>
    <row r="957" spans="1:27" ht="15" hidden="1">
      <c r="A957" s="24">
        <f t="shared" si="89"/>
        <v>1956</v>
      </c>
      <c r="B957" s="24">
        <f t="shared" si="89"/>
        <v>1956</v>
      </c>
      <c r="C957" s="476" t="s">
        <v>1351</v>
      </c>
      <c r="D957" t="s">
        <v>152</v>
      </c>
      <c r="E957" s="477">
        <v>3</v>
      </c>
      <c r="F957" s="471">
        <v>9.4</v>
      </c>
      <c r="G957">
        <v>1</v>
      </c>
      <c r="H957">
        <v>1</v>
      </c>
      <c r="I957" s="472">
        <f t="shared" si="82"/>
        <v>0.47039166666666665</v>
      </c>
      <c r="J957" s="473">
        <v>0.36503333333333332</v>
      </c>
      <c r="K957" s="473">
        <v>0.44336666666666663</v>
      </c>
      <c r="L957" s="473">
        <v>0.58906666666666663</v>
      </c>
      <c r="M957" s="473">
        <v>0.48410000000000003</v>
      </c>
      <c r="N957" s="472">
        <f t="shared" si="83"/>
        <v>0.47039166666666665</v>
      </c>
      <c r="O957" s="473">
        <v>0.36503333333333332</v>
      </c>
      <c r="P957" s="473">
        <v>0.44336666666666663</v>
      </c>
      <c r="Q957" s="473">
        <v>0.58906666666666663</v>
      </c>
      <c r="R957" s="473">
        <v>0.48410000000000003</v>
      </c>
      <c r="S957" s="153">
        <v>0.01</v>
      </c>
      <c r="T957" s="153">
        <v>0.02</v>
      </c>
      <c r="U957" s="478">
        <v>2016</v>
      </c>
      <c r="V957" s="24">
        <f t="shared" si="90"/>
        <v>2036</v>
      </c>
      <c r="W957">
        <v>0</v>
      </c>
      <c r="X957">
        <v>0</v>
      </c>
      <c r="Y957">
        <v>1315</v>
      </c>
      <c r="Z957">
        <v>361</v>
      </c>
      <c r="AA957" s="475" t="s">
        <v>24</v>
      </c>
    </row>
    <row r="958" spans="1:27" ht="15" hidden="1">
      <c r="A958" s="24">
        <f t="shared" si="89"/>
        <v>1957</v>
      </c>
      <c r="B958" s="24">
        <f t="shared" si="89"/>
        <v>1957</v>
      </c>
      <c r="C958" s="476" t="s">
        <v>1352</v>
      </c>
      <c r="D958" t="s">
        <v>152</v>
      </c>
      <c r="E958" s="477">
        <v>3</v>
      </c>
      <c r="F958" s="471">
        <v>2.5</v>
      </c>
      <c r="G958">
        <v>1</v>
      </c>
      <c r="H958">
        <v>1</v>
      </c>
      <c r="I958" s="472">
        <f t="shared" si="82"/>
        <v>0.47039166666666665</v>
      </c>
      <c r="J958" s="473">
        <v>0.36503333333333332</v>
      </c>
      <c r="K958" s="473">
        <v>0.44336666666666663</v>
      </c>
      <c r="L958" s="473">
        <v>0.58906666666666663</v>
      </c>
      <c r="M958" s="473">
        <v>0.48410000000000003</v>
      </c>
      <c r="N958" s="472">
        <f t="shared" si="83"/>
        <v>0.47039166666666665</v>
      </c>
      <c r="O958" s="473">
        <v>0.36503333333333332</v>
      </c>
      <c r="P958" s="473">
        <v>0.44336666666666663</v>
      </c>
      <c r="Q958" s="473">
        <v>0.58906666666666663</v>
      </c>
      <c r="R958" s="473">
        <v>0.48410000000000003</v>
      </c>
      <c r="S958" s="153">
        <v>0.01</v>
      </c>
      <c r="T958" s="153">
        <v>0.02</v>
      </c>
      <c r="U958" s="478">
        <v>2018</v>
      </c>
      <c r="V958" s="24">
        <f t="shared" si="90"/>
        <v>2038</v>
      </c>
      <c r="W958">
        <v>0</v>
      </c>
      <c r="X958">
        <v>0</v>
      </c>
      <c r="Y958">
        <v>1315</v>
      </c>
      <c r="Z958">
        <v>361</v>
      </c>
      <c r="AA958" s="475" t="s">
        <v>24</v>
      </c>
    </row>
    <row r="959" spans="1:27" ht="15" hidden="1">
      <c r="A959" s="24">
        <f t="shared" si="89"/>
        <v>1958</v>
      </c>
      <c r="B959" s="24">
        <f t="shared" si="89"/>
        <v>1958</v>
      </c>
      <c r="C959" s="476" t="s">
        <v>1353</v>
      </c>
      <c r="D959" t="s">
        <v>152</v>
      </c>
      <c r="E959" s="477">
        <v>3</v>
      </c>
      <c r="F959" s="471">
        <v>25</v>
      </c>
      <c r="G959">
        <v>1</v>
      </c>
      <c r="H959">
        <v>1</v>
      </c>
      <c r="I959" s="472">
        <f t="shared" si="82"/>
        <v>0.47039166666666665</v>
      </c>
      <c r="J959" s="473">
        <v>0.36503333333333332</v>
      </c>
      <c r="K959" s="473">
        <v>0.44336666666666663</v>
      </c>
      <c r="L959" s="473">
        <v>0.58906666666666663</v>
      </c>
      <c r="M959" s="473">
        <v>0.48410000000000003</v>
      </c>
      <c r="N959" s="472">
        <f t="shared" si="83"/>
        <v>0.47039166666666665</v>
      </c>
      <c r="O959" s="473">
        <v>0.36503333333333332</v>
      </c>
      <c r="P959" s="473">
        <v>0.44336666666666663</v>
      </c>
      <c r="Q959" s="473">
        <v>0.58906666666666663</v>
      </c>
      <c r="R959" s="473">
        <v>0.48410000000000003</v>
      </c>
      <c r="S959" s="153">
        <v>0.01</v>
      </c>
      <c r="T959" s="153">
        <v>0.02</v>
      </c>
      <c r="U959" s="478">
        <v>2018</v>
      </c>
      <c r="V959" s="24">
        <f t="shared" si="90"/>
        <v>2038</v>
      </c>
      <c r="W959">
        <v>0</v>
      </c>
      <c r="X959">
        <v>0</v>
      </c>
      <c r="Y959">
        <v>1315</v>
      </c>
      <c r="Z959">
        <v>361</v>
      </c>
      <c r="AA959" s="475" t="s">
        <v>24</v>
      </c>
    </row>
    <row r="960" spans="1:27" ht="15" hidden="1">
      <c r="A960" s="24">
        <f t="shared" si="89"/>
        <v>1959</v>
      </c>
      <c r="B960" s="24">
        <f t="shared" si="89"/>
        <v>1959</v>
      </c>
      <c r="C960" s="476" t="s">
        <v>1354</v>
      </c>
      <c r="D960" t="s">
        <v>152</v>
      </c>
      <c r="E960" s="477">
        <v>3</v>
      </c>
      <c r="F960" s="471">
        <v>2.5</v>
      </c>
      <c r="G960">
        <v>1</v>
      </c>
      <c r="H960">
        <v>1</v>
      </c>
      <c r="I960" s="472">
        <f t="shared" si="82"/>
        <v>0.47039166666666665</v>
      </c>
      <c r="J960" s="473">
        <v>0.36503333333333332</v>
      </c>
      <c r="K960" s="473">
        <v>0.44336666666666663</v>
      </c>
      <c r="L960" s="473">
        <v>0.58906666666666663</v>
      </c>
      <c r="M960" s="473">
        <v>0.48410000000000003</v>
      </c>
      <c r="N960" s="472">
        <f t="shared" si="83"/>
        <v>0.47039166666666665</v>
      </c>
      <c r="O960" s="473">
        <v>0.36503333333333332</v>
      </c>
      <c r="P960" s="473">
        <v>0.44336666666666663</v>
      </c>
      <c r="Q960" s="473">
        <v>0.58906666666666663</v>
      </c>
      <c r="R960" s="473">
        <v>0.48410000000000003</v>
      </c>
      <c r="S960" s="153">
        <v>0.01</v>
      </c>
      <c r="T960" s="153">
        <v>0.02</v>
      </c>
      <c r="U960" s="478">
        <v>2018</v>
      </c>
      <c r="V960" s="24">
        <f t="shared" si="90"/>
        <v>2038</v>
      </c>
      <c r="W960">
        <v>0</v>
      </c>
      <c r="X960">
        <v>0</v>
      </c>
      <c r="Y960">
        <v>1315</v>
      </c>
      <c r="Z960">
        <v>361</v>
      </c>
      <c r="AA960" s="475" t="s">
        <v>24</v>
      </c>
    </row>
    <row r="961" spans="1:27" ht="15" hidden="1">
      <c r="A961" s="24">
        <f t="shared" si="89"/>
        <v>1960</v>
      </c>
      <c r="B961" s="24">
        <f t="shared" si="89"/>
        <v>1960</v>
      </c>
      <c r="C961" s="476" t="s">
        <v>1355</v>
      </c>
      <c r="D961" t="s">
        <v>152</v>
      </c>
      <c r="E961" s="477">
        <v>3</v>
      </c>
      <c r="F961" s="471">
        <v>27.5</v>
      </c>
      <c r="G961">
        <v>1</v>
      </c>
      <c r="H961">
        <v>1</v>
      </c>
      <c r="I961" s="472">
        <f t="shared" si="82"/>
        <v>0.47039166666666665</v>
      </c>
      <c r="J961" s="473">
        <v>0.36503333333333332</v>
      </c>
      <c r="K961" s="473">
        <v>0.44336666666666663</v>
      </c>
      <c r="L961" s="473">
        <v>0.58906666666666663</v>
      </c>
      <c r="M961" s="473">
        <v>0.48410000000000003</v>
      </c>
      <c r="N961" s="472">
        <f t="shared" si="83"/>
        <v>0.47039166666666665</v>
      </c>
      <c r="O961" s="473">
        <v>0.36503333333333332</v>
      </c>
      <c r="P961" s="473">
        <v>0.44336666666666663</v>
      </c>
      <c r="Q961" s="473">
        <v>0.58906666666666663</v>
      </c>
      <c r="R961" s="473">
        <v>0.48410000000000003</v>
      </c>
      <c r="S961" s="153">
        <v>0.01</v>
      </c>
      <c r="T961" s="153">
        <v>0.02</v>
      </c>
      <c r="U961" s="478">
        <v>2018</v>
      </c>
      <c r="V961" s="24">
        <f t="shared" si="90"/>
        <v>2038</v>
      </c>
      <c r="W961">
        <v>0</v>
      </c>
      <c r="X961">
        <v>0</v>
      </c>
      <c r="Y961">
        <v>1315</v>
      </c>
      <c r="Z961">
        <v>361</v>
      </c>
      <c r="AA961" s="475" t="s">
        <v>24</v>
      </c>
    </row>
    <row r="962" spans="1:27" ht="15" hidden="1">
      <c r="A962" s="24">
        <f t="shared" si="89"/>
        <v>1961</v>
      </c>
      <c r="B962" s="24">
        <f t="shared" si="89"/>
        <v>1961</v>
      </c>
      <c r="C962" s="476" t="s">
        <v>1356</v>
      </c>
      <c r="D962" t="s">
        <v>152</v>
      </c>
      <c r="E962" s="477">
        <v>3</v>
      </c>
      <c r="F962" s="471">
        <v>2.5</v>
      </c>
      <c r="G962">
        <v>1</v>
      </c>
      <c r="H962">
        <v>1</v>
      </c>
      <c r="I962" s="472">
        <f t="shared" ref="I962:I1025" si="91">AVERAGE(J962:M962)</f>
        <v>0.47039166666666665</v>
      </c>
      <c r="J962" s="473">
        <v>0.36503333333333332</v>
      </c>
      <c r="K962" s="473">
        <v>0.44336666666666663</v>
      </c>
      <c r="L962" s="473">
        <v>0.58906666666666663</v>
      </c>
      <c r="M962" s="473">
        <v>0.48410000000000003</v>
      </c>
      <c r="N962" s="472">
        <f t="shared" ref="N962:N1025" si="92">AVERAGE(O962:R962)</f>
        <v>0.47039166666666665</v>
      </c>
      <c r="O962" s="473">
        <v>0.36503333333333332</v>
      </c>
      <c r="P962" s="473">
        <v>0.44336666666666663</v>
      </c>
      <c r="Q962" s="473">
        <v>0.58906666666666663</v>
      </c>
      <c r="R962" s="473">
        <v>0.48410000000000003</v>
      </c>
      <c r="S962" s="153">
        <v>0.01</v>
      </c>
      <c r="T962" s="153">
        <v>0.02</v>
      </c>
      <c r="U962" s="478">
        <v>2018</v>
      </c>
      <c r="V962" s="24">
        <f t="shared" si="90"/>
        <v>2038</v>
      </c>
      <c r="W962">
        <v>0</v>
      </c>
      <c r="X962">
        <v>0</v>
      </c>
      <c r="Y962">
        <v>1315</v>
      </c>
      <c r="Z962">
        <v>361</v>
      </c>
      <c r="AA962" s="475" t="s">
        <v>24</v>
      </c>
    </row>
    <row r="963" spans="1:27" ht="15" hidden="1">
      <c r="A963" s="24">
        <f t="shared" si="89"/>
        <v>1962</v>
      </c>
      <c r="B963" s="24">
        <f t="shared" si="89"/>
        <v>1962</v>
      </c>
      <c r="C963" s="476" t="s">
        <v>1357</v>
      </c>
      <c r="D963" t="s">
        <v>152</v>
      </c>
      <c r="E963" s="477">
        <v>3</v>
      </c>
      <c r="F963" s="471">
        <v>22.5</v>
      </c>
      <c r="G963">
        <v>1</v>
      </c>
      <c r="H963">
        <v>1</v>
      </c>
      <c r="I963" s="472">
        <f t="shared" si="91"/>
        <v>0.47039166666666665</v>
      </c>
      <c r="J963" s="473">
        <v>0.36503333333333332</v>
      </c>
      <c r="K963" s="473">
        <v>0.44336666666666663</v>
      </c>
      <c r="L963" s="473">
        <v>0.58906666666666663</v>
      </c>
      <c r="M963" s="473">
        <v>0.48410000000000003</v>
      </c>
      <c r="N963" s="472">
        <f t="shared" si="92"/>
        <v>0.47039166666666665</v>
      </c>
      <c r="O963" s="473">
        <v>0.36503333333333332</v>
      </c>
      <c r="P963" s="473">
        <v>0.44336666666666663</v>
      </c>
      <c r="Q963" s="473">
        <v>0.58906666666666663</v>
      </c>
      <c r="R963" s="473">
        <v>0.48410000000000003</v>
      </c>
      <c r="S963" s="153">
        <v>0.01</v>
      </c>
      <c r="T963" s="153">
        <v>0.02</v>
      </c>
      <c r="U963" s="478">
        <v>2018</v>
      </c>
      <c r="V963" s="24">
        <f t="shared" si="90"/>
        <v>2038</v>
      </c>
      <c r="W963">
        <v>0</v>
      </c>
      <c r="X963">
        <v>0</v>
      </c>
      <c r="Y963">
        <v>1315</v>
      </c>
      <c r="Z963">
        <v>361</v>
      </c>
      <c r="AA963" s="475" t="s">
        <v>24</v>
      </c>
    </row>
    <row r="964" spans="1:27" ht="15" hidden="1">
      <c r="A964" s="24">
        <f t="shared" si="89"/>
        <v>1963</v>
      </c>
      <c r="B964" s="24">
        <f t="shared" si="89"/>
        <v>1963</v>
      </c>
      <c r="C964" s="476" t="s">
        <v>1358</v>
      </c>
      <c r="D964" t="s">
        <v>152</v>
      </c>
      <c r="E964" s="477">
        <v>3</v>
      </c>
      <c r="F964" s="471">
        <v>29.835000000000001</v>
      </c>
      <c r="G964">
        <v>1</v>
      </c>
      <c r="H964">
        <v>1</v>
      </c>
      <c r="I964" s="472">
        <f t="shared" si="91"/>
        <v>0.26420000000000005</v>
      </c>
      <c r="J964" s="33">
        <v>0.29123333333333334</v>
      </c>
      <c r="K964" s="33">
        <f>0.296266666666667-0.07</f>
        <v>0.226266666666667</v>
      </c>
      <c r="L964" s="33">
        <f>0.3193-0.07</f>
        <v>0.24929999999999997</v>
      </c>
      <c r="M964" s="33">
        <v>0.28999999999999998</v>
      </c>
      <c r="N964" s="472">
        <f t="shared" si="92"/>
        <v>0.26420000000000005</v>
      </c>
      <c r="O964" s="33">
        <v>0.29123333333333334</v>
      </c>
      <c r="P964" s="33">
        <f>0.296266666666667-0.07</f>
        <v>0.226266666666667</v>
      </c>
      <c r="Q964" s="33">
        <f>0.3193-0.07</f>
        <v>0.24929999999999997</v>
      </c>
      <c r="R964" s="33">
        <v>0.28999999999999998</v>
      </c>
      <c r="S964" s="153">
        <v>0.04</v>
      </c>
      <c r="T964" s="153">
        <v>0</v>
      </c>
      <c r="U964" s="478">
        <v>2017</v>
      </c>
      <c r="V964" s="24">
        <f t="shared" si="90"/>
        <v>2037</v>
      </c>
      <c r="W964">
        <v>0</v>
      </c>
      <c r="X964">
        <v>0</v>
      </c>
      <c r="Y964">
        <v>1315</v>
      </c>
      <c r="Z964">
        <v>347</v>
      </c>
      <c r="AA964" s="475" t="s">
        <v>25</v>
      </c>
    </row>
    <row r="965" spans="1:27" ht="15" hidden="1">
      <c r="A965" s="24">
        <f t="shared" ref="A965:B984" si="93">1000+ROW()-1</f>
        <v>1964</v>
      </c>
      <c r="B965" s="24">
        <f t="shared" si="93"/>
        <v>1964</v>
      </c>
      <c r="C965" s="476" t="s">
        <v>1359</v>
      </c>
      <c r="D965" t="s">
        <v>146</v>
      </c>
      <c r="E965" s="477">
        <v>1</v>
      </c>
      <c r="F965" s="471">
        <v>30</v>
      </c>
      <c r="G965">
        <v>1</v>
      </c>
      <c r="H965">
        <v>1</v>
      </c>
      <c r="I965" s="472">
        <f t="shared" si="91"/>
        <v>0.25418333333333343</v>
      </c>
      <c r="J965" s="33">
        <v>0.29116666666666663</v>
      </c>
      <c r="K965" s="33">
        <f t="shared" ref="K965" si="94">0.2844-0.07</f>
        <v>0.21439999999999998</v>
      </c>
      <c r="L965" s="33">
        <f>0.291166666666667-0.07</f>
        <v>0.22116666666666701</v>
      </c>
      <c r="M965" s="33">
        <v>0.28999999999999998</v>
      </c>
      <c r="N965" s="472">
        <f t="shared" si="92"/>
        <v>0.25418333333333343</v>
      </c>
      <c r="O965" s="33">
        <v>0.29116666666666663</v>
      </c>
      <c r="P965" s="33">
        <f t="shared" ref="P965" si="95">0.2844-0.07</f>
        <v>0.21439999999999998</v>
      </c>
      <c r="Q965" s="33">
        <f>0.291166666666667-0.07</f>
        <v>0.22116666666666701</v>
      </c>
      <c r="R965" s="33">
        <v>0.28999999999999998</v>
      </c>
      <c r="S965" s="153">
        <v>0.04</v>
      </c>
      <c r="T965" s="153">
        <v>0</v>
      </c>
      <c r="U965" s="478">
        <v>2017</v>
      </c>
      <c r="V965" s="24">
        <f t="shared" si="90"/>
        <v>2037</v>
      </c>
      <c r="W965">
        <v>0</v>
      </c>
      <c r="X965">
        <v>0</v>
      </c>
      <c r="Y965">
        <v>1315</v>
      </c>
      <c r="Z965">
        <v>347</v>
      </c>
      <c r="AA965" s="475" t="s">
        <v>25</v>
      </c>
    </row>
    <row r="966" spans="1:27" ht="15" hidden="1">
      <c r="A966" s="24">
        <f t="shared" si="93"/>
        <v>1965</v>
      </c>
      <c r="B966" s="24">
        <f t="shared" si="93"/>
        <v>1965</v>
      </c>
      <c r="C966" s="476" t="s">
        <v>1360</v>
      </c>
      <c r="D966" t="s">
        <v>152</v>
      </c>
      <c r="E966" s="477">
        <v>3</v>
      </c>
      <c r="F966" s="471">
        <v>13.5</v>
      </c>
      <c r="G966">
        <v>1</v>
      </c>
      <c r="H966">
        <v>1</v>
      </c>
      <c r="I966" s="472">
        <f t="shared" si="91"/>
        <v>0.47039166666666665</v>
      </c>
      <c r="J966" s="473">
        <v>0.36503333333333332</v>
      </c>
      <c r="K966" s="473">
        <v>0.44336666666666663</v>
      </c>
      <c r="L966" s="473">
        <v>0.58906666666666663</v>
      </c>
      <c r="M966" s="473">
        <v>0.48410000000000003</v>
      </c>
      <c r="N966" s="472">
        <f t="shared" si="92"/>
        <v>0.47039166666666665</v>
      </c>
      <c r="O966" s="473">
        <v>0.36503333333333332</v>
      </c>
      <c r="P966" s="473">
        <v>0.44336666666666663</v>
      </c>
      <c r="Q966" s="473">
        <v>0.58906666666666663</v>
      </c>
      <c r="R966" s="473">
        <v>0.48410000000000003</v>
      </c>
      <c r="S966" s="153">
        <v>0.01</v>
      </c>
      <c r="T966" s="153">
        <v>0.02</v>
      </c>
      <c r="U966" s="478">
        <v>2018</v>
      </c>
      <c r="V966" s="24">
        <f t="shared" si="90"/>
        <v>2038</v>
      </c>
      <c r="W966">
        <v>0</v>
      </c>
      <c r="X966">
        <v>0</v>
      </c>
      <c r="Y966">
        <v>1315</v>
      </c>
      <c r="Z966">
        <v>361</v>
      </c>
      <c r="AA966" s="475" t="s">
        <v>24</v>
      </c>
    </row>
    <row r="967" spans="1:27" ht="15" hidden="1">
      <c r="A967" s="24">
        <f t="shared" si="93"/>
        <v>1966</v>
      </c>
      <c r="B967" s="24">
        <f t="shared" si="93"/>
        <v>1966</v>
      </c>
      <c r="C967" s="476" t="s">
        <v>1361</v>
      </c>
      <c r="D967" t="s">
        <v>152</v>
      </c>
      <c r="E967" s="477">
        <v>3</v>
      </c>
      <c r="F967" s="471">
        <v>2.7</v>
      </c>
      <c r="G967">
        <v>1</v>
      </c>
      <c r="H967">
        <v>1</v>
      </c>
      <c r="I967" s="472">
        <f t="shared" si="91"/>
        <v>0.47039166666666665</v>
      </c>
      <c r="J967" s="473">
        <v>0.36503333333333332</v>
      </c>
      <c r="K967" s="473">
        <v>0.44336666666666663</v>
      </c>
      <c r="L967" s="473">
        <v>0.58906666666666663</v>
      </c>
      <c r="M967" s="473">
        <v>0.48410000000000003</v>
      </c>
      <c r="N967" s="472">
        <f t="shared" si="92"/>
        <v>0.47039166666666665</v>
      </c>
      <c r="O967" s="473">
        <v>0.36503333333333332</v>
      </c>
      <c r="P967" s="473">
        <v>0.44336666666666663</v>
      </c>
      <c r="Q967" s="473">
        <v>0.58906666666666663</v>
      </c>
      <c r="R967" s="473">
        <v>0.48410000000000003</v>
      </c>
      <c r="S967" s="153">
        <v>0.01</v>
      </c>
      <c r="T967" s="153">
        <v>0.02</v>
      </c>
      <c r="U967" s="478">
        <v>2018</v>
      </c>
      <c r="V967" s="24">
        <f t="shared" si="90"/>
        <v>2038</v>
      </c>
      <c r="W967">
        <v>0</v>
      </c>
      <c r="X967">
        <v>0</v>
      </c>
      <c r="Y967">
        <v>1315</v>
      </c>
      <c r="Z967">
        <v>361</v>
      </c>
      <c r="AA967" s="475" t="s">
        <v>24</v>
      </c>
    </row>
    <row r="968" spans="1:27" ht="15" hidden="1">
      <c r="A968" s="24">
        <f t="shared" si="93"/>
        <v>1967</v>
      </c>
      <c r="B968" s="24">
        <f t="shared" si="93"/>
        <v>1967</v>
      </c>
      <c r="C968" s="476" t="s">
        <v>1362</v>
      </c>
      <c r="D968" t="s">
        <v>152</v>
      </c>
      <c r="E968" s="477">
        <v>3</v>
      </c>
      <c r="F968" s="471">
        <v>13.5</v>
      </c>
      <c r="G968">
        <v>1</v>
      </c>
      <c r="H968">
        <v>1</v>
      </c>
      <c r="I968" s="472">
        <f t="shared" si="91"/>
        <v>0.47039166666666665</v>
      </c>
      <c r="J968" s="473">
        <v>0.36503333333333332</v>
      </c>
      <c r="K968" s="473">
        <v>0.44336666666666663</v>
      </c>
      <c r="L968" s="473">
        <v>0.58906666666666663</v>
      </c>
      <c r="M968" s="473">
        <v>0.48410000000000003</v>
      </c>
      <c r="N968" s="472">
        <f t="shared" si="92"/>
        <v>0.47039166666666665</v>
      </c>
      <c r="O968" s="473">
        <v>0.36503333333333332</v>
      </c>
      <c r="P968" s="473">
        <v>0.44336666666666663</v>
      </c>
      <c r="Q968" s="473">
        <v>0.58906666666666663</v>
      </c>
      <c r="R968" s="473">
        <v>0.48410000000000003</v>
      </c>
      <c r="S968" s="153">
        <v>0.01</v>
      </c>
      <c r="T968" s="153">
        <v>0.02</v>
      </c>
      <c r="U968" s="478">
        <v>2018</v>
      </c>
      <c r="V968" s="24">
        <f t="shared" si="90"/>
        <v>2038</v>
      </c>
      <c r="W968">
        <v>0</v>
      </c>
      <c r="X968">
        <v>0</v>
      </c>
      <c r="Y968">
        <v>1315</v>
      </c>
      <c r="Z968">
        <v>361</v>
      </c>
      <c r="AA968" s="475" t="s">
        <v>24</v>
      </c>
    </row>
    <row r="969" spans="1:27" ht="15" hidden="1">
      <c r="A969" s="24">
        <f t="shared" si="93"/>
        <v>1968</v>
      </c>
      <c r="B969" s="24">
        <f t="shared" si="93"/>
        <v>1968</v>
      </c>
      <c r="C969" s="476" t="s">
        <v>1363</v>
      </c>
      <c r="D969" t="s">
        <v>152</v>
      </c>
      <c r="E969" s="477">
        <v>3</v>
      </c>
      <c r="F969" s="471">
        <v>18</v>
      </c>
      <c r="G969">
        <v>1</v>
      </c>
      <c r="H969">
        <v>1</v>
      </c>
      <c r="I969" s="472">
        <f t="shared" si="91"/>
        <v>0.47039166666666665</v>
      </c>
      <c r="J969" s="473">
        <v>0.36503333333333332</v>
      </c>
      <c r="K969" s="473">
        <v>0.44336666666666663</v>
      </c>
      <c r="L969" s="473">
        <v>0.58906666666666663</v>
      </c>
      <c r="M969" s="473">
        <v>0.48410000000000003</v>
      </c>
      <c r="N969" s="472">
        <f t="shared" si="92"/>
        <v>0.47039166666666665</v>
      </c>
      <c r="O969" s="473">
        <v>0.36503333333333332</v>
      </c>
      <c r="P969" s="473">
        <v>0.44336666666666663</v>
      </c>
      <c r="Q969" s="473">
        <v>0.58906666666666663</v>
      </c>
      <c r="R969" s="473">
        <v>0.48410000000000003</v>
      </c>
      <c r="S969" s="153">
        <v>0.01</v>
      </c>
      <c r="T969" s="153">
        <v>0.02</v>
      </c>
      <c r="U969" s="478">
        <v>2018</v>
      </c>
      <c r="V969" s="24">
        <f t="shared" si="90"/>
        <v>2038</v>
      </c>
      <c r="W969">
        <v>0</v>
      </c>
      <c r="X969">
        <v>0</v>
      </c>
      <c r="Y969">
        <v>1315</v>
      </c>
      <c r="Z969">
        <v>361</v>
      </c>
      <c r="AA969" s="475" t="s">
        <v>24</v>
      </c>
    </row>
    <row r="970" spans="1:27" ht="15" hidden="1">
      <c r="A970" s="24">
        <f t="shared" si="93"/>
        <v>1969</v>
      </c>
      <c r="B970" s="24">
        <f t="shared" si="93"/>
        <v>1969</v>
      </c>
      <c r="C970" s="476" t="s">
        <v>1364</v>
      </c>
      <c r="D970" t="s">
        <v>152</v>
      </c>
      <c r="E970" s="477">
        <v>3</v>
      </c>
      <c r="F970" s="471">
        <v>30</v>
      </c>
      <c r="G970">
        <v>1</v>
      </c>
      <c r="H970">
        <v>1</v>
      </c>
      <c r="I970" s="472">
        <f t="shared" si="91"/>
        <v>0.47039166666666665</v>
      </c>
      <c r="J970" s="473">
        <v>0.36503333333333332</v>
      </c>
      <c r="K970" s="473">
        <v>0.44336666666666663</v>
      </c>
      <c r="L970" s="473">
        <v>0.58906666666666663</v>
      </c>
      <c r="M970" s="473">
        <v>0.48410000000000003</v>
      </c>
      <c r="N970" s="472">
        <f t="shared" si="92"/>
        <v>0.47039166666666665</v>
      </c>
      <c r="O970" s="473">
        <v>0.36503333333333332</v>
      </c>
      <c r="P970" s="473">
        <v>0.44336666666666663</v>
      </c>
      <c r="Q970" s="473">
        <v>0.58906666666666663</v>
      </c>
      <c r="R970" s="473">
        <v>0.48410000000000003</v>
      </c>
      <c r="S970" s="153">
        <v>0.01</v>
      </c>
      <c r="T970" s="153">
        <v>0.02</v>
      </c>
      <c r="U970" s="478">
        <v>2018</v>
      </c>
      <c r="V970" s="24">
        <f t="shared" si="90"/>
        <v>2038</v>
      </c>
      <c r="W970">
        <v>0</v>
      </c>
      <c r="X970">
        <v>0</v>
      </c>
      <c r="Y970">
        <v>1315</v>
      </c>
      <c r="Z970">
        <v>361</v>
      </c>
      <c r="AA970" s="475" t="s">
        <v>24</v>
      </c>
    </row>
    <row r="971" spans="1:27" ht="15" hidden="1">
      <c r="A971" s="24">
        <f t="shared" si="93"/>
        <v>1970</v>
      </c>
      <c r="B971" s="24">
        <f t="shared" si="93"/>
        <v>1970</v>
      </c>
      <c r="C971" s="476" t="s">
        <v>1365</v>
      </c>
      <c r="D971" t="s">
        <v>152</v>
      </c>
      <c r="E971" s="477">
        <v>3</v>
      </c>
      <c r="F971" s="471">
        <v>26</v>
      </c>
      <c r="G971">
        <v>1</v>
      </c>
      <c r="H971">
        <v>1</v>
      </c>
      <c r="I971" s="472">
        <f t="shared" si="91"/>
        <v>0.47039166666666665</v>
      </c>
      <c r="J971" s="473">
        <v>0.36503333333333332</v>
      </c>
      <c r="K971" s="473">
        <v>0.44336666666666663</v>
      </c>
      <c r="L971" s="473">
        <v>0.58906666666666663</v>
      </c>
      <c r="M971" s="473">
        <v>0.48410000000000003</v>
      </c>
      <c r="N971" s="472">
        <f t="shared" si="92"/>
        <v>0.47039166666666665</v>
      </c>
      <c r="O971" s="473">
        <v>0.36503333333333332</v>
      </c>
      <c r="P971" s="473">
        <v>0.44336666666666663</v>
      </c>
      <c r="Q971" s="473">
        <v>0.58906666666666663</v>
      </c>
      <c r="R971" s="473">
        <v>0.48410000000000003</v>
      </c>
      <c r="S971" s="153">
        <v>0.01</v>
      </c>
      <c r="T971" s="153">
        <v>0.02</v>
      </c>
      <c r="U971" s="478">
        <v>2018</v>
      </c>
      <c r="V971" s="24">
        <f t="shared" si="90"/>
        <v>2038</v>
      </c>
      <c r="W971">
        <v>0</v>
      </c>
      <c r="X971">
        <v>0</v>
      </c>
      <c r="Y971">
        <v>1315</v>
      </c>
      <c r="Z971">
        <v>361</v>
      </c>
      <c r="AA971" s="475" t="s">
        <v>24</v>
      </c>
    </row>
    <row r="972" spans="1:27" ht="15" hidden="1">
      <c r="A972" s="24">
        <f t="shared" si="93"/>
        <v>1971</v>
      </c>
      <c r="B972" s="24">
        <f t="shared" si="93"/>
        <v>1971</v>
      </c>
      <c r="C972" s="476" t="s">
        <v>1366</v>
      </c>
      <c r="D972" t="s">
        <v>152</v>
      </c>
      <c r="E972" s="477">
        <v>3</v>
      </c>
      <c r="F972" s="471">
        <v>26</v>
      </c>
      <c r="G972">
        <v>1</v>
      </c>
      <c r="H972">
        <v>1</v>
      </c>
      <c r="I972" s="472">
        <f t="shared" si="91"/>
        <v>0.47039166666666665</v>
      </c>
      <c r="J972" s="473">
        <v>0.36503333333333332</v>
      </c>
      <c r="K972" s="473">
        <v>0.44336666666666663</v>
      </c>
      <c r="L972" s="473">
        <v>0.58906666666666663</v>
      </c>
      <c r="M972" s="473">
        <v>0.48410000000000003</v>
      </c>
      <c r="N972" s="472">
        <f t="shared" si="92"/>
        <v>0.47039166666666665</v>
      </c>
      <c r="O972" s="473">
        <v>0.36503333333333332</v>
      </c>
      <c r="P972" s="473">
        <v>0.44336666666666663</v>
      </c>
      <c r="Q972" s="473">
        <v>0.58906666666666663</v>
      </c>
      <c r="R972" s="473">
        <v>0.48410000000000003</v>
      </c>
      <c r="S972" s="153">
        <v>0.01</v>
      </c>
      <c r="T972" s="153">
        <v>0.02</v>
      </c>
      <c r="U972" s="478">
        <v>2018</v>
      </c>
      <c r="V972" s="24">
        <f t="shared" si="90"/>
        <v>2038</v>
      </c>
      <c r="W972">
        <v>0</v>
      </c>
      <c r="X972">
        <v>0</v>
      </c>
      <c r="Y972">
        <v>1315</v>
      </c>
      <c r="Z972">
        <v>361</v>
      </c>
      <c r="AA972" s="475" t="s">
        <v>24</v>
      </c>
    </row>
    <row r="973" spans="1:27" ht="15" hidden="1">
      <c r="A973" s="24">
        <f t="shared" si="93"/>
        <v>1972</v>
      </c>
      <c r="B973" s="24">
        <f t="shared" si="93"/>
        <v>1972</v>
      </c>
      <c r="C973" s="476" t="s">
        <v>1367</v>
      </c>
      <c r="D973" t="s">
        <v>152</v>
      </c>
      <c r="E973" s="477">
        <v>3</v>
      </c>
      <c r="F973" s="471">
        <v>18</v>
      </c>
      <c r="G973">
        <v>1</v>
      </c>
      <c r="H973">
        <v>1</v>
      </c>
      <c r="I973" s="472">
        <f t="shared" si="91"/>
        <v>0.47039166666666665</v>
      </c>
      <c r="J973" s="473">
        <v>0.36503333333333332</v>
      </c>
      <c r="K973" s="473">
        <v>0.44336666666666663</v>
      </c>
      <c r="L973" s="473">
        <v>0.58906666666666663</v>
      </c>
      <c r="M973" s="473">
        <v>0.48410000000000003</v>
      </c>
      <c r="N973" s="472">
        <f t="shared" si="92"/>
        <v>0.47039166666666665</v>
      </c>
      <c r="O973" s="473">
        <v>0.36503333333333332</v>
      </c>
      <c r="P973" s="473">
        <v>0.44336666666666663</v>
      </c>
      <c r="Q973" s="473">
        <v>0.58906666666666663</v>
      </c>
      <c r="R973" s="473">
        <v>0.48410000000000003</v>
      </c>
      <c r="S973" s="153">
        <v>0.01</v>
      </c>
      <c r="T973" s="153">
        <v>0.02</v>
      </c>
      <c r="U973" s="478">
        <v>2018</v>
      </c>
      <c r="V973" s="24">
        <f t="shared" si="90"/>
        <v>2038</v>
      </c>
      <c r="W973">
        <v>0</v>
      </c>
      <c r="X973">
        <v>0</v>
      </c>
      <c r="Y973">
        <v>1315</v>
      </c>
      <c r="Z973">
        <v>361</v>
      </c>
      <c r="AA973" s="475" t="s">
        <v>24</v>
      </c>
    </row>
    <row r="974" spans="1:27" ht="15" hidden="1">
      <c r="A974" s="24">
        <f t="shared" si="93"/>
        <v>1973</v>
      </c>
      <c r="B974" s="24">
        <f t="shared" si="93"/>
        <v>1973</v>
      </c>
      <c r="C974" s="476" t="s">
        <v>1368</v>
      </c>
      <c r="D974" t="s">
        <v>152</v>
      </c>
      <c r="E974" s="477">
        <v>3</v>
      </c>
      <c r="F974" s="471">
        <v>28</v>
      </c>
      <c r="G974">
        <v>1</v>
      </c>
      <c r="H974">
        <v>1</v>
      </c>
      <c r="I974" s="472">
        <f t="shared" si="91"/>
        <v>0.47039166666666665</v>
      </c>
      <c r="J974" s="473">
        <v>0.36503333333333332</v>
      </c>
      <c r="K974" s="473">
        <v>0.44336666666666663</v>
      </c>
      <c r="L974" s="473">
        <v>0.58906666666666663</v>
      </c>
      <c r="M974" s="473">
        <v>0.48410000000000003</v>
      </c>
      <c r="N974" s="472">
        <f t="shared" si="92"/>
        <v>0.47039166666666665</v>
      </c>
      <c r="O974" s="473">
        <v>0.36503333333333332</v>
      </c>
      <c r="P974" s="473">
        <v>0.44336666666666663</v>
      </c>
      <c r="Q974" s="473">
        <v>0.58906666666666663</v>
      </c>
      <c r="R974" s="473">
        <v>0.48410000000000003</v>
      </c>
      <c r="S974" s="153">
        <v>0.01</v>
      </c>
      <c r="T974" s="153">
        <v>0.02</v>
      </c>
      <c r="U974" s="478">
        <v>2016</v>
      </c>
      <c r="V974" s="24">
        <f t="shared" si="90"/>
        <v>2036</v>
      </c>
      <c r="W974">
        <v>0</v>
      </c>
      <c r="X974">
        <v>0</v>
      </c>
      <c r="Y974">
        <v>1315</v>
      </c>
      <c r="Z974">
        <v>361</v>
      </c>
      <c r="AA974" s="475" t="s">
        <v>24</v>
      </c>
    </row>
    <row r="975" spans="1:27" ht="15" hidden="1">
      <c r="A975" s="24">
        <f t="shared" si="93"/>
        <v>1974</v>
      </c>
      <c r="B975" s="24">
        <f t="shared" si="93"/>
        <v>1974</v>
      </c>
      <c r="C975" s="476" t="s">
        <v>1369</v>
      </c>
      <c r="D975" t="s">
        <v>152</v>
      </c>
      <c r="E975" s="477">
        <v>3</v>
      </c>
      <c r="F975" s="471">
        <v>20</v>
      </c>
      <c r="G975">
        <v>1</v>
      </c>
      <c r="H975">
        <v>1</v>
      </c>
      <c r="I975" s="472">
        <f t="shared" si="91"/>
        <v>0.47039166666666665</v>
      </c>
      <c r="J975" s="473">
        <v>0.36503333333333332</v>
      </c>
      <c r="K975" s="473">
        <v>0.44336666666666663</v>
      </c>
      <c r="L975" s="473">
        <v>0.58906666666666663</v>
      </c>
      <c r="M975" s="473">
        <v>0.48410000000000003</v>
      </c>
      <c r="N975" s="472">
        <f t="shared" si="92"/>
        <v>0.47039166666666665</v>
      </c>
      <c r="O975" s="473">
        <v>0.36503333333333332</v>
      </c>
      <c r="P975" s="473">
        <v>0.44336666666666663</v>
      </c>
      <c r="Q975" s="473">
        <v>0.58906666666666663</v>
      </c>
      <c r="R975" s="473">
        <v>0.48410000000000003</v>
      </c>
      <c r="S975" s="153">
        <v>0.01</v>
      </c>
      <c r="T975" s="153">
        <v>0.02</v>
      </c>
      <c r="U975" s="478">
        <v>2016</v>
      </c>
      <c r="V975" s="24">
        <f t="shared" si="90"/>
        <v>2036</v>
      </c>
      <c r="W975">
        <v>0</v>
      </c>
      <c r="X975">
        <v>0</v>
      </c>
      <c r="Y975">
        <v>1315</v>
      </c>
      <c r="Z975">
        <v>361</v>
      </c>
      <c r="AA975" s="475" t="s">
        <v>24</v>
      </c>
    </row>
    <row r="976" spans="1:27" ht="15" hidden="1">
      <c r="A976" s="24">
        <f t="shared" si="93"/>
        <v>1975</v>
      </c>
      <c r="B976" s="24">
        <f t="shared" si="93"/>
        <v>1975</v>
      </c>
      <c r="C976" s="476" t="s">
        <v>1370</v>
      </c>
      <c r="D976" t="s">
        <v>152</v>
      </c>
      <c r="E976" s="477">
        <v>3</v>
      </c>
      <c r="F976" s="471">
        <v>18</v>
      </c>
      <c r="G976">
        <v>1</v>
      </c>
      <c r="H976">
        <v>1</v>
      </c>
      <c r="I976" s="472">
        <f t="shared" si="91"/>
        <v>0.47039166666666665</v>
      </c>
      <c r="J976" s="473">
        <v>0.36503333333333332</v>
      </c>
      <c r="K976" s="473">
        <v>0.44336666666666663</v>
      </c>
      <c r="L976" s="473">
        <v>0.58906666666666663</v>
      </c>
      <c r="M976" s="473">
        <v>0.48410000000000003</v>
      </c>
      <c r="N976" s="472">
        <f t="shared" si="92"/>
        <v>0.47039166666666665</v>
      </c>
      <c r="O976" s="473">
        <v>0.36503333333333332</v>
      </c>
      <c r="P976" s="473">
        <v>0.44336666666666663</v>
      </c>
      <c r="Q976" s="473">
        <v>0.58906666666666663</v>
      </c>
      <c r="R976" s="473">
        <v>0.48410000000000003</v>
      </c>
      <c r="S976" s="153">
        <v>0.01</v>
      </c>
      <c r="T976" s="153">
        <v>0.02</v>
      </c>
      <c r="U976" s="478">
        <v>2016</v>
      </c>
      <c r="V976" s="24">
        <f t="shared" si="90"/>
        <v>2036</v>
      </c>
      <c r="W976">
        <v>0</v>
      </c>
      <c r="X976">
        <v>0</v>
      </c>
      <c r="Y976">
        <v>1315</v>
      </c>
      <c r="Z976">
        <v>361</v>
      </c>
      <c r="AA976" s="475" t="s">
        <v>24</v>
      </c>
    </row>
    <row r="977" spans="1:27" ht="15" hidden="1">
      <c r="A977" s="24">
        <f t="shared" si="93"/>
        <v>1976</v>
      </c>
      <c r="B977" s="24">
        <f t="shared" si="93"/>
        <v>1976</v>
      </c>
      <c r="C977" s="476" t="s">
        <v>1371</v>
      </c>
      <c r="D977" t="s">
        <v>152</v>
      </c>
      <c r="E977" s="477">
        <v>3</v>
      </c>
      <c r="F977" s="471">
        <v>18</v>
      </c>
      <c r="G977">
        <v>1</v>
      </c>
      <c r="H977">
        <v>1</v>
      </c>
      <c r="I977" s="472">
        <f t="shared" si="91"/>
        <v>0.47039166666666665</v>
      </c>
      <c r="J977" s="473">
        <v>0.36503333333333332</v>
      </c>
      <c r="K977" s="473">
        <v>0.44336666666666663</v>
      </c>
      <c r="L977" s="473">
        <v>0.58906666666666663</v>
      </c>
      <c r="M977" s="473">
        <v>0.48410000000000003</v>
      </c>
      <c r="N977" s="472">
        <f t="shared" si="92"/>
        <v>0.47039166666666665</v>
      </c>
      <c r="O977" s="473">
        <v>0.36503333333333332</v>
      </c>
      <c r="P977" s="473">
        <v>0.44336666666666663</v>
      </c>
      <c r="Q977" s="473">
        <v>0.58906666666666663</v>
      </c>
      <c r="R977" s="473">
        <v>0.48410000000000003</v>
      </c>
      <c r="S977" s="153">
        <v>0.01</v>
      </c>
      <c r="T977" s="153">
        <v>0.02</v>
      </c>
      <c r="U977" s="478">
        <v>2018</v>
      </c>
      <c r="V977" s="24">
        <f t="shared" si="90"/>
        <v>2038</v>
      </c>
      <c r="W977">
        <v>0</v>
      </c>
      <c r="X977">
        <v>0</v>
      </c>
      <c r="Y977">
        <v>1315</v>
      </c>
      <c r="Z977">
        <v>361</v>
      </c>
      <c r="AA977" s="475" t="s">
        <v>24</v>
      </c>
    </row>
    <row r="978" spans="1:27" ht="15" hidden="1">
      <c r="A978" s="24">
        <f t="shared" si="93"/>
        <v>1977</v>
      </c>
      <c r="B978" s="24">
        <f t="shared" si="93"/>
        <v>1977</v>
      </c>
      <c r="C978" s="476" t="s">
        <v>1372</v>
      </c>
      <c r="D978" t="s">
        <v>152</v>
      </c>
      <c r="E978" s="477">
        <v>3</v>
      </c>
      <c r="F978" s="471">
        <v>12</v>
      </c>
      <c r="G978">
        <v>1</v>
      </c>
      <c r="H978">
        <v>1</v>
      </c>
      <c r="I978" s="472">
        <f t="shared" si="91"/>
        <v>0.47039166666666665</v>
      </c>
      <c r="J978" s="473">
        <v>0.36503333333333332</v>
      </c>
      <c r="K978" s="473">
        <v>0.44336666666666663</v>
      </c>
      <c r="L978" s="473">
        <v>0.58906666666666663</v>
      </c>
      <c r="M978" s="473">
        <v>0.48410000000000003</v>
      </c>
      <c r="N978" s="472">
        <f t="shared" si="92"/>
        <v>0.47039166666666665</v>
      </c>
      <c r="O978" s="473">
        <v>0.36503333333333332</v>
      </c>
      <c r="P978" s="473">
        <v>0.44336666666666663</v>
      </c>
      <c r="Q978" s="473">
        <v>0.58906666666666663</v>
      </c>
      <c r="R978" s="473">
        <v>0.48410000000000003</v>
      </c>
      <c r="S978" s="153">
        <v>0.01</v>
      </c>
      <c r="T978" s="153">
        <v>0.02</v>
      </c>
      <c r="U978" s="478">
        <v>2018</v>
      </c>
      <c r="V978" s="24">
        <f t="shared" si="90"/>
        <v>2038</v>
      </c>
      <c r="W978">
        <v>0</v>
      </c>
      <c r="X978">
        <v>0</v>
      </c>
      <c r="Y978">
        <v>1315</v>
      </c>
      <c r="Z978">
        <v>361</v>
      </c>
      <c r="AA978" s="475" t="s">
        <v>24</v>
      </c>
    </row>
    <row r="979" spans="1:27" ht="15" hidden="1">
      <c r="A979" s="24">
        <f t="shared" si="93"/>
        <v>1978</v>
      </c>
      <c r="B979" s="24">
        <f t="shared" si="93"/>
        <v>1978</v>
      </c>
      <c r="C979" s="469" t="s">
        <v>1373</v>
      </c>
      <c r="D979" t="s">
        <v>152</v>
      </c>
      <c r="E979" s="470">
        <v>3</v>
      </c>
      <c r="F979" s="471">
        <v>17.2</v>
      </c>
      <c r="G979">
        <v>1</v>
      </c>
      <c r="H979">
        <v>1</v>
      </c>
      <c r="I979" s="472">
        <f t="shared" si="91"/>
        <v>0.32845968612834514</v>
      </c>
      <c r="J979" s="153">
        <v>3.8473756479098807E-2</v>
      </c>
      <c r="K979" s="153">
        <v>0.39358026214566905</v>
      </c>
      <c r="L979" s="153">
        <v>0.53857526864315253</v>
      </c>
      <c r="M979" s="153">
        <v>0.3432094572454602</v>
      </c>
      <c r="N979" s="472">
        <f t="shared" si="92"/>
        <v>0.32845968612834514</v>
      </c>
      <c r="O979" s="153">
        <v>3.8473756479098807E-2</v>
      </c>
      <c r="P979" s="153">
        <v>0.39358026214566905</v>
      </c>
      <c r="Q979" s="153">
        <v>0.53857526864315253</v>
      </c>
      <c r="R979" s="153">
        <v>0.3432094572454602</v>
      </c>
      <c r="S979" s="153">
        <v>0.03</v>
      </c>
      <c r="T979" s="153">
        <v>0</v>
      </c>
      <c r="U979" s="474">
        <v>2001</v>
      </c>
      <c r="V979">
        <v>2023</v>
      </c>
      <c r="W979">
        <v>0</v>
      </c>
      <c r="X979">
        <v>0</v>
      </c>
      <c r="Y979">
        <v>1304</v>
      </c>
      <c r="Z979">
        <v>311</v>
      </c>
      <c r="AA979" s="475" t="s">
        <v>23</v>
      </c>
    </row>
    <row r="980" spans="1:27" ht="15" hidden="1">
      <c r="A980" s="24">
        <f t="shared" si="93"/>
        <v>1979</v>
      </c>
      <c r="B980" s="24">
        <f t="shared" si="93"/>
        <v>1979</v>
      </c>
      <c r="C980" s="476" t="s">
        <v>1374</v>
      </c>
      <c r="D980" t="s">
        <v>152</v>
      </c>
      <c r="E980" s="477">
        <v>3</v>
      </c>
      <c r="F980" s="471">
        <v>12</v>
      </c>
      <c r="G980">
        <v>1</v>
      </c>
      <c r="H980">
        <v>1</v>
      </c>
      <c r="I980" s="472">
        <f t="shared" si="91"/>
        <v>0.47039166666666665</v>
      </c>
      <c r="J980" s="473">
        <v>0.36503333333333332</v>
      </c>
      <c r="K980" s="473">
        <v>0.44336666666666663</v>
      </c>
      <c r="L980" s="473">
        <v>0.58906666666666663</v>
      </c>
      <c r="M980" s="473">
        <v>0.48410000000000003</v>
      </c>
      <c r="N980" s="472">
        <f t="shared" si="92"/>
        <v>0.47039166666666665</v>
      </c>
      <c r="O980" s="473">
        <v>0.36503333333333332</v>
      </c>
      <c r="P980" s="473">
        <v>0.44336666666666663</v>
      </c>
      <c r="Q980" s="473">
        <v>0.58906666666666663</v>
      </c>
      <c r="R980" s="473">
        <v>0.48410000000000003</v>
      </c>
      <c r="S980" s="153">
        <v>0.01</v>
      </c>
      <c r="T980" s="153">
        <v>0.02</v>
      </c>
      <c r="U980" s="478">
        <v>2018</v>
      </c>
      <c r="V980" s="24">
        <f t="shared" ref="V980:V989" si="96">U980+20</f>
        <v>2038</v>
      </c>
      <c r="W980">
        <v>0</v>
      </c>
      <c r="X980">
        <v>0</v>
      </c>
      <c r="Y980">
        <v>1315</v>
      </c>
      <c r="Z980">
        <v>361</v>
      </c>
      <c r="AA980" s="475" t="s">
        <v>24</v>
      </c>
    </row>
    <row r="981" spans="1:27" ht="15" hidden="1">
      <c r="A981" s="24">
        <f t="shared" si="93"/>
        <v>1980</v>
      </c>
      <c r="B981" s="24">
        <f t="shared" si="93"/>
        <v>1980</v>
      </c>
      <c r="C981" s="476" t="s">
        <v>1375</v>
      </c>
      <c r="D981" t="s">
        <v>152</v>
      </c>
      <c r="E981" s="477">
        <v>3</v>
      </c>
      <c r="F981" s="471">
        <v>26</v>
      </c>
      <c r="G981">
        <v>1</v>
      </c>
      <c r="H981">
        <v>1</v>
      </c>
      <c r="I981" s="472">
        <f t="shared" si="91"/>
        <v>0.47039166666666665</v>
      </c>
      <c r="J981" s="473">
        <v>0.36503333333333332</v>
      </c>
      <c r="K981" s="473">
        <v>0.44336666666666663</v>
      </c>
      <c r="L981" s="473">
        <v>0.58906666666666663</v>
      </c>
      <c r="M981" s="473">
        <v>0.48410000000000003</v>
      </c>
      <c r="N981" s="472">
        <f t="shared" si="92"/>
        <v>0.47039166666666665</v>
      </c>
      <c r="O981" s="473">
        <v>0.36503333333333332</v>
      </c>
      <c r="P981" s="473">
        <v>0.44336666666666663</v>
      </c>
      <c r="Q981" s="473">
        <v>0.58906666666666663</v>
      </c>
      <c r="R981" s="473">
        <v>0.48410000000000003</v>
      </c>
      <c r="S981" s="153">
        <v>0.01</v>
      </c>
      <c r="T981" s="153">
        <v>0.02</v>
      </c>
      <c r="U981" s="478">
        <v>2018</v>
      </c>
      <c r="V981" s="24">
        <f t="shared" si="96"/>
        <v>2038</v>
      </c>
      <c r="W981">
        <v>0</v>
      </c>
      <c r="X981">
        <v>0</v>
      </c>
      <c r="Y981">
        <v>1315</v>
      </c>
      <c r="Z981">
        <v>361</v>
      </c>
      <c r="AA981" s="475" t="s">
        <v>24</v>
      </c>
    </row>
    <row r="982" spans="1:27" ht="15" hidden="1">
      <c r="A982" s="24">
        <f t="shared" si="93"/>
        <v>1981</v>
      </c>
      <c r="B982" s="24">
        <f t="shared" si="93"/>
        <v>1981</v>
      </c>
      <c r="C982" s="476" t="s">
        <v>1376</v>
      </c>
      <c r="D982" t="s">
        <v>152</v>
      </c>
      <c r="E982" s="477">
        <v>3</v>
      </c>
      <c r="F982" s="471">
        <v>20</v>
      </c>
      <c r="G982">
        <v>1</v>
      </c>
      <c r="H982">
        <v>1</v>
      </c>
      <c r="I982" s="472">
        <f t="shared" si="91"/>
        <v>0.47039166666666665</v>
      </c>
      <c r="J982" s="473">
        <v>0.36503333333333332</v>
      </c>
      <c r="K982" s="473">
        <v>0.44336666666666663</v>
      </c>
      <c r="L982" s="473">
        <v>0.58906666666666663</v>
      </c>
      <c r="M982" s="473">
        <v>0.48410000000000003</v>
      </c>
      <c r="N982" s="472">
        <f t="shared" si="92"/>
        <v>0.47039166666666665</v>
      </c>
      <c r="O982" s="473">
        <v>0.36503333333333332</v>
      </c>
      <c r="P982" s="473">
        <v>0.44336666666666663</v>
      </c>
      <c r="Q982" s="473">
        <v>0.58906666666666663</v>
      </c>
      <c r="R982" s="473">
        <v>0.48410000000000003</v>
      </c>
      <c r="S982" s="153">
        <v>0.01</v>
      </c>
      <c r="T982" s="153">
        <v>0.02</v>
      </c>
      <c r="U982" s="478">
        <v>2018</v>
      </c>
      <c r="V982" s="24">
        <f t="shared" si="96"/>
        <v>2038</v>
      </c>
      <c r="W982">
        <v>0</v>
      </c>
      <c r="X982">
        <v>0</v>
      </c>
      <c r="Y982">
        <v>1315</v>
      </c>
      <c r="Z982">
        <v>361</v>
      </c>
      <c r="AA982" s="475" t="s">
        <v>24</v>
      </c>
    </row>
    <row r="983" spans="1:27" ht="15" hidden="1">
      <c r="A983" s="24">
        <f t="shared" si="93"/>
        <v>1982</v>
      </c>
      <c r="B983" s="24">
        <f t="shared" si="93"/>
        <v>1982</v>
      </c>
      <c r="C983" s="476" t="s">
        <v>1377</v>
      </c>
      <c r="D983" t="s">
        <v>152</v>
      </c>
      <c r="E983" s="477">
        <v>3</v>
      </c>
      <c r="F983" s="471">
        <v>20</v>
      </c>
      <c r="G983">
        <v>1</v>
      </c>
      <c r="H983">
        <v>1</v>
      </c>
      <c r="I983" s="472">
        <f t="shared" si="91"/>
        <v>0.47039166666666665</v>
      </c>
      <c r="J983" s="473">
        <v>0.36503333333333332</v>
      </c>
      <c r="K983" s="473">
        <v>0.44336666666666663</v>
      </c>
      <c r="L983" s="473">
        <v>0.58906666666666663</v>
      </c>
      <c r="M983" s="473">
        <v>0.48410000000000003</v>
      </c>
      <c r="N983" s="472">
        <f t="shared" si="92"/>
        <v>0.47039166666666665</v>
      </c>
      <c r="O983" s="473">
        <v>0.36503333333333332</v>
      </c>
      <c r="P983" s="473">
        <v>0.44336666666666663</v>
      </c>
      <c r="Q983" s="473">
        <v>0.58906666666666663</v>
      </c>
      <c r="R983" s="473">
        <v>0.48410000000000003</v>
      </c>
      <c r="S983" s="153">
        <v>0.01</v>
      </c>
      <c r="T983" s="153">
        <v>0.02</v>
      </c>
      <c r="U983" s="478">
        <v>2018</v>
      </c>
      <c r="V983" s="24">
        <f t="shared" si="96"/>
        <v>2038</v>
      </c>
      <c r="W983">
        <v>0</v>
      </c>
      <c r="X983">
        <v>0</v>
      </c>
      <c r="Y983">
        <v>1315</v>
      </c>
      <c r="Z983">
        <v>361</v>
      </c>
      <c r="AA983" s="475" t="s">
        <v>24</v>
      </c>
    </row>
    <row r="984" spans="1:27" ht="15" hidden="1">
      <c r="A984" s="24">
        <f t="shared" si="93"/>
        <v>1983</v>
      </c>
      <c r="B984" s="24">
        <f t="shared" si="93"/>
        <v>1983</v>
      </c>
      <c r="C984" s="476" t="s">
        <v>1378</v>
      </c>
      <c r="D984" t="s">
        <v>152</v>
      </c>
      <c r="E984" s="477">
        <v>3</v>
      </c>
      <c r="F984" s="471">
        <v>20</v>
      </c>
      <c r="G984">
        <v>1</v>
      </c>
      <c r="H984">
        <v>1</v>
      </c>
      <c r="I984" s="472">
        <f t="shared" si="91"/>
        <v>0.47039166666666665</v>
      </c>
      <c r="J984" s="473">
        <v>0.36503333333333332</v>
      </c>
      <c r="K984" s="473">
        <v>0.44336666666666663</v>
      </c>
      <c r="L984" s="473">
        <v>0.58906666666666663</v>
      </c>
      <c r="M984" s="473">
        <v>0.48410000000000003</v>
      </c>
      <c r="N984" s="472">
        <f t="shared" si="92"/>
        <v>0.47039166666666665</v>
      </c>
      <c r="O984" s="473">
        <v>0.36503333333333332</v>
      </c>
      <c r="P984" s="473">
        <v>0.44336666666666663</v>
      </c>
      <c r="Q984" s="473">
        <v>0.58906666666666663</v>
      </c>
      <c r="R984" s="473">
        <v>0.48410000000000003</v>
      </c>
      <c r="S984" s="153">
        <v>0.01</v>
      </c>
      <c r="T984" s="153">
        <v>0.02</v>
      </c>
      <c r="U984" s="478">
        <v>2018</v>
      </c>
      <c r="V984" s="24">
        <f t="shared" si="96"/>
        <v>2038</v>
      </c>
      <c r="W984">
        <v>0</v>
      </c>
      <c r="X984">
        <v>0</v>
      </c>
      <c r="Y984">
        <v>1315</v>
      </c>
      <c r="Z984">
        <v>361</v>
      </c>
      <c r="AA984" s="475" t="s">
        <v>24</v>
      </c>
    </row>
    <row r="985" spans="1:27" ht="15" hidden="1">
      <c r="A985" s="24">
        <f t="shared" ref="A985:B1004" si="97">1000+ROW()-1</f>
        <v>1984</v>
      </c>
      <c r="B985" s="24">
        <f t="shared" si="97"/>
        <v>1984</v>
      </c>
      <c r="C985" s="476" t="s">
        <v>1379</v>
      </c>
      <c r="D985" t="s">
        <v>152</v>
      </c>
      <c r="E985" s="477">
        <v>3</v>
      </c>
      <c r="F985" s="471">
        <v>21.84</v>
      </c>
      <c r="G985">
        <v>1</v>
      </c>
      <c r="H985">
        <v>1</v>
      </c>
      <c r="I985" s="472">
        <f t="shared" si="91"/>
        <v>0.47039166666666665</v>
      </c>
      <c r="J985" s="473">
        <v>0.36503333333333332</v>
      </c>
      <c r="K985" s="473">
        <v>0.44336666666666663</v>
      </c>
      <c r="L985" s="473">
        <v>0.58906666666666663</v>
      </c>
      <c r="M985" s="473">
        <v>0.48410000000000003</v>
      </c>
      <c r="N985" s="472">
        <f t="shared" si="92"/>
        <v>0.47039166666666665</v>
      </c>
      <c r="O985" s="473">
        <v>0.36503333333333332</v>
      </c>
      <c r="P985" s="473">
        <v>0.44336666666666663</v>
      </c>
      <c r="Q985" s="473">
        <v>0.58906666666666663</v>
      </c>
      <c r="R985" s="473">
        <v>0.48410000000000003</v>
      </c>
      <c r="S985" s="153">
        <v>0.01</v>
      </c>
      <c r="T985" s="153">
        <v>0.02</v>
      </c>
      <c r="U985" s="478">
        <v>2016</v>
      </c>
      <c r="V985" s="24">
        <f t="shared" si="96"/>
        <v>2036</v>
      </c>
      <c r="W985">
        <v>0</v>
      </c>
      <c r="X985">
        <v>0</v>
      </c>
      <c r="Y985">
        <v>1315</v>
      </c>
      <c r="Z985">
        <v>361</v>
      </c>
      <c r="AA985" s="475" t="s">
        <v>24</v>
      </c>
    </row>
    <row r="986" spans="1:27" ht="15" hidden="1">
      <c r="A986" s="24">
        <f t="shared" si="97"/>
        <v>1985</v>
      </c>
      <c r="B986" s="24">
        <f t="shared" si="97"/>
        <v>1985</v>
      </c>
      <c r="C986" s="476" t="s">
        <v>1380</v>
      </c>
      <c r="D986" t="s">
        <v>152</v>
      </c>
      <c r="E986" s="477">
        <v>3</v>
      </c>
      <c r="F986" s="471">
        <v>27.3</v>
      </c>
      <c r="G986">
        <v>1</v>
      </c>
      <c r="H986">
        <v>1</v>
      </c>
      <c r="I986" s="472">
        <f t="shared" si="91"/>
        <v>0.47039166666666665</v>
      </c>
      <c r="J986" s="473">
        <v>0.36503333333333332</v>
      </c>
      <c r="K986" s="473">
        <v>0.44336666666666663</v>
      </c>
      <c r="L986" s="473">
        <v>0.58906666666666663</v>
      </c>
      <c r="M986" s="473">
        <v>0.48410000000000003</v>
      </c>
      <c r="N986" s="472">
        <f t="shared" si="92"/>
        <v>0.47039166666666665</v>
      </c>
      <c r="O986" s="473">
        <v>0.36503333333333332</v>
      </c>
      <c r="P986" s="473">
        <v>0.44336666666666663</v>
      </c>
      <c r="Q986" s="473">
        <v>0.58906666666666663</v>
      </c>
      <c r="R986" s="473">
        <v>0.48410000000000003</v>
      </c>
      <c r="S986" s="153">
        <v>0.01</v>
      </c>
      <c r="T986" s="153">
        <v>0.02</v>
      </c>
      <c r="U986" s="478">
        <v>2018</v>
      </c>
      <c r="V986" s="24">
        <f t="shared" si="96"/>
        <v>2038</v>
      </c>
      <c r="W986">
        <v>0</v>
      </c>
      <c r="X986">
        <v>0</v>
      </c>
      <c r="Y986">
        <v>1315</v>
      </c>
      <c r="Z986">
        <v>361</v>
      </c>
      <c r="AA986" s="475" t="s">
        <v>24</v>
      </c>
    </row>
    <row r="987" spans="1:27" ht="15" hidden="1">
      <c r="A987" s="24">
        <f t="shared" si="97"/>
        <v>1986</v>
      </c>
      <c r="B987" s="24">
        <f t="shared" si="97"/>
        <v>1986</v>
      </c>
      <c r="C987" s="476" t="s">
        <v>1381</v>
      </c>
      <c r="D987" t="s">
        <v>149</v>
      </c>
      <c r="E987" s="477">
        <v>2</v>
      </c>
      <c r="F987" s="471">
        <v>21.6</v>
      </c>
      <c r="G987">
        <v>1</v>
      </c>
      <c r="H987">
        <v>1</v>
      </c>
      <c r="I987" s="472">
        <f t="shared" si="91"/>
        <v>0.40033333333333337</v>
      </c>
      <c r="J987" s="153">
        <v>0.3706666666666667</v>
      </c>
      <c r="K987" s="153">
        <v>0.3666666666666667</v>
      </c>
      <c r="L987" s="153">
        <v>0.44799999999999995</v>
      </c>
      <c r="M987" s="153">
        <v>0.41600000000000009</v>
      </c>
      <c r="N987" s="472">
        <f t="shared" si="92"/>
        <v>0.40033333333333337</v>
      </c>
      <c r="O987" s="153">
        <v>0.3706666666666667</v>
      </c>
      <c r="P987" s="153">
        <v>0.3666666666666667</v>
      </c>
      <c r="Q987" s="153">
        <v>0.44799999999999995</v>
      </c>
      <c r="R987" s="153">
        <v>0.41600000000000009</v>
      </c>
      <c r="S987" s="153">
        <v>0.01</v>
      </c>
      <c r="T987" s="153">
        <v>0.02</v>
      </c>
      <c r="U987" s="478">
        <v>2018</v>
      </c>
      <c r="V987" s="24">
        <f t="shared" si="96"/>
        <v>2038</v>
      </c>
      <c r="W987">
        <v>0</v>
      </c>
      <c r="X987">
        <v>0</v>
      </c>
      <c r="Y987">
        <v>1315</v>
      </c>
      <c r="Z987">
        <v>360</v>
      </c>
      <c r="AA987" s="475" t="s">
        <v>24</v>
      </c>
    </row>
    <row r="988" spans="1:27" ht="15" hidden="1">
      <c r="A988" s="24">
        <f t="shared" si="97"/>
        <v>1987</v>
      </c>
      <c r="B988" s="24">
        <f t="shared" si="97"/>
        <v>1987</v>
      </c>
      <c r="C988" s="476" t="s">
        <v>1382</v>
      </c>
      <c r="D988" t="s">
        <v>149</v>
      </c>
      <c r="E988" s="477">
        <v>2</v>
      </c>
      <c r="F988" s="471">
        <v>27</v>
      </c>
      <c r="G988">
        <v>1</v>
      </c>
      <c r="H988">
        <v>1</v>
      </c>
      <c r="I988" s="472">
        <f t="shared" si="91"/>
        <v>0.40033333333333337</v>
      </c>
      <c r="J988" s="153">
        <v>0.3706666666666667</v>
      </c>
      <c r="K988" s="153">
        <v>0.3666666666666667</v>
      </c>
      <c r="L988" s="153">
        <v>0.44799999999999995</v>
      </c>
      <c r="M988" s="153">
        <v>0.41600000000000009</v>
      </c>
      <c r="N988" s="472">
        <f t="shared" si="92"/>
        <v>0.40033333333333337</v>
      </c>
      <c r="O988" s="153">
        <v>0.3706666666666667</v>
      </c>
      <c r="P988" s="153">
        <v>0.3666666666666667</v>
      </c>
      <c r="Q988" s="153">
        <v>0.44799999999999995</v>
      </c>
      <c r="R988" s="153">
        <v>0.41600000000000009</v>
      </c>
      <c r="S988" s="153">
        <v>0.01</v>
      </c>
      <c r="T988" s="153">
        <v>0.02</v>
      </c>
      <c r="U988" s="478">
        <v>2018</v>
      </c>
      <c r="V988" s="24">
        <f t="shared" si="96"/>
        <v>2038</v>
      </c>
      <c r="W988">
        <v>0</v>
      </c>
      <c r="X988">
        <v>0</v>
      </c>
      <c r="Y988">
        <v>1315</v>
      </c>
      <c r="Z988">
        <v>360</v>
      </c>
      <c r="AA988" s="475" t="s">
        <v>24</v>
      </c>
    </row>
    <row r="989" spans="1:27" ht="15" hidden="1">
      <c r="A989" s="24">
        <f t="shared" si="97"/>
        <v>1988</v>
      </c>
      <c r="B989" s="24">
        <f t="shared" si="97"/>
        <v>1988</v>
      </c>
      <c r="C989" s="476" t="s">
        <v>1383</v>
      </c>
      <c r="D989" t="s">
        <v>152</v>
      </c>
      <c r="E989" s="477">
        <v>3</v>
      </c>
      <c r="F989" s="471">
        <v>30.8</v>
      </c>
      <c r="G989">
        <v>1</v>
      </c>
      <c r="H989">
        <v>1</v>
      </c>
      <c r="I989" s="472">
        <f t="shared" si="91"/>
        <v>0.47039166666666665</v>
      </c>
      <c r="J989" s="473">
        <v>0.36503333333333332</v>
      </c>
      <c r="K989" s="473">
        <v>0.44336666666666663</v>
      </c>
      <c r="L989" s="473">
        <v>0.58906666666666663</v>
      </c>
      <c r="M989" s="473">
        <v>0.48410000000000003</v>
      </c>
      <c r="N989" s="472">
        <f t="shared" si="92"/>
        <v>0.47039166666666665</v>
      </c>
      <c r="O989" s="473">
        <v>0.36503333333333332</v>
      </c>
      <c r="P989" s="473">
        <v>0.44336666666666663</v>
      </c>
      <c r="Q989" s="473">
        <v>0.58906666666666663</v>
      </c>
      <c r="R989" s="473">
        <v>0.48410000000000003</v>
      </c>
      <c r="S989" s="153">
        <v>0.01</v>
      </c>
      <c r="T989" s="153">
        <v>0.02</v>
      </c>
      <c r="U989" s="478">
        <v>2016</v>
      </c>
      <c r="V989" s="24">
        <f t="shared" si="96"/>
        <v>2036</v>
      </c>
      <c r="W989">
        <v>0</v>
      </c>
      <c r="X989">
        <v>0</v>
      </c>
      <c r="Y989">
        <v>1315</v>
      </c>
      <c r="Z989">
        <v>361</v>
      </c>
      <c r="AA989" s="475" t="s">
        <v>24</v>
      </c>
    </row>
    <row r="990" spans="1:27" ht="15" hidden="1">
      <c r="A990" s="24">
        <f t="shared" si="97"/>
        <v>1989</v>
      </c>
      <c r="B990" s="24">
        <f t="shared" si="97"/>
        <v>1989</v>
      </c>
      <c r="C990" s="469" t="s">
        <v>1384</v>
      </c>
      <c r="D990" t="s">
        <v>152</v>
      </c>
      <c r="E990" s="470">
        <v>3</v>
      </c>
      <c r="F990" s="471">
        <v>0</v>
      </c>
      <c r="G990">
        <v>1</v>
      </c>
      <c r="H990">
        <v>1</v>
      </c>
      <c r="I990" s="472">
        <f t="shared" si="91"/>
        <v>0.32845968612834514</v>
      </c>
      <c r="J990" s="153">
        <v>3.8473756479098807E-2</v>
      </c>
      <c r="K990" s="153">
        <v>0.39358026214566905</v>
      </c>
      <c r="L990" s="153">
        <v>0.53857526864315253</v>
      </c>
      <c r="M990" s="153">
        <v>0.3432094572454602</v>
      </c>
      <c r="N990" s="472">
        <f t="shared" si="92"/>
        <v>0.32845968612834514</v>
      </c>
      <c r="O990" s="153">
        <v>3.8473756479098807E-2</v>
      </c>
      <c r="P990" s="153">
        <v>0.39358026214566905</v>
      </c>
      <c r="Q990" s="153">
        <v>0.53857526864315253</v>
      </c>
      <c r="R990" s="153">
        <v>0.3432094572454602</v>
      </c>
      <c r="S990" s="153">
        <v>0.03</v>
      </c>
      <c r="T990" s="153">
        <v>0</v>
      </c>
      <c r="U990" s="474">
        <v>1900</v>
      </c>
      <c r="V990">
        <v>2030</v>
      </c>
      <c r="W990">
        <v>0</v>
      </c>
      <c r="X990">
        <v>0</v>
      </c>
      <c r="Y990">
        <v>1304</v>
      </c>
      <c r="Z990">
        <v>311</v>
      </c>
      <c r="AA990" s="475" t="s">
        <v>23</v>
      </c>
    </row>
    <row r="991" spans="1:27" ht="15" hidden="1">
      <c r="A991" s="24">
        <f t="shared" si="97"/>
        <v>1990</v>
      </c>
      <c r="B991" s="24">
        <f t="shared" si="97"/>
        <v>1990</v>
      </c>
      <c r="C991" s="469" t="s">
        <v>1385</v>
      </c>
      <c r="D991" t="s">
        <v>146</v>
      </c>
      <c r="E991" s="470">
        <v>1</v>
      </c>
      <c r="F991" s="471">
        <v>4.9969999999999999</v>
      </c>
      <c r="G991">
        <v>1</v>
      </c>
      <c r="H991">
        <v>1</v>
      </c>
      <c r="I991" s="472">
        <f t="shared" si="91"/>
        <v>0.32845968612834514</v>
      </c>
      <c r="J991" s="153">
        <v>3.8473756479098807E-2</v>
      </c>
      <c r="K991" s="153">
        <v>0.39358026214566905</v>
      </c>
      <c r="L991" s="153">
        <v>0.53857526864315253</v>
      </c>
      <c r="M991" s="153">
        <v>0.3432094572454602</v>
      </c>
      <c r="N991" s="472">
        <f t="shared" si="92"/>
        <v>0.32845968612834514</v>
      </c>
      <c r="O991" s="153">
        <v>3.8473756479098807E-2</v>
      </c>
      <c r="P991" s="153">
        <v>0.39358026214566905</v>
      </c>
      <c r="Q991" s="153">
        <v>0.53857526864315253</v>
      </c>
      <c r="R991" s="153">
        <v>0.3432094572454602</v>
      </c>
      <c r="S991" s="153">
        <v>0.03</v>
      </c>
      <c r="T991" s="153">
        <v>0</v>
      </c>
      <c r="U991" s="474">
        <v>1900</v>
      </c>
      <c r="V991">
        <v>2030</v>
      </c>
      <c r="W991">
        <v>0</v>
      </c>
      <c r="X991">
        <v>0</v>
      </c>
      <c r="Y991">
        <v>1304</v>
      </c>
      <c r="Z991">
        <v>311</v>
      </c>
      <c r="AA991" s="475" t="s">
        <v>23</v>
      </c>
    </row>
    <row r="992" spans="1:27" ht="15" hidden="1">
      <c r="A992" s="24">
        <f t="shared" si="97"/>
        <v>1991</v>
      </c>
      <c r="B992" s="24">
        <f t="shared" si="97"/>
        <v>1991</v>
      </c>
      <c r="C992" s="469" t="s">
        <v>1386</v>
      </c>
      <c r="D992" t="s">
        <v>146</v>
      </c>
      <c r="E992" s="470">
        <v>1</v>
      </c>
      <c r="F992" s="471">
        <v>0</v>
      </c>
      <c r="G992">
        <v>1</v>
      </c>
      <c r="H992">
        <v>1</v>
      </c>
      <c r="I992" s="472">
        <f t="shared" si="91"/>
        <v>0.32845968612834514</v>
      </c>
      <c r="J992" s="153">
        <v>3.8473756479098807E-2</v>
      </c>
      <c r="K992" s="153">
        <v>0.39358026214566905</v>
      </c>
      <c r="L992" s="153">
        <v>0.53857526864315253</v>
      </c>
      <c r="M992" s="153">
        <v>0.3432094572454602</v>
      </c>
      <c r="N992" s="472">
        <f t="shared" si="92"/>
        <v>0.32845968612834514</v>
      </c>
      <c r="O992" s="153">
        <v>3.8473756479098807E-2</v>
      </c>
      <c r="P992" s="153">
        <v>0.39358026214566905</v>
      </c>
      <c r="Q992" s="153">
        <v>0.53857526864315253</v>
      </c>
      <c r="R992" s="153">
        <v>0.3432094572454602</v>
      </c>
      <c r="S992" s="153">
        <v>0.03</v>
      </c>
      <c r="T992" s="153">
        <v>0</v>
      </c>
      <c r="U992" s="474">
        <v>1900</v>
      </c>
      <c r="V992">
        <v>2030</v>
      </c>
      <c r="W992">
        <v>0</v>
      </c>
      <c r="X992">
        <v>0</v>
      </c>
      <c r="Y992">
        <v>1304</v>
      </c>
      <c r="Z992">
        <v>311</v>
      </c>
      <c r="AA992" s="475" t="s">
        <v>23</v>
      </c>
    </row>
    <row r="993" spans="1:27" ht="15" hidden="1">
      <c r="A993" s="24">
        <f t="shared" si="97"/>
        <v>1992</v>
      </c>
      <c r="B993" s="24">
        <f t="shared" si="97"/>
        <v>1992</v>
      </c>
      <c r="C993" s="469" t="s">
        <v>1387</v>
      </c>
      <c r="D993" t="s">
        <v>154</v>
      </c>
      <c r="E993" s="470">
        <v>4</v>
      </c>
      <c r="F993" s="471">
        <v>8</v>
      </c>
      <c r="G993">
        <v>1</v>
      </c>
      <c r="H993">
        <v>1</v>
      </c>
      <c r="I993" s="472">
        <f t="shared" si="91"/>
        <v>0.32845968612834514</v>
      </c>
      <c r="J993" s="153">
        <v>3.8473756479098807E-2</v>
      </c>
      <c r="K993" s="153">
        <v>0.39358026214566905</v>
      </c>
      <c r="L993" s="153">
        <v>0.53857526864315253</v>
      </c>
      <c r="M993" s="153">
        <v>0.3432094572454602</v>
      </c>
      <c r="N993" s="472">
        <f t="shared" si="92"/>
        <v>0.32845968612834514</v>
      </c>
      <c r="O993" s="153">
        <v>3.8473756479098807E-2</v>
      </c>
      <c r="P993" s="153">
        <v>0.39358026214566905</v>
      </c>
      <c r="Q993" s="153">
        <v>0.53857526864315253</v>
      </c>
      <c r="R993" s="153">
        <v>0.3432094572454602</v>
      </c>
      <c r="S993" s="153">
        <v>0.03</v>
      </c>
      <c r="T993" s="153">
        <v>0</v>
      </c>
      <c r="U993" s="474">
        <v>2003</v>
      </c>
      <c r="V993">
        <v>2023</v>
      </c>
      <c r="W993">
        <v>0</v>
      </c>
      <c r="X993">
        <v>0</v>
      </c>
      <c r="Y993">
        <v>1304</v>
      </c>
      <c r="Z993">
        <v>311</v>
      </c>
      <c r="AA993" s="475" t="s">
        <v>23</v>
      </c>
    </row>
    <row r="994" spans="1:27" ht="15" hidden="1">
      <c r="A994" s="24">
        <f t="shared" si="97"/>
        <v>1993</v>
      </c>
      <c r="B994" s="24">
        <f t="shared" si="97"/>
        <v>1993</v>
      </c>
      <c r="C994" s="476" t="s">
        <v>1388</v>
      </c>
      <c r="D994" t="s">
        <v>152</v>
      </c>
      <c r="E994" s="477">
        <v>3</v>
      </c>
      <c r="F994" s="471">
        <v>28.8</v>
      </c>
      <c r="G994">
        <v>1</v>
      </c>
      <c r="H994">
        <v>1</v>
      </c>
      <c r="I994" s="472">
        <f t="shared" si="91"/>
        <v>0.47039166666666665</v>
      </c>
      <c r="J994" s="473">
        <v>0.36503333333333332</v>
      </c>
      <c r="K994" s="473">
        <v>0.44336666666666663</v>
      </c>
      <c r="L994" s="473">
        <v>0.58906666666666663</v>
      </c>
      <c r="M994" s="473">
        <v>0.48410000000000003</v>
      </c>
      <c r="N994" s="472">
        <f t="shared" si="92"/>
        <v>0.47039166666666665</v>
      </c>
      <c r="O994" s="473">
        <v>0.36503333333333332</v>
      </c>
      <c r="P994" s="473">
        <v>0.44336666666666663</v>
      </c>
      <c r="Q994" s="473">
        <v>0.58906666666666663</v>
      </c>
      <c r="R994" s="473">
        <v>0.48410000000000003</v>
      </c>
      <c r="S994" s="153">
        <v>0.01</v>
      </c>
      <c r="T994" s="153">
        <v>0.02</v>
      </c>
      <c r="U994" s="478">
        <v>2018</v>
      </c>
      <c r="V994" s="24">
        <f t="shared" ref="V994:V1031" si="98">U994+20</f>
        <v>2038</v>
      </c>
      <c r="W994">
        <v>0</v>
      </c>
      <c r="X994">
        <v>0</v>
      </c>
      <c r="Y994">
        <v>1315</v>
      </c>
      <c r="Z994">
        <v>361</v>
      </c>
      <c r="AA994" s="475" t="s">
        <v>24</v>
      </c>
    </row>
    <row r="995" spans="1:27" ht="15" hidden="1">
      <c r="A995" s="24">
        <f t="shared" si="97"/>
        <v>1994</v>
      </c>
      <c r="B995" s="24">
        <f t="shared" si="97"/>
        <v>1994</v>
      </c>
      <c r="C995" s="476" t="s">
        <v>1389</v>
      </c>
      <c r="D995" t="s">
        <v>149</v>
      </c>
      <c r="E995" s="477">
        <v>2</v>
      </c>
      <c r="F995" s="471">
        <v>8.4</v>
      </c>
      <c r="G995">
        <v>1</v>
      </c>
      <c r="H995">
        <v>1</v>
      </c>
      <c r="I995" s="472">
        <f t="shared" si="91"/>
        <v>0.40033333333333337</v>
      </c>
      <c r="J995" s="153">
        <v>0.3706666666666667</v>
      </c>
      <c r="K995" s="153">
        <v>0.3666666666666667</v>
      </c>
      <c r="L995" s="153">
        <v>0.44799999999999995</v>
      </c>
      <c r="M995" s="153">
        <v>0.41600000000000009</v>
      </c>
      <c r="N995" s="472">
        <f t="shared" si="92"/>
        <v>0.40033333333333337</v>
      </c>
      <c r="O995" s="153">
        <v>0.3706666666666667</v>
      </c>
      <c r="P995" s="153">
        <v>0.3666666666666667</v>
      </c>
      <c r="Q995" s="153">
        <v>0.44799999999999995</v>
      </c>
      <c r="R995" s="153">
        <v>0.41600000000000009</v>
      </c>
      <c r="S995" s="153">
        <v>0.01</v>
      </c>
      <c r="T995" s="153">
        <v>0.02</v>
      </c>
      <c r="U995" s="478">
        <v>2018</v>
      </c>
      <c r="V995" s="24">
        <f t="shared" si="98"/>
        <v>2038</v>
      </c>
      <c r="W995">
        <v>0</v>
      </c>
      <c r="X995">
        <v>0</v>
      </c>
      <c r="Y995">
        <v>1315</v>
      </c>
      <c r="Z995">
        <v>360</v>
      </c>
      <c r="AA995" s="475" t="s">
        <v>24</v>
      </c>
    </row>
    <row r="996" spans="1:27" ht="15" hidden="1">
      <c r="A996" s="24">
        <f t="shared" si="97"/>
        <v>1995</v>
      </c>
      <c r="B996" s="24">
        <f t="shared" si="97"/>
        <v>1995</v>
      </c>
      <c r="C996" s="476" t="s">
        <v>1390</v>
      </c>
      <c r="D996" t="s">
        <v>152</v>
      </c>
      <c r="E996" s="477">
        <v>3</v>
      </c>
      <c r="F996" s="471">
        <v>29.9</v>
      </c>
      <c r="G996">
        <v>1</v>
      </c>
      <c r="H996">
        <v>1</v>
      </c>
      <c r="I996" s="472">
        <f t="shared" si="91"/>
        <v>0.47039166666666665</v>
      </c>
      <c r="J996" s="473">
        <v>0.36503333333333332</v>
      </c>
      <c r="K996" s="473">
        <v>0.44336666666666663</v>
      </c>
      <c r="L996" s="473">
        <v>0.58906666666666663</v>
      </c>
      <c r="M996" s="473">
        <v>0.48410000000000003</v>
      </c>
      <c r="N996" s="472">
        <f t="shared" si="92"/>
        <v>0.47039166666666665</v>
      </c>
      <c r="O996" s="473">
        <v>0.36503333333333332</v>
      </c>
      <c r="P996" s="473">
        <v>0.44336666666666663</v>
      </c>
      <c r="Q996" s="473">
        <v>0.58906666666666663</v>
      </c>
      <c r="R996" s="473">
        <v>0.48410000000000003</v>
      </c>
      <c r="S996" s="153">
        <v>0.01</v>
      </c>
      <c r="T996" s="153">
        <v>0.02</v>
      </c>
      <c r="U996" s="478">
        <v>2018</v>
      </c>
      <c r="V996" s="24">
        <f t="shared" si="98"/>
        <v>2038</v>
      </c>
      <c r="W996">
        <v>0</v>
      </c>
      <c r="X996">
        <v>0</v>
      </c>
      <c r="Y996">
        <v>1315</v>
      </c>
      <c r="Z996">
        <v>361</v>
      </c>
      <c r="AA996" s="475" t="s">
        <v>24</v>
      </c>
    </row>
    <row r="997" spans="1:27" ht="15" hidden="1">
      <c r="A997" s="24">
        <f t="shared" si="97"/>
        <v>1996</v>
      </c>
      <c r="B997" s="24">
        <f t="shared" si="97"/>
        <v>1996</v>
      </c>
      <c r="C997" s="476" t="s">
        <v>1391</v>
      </c>
      <c r="D997" t="s">
        <v>152</v>
      </c>
      <c r="E997" s="477">
        <v>3</v>
      </c>
      <c r="F997" s="471">
        <v>10.8</v>
      </c>
      <c r="G997">
        <v>1</v>
      </c>
      <c r="H997">
        <v>1</v>
      </c>
      <c r="I997" s="472">
        <f t="shared" si="91"/>
        <v>0.47039166666666665</v>
      </c>
      <c r="J997" s="473">
        <v>0.36503333333333332</v>
      </c>
      <c r="K997" s="473">
        <v>0.44336666666666663</v>
      </c>
      <c r="L997" s="473">
        <v>0.58906666666666663</v>
      </c>
      <c r="M997" s="473">
        <v>0.48410000000000003</v>
      </c>
      <c r="N997" s="472">
        <f t="shared" si="92"/>
        <v>0.47039166666666665</v>
      </c>
      <c r="O997" s="473">
        <v>0.36503333333333332</v>
      </c>
      <c r="P997" s="473">
        <v>0.44336666666666663</v>
      </c>
      <c r="Q997" s="473">
        <v>0.58906666666666663</v>
      </c>
      <c r="R997" s="473">
        <v>0.48410000000000003</v>
      </c>
      <c r="S997" s="153">
        <v>0.01</v>
      </c>
      <c r="T997" s="153">
        <v>0.02</v>
      </c>
      <c r="U997" s="478">
        <v>2018</v>
      </c>
      <c r="V997" s="24">
        <f t="shared" si="98"/>
        <v>2038</v>
      </c>
      <c r="W997">
        <v>0</v>
      </c>
      <c r="X997">
        <v>0</v>
      </c>
      <c r="Y997">
        <v>1315</v>
      </c>
      <c r="Z997">
        <v>361</v>
      </c>
      <c r="AA997" s="475" t="s">
        <v>24</v>
      </c>
    </row>
    <row r="998" spans="1:27" ht="15" hidden="1">
      <c r="A998" s="24">
        <f t="shared" si="97"/>
        <v>1997</v>
      </c>
      <c r="B998" s="24">
        <f t="shared" si="97"/>
        <v>1997</v>
      </c>
      <c r="C998" s="476" t="s">
        <v>1392</v>
      </c>
      <c r="D998" t="s">
        <v>152</v>
      </c>
      <c r="E998" s="477">
        <v>3</v>
      </c>
      <c r="F998" s="471">
        <v>27</v>
      </c>
      <c r="G998">
        <v>1</v>
      </c>
      <c r="H998">
        <v>1</v>
      </c>
      <c r="I998" s="472">
        <f t="shared" si="91"/>
        <v>0.47039166666666665</v>
      </c>
      <c r="J998" s="473">
        <v>0.36503333333333332</v>
      </c>
      <c r="K998" s="473">
        <v>0.44336666666666663</v>
      </c>
      <c r="L998" s="473">
        <v>0.58906666666666663</v>
      </c>
      <c r="M998" s="473">
        <v>0.48410000000000003</v>
      </c>
      <c r="N998" s="472">
        <f t="shared" si="92"/>
        <v>0.47039166666666665</v>
      </c>
      <c r="O998" s="473">
        <v>0.36503333333333332</v>
      </c>
      <c r="P998" s="473">
        <v>0.44336666666666663</v>
      </c>
      <c r="Q998" s="473">
        <v>0.58906666666666663</v>
      </c>
      <c r="R998" s="473">
        <v>0.48410000000000003</v>
      </c>
      <c r="S998" s="153">
        <v>0.01</v>
      </c>
      <c r="T998" s="153">
        <v>0.02</v>
      </c>
      <c r="U998" s="478">
        <v>2018</v>
      </c>
      <c r="V998" s="24">
        <f t="shared" si="98"/>
        <v>2038</v>
      </c>
      <c r="W998">
        <v>0</v>
      </c>
      <c r="X998">
        <v>0</v>
      </c>
      <c r="Y998">
        <v>1315</v>
      </c>
      <c r="Z998">
        <v>361</v>
      </c>
      <c r="AA998" s="475" t="s">
        <v>24</v>
      </c>
    </row>
    <row r="999" spans="1:27" ht="15" hidden="1">
      <c r="A999" s="24">
        <f t="shared" si="97"/>
        <v>1998</v>
      </c>
      <c r="B999" s="24">
        <f t="shared" si="97"/>
        <v>1998</v>
      </c>
      <c r="C999" s="476" t="s">
        <v>1393</v>
      </c>
      <c r="D999" t="s">
        <v>152</v>
      </c>
      <c r="E999" s="477">
        <v>3</v>
      </c>
      <c r="F999" s="471">
        <v>1.67</v>
      </c>
      <c r="G999">
        <v>1</v>
      </c>
      <c r="H999">
        <v>1</v>
      </c>
      <c r="I999" s="472">
        <f t="shared" si="91"/>
        <v>0.47039166666666665</v>
      </c>
      <c r="J999" s="473">
        <v>0.36503333333333332</v>
      </c>
      <c r="K999" s="473">
        <v>0.44336666666666663</v>
      </c>
      <c r="L999" s="473">
        <v>0.58906666666666663</v>
      </c>
      <c r="M999" s="473">
        <v>0.48410000000000003</v>
      </c>
      <c r="N999" s="472">
        <f t="shared" si="92"/>
        <v>0.47039166666666665</v>
      </c>
      <c r="O999" s="473">
        <v>0.36503333333333332</v>
      </c>
      <c r="P999" s="473">
        <v>0.44336666666666663</v>
      </c>
      <c r="Q999" s="473">
        <v>0.58906666666666663</v>
      </c>
      <c r="R999" s="473">
        <v>0.48410000000000003</v>
      </c>
      <c r="S999" s="153">
        <v>0.01</v>
      </c>
      <c r="T999" s="153">
        <v>0.02</v>
      </c>
      <c r="U999" s="478">
        <v>2016</v>
      </c>
      <c r="V999" s="24">
        <f t="shared" si="98"/>
        <v>2036</v>
      </c>
      <c r="W999">
        <v>0</v>
      </c>
      <c r="X999">
        <v>0</v>
      </c>
      <c r="Y999">
        <v>1315</v>
      </c>
      <c r="Z999">
        <v>361</v>
      </c>
      <c r="AA999" s="475" t="s">
        <v>24</v>
      </c>
    </row>
    <row r="1000" spans="1:27" ht="15" hidden="1">
      <c r="A1000" s="24">
        <f t="shared" si="97"/>
        <v>1999</v>
      </c>
      <c r="B1000" s="24">
        <f t="shared" si="97"/>
        <v>1999</v>
      </c>
      <c r="C1000" s="476" t="s">
        <v>1394</v>
      </c>
      <c r="D1000" t="s">
        <v>152</v>
      </c>
      <c r="E1000" s="477">
        <v>3</v>
      </c>
      <c r="F1000" s="471">
        <v>1.67</v>
      </c>
      <c r="G1000">
        <v>1</v>
      </c>
      <c r="H1000">
        <v>1</v>
      </c>
      <c r="I1000" s="472">
        <f t="shared" si="91"/>
        <v>0.47039166666666665</v>
      </c>
      <c r="J1000" s="473">
        <v>0.36503333333333332</v>
      </c>
      <c r="K1000" s="473">
        <v>0.44336666666666663</v>
      </c>
      <c r="L1000" s="473">
        <v>0.58906666666666663</v>
      </c>
      <c r="M1000" s="473">
        <v>0.48410000000000003</v>
      </c>
      <c r="N1000" s="472">
        <f t="shared" si="92"/>
        <v>0.47039166666666665</v>
      </c>
      <c r="O1000" s="473">
        <v>0.36503333333333332</v>
      </c>
      <c r="P1000" s="473">
        <v>0.44336666666666663</v>
      </c>
      <c r="Q1000" s="473">
        <v>0.58906666666666663</v>
      </c>
      <c r="R1000" s="473">
        <v>0.48410000000000003</v>
      </c>
      <c r="S1000" s="153">
        <v>0.01</v>
      </c>
      <c r="T1000" s="153">
        <v>0.02</v>
      </c>
      <c r="U1000" s="478">
        <v>2016</v>
      </c>
      <c r="V1000" s="24">
        <f t="shared" si="98"/>
        <v>2036</v>
      </c>
      <c r="W1000">
        <v>0</v>
      </c>
      <c r="X1000">
        <v>0</v>
      </c>
      <c r="Y1000">
        <v>1315</v>
      </c>
      <c r="Z1000">
        <v>361</v>
      </c>
      <c r="AA1000" s="475" t="s">
        <v>24</v>
      </c>
    </row>
    <row r="1001" spans="1:27" ht="15" hidden="1">
      <c r="A1001" s="24">
        <f t="shared" si="97"/>
        <v>2000</v>
      </c>
      <c r="B1001" s="24">
        <f t="shared" si="97"/>
        <v>2000</v>
      </c>
      <c r="C1001" s="476" t="s">
        <v>1395</v>
      </c>
      <c r="D1001" t="s">
        <v>152</v>
      </c>
      <c r="E1001" s="477">
        <v>3</v>
      </c>
      <c r="F1001" s="471">
        <v>13.5</v>
      </c>
      <c r="G1001">
        <v>1</v>
      </c>
      <c r="H1001">
        <v>1</v>
      </c>
      <c r="I1001" s="472">
        <f t="shared" si="91"/>
        <v>0.47039166666666665</v>
      </c>
      <c r="J1001" s="473">
        <v>0.36503333333333332</v>
      </c>
      <c r="K1001" s="473">
        <v>0.44336666666666663</v>
      </c>
      <c r="L1001" s="473">
        <v>0.58906666666666663</v>
      </c>
      <c r="M1001" s="473">
        <v>0.48410000000000003</v>
      </c>
      <c r="N1001" s="472">
        <f t="shared" si="92"/>
        <v>0.47039166666666665</v>
      </c>
      <c r="O1001" s="473">
        <v>0.36503333333333332</v>
      </c>
      <c r="P1001" s="473">
        <v>0.44336666666666663</v>
      </c>
      <c r="Q1001" s="473">
        <v>0.58906666666666663</v>
      </c>
      <c r="R1001" s="473">
        <v>0.48410000000000003</v>
      </c>
      <c r="S1001" s="153">
        <v>0.01</v>
      </c>
      <c r="T1001" s="153">
        <v>0.02</v>
      </c>
      <c r="U1001" s="478">
        <v>2018</v>
      </c>
      <c r="V1001" s="24">
        <f t="shared" si="98"/>
        <v>2038</v>
      </c>
      <c r="W1001">
        <v>0</v>
      </c>
      <c r="X1001">
        <v>0</v>
      </c>
      <c r="Y1001">
        <v>1315</v>
      </c>
      <c r="Z1001">
        <v>361</v>
      </c>
      <c r="AA1001" s="475" t="s">
        <v>24</v>
      </c>
    </row>
    <row r="1002" spans="1:27" ht="15" hidden="1">
      <c r="A1002" s="24">
        <f t="shared" si="97"/>
        <v>2001</v>
      </c>
      <c r="B1002" s="24">
        <f t="shared" si="97"/>
        <v>2001</v>
      </c>
      <c r="C1002" s="476" t="s">
        <v>1396</v>
      </c>
      <c r="D1002" t="s">
        <v>152</v>
      </c>
      <c r="E1002" s="477">
        <v>3</v>
      </c>
      <c r="F1002" s="471">
        <v>13.5</v>
      </c>
      <c r="G1002">
        <v>1</v>
      </c>
      <c r="H1002">
        <v>1</v>
      </c>
      <c r="I1002" s="472">
        <f t="shared" si="91"/>
        <v>0.47039166666666665</v>
      </c>
      <c r="J1002" s="473">
        <v>0.36503333333333332</v>
      </c>
      <c r="K1002" s="473">
        <v>0.44336666666666663</v>
      </c>
      <c r="L1002" s="473">
        <v>0.58906666666666663</v>
      </c>
      <c r="M1002" s="473">
        <v>0.48410000000000003</v>
      </c>
      <c r="N1002" s="472">
        <f t="shared" si="92"/>
        <v>0.47039166666666665</v>
      </c>
      <c r="O1002" s="473">
        <v>0.36503333333333332</v>
      </c>
      <c r="P1002" s="473">
        <v>0.44336666666666663</v>
      </c>
      <c r="Q1002" s="473">
        <v>0.58906666666666663</v>
      </c>
      <c r="R1002" s="473">
        <v>0.48410000000000003</v>
      </c>
      <c r="S1002" s="153">
        <v>0.01</v>
      </c>
      <c r="T1002" s="153">
        <v>0.02</v>
      </c>
      <c r="U1002" s="478">
        <v>2018</v>
      </c>
      <c r="V1002" s="24">
        <f t="shared" si="98"/>
        <v>2038</v>
      </c>
      <c r="W1002">
        <v>0</v>
      </c>
      <c r="X1002">
        <v>0</v>
      </c>
      <c r="Y1002">
        <v>1315</v>
      </c>
      <c r="Z1002">
        <v>361</v>
      </c>
      <c r="AA1002" s="475" t="s">
        <v>24</v>
      </c>
    </row>
    <row r="1003" spans="1:27" ht="15" hidden="1">
      <c r="A1003" s="24">
        <f t="shared" si="97"/>
        <v>2002</v>
      </c>
      <c r="B1003" s="24">
        <f t="shared" si="97"/>
        <v>2002</v>
      </c>
      <c r="C1003" s="476" t="s">
        <v>1397</v>
      </c>
      <c r="D1003" t="s">
        <v>152</v>
      </c>
      <c r="E1003" s="477">
        <v>3</v>
      </c>
      <c r="F1003" s="471">
        <v>18.899999999999999</v>
      </c>
      <c r="G1003">
        <v>1</v>
      </c>
      <c r="H1003">
        <v>1</v>
      </c>
      <c r="I1003" s="472">
        <f t="shared" si="91"/>
        <v>0.47039166666666665</v>
      </c>
      <c r="J1003" s="473">
        <v>0.36503333333333332</v>
      </c>
      <c r="K1003" s="473">
        <v>0.44336666666666663</v>
      </c>
      <c r="L1003" s="473">
        <v>0.58906666666666663</v>
      </c>
      <c r="M1003" s="473">
        <v>0.48410000000000003</v>
      </c>
      <c r="N1003" s="472">
        <f t="shared" si="92"/>
        <v>0.47039166666666665</v>
      </c>
      <c r="O1003" s="473">
        <v>0.36503333333333332</v>
      </c>
      <c r="P1003" s="473">
        <v>0.44336666666666663</v>
      </c>
      <c r="Q1003" s="473">
        <v>0.58906666666666663</v>
      </c>
      <c r="R1003" s="473">
        <v>0.48410000000000003</v>
      </c>
      <c r="S1003" s="153">
        <v>0.01</v>
      </c>
      <c r="T1003" s="153">
        <v>0.02</v>
      </c>
      <c r="U1003" s="478">
        <v>2018</v>
      </c>
      <c r="V1003" s="24">
        <f t="shared" si="98"/>
        <v>2038</v>
      </c>
      <c r="W1003">
        <v>0</v>
      </c>
      <c r="X1003">
        <v>0</v>
      </c>
      <c r="Y1003">
        <v>1315</v>
      </c>
      <c r="Z1003">
        <v>361</v>
      </c>
      <c r="AA1003" s="475" t="s">
        <v>24</v>
      </c>
    </row>
    <row r="1004" spans="1:27" ht="15" hidden="1">
      <c r="A1004" s="24">
        <f t="shared" si="97"/>
        <v>2003</v>
      </c>
      <c r="B1004" s="24">
        <f t="shared" si="97"/>
        <v>2003</v>
      </c>
      <c r="C1004" s="476" t="s">
        <v>1398</v>
      </c>
      <c r="D1004" t="s">
        <v>152</v>
      </c>
      <c r="E1004" s="477">
        <v>3</v>
      </c>
      <c r="F1004" s="471">
        <v>2.7</v>
      </c>
      <c r="G1004">
        <v>1</v>
      </c>
      <c r="H1004">
        <v>1</v>
      </c>
      <c r="I1004" s="472">
        <f t="shared" si="91"/>
        <v>0.47039166666666665</v>
      </c>
      <c r="J1004" s="473">
        <v>0.36503333333333332</v>
      </c>
      <c r="K1004" s="473">
        <v>0.44336666666666663</v>
      </c>
      <c r="L1004" s="473">
        <v>0.58906666666666663</v>
      </c>
      <c r="M1004" s="473">
        <v>0.48410000000000003</v>
      </c>
      <c r="N1004" s="472">
        <f t="shared" si="92"/>
        <v>0.47039166666666665</v>
      </c>
      <c r="O1004" s="473">
        <v>0.36503333333333332</v>
      </c>
      <c r="P1004" s="473">
        <v>0.44336666666666663</v>
      </c>
      <c r="Q1004" s="473">
        <v>0.58906666666666663</v>
      </c>
      <c r="R1004" s="473">
        <v>0.48410000000000003</v>
      </c>
      <c r="S1004" s="153">
        <v>0.01</v>
      </c>
      <c r="T1004" s="153">
        <v>0.02</v>
      </c>
      <c r="U1004" s="478">
        <v>2016</v>
      </c>
      <c r="V1004" s="24">
        <f t="shared" si="98"/>
        <v>2036</v>
      </c>
      <c r="W1004">
        <v>0</v>
      </c>
      <c r="X1004">
        <v>0</v>
      </c>
      <c r="Y1004">
        <v>1315</v>
      </c>
      <c r="Z1004">
        <v>361</v>
      </c>
      <c r="AA1004" s="475" t="s">
        <v>24</v>
      </c>
    </row>
    <row r="1005" spans="1:27" ht="15" hidden="1">
      <c r="A1005" s="24">
        <f t="shared" ref="A1005:B1024" si="99">1000+ROW()-1</f>
        <v>2004</v>
      </c>
      <c r="B1005" s="24">
        <f t="shared" si="99"/>
        <v>2004</v>
      </c>
      <c r="C1005" s="476" t="s">
        <v>1399</v>
      </c>
      <c r="D1005" t="s">
        <v>152</v>
      </c>
      <c r="E1005" s="477">
        <v>3</v>
      </c>
      <c r="F1005" s="471">
        <v>2.7</v>
      </c>
      <c r="G1005">
        <v>1</v>
      </c>
      <c r="H1005">
        <v>1</v>
      </c>
      <c r="I1005" s="472">
        <f t="shared" si="91"/>
        <v>0.47039166666666665</v>
      </c>
      <c r="J1005" s="473">
        <v>0.36503333333333332</v>
      </c>
      <c r="K1005" s="473">
        <v>0.44336666666666663</v>
      </c>
      <c r="L1005" s="473">
        <v>0.58906666666666663</v>
      </c>
      <c r="M1005" s="473">
        <v>0.48410000000000003</v>
      </c>
      <c r="N1005" s="472">
        <f t="shared" si="92"/>
        <v>0.47039166666666665</v>
      </c>
      <c r="O1005" s="473">
        <v>0.36503333333333332</v>
      </c>
      <c r="P1005" s="473">
        <v>0.44336666666666663</v>
      </c>
      <c r="Q1005" s="473">
        <v>0.58906666666666663</v>
      </c>
      <c r="R1005" s="473">
        <v>0.48410000000000003</v>
      </c>
      <c r="S1005" s="153">
        <v>0.01</v>
      </c>
      <c r="T1005" s="153">
        <v>0.02</v>
      </c>
      <c r="U1005" s="478">
        <v>2016</v>
      </c>
      <c r="V1005" s="24">
        <f t="shared" si="98"/>
        <v>2036</v>
      </c>
      <c r="W1005">
        <v>0</v>
      </c>
      <c r="X1005">
        <v>0</v>
      </c>
      <c r="Y1005">
        <v>1315</v>
      </c>
      <c r="Z1005">
        <v>361</v>
      </c>
      <c r="AA1005" s="475" t="s">
        <v>24</v>
      </c>
    </row>
    <row r="1006" spans="1:27" ht="15" hidden="1">
      <c r="A1006" s="24">
        <f t="shared" si="99"/>
        <v>2005</v>
      </c>
      <c r="B1006" s="24">
        <f t="shared" si="99"/>
        <v>2005</v>
      </c>
      <c r="C1006" s="476" t="s">
        <v>1400</v>
      </c>
      <c r="D1006" t="s">
        <v>152</v>
      </c>
      <c r="E1006" s="477">
        <v>3</v>
      </c>
      <c r="F1006" s="471">
        <v>2.7</v>
      </c>
      <c r="G1006">
        <v>1</v>
      </c>
      <c r="H1006">
        <v>1</v>
      </c>
      <c r="I1006" s="472">
        <f t="shared" si="91"/>
        <v>0.47039166666666665</v>
      </c>
      <c r="J1006" s="473">
        <v>0.36503333333333332</v>
      </c>
      <c r="K1006" s="473">
        <v>0.44336666666666663</v>
      </c>
      <c r="L1006" s="473">
        <v>0.58906666666666663</v>
      </c>
      <c r="M1006" s="473">
        <v>0.48410000000000003</v>
      </c>
      <c r="N1006" s="472">
        <f t="shared" si="92"/>
        <v>0.47039166666666665</v>
      </c>
      <c r="O1006" s="473">
        <v>0.36503333333333332</v>
      </c>
      <c r="P1006" s="473">
        <v>0.44336666666666663</v>
      </c>
      <c r="Q1006" s="473">
        <v>0.58906666666666663</v>
      </c>
      <c r="R1006" s="473">
        <v>0.48410000000000003</v>
      </c>
      <c r="S1006" s="153">
        <v>0.01</v>
      </c>
      <c r="T1006" s="153">
        <v>0.02</v>
      </c>
      <c r="U1006" s="478">
        <v>2016</v>
      </c>
      <c r="V1006" s="24">
        <f t="shared" si="98"/>
        <v>2036</v>
      </c>
      <c r="W1006">
        <v>0</v>
      </c>
      <c r="X1006">
        <v>0</v>
      </c>
      <c r="Y1006">
        <v>1315</v>
      </c>
      <c r="Z1006">
        <v>361</v>
      </c>
      <c r="AA1006" s="475" t="s">
        <v>24</v>
      </c>
    </row>
    <row r="1007" spans="1:27" ht="15" hidden="1">
      <c r="A1007" s="24">
        <f t="shared" si="99"/>
        <v>2006</v>
      </c>
      <c r="B1007" s="24">
        <f t="shared" si="99"/>
        <v>2006</v>
      </c>
      <c r="C1007" s="476" t="s">
        <v>1401</v>
      </c>
      <c r="D1007" t="s">
        <v>152</v>
      </c>
      <c r="E1007" s="477">
        <v>3</v>
      </c>
      <c r="F1007" s="471">
        <v>2.7</v>
      </c>
      <c r="G1007">
        <v>1</v>
      </c>
      <c r="H1007">
        <v>1</v>
      </c>
      <c r="I1007" s="472">
        <f t="shared" si="91"/>
        <v>0.47039166666666665</v>
      </c>
      <c r="J1007" s="473">
        <v>0.36503333333333332</v>
      </c>
      <c r="K1007" s="473">
        <v>0.44336666666666663</v>
      </c>
      <c r="L1007" s="473">
        <v>0.58906666666666663</v>
      </c>
      <c r="M1007" s="473">
        <v>0.48410000000000003</v>
      </c>
      <c r="N1007" s="472">
        <f t="shared" si="92"/>
        <v>0.47039166666666665</v>
      </c>
      <c r="O1007" s="473">
        <v>0.36503333333333332</v>
      </c>
      <c r="P1007" s="473">
        <v>0.44336666666666663</v>
      </c>
      <c r="Q1007" s="473">
        <v>0.58906666666666663</v>
      </c>
      <c r="R1007" s="473">
        <v>0.48410000000000003</v>
      </c>
      <c r="S1007" s="153">
        <v>0.01</v>
      </c>
      <c r="T1007" s="153">
        <v>0.02</v>
      </c>
      <c r="U1007" s="478">
        <v>2016</v>
      </c>
      <c r="V1007" s="24">
        <f t="shared" si="98"/>
        <v>2036</v>
      </c>
      <c r="W1007">
        <v>0</v>
      </c>
      <c r="X1007">
        <v>0</v>
      </c>
      <c r="Y1007">
        <v>1315</v>
      </c>
      <c r="Z1007">
        <v>361</v>
      </c>
      <c r="AA1007" s="475" t="s">
        <v>24</v>
      </c>
    </row>
    <row r="1008" spans="1:27" ht="15" hidden="1">
      <c r="A1008" s="24">
        <f t="shared" si="99"/>
        <v>2007</v>
      </c>
      <c r="B1008" s="24">
        <f t="shared" si="99"/>
        <v>2007</v>
      </c>
      <c r="C1008" s="476" t="s">
        <v>1402</v>
      </c>
      <c r="D1008" t="s">
        <v>152</v>
      </c>
      <c r="E1008" s="477">
        <v>3</v>
      </c>
      <c r="F1008" s="471">
        <v>2.7</v>
      </c>
      <c r="G1008">
        <v>1</v>
      </c>
      <c r="H1008">
        <v>1</v>
      </c>
      <c r="I1008" s="472">
        <f t="shared" si="91"/>
        <v>0.47039166666666665</v>
      </c>
      <c r="J1008" s="473">
        <v>0.36503333333333332</v>
      </c>
      <c r="K1008" s="473">
        <v>0.44336666666666663</v>
      </c>
      <c r="L1008" s="473">
        <v>0.58906666666666663</v>
      </c>
      <c r="M1008" s="473">
        <v>0.48410000000000003</v>
      </c>
      <c r="N1008" s="472">
        <f t="shared" si="92"/>
        <v>0.47039166666666665</v>
      </c>
      <c r="O1008" s="473">
        <v>0.36503333333333332</v>
      </c>
      <c r="P1008" s="473">
        <v>0.44336666666666663</v>
      </c>
      <c r="Q1008" s="473">
        <v>0.58906666666666663</v>
      </c>
      <c r="R1008" s="473">
        <v>0.48410000000000003</v>
      </c>
      <c r="S1008" s="153">
        <v>0.01</v>
      </c>
      <c r="T1008" s="153">
        <v>0.02</v>
      </c>
      <c r="U1008" s="478">
        <v>2016</v>
      </c>
      <c r="V1008" s="24">
        <f t="shared" si="98"/>
        <v>2036</v>
      </c>
      <c r="W1008">
        <v>0</v>
      </c>
      <c r="X1008">
        <v>0</v>
      </c>
      <c r="Y1008">
        <v>1315</v>
      </c>
      <c r="Z1008">
        <v>361</v>
      </c>
      <c r="AA1008" s="475" t="s">
        <v>24</v>
      </c>
    </row>
    <row r="1009" spans="1:27" ht="15" hidden="1">
      <c r="A1009" s="24">
        <f t="shared" si="99"/>
        <v>2008</v>
      </c>
      <c r="B1009" s="24">
        <f t="shared" si="99"/>
        <v>2008</v>
      </c>
      <c r="C1009" s="476" t="s">
        <v>1403</v>
      </c>
      <c r="D1009" t="s">
        <v>152</v>
      </c>
      <c r="E1009" s="477">
        <v>3</v>
      </c>
      <c r="F1009" s="471">
        <v>2.7</v>
      </c>
      <c r="G1009">
        <v>1</v>
      </c>
      <c r="H1009">
        <v>1</v>
      </c>
      <c r="I1009" s="472">
        <f t="shared" si="91"/>
        <v>0.47039166666666665</v>
      </c>
      <c r="J1009" s="473">
        <v>0.36503333333333332</v>
      </c>
      <c r="K1009" s="473">
        <v>0.44336666666666663</v>
      </c>
      <c r="L1009" s="473">
        <v>0.58906666666666663</v>
      </c>
      <c r="M1009" s="473">
        <v>0.48410000000000003</v>
      </c>
      <c r="N1009" s="472">
        <f t="shared" si="92"/>
        <v>0.47039166666666665</v>
      </c>
      <c r="O1009" s="473">
        <v>0.36503333333333332</v>
      </c>
      <c r="P1009" s="473">
        <v>0.44336666666666663</v>
      </c>
      <c r="Q1009" s="473">
        <v>0.58906666666666663</v>
      </c>
      <c r="R1009" s="473">
        <v>0.48410000000000003</v>
      </c>
      <c r="S1009" s="153">
        <v>0.01</v>
      </c>
      <c r="T1009" s="153">
        <v>0.02</v>
      </c>
      <c r="U1009" s="478">
        <v>2016</v>
      </c>
      <c r="V1009" s="24">
        <f t="shared" si="98"/>
        <v>2036</v>
      </c>
      <c r="W1009">
        <v>0</v>
      </c>
      <c r="X1009">
        <v>0</v>
      </c>
      <c r="Y1009">
        <v>1315</v>
      </c>
      <c r="Z1009">
        <v>361</v>
      </c>
      <c r="AA1009" s="475" t="s">
        <v>24</v>
      </c>
    </row>
    <row r="1010" spans="1:27" ht="15" hidden="1">
      <c r="A1010" s="24">
        <f t="shared" si="99"/>
        <v>2009</v>
      </c>
      <c r="B1010" s="24">
        <f t="shared" si="99"/>
        <v>2009</v>
      </c>
      <c r="C1010" s="476" t="s">
        <v>1404</v>
      </c>
      <c r="D1010" t="s">
        <v>152</v>
      </c>
      <c r="E1010" s="477">
        <v>3</v>
      </c>
      <c r="F1010" s="471">
        <v>2.7</v>
      </c>
      <c r="G1010">
        <v>1</v>
      </c>
      <c r="H1010">
        <v>1</v>
      </c>
      <c r="I1010" s="472">
        <f t="shared" si="91"/>
        <v>0.47039166666666665</v>
      </c>
      <c r="J1010" s="473">
        <v>0.36503333333333332</v>
      </c>
      <c r="K1010" s="473">
        <v>0.44336666666666663</v>
      </c>
      <c r="L1010" s="473">
        <v>0.58906666666666663</v>
      </c>
      <c r="M1010" s="473">
        <v>0.48410000000000003</v>
      </c>
      <c r="N1010" s="472">
        <f t="shared" si="92"/>
        <v>0.47039166666666665</v>
      </c>
      <c r="O1010" s="473">
        <v>0.36503333333333332</v>
      </c>
      <c r="P1010" s="473">
        <v>0.44336666666666663</v>
      </c>
      <c r="Q1010" s="473">
        <v>0.58906666666666663</v>
      </c>
      <c r="R1010" s="473">
        <v>0.48410000000000003</v>
      </c>
      <c r="S1010" s="153">
        <v>0.01</v>
      </c>
      <c r="T1010" s="153">
        <v>0.02</v>
      </c>
      <c r="U1010" s="478">
        <v>2016</v>
      </c>
      <c r="V1010" s="24">
        <f t="shared" si="98"/>
        <v>2036</v>
      </c>
      <c r="W1010">
        <v>0</v>
      </c>
      <c r="X1010">
        <v>0</v>
      </c>
      <c r="Y1010">
        <v>1315</v>
      </c>
      <c r="Z1010">
        <v>361</v>
      </c>
      <c r="AA1010" s="475" t="s">
        <v>24</v>
      </c>
    </row>
    <row r="1011" spans="1:27" ht="15" hidden="1">
      <c r="A1011" s="24">
        <f t="shared" si="99"/>
        <v>2010</v>
      </c>
      <c r="B1011" s="24">
        <f t="shared" si="99"/>
        <v>2010</v>
      </c>
      <c r="C1011" s="476" t="s">
        <v>1405</v>
      </c>
      <c r="D1011" t="s">
        <v>152</v>
      </c>
      <c r="E1011" s="477">
        <v>3</v>
      </c>
      <c r="F1011" s="471">
        <v>29.4</v>
      </c>
      <c r="G1011">
        <v>1</v>
      </c>
      <c r="H1011">
        <v>1</v>
      </c>
      <c r="I1011" s="472">
        <f t="shared" si="91"/>
        <v>0.47039166666666665</v>
      </c>
      <c r="J1011" s="473">
        <v>0.36503333333333332</v>
      </c>
      <c r="K1011" s="473">
        <v>0.44336666666666663</v>
      </c>
      <c r="L1011" s="473">
        <v>0.58906666666666663</v>
      </c>
      <c r="M1011" s="473">
        <v>0.48410000000000003</v>
      </c>
      <c r="N1011" s="472">
        <f t="shared" si="92"/>
        <v>0.47039166666666665</v>
      </c>
      <c r="O1011" s="473">
        <v>0.36503333333333332</v>
      </c>
      <c r="P1011" s="473">
        <v>0.44336666666666663</v>
      </c>
      <c r="Q1011" s="473">
        <v>0.58906666666666663</v>
      </c>
      <c r="R1011" s="473">
        <v>0.48410000000000003</v>
      </c>
      <c r="S1011" s="153">
        <v>0.01</v>
      </c>
      <c r="T1011" s="153">
        <v>0.02</v>
      </c>
      <c r="U1011" s="478">
        <v>2018</v>
      </c>
      <c r="V1011" s="24">
        <f t="shared" si="98"/>
        <v>2038</v>
      </c>
      <c r="W1011">
        <v>0</v>
      </c>
      <c r="X1011">
        <v>0</v>
      </c>
      <c r="Y1011">
        <v>1315</v>
      </c>
      <c r="Z1011">
        <v>361</v>
      </c>
      <c r="AA1011" s="475" t="s">
        <v>24</v>
      </c>
    </row>
    <row r="1012" spans="1:27" ht="15" hidden="1">
      <c r="A1012" s="24">
        <f t="shared" si="99"/>
        <v>2011</v>
      </c>
      <c r="B1012" s="24">
        <f t="shared" si="99"/>
        <v>2011</v>
      </c>
      <c r="C1012" s="476" t="s">
        <v>1406</v>
      </c>
      <c r="D1012" t="s">
        <v>152</v>
      </c>
      <c r="E1012" s="477">
        <v>3</v>
      </c>
      <c r="F1012" s="471">
        <v>4</v>
      </c>
      <c r="G1012">
        <v>1</v>
      </c>
      <c r="H1012">
        <v>1</v>
      </c>
      <c r="I1012" s="472">
        <f t="shared" si="91"/>
        <v>0.47039166666666665</v>
      </c>
      <c r="J1012" s="473">
        <v>0.36503333333333332</v>
      </c>
      <c r="K1012" s="473">
        <v>0.44336666666666663</v>
      </c>
      <c r="L1012" s="473">
        <v>0.58906666666666663</v>
      </c>
      <c r="M1012" s="473">
        <v>0.48410000000000003</v>
      </c>
      <c r="N1012" s="472">
        <f t="shared" si="92"/>
        <v>0.47039166666666665</v>
      </c>
      <c r="O1012" s="473">
        <v>0.36503333333333332</v>
      </c>
      <c r="P1012" s="473">
        <v>0.44336666666666663</v>
      </c>
      <c r="Q1012" s="473">
        <v>0.58906666666666663</v>
      </c>
      <c r="R1012" s="473">
        <v>0.48410000000000003</v>
      </c>
      <c r="S1012" s="153">
        <v>0.01</v>
      </c>
      <c r="T1012" s="153">
        <v>0.02</v>
      </c>
      <c r="U1012" s="478">
        <v>2018</v>
      </c>
      <c r="V1012" s="24">
        <f t="shared" si="98"/>
        <v>2038</v>
      </c>
      <c r="W1012">
        <v>0</v>
      </c>
      <c r="X1012">
        <v>0</v>
      </c>
      <c r="Y1012">
        <v>1315</v>
      </c>
      <c r="Z1012">
        <v>361</v>
      </c>
      <c r="AA1012" s="475" t="s">
        <v>24</v>
      </c>
    </row>
    <row r="1013" spans="1:27" ht="15" hidden="1">
      <c r="A1013" s="24">
        <f t="shared" si="99"/>
        <v>2012</v>
      </c>
      <c r="B1013" s="24">
        <f t="shared" si="99"/>
        <v>2012</v>
      </c>
      <c r="C1013" s="476" t="s">
        <v>1407</v>
      </c>
      <c r="D1013" t="s">
        <v>152</v>
      </c>
      <c r="E1013" s="477">
        <v>3</v>
      </c>
      <c r="F1013" s="471">
        <v>4</v>
      </c>
      <c r="G1013">
        <v>1</v>
      </c>
      <c r="H1013">
        <v>1</v>
      </c>
      <c r="I1013" s="472">
        <f t="shared" si="91"/>
        <v>0.47039166666666665</v>
      </c>
      <c r="J1013" s="473">
        <v>0.36503333333333332</v>
      </c>
      <c r="K1013" s="473">
        <v>0.44336666666666663</v>
      </c>
      <c r="L1013" s="473">
        <v>0.58906666666666663</v>
      </c>
      <c r="M1013" s="473">
        <v>0.48410000000000003</v>
      </c>
      <c r="N1013" s="472">
        <f t="shared" si="92"/>
        <v>0.47039166666666665</v>
      </c>
      <c r="O1013" s="473">
        <v>0.36503333333333332</v>
      </c>
      <c r="P1013" s="473">
        <v>0.44336666666666663</v>
      </c>
      <c r="Q1013" s="473">
        <v>0.58906666666666663</v>
      </c>
      <c r="R1013" s="473">
        <v>0.48410000000000003</v>
      </c>
      <c r="S1013" s="153">
        <v>0.01</v>
      </c>
      <c r="T1013" s="153">
        <v>0.02</v>
      </c>
      <c r="U1013" s="478">
        <v>2018</v>
      </c>
      <c r="V1013" s="24">
        <f t="shared" si="98"/>
        <v>2038</v>
      </c>
      <c r="W1013">
        <v>0</v>
      </c>
      <c r="X1013">
        <v>0</v>
      </c>
      <c r="Y1013">
        <v>1315</v>
      </c>
      <c r="Z1013">
        <v>361</v>
      </c>
      <c r="AA1013" s="475" t="s">
        <v>24</v>
      </c>
    </row>
    <row r="1014" spans="1:27" ht="15" hidden="1">
      <c r="A1014" s="24">
        <f t="shared" si="99"/>
        <v>2013</v>
      </c>
      <c r="B1014" s="24">
        <f t="shared" si="99"/>
        <v>2013</v>
      </c>
      <c r="C1014" s="476" t="s">
        <v>1408</v>
      </c>
      <c r="D1014" t="s">
        <v>152</v>
      </c>
      <c r="E1014" s="477">
        <v>3</v>
      </c>
      <c r="F1014" s="471">
        <v>4</v>
      </c>
      <c r="G1014">
        <v>1</v>
      </c>
      <c r="H1014">
        <v>1</v>
      </c>
      <c r="I1014" s="472">
        <f t="shared" si="91"/>
        <v>0.47039166666666665</v>
      </c>
      <c r="J1014" s="473">
        <v>0.36503333333333332</v>
      </c>
      <c r="K1014" s="473">
        <v>0.44336666666666663</v>
      </c>
      <c r="L1014" s="473">
        <v>0.58906666666666663</v>
      </c>
      <c r="M1014" s="473">
        <v>0.48410000000000003</v>
      </c>
      <c r="N1014" s="472">
        <f t="shared" si="92"/>
        <v>0.47039166666666665</v>
      </c>
      <c r="O1014" s="473">
        <v>0.36503333333333332</v>
      </c>
      <c r="P1014" s="473">
        <v>0.44336666666666663</v>
      </c>
      <c r="Q1014" s="473">
        <v>0.58906666666666663</v>
      </c>
      <c r="R1014" s="473">
        <v>0.48410000000000003</v>
      </c>
      <c r="S1014" s="153">
        <v>0.01</v>
      </c>
      <c r="T1014" s="153">
        <v>0.02</v>
      </c>
      <c r="U1014" s="478">
        <v>2018</v>
      </c>
      <c r="V1014" s="24">
        <f t="shared" si="98"/>
        <v>2038</v>
      </c>
      <c r="W1014">
        <v>0</v>
      </c>
      <c r="X1014">
        <v>0</v>
      </c>
      <c r="Y1014">
        <v>1315</v>
      </c>
      <c r="Z1014">
        <v>361</v>
      </c>
      <c r="AA1014" s="475" t="s">
        <v>24</v>
      </c>
    </row>
    <row r="1015" spans="1:27" ht="15" hidden="1">
      <c r="A1015" s="24">
        <f t="shared" si="99"/>
        <v>2014</v>
      </c>
      <c r="B1015" s="24">
        <f t="shared" si="99"/>
        <v>2014</v>
      </c>
      <c r="C1015" s="476" t="s">
        <v>1409</v>
      </c>
      <c r="D1015" t="s">
        <v>152</v>
      </c>
      <c r="E1015" s="477">
        <v>3</v>
      </c>
      <c r="F1015" s="471">
        <v>6</v>
      </c>
      <c r="G1015">
        <v>1</v>
      </c>
      <c r="H1015">
        <v>1</v>
      </c>
      <c r="I1015" s="472">
        <f t="shared" si="91"/>
        <v>0.47039166666666665</v>
      </c>
      <c r="J1015" s="473">
        <v>0.36503333333333332</v>
      </c>
      <c r="K1015" s="473">
        <v>0.44336666666666663</v>
      </c>
      <c r="L1015" s="473">
        <v>0.58906666666666663</v>
      </c>
      <c r="M1015" s="473">
        <v>0.48410000000000003</v>
      </c>
      <c r="N1015" s="472">
        <f t="shared" si="92"/>
        <v>0.47039166666666665</v>
      </c>
      <c r="O1015" s="473">
        <v>0.36503333333333332</v>
      </c>
      <c r="P1015" s="473">
        <v>0.44336666666666663</v>
      </c>
      <c r="Q1015" s="473">
        <v>0.58906666666666663</v>
      </c>
      <c r="R1015" s="473">
        <v>0.48410000000000003</v>
      </c>
      <c r="S1015" s="153">
        <v>0.01</v>
      </c>
      <c r="T1015" s="153">
        <v>0.02</v>
      </c>
      <c r="U1015" s="478">
        <v>2018</v>
      </c>
      <c r="V1015" s="24">
        <f t="shared" si="98"/>
        <v>2038</v>
      </c>
      <c r="W1015">
        <v>0</v>
      </c>
      <c r="X1015">
        <v>0</v>
      </c>
      <c r="Y1015">
        <v>1315</v>
      </c>
      <c r="Z1015">
        <v>361</v>
      </c>
      <c r="AA1015" s="475" t="s">
        <v>24</v>
      </c>
    </row>
    <row r="1016" spans="1:27" ht="15" hidden="1">
      <c r="A1016" s="24">
        <f t="shared" si="99"/>
        <v>2015</v>
      </c>
      <c r="B1016" s="24">
        <f t="shared" si="99"/>
        <v>2015</v>
      </c>
      <c r="C1016" s="476" t="s">
        <v>1410</v>
      </c>
      <c r="D1016" t="s">
        <v>152</v>
      </c>
      <c r="E1016" s="477">
        <v>3</v>
      </c>
      <c r="F1016" s="471">
        <v>2</v>
      </c>
      <c r="G1016">
        <v>1</v>
      </c>
      <c r="H1016">
        <v>1</v>
      </c>
      <c r="I1016" s="472">
        <f t="shared" si="91"/>
        <v>0.47039166666666665</v>
      </c>
      <c r="J1016" s="473">
        <v>0.36503333333333332</v>
      </c>
      <c r="K1016" s="473">
        <v>0.44336666666666663</v>
      </c>
      <c r="L1016" s="473">
        <v>0.58906666666666663</v>
      </c>
      <c r="M1016" s="473">
        <v>0.48410000000000003</v>
      </c>
      <c r="N1016" s="472">
        <f t="shared" si="92"/>
        <v>0.47039166666666665</v>
      </c>
      <c r="O1016" s="473">
        <v>0.36503333333333332</v>
      </c>
      <c r="P1016" s="473">
        <v>0.44336666666666663</v>
      </c>
      <c r="Q1016" s="473">
        <v>0.58906666666666663</v>
      </c>
      <c r="R1016" s="473">
        <v>0.48410000000000003</v>
      </c>
      <c r="S1016" s="153">
        <v>0.01</v>
      </c>
      <c r="T1016" s="153">
        <v>0.02</v>
      </c>
      <c r="U1016" s="478">
        <v>2018</v>
      </c>
      <c r="V1016" s="24">
        <f t="shared" si="98"/>
        <v>2038</v>
      </c>
      <c r="W1016">
        <v>0</v>
      </c>
      <c r="X1016">
        <v>0</v>
      </c>
      <c r="Y1016">
        <v>1315</v>
      </c>
      <c r="Z1016">
        <v>361</v>
      </c>
      <c r="AA1016" s="475" t="s">
        <v>24</v>
      </c>
    </row>
    <row r="1017" spans="1:27" ht="15" hidden="1">
      <c r="A1017" s="24">
        <f t="shared" si="99"/>
        <v>2016</v>
      </c>
      <c r="B1017" s="24">
        <f t="shared" si="99"/>
        <v>2016</v>
      </c>
      <c r="C1017" s="476" t="s">
        <v>1411</v>
      </c>
      <c r="D1017" t="s">
        <v>152</v>
      </c>
      <c r="E1017" s="477">
        <v>3</v>
      </c>
      <c r="F1017" s="471">
        <v>27.3</v>
      </c>
      <c r="G1017">
        <v>1</v>
      </c>
      <c r="H1017">
        <v>1</v>
      </c>
      <c r="I1017" s="472">
        <f t="shared" si="91"/>
        <v>0.47039166666666665</v>
      </c>
      <c r="J1017" s="473">
        <v>0.36503333333333332</v>
      </c>
      <c r="K1017" s="473">
        <v>0.44336666666666663</v>
      </c>
      <c r="L1017" s="473">
        <v>0.58906666666666663</v>
      </c>
      <c r="M1017" s="473">
        <v>0.48410000000000003</v>
      </c>
      <c r="N1017" s="472">
        <f t="shared" si="92"/>
        <v>0.47039166666666665</v>
      </c>
      <c r="O1017" s="473">
        <v>0.36503333333333332</v>
      </c>
      <c r="P1017" s="473">
        <v>0.44336666666666663</v>
      </c>
      <c r="Q1017" s="473">
        <v>0.58906666666666663</v>
      </c>
      <c r="R1017" s="473">
        <v>0.48410000000000003</v>
      </c>
      <c r="S1017" s="153">
        <v>0.01</v>
      </c>
      <c r="T1017" s="153">
        <v>0.02</v>
      </c>
      <c r="U1017" s="478">
        <v>2018</v>
      </c>
      <c r="V1017" s="24">
        <f t="shared" si="98"/>
        <v>2038</v>
      </c>
      <c r="W1017">
        <v>0</v>
      </c>
      <c r="X1017">
        <v>0</v>
      </c>
      <c r="Y1017">
        <v>1315</v>
      </c>
      <c r="Z1017">
        <v>361</v>
      </c>
      <c r="AA1017" s="475" t="s">
        <v>24</v>
      </c>
    </row>
    <row r="1018" spans="1:27" ht="15" hidden="1">
      <c r="A1018" s="24">
        <f t="shared" si="99"/>
        <v>2017</v>
      </c>
      <c r="B1018" s="24">
        <f t="shared" si="99"/>
        <v>2017</v>
      </c>
      <c r="C1018" s="476" t="s">
        <v>1412</v>
      </c>
      <c r="D1018" t="s">
        <v>152</v>
      </c>
      <c r="E1018" s="477">
        <v>3</v>
      </c>
      <c r="F1018" s="471">
        <v>29.7</v>
      </c>
      <c r="G1018">
        <v>1</v>
      </c>
      <c r="H1018">
        <v>1</v>
      </c>
      <c r="I1018" s="472">
        <f t="shared" si="91"/>
        <v>0.47039166666666665</v>
      </c>
      <c r="J1018" s="473">
        <v>0.36503333333333332</v>
      </c>
      <c r="K1018" s="473">
        <v>0.44336666666666663</v>
      </c>
      <c r="L1018" s="473">
        <v>0.58906666666666663</v>
      </c>
      <c r="M1018" s="473">
        <v>0.48410000000000003</v>
      </c>
      <c r="N1018" s="472">
        <f t="shared" si="92"/>
        <v>0.47039166666666665</v>
      </c>
      <c r="O1018" s="473">
        <v>0.36503333333333332</v>
      </c>
      <c r="P1018" s="473">
        <v>0.44336666666666663</v>
      </c>
      <c r="Q1018" s="473">
        <v>0.58906666666666663</v>
      </c>
      <c r="R1018" s="473">
        <v>0.48410000000000003</v>
      </c>
      <c r="S1018" s="153">
        <v>0.01</v>
      </c>
      <c r="T1018" s="153">
        <v>0.02</v>
      </c>
      <c r="U1018" s="478">
        <v>2018</v>
      </c>
      <c r="V1018" s="24">
        <f t="shared" si="98"/>
        <v>2038</v>
      </c>
      <c r="W1018">
        <v>0</v>
      </c>
      <c r="X1018">
        <v>0</v>
      </c>
      <c r="Y1018">
        <v>1315</v>
      </c>
      <c r="Z1018">
        <v>361</v>
      </c>
      <c r="AA1018" s="475" t="s">
        <v>24</v>
      </c>
    </row>
    <row r="1019" spans="1:27" ht="15" hidden="1">
      <c r="A1019" s="24">
        <f t="shared" si="99"/>
        <v>2018</v>
      </c>
      <c r="B1019" s="24">
        <f t="shared" si="99"/>
        <v>2018</v>
      </c>
      <c r="C1019" s="476" t="s">
        <v>1413</v>
      </c>
      <c r="D1019" t="s">
        <v>152</v>
      </c>
      <c r="E1019" s="477">
        <v>3</v>
      </c>
      <c r="F1019" s="471">
        <v>30</v>
      </c>
      <c r="G1019">
        <v>1</v>
      </c>
      <c r="H1019">
        <v>1</v>
      </c>
      <c r="I1019" s="472">
        <f t="shared" si="91"/>
        <v>0.47039166666666665</v>
      </c>
      <c r="J1019" s="473">
        <v>0.36503333333333332</v>
      </c>
      <c r="K1019" s="473">
        <v>0.44336666666666663</v>
      </c>
      <c r="L1019" s="473">
        <v>0.58906666666666663</v>
      </c>
      <c r="M1019" s="473">
        <v>0.48410000000000003</v>
      </c>
      <c r="N1019" s="472">
        <f t="shared" si="92"/>
        <v>0.47039166666666665</v>
      </c>
      <c r="O1019" s="473">
        <v>0.36503333333333332</v>
      </c>
      <c r="P1019" s="473">
        <v>0.44336666666666663</v>
      </c>
      <c r="Q1019" s="473">
        <v>0.58906666666666663</v>
      </c>
      <c r="R1019" s="473">
        <v>0.48410000000000003</v>
      </c>
      <c r="S1019" s="153">
        <v>0.01</v>
      </c>
      <c r="T1019" s="153">
        <v>0.02</v>
      </c>
      <c r="U1019" s="478">
        <v>2018</v>
      </c>
      <c r="V1019" s="24">
        <f t="shared" si="98"/>
        <v>2038</v>
      </c>
      <c r="W1019">
        <v>0</v>
      </c>
      <c r="X1019">
        <v>0</v>
      </c>
      <c r="Y1019">
        <v>1315</v>
      </c>
      <c r="Z1019">
        <v>361</v>
      </c>
      <c r="AA1019" s="475" t="s">
        <v>24</v>
      </c>
    </row>
    <row r="1020" spans="1:27" ht="15" hidden="1">
      <c r="A1020" s="24">
        <f t="shared" si="99"/>
        <v>2019</v>
      </c>
      <c r="B1020" s="24">
        <f t="shared" si="99"/>
        <v>2019</v>
      </c>
      <c r="C1020" s="476" t="s">
        <v>1414</v>
      </c>
      <c r="D1020" t="s">
        <v>152</v>
      </c>
      <c r="E1020" s="477">
        <v>3</v>
      </c>
      <c r="F1020" s="471">
        <v>24</v>
      </c>
      <c r="G1020">
        <v>1</v>
      </c>
      <c r="H1020">
        <v>1</v>
      </c>
      <c r="I1020" s="472">
        <f t="shared" si="91"/>
        <v>0.47039166666666665</v>
      </c>
      <c r="J1020" s="473">
        <v>0.36503333333333332</v>
      </c>
      <c r="K1020" s="473">
        <v>0.44336666666666663</v>
      </c>
      <c r="L1020" s="473">
        <v>0.58906666666666663</v>
      </c>
      <c r="M1020" s="473">
        <v>0.48410000000000003</v>
      </c>
      <c r="N1020" s="472">
        <f t="shared" si="92"/>
        <v>0.47039166666666665</v>
      </c>
      <c r="O1020" s="473">
        <v>0.36503333333333332</v>
      </c>
      <c r="P1020" s="473">
        <v>0.44336666666666663</v>
      </c>
      <c r="Q1020" s="473">
        <v>0.58906666666666663</v>
      </c>
      <c r="R1020" s="473">
        <v>0.48410000000000003</v>
      </c>
      <c r="S1020" s="153">
        <v>0.01</v>
      </c>
      <c r="T1020" s="153">
        <v>0.02</v>
      </c>
      <c r="U1020" s="478">
        <v>2018</v>
      </c>
      <c r="V1020" s="24">
        <f t="shared" si="98"/>
        <v>2038</v>
      </c>
      <c r="W1020">
        <v>0</v>
      </c>
      <c r="X1020">
        <v>0</v>
      </c>
      <c r="Y1020">
        <v>1315</v>
      </c>
      <c r="Z1020">
        <v>361</v>
      </c>
      <c r="AA1020" s="475" t="s">
        <v>24</v>
      </c>
    </row>
    <row r="1021" spans="1:27" ht="15" hidden="1">
      <c r="A1021" s="24">
        <f t="shared" si="99"/>
        <v>2020</v>
      </c>
      <c r="B1021" s="24">
        <f t="shared" si="99"/>
        <v>2020</v>
      </c>
      <c r="C1021" s="476" t="s">
        <v>1415</v>
      </c>
      <c r="D1021" t="s">
        <v>152</v>
      </c>
      <c r="E1021" s="477">
        <v>3</v>
      </c>
      <c r="F1021" s="471">
        <v>29.7</v>
      </c>
      <c r="G1021">
        <v>1</v>
      </c>
      <c r="H1021">
        <v>1</v>
      </c>
      <c r="I1021" s="472">
        <f t="shared" si="91"/>
        <v>0.47039166666666665</v>
      </c>
      <c r="J1021" s="473">
        <v>0.36503333333333332</v>
      </c>
      <c r="K1021" s="473">
        <v>0.44336666666666663</v>
      </c>
      <c r="L1021" s="473">
        <v>0.58906666666666663</v>
      </c>
      <c r="M1021" s="473">
        <v>0.48410000000000003</v>
      </c>
      <c r="N1021" s="472">
        <f t="shared" si="92"/>
        <v>0.47039166666666665</v>
      </c>
      <c r="O1021" s="473">
        <v>0.36503333333333332</v>
      </c>
      <c r="P1021" s="473">
        <v>0.44336666666666663</v>
      </c>
      <c r="Q1021" s="473">
        <v>0.58906666666666663</v>
      </c>
      <c r="R1021" s="473">
        <v>0.48410000000000003</v>
      </c>
      <c r="S1021" s="153">
        <v>0.01</v>
      </c>
      <c r="T1021" s="153">
        <v>0.02</v>
      </c>
      <c r="U1021" s="478">
        <v>2018</v>
      </c>
      <c r="V1021" s="24">
        <f t="shared" si="98"/>
        <v>2038</v>
      </c>
      <c r="W1021">
        <v>0</v>
      </c>
      <c r="X1021">
        <v>0</v>
      </c>
      <c r="Y1021">
        <v>1315</v>
      </c>
      <c r="Z1021">
        <v>361</v>
      </c>
      <c r="AA1021" s="475" t="s">
        <v>24</v>
      </c>
    </row>
    <row r="1022" spans="1:27" ht="15" hidden="1">
      <c r="A1022" s="24">
        <f t="shared" si="99"/>
        <v>2021</v>
      </c>
      <c r="B1022" s="24">
        <f t="shared" si="99"/>
        <v>2021</v>
      </c>
      <c r="C1022" s="476" t="s">
        <v>1416</v>
      </c>
      <c r="D1022" t="s">
        <v>152</v>
      </c>
      <c r="E1022" s="477">
        <v>3</v>
      </c>
      <c r="F1022" s="471">
        <v>29.7</v>
      </c>
      <c r="G1022">
        <v>1</v>
      </c>
      <c r="H1022">
        <v>1</v>
      </c>
      <c r="I1022" s="472">
        <f t="shared" si="91"/>
        <v>0.47039166666666665</v>
      </c>
      <c r="J1022" s="473">
        <v>0.36503333333333332</v>
      </c>
      <c r="K1022" s="473">
        <v>0.44336666666666663</v>
      </c>
      <c r="L1022" s="473">
        <v>0.58906666666666663</v>
      </c>
      <c r="M1022" s="473">
        <v>0.48410000000000003</v>
      </c>
      <c r="N1022" s="472">
        <f t="shared" si="92"/>
        <v>0.47039166666666665</v>
      </c>
      <c r="O1022" s="473">
        <v>0.36503333333333332</v>
      </c>
      <c r="P1022" s="473">
        <v>0.44336666666666663</v>
      </c>
      <c r="Q1022" s="473">
        <v>0.58906666666666663</v>
      </c>
      <c r="R1022" s="473">
        <v>0.48410000000000003</v>
      </c>
      <c r="S1022" s="153">
        <v>0.01</v>
      </c>
      <c r="T1022" s="153">
        <v>0.02</v>
      </c>
      <c r="U1022" s="478">
        <v>2018</v>
      </c>
      <c r="V1022" s="24">
        <f t="shared" si="98"/>
        <v>2038</v>
      </c>
      <c r="W1022">
        <v>0</v>
      </c>
      <c r="X1022">
        <v>0</v>
      </c>
      <c r="Y1022">
        <v>1315</v>
      </c>
      <c r="Z1022">
        <v>361</v>
      </c>
      <c r="AA1022" s="475" t="s">
        <v>24</v>
      </c>
    </row>
    <row r="1023" spans="1:27" ht="15" hidden="1">
      <c r="A1023" s="24">
        <f t="shared" si="99"/>
        <v>2022</v>
      </c>
      <c r="B1023" s="24">
        <f t="shared" si="99"/>
        <v>2022</v>
      </c>
      <c r="C1023" s="476" t="s">
        <v>1417</v>
      </c>
      <c r="D1023" t="s">
        <v>152</v>
      </c>
      <c r="E1023" s="477">
        <v>3</v>
      </c>
      <c r="F1023" s="471">
        <v>27</v>
      </c>
      <c r="G1023">
        <v>1</v>
      </c>
      <c r="H1023">
        <v>1</v>
      </c>
      <c r="I1023" s="472">
        <f t="shared" si="91"/>
        <v>0.47039166666666665</v>
      </c>
      <c r="J1023" s="473">
        <v>0.36503333333333332</v>
      </c>
      <c r="K1023" s="473">
        <v>0.44336666666666663</v>
      </c>
      <c r="L1023" s="473">
        <v>0.58906666666666663</v>
      </c>
      <c r="M1023" s="473">
        <v>0.48410000000000003</v>
      </c>
      <c r="N1023" s="472">
        <f t="shared" si="92"/>
        <v>0.47039166666666665</v>
      </c>
      <c r="O1023" s="473">
        <v>0.36503333333333332</v>
      </c>
      <c r="P1023" s="473">
        <v>0.44336666666666663</v>
      </c>
      <c r="Q1023" s="473">
        <v>0.58906666666666663</v>
      </c>
      <c r="R1023" s="473">
        <v>0.48410000000000003</v>
      </c>
      <c r="S1023" s="153">
        <v>0.01</v>
      </c>
      <c r="T1023" s="153">
        <v>0.02</v>
      </c>
      <c r="U1023" s="478">
        <v>2018</v>
      </c>
      <c r="V1023" s="24">
        <f t="shared" si="98"/>
        <v>2038</v>
      </c>
      <c r="W1023">
        <v>0</v>
      </c>
      <c r="X1023">
        <v>0</v>
      </c>
      <c r="Y1023">
        <v>1315</v>
      </c>
      <c r="Z1023">
        <v>361</v>
      </c>
      <c r="AA1023" s="475" t="s">
        <v>24</v>
      </c>
    </row>
    <row r="1024" spans="1:27" ht="15" hidden="1">
      <c r="A1024" s="24">
        <f t="shared" si="99"/>
        <v>2023</v>
      </c>
      <c r="B1024" s="24">
        <f t="shared" si="99"/>
        <v>2023</v>
      </c>
      <c r="C1024" s="476" t="s">
        <v>1418</v>
      </c>
      <c r="D1024" t="s">
        <v>152</v>
      </c>
      <c r="E1024" s="477">
        <v>3</v>
      </c>
      <c r="F1024" s="471">
        <v>29.7</v>
      </c>
      <c r="G1024">
        <v>1</v>
      </c>
      <c r="H1024">
        <v>1</v>
      </c>
      <c r="I1024" s="472">
        <f t="shared" si="91"/>
        <v>0.47039166666666665</v>
      </c>
      <c r="J1024" s="473">
        <v>0.36503333333333332</v>
      </c>
      <c r="K1024" s="473">
        <v>0.44336666666666663</v>
      </c>
      <c r="L1024" s="473">
        <v>0.58906666666666663</v>
      </c>
      <c r="M1024" s="473">
        <v>0.48410000000000003</v>
      </c>
      <c r="N1024" s="472">
        <f t="shared" si="92"/>
        <v>0.47039166666666665</v>
      </c>
      <c r="O1024" s="473">
        <v>0.36503333333333332</v>
      </c>
      <c r="P1024" s="473">
        <v>0.44336666666666663</v>
      </c>
      <c r="Q1024" s="473">
        <v>0.58906666666666663</v>
      </c>
      <c r="R1024" s="473">
        <v>0.48410000000000003</v>
      </c>
      <c r="S1024" s="153">
        <v>0.01</v>
      </c>
      <c r="T1024" s="153">
        <v>0.02</v>
      </c>
      <c r="U1024" s="478">
        <v>2018</v>
      </c>
      <c r="V1024" s="24">
        <f t="shared" si="98"/>
        <v>2038</v>
      </c>
      <c r="W1024">
        <v>0</v>
      </c>
      <c r="X1024">
        <v>0</v>
      </c>
      <c r="Y1024">
        <v>1315</v>
      </c>
      <c r="Z1024">
        <v>361</v>
      </c>
      <c r="AA1024" s="475" t="s">
        <v>24</v>
      </c>
    </row>
    <row r="1025" spans="1:27" ht="15" hidden="1">
      <c r="A1025" s="24">
        <f t="shared" ref="A1025:B1040" si="100">1000+ROW()-1</f>
        <v>2024</v>
      </c>
      <c r="B1025" s="24">
        <f t="shared" si="100"/>
        <v>2024</v>
      </c>
      <c r="C1025" s="476" t="s">
        <v>1419</v>
      </c>
      <c r="D1025" t="s">
        <v>146</v>
      </c>
      <c r="E1025" s="477">
        <v>1</v>
      </c>
      <c r="F1025" s="471">
        <v>30</v>
      </c>
      <c r="G1025">
        <v>1</v>
      </c>
      <c r="H1025">
        <v>1</v>
      </c>
      <c r="I1025" s="472">
        <f t="shared" si="91"/>
        <v>0.25418333333333343</v>
      </c>
      <c r="J1025" s="33">
        <v>0.29116666666666663</v>
      </c>
      <c r="K1025" s="33">
        <f t="shared" ref="K1025:K1028" si="101">0.2844-0.07</f>
        <v>0.21439999999999998</v>
      </c>
      <c r="L1025" s="33">
        <f>0.291166666666667-0.07</f>
        <v>0.22116666666666701</v>
      </c>
      <c r="M1025" s="33">
        <v>0.28999999999999998</v>
      </c>
      <c r="N1025" s="472">
        <f t="shared" si="92"/>
        <v>0.25418333333333343</v>
      </c>
      <c r="O1025" s="33">
        <v>0.29116666666666663</v>
      </c>
      <c r="P1025" s="33">
        <f t="shared" ref="P1025:P1028" si="102">0.2844-0.07</f>
        <v>0.21439999999999998</v>
      </c>
      <c r="Q1025" s="33">
        <f>0.291166666666667-0.07</f>
        <v>0.22116666666666701</v>
      </c>
      <c r="R1025" s="33">
        <v>0.28999999999999998</v>
      </c>
      <c r="S1025" s="153">
        <v>0.04</v>
      </c>
      <c r="T1025" s="153">
        <v>0</v>
      </c>
      <c r="U1025" s="478">
        <v>2017</v>
      </c>
      <c r="V1025" s="24">
        <f t="shared" si="98"/>
        <v>2037</v>
      </c>
      <c r="W1025">
        <v>0</v>
      </c>
      <c r="X1025">
        <v>0</v>
      </c>
      <c r="Y1025">
        <v>1315</v>
      </c>
      <c r="Z1025">
        <v>347</v>
      </c>
      <c r="AA1025" s="475" t="s">
        <v>25</v>
      </c>
    </row>
    <row r="1026" spans="1:27" ht="15" hidden="1">
      <c r="A1026" s="24">
        <f t="shared" si="100"/>
        <v>2025</v>
      </c>
      <c r="B1026" s="24">
        <f t="shared" si="100"/>
        <v>2025</v>
      </c>
      <c r="C1026" s="476" t="s">
        <v>1420</v>
      </c>
      <c r="D1026" t="s">
        <v>146</v>
      </c>
      <c r="E1026" s="477">
        <v>1</v>
      </c>
      <c r="F1026" s="471">
        <v>30</v>
      </c>
      <c r="G1026">
        <v>1</v>
      </c>
      <c r="H1026">
        <v>1</v>
      </c>
      <c r="I1026" s="472">
        <f t="shared" ref="I1026:I1089" si="103">AVERAGE(J1026:M1026)</f>
        <v>0.25418333333333343</v>
      </c>
      <c r="J1026" s="33">
        <v>0.29116666666666663</v>
      </c>
      <c r="K1026" s="33">
        <f t="shared" si="101"/>
        <v>0.21439999999999998</v>
      </c>
      <c r="L1026" s="33">
        <f>0.291166666666667-0.07</f>
        <v>0.22116666666666701</v>
      </c>
      <c r="M1026" s="33">
        <v>0.28999999999999998</v>
      </c>
      <c r="N1026" s="472">
        <f t="shared" ref="N1026:N1089" si="104">AVERAGE(O1026:R1026)</f>
        <v>0.25418333333333343</v>
      </c>
      <c r="O1026" s="33">
        <v>0.29116666666666663</v>
      </c>
      <c r="P1026" s="33">
        <f t="shared" si="102"/>
        <v>0.21439999999999998</v>
      </c>
      <c r="Q1026" s="33">
        <f>0.291166666666667-0.07</f>
        <v>0.22116666666666701</v>
      </c>
      <c r="R1026" s="33">
        <v>0.28999999999999998</v>
      </c>
      <c r="S1026" s="153">
        <v>0.04</v>
      </c>
      <c r="T1026" s="153">
        <v>0</v>
      </c>
      <c r="U1026" s="478">
        <v>2017</v>
      </c>
      <c r="V1026" s="24">
        <f t="shared" si="98"/>
        <v>2037</v>
      </c>
      <c r="W1026">
        <v>0</v>
      </c>
      <c r="X1026">
        <v>0</v>
      </c>
      <c r="Y1026">
        <v>1315</v>
      </c>
      <c r="Z1026">
        <v>347</v>
      </c>
      <c r="AA1026" s="475" t="s">
        <v>25</v>
      </c>
    </row>
    <row r="1027" spans="1:27" ht="15" hidden="1">
      <c r="A1027" s="24">
        <f t="shared" si="100"/>
        <v>2026</v>
      </c>
      <c r="B1027" s="24">
        <f t="shared" si="100"/>
        <v>2026</v>
      </c>
      <c r="C1027" s="476" t="s">
        <v>1421</v>
      </c>
      <c r="D1027" t="s">
        <v>146</v>
      </c>
      <c r="E1027" s="477">
        <v>1</v>
      </c>
      <c r="F1027" s="471">
        <v>30</v>
      </c>
      <c r="G1027">
        <v>1</v>
      </c>
      <c r="H1027">
        <v>1</v>
      </c>
      <c r="I1027" s="472">
        <f t="shared" si="103"/>
        <v>0.25418333333333343</v>
      </c>
      <c r="J1027" s="33">
        <v>0.29116666666666663</v>
      </c>
      <c r="K1027" s="33">
        <f t="shared" si="101"/>
        <v>0.21439999999999998</v>
      </c>
      <c r="L1027" s="33">
        <f>0.291166666666667-0.07</f>
        <v>0.22116666666666701</v>
      </c>
      <c r="M1027" s="33">
        <v>0.28999999999999998</v>
      </c>
      <c r="N1027" s="472">
        <f t="shared" si="104"/>
        <v>0.25418333333333343</v>
      </c>
      <c r="O1027" s="33">
        <v>0.29116666666666663</v>
      </c>
      <c r="P1027" s="33">
        <f t="shared" si="102"/>
        <v>0.21439999999999998</v>
      </c>
      <c r="Q1027" s="33">
        <f>0.291166666666667-0.07</f>
        <v>0.22116666666666701</v>
      </c>
      <c r="R1027" s="33">
        <v>0.28999999999999998</v>
      </c>
      <c r="S1027" s="153">
        <v>0.04</v>
      </c>
      <c r="T1027" s="153">
        <v>0</v>
      </c>
      <c r="U1027" s="478">
        <v>2017</v>
      </c>
      <c r="V1027" s="24">
        <f t="shared" si="98"/>
        <v>2037</v>
      </c>
      <c r="W1027">
        <v>0</v>
      </c>
      <c r="X1027">
        <v>0</v>
      </c>
      <c r="Y1027">
        <v>1315</v>
      </c>
      <c r="Z1027">
        <v>347</v>
      </c>
      <c r="AA1027" s="475" t="s">
        <v>25</v>
      </c>
    </row>
    <row r="1028" spans="1:27" ht="15" hidden="1">
      <c r="A1028" s="24">
        <f t="shared" si="100"/>
        <v>2027</v>
      </c>
      <c r="B1028" s="24">
        <f t="shared" si="100"/>
        <v>2027</v>
      </c>
      <c r="C1028" s="476" t="s">
        <v>1422</v>
      </c>
      <c r="D1028" t="s">
        <v>146</v>
      </c>
      <c r="E1028" s="477">
        <v>1</v>
      </c>
      <c r="F1028" s="471">
        <v>30</v>
      </c>
      <c r="G1028">
        <v>1</v>
      </c>
      <c r="H1028">
        <v>1</v>
      </c>
      <c r="I1028" s="472">
        <f t="shared" si="103"/>
        <v>0.25418333333333343</v>
      </c>
      <c r="J1028" s="33">
        <v>0.29116666666666663</v>
      </c>
      <c r="K1028" s="33">
        <f t="shared" si="101"/>
        <v>0.21439999999999998</v>
      </c>
      <c r="L1028" s="33">
        <f>0.291166666666667-0.07</f>
        <v>0.22116666666666701</v>
      </c>
      <c r="M1028" s="33">
        <v>0.28999999999999998</v>
      </c>
      <c r="N1028" s="472">
        <f t="shared" si="104"/>
        <v>0.25418333333333343</v>
      </c>
      <c r="O1028" s="33">
        <v>0.29116666666666663</v>
      </c>
      <c r="P1028" s="33">
        <f t="shared" si="102"/>
        <v>0.21439999999999998</v>
      </c>
      <c r="Q1028" s="33">
        <f>0.291166666666667-0.07</f>
        <v>0.22116666666666701</v>
      </c>
      <c r="R1028" s="33">
        <v>0.28999999999999998</v>
      </c>
      <c r="S1028" s="153">
        <v>0.04</v>
      </c>
      <c r="T1028" s="153">
        <v>0</v>
      </c>
      <c r="U1028" s="478">
        <v>2017</v>
      </c>
      <c r="V1028" s="24">
        <f t="shared" si="98"/>
        <v>2037</v>
      </c>
      <c r="W1028">
        <v>0</v>
      </c>
      <c r="X1028">
        <v>0</v>
      </c>
      <c r="Y1028">
        <v>1315</v>
      </c>
      <c r="Z1028">
        <v>347</v>
      </c>
      <c r="AA1028" s="475" t="s">
        <v>25</v>
      </c>
    </row>
    <row r="1029" spans="1:27" ht="15" hidden="1">
      <c r="A1029" s="24">
        <f t="shared" si="100"/>
        <v>2028</v>
      </c>
      <c r="B1029" s="24">
        <f t="shared" si="100"/>
        <v>2028</v>
      </c>
      <c r="C1029" s="476" t="s">
        <v>1423</v>
      </c>
      <c r="D1029" t="s">
        <v>152</v>
      </c>
      <c r="E1029" s="477">
        <v>3</v>
      </c>
      <c r="F1029" s="471">
        <v>30</v>
      </c>
      <c r="G1029">
        <v>1</v>
      </c>
      <c r="H1029">
        <v>1</v>
      </c>
      <c r="I1029" s="472">
        <f t="shared" si="103"/>
        <v>0.26420000000000005</v>
      </c>
      <c r="J1029" s="33">
        <v>0.29123333333333334</v>
      </c>
      <c r="K1029" s="33">
        <f>0.296266666666667-0.07</f>
        <v>0.226266666666667</v>
      </c>
      <c r="L1029" s="33">
        <f>0.3193-0.07</f>
        <v>0.24929999999999997</v>
      </c>
      <c r="M1029" s="33">
        <v>0.28999999999999998</v>
      </c>
      <c r="N1029" s="472">
        <f t="shared" si="104"/>
        <v>0.26420000000000005</v>
      </c>
      <c r="O1029" s="33">
        <v>0.29123333333333334</v>
      </c>
      <c r="P1029" s="33">
        <f>0.296266666666667-0.07</f>
        <v>0.226266666666667</v>
      </c>
      <c r="Q1029" s="33">
        <f>0.3193-0.07</f>
        <v>0.24929999999999997</v>
      </c>
      <c r="R1029" s="33">
        <v>0.28999999999999998</v>
      </c>
      <c r="S1029" s="153">
        <v>0.04</v>
      </c>
      <c r="T1029" s="153">
        <v>0</v>
      </c>
      <c r="U1029" s="478">
        <v>2017</v>
      </c>
      <c r="V1029" s="24">
        <f t="shared" si="98"/>
        <v>2037</v>
      </c>
      <c r="W1029">
        <v>0</v>
      </c>
      <c r="X1029">
        <v>0</v>
      </c>
      <c r="Y1029">
        <v>1315</v>
      </c>
      <c r="Z1029">
        <v>347</v>
      </c>
      <c r="AA1029" s="475" t="s">
        <v>25</v>
      </c>
    </row>
    <row r="1030" spans="1:27" ht="15" hidden="1">
      <c r="A1030" s="24">
        <f t="shared" si="100"/>
        <v>2029</v>
      </c>
      <c r="B1030" s="24">
        <f t="shared" si="100"/>
        <v>2029</v>
      </c>
      <c r="C1030" s="476" t="s">
        <v>1424</v>
      </c>
      <c r="D1030" t="s">
        <v>152</v>
      </c>
      <c r="E1030" s="477">
        <v>3</v>
      </c>
      <c r="F1030" s="471">
        <v>30</v>
      </c>
      <c r="G1030">
        <v>1</v>
      </c>
      <c r="H1030">
        <v>1</v>
      </c>
      <c r="I1030" s="472">
        <f t="shared" si="103"/>
        <v>0.26420000000000005</v>
      </c>
      <c r="J1030" s="33">
        <v>0.29123333333333334</v>
      </c>
      <c r="K1030" s="33">
        <f>0.296266666666667-0.07</f>
        <v>0.226266666666667</v>
      </c>
      <c r="L1030" s="33">
        <f>0.3193-0.07</f>
        <v>0.24929999999999997</v>
      </c>
      <c r="M1030" s="33">
        <v>0.28999999999999998</v>
      </c>
      <c r="N1030" s="472">
        <f t="shared" si="104"/>
        <v>0.26420000000000005</v>
      </c>
      <c r="O1030" s="33">
        <v>0.29123333333333334</v>
      </c>
      <c r="P1030" s="33">
        <f>0.296266666666667-0.07</f>
        <v>0.226266666666667</v>
      </c>
      <c r="Q1030" s="33">
        <f>0.3193-0.07</f>
        <v>0.24929999999999997</v>
      </c>
      <c r="R1030" s="33">
        <v>0.28999999999999998</v>
      </c>
      <c r="S1030" s="153">
        <v>0.04</v>
      </c>
      <c r="T1030" s="153">
        <v>0</v>
      </c>
      <c r="U1030" s="478">
        <v>2017</v>
      </c>
      <c r="V1030" s="24">
        <f t="shared" si="98"/>
        <v>2037</v>
      </c>
      <c r="W1030">
        <v>0</v>
      </c>
      <c r="X1030">
        <v>0</v>
      </c>
      <c r="Y1030">
        <v>1315</v>
      </c>
      <c r="Z1030">
        <v>347</v>
      </c>
      <c r="AA1030" s="475" t="s">
        <v>25</v>
      </c>
    </row>
    <row r="1031" spans="1:27" ht="15" hidden="1">
      <c r="A1031" s="24">
        <f t="shared" si="100"/>
        <v>2030</v>
      </c>
      <c r="B1031" s="24">
        <f t="shared" si="100"/>
        <v>2030</v>
      </c>
      <c r="C1031" s="476" t="s">
        <v>1425</v>
      </c>
      <c r="D1031" t="s">
        <v>152</v>
      </c>
      <c r="E1031" s="477">
        <v>3</v>
      </c>
      <c r="F1031" s="471">
        <v>30</v>
      </c>
      <c r="G1031">
        <v>1</v>
      </c>
      <c r="H1031">
        <v>1</v>
      </c>
      <c r="I1031" s="472">
        <f t="shared" si="103"/>
        <v>0.26420000000000005</v>
      </c>
      <c r="J1031" s="33">
        <v>0.29123333333333334</v>
      </c>
      <c r="K1031" s="33">
        <f>0.296266666666667-0.07</f>
        <v>0.226266666666667</v>
      </c>
      <c r="L1031" s="33">
        <f>0.3193-0.07</f>
        <v>0.24929999999999997</v>
      </c>
      <c r="M1031" s="33">
        <v>0.28999999999999998</v>
      </c>
      <c r="N1031" s="472">
        <f t="shared" si="104"/>
        <v>0.26420000000000005</v>
      </c>
      <c r="O1031" s="33">
        <v>0.29123333333333334</v>
      </c>
      <c r="P1031" s="33">
        <f>0.296266666666667-0.07</f>
        <v>0.226266666666667</v>
      </c>
      <c r="Q1031" s="33">
        <f>0.3193-0.07</f>
        <v>0.24929999999999997</v>
      </c>
      <c r="R1031" s="33">
        <v>0.28999999999999998</v>
      </c>
      <c r="S1031" s="153">
        <v>0.04</v>
      </c>
      <c r="T1031" s="153">
        <v>0</v>
      </c>
      <c r="U1031" s="478">
        <v>2017</v>
      </c>
      <c r="V1031" s="24">
        <f t="shared" si="98"/>
        <v>2037</v>
      </c>
      <c r="W1031">
        <v>0</v>
      </c>
      <c r="X1031">
        <v>0</v>
      </c>
      <c r="Y1031">
        <v>1315</v>
      </c>
      <c r="Z1031">
        <v>347</v>
      </c>
      <c r="AA1031" s="475" t="s">
        <v>25</v>
      </c>
    </row>
    <row r="1032" spans="1:27" ht="15" hidden="1">
      <c r="A1032" s="24">
        <f t="shared" si="100"/>
        <v>2031</v>
      </c>
      <c r="B1032" s="24">
        <f t="shared" si="100"/>
        <v>2031</v>
      </c>
      <c r="C1032" s="469" t="s">
        <v>1426</v>
      </c>
      <c r="D1032" t="s">
        <v>154</v>
      </c>
      <c r="E1032" s="470">
        <v>4</v>
      </c>
      <c r="F1032" s="471">
        <v>0</v>
      </c>
      <c r="G1032">
        <v>1</v>
      </c>
      <c r="H1032">
        <v>1</v>
      </c>
      <c r="I1032" s="472">
        <f t="shared" si="103"/>
        <v>0.32845968612834514</v>
      </c>
      <c r="J1032" s="153">
        <v>3.8473756479098807E-2</v>
      </c>
      <c r="K1032" s="153">
        <v>0.39358026214566905</v>
      </c>
      <c r="L1032" s="153">
        <v>0.53857526864315253</v>
      </c>
      <c r="M1032" s="153">
        <v>0.3432094572454602</v>
      </c>
      <c r="N1032" s="472">
        <f t="shared" si="104"/>
        <v>0.32845968612834514</v>
      </c>
      <c r="O1032" s="153">
        <v>3.8473756479098807E-2</v>
      </c>
      <c r="P1032" s="153">
        <v>0.39358026214566905</v>
      </c>
      <c r="Q1032" s="153">
        <v>0.53857526864315253</v>
      </c>
      <c r="R1032" s="153">
        <v>0.3432094572454602</v>
      </c>
      <c r="S1032" s="153">
        <v>0.03</v>
      </c>
      <c r="T1032" s="153">
        <v>0</v>
      </c>
      <c r="U1032" s="474">
        <v>1900</v>
      </c>
      <c r="V1032">
        <v>2030</v>
      </c>
      <c r="W1032">
        <v>0</v>
      </c>
      <c r="X1032">
        <v>0</v>
      </c>
      <c r="Y1032">
        <v>1304</v>
      </c>
      <c r="Z1032">
        <v>311</v>
      </c>
      <c r="AA1032" s="475" t="s">
        <v>23</v>
      </c>
    </row>
    <row r="1033" spans="1:27" ht="15" hidden="1">
      <c r="A1033" s="24">
        <f t="shared" si="100"/>
        <v>2032</v>
      </c>
      <c r="B1033" s="24">
        <f t="shared" si="100"/>
        <v>2032</v>
      </c>
      <c r="C1033" s="469" t="s">
        <v>1427</v>
      </c>
      <c r="D1033" t="s">
        <v>146</v>
      </c>
      <c r="E1033" s="470">
        <v>1</v>
      </c>
      <c r="F1033" s="471">
        <v>147.30000000000001</v>
      </c>
      <c r="G1033">
        <v>1</v>
      </c>
      <c r="H1033">
        <v>1</v>
      </c>
      <c r="I1033" s="472">
        <f t="shared" si="103"/>
        <v>0.32845968612834514</v>
      </c>
      <c r="J1033" s="153">
        <v>3.8473756479098807E-2</v>
      </c>
      <c r="K1033" s="153">
        <v>0.39358026214566905</v>
      </c>
      <c r="L1033" s="153">
        <v>0.53857526864315253</v>
      </c>
      <c r="M1033" s="153">
        <v>0.3432094572454602</v>
      </c>
      <c r="N1033" s="472">
        <f t="shared" si="104"/>
        <v>0.32845968612834514</v>
      </c>
      <c r="O1033" s="153">
        <v>3.8473756479098807E-2</v>
      </c>
      <c r="P1033" s="153">
        <v>0.39358026214566905</v>
      </c>
      <c r="Q1033" s="153">
        <v>0.53857526864315253</v>
      </c>
      <c r="R1033" s="153">
        <v>0.3432094572454602</v>
      </c>
      <c r="S1033" s="153">
        <v>0.03</v>
      </c>
      <c r="T1033" s="153">
        <v>0</v>
      </c>
      <c r="U1033" s="474">
        <v>2007</v>
      </c>
      <c r="V1033">
        <v>2023</v>
      </c>
      <c r="W1033">
        <v>0</v>
      </c>
      <c r="X1033">
        <v>0</v>
      </c>
      <c r="Y1033">
        <v>1304</v>
      </c>
      <c r="Z1033">
        <v>311</v>
      </c>
      <c r="AA1033" s="475" t="s">
        <v>23</v>
      </c>
    </row>
    <row r="1034" spans="1:27" ht="15" hidden="1">
      <c r="A1034" s="24">
        <f t="shared" si="100"/>
        <v>2033</v>
      </c>
      <c r="B1034" s="24">
        <f t="shared" si="100"/>
        <v>2033</v>
      </c>
      <c r="C1034" s="469" t="s">
        <v>1428</v>
      </c>
      <c r="D1034" t="s">
        <v>146</v>
      </c>
      <c r="E1034" s="470">
        <v>1</v>
      </c>
      <c r="F1034" s="471">
        <v>0</v>
      </c>
      <c r="G1034">
        <v>1</v>
      </c>
      <c r="H1034">
        <v>1</v>
      </c>
      <c r="I1034" s="472">
        <f t="shared" si="103"/>
        <v>0.32845968612834514</v>
      </c>
      <c r="J1034" s="153">
        <v>3.8473756479098807E-2</v>
      </c>
      <c r="K1034" s="153">
        <v>0.39358026214566905</v>
      </c>
      <c r="L1034" s="153">
        <v>0.53857526864315253</v>
      </c>
      <c r="M1034" s="153">
        <v>0.3432094572454602</v>
      </c>
      <c r="N1034" s="472">
        <f t="shared" si="104"/>
        <v>0.32845968612834514</v>
      </c>
      <c r="O1034" s="153">
        <v>3.8473756479098807E-2</v>
      </c>
      <c r="P1034" s="153">
        <v>0.39358026214566905</v>
      </c>
      <c r="Q1034" s="153">
        <v>0.53857526864315253</v>
      </c>
      <c r="R1034" s="153">
        <v>0.3432094572454602</v>
      </c>
      <c r="S1034" s="153">
        <v>0.03</v>
      </c>
      <c r="T1034" s="153">
        <v>0</v>
      </c>
      <c r="U1034" s="474">
        <v>1900</v>
      </c>
      <c r="V1034">
        <v>2030</v>
      </c>
      <c r="W1034">
        <v>0</v>
      </c>
      <c r="X1034">
        <v>0</v>
      </c>
      <c r="Y1034">
        <v>1304</v>
      </c>
      <c r="Z1034">
        <v>311</v>
      </c>
      <c r="AA1034" s="475" t="s">
        <v>23</v>
      </c>
    </row>
    <row r="1035" spans="1:27" ht="15" hidden="1">
      <c r="A1035" s="24">
        <f t="shared" si="100"/>
        <v>2034</v>
      </c>
      <c r="B1035" s="24">
        <f t="shared" si="100"/>
        <v>2034</v>
      </c>
      <c r="C1035" s="469" t="s">
        <v>1429</v>
      </c>
      <c r="D1035" t="s">
        <v>149</v>
      </c>
      <c r="E1035" s="470">
        <v>2</v>
      </c>
      <c r="F1035" s="471">
        <v>36</v>
      </c>
      <c r="G1035">
        <v>1</v>
      </c>
      <c r="H1035">
        <v>1</v>
      </c>
      <c r="I1035" s="472">
        <f t="shared" si="103"/>
        <v>0.32845968612834514</v>
      </c>
      <c r="J1035" s="153">
        <v>3.8473756479098807E-2</v>
      </c>
      <c r="K1035" s="153">
        <v>0.39358026214566905</v>
      </c>
      <c r="L1035" s="153">
        <v>0.53857526864315253</v>
      </c>
      <c r="M1035" s="153">
        <v>0.3432094572454602</v>
      </c>
      <c r="N1035" s="472">
        <f t="shared" si="104"/>
        <v>0.32845968612834514</v>
      </c>
      <c r="O1035" s="153">
        <v>3.8473756479098807E-2</v>
      </c>
      <c r="P1035" s="153">
        <v>0.39358026214566905</v>
      </c>
      <c r="Q1035" s="153">
        <v>0.53857526864315253</v>
      </c>
      <c r="R1035" s="153">
        <v>0.3432094572454602</v>
      </c>
      <c r="S1035" s="153">
        <v>0.03</v>
      </c>
      <c r="T1035" s="153">
        <v>0</v>
      </c>
      <c r="U1035" s="474">
        <v>2009</v>
      </c>
      <c r="V1035">
        <v>2023</v>
      </c>
      <c r="W1035">
        <v>0</v>
      </c>
      <c r="X1035">
        <v>0</v>
      </c>
      <c r="Y1035">
        <v>1304</v>
      </c>
      <c r="Z1035">
        <v>311</v>
      </c>
      <c r="AA1035" s="475" t="s">
        <v>23</v>
      </c>
    </row>
    <row r="1036" spans="1:27" ht="15" hidden="1">
      <c r="A1036" s="24">
        <f t="shared" si="100"/>
        <v>2035</v>
      </c>
      <c r="B1036" s="24">
        <f t="shared" si="100"/>
        <v>2035</v>
      </c>
      <c r="C1036" s="476" t="s">
        <v>1430</v>
      </c>
      <c r="D1036" t="s">
        <v>152</v>
      </c>
      <c r="E1036" s="477">
        <v>3</v>
      </c>
      <c r="F1036" s="471">
        <v>6.3</v>
      </c>
      <c r="G1036">
        <v>1</v>
      </c>
      <c r="H1036">
        <v>1</v>
      </c>
      <c r="I1036" s="472">
        <f t="shared" si="103"/>
        <v>0.47039166666666665</v>
      </c>
      <c r="J1036" s="473">
        <v>0.36503333333333332</v>
      </c>
      <c r="K1036" s="473">
        <v>0.44336666666666663</v>
      </c>
      <c r="L1036" s="473">
        <v>0.58906666666666663</v>
      </c>
      <c r="M1036" s="473">
        <v>0.48410000000000003</v>
      </c>
      <c r="N1036" s="472">
        <f t="shared" si="104"/>
        <v>0.47039166666666665</v>
      </c>
      <c r="O1036" s="473">
        <v>0.36503333333333332</v>
      </c>
      <c r="P1036" s="473">
        <v>0.44336666666666663</v>
      </c>
      <c r="Q1036" s="473">
        <v>0.58906666666666663</v>
      </c>
      <c r="R1036" s="473">
        <v>0.48410000000000003</v>
      </c>
      <c r="S1036" s="153">
        <v>0.01</v>
      </c>
      <c r="T1036" s="153">
        <v>0.02</v>
      </c>
      <c r="U1036" s="478">
        <v>2016</v>
      </c>
      <c r="V1036" s="24">
        <f t="shared" ref="V1036:V1057" si="105">U1036+20</f>
        <v>2036</v>
      </c>
      <c r="W1036">
        <v>0</v>
      </c>
      <c r="X1036">
        <v>0</v>
      </c>
      <c r="Y1036">
        <v>1315</v>
      </c>
      <c r="Z1036">
        <v>361</v>
      </c>
      <c r="AA1036" s="475" t="s">
        <v>24</v>
      </c>
    </row>
    <row r="1037" spans="1:27" ht="15" hidden="1">
      <c r="A1037" s="24">
        <f t="shared" si="100"/>
        <v>2036</v>
      </c>
      <c r="B1037" s="24">
        <f t="shared" si="100"/>
        <v>2036</v>
      </c>
      <c r="C1037" s="476" t="s">
        <v>1431</v>
      </c>
      <c r="D1037" t="s">
        <v>152</v>
      </c>
      <c r="E1037" s="477">
        <v>3</v>
      </c>
      <c r="F1037" s="471">
        <v>8.4</v>
      </c>
      <c r="G1037">
        <v>1</v>
      </c>
      <c r="H1037">
        <v>1</v>
      </c>
      <c r="I1037" s="472">
        <f t="shared" si="103"/>
        <v>0.47039166666666665</v>
      </c>
      <c r="J1037" s="473">
        <v>0.36503333333333332</v>
      </c>
      <c r="K1037" s="473">
        <v>0.44336666666666663</v>
      </c>
      <c r="L1037" s="473">
        <v>0.58906666666666663</v>
      </c>
      <c r="M1037" s="473">
        <v>0.48410000000000003</v>
      </c>
      <c r="N1037" s="472">
        <f t="shared" si="104"/>
        <v>0.47039166666666665</v>
      </c>
      <c r="O1037" s="473">
        <v>0.36503333333333332</v>
      </c>
      <c r="P1037" s="473">
        <v>0.44336666666666663</v>
      </c>
      <c r="Q1037" s="473">
        <v>0.58906666666666663</v>
      </c>
      <c r="R1037" s="473">
        <v>0.48410000000000003</v>
      </c>
      <c r="S1037" s="153">
        <v>0.01</v>
      </c>
      <c r="T1037" s="153">
        <v>0.02</v>
      </c>
      <c r="U1037" s="478">
        <v>2016</v>
      </c>
      <c r="V1037" s="24">
        <f t="shared" si="105"/>
        <v>2036</v>
      </c>
      <c r="W1037">
        <v>0</v>
      </c>
      <c r="X1037">
        <v>0</v>
      </c>
      <c r="Y1037">
        <v>1315</v>
      </c>
      <c r="Z1037">
        <v>361</v>
      </c>
      <c r="AA1037" s="475" t="s">
        <v>24</v>
      </c>
    </row>
    <row r="1038" spans="1:27" ht="15" hidden="1">
      <c r="A1038" s="24">
        <f t="shared" si="100"/>
        <v>2037</v>
      </c>
      <c r="B1038" s="24">
        <f t="shared" si="100"/>
        <v>2037</v>
      </c>
      <c r="C1038" s="476" t="s">
        <v>1432</v>
      </c>
      <c r="D1038" t="s">
        <v>152</v>
      </c>
      <c r="E1038" s="477">
        <v>3</v>
      </c>
      <c r="F1038" s="471">
        <v>4.2</v>
      </c>
      <c r="G1038">
        <v>1</v>
      </c>
      <c r="H1038">
        <v>1</v>
      </c>
      <c r="I1038" s="472">
        <f t="shared" si="103"/>
        <v>0.47039166666666665</v>
      </c>
      <c r="J1038" s="473">
        <v>0.36503333333333332</v>
      </c>
      <c r="K1038" s="473">
        <v>0.44336666666666663</v>
      </c>
      <c r="L1038" s="473">
        <v>0.58906666666666663</v>
      </c>
      <c r="M1038" s="473">
        <v>0.48410000000000003</v>
      </c>
      <c r="N1038" s="472">
        <f t="shared" si="104"/>
        <v>0.47039166666666665</v>
      </c>
      <c r="O1038" s="473">
        <v>0.36503333333333332</v>
      </c>
      <c r="P1038" s="473">
        <v>0.44336666666666663</v>
      </c>
      <c r="Q1038" s="473">
        <v>0.58906666666666663</v>
      </c>
      <c r="R1038" s="473">
        <v>0.48410000000000003</v>
      </c>
      <c r="S1038" s="153">
        <v>0.01</v>
      </c>
      <c r="T1038" s="153">
        <v>0.02</v>
      </c>
      <c r="U1038" s="478">
        <v>2016</v>
      </c>
      <c r="V1038" s="24">
        <f t="shared" si="105"/>
        <v>2036</v>
      </c>
      <c r="W1038">
        <v>0</v>
      </c>
      <c r="X1038">
        <v>0</v>
      </c>
      <c r="Y1038">
        <v>1315</v>
      </c>
      <c r="Z1038">
        <v>361</v>
      </c>
      <c r="AA1038" s="475" t="s">
        <v>24</v>
      </c>
    </row>
    <row r="1039" spans="1:27" ht="15" hidden="1">
      <c r="A1039" s="24">
        <f t="shared" si="100"/>
        <v>2038</v>
      </c>
      <c r="B1039" s="24">
        <f t="shared" si="100"/>
        <v>2038</v>
      </c>
      <c r="C1039" s="476" t="s">
        <v>1433</v>
      </c>
      <c r="D1039" t="s">
        <v>152</v>
      </c>
      <c r="E1039" s="477">
        <v>3</v>
      </c>
      <c r="F1039" s="471">
        <v>4.2</v>
      </c>
      <c r="G1039">
        <v>1</v>
      </c>
      <c r="H1039">
        <v>1</v>
      </c>
      <c r="I1039" s="472">
        <f t="shared" si="103"/>
        <v>0.47039166666666665</v>
      </c>
      <c r="J1039" s="473">
        <v>0.36503333333333332</v>
      </c>
      <c r="K1039" s="473">
        <v>0.44336666666666663</v>
      </c>
      <c r="L1039" s="473">
        <v>0.58906666666666663</v>
      </c>
      <c r="M1039" s="473">
        <v>0.48410000000000003</v>
      </c>
      <c r="N1039" s="472">
        <f t="shared" si="104"/>
        <v>0.47039166666666665</v>
      </c>
      <c r="O1039" s="473">
        <v>0.36503333333333332</v>
      </c>
      <c r="P1039" s="473">
        <v>0.44336666666666663</v>
      </c>
      <c r="Q1039" s="473">
        <v>0.58906666666666663</v>
      </c>
      <c r="R1039" s="473">
        <v>0.48410000000000003</v>
      </c>
      <c r="S1039" s="153">
        <v>0.01</v>
      </c>
      <c r="T1039" s="153">
        <v>0.02</v>
      </c>
      <c r="U1039" s="478">
        <v>2016</v>
      </c>
      <c r="V1039" s="24">
        <f t="shared" si="105"/>
        <v>2036</v>
      </c>
      <c r="W1039">
        <v>0</v>
      </c>
      <c r="X1039">
        <v>0</v>
      </c>
      <c r="Y1039">
        <v>1315</v>
      </c>
      <c r="Z1039">
        <v>361</v>
      </c>
      <c r="AA1039" s="475" t="s">
        <v>24</v>
      </c>
    </row>
    <row r="1040" spans="1:27" ht="15" hidden="1">
      <c r="A1040" s="24">
        <f t="shared" si="100"/>
        <v>2039</v>
      </c>
      <c r="B1040" s="24">
        <f t="shared" si="100"/>
        <v>2039</v>
      </c>
      <c r="C1040" s="476" t="s">
        <v>1434</v>
      </c>
      <c r="D1040" t="s">
        <v>152</v>
      </c>
      <c r="E1040" s="477">
        <v>3</v>
      </c>
      <c r="F1040" s="471">
        <v>2.0999999999999979</v>
      </c>
      <c r="G1040">
        <v>1</v>
      </c>
      <c r="H1040">
        <v>1</v>
      </c>
      <c r="I1040" s="472">
        <f t="shared" si="103"/>
        <v>0.47039166666666665</v>
      </c>
      <c r="J1040" s="473">
        <v>0.36503333333333332</v>
      </c>
      <c r="K1040" s="473">
        <v>0.44336666666666663</v>
      </c>
      <c r="L1040" s="473">
        <v>0.58906666666666663</v>
      </c>
      <c r="M1040" s="473">
        <v>0.48410000000000003</v>
      </c>
      <c r="N1040" s="472">
        <f t="shared" si="104"/>
        <v>0.47039166666666665</v>
      </c>
      <c r="O1040" s="473">
        <v>0.36503333333333332</v>
      </c>
      <c r="P1040" s="473">
        <v>0.44336666666666663</v>
      </c>
      <c r="Q1040" s="473">
        <v>0.58906666666666663</v>
      </c>
      <c r="R1040" s="473">
        <v>0.48410000000000003</v>
      </c>
      <c r="S1040" s="153">
        <v>0.01</v>
      </c>
      <c r="T1040" s="153">
        <v>0.02</v>
      </c>
      <c r="U1040" s="478">
        <v>2016</v>
      </c>
      <c r="V1040" s="24">
        <f t="shared" si="105"/>
        <v>2036</v>
      </c>
      <c r="W1040">
        <v>0</v>
      </c>
      <c r="X1040">
        <v>0</v>
      </c>
      <c r="Y1040">
        <v>1315</v>
      </c>
      <c r="Z1040">
        <v>361</v>
      </c>
      <c r="AA1040" s="475" t="s">
        <v>24</v>
      </c>
    </row>
    <row r="1041" spans="1:27" ht="15" hidden="1">
      <c r="A1041" s="24">
        <f t="shared" ref="A1041:B1056" si="106">1000+ROW()-1</f>
        <v>2040</v>
      </c>
      <c r="B1041" s="24">
        <f t="shared" si="106"/>
        <v>2040</v>
      </c>
      <c r="C1041" s="476" t="s">
        <v>1435</v>
      </c>
      <c r="D1041" t="s">
        <v>152</v>
      </c>
      <c r="E1041" s="477">
        <v>3</v>
      </c>
      <c r="F1041" s="471">
        <v>29.7</v>
      </c>
      <c r="G1041">
        <v>1</v>
      </c>
      <c r="H1041">
        <v>1</v>
      </c>
      <c r="I1041" s="472">
        <f t="shared" si="103"/>
        <v>0.47039166666666665</v>
      </c>
      <c r="J1041" s="473">
        <v>0.36503333333333332</v>
      </c>
      <c r="K1041" s="473">
        <v>0.44336666666666663</v>
      </c>
      <c r="L1041" s="473">
        <v>0.58906666666666663</v>
      </c>
      <c r="M1041" s="473">
        <v>0.48410000000000003</v>
      </c>
      <c r="N1041" s="472">
        <f t="shared" si="104"/>
        <v>0.47039166666666665</v>
      </c>
      <c r="O1041" s="473">
        <v>0.36503333333333332</v>
      </c>
      <c r="P1041" s="473">
        <v>0.44336666666666663</v>
      </c>
      <c r="Q1041" s="473">
        <v>0.58906666666666663</v>
      </c>
      <c r="R1041" s="473">
        <v>0.48410000000000003</v>
      </c>
      <c r="S1041" s="153">
        <v>0.01</v>
      </c>
      <c r="T1041" s="153">
        <v>0.02</v>
      </c>
      <c r="U1041" s="478">
        <v>2018</v>
      </c>
      <c r="V1041" s="24">
        <f t="shared" si="105"/>
        <v>2038</v>
      </c>
      <c r="W1041">
        <v>0</v>
      </c>
      <c r="X1041">
        <v>0</v>
      </c>
      <c r="Y1041">
        <v>1315</v>
      </c>
      <c r="Z1041">
        <v>361</v>
      </c>
      <c r="AA1041" s="475" t="s">
        <v>24</v>
      </c>
    </row>
    <row r="1042" spans="1:27" ht="15" hidden="1">
      <c r="A1042" s="24">
        <f t="shared" si="106"/>
        <v>2041</v>
      </c>
      <c r="B1042" s="24">
        <f t="shared" si="106"/>
        <v>2041</v>
      </c>
      <c r="C1042" s="476" t="s">
        <v>1436</v>
      </c>
      <c r="D1042" t="s">
        <v>152</v>
      </c>
      <c r="E1042" s="477">
        <v>3</v>
      </c>
      <c r="F1042" s="471">
        <v>27</v>
      </c>
      <c r="G1042">
        <v>1</v>
      </c>
      <c r="H1042">
        <v>1</v>
      </c>
      <c r="I1042" s="472">
        <f t="shared" si="103"/>
        <v>0.47039166666666665</v>
      </c>
      <c r="J1042" s="473">
        <v>0.36503333333333332</v>
      </c>
      <c r="K1042" s="473">
        <v>0.44336666666666663</v>
      </c>
      <c r="L1042" s="473">
        <v>0.58906666666666663</v>
      </c>
      <c r="M1042" s="473">
        <v>0.48410000000000003</v>
      </c>
      <c r="N1042" s="472">
        <f t="shared" si="104"/>
        <v>0.47039166666666665</v>
      </c>
      <c r="O1042" s="473">
        <v>0.36503333333333332</v>
      </c>
      <c r="P1042" s="473">
        <v>0.44336666666666663</v>
      </c>
      <c r="Q1042" s="473">
        <v>0.58906666666666663</v>
      </c>
      <c r="R1042" s="473">
        <v>0.48410000000000003</v>
      </c>
      <c r="S1042" s="153">
        <v>0.01</v>
      </c>
      <c r="T1042" s="153">
        <v>0.02</v>
      </c>
      <c r="U1042" s="478">
        <v>2018</v>
      </c>
      <c r="V1042" s="24">
        <f t="shared" si="105"/>
        <v>2038</v>
      </c>
      <c r="W1042">
        <v>0</v>
      </c>
      <c r="X1042">
        <v>0</v>
      </c>
      <c r="Y1042">
        <v>1315</v>
      </c>
      <c r="Z1042">
        <v>361</v>
      </c>
      <c r="AA1042" s="475" t="s">
        <v>24</v>
      </c>
    </row>
    <row r="1043" spans="1:27" ht="15" hidden="1">
      <c r="A1043" s="24">
        <f t="shared" si="106"/>
        <v>2042</v>
      </c>
      <c r="B1043" s="24">
        <f t="shared" si="106"/>
        <v>2042</v>
      </c>
      <c r="C1043" s="476" t="s">
        <v>1437</v>
      </c>
      <c r="D1043" t="s">
        <v>152</v>
      </c>
      <c r="E1043" s="477">
        <v>3</v>
      </c>
      <c r="F1043" s="471">
        <v>29.9</v>
      </c>
      <c r="G1043">
        <v>1</v>
      </c>
      <c r="H1043">
        <v>1</v>
      </c>
      <c r="I1043" s="472">
        <f t="shared" si="103"/>
        <v>0.47039166666666665</v>
      </c>
      <c r="J1043" s="473">
        <v>0.36503333333333332</v>
      </c>
      <c r="K1043" s="473">
        <v>0.44336666666666663</v>
      </c>
      <c r="L1043" s="473">
        <v>0.58906666666666663</v>
      </c>
      <c r="M1043" s="473">
        <v>0.48410000000000003</v>
      </c>
      <c r="N1043" s="472">
        <f t="shared" si="104"/>
        <v>0.47039166666666665</v>
      </c>
      <c r="O1043" s="473">
        <v>0.36503333333333332</v>
      </c>
      <c r="P1043" s="473">
        <v>0.44336666666666663</v>
      </c>
      <c r="Q1043" s="473">
        <v>0.58906666666666663</v>
      </c>
      <c r="R1043" s="473">
        <v>0.48410000000000003</v>
      </c>
      <c r="S1043" s="153">
        <v>0.01</v>
      </c>
      <c r="T1043" s="153">
        <v>0.02</v>
      </c>
      <c r="U1043" s="478">
        <v>2018</v>
      </c>
      <c r="V1043" s="24">
        <f t="shared" si="105"/>
        <v>2038</v>
      </c>
      <c r="W1043">
        <v>0</v>
      </c>
      <c r="X1043">
        <v>0</v>
      </c>
      <c r="Y1043">
        <v>1315</v>
      </c>
      <c r="Z1043">
        <v>361</v>
      </c>
      <c r="AA1043" s="475" t="s">
        <v>24</v>
      </c>
    </row>
    <row r="1044" spans="1:27" ht="15" hidden="1">
      <c r="A1044" s="24">
        <f t="shared" si="106"/>
        <v>2043</v>
      </c>
      <c r="B1044" s="24">
        <f t="shared" si="106"/>
        <v>2043</v>
      </c>
      <c r="C1044" s="476" t="s">
        <v>1438</v>
      </c>
      <c r="D1044" t="s">
        <v>152</v>
      </c>
      <c r="E1044" s="477">
        <v>3</v>
      </c>
      <c r="F1044" s="471">
        <v>29.7</v>
      </c>
      <c r="G1044">
        <v>1</v>
      </c>
      <c r="H1044">
        <v>1</v>
      </c>
      <c r="I1044" s="472">
        <f t="shared" si="103"/>
        <v>0.47039166666666665</v>
      </c>
      <c r="J1044" s="473">
        <v>0.36503333333333332</v>
      </c>
      <c r="K1044" s="473">
        <v>0.44336666666666663</v>
      </c>
      <c r="L1044" s="473">
        <v>0.58906666666666663</v>
      </c>
      <c r="M1044" s="473">
        <v>0.48410000000000003</v>
      </c>
      <c r="N1044" s="472">
        <f t="shared" si="104"/>
        <v>0.47039166666666665</v>
      </c>
      <c r="O1044" s="473">
        <v>0.36503333333333332</v>
      </c>
      <c r="P1044" s="473">
        <v>0.44336666666666663</v>
      </c>
      <c r="Q1044" s="473">
        <v>0.58906666666666663</v>
      </c>
      <c r="R1044" s="473">
        <v>0.48410000000000003</v>
      </c>
      <c r="S1044" s="153">
        <v>0.01</v>
      </c>
      <c r="T1044" s="153">
        <v>0.02</v>
      </c>
      <c r="U1044" s="478">
        <v>2018</v>
      </c>
      <c r="V1044" s="24">
        <f t="shared" si="105"/>
        <v>2038</v>
      </c>
      <c r="W1044">
        <v>0</v>
      </c>
      <c r="X1044">
        <v>0</v>
      </c>
      <c r="Y1044">
        <v>1315</v>
      </c>
      <c r="Z1044">
        <v>361</v>
      </c>
      <c r="AA1044" s="475" t="s">
        <v>24</v>
      </c>
    </row>
    <row r="1045" spans="1:27" ht="15" hidden="1">
      <c r="A1045" s="24">
        <f t="shared" si="106"/>
        <v>2044</v>
      </c>
      <c r="B1045" s="24">
        <f t="shared" si="106"/>
        <v>2044</v>
      </c>
      <c r="C1045" s="476" t="s">
        <v>1439</v>
      </c>
      <c r="D1045" t="s">
        <v>152</v>
      </c>
      <c r="E1045" s="477">
        <v>3</v>
      </c>
      <c r="F1045" s="471">
        <v>18.899999999999999</v>
      </c>
      <c r="G1045">
        <v>1</v>
      </c>
      <c r="H1045">
        <v>1</v>
      </c>
      <c r="I1045" s="472">
        <f t="shared" si="103"/>
        <v>0.47039166666666665</v>
      </c>
      <c r="J1045" s="473">
        <v>0.36503333333333332</v>
      </c>
      <c r="K1045" s="473">
        <v>0.44336666666666663</v>
      </c>
      <c r="L1045" s="473">
        <v>0.58906666666666663</v>
      </c>
      <c r="M1045" s="473">
        <v>0.48410000000000003</v>
      </c>
      <c r="N1045" s="472">
        <f t="shared" si="104"/>
        <v>0.47039166666666665</v>
      </c>
      <c r="O1045" s="473">
        <v>0.36503333333333332</v>
      </c>
      <c r="P1045" s="473">
        <v>0.44336666666666663</v>
      </c>
      <c r="Q1045" s="473">
        <v>0.58906666666666663</v>
      </c>
      <c r="R1045" s="473">
        <v>0.48410000000000003</v>
      </c>
      <c r="S1045" s="153">
        <v>0.01</v>
      </c>
      <c r="T1045" s="153">
        <v>0.02</v>
      </c>
      <c r="U1045" s="478">
        <v>2018</v>
      </c>
      <c r="V1045" s="24">
        <f t="shared" si="105"/>
        <v>2038</v>
      </c>
      <c r="W1045">
        <v>0</v>
      </c>
      <c r="X1045">
        <v>0</v>
      </c>
      <c r="Y1045">
        <v>1315</v>
      </c>
      <c r="Z1045">
        <v>361</v>
      </c>
      <c r="AA1045" s="475" t="s">
        <v>24</v>
      </c>
    </row>
    <row r="1046" spans="1:27" ht="15" hidden="1">
      <c r="A1046" s="24">
        <f t="shared" si="106"/>
        <v>2045</v>
      </c>
      <c r="B1046" s="24">
        <f t="shared" si="106"/>
        <v>2045</v>
      </c>
      <c r="C1046" s="476" t="s">
        <v>1440</v>
      </c>
      <c r="D1046" t="s">
        <v>152</v>
      </c>
      <c r="E1046" s="477">
        <v>3</v>
      </c>
      <c r="F1046" s="471">
        <v>30</v>
      </c>
      <c r="G1046">
        <v>1</v>
      </c>
      <c r="H1046">
        <v>1</v>
      </c>
      <c r="I1046" s="472">
        <f t="shared" si="103"/>
        <v>0.47039166666666665</v>
      </c>
      <c r="J1046" s="473">
        <v>0.36503333333333332</v>
      </c>
      <c r="K1046" s="473">
        <v>0.44336666666666663</v>
      </c>
      <c r="L1046" s="473">
        <v>0.58906666666666663</v>
      </c>
      <c r="M1046" s="473">
        <v>0.48410000000000003</v>
      </c>
      <c r="N1046" s="472">
        <f t="shared" si="104"/>
        <v>0.47039166666666665</v>
      </c>
      <c r="O1046" s="473">
        <v>0.36503333333333332</v>
      </c>
      <c r="P1046" s="473">
        <v>0.44336666666666663</v>
      </c>
      <c r="Q1046" s="473">
        <v>0.58906666666666663</v>
      </c>
      <c r="R1046" s="473">
        <v>0.48410000000000003</v>
      </c>
      <c r="S1046" s="153">
        <v>0.01</v>
      </c>
      <c r="T1046" s="153">
        <v>0.02</v>
      </c>
      <c r="U1046" s="478">
        <v>2018</v>
      </c>
      <c r="V1046" s="24">
        <f t="shared" si="105"/>
        <v>2038</v>
      </c>
      <c r="W1046">
        <v>0</v>
      </c>
      <c r="X1046">
        <v>0</v>
      </c>
      <c r="Y1046">
        <v>1315</v>
      </c>
      <c r="Z1046">
        <v>361</v>
      </c>
      <c r="AA1046" s="475" t="s">
        <v>24</v>
      </c>
    </row>
    <row r="1047" spans="1:27" ht="15" hidden="1">
      <c r="A1047" s="24">
        <f t="shared" si="106"/>
        <v>2046</v>
      </c>
      <c r="B1047" s="24">
        <f t="shared" si="106"/>
        <v>2046</v>
      </c>
      <c r="C1047" s="476" t="s">
        <v>1441</v>
      </c>
      <c r="D1047" t="s">
        <v>152</v>
      </c>
      <c r="E1047" s="477">
        <v>3</v>
      </c>
      <c r="F1047" s="471">
        <v>26</v>
      </c>
      <c r="G1047">
        <v>1</v>
      </c>
      <c r="H1047">
        <v>1</v>
      </c>
      <c r="I1047" s="472">
        <f t="shared" si="103"/>
        <v>0.47039166666666665</v>
      </c>
      <c r="J1047" s="473">
        <v>0.36503333333333332</v>
      </c>
      <c r="K1047" s="473">
        <v>0.44336666666666663</v>
      </c>
      <c r="L1047" s="473">
        <v>0.58906666666666663</v>
      </c>
      <c r="M1047" s="473">
        <v>0.48410000000000003</v>
      </c>
      <c r="N1047" s="472">
        <f t="shared" si="104"/>
        <v>0.47039166666666665</v>
      </c>
      <c r="O1047" s="473">
        <v>0.36503333333333332</v>
      </c>
      <c r="P1047" s="473">
        <v>0.44336666666666663</v>
      </c>
      <c r="Q1047" s="473">
        <v>0.58906666666666663</v>
      </c>
      <c r="R1047" s="473">
        <v>0.48410000000000003</v>
      </c>
      <c r="S1047" s="153">
        <v>0.01</v>
      </c>
      <c r="T1047" s="153">
        <v>0.02</v>
      </c>
      <c r="U1047" s="478">
        <v>2018</v>
      </c>
      <c r="V1047" s="24">
        <f t="shared" si="105"/>
        <v>2038</v>
      </c>
      <c r="W1047">
        <v>0</v>
      </c>
      <c r="X1047">
        <v>0</v>
      </c>
      <c r="Y1047">
        <v>1315</v>
      </c>
      <c r="Z1047">
        <v>361</v>
      </c>
      <c r="AA1047" s="475" t="s">
        <v>24</v>
      </c>
    </row>
    <row r="1048" spans="1:27" ht="15" hidden="1">
      <c r="A1048" s="24">
        <f t="shared" si="106"/>
        <v>2047</v>
      </c>
      <c r="B1048" s="24">
        <f t="shared" si="106"/>
        <v>2047</v>
      </c>
      <c r="C1048" s="476" t="s">
        <v>1442</v>
      </c>
      <c r="D1048" t="s">
        <v>152</v>
      </c>
      <c r="E1048" s="477">
        <v>3</v>
      </c>
      <c r="F1048" s="471">
        <v>26</v>
      </c>
      <c r="G1048">
        <v>1</v>
      </c>
      <c r="H1048">
        <v>1</v>
      </c>
      <c r="I1048" s="472">
        <f t="shared" si="103"/>
        <v>0.47039166666666665</v>
      </c>
      <c r="J1048" s="473">
        <v>0.36503333333333332</v>
      </c>
      <c r="K1048" s="473">
        <v>0.44336666666666663</v>
      </c>
      <c r="L1048" s="473">
        <v>0.58906666666666663</v>
      </c>
      <c r="M1048" s="473">
        <v>0.48410000000000003</v>
      </c>
      <c r="N1048" s="472">
        <f t="shared" si="104"/>
        <v>0.47039166666666665</v>
      </c>
      <c r="O1048" s="473">
        <v>0.36503333333333332</v>
      </c>
      <c r="P1048" s="473">
        <v>0.44336666666666663</v>
      </c>
      <c r="Q1048" s="473">
        <v>0.58906666666666663</v>
      </c>
      <c r="R1048" s="473">
        <v>0.48410000000000003</v>
      </c>
      <c r="S1048" s="153">
        <v>0.01</v>
      </c>
      <c r="T1048" s="153">
        <v>0.02</v>
      </c>
      <c r="U1048" s="478">
        <v>2018</v>
      </c>
      <c r="V1048" s="24">
        <f t="shared" si="105"/>
        <v>2038</v>
      </c>
      <c r="W1048">
        <v>0</v>
      </c>
      <c r="X1048">
        <v>0</v>
      </c>
      <c r="Y1048">
        <v>1315</v>
      </c>
      <c r="Z1048">
        <v>361</v>
      </c>
      <c r="AA1048" s="475" t="s">
        <v>24</v>
      </c>
    </row>
    <row r="1049" spans="1:27" ht="15" hidden="1">
      <c r="A1049" s="24">
        <f t="shared" si="106"/>
        <v>2048</v>
      </c>
      <c r="B1049" s="24">
        <f t="shared" si="106"/>
        <v>2048</v>
      </c>
      <c r="C1049" s="476" t="s">
        <v>1443</v>
      </c>
      <c r="D1049" t="s">
        <v>152</v>
      </c>
      <c r="E1049" s="477">
        <v>3</v>
      </c>
      <c r="F1049" s="471">
        <v>26</v>
      </c>
      <c r="G1049">
        <v>1</v>
      </c>
      <c r="H1049">
        <v>1</v>
      </c>
      <c r="I1049" s="472">
        <f t="shared" si="103"/>
        <v>0.47039166666666665</v>
      </c>
      <c r="J1049" s="473">
        <v>0.36503333333333332</v>
      </c>
      <c r="K1049" s="473">
        <v>0.44336666666666663</v>
      </c>
      <c r="L1049" s="473">
        <v>0.58906666666666663</v>
      </c>
      <c r="M1049" s="473">
        <v>0.48410000000000003</v>
      </c>
      <c r="N1049" s="472">
        <f t="shared" si="104"/>
        <v>0.47039166666666665</v>
      </c>
      <c r="O1049" s="473">
        <v>0.36503333333333332</v>
      </c>
      <c r="P1049" s="473">
        <v>0.44336666666666663</v>
      </c>
      <c r="Q1049" s="473">
        <v>0.58906666666666663</v>
      </c>
      <c r="R1049" s="473">
        <v>0.48410000000000003</v>
      </c>
      <c r="S1049" s="153">
        <v>0.01</v>
      </c>
      <c r="T1049" s="153">
        <v>0.02</v>
      </c>
      <c r="U1049" s="478">
        <v>2018</v>
      </c>
      <c r="V1049" s="24">
        <f t="shared" si="105"/>
        <v>2038</v>
      </c>
      <c r="W1049">
        <v>0</v>
      </c>
      <c r="X1049">
        <v>0</v>
      </c>
      <c r="Y1049">
        <v>1315</v>
      </c>
      <c r="Z1049">
        <v>361</v>
      </c>
      <c r="AA1049" s="475" t="s">
        <v>24</v>
      </c>
    </row>
    <row r="1050" spans="1:27" ht="15" hidden="1">
      <c r="A1050" s="24">
        <f t="shared" si="106"/>
        <v>2049</v>
      </c>
      <c r="B1050" s="24">
        <f t="shared" si="106"/>
        <v>2049</v>
      </c>
      <c r="C1050" s="476" t="s">
        <v>1444</v>
      </c>
      <c r="D1050" t="s">
        <v>152</v>
      </c>
      <c r="E1050" s="477">
        <v>3</v>
      </c>
      <c r="F1050" s="471">
        <v>26</v>
      </c>
      <c r="G1050">
        <v>1</v>
      </c>
      <c r="H1050">
        <v>1</v>
      </c>
      <c r="I1050" s="472">
        <f t="shared" si="103"/>
        <v>0.47039166666666665</v>
      </c>
      <c r="J1050" s="473">
        <v>0.36503333333333332</v>
      </c>
      <c r="K1050" s="473">
        <v>0.44336666666666663</v>
      </c>
      <c r="L1050" s="473">
        <v>0.58906666666666663</v>
      </c>
      <c r="M1050" s="473">
        <v>0.48410000000000003</v>
      </c>
      <c r="N1050" s="472">
        <f t="shared" si="104"/>
        <v>0.47039166666666665</v>
      </c>
      <c r="O1050" s="473">
        <v>0.36503333333333332</v>
      </c>
      <c r="P1050" s="473">
        <v>0.44336666666666663</v>
      </c>
      <c r="Q1050" s="473">
        <v>0.58906666666666663</v>
      </c>
      <c r="R1050" s="473">
        <v>0.48410000000000003</v>
      </c>
      <c r="S1050" s="153">
        <v>0.01</v>
      </c>
      <c r="T1050" s="153">
        <v>0.02</v>
      </c>
      <c r="U1050" s="478">
        <v>2018</v>
      </c>
      <c r="V1050" s="24">
        <f t="shared" si="105"/>
        <v>2038</v>
      </c>
      <c r="W1050">
        <v>0</v>
      </c>
      <c r="X1050">
        <v>0</v>
      </c>
      <c r="Y1050">
        <v>1315</v>
      </c>
      <c r="Z1050">
        <v>361</v>
      </c>
      <c r="AA1050" s="475" t="s">
        <v>24</v>
      </c>
    </row>
    <row r="1051" spans="1:27" ht="15" hidden="1">
      <c r="A1051" s="24">
        <f t="shared" si="106"/>
        <v>2050</v>
      </c>
      <c r="B1051" s="24">
        <f t="shared" si="106"/>
        <v>2050</v>
      </c>
      <c r="C1051" s="476" t="s">
        <v>1445</v>
      </c>
      <c r="D1051" t="s">
        <v>152</v>
      </c>
      <c r="E1051" s="477">
        <v>3</v>
      </c>
      <c r="F1051" s="471">
        <v>26</v>
      </c>
      <c r="G1051">
        <v>1</v>
      </c>
      <c r="H1051">
        <v>1</v>
      </c>
      <c r="I1051" s="472">
        <f t="shared" si="103"/>
        <v>0.47039166666666665</v>
      </c>
      <c r="J1051" s="473">
        <v>0.36503333333333332</v>
      </c>
      <c r="K1051" s="473">
        <v>0.44336666666666663</v>
      </c>
      <c r="L1051" s="473">
        <v>0.58906666666666663</v>
      </c>
      <c r="M1051" s="473">
        <v>0.48410000000000003</v>
      </c>
      <c r="N1051" s="472">
        <f t="shared" si="104"/>
        <v>0.47039166666666665</v>
      </c>
      <c r="O1051" s="473">
        <v>0.36503333333333332</v>
      </c>
      <c r="P1051" s="473">
        <v>0.44336666666666663</v>
      </c>
      <c r="Q1051" s="473">
        <v>0.58906666666666663</v>
      </c>
      <c r="R1051" s="473">
        <v>0.48410000000000003</v>
      </c>
      <c r="S1051" s="153">
        <v>0.01</v>
      </c>
      <c r="T1051" s="153">
        <v>0.02</v>
      </c>
      <c r="U1051" s="478">
        <v>2018</v>
      </c>
      <c r="V1051" s="24">
        <f t="shared" si="105"/>
        <v>2038</v>
      </c>
      <c r="W1051">
        <v>0</v>
      </c>
      <c r="X1051">
        <v>0</v>
      </c>
      <c r="Y1051">
        <v>1315</v>
      </c>
      <c r="Z1051">
        <v>361</v>
      </c>
      <c r="AA1051" s="475" t="s">
        <v>24</v>
      </c>
    </row>
    <row r="1052" spans="1:27" ht="15" hidden="1">
      <c r="A1052" s="24">
        <f t="shared" si="106"/>
        <v>2051</v>
      </c>
      <c r="B1052" s="24">
        <f t="shared" si="106"/>
        <v>2051</v>
      </c>
      <c r="C1052" s="476" t="s">
        <v>1446</v>
      </c>
      <c r="D1052" t="s">
        <v>152</v>
      </c>
      <c r="E1052" s="477">
        <v>3</v>
      </c>
      <c r="F1052" s="471">
        <v>28</v>
      </c>
      <c r="G1052">
        <v>1</v>
      </c>
      <c r="H1052">
        <v>1</v>
      </c>
      <c r="I1052" s="472">
        <f t="shared" si="103"/>
        <v>0.47039166666666665</v>
      </c>
      <c r="J1052" s="473">
        <v>0.36503333333333332</v>
      </c>
      <c r="K1052" s="473">
        <v>0.44336666666666663</v>
      </c>
      <c r="L1052" s="473">
        <v>0.58906666666666663</v>
      </c>
      <c r="M1052" s="473">
        <v>0.48410000000000003</v>
      </c>
      <c r="N1052" s="472">
        <f t="shared" si="104"/>
        <v>0.47039166666666665</v>
      </c>
      <c r="O1052" s="473">
        <v>0.36503333333333332</v>
      </c>
      <c r="P1052" s="473">
        <v>0.44336666666666663</v>
      </c>
      <c r="Q1052" s="473">
        <v>0.58906666666666663</v>
      </c>
      <c r="R1052" s="473">
        <v>0.48410000000000003</v>
      </c>
      <c r="S1052" s="153">
        <v>0.01</v>
      </c>
      <c r="T1052" s="153">
        <v>0.02</v>
      </c>
      <c r="U1052" s="478">
        <v>2018</v>
      </c>
      <c r="V1052" s="24">
        <f t="shared" si="105"/>
        <v>2038</v>
      </c>
      <c r="W1052">
        <v>0</v>
      </c>
      <c r="X1052">
        <v>0</v>
      </c>
      <c r="Y1052">
        <v>1315</v>
      </c>
      <c r="Z1052">
        <v>361</v>
      </c>
      <c r="AA1052" s="475" t="s">
        <v>24</v>
      </c>
    </row>
    <row r="1053" spans="1:27" ht="15" hidden="1">
      <c r="A1053" s="24">
        <f t="shared" si="106"/>
        <v>2052</v>
      </c>
      <c r="B1053" s="24">
        <f t="shared" si="106"/>
        <v>2052</v>
      </c>
      <c r="C1053" s="476" t="s">
        <v>1447</v>
      </c>
      <c r="D1053" t="s">
        <v>152</v>
      </c>
      <c r="E1053" s="477">
        <v>3</v>
      </c>
      <c r="F1053" s="471">
        <v>28</v>
      </c>
      <c r="G1053">
        <v>1</v>
      </c>
      <c r="H1053">
        <v>1</v>
      </c>
      <c r="I1053" s="472">
        <f t="shared" si="103"/>
        <v>0.47039166666666665</v>
      </c>
      <c r="J1053" s="473">
        <v>0.36503333333333332</v>
      </c>
      <c r="K1053" s="473">
        <v>0.44336666666666663</v>
      </c>
      <c r="L1053" s="473">
        <v>0.58906666666666663</v>
      </c>
      <c r="M1053" s="473">
        <v>0.48410000000000003</v>
      </c>
      <c r="N1053" s="472">
        <f t="shared" si="104"/>
        <v>0.47039166666666665</v>
      </c>
      <c r="O1053" s="473">
        <v>0.36503333333333332</v>
      </c>
      <c r="P1053" s="473">
        <v>0.44336666666666663</v>
      </c>
      <c r="Q1053" s="473">
        <v>0.58906666666666663</v>
      </c>
      <c r="R1053" s="473">
        <v>0.48410000000000003</v>
      </c>
      <c r="S1053" s="153">
        <v>0.01</v>
      </c>
      <c r="T1053" s="153">
        <v>0.02</v>
      </c>
      <c r="U1053" s="478">
        <v>2018</v>
      </c>
      <c r="V1053" s="24">
        <f t="shared" si="105"/>
        <v>2038</v>
      </c>
      <c r="W1053">
        <v>0</v>
      </c>
      <c r="X1053">
        <v>0</v>
      </c>
      <c r="Y1053">
        <v>1315</v>
      </c>
      <c r="Z1053">
        <v>361</v>
      </c>
      <c r="AA1053" s="475" t="s">
        <v>24</v>
      </c>
    </row>
    <row r="1054" spans="1:27" ht="15" hidden="1">
      <c r="A1054" s="24">
        <f t="shared" si="106"/>
        <v>2053</v>
      </c>
      <c r="B1054" s="24">
        <f t="shared" si="106"/>
        <v>2053</v>
      </c>
      <c r="C1054" s="476" t="s">
        <v>1448</v>
      </c>
      <c r="D1054" t="s">
        <v>152</v>
      </c>
      <c r="E1054" s="477">
        <v>3</v>
      </c>
      <c r="F1054" s="471">
        <v>23.92</v>
      </c>
      <c r="G1054">
        <v>1</v>
      </c>
      <c r="H1054">
        <v>1</v>
      </c>
      <c r="I1054" s="472">
        <f t="shared" si="103"/>
        <v>0.47039166666666665</v>
      </c>
      <c r="J1054" s="473">
        <v>0.36503333333333332</v>
      </c>
      <c r="K1054" s="473">
        <v>0.44336666666666663</v>
      </c>
      <c r="L1054" s="473">
        <v>0.58906666666666663</v>
      </c>
      <c r="M1054" s="473">
        <v>0.48410000000000003</v>
      </c>
      <c r="N1054" s="472">
        <f t="shared" si="104"/>
        <v>0.47039166666666665</v>
      </c>
      <c r="O1054" s="473">
        <v>0.36503333333333332</v>
      </c>
      <c r="P1054" s="473">
        <v>0.44336666666666663</v>
      </c>
      <c r="Q1054" s="473">
        <v>0.58906666666666663</v>
      </c>
      <c r="R1054" s="473">
        <v>0.48410000000000003</v>
      </c>
      <c r="S1054" s="153">
        <v>0.01</v>
      </c>
      <c r="T1054" s="153">
        <v>0.02</v>
      </c>
      <c r="U1054" s="478">
        <v>2016</v>
      </c>
      <c r="V1054" s="24">
        <f t="shared" si="105"/>
        <v>2036</v>
      </c>
      <c r="W1054">
        <v>0</v>
      </c>
      <c r="X1054">
        <v>0</v>
      </c>
      <c r="Y1054">
        <v>1315</v>
      </c>
      <c r="Z1054">
        <v>361</v>
      </c>
      <c r="AA1054" s="475" t="s">
        <v>24</v>
      </c>
    </row>
    <row r="1055" spans="1:27" ht="15" hidden="1">
      <c r="A1055" s="24">
        <f t="shared" si="106"/>
        <v>2054</v>
      </c>
      <c r="B1055" s="24">
        <f t="shared" si="106"/>
        <v>2054</v>
      </c>
      <c r="C1055" s="476" t="s">
        <v>1449</v>
      </c>
      <c r="D1055" t="s">
        <v>152</v>
      </c>
      <c r="E1055" s="477">
        <v>3</v>
      </c>
      <c r="F1055" s="471">
        <v>22.295000000000002</v>
      </c>
      <c r="G1055">
        <v>1</v>
      </c>
      <c r="H1055">
        <v>1</v>
      </c>
      <c r="I1055" s="472">
        <f t="shared" si="103"/>
        <v>0.47039166666666665</v>
      </c>
      <c r="J1055" s="473">
        <v>0.36503333333333332</v>
      </c>
      <c r="K1055" s="473">
        <v>0.44336666666666663</v>
      </c>
      <c r="L1055" s="473">
        <v>0.58906666666666663</v>
      </c>
      <c r="M1055" s="473">
        <v>0.48410000000000003</v>
      </c>
      <c r="N1055" s="472">
        <f t="shared" si="104"/>
        <v>0.47039166666666665</v>
      </c>
      <c r="O1055" s="473">
        <v>0.36503333333333332</v>
      </c>
      <c r="P1055" s="473">
        <v>0.44336666666666663</v>
      </c>
      <c r="Q1055" s="473">
        <v>0.58906666666666663</v>
      </c>
      <c r="R1055" s="473">
        <v>0.48410000000000003</v>
      </c>
      <c r="S1055" s="153">
        <v>0.01</v>
      </c>
      <c r="T1055" s="153">
        <v>0.02</v>
      </c>
      <c r="U1055" s="478">
        <v>2016</v>
      </c>
      <c r="V1055" s="24">
        <f t="shared" si="105"/>
        <v>2036</v>
      </c>
      <c r="W1055">
        <v>0</v>
      </c>
      <c r="X1055">
        <v>0</v>
      </c>
      <c r="Y1055">
        <v>1315</v>
      </c>
      <c r="Z1055">
        <v>361</v>
      </c>
      <c r="AA1055" s="475" t="s">
        <v>24</v>
      </c>
    </row>
    <row r="1056" spans="1:27" ht="15" hidden="1">
      <c r="A1056" s="24">
        <f t="shared" si="106"/>
        <v>2055</v>
      </c>
      <c r="B1056" s="24">
        <f t="shared" si="106"/>
        <v>2055</v>
      </c>
      <c r="C1056" s="476" t="s">
        <v>1450</v>
      </c>
      <c r="D1056" t="s">
        <v>152</v>
      </c>
      <c r="E1056" s="477">
        <v>3</v>
      </c>
      <c r="F1056" s="471">
        <v>11.945</v>
      </c>
      <c r="G1056">
        <v>1</v>
      </c>
      <c r="H1056">
        <v>1</v>
      </c>
      <c r="I1056" s="472">
        <f t="shared" si="103"/>
        <v>0.47039166666666665</v>
      </c>
      <c r="J1056" s="473">
        <v>0.36503333333333332</v>
      </c>
      <c r="K1056" s="473">
        <v>0.44336666666666663</v>
      </c>
      <c r="L1056" s="473">
        <v>0.58906666666666663</v>
      </c>
      <c r="M1056" s="473">
        <v>0.48410000000000003</v>
      </c>
      <c r="N1056" s="472">
        <f t="shared" si="104"/>
        <v>0.47039166666666665</v>
      </c>
      <c r="O1056" s="473">
        <v>0.36503333333333332</v>
      </c>
      <c r="P1056" s="473">
        <v>0.44336666666666663</v>
      </c>
      <c r="Q1056" s="473">
        <v>0.58906666666666663</v>
      </c>
      <c r="R1056" s="473">
        <v>0.48410000000000003</v>
      </c>
      <c r="S1056" s="153">
        <v>0.01</v>
      </c>
      <c r="T1056" s="153">
        <v>0.02</v>
      </c>
      <c r="U1056" s="478">
        <v>2016</v>
      </c>
      <c r="V1056" s="24">
        <f t="shared" si="105"/>
        <v>2036</v>
      </c>
      <c r="W1056">
        <v>0</v>
      </c>
      <c r="X1056">
        <v>0</v>
      </c>
      <c r="Y1056">
        <v>1315</v>
      </c>
      <c r="Z1056">
        <v>361</v>
      </c>
      <c r="AA1056" s="475" t="s">
        <v>24</v>
      </c>
    </row>
    <row r="1057" spans="1:27" ht="15" hidden="1">
      <c r="A1057" s="24">
        <f t="shared" ref="A1057:B1075" si="107">1000+ROW()-1</f>
        <v>2056</v>
      </c>
      <c r="B1057" s="24">
        <f t="shared" si="107"/>
        <v>2056</v>
      </c>
      <c r="C1057" s="476" t="s">
        <v>1451</v>
      </c>
      <c r="D1057" t="s">
        <v>152</v>
      </c>
      <c r="E1057" s="477">
        <v>3</v>
      </c>
      <c r="F1057" s="471">
        <v>10.29</v>
      </c>
      <c r="G1057">
        <v>1</v>
      </c>
      <c r="H1057">
        <v>1</v>
      </c>
      <c r="I1057" s="472">
        <f t="shared" si="103"/>
        <v>0.47039166666666665</v>
      </c>
      <c r="J1057" s="473">
        <v>0.36503333333333332</v>
      </c>
      <c r="K1057" s="473">
        <v>0.44336666666666663</v>
      </c>
      <c r="L1057" s="473">
        <v>0.58906666666666663</v>
      </c>
      <c r="M1057" s="473">
        <v>0.48410000000000003</v>
      </c>
      <c r="N1057" s="472">
        <f t="shared" si="104"/>
        <v>0.47039166666666665</v>
      </c>
      <c r="O1057" s="473">
        <v>0.36503333333333332</v>
      </c>
      <c r="P1057" s="473">
        <v>0.44336666666666663</v>
      </c>
      <c r="Q1057" s="473">
        <v>0.58906666666666663</v>
      </c>
      <c r="R1057" s="473">
        <v>0.48410000000000003</v>
      </c>
      <c r="S1057" s="153">
        <v>0.01</v>
      </c>
      <c r="T1057" s="153">
        <v>0.02</v>
      </c>
      <c r="U1057" s="478">
        <v>2016</v>
      </c>
      <c r="V1057" s="24">
        <f t="shared" si="105"/>
        <v>2036</v>
      </c>
      <c r="W1057">
        <v>0</v>
      </c>
      <c r="X1057">
        <v>0</v>
      </c>
      <c r="Y1057">
        <v>1315</v>
      </c>
      <c r="Z1057">
        <v>361</v>
      </c>
      <c r="AA1057" s="475" t="s">
        <v>24</v>
      </c>
    </row>
    <row r="1058" spans="1:27" ht="15" hidden="1">
      <c r="A1058" s="24">
        <f t="shared" si="107"/>
        <v>2057</v>
      </c>
      <c r="B1058" s="24">
        <f t="shared" si="107"/>
        <v>2057</v>
      </c>
      <c r="C1058" s="469" t="s">
        <v>1452</v>
      </c>
      <c r="D1058" t="s">
        <v>149</v>
      </c>
      <c r="E1058" s="470">
        <v>2</v>
      </c>
      <c r="F1058" s="471">
        <v>0</v>
      </c>
      <c r="G1058">
        <v>1</v>
      </c>
      <c r="H1058">
        <v>1</v>
      </c>
      <c r="I1058" s="472">
        <f t="shared" si="103"/>
        <v>0.32845968612834514</v>
      </c>
      <c r="J1058" s="153">
        <v>3.8473756479098807E-2</v>
      </c>
      <c r="K1058" s="153">
        <v>0.39358026214566905</v>
      </c>
      <c r="L1058" s="153">
        <v>0.53857526864315253</v>
      </c>
      <c r="M1058" s="153">
        <v>0.3432094572454602</v>
      </c>
      <c r="N1058" s="472">
        <f t="shared" si="104"/>
        <v>0.32845968612834514</v>
      </c>
      <c r="O1058" s="153">
        <v>3.8473756479098807E-2</v>
      </c>
      <c r="P1058" s="153">
        <v>0.39358026214566905</v>
      </c>
      <c r="Q1058" s="153">
        <v>0.53857526864315253</v>
      </c>
      <c r="R1058" s="153">
        <v>0.3432094572454602</v>
      </c>
      <c r="S1058" s="153">
        <v>0.03</v>
      </c>
      <c r="T1058" s="153">
        <v>0</v>
      </c>
      <c r="U1058" s="474">
        <v>1900</v>
      </c>
      <c r="V1058">
        <v>2030</v>
      </c>
      <c r="W1058">
        <v>0</v>
      </c>
      <c r="X1058">
        <v>0</v>
      </c>
      <c r="Y1058">
        <v>1304</v>
      </c>
      <c r="Z1058">
        <v>311</v>
      </c>
      <c r="AA1058" s="475" t="s">
        <v>23</v>
      </c>
    </row>
    <row r="1059" spans="1:27" ht="15" hidden="1">
      <c r="A1059" s="24">
        <f t="shared" si="107"/>
        <v>2058</v>
      </c>
      <c r="B1059" s="24">
        <f t="shared" si="107"/>
        <v>2058</v>
      </c>
      <c r="C1059" s="469" t="s">
        <v>1453</v>
      </c>
      <c r="D1059" t="s">
        <v>152</v>
      </c>
      <c r="E1059" s="470">
        <v>3</v>
      </c>
      <c r="F1059" s="471">
        <v>214.08</v>
      </c>
      <c r="G1059">
        <v>1</v>
      </c>
      <c r="H1059">
        <v>1</v>
      </c>
      <c r="I1059" s="472">
        <f t="shared" si="103"/>
        <v>0.32845968612834514</v>
      </c>
      <c r="J1059" s="153">
        <v>3.8473756479098807E-2</v>
      </c>
      <c r="K1059" s="153">
        <v>0.39358026214566905</v>
      </c>
      <c r="L1059" s="153">
        <v>0.53857526864315253</v>
      </c>
      <c r="M1059" s="153">
        <v>0.3432094572454602</v>
      </c>
      <c r="N1059" s="472">
        <f t="shared" si="104"/>
        <v>0.32845968612834514</v>
      </c>
      <c r="O1059" s="153">
        <v>3.8473756479098807E-2</v>
      </c>
      <c r="P1059" s="153">
        <v>0.39358026214566905</v>
      </c>
      <c r="Q1059" s="153">
        <v>0.53857526864315253</v>
      </c>
      <c r="R1059" s="153">
        <v>0.3432094572454602</v>
      </c>
      <c r="S1059" s="153">
        <v>0.03</v>
      </c>
      <c r="T1059" s="153">
        <v>0</v>
      </c>
      <c r="U1059" s="474">
        <v>1992</v>
      </c>
      <c r="V1059">
        <v>2023</v>
      </c>
      <c r="W1059">
        <v>0</v>
      </c>
      <c r="X1059">
        <v>0</v>
      </c>
      <c r="Y1059">
        <v>1304</v>
      </c>
      <c r="Z1059">
        <v>311</v>
      </c>
      <c r="AA1059" s="475" t="s">
        <v>23</v>
      </c>
    </row>
    <row r="1060" spans="1:27" ht="15" hidden="1">
      <c r="A1060" s="24">
        <f t="shared" si="107"/>
        <v>2059</v>
      </c>
      <c r="B1060" s="24">
        <f t="shared" si="107"/>
        <v>2059</v>
      </c>
      <c r="C1060" s="476" t="s">
        <v>1454</v>
      </c>
      <c r="D1060" t="s">
        <v>152</v>
      </c>
      <c r="E1060" s="477">
        <v>3</v>
      </c>
      <c r="F1060" s="471">
        <v>22.295000000000002</v>
      </c>
      <c r="G1060">
        <v>1</v>
      </c>
      <c r="H1060">
        <v>1</v>
      </c>
      <c r="I1060" s="472">
        <f t="shared" si="103"/>
        <v>0.47039166666666665</v>
      </c>
      <c r="J1060" s="473">
        <v>0.36503333333333332</v>
      </c>
      <c r="K1060" s="473">
        <v>0.44336666666666663</v>
      </c>
      <c r="L1060" s="473">
        <v>0.58906666666666663</v>
      </c>
      <c r="M1060" s="473">
        <v>0.48410000000000003</v>
      </c>
      <c r="N1060" s="472">
        <f t="shared" si="104"/>
        <v>0.47039166666666665</v>
      </c>
      <c r="O1060" s="473">
        <v>0.36503333333333332</v>
      </c>
      <c r="P1060" s="473">
        <v>0.44336666666666663</v>
      </c>
      <c r="Q1060" s="473">
        <v>0.58906666666666663</v>
      </c>
      <c r="R1060" s="473">
        <v>0.48410000000000003</v>
      </c>
      <c r="S1060" s="153">
        <v>0.01</v>
      </c>
      <c r="T1060" s="153">
        <v>0.02</v>
      </c>
      <c r="U1060" s="478">
        <v>2016</v>
      </c>
      <c r="V1060" s="24">
        <f t="shared" ref="V1060:V1067" si="108">U1060+20</f>
        <v>2036</v>
      </c>
      <c r="W1060">
        <v>0</v>
      </c>
      <c r="X1060">
        <v>0</v>
      </c>
      <c r="Y1060">
        <v>1315</v>
      </c>
      <c r="Z1060">
        <v>361</v>
      </c>
      <c r="AA1060" s="475" t="s">
        <v>24</v>
      </c>
    </row>
    <row r="1061" spans="1:27" ht="15" hidden="1">
      <c r="A1061" s="24">
        <f t="shared" si="107"/>
        <v>2060</v>
      </c>
      <c r="B1061" s="24">
        <f t="shared" si="107"/>
        <v>2060</v>
      </c>
      <c r="C1061" s="476" t="s">
        <v>1455</v>
      </c>
      <c r="D1061" t="s">
        <v>152</v>
      </c>
      <c r="E1061" s="477">
        <v>3</v>
      </c>
      <c r="F1061" s="471">
        <v>26</v>
      </c>
      <c r="G1061">
        <v>1</v>
      </c>
      <c r="H1061">
        <v>1</v>
      </c>
      <c r="I1061" s="472">
        <f t="shared" si="103"/>
        <v>0.47039166666666665</v>
      </c>
      <c r="J1061" s="473">
        <v>0.36503333333333332</v>
      </c>
      <c r="K1061" s="473">
        <v>0.44336666666666663</v>
      </c>
      <c r="L1061" s="473">
        <v>0.58906666666666663</v>
      </c>
      <c r="M1061" s="473">
        <v>0.48410000000000003</v>
      </c>
      <c r="N1061" s="472">
        <f t="shared" si="104"/>
        <v>0.47039166666666665</v>
      </c>
      <c r="O1061" s="473">
        <v>0.36503333333333332</v>
      </c>
      <c r="P1061" s="473">
        <v>0.44336666666666663</v>
      </c>
      <c r="Q1061" s="473">
        <v>0.58906666666666663</v>
      </c>
      <c r="R1061" s="473">
        <v>0.48410000000000003</v>
      </c>
      <c r="S1061" s="153">
        <v>0.01</v>
      </c>
      <c r="T1061" s="153">
        <v>0.02</v>
      </c>
      <c r="U1061" s="478">
        <v>2018</v>
      </c>
      <c r="V1061" s="24">
        <f t="shared" si="108"/>
        <v>2038</v>
      </c>
      <c r="W1061">
        <v>0</v>
      </c>
      <c r="X1061">
        <v>0</v>
      </c>
      <c r="Y1061">
        <v>1315</v>
      </c>
      <c r="Z1061">
        <v>361</v>
      </c>
      <c r="AA1061" s="475" t="s">
        <v>24</v>
      </c>
    </row>
    <row r="1062" spans="1:27" ht="15" hidden="1">
      <c r="A1062" s="24">
        <f t="shared" si="107"/>
        <v>2061</v>
      </c>
      <c r="B1062" s="24">
        <f t="shared" si="107"/>
        <v>2061</v>
      </c>
      <c r="C1062" s="476" t="s">
        <v>1456</v>
      </c>
      <c r="D1062" t="s">
        <v>152</v>
      </c>
      <c r="E1062" s="477">
        <v>3</v>
      </c>
      <c r="F1062" s="471">
        <v>26</v>
      </c>
      <c r="G1062">
        <v>1</v>
      </c>
      <c r="H1062">
        <v>1</v>
      </c>
      <c r="I1062" s="472">
        <f t="shared" si="103"/>
        <v>0.47039166666666665</v>
      </c>
      <c r="J1062" s="473">
        <v>0.36503333333333332</v>
      </c>
      <c r="K1062" s="473">
        <v>0.44336666666666663</v>
      </c>
      <c r="L1062" s="473">
        <v>0.58906666666666663</v>
      </c>
      <c r="M1062" s="473">
        <v>0.48410000000000003</v>
      </c>
      <c r="N1062" s="472">
        <f t="shared" si="104"/>
        <v>0.47039166666666665</v>
      </c>
      <c r="O1062" s="473">
        <v>0.36503333333333332</v>
      </c>
      <c r="P1062" s="473">
        <v>0.44336666666666663</v>
      </c>
      <c r="Q1062" s="473">
        <v>0.58906666666666663</v>
      </c>
      <c r="R1062" s="473">
        <v>0.48410000000000003</v>
      </c>
      <c r="S1062" s="153">
        <v>0.01</v>
      </c>
      <c r="T1062" s="153">
        <v>0.02</v>
      </c>
      <c r="U1062" s="478">
        <v>2018</v>
      </c>
      <c r="V1062" s="24">
        <f t="shared" si="108"/>
        <v>2038</v>
      </c>
      <c r="W1062">
        <v>0</v>
      </c>
      <c r="X1062">
        <v>0</v>
      </c>
      <c r="Y1062">
        <v>1315</v>
      </c>
      <c r="Z1062">
        <v>361</v>
      </c>
      <c r="AA1062" s="475" t="s">
        <v>24</v>
      </c>
    </row>
    <row r="1063" spans="1:27" ht="15" hidden="1">
      <c r="A1063" s="24">
        <f t="shared" si="107"/>
        <v>2062</v>
      </c>
      <c r="B1063" s="24">
        <f t="shared" si="107"/>
        <v>2062</v>
      </c>
      <c r="C1063" s="476" t="s">
        <v>1457</v>
      </c>
      <c r="D1063" t="s">
        <v>152</v>
      </c>
      <c r="E1063" s="477">
        <v>3</v>
      </c>
      <c r="F1063" s="471">
        <v>20</v>
      </c>
      <c r="G1063">
        <v>1</v>
      </c>
      <c r="H1063">
        <v>1</v>
      </c>
      <c r="I1063" s="472">
        <f t="shared" si="103"/>
        <v>0.47039166666666665</v>
      </c>
      <c r="J1063" s="473">
        <v>0.36503333333333332</v>
      </c>
      <c r="K1063" s="473">
        <v>0.44336666666666663</v>
      </c>
      <c r="L1063" s="473">
        <v>0.58906666666666663</v>
      </c>
      <c r="M1063" s="473">
        <v>0.48410000000000003</v>
      </c>
      <c r="N1063" s="472">
        <f t="shared" si="104"/>
        <v>0.47039166666666665</v>
      </c>
      <c r="O1063" s="473">
        <v>0.36503333333333332</v>
      </c>
      <c r="P1063" s="473">
        <v>0.44336666666666663</v>
      </c>
      <c r="Q1063" s="473">
        <v>0.58906666666666663</v>
      </c>
      <c r="R1063" s="473">
        <v>0.48410000000000003</v>
      </c>
      <c r="S1063" s="153">
        <v>0.01</v>
      </c>
      <c r="T1063" s="153">
        <v>0.02</v>
      </c>
      <c r="U1063" s="478">
        <v>2016</v>
      </c>
      <c r="V1063" s="24">
        <f t="shared" si="108"/>
        <v>2036</v>
      </c>
      <c r="W1063">
        <v>0</v>
      </c>
      <c r="X1063">
        <v>0</v>
      </c>
      <c r="Y1063">
        <v>1315</v>
      </c>
      <c r="Z1063">
        <v>361</v>
      </c>
      <c r="AA1063" s="475" t="s">
        <v>24</v>
      </c>
    </row>
    <row r="1064" spans="1:27" ht="15" hidden="1">
      <c r="A1064" s="24">
        <f t="shared" si="107"/>
        <v>2063</v>
      </c>
      <c r="B1064" s="24">
        <f t="shared" si="107"/>
        <v>2063</v>
      </c>
      <c r="C1064" s="476" t="s">
        <v>1458</v>
      </c>
      <c r="D1064" t="s">
        <v>152</v>
      </c>
      <c r="E1064" s="477">
        <v>3</v>
      </c>
      <c r="F1064" s="471">
        <v>30</v>
      </c>
      <c r="G1064">
        <v>1</v>
      </c>
      <c r="H1064">
        <v>1</v>
      </c>
      <c r="I1064" s="472">
        <f t="shared" si="103"/>
        <v>0.47039166666666665</v>
      </c>
      <c r="J1064" s="473">
        <v>0.36503333333333332</v>
      </c>
      <c r="K1064" s="473">
        <v>0.44336666666666663</v>
      </c>
      <c r="L1064" s="473">
        <v>0.58906666666666663</v>
      </c>
      <c r="M1064" s="473">
        <v>0.48410000000000003</v>
      </c>
      <c r="N1064" s="472">
        <f t="shared" si="104"/>
        <v>0.47039166666666665</v>
      </c>
      <c r="O1064" s="473">
        <v>0.36503333333333332</v>
      </c>
      <c r="P1064" s="473">
        <v>0.44336666666666663</v>
      </c>
      <c r="Q1064" s="473">
        <v>0.58906666666666663</v>
      </c>
      <c r="R1064" s="473">
        <v>0.48410000000000003</v>
      </c>
      <c r="S1064" s="153">
        <v>0.01</v>
      </c>
      <c r="T1064" s="153">
        <v>0.02</v>
      </c>
      <c r="U1064" s="478">
        <v>2016</v>
      </c>
      <c r="V1064" s="24">
        <f t="shared" si="108"/>
        <v>2036</v>
      </c>
      <c r="W1064">
        <v>0</v>
      </c>
      <c r="X1064">
        <v>0</v>
      </c>
      <c r="Y1064">
        <v>1315</v>
      </c>
      <c r="Z1064">
        <v>361</v>
      </c>
      <c r="AA1064" s="475" t="s">
        <v>24</v>
      </c>
    </row>
    <row r="1065" spans="1:27" ht="15" hidden="1">
      <c r="A1065" s="24">
        <f t="shared" si="107"/>
        <v>2064</v>
      </c>
      <c r="B1065" s="24">
        <f t="shared" si="107"/>
        <v>2064</v>
      </c>
      <c r="C1065" s="476" t="s">
        <v>1459</v>
      </c>
      <c r="D1065" t="s">
        <v>152</v>
      </c>
      <c r="E1065" s="477">
        <v>3</v>
      </c>
      <c r="F1065" s="471">
        <v>30</v>
      </c>
      <c r="G1065">
        <v>1</v>
      </c>
      <c r="H1065">
        <v>1</v>
      </c>
      <c r="I1065" s="472">
        <f t="shared" si="103"/>
        <v>0.47039166666666665</v>
      </c>
      <c r="J1065" s="473">
        <v>0.36503333333333332</v>
      </c>
      <c r="K1065" s="473">
        <v>0.44336666666666663</v>
      </c>
      <c r="L1065" s="473">
        <v>0.58906666666666663</v>
      </c>
      <c r="M1065" s="473">
        <v>0.48410000000000003</v>
      </c>
      <c r="N1065" s="472">
        <f t="shared" si="104"/>
        <v>0.47039166666666665</v>
      </c>
      <c r="O1065" s="473">
        <v>0.36503333333333332</v>
      </c>
      <c r="P1065" s="473">
        <v>0.44336666666666663</v>
      </c>
      <c r="Q1065" s="473">
        <v>0.58906666666666663</v>
      </c>
      <c r="R1065" s="473">
        <v>0.48410000000000003</v>
      </c>
      <c r="S1065" s="153">
        <v>0.01</v>
      </c>
      <c r="T1065" s="153">
        <v>0.02</v>
      </c>
      <c r="U1065" s="478">
        <v>2016</v>
      </c>
      <c r="V1065" s="24">
        <f t="shared" si="108"/>
        <v>2036</v>
      </c>
      <c r="W1065">
        <v>0</v>
      </c>
      <c r="X1065">
        <v>0</v>
      </c>
      <c r="Y1065">
        <v>1315</v>
      </c>
      <c r="Z1065">
        <v>361</v>
      </c>
      <c r="AA1065" s="475" t="s">
        <v>24</v>
      </c>
    </row>
    <row r="1066" spans="1:27" ht="15" hidden="1">
      <c r="A1066" s="24">
        <f t="shared" si="107"/>
        <v>2065</v>
      </c>
      <c r="B1066" s="24">
        <f t="shared" si="107"/>
        <v>2065</v>
      </c>
      <c r="C1066" s="476" t="s">
        <v>1460</v>
      </c>
      <c r="D1066" t="s">
        <v>152</v>
      </c>
      <c r="E1066" s="477">
        <v>3</v>
      </c>
      <c r="F1066" s="471">
        <v>18.48</v>
      </c>
      <c r="G1066">
        <v>1</v>
      </c>
      <c r="H1066">
        <v>1</v>
      </c>
      <c r="I1066" s="472">
        <f t="shared" si="103"/>
        <v>0.47039166666666665</v>
      </c>
      <c r="J1066" s="473">
        <v>0.36503333333333332</v>
      </c>
      <c r="K1066" s="473">
        <v>0.44336666666666663</v>
      </c>
      <c r="L1066" s="473">
        <v>0.58906666666666663</v>
      </c>
      <c r="M1066" s="473">
        <v>0.48410000000000003</v>
      </c>
      <c r="N1066" s="472">
        <f t="shared" si="104"/>
        <v>0.47039166666666665</v>
      </c>
      <c r="O1066" s="473">
        <v>0.36503333333333332</v>
      </c>
      <c r="P1066" s="473">
        <v>0.44336666666666663</v>
      </c>
      <c r="Q1066" s="473">
        <v>0.58906666666666663</v>
      </c>
      <c r="R1066" s="473">
        <v>0.48410000000000003</v>
      </c>
      <c r="S1066" s="153">
        <v>0.01</v>
      </c>
      <c r="T1066" s="153">
        <v>0.02</v>
      </c>
      <c r="U1066" s="478">
        <v>2016</v>
      </c>
      <c r="V1066" s="24">
        <f t="shared" si="108"/>
        <v>2036</v>
      </c>
      <c r="W1066">
        <v>0</v>
      </c>
      <c r="X1066">
        <v>0</v>
      </c>
      <c r="Y1066">
        <v>1315</v>
      </c>
      <c r="Z1066">
        <v>361</v>
      </c>
      <c r="AA1066" s="475" t="s">
        <v>24</v>
      </c>
    </row>
    <row r="1067" spans="1:27" ht="15" hidden="1">
      <c r="A1067" s="24">
        <f t="shared" si="107"/>
        <v>2066</v>
      </c>
      <c r="B1067" s="24">
        <f t="shared" si="107"/>
        <v>2066</v>
      </c>
      <c r="C1067" s="476" t="s">
        <v>1461</v>
      </c>
      <c r="D1067" t="s">
        <v>152</v>
      </c>
      <c r="E1067" s="477">
        <v>3</v>
      </c>
      <c r="F1067" s="471">
        <v>28</v>
      </c>
      <c r="G1067">
        <v>1</v>
      </c>
      <c r="H1067">
        <v>1</v>
      </c>
      <c r="I1067" s="472">
        <f t="shared" si="103"/>
        <v>0.47039166666666665</v>
      </c>
      <c r="J1067" s="473">
        <v>0.36503333333333332</v>
      </c>
      <c r="K1067" s="473">
        <v>0.44336666666666663</v>
      </c>
      <c r="L1067" s="473">
        <v>0.58906666666666663</v>
      </c>
      <c r="M1067" s="473">
        <v>0.48410000000000003</v>
      </c>
      <c r="N1067" s="472">
        <f t="shared" si="104"/>
        <v>0.47039166666666665</v>
      </c>
      <c r="O1067" s="473">
        <v>0.36503333333333332</v>
      </c>
      <c r="P1067" s="473">
        <v>0.44336666666666663</v>
      </c>
      <c r="Q1067" s="473">
        <v>0.58906666666666663</v>
      </c>
      <c r="R1067" s="473">
        <v>0.48410000000000003</v>
      </c>
      <c r="S1067" s="153">
        <v>0.01</v>
      </c>
      <c r="T1067" s="153">
        <v>0.02</v>
      </c>
      <c r="U1067" s="478">
        <v>2018</v>
      </c>
      <c r="V1067" s="24">
        <f t="shared" si="108"/>
        <v>2038</v>
      </c>
      <c r="W1067">
        <v>0</v>
      </c>
      <c r="X1067">
        <v>0</v>
      </c>
      <c r="Y1067">
        <v>1315</v>
      </c>
      <c r="Z1067">
        <v>361</v>
      </c>
      <c r="AA1067" s="475" t="s">
        <v>24</v>
      </c>
    </row>
    <row r="1068" spans="1:27" ht="15" hidden="1">
      <c r="A1068" s="24">
        <f t="shared" si="107"/>
        <v>2067</v>
      </c>
      <c r="B1068" s="24">
        <f t="shared" si="107"/>
        <v>2067</v>
      </c>
      <c r="C1068" s="469" t="s">
        <v>1462</v>
      </c>
      <c r="D1068" t="s">
        <v>152</v>
      </c>
      <c r="E1068" s="470">
        <v>3</v>
      </c>
      <c r="F1068" s="471">
        <v>0</v>
      </c>
      <c r="G1068">
        <v>1</v>
      </c>
      <c r="H1068">
        <v>1</v>
      </c>
      <c r="I1068" s="472">
        <f t="shared" si="103"/>
        <v>0.32845968612834514</v>
      </c>
      <c r="J1068" s="153">
        <v>3.8473756479098807E-2</v>
      </c>
      <c r="K1068" s="153">
        <v>0.39358026214566905</v>
      </c>
      <c r="L1068" s="153">
        <v>0.53857526864315253</v>
      </c>
      <c r="M1068" s="153">
        <v>0.3432094572454602</v>
      </c>
      <c r="N1068" s="472">
        <f t="shared" si="104"/>
        <v>0.32845968612834514</v>
      </c>
      <c r="O1068" s="153">
        <v>3.8473756479098807E-2</v>
      </c>
      <c r="P1068" s="153">
        <v>0.39358026214566905</v>
      </c>
      <c r="Q1068" s="153">
        <v>0.53857526864315253</v>
      </c>
      <c r="R1068" s="153">
        <v>0.3432094572454602</v>
      </c>
      <c r="S1068" s="153">
        <v>0.03</v>
      </c>
      <c r="T1068" s="153">
        <v>0</v>
      </c>
      <c r="U1068" s="474">
        <v>1900</v>
      </c>
      <c r="V1068">
        <v>2030</v>
      </c>
      <c r="W1068">
        <v>0</v>
      </c>
      <c r="X1068">
        <v>0</v>
      </c>
      <c r="Y1068">
        <v>1304</v>
      </c>
      <c r="Z1068">
        <v>311</v>
      </c>
      <c r="AA1068" s="475" t="s">
        <v>23</v>
      </c>
    </row>
    <row r="1069" spans="1:27" ht="15" hidden="1">
      <c r="A1069" s="24">
        <f t="shared" si="107"/>
        <v>2068</v>
      </c>
      <c r="B1069" s="24">
        <f t="shared" si="107"/>
        <v>2068</v>
      </c>
      <c r="C1069" s="469" t="s">
        <v>1463</v>
      </c>
      <c r="D1069" t="s">
        <v>152</v>
      </c>
      <c r="E1069" s="470">
        <v>3</v>
      </c>
      <c r="F1069" s="471">
        <v>8</v>
      </c>
      <c r="G1069">
        <v>1</v>
      </c>
      <c r="H1069">
        <v>1</v>
      </c>
      <c r="I1069" s="472">
        <f t="shared" si="103"/>
        <v>0.32845968612834514</v>
      </c>
      <c r="J1069" s="153">
        <v>3.8473756479098807E-2</v>
      </c>
      <c r="K1069" s="153">
        <v>0.39358026214566905</v>
      </c>
      <c r="L1069" s="153">
        <v>0.53857526864315253</v>
      </c>
      <c r="M1069" s="153">
        <v>0.3432094572454602</v>
      </c>
      <c r="N1069" s="472">
        <f t="shared" si="104"/>
        <v>0.32845968612834514</v>
      </c>
      <c r="O1069" s="153">
        <v>3.8473756479098807E-2</v>
      </c>
      <c r="P1069" s="153">
        <v>0.39358026214566905</v>
      </c>
      <c r="Q1069" s="153">
        <v>0.53857526864315253</v>
      </c>
      <c r="R1069" s="153">
        <v>0.3432094572454602</v>
      </c>
      <c r="S1069" s="153">
        <v>0.03</v>
      </c>
      <c r="T1069" s="153">
        <v>0</v>
      </c>
      <c r="U1069" s="474">
        <v>2011</v>
      </c>
      <c r="V1069">
        <v>2030</v>
      </c>
      <c r="W1069">
        <v>0</v>
      </c>
      <c r="X1069">
        <v>0</v>
      </c>
      <c r="Y1069">
        <v>1304</v>
      </c>
      <c r="Z1069">
        <v>311</v>
      </c>
      <c r="AA1069" s="475" t="s">
        <v>23</v>
      </c>
    </row>
    <row r="1070" spans="1:27" ht="15" hidden="1">
      <c r="A1070" s="24">
        <f t="shared" si="107"/>
        <v>2069</v>
      </c>
      <c r="B1070" s="24">
        <f t="shared" si="107"/>
        <v>2069</v>
      </c>
      <c r="C1070" s="476" t="s">
        <v>1464</v>
      </c>
      <c r="D1070" t="s">
        <v>152</v>
      </c>
      <c r="E1070" s="477">
        <v>3</v>
      </c>
      <c r="F1070" s="471">
        <v>28</v>
      </c>
      <c r="G1070">
        <v>1</v>
      </c>
      <c r="H1070">
        <v>1</v>
      </c>
      <c r="I1070" s="472">
        <f t="shared" si="103"/>
        <v>0.47039166666666665</v>
      </c>
      <c r="J1070" s="473">
        <v>0.36503333333333332</v>
      </c>
      <c r="K1070" s="473">
        <v>0.44336666666666663</v>
      </c>
      <c r="L1070" s="473">
        <v>0.58906666666666663</v>
      </c>
      <c r="M1070" s="473">
        <v>0.48410000000000003</v>
      </c>
      <c r="N1070" s="472">
        <f t="shared" si="104"/>
        <v>0.47039166666666665</v>
      </c>
      <c r="O1070" s="473">
        <v>0.36503333333333332</v>
      </c>
      <c r="P1070" s="473">
        <v>0.44336666666666663</v>
      </c>
      <c r="Q1070" s="473">
        <v>0.58906666666666663</v>
      </c>
      <c r="R1070" s="473">
        <v>0.48410000000000003</v>
      </c>
      <c r="S1070" s="153">
        <v>0.01</v>
      </c>
      <c r="T1070" s="153">
        <v>0.02</v>
      </c>
      <c r="U1070" s="478">
        <v>2018</v>
      </c>
      <c r="V1070" s="24">
        <f t="shared" ref="V1070:V1092" si="109">U1070+20</f>
        <v>2038</v>
      </c>
      <c r="W1070">
        <v>0</v>
      </c>
      <c r="X1070">
        <v>0</v>
      </c>
      <c r="Y1070">
        <v>1315</v>
      </c>
      <c r="Z1070">
        <v>361</v>
      </c>
      <c r="AA1070" s="475" t="s">
        <v>24</v>
      </c>
    </row>
    <row r="1071" spans="1:27" ht="15" hidden="1">
      <c r="A1071" s="24">
        <f t="shared" si="107"/>
        <v>2070</v>
      </c>
      <c r="B1071" s="24">
        <f t="shared" si="107"/>
        <v>2070</v>
      </c>
      <c r="C1071" s="476" t="s">
        <v>1465</v>
      </c>
      <c r="D1071" t="s">
        <v>152</v>
      </c>
      <c r="E1071" s="477">
        <v>3</v>
      </c>
      <c r="F1071" s="471">
        <v>28</v>
      </c>
      <c r="G1071">
        <v>1</v>
      </c>
      <c r="H1071">
        <v>1</v>
      </c>
      <c r="I1071" s="472">
        <f t="shared" si="103"/>
        <v>0.47039166666666665</v>
      </c>
      <c r="J1071" s="473">
        <v>0.36503333333333332</v>
      </c>
      <c r="K1071" s="473">
        <v>0.44336666666666663</v>
      </c>
      <c r="L1071" s="473">
        <v>0.58906666666666663</v>
      </c>
      <c r="M1071" s="473">
        <v>0.48410000000000003</v>
      </c>
      <c r="N1071" s="472">
        <f t="shared" si="104"/>
        <v>0.47039166666666665</v>
      </c>
      <c r="O1071" s="473">
        <v>0.36503333333333332</v>
      </c>
      <c r="P1071" s="473">
        <v>0.44336666666666663</v>
      </c>
      <c r="Q1071" s="473">
        <v>0.58906666666666663</v>
      </c>
      <c r="R1071" s="473">
        <v>0.48410000000000003</v>
      </c>
      <c r="S1071" s="153">
        <v>0.01</v>
      </c>
      <c r="T1071" s="153">
        <v>0.02</v>
      </c>
      <c r="U1071" s="478">
        <v>2018</v>
      </c>
      <c r="V1071" s="24">
        <f t="shared" si="109"/>
        <v>2038</v>
      </c>
      <c r="W1071">
        <v>0</v>
      </c>
      <c r="X1071">
        <v>0</v>
      </c>
      <c r="Y1071">
        <v>1315</v>
      </c>
      <c r="Z1071">
        <v>361</v>
      </c>
      <c r="AA1071" s="475" t="s">
        <v>24</v>
      </c>
    </row>
    <row r="1072" spans="1:27" ht="15" hidden="1">
      <c r="A1072" s="24">
        <f t="shared" si="107"/>
        <v>2071</v>
      </c>
      <c r="B1072" s="24">
        <f t="shared" si="107"/>
        <v>2071</v>
      </c>
      <c r="C1072" s="476" t="s">
        <v>1466</v>
      </c>
      <c r="D1072" t="s">
        <v>152</v>
      </c>
      <c r="E1072" s="477">
        <v>3</v>
      </c>
      <c r="F1072" s="471">
        <v>21.6</v>
      </c>
      <c r="G1072">
        <v>1</v>
      </c>
      <c r="H1072">
        <v>1</v>
      </c>
      <c r="I1072" s="472">
        <f t="shared" si="103"/>
        <v>0.47039166666666665</v>
      </c>
      <c r="J1072" s="473">
        <v>0.36503333333333332</v>
      </c>
      <c r="K1072" s="473">
        <v>0.44336666666666663</v>
      </c>
      <c r="L1072" s="473">
        <v>0.58906666666666663</v>
      </c>
      <c r="M1072" s="473">
        <v>0.48410000000000003</v>
      </c>
      <c r="N1072" s="472">
        <f t="shared" si="104"/>
        <v>0.47039166666666665</v>
      </c>
      <c r="O1072" s="473">
        <v>0.36503333333333332</v>
      </c>
      <c r="P1072" s="473">
        <v>0.44336666666666663</v>
      </c>
      <c r="Q1072" s="473">
        <v>0.58906666666666663</v>
      </c>
      <c r="R1072" s="473">
        <v>0.48410000000000003</v>
      </c>
      <c r="S1072" s="153">
        <v>0.01</v>
      </c>
      <c r="T1072" s="153">
        <v>0.02</v>
      </c>
      <c r="U1072" s="478">
        <v>2018</v>
      </c>
      <c r="V1072" s="24">
        <f t="shared" si="109"/>
        <v>2038</v>
      </c>
      <c r="W1072">
        <v>0</v>
      </c>
      <c r="X1072">
        <v>0</v>
      </c>
      <c r="Y1072">
        <v>1315</v>
      </c>
      <c r="Z1072">
        <v>361</v>
      </c>
      <c r="AA1072" s="475" t="s">
        <v>24</v>
      </c>
    </row>
    <row r="1073" spans="1:27" ht="15" hidden="1">
      <c r="A1073" s="24">
        <f t="shared" si="107"/>
        <v>2072</v>
      </c>
      <c r="B1073" s="24">
        <f t="shared" si="107"/>
        <v>2072</v>
      </c>
      <c r="C1073" s="476" t="s">
        <v>1467</v>
      </c>
      <c r="D1073" t="s">
        <v>152</v>
      </c>
      <c r="E1073" s="477">
        <v>3</v>
      </c>
      <c r="F1073" s="471">
        <v>15</v>
      </c>
      <c r="G1073">
        <v>1</v>
      </c>
      <c r="H1073">
        <v>1</v>
      </c>
      <c r="I1073" s="472">
        <f t="shared" si="103"/>
        <v>0.47039166666666665</v>
      </c>
      <c r="J1073" s="473">
        <v>0.36503333333333332</v>
      </c>
      <c r="K1073" s="473">
        <v>0.44336666666666663</v>
      </c>
      <c r="L1073" s="473">
        <v>0.58906666666666663</v>
      </c>
      <c r="M1073" s="473">
        <v>0.48410000000000003</v>
      </c>
      <c r="N1073" s="472">
        <f t="shared" si="104"/>
        <v>0.47039166666666665</v>
      </c>
      <c r="O1073" s="473">
        <v>0.36503333333333332</v>
      </c>
      <c r="P1073" s="473">
        <v>0.44336666666666663</v>
      </c>
      <c r="Q1073" s="473">
        <v>0.58906666666666663</v>
      </c>
      <c r="R1073" s="473">
        <v>0.48410000000000003</v>
      </c>
      <c r="S1073" s="153">
        <v>0.01</v>
      </c>
      <c r="T1073" s="153">
        <v>0.02</v>
      </c>
      <c r="U1073" s="478">
        <v>2018</v>
      </c>
      <c r="V1073" s="24">
        <f t="shared" si="109"/>
        <v>2038</v>
      </c>
      <c r="W1073">
        <v>0</v>
      </c>
      <c r="X1073">
        <v>0</v>
      </c>
      <c r="Y1073">
        <v>1315</v>
      </c>
      <c r="Z1073">
        <v>361</v>
      </c>
      <c r="AA1073" s="475" t="s">
        <v>24</v>
      </c>
    </row>
    <row r="1074" spans="1:27" ht="15" hidden="1">
      <c r="A1074" s="24">
        <f t="shared" si="107"/>
        <v>2073</v>
      </c>
      <c r="B1074" s="24">
        <f t="shared" si="107"/>
        <v>2073</v>
      </c>
      <c r="C1074" s="476" t="s">
        <v>1468</v>
      </c>
      <c r="D1074" t="s">
        <v>152</v>
      </c>
      <c r="E1074" s="477">
        <v>3</v>
      </c>
      <c r="F1074" s="471">
        <v>24</v>
      </c>
      <c r="G1074">
        <v>1</v>
      </c>
      <c r="H1074">
        <v>1</v>
      </c>
      <c r="I1074" s="472">
        <f t="shared" si="103"/>
        <v>0.47039166666666665</v>
      </c>
      <c r="J1074" s="473">
        <v>0.36503333333333332</v>
      </c>
      <c r="K1074" s="473">
        <v>0.44336666666666663</v>
      </c>
      <c r="L1074" s="473">
        <v>0.58906666666666663</v>
      </c>
      <c r="M1074" s="473">
        <v>0.48410000000000003</v>
      </c>
      <c r="N1074" s="472">
        <f t="shared" si="104"/>
        <v>0.47039166666666665</v>
      </c>
      <c r="O1074" s="473">
        <v>0.36503333333333332</v>
      </c>
      <c r="P1074" s="473">
        <v>0.44336666666666663</v>
      </c>
      <c r="Q1074" s="473">
        <v>0.58906666666666663</v>
      </c>
      <c r="R1074" s="473">
        <v>0.48410000000000003</v>
      </c>
      <c r="S1074" s="153">
        <v>0.01</v>
      </c>
      <c r="T1074" s="153">
        <v>0.02</v>
      </c>
      <c r="U1074" s="478">
        <v>2018</v>
      </c>
      <c r="V1074" s="24">
        <f t="shared" si="109"/>
        <v>2038</v>
      </c>
      <c r="W1074">
        <v>0</v>
      </c>
      <c r="X1074">
        <v>0</v>
      </c>
      <c r="Y1074">
        <v>1315</v>
      </c>
      <c r="Z1074">
        <v>361</v>
      </c>
      <c r="AA1074" s="475" t="s">
        <v>24</v>
      </c>
    </row>
    <row r="1075" spans="1:27" ht="15" hidden="1">
      <c r="A1075" s="24">
        <f t="shared" si="107"/>
        <v>2074</v>
      </c>
      <c r="B1075" s="24">
        <f t="shared" si="107"/>
        <v>2074</v>
      </c>
      <c r="C1075" s="476" t="s">
        <v>1469</v>
      </c>
      <c r="D1075" t="s">
        <v>152</v>
      </c>
      <c r="E1075" s="477">
        <v>3</v>
      </c>
      <c r="F1075" s="471">
        <v>29.6</v>
      </c>
      <c r="G1075">
        <v>1</v>
      </c>
      <c r="H1075">
        <v>1</v>
      </c>
      <c r="I1075" s="472">
        <f t="shared" si="103"/>
        <v>0.47039166666666665</v>
      </c>
      <c r="J1075" s="473">
        <v>0.36503333333333332</v>
      </c>
      <c r="K1075" s="473">
        <v>0.44336666666666663</v>
      </c>
      <c r="L1075" s="473">
        <v>0.58906666666666663</v>
      </c>
      <c r="M1075" s="473">
        <v>0.48410000000000003</v>
      </c>
      <c r="N1075" s="472">
        <f t="shared" si="104"/>
        <v>0.47039166666666665</v>
      </c>
      <c r="O1075" s="473">
        <v>0.36503333333333332</v>
      </c>
      <c r="P1075" s="473">
        <v>0.44336666666666663</v>
      </c>
      <c r="Q1075" s="473">
        <v>0.58906666666666663</v>
      </c>
      <c r="R1075" s="473">
        <v>0.48410000000000003</v>
      </c>
      <c r="S1075" s="153">
        <v>0.01</v>
      </c>
      <c r="T1075" s="153">
        <v>0.02</v>
      </c>
      <c r="U1075" s="478">
        <v>2016</v>
      </c>
      <c r="V1075" s="24">
        <f t="shared" si="109"/>
        <v>2036</v>
      </c>
      <c r="W1075">
        <v>0</v>
      </c>
      <c r="X1075">
        <v>0</v>
      </c>
      <c r="Y1075">
        <v>1315</v>
      </c>
      <c r="Z1075">
        <v>361</v>
      </c>
      <c r="AA1075" s="475" t="s">
        <v>24</v>
      </c>
    </row>
    <row r="1076" spans="1:27" ht="15" hidden="1">
      <c r="A1076" s="24">
        <f t="shared" ref="A1076:B1095" si="110">1000+ROW()-1</f>
        <v>2075</v>
      </c>
      <c r="B1076" s="24">
        <f t="shared" si="110"/>
        <v>2075</v>
      </c>
      <c r="C1076" s="476" t="s">
        <v>1470</v>
      </c>
      <c r="D1076" t="s">
        <v>152</v>
      </c>
      <c r="E1076" s="477">
        <v>3</v>
      </c>
      <c r="F1076" s="471">
        <v>14</v>
      </c>
      <c r="G1076">
        <v>1</v>
      </c>
      <c r="H1076">
        <v>1</v>
      </c>
      <c r="I1076" s="472">
        <f t="shared" si="103"/>
        <v>0.47039166666666665</v>
      </c>
      <c r="J1076" s="473">
        <v>0.36503333333333332</v>
      </c>
      <c r="K1076" s="473">
        <v>0.44336666666666663</v>
      </c>
      <c r="L1076" s="473">
        <v>0.58906666666666663</v>
      </c>
      <c r="M1076" s="473">
        <v>0.48410000000000003</v>
      </c>
      <c r="N1076" s="472">
        <f t="shared" si="104"/>
        <v>0.47039166666666665</v>
      </c>
      <c r="O1076" s="473">
        <v>0.36503333333333332</v>
      </c>
      <c r="P1076" s="473">
        <v>0.44336666666666663</v>
      </c>
      <c r="Q1076" s="473">
        <v>0.58906666666666663</v>
      </c>
      <c r="R1076" s="473">
        <v>0.48410000000000003</v>
      </c>
      <c r="S1076" s="153">
        <v>0.01</v>
      </c>
      <c r="T1076" s="153">
        <v>0.02</v>
      </c>
      <c r="U1076" s="478">
        <v>2018</v>
      </c>
      <c r="V1076" s="24">
        <f t="shared" si="109"/>
        <v>2038</v>
      </c>
      <c r="W1076">
        <v>0</v>
      </c>
      <c r="X1076">
        <v>0</v>
      </c>
      <c r="Y1076">
        <v>1315</v>
      </c>
      <c r="Z1076">
        <v>361</v>
      </c>
      <c r="AA1076" s="475" t="s">
        <v>24</v>
      </c>
    </row>
    <row r="1077" spans="1:27" ht="15" hidden="1">
      <c r="A1077" s="24">
        <f t="shared" si="110"/>
        <v>2076</v>
      </c>
      <c r="B1077" s="24">
        <f t="shared" si="110"/>
        <v>2076</v>
      </c>
      <c r="C1077" s="476" t="s">
        <v>1471</v>
      </c>
      <c r="D1077" t="s">
        <v>152</v>
      </c>
      <c r="E1077" s="477">
        <v>3</v>
      </c>
      <c r="F1077" s="471">
        <v>16.649999999999999</v>
      </c>
      <c r="G1077">
        <v>1</v>
      </c>
      <c r="H1077">
        <v>1</v>
      </c>
      <c r="I1077" s="472">
        <f t="shared" si="103"/>
        <v>0.47039166666666665</v>
      </c>
      <c r="J1077" s="473">
        <v>0.36503333333333332</v>
      </c>
      <c r="K1077" s="473">
        <v>0.44336666666666663</v>
      </c>
      <c r="L1077" s="473">
        <v>0.58906666666666663</v>
      </c>
      <c r="M1077" s="473">
        <v>0.48410000000000003</v>
      </c>
      <c r="N1077" s="472">
        <f t="shared" si="104"/>
        <v>0.47039166666666665</v>
      </c>
      <c r="O1077" s="473">
        <v>0.36503333333333332</v>
      </c>
      <c r="P1077" s="473">
        <v>0.44336666666666663</v>
      </c>
      <c r="Q1077" s="473">
        <v>0.58906666666666663</v>
      </c>
      <c r="R1077" s="473">
        <v>0.48410000000000003</v>
      </c>
      <c r="S1077" s="153">
        <v>0.01</v>
      </c>
      <c r="T1077" s="153">
        <v>0.02</v>
      </c>
      <c r="U1077" s="478">
        <v>2016</v>
      </c>
      <c r="V1077" s="24">
        <f t="shared" si="109"/>
        <v>2036</v>
      </c>
      <c r="W1077">
        <v>0</v>
      </c>
      <c r="X1077">
        <v>0</v>
      </c>
      <c r="Y1077">
        <v>1315</v>
      </c>
      <c r="Z1077">
        <v>361</v>
      </c>
      <c r="AA1077" s="475" t="s">
        <v>24</v>
      </c>
    </row>
    <row r="1078" spans="1:27" ht="15" hidden="1">
      <c r="A1078" s="24">
        <f t="shared" si="110"/>
        <v>2077</v>
      </c>
      <c r="B1078" s="24">
        <f t="shared" si="110"/>
        <v>2077</v>
      </c>
      <c r="C1078" s="476" t="s">
        <v>1472</v>
      </c>
      <c r="D1078" t="s">
        <v>152</v>
      </c>
      <c r="E1078" s="477">
        <v>3</v>
      </c>
      <c r="F1078" s="471">
        <v>2.2000000000000002</v>
      </c>
      <c r="G1078">
        <v>1</v>
      </c>
      <c r="H1078">
        <v>1</v>
      </c>
      <c r="I1078" s="472">
        <f t="shared" si="103"/>
        <v>0.47039166666666665</v>
      </c>
      <c r="J1078" s="473">
        <v>0.36503333333333332</v>
      </c>
      <c r="K1078" s="473">
        <v>0.44336666666666663</v>
      </c>
      <c r="L1078" s="473">
        <v>0.58906666666666663</v>
      </c>
      <c r="M1078" s="473">
        <v>0.48410000000000003</v>
      </c>
      <c r="N1078" s="472">
        <f t="shared" si="104"/>
        <v>0.47039166666666665</v>
      </c>
      <c r="O1078" s="473">
        <v>0.36503333333333332</v>
      </c>
      <c r="P1078" s="473">
        <v>0.44336666666666663</v>
      </c>
      <c r="Q1078" s="473">
        <v>0.58906666666666663</v>
      </c>
      <c r="R1078" s="473">
        <v>0.48410000000000003</v>
      </c>
      <c r="S1078" s="153">
        <v>0.01</v>
      </c>
      <c r="T1078" s="153">
        <v>0.02</v>
      </c>
      <c r="U1078" s="478">
        <v>2016</v>
      </c>
      <c r="V1078" s="24">
        <f t="shared" si="109"/>
        <v>2036</v>
      </c>
      <c r="W1078">
        <v>0</v>
      </c>
      <c r="X1078">
        <v>0</v>
      </c>
      <c r="Y1078">
        <v>1315</v>
      </c>
      <c r="Z1078">
        <v>361</v>
      </c>
      <c r="AA1078" s="475" t="s">
        <v>24</v>
      </c>
    </row>
    <row r="1079" spans="1:27" ht="15" hidden="1">
      <c r="A1079" s="24">
        <f t="shared" si="110"/>
        <v>2078</v>
      </c>
      <c r="B1079" s="24">
        <f t="shared" si="110"/>
        <v>2078</v>
      </c>
      <c r="C1079" s="476" t="s">
        <v>1473</v>
      </c>
      <c r="D1079" t="s">
        <v>152</v>
      </c>
      <c r="E1079" s="477">
        <v>3</v>
      </c>
      <c r="F1079" s="471">
        <v>2.2000000000000002</v>
      </c>
      <c r="G1079">
        <v>1</v>
      </c>
      <c r="H1079">
        <v>1</v>
      </c>
      <c r="I1079" s="472">
        <f t="shared" si="103"/>
        <v>0.47039166666666665</v>
      </c>
      <c r="J1079" s="473">
        <v>0.36503333333333332</v>
      </c>
      <c r="K1079" s="473">
        <v>0.44336666666666663</v>
      </c>
      <c r="L1079" s="473">
        <v>0.58906666666666663</v>
      </c>
      <c r="M1079" s="473">
        <v>0.48410000000000003</v>
      </c>
      <c r="N1079" s="472">
        <f t="shared" si="104"/>
        <v>0.47039166666666665</v>
      </c>
      <c r="O1079" s="473">
        <v>0.36503333333333332</v>
      </c>
      <c r="P1079" s="473">
        <v>0.44336666666666663</v>
      </c>
      <c r="Q1079" s="473">
        <v>0.58906666666666663</v>
      </c>
      <c r="R1079" s="473">
        <v>0.48410000000000003</v>
      </c>
      <c r="S1079" s="153">
        <v>0.01</v>
      </c>
      <c r="T1079" s="153">
        <v>0.02</v>
      </c>
      <c r="U1079" s="478">
        <v>2016</v>
      </c>
      <c r="V1079" s="24">
        <f t="shared" si="109"/>
        <v>2036</v>
      </c>
      <c r="W1079">
        <v>0</v>
      </c>
      <c r="X1079">
        <v>0</v>
      </c>
      <c r="Y1079">
        <v>1315</v>
      </c>
      <c r="Z1079">
        <v>361</v>
      </c>
      <c r="AA1079" s="475" t="s">
        <v>24</v>
      </c>
    </row>
    <row r="1080" spans="1:27" ht="15" hidden="1">
      <c r="A1080" s="24">
        <f t="shared" si="110"/>
        <v>2079</v>
      </c>
      <c r="B1080" s="24">
        <f t="shared" si="110"/>
        <v>2079</v>
      </c>
      <c r="C1080" s="476" t="s">
        <v>1474</v>
      </c>
      <c r="D1080" t="s">
        <v>152</v>
      </c>
      <c r="E1080" s="477">
        <v>3</v>
      </c>
      <c r="F1080" s="471">
        <v>2.2000000000000002</v>
      </c>
      <c r="G1080">
        <v>1</v>
      </c>
      <c r="H1080">
        <v>1</v>
      </c>
      <c r="I1080" s="472">
        <f t="shared" si="103"/>
        <v>0.47039166666666665</v>
      </c>
      <c r="J1080" s="473">
        <v>0.36503333333333332</v>
      </c>
      <c r="K1080" s="473">
        <v>0.44336666666666663</v>
      </c>
      <c r="L1080" s="473">
        <v>0.58906666666666663</v>
      </c>
      <c r="M1080" s="473">
        <v>0.48410000000000003</v>
      </c>
      <c r="N1080" s="472">
        <f t="shared" si="104"/>
        <v>0.47039166666666665</v>
      </c>
      <c r="O1080" s="473">
        <v>0.36503333333333332</v>
      </c>
      <c r="P1080" s="473">
        <v>0.44336666666666663</v>
      </c>
      <c r="Q1080" s="473">
        <v>0.58906666666666663</v>
      </c>
      <c r="R1080" s="473">
        <v>0.48410000000000003</v>
      </c>
      <c r="S1080" s="153">
        <v>0.01</v>
      </c>
      <c r="T1080" s="153">
        <v>0.02</v>
      </c>
      <c r="U1080" s="478">
        <v>2016</v>
      </c>
      <c r="V1080" s="24">
        <f t="shared" si="109"/>
        <v>2036</v>
      </c>
      <c r="W1080">
        <v>0</v>
      </c>
      <c r="X1080">
        <v>0</v>
      </c>
      <c r="Y1080">
        <v>1315</v>
      </c>
      <c r="Z1080">
        <v>361</v>
      </c>
      <c r="AA1080" s="475" t="s">
        <v>24</v>
      </c>
    </row>
    <row r="1081" spans="1:27" ht="15" hidden="1">
      <c r="A1081" s="24">
        <f t="shared" si="110"/>
        <v>2080</v>
      </c>
      <c r="B1081" s="24">
        <f t="shared" si="110"/>
        <v>2080</v>
      </c>
      <c r="C1081" s="476" t="s">
        <v>1475</v>
      </c>
      <c r="D1081" t="s">
        <v>152</v>
      </c>
      <c r="E1081" s="477">
        <v>3</v>
      </c>
      <c r="F1081" s="471">
        <v>2.2000000000000002</v>
      </c>
      <c r="G1081">
        <v>1</v>
      </c>
      <c r="H1081">
        <v>1</v>
      </c>
      <c r="I1081" s="472">
        <f t="shared" si="103"/>
        <v>0.47039166666666665</v>
      </c>
      <c r="J1081" s="473">
        <v>0.36503333333333332</v>
      </c>
      <c r="K1081" s="473">
        <v>0.44336666666666663</v>
      </c>
      <c r="L1081" s="473">
        <v>0.58906666666666663</v>
      </c>
      <c r="M1081" s="473">
        <v>0.48410000000000003</v>
      </c>
      <c r="N1081" s="472">
        <f t="shared" si="104"/>
        <v>0.47039166666666665</v>
      </c>
      <c r="O1081" s="473">
        <v>0.36503333333333332</v>
      </c>
      <c r="P1081" s="473">
        <v>0.44336666666666663</v>
      </c>
      <c r="Q1081" s="473">
        <v>0.58906666666666663</v>
      </c>
      <c r="R1081" s="473">
        <v>0.48410000000000003</v>
      </c>
      <c r="S1081" s="153">
        <v>0.01</v>
      </c>
      <c r="T1081" s="153">
        <v>0.02</v>
      </c>
      <c r="U1081" s="478">
        <v>2016</v>
      </c>
      <c r="V1081" s="24">
        <f t="shared" si="109"/>
        <v>2036</v>
      </c>
      <c r="W1081">
        <v>0</v>
      </c>
      <c r="X1081">
        <v>0</v>
      </c>
      <c r="Y1081">
        <v>1315</v>
      </c>
      <c r="Z1081">
        <v>361</v>
      </c>
      <c r="AA1081" s="475" t="s">
        <v>24</v>
      </c>
    </row>
    <row r="1082" spans="1:27" ht="15" hidden="1">
      <c r="A1082" s="24">
        <f t="shared" si="110"/>
        <v>2081</v>
      </c>
      <c r="B1082" s="24">
        <f t="shared" si="110"/>
        <v>2081</v>
      </c>
      <c r="C1082" s="476" t="s">
        <v>1476</v>
      </c>
      <c r="D1082" t="s">
        <v>152</v>
      </c>
      <c r="E1082" s="477">
        <v>3</v>
      </c>
      <c r="F1082" s="471">
        <v>2.2000000000000002</v>
      </c>
      <c r="G1082">
        <v>1</v>
      </c>
      <c r="H1082">
        <v>1</v>
      </c>
      <c r="I1082" s="472">
        <f t="shared" si="103"/>
        <v>0.47039166666666665</v>
      </c>
      <c r="J1082" s="473">
        <v>0.36503333333333332</v>
      </c>
      <c r="K1082" s="473">
        <v>0.44336666666666663</v>
      </c>
      <c r="L1082" s="473">
        <v>0.58906666666666663</v>
      </c>
      <c r="M1082" s="473">
        <v>0.48410000000000003</v>
      </c>
      <c r="N1082" s="472">
        <f t="shared" si="104"/>
        <v>0.47039166666666665</v>
      </c>
      <c r="O1082" s="473">
        <v>0.36503333333333332</v>
      </c>
      <c r="P1082" s="473">
        <v>0.44336666666666663</v>
      </c>
      <c r="Q1082" s="473">
        <v>0.58906666666666663</v>
      </c>
      <c r="R1082" s="473">
        <v>0.48410000000000003</v>
      </c>
      <c r="S1082" s="153">
        <v>0.01</v>
      </c>
      <c r="T1082" s="153">
        <v>0.02</v>
      </c>
      <c r="U1082" s="478">
        <v>2016</v>
      </c>
      <c r="V1082" s="24">
        <f t="shared" si="109"/>
        <v>2036</v>
      </c>
      <c r="W1082">
        <v>0</v>
      </c>
      <c r="X1082">
        <v>0</v>
      </c>
      <c r="Y1082">
        <v>1315</v>
      </c>
      <c r="Z1082">
        <v>361</v>
      </c>
      <c r="AA1082" s="475" t="s">
        <v>24</v>
      </c>
    </row>
    <row r="1083" spans="1:27" ht="15" hidden="1">
      <c r="A1083" s="24">
        <f t="shared" si="110"/>
        <v>2082</v>
      </c>
      <c r="B1083" s="24">
        <f t="shared" si="110"/>
        <v>2082</v>
      </c>
      <c r="C1083" s="476" t="s">
        <v>1477</v>
      </c>
      <c r="D1083" t="s">
        <v>152</v>
      </c>
      <c r="E1083" s="477">
        <v>3</v>
      </c>
      <c r="F1083" s="471">
        <v>2.2000000000000002</v>
      </c>
      <c r="G1083">
        <v>1</v>
      </c>
      <c r="H1083">
        <v>1</v>
      </c>
      <c r="I1083" s="472">
        <f t="shared" si="103"/>
        <v>0.47039166666666665</v>
      </c>
      <c r="J1083" s="473">
        <v>0.36503333333333332</v>
      </c>
      <c r="K1083" s="473">
        <v>0.44336666666666663</v>
      </c>
      <c r="L1083" s="473">
        <v>0.58906666666666663</v>
      </c>
      <c r="M1083" s="473">
        <v>0.48410000000000003</v>
      </c>
      <c r="N1083" s="472">
        <f t="shared" si="104"/>
        <v>0.47039166666666665</v>
      </c>
      <c r="O1083" s="473">
        <v>0.36503333333333332</v>
      </c>
      <c r="P1083" s="473">
        <v>0.44336666666666663</v>
      </c>
      <c r="Q1083" s="473">
        <v>0.58906666666666663</v>
      </c>
      <c r="R1083" s="473">
        <v>0.48410000000000003</v>
      </c>
      <c r="S1083" s="153">
        <v>0.01</v>
      </c>
      <c r="T1083" s="153">
        <v>0.02</v>
      </c>
      <c r="U1083" s="478">
        <v>2016</v>
      </c>
      <c r="V1083" s="24">
        <f t="shared" si="109"/>
        <v>2036</v>
      </c>
      <c r="W1083">
        <v>0</v>
      </c>
      <c r="X1083">
        <v>0</v>
      </c>
      <c r="Y1083">
        <v>1315</v>
      </c>
      <c r="Z1083">
        <v>361</v>
      </c>
      <c r="AA1083" s="475" t="s">
        <v>24</v>
      </c>
    </row>
    <row r="1084" spans="1:27" ht="15" hidden="1">
      <c r="A1084" s="24">
        <f t="shared" si="110"/>
        <v>2083</v>
      </c>
      <c r="B1084" s="24">
        <f t="shared" si="110"/>
        <v>2083</v>
      </c>
      <c r="C1084" s="476" t="s">
        <v>1478</v>
      </c>
      <c r="D1084" t="s">
        <v>152</v>
      </c>
      <c r="E1084" s="477">
        <v>3</v>
      </c>
      <c r="F1084" s="471">
        <v>2.2000000000000002</v>
      </c>
      <c r="G1084">
        <v>1</v>
      </c>
      <c r="H1084">
        <v>1</v>
      </c>
      <c r="I1084" s="472">
        <f t="shared" si="103"/>
        <v>0.47039166666666665</v>
      </c>
      <c r="J1084" s="473">
        <v>0.36503333333333332</v>
      </c>
      <c r="K1084" s="473">
        <v>0.44336666666666663</v>
      </c>
      <c r="L1084" s="473">
        <v>0.58906666666666663</v>
      </c>
      <c r="M1084" s="473">
        <v>0.48410000000000003</v>
      </c>
      <c r="N1084" s="472">
        <f t="shared" si="104"/>
        <v>0.47039166666666665</v>
      </c>
      <c r="O1084" s="473">
        <v>0.36503333333333332</v>
      </c>
      <c r="P1084" s="473">
        <v>0.44336666666666663</v>
      </c>
      <c r="Q1084" s="473">
        <v>0.58906666666666663</v>
      </c>
      <c r="R1084" s="473">
        <v>0.48410000000000003</v>
      </c>
      <c r="S1084" s="153">
        <v>0.01</v>
      </c>
      <c r="T1084" s="153">
        <v>0.02</v>
      </c>
      <c r="U1084" s="478">
        <v>2016</v>
      </c>
      <c r="V1084" s="24">
        <f t="shared" si="109"/>
        <v>2036</v>
      </c>
      <c r="W1084">
        <v>0</v>
      </c>
      <c r="X1084">
        <v>0</v>
      </c>
      <c r="Y1084">
        <v>1315</v>
      </c>
      <c r="Z1084">
        <v>361</v>
      </c>
      <c r="AA1084" s="475" t="s">
        <v>24</v>
      </c>
    </row>
    <row r="1085" spans="1:27" ht="15" hidden="1">
      <c r="A1085" s="24">
        <f t="shared" si="110"/>
        <v>2084</v>
      </c>
      <c r="B1085" s="24">
        <f t="shared" si="110"/>
        <v>2084</v>
      </c>
      <c r="C1085" s="476" t="s">
        <v>1479</v>
      </c>
      <c r="D1085" t="s">
        <v>152</v>
      </c>
      <c r="E1085" s="477">
        <v>3</v>
      </c>
      <c r="F1085" s="471">
        <v>2.2000000000000002</v>
      </c>
      <c r="G1085">
        <v>1</v>
      </c>
      <c r="H1085">
        <v>1</v>
      </c>
      <c r="I1085" s="472">
        <f t="shared" si="103"/>
        <v>0.47039166666666665</v>
      </c>
      <c r="J1085" s="473">
        <v>0.36503333333333332</v>
      </c>
      <c r="K1085" s="473">
        <v>0.44336666666666663</v>
      </c>
      <c r="L1085" s="473">
        <v>0.58906666666666663</v>
      </c>
      <c r="M1085" s="473">
        <v>0.48410000000000003</v>
      </c>
      <c r="N1085" s="472">
        <f t="shared" si="104"/>
        <v>0.47039166666666665</v>
      </c>
      <c r="O1085" s="473">
        <v>0.36503333333333332</v>
      </c>
      <c r="P1085" s="473">
        <v>0.44336666666666663</v>
      </c>
      <c r="Q1085" s="473">
        <v>0.58906666666666663</v>
      </c>
      <c r="R1085" s="473">
        <v>0.48410000000000003</v>
      </c>
      <c r="S1085" s="153">
        <v>0.01</v>
      </c>
      <c r="T1085" s="153">
        <v>0.02</v>
      </c>
      <c r="U1085" s="478">
        <v>2016</v>
      </c>
      <c r="V1085" s="24">
        <f t="shared" si="109"/>
        <v>2036</v>
      </c>
      <c r="W1085">
        <v>0</v>
      </c>
      <c r="X1085">
        <v>0</v>
      </c>
      <c r="Y1085">
        <v>1315</v>
      </c>
      <c r="Z1085">
        <v>361</v>
      </c>
      <c r="AA1085" s="475" t="s">
        <v>24</v>
      </c>
    </row>
    <row r="1086" spans="1:27" ht="15" hidden="1">
      <c r="A1086" s="24">
        <f t="shared" si="110"/>
        <v>2085</v>
      </c>
      <c r="B1086" s="24">
        <f t="shared" si="110"/>
        <v>2085</v>
      </c>
      <c r="C1086" s="476" t="s">
        <v>1480</v>
      </c>
      <c r="D1086" t="s">
        <v>152</v>
      </c>
      <c r="E1086" s="477">
        <v>3</v>
      </c>
      <c r="F1086" s="471">
        <v>2.2000000000000002</v>
      </c>
      <c r="G1086">
        <v>1</v>
      </c>
      <c r="H1086">
        <v>1</v>
      </c>
      <c r="I1086" s="472">
        <f t="shared" si="103"/>
        <v>0.47039166666666665</v>
      </c>
      <c r="J1086" s="473">
        <v>0.36503333333333332</v>
      </c>
      <c r="K1086" s="473">
        <v>0.44336666666666663</v>
      </c>
      <c r="L1086" s="473">
        <v>0.58906666666666663</v>
      </c>
      <c r="M1086" s="473">
        <v>0.48410000000000003</v>
      </c>
      <c r="N1086" s="472">
        <f t="shared" si="104"/>
        <v>0.47039166666666665</v>
      </c>
      <c r="O1086" s="473">
        <v>0.36503333333333332</v>
      </c>
      <c r="P1086" s="473">
        <v>0.44336666666666663</v>
      </c>
      <c r="Q1086" s="473">
        <v>0.58906666666666663</v>
      </c>
      <c r="R1086" s="473">
        <v>0.48410000000000003</v>
      </c>
      <c r="S1086" s="153">
        <v>0.01</v>
      </c>
      <c r="T1086" s="153">
        <v>0.02</v>
      </c>
      <c r="U1086" s="478">
        <v>2016</v>
      </c>
      <c r="V1086" s="24">
        <f t="shared" si="109"/>
        <v>2036</v>
      </c>
      <c r="W1086">
        <v>0</v>
      </c>
      <c r="X1086">
        <v>0</v>
      </c>
      <c r="Y1086">
        <v>1315</v>
      </c>
      <c r="Z1086">
        <v>361</v>
      </c>
      <c r="AA1086" s="475" t="s">
        <v>24</v>
      </c>
    </row>
    <row r="1087" spans="1:27" ht="15" hidden="1">
      <c r="A1087" s="24">
        <f t="shared" si="110"/>
        <v>2086</v>
      </c>
      <c r="B1087" s="24">
        <f t="shared" si="110"/>
        <v>2086</v>
      </c>
      <c r="C1087" s="476" t="s">
        <v>1481</v>
      </c>
      <c r="D1087" t="s">
        <v>152</v>
      </c>
      <c r="E1087" s="477">
        <v>3</v>
      </c>
      <c r="F1087" s="471">
        <v>2.2000000000000002</v>
      </c>
      <c r="G1087">
        <v>1</v>
      </c>
      <c r="H1087">
        <v>1</v>
      </c>
      <c r="I1087" s="472">
        <f t="shared" si="103"/>
        <v>0.47039166666666665</v>
      </c>
      <c r="J1087" s="473">
        <v>0.36503333333333332</v>
      </c>
      <c r="K1087" s="473">
        <v>0.44336666666666663</v>
      </c>
      <c r="L1087" s="473">
        <v>0.58906666666666663</v>
      </c>
      <c r="M1087" s="473">
        <v>0.48410000000000003</v>
      </c>
      <c r="N1087" s="472">
        <f t="shared" si="104"/>
        <v>0.47039166666666665</v>
      </c>
      <c r="O1087" s="473">
        <v>0.36503333333333332</v>
      </c>
      <c r="P1087" s="473">
        <v>0.44336666666666663</v>
      </c>
      <c r="Q1087" s="473">
        <v>0.58906666666666663</v>
      </c>
      <c r="R1087" s="473">
        <v>0.48410000000000003</v>
      </c>
      <c r="S1087" s="153">
        <v>0.01</v>
      </c>
      <c r="T1087" s="153">
        <v>0.02</v>
      </c>
      <c r="U1087" s="478">
        <v>2016</v>
      </c>
      <c r="V1087" s="24">
        <f t="shared" si="109"/>
        <v>2036</v>
      </c>
      <c r="W1087">
        <v>0</v>
      </c>
      <c r="X1087">
        <v>0</v>
      </c>
      <c r="Y1087">
        <v>1315</v>
      </c>
      <c r="Z1087">
        <v>361</v>
      </c>
      <c r="AA1087" s="475" t="s">
        <v>24</v>
      </c>
    </row>
    <row r="1088" spans="1:27" ht="15" hidden="1">
      <c r="A1088" s="24">
        <f t="shared" si="110"/>
        <v>2087</v>
      </c>
      <c r="B1088" s="24">
        <f t="shared" si="110"/>
        <v>2087</v>
      </c>
      <c r="C1088" s="476" t="s">
        <v>1482</v>
      </c>
      <c r="D1088" t="s">
        <v>152</v>
      </c>
      <c r="E1088" s="477">
        <v>3</v>
      </c>
      <c r="F1088" s="471">
        <v>11</v>
      </c>
      <c r="G1088">
        <v>1</v>
      </c>
      <c r="H1088">
        <v>1</v>
      </c>
      <c r="I1088" s="472">
        <f t="shared" si="103"/>
        <v>0.47039166666666665</v>
      </c>
      <c r="J1088" s="473">
        <v>0.36503333333333332</v>
      </c>
      <c r="K1088" s="473">
        <v>0.44336666666666663</v>
      </c>
      <c r="L1088" s="473">
        <v>0.58906666666666663</v>
      </c>
      <c r="M1088" s="473">
        <v>0.48410000000000003</v>
      </c>
      <c r="N1088" s="472">
        <f t="shared" si="104"/>
        <v>0.47039166666666665</v>
      </c>
      <c r="O1088" s="473">
        <v>0.36503333333333332</v>
      </c>
      <c r="P1088" s="473">
        <v>0.44336666666666663</v>
      </c>
      <c r="Q1088" s="473">
        <v>0.58906666666666663</v>
      </c>
      <c r="R1088" s="473">
        <v>0.48410000000000003</v>
      </c>
      <c r="S1088" s="153">
        <v>0.01</v>
      </c>
      <c r="T1088" s="153">
        <v>0.02</v>
      </c>
      <c r="U1088" s="478">
        <v>2016</v>
      </c>
      <c r="V1088" s="24">
        <f t="shared" si="109"/>
        <v>2036</v>
      </c>
      <c r="W1088">
        <v>0</v>
      </c>
      <c r="X1088">
        <v>0</v>
      </c>
      <c r="Y1088">
        <v>1315</v>
      </c>
      <c r="Z1088">
        <v>361</v>
      </c>
      <c r="AA1088" s="475" t="s">
        <v>24</v>
      </c>
    </row>
    <row r="1089" spans="1:27" ht="15" hidden="1">
      <c r="A1089" s="24">
        <f t="shared" si="110"/>
        <v>2088</v>
      </c>
      <c r="B1089" s="24">
        <f t="shared" si="110"/>
        <v>2088</v>
      </c>
      <c r="C1089" s="476" t="s">
        <v>1483</v>
      </c>
      <c r="D1089" t="s">
        <v>152</v>
      </c>
      <c r="E1089" s="477">
        <v>3</v>
      </c>
      <c r="F1089" s="471">
        <v>8.8000000000000007</v>
      </c>
      <c r="G1089">
        <v>1</v>
      </c>
      <c r="H1089">
        <v>1</v>
      </c>
      <c r="I1089" s="472">
        <f t="shared" si="103"/>
        <v>0.47039166666666665</v>
      </c>
      <c r="J1089" s="473">
        <v>0.36503333333333332</v>
      </c>
      <c r="K1089" s="473">
        <v>0.44336666666666663</v>
      </c>
      <c r="L1089" s="473">
        <v>0.58906666666666663</v>
      </c>
      <c r="M1089" s="473">
        <v>0.48410000000000003</v>
      </c>
      <c r="N1089" s="472">
        <f t="shared" si="104"/>
        <v>0.47039166666666665</v>
      </c>
      <c r="O1089" s="473">
        <v>0.36503333333333332</v>
      </c>
      <c r="P1089" s="473">
        <v>0.44336666666666663</v>
      </c>
      <c r="Q1089" s="473">
        <v>0.58906666666666663</v>
      </c>
      <c r="R1089" s="473">
        <v>0.48410000000000003</v>
      </c>
      <c r="S1089" s="153">
        <v>0.01</v>
      </c>
      <c r="T1089" s="153">
        <v>0.02</v>
      </c>
      <c r="U1089" s="478">
        <v>2016</v>
      </c>
      <c r="V1089" s="24">
        <f t="shared" si="109"/>
        <v>2036</v>
      </c>
      <c r="W1089">
        <v>0</v>
      </c>
      <c r="X1089">
        <v>0</v>
      </c>
      <c r="Y1089">
        <v>1315</v>
      </c>
      <c r="Z1089">
        <v>361</v>
      </c>
      <c r="AA1089" s="475" t="s">
        <v>24</v>
      </c>
    </row>
    <row r="1090" spans="1:27" ht="15" hidden="1">
      <c r="A1090" s="24">
        <f t="shared" si="110"/>
        <v>2089</v>
      </c>
      <c r="B1090" s="24">
        <f t="shared" si="110"/>
        <v>2089</v>
      </c>
      <c r="C1090" s="476" t="s">
        <v>1484</v>
      </c>
      <c r="D1090" t="s">
        <v>152</v>
      </c>
      <c r="E1090" s="477">
        <v>3</v>
      </c>
      <c r="F1090" s="471">
        <v>2.2000000000000002</v>
      </c>
      <c r="G1090">
        <v>1</v>
      </c>
      <c r="H1090">
        <v>1</v>
      </c>
      <c r="I1090" s="472">
        <f t="shared" ref="I1090:I1153" si="111">AVERAGE(J1090:M1090)</f>
        <v>0.47039166666666665</v>
      </c>
      <c r="J1090" s="473">
        <v>0.36503333333333332</v>
      </c>
      <c r="K1090" s="473">
        <v>0.44336666666666663</v>
      </c>
      <c r="L1090" s="473">
        <v>0.58906666666666663</v>
      </c>
      <c r="M1090" s="473">
        <v>0.48410000000000003</v>
      </c>
      <c r="N1090" s="472">
        <f t="shared" ref="N1090:N1153" si="112">AVERAGE(O1090:R1090)</f>
        <v>0.47039166666666665</v>
      </c>
      <c r="O1090" s="473">
        <v>0.36503333333333332</v>
      </c>
      <c r="P1090" s="473">
        <v>0.44336666666666663</v>
      </c>
      <c r="Q1090" s="473">
        <v>0.58906666666666663</v>
      </c>
      <c r="R1090" s="473">
        <v>0.48410000000000003</v>
      </c>
      <c r="S1090" s="153">
        <v>0.01</v>
      </c>
      <c r="T1090" s="153">
        <v>0.02</v>
      </c>
      <c r="U1090" s="478">
        <v>2016</v>
      </c>
      <c r="V1090" s="24">
        <f t="shared" si="109"/>
        <v>2036</v>
      </c>
      <c r="W1090">
        <v>0</v>
      </c>
      <c r="X1090">
        <v>0</v>
      </c>
      <c r="Y1090">
        <v>1315</v>
      </c>
      <c r="Z1090">
        <v>361</v>
      </c>
      <c r="AA1090" s="475" t="s">
        <v>24</v>
      </c>
    </row>
    <row r="1091" spans="1:27" ht="15" hidden="1">
      <c r="A1091" s="24">
        <f t="shared" si="110"/>
        <v>2090</v>
      </c>
      <c r="B1091" s="24">
        <f t="shared" si="110"/>
        <v>2090</v>
      </c>
      <c r="C1091" s="476" t="s">
        <v>1485</v>
      </c>
      <c r="D1091" t="s">
        <v>152</v>
      </c>
      <c r="E1091" s="477">
        <v>3</v>
      </c>
      <c r="F1091" s="471">
        <v>3.6</v>
      </c>
      <c r="G1091">
        <v>1</v>
      </c>
      <c r="H1091">
        <v>1</v>
      </c>
      <c r="I1091" s="472">
        <f t="shared" si="111"/>
        <v>0.47039166666666665</v>
      </c>
      <c r="J1091" s="473">
        <v>0.36503333333333332</v>
      </c>
      <c r="K1091" s="473">
        <v>0.44336666666666663</v>
      </c>
      <c r="L1091" s="473">
        <v>0.58906666666666663</v>
      </c>
      <c r="M1091" s="473">
        <v>0.48410000000000003</v>
      </c>
      <c r="N1091" s="472">
        <f t="shared" si="112"/>
        <v>0.47039166666666665</v>
      </c>
      <c r="O1091" s="473">
        <v>0.36503333333333332</v>
      </c>
      <c r="P1091" s="473">
        <v>0.44336666666666663</v>
      </c>
      <c r="Q1091" s="473">
        <v>0.58906666666666663</v>
      </c>
      <c r="R1091" s="473">
        <v>0.48410000000000003</v>
      </c>
      <c r="S1091" s="153">
        <v>0.01</v>
      </c>
      <c r="T1091" s="153">
        <v>0.02</v>
      </c>
      <c r="U1091" s="478">
        <v>2018</v>
      </c>
      <c r="V1091" s="24">
        <f t="shared" si="109"/>
        <v>2038</v>
      </c>
      <c r="W1091">
        <v>0</v>
      </c>
      <c r="X1091">
        <v>0</v>
      </c>
      <c r="Y1091">
        <v>1315</v>
      </c>
      <c r="Z1091">
        <v>361</v>
      </c>
      <c r="AA1091" s="475" t="s">
        <v>24</v>
      </c>
    </row>
    <row r="1092" spans="1:27" ht="15" hidden="1">
      <c r="A1092" s="24">
        <f t="shared" si="110"/>
        <v>2091</v>
      </c>
      <c r="B1092" s="24">
        <f t="shared" si="110"/>
        <v>2091</v>
      </c>
      <c r="C1092" s="476" t="s">
        <v>1486</v>
      </c>
      <c r="D1092" t="s">
        <v>152</v>
      </c>
      <c r="E1092" s="477">
        <v>3</v>
      </c>
      <c r="F1092" s="471">
        <v>3.6</v>
      </c>
      <c r="G1092">
        <v>1</v>
      </c>
      <c r="H1092">
        <v>1</v>
      </c>
      <c r="I1092" s="472">
        <f t="shared" si="111"/>
        <v>0.47039166666666665</v>
      </c>
      <c r="J1092" s="473">
        <v>0.36503333333333332</v>
      </c>
      <c r="K1092" s="473">
        <v>0.44336666666666663</v>
      </c>
      <c r="L1092" s="473">
        <v>0.58906666666666663</v>
      </c>
      <c r="M1092" s="473">
        <v>0.48410000000000003</v>
      </c>
      <c r="N1092" s="472">
        <f t="shared" si="112"/>
        <v>0.47039166666666665</v>
      </c>
      <c r="O1092" s="473">
        <v>0.36503333333333332</v>
      </c>
      <c r="P1092" s="473">
        <v>0.44336666666666663</v>
      </c>
      <c r="Q1092" s="473">
        <v>0.58906666666666663</v>
      </c>
      <c r="R1092" s="473">
        <v>0.48410000000000003</v>
      </c>
      <c r="S1092" s="153">
        <v>0.01</v>
      </c>
      <c r="T1092" s="153">
        <v>0.02</v>
      </c>
      <c r="U1092" s="478">
        <v>2018</v>
      </c>
      <c r="V1092" s="24">
        <f t="shared" si="109"/>
        <v>2038</v>
      </c>
      <c r="W1092">
        <v>0</v>
      </c>
      <c r="X1092">
        <v>0</v>
      </c>
      <c r="Y1092">
        <v>1315</v>
      </c>
      <c r="Z1092">
        <v>361</v>
      </c>
      <c r="AA1092" s="475" t="s">
        <v>24</v>
      </c>
    </row>
    <row r="1093" spans="1:27" ht="15" hidden="1">
      <c r="A1093" s="24">
        <f t="shared" si="110"/>
        <v>2092</v>
      </c>
      <c r="B1093" s="24">
        <f t="shared" si="110"/>
        <v>2092</v>
      </c>
      <c r="C1093" s="469" t="s">
        <v>1487</v>
      </c>
      <c r="D1093" t="s">
        <v>152</v>
      </c>
      <c r="E1093" s="470">
        <v>3</v>
      </c>
      <c r="F1093" s="471">
        <v>0</v>
      </c>
      <c r="G1093">
        <v>1</v>
      </c>
      <c r="H1093">
        <v>1</v>
      </c>
      <c r="I1093" s="472">
        <f t="shared" si="111"/>
        <v>0.32845968612834514</v>
      </c>
      <c r="J1093" s="153">
        <v>3.8473756479098807E-2</v>
      </c>
      <c r="K1093" s="153">
        <v>0.39358026214566905</v>
      </c>
      <c r="L1093" s="153">
        <v>0.53857526864315253</v>
      </c>
      <c r="M1093" s="153">
        <v>0.3432094572454602</v>
      </c>
      <c r="N1093" s="472">
        <f t="shared" si="112"/>
        <v>0.32845968612834514</v>
      </c>
      <c r="O1093" s="153">
        <v>3.8473756479098807E-2</v>
      </c>
      <c r="P1093" s="153">
        <v>0.39358026214566905</v>
      </c>
      <c r="Q1093" s="153">
        <v>0.53857526864315253</v>
      </c>
      <c r="R1093" s="153">
        <v>0.3432094572454602</v>
      </c>
      <c r="S1093" s="153">
        <v>0.03</v>
      </c>
      <c r="T1093" s="153">
        <v>0</v>
      </c>
      <c r="U1093" s="474">
        <v>1900</v>
      </c>
      <c r="V1093">
        <v>2030</v>
      </c>
      <c r="W1093">
        <v>0</v>
      </c>
      <c r="X1093">
        <v>0</v>
      </c>
      <c r="Y1093">
        <v>1304</v>
      </c>
      <c r="Z1093">
        <v>311</v>
      </c>
      <c r="AA1093" s="475" t="s">
        <v>23</v>
      </c>
    </row>
    <row r="1094" spans="1:27" ht="15" hidden="1">
      <c r="A1094" s="24">
        <f t="shared" si="110"/>
        <v>2093</v>
      </c>
      <c r="B1094" s="24">
        <f t="shared" si="110"/>
        <v>2093</v>
      </c>
      <c r="C1094" s="476" t="s">
        <v>1488</v>
      </c>
      <c r="D1094" t="s">
        <v>152</v>
      </c>
      <c r="E1094" s="477">
        <v>3</v>
      </c>
      <c r="F1094" s="471">
        <v>30</v>
      </c>
      <c r="G1094">
        <v>1</v>
      </c>
      <c r="H1094">
        <v>1</v>
      </c>
      <c r="I1094" s="472">
        <f t="shared" si="111"/>
        <v>0.26420000000000005</v>
      </c>
      <c r="J1094" s="33">
        <v>0.29123333333333334</v>
      </c>
      <c r="K1094" s="33">
        <f>0.296266666666667-0.07</f>
        <v>0.226266666666667</v>
      </c>
      <c r="L1094" s="33">
        <f>0.3193-0.07</f>
        <v>0.24929999999999997</v>
      </c>
      <c r="M1094" s="33">
        <v>0.28999999999999998</v>
      </c>
      <c r="N1094" s="472">
        <f t="shared" si="112"/>
        <v>0.26420000000000005</v>
      </c>
      <c r="O1094" s="33">
        <v>0.29123333333333334</v>
      </c>
      <c r="P1094" s="33">
        <f>0.296266666666667-0.07</f>
        <v>0.226266666666667</v>
      </c>
      <c r="Q1094" s="33">
        <f>0.3193-0.07</f>
        <v>0.24929999999999997</v>
      </c>
      <c r="R1094" s="33">
        <v>0.28999999999999998</v>
      </c>
      <c r="S1094" s="153">
        <v>0.04</v>
      </c>
      <c r="T1094" s="153">
        <v>0</v>
      </c>
      <c r="U1094" s="478">
        <v>2017</v>
      </c>
      <c r="V1094" s="24">
        <f t="shared" ref="V1094:V1096" si="113">U1094+20</f>
        <v>2037</v>
      </c>
      <c r="W1094">
        <v>0</v>
      </c>
      <c r="X1094">
        <v>0</v>
      </c>
      <c r="Y1094">
        <v>1315</v>
      </c>
      <c r="Z1094">
        <v>347</v>
      </c>
      <c r="AA1094" s="475" t="s">
        <v>25</v>
      </c>
    </row>
    <row r="1095" spans="1:27" ht="15" hidden="1">
      <c r="A1095" s="24">
        <f t="shared" si="110"/>
        <v>2094</v>
      </c>
      <c r="B1095" s="24">
        <f t="shared" si="110"/>
        <v>2094</v>
      </c>
      <c r="C1095" s="476" t="s">
        <v>1489</v>
      </c>
      <c r="D1095" t="s">
        <v>152</v>
      </c>
      <c r="E1095" s="477">
        <v>3</v>
      </c>
      <c r="F1095" s="471">
        <v>30</v>
      </c>
      <c r="G1095">
        <v>1</v>
      </c>
      <c r="H1095">
        <v>1</v>
      </c>
      <c r="I1095" s="472">
        <f t="shared" si="111"/>
        <v>0.26420000000000005</v>
      </c>
      <c r="J1095" s="33">
        <v>0.29123333333333334</v>
      </c>
      <c r="K1095" s="33">
        <f>0.296266666666667-0.07</f>
        <v>0.226266666666667</v>
      </c>
      <c r="L1095" s="33">
        <f>0.3193-0.07</f>
        <v>0.24929999999999997</v>
      </c>
      <c r="M1095" s="33">
        <v>0.28999999999999998</v>
      </c>
      <c r="N1095" s="472">
        <f t="shared" si="112"/>
        <v>0.26420000000000005</v>
      </c>
      <c r="O1095" s="33">
        <v>0.29123333333333334</v>
      </c>
      <c r="P1095" s="33">
        <f>0.296266666666667-0.07</f>
        <v>0.226266666666667</v>
      </c>
      <c r="Q1095" s="33">
        <f>0.3193-0.07</f>
        <v>0.24929999999999997</v>
      </c>
      <c r="R1095" s="33">
        <v>0.28999999999999998</v>
      </c>
      <c r="S1095" s="153">
        <v>0.04</v>
      </c>
      <c r="T1095" s="153">
        <v>0</v>
      </c>
      <c r="U1095" s="478">
        <v>2017</v>
      </c>
      <c r="V1095" s="24">
        <f t="shared" si="113"/>
        <v>2037</v>
      </c>
      <c r="W1095">
        <v>0</v>
      </c>
      <c r="X1095">
        <v>0</v>
      </c>
      <c r="Y1095">
        <v>1315</v>
      </c>
      <c r="Z1095">
        <v>347</v>
      </c>
      <c r="AA1095" s="475" t="s">
        <v>25</v>
      </c>
    </row>
    <row r="1096" spans="1:27" ht="15" hidden="1">
      <c r="A1096" s="24">
        <f t="shared" ref="A1096:B1115" si="114">1000+ROW()-1</f>
        <v>2095</v>
      </c>
      <c r="B1096" s="24">
        <f t="shared" si="114"/>
        <v>2095</v>
      </c>
      <c r="C1096" s="476" t="s">
        <v>1490</v>
      </c>
      <c r="D1096" t="s">
        <v>152</v>
      </c>
      <c r="E1096" s="477">
        <v>3</v>
      </c>
      <c r="F1096" s="471">
        <v>30</v>
      </c>
      <c r="G1096">
        <v>1</v>
      </c>
      <c r="H1096">
        <v>1</v>
      </c>
      <c r="I1096" s="472">
        <f t="shared" si="111"/>
        <v>0.26420000000000005</v>
      </c>
      <c r="J1096" s="33">
        <v>0.29123333333333334</v>
      </c>
      <c r="K1096" s="33">
        <f>0.296266666666667-0.07</f>
        <v>0.226266666666667</v>
      </c>
      <c r="L1096" s="33">
        <f>0.3193-0.07</f>
        <v>0.24929999999999997</v>
      </c>
      <c r="M1096" s="33">
        <v>0.28999999999999998</v>
      </c>
      <c r="N1096" s="472">
        <f t="shared" si="112"/>
        <v>0.26420000000000005</v>
      </c>
      <c r="O1096" s="33">
        <v>0.29123333333333334</v>
      </c>
      <c r="P1096" s="33">
        <f>0.296266666666667-0.07</f>
        <v>0.226266666666667</v>
      </c>
      <c r="Q1096" s="33">
        <f>0.3193-0.07</f>
        <v>0.24929999999999997</v>
      </c>
      <c r="R1096" s="33">
        <v>0.28999999999999998</v>
      </c>
      <c r="S1096" s="153">
        <v>0.04</v>
      </c>
      <c r="T1096" s="153">
        <v>0</v>
      </c>
      <c r="U1096" s="478">
        <v>2017</v>
      </c>
      <c r="V1096" s="24">
        <f t="shared" si="113"/>
        <v>2037</v>
      </c>
      <c r="W1096">
        <v>0</v>
      </c>
      <c r="X1096">
        <v>0</v>
      </c>
      <c r="Y1096">
        <v>1315</v>
      </c>
      <c r="Z1096">
        <v>347</v>
      </c>
      <c r="AA1096" s="475" t="s">
        <v>25</v>
      </c>
    </row>
    <row r="1097" spans="1:27" ht="15" hidden="1">
      <c r="A1097" s="24">
        <f t="shared" si="114"/>
        <v>2096</v>
      </c>
      <c r="B1097" s="24">
        <f t="shared" si="114"/>
        <v>2096</v>
      </c>
      <c r="C1097" s="469" t="s">
        <v>1491</v>
      </c>
      <c r="D1097" t="s">
        <v>146</v>
      </c>
      <c r="E1097" s="470">
        <v>1</v>
      </c>
      <c r="F1097" s="471">
        <v>24</v>
      </c>
      <c r="G1097">
        <v>1</v>
      </c>
      <c r="H1097">
        <v>1</v>
      </c>
      <c r="I1097" s="472">
        <f t="shared" si="111"/>
        <v>0.32845968612834514</v>
      </c>
      <c r="J1097" s="153">
        <v>3.8473756479098807E-2</v>
      </c>
      <c r="K1097" s="153">
        <v>0.39358026214566905</v>
      </c>
      <c r="L1097" s="153">
        <v>0.53857526864315253</v>
      </c>
      <c r="M1097" s="153">
        <v>0.3432094572454602</v>
      </c>
      <c r="N1097" s="472">
        <f t="shared" si="112"/>
        <v>0.32845968612834514</v>
      </c>
      <c r="O1097" s="153">
        <v>3.8473756479098807E-2</v>
      </c>
      <c r="P1097" s="153">
        <v>0.39358026214566905</v>
      </c>
      <c r="Q1097" s="153">
        <v>0.53857526864315253</v>
      </c>
      <c r="R1097" s="153">
        <v>0.3432094572454602</v>
      </c>
      <c r="S1097" s="153">
        <v>0.03</v>
      </c>
      <c r="T1097" s="153">
        <v>0</v>
      </c>
      <c r="U1097" s="474">
        <v>2010</v>
      </c>
      <c r="V1097">
        <v>2023</v>
      </c>
      <c r="W1097">
        <v>0</v>
      </c>
      <c r="X1097">
        <v>0</v>
      </c>
      <c r="Y1097">
        <v>1304</v>
      </c>
      <c r="Z1097">
        <v>311</v>
      </c>
      <c r="AA1097" s="475" t="s">
        <v>23</v>
      </c>
    </row>
    <row r="1098" spans="1:27" ht="15" hidden="1">
      <c r="A1098" s="24">
        <f t="shared" si="114"/>
        <v>2097</v>
      </c>
      <c r="B1098" s="24">
        <f t="shared" si="114"/>
        <v>2097</v>
      </c>
      <c r="C1098" s="476" t="s">
        <v>1492</v>
      </c>
      <c r="D1098" t="s">
        <v>152</v>
      </c>
      <c r="E1098" s="477">
        <v>3</v>
      </c>
      <c r="F1098" s="471">
        <v>30</v>
      </c>
      <c r="G1098">
        <v>1</v>
      </c>
      <c r="H1098">
        <v>1</v>
      </c>
      <c r="I1098" s="472">
        <f t="shared" si="111"/>
        <v>0.26420000000000005</v>
      </c>
      <c r="J1098" s="33">
        <v>0.29123333333333334</v>
      </c>
      <c r="K1098" s="33">
        <f t="shared" ref="K1098:K1103" si="115">0.296266666666667-0.07</f>
        <v>0.226266666666667</v>
      </c>
      <c r="L1098" s="33">
        <f t="shared" ref="L1098:L1103" si="116">0.3193-0.07</f>
        <v>0.24929999999999997</v>
      </c>
      <c r="M1098" s="33">
        <v>0.28999999999999998</v>
      </c>
      <c r="N1098" s="472">
        <f t="shared" si="112"/>
        <v>0.26420000000000005</v>
      </c>
      <c r="O1098" s="33">
        <v>0.29123333333333334</v>
      </c>
      <c r="P1098" s="33">
        <f t="shared" ref="P1098:P1103" si="117">0.296266666666667-0.07</f>
        <v>0.226266666666667</v>
      </c>
      <c r="Q1098" s="33">
        <f t="shared" ref="Q1098:Q1103" si="118">0.3193-0.07</f>
        <v>0.24929999999999997</v>
      </c>
      <c r="R1098" s="33">
        <v>0.28999999999999998</v>
      </c>
      <c r="S1098" s="153">
        <v>0.04</v>
      </c>
      <c r="T1098" s="153">
        <v>0</v>
      </c>
      <c r="U1098" s="478">
        <v>2017</v>
      </c>
      <c r="V1098" s="24">
        <f t="shared" ref="V1098:V1161" si="119">U1098+20</f>
        <v>2037</v>
      </c>
      <c r="W1098">
        <v>0</v>
      </c>
      <c r="X1098">
        <v>0</v>
      </c>
      <c r="Y1098">
        <v>1315</v>
      </c>
      <c r="Z1098">
        <v>347</v>
      </c>
      <c r="AA1098" s="475" t="s">
        <v>25</v>
      </c>
    </row>
    <row r="1099" spans="1:27" ht="15" hidden="1">
      <c r="A1099" s="24">
        <f t="shared" si="114"/>
        <v>2098</v>
      </c>
      <c r="B1099" s="24">
        <f t="shared" si="114"/>
        <v>2098</v>
      </c>
      <c r="C1099" s="476" t="s">
        <v>1493</v>
      </c>
      <c r="D1099" t="s">
        <v>152</v>
      </c>
      <c r="E1099" s="477">
        <v>3</v>
      </c>
      <c r="F1099" s="471">
        <v>30</v>
      </c>
      <c r="G1099">
        <v>1</v>
      </c>
      <c r="H1099">
        <v>1</v>
      </c>
      <c r="I1099" s="472">
        <f t="shared" si="111"/>
        <v>0.26420000000000005</v>
      </c>
      <c r="J1099" s="33">
        <v>0.29123333333333334</v>
      </c>
      <c r="K1099" s="33">
        <f t="shared" si="115"/>
        <v>0.226266666666667</v>
      </c>
      <c r="L1099" s="33">
        <f t="shared" si="116"/>
        <v>0.24929999999999997</v>
      </c>
      <c r="M1099" s="33">
        <v>0.28999999999999998</v>
      </c>
      <c r="N1099" s="472">
        <f t="shared" si="112"/>
        <v>0.26420000000000005</v>
      </c>
      <c r="O1099" s="33">
        <v>0.29123333333333334</v>
      </c>
      <c r="P1099" s="33">
        <f t="shared" si="117"/>
        <v>0.226266666666667</v>
      </c>
      <c r="Q1099" s="33">
        <f t="shared" si="118"/>
        <v>0.24929999999999997</v>
      </c>
      <c r="R1099" s="33">
        <v>0.28999999999999998</v>
      </c>
      <c r="S1099" s="153">
        <v>0.04</v>
      </c>
      <c r="T1099" s="153">
        <v>0</v>
      </c>
      <c r="U1099" s="478">
        <v>2017</v>
      </c>
      <c r="V1099" s="24">
        <f t="shared" si="119"/>
        <v>2037</v>
      </c>
      <c r="W1099">
        <v>0</v>
      </c>
      <c r="X1099">
        <v>0</v>
      </c>
      <c r="Y1099">
        <v>1315</v>
      </c>
      <c r="Z1099">
        <v>347</v>
      </c>
      <c r="AA1099" s="475" t="s">
        <v>25</v>
      </c>
    </row>
    <row r="1100" spans="1:27" ht="15" hidden="1">
      <c r="A1100" s="24">
        <f t="shared" si="114"/>
        <v>2099</v>
      </c>
      <c r="B1100" s="24">
        <f t="shared" si="114"/>
        <v>2099</v>
      </c>
      <c r="C1100" s="476" t="s">
        <v>1494</v>
      </c>
      <c r="D1100" t="s">
        <v>152</v>
      </c>
      <c r="E1100" s="477">
        <v>3</v>
      </c>
      <c r="F1100" s="471">
        <v>30</v>
      </c>
      <c r="G1100">
        <v>1</v>
      </c>
      <c r="H1100">
        <v>1</v>
      </c>
      <c r="I1100" s="472">
        <f t="shared" si="111"/>
        <v>0.26420000000000005</v>
      </c>
      <c r="J1100" s="33">
        <v>0.29123333333333334</v>
      </c>
      <c r="K1100" s="33">
        <f t="shared" si="115"/>
        <v>0.226266666666667</v>
      </c>
      <c r="L1100" s="33">
        <f t="shared" si="116"/>
        <v>0.24929999999999997</v>
      </c>
      <c r="M1100" s="33">
        <v>0.28999999999999998</v>
      </c>
      <c r="N1100" s="472">
        <f t="shared" si="112"/>
        <v>0.26420000000000005</v>
      </c>
      <c r="O1100" s="33">
        <v>0.29123333333333334</v>
      </c>
      <c r="P1100" s="33">
        <f t="shared" si="117"/>
        <v>0.226266666666667</v>
      </c>
      <c r="Q1100" s="33">
        <f t="shared" si="118"/>
        <v>0.24929999999999997</v>
      </c>
      <c r="R1100" s="33">
        <v>0.28999999999999998</v>
      </c>
      <c r="S1100" s="153">
        <v>0.04</v>
      </c>
      <c r="T1100" s="153">
        <v>0</v>
      </c>
      <c r="U1100" s="478">
        <v>2017</v>
      </c>
      <c r="V1100" s="24">
        <f t="shared" si="119"/>
        <v>2037</v>
      </c>
      <c r="W1100">
        <v>0</v>
      </c>
      <c r="X1100">
        <v>0</v>
      </c>
      <c r="Y1100">
        <v>1315</v>
      </c>
      <c r="Z1100">
        <v>347</v>
      </c>
      <c r="AA1100" s="475" t="s">
        <v>25</v>
      </c>
    </row>
    <row r="1101" spans="1:27" ht="15" hidden="1">
      <c r="A1101" s="24">
        <f t="shared" si="114"/>
        <v>2100</v>
      </c>
      <c r="B1101" s="24">
        <f t="shared" si="114"/>
        <v>2100</v>
      </c>
      <c r="C1101" s="476" t="s">
        <v>1495</v>
      </c>
      <c r="D1101" t="s">
        <v>152</v>
      </c>
      <c r="E1101" s="477">
        <v>3</v>
      </c>
      <c r="F1101" s="471">
        <v>30</v>
      </c>
      <c r="G1101">
        <v>1</v>
      </c>
      <c r="H1101">
        <v>1</v>
      </c>
      <c r="I1101" s="472">
        <f t="shared" si="111"/>
        <v>0.26420000000000005</v>
      </c>
      <c r="J1101" s="33">
        <v>0.29123333333333334</v>
      </c>
      <c r="K1101" s="33">
        <f t="shared" si="115"/>
        <v>0.226266666666667</v>
      </c>
      <c r="L1101" s="33">
        <f t="shared" si="116"/>
        <v>0.24929999999999997</v>
      </c>
      <c r="M1101" s="33">
        <v>0.28999999999999998</v>
      </c>
      <c r="N1101" s="472">
        <f t="shared" si="112"/>
        <v>0.26420000000000005</v>
      </c>
      <c r="O1101" s="33">
        <v>0.29123333333333334</v>
      </c>
      <c r="P1101" s="33">
        <f t="shared" si="117"/>
        <v>0.226266666666667</v>
      </c>
      <c r="Q1101" s="33">
        <f t="shared" si="118"/>
        <v>0.24929999999999997</v>
      </c>
      <c r="R1101" s="33">
        <v>0.28999999999999998</v>
      </c>
      <c r="S1101" s="153">
        <v>0.04</v>
      </c>
      <c r="T1101" s="153">
        <v>0</v>
      </c>
      <c r="U1101" s="478">
        <v>2017</v>
      </c>
      <c r="V1101" s="24">
        <f t="shared" si="119"/>
        <v>2037</v>
      </c>
      <c r="W1101">
        <v>0</v>
      </c>
      <c r="X1101">
        <v>0</v>
      </c>
      <c r="Y1101">
        <v>1315</v>
      </c>
      <c r="Z1101">
        <v>347</v>
      </c>
      <c r="AA1101" s="475" t="s">
        <v>25</v>
      </c>
    </row>
    <row r="1102" spans="1:27" ht="15" hidden="1">
      <c r="A1102" s="24">
        <f t="shared" si="114"/>
        <v>2101</v>
      </c>
      <c r="B1102" s="24">
        <f t="shared" si="114"/>
        <v>2101</v>
      </c>
      <c r="C1102" s="476" t="s">
        <v>1496</v>
      </c>
      <c r="D1102" t="s">
        <v>152</v>
      </c>
      <c r="E1102" s="477">
        <v>3</v>
      </c>
      <c r="F1102" s="471">
        <v>30</v>
      </c>
      <c r="G1102">
        <v>1</v>
      </c>
      <c r="H1102">
        <v>1</v>
      </c>
      <c r="I1102" s="472">
        <f t="shared" si="111"/>
        <v>0.26420000000000005</v>
      </c>
      <c r="J1102" s="33">
        <v>0.29123333333333334</v>
      </c>
      <c r="K1102" s="33">
        <f t="shared" si="115"/>
        <v>0.226266666666667</v>
      </c>
      <c r="L1102" s="33">
        <f t="shared" si="116"/>
        <v>0.24929999999999997</v>
      </c>
      <c r="M1102" s="33">
        <v>0.28999999999999998</v>
      </c>
      <c r="N1102" s="472">
        <f t="shared" si="112"/>
        <v>0.26420000000000005</v>
      </c>
      <c r="O1102" s="33">
        <v>0.29123333333333334</v>
      </c>
      <c r="P1102" s="33">
        <f t="shared" si="117"/>
        <v>0.226266666666667</v>
      </c>
      <c r="Q1102" s="33">
        <f t="shared" si="118"/>
        <v>0.24929999999999997</v>
      </c>
      <c r="R1102" s="33">
        <v>0.28999999999999998</v>
      </c>
      <c r="S1102" s="153">
        <v>0.04</v>
      </c>
      <c r="T1102" s="153">
        <v>0</v>
      </c>
      <c r="U1102" s="478">
        <v>2017</v>
      </c>
      <c r="V1102" s="24">
        <f t="shared" si="119"/>
        <v>2037</v>
      </c>
      <c r="W1102">
        <v>0</v>
      </c>
      <c r="X1102">
        <v>0</v>
      </c>
      <c r="Y1102">
        <v>1315</v>
      </c>
      <c r="Z1102">
        <v>347</v>
      </c>
      <c r="AA1102" s="475" t="s">
        <v>25</v>
      </c>
    </row>
    <row r="1103" spans="1:27" ht="15" hidden="1">
      <c r="A1103" s="24">
        <f t="shared" si="114"/>
        <v>2102</v>
      </c>
      <c r="B1103" s="24">
        <f t="shared" si="114"/>
        <v>2102</v>
      </c>
      <c r="C1103" s="476" t="s">
        <v>1497</v>
      </c>
      <c r="D1103" t="s">
        <v>152</v>
      </c>
      <c r="E1103" s="477">
        <v>3</v>
      </c>
      <c r="F1103" s="471">
        <v>30</v>
      </c>
      <c r="G1103">
        <v>1</v>
      </c>
      <c r="H1103">
        <v>1</v>
      </c>
      <c r="I1103" s="472">
        <f t="shared" si="111"/>
        <v>0.26420000000000005</v>
      </c>
      <c r="J1103" s="33">
        <v>0.29123333333333334</v>
      </c>
      <c r="K1103" s="33">
        <f t="shared" si="115"/>
        <v>0.226266666666667</v>
      </c>
      <c r="L1103" s="33">
        <f t="shared" si="116"/>
        <v>0.24929999999999997</v>
      </c>
      <c r="M1103" s="33">
        <v>0.28999999999999998</v>
      </c>
      <c r="N1103" s="472">
        <f t="shared" si="112"/>
        <v>0.26420000000000005</v>
      </c>
      <c r="O1103" s="33">
        <v>0.29123333333333334</v>
      </c>
      <c r="P1103" s="33">
        <f t="shared" si="117"/>
        <v>0.226266666666667</v>
      </c>
      <c r="Q1103" s="33">
        <f t="shared" si="118"/>
        <v>0.24929999999999997</v>
      </c>
      <c r="R1103" s="33">
        <v>0.28999999999999998</v>
      </c>
      <c r="S1103" s="153">
        <v>0.04</v>
      </c>
      <c r="T1103" s="153">
        <v>0</v>
      </c>
      <c r="U1103" s="478">
        <v>2017</v>
      </c>
      <c r="V1103" s="24">
        <f t="shared" si="119"/>
        <v>2037</v>
      </c>
      <c r="W1103">
        <v>0</v>
      </c>
      <c r="X1103">
        <v>0</v>
      </c>
      <c r="Y1103">
        <v>1315</v>
      </c>
      <c r="Z1103">
        <v>347</v>
      </c>
      <c r="AA1103" s="475" t="s">
        <v>25</v>
      </c>
    </row>
    <row r="1104" spans="1:27" ht="15" hidden="1">
      <c r="A1104" s="24">
        <f t="shared" si="114"/>
        <v>2103</v>
      </c>
      <c r="B1104" s="24">
        <f t="shared" si="114"/>
        <v>2103</v>
      </c>
      <c r="C1104" s="476" t="s">
        <v>1498</v>
      </c>
      <c r="D1104" t="s">
        <v>152</v>
      </c>
      <c r="E1104" s="477">
        <v>3</v>
      </c>
      <c r="F1104" s="471">
        <v>3.6</v>
      </c>
      <c r="G1104">
        <v>1</v>
      </c>
      <c r="H1104">
        <v>1</v>
      </c>
      <c r="I1104" s="472">
        <f t="shared" si="111"/>
        <v>0.47039166666666665</v>
      </c>
      <c r="J1104" s="473">
        <v>0.36503333333333332</v>
      </c>
      <c r="K1104" s="473">
        <v>0.44336666666666663</v>
      </c>
      <c r="L1104" s="473">
        <v>0.58906666666666663</v>
      </c>
      <c r="M1104" s="473">
        <v>0.48410000000000003</v>
      </c>
      <c r="N1104" s="472">
        <f t="shared" si="112"/>
        <v>0.47039166666666665</v>
      </c>
      <c r="O1104" s="473">
        <v>0.36503333333333332</v>
      </c>
      <c r="P1104" s="473">
        <v>0.44336666666666663</v>
      </c>
      <c r="Q1104" s="473">
        <v>0.58906666666666663</v>
      </c>
      <c r="R1104" s="473">
        <v>0.48410000000000003</v>
      </c>
      <c r="S1104" s="153">
        <v>0.01</v>
      </c>
      <c r="T1104" s="153">
        <v>0.02</v>
      </c>
      <c r="U1104" s="478">
        <v>2018</v>
      </c>
      <c r="V1104" s="24">
        <f t="shared" si="119"/>
        <v>2038</v>
      </c>
      <c r="W1104">
        <v>0</v>
      </c>
      <c r="X1104">
        <v>0</v>
      </c>
      <c r="Y1104">
        <v>1315</v>
      </c>
      <c r="Z1104">
        <v>361</v>
      </c>
      <c r="AA1104" s="475" t="s">
        <v>24</v>
      </c>
    </row>
    <row r="1105" spans="1:27" ht="15" hidden="1">
      <c r="A1105" s="24">
        <f t="shared" si="114"/>
        <v>2104</v>
      </c>
      <c r="B1105" s="24">
        <f t="shared" si="114"/>
        <v>2104</v>
      </c>
      <c r="C1105" s="476" t="s">
        <v>1499</v>
      </c>
      <c r="D1105" t="s">
        <v>152</v>
      </c>
      <c r="E1105" s="477">
        <v>3</v>
      </c>
      <c r="F1105" s="471">
        <v>1.8</v>
      </c>
      <c r="G1105">
        <v>1</v>
      </c>
      <c r="H1105">
        <v>1</v>
      </c>
      <c r="I1105" s="472">
        <f t="shared" si="111"/>
        <v>0.47039166666666665</v>
      </c>
      <c r="J1105" s="473">
        <v>0.36503333333333332</v>
      </c>
      <c r="K1105" s="473">
        <v>0.44336666666666663</v>
      </c>
      <c r="L1105" s="473">
        <v>0.58906666666666663</v>
      </c>
      <c r="M1105" s="473">
        <v>0.48410000000000003</v>
      </c>
      <c r="N1105" s="472">
        <f t="shared" si="112"/>
        <v>0.47039166666666665</v>
      </c>
      <c r="O1105" s="473">
        <v>0.36503333333333332</v>
      </c>
      <c r="P1105" s="473">
        <v>0.44336666666666663</v>
      </c>
      <c r="Q1105" s="473">
        <v>0.58906666666666663</v>
      </c>
      <c r="R1105" s="473">
        <v>0.48410000000000003</v>
      </c>
      <c r="S1105" s="153">
        <v>0.01</v>
      </c>
      <c r="T1105" s="153">
        <v>0.02</v>
      </c>
      <c r="U1105" s="478">
        <v>2018</v>
      </c>
      <c r="V1105" s="24">
        <f t="shared" si="119"/>
        <v>2038</v>
      </c>
      <c r="W1105">
        <v>0</v>
      </c>
      <c r="X1105">
        <v>0</v>
      </c>
      <c r="Y1105">
        <v>1315</v>
      </c>
      <c r="Z1105">
        <v>361</v>
      </c>
      <c r="AA1105" s="475" t="s">
        <v>24</v>
      </c>
    </row>
    <row r="1106" spans="1:27" ht="15" hidden="1">
      <c r="A1106" s="24">
        <f t="shared" si="114"/>
        <v>2105</v>
      </c>
      <c r="B1106" s="24">
        <f t="shared" si="114"/>
        <v>2105</v>
      </c>
      <c r="C1106" s="476" t="s">
        <v>1500</v>
      </c>
      <c r="D1106" t="s">
        <v>152</v>
      </c>
      <c r="E1106" s="477">
        <v>3</v>
      </c>
      <c r="F1106" s="471">
        <v>4</v>
      </c>
      <c r="G1106">
        <v>1</v>
      </c>
      <c r="H1106">
        <v>1</v>
      </c>
      <c r="I1106" s="472">
        <f t="shared" si="111"/>
        <v>0.47039166666666665</v>
      </c>
      <c r="J1106" s="473">
        <v>0.36503333333333332</v>
      </c>
      <c r="K1106" s="473">
        <v>0.44336666666666663</v>
      </c>
      <c r="L1106" s="473">
        <v>0.58906666666666663</v>
      </c>
      <c r="M1106" s="473">
        <v>0.48410000000000003</v>
      </c>
      <c r="N1106" s="472">
        <f t="shared" si="112"/>
        <v>0.47039166666666665</v>
      </c>
      <c r="O1106" s="473">
        <v>0.36503333333333332</v>
      </c>
      <c r="P1106" s="473">
        <v>0.44336666666666663</v>
      </c>
      <c r="Q1106" s="473">
        <v>0.58906666666666663</v>
      </c>
      <c r="R1106" s="473">
        <v>0.48410000000000003</v>
      </c>
      <c r="S1106" s="153">
        <v>0.01</v>
      </c>
      <c r="T1106" s="153">
        <v>0.02</v>
      </c>
      <c r="U1106" s="478">
        <v>2018</v>
      </c>
      <c r="V1106" s="24">
        <f t="shared" si="119"/>
        <v>2038</v>
      </c>
      <c r="W1106">
        <v>0</v>
      </c>
      <c r="X1106">
        <v>0</v>
      </c>
      <c r="Y1106">
        <v>1315</v>
      </c>
      <c r="Z1106">
        <v>361</v>
      </c>
      <c r="AA1106" s="475" t="s">
        <v>24</v>
      </c>
    </row>
    <row r="1107" spans="1:27" ht="15" hidden="1">
      <c r="A1107" s="24">
        <f t="shared" si="114"/>
        <v>2106</v>
      </c>
      <c r="B1107" s="24">
        <f t="shared" si="114"/>
        <v>2106</v>
      </c>
      <c r="C1107" s="476" t="s">
        <v>1501</v>
      </c>
      <c r="D1107" t="s">
        <v>152</v>
      </c>
      <c r="E1107" s="477">
        <v>3</v>
      </c>
      <c r="F1107" s="471">
        <v>4</v>
      </c>
      <c r="G1107">
        <v>1</v>
      </c>
      <c r="H1107">
        <v>1</v>
      </c>
      <c r="I1107" s="472">
        <f t="shared" si="111"/>
        <v>0.47039166666666665</v>
      </c>
      <c r="J1107" s="473">
        <v>0.36503333333333332</v>
      </c>
      <c r="K1107" s="473">
        <v>0.44336666666666663</v>
      </c>
      <c r="L1107" s="473">
        <v>0.58906666666666663</v>
      </c>
      <c r="M1107" s="473">
        <v>0.48410000000000003</v>
      </c>
      <c r="N1107" s="472">
        <f t="shared" si="112"/>
        <v>0.47039166666666665</v>
      </c>
      <c r="O1107" s="473">
        <v>0.36503333333333332</v>
      </c>
      <c r="P1107" s="473">
        <v>0.44336666666666663</v>
      </c>
      <c r="Q1107" s="473">
        <v>0.58906666666666663</v>
      </c>
      <c r="R1107" s="473">
        <v>0.48410000000000003</v>
      </c>
      <c r="S1107" s="153">
        <v>0.01</v>
      </c>
      <c r="T1107" s="153">
        <v>0.02</v>
      </c>
      <c r="U1107" s="478">
        <v>2018</v>
      </c>
      <c r="V1107" s="24">
        <f t="shared" si="119"/>
        <v>2038</v>
      </c>
      <c r="W1107">
        <v>0</v>
      </c>
      <c r="X1107">
        <v>0</v>
      </c>
      <c r="Y1107">
        <v>1315</v>
      </c>
      <c r="Z1107">
        <v>361</v>
      </c>
      <c r="AA1107" s="475" t="s">
        <v>24</v>
      </c>
    </row>
    <row r="1108" spans="1:27" ht="15" hidden="1">
      <c r="A1108" s="24">
        <f t="shared" si="114"/>
        <v>2107</v>
      </c>
      <c r="B1108" s="24">
        <f t="shared" si="114"/>
        <v>2107</v>
      </c>
      <c r="C1108" s="476" t="s">
        <v>1502</v>
      </c>
      <c r="D1108" t="s">
        <v>152</v>
      </c>
      <c r="E1108" s="477">
        <v>3</v>
      </c>
      <c r="F1108" s="471">
        <v>4</v>
      </c>
      <c r="G1108">
        <v>1</v>
      </c>
      <c r="H1108">
        <v>1</v>
      </c>
      <c r="I1108" s="472">
        <f t="shared" si="111"/>
        <v>0.47039166666666665</v>
      </c>
      <c r="J1108" s="473">
        <v>0.36503333333333332</v>
      </c>
      <c r="K1108" s="473">
        <v>0.44336666666666663</v>
      </c>
      <c r="L1108" s="473">
        <v>0.58906666666666663</v>
      </c>
      <c r="M1108" s="473">
        <v>0.48410000000000003</v>
      </c>
      <c r="N1108" s="472">
        <f t="shared" si="112"/>
        <v>0.47039166666666665</v>
      </c>
      <c r="O1108" s="473">
        <v>0.36503333333333332</v>
      </c>
      <c r="P1108" s="473">
        <v>0.44336666666666663</v>
      </c>
      <c r="Q1108" s="473">
        <v>0.58906666666666663</v>
      </c>
      <c r="R1108" s="473">
        <v>0.48410000000000003</v>
      </c>
      <c r="S1108" s="153">
        <v>0.01</v>
      </c>
      <c r="T1108" s="153">
        <v>0.02</v>
      </c>
      <c r="U1108" s="478">
        <v>2018</v>
      </c>
      <c r="V1108" s="24">
        <f t="shared" si="119"/>
        <v>2038</v>
      </c>
      <c r="W1108">
        <v>0</v>
      </c>
      <c r="X1108">
        <v>0</v>
      </c>
      <c r="Y1108">
        <v>1315</v>
      </c>
      <c r="Z1108">
        <v>361</v>
      </c>
      <c r="AA1108" s="475" t="s">
        <v>24</v>
      </c>
    </row>
    <row r="1109" spans="1:27" ht="15" hidden="1">
      <c r="A1109" s="24">
        <f t="shared" si="114"/>
        <v>2108</v>
      </c>
      <c r="B1109" s="24">
        <f t="shared" si="114"/>
        <v>2108</v>
      </c>
      <c r="C1109" s="476" t="s">
        <v>1503</v>
      </c>
      <c r="D1109" t="s">
        <v>152</v>
      </c>
      <c r="E1109" s="477">
        <v>3</v>
      </c>
      <c r="F1109" s="471">
        <v>6</v>
      </c>
      <c r="G1109">
        <v>1</v>
      </c>
      <c r="H1109">
        <v>1</v>
      </c>
      <c r="I1109" s="472">
        <f t="shared" si="111"/>
        <v>0.47039166666666665</v>
      </c>
      <c r="J1109" s="473">
        <v>0.36503333333333332</v>
      </c>
      <c r="K1109" s="473">
        <v>0.44336666666666663</v>
      </c>
      <c r="L1109" s="473">
        <v>0.58906666666666663</v>
      </c>
      <c r="M1109" s="473">
        <v>0.48410000000000003</v>
      </c>
      <c r="N1109" s="472">
        <f t="shared" si="112"/>
        <v>0.47039166666666665</v>
      </c>
      <c r="O1109" s="473">
        <v>0.36503333333333332</v>
      </c>
      <c r="P1109" s="473">
        <v>0.44336666666666663</v>
      </c>
      <c r="Q1109" s="473">
        <v>0.58906666666666663</v>
      </c>
      <c r="R1109" s="473">
        <v>0.48410000000000003</v>
      </c>
      <c r="S1109" s="153">
        <v>0.01</v>
      </c>
      <c r="T1109" s="153">
        <v>0.02</v>
      </c>
      <c r="U1109" s="478">
        <v>2018</v>
      </c>
      <c r="V1109" s="24">
        <f t="shared" si="119"/>
        <v>2038</v>
      </c>
      <c r="W1109">
        <v>0</v>
      </c>
      <c r="X1109">
        <v>0</v>
      </c>
      <c r="Y1109">
        <v>1315</v>
      </c>
      <c r="Z1109">
        <v>361</v>
      </c>
      <c r="AA1109" s="475" t="s">
        <v>24</v>
      </c>
    </row>
    <row r="1110" spans="1:27" ht="15" hidden="1">
      <c r="A1110" s="24">
        <f t="shared" si="114"/>
        <v>2109</v>
      </c>
      <c r="B1110" s="24">
        <f t="shared" si="114"/>
        <v>2109</v>
      </c>
      <c r="C1110" s="476" t="s">
        <v>1504</v>
      </c>
      <c r="D1110" t="s">
        <v>152</v>
      </c>
      <c r="E1110" s="477">
        <v>3</v>
      </c>
      <c r="F1110" s="471">
        <v>4</v>
      </c>
      <c r="G1110">
        <v>1</v>
      </c>
      <c r="H1110">
        <v>1</v>
      </c>
      <c r="I1110" s="472">
        <f t="shared" si="111"/>
        <v>0.47039166666666665</v>
      </c>
      <c r="J1110" s="473">
        <v>0.36503333333333332</v>
      </c>
      <c r="K1110" s="473">
        <v>0.44336666666666663</v>
      </c>
      <c r="L1110" s="473">
        <v>0.58906666666666663</v>
      </c>
      <c r="M1110" s="473">
        <v>0.48410000000000003</v>
      </c>
      <c r="N1110" s="472">
        <f t="shared" si="112"/>
        <v>0.47039166666666665</v>
      </c>
      <c r="O1110" s="473">
        <v>0.36503333333333332</v>
      </c>
      <c r="P1110" s="473">
        <v>0.44336666666666663</v>
      </c>
      <c r="Q1110" s="473">
        <v>0.58906666666666663</v>
      </c>
      <c r="R1110" s="473">
        <v>0.48410000000000003</v>
      </c>
      <c r="S1110" s="153">
        <v>0.01</v>
      </c>
      <c r="T1110" s="153">
        <v>0.02</v>
      </c>
      <c r="U1110" s="478">
        <v>2018</v>
      </c>
      <c r="V1110" s="24">
        <f t="shared" si="119"/>
        <v>2038</v>
      </c>
      <c r="W1110">
        <v>0</v>
      </c>
      <c r="X1110">
        <v>0</v>
      </c>
      <c r="Y1110">
        <v>1315</v>
      </c>
      <c r="Z1110">
        <v>361</v>
      </c>
      <c r="AA1110" s="475" t="s">
        <v>24</v>
      </c>
    </row>
    <row r="1111" spans="1:27" ht="15" hidden="1">
      <c r="A1111" s="24">
        <f t="shared" si="114"/>
        <v>2110</v>
      </c>
      <c r="B1111" s="24">
        <f t="shared" si="114"/>
        <v>2110</v>
      </c>
      <c r="C1111" s="476" t="s">
        <v>1505</v>
      </c>
      <c r="D1111" t="s">
        <v>152</v>
      </c>
      <c r="E1111" s="477">
        <v>3</v>
      </c>
      <c r="F1111" s="471">
        <v>4</v>
      </c>
      <c r="G1111">
        <v>1</v>
      </c>
      <c r="H1111">
        <v>1</v>
      </c>
      <c r="I1111" s="472">
        <f t="shared" si="111"/>
        <v>0.47039166666666665</v>
      </c>
      <c r="J1111" s="473">
        <v>0.36503333333333332</v>
      </c>
      <c r="K1111" s="473">
        <v>0.44336666666666663</v>
      </c>
      <c r="L1111" s="473">
        <v>0.58906666666666663</v>
      </c>
      <c r="M1111" s="473">
        <v>0.48410000000000003</v>
      </c>
      <c r="N1111" s="472">
        <f t="shared" si="112"/>
        <v>0.47039166666666665</v>
      </c>
      <c r="O1111" s="473">
        <v>0.36503333333333332</v>
      </c>
      <c r="P1111" s="473">
        <v>0.44336666666666663</v>
      </c>
      <c r="Q1111" s="473">
        <v>0.58906666666666663</v>
      </c>
      <c r="R1111" s="473">
        <v>0.48410000000000003</v>
      </c>
      <c r="S1111" s="153">
        <v>0.01</v>
      </c>
      <c r="T1111" s="153">
        <v>0.02</v>
      </c>
      <c r="U1111" s="478">
        <v>2018</v>
      </c>
      <c r="V1111" s="24">
        <f t="shared" si="119"/>
        <v>2038</v>
      </c>
      <c r="W1111">
        <v>0</v>
      </c>
      <c r="X1111">
        <v>0</v>
      </c>
      <c r="Y1111">
        <v>1315</v>
      </c>
      <c r="Z1111">
        <v>361</v>
      </c>
      <c r="AA1111" s="475" t="s">
        <v>24</v>
      </c>
    </row>
    <row r="1112" spans="1:27" ht="15" hidden="1">
      <c r="A1112" s="24">
        <f t="shared" si="114"/>
        <v>2111</v>
      </c>
      <c r="B1112" s="24">
        <f t="shared" si="114"/>
        <v>2111</v>
      </c>
      <c r="C1112" s="476" t="s">
        <v>1506</v>
      </c>
      <c r="D1112" t="s">
        <v>152</v>
      </c>
      <c r="E1112" s="477">
        <v>3</v>
      </c>
      <c r="F1112" s="471">
        <v>2</v>
      </c>
      <c r="G1112">
        <v>1</v>
      </c>
      <c r="H1112">
        <v>1</v>
      </c>
      <c r="I1112" s="472">
        <f t="shared" si="111"/>
        <v>0.47039166666666665</v>
      </c>
      <c r="J1112" s="473">
        <v>0.36503333333333332</v>
      </c>
      <c r="K1112" s="473">
        <v>0.44336666666666663</v>
      </c>
      <c r="L1112" s="473">
        <v>0.58906666666666663</v>
      </c>
      <c r="M1112" s="473">
        <v>0.48410000000000003</v>
      </c>
      <c r="N1112" s="472">
        <f t="shared" si="112"/>
        <v>0.47039166666666665</v>
      </c>
      <c r="O1112" s="473">
        <v>0.36503333333333332</v>
      </c>
      <c r="P1112" s="473">
        <v>0.44336666666666663</v>
      </c>
      <c r="Q1112" s="473">
        <v>0.58906666666666663</v>
      </c>
      <c r="R1112" s="473">
        <v>0.48410000000000003</v>
      </c>
      <c r="S1112" s="153">
        <v>0.01</v>
      </c>
      <c r="T1112" s="153">
        <v>0.02</v>
      </c>
      <c r="U1112" s="478">
        <v>2018</v>
      </c>
      <c r="V1112" s="24">
        <f t="shared" si="119"/>
        <v>2038</v>
      </c>
      <c r="W1112">
        <v>0</v>
      </c>
      <c r="X1112">
        <v>0</v>
      </c>
      <c r="Y1112">
        <v>1315</v>
      </c>
      <c r="Z1112">
        <v>361</v>
      </c>
      <c r="AA1112" s="475" t="s">
        <v>24</v>
      </c>
    </row>
    <row r="1113" spans="1:27" ht="15" hidden="1">
      <c r="A1113" s="24">
        <f t="shared" si="114"/>
        <v>2112</v>
      </c>
      <c r="B1113" s="24">
        <f t="shared" si="114"/>
        <v>2112</v>
      </c>
      <c r="C1113" s="476" t="s">
        <v>1507</v>
      </c>
      <c r="D1113" t="s">
        <v>152</v>
      </c>
      <c r="E1113" s="477">
        <v>3</v>
      </c>
      <c r="F1113" s="471">
        <v>27</v>
      </c>
      <c r="G1113">
        <v>1</v>
      </c>
      <c r="H1113">
        <v>1</v>
      </c>
      <c r="I1113" s="472">
        <f t="shared" si="111"/>
        <v>0.47039166666666665</v>
      </c>
      <c r="J1113" s="473">
        <v>0.36503333333333332</v>
      </c>
      <c r="K1113" s="473">
        <v>0.44336666666666663</v>
      </c>
      <c r="L1113" s="473">
        <v>0.58906666666666663</v>
      </c>
      <c r="M1113" s="473">
        <v>0.48410000000000003</v>
      </c>
      <c r="N1113" s="472">
        <f t="shared" si="112"/>
        <v>0.47039166666666665</v>
      </c>
      <c r="O1113" s="473">
        <v>0.36503333333333332</v>
      </c>
      <c r="P1113" s="473">
        <v>0.44336666666666663</v>
      </c>
      <c r="Q1113" s="473">
        <v>0.58906666666666663</v>
      </c>
      <c r="R1113" s="473">
        <v>0.48410000000000003</v>
      </c>
      <c r="S1113" s="153">
        <v>0.01</v>
      </c>
      <c r="T1113" s="153">
        <v>0.02</v>
      </c>
      <c r="U1113" s="478">
        <v>2018</v>
      </c>
      <c r="V1113" s="24">
        <f t="shared" si="119"/>
        <v>2038</v>
      </c>
      <c r="W1113">
        <v>0</v>
      </c>
      <c r="X1113">
        <v>0</v>
      </c>
      <c r="Y1113">
        <v>1315</v>
      </c>
      <c r="Z1113">
        <v>361</v>
      </c>
      <c r="AA1113" s="475" t="s">
        <v>24</v>
      </c>
    </row>
    <row r="1114" spans="1:27" ht="15" hidden="1">
      <c r="A1114" s="24">
        <f t="shared" si="114"/>
        <v>2113</v>
      </c>
      <c r="B1114" s="24">
        <f t="shared" si="114"/>
        <v>2113</v>
      </c>
      <c r="C1114" s="476" t="s">
        <v>1508</v>
      </c>
      <c r="D1114" t="s">
        <v>152</v>
      </c>
      <c r="E1114" s="477">
        <v>3</v>
      </c>
      <c r="F1114" s="471">
        <v>21</v>
      </c>
      <c r="G1114">
        <v>1</v>
      </c>
      <c r="H1114">
        <v>1</v>
      </c>
      <c r="I1114" s="472">
        <f t="shared" si="111"/>
        <v>0.47039166666666665</v>
      </c>
      <c r="J1114" s="473">
        <v>0.36503333333333332</v>
      </c>
      <c r="K1114" s="473">
        <v>0.44336666666666663</v>
      </c>
      <c r="L1114" s="473">
        <v>0.58906666666666663</v>
      </c>
      <c r="M1114" s="473">
        <v>0.48410000000000003</v>
      </c>
      <c r="N1114" s="472">
        <f t="shared" si="112"/>
        <v>0.47039166666666665</v>
      </c>
      <c r="O1114" s="473">
        <v>0.36503333333333332</v>
      </c>
      <c r="P1114" s="473">
        <v>0.44336666666666663</v>
      </c>
      <c r="Q1114" s="473">
        <v>0.58906666666666663</v>
      </c>
      <c r="R1114" s="473">
        <v>0.48410000000000003</v>
      </c>
      <c r="S1114" s="153">
        <v>0.01</v>
      </c>
      <c r="T1114" s="153">
        <v>0.02</v>
      </c>
      <c r="U1114" s="478">
        <v>2018</v>
      </c>
      <c r="V1114" s="24">
        <f t="shared" si="119"/>
        <v>2038</v>
      </c>
      <c r="W1114">
        <v>0</v>
      </c>
      <c r="X1114">
        <v>0</v>
      </c>
      <c r="Y1114">
        <v>1315</v>
      </c>
      <c r="Z1114">
        <v>361</v>
      </c>
      <c r="AA1114" s="475" t="s">
        <v>24</v>
      </c>
    </row>
    <row r="1115" spans="1:27" ht="15" hidden="1">
      <c r="A1115" s="24">
        <f t="shared" si="114"/>
        <v>2114</v>
      </c>
      <c r="B1115" s="24">
        <f t="shared" si="114"/>
        <v>2114</v>
      </c>
      <c r="C1115" s="476" t="s">
        <v>1509</v>
      </c>
      <c r="D1115" t="s">
        <v>152</v>
      </c>
      <c r="E1115" s="477">
        <v>3</v>
      </c>
      <c r="F1115" s="471">
        <v>15</v>
      </c>
      <c r="G1115">
        <v>1</v>
      </c>
      <c r="H1115">
        <v>1</v>
      </c>
      <c r="I1115" s="472">
        <f t="shared" si="111"/>
        <v>0.47039166666666665</v>
      </c>
      <c r="J1115" s="473">
        <v>0.36503333333333332</v>
      </c>
      <c r="K1115" s="473">
        <v>0.44336666666666663</v>
      </c>
      <c r="L1115" s="473">
        <v>0.58906666666666663</v>
      </c>
      <c r="M1115" s="473">
        <v>0.48410000000000003</v>
      </c>
      <c r="N1115" s="472">
        <f t="shared" si="112"/>
        <v>0.47039166666666665</v>
      </c>
      <c r="O1115" s="473">
        <v>0.36503333333333332</v>
      </c>
      <c r="P1115" s="473">
        <v>0.44336666666666663</v>
      </c>
      <c r="Q1115" s="473">
        <v>0.58906666666666663</v>
      </c>
      <c r="R1115" s="473">
        <v>0.48410000000000003</v>
      </c>
      <c r="S1115" s="153">
        <v>0.01</v>
      </c>
      <c r="T1115" s="153">
        <v>0.02</v>
      </c>
      <c r="U1115" s="478">
        <v>2018</v>
      </c>
      <c r="V1115" s="24">
        <f t="shared" si="119"/>
        <v>2038</v>
      </c>
      <c r="W1115">
        <v>0</v>
      </c>
      <c r="X1115">
        <v>0</v>
      </c>
      <c r="Y1115">
        <v>1315</v>
      </c>
      <c r="Z1115">
        <v>361</v>
      </c>
      <c r="AA1115" s="475" t="s">
        <v>24</v>
      </c>
    </row>
    <row r="1116" spans="1:27" ht="15" hidden="1">
      <c r="A1116" s="24">
        <f t="shared" ref="A1116:B1135" si="120">1000+ROW()-1</f>
        <v>2115</v>
      </c>
      <c r="B1116" s="24">
        <f t="shared" si="120"/>
        <v>2115</v>
      </c>
      <c r="C1116" s="476" t="s">
        <v>1510</v>
      </c>
      <c r="D1116" t="s">
        <v>152</v>
      </c>
      <c r="E1116" s="477">
        <v>3</v>
      </c>
      <c r="F1116" s="471">
        <v>22.8</v>
      </c>
      <c r="G1116">
        <v>1</v>
      </c>
      <c r="H1116">
        <v>1</v>
      </c>
      <c r="I1116" s="472">
        <f t="shared" si="111"/>
        <v>0.47039166666666665</v>
      </c>
      <c r="J1116" s="473">
        <v>0.36503333333333332</v>
      </c>
      <c r="K1116" s="473">
        <v>0.44336666666666663</v>
      </c>
      <c r="L1116" s="473">
        <v>0.58906666666666663</v>
      </c>
      <c r="M1116" s="473">
        <v>0.48410000000000003</v>
      </c>
      <c r="N1116" s="472">
        <f t="shared" si="112"/>
        <v>0.47039166666666665</v>
      </c>
      <c r="O1116" s="473">
        <v>0.36503333333333332</v>
      </c>
      <c r="P1116" s="473">
        <v>0.44336666666666663</v>
      </c>
      <c r="Q1116" s="473">
        <v>0.58906666666666663</v>
      </c>
      <c r="R1116" s="473">
        <v>0.48410000000000003</v>
      </c>
      <c r="S1116" s="153">
        <v>0.01</v>
      </c>
      <c r="T1116" s="153">
        <v>0.02</v>
      </c>
      <c r="U1116" s="478">
        <v>2018</v>
      </c>
      <c r="V1116" s="24">
        <f t="shared" si="119"/>
        <v>2038</v>
      </c>
      <c r="W1116">
        <v>0</v>
      </c>
      <c r="X1116">
        <v>0</v>
      </c>
      <c r="Y1116">
        <v>1315</v>
      </c>
      <c r="Z1116">
        <v>361</v>
      </c>
      <c r="AA1116" s="475" t="s">
        <v>24</v>
      </c>
    </row>
    <row r="1117" spans="1:27" ht="15" hidden="1">
      <c r="A1117" s="24">
        <f t="shared" si="120"/>
        <v>2116</v>
      </c>
      <c r="B1117" s="24">
        <f t="shared" si="120"/>
        <v>2116</v>
      </c>
      <c r="C1117" s="476" t="s">
        <v>1511</v>
      </c>
      <c r="D1117" t="s">
        <v>152</v>
      </c>
      <c r="E1117" s="477">
        <v>3</v>
      </c>
      <c r="F1117" s="471">
        <v>18.899999999999999</v>
      </c>
      <c r="G1117">
        <v>1</v>
      </c>
      <c r="H1117">
        <v>1</v>
      </c>
      <c r="I1117" s="472">
        <f t="shared" si="111"/>
        <v>0.47039166666666665</v>
      </c>
      <c r="J1117" s="473">
        <v>0.36503333333333332</v>
      </c>
      <c r="K1117" s="473">
        <v>0.44336666666666663</v>
      </c>
      <c r="L1117" s="473">
        <v>0.58906666666666663</v>
      </c>
      <c r="M1117" s="473">
        <v>0.48410000000000003</v>
      </c>
      <c r="N1117" s="472">
        <f t="shared" si="112"/>
        <v>0.47039166666666665</v>
      </c>
      <c r="O1117" s="473">
        <v>0.36503333333333332</v>
      </c>
      <c r="P1117" s="473">
        <v>0.44336666666666663</v>
      </c>
      <c r="Q1117" s="473">
        <v>0.58906666666666663</v>
      </c>
      <c r="R1117" s="473">
        <v>0.48410000000000003</v>
      </c>
      <c r="S1117" s="153">
        <v>0.01</v>
      </c>
      <c r="T1117" s="153">
        <v>0.02</v>
      </c>
      <c r="U1117" s="478">
        <v>2018</v>
      </c>
      <c r="V1117" s="24">
        <f t="shared" si="119"/>
        <v>2038</v>
      </c>
      <c r="W1117">
        <v>0</v>
      </c>
      <c r="X1117">
        <v>0</v>
      </c>
      <c r="Y1117">
        <v>1315</v>
      </c>
      <c r="Z1117">
        <v>361</v>
      </c>
      <c r="AA1117" s="475" t="s">
        <v>24</v>
      </c>
    </row>
    <row r="1118" spans="1:27" ht="15" hidden="1">
      <c r="A1118" s="24">
        <f t="shared" si="120"/>
        <v>2117</v>
      </c>
      <c r="B1118" s="24">
        <f t="shared" si="120"/>
        <v>2117</v>
      </c>
      <c r="C1118" s="476" t="s">
        <v>1512</v>
      </c>
      <c r="D1118" t="s">
        <v>152</v>
      </c>
      <c r="E1118" s="477">
        <v>3</v>
      </c>
      <c r="F1118" s="471">
        <v>24.9</v>
      </c>
      <c r="G1118">
        <v>1</v>
      </c>
      <c r="H1118">
        <v>1</v>
      </c>
      <c r="I1118" s="472">
        <f t="shared" si="111"/>
        <v>0.47039166666666665</v>
      </c>
      <c r="J1118" s="473">
        <v>0.36503333333333332</v>
      </c>
      <c r="K1118" s="473">
        <v>0.44336666666666663</v>
      </c>
      <c r="L1118" s="473">
        <v>0.58906666666666663</v>
      </c>
      <c r="M1118" s="473">
        <v>0.48410000000000003</v>
      </c>
      <c r="N1118" s="472">
        <f t="shared" si="112"/>
        <v>0.47039166666666665</v>
      </c>
      <c r="O1118" s="473">
        <v>0.36503333333333332</v>
      </c>
      <c r="P1118" s="473">
        <v>0.44336666666666663</v>
      </c>
      <c r="Q1118" s="473">
        <v>0.58906666666666663</v>
      </c>
      <c r="R1118" s="473">
        <v>0.48410000000000003</v>
      </c>
      <c r="S1118" s="153">
        <v>0.01</v>
      </c>
      <c r="T1118" s="153">
        <v>0.02</v>
      </c>
      <c r="U1118" s="478">
        <v>2018</v>
      </c>
      <c r="V1118" s="24">
        <f t="shared" si="119"/>
        <v>2038</v>
      </c>
      <c r="W1118">
        <v>0</v>
      </c>
      <c r="X1118">
        <v>0</v>
      </c>
      <c r="Y1118">
        <v>1315</v>
      </c>
      <c r="Z1118">
        <v>361</v>
      </c>
      <c r="AA1118" s="475" t="s">
        <v>24</v>
      </c>
    </row>
    <row r="1119" spans="1:27" ht="15" hidden="1">
      <c r="A1119" s="24">
        <f t="shared" si="120"/>
        <v>2118</v>
      </c>
      <c r="B1119" s="24">
        <f t="shared" si="120"/>
        <v>2118</v>
      </c>
      <c r="C1119" s="476" t="s">
        <v>1513</v>
      </c>
      <c r="D1119" t="s">
        <v>152</v>
      </c>
      <c r="E1119" s="477">
        <v>3</v>
      </c>
      <c r="F1119" s="471">
        <v>30</v>
      </c>
      <c r="G1119">
        <v>1</v>
      </c>
      <c r="H1119">
        <v>1</v>
      </c>
      <c r="I1119" s="472">
        <f t="shared" si="111"/>
        <v>0.26420000000000005</v>
      </c>
      <c r="J1119" s="33">
        <v>0.29123333333333334</v>
      </c>
      <c r="K1119" s="33">
        <f>0.296266666666667-0.07</f>
        <v>0.226266666666667</v>
      </c>
      <c r="L1119" s="33">
        <f>0.3193-0.07</f>
        <v>0.24929999999999997</v>
      </c>
      <c r="M1119" s="33">
        <v>0.28999999999999998</v>
      </c>
      <c r="N1119" s="472">
        <f t="shared" si="112"/>
        <v>0.26420000000000005</v>
      </c>
      <c r="O1119" s="33">
        <v>0.29123333333333334</v>
      </c>
      <c r="P1119" s="33">
        <f>0.296266666666667-0.07</f>
        <v>0.226266666666667</v>
      </c>
      <c r="Q1119" s="33">
        <f>0.3193-0.07</f>
        <v>0.24929999999999997</v>
      </c>
      <c r="R1119" s="33">
        <v>0.28999999999999998</v>
      </c>
      <c r="S1119" s="153">
        <v>0.04</v>
      </c>
      <c r="T1119" s="153">
        <v>0</v>
      </c>
      <c r="U1119" s="478">
        <v>2017</v>
      </c>
      <c r="V1119" s="24">
        <f t="shared" si="119"/>
        <v>2037</v>
      </c>
      <c r="W1119">
        <v>0</v>
      </c>
      <c r="X1119">
        <v>0</v>
      </c>
      <c r="Y1119">
        <v>1315</v>
      </c>
      <c r="Z1119">
        <v>347</v>
      </c>
      <c r="AA1119" s="475" t="s">
        <v>25</v>
      </c>
    </row>
    <row r="1120" spans="1:27" ht="15" hidden="1">
      <c r="A1120" s="24">
        <f t="shared" si="120"/>
        <v>2119</v>
      </c>
      <c r="B1120" s="24">
        <f t="shared" si="120"/>
        <v>2119</v>
      </c>
      <c r="C1120" s="476" t="s">
        <v>1514</v>
      </c>
      <c r="D1120" t="s">
        <v>152</v>
      </c>
      <c r="E1120" s="477">
        <v>3</v>
      </c>
      <c r="F1120" s="471">
        <v>30</v>
      </c>
      <c r="G1120">
        <v>1</v>
      </c>
      <c r="H1120">
        <v>1</v>
      </c>
      <c r="I1120" s="472">
        <f t="shared" si="111"/>
        <v>0.26420000000000005</v>
      </c>
      <c r="J1120" s="33">
        <v>0.29123333333333334</v>
      </c>
      <c r="K1120" s="33">
        <f>0.296266666666667-0.07</f>
        <v>0.226266666666667</v>
      </c>
      <c r="L1120" s="33">
        <f>0.3193-0.07</f>
        <v>0.24929999999999997</v>
      </c>
      <c r="M1120" s="33">
        <v>0.28999999999999998</v>
      </c>
      <c r="N1120" s="472">
        <f t="shared" si="112"/>
        <v>0.26420000000000005</v>
      </c>
      <c r="O1120" s="33">
        <v>0.29123333333333334</v>
      </c>
      <c r="P1120" s="33">
        <f>0.296266666666667-0.07</f>
        <v>0.226266666666667</v>
      </c>
      <c r="Q1120" s="33">
        <f>0.3193-0.07</f>
        <v>0.24929999999999997</v>
      </c>
      <c r="R1120" s="33">
        <v>0.28999999999999998</v>
      </c>
      <c r="S1120" s="153">
        <v>0.04</v>
      </c>
      <c r="T1120" s="153">
        <v>0</v>
      </c>
      <c r="U1120" s="478">
        <v>2017</v>
      </c>
      <c r="V1120" s="24">
        <f t="shared" si="119"/>
        <v>2037</v>
      </c>
      <c r="W1120">
        <v>0</v>
      </c>
      <c r="X1120">
        <v>0</v>
      </c>
      <c r="Y1120">
        <v>1315</v>
      </c>
      <c r="Z1120">
        <v>347</v>
      </c>
      <c r="AA1120" s="475" t="s">
        <v>25</v>
      </c>
    </row>
    <row r="1121" spans="1:27" ht="15" hidden="1">
      <c r="A1121" s="24">
        <f t="shared" si="120"/>
        <v>2120</v>
      </c>
      <c r="B1121" s="24">
        <f t="shared" si="120"/>
        <v>2120</v>
      </c>
      <c r="C1121" s="476" t="s">
        <v>1515</v>
      </c>
      <c r="D1121" t="s">
        <v>152</v>
      </c>
      <c r="E1121" s="477">
        <v>3</v>
      </c>
      <c r="F1121" s="471">
        <v>30</v>
      </c>
      <c r="G1121">
        <v>1</v>
      </c>
      <c r="H1121">
        <v>1</v>
      </c>
      <c r="I1121" s="472">
        <f t="shared" si="111"/>
        <v>0.26420000000000005</v>
      </c>
      <c r="J1121" s="33">
        <v>0.29123333333333334</v>
      </c>
      <c r="K1121" s="33">
        <f>0.296266666666667-0.07</f>
        <v>0.226266666666667</v>
      </c>
      <c r="L1121" s="33">
        <f>0.3193-0.07</f>
        <v>0.24929999999999997</v>
      </c>
      <c r="M1121" s="33">
        <v>0.28999999999999998</v>
      </c>
      <c r="N1121" s="472">
        <f t="shared" si="112"/>
        <v>0.26420000000000005</v>
      </c>
      <c r="O1121" s="33">
        <v>0.29123333333333334</v>
      </c>
      <c r="P1121" s="33">
        <f>0.296266666666667-0.07</f>
        <v>0.226266666666667</v>
      </c>
      <c r="Q1121" s="33">
        <f>0.3193-0.07</f>
        <v>0.24929999999999997</v>
      </c>
      <c r="R1121" s="33">
        <v>0.28999999999999998</v>
      </c>
      <c r="S1121" s="153">
        <v>0.04</v>
      </c>
      <c r="T1121" s="153">
        <v>0</v>
      </c>
      <c r="U1121" s="478">
        <v>2017</v>
      </c>
      <c r="V1121" s="24">
        <f t="shared" si="119"/>
        <v>2037</v>
      </c>
      <c r="W1121">
        <v>0</v>
      </c>
      <c r="X1121">
        <v>0</v>
      </c>
      <c r="Y1121">
        <v>1315</v>
      </c>
      <c r="Z1121">
        <v>347</v>
      </c>
      <c r="AA1121" s="475" t="s">
        <v>25</v>
      </c>
    </row>
    <row r="1122" spans="1:27" ht="15" hidden="1">
      <c r="A1122" s="24">
        <f t="shared" si="120"/>
        <v>2121</v>
      </c>
      <c r="B1122" s="24">
        <f t="shared" si="120"/>
        <v>2121</v>
      </c>
      <c r="C1122" s="476" t="s">
        <v>1516</v>
      </c>
      <c r="D1122" t="s">
        <v>152</v>
      </c>
      <c r="E1122" s="477">
        <v>3</v>
      </c>
      <c r="F1122" s="471">
        <v>18.899999999999999</v>
      </c>
      <c r="G1122">
        <v>1</v>
      </c>
      <c r="H1122">
        <v>1</v>
      </c>
      <c r="I1122" s="472">
        <f t="shared" si="111"/>
        <v>0.47039166666666665</v>
      </c>
      <c r="J1122" s="473">
        <v>0.36503333333333332</v>
      </c>
      <c r="K1122" s="473">
        <v>0.44336666666666663</v>
      </c>
      <c r="L1122" s="473">
        <v>0.58906666666666663</v>
      </c>
      <c r="M1122" s="473">
        <v>0.48410000000000003</v>
      </c>
      <c r="N1122" s="472">
        <f t="shared" si="112"/>
        <v>0.47039166666666665</v>
      </c>
      <c r="O1122" s="473">
        <v>0.36503333333333332</v>
      </c>
      <c r="P1122" s="473">
        <v>0.44336666666666663</v>
      </c>
      <c r="Q1122" s="473">
        <v>0.58906666666666663</v>
      </c>
      <c r="R1122" s="473">
        <v>0.48410000000000003</v>
      </c>
      <c r="S1122" s="153">
        <v>0.01</v>
      </c>
      <c r="T1122" s="153">
        <v>0.02</v>
      </c>
      <c r="U1122" s="478">
        <v>2018</v>
      </c>
      <c r="V1122" s="24">
        <f t="shared" si="119"/>
        <v>2038</v>
      </c>
      <c r="W1122">
        <v>0</v>
      </c>
      <c r="X1122">
        <v>0</v>
      </c>
      <c r="Y1122">
        <v>1315</v>
      </c>
      <c r="Z1122">
        <v>361</v>
      </c>
      <c r="AA1122" s="475" t="s">
        <v>24</v>
      </c>
    </row>
    <row r="1123" spans="1:27" ht="15" hidden="1">
      <c r="A1123" s="24">
        <f t="shared" si="120"/>
        <v>2122</v>
      </c>
      <c r="B1123" s="24">
        <f t="shared" si="120"/>
        <v>2122</v>
      </c>
      <c r="C1123" s="476" t="s">
        <v>1517</v>
      </c>
      <c r="D1123" t="s">
        <v>152</v>
      </c>
      <c r="E1123" s="477">
        <v>3</v>
      </c>
      <c r="F1123" s="471">
        <v>27</v>
      </c>
      <c r="G1123">
        <v>1</v>
      </c>
      <c r="H1123">
        <v>1</v>
      </c>
      <c r="I1123" s="472">
        <f t="shared" si="111"/>
        <v>0.47039166666666665</v>
      </c>
      <c r="J1123" s="473">
        <v>0.36503333333333332</v>
      </c>
      <c r="K1123" s="473">
        <v>0.44336666666666663</v>
      </c>
      <c r="L1123" s="473">
        <v>0.58906666666666663</v>
      </c>
      <c r="M1123" s="473">
        <v>0.48410000000000003</v>
      </c>
      <c r="N1123" s="472">
        <f t="shared" si="112"/>
        <v>0.47039166666666665</v>
      </c>
      <c r="O1123" s="473">
        <v>0.36503333333333332</v>
      </c>
      <c r="P1123" s="473">
        <v>0.44336666666666663</v>
      </c>
      <c r="Q1123" s="473">
        <v>0.58906666666666663</v>
      </c>
      <c r="R1123" s="473">
        <v>0.48410000000000003</v>
      </c>
      <c r="S1123" s="153">
        <v>0.01</v>
      </c>
      <c r="T1123" s="153">
        <v>0.02</v>
      </c>
      <c r="U1123" s="478">
        <v>2018</v>
      </c>
      <c r="V1123" s="24">
        <f t="shared" si="119"/>
        <v>2038</v>
      </c>
      <c r="W1123">
        <v>0</v>
      </c>
      <c r="X1123">
        <v>0</v>
      </c>
      <c r="Y1123">
        <v>1315</v>
      </c>
      <c r="Z1123">
        <v>361</v>
      </c>
      <c r="AA1123" s="475" t="s">
        <v>24</v>
      </c>
    </row>
    <row r="1124" spans="1:27" ht="15" hidden="1">
      <c r="A1124" s="24">
        <f t="shared" si="120"/>
        <v>2123</v>
      </c>
      <c r="B1124" s="24">
        <f t="shared" si="120"/>
        <v>2123</v>
      </c>
      <c r="C1124" s="476" t="s">
        <v>1518</v>
      </c>
      <c r="D1124" t="s">
        <v>152</v>
      </c>
      <c r="E1124" s="477">
        <v>3</v>
      </c>
      <c r="F1124" s="471">
        <v>8.1</v>
      </c>
      <c r="G1124">
        <v>1</v>
      </c>
      <c r="H1124">
        <v>1</v>
      </c>
      <c r="I1124" s="472">
        <f t="shared" si="111"/>
        <v>0.47039166666666665</v>
      </c>
      <c r="J1124" s="473">
        <v>0.36503333333333332</v>
      </c>
      <c r="K1124" s="473">
        <v>0.44336666666666663</v>
      </c>
      <c r="L1124" s="473">
        <v>0.58906666666666663</v>
      </c>
      <c r="M1124" s="473">
        <v>0.48410000000000003</v>
      </c>
      <c r="N1124" s="472">
        <f t="shared" si="112"/>
        <v>0.47039166666666665</v>
      </c>
      <c r="O1124" s="473">
        <v>0.36503333333333332</v>
      </c>
      <c r="P1124" s="473">
        <v>0.44336666666666663</v>
      </c>
      <c r="Q1124" s="473">
        <v>0.58906666666666663</v>
      </c>
      <c r="R1124" s="473">
        <v>0.48410000000000003</v>
      </c>
      <c r="S1124" s="153">
        <v>0.01</v>
      </c>
      <c r="T1124" s="153">
        <v>0.02</v>
      </c>
      <c r="U1124" s="478">
        <v>2018</v>
      </c>
      <c r="V1124" s="24">
        <f t="shared" si="119"/>
        <v>2038</v>
      </c>
      <c r="W1124">
        <v>0</v>
      </c>
      <c r="X1124">
        <v>0</v>
      </c>
      <c r="Y1124">
        <v>1315</v>
      </c>
      <c r="Z1124">
        <v>361</v>
      </c>
      <c r="AA1124" s="475" t="s">
        <v>24</v>
      </c>
    </row>
    <row r="1125" spans="1:27" ht="15" hidden="1">
      <c r="A1125" s="24">
        <f t="shared" si="120"/>
        <v>2124</v>
      </c>
      <c r="B1125" s="24">
        <f t="shared" si="120"/>
        <v>2124</v>
      </c>
      <c r="C1125" s="476" t="s">
        <v>1519</v>
      </c>
      <c r="D1125" t="s">
        <v>152</v>
      </c>
      <c r="E1125" s="477">
        <v>3</v>
      </c>
      <c r="F1125" s="471">
        <v>27</v>
      </c>
      <c r="G1125">
        <v>1</v>
      </c>
      <c r="H1125">
        <v>1</v>
      </c>
      <c r="I1125" s="472">
        <f t="shared" si="111"/>
        <v>0.47039166666666665</v>
      </c>
      <c r="J1125" s="473">
        <v>0.36503333333333332</v>
      </c>
      <c r="K1125" s="473">
        <v>0.44336666666666663</v>
      </c>
      <c r="L1125" s="473">
        <v>0.58906666666666663</v>
      </c>
      <c r="M1125" s="473">
        <v>0.48410000000000003</v>
      </c>
      <c r="N1125" s="472">
        <f t="shared" si="112"/>
        <v>0.47039166666666665</v>
      </c>
      <c r="O1125" s="473">
        <v>0.36503333333333332</v>
      </c>
      <c r="P1125" s="473">
        <v>0.44336666666666663</v>
      </c>
      <c r="Q1125" s="473">
        <v>0.58906666666666663</v>
      </c>
      <c r="R1125" s="473">
        <v>0.48410000000000003</v>
      </c>
      <c r="S1125" s="153">
        <v>0.01</v>
      </c>
      <c r="T1125" s="153">
        <v>0.02</v>
      </c>
      <c r="U1125" s="478">
        <v>2018</v>
      </c>
      <c r="V1125" s="24">
        <f t="shared" si="119"/>
        <v>2038</v>
      </c>
      <c r="W1125">
        <v>0</v>
      </c>
      <c r="X1125">
        <v>0</v>
      </c>
      <c r="Y1125">
        <v>1315</v>
      </c>
      <c r="Z1125">
        <v>361</v>
      </c>
      <c r="AA1125" s="475" t="s">
        <v>24</v>
      </c>
    </row>
    <row r="1126" spans="1:27" ht="15" hidden="1">
      <c r="A1126" s="24">
        <f t="shared" si="120"/>
        <v>2125</v>
      </c>
      <c r="B1126" s="24">
        <f t="shared" si="120"/>
        <v>2125</v>
      </c>
      <c r="C1126" s="476" t="s">
        <v>1520</v>
      </c>
      <c r="D1126" t="s">
        <v>152</v>
      </c>
      <c r="E1126" s="477">
        <v>3</v>
      </c>
      <c r="F1126" s="471">
        <v>18.899999999999999</v>
      </c>
      <c r="G1126">
        <v>1</v>
      </c>
      <c r="H1126">
        <v>1</v>
      </c>
      <c r="I1126" s="472">
        <f t="shared" si="111"/>
        <v>0.47039166666666665</v>
      </c>
      <c r="J1126" s="473">
        <v>0.36503333333333332</v>
      </c>
      <c r="K1126" s="473">
        <v>0.44336666666666663</v>
      </c>
      <c r="L1126" s="473">
        <v>0.58906666666666663</v>
      </c>
      <c r="M1126" s="473">
        <v>0.48410000000000003</v>
      </c>
      <c r="N1126" s="472">
        <f t="shared" si="112"/>
        <v>0.47039166666666665</v>
      </c>
      <c r="O1126" s="473">
        <v>0.36503333333333332</v>
      </c>
      <c r="P1126" s="473">
        <v>0.44336666666666663</v>
      </c>
      <c r="Q1126" s="473">
        <v>0.58906666666666663</v>
      </c>
      <c r="R1126" s="473">
        <v>0.48410000000000003</v>
      </c>
      <c r="S1126" s="153">
        <v>0.01</v>
      </c>
      <c r="T1126" s="153">
        <v>0.02</v>
      </c>
      <c r="U1126" s="478">
        <v>2018</v>
      </c>
      <c r="V1126" s="24">
        <f t="shared" si="119"/>
        <v>2038</v>
      </c>
      <c r="W1126">
        <v>0</v>
      </c>
      <c r="X1126">
        <v>0</v>
      </c>
      <c r="Y1126">
        <v>1315</v>
      </c>
      <c r="Z1126">
        <v>361</v>
      </c>
      <c r="AA1126" s="475" t="s">
        <v>24</v>
      </c>
    </row>
    <row r="1127" spans="1:27" ht="15" hidden="1">
      <c r="A1127" s="24">
        <f t="shared" si="120"/>
        <v>2126</v>
      </c>
      <c r="B1127" s="24">
        <f t="shared" si="120"/>
        <v>2126</v>
      </c>
      <c r="C1127" s="476" t="s">
        <v>1521</v>
      </c>
      <c r="D1127" t="s">
        <v>152</v>
      </c>
      <c r="E1127" s="477">
        <v>3</v>
      </c>
      <c r="F1127" s="471">
        <v>18.899999999999999</v>
      </c>
      <c r="G1127">
        <v>1</v>
      </c>
      <c r="H1127">
        <v>1</v>
      </c>
      <c r="I1127" s="472">
        <f t="shared" si="111"/>
        <v>0.47039166666666665</v>
      </c>
      <c r="J1127" s="473">
        <v>0.36503333333333332</v>
      </c>
      <c r="K1127" s="473">
        <v>0.44336666666666663</v>
      </c>
      <c r="L1127" s="473">
        <v>0.58906666666666663</v>
      </c>
      <c r="M1127" s="473">
        <v>0.48410000000000003</v>
      </c>
      <c r="N1127" s="472">
        <f t="shared" si="112"/>
        <v>0.47039166666666665</v>
      </c>
      <c r="O1127" s="473">
        <v>0.36503333333333332</v>
      </c>
      <c r="P1127" s="473">
        <v>0.44336666666666663</v>
      </c>
      <c r="Q1127" s="473">
        <v>0.58906666666666663</v>
      </c>
      <c r="R1127" s="473">
        <v>0.48410000000000003</v>
      </c>
      <c r="S1127" s="153">
        <v>0.01</v>
      </c>
      <c r="T1127" s="153">
        <v>0.02</v>
      </c>
      <c r="U1127" s="478">
        <v>2018</v>
      </c>
      <c r="V1127" s="24">
        <f t="shared" si="119"/>
        <v>2038</v>
      </c>
      <c r="W1127">
        <v>0</v>
      </c>
      <c r="X1127">
        <v>0</v>
      </c>
      <c r="Y1127">
        <v>1315</v>
      </c>
      <c r="Z1127">
        <v>361</v>
      </c>
      <c r="AA1127" s="475" t="s">
        <v>24</v>
      </c>
    </row>
    <row r="1128" spans="1:27" ht="15" hidden="1">
      <c r="A1128" s="24">
        <f t="shared" si="120"/>
        <v>2127</v>
      </c>
      <c r="B1128" s="24">
        <f t="shared" si="120"/>
        <v>2127</v>
      </c>
      <c r="C1128" s="476" t="s">
        <v>1522</v>
      </c>
      <c r="D1128" t="s">
        <v>152</v>
      </c>
      <c r="E1128" s="477">
        <v>3</v>
      </c>
      <c r="F1128" s="471">
        <v>18.899999999999999</v>
      </c>
      <c r="G1128">
        <v>1</v>
      </c>
      <c r="H1128">
        <v>1</v>
      </c>
      <c r="I1128" s="472">
        <f t="shared" si="111"/>
        <v>0.47039166666666665</v>
      </c>
      <c r="J1128" s="473">
        <v>0.36503333333333332</v>
      </c>
      <c r="K1128" s="473">
        <v>0.44336666666666663</v>
      </c>
      <c r="L1128" s="473">
        <v>0.58906666666666663</v>
      </c>
      <c r="M1128" s="473">
        <v>0.48410000000000003</v>
      </c>
      <c r="N1128" s="472">
        <f t="shared" si="112"/>
        <v>0.47039166666666665</v>
      </c>
      <c r="O1128" s="473">
        <v>0.36503333333333332</v>
      </c>
      <c r="P1128" s="473">
        <v>0.44336666666666663</v>
      </c>
      <c r="Q1128" s="473">
        <v>0.58906666666666663</v>
      </c>
      <c r="R1128" s="473">
        <v>0.48410000000000003</v>
      </c>
      <c r="S1128" s="153">
        <v>0.01</v>
      </c>
      <c r="T1128" s="153">
        <v>0.02</v>
      </c>
      <c r="U1128" s="478">
        <v>2018</v>
      </c>
      <c r="V1128" s="24">
        <f t="shared" si="119"/>
        <v>2038</v>
      </c>
      <c r="W1128">
        <v>0</v>
      </c>
      <c r="X1128">
        <v>0</v>
      </c>
      <c r="Y1128">
        <v>1315</v>
      </c>
      <c r="Z1128">
        <v>361</v>
      </c>
      <c r="AA1128" s="475" t="s">
        <v>24</v>
      </c>
    </row>
    <row r="1129" spans="1:27" ht="15" hidden="1">
      <c r="A1129" s="24">
        <f t="shared" si="120"/>
        <v>2128</v>
      </c>
      <c r="B1129" s="24">
        <f t="shared" si="120"/>
        <v>2128</v>
      </c>
      <c r="C1129" s="476" t="s">
        <v>1523</v>
      </c>
      <c r="D1129" t="s">
        <v>152</v>
      </c>
      <c r="E1129" s="477">
        <v>3</v>
      </c>
      <c r="F1129" s="471">
        <v>21.6</v>
      </c>
      <c r="G1129">
        <v>1</v>
      </c>
      <c r="H1129">
        <v>1</v>
      </c>
      <c r="I1129" s="472">
        <f t="shared" si="111"/>
        <v>0.47039166666666665</v>
      </c>
      <c r="J1129" s="473">
        <v>0.36503333333333332</v>
      </c>
      <c r="K1129" s="473">
        <v>0.44336666666666663</v>
      </c>
      <c r="L1129" s="473">
        <v>0.58906666666666663</v>
      </c>
      <c r="M1129" s="473">
        <v>0.48410000000000003</v>
      </c>
      <c r="N1129" s="472">
        <f t="shared" si="112"/>
        <v>0.47039166666666665</v>
      </c>
      <c r="O1129" s="473">
        <v>0.36503333333333332</v>
      </c>
      <c r="P1129" s="473">
        <v>0.44336666666666663</v>
      </c>
      <c r="Q1129" s="473">
        <v>0.58906666666666663</v>
      </c>
      <c r="R1129" s="473">
        <v>0.48410000000000003</v>
      </c>
      <c r="S1129" s="153">
        <v>0.01</v>
      </c>
      <c r="T1129" s="153">
        <v>0.02</v>
      </c>
      <c r="U1129" s="478">
        <v>2018</v>
      </c>
      <c r="V1129" s="24">
        <f t="shared" si="119"/>
        <v>2038</v>
      </c>
      <c r="W1129">
        <v>0</v>
      </c>
      <c r="X1129">
        <v>0</v>
      </c>
      <c r="Y1129">
        <v>1315</v>
      </c>
      <c r="Z1129">
        <v>361</v>
      </c>
      <c r="AA1129" s="475" t="s">
        <v>24</v>
      </c>
    </row>
    <row r="1130" spans="1:27" ht="15" hidden="1">
      <c r="A1130" s="24">
        <f t="shared" si="120"/>
        <v>2129</v>
      </c>
      <c r="B1130" s="24">
        <f t="shared" si="120"/>
        <v>2129</v>
      </c>
      <c r="C1130" s="476" t="s">
        <v>1524</v>
      </c>
      <c r="D1130" t="s">
        <v>152</v>
      </c>
      <c r="E1130" s="477">
        <v>3</v>
      </c>
      <c r="F1130" s="471">
        <v>24.3</v>
      </c>
      <c r="G1130">
        <v>1</v>
      </c>
      <c r="H1130">
        <v>1</v>
      </c>
      <c r="I1130" s="472">
        <f t="shared" si="111"/>
        <v>0.47039166666666665</v>
      </c>
      <c r="J1130" s="473">
        <v>0.36503333333333332</v>
      </c>
      <c r="K1130" s="473">
        <v>0.44336666666666663</v>
      </c>
      <c r="L1130" s="473">
        <v>0.58906666666666663</v>
      </c>
      <c r="M1130" s="473">
        <v>0.48410000000000003</v>
      </c>
      <c r="N1130" s="472">
        <f t="shared" si="112"/>
        <v>0.47039166666666665</v>
      </c>
      <c r="O1130" s="473">
        <v>0.36503333333333332</v>
      </c>
      <c r="P1130" s="473">
        <v>0.44336666666666663</v>
      </c>
      <c r="Q1130" s="473">
        <v>0.58906666666666663</v>
      </c>
      <c r="R1130" s="473">
        <v>0.48410000000000003</v>
      </c>
      <c r="S1130" s="153">
        <v>0.01</v>
      </c>
      <c r="T1130" s="153">
        <v>0.02</v>
      </c>
      <c r="U1130" s="478">
        <v>2018</v>
      </c>
      <c r="V1130" s="24">
        <f t="shared" si="119"/>
        <v>2038</v>
      </c>
      <c r="W1130">
        <v>0</v>
      </c>
      <c r="X1130">
        <v>0</v>
      </c>
      <c r="Y1130">
        <v>1315</v>
      </c>
      <c r="Z1130">
        <v>361</v>
      </c>
      <c r="AA1130" s="475" t="s">
        <v>24</v>
      </c>
    </row>
    <row r="1131" spans="1:27" ht="15" hidden="1">
      <c r="A1131" s="24">
        <f t="shared" si="120"/>
        <v>2130</v>
      </c>
      <c r="B1131" s="24">
        <f t="shared" si="120"/>
        <v>2130</v>
      </c>
      <c r="C1131" s="476" t="s">
        <v>1525</v>
      </c>
      <c r="D1131" t="s">
        <v>152</v>
      </c>
      <c r="E1131" s="477">
        <v>3</v>
      </c>
      <c r="F1131" s="471">
        <v>24.3</v>
      </c>
      <c r="G1131">
        <v>1</v>
      </c>
      <c r="H1131">
        <v>1</v>
      </c>
      <c r="I1131" s="472">
        <f t="shared" si="111"/>
        <v>0.47039166666666665</v>
      </c>
      <c r="J1131" s="473">
        <v>0.36503333333333332</v>
      </c>
      <c r="K1131" s="473">
        <v>0.44336666666666663</v>
      </c>
      <c r="L1131" s="473">
        <v>0.58906666666666663</v>
      </c>
      <c r="M1131" s="473">
        <v>0.48410000000000003</v>
      </c>
      <c r="N1131" s="472">
        <f t="shared" si="112"/>
        <v>0.47039166666666665</v>
      </c>
      <c r="O1131" s="473">
        <v>0.36503333333333332</v>
      </c>
      <c r="P1131" s="473">
        <v>0.44336666666666663</v>
      </c>
      <c r="Q1131" s="473">
        <v>0.58906666666666663</v>
      </c>
      <c r="R1131" s="473">
        <v>0.48410000000000003</v>
      </c>
      <c r="S1131" s="153">
        <v>0.01</v>
      </c>
      <c r="T1131" s="153">
        <v>0.02</v>
      </c>
      <c r="U1131" s="478">
        <v>2018</v>
      </c>
      <c r="V1131" s="24">
        <f t="shared" si="119"/>
        <v>2038</v>
      </c>
      <c r="W1131">
        <v>0</v>
      </c>
      <c r="X1131">
        <v>0</v>
      </c>
      <c r="Y1131">
        <v>1315</v>
      </c>
      <c r="Z1131">
        <v>361</v>
      </c>
      <c r="AA1131" s="475" t="s">
        <v>24</v>
      </c>
    </row>
    <row r="1132" spans="1:27" ht="15" hidden="1">
      <c r="A1132" s="24">
        <f t="shared" si="120"/>
        <v>2131</v>
      </c>
      <c r="B1132" s="24">
        <f t="shared" si="120"/>
        <v>2131</v>
      </c>
      <c r="C1132" s="476" t="s">
        <v>1526</v>
      </c>
      <c r="D1132" t="s">
        <v>152</v>
      </c>
      <c r="E1132" s="477">
        <v>3</v>
      </c>
      <c r="F1132" s="471">
        <v>18</v>
      </c>
      <c r="G1132">
        <v>1</v>
      </c>
      <c r="H1132">
        <v>1</v>
      </c>
      <c r="I1132" s="472">
        <f t="shared" si="111"/>
        <v>0.47039166666666665</v>
      </c>
      <c r="J1132" s="473">
        <v>0.36503333333333332</v>
      </c>
      <c r="K1132" s="473">
        <v>0.44336666666666663</v>
      </c>
      <c r="L1132" s="473">
        <v>0.58906666666666663</v>
      </c>
      <c r="M1132" s="473">
        <v>0.48410000000000003</v>
      </c>
      <c r="N1132" s="472">
        <f t="shared" si="112"/>
        <v>0.47039166666666665</v>
      </c>
      <c r="O1132" s="473">
        <v>0.36503333333333332</v>
      </c>
      <c r="P1132" s="473">
        <v>0.44336666666666663</v>
      </c>
      <c r="Q1132" s="473">
        <v>0.58906666666666663</v>
      </c>
      <c r="R1132" s="473">
        <v>0.48410000000000003</v>
      </c>
      <c r="S1132" s="153">
        <v>0.01</v>
      </c>
      <c r="T1132" s="153">
        <v>0.02</v>
      </c>
      <c r="U1132" s="478">
        <v>2018</v>
      </c>
      <c r="V1132" s="24">
        <f t="shared" si="119"/>
        <v>2038</v>
      </c>
      <c r="W1132">
        <v>0</v>
      </c>
      <c r="X1132">
        <v>0</v>
      </c>
      <c r="Y1132">
        <v>1315</v>
      </c>
      <c r="Z1132">
        <v>361</v>
      </c>
      <c r="AA1132" s="475" t="s">
        <v>24</v>
      </c>
    </row>
    <row r="1133" spans="1:27" ht="15" hidden="1">
      <c r="A1133" s="24">
        <f t="shared" si="120"/>
        <v>2132</v>
      </c>
      <c r="B1133" s="24">
        <f t="shared" si="120"/>
        <v>2132</v>
      </c>
      <c r="C1133" s="476" t="s">
        <v>1527</v>
      </c>
      <c r="D1133" t="s">
        <v>152</v>
      </c>
      <c r="E1133" s="477">
        <v>3</v>
      </c>
      <c r="F1133" s="471">
        <v>21.6</v>
      </c>
      <c r="G1133">
        <v>1</v>
      </c>
      <c r="H1133">
        <v>1</v>
      </c>
      <c r="I1133" s="472">
        <f t="shared" si="111"/>
        <v>0.47039166666666665</v>
      </c>
      <c r="J1133" s="473">
        <v>0.36503333333333332</v>
      </c>
      <c r="K1133" s="473">
        <v>0.44336666666666663</v>
      </c>
      <c r="L1133" s="473">
        <v>0.58906666666666663</v>
      </c>
      <c r="M1133" s="473">
        <v>0.48410000000000003</v>
      </c>
      <c r="N1133" s="472">
        <f t="shared" si="112"/>
        <v>0.47039166666666665</v>
      </c>
      <c r="O1133" s="473">
        <v>0.36503333333333332</v>
      </c>
      <c r="P1133" s="473">
        <v>0.44336666666666663</v>
      </c>
      <c r="Q1133" s="473">
        <v>0.58906666666666663</v>
      </c>
      <c r="R1133" s="473">
        <v>0.48410000000000003</v>
      </c>
      <c r="S1133" s="153">
        <v>0.01</v>
      </c>
      <c r="T1133" s="153">
        <v>0.02</v>
      </c>
      <c r="U1133" s="478">
        <v>2018</v>
      </c>
      <c r="V1133" s="24">
        <f t="shared" si="119"/>
        <v>2038</v>
      </c>
      <c r="W1133">
        <v>0</v>
      </c>
      <c r="X1133">
        <v>0</v>
      </c>
      <c r="Y1133">
        <v>1315</v>
      </c>
      <c r="Z1133">
        <v>361</v>
      </c>
      <c r="AA1133" s="475" t="s">
        <v>24</v>
      </c>
    </row>
    <row r="1134" spans="1:27" ht="15" hidden="1">
      <c r="A1134" s="24">
        <f t="shared" si="120"/>
        <v>2133</v>
      </c>
      <c r="B1134" s="24">
        <f t="shared" si="120"/>
        <v>2133</v>
      </c>
      <c r="C1134" s="476" t="s">
        <v>1528</v>
      </c>
      <c r="D1134" t="s">
        <v>152</v>
      </c>
      <c r="E1134" s="477">
        <v>3</v>
      </c>
      <c r="F1134" s="471">
        <v>30</v>
      </c>
      <c r="G1134">
        <v>1</v>
      </c>
      <c r="H1134">
        <v>1</v>
      </c>
      <c r="I1134" s="472">
        <f t="shared" si="111"/>
        <v>0.47039166666666665</v>
      </c>
      <c r="J1134" s="473">
        <v>0.36503333333333332</v>
      </c>
      <c r="K1134" s="473">
        <v>0.44336666666666663</v>
      </c>
      <c r="L1134" s="473">
        <v>0.58906666666666663</v>
      </c>
      <c r="M1134" s="473">
        <v>0.48410000000000003</v>
      </c>
      <c r="N1134" s="472">
        <f t="shared" si="112"/>
        <v>0.47039166666666665</v>
      </c>
      <c r="O1134" s="473">
        <v>0.36503333333333332</v>
      </c>
      <c r="P1134" s="473">
        <v>0.44336666666666663</v>
      </c>
      <c r="Q1134" s="473">
        <v>0.58906666666666663</v>
      </c>
      <c r="R1134" s="473">
        <v>0.48410000000000003</v>
      </c>
      <c r="S1134" s="153">
        <v>0.01</v>
      </c>
      <c r="T1134" s="153">
        <v>0.02</v>
      </c>
      <c r="U1134" s="478">
        <v>2018</v>
      </c>
      <c r="V1134" s="24">
        <f t="shared" si="119"/>
        <v>2038</v>
      </c>
      <c r="W1134">
        <v>0</v>
      </c>
      <c r="X1134">
        <v>0</v>
      </c>
      <c r="Y1134">
        <v>1315</v>
      </c>
      <c r="Z1134">
        <v>361</v>
      </c>
      <c r="AA1134" s="475" t="s">
        <v>24</v>
      </c>
    </row>
    <row r="1135" spans="1:27" ht="15" hidden="1">
      <c r="A1135" s="24">
        <f t="shared" si="120"/>
        <v>2134</v>
      </c>
      <c r="B1135" s="24">
        <f t="shared" si="120"/>
        <v>2134</v>
      </c>
      <c r="C1135" s="476" t="s">
        <v>1529</v>
      </c>
      <c r="D1135" t="s">
        <v>152</v>
      </c>
      <c r="E1135" s="477">
        <v>3</v>
      </c>
      <c r="F1135" s="471">
        <v>13.5</v>
      </c>
      <c r="G1135">
        <v>1</v>
      </c>
      <c r="H1135">
        <v>1</v>
      </c>
      <c r="I1135" s="472">
        <f t="shared" si="111"/>
        <v>0.47039166666666665</v>
      </c>
      <c r="J1135" s="473">
        <v>0.36503333333333332</v>
      </c>
      <c r="K1135" s="473">
        <v>0.44336666666666663</v>
      </c>
      <c r="L1135" s="473">
        <v>0.58906666666666663</v>
      </c>
      <c r="M1135" s="473">
        <v>0.48410000000000003</v>
      </c>
      <c r="N1135" s="472">
        <f t="shared" si="112"/>
        <v>0.47039166666666665</v>
      </c>
      <c r="O1135" s="473">
        <v>0.36503333333333332</v>
      </c>
      <c r="P1135" s="473">
        <v>0.44336666666666663</v>
      </c>
      <c r="Q1135" s="473">
        <v>0.58906666666666663</v>
      </c>
      <c r="R1135" s="473">
        <v>0.48410000000000003</v>
      </c>
      <c r="S1135" s="153">
        <v>0.01</v>
      </c>
      <c r="T1135" s="153">
        <v>0.02</v>
      </c>
      <c r="U1135" s="478">
        <v>2018</v>
      </c>
      <c r="V1135" s="24">
        <f t="shared" si="119"/>
        <v>2038</v>
      </c>
      <c r="W1135">
        <v>0</v>
      </c>
      <c r="X1135">
        <v>0</v>
      </c>
      <c r="Y1135">
        <v>1315</v>
      </c>
      <c r="Z1135">
        <v>361</v>
      </c>
      <c r="AA1135" s="475" t="s">
        <v>24</v>
      </c>
    </row>
    <row r="1136" spans="1:27" ht="15" hidden="1">
      <c r="A1136" s="24">
        <f t="shared" ref="A1136:B1151" si="121">1000+ROW()-1</f>
        <v>2135</v>
      </c>
      <c r="B1136" s="24">
        <f t="shared" si="121"/>
        <v>2135</v>
      </c>
      <c r="C1136" s="476" t="s">
        <v>1530</v>
      </c>
      <c r="D1136" t="s">
        <v>152</v>
      </c>
      <c r="E1136" s="477">
        <v>3</v>
      </c>
      <c r="F1136" s="471">
        <v>25.2</v>
      </c>
      <c r="G1136">
        <v>1</v>
      </c>
      <c r="H1136">
        <v>1</v>
      </c>
      <c r="I1136" s="472">
        <f t="shared" si="111"/>
        <v>0.47039166666666665</v>
      </c>
      <c r="J1136" s="473">
        <v>0.36503333333333332</v>
      </c>
      <c r="K1136" s="473">
        <v>0.44336666666666663</v>
      </c>
      <c r="L1136" s="473">
        <v>0.58906666666666663</v>
      </c>
      <c r="M1136" s="473">
        <v>0.48410000000000003</v>
      </c>
      <c r="N1136" s="472">
        <f t="shared" si="112"/>
        <v>0.47039166666666665</v>
      </c>
      <c r="O1136" s="473">
        <v>0.36503333333333332</v>
      </c>
      <c r="P1136" s="473">
        <v>0.44336666666666663</v>
      </c>
      <c r="Q1136" s="473">
        <v>0.58906666666666663</v>
      </c>
      <c r="R1136" s="473">
        <v>0.48410000000000003</v>
      </c>
      <c r="S1136" s="153">
        <v>0.01</v>
      </c>
      <c r="T1136" s="153">
        <v>0.02</v>
      </c>
      <c r="U1136" s="478">
        <v>2018</v>
      </c>
      <c r="V1136" s="24">
        <f t="shared" si="119"/>
        <v>2038</v>
      </c>
      <c r="W1136">
        <v>0</v>
      </c>
      <c r="X1136">
        <v>0</v>
      </c>
      <c r="Y1136">
        <v>1315</v>
      </c>
      <c r="Z1136">
        <v>361</v>
      </c>
      <c r="AA1136" s="475" t="s">
        <v>24</v>
      </c>
    </row>
    <row r="1137" spans="1:27" ht="15" hidden="1">
      <c r="A1137" s="24">
        <f t="shared" si="121"/>
        <v>2136</v>
      </c>
      <c r="B1137" s="24">
        <f t="shared" si="121"/>
        <v>2136</v>
      </c>
      <c r="C1137" s="476" t="s">
        <v>1531</v>
      </c>
      <c r="D1137" t="s">
        <v>152</v>
      </c>
      <c r="E1137" s="477">
        <v>3</v>
      </c>
      <c r="F1137" s="471">
        <v>18.899999999999999</v>
      </c>
      <c r="G1137">
        <v>1</v>
      </c>
      <c r="H1137">
        <v>1</v>
      </c>
      <c r="I1137" s="472">
        <f t="shared" si="111"/>
        <v>0.47039166666666665</v>
      </c>
      <c r="J1137" s="473">
        <v>0.36503333333333332</v>
      </c>
      <c r="K1137" s="473">
        <v>0.44336666666666663</v>
      </c>
      <c r="L1137" s="473">
        <v>0.58906666666666663</v>
      </c>
      <c r="M1137" s="473">
        <v>0.48410000000000003</v>
      </c>
      <c r="N1137" s="472">
        <f t="shared" si="112"/>
        <v>0.47039166666666665</v>
      </c>
      <c r="O1137" s="473">
        <v>0.36503333333333332</v>
      </c>
      <c r="P1137" s="473">
        <v>0.44336666666666663</v>
      </c>
      <c r="Q1137" s="473">
        <v>0.58906666666666663</v>
      </c>
      <c r="R1137" s="473">
        <v>0.48410000000000003</v>
      </c>
      <c r="S1137" s="153">
        <v>0.01</v>
      </c>
      <c r="T1137" s="153">
        <v>0.02</v>
      </c>
      <c r="U1137" s="478">
        <v>2018</v>
      </c>
      <c r="V1137" s="24">
        <f t="shared" si="119"/>
        <v>2038</v>
      </c>
      <c r="W1137">
        <v>0</v>
      </c>
      <c r="X1137">
        <v>0</v>
      </c>
      <c r="Y1137">
        <v>1315</v>
      </c>
      <c r="Z1137">
        <v>361</v>
      </c>
      <c r="AA1137" s="475" t="s">
        <v>24</v>
      </c>
    </row>
    <row r="1138" spans="1:27" ht="15" hidden="1">
      <c r="A1138" s="24">
        <f t="shared" si="121"/>
        <v>2137</v>
      </c>
      <c r="B1138" s="24">
        <f t="shared" si="121"/>
        <v>2137</v>
      </c>
      <c r="C1138" s="476" t="s">
        <v>1532</v>
      </c>
      <c r="D1138" t="s">
        <v>152</v>
      </c>
      <c r="E1138" s="477">
        <v>3</v>
      </c>
      <c r="F1138" s="471">
        <v>21</v>
      </c>
      <c r="G1138">
        <v>1</v>
      </c>
      <c r="H1138">
        <v>1</v>
      </c>
      <c r="I1138" s="472">
        <f t="shared" si="111"/>
        <v>0.47039166666666665</v>
      </c>
      <c r="J1138" s="473">
        <v>0.36503333333333332</v>
      </c>
      <c r="K1138" s="473">
        <v>0.44336666666666663</v>
      </c>
      <c r="L1138" s="473">
        <v>0.58906666666666663</v>
      </c>
      <c r="M1138" s="473">
        <v>0.48410000000000003</v>
      </c>
      <c r="N1138" s="472">
        <f t="shared" si="112"/>
        <v>0.47039166666666665</v>
      </c>
      <c r="O1138" s="473">
        <v>0.36503333333333332</v>
      </c>
      <c r="P1138" s="473">
        <v>0.44336666666666663</v>
      </c>
      <c r="Q1138" s="473">
        <v>0.58906666666666663</v>
      </c>
      <c r="R1138" s="473">
        <v>0.48410000000000003</v>
      </c>
      <c r="S1138" s="153">
        <v>0.01</v>
      </c>
      <c r="T1138" s="153">
        <v>0.02</v>
      </c>
      <c r="U1138" s="478">
        <v>2018</v>
      </c>
      <c r="V1138" s="24">
        <f t="shared" si="119"/>
        <v>2038</v>
      </c>
      <c r="W1138">
        <v>0</v>
      </c>
      <c r="X1138">
        <v>0</v>
      </c>
      <c r="Y1138">
        <v>1315</v>
      </c>
      <c r="Z1138">
        <v>361</v>
      </c>
      <c r="AA1138" s="475" t="s">
        <v>24</v>
      </c>
    </row>
    <row r="1139" spans="1:27" ht="15" hidden="1">
      <c r="A1139" s="24">
        <f t="shared" si="121"/>
        <v>2138</v>
      </c>
      <c r="B1139" s="24">
        <f t="shared" si="121"/>
        <v>2138</v>
      </c>
      <c r="C1139" s="476" t="s">
        <v>1533</v>
      </c>
      <c r="D1139" t="s">
        <v>152</v>
      </c>
      <c r="E1139" s="477">
        <v>3</v>
      </c>
      <c r="F1139" s="471">
        <v>30</v>
      </c>
      <c r="G1139">
        <v>1</v>
      </c>
      <c r="H1139">
        <v>1</v>
      </c>
      <c r="I1139" s="472">
        <f t="shared" si="111"/>
        <v>0.47039166666666665</v>
      </c>
      <c r="J1139" s="473">
        <v>0.36503333333333332</v>
      </c>
      <c r="K1139" s="473">
        <v>0.44336666666666663</v>
      </c>
      <c r="L1139" s="473">
        <v>0.58906666666666663</v>
      </c>
      <c r="M1139" s="473">
        <v>0.48410000000000003</v>
      </c>
      <c r="N1139" s="472">
        <f t="shared" si="112"/>
        <v>0.47039166666666665</v>
      </c>
      <c r="O1139" s="473">
        <v>0.36503333333333332</v>
      </c>
      <c r="P1139" s="473">
        <v>0.44336666666666663</v>
      </c>
      <c r="Q1139" s="473">
        <v>0.58906666666666663</v>
      </c>
      <c r="R1139" s="473">
        <v>0.48410000000000003</v>
      </c>
      <c r="S1139" s="153">
        <v>0.01</v>
      </c>
      <c r="T1139" s="153">
        <v>0.02</v>
      </c>
      <c r="U1139" s="478">
        <v>2018</v>
      </c>
      <c r="V1139" s="24">
        <f t="shared" si="119"/>
        <v>2038</v>
      </c>
      <c r="W1139">
        <v>0</v>
      </c>
      <c r="X1139">
        <v>0</v>
      </c>
      <c r="Y1139">
        <v>1315</v>
      </c>
      <c r="Z1139">
        <v>361</v>
      </c>
      <c r="AA1139" s="475" t="s">
        <v>24</v>
      </c>
    </row>
    <row r="1140" spans="1:27" ht="15" hidden="1">
      <c r="A1140" s="24">
        <f t="shared" si="121"/>
        <v>2139</v>
      </c>
      <c r="B1140" s="24">
        <f t="shared" si="121"/>
        <v>2139</v>
      </c>
      <c r="C1140" s="476" t="s">
        <v>1534</v>
      </c>
      <c r="D1140" t="s">
        <v>152</v>
      </c>
      <c r="E1140" s="477">
        <v>3</v>
      </c>
      <c r="F1140" s="471">
        <v>23.1</v>
      </c>
      <c r="G1140">
        <v>1</v>
      </c>
      <c r="H1140">
        <v>1</v>
      </c>
      <c r="I1140" s="472">
        <f t="shared" si="111"/>
        <v>0.47039166666666665</v>
      </c>
      <c r="J1140" s="473">
        <v>0.36503333333333332</v>
      </c>
      <c r="K1140" s="473">
        <v>0.44336666666666663</v>
      </c>
      <c r="L1140" s="473">
        <v>0.58906666666666663</v>
      </c>
      <c r="M1140" s="473">
        <v>0.48410000000000003</v>
      </c>
      <c r="N1140" s="472">
        <f t="shared" si="112"/>
        <v>0.47039166666666665</v>
      </c>
      <c r="O1140" s="473">
        <v>0.36503333333333332</v>
      </c>
      <c r="P1140" s="473">
        <v>0.44336666666666663</v>
      </c>
      <c r="Q1140" s="473">
        <v>0.58906666666666663</v>
      </c>
      <c r="R1140" s="473">
        <v>0.48410000000000003</v>
      </c>
      <c r="S1140" s="153">
        <v>0.01</v>
      </c>
      <c r="T1140" s="153">
        <v>0.02</v>
      </c>
      <c r="U1140" s="478">
        <v>2018</v>
      </c>
      <c r="V1140" s="24">
        <f t="shared" si="119"/>
        <v>2038</v>
      </c>
      <c r="W1140">
        <v>0</v>
      </c>
      <c r="X1140">
        <v>0</v>
      </c>
      <c r="Y1140">
        <v>1315</v>
      </c>
      <c r="Z1140">
        <v>361</v>
      </c>
      <c r="AA1140" s="475" t="s">
        <v>24</v>
      </c>
    </row>
    <row r="1141" spans="1:27" ht="15" hidden="1">
      <c r="A1141" s="24">
        <f t="shared" si="121"/>
        <v>2140</v>
      </c>
      <c r="B1141" s="24">
        <f t="shared" si="121"/>
        <v>2140</v>
      </c>
      <c r="C1141" s="476" t="s">
        <v>1535</v>
      </c>
      <c r="D1141" t="s">
        <v>152</v>
      </c>
      <c r="E1141" s="477">
        <v>3</v>
      </c>
      <c r="F1141" s="471">
        <v>23.4</v>
      </c>
      <c r="G1141">
        <v>1</v>
      </c>
      <c r="H1141">
        <v>1</v>
      </c>
      <c r="I1141" s="472">
        <f t="shared" si="111"/>
        <v>0.47039166666666665</v>
      </c>
      <c r="J1141" s="473">
        <v>0.36503333333333332</v>
      </c>
      <c r="K1141" s="473">
        <v>0.44336666666666663</v>
      </c>
      <c r="L1141" s="473">
        <v>0.58906666666666663</v>
      </c>
      <c r="M1141" s="473">
        <v>0.48410000000000003</v>
      </c>
      <c r="N1141" s="472">
        <f t="shared" si="112"/>
        <v>0.47039166666666665</v>
      </c>
      <c r="O1141" s="473">
        <v>0.36503333333333332</v>
      </c>
      <c r="P1141" s="473">
        <v>0.44336666666666663</v>
      </c>
      <c r="Q1141" s="473">
        <v>0.58906666666666663</v>
      </c>
      <c r="R1141" s="473">
        <v>0.48410000000000003</v>
      </c>
      <c r="S1141" s="153">
        <v>0.01</v>
      </c>
      <c r="T1141" s="153">
        <v>0.02</v>
      </c>
      <c r="U1141" s="478">
        <v>2018</v>
      </c>
      <c r="V1141" s="24">
        <f t="shared" si="119"/>
        <v>2038</v>
      </c>
      <c r="W1141">
        <v>0</v>
      </c>
      <c r="X1141">
        <v>0</v>
      </c>
      <c r="Y1141">
        <v>1315</v>
      </c>
      <c r="Z1141">
        <v>361</v>
      </c>
      <c r="AA1141" s="475" t="s">
        <v>24</v>
      </c>
    </row>
    <row r="1142" spans="1:27" ht="15" hidden="1">
      <c r="A1142" s="24">
        <f t="shared" si="121"/>
        <v>2141</v>
      </c>
      <c r="B1142" s="24">
        <f t="shared" si="121"/>
        <v>2141</v>
      </c>
      <c r="C1142" s="476" t="s">
        <v>1536</v>
      </c>
      <c r="D1142" t="s">
        <v>152</v>
      </c>
      <c r="E1142" s="477">
        <v>3</v>
      </c>
      <c r="F1142" s="471">
        <v>21.9</v>
      </c>
      <c r="G1142">
        <v>1</v>
      </c>
      <c r="H1142">
        <v>1</v>
      </c>
      <c r="I1142" s="472">
        <f t="shared" si="111"/>
        <v>0.47039166666666665</v>
      </c>
      <c r="J1142" s="473">
        <v>0.36503333333333332</v>
      </c>
      <c r="K1142" s="473">
        <v>0.44336666666666663</v>
      </c>
      <c r="L1142" s="473">
        <v>0.58906666666666663</v>
      </c>
      <c r="M1142" s="473">
        <v>0.48410000000000003</v>
      </c>
      <c r="N1142" s="472">
        <f t="shared" si="112"/>
        <v>0.47039166666666665</v>
      </c>
      <c r="O1142" s="473">
        <v>0.36503333333333332</v>
      </c>
      <c r="P1142" s="473">
        <v>0.44336666666666663</v>
      </c>
      <c r="Q1142" s="473">
        <v>0.58906666666666663</v>
      </c>
      <c r="R1142" s="473">
        <v>0.48410000000000003</v>
      </c>
      <c r="S1142" s="153">
        <v>0.01</v>
      </c>
      <c r="T1142" s="153">
        <v>0.02</v>
      </c>
      <c r="U1142" s="478">
        <v>2018</v>
      </c>
      <c r="V1142" s="24">
        <f t="shared" si="119"/>
        <v>2038</v>
      </c>
      <c r="W1142">
        <v>0</v>
      </c>
      <c r="X1142">
        <v>0</v>
      </c>
      <c r="Y1142">
        <v>1315</v>
      </c>
      <c r="Z1142">
        <v>361</v>
      </c>
      <c r="AA1142" s="475" t="s">
        <v>24</v>
      </c>
    </row>
    <row r="1143" spans="1:27" ht="15" hidden="1">
      <c r="A1143" s="24">
        <f t="shared" si="121"/>
        <v>2142</v>
      </c>
      <c r="B1143" s="24">
        <f t="shared" si="121"/>
        <v>2142</v>
      </c>
      <c r="C1143" s="476" t="s">
        <v>1537</v>
      </c>
      <c r="D1143" t="s">
        <v>152</v>
      </c>
      <c r="E1143" s="477">
        <v>3</v>
      </c>
      <c r="F1143" s="471">
        <v>25.35</v>
      </c>
      <c r="G1143">
        <v>1</v>
      </c>
      <c r="H1143">
        <v>1</v>
      </c>
      <c r="I1143" s="472">
        <f t="shared" si="111"/>
        <v>0.47039166666666665</v>
      </c>
      <c r="J1143" s="473">
        <v>0.36503333333333332</v>
      </c>
      <c r="K1143" s="473">
        <v>0.44336666666666663</v>
      </c>
      <c r="L1143" s="473">
        <v>0.58906666666666663</v>
      </c>
      <c r="M1143" s="473">
        <v>0.48410000000000003</v>
      </c>
      <c r="N1143" s="472">
        <f t="shared" si="112"/>
        <v>0.47039166666666665</v>
      </c>
      <c r="O1143" s="473">
        <v>0.36503333333333332</v>
      </c>
      <c r="P1143" s="473">
        <v>0.44336666666666663</v>
      </c>
      <c r="Q1143" s="473">
        <v>0.58906666666666663</v>
      </c>
      <c r="R1143" s="473">
        <v>0.48410000000000003</v>
      </c>
      <c r="S1143" s="153">
        <v>0.01</v>
      </c>
      <c r="T1143" s="153">
        <v>0.02</v>
      </c>
      <c r="U1143" s="478">
        <v>2016</v>
      </c>
      <c r="V1143" s="24">
        <f t="shared" si="119"/>
        <v>2036</v>
      </c>
      <c r="W1143">
        <v>0</v>
      </c>
      <c r="X1143">
        <v>0</v>
      </c>
      <c r="Y1143">
        <v>1315</v>
      </c>
      <c r="Z1143">
        <v>361</v>
      </c>
      <c r="AA1143" s="475" t="s">
        <v>24</v>
      </c>
    </row>
    <row r="1144" spans="1:27" ht="15" hidden="1">
      <c r="A1144" s="24">
        <f t="shared" si="121"/>
        <v>2143</v>
      </c>
      <c r="B1144" s="24">
        <f t="shared" si="121"/>
        <v>2143</v>
      </c>
      <c r="C1144" s="476" t="s">
        <v>1538</v>
      </c>
      <c r="D1144" t="s">
        <v>152</v>
      </c>
      <c r="E1144" s="477">
        <v>3</v>
      </c>
      <c r="F1144" s="471">
        <v>30</v>
      </c>
      <c r="G1144">
        <v>1</v>
      </c>
      <c r="H1144">
        <v>1</v>
      </c>
      <c r="I1144" s="472">
        <f t="shared" si="111"/>
        <v>0.47039166666666665</v>
      </c>
      <c r="J1144" s="473">
        <v>0.36503333333333332</v>
      </c>
      <c r="K1144" s="473">
        <v>0.44336666666666663</v>
      </c>
      <c r="L1144" s="473">
        <v>0.58906666666666663</v>
      </c>
      <c r="M1144" s="473">
        <v>0.48410000000000003</v>
      </c>
      <c r="N1144" s="472">
        <f t="shared" si="112"/>
        <v>0.47039166666666665</v>
      </c>
      <c r="O1144" s="473">
        <v>0.36503333333333332</v>
      </c>
      <c r="P1144" s="473">
        <v>0.44336666666666663</v>
      </c>
      <c r="Q1144" s="473">
        <v>0.58906666666666663</v>
      </c>
      <c r="R1144" s="473">
        <v>0.48410000000000003</v>
      </c>
      <c r="S1144" s="153">
        <v>0.01</v>
      </c>
      <c r="T1144" s="153">
        <v>0.02</v>
      </c>
      <c r="U1144" s="478">
        <v>2018</v>
      </c>
      <c r="V1144" s="24">
        <f t="shared" si="119"/>
        <v>2038</v>
      </c>
      <c r="W1144">
        <v>0</v>
      </c>
      <c r="X1144">
        <v>0</v>
      </c>
      <c r="Y1144">
        <v>1315</v>
      </c>
      <c r="Z1144">
        <v>361</v>
      </c>
      <c r="AA1144" s="475" t="s">
        <v>24</v>
      </c>
    </row>
    <row r="1145" spans="1:27" ht="15" hidden="1">
      <c r="A1145" s="24">
        <f t="shared" si="121"/>
        <v>2144</v>
      </c>
      <c r="B1145" s="24">
        <f t="shared" si="121"/>
        <v>2144</v>
      </c>
      <c r="C1145" s="476" t="s">
        <v>1539</v>
      </c>
      <c r="D1145" t="s">
        <v>152</v>
      </c>
      <c r="E1145" s="477">
        <v>3</v>
      </c>
      <c r="F1145" s="471">
        <v>27</v>
      </c>
      <c r="G1145">
        <v>1</v>
      </c>
      <c r="H1145">
        <v>1</v>
      </c>
      <c r="I1145" s="472">
        <f t="shared" si="111"/>
        <v>0.47039166666666665</v>
      </c>
      <c r="J1145" s="473">
        <v>0.36503333333333332</v>
      </c>
      <c r="K1145" s="473">
        <v>0.44336666666666663</v>
      </c>
      <c r="L1145" s="473">
        <v>0.58906666666666663</v>
      </c>
      <c r="M1145" s="473">
        <v>0.48410000000000003</v>
      </c>
      <c r="N1145" s="472">
        <f t="shared" si="112"/>
        <v>0.47039166666666665</v>
      </c>
      <c r="O1145" s="473">
        <v>0.36503333333333332</v>
      </c>
      <c r="P1145" s="473">
        <v>0.44336666666666663</v>
      </c>
      <c r="Q1145" s="473">
        <v>0.58906666666666663</v>
      </c>
      <c r="R1145" s="473">
        <v>0.48410000000000003</v>
      </c>
      <c r="S1145" s="153">
        <v>0.01</v>
      </c>
      <c r="T1145" s="153">
        <v>0.02</v>
      </c>
      <c r="U1145" s="478">
        <v>2018</v>
      </c>
      <c r="V1145" s="24">
        <f t="shared" si="119"/>
        <v>2038</v>
      </c>
      <c r="W1145">
        <v>0</v>
      </c>
      <c r="X1145">
        <v>0</v>
      </c>
      <c r="Y1145">
        <v>1315</v>
      </c>
      <c r="Z1145">
        <v>361</v>
      </c>
      <c r="AA1145" s="475" t="s">
        <v>24</v>
      </c>
    </row>
    <row r="1146" spans="1:27" ht="15" hidden="1">
      <c r="A1146" s="24">
        <f t="shared" si="121"/>
        <v>2145</v>
      </c>
      <c r="B1146" s="24">
        <f t="shared" si="121"/>
        <v>2145</v>
      </c>
      <c r="C1146" s="476" t="s">
        <v>1540</v>
      </c>
      <c r="D1146" t="s">
        <v>152</v>
      </c>
      <c r="E1146" s="477">
        <v>3</v>
      </c>
      <c r="F1146" s="471">
        <v>30</v>
      </c>
      <c r="G1146">
        <v>1</v>
      </c>
      <c r="H1146">
        <v>1</v>
      </c>
      <c r="I1146" s="472">
        <f t="shared" si="111"/>
        <v>0.47039166666666665</v>
      </c>
      <c r="J1146" s="473">
        <v>0.36503333333333332</v>
      </c>
      <c r="K1146" s="473">
        <v>0.44336666666666663</v>
      </c>
      <c r="L1146" s="473">
        <v>0.58906666666666663</v>
      </c>
      <c r="M1146" s="473">
        <v>0.48410000000000003</v>
      </c>
      <c r="N1146" s="472">
        <f t="shared" si="112"/>
        <v>0.47039166666666665</v>
      </c>
      <c r="O1146" s="473">
        <v>0.36503333333333332</v>
      </c>
      <c r="P1146" s="473">
        <v>0.44336666666666663</v>
      </c>
      <c r="Q1146" s="473">
        <v>0.58906666666666663</v>
      </c>
      <c r="R1146" s="473">
        <v>0.48410000000000003</v>
      </c>
      <c r="S1146" s="153">
        <v>0.01</v>
      </c>
      <c r="T1146" s="153">
        <v>0.02</v>
      </c>
      <c r="U1146" s="478">
        <v>2018</v>
      </c>
      <c r="V1146" s="24">
        <f t="shared" si="119"/>
        <v>2038</v>
      </c>
      <c r="W1146">
        <v>0</v>
      </c>
      <c r="X1146">
        <v>0</v>
      </c>
      <c r="Y1146">
        <v>1315</v>
      </c>
      <c r="Z1146">
        <v>361</v>
      </c>
      <c r="AA1146" s="475" t="s">
        <v>24</v>
      </c>
    </row>
    <row r="1147" spans="1:27" ht="15" hidden="1">
      <c r="A1147" s="24">
        <f t="shared" si="121"/>
        <v>2146</v>
      </c>
      <c r="B1147" s="24">
        <f t="shared" si="121"/>
        <v>2146</v>
      </c>
      <c r="C1147" s="476" t="s">
        <v>1541</v>
      </c>
      <c r="D1147" t="s">
        <v>152</v>
      </c>
      <c r="E1147" s="477">
        <v>3</v>
      </c>
      <c r="F1147" s="471">
        <v>12</v>
      </c>
      <c r="G1147">
        <v>1</v>
      </c>
      <c r="H1147">
        <v>1</v>
      </c>
      <c r="I1147" s="472">
        <f t="shared" si="111"/>
        <v>0.47039166666666665</v>
      </c>
      <c r="J1147" s="473">
        <v>0.36503333333333332</v>
      </c>
      <c r="K1147" s="473">
        <v>0.44336666666666663</v>
      </c>
      <c r="L1147" s="473">
        <v>0.58906666666666663</v>
      </c>
      <c r="M1147" s="473">
        <v>0.48410000000000003</v>
      </c>
      <c r="N1147" s="472">
        <f t="shared" si="112"/>
        <v>0.47039166666666665</v>
      </c>
      <c r="O1147" s="473">
        <v>0.36503333333333332</v>
      </c>
      <c r="P1147" s="473">
        <v>0.44336666666666663</v>
      </c>
      <c r="Q1147" s="473">
        <v>0.58906666666666663</v>
      </c>
      <c r="R1147" s="473">
        <v>0.48410000000000003</v>
      </c>
      <c r="S1147" s="153">
        <v>0.01</v>
      </c>
      <c r="T1147" s="153">
        <v>0.02</v>
      </c>
      <c r="U1147" s="478">
        <v>2018</v>
      </c>
      <c r="V1147" s="24">
        <f t="shared" si="119"/>
        <v>2038</v>
      </c>
      <c r="W1147">
        <v>0</v>
      </c>
      <c r="X1147">
        <v>0</v>
      </c>
      <c r="Y1147">
        <v>1315</v>
      </c>
      <c r="Z1147">
        <v>361</v>
      </c>
      <c r="AA1147" s="475" t="s">
        <v>24</v>
      </c>
    </row>
    <row r="1148" spans="1:27" ht="15" hidden="1">
      <c r="A1148" s="24">
        <f t="shared" si="121"/>
        <v>2147</v>
      </c>
      <c r="B1148" s="24">
        <f t="shared" si="121"/>
        <v>2147</v>
      </c>
      <c r="C1148" s="476" t="s">
        <v>1542</v>
      </c>
      <c r="D1148" t="s">
        <v>152</v>
      </c>
      <c r="E1148" s="477">
        <v>3</v>
      </c>
      <c r="F1148" s="471">
        <v>30</v>
      </c>
      <c r="G1148">
        <v>1</v>
      </c>
      <c r="H1148">
        <v>1</v>
      </c>
      <c r="I1148" s="472">
        <f t="shared" si="111"/>
        <v>0.47039166666666665</v>
      </c>
      <c r="J1148" s="473">
        <v>0.36503333333333332</v>
      </c>
      <c r="K1148" s="473">
        <v>0.44336666666666663</v>
      </c>
      <c r="L1148" s="473">
        <v>0.58906666666666663</v>
      </c>
      <c r="M1148" s="473">
        <v>0.48410000000000003</v>
      </c>
      <c r="N1148" s="472">
        <f t="shared" si="112"/>
        <v>0.47039166666666665</v>
      </c>
      <c r="O1148" s="473">
        <v>0.36503333333333332</v>
      </c>
      <c r="P1148" s="473">
        <v>0.44336666666666663</v>
      </c>
      <c r="Q1148" s="473">
        <v>0.58906666666666663</v>
      </c>
      <c r="R1148" s="473">
        <v>0.48410000000000003</v>
      </c>
      <c r="S1148" s="153">
        <v>0.01</v>
      </c>
      <c r="T1148" s="153">
        <v>0.02</v>
      </c>
      <c r="U1148" s="478">
        <v>2018</v>
      </c>
      <c r="V1148" s="24">
        <f t="shared" si="119"/>
        <v>2038</v>
      </c>
      <c r="W1148">
        <v>0</v>
      </c>
      <c r="X1148">
        <v>0</v>
      </c>
      <c r="Y1148">
        <v>1315</v>
      </c>
      <c r="Z1148">
        <v>361</v>
      </c>
      <c r="AA1148" s="475" t="s">
        <v>24</v>
      </c>
    </row>
    <row r="1149" spans="1:27" ht="15" hidden="1">
      <c r="A1149" s="24">
        <f t="shared" si="121"/>
        <v>2148</v>
      </c>
      <c r="B1149" s="24">
        <f t="shared" si="121"/>
        <v>2148</v>
      </c>
      <c r="C1149" s="476" t="s">
        <v>1543</v>
      </c>
      <c r="D1149" t="s">
        <v>152</v>
      </c>
      <c r="E1149" s="477">
        <v>3</v>
      </c>
      <c r="F1149" s="471">
        <v>27</v>
      </c>
      <c r="G1149">
        <v>1</v>
      </c>
      <c r="H1149">
        <v>1</v>
      </c>
      <c r="I1149" s="472">
        <f t="shared" si="111"/>
        <v>0.47039166666666665</v>
      </c>
      <c r="J1149" s="473">
        <v>0.36503333333333332</v>
      </c>
      <c r="K1149" s="473">
        <v>0.44336666666666663</v>
      </c>
      <c r="L1149" s="473">
        <v>0.58906666666666663</v>
      </c>
      <c r="M1149" s="473">
        <v>0.48410000000000003</v>
      </c>
      <c r="N1149" s="472">
        <f t="shared" si="112"/>
        <v>0.47039166666666665</v>
      </c>
      <c r="O1149" s="473">
        <v>0.36503333333333332</v>
      </c>
      <c r="P1149" s="473">
        <v>0.44336666666666663</v>
      </c>
      <c r="Q1149" s="473">
        <v>0.58906666666666663</v>
      </c>
      <c r="R1149" s="473">
        <v>0.48410000000000003</v>
      </c>
      <c r="S1149" s="153">
        <v>0.01</v>
      </c>
      <c r="T1149" s="153">
        <v>0.02</v>
      </c>
      <c r="U1149" s="478">
        <v>2018</v>
      </c>
      <c r="V1149" s="24">
        <f t="shared" si="119"/>
        <v>2038</v>
      </c>
      <c r="W1149">
        <v>0</v>
      </c>
      <c r="X1149">
        <v>0</v>
      </c>
      <c r="Y1149">
        <v>1315</v>
      </c>
      <c r="Z1149">
        <v>361</v>
      </c>
      <c r="AA1149" s="475" t="s">
        <v>24</v>
      </c>
    </row>
    <row r="1150" spans="1:27" ht="15" hidden="1">
      <c r="A1150" s="24">
        <f t="shared" si="121"/>
        <v>2149</v>
      </c>
      <c r="B1150" s="24">
        <f t="shared" si="121"/>
        <v>2149</v>
      </c>
      <c r="C1150" s="476" t="s">
        <v>1544</v>
      </c>
      <c r="D1150" t="s">
        <v>152</v>
      </c>
      <c r="E1150" s="477">
        <v>3</v>
      </c>
      <c r="F1150" s="471">
        <v>27</v>
      </c>
      <c r="G1150">
        <v>1</v>
      </c>
      <c r="H1150">
        <v>1</v>
      </c>
      <c r="I1150" s="472">
        <f t="shared" si="111"/>
        <v>0.47039166666666665</v>
      </c>
      <c r="J1150" s="473">
        <v>0.36503333333333332</v>
      </c>
      <c r="K1150" s="473">
        <v>0.44336666666666663</v>
      </c>
      <c r="L1150" s="473">
        <v>0.58906666666666663</v>
      </c>
      <c r="M1150" s="473">
        <v>0.48410000000000003</v>
      </c>
      <c r="N1150" s="472">
        <f t="shared" si="112"/>
        <v>0.47039166666666665</v>
      </c>
      <c r="O1150" s="473">
        <v>0.36503333333333332</v>
      </c>
      <c r="P1150" s="473">
        <v>0.44336666666666663</v>
      </c>
      <c r="Q1150" s="473">
        <v>0.58906666666666663</v>
      </c>
      <c r="R1150" s="473">
        <v>0.48410000000000003</v>
      </c>
      <c r="S1150" s="153">
        <v>0.01</v>
      </c>
      <c r="T1150" s="153">
        <v>0.02</v>
      </c>
      <c r="U1150" s="478">
        <v>2018</v>
      </c>
      <c r="V1150" s="24">
        <f t="shared" si="119"/>
        <v>2038</v>
      </c>
      <c r="W1150">
        <v>0</v>
      </c>
      <c r="X1150">
        <v>0</v>
      </c>
      <c r="Y1150">
        <v>1315</v>
      </c>
      <c r="Z1150">
        <v>361</v>
      </c>
      <c r="AA1150" s="475" t="s">
        <v>24</v>
      </c>
    </row>
    <row r="1151" spans="1:27" ht="15" hidden="1">
      <c r="A1151" s="24">
        <f t="shared" si="121"/>
        <v>2150</v>
      </c>
      <c r="B1151" s="24">
        <f t="shared" si="121"/>
        <v>2150</v>
      </c>
      <c r="C1151" s="476" t="s">
        <v>1545</v>
      </c>
      <c r="D1151" t="s">
        <v>152</v>
      </c>
      <c r="E1151" s="477">
        <v>3</v>
      </c>
      <c r="F1151" s="471">
        <v>28</v>
      </c>
      <c r="G1151">
        <v>1</v>
      </c>
      <c r="H1151">
        <v>1</v>
      </c>
      <c r="I1151" s="472">
        <f t="shared" si="111"/>
        <v>0.47039166666666665</v>
      </c>
      <c r="J1151" s="473">
        <v>0.36503333333333332</v>
      </c>
      <c r="K1151" s="473">
        <v>0.44336666666666663</v>
      </c>
      <c r="L1151" s="473">
        <v>0.58906666666666663</v>
      </c>
      <c r="M1151" s="473">
        <v>0.48410000000000003</v>
      </c>
      <c r="N1151" s="472">
        <f t="shared" si="112"/>
        <v>0.47039166666666665</v>
      </c>
      <c r="O1151" s="473">
        <v>0.36503333333333332</v>
      </c>
      <c r="P1151" s="473">
        <v>0.44336666666666663</v>
      </c>
      <c r="Q1151" s="473">
        <v>0.58906666666666663</v>
      </c>
      <c r="R1151" s="473">
        <v>0.48410000000000003</v>
      </c>
      <c r="S1151" s="153">
        <v>0.01</v>
      </c>
      <c r="T1151" s="153">
        <v>0.02</v>
      </c>
      <c r="U1151" s="478">
        <v>2018</v>
      </c>
      <c r="V1151" s="24">
        <f t="shared" si="119"/>
        <v>2038</v>
      </c>
      <c r="W1151">
        <v>0</v>
      </c>
      <c r="X1151">
        <v>0</v>
      </c>
      <c r="Y1151">
        <v>1315</v>
      </c>
      <c r="Z1151">
        <v>361</v>
      </c>
      <c r="AA1151" s="475" t="s">
        <v>24</v>
      </c>
    </row>
    <row r="1152" spans="1:27" ht="15" hidden="1">
      <c r="A1152" s="24">
        <f t="shared" ref="A1152:B1169" si="122">1000+ROW()-1</f>
        <v>2151</v>
      </c>
      <c r="B1152" s="24">
        <f t="shared" si="122"/>
        <v>2151</v>
      </c>
      <c r="C1152" s="476" t="s">
        <v>1546</v>
      </c>
      <c r="D1152" t="s">
        <v>146</v>
      </c>
      <c r="E1152" s="477">
        <v>1</v>
      </c>
      <c r="F1152" s="471">
        <v>5</v>
      </c>
      <c r="G1152">
        <v>1</v>
      </c>
      <c r="H1152">
        <v>1</v>
      </c>
      <c r="I1152" s="472">
        <f t="shared" si="111"/>
        <v>0.25418333333333343</v>
      </c>
      <c r="J1152" s="33">
        <v>0.29116666666666663</v>
      </c>
      <c r="K1152" s="33">
        <f t="shared" ref="K1152" si="123">0.2844-0.07</f>
        <v>0.21439999999999998</v>
      </c>
      <c r="L1152" s="33">
        <f>0.291166666666667-0.07</f>
        <v>0.22116666666666701</v>
      </c>
      <c r="M1152" s="33">
        <v>0.28999999999999998</v>
      </c>
      <c r="N1152" s="472">
        <f t="shared" si="112"/>
        <v>0.25418333333333343</v>
      </c>
      <c r="O1152" s="33">
        <v>0.29116666666666663</v>
      </c>
      <c r="P1152" s="33">
        <f t="shared" ref="P1152" si="124">0.2844-0.07</f>
        <v>0.21439999999999998</v>
      </c>
      <c r="Q1152" s="33">
        <f>0.291166666666667-0.07</f>
        <v>0.22116666666666701</v>
      </c>
      <c r="R1152" s="33">
        <v>0.28999999999999998</v>
      </c>
      <c r="S1152" s="153">
        <v>0.04</v>
      </c>
      <c r="T1152" s="153">
        <v>0</v>
      </c>
      <c r="U1152" s="478">
        <v>2018</v>
      </c>
      <c r="V1152" s="24">
        <f t="shared" si="119"/>
        <v>2038</v>
      </c>
      <c r="W1152">
        <v>0</v>
      </c>
      <c r="X1152">
        <v>0</v>
      </c>
      <c r="Y1152">
        <v>1315</v>
      </c>
      <c r="Z1152">
        <v>347</v>
      </c>
      <c r="AA1152" s="475" t="s">
        <v>25</v>
      </c>
    </row>
    <row r="1153" spans="1:27" ht="15" hidden="1">
      <c r="A1153" s="24">
        <f t="shared" si="122"/>
        <v>2152</v>
      </c>
      <c r="B1153" s="24">
        <f t="shared" si="122"/>
        <v>2152</v>
      </c>
      <c r="C1153" s="476" t="s">
        <v>1547</v>
      </c>
      <c r="D1153" t="s">
        <v>154</v>
      </c>
      <c r="E1153" s="477">
        <v>4</v>
      </c>
      <c r="F1153" s="471">
        <v>5</v>
      </c>
      <c r="G1153">
        <v>1</v>
      </c>
      <c r="H1153">
        <v>1</v>
      </c>
      <c r="I1153" s="472">
        <f t="shared" si="111"/>
        <v>0.26420000000000005</v>
      </c>
      <c r="J1153" s="33">
        <v>0.29123333333333334</v>
      </c>
      <c r="K1153" s="33">
        <f>0.296266666666667-0.07</f>
        <v>0.226266666666667</v>
      </c>
      <c r="L1153" s="33">
        <f>0.3193-0.07</f>
        <v>0.24929999999999997</v>
      </c>
      <c r="M1153" s="33">
        <v>0.28999999999999998</v>
      </c>
      <c r="N1153" s="472">
        <f t="shared" si="112"/>
        <v>0.26420000000000005</v>
      </c>
      <c r="O1153" s="33">
        <v>0.29123333333333334</v>
      </c>
      <c r="P1153" s="33">
        <f>0.296266666666667-0.07</f>
        <v>0.226266666666667</v>
      </c>
      <c r="Q1153" s="33">
        <f>0.3193-0.07</f>
        <v>0.24929999999999997</v>
      </c>
      <c r="R1153" s="33">
        <v>0.28999999999999998</v>
      </c>
      <c r="S1153" s="153">
        <v>0.04</v>
      </c>
      <c r="T1153" s="153">
        <v>0</v>
      </c>
      <c r="U1153" s="478">
        <v>2018</v>
      </c>
      <c r="V1153" s="24">
        <f t="shared" si="119"/>
        <v>2038</v>
      </c>
      <c r="W1153">
        <v>0</v>
      </c>
      <c r="X1153">
        <v>0</v>
      </c>
      <c r="Y1153">
        <v>1315</v>
      </c>
      <c r="Z1153">
        <v>347</v>
      </c>
      <c r="AA1153" s="475" t="s">
        <v>25</v>
      </c>
    </row>
    <row r="1154" spans="1:27" ht="15" hidden="1">
      <c r="A1154" s="24">
        <f t="shared" si="122"/>
        <v>2153</v>
      </c>
      <c r="B1154" s="24">
        <f t="shared" si="122"/>
        <v>2153</v>
      </c>
      <c r="C1154" s="476" t="s">
        <v>1548</v>
      </c>
      <c r="D1154" t="s">
        <v>152</v>
      </c>
      <c r="E1154" s="477">
        <v>3</v>
      </c>
      <c r="F1154" s="471">
        <v>4</v>
      </c>
      <c r="G1154">
        <v>1</v>
      </c>
      <c r="H1154">
        <v>1</v>
      </c>
      <c r="I1154" s="472">
        <f t="shared" ref="I1154:I1217" si="125">AVERAGE(J1154:M1154)</f>
        <v>0.47039166666666665</v>
      </c>
      <c r="J1154" s="473">
        <v>0.36503333333333332</v>
      </c>
      <c r="K1154" s="473">
        <v>0.44336666666666663</v>
      </c>
      <c r="L1154" s="473">
        <v>0.58906666666666663</v>
      </c>
      <c r="M1154" s="473">
        <v>0.48410000000000003</v>
      </c>
      <c r="N1154" s="472">
        <f t="shared" ref="N1154:N1217" si="126">AVERAGE(O1154:R1154)</f>
        <v>0.47039166666666665</v>
      </c>
      <c r="O1154" s="473">
        <v>0.36503333333333332</v>
      </c>
      <c r="P1154" s="473">
        <v>0.44336666666666663</v>
      </c>
      <c r="Q1154" s="473">
        <v>0.58906666666666663</v>
      </c>
      <c r="R1154" s="473">
        <v>0.48410000000000003</v>
      </c>
      <c r="S1154" s="153">
        <v>0.01</v>
      </c>
      <c r="T1154" s="153">
        <v>0.02</v>
      </c>
      <c r="U1154" s="478">
        <v>2018</v>
      </c>
      <c r="V1154" s="24">
        <f t="shared" si="119"/>
        <v>2038</v>
      </c>
      <c r="W1154">
        <v>0</v>
      </c>
      <c r="X1154">
        <v>0</v>
      </c>
      <c r="Y1154">
        <v>1315</v>
      </c>
      <c r="Z1154">
        <v>361</v>
      </c>
      <c r="AA1154" s="475" t="s">
        <v>24</v>
      </c>
    </row>
    <row r="1155" spans="1:27" ht="15" hidden="1">
      <c r="A1155" s="24">
        <f t="shared" si="122"/>
        <v>2154</v>
      </c>
      <c r="B1155" s="24">
        <f t="shared" si="122"/>
        <v>2154</v>
      </c>
      <c r="C1155" s="476" t="s">
        <v>1549</v>
      </c>
      <c r="D1155" t="s">
        <v>152</v>
      </c>
      <c r="E1155" s="477">
        <v>3</v>
      </c>
      <c r="F1155" s="471">
        <v>4</v>
      </c>
      <c r="G1155">
        <v>1</v>
      </c>
      <c r="H1155">
        <v>1</v>
      </c>
      <c r="I1155" s="472">
        <f t="shared" si="125"/>
        <v>0.47039166666666665</v>
      </c>
      <c r="J1155" s="473">
        <v>0.36503333333333332</v>
      </c>
      <c r="K1155" s="473">
        <v>0.44336666666666663</v>
      </c>
      <c r="L1155" s="473">
        <v>0.58906666666666663</v>
      </c>
      <c r="M1155" s="473">
        <v>0.48410000000000003</v>
      </c>
      <c r="N1155" s="472">
        <f t="shared" si="126"/>
        <v>0.47039166666666665</v>
      </c>
      <c r="O1155" s="473">
        <v>0.36503333333333332</v>
      </c>
      <c r="P1155" s="473">
        <v>0.44336666666666663</v>
      </c>
      <c r="Q1155" s="473">
        <v>0.58906666666666663</v>
      </c>
      <c r="R1155" s="473">
        <v>0.48410000000000003</v>
      </c>
      <c r="S1155" s="153">
        <v>0.01</v>
      </c>
      <c r="T1155" s="153">
        <v>0.02</v>
      </c>
      <c r="U1155" s="478">
        <v>2018</v>
      </c>
      <c r="V1155" s="24">
        <f t="shared" si="119"/>
        <v>2038</v>
      </c>
      <c r="W1155">
        <v>0</v>
      </c>
      <c r="X1155">
        <v>0</v>
      </c>
      <c r="Y1155">
        <v>1315</v>
      </c>
      <c r="Z1155">
        <v>361</v>
      </c>
      <c r="AA1155" s="475" t="s">
        <v>24</v>
      </c>
    </row>
    <row r="1156" spans="1:27" ht="15" hidden="1">
      <c r="A1156" s="24">
        <f t="shared" si="122"/>
        <v>2155</v>
      </c>
      <c r="B1156" s="24">
        <f t="shared" si="122"/>
        <v>2155</v>
      </c>
      <c r="C1156" s="476" t="s">
        <v>1550</v>
      </c>
      <c r="D1156" t="s">
        <v>152</v>
      </c>
      <c r="E1156" s="477">
        <v>3</v>
      </c>
      <c r="F1156" s="471">
        <v>4</v>
      </c>
      <c r="G1156">
        <v>1</v>
      </c>
      <c r="H1156">
        <v>1</v>
      </c>
      <c r="I1156" s="472">
        <f t="shared" si="125"/>
        <v>0.47039166666666665</v>
      </c>
      <c r="J1156" s="473">
        <v>0.36503333333333332</v>
      </c>
      <c r="K1156" s="473">
        <v>0.44336666666666663</v>
      </c>
      <c r="L1156" s="473">
        <v>0.58906666666666663</v>
      </c>
      <c r="M1156" s="473">
        <v>0.48410000000000003</v>
      </c>
      <c r="N1156" s="472">
        <f t="shared" si="126"/>
        <v>0.47039166666666665</v>
      </c>
      <c r="O1156" s="473">
        <v>0.36503333333333332</v>
      </c>
      <c r="P1156" s="473">
        <v>0.44336666666666663</v>
      </c>
      <c r="Q1156" s="473">
        <v>0.58906666666666663</v>
      </c>
      <c r="R1156" s="473">
        <v>0.48410000000000003</v>
      </c>
      <c r="S1156" s="153">
        <v>0.01</v>
      </c>
      <c r="T1156" s="153">
        <v>0.02</v>
      </c>
      <c r="U1156" s="478">
        <v>2018</v>
      </c>
      <c r="V1156" s="24">
        <f t="shared" si="119"/>
        <v>2038</v>
      </c>
      <c r="W1156">
        <v>0</v>
      </c>
      <c r="X1156">
        <v>0</v>
      </c>
      <c r="Y1156">
        <v>1315</v>
      </c>
      <c r="Z1156">
        <v>361</v>
      </c>
      <c r="AA1156" s="475" t="s">
        <v>24</v>
      </c>
    </row>
    <row r="1157" spans="1:27" ht="15" hidden="1">
      <c r="A1157" s="24">
        <f t="shared" si="122"/>
        <v>2156</v>
      </c>
      <c r="B1157" s="24">
        <f t="shared" si="122"/>
        <v>2156</v>
      </c>
      <c r="C1157" s="476" t="s">
        <v>1551</v>
      </c>
      <c r="D1157" t="s">
        <v>152</v>
      </c>
      <c r="E1157" s="477">
        <v>3</v>
      </c>
      <c r="F1157" s="471">
        <v>6</v>
      </c>
      <c r="G1157">
        <v>1</v>
      </c>
      <c r="H1157">
        <v>1</v>
      </c>
      <c r="I1157" s="472">
        <f t="shared" si="125"/>
        <v>0.47039166666666665</v>
      </c>
      <c r="J1157" s="473">
        <v>0.36503333333333332</v>
      </c>
      <c r="K1157" s="473">
        <v>0.44336666666666663</v>
      </c>
      <c r="L1157" s="473">
        <v>0.58906666666666663</v>
      </c>
      <c r="M1157" s="473">
        <v>0.48410000000000003</v>
      </c>
      <c r="N1157" s="472">
        <f t="shared" si="126"/>
        <v>0.47039166666666665</v>
      </c>
      <c r="O1157" s="473">
        <v>0.36503333333333332</v>
      </c>
      <c r="P1157" s="473">
        <v>0.44336666666666663</v>
      </c>
      <c r="Q1157" s="473">
        <v>0.58906666666666663</v>
      </c>
      <c r="R1157" s="473">
        <v>0.48410000000000003</v>
      </c>
      <c r="S1157" s="153">
        <v>0.01</v>
      </c>
      <c r="T1157" s="153">
        <v>0.02</v>
      </c>
      <c r="U1157" s="478">
        <v>2018</v>
      </c>
      <c r="V1157" s="24">
        <f t="shared" si="119"/>
        <v>2038</v>
      </c>
      <c r="W1157">
        <v>0</v>
      </c>
      <c r="X1157">
        <v>0</v>
      </c>
      <c r="Y1157">
        <v>1315</v>
      </c>
      <c r="Z1157">
        <v>361</v>
      </c>
      <c r="AA1157" s="475" t="s">
        <v>24</v>
      </c>
    </row>
    <row r="1158" spans="1:27" ht="15" hidden="1">
      <c r="A1158" s="24">
        <f t="shared" si="122"/>
        <v>2157</v>
      </c>
      <c r="B1158" s="24">
        <f t="shared" si="122"/>
        <v>2157</v>
      </c>
      <c r="C1158" s="476" t="s">
        <v>1552</v>
      </c>
      <c r="D1158" t="s">
        <v>152</v>
      </c>
      <c r="E1158" s="477">
        <v>3</v>
      </c>
      <c r="F1158" s="471">
        <v>4</v>
      </c>
      <c r="G1158">
        <v>1</v>
      </c>
      <c r="H1158">
        <v>1</v>
      </c>
      <c r="I1158" s="472">
        <f t="shared" si="125"/>
        <v>0.47039166666666665</v>
      </c>
      <c r="J1158" s="473">
        <v>0.36503333333333332</v>
      </c>
      <c r="K1158" s="473">
        <v>0.44336666666666663</v>
      </c>
      <c r="L1158" s="473">
        <v>0.58906666666666663</v>
      </c>
      <c r="M1158" s="473">
        <v>0.48410000000000003</v>
      </c>
      <c r="N1158" s="472">
        <f t="shared" si="126"/>
        <v>0.47039166666666665</v>
      </c>
      <c r="O1158" s="473">
        <v>0.36503333333333332</v>
      </c>
      <c r="P1158" s="473">
        <v>0.44336666666666663</v>
      </c>
      <c r="Q1158" s="473">
        <v>0.58906666666666663</v>
      </c>
      <c r="R1158" s="473">
        <v>0.48410000000000003</v>
      </c>
      <c r="S1158" s="153">
        <v>0.01</v>
      </c>
      <c r="T1158" s="153">
        <v>0.02</v>
      </c>
      <c r="U1158" s="478">
        <v>2018</v>
      </c>
      <c r="V1158" s="24">
        <f t="shared" si="119"/>
        <v>2038</v>
      </c>
      <c r="W1158">
        <v>0</v>
      </c>
      <c r="X1158">
        <v>0</v>
      </c>
      <c r="Y1158">
        <v>1315</v>
      </c>
      <c r="Z1158">
        <v>361</v>
      </c>
      <c r="AA1158" s="475" t="s">
        <v>24</v>
      </c>
    </row>
    <row r="1159" spans="1:27" ht="15" hidden="1">
      <c r="A1159" s="24">
        <f t="shared" si="122"/>
        <v>2158</v>
      </c>
      <c r="B1159" s="24">
        <f t="shared" si="122"/>
        <v>2158</v>
      </c>
      <c r="C1159" s="476" t="s">
        <v>1553</v>
      </c>
      <c r="D1159" t="s">
        <v>152</v>
      </c>
      <c r="E1159" s="477">
        <v>3</v>
      </c>
      <c r="F1159" s="471">
        <v>2</v>
      </c>
      <c r="G1159">
        <v>1</v>
      </c>
      <c r="H1159">
        <v>1</v>
      </c>
      <c r="I1159" s="472">
        <f t="shared" si="125"/>
        <v>0.47039166666666665</v>
      </c>
      <c r="J1159" s="473">
        <v>0.36503333333333332</v>
      </c>
      <c r="K1159" s="473">
        <v>0.44336666666666663</v>
      </c>
      <c r="L1159" s="473">
        <v>0.58906666666666663</v>
      </c>
      <c r="M1159" s="473">
        <v>0.48410000000000003</v>
      </c>
      <c r="N1159" s="472">
        <f t="shared" si="126"/>
        <v>0.47039166666666665</v>
      </c>
      <c r="O1159" s="473">
        <v>0.36503333333333332</v>
      </c>
      <c r="P1159" s="473">
        <v>0.44336666666666663</v>
      </c>
      <c r="Q1159" s="473">
        <v>0.58906666666666663</v>
      </c>
      <c r="R1159" s="473">
        <v>0.48410000000000003</v>
      </c>
      <c r="S1159" s="153">
        <v>0.01</v>
      </c>
      <c r="T1159" s="153">
        <v>0.02</v>
      </c>
      <c r="U1159" s="478">
        <v>2018</v>
      </c>
      <c r="V1159" s="24">
        <f t="shared" si="119"/>
        <v>2038</v>
      </c>
      <c r="W1159">
        <v>0</v>
      </c>
      <c r="X1159">
        <v>0</v>
      </c>
      <c r="Y1159">
        <v>1315</v>
      </c>
      <c r="Z1159">
        <v>361</v>
      </c>
      <c r="AA1159" s="475" t="s">
        <v>24</v>
      </c>
    </row>
    <row r="1160" spans="1:27" ht="15" hidden="1">
      <c r="A1160" s="24">
        <f t="shared" si="122"/>
        <v>2159</v>
      </c>
      <c r="B1160" s="24">
        <f t="shared" si="122"/>
        <v>2159</v>
      </c>
      <c r="C1160" s="476" t="s">
        <v>1554</v>
      </c>
      <c r="D1160" t="s">
        <v>152</v>
      </c>
      <c r="E1160" s="477">
        <v>3</v>
      </c>
      <c r="F1160" s="471">
        <v>30</v>
      </c>
      <c r="G1160">
        <v>1</v>
      </c>
      <c r="H1160">
        <v>1</v>
      </c>
      <c r="I1160" s="472">
        <f t="shared" si="125"/>
        <v>0.47039166666666665</v>
      </c>
      <c r="J1160" s="473">
        <v>0.36503333333333332</v>
      </c>
      <c r="K1160" s="473">
        <v>0.44336666666666663</v>
      </c>
      <c r="L1160" s="473">
        <v>0.58906666666666663</v>
      </c>
      <c r="M1160" s="473">
        <v>0.48410000000000003</v>
      </c>
      <c r="N1160" s="472">
        <f t="shared" si="126"/>
        <v>0.47039166666666665</v>
      </c>
      <c r="O1160" s="473">
        <v>0.36503333333333332</v>
      </c>
      <c r="P1160" s="473">
        <v>0.44336666666666663</v>
      </c>
      <c r="Q1160" s="473">
        <v>0.58906666666666663</v>
      </c>
      <c r="R1160" s="473">
        <v>0.48410000000000003</v>
      </c>
      <c r="S1160" s="153">
        <v>0.01</v>
      </c>
      <c r="T1160" s="153">
        <v>0.02</v>
      </c>
      <c r="U1160" s="478">
        <v>2016</v>
      </c>
      <c r="V1160" s="24">
        <f t="shared" si="119"/>
        <v>2036</v>
      </c>
      <c r="W1160">
        <v>0</v>
      </c>
      <c r="X1160">
        <v>0</v>
      </c>
      <c r="Y1160">
        <v>1315</v>
      </c>
      <c r="Z1160">
        <v>361</v>
      </c>
      <c r="AA1160" s="475" t="s">
        <v>24</v>
      </c>
    </row>
    <row r="1161" spans="1:27" ht="15" hidden="1">
      <c r="A1161" s="24">
        <f t="shared" si="122"/>
        <v>2160</v>
      </c>
      <c r="B1161" s="24">
        <f t="shared" si="122"/>
        <v>2160</v>
      </c>
      <c r="C1161" s="476" t="s">
        <v>1555</v>
      </c>
      <c r="D1161" t="s">
        <v>152</v>
      </c>
      <c r="E1161" s="477">
        <v>3</v>
      </c>
      <c r="F1161" s="471">
        <v>30</v>
      </c>
      <c r="G1161">
        <v>1</v>
      </c>
      <c r="H1161">
        <v>1</v>
      </c>
      <c r="I1161" s="472">
        <f t="shared" si="125"/>
        <v>0.47039166666666665</v>
      </c>
      <c r="J1161" s="473">
        <v>0.36503333333333332</v>
      </c>
      <c r="K1161" s="473">
        <v>0.44336666666666663</v>
      </c>
      <c r="L1161" s="473">
        <v>0.58906666666666663</v>
      </c>
      <c r="M1161" s="473">
        <v>0.48410000000000003</v>
      </c>
      <c r="N1161" s="472">
        <f t="shared" si="126"/>
        <v>0.47039166666666665</v>
      </c>
      <c r="O1161" s="473">
        <v>0.36503333333333332</v>
      </c>
      <c r="P1161" s="473">
        <v>0.44336666666666663</v>
      </c>
      <c r="Q1161" s="473">
        <v>0.58906666666666663</v>
      </c>
      <c r="R1161" s="473">
        <v>0.48410000000000003</v>
      </c>
      <c r="S1161" s="153">
        <v>0.01</v>
      </c>
      <c r="T1161" s="153">
        <v>0.02</v>
      </c>
      <c r="U1161" s="478">
        <v>2016</v>
      </c>
      <c r="V1161" s="24">
        <f t="shared" si="119"/>
        <v>2036</v>
      </c>
      <c r="W1161">
        <v>0</v>
      </c>
      <c r="X1161">
        <v>0</v>
      </c>
      <c r="Y1161">
        <v>1315</v>
      </c>
      <c r="Z1161">
        <v>361</v>
      </c>
      <c r="AA1161" s="475" t="s">
        <v>24</v>
      </c>
    </row>
    <row r="1162" spans="1:27" ht="15" hidden="1">
      <c r="A1162" s="24">
        <f t="shared" si="122"/>
        <v>2161</v>
      </c>
      <c r="B1162" s="24">
        <f t="shared" si="122"/>
        <v>2161</v>
      </c>
      <c r="C1162" s="476" t="s">
        <v>1556</v>
      </c>
      <c r="D1162" t="s">
        <v>152</v>
      </c>
      <c r="E1162" s="477">
        <v>3</v>
      </c>
      <c r="F1162" s="471">
        <v>30</v>
      </c>
      <c r="G1162">
        <v>1</v>
      </c>
      <c r="H1162">
        <v>1</v>
      </c>
      <c r="I1162" s="472">
        <f t="shared" si="125"/>
        <v>0.47039166666666665</v>
      </c>
      <c r="J1162" s="473">
        <v>0.36503333333333332</v>
      </c>
      <c r="K1162" s="473">
        <v>0.44336666666666663</v>
      </c>
      <c r="L1162" s="473">
        <v>0.58906666666666663</v>
      </c>
      <c r="M1162" s="473">
        <v>0.48410000000000003</v>
      </c>
      <c r="N1162" s="472">
        <f t="shared" si="126"/>
        <v>0.47039166666666665</v>
      </c>
      <c r="O1162" s="473">
        <v>0.36503333333333332</v>
      </c>
      <c r="P1162" s="473">
        <v>0.44336666666666663</v>
      </c>
      <c r="Q1162" s="473">
        <v>0.58906666666666663</v>
      </c>
      <c r="R1162" s="473">
        <v>0.48410000000000003</v>
      </c>
      <c r="S1162" s="153">
        <v>0.01</v>
      </c>
      <c r="T1162" s="153">
        <v>0.02</v>
      </c>
      <c r="U1162" s="478">
        <v>2016</v>
      </c>
      <c r="V1162" s="24">
        <f t="shared" ref="V1162:V1170" si="127">U1162+20</f>
        <v>2036</v>
      </c>
      <c r="W1162">
        <v>0</v>
      </c>
      <c r="X1162">
        <v>0</v>
      </c>
      <c r="Y1162">
        <v>1315</v>
      </c>
      <c r="Z1162">
        <v>361</v>
      </c>
      <c r="AA1162" s="475" t="s">
        <v>24</v>
      </c>
    </row>
    <row r="1163" spans="1:27" ht="15" hidden="1">
      <c r="A1163" s="24">
        <f t="shared" si="122"/>
        <v>2162</v>
      </c>
      <c r="B1163" s="24">
        <f t="shared" si="122"/>
        <v>2162</v>
      </c>
      <c r="C1163" s="476" t="s">
        <v>1557</v>
      </c>
      <c r="D1163" t="s">
        <v>152</v>
      </c>
      <c r="E1163" s="477">
        <v>3</v>
      </c>
      <c r="F1163" s="471">
        <v>16.8</v>
      </c>
      <c r="G1163">
        <v>1</v>
      </c>
      <c r="H1163">
        <v>1</v>
      </c>
      <c r="I1163" s="472">
        <f t="shared" si="125"/>
        <v>0.47039166666666665</v>
      </c>
      <c r="J1163" s="473">
        <v>0.36503333333333332</v>
      </c>
      <c r="K1163" s="473">
        <v>0.44336666666666663</v>
      </c>
      <c r="L1163" s="473">
        <v>0.58906666666666663</v>
      </c>
      <c r="M1163" s="473">
        <v>0.48410000000000003</v>
      </c>
      <c r="N1163" s="472">
        <f t="shared" si="126"/>
        <v>0.47039166666666665</v>
      </c>
      <c r="O1163" s="473">
        <v>0.36503333333333332</v>
      </c>
      <c r="P1163" s="473">
        <v>0.44336666666666663</v>
      </c>
      <c r="Q1163" s="473">
        <v>0.58906666666666663</v>
      </c>
      <c r="R1163" s="473">
        <v>0.48410000000000003</v>
      </c>
      <c r="S1163" s="153">
        <v>0.01</v>
      </c>
      <c r="T1163" s="153">
        <v>0.02</v>
      </c>
      <c r="U1163" s="478">
        <v>2018</v>
      </c>
      <c r="V1163" s="24">
        <f t="shared" si="127"/>
        <v>2038</v>
      </c>
      <c r="W1163">
        <v>0</v>
      </c>
      <c r="X1163">
        <v>0</v>
      </c>
      <c r="Y1163">
        <v>1315</v>
      </c>
      <c r="Z1163">
        <v>361</v>
      </c>
      <c r="AA1163" s="475" t="s">
        <v>24</v>
      </c>
    </row>
    <row r="1164" spans="1:27" ht="15" hidden="1">
      <c r="A1164" s="24">
        <f t="shared" si="122"/>
        <v>2163</v>
      </c>
      <c r="B1164" s="24">
        <f t="shared" si="122"/>
        <v>2163</v>
      </c>
      <c r="C1164" s="476" t="s">
        <v>1558</v>
      </c>
      <c r="D1164" t="s">
        <v>152</v>
      </c>
      <c r="E1164" s="477">
        <v>3</v>
      </c>
      <c r="F1164" s="471">
        <v>29.7</v>
      </c>
      <c r="G1164">
        <v>1</v>
      </c>
      <c r="H1164">
        <v>1</v>
      </c>
      <c r="I1164" s="472">
        <f t="shared" si="125"/>
        <v>0.47039166666666665</v>
      </c>
      <c r="J1164" s="473">
        <v>0.36503333333333332</v>
      </c>
      <c r="K1164" s="473">
        <v>0.44336666666666663</v>
      </c>
      <c r="L1164" s="473">
        <v>0.58906666666666663</v>
      </c>
      <c r="M1164" s="473">
        <v>0.48410000000000003</v>
      </c>
      <c r="N1164" s="472">
        <f t="shared" si="126"/>
        <v>0.47039166666666665</v>
      </c>
      <c r="O1164" s="473">
        <v>0.36503333333333332</v>
      </c>
      <c r="P1164" s="473">
        <v>0.44336666666666663</v>
      </c>
      <c r="Q1164" s="473">
        <v>0.58906666666666663</v>
      </c>
      <c r="R1164" s="473">
        <v>0.48410000000000003</v>
      </c>
      <c r="S1164" s="153">
        <v>0.01</v>
      </c>
      <c r="T1164" s="153">
        <v>0.02</v>
      </c>
      <c r="U1164" s="478">
        <v>2016</v>
      </c>
      <c r="V1164" s="24">
        <f t="shared" si="127"/>
        <v>2036</v>
      </c>
      <c r="W1164">
        <v>0</v>
      </c>
      <c r="X1164">
        <v>0</v>
      </c>
      <c r="Y1164">
        <v>1315</v>
      </c>
      <c r="Z1164">
        <v>361</v>
      </c>
      <c r="AA1164" s="475" t="s">
        <v>24</v>
      </c>
    </row>
    <row r="1165" spans="1:27" ht="15" hidden="1">
      <c r="A1165" s="24">
        <f t="shared" si="122"/>
        <v>2164</v>
      </c>
      <c r="B1165" s="24">
        <f t="shared" si="122"/>
        <v>2164</v>
      </c>
      <c r="C1165" s="476" t="s">
        <v>1559</v>
      </c>
      <c r="D1165" t="s">
        <v>152</v>
      </c>
      <c r="E1165" s="477">
        <v>3</v>
      </c>
      <c r="F1165" s="471">
        <v>28</v>
      </c>
      <c r="G1165">
        <v>1</v>
      </c>
      <c r="H1165">
        <v>1</v>
      </c>
      <c r="I1165" s="472">
        <f t="shared" si="125"/>
        <v>0.47039166666666665</v>
      </c>
      <c r="J1165" s="473">
        <v>0.36503333333333332</v>
      </c>
      <c r="K1165" s="473">
        <v>0.44336666666666663</v>
      </c>
      <c r="L1165" s="473">
        <v>0.58906666666666663</v>
      </c>
      <c r="M1165" s="473">
        <v>0.48410000000000003</v>
      </c>
      <c r="N1165" s="472">
        <f t="shared" si="126"/>
        <v>0.47039166666666665</v>
      </c>
      <c r="O1165" s="473">
        <v>0.36503333333333332</v>
      </c>
      <c r="P1165" s="473">
        <v>0.44336666666666663</v>
      </c>
      <c r="Q1165" s="473">
        <v>0.58906666666666663</v>
      </c>
      <c r="R1165" s="473">
        <v>0.48410000000000003</v>
      </c>
      <c r="S1165" s="153">
        <v>0.01</v>
      </c>
      <c r="T1165" s="153">
        <v>0.02</v>
      </c>
      <c r="U1165" s="478">
        <v>2018</v>
      </c>
      <c r="V1165" s="24">
        <f t="shared" si="127"/>
        <v>2038</v>
      </c>
      <c r="W1165">
        <v>0</v>
      </c>
      <c r="X1165">
        <v>0</v>
      </c>
      <c r="Y1165">
        <v>1315</v>
      </c>
      <c r="Z1165">
        <v>361</v>
      </c>
      <c r="AA1165" s="475" t="s">
        <v>24</v>
      </c>
    </row>
    <row r="1166" spans="1:27" ht="15" hidden="1">
      <c r="A1166" s="24">
        <f t="shared" si="122"/>
        <v>2165</v>
      </c>
      <c r="B1166" s="24">
        <f t="shared" si="122"/>
        <v>2165</v>
      </c>
      <c r="C1166" s="476" t="s">
        <v>1560</v>
      </c>
      <c r="D1166" t="s">
        <v>152</v>
      </c>
      <c r="E1166" s="477">
        <v>3</v>
      </c>
      <c r="F1166" s="471">
        <v>28</v>
      </c>
      <c r="G1166">
        <v>1</v>
      </c>
      <c r="H1166">
        <v>1</v>
      </c>
      <c r="I1166" s="472">
        <f t="shared" si="125"/>
        <v>0.47039166666666665</v>
      </c>
      <c r="J1166" s="473">
        <v>0.36503333333333332</v>
      </c>
      <c r="K1166" s="473">
        <v>0.44336666666666663</v>
      </c>
      <c r="L1166" s="473">
        <v>0.58906666666666663</v>
      </c>
      <c r="M1166" s="473">
        <v>0.48410000000000003</v>
      </c>
      <c r="N1166" s="472">
        <f t="shared" si="126"/>
        <v>0.47039166666666665</v>
      </c>
      <c r="O1166" s="473">
        <v>0.36503333333333332</v>
      </c>
      <c r="P1166" s="473">
        <v>0.44336666666666663</v>
      </c>
      <c r="Q1166" s="473">
        <v>0.58906666666666663</v>
      </c>
      <c r="R1166" s="473">
        <v>0.48410000000000003</v>
      </c>
      <c r="S1166" s="153">
        <v>0.01</v>
      </c>
      <c r="T1166" s="153">
        <v>0.02</v>
      </c>
      <c r="U1166" s="478">
        <v>2018</v>
      </c>
      <c r="V1166" s="24">
        <f t="shared" si="127"/>
        <v>2038</v>
      </c>
      <c r="W1166">
        <v>0</v>
      </c>
      <c r="X1166">
        <v>0</v>
      </c>
      <c r="Y1166">
        <v>1315</v>
      </c>
      <c r="Z1166">
        <v>361</v>
      </c>
      <c r="AA1166" s="475" t="s">
        <v>24</v>
      </c>
    </row>
    <row r="1167" spans="1:27" ht="15" hidden="1">
      <c r="A1167" s="24">
        <f t="shared" si="122"/>
        <v>2166</v>
      </c>
      <c r="B1167" s="24">
        <f t="shared" si="122"/>
        <v>2166</v>
      </c>
      <c r="C1167" s="476" t="s">
        <v>1561</v>
      </c>
      <c r="D1167" t="s">
        <v>152</v>
      </c>
      <c r="E1167" s="477">
        <v>3</v>
      </c>
      <c r="F1167" s="471">
        <v>13.5</v>
      </c>
      <c r="G1167">
        <v>1</v>
      </c>
      <c r="H1167">
        <v>1</v>
      </c>
      <c r="I1167" s="472">
        <f t="shared" si="125"/>
        <v>0.47039166666666665</v>
      </c>
      <c r="J1167" s="473">
        <v>0.36503333333333332</v>
      </c>
      <c r="K1167" s="473">
        <v>0.44336666666666663</v>
      </c>
      <c r="L1167" s="473">
        <v>0.58906666666666663</v>
      </c>
      <c r="M1167" s="473">
        <v>0.48410000000000003</v>
      </c>
      <c r="N1167" s="472">
        <f t="shared" si="126"/>
        <v>0.47039166666666665</v>
      </c>
      <c r="O1167" s="473">
        <v>0.36503333333333332</v>
      </c>
      <c r="P1167" s="473">
        <v>0.44336666666666663</v>
      </c>
      <c r="Q1167" s="473">
        <v>0.58906666666666663</v>
      </c>
      <c r="R1167" s="473">
        <v>0.48410000000000003</v>
      </c>
      <c r="S1167" s="153">
        <v>0.01</v>
      </c>
      <c r="T1167" s="153">
        <v>0.02</v>
      </c>
      <c r="U1167" s="478">
        <v>2016</v>
      </c>
      <c r="V1167" s="24">
        <f t="shared" si="127"/>
        <v>2036</v>
      </c>
      <c r="W1167">
        <v>0</v>
      </c>
      <c r="X1167">
        <v>0</v>
      </c>
      <c r="Y1167">
        <v>1315</v>
      </c>
      <c r="Z1167">
        <v>361</v>
      </c>
      <c r="AA1167" s="475" t="s">
        <v>24</v>
      </c>
    </row>
    <row r="1168" spans="1:27" ht="15" hidden="1">
      <c r="A1168" s="24">
        <f t="shared" si="122"/>
        <v>2167</v>
      </c>
      <c r="B1168" s="24">
        <f t="shared" si="122"/>
        <v>2167</v>
      </c>
      <c r="C1168" s="476" t="s">
        <v>1562</v>
      </c>
      <c r="D1168" t="s">
        <v>152</v>
      </c>
      <c r="E1168" s="477">
        <v>3</v>
      </c>
      <c r="F1168" s="471">
        <v>16.2</v>
      </c>
      <c r="G1168">
        <v>1</v>
      </c>
      <c r="H1168">
        <v>1</v>
      </c>
      <c r="I1168" s="472">
        <f t="shared" si="125"/>
        <v>0.47039166666666665</v>
      </c>
      <c r="J1168" s="473">
        <v>0.36503333333333332</v>
      </c>
      <c r="K1168" s="473">
        <v>0.44336666666666663</v>
      </c>
      <c r="L1168" s="473">
        <v>0.58906666666666663</v>
      </c>
      <c r="M1168" s="473">
        <v>0.48410000000000003</v>
      </c>
      <c r="N1168" s="472">
        <f t="shared" si="126"/>
        <v>0.47039166666666665</v>
      </c>
      <c r="O1168" s="473">
        <v>0.36503333333333332</v>
      </c>
      <c r="P1168" s="473">
        <v>0.44336666666666663</v>
      </c>
      <c r="Q1168" s="473">
        <v>0.58906666666666663</v>
      </c>
      <c r="R1168" s="473">
        <v>0.48410000000000003</v>
      </c>
      <c r="S1168" s="153">
        <v>0.01</v>
      </c>
      <c r="T1168" s="153">
        <v>0.02</v>
      </c>
      <c r="U1168" s="478">
        <v>2016</v>
      </c>
      <c r="V1168" s="24">
        <f t="shared" si="127"/>
        <v>2036</v>
      </c>
      <c r="W1168">
        <v>0</v>
      </c>
      <c r="X1168">
        <v>0</v>
      </c>
      <c r="Y1168">
        <v>1315</v>
      </c>
      <c r="Z1168">
        <v>361</v>
      </c>
      <c r="AA1168" s="475" t="s">
        <v>24</v>
      </c>
    </row>
    <row r="1169" spans="1:27" ht="15" hidden="1">
      <c r="A1169" s="24">
        <f t="shared" si="122"/>
        <v>2168</v>
      </c>
      <c r="B1169" s="24">
        <f t="shared" si="122"/>
        <v>2168</v>
      </c>
      <c r="C1169" s="476" t="s">
        <v>1563</v>
      </c>
      <c r="D1169" t="s">
        <v>152</v>
      </c>
      <c r="E1169" s="477">
        <v>3</v>
      </c>
      <c r="F1169" s="471">
        <v>13.6</v>
      </c>
      <c r="G1169">
        <v>1</v>
      </c>
      <c r="H1169">
        <v>1</v>
      </c>
      <c r="I1169" s="472">
        <f t="shared" si="125"/>
        <v>0.47039166666666665</v>
      </c>
      <c r="J1169" s="473">
        <v>0.36503333333333332</v>
      </c>
      <c r="K1169" s="473">
        <v>0.44336666666666663</v>
      </c>
      <c r="L1169" s="473">
        <v>0.58906666666666663</v>
      </c>
      <c r="M1169" s="473">
        <v>0.48410000000000003</v>
      </c>
      <c r="N1169" s="472">
        <f t="shared" si="126"/>
        <v>0.47039166666666665</v>
      </c>
      <c r="O1169" s="473">
        <v>0.36503333333333332</v>
      </c>
      <c r="P1169" s="473">
        <v>0.44336666666666663</v>
      </c>
      <c r="Q1169" s="473">
        <v>0.58906666666666663</v>
      </c>
      <c r="R1169" s="473">
        <v>0.48410000000000003</v>
      </c>
      <c r="S1169" s="153">
        <v>0.01</v>
      </c>
      <c r="T1169" s="153">
        <v>0.02</v>
      </c>
      <c r="U1169" s="478">
        <v>2016</v>
      </c>
      <c r="V1169" s="24">
        <f t="shared" si="127"/>
        <v>2036</v>
      </c>
      <c r="W1169">
        <v>0</v>
      </c>
      <c r="X1169">
        <v>0</v>
      </c>
      <c r="Y1169">
        <v>1315</v>
      </c>
      <c r="Z1169">
        <v>361</v>
      </c>
      <c r="AA1169" s="475" t="s">
        <v>24</v>
      </c>
    </row>
    <row r="1170" spans="1:27" ht="15" hidden="1">
      <c r="A1170" s="24">
        <f t="shared" ref="A1170:B1189" si="128">1000+ROW()-1</f>
        <v>2169</v>
      </c>
      <c r="B1170" s="24">
        <f t="shared" si="128"/>
        <v>2169</v>
      </c>
      <c r="C1170" s="476" t="s">
        <v>1564</v>
      </c>
      <c r="D1170" t="s">
        <v>152</v>
      </c>
      <c r="E1170" s="477">
        <v>3</v>
      </c>
      <c r="F1170" s="471">
        <v>27.2</v>
      </c>
      <c r="G1170">
        <v>1</v>
      </c>
      <c r="H1170">
        <v>1</v>
      </c>
      <c r="I1170" s="472">
        <f t="shared" si="125"/>
        <v>0.47039166666666665</v>
      </c>
      <c r="J1170" s="473">
        <v>0.36503333333333332</v>
      </c>
      <c r="K1170" s="473">
        <v>0.44336666666666663</v>
      </c>
      <c r="L1170" s="473">
        <v>0.58906666666666663</v>
      </c>
      <c r="M1170" s="473">
        <v>0.48410000000000003</v>
      </c>
      <c r="N1170" s="472">
        <f t="shared" si="126"/>
        <v>0.47039166666666665</v>
      </c>
      <c r="O1170" s="473">
        <v>0.36503333333333332</v>
      </c>
      <c r="P1170" s="473">
        <v>0.44336666666666663</v>
      </c>
      <c r="Q1170" s="473">
        <v>0.58906666666666663</v>
      </c>
      <c r="R1170" s="473">
        <v>0.48410000000000003</v>
      </c>
      <c r="S1170" s="153">
        <v>0.01</v>
      </c>
      <c r="T1170" s="153">
        <v>0.02</v>
      </c>
      <c r="U1170" s="478">
        <v>2016</v>
      </c>
      <c r="V1170" s="24">
        <f t="shared" si="127"/>
        <v>2036</v>
      </c>
      <c r="W1170">
        <v>0</v>
      </c>
      <c r="X1170">
        <v>0</v>
      </c>
      <c r="Y1170">
        <v>1315</v>
      </c>
      <c r="Z1170">
        <v>361</v>
      </c>
      <c r="AA1170" s="475" t="s">
        <v>24</v>
      </c>
    </row>
    <row r="1171" spans="1:27" ht="15" hidden="1">
      <c r="A1171" s="24">
        <f t="shared" si="128"/>
        <v>2170</v>
      </c>
      <c r="B1171" s="24">
        <f t="shared" si="128"/>
        <v>2170</v>
      </c>
      <c r="C1171" s="469" t="s">
        <v>1565</v>
      </c>
      <c r="D1171" t="s">
        <v>146</v>
      </c>
      <c r="E1171" s="470">
        <v>1</v>
      </c>
      <c r="F1171" s="471">
        <v>0</v>
      </c>
      <c r="G1171">
        <v>1</v>
      </c>
      <c r="H1171">
        <v>1</v>
      </c>
      <c r="I1171" s="472">
        <f t="shared" si="125"/>
        <v>0.32845968612834514</v>
      </c>
      <c r="J1171" s="153">
        <v>3.8473756479098807E-2</v>
      </c>
      <c r="K1171" s="153">
        <v>0.39358026214566905</v>
      </c>
      <c r="L1171" s="153">
        <v>0.53857526864315253</v>
      </c>
      <c r="M1171" s="153">
        <v>0.3432094572454602</v>
      </c>
      <c r="N1171" s="472">
        <f t="shared" si="126"/>
        <v>0.32845968612834514</v>
      </c>
      <c r="O1171" s="153">
        <v>3.8473756479098807E-2</v>
      </c>
      <c r="P1171" s="153">
        <v>0.39358026214566905</v>
      </c>
      <c r="Q1171" s="153">
        <v>0.53857526864315253</v>
      </c>
      <c r="R1171" s="153">
        <v>0.3432094572454602</v>
      </c>
      <c r="S1171" s="153">
        <v>0.03</v>
      </c>
      <c r="T1171" s="153">
        <v>0</v>
      </c>
      <c r="U1171" s="474">
        <v>1900</v>
      </c>
      <c r="V1171">
        <v>2030</v>
      </c>
      <c r="W1171">
        <v>0</v>
      </c>
      <c r="X1171">
        <v>0</v>
      </c>
      <c r="Y1171">
        <v>1304</v>
      </c>
      <c r="Z1171">
        <v>311</v>
      </c>
      <c r="AA1171" s="475" t="s">
        <v>23</v>
      </c>
    </row>
    <row r="1172" spans="1:27" ht="15" hidden="1">
      <c r="A1172" s="24">
        <f t="shared" si="128"/>
        <v>2171</v>
      </c>
      <c r="B1172" s="24">
        <f t="shared" si="128"/>
        <v>2171</v>
      </c>
      <c r="C1172" s="476" t="s">
        <v>1566</v>
      </c>
      <c r="D1172" t="s">
        <v>152</v>
      </c>
      <c r="E1172" s="477">
        <v>3</v>
      </c>
      <c r="F1172" s="471">
        <v>15.132</v>
      </c>
      <c r="G1172">
        <v>1</v>
      </c>
      <c r="H1172">
        <v>1</v>
      </c>
      <c r="I1172" s="472">
        <f t="shared" si="125"/>
        <v>0.26420000000000005</v>
      </c>
      <c r="J1172" s="33">
        <v>0.29123333333333334</v>
      </c>
      <c r="K1172" s="33">
        <f>0.296266666666667-0.07</f>
        <v>0.226266666666667</v>
      </c>
      <c r="L1172" s="33">
        <f>0.3193-0.07</f>
        <v>0.24929999999999997</v>
      </c>
      <c r="M1172" s="33">
        <v>0.28999999999999998</v>
      </c>
      <c r="N1172" s="472">
        <f t="shared" si="126"/>
        <v>0.26420000000000005</v>
      </c>
      <c r="O1172" s="33">
        <v>0.29123333333333334</v>
      </c>
      <c r="P1172" s="33">
        <f>0.296266666666667-0.07</f>
        <v>0.226266666666667</v>
      </c>
      <c r="Q1172" s="33">
        <f>0.3193-0.07</f>
        <v>0.24929999999999997</v>
      </c>
      <c r="R1172" s="33">
        <v>0.28999999999999998</v>
      </c>
      <c r="S1172" s="153">
        <v>0.04</v>
      </c>
      <c r="T1172" s="153">
        <v>0</v>
      </c>
      <c r="U1172" s="478">
        <v>2018</v>
      </c>
      <c r="V1172" s="24">
        <f t="shared" ref="V1172:V1173" si="129">U1172+20</f>
        <v>2038</v>
      </c>
      <c r="W1172">
        <v>0</v>
      </c>
      <c r="X1172">
        <v>0</v>
      </c>
      <c r="Y1172">
        <v>1315</v>
      </c>
      <c r="Z1172">
        <v>347</v>
      </c>
      <c r="AA1172" s="475" t="s">
        <v>25</v>
      </c>
    </row>
    <row r="1173" spans="1:27" ht="15" hidden="1">
      <c r="A1173" s="24">
        <f t="shared" si="128"/>
        <v>2172</v>
      </c>
      <c r="B1173" s="24">
        <f t="shared" si="128"/>
        <v>2172</v>
      </c>
      <c r="C1173" s="476" t="s">
        <v>1567</v>
      </c>
      <c r="D1173" t="s">
        <v>152</v>
      </c>
      <c r="E1173" s="477">
        <v>3</v>
      </c>
      <c r="F1173" s="471">
        <v>20</v>
      </c>
      <c r="G1173">
        <v>1</v>
      </c>
      <c r="H1173">
        <v>1</v>
      </c>
      <c r="I1173" s="472">
        <f t="shared" si="125"/>
        <v>0.26420000000000005</v>
      </c>
      <c r="J1173" s="33">
        <v>0.29123333333333334</v>
      </c>
      <c r="K1173" s="33">
        <f>0.296266666666667-0.07</f>
        <v>0.226266666666667</v>
      </c>
      <c r="L1173" s="33">
        <f>0.3193-0.07</f>
        <v>0.24929999999999997</v>
      </c>
      <c r="M1173" s="33">
        <v>0.28999999999999998</v>
      </c>
      <c r="N1173" s="472">
        <f t="shared" si="126"/>
        <v>0.26420000000000005</v>
      </c>
      <c r="O1173" s="33">
        <v>0.29123333333333334</v>
      </c>
      <c r="P1173" s="33">
        <f>0.296266666666667-0.07</f>
        <v>0.226266666666667</v>
      </c>
      <c r="Q1173" s="33">
        <f>0.3193-0.07</f>
        <v>0.24929999999999997</v>
      </c>
      <c r="R1173" s="33">
        <v>0.28999999999999998</v>
      </c>
      <c r="S1173" s="153">
        <v>0.04</v>
      </c>
      <c r="T1173" s="153">
        <v>0</v>
      </c>
      <c r="U1173" s="478">
        <v>2018</v>
      </c>
      <c r="V1173" s="24">
        <f t="shared" si="129"/>
        <v>2038</v>
      </c>
      <c r="W1173">
        <v>0</v>
      </c>
      <c r="X1173">
        <v>0</v>
      </c>
      <c r="Y1173">
        <v>1315</v>
      </c>
      <c r="Z1173">
        <v>347</v>
      </c>
      <c r="AA1173" s="475" t="s">
        <v>25</v>
      </c>
    </row>
    <row r="1174" spans="1:27" ht="15" hidden="1">
      <c r="A1174" s="24">
        <f t="shared" si="128"/>
        <v>2173</v>
      </c>
      <c r="B1174" s="24">
        <f t="shared" si="128"/>
        <v>2173</v>
      </c>
      <c r="C1174" s="469" t="s">
        <v>1568</v>
      </c>
      <c r="D1174" t="s">
        <v>146</v>
      </c>
      <c r="E1174" s="470">
        <v>1</v>
      </c>
      <c r="F1174" s="471">
        <v>25</v>
      </c>
      <c r="G1174">
        <v>1</v>
      </c>
      <c r="H1174">
        <v>1</v>
      </c>
      <c r="I1174" s="472">
        <f t="shared" si="125"/>
        <v>0.32845968612834514</v>
      </c>
      <c r="J1174" s="153">
        <v>3.8473756479098807E-2</v>
      </c>
      <c r="K1174" s="153">
        <v>0.39358026214566905</v>
      </c>
      <c r="L1174" s="153">
        <v>0.53857526864315253</v>
      </c>
      <c r="M1174" s="153">
        <v>0.3432094572454602</v>
      </c>
      <c r="N1174" s="472">
        <f t="shared" si="126"/>
        <v>0.32845968612834514</v>
      </c>
      <c r="O1174" s="153">
        <v>3.8473756479098807E-2</v>
      </c>
      <c r="P1174" s="153">
        <v>0.39358026214566905</v>
      </c>
      <c r="Q1174" s="153">
        <v>0.53857526864315253</v>
      </c>
      <c r="R1174" s="153">
        <v>0.3432094572454602</v>
      </c>
      <c r="S1174" s="153">
        <v>0.03</v>
      </c>
      <c r="T1174" s="153">
        <v>0</v>
      </c>
      <c r="U1174" s="474">
        <v>2010</v>
      </c>
      <c r="V1174">
        <v>2023</v>
      </c>
      <c r="W1174">
        <v>0</v>
      </c>
      <c r="X1174">
        <v>0</v>
      </c>
      <c r="Y1174">
        <v>1304</v>
      </c>
      <c r="Z1174">
        <v>311</v>
      </c>
      <c r="AA1174" s="475" t="s">
        <v>23</v>
      </c>
    </row>
    <row r="1175" spans="1:27" ht="15" hidden="1">
      <c r="A1175" s="24">
        <f t="shared" si="128"/>
        <v>2174</v>
      </c>
      <c r="B1175" s="24">
        <f t="shared" si="128"/>
        <v>2174</v>
      </c>
      <c r="C1175" s="469" t="s">
        <v>1569</v>
      </c>
      <c r="D1175" t="s">
        <v>146</v>
      </c>
      <c r="E1175" s="470">
        <v>1</v>
      </c>
      <c r="F1175" s="471">
        <v>0</v>
      </c>
      <c r="G1175">
        <v>1</v>
      </c>
      <c r="H1175">
        <v>1</v>
      </c>
      <c r="I1175" s="472">
        <f t="shared" si="125"/>
        <v>0.32845968612834514</v>
      </c>
      <c r="J1175" s="153">
        <v>3.8473756479098807E-2</v>
      </c>
      <c r="K1175" s="153">
        <v>0.39358026214566905</v>
      </c>
      <c r="L1175" s="153">
        <v>0.53857526864315253</v>
      </c>
      <c r="M1175" s="153">
        <v>0.3432094572454602</v>
      </c>
      <c r="N1175" s="472">
        <f t="shared" si="126"/>
        <v>0.32845968612834514</v>
      </c>
      <c r="O1175" s="153">
        <v>3.8473756479098807E-2</v>
      </c>
      <c r="P1175" s="153">
        <v>0.39358026214566905</v>
      </c>
      <c r="Q1175" s="153">
        <v>0.53857526864315253</v>
      </c>
      <c r="R1175" s="153">
        <v>0.3432094572454602</v>
      </c>
      <c r="S1175" s="153">
        <v>0.03</v>
      </c>
      <c r="T1175" s="153">
        <v>0</v>
      </c>
      <c r="U1175" s="474">
        <v>1900</v>
      </c>
      <c r="V1175">
        <v>2030</v>
      </c>
      <c r="W1175">
        <v>0</v>
      </c>
      <c r="X1175">
        <v>0</v>
      </c>
      <c r="Y1175">
        <v>1304</v>
      </c>
      <c r="Z1175">
        <v>311</v>
      </c>
      <c r="AA1175" s="475" t="s">
        <v>23</v>
      </c>
    </row>
    <row r="1176" spans="1:27" ht="15" hidden="1">
      <c r="A1176" s="24">
        <f t="shared" si="128"/>
        <v>2175</v>
      </c>
      <c r="B1176" s="24">
        <f t="shared" si="128"/>
        <v>2175</v>
      </c>
      <c r="C1176" s="469" t="s">
        <v>1570</v>
      </c>
      <c r="D1176" t="s">
        <v>146</v>
      </c>
      <c r="E1176" s="470">
        <v>1</v>
      </c>
      <c r="F1176" s="471">
        <v>15</v>
      </c>
      <c r="G1176">
        <v>1</v>
      </c>
      <c r="H1176">
        <v>1</v>
      </c>
      <c r="I1176" s="472">
        <f t="shared" si="125"/>
        <v>0.32845968612834514</v>
      </c>
      <c r="J1176" s="153">
        <v>3.8473756479098807E-2</v>
      </c>
      <c r="K1176" s="153">
        <v>0.39358026214566905</v>
      </c>
      <c r="L1176" s="153">
        <v>0.53857526864315253</v>
      </c>
      <c r="M1176" s="153">
        <v>0.3432094572454602</v>
      </c>
      <c r="N1176" s="472">
        <f t="shared" si="126"/>
        <v>0.32845968612834514</v>
      </c>
      <c r="O1176" s="153">
        <v>3.8473756479098807E-2</v>
      </c>
      <c r="P1176" s="153">
        <v>0.39358026214566905</v>
      </c>
      <c r="Q1176" s="153">
        <v>0.53857526864315253</v>
      </c>
      <c r="R1176" s="153">
        <v>0.3432094572454602</v>
      </c>
      <c r="S1176" s="153">
        <v>0.03</v>
      </c>
      <c r="T1176" s="153">
        <v>0</v>
      </c>
      <c r="U1176" s="474">
        <v>2010</v>
      </c>
      <c r="V1176">
        <v>2023</v>
      </c>
      <c r="W1176">
        <v>0</v>
      </c>
      <c r="X1176">
        <v>0</v>
      </c>
      <c r="Y1176">
        <v>1304</v>
      </c>
      <c r="Z1176">
        <v>311</v>
      </c>
      <c r="AA1176" s="475" t="s">
        <v>23</v>
      </c>
    </row>
    <row r="1177" spans="1:27" ht="15" hidden="1">
      <c r="A1177" s="24">
        <f t="shared" si="128"/>
        <v>2176</v>
      </c>
      <c r="B1177" s="24">
        <f t="shared" si="128"/>
        <v>2176</v>
      </c>
      <c r="C1177" s="469" t="s">
        <v>1571</v>
      </c>
      <c r="D1177" t="s">
        <v>146</v>
      </c>
      <c r="E1177" s="470">
        <v>1</v>
      </c>
      <c r="F1177" s="471">
        <v>0</v>
      </c>
      <c r="G1177">
        <v>1</v>
      </c>
      <c r="H1177">
        <v>1</v>
      </c>
      <c r="I1177" s="472">
        <f t="shared" si="125"/>
        <v>0.32845968612834514</v>
      </c>
      <c r="J1177" s="153">
        <v>3.8473756479098807E-2</v>
      </c>
      <c r="K1177" s="153">
        <v>0.39358026214566905</v>
      </c>
      <c r="L1177" s="153">
        <v>0.53857526864315253</v>
      </c>
      <c r="M1177" s="153">
        <v>0.3432094572454602</v>
      </c>
      <c r="N1177" s="472">
        <f t="shared" si="126"/>
        <v>0.32845968612834514</v>
      </c>
      <c r="O1177" s="153">
        <v>3.8473756479098807E-2</v>
      </c>
      <c r="P1177" s="153">
        <v>0.39358026214566905</v>
      </c>
      <c r="Q1177" s="153">
        <v>0.53857526864315253</v>
      </c>
      <c r="R1177" s="153">
        <v>0.3432094572454602</v>
      </c>
      <c r="S1177" s="153">
        <v>0.03</v>
      </c>
      <c r="T1177" s="153">
        <v>0</v>
      </c>
      <c r="U1177" s="474">
        <v>1900</v>
      </c>
      <c r="V1177">
        <v>2030</v>
      </c>
      <c r="W1177">
        <v>0</v>
      </c>
      <c r="X1177">
        <v>0</v>
      </c>
      <c r="Y1177">
        <v>1304</v>
      </c>
      <c r="Z1177">
        <v>311</v>
      </c>
      <c r="AA1177" s="475" t="s">
        <v>23</v>
      </c>
    </row>
    <row r="1178" spans="1:27" ht="15" hidden="1">
      <c r="A1178" s="24">
        <f t="shared" si="128"/>
        <v>2177</v>
      </c>
      <c r="B1178" s="24">
        <f t="shared" si="128"/>
        <v>2177</v>
      </c>
      <c r="C1178" s="469" t="s">
        <v>1572</v>
      </c>
      <c r="D1178" t="s">
        <v>146</v>
      </c>
      <c r="E1178" s="470">
        <v>1</v>
      </c>
      <c r="F1178" s="471">
        <v>32</v>
      </c>
      <c r="G1178">
        <v>1</v>
      </c>
      <c r="H1178">
        <v>1</v>
      </c>
      <c r="I1178" s="472">
        <f t="shared" si="125"/>
        <v>0.32845968612834514</v>
      </c>
      <c r="J1178" s="153">
        <v>3.8473756479098807E-2</v>
      </c>
      <c r="K1178" s="153">
        <v>0.39358026214566905</v>
      </c>
      <c r="L1178" s="153">
        <v>0.53857526864315253</v>
      </c>
      <c r="M1178" s="153">
        <v>0.3432094572454602</v>
      </c>
      <c r="N1178" s="472">
        <f t="shared" si="126"/>
        <v>0.32845968612834514</v>
      </c>
      <c r="O1178" s="153">
        <v>3.8473756479098807E-2</v>
      </c>
      <c r="P1178" s="153">
        <v>0.39358026214566905</v>
      </c>
      <c r="Q1178" s="153">
        <v>0.53857526864315253</v>
      </c>
      <c r="R1178" s="153">
        <v>0.3432094572454602</v>
      </c>
      <c r="S1178" s="153">
        <v>0.03</v>
      </c>
      <c r="T1178" s="153">
        <v>0</v>
      </c>
      <c r="U1178" s="474">
        <v>2014</v>
      </c>
      <c r="V1178">
        <v>2030</v>
      </c>
      <c r="W1178">
        <v>0</v>
      </c>
      <c r="X1178">
        <v>0</v>
      </c>
      <c r="Y1178">
        <v>1304</v>
      </c>
      <c r="Z1178">
        <v>311</v>
      </c>
      <c r="AA1178" s="475" t="s">
        <v>23</v>
      </c>
    </row>
    <row r="1179" spans="1:27" ht="15" hidden="1">
      <c r="A1179" s="24">
        <f t="shared" si="128"/>
        <v>2178</v>
      </c>
      <c r="B1179" s="24">
        <f t="shared" si="128"/>
        <v>2178</v>
      </c>
      <c r="C1179" s="469" t="s">
        <v>1573</v>
      </c>
      <c r="D1179" t="s">
        <v>146</v>
      </c>
      <c r="E1179" s="470">
        <v>1</v>
      </c>
      <c r="F1179" s="471">
        <v>0</v>
      </c>
      <c r="G1179">
        <v>1</v>
      </c>
      <c r="H1179">
        <v>1</v>
      </c>
      <c r="I1179" s="472">
        <f t="shared" si="125"/>
        <v>0.32845968612834514</v>
      </c>
      <c r="J1179" s="153">
        <v>3.8473756479098807E-2</v>
      </c>
      <c r="K1179" s="153">
        <v>0.39358026214566905</v>
      </c>
      <c r="L1179" s="153">
        <v>0.53857526864315253</v>
      </c>
      <c r="M1179" s="153">
        <v>0.3432094572454602</v>
      </c>
      <c r="N1179" s="472">
        <f t="shared" si="126"/>
        <v>0.32845968612834514</v>
      </c>
      <c r="O1179" s="153">
        <v>3.8473756479098807E-2</v>
      </c>
      <c r="P1179" s="153">
        <v>0.39358026214566905</v>
      </c>
      <c r="Q1179" s="153">
        <v>0.53857526864315253</v>
      </c>
      <c r="R1179" s="153">
        <v>0.3432094572454602</v>
      </c>
      <c r="S1179" s="153">
        <v>0.03</v>
      </c>
      <c r="T1179" s="153">
        <v>0</v>
      </c>
      <c r="U1179" s="474">
        <v>1900</v>
      </c>
      <c r="V1179">
        <v>2030</v>
      </c>
      <c r="W1179">
        <v>0</v>
      </c>
      <c r="X1179">
        <v>0</v>
      </c>
      <c r="Y1179">
        <v>1304</v>
      </c>
      <c r="Z1179">
        <v>311</v>
      </c>
      <c r="AA1179" s="475" t="s">
        <v>23</v>
      </c>
    </row>
    <row r="1180" spans="1:27" ht="15" hidden="1">
      <c r="A1180" s="24">
        <f t="shared" si="128"/>
        <v>2179</v>
      </c>
      <c r="B1180" s="24">
        <f t="shared" si="128"/>
        <v>2179</v>
      </c>
      <c r="C1180" s="469" t="s">
        <v>1574</v>
      </c>
      <c r="D1180" t="s">
        <v>146</v>
      </c>
      <c r="E1180" s="470">
        <v>1</v>
      </c>
      <c r="F1180" s="471">
        <v>58.208955223880594</v>
      </c>
      <c r="G1180">
        <v>1</v>
      </c>
      <c r="H1180">
        <v>1</v>
      </c>
      <c r="I1180" s="472">
        <f t="shared" si="125"/>
        <v>0.32845968612834514</v>
      </c>
      <c r="J1180" s="153">
        <v>3.8473756479098807E-2</v>
      </c>
      <c r="K1180" s="153">
        <v>0.39358026214566905</v>
      </c>
      <c r="L1180" s="153">
        <v>0.53857526864315253</v>
      </c>
      <c r="M1180" s="153">
        <v>0.3432094572454602</v>
      </c>
      <c r="N1180" s="472">
        <f t="shared" si="126"/>
        <v>0.32845968612834514</v>
      </c>
      <c r="O1180" s="153">
        <v>3.8473756479098807E-2</v>
      </c>
      <c r="P1180" s="153">
        <v>0.39358026214566905</v>
      </c>
      <c r="Q1180" s="153">
        <v>0.53857526864315253</v>
      </c>
      <c r="R1180" s="153">
        <v>0.3432094572454602</v>
      </c>
      <c r="S1180" s="153">
        <v>0.03</v>
      </c>
      <c r="T1180" s="153">
        <v>0</v>
      </c>
      <c r="U1180" s="474">
        <v>2009</v>
      </c>
      <c r="V1180">
        <v>2023</v>
      </c>
      <c r="W1180">
        <v>0</v>
      </c>
      <c r="X1180">
        <v>0</v>
      </c>
      <c r="Y1180">
        <v>1304</v>
      </c>
      <c r="Z1180">
        <v>311</v>
      </c>
      <c r="AA1180" s="475" t="s">
        <v>23</v>
      </c>
    </row>
    <row r="1181" spans="1:27" ht="15" hidden="1">
      <c r="A1181" s="24">
        <f t="shared" si="128"/>
        <v>2180</v>
      </c>
      <c r="B1181" s="24">
        <f t="shared" si="128"/>
        <v>2180</v>
      </c>
      <c r="C1181" s="469" t="s">
        <v>1575</v>
      </c>
      <c r="D1181" t="s">
        <v>146</v>
      </c>
      <c r="E1181" s="470">
        <v>1</v>
      </c>
      <c r="F1181" s="471">
        <v>21.791044776119403</v>
      </c>
      <c r="G1181">
        <v>1</v>
      </c>
      <c r="H1181">
        <v>1</v>
      </c>
      <c r="I1181" s="472">
        <f t="shared" si="125"/>
        <v>0.32845968612834514</v>
      </c>
      <c r="J1181" s="153">
        <v>3.8473756479098807E-2</v>
      </c>
      <c r="K1181" s="153">
        <v>0.39358026214566905</v>
      </c>
      <c r="L1181" s="153">
        <v>0.53857526864315253</v>
      </c>
      <c r="M1181" s="153">
        <v>0.3432094572454602</v>
      </c>
      <c r="N1181" s="472">
        <f t="shared" si="126"/>
        <v>0.32845968612834514</v>
      </c>
      <c r="O1181" s="153">
        <v>3.8473756479098807E-2</v>
      </c>
      <c r="P1181" s="153">
        <v>0.39358026214566905</v>
      </c>
      <c r="Q1181" s="153">
        <v>0.53857526864315253</v>
      </c>
      <c r="R1181" s="153">
        <v>0.3432094572454602</v>
      </c>
      <c r="S1181" s="153">
        <v>0.03</v>
      </c>
      <c r="T1181" s="153">
        <v>0</v>
      </c>
      <c r="U1181" s="474">
        <v>2014</v>
      </c>
      <c r="V1181">
        <v>2035</v>
      </c>
      <c r="W1181">
        <v>0</v>
      </c>
      <c r="X1181">
        <v>0</v>
      </c>
      <c r="Y1181">
        <v>1304</v>
      </c>
      <c r="Z1181">
        <v>311</v>
      </c>
      <c r="AA1181" s="475" t="s">
        <v>23</v>
      </c>
    </row>
    <row r="1182" spans="1:27" ht="15" hidden="1">
      <c r="A1182" s="24">
        <f t="shared" si="128"/>
        <v>2181</v>
      </c>
      <c r="B1182" s="24">
        <f t="shared" si="128"/>
        <v>2181</v>
      </c>
      <c r="C1182" s="469" t="s">
        <v>1576</v>
      </c>
      <c r="D1182" t="s">
        <v>152</v>
      </c>
      <c r="E1182" s="470">
        <v>3</v>
      </c>
      <c r="F1182" s="471">
        <v>50</v>
      </c>
      <c r="G1182">
        <v>1</v>
      </c>
      <c r="H1182">
        <v>1</v>
      </c>
      <c r="I1182" s="472">
        <f t="shared" si="125"/>
        <v>0.32845968612834514</v>
      </c>
      <c r="J1182" s="153">
        <v>3.8473756479098807E-2</v>
      </c>
      <c r="K1182" s="153">
        <v>0.39358026214566905</v>
      </c>
      <c r="L1182" s="153">
        <v>0.53857526864315253</v>
      </c>
      <c r="M1182" s="153">
        <v>0.3432094572454602</v>
      </c>
      <c r="N1182" s="472">
        <f t="shared" si="126"/>
        <v>0.32845968612834514</v>
      </c>
      <c r="O1182" s="153">
        <v>3.8473756479098807E-2</v>
      </c>
      <c r="P1182" s="153">
        <v>0.39358026214566905</v>
      </c>
      <c r="Q1182" s="153">
        <v>0.53857526864315253</v>
      </c>
      <c r="R1182" s="153">
        <v>0.3432094572454602</v>
      </c>
      <c r="S1182" s="153">
        <v>0.03</v>
      </c>
      <c r="T1182" s="153">
        <v>0</v>
      </c>
      <c r="U1182" s="474">
        <v>2015</v>
      </c>
      <c r="V1182">
        <v>2030</v>
      </c>
      <c r="W1182">
        <v>0</v>
      </c>
      <c r="X1182">
        <v>0</v>
      </c>
      <c r="Y1182">
        <v>1304</v>
      </c>
      <c r="Z1182">
        <v>311</v>
      </c>
      <c r="AA1182" s="475" t="s">
        <v>23</v>
      </c>
    </row>
    <row r="1183" spans="1:27" ht="15" hidden="1">
      <c r="A1183" s="24">
        <f t="shared" si="128"/>
        <v>2182</v>
      </c>
      <c r="B1183" s="24">
        <f t="shared" si="128"/>
        <v>2182</v>
      </c>
      <c r="C1183" s="476" t="s">
        <v>1577</v>
      </c>
      <c r="D1183" t="s">
        <v>152</v>
      </c>
      <c r="E1183" s="477">
        <v>3</v>
      </c>
      <c r="F1183" s="471">
        <v>20</v>
      </c>
      <c r="G1183">
        <v>1</v>
      </c>
      <c r="H1183">
        <v>1</v>
      </c>
      <c r="I1183" s="472">
        <f t="shared" si="125"/>
        <v>0.26420000000000005</v>
      </c>
      <c r="J1183" s="33">
        <v>0.29123333333333334</v>
      </c>
      <c r="K1183" s="33">
        <f>0.296266666666667-0.07</f>
        <v>0.226266666666667</v>
      </c>
      <c r="L1183" s="33">
        <f>0.3193-0.07</f>
        <v>0.24929999999999997</v>
      </c>
      <c r="M1183" s="33">
        <v>0.28999999999999998</v>
      </c>
      <c r="N1183" s="472">
        <f t="shared" si="126"/>
        <v>0.26420000000000005</v>
      </c>
      <c r="O1183" s="33">
        <v>0.29123333333333334</v>
      </c>
      <c r="P1183" s="33">
        <f>0.296266666666667-0.07</f>
        <v>0.226266666666667</v>
      </c>
      <c r="Q1183" s="33">
        <f>0.3193-0.07</f>
        <v>0.24929999999999997</v>
      </c>
      <c r="R1183" s="33">
        <v>0.28999999999999998</v>
      </c>
      <c r="S1183" s="153">
        <v>0.04</v>
      </c>
      <c r="T1183" s="153">
        <v>0</v>
      </c>
      <c r="U1183" s="478">
        <v>2018</v>
      </c>
      <c r="V1183" s="24">
        <f t="shared" ref="V1183:V1246" si="130">U1183+20</f>
        <v>2038</v>
      </c>
      <c r="W1183">
        <v>0</v>
      </c>
      <c r="X1183">
        <v>0</v>
      </c>
      <c r="Y1183">
        <v>1315</v>
      </c>
      <c r="Z1183">
        <v>347</v>
      </c>
      <c r="AA1183" s="475" t="s">
        <v>25</v>
      </c>
    </row>
    <row r="1184" spans="1:27" ht="15" hidden="1">
      <c r="A1184" s="24">
        <f t="shared" si="128"/>
        <v>2183</v>
      </c>
      <c r="B1184" s="24">
        <f t="shared" si="128"/>
        <v>2183</v>
      </c>
      <c r="C1184" s="476" t="s">
        <v>1578</v>
      </c>
      <c r="D1184" t="s">
        <v>152</v>
      </c>
      <c r="E1184" s="477">
        <v>3</v>
      </c>
      <c r="F1184" s="471">
        <v>28.9</v>
      </c>
      <c r="G1184">
        <v>1</v>
      </c>
      <c r="H1184">
        <v>1</v>
      </c>
      <c r="I1184" s="472">
        <f t="shared" si="125"/>
        <v>0.47039166666666665</v>
      </c>
      <c r="J1184" s="473">
        <v>0.36503333333333332</v>
      </c>
      <c r="K1184" s="473">
        <v>0.44336666666666663</v>
      </c>
      <c r="L1184" s="473">
        <v>0.58906666666666663</v>
      </c>
      <c r="M1184" s="473">
        <v>0.48410000000000003</v>
      </c>
      <c r="N1184" s="472">
        <f t="shared" si="126"/>
        <v>0.47039166666666665</v>
      </c>
      <c r="O1184" s="473">
        <v>0.36503333333333332</v>
      </c>
      <c r="P1184" s="473">
        <v>0.44336666666666663</v>
      </c>
      <c r="Q1184" s="473">
        <v>0.58906666666666663</v>
      </c>
      <c r="R1184" s="473">
        <v>0.48410000000000003</v>
      </c>
      <c r="S1184" s="153">
        <v>0.01</v>
      </c>
      <c r="T1184" s="153">
        <v>0.02</v>
      </c>
      <c r="U1184" s="478">
        <v>2016</v>
      </c>
      <c r="V1184" s="24">
        <f t="shared" si="130"/>
        <v>2036</v>
      </c>
      <c r="W1184">
        <v>0</v>
      </c>
      <c r="X1184">
        <v>0</v>
      </c>
      <c r="Y1184">
        <v>1315</v>
      </c>
      <c r="Z1184">
        <v>361</v>
      </c>
      <c r="AA1184" s="475" t="s">
        <v>24</v>
      </c>
    </row>
    <row r="1185" spans="1:27" ht="15" hidden="1">
      <c r="A1185" s="24">
        <f t="shared" si="128"/>
        <v>2184</v>
      </c>
      <c r="B1185" s="24">
        <f t="shared" si="128"/>
        <v>2184</v>
      </c>
      <c r="C1185" s="476" t="s">
        <v>1579</v>
      </c>
      <c r="D1185" t="s">
        <v>152</v>
      </c>
      <c r="E1185" s="477">
        <v>3</v>
      </c>
      <c r="F1185" s="471">
        <v>27.2</v>
      </c>
      <c r="G1185">
        <v>1</v>
      </c>
      <c r="H1185">
        <v>1</v>
      </c>
      <c r="I1185" s="472">
        <f t="shared" si="125"/>
        <v>0.47039166666666665</v>
      </c>
      <c r="J1185" s="473">
        <v>0.36503333333333332</v>
      </c>
      <c r="K1185" s="473">
        <v>0.44336666666666663</v>
      </c>
      <c r="L1185" s="473">
        <v>0.58906666666666663</v>
      </c>
      <c r="M1185" s="473">
        <v>0.48410000000000003</v>
      </c>
      <c r="N1185" s="472">
        <f t="shared" si="126"/>
        <v>0.47039166666666665</v>
      </c>
      <c r="O1185" s="473">
        <v>0.36503333333333332</v>
      </c>
      <c r="P1185" s="473">
        <v>0.44336666666666663</v>
      </c>
      <c r="Q1185" s="473">
        <v>0.58906666666666663</v>
      </c>
      <c r="R1185" s="473">
        <v>0.48410000000000003</v>
      </c>
      <c r="S1185" s="153">
        <v>0.01</v>
      </c>
      <c r="T1185" s="153">
        <v>0.02</v>
      </c>
      <c r="U1185" s="478">
        <v>2016</v>
      </c>
      <c r="V1185" s="24">
        <f t="shared" si="130"/>
        <v>2036</v>
      </c>
      <c r="W1185">
        <v>0</v>
      </c>
      <c r="X1185">
        <v>0</v>
      </c>
      <c r="Y1185">
        <v>1315</v>
      </c>
      <c r="Z1185">
        <v>361</v>
      </c>
      <c r="AA1185" s="475" t="s">
        <v>24</v>
      </c>
    </row>
    <row r="1186" spans="1:27" ht="15" hidden="1">
      <c r="A1186" s="24">
        <f t="shared" si="128"/>
        <v>2185</v>
      </c>
      <c r="B1186" s="24">
        <f t="shared" si="128"/>
        <v>2185</v>
      </c>
      <c r="C1186" s="476" t="s">
        <v>1580</v>
      </c>
      <c r="D1186" t="s">
        <v>152</v>
      </c>
      <c r="E1186" s="477">
        <v>3</v>
      </c>
      <c r="F1186" s="471">
        <v>28.9</v>
      </c>
      <c r="G1186">
        <v>1</v>
      </c>
      <c r="H1186">
        <v>1</v>
      </c>
      <c r="I1186" s="472">
        <f t="shared" si="125"/>
        <v>0.47039166666666665</v>
      </c>
      <c r="J1186" s="473">
        <v>0.36503333333333332</v>
      </c>
      <c r="K1186" s="473">
        <v>0.44336666666666663</v>
      </c>
      <c r="L1186" s="473">
        <v>0.58906666666666663</v>
      </c>
      <c r="M1186" s="473">
        <v>0.48410000000000003</v>
      </c>
      <c r="N1186" s="472">
        <f t="shared" si="126"/>
        <v>0.47039166666666665</v>
      </c>
      <c r="O1186" s="473">
        <v>0.36503333333333332</v>
      </c>
      <c r="P1186" s="473">
        <v>0.44336666666666663</v>
      </c>
      <c r="Q1186" s="473">
        <v>0.58906666666666663</v>
      </c>
      <c r="R1186" s="473">
        <v>0.48410000000000003</v>
      </c>
      <c r="S1186" s="153">
        <v>0.01</v>
      </c>
      <c r="T1186" s="153">
        <v>0.02</v>
      </c>
      <c r="U1186" s="478">
        <v>2016</v>
      </c>
      <c r="V1186" s="24">
        <f t="shared" si="130"/>
        <v>2036</v>
      </c>
      <c r="W1186">
        <v>0</v>
      </c>
      <c r="X1186">
        <v>0</v>
      </c>
      <c r="Y1186">
        <v>1315</v>
      </c>
      <c r="Z1186">
        <v>361</v>
      </c>
      <c r="AA1186" s="475" t="s">
        <v>24</v>
      </c>
    </row>
    <row r="1187" spans="1:27" ht="15" hidden="1">
      <c r="A1187" s="24">
        <f t="shared" si="128"/>
        <v>2186</v>
      </c>
      <c r="B1187" s="24">
        <f t="shared" si="128"/>
        <v>2186</v>
      </c>
      <c r="C1187" s="476" t="s">
        <v>1581</v>
      </c>
      <c r="D1187" t="s">
        <v>152</v>
      </c>
      <c r="E1187" s="477">
        <v>3</v>
      </c>
      <c r="F1187" s="471">
        <v>28.9</v>
      </c>
      <c r="G1187">
        <v>1</v>
      </c>
      <c r="H1187">
        <v>1</v>
      </c>
      <c r="I1187" s="472">
        <f t="shared" si="125"/>
        <v>0.47039166666666665</v>
      </c>
      <c r="J1187" s="473">
        <v>0.36503333333333332</v>
      </c>
      <c r="K1187" s="473">
        <v>0.44336666666666663</v>
      </c>
      <c r="L1187" s="473">
        <v>0.58906666666666663</v>
      </c>
      <c r="M1187" s="473">
        <v>0.48410000000000003</v>
      </c>
      <c r="N1187" s="472">
        <f t="shared" si="126"/>
        <v>0.47039166666666665</v>
      </c>
      <c r="O1187" s="473">
        <v>0.36503333333333332</v>
      </c>
      <c r="P1187" s="473">
        <v>0.44336666666666663</v>
      </c>
      <c r="Q1187" s="473">
        <v>0.58906666666666663</v>
      </c>
      <c r="R1187" s="473">
        <v>0.48410000000000003</v>
      </c>
      <c r="S1187" s="153">
        <v>0.01</v>
      </c>
      <c r="T1187" s="153">
        <v>0.02</v>
      </c>
      <c r="U1187" s="478">
        <v>2016</v>
      </c>
      <c r="V1187" s="24">
        <f t="shared" si="130"/>
        <v>2036</v>
      </c>
      <c r="W1187">
        <v>0</v>
      </c>
      <c r="X1187">
        <v>0</v>
      </c>
      <c r="Y1187">
        <v>1315</v>
      </c>
      <c r="Z1187">
        <v>361</v>
      </c>
      <c r="AA1187" s="475" t="s">
        <v>24</v>
      </c>
    </row>
    <row r="1188" spans="1:27" ht="15" hidden="1">
      <c r="A1188" s="24">
        <f t="shared" si="128"/>
        <v>2187</v>
      </c>
      <c r="B1188" s="24">
        <f t="shared" si="128"/>
        <v>2187</v>
      </c>
      <c r="C1188" s="476" t="s">
        <v>1582</v>
      </c>
      <c r="D1188" t="s">
        <v>152</v>
      </c>
      <c r="E1188" s="477">
        <v>3</v>
      </c>
      <c r="F1188" s="471">
        <v>27.2</v>
      </c>
      <c r="G1188">
        <v>1</v>
      </c>
      <c r="H1188">
        <v>1</v>
      </c>
      <c r="I1188" s="472">
        <f t="shared" si="125"/>
        <v>0.47039166666666665</v>
      </c>
      <c r="J1188" s="473">
        <v>0.36503333333333332</v>
      </c>
      <c r="K1188" s="473">
        <v>0.44336666666666663</v>
      </c>
      <c r="L1188" s="473">
        <v>0.58906666666666663</v>
      </c>
      <c r="M1188" s="473">
        <v>0.48410000000000003</v>
      </c>
      <c r="N1188" s="472">
        <f t="shared" si="126"/>
        <v>0.47039166666666665</v>
      </c>
      <c r="O1188" s="473">
        <v>0.36503333333333332</v>
      </c>
      <c r="P1188" s="473">
        <v>0.44336666666666663</v>
      </c>
      <c r="Q1188" s="473">
        <v>0.58906666666666663</v>
      </c>
      <c r="R1188" s="473">
        <v>0.48410000000000003</v>
      </c>
      <c r="S1188" s="153">
        <v>0.01</v>
      </c>
      <c r="T1188" s="153">
        <v>0.02</v>
      </c>
      <c r="U1188" s="478">
        <v>2016</v>
      </c>
      <c r="V1188" s="24">
        <f t="shared" si="130"/>
        <v>2036</v>
      </c>
      <c r="W1188">
        <v>0</v>
      </c>
      <c r="X1188">
        <v>0</v>
      </c>
      <c r="Y1188">
        <v>1315</v>
      </c>
      <c r="Z1188">
        <v>361</v>
      </c>
      <c r="AA1188" s="475" t="s">
        <v>24</v>
      </c>
    </row>
    <row r="1189" spans="1:27" ht="15" hidden="1">
      <c r="A1189" s="24">
        <f t="shared" si="128"/>
        <v>2188</v>
      </c>
      <c r="B1189" s="24">
        <f t="shared" si="128"/>
        <v>2188</v>
      </c>
      <c r="C1189" s="476" t="s">
        <v>1583</v>
      </c>
      <c r="D1189" t="s">
        <v>152</v>
      </c>
      <c r="E1189" s="477">
        <v>3</v>
      </c>
      <c r="F1189" s="471">
        <v>29.7</v>
      </c>
      <c r="G1189">
        <v>1</v>
      </c>
      <c r="H1189">
        <v>1</v>
      </c>
      <c r="I1189" s="472">
        <f t="shared" si="125"/>
        <v>0.47039166666666665</v>
      </c>
      <c r="J1189" s="473">
        <v>0.36503333333333332</v>
      </c>
      <c r="K1189" s="473">
        <v>0.44336666666666663</v>
      </c>
      <c r="L1189" s="473">
        <v>0.58906666666666663</v>
      </c>
      <c r="M1189" s="473">
        <v>0.48410000000000003</v>
      </c>
      <c r="N1189" s="472">
        <f t="shared" si="126"/>
        <v>0.47039166666666665</v>
      </c>
      <c r="O1189" s="473">
        <v>0.36503333333333332</v>
      </c>
      <c r="P1189" s="473">
        <v>0.44336666666666663</v>
      </c>
      <c r="Q1189" s="473">
        <v>0.58906666666666663</v>
      </c>
      <c r="R1189" s="473">
        <v>0.48410000000000003</v>
      </c>
      <c r="S1189" s="153">
        <v>0.01</v>
      </c>
      <c r="T1189" s="153">
        <v>0.02</v>
      </c>
      <c r="U1189" s="478">
        <v>2016</v>
      </c>
      <c r="V1189" s="24">
        <f t="shared" si="130"/>
        <v>2036</v>
      </c>
      <c r="W1189">
        <v>0</v>
      </c>
      <c r="X1189">
        <v>0</v>
      </c>
      <c r="Y1189">
        <v>1315</v>
      </c>
      <c r="Z1189">
        <v>361</v>
      </c>
      <c r="AA1189" s="475" t="s">
        <v>24</v>
      </c>
    </row>
    <row r="1190" spans="1:27" ht="15" hidden="1">
      <c r="A1190" s="24">
        <f t="shared" ref="A1190:B1209" si="131">1000+ROW()-1</f>
        <v>2189</v>
      </c>
      <c r="B1190" s="24">
        <f t="shared" si="131"/>
        <v>2189</v>
      </c>
      <c r="C1190" s="476" t="s">
        <v>1584</v>
      </c>
      <c r="D1190" t="s">
        <v>152</v>
      </c>
      <c r="E1190" s="477">
        <v>3</v>
      </c>
      <c r="F1190" s="471">
        <v>28</v>
      </c>
      <c r="G1190">
        <v>1</v>
      </c>
      <c r="H1190">
        <v>1</v>
      </c>
      <c r="I1190" s="472">
        <f t="shared" si="125"/>
        <v>0.47039166666666665</v>
      </c>
      <c r="J1190" s="473">
        <v>0.36503333333333332</v>
      </c>
      <c r="K1190" s="473">
        <v>0.44336666666666663</v>
      </c>
      <c r="L1190" s="473">
        <v>0.58906666666666663</v>
      </c>
      <c r="M1190" s="473">
        <v>0.48410000000000003</v>
      </c>
      <c r="N1190" s="472">
        <f t="shared" si="126"/>
        <v>0.47039166666666665</v>
      </c>
      <c r="O1190" s="473">
        <v>0.36503333333333332</v>
      </c>
      <c r="P1190" s="473">
        <v>0.44336666666666663</v>
      </c>
      <c r="Q1190" s="473">
        <v>0.58906666666666663</v>
      </c>
      <c r="R1190" s="473">
        <v>0.48410000000000003</v>
      </c>
      <c r="S1190" s="153">
        <v>0.01</v>
      </c>
      <c r="T1190" s="153">
        <v>0.02</v>
      </c>
      <c r="U1190" s="478">
        <v>2018</v>
      </c>
      <c r="V1190" s="24">
        <f t="shared" si="130"/>
        <v>2038</v>
      </c>
      <c r="W1190">
        <v>0</v>
      </c>
      <c r="X1190">
        <v>0</v>
      </c>
      <c r="Y1190">
        <v>1315</v>
      </c>
      <c r="Z1190">
        <v>361</v>
      </c>
      <c r="AA1190" s="475" t="s">
        <v>24</v>
      </c>
    </row>
    <row r="1191" spans="1:27" ht="15" hidden="1">
      <c r="A1191" s="24">
        <f t="shared" si="131"/>
        <v>2190</v>
      </c>
      <c r="B1191" s="24">
        <f t="shared" si="131"/>
        <v>2190</v>
      </c>
      <c r="C1191" s="476" t="s">
        <v>1585</v>
      </c>
      <c r="D1191" t="s">
        <v>152</v>
      </c>
      <c r="E1191" s="477">
        <v>3</v>
      </c>
      <c r="F1191" s="471">
        <v>29.7</v>
      </c>
      <c r="G1191">
        <v>1</v>
      </c>
      <c r="H1191">
        <v>1</v>
      </c>
      <c r="I1191" s="472">
        <f t="shared" si="125"/>
        <v>0.47039166666666665</v>
      </c>
      <c r="J1191" s="473">
        <v>0.36503333333333332</v>
      </c>
      <c r="K1191" s="473">
        <v>0.44336666666666663</v>
      </c>
      <c r="L1191" s="473">
        <v>0.58906666666666663</v>
      </c>
      <c r="M1191" s="473">
        <v>0.48410000000000003</v>
      </c>
      <c r="N1191" s="472">
        <f t="shared" si="126"/>
        <v>0.47039166666666665</v>
      </c>
      <c r="O1191" s="473">
        <v>0.36503333333333332</v>
      </c>
      <c r="P1191" s="473">
        <v>0.44336666666666663</v>
      </c>
      <c r="Q1191" s="473">
        <v>0.58906666666666663</v>
      </c>
      <c r="R1191" s="473">
        <v>0.48410000000000003</v>
      </c>
      <c r="S1191" s="153">
        <v>0.01</v>
      </c>
      <c r="T1191" s="153">
        <v>0.02</v>
      </c>
      <c r="U1191" s="478">
        <v>2016</v>
      </c>
      <c r="V1191" s="24">
        <f t="shared" si="130"/>
        <v>2036</v>
      </c>
      <c r="W1191">
        <v>0</v>
      </c>
      <c r="X1191">
        <v>0</v>
      </c>
      <c r="Y1191">
        <v>1315</v>
      </c>
      <c r="Z1191">
        <v>361</v>
      </c>
      <c r="AA1191" s="475" t="s">
        <v>24</v>
      </c>
    </row>
    <row r="1192" spans="1:27" ht="15" hidden="1">
      <c r="A1192" s="24">
        <f t="shared" si="131"/>
        <v>2191</v>
      </c>
      <c r="B1192" s="24">
        <f t="shared" si="131"/>
        <v>2191</v>
      </c>
      <c r="C1192" s="476" t="s">
        <v>1586</v>
      </c>
      <c r="D1192" t="s">
        <v>152</v>
      </c>
      <c r="E1192" s="477">
        <v>3</v>
      </c>
      <c r="F1192" s="471">
        <v>28.9</v>
      </c>
      <c r="G1192">
        <v>1</v>
      </c>
      <c r="H1192">
        <v>1</v>
      </c>
      <c r="I1192" s="472">
        <f t="shared" si="125"/>
        <v>0.47039166666666665</v>
      </c>
      <c r="J1192" s="473">
        <v>0.36503333333333332</v>
      </c>
      <c r="K1192" s="473">
        <v>0.44336666666666663</v>
      </c>
      <c r="L1192" s="473">
        <v>0.58906666666666663</v>
      </c>
      <c r="M1192" s="473">
        <v>0.48410000000000003</v>
      </c>
      <c r="N1192" s="472">
        <f t="shared" si="126"/>
        <v>0.47039166666666665</v>
      </c>
      <c r="O1192" s="473">
        <v>0.36503333333333332</v>
      </c>
      <c r="P1192" s="473">
        <v>0.44336666666666663</v>
      </c>
      <c r="Q1192" s="473">
        <v>0.58906666666666663</v>
      </c>
      <c r="R1192" s="473">
        <v>0.48410000000000003</v>
      </c>
      <c r="S1192" s="153">
        <v>0.01</v>
      </c>
      <c r="T1192" s="153">
        <v>0.02</v>
      </c>
      <c r="U1192" s="478">
        <v>2016</v>
      </c>
      <c r="V1192" s="24">
        <f t="shared" si="130"/>
        <v>2036</v>
      </c>
      <c r="W1192">
        <v>0</v>
      </c>
      <c r="X1192">
        <v>0</v>
      </c>
      <c r="Y1192">
        <v>1315</v>
      </c>
      <c r="Z1192">
        <v>361</v>
      </c>
      <c r="AA1192" s="475" t="s">
        <v>24</v>
      </c>
    </row>
    <row r="1193" spans="1:27" ht="15" hidden="1">
      <c r="A1193" s="24">
        <f t="shared" si="131"/>
        <v>2192</v>
      </c>
      <c r="B1193" s="24">
        <f t="shared" si="131"/>
        <v>2192</v>
      </c>
      <c r="C1193" s="476" t="s">
        <v>1587</v>
      </c>
      <c r="D1193" t="s">
        <v>152</v>
      </c>
      <c r="E1193" s="477">
        <v>3</v>
      </c>
      <c r="F1193" s="471">
        <v>26</v>
      </c>
      <c r="G1193">
        <v>1</v>
      </c>
      <c r="H1193">
        <v>1</v>
      </c>
      <c r="I1193" s="472">
        <f t="shared" si="125"/>
        <v>0.47039166666666665</v>
      </c>
      <c r="J1193" s="473">
        <v>0.36503333333333332</v>
      </c>
      <c r="K1193" s="473">
        <v>0.44336666666666663</v>
      </c>
      <c r="L1193" s="473">
        <v>0.58906666666666663</v>
      </c>
      <c r="M1193" s="473">
        <v>0.48410000000000003</v>
      </c>
      <c r="N1193" s="472">
        <f t="shared" si="126"/>
        <v>0.47039166666666665</v>
      </c>
      <c r="O1193" s="473">
        <v>0.36503333333333332</v>
      </c>
      <c r="P1193" s="473">
        <v>0.44336666666666663</v>
      </c>
      <c r="Q1193" s="473">
        <v>0.58906666666666663</v>
      </c>
      <c r="R1193" s="473">
        <v>0.48410000000000003</v>
      </c>
      <c r="S1193" s="153">
        <v>0.01</v>
      </c>
      <c r="T1193" s="153">
        <v>0.02</v>
      </c>
      <c r="U1193" s="478">
        <v>2016</v>
      </c>
      <c r="V1193" s="24">
        <f t="shared" si="130"/>
        <v>2036</v>
      </c>
      <c r="W1193">
        <v>0</v>
      </c>
      <c r="X1193">
        <v>0</v>
      </c>
      <c r="Y1193">
        <v>1315</v>
      </c>
      <c r="Z1193">
        <v>361</v>
      </c>
      <c r="AA1193" s="475" t="s">
        <v>24</v>
      </c>
    </row>
    <row r="1194" spans="1:27" ht="15" hidden="1">
      <c r="A1194" s="24">
        <f t="shared" si="131"/>
        <v>2193</v>
      </c>
      <c r="B1194" s="24">
        <f t="shared" si="131"/>
        <v>2193</v>
      </c>
      <c r="C1194" s="476" t="s">
        <v>1588</v>
      </c>
      <c r="D1194" t="s">
        <v>152</v>
      </c>
      <c r="E1194" s="477">
        <v>3</v>
      </c>
      <c r="F1194" s="471">
        <v>4</v>
      </c>
      <c r="G1194">
        <v>1</v>
      </c>
      <c r="H1194">
        <v>1</v>
      </c>
      <c r="I1194" s="472">
        <f t="shared" si="125"/>
        <v>0.47039166666666665</v>
      </c>
      <c r="J1194" s="473">
        <v>0.36503333333333332</v>
      </c>
      <c r="K1194" s="473">
        <v>0.44336666666666663</v>
      </c>
      <c r="L1194" s="473">
        <v>0.58906666666666663</v>
      </c>
      <c r="M1194" s="473">
        <v>0.48410000000000003</v>
      </c>
      <c r="N1194" s="472">
        <f t="shared" si="126"/>
        <v>0.47039166666666665</v>
      </c>
      <c r="O1194" s="473">
        <v>0.36503333333333332</v>
      </c>
      <c r="P1194" s="473">
        <v>0.44336666666666663</v>
      </c>
      <c r="Q1194" s="473">
        <v>0.58906666666666663</v>
      </c>
      <c r="R1194" s="473">
        <v>0.48410000000000003</v>
      </c>
      <c r="S1194" s="153">
        <v>0.01</v>
      </c>
      <c r="T1194" s="153">
        <v>0.02</v>
      </c>
      <c r="U1194" s="478">
        <v>2016</v>
      </c>
      <c r="V1194" s="24">
        <f t="shared" si="130"/>
        <v>2036</v>
      </c>
      <c r="W1194">
        <v>0</v>
      </c>
      <c r="X1194">
        <v>0</v>
      </c>
      <c r="Y1194">
        <v>1315</v>
      </c>
      <c r="Z1194">
        <v>361</v>
      </c>
      <c r="AA1194" s="475" t="s">
        <v>24</v>
      </c>
    </row>
    <row r="1195" spans="1:27" ht="15" hidden="1">
      <c r="A1195" s="24">
        <f t="shared" si="131"/>
        <v>2194</v>
      </c>
      <c r="B1195" s="24">
        <f t="shared" si="131"/>
        <v>2194</v>
      </c>
      <c r="C1195" s="476" t="s">
        <v>1589</v>
      </c>
      <c r="D1195" t="s">
        <v>152</v>
      </c>
      <c r="E1195" s="477">
        <v>3</v>
      </c>
      <c r="F1195" s="471">
        <v>29.6</v>
      </c>
      <c r="G1195">
        <v>1</v>
      </c>
      <c r="H1195">
        <v>1</v>
      </c>
      <c r="I1195" s="472">
        <f t="shared" si="125"/>
        <v>0.47039166666666665</v>
      </c>
      <c r="J1195" s="473">
        <v>0.36503333333333332</v>
      </c>
      <c r="K1195" s="473">
        <v>0.44336666666666663</v>
      </c>
      <c r="L1195" s="473">
        <v>0.58906666666666663</v>
      </c>
      <c r="M1195" s="473">
        <v>0.48410000000000003</v>
      </c>
      <c r="N1195" s="472">
        <f t="shared" si="126"/>
        <v>0.47039166666666665</v>
      </c>
      <c r="O1195" s="473">
        <v>0.36503333333333332</v>
      </c>
      <c r="P1195" s="473">
        <v>0.44336666666666663</v>
      </c>
      <c r="Q1195" s="473">
        <v>0.58906666666666663</v>
      </c>
      <c r="R1195" s="473">
        <v>0.48410000000000003</v>
      </c>
      <c r="S1195" s="153">
        <v>0.01</v>
      </c>
      <c r="T1195" s="153">
        <v>0.02</v>
      </c>
      <c r="U1195" s="478">
        <v>2016</v>
      </c>
      <c r="V1195" s="24">
        <f t="shared" si="130"/>
        <v>2036</v>
      </c>
      <c r="W1195">
        <v>0</v>
      </c>
      <c r="X1195">
        <v>0</v>
      </c>
      <c r="Y1195">
        <v>1315</v>
      </c>
      <c r="Z1195">
        <v>361</v>
      </c>
      <c r="AA1195" s="475" t="s">
        <v>24</v>
      </c>
    </row>
    <row r="1196" spans="1:27" ht="15" hidden="1">
      <c r="A1196" s="24">
        <f t="shared" si="131"/>
        <v>2195</v>
      </c>
      <c r="B1196" s="24">
        <f t="shared" si="131"/>
        <v>2195</v>
      </c>
      <c r="C1196" s="476" t="s">
        <v>1590</v>
      </c>
      <c r="D1196" t="s">
        <v>152</v>
      </c>
      <c r="E1196" s="477">
        <v>3</v>
      </c>
      <c r="F1196" s="471">
        <v>27.2</v>
      </c>
      <c r="G1196">
        <v>1</v>
      </c>
      <c r="H1196">
        <v>1</v>
      </c>
      <c r="I1196" s="472">
        <f t="shared" si="125"/>
        <v>0.47039166666666665</v>
      </c>
      <c r="J1196" s="473">
        <v>0.36503333333333332</v>
      </c>
      <c r="K1196" s="473">
        <v>0.44336666666666663</v>
      </c>
      <c r="L1196" s="473">
        <v>0.58906666666666663</v>
      </c>
      <c r="M1196" s="473">
        <v>0.48410000000000003</v>
      </c>
      <c r="N1196" s="472">
        <f t="shared" si="126"/>
        <v>0.47039166666666665</v>
      </c>
      <c r="O1196" s="473">
        <v>0.36503333333333332</v>
      </c>
      <c r="P1196" s="473">
        <v>0.44336666666666663</v>
      </c>
      <c r="Q1196" s="473">
        <v>0.58906666666666663</v>
      </c>
      <c r="R1196" s="473">
        <v>0.48410000000000003</v>
      </c>
      <c r="S1196" s="153">
        <v>0.01</v>
      </c>
      <c r="T1196" s="153">
        <v>0.02</v>
      </c>
      <c r="U1196" s="478">
        <v>2016</v>
      </c>
      <c r="V1196" s="24">
        <f t="shared" si="130"/>
        <v>2036</v>
      </c>
      <c r="W1196">
        <v>0</v>
      </c>
      <c r="X1196">
        <v>0</v>
      </c>
      <c r="Y1196">
        <v>1315</v>
      </c>
      <c r="Z1196">
        <v>361</v>
      </c>
      <c r="AA1196" s="475" t="s">
        <v>24</v>
      </c>
    </row>
    <row r="1197" spans="1:27" ht="15" hidden="1">
      <c r="A1197" s="24">
        <f t="shared" si="131"/>
        <v>2196</v>
      </c>
      <c r="B1197" s="24">
        <f t="shared" si="131"/>
        <v>2196</v>
      </c>
      <c r="C1197" s="476" t="s">
        <v>1591</v>
      </c>
      <c r="D1197" t="s">
        <v>152</v>
      </c>
      <c r="E1197" s="477">
        <v>3</v>
      </c>
      <c r="F1197" s="471">
        <v>28.9</v>
      </c>
      <c r="G1197">
        <v>1</v>
      </c>
      <c r="H1197">
        <v>1</v>
      </c>
      <c r="I1197" s="472">
        <f t="shared" si="125"/>
        <v>0.47039166666666665</v>
      </c>
      <c r="J1197" s="473">
        <v>0.36503333333333332</v>
      </c>
      <c r="K1197" s="473">
        <v>0.44336666666666663</v>
      </c>
      <c r="L1197" s="473">
        <v>0.58906666666666663</v>
      </c>
      <c r="M1197" s="473">
        <v>0.48410000000000003</v>
      </c>
      <c r="N1197" s="472">
        <f t="shared" si="126"/>
        <v>0.47039166666666665</v>
      </c>
      <c r="O1197" s="473">
        <v>0.36503333333333332</v>
      </c>
      <c r="P1197" s="473">
        <v>0.44336666666666663</v>
      </c>
      <c r="Q1197" s="473">
        <v>0.58906666666666663</v>
      </c>
      <c r="R1197" s="473">
        <v>0.48410000000000003</v>
      </c>
      <c r="S1197" s="153">
        <v>0.01</v>
      </c>
      <c r="T1197" s="153">
        <v>0.02</v>
      </c>
      <c r="U1197" s="478">
        <v>2016</v>
      </c>
      <c r="V1197" s="24">
        <f t="shared" si="130"/>
        <v>2036</v>
      </c>
      <c r="W1197">
        <v>0</v>
      </c>
      <c r="X1197">
        <v>0</v>
      </c>
      <c r="Y1197">
        <v>1315</v>
      </c>
      <c r="Z1197">
        <v>361</v>
      </c>
      <c r="AA1197" s="475" t="s">
        <v>24</v>
      </c>
    </row>
    <row r="1198" spans="1:27" ht="15" hidden="1">
      <c r="A1198" s="24">
        <f t="shared" si="131"/>
        <v>2197</v>
      </c>
      <c r="B1198" s="24">
        <f t="shared" si="131"/>
        <v>2197</v>
      </c>
      <c r="C1198" s="476" t="s">
        <v>1592</v>
      </c>
      <c r="D1198" t="s">
        <v>152</v>
      </c>
      <c r="E1198" s="477">
        <v>3</v>
      </c>
      <c r="F1198" s="471">
        <v>30</v>
      </c>
      <c r="G1198">
        <v>1</v>
      </c>
      <c r="H1198">
        <v>1</v>
      </c>
      <c r="I1198" s="472">
        <f t="shared" si="125"/>
        <v>0.47039166666666665</v>
      </c>
      <c r="J1198" s="473">
        <v>0.36503333333333332</v>
      </c>
      <c r="K1198" s="473">
        <v>0.44336666666666663</v>
      </c>
      <c r="L1198" s="473">
        <v>0.58906666666666663</v>
      </c>
      <c r="M1198" s="473">
        <v>0.48410000000000003</v>
      </c>
      <c r="N1198" s="472">
        <f t="shared" si="126"/>
        <v>0.47039166666666665</v>
      </c>
      <c r="O1198" s="473">
        <v>0.36503333333333332</v>
      </c>
      <c r="P1198" s="473">
        <v>0.44336666666666663</v>
      </c>
      <c r="Q1198" s="473">
        <v>0.58906666666666663</v>
      </c>
      <c r="R1198" s="473">
        <v>0.48410000000000003</v>
      </c>
      <c r="S1198" s="153">
        <v>0.01</v>
      </c>
      <c r="T1198" s="153">
        <v>0.02</v>
      </c>
      <c r="U1198" s="478">
        <v>2016</v>
      </c>
      <c r="V1198" s="24">
        <f t="shared" si="130"/>
        <v>2036</v>
      </c>
      <c r="W1198">
        <v>0</v>
      </c>
      <c r="X1198">
        <v>0</v>
      </c>
      <c r="Y1198">
        <v>1315</v>
      </c>
      <c r="Z1198">
        <v>361</v>
      </c>
      <c r="AA1198" s="475" t="s">
        <v>24</v>
      </c>
    </row>
    <row r="1199" spans="1:27" ht="15" hidden="1">
      <c r="A1199" s="24">
        <f t="shared" si="131"/>
        <v>2198</v>
      </c>
      <c r="B1199" s="24">
        <f t="shared" si="131"/>
        <v>2198</v>
      </c>
      <c r="C1199" s="476" t="s">
        <v>1593</v>
      </c>
      <c r="D1199" t="s">
        <v>152</v>
      </c>
      <c r="E1199" s="477">
        <v>3</v>
      </c>
      <c r="F1199" s="471">
        <v>28.9</v>
      </c>
      <c r="G1199">
        <v>1</v>
      </c>
      <c r="H1199">
        <v>1</v>
      </c>
      <c r="I1199" s="472">
        <f t="shared" si="125"/>
        <v>0.47039166666666665</v>
      </c>
      <c r="J1199" s="473">
        <v>0.36503333333333332</v>
      </c>
      <c r="K1199" s="473">
        <v>0.44336666666666663</v>
      </c>
      <c r="L1199" s="473">
        <v>0.58906666666666663</v>
      </c>
      <c r="M1199" s="473">
        <v>0.48410000000000003</v>
      </c>
      <c r="N1199" s="472">
        <f t="shared" si="126"/>
        <v>0.47039166666666665</v>
      </c>
      <c r="O1199" s="473">
        <v>0.36503333333333332</v>
      </c>
      <c r="P1199" s="473">
        <v>0.44336666666666663</v>
      </c>
      <c r="Q1199" s="473">
        <v>0.58906666666666663</v>
      </c>
      <c r="R1199" s="473">
        <v>0.48410000000000003</v>
      </c>
      <c r="S1199" s="153">
        <v>0.01</v>
      </c>
      <c r="T1199" s="153">
        <v>0.02</v>
      </c>
      <c r="U1199" s="478">
        <v>2016</v>
      </c>
      <c r="V1199" s="24">
        <f t="shared" si="130"/>
        <v>2036</v>
      </c>
      <c r="W1199">
        <v>0</v>
      </c>
      <c r="X1199">
        <v>0</v>
      </c>
      <c r="Y1199">
        <v>1315</v>
      </c>
      <c r="Z1199">
        <v>361</v>
      </c>
      <c r="AA1199" s="475" t="s">
        <v>24</v>
      </c>
    </row>
    <row r="1200" spans="1:27" ht="15" hidden="1">
      <c r="A1200" s="24">
        <f t="shared" si="131"/>
        <v>2199</v>
      </c>
      <c r="B1200" s="24">
        <f t="shared" si="131"/>
        <v>2199</v>
      </c>
      <c r="C1200" s="476" t="s">
        <v>1594</v>
      </c>
      <c r="D1200" t="s">
        <v>152</v>
      </c>
      <c r="E1200" s="477">
        <v>3</v>
      </c>
      <c r="F1200" s="471">
        <v>30</v>
      </c>
      <c r="G1200">
        <v>1</v>
      </c>
      <c r="H1200">
        <v>1</v>
      </c>
      <c r="I1200" s="472">
        <f t="shared" si="125"/>
        <v>0.47039166666666665</v>
      </c>
      <c r="J1200" s="473">
        <v>0.36503333333333332</v>
      </c>
      <c r="K1200" s="473">
        <v>0.44336666666666663</v>
      </c>
      <c r="L1200" s="473">
        <v>0.58906666666666663</v>
      </c>
      <c r="M1200" s="473">
        <v>0.48410000000000003</v>
      </c>
      <c r="N1200" s="472">
        <f t="shared" si="126"/>
        <v>0.47039166666666665</v>
      </c>
      <c r="O1200" s="473">
        <v>0.36503333333333332</v>
      </c>
      <c r="P1200" s="473">
        <v>0.44336666666666663</v>
      </c>
      <c r="Q1200" s="473">
        <v>0.58906666666666663</v>
      </c>
      <c r="R1200" s="473">
        <v>0.48410000000000003</v>
      </c>
      <c r="S1200" s="153">
        <v>0.01</v>
      </c>
      <c r="T1200" s="153">
        <v>0.02</v>
      </c>
      <c r="U1200" s="478">
        <v>2016</v>
      </c>
      <c r="V1200" s="24">
        <f t="shared" si="130"/>
        <v>2036</v>
      </c>
      <c r="W1200">
        <v>0</v>
      </c>
      <c r="X1200">
        <v>0</v>
      </c>
      <c r="Y1200">
        <v>1315</v>
      </c>
      <c r="Z1200">
        <v>361</v>
      </c>
      <c r="AA1200" s="475" t="s">
        <v>24</v>
      </c>
    </row>
    <row r="1201" spans="1:27" ht="15" hidden="1">
      <c r="A1201" s="24">
        <f t="shared" si="131"/>
        <v>2200</v>
      </c>
      <c r="B1201" s="24">
        <f t="shared" si="131"/>
        <v>2200</v>
      </c>
      <c r="C1201" s="476" t="s">
        <v>1595</v>
      </c>
      <c r="D1201" t="s">
        <v>152</v>
      </c>
      <c r="E1201" s="477">
        <v>3</v>
      </c>
      <c r="F1201" s="471">
        <v>26</v>
      </c>
      <c r="G1201">
        <v>1</v>
      </c>
      <c r="H1201">
        <v>1</v>
      </c>
      <c r="I1201" s="472">
        <f t="shared" si="125"/>
        <v>0.47039166666666665</v>
      </c>
      <c r="J1201" s="473">
        <v>0.36503333333333332</v>
      </c>
      <c r="K1201" s="473">
        <v>0.44336666666666663</v>
      </c>
      <c r="L1201" s="473">
        <v>0.58906666666666663</v>
      </c>
      <c r="M1201" s="473">
        <v>0.48410000000000003</v>
      </c>
      <c r="N1201" s="472">
        <f t="shared" si="126"/>
        <v>0.47039166666666665</v>
      </c>
      <c r="O1201" s="473">
        <v>0.36503333333333332</v>
      </c>
      <c r="P1201" s="473">
        <v>0.44336666666666663</v>
      </c>
      <c r="Q1201" s="473">
        <v>0.58906666666666663</v>
      </c>
      <c r="R1201" s="473">
        <v>0.48410000000000003</v>
      </c>
      <c r="S1201" s="153">
        <v>0.01</v>
      </c>
      <c r="T1201" s="153">
        <v>0.02</v>
      </c>
      <c r="U1201" s="478">
        <v>2016</v>
      </c>
      <c r="V1201" s="24">
        <f t="shared" si="130"/>
        <v>2036</v>
      </c>
      <c r="W1201">
        <v>0</v>
      </c>
      <c r="X1201">
        <v>0</v>
      </c>
      <c r="Y1201">
        <v>1315</v>
      </c>
      <c r="Z1201">
        <v>361</v>
      </c>
      <c r="AA1201" s="475" t="s">
        <v>24</v>
      </c>
    </row>
    <row r="1202" spans="1:27" ht="15" hidden="1">
      <c r="A1202" s="24">
        <f t="shared" si="131"/>
        <v>2201</v>
      </c>
      <c r="B1202" s="24">
        <f t="shared" si="131"/>
        <v>2201</v>
      </c>
      <c r="C1202" s="476" t="s">
        <v>1596</v>
      </c>
      <c r="D1202" t="s">
        <v>152</v>
      </c>
      <c r="E1202" s="477">
        <v>3</v>
      </c>
      <c r="F1202" s="471">
        <v>4</v>
      </c>
      <c r="G1202">
        <v>1</v>
      </c>
      <c r="H1202">
        <v>1</v>
      </c>
      <c r="I1202" s="472">
        <f t="shared" si="125"/>
        <v>0.47039166666666665</v>
      </c>
      <c r="J1202" s="473">
        <v>0.36503333333333332</v>
      </c>
      <c r="K1202" s="473">
        <v>0.44336666666666663</v>
      </c>
      <c r="L1202" s="473">
        <v>0.58906666666666663</v>
      </c>
      <c r="M1202" s="473">
        <v>0.48410000000000003</v>
      </c>
      <c r="N1202" s="472">
        <f t="shared" si="126"/>
        <v>0.47039166666666665</v>
      </c>
      <c r="O1202" s="473">
        <v>0.36503333333333332</v>
      </c>
      <c r="P1202" s="473">
        <v>0.44336666666666663</v>
      </c>
      <c r="Q1202" s="473">
        <v>0.58906666666666663</v>
      </c>
      <c r="R1202" s="473">
        <v>0.48410000000000003</v>
      </c>
      <c r="S1202" s="153">
        <v>0.01</v>
      </c>
      <c r="T1202" s="153">
        <v>0.02</v>
      </c>
      <c r="U1202" s="478">
        <v>2016</v>
      </c>
      <c r="V1202" s="24">
        <f t="shared" si="130"/>
        <v>2036</v>
      </c>
      <c r="W1202">
        <v>0</v>
      </c>
      <c r="X1202">
        <v>0</v>
      </c>
      <c r="Y1202">
        <v>1315</v>
      </c>
      <c r="Z1202">
        <v>361</v>
      </c>
      <c r="AA1202" s="475" t="s">
        <v>24</v>
      </c>
    </row>
    <row r="1203" spans="1:27" ht="15" hidden="1">
      <c r="A1203" s="24">
        <f t="shared" si="131"/>
        <v>2202</v>
      </c>
      <c r="B1203" s="24">
        <f t="shared" si="131"/>
        <v>2202</v>
      </c>
      <c r="C1203" s="476" t="s">
        <v>1597</v>
      </c>
      <c r="D1203" t="s">
        <v>152</v>
      </c>
      <c r="E1203" s="477">
        <v>3</v>
      </c>
      <c r="F1203" s="471">
        <v>28</v>
      </c>
      <c r="G1203">
        <v>1</v>
      </c>
      <c r="H1203">
        <v>1</v>
      </c>
      <c r="I1203" s="472">
        <f t="shared" si="125"/>
        <v>0.47039166666666665</v>
      </c>
      <c r="J1203" s="473">
        <v>0.36503333333333332</v>
      </c>
      <c r="K1203" s="473">
        <v>0.44336666666666663</v>
      </c>
      <c r="L1203" s="473">
        <v>0.58906666666666663</v>
      </c>
      <c r="M1203" s="473">
        <v>0.48410000000000003</v>
      </c>
      <c r="N1203" s="472">
        <f t="shared" si="126"/>
        <v>0.47039166666666665</v>
      </c>
      <c r="O1203" s="473">
        <v>0.36503333333333332</v>
      </c>
      <c r="P1203" s="473">
        <v>0.44336666666666663</v>
      </c>
      <c r="Q1203" s="473">
        <v>0.58906666666666663</v>
      </c>
      <c r="R1203" s="473">
        <v>0.48410000000000003</v>
      </c>
      <c r="S1203" s="153">
        <v>0.01</v>
      </c>
      <c r="T1203" s="153">
        <v>0.02</v>
      </c>
      <c r="U1203" s="478">
        <v>2018</v>
      </c>
      <c r="V1203" s="24">
        <f t="shared" si="130"/>
        <v>2038</v>
      </c>
      <c r="W1203">
        <v>0</v>
      </c>
      <c r="X1203">
        <v>0</v>
      </c>
      <c r="Y1203">
        <v>1315</v>
      </c>
      <c r="Z1203">
        <v>361</v>
      </c>
      <c r="AA1203" s="475" t="s">
        <v>24</v>
      </c>
    </row>
    <row r="1204" spans="1:27" ht="15" hidden="1">
      <c r="A1204" s="24">
        <f t="shared" si="131"/>
        <v>2203</v>
      </c>
      <c r="B1204" s="24">
        <f t="shared" si="131"/>
        <v>2203</v>
      </c>
      <c r="C1204" s="476" t="s">
        <v>1598</v>
      </c>
      <c r="D1204" t="s">
        <v>152</v>
      </c>
      <c r="E1204" s="477">
        <v>3</v>
      </c>
      <c r="F1204" s="471">
        <v>28</v>
      </c>
      <c r="G1204">
        <v>1</v>
      </c>
      <c r="H1204">
        <v>1</v>
      </c>
      <c r="I1204" s="472">
        <f t="shared" si="125"/>
        <v>0.47039166666666665</v>
      </c>
      <c r="J1204" s="473">
        <v>0.36503333333333332</v>
      </c>
      <c r="K1204" s="473">
        <v>0.44336666666666663</v>
      </c>
      <c r="L1204" s="473">
        <v>0.58906666666666663</v>
      </c>
      <c r="M1204" s="473">
        <v>0.48410000000000003</v>
      </c>
      <c r="N1204" s="472">
        <f t="shared" si="126"/>
        <v>0.47039166666666665</v>
      </c>
      <c r="O1204" s="473">
        <v>0.36503333333333332</v>
      </c>
      <c r="P1204" s="473">
        <v>0.44336666666666663</v>
      </c>
      <c r="Q1204" s="473">
        <v>0.58906666666666663</v>
      </c>
      <c r="R1204" s="473">
        <v>0.48410000000000003</v>
      </c>
      <c r="S1204" s="153">
        <v>0.01</v>
      </c>
      <c r="T1204" s="153">
        <v>0.02</v>
      </c>
      <c r="U1204" s="478">
        <v>2018</v>
      </c>
      <c r="V1204" s="24">
        <f t="shared" si="130"/>
        <v>2038</v>
      </c>
      <c r="W1204">
        <v>0</v>
      </c>
      <c r="X1204">
        <v>0</v>
      </c>
      <c r="Y1204">
        <v>1315</v>
      </c>
      <c r="Z1204">
        <v>361</v>
      </c>
      <c r="AA1204" s="475" t="s">
        <v>24</v>
      </c>
    </row>
    <row r="1205" spans="1:27" ht="15" hidden="1">
      <c r="A1205" s="24">
        <f t="shared" si="131"/>
        <v>2204</v>
      </c>
      <c r="B1205" s="24">
        <f t="shared" si="131"/>
        <v>2204</v>
      </c>
      <c r="C1205" s="476" t="s">
        <v>1599</v>
      </c>
      <c r="D1205" t="s">
        <v>152</v>
      </c>
      <c r="E1205" s="477">
        <v>3</v>
      </c>
      <c r="F1205" s="471">
        <v>28</v>
      </c>
      <c r="G1205">
        <v>1</v>
      </c>
      <c r="H1205">
        <v>1</v>
      </c>
      <c r="I1205" s="472">
        <f t="shared" si="125"/>
        <v>0.47039166666666665</v>
      </c>
      <c r="J1205" s="473">
        <v>0.36503333333333332</v>
      </c>
      <c r="K1205" s="473">
        <v>0.44336666666666663</v>
      </c>
      <c r="L1205" s="473">
        <v>0.58906666666666663</v>
      </c>
      <c r="M1205" s="473">
        <v>0.48410000000000003</v>
      </c>
      <c r="N1205" s="472">
        <f t="shared" si="126"/>
        <v>0.47039166666666665</v>
      </c>
      <c r="O1205" s="473">
        <v>0.36503333333333332</v>
      </c>
      <c r="P1205" s="473">
        <v>0.44336666666666663</v>
      </c>
      <c r="Q1205" s="473">
        <v>0.58906666666666663</v>
      </c>
      <c r="R1205" s="473">
        <v>0.48410000000000003</v>
      </c>
      <c r="S1205" s="153">
        <v>0.01</v>
      </c>
      <c r="T1205" s="153">
        <v>0.02</v>
      </c>
      <c r="U1205" s="478">
        <v>2018</v>
      </c>
      <c r="V1205" s="24">
        <f t="shared" si="130"/>
        <v>2038</v>
      </c>
      <c r="W1205">
        <v>0</v>
      </c>
      <c r="X1205">
        <v>0</v>
      </c>
      <c r="Y1205">
        <v>1315</v>
      </c>
      <c r="Z1205">
        <v>361</v>
      </c>
      <c r="AA1205" s="475" t="s">
        <v>24</v>
      </c>
    </row>
    <row r="1206" spans="1:27" ht="15" hidden="1">
      <c r="A1206" s="24">
        <f t="shared" si="131"/>
        <v>2205</v>
      </c>
      <c r="B1206" s="24">
        <f t="shared" si="131"/>
        <v>2205</v>
      </c>
      <c r="C1206" s="476" t="s">
        <v>1600</v>
      </c>
      <c r="D1206" t="s">
        <v>152</v>
      </c>
      <c r="E1206" s="477">
        <v>3</v>
      </c>
      <c r="F1206" s="471">
        <v>29.7</v>
      </c>
      <c r="G1206">
        <v>1</v>
      </c>
      <c r="H1206">
        <v>1</v>
      </c>
      <c r="I1206" s="472">
        <f t="shared" si="125"/>
        <v>0.47039166666666665</v>
      </c>
      <c r="J1206" s="473">
        <v>0.36503333333333332</v>
      </c>
      <c r="K1206" s="473">
        <v>0.44336666666666663</v>
      </c>
      <c r="L1206" s="473">
        <v>0.58906666666666663</v>
      </c>
      <c r="M1206" s="473">
        <v>0.48410000000000003</v>
      </c>
      <c r="N1206" s="472">
        <f t="shared" si="126"/>
        <v>0.47039166666666665</v>
      </c>
      <c r="O1206" s="473">
        <v>0.36503333333333332</v>
      </c>
      <c r="P1206" s="473">
        <v>0.44336666666666663</v>
      </c>
      <c r="Q1206" s="473">
        <v>0.58906666666666663</v>
      </c>
      <c r="R1206" s="473">
        <v>0.48410000000000003</v>
      </c>
      <c r="S1206" s="153">
        <v>0.01</v>
      </c>
      <c r="T1206" s="153">
        <v>0.02</v>
      </c>
      <c r="U1206" s="478">
        <v>2016</v>
      </c>
      <c r="V1206" s="24">
        <f t="shared" si="130"/>
        <v>2036</v>
      </c>
      <c r="W1206">
        <v>0</v>
      </c>
      <c r="X1206">
        <v>0</v>
      </c>
      <c r="Y1206">
        <v>1315</v>
      </c>
      <c r="Z1206">
        <v>361</v>
      </c>
      <c r="AA1206" s="475" t="s">
        <v>24</v>
      </c>
    </row>
    <row r="1207" spans="1:27" ht="15" hidden="1">
      <c r="A1207" s="24">
        <f t="shared" si="131"/>
        <v>2206</v>
      </c>
      <c r="B1207" s="24">
        <f t="shared" si="131"/>
        <v>2206</v>
      </c>
      <c r="C1207" s="476" t="s">
        <v>1601</v>
      </c>
      <c r="D1207" t="s">
        <v>152</v>
      </c>
      <c r="E1207" s="477">
        <v>3</v>
      </c>
      <c r="F1207" s="471">
        <v>28</v>
      </c>
      <c r="G1207">
        <v>1</v>
      </c>
      <c r="H1207">
        <v>1</v>
      </c>
      <c r="I1207" s="472">
        <f t="shared" si="125"/>
        <v>0.47039166666666665</v>
      </c>
      <c r="J1207" s="473">
        <v>0.36503333333333332</v>
      </c>
      <c r="K1207" s="473">
        <v>0.44336666666666663</v>
      </c>
      <c r="L1207" s="473">
        <v>0.58906666666666663</v>
      </c>
      <c r="M1207" s="473">
        <v>0.48410000000000003</v>
      </c>
      <c r="N1207" s="472">
        <f t="shared" si="126"/>
        <v>0.47039166666666665</v>
      </c>
      <c r="O1207" s="473">
        <v>0.36503333333333332</v>
      </c>
      <c r="P1207" s="473">
        <v>0.44336666666666663</v>
      </c>
      <c r="Q1207" s="473">
        <v>0.58906666666666663</v>
      </c>
      <c r="R1207" s="473">
        <v>0.48410000000000003</v>
      </c>
      <c r="S1207" s="153">
        <v>0.01</v>
      </c>
      <c r="T1207" s="153">
        <v>0.02</v>
      </c>
      <c r="U1207" s="478">
        <v>2018</v>
      </c>
      <c r="V1207" s="24">
        <f t="shared" si="130"/>
        <v>2038</v>
      </c>
      <c r="W1207">
        <v>0</v>
      </c>
      <c r="X1207">
        <v>0</v>
      </c>
      <c r="Y1207">
        <v>1315</v>
      </c>
      <c r="Z1207">
        <v>361</v>
      </c>
      <c r="AA1207" s="475" t="s">
        <v>24</v>
      </c>
    </row>
    <row r="1208" spans="1:27" ht="15" hidden="1">
      <c r="A1208" s="24">
        <f t="shared" si="131"/>
        <v>2207</v>
      </c>
      <c r="B1208" s="24">
        <f t="shared" si="131"/>
        <v>2207</v>
      </c>
      <c r="C1208" s="476" t="s">
        <v>1602</v>
      </c>
      <c r="D1208" t="s">
        <v>152</v>
      </c>
      <c r="E1208" s="477">
        <v>3</v>
      </c>
      <c r="F1208" s="471">
        <v>29.7</v>
      </c>
      <c r="G1208">
        <v>1</v>
      </c>
      <c r="H1208">
        <v>1</v>
      </c>
      <c r="I1208" s="472">
        <f t="shared" si="125"/>
        <v>0.47039166666666665</v>
      </c>
      <c r="J1208" s="473">
        <v>0.36503333333333332</v>
      </c>
      <c r="K1208" s="473">
        <v>0.44336666666666663</v>
      </c>
      <c r="L1208" s="473">
        <v>0.58906666666666663</v>
      </c>
      <c r="M1208" s="473">
        <v>0.48410000000000003</v>
      </c>
      <c r="N1208" s="472">
        <f t="shared" si="126"/>
        <v>0.47039166666666665</v>
      </c>
      <c r="O1208" s="473">
        <v>0.36503333333333332</v>
      </c>
      <c r="P1208" s="473">
        <v>0.44336666666666663</v>
      </c>
      <c r="Q1208" s="473">
        <v>0.58906666666666663</v>
      </c>
      <c r="R1208" s="473">
        <v>0.48410000000000003</v>
      </c>
      <c r="S1208" s="153">
        <v>0.01</v>
      </c>
      <c r="T1208" s="153">
        <v>0.02</v>
      </c>
      <c r="U1208" s="478">
        <v>2018</v>
      </c>
      <c r="V1208" s="24">
        <f t="shared" si="130"/>
        <v>2038</v>
      </c>
      <c r="W1208">
        <v>0</v>
      </c>
      <c r="X1208">
        <v>0</v>
      </c>
      <c r="Y1208">
        <v>1315</v>
      </c>
      <c r="Z1208">
        <v>361</v>
      </c>
      <c r="AA1208" s="475" t="s">
        <v>24</v>
      </c>
    </row>
    <row r="1209" spans="1:27" ht="15" hidden="1">
      <c r="A1209" s="24">
        <f t="shared" si="131"/>
        <v>2208</v>
      </c>
      <c r="B1209" s="24">
        <f t="shared" si="131"/>
        <v>2208</v>
      </c>
      <c r="C1209" s="476" t="s">
        <v>1603</v>
      </c>
      <c r="D1209" t="s">
        <v>152</v>
      </c>
      <c r="E1209" s="477">
        <v>3</v>
      </c>
      <c r="F1209" s="471">
        <v>29.7</v>
      </c>
      <c r="G1209">
        <v>1</v>
      </c>
      <c r="H1209">
        <v>1</v>
      </c>
      <c r="I1209" s="472">
        <f t="shared" si="125"/>
        <v>0.47039166666666665</v>
      </c>
      <c r="J1209" s="473">
        <v>0.36503333333333332</v>
      </c>
      <c r="K1209" s="473">
        <v>0.44336666666666663</v>
      </c>
      <c r="L1209" s="473">
        <v>0.58906666666666663</v>
      </c>
      <c r="M1209" s="473">
        <v>0.48410000000000003</v>
      </c>
      <c r="N1209" s="472">
        <f t="shared" si="126"/>
        <v>0.47039166666666665</v>
      </c>
      <c r="O1209" s="473">
        <v>0.36503333333333332</v>
      </c>
      <c r="P1209" s="473">
        <v>0.44336666666666663</v>
      </c>
      <c r="Q1209" s="473">
        <v>0.58906666666666663</v>
      </c>
      <c r="R1209" s="473">
        <v>0.48410000000000003</v>
      </c>
      <c r="S1209" s="153">
        <v>0.01</v>
      </c>
      <c r="T1209" s="153">
        <v>0.02</v>
      </c>
      <c r="U1209" s="478">
        <v>2016</v>
      </c>
      <c r="V1209" s="24">
        <f t="shared" si="130"/>
        <v>2036</v>
      </c>
      <c r="W1209">
        <v>0</v>
      </c>
      <c r="X1209">
        <v>0</v>
      </c>
      <c r="Y1209">
        <v>1315</v>
      </c>
      <c r="Z1209">
        <v>361</v>
      </c>
      <c r="AA1209" s="475" t="s">
        <v>24</v>
      </c>
    </row>
    <row r="1210" spans="1:27" ht="15" hidden="1">
      <c r="A1210" s="24">
        <f t="shared" ref="A1210:B1229" si="132">1000+ROW()-1</f>
        <v>2209</v>
      </c>
      <c r="B1210" s="24">
        <f t="shared" si="132"/>
        <v>2209</v>
      </c>
      <c r="C1210" s="476" t="s">
        <v>1604</v>
      </c>
      <c r="D1210" t="s">
        <v>152</v>
      </c>
      <c r="E1210" s="477">
        <v>3</v>
      </c>
      <c r="F1210" s="471">
        <v>29.7</v>
      </c>
      <c r="G1210">
        <v>1</v>
      </c>
      <c r="H1210">
        <v>1</v>
      </c>
      <c r="I1210" s="472">
        <f t="shared" si="125"/>
        <v>0.47039166666666665</v>
      </c>
      <c r="J1210" s="473">
        <v>0.36503333333333332</v>
      </c>
      <c r="K1210" s="473">
        <v>0.44336666666666663</v>
      </c>
      <c r="L1210" s="473">
        <v>0.58906666666666663</v>
      </c>
      <c r="M1210" s="473">
        <v>0.48410000000000003</v>
      </c>
      <c r="N1210" s="472">
        <f t="shared" si="126"/>
        <v>0.47039166666666665</v>
      </c>
      <c r="O1210" s="473">
        <v>0.36503333333333332</v>
      </c>
      <c r="P1210" s="473">
        <v>0.44336666666666663</v>
      </c>
      <c r="Q1210" s="473">
        <v>0.58906666666666663</v>
      </c>
      <c r="R1210" s="473">
        <v>0.48410000000000003</v>
      </c>
      <c r="S1210" s="153">
        <v>0.01</v>
      </c>
      <c r="T1210" s="153">
        <v>0.02</v>
      </c>
      <c r="U1210" s="478">
        <v>2018</v>
      </c>
      <c r="V1210" s="24">
        <f t="shared" si="130"/>
        <v>2038</v>
      </c>
      <c r="W1210">
        <v>0</v>
      </c>
      <c r="X1210">
        <v>0</v>
      </c>
      <c r="Y1210">
        <v>1315</v>
      </c>
      <c r="Z1210">
        <v>361</v>
      </c>
      <c r="AA1210" s="475" t="s">
        <v>24</v>
      </c>
    </row>
    <row r="1211" spans="1:27" ht="15" hidden="1">
      <c r="A1211" s="24">
        <f t="shared" si="132"/>
        <v>2210</v>
      </c>
      <c r="B1211" s="24">
        <f t="shared" si="132"/>
        <v>2210</v>
      </c>
      <c r="C1211" s="476" t="s">
        <v>1605</v>
      </c>
      <c r="D1211" t="s">
        <v>152</v>
      </c>
      <c r="E1211" s="477">
        <v>3</v>
      </c>
      <c r="F1211" s="471">
        <v>28</v>
      </c>
      <c r="G1211">
        <v>1</v>
      </c>
      <c r="H1211">
        <v>1</v>
      </c>
      <c r="I1211" s="472">
        <f t="shared" si="125"/>
        <v>0.47039166666666665</v>
      </c>
      <c r="J1211" s="473">
        <v>0.36503333333333332</v>
      </c>
      <c r="K1211" s="473">
        <v>0.44336666666666663</v>
      </c>
      <c r="L1211" s="473">
        <v>0.58906666666666663</v>
      </c>
      <c r="M1211" s="473">
        <v>0.48410000000000003</v>
      </c>
      <c r="N1211" s="472">
        <f t="shared" si="126"/>
        <v>0.47039166666666665</v>
      </c>
      <c r="O1211" s="473">
        <v>0.36503333333333332</v>
      </c>
      <c r="P1211" s="473">
        <v>0.44336666666666663</v>
      </c>
      <c r="Q1211" s="473">
        <v>0.58906666666666663</v>
      </c>
      <c r="R1211" s="473">
        <v>0.48410000000000003</v>
      </c>
      <c r="S1211" s="153">
        <v>0.01</v>
      </c>
      <c r="T1211" s="153">
        <v>0.02</v>
      </c>
      <c r="U1211" s="478">
        <v>2018</v>
      </c>
      <c r="V1211" s="24">
        <f t="shared" si="130"/>
        <v>2038</v>
      </c>
      <c r="W1211">
        <v>0</v>
      </c>
      <c r="X1211">
        <v>0</v>
      </c>
      <c r="Y1211">
        <v>1315</v>
      </c>
      <c r="Z1211">
        <v>361</v>
      </c>
      <c r="AA1211" s="475" t="s">
        <v>24</v>
      </c>
    </row>
    <row r="1212" spans="1:27" ht="15" hidden="1">
      <c r="A1212" s="24">
        <f t="shared" si="132"/>
        <v>2211</v>
      </c>
      <c r="B1212" s="24">
        <f t="shared" si="132"/>
        <v>2211</v>
      </c>
      <c r="C1212" s="476" t="s">
        <v>1606</v>
      </c>
      <c r="D1212" t="s">
        <v>152</v>
      </c>
      <c r="E1212" s="477">
        <v>3</v>
      </c>
      <c r="F1212" s="471">
        <v>18.399999999999999</v>
      </c>
      <c r="G1212">
        <v>1</v>
      </c>
      <c r="H1212">
        <v>1</v>
      </c>
      <c r="I1212" s="472">
        <f t="shared" si="125"/>
        <v>0.47039166666666665</v>
      </c>
      <c r="J1212" s="473">
        <v>0.36503333333333332</v>
      </c>
      <c r="K1212" s="473">
        <v>0.44336666666666663</v>
      </c>
      <c r="L1212" s="473">
        <v>0.58906666666666663</v>
      </c>
      <c r="M1212" s="473">
        <v>0.48410000000000003</v>
      </c>
      <c r="N1212" s="472">
        <f t="shared" si="126"/>
        <v>0.47039166666666665</v>
      </c>
      <c r="O1212" s="473">
        <v>0.36503333333333332</v>
      </c>
      <c r="P1212" s="473">
        <v>0.44336666666666663</v>
      </c>
      <c r="Q1212" s="473">
        <v>0.58906666666666663</v>
      </c>
      <c r="R1212" s="473">
        <v>0.48410000000000003</v>
      </c>
      <c r="S1212" s="153">
        <v>0.01</v>
      </c>
      <c r="T1212" s="153">
        <v>0.02</v>
      </c>
      <c r="U1212" s="478">
        <v>2018</v>
      </c>
      <c r="V1212" s="24">
        <f t="shared" si="130"/>
        <v>2038</v>
      </c>
      <c r="W1212">
        <v>0</v>
      </c>
      <c r="X1212">
        <v>0</v>
      </c>
      <c r="Y1212">
        <v>1315</v>
      </c>
      <c r="Z1212">
        <v>361</v>
      </c>
      <c r="AA1212" s="475" t="s">
        <v>24</v>
      </c>
    </row>
    <row r="1213" spans="1:27" ht="15" hidden="1">
      <c r="A1213" s="24">
        <f t="shared" si="132"/>
        <v>2212</v>
      </c>
      <c r="B1213" s="24">
        <f t="shared" si="132"/>
        <v>2212</v>
      </c>
      <c r="C1213" s="476" t="s">
        <v>1607</v>
      </c>
      <c r="D1213" t="s">
        <v>152</v>
      </c>
      <c r="E1213" s="477">
        <v>3</v>
      </c>
      <c r="F1213" s="471">
        <v>27.6</v>
      </c>
      <c r="G1213">
        <v>1</v>
      </c>
      <c r="H1213">
        <v>1</v>
      </c>
      <c r="I1213" s="472">
        <f t="shared" si="125"/>
        <v>0.47039166666666665</v>
      </c>
      <c r="J1213" s="473">
        <v>0.36503333333333332</v>
      </c>
      <c r="K1213" s="473">
        <v>0.44336666666666663</v>
      </c>
      <c r="L1213" s="473">
        <v>0.58906666666666663</v>
      </c>
      <c r="M1213" s="473">
        <v>0.48410000000000003</v>
      </c>
      <c r="N1213" s="472">
        <f t="shared" si="126"/>
        <v>0.47039166666666665</v>
      </c>
      <c r="O1213" s="473">
        <v>0.36503333333333332</v>
      </c>
      <c r="P1213" s="473">
        <v>0.44336666666666663</v>
      </c>
      <c r="Q1213" s="473">
        <v>0.58906666666666663</v>
      </c>
      <c r="R1213" s="473">
        <v>0.48410000000000003</v>
      </c>
      <c r="S1213" s="153">
        <v>0.01</v>
      </c>
      <c r="T1213" s="153">
        <v>0.02</v>
      </c>
      <c r="U1213" s="478">
        <v>2018</v>
      </c>
      <c r="V1213" s="24">
        <f t="shared" si="130"/>
        <v>2038</v>
      </c>
      <c r="W1213">
        <v>0</v>
      </c>
      <c r="X1213">
        <v>0</v>
      </c>
      <c r="Y1213">
        <v>1315</v>
      </c>
      <c r="Z1213">
        <v>361</v>
      </c>
      <c r="AA1213" s="475" t="s">
        <v>24</v>
      </c>
    </row>
    <row r="1214" spans="1:27" ht="15" hidden="1">
      <c r="A1214" s="24">
        <f t="shared" si="132"/>
        <v>2213</v>
      </c>
      <c r="B1214" s="24">
        <f t="shared" si="132"/>
        <v>2213</v>
      </c>
      <c r="C1214" s="476" t="s">
        <v>1608</v>
      </c>
      <c r="D1214" t="s">
        <v>152</v>
      </c>
      <c r="E1214" s="477">
        <v>3</v>
      </c>
      <c r="F1214" s="471">
        <v>29.6</v>
      </c>
      <c r="G1214">
        <v>1</v>
      </c>
      <c r="H1214">
        <v>1</v>
      </c>
      <c r="I1214" s="472">
        <f t="shared" si="125"/>
        <v>0.47039166666666665</v>
      </c>
      <c r="J1214" s="473">
        <v>0.36503333333333332</v>
      </c>
      <c r="K1214" s="473">
        <v>0.44336666666666663</v>
      </c>
      <c r="L1214" s="473">
        <v>0.58906666666666663</v>
      </c>
      <c r="M1214" s="473">
        <v>0.48410000000000003</v>
      </c>
      <c r="N1214" s="472">
        <f t="shared" si="126"/>
        <v>0.47039166666666665</v>
      </c>
      <c r="O1214" s="473">
        <v>0.36503333333333332</v>
      </c>
      <c r="P1214" s="473">
        <v>0.44336666666666663</v>
      </c>
      <c r="Q1214" s="473">
        <v>0.58906666666666663</v>
      </c>
      <c r="R1214" s="473">
        <v>0.48410000000000003</v>
      </c>
      <c r="S1214" s="153">
        <v>0.01</v>
      </c>
      <c r="T1214" s="153">
        <v>0.02</v>
      </c>
      <c r="U1214" s="478">
        <v>2016</v>
      </c>
      <c r="V1214" s="24">
        <f t="shared" si="130"/>
        <v>2036</v>
      </c>
      <c r="W1214">
        <v>0</v>
      </c>
      <c r="X1214">
        <v>0</v>
      </c>
      <c r="Y1214">
        <v>1315</v>
      </c>
      <c r="Z1214">
        <v>361</v>
      </c>
      <c r="AA1214" s="475" t="s">
        <v>24</v>
      </c>
    </row>
    <row r="1215" spans="1:27" ht="15" hidden="1">
      <c r="A1215" s="24">
        <f t="shared" si="132"/>
        <v>2214</v>
      </c>
      <c r="B1215" s="24">
        <f t="shared" si="132"/>
        <v>2214</v>
      </c>
      <c r="C1215" s="476" t="s">
        <v>1609</v>
      </c>
      <c r="D1215" t="s">
        <v>152</v>
      </c>
      <c r="E1215" s="477">
        <v>3</v>
      </c>
      <c r="F1215" s="471">
        <v>28.9</v>
      </c>
      <c r="G1215">
        <v>1</v>
      </c>
      <c r="H1215">
        <v>1</v>
      </c>
      <c r="I1215" s="472">
        <f t="shared" si="125"/>
        <v>0.47039166666666665</v>
      </c>
      <c r="J1215" s="473">
        <v>0.36503333333333332</v>
      </c>
      <c r="K1215" s="473">
        <v>0.44336666666666663</v>
      </c>
      <c r="L1215" s="473">
        <v>0.58906666666666663</v>
      </c>
      <c r="M1215" s="473">
        <v>0.48410000000000003</v>
      </c>
      <c r="N1215" s="472">
        <f t="shared" si="126"/>
        <v>0.47039166666666665</v>
      </c>
      <c r="O1215" s="473">
        <v>0.36503333333333332</v>
      </c>
      <c r="P1215" s="473">
        <v>0.44336666666666663</v>
      </c>
      <c r="Q1215" s="473">
        <v>0.58906666666666663</v>
      </c>
      <c r="R1215" s="473">
        <v>0.48410000000000003</v>
      </c>
      <c r="S1215" s="153">
        <v>0.01</v>
      </c>
      <c r="T1215" s="153">
        <v>0.02</v>
      </c>
      <c r="U1215" s="478">
        <v>2016</v>
      </c>
      <c r="V1215" s="24">
        <f t="shared" si="130"/>
        <v>2036</v>
      </c>
      <c r="W1215">
        <v>0</v>
      </c>
      <c r="X1215">
        <v>0</v>
      </c>
      <c r="Y1215">
        <v>1315</v>
      </c>
      <c r="Z1215">
        <v>361</v>
      </c>
      <c r="AA1215" s="475" t="s">
        <v>24</v>
      </c>
    </row>
    <row r="1216" spans="1:27" ht="15" hidden="1">
      <c r="A1216" s="24">
        <f t="shared" si="132"/>
        <v>2215</v>
      </c>
      <c r="B1216" s="24">
        <f t="shared" si="132"/>
        <v>2215</v>
      </c>
      <c r="C1216" s="476" t="s">
        <v>1610</v>
      </c>
      <c r="D1216" t="s">
        <v>152</v>
      </c>
      <c r="E1216" s="477">
        <v>3</v>
      </c>
      <c r="F1216" s="471">
        <v>29.6</v>
      </c>
      <c r="G1216">
        <v>1</v>
      </c>
      <c r="H1216">
        <v>1</v>
      </c>
      <c r="I1216" s="472">
        <f t="shared" si="125"/>
        <v>0.47039166666666665</v>
      </c>
      <c r="J1216" s="473">
        <v>0.36503333333333332</v>
      </c>
      <c r="K1216" s="473">
        <v>0.44336666666666663</v>
      </c>
      <c r="L1216" s="473">
        <v>0.58906666666666663</v>
      </c>
      <c r="M1216" s="473">
        <v>0.48410000000000003</v>
      </c>
      <c r="N1216" s="472">
        <f t="shared" si="126"/>
        <v>0.47039166666666665</v>
      </c>
      <c r="O1216" s="473">
        <v>0.36503333333333332</v>
      </c>
      <c r="P1216" s="473">
        <v>0.44336666666666663</v>
      </c>
      <c r="Q1216" s="473">
        <v>0.58906666666666663</v>
      </c>
      <c r="R1216" s="473">
        <v>0.48410000000000003</v>
      </c>
      <c r="S1216" s="153">
        <v>0.01</v>
      </c>
      <c r="T1216" s="153">
        <v>0.02</v>
      </c>
      <c r="U1216" s="478">
        <v>2016</v>
      </c>
      <c r="V1216" s="24">
        <f t="shared" si="130"/>
        <v>2036</v>
      </c>
      <c r="W1216">
        <v>0</v>
      </c>
      <c r="X1216">
        <v>0</v>
      </c>
      <c r="Y1216">
        <v>1315</v>
      </c>
      <c r="Z1216">
        <v>361</v>
      </c>
      <c r="AA1216" s="475" t="s">
        <v>24</v>
      </c>
    </row>
    <row r="1217" spans="1:27" ht="15" hidden="1">
      <c r="A1217" s="24">
        <f t="shared" si="132"/>
        <v>2216</v>
      </c>
      <c r="B1217" s="24">
        <f t="shared" si="132"/>
        <v>2216</v>
      </c>
      <c r="C1217" s="476" t="s">
        <v>1611</v>
      </c>
      <c r="D1217" t="s">
        <v>152</v>
      </c>
      <c r="E1217" s="477">
        <v>3</v>
      </c>
      <c r="F1217" s="471">
        <v>29.9</v>
      </c>
      <c r="G1217">
        <v>1</v>
      </c>
      <c r="H1217">
        <v>1</v>
      </c>
      <c r="I1217" s="472">
        <f t="shared" si="125"/>
        <v>0.47039166666666665</v>
      </c>
      <c r="J1217" s="473">
        <v>0.36503333333333332</v>
      </c>
      <c r="K1217" s="473">
        <v>0.44336666666666663</v>
      </c>
      <c r="L1217" s="473">
        <v>0.58906666666666663</v>
      </c>
      <c r="M1217" s="473">
        <v>0.48410000000000003</v>
      </c>
      <c r="N1217" s="472">
        <f t="shared" si="126"/>
        <v>0.47039166666666665</v>
      </c>
      <c r="O1217" s="473">
        <v>0.36503333333333332</v>
      </c>
      <c r="P1217" s="473">
        <v>0.44336666666666663</v>
      </c>
      <c r="Q1217" s="473">
        <v>0.58906666666666663</v>
      </c>
      <c r="R1217" s="473">
        <v>0.48410000000000003</v>
      </c>
      <c r="S1217" s="153">
        <v>0.01</v>
      </c>
      <c r="T1217" s="153">
        <v>0.02</v>
      </c>
      <c r="U1217" s="478">
        <v>2018</v>
      </c>
      <c r="V1217" s="24">
        <f t="shared" si="130"/>
        <v>2038</v>
      </c>
      <c r="W1217">
        <v>0</v>
      </c>
      <c r="X1217">
        <v>0</v>
      </c>
      <c r="Y1217">
        <v>1315</v>
      </c>
      <c r="Z1217">
        <v>361</v>
      </c>
      <c r="AA1217" s="475" t="s">
        <v>24</v>
      </c>
    </row>
    <row r="1218" spans="1:27" ht="15" hidden="1">
      <c r="A1218" s="24">
        <f t="shared" si="132"/>
        <v>2217</v>
      </c>
      <c r="B1218" s="24">
        <f t="shared" si="132"/>
        <v>2217</v>
      </c>
      <c r="C1218" s="476" t="s">
        <v>1612</v>
      </c>
      <c r="D1218" t="s">
        <v>152</v>
      </c>
      <c r="E1218" s="477">
        <v>3</v>
      </c>
      <c r="F1218" s="471">
        <v>18.399999999999999</v>
      </c>
      <c r="G1218">
        <v>1</v>
      </c>
      <c r="H1218">
        <v>1</v>
      </c>
      <c r="I1218" s="472">
        <f t="shared" ref="I1218:I1281" si="133">AVERAGE(J1218:M1218)</f>
        <v>0.47039166666666665</v>
      </c>
      <c r="J1218" s="473">
        <v>0.36503333333333332</v>
      </c>
      <c r="K1218" s="473">
        <v>0.44336666666666663</v>
      </c>
      <c r="L1218" s="473">
        <v>0.58906666666666663</v>
      </c>
      <c r="M1218" s="473">
        <v>0.48410000000000003</v>
      </c>
      <c r="N1218" s="472">
        <f t="shared" ref="N1218:N1281" si="134">AVERAGE(O1218:R1218)</f>
        <v>0.47039166666666665</v>
      </c>
      <c r="O1218" s="473">
        <v>0.36503333333333332</v>
      </c>
      <c r="P1218" s="473">
        <v>0.44336666666666663</v>
      </c>
      <c r="Q1218" s="473">
        <v>0.58906666666666663</v>
      </c>
      <c r="R1218" s="473">
        <v>0.48410000000000003</v>
      </c>
      <c r="S1218" s="153">
        <v>0.01</v>
      </c>
      <c r="T1218" s="153">
        <v>0.02</v>
      </c>
      <c r="U1218" s="478">
        <v>2018</v>
      </c>
      <c r="V1218" s="24">
        <f t="shared" si="130"/>
        <v>2038</v>
      </c>
      <c r="W1218">
        <v>0</v>
      </c>
      <c r="X1218">
        <v>0</v>
      </c>
      <c r="Y1218">
        <v>1315</v>
      </c>
      <c r="Z1218">
        <v>361</v>
      </c>
      <c r="AA1218" s="475" t="s">
        <v>24</v>
      </c>
    </row>
    <row r="1219" spans="1:27" ht="15" hidden="1">
      <c r="A1219" s="24">
        <f t="shared" si="132"/>
        <v>2218</v>
      </c>
      <c r="B1219" s="24">
        <f t="shared" si="132"/>
        <v>2218</v>
      </c>
      <c r="C1219" s="476" t="s">
        <v>1613</v>
      </c>
      <c r="D1219" t="s">
        <v>152</v>
      </c>
      <c r="E1219" s="477">
        <v>3</v>
      </c>
      <c r="F1219" s="471">
        <v>18.399999999999999</v>
      </c>
      <c r="G1219">
        <v>1</v>
      </c>
      <c r="H1219">
        <v>1</v>
      </c>
      <c r="I1219" s="472">
        <f t="shared" si="133"/>
        <v>0.47039166666666665</v>
      </c>
      <c r="J1219" s="473">
        <v>0.36503333333333332</v>
      </c>
      <c r="K1219" s="473">
        <v>0.44336666666666663</v>
      </c>
      <c r="L1219" s="473">
        <v>0.58906666666666663</v>
      </c>
      <c r="M1219" s="473">
        <v>0.48410000000000003</v>
      </c>
      <c r="N1219" s="472">
        <f t="shared" si="134"/>
        <v>0.47039166666666665</v>
      </c>
      <c r="O1219" s="473">
        <v>0.36503333333333332</v>
      </c>
      <c r="P1219" s="473">
        <v>0.44336666666666663</v>
      </c>
      <c r="Q1219" s="473">
        <v>0.58906666666666663</v>
      </c>
      <c r="R1219" s="473">
        <v>0.48410000000000003</v>
      </c>
      <c r="S1219" s="153">
        <v>0.01</v>
      </c>
      <c r="T1219" s="153">
        <v>0.02</v>
      </c>
      <c r="U1219" s="478">
        <v>2018</v>
      </c>
      <c r="V1219" s="24">
        <f t="shared" si="130"/>
        <v>2038</v>
      </c>
      <c r="W1219">
        <v>0</v>
      </c>
      <c r="X1219">
        <v>0</v>
      </c>
      <c r="Y1219">
        <v>1315</v>
      </c>
      <c r="Z1219">
        <v>361</v>
      </c>
      <c r="AA1219" s="475" t="s">
        <v>24</v>
      </c>
    </row>
    <row r="1220" spans="1:27" ht="15" hidden="1">
      <c r="A1220" s="24">
        <f t="shared" si="132"/>
        <v>2219</v>
      </c>
      <c r="B1220" s="24">
        <f t="shared" si="132"/>
        <v>2219</v>
      </c>
      <c r="C1220" s="476" t="s">
        <v>1614</v>
      </c>
      <c r="D1220" t="s">
        <v>152</v>
      </c>
      <c r="E1220" s="477">
        <v>3</v>
      </c>
      <c r="F1220" s="471">
        <v>18.899999999999999</v>
      </c>
      <c r="G1220">
        <v>1</v>
      </c>
      <c r="H1220">
        <v>1</v>
      </c>
      <c r="I1220" s="472">
        <f t="shared" si="133"/>
        <v>0.47039166666666665</v>
      </c>
      <c r="J1220" s="473">
        <v>0.36503333333333332</v>
      </c>
      <c r="K1220" s="473">
        <v>0.44336666666666663</v>
      </c>
      <c r="L1220" s="473">
        <v>0.58906666666666663</v>
      </c>
      <c r="M1220" s="473">
        <v>0.48410000000000003</v>
      </c>
      <c r="N1220" s="472">
        <f t="shared" si="134"/>
        <v>0.47039166666666665</v>
      </c>
      <c r="O1220" s="473">
        <v>0.36503333333333332</v>
      </c>
      <c r="P1220" s="473">
        <v>0.44336666666666663</v>
      </c>
      <c r="Q1220" s="473">
        <v>0.58906666666666663</v>
      </c>
      <c r="R1220" s="473">
        <v>0.48410000000000003</v>
      </c>
      <c r="S1220" s="153">
        <v>0.01</v>
      </c>
      <c r="T1220" s="153">
        <v>0.02</v>
      </c>
      <c r="U1220" s="478">
        <v>2016</v>
      </c>
      <c r="V1220" s="24">
        <f t="shared" si="130"/>
        <v>2036</v>
      </c>
      <c r="W1220">
        <v>0</v>
      </c>
      <c r="X1220">
        <v>0</v>
      </c>
      <c r="Y1220">
        <v>1315</v>
      </c>
      <c r="Z1220">
        <v>361</v>
      </c>
      <c r="AA1220" s="475" t="s">
        <v>24</v>
      </c>
    </row>
    <row r="1221" spans="1:27" ht="15" hidden="1">
      <c r="A1221" s="24">
        <f t="shared" si="132"/>
        <v>2220</v>
      </c>
      <c r="B1221" s="24">
        <f t="shared" si="132"/>
        <v>2220</v>
      </c>
      <c r="C1221" s="476" t="s">
        <v>1615</v>
      </c>
      <c r="D1221" t="s">
        <v>152</v>
      </c>
      <c r="E1221" s="477">
        <v>3</v>
      </c>
      <c r="F1221" s="471">
        <v>10.5</v>
      </c>
      <c r="G1221">
        <v>1</v>
      </c>
      <c r="H1221">
        <v>1</v>
      </c>
      <c r="I1221" s="472">
        <f t="shared" si="133"/>
        <v>0.47039166666666665</v>
      </c>
      <c r="J1221" s="473">
        <v>0.36503333333333332</v>
      </c>
      <c r="K1221" s="473">
        <v>0.44336666666666663</v>
      </c>
      <c r="L1221" s="473">
        <v>0.58906666666666663</v>
      </c>
      <c r="M1221" s="473">
        <v>0.48410000000000003</v>
      </c>
      <c r="N1221" s="472">
        <f t="shared" si="134"/>
        <v>0.47039166666666665</v>
      </c>
      <c r="O1221" s="473">
        <v>0.36503333333333332</v>
      </c>
      <c r="P1221" s="473">
        <v>0.44336666666666663</v>
      </c>
      <c r="Q1221" s="473">
        <v>0.58906666666666663</v>
      </c>
      <c r="R1221" s="473">
        <v>0.48410000000000003</v>
      </c>
      <c r="S1221" s="153">
        <v>0.01</v>
      </c>
      <c r="T1221" s="153">
        <v>0.02</v>
      </c>
      <c r="U1221" s="478">
        <v>2016</v>
      </c>
      <c r="V1221" s="24">
        <f t="shared" si="130"/>
        <v>2036</v>
      </c>
      <c r="W1221">
        <v>0</v>
      </c>
      <c r="X1221">
        <v>0</v>
      </c>
      <c r="Y1221">
        <v>1315</v>
      </c>
      <c r="Z1221">
        <v>361</v>
      </c>
      <c r="AA1221" s="475" t="s">
        <v>24</v>
      </c>
    </row>
    <row r="1222" spans="1:27" ht="15" hidden="1">
      <c r="A1222" s="24">
        <f t="shared" si="132"/>
        <v>2221</v>
      </c>
      <c r="B1222" s="24">
        <f t="shared" si="132"/>
        <v>2221</v>
      </c>
      <c r="C1222" s="476" t="s">
        <v>1616</v>
      </c>
      <c r="D1222" t="s">
        <v>152</v>
      </c>
      <c r="E1222" s="477">
        <v>3</v>
      </c>
      <c r="F1222" s="471">
        <v>25.3</v>
      </c>
      <c r="G1222">
        <v>1</v>
      </c>
      <c r="H1222">
        <v>1</v>
      </c>
      <c r="I1222" s="472">
        <f t="shared" si="133"/>
        <v>0.47039166666666665</v>
      </c>
      <c r="J1222" s="473">
        <v>0.36503333333333332</v>
      </c>
      <c r="K1222" s="473">
        <v>0.44336666666666663</v>
      </c>
      <c r="L1222" s="473">
        <v>0.58906666666666663</v>
      </c>
      <c r="M1222" s="473">
        <v>0.48410000000000003</v>
      </c>
      <c r="N1222" s="472">
        <f t="shared" si="134"/>
        <v>0.47039166666666665</v>
      </c>
      <c r="O1222" s="473">
        <v>0.36503333333333332</v>
      </c>
      <c r="P1222" s="473">
        <v>0.44336666666666663</v>
      </c>
      <c r="Q1222" s="473">
        <v>0.58906666666666663</v>
      </c>
      <c r="R1222" s="473">
        <v>0.48410000000000003</v>
      </c>
      <c r="S1222" s="153">
        <v>0.01</v>
      </c>
      <c r="T1222" s="153">
        <v>0.02</v>
      </c>
      <c r="U1222" s="478">
        <v>2018</v>
      </c>
      <c r="V1222" s="24">
        <f t="shared" si="130"/>
        <v>2038</v>
      </c>
      <c r="W1222">
        <v>0</v>
      </c>
      <c r="X1222">
        <v>0</v>
      </c>
      <c r="Y1222">
        <v>1315</v>
      </c>
      <c r="Z1222">
        <v>361</v>
      </c>
      <c r="AA1222" s="475" t="s">
        <v>24</v>
      </c>
    </row>
    <row r="1223" spans="1:27" ht="15" hidden="1">
      <c r="A1223" s="24">
        <f t="shared" si="132"/>
        <v>2222</v>
      </c>
      <c r="B1223" s="24">
        <f t="shared" si="132"/>
        <v>2222</v>
      </c>
      <c r="C1223" s="476" t="s">
        <v>1617</v>
      </c>
      <c r="D1223" t="s">
        <v>152</v>
      </c>
      <c r="E1223" s="477">
        <v>3</v>
      </c>
      <c r="F1223" s="471">
        <v>25.3</v>
      </c>
      <c r="G1223">
        <v>1</v>
      </c>
      <c r="H1223">
        <v>1</v>
      </c>
      <c r="I1223" s="472">
        <f t="shared" si="133"/>
        <v>0.47039166666666665</v>
      </c>
      <c r="J1223" s="473">
        <v>0.36503333333333332</v>
      </c>
      <c r="K1223" s="473">
        <v>0.44336666666666663</v>
      </c>
      <c r="L1223" s="473">
        <v>0.58906666666666663</v>
      </c>
      <c r="M1223" s="473">
        <v>0.48410000000000003</v>
      </c>
      <c r="N1223" s="472">
        <f t="shared" si="134"/>
        <v>0.47039166666666665</v>
      </c>
      <c r="O1223" s="473">
        <v>0.36503333333333332</v>
      </c>
      <c r="P1223" s="473">
        <v>0.44336666666666663</v>
      </c>
      <c r="Q1223" s="473">
        <v>0.58906666666666663</v>
      </c>
      <c r="R1223" s="473">
        <v>0.48410000000000003</v>
      </c>
      <c r="S1223" s="153">
        <v>0.01</v>
      </c>
      <c r="T1223" s="153">
        <v>0.02</v>
      </c>
      <c r="U1223" s="478">
        <v>2018</v>
      </c>
      <c r="V1223" s="24">
        <f t="shared" si="130"/>
        <v>2038</v>
      </c>
      <c r="W1223">
        <v>0</v>
      </c>
      <c r="X1223">
        <v>0</v>
      </c>
      <c r="Y1223">
        <v>1315</v>
      </c>
      <c r="Z1223">
        <v>361</v>
      </c>
      <c r="AA1223" s="475" t="s">
        <v>24</v>
      </c>
    </row>
    <row r="1224" spans="1:27" ht="15" hidden="1">
      <c r="A1224" s="24">
        <f t="shared" si="132"/>
        <v>2223</v>
      </c>
      <c r="B1224" s="24">
        <f t="shared" si="132"/>
        <v>2223</v>
      </c>
      <c r="C1224" s="476" t="s">
        <v>1618</v>
      </c>
      <c r="D1224" t="s">
        <v>152</v>
      </c>
      <c r="E1224" s="477">
        <v>3</v>
      </c>
      <c r="F1224" s="471">
        <v>29.9</v>
      </c>
      <c r="G1224">
        <v>1</v>
      </c>
      <c r="H1224">
        <v>1</v>
      </c>
      <c r="I1224" s="472">
        <f t="shared" si="133"/>
        <v>0.47039166666666665</v>
      </c>
      <c r="J1224" s="473">
        <v>0.36503333333333332</v>
      </c>
      <c r="K1224" s="473">
        <v>0.44336666666666663</v>
      </c>
      <c r="L1224" s="473">
        <v>0.58906666666666663</v>
      </c>
      <c r="M1224" s="473">
        <v>0.48410000000000003</v>
      </c>
      <c r="N1224" s="472">
        <f t="shared" si="134"/>
        <v>0.47039166666666665</v>
      </c>
      <c r="O1224" s="473">
        <v>0.36503333333333332</v>
      </c>
      <c r="P1224" s="473">
        <v>0.44336666666666663</v>
      </c>
      <c r="Q1224" s="473">
        <v>0.58906666666666663</v>
      </c>
      <c r="R1224" s="473">
        <v>0.48410000000000003</v>
      </c>
      <c r="S1224" s="153">
        <v>0.01</v>
      </c>
      <c r="T1224" s="153">
        <v>0.02</v>
      </c>
      <c r="U1224" s="478">
        <v>2018</v>
      </c>
      <c r="V1224" s="24">
        <f t="shared" si="130"/>
        <v>2038</v>
      </c>
      <c r="W1224">
        <v>0</v>
      </c>
      <c r="X1224">
        <v>0</v>
      </c>
      <c r="Y1224">
        <v>1315</v>
      </c>
      <c r="Z1224">
        <v>361</v>
      </c>
      <c r="AA1224" s="475" t="s">
        <v>24</v>
      </c>
    </row>
    <row r="1225" spans="1:27" ht="15" hidden="1">
      <c r="A1225" s="24">
        <f t="shared" si="132"/>
        <v>2224</v>
      </c>
      <c r="B1225" s="24">
        <f t="shared" si="132"/>
        <v>2224</v>
      </c>
      <c r="C1225" s="476" t="s">
        <v>1619</v>
      </c>
      <c r="D1225" t="s">
        <v>152</v>
      </c>
      <c r="E1225" s="477">
        <v>3</v>
      </c>
      <c r="F1225" s="471">
        <v>29.9</v>
      </c>
      <c r="G1225">
        <v>1</v>
      </c>
      <c r="H1225">
        <v>1</v>
      </c>
      <c r="I1225" s="472">
        <f t="shared" si="133"/>
        <v>0.47039166666666665</v>
      </c>
      <c r="J1225" s="473">
        <v>0.36503333333333332</v>
      </c>
      <c r="K1225" s="473">
        <v>0.44336666666666663</v>
      </c>
      <c r="L1225" s="473">
        <v>0.58906666666666663</v>
      </c>
      <c r="M1225" s="473">
        <v>0.48410000000000003</v>
      </c>
      <c r="N1225" s="472">
        <f t="shared" si="134"/>
        <v>0.47039166666666665</v>
      </c>
      <c r="O1225" s="473">
        <v>0.36503333333333332</v>
      </c>
      <c r="P1225" s="473">
        <v>0.44336666666666663</v>
      </c>
      <c r="Q1225" s="473">
        <v>0.58906666666666663</v>
      </c>
      <c r="R1225" s="473">
        <v>0.48410000000000003</v>
      </c>
      <c r="S1225" s="153">
        <v>0.01</v>
      </c>
      <c r="T1225" s="153">
        <v>0.02</v>
      </c>
      <c r="U1225" s="478">
        <v>2018</v>
      </c>
      <c r="V1225" s="24">
        <f t="shared" si="130"/>
        <v>2038</v>
      </c>
      <c r="W1225">
        <v>0</v>
      </c>
      <c r="X1225">
        <v>0</v>
      </c>
      <c r="Y1225">
        <v>1315</v>
      </c>
      <c r="Z1225">
        <v>361</v>
      </c>
      <c r="AA1225" s="475" t="s">
        <v>24</v>
      </c>
    </row>
    <row r="1226" spans="1:27" ht="15" hidden="1">
      <c r="A1226" s="24">
        <f t="shared" si="132"/>
        <v>2225</v>
      </c>
      <c r="B1226" s="24">
        <f t="shared" si="132"/>
        <v>2225</v>
      </c>
      <c r="C1226" s="476" t="s">
        <v>1620</v>
      </c>
      <c r="D1226" t="s">
        <v>152</v>
      </c>
      <c r="E1226" s="477">
        <v>3</v>
      </c>
      <c r="F1226" s="471">
        <v>27.6</v>
      </c>
      <c r="G1226">
        <v>1</v>
      </c>
      <c r="H1226">
        <v>1</v>
      </c>
      <c r="I1226" s="472">
        <f t="shared" si="133"/>
        <v>0.47039166666666665</v>
      </c>
      <c r="J1226" s="473">
        <v>0.36503333333333332</v>
      </c>
      <c r="K1226" s="473">
        <v>0.44336666666666663</v>
      </c>
      <c r="L1226" s="473">
        <v>0.58906666666666663</v>
      </c>
      <c r="M1226" s="473">
        <v>0.48410000000000003</v>
      </c>
      <c r="N1226" s="472">
        <f t="shared" si="134"/>
        <v>0.47039166666666665</v>
      </c>
      <c r="O1226" s="473">
        <v>0.36503333333333332</v>
      </c>
      <c r="P1226" s="473">
        <v>0.44336666666666663</v>
      </c>
      <c r="Q1226" s="473">
        <v>0.58906666666666663</v>
      </c>
      <c r="R1226" s="473">
        <v>0.48410000000000003</v>
      </c>
      <c r="S1226" s="153">
        <v>0.01</v>
      </c>
      <c r="T1226" s="153">
        <v>0.02</v>
      </c>
      <c r="U1226" s="478">
        <v>2018</v>
      </c>
      <c r="V1226" s="24">
        <f t="shared" si="130"/>
        <v>2038</v>
      </c>
      <c r="W1226">
        <v>0</v>
      </c>
      <c r="X1226">
        <v>0</v>
      </c>
      <c r="Y1226">
        <v>1315</v>
      </c>
      <c r="Z1226">
        <v>361</v>
      </c>
      <c r="AA1226" s="475" t="s">
        <v>24</v>
      </c>
    </row>
    <row r="1227" spans="1:27" ht="15" hidden="1">
      <c r="A1227" s="24">
        <f t="shared" si="132"/>
        <v>2226</v>
      </c>
      <c r="B1227" s="24">
        <f t="shared" si="132"/>
        <v>2226</v>
      </c>
      <c r="C1227" s="476" t="s">
        <v>1621</v>
      </c>
      <c r="D1227" t="s">
        <v>152</v>
      </c>
      <c r="E1227" s="477">
        <v>3</v>
      </c>
      <c r="F1227" s="471">
        <v>30</v>
      </c>
      <c r="G1227">
        <v>1</v>
      </c>
      <c r="H1227">
        <v>1</v>
      </c>
      <c r="I1227" s="472">
        <f t="shared" si="133"/>
        <v>0.47039166666666665</v>
      </c>
      <c r="J1227" s="473">
        <v>0.36503333333333332</v>
      </c>
      <c r="K1227" s="473">
        <v>0.44336666666666663</v>
      </c>
      <c r="L1227" s="473">
        <v>0.58906666666666663</v>
      </c>
      <c r="M1227" s="473">
        <v>0.48410000000000003</v>
      </c>
      <c r="N1227" s="472">
        <f t="shared" si="134"/>
        <v>0.47039166666666665</v>
      </c>
      <c r="O1227" s="473">
        <v>0.36503333333333332</v>
      </c>
      <c r="P1227" s="473">
        <v>0.44336666666666663</v>
      </c>
      <c r="Q1227" s="473">
        <v>0.58906666666666663</v>
      </c>
      <c r="R1227" s="473">
        <v>0.48410000000000003</v>
      </c>
      <c r="S1227" s="153">
        <v>0.01</v>
      </c>
      <c r="T1227" s="153">
        <v>0.02</v>
      </c>
      <c r="U1227" s="478">
        <v>2016</v>
      </c>
      <c r="V1227" s="24">
        <f t="shared" si="130"/>
        <v>2036</v>
      </c>
      <c r="W1227">
        <v>0</v>
      </c>
      <c r="X1227">
        <v>0</v>
      </c>
      <c r="Y1227">
        <v>1315</v>
      </c>
      <c r="Z1227">
        <v>361</v>
      </c>
      <c r="AA1227" s="475" t="s">
        <v>24</v>
      </c>
    </row>
    <row r="1228" spans="1:27" ht="15" hidden="1">
      <c r="A1228" s="24">
        <f t="shared" si="132"/>
        <v>2227</v>
      </c>
      <c r="B1228" s="24">
        <f t="shared" si="132"/>
        <v>2227</v>
      </c>
      <c r="C1228" s="476" t="s">
        <v>1622</v>
      </c>
      <c r="D1228" t="s">
        <v>152</v>
      </c>
      <c r="E1228" s="477">
        <v>3</v>
      </c>
      <c r="F1228" s="471">
        <v>30</v>
      </c>
      <c r="G1228">
        <v>1</v>
      </c>
      <c r="H1228">
        <v>1</v>
      </c>
      <c r="I1228" s="472">
        <f t="shared" si="133"/>
        <v>0.47039166666666665</v>
      </c>
      <c r="J1228" s="473">
        <v>0.36503333333333332</v>
      </c>
      <c r="K1228" s="473">
        <v>0.44336666666666663</v>
      </c>
      <c r="L1228" s="473">
        <v>0.58906666666666663</v>
      </c>
      <c r="M1228" s="473">
        <v>0.48410000000000003</v>
      </c>
      <c r="N1228" s="472">
        <f t="shared" si="134"/>
        <v>0.47039166666666665</v>
      </c>
      <c r="O1228" s="473">
        <v>0.36503333333333332</v>
      </c>
      <c r="P1228" s="473">
        <v>0.44336666666666663</v>
      </c>
      <c r="Q1228" s="473">
        <v>0.58906666666666663</v>
      </c>
      <c r="R1228" s="473">
        <v>0.48410000000000003</v>
      </c>
      <c r="S1228" s="153">
        <v>0.01</v>
      </c>
      <c r="T1228" s="153">
        <v>0.02</v>
      </c>
      <c r="U1228" s="478">
        <v>2016</v>
      </c>
      <c r="V1228" s="24">
        <f t="shared" si="130"/>
        <v>2036</v>
      </c>
      <c r="W1228">
        <v>0</v>
      </c>
      <c r="X1228">
        <v>0</v>
      </c>
      <c r="Y1228">
        <v>1315</v>
      </c>
      <c r="Z1228">
        <v>361</v>
      </c>
      <c r="AA1228" s="475" t="s">
        <v>24</v>
      </c>
    </row>
    <row r="1229" spans="1:27" ht="15" hidden="1">
      <c r="A1229" s="24">
        <f t="shared" si="132"/>
        <v>2228</v>
      </c>
      <c r="B1229" s="24">
        <f t="shared" si="132"/>
        <v>2228</v>
      </c>
      <c r="C1229" s="476" t="s">
        <v>1623</v>
      </c>
      <c r="D1229" t="s">
        <v>152</v>
      </c>
      <c r="E1229" s="477">
        <v>3</v>
      </c>
      <c r="F1229" s="471">
        <v>30</v>
      </c>
      <c r="G1229">
        <v>1</v>
      </c>
      <c r="H1229">
        <v>1</v>
      </c>
      <c r="I1229" s="472">
        <f t="shared" si="133"/>
        <v>0.47039166666666665</v>
      </c>
      <c r="J1229" s="473">
        <v>0.36503333333333332</v>
      </c>
      <c r="K1229" s="473">
        <v>0.44336666666666663</v>
      </c>
      <c r="L1229" s="473">
        <v>0.58906666666666663</v>
      </c>
      <c r="M1229" s="473">
        <v>0.48410000000000003</v>
      </c>
      <c r="N1229" s="472">
        <f t="shared" si="134"/>
        <v>0.47039166666666665</v>
      </c>
      <c r="O1229" s="473">
        <v>0.36503333333333332</v>
      </c>
      <c r="P1229" s="473">
        <v>0.44336666666666663</v>
      </c>
      <c r="Q1229" s="473">
        <v>0.58906666666666663</v>
      </c>
      <c r="R1229" s="473">
        <v>0.48410000000000003</v>
      </c>
      <c r="S1229" s="153">
        <v>0.01</v>
      </c>
      <c r="T1229" s="153">
        <v>0.02</v>
      </c>
      <c r="U1229" s="478">
        <v>2016</v>
      </c>
      <c r="V1229" s="24">
        <f t="shared" si="130"/>
        <v>2036</v>
      </c>
      <c r="W1229">
        <v>0</v>
      </c>
      <c r="X1229">
        <v>0</v>
      </c>
      <c r="Y1229">
        <v>1315</v>
      </c>
      <c r="Z1229">
        <v>361</v>
      </c>
      <c r="AA1229" s="475" t="s">
        <v>24</v>
      </c>
    </row>
    <row r="1230" spans="1:27" ht="15" hidden="1">
      <c r="A1230" s="24">
        <f t="shared" ref="A1230:B1249" si="135">1000+ROW()-1</f>
        <v>2229</v>
      </c>
      <c r="B1230" s="24">
        <f t="shared" si="135"/>
        <v>2229</v>
      </c>
      <c r="C1230" s="476" t="s">
        <v>1624</v>
      </c>
      <c r="D1230" t="s">
        <v>152</v>
      </c>
      <c r="E1230" s="477">
        <v>3</v>
      </c>
      <c r="F1230" s="471">
        <v>30</v>
      </c>
      <c r="G1230">
        <v>1</v>
      </c>
      <c r="H1230">
        <v>1</v>
      </c>
      <c r="I1230" s="472">
        <f t="shared" si="133"/>
        <v>0.47039166666666665</v>
      </c>
      <c r="J1230" s="473">
        <v>0.36503333333333332</v>
      </c>
      <c r="K1230" s="473">
        <v>0.44336666666666663</v>
      </c>
      <c r="L1230" s="473">
        <v>0.58906666666666663</v>
      </c>
      <c r="M1230" s="473">
        <v>0.48410000000000003</v>
      </c>
      <c r="N1230" s="472">
        <f t="shared" si="134"/>
        <v>0.47039166666666665</v>
      </c>
      <c r="O1230" s="473">
        <v>0.36503333333333332</v>
      </c>
      <c r="P1230" s="473">
        <v>0.44336666666666663</v>
      </c>
      <c r="Q1230" s="473">
        <v>0.58906666666666663</v>
      </c>
      <c r="R1230" s="473">
        <v>0.48410000000000003</v>
      </c>
      <c r="S1230" s="153">
        <v>0.01</v>
      </c>
      <c r="T1230" s="153">
        <v>0.02</v>
      </c>
      <c r="U1230" s="478">
        <v>2018</v>
      </c>
      <c r="V1230" s="24">
        <f t="shared" si="130"/>
        <v>2038</v>
      </c>
      <c r="W1230">
        <v>0</v>
      </c>
      <c r="X1230">
        <v>0</v>
      </c>
      <c r="Y1230">
        <v>1315</v>
      </c>
      <c r="Z1230">
        <v>361</v>
      </c>
      <c r="AA1230" s="475" t="s">
        <v>24</v>
      </c>
    </row>
    <row r="1231" spans="1:27" ht="15" hidden="1">
      <c r="A1231" s="24">
        <f t="shared" si="135"/>
        <v>2230</v>
      </c>
      <c r="B1231" s="24">
        <f t="shared" si="135"/>
        <v>2230</v>
      </c>
      <c r="C1231" s="476" t="s">
        <v>1625</v>
      </c>
      <c r="D1231" t="s">
        <v>152</v>
      </c>
      <c r="E1231" s="477">
        <v>3</v>
      </c>
      <c r="F1231" s="471">
        <v>18.899999999999999</v>
      </c>
      <c r="G1231">
        <v>1</v>
      </c>
      <c r="H1231">
        <v>1</v>
      </c>
      <c r="I1231" s="472">
        <f t="shared" si="133"/>
        <v>0.47039166666666665</v>
      </c>
      <c r="J1231" s="473">
        <v>0.36503333333333332</v>
      </c>
      <c r="K1231" s="473">
        <v>0.44336666666666663</v>
      </c>
      <c r="L1231" s="473">
        <v>0.58906666666666663</v>
      </c>
      <c r="M1231" s="473">
        <v>0.48410000000000003</v>
      </c>
      <c r="N1231" s="472">
        <f t="shared" si="134"/>
        <v>0.47039166666666665</v>
      </c>
      <c r="O1231" s="473">
        <v>0.36503333333333332</v>
      </c>
      <c r="P1231" s="473">
        <v>0.44336666666666663</v>
      </c>
      <c r="Q1231" s="473">
        <v>0.58906666666666663</v>
      </c>
      <c r="R1231" s="473">
        <v>0.48410000000000003</v>
      </c>
      <c r="S1231" s="153">
        <v>0.01</v>
      </c>
      <c r="T1231" s="153">
        <v>0.02</v>
      </c>
      <c r="U1231" s="478">
        <v>2016</v>
      </c>
      <c r="V1231" s="24">
        <f t="shared" si="130"/>
        <v>2036</v>
      </c>
      <c r="W1231">
        <v>0</v>
      </c>
      <c r="X1231">
        <v>0</v>
      </c>
      <c r="Y1231">
        <v>1315</v>
      </c>
      <c r="Z1231">
        <v>361</v>
      </c>
      <c r="AA1231" s="475" t="s">
        <v>24</v>
      </c>
    </row>
    <row r="1232" spans="1:27" ht="15" hidden="1">
      <c r="A1232" s="24">
        <f t="shared" si="135"/>
        <v>2231</v>
      </c>
      <c r="B1232" s="24">
        <f t="shared" si="135"/>
        <v>2231</v>
      </c>
      <c r="C1232" s="476" t="s">
        <v>1626</v>
      </c>
      <c r="D1232" t="s">
        <v>152</v>
      </c>
      <c r="E1232" s="477">
        <v>3</v>
      </c>
      <c r="F1232" s="471">
        <v>2.0999999999999996</v>
      </c>
      <c r="G1232">
        <v>1</v>
      </c>
      <c r="H1232">
        <v>1</v>
      </c>
      <c r="I1232" s="472">
        <f t="shared" si="133"/>
        <v>0.47039166666666665</v>
      </c>
      <c r="J1232" s="473">
        <v>0.36503333333333332</v>
      </c>
      <c r="K1232" s="473">
        <v>0.44336666666666663</v>
      </c>
      <c r="L1232" s="473">
        <v>0.58906666666666663</v>
      </c>
      <c r="M1232" s="473">
        <v>0.48410000000000003</v>
      </c>
      <c r="N1232" s="472">
        <f t="shared" si="134"/>
        <v>0.47039166666666665</v>
      </c>
      <c r="O1232" s="473">
        <v>0.36503333333333332</v>
      </c>
      <c r="P1232" s="473">
        <v>0.44336666666666663</v>
      </c>
      <c r="Q1232" s="473">
        <v>0.58906666666666663</v>
      </c>
      <c r="R1232" s="473">
        <v>0.48410000000000003</v>
      </c>
      <c r="S1232" s="153">
        <v>0.01</v>
      </c>
      <c r="T1232" s="153">
        <v>0.02</v>
      </c>
      <c r="U1232" s="478">
        <v>2016</v>
      </c>
      <c r="V1232" s="24">
        <f t="shared" si="130"/>
        <v>2036</v>
      </c>
      <c r="W1232">
        <v>0</v>
      </c>
      <c r="X1232">
        <v>0</v>
      </c>
      <c r="Y1232">
        <v>1315</v>
      </c>
      <c r="Z1232">
        <v>361</v>
      </c>
      <c r="AA1232" s="475" t="s">
        <v>24</v>
      </c>
    </row>
    <row r="1233" spans="1:27" ht="15" hidden="1">
      <c r="A1233" s="24">
        <f t="shared" si="135"/>
        <v>2232</v>
      </c>
      <c r="B1233" s="24">
        <f t="shared" si="135"/>
        <v>2232</v>
      </c>
      <c r="C1233" s="476" t="s">
        <v>1627</v>
      </c>
      <c r="D1233" t="s">
        <v>152</v>
      </c>
      <c r="E1233" s="477">
        <v>3</v>
      </c>
      <c r="F1233" s="471">
        <v>4.2</v>
      </c>
      <c r="G1233">
        <v>1</v>
      </c>
      <c r="H1233">
        <v>1</v>
      </c>
      <c r="I1233" s="472">
        <f t="shared" si="133"/>
        <v>0.47039166666666665</v>
      </c>
      <c r="J1233" s="473">
        <v>0.36503333333333332</v>
      </c>
      <c r="K1233" s="473">
        <v>0.44336666666666663</v>
      </c>
      <c r="L1233" s="473">
        <v>0.58906666666666663</v>
      </c>
      <c r="M1233" s="473">
        <v>0.48410000000000003</v>
      </c>
      <c r="N1233" s="472">
        <f t="shared" si="134"/>
        <v>0.47039166666666665</v>
      </c>
      <c r="O1233" s="473">
        <v>0.36503333333333332</v>
      </c>
      <c r="P1233" s="473">
        <v>0.44336666666666663</v>
      </c>
      <c r="Q1233" s="473">
        <v>0.58906666666666663</v>
      </c>
      <c r="R1233" s="473">
        <v>0.48410000000000003</v>
      </c>
      <c r="S1233" s="153">
        <v>0.01</v>
      </c>
      <c r="T1233" s="153">
        <v>0.02</v>
      </c>
      <c r="U1233" s="478">
        <v>2016</v>
      </c>
      <c r="V1233" s="24">
        <f t="shared" si="130"/>
        <v>2036</v>
      </c>
      <c r="W1233">
        <v>0</v>
      </c>
      <c r="X1233">
        <v>0</v>
      </c>
      <c r="Y1233">
        <v>1315</v>
      </c>
      <c r="Z1233">
        <v>361</v>
      </c>
      <c r="AA1233" s="475" t="s">
        <v>24</v>
      </c>
    </row>
    <row r="1234" spans="1:27" ht="15" hidden="1">
      <c r="A1234" s="24">
        <f t="shared" si="135"/>
        <v>2233</v>
      </c>
      <c r="B1234" s="24">
        <f t="shared" si="135"/>
        <v>2233</v>
      </c>
      <c r="C1234" s="476" t="s">
        <v>1628</v>
      </c>
      <c r="D1234" t="s">
        <v>152</v>
      </c>
      <c r="E1234" s="477">
        <v>3</v>
      </c>
      <c r="F1234" s="471">
        <v>4.2</v>
      </c>
      <c r="G1234">
        <v>1</v>
      </c>
      <c r="H1234">
        <v>1</v>
      </c>
      <c r="I1234" s="472">
        <f t="shared" si="133"/>
        <v>0.47039166666666665</v>
      </c>
      <c r="J1234" s="473">
        <v>0.36503333333333332</v>
      </c>
      <c r="K1234" s="473">
        <v>0.44336666666666663</v>
      </c>
      <c r="L1234" s="473">
        <v>0.58906666666666663</v>
      </c>
      <c r="M1234" s="473">
        <v>0.48410000000000003</v>
      </c>
      <c r="N1234" s="472">
        <f t="shared" si="134"/>
        <v>0.47039166666666665</v>
      </c>
      <c r="O1234" s="473">
        <v>0.36503333333333332</v>
      </c>
      <c r="P1234" s="473">
        <v>0.44336666666666663</v>
      </c>
      <c r="Q1234" s="473">
        <v>0.58906666666666663</v>
      </c>
      <c r="R1234" s="473">
        <v>0.48410000000000003</v>
      </c>
      <c r="S1234" s="153">
        <v>0.01</v>
      </c>
      <c r="T1234" s="153">
        <v>0.02</v>
      </c>
      <c r="U1234" s="478">
        <v>2016</v>
      </c>
      <c r="V1234" s="24">
        <f t="shared" si="130"/>
        <v>2036</v>
      </c>
      <c r="W1234">
        <v>0</v>
      </c>
      <c r="X1234">
        <v>0</v>
      </c>
      <c r="Y1234">
        <v>1315</v>
      </c>
      <c r="Z1234">
        <v>361</v>
      </c>
      <c r="AA1234" s="475" t="s">
        <v>24</v>
      </c>
    </row>
    <row r="1235" spans="1:27" ht="15" hidden="1">
      <c r="A1235" s="24">
        <f t="shared" si="135"/>
        <v>2234</v>
      </c>
      <c r="B1235" s="24">
        <f t="shared" si="135"/>
        <v>2234</v>
      </c>
      <c r="C1235" s="476" t="s">
        <v>1629</v>
      </c>
      <c r="D1235" t="s">
        <v>152</v>
      </c>
      <c r="E1235" s="477">
        <v>3</v>
      </c>
      <c r="F1235" s="471">
        <v>28</v>
      </c>
      <c r="G1235">
        <v>1</v>
      </c>
      <c r="H1235">
        <v>1</v>
      </c>
      <c r="I1235" s="472">
        <f t="shared" si="133"/>
        <v>0.47039166666666665</v>
      </c>
      <c r="J1235" s="473">
        <v>0.36503333333333332</v>
      </c>
      <c r="K1235" s="473">
        <v>0.44336666666666663</v>
      </c>
      <c r="L1235" s="473">
        <v>0.58906666666666663</v>
      </c>
      <c r="M1235" s="473">
        <v>0.48410000000000003</v>
      </c>
      <c r="N1235" s="472">
        <f t="shared" si="134"/>
        <v>0.47039166666666665</v>
      </c>
      <c r="O1235" s="473">
        <v>0.36503333333333332</v>
      </c>
      <c r="P1235" s="473">
        <v>0.44336666666666663</v>
      </c>
      <c r="Q1235" s="473">
        <v>0.58906666666666663</v>
      </c>
      <c r="R1235" s="473">
        <v>0.48410000000000003</v>
      </c>
      <c r="S1235" s="153">
        <v>0.01</v>
      </c>
      <c r="T1235" s="153">
        <v>0.02</v>
      </c>
      <c r="U1235" s="478">
        <v>2018</v>
      </c>
      <c r="V1235" s="24">
        <f t="shared" si="130"/>
        <v>2038</v>
      </c>
      <c r="W1235">
        <v>0</v>
      </c>
      <c r="X1235">
        <v>0</v>
      </c>
      <c r="Y1235">
        <v>1315</v>
      </c>
      <c r="Z1235">
        <v>361</v>
      </c>
      <c r="AA1235" s="475" t="s">
        <v>24</v>
      </c>
    </row>
    <row r="1236" spans="1:27" ht="15" hidden="1">
      <c r="A1236" s="24">
        <f t="shared" si="135"/>
        <v>2235</v>
      </c>
      <c r="B1236" s="24">
        <f t="shared" si="135"/>
        <v>2235</v>
      </c>
      <c r="C1236" s="476" t="s">
        <v>1630</v>
      </c>
      <c r="D1236" t="s">
        <v>152</v>
      </c>
      <c r="E1236" s="477">
        <v>3</v>
      </c>
      <c r="F1236" s="471">
        <v>28</v>
      </c>
      <c r="G1236">
        <v>1</v>
      </c>
      <c r="H1236">
        <v>1</v>
      </c>
      <c r="I1236" s="472">
        <f t="shared" si="133"/>
        <v>0.47039166666666665</v>
      </c>
      <c r="J1236" s="473">
        <v>0.36503333333333332</v>
      </c>
      <c r="K1236" s="473">
        <v>0.44336666666666663</v>
      </c>
      <c r="L1236" s="473">
        <v>0.58906666666666663</v>
      </c>
      <c r="M1236" s="473">
        <v>0.48410000000000003</v>
      </c>
      <c r="N1236" s="472">
        <f t="shared" si="134"/>
        <v>0.47039166666666665</v>
      </c>
      <c r="O1236" s="473">
        <v>0.36503333333333332</v>
      </c>
      <c r="P1236" s="473">
        <v>0.44336666666666663</v>
      </c>
      <c r="Q1236" s="473">
        <v>0.58906666666666663</v>
      </c>
      <c r="R1236" s="473">
        <v>0.48410000000000003</v>
      </c>
      <c r="S1236" s="153">
        <v>0.01</v>
      </c>
      <c r="T1236" s="153">
        <v>0.02</v>
      </c>
      <c r="U1236" s="478">
        <v>2018</v>
      </c>
      <c r="V1236" s="24">
        <f t="shared" si="130"/>
        <v>2038</v>
      </c>
      <c r="W1236">
        <v>0</v>
      </c>
      <c r="X1236">
        <v>0</v>
      </c>
      <c r="Y1236">
        <v>1315</v>
      </c>
      <c r="Z1236">
        <v>361</v>
      </c>
      <c r="AA1236" s="475" t="s">
        <v>24</v>
      </c>
    </row>
    <row r="1237" spans="1:27" ht="15" hidden="1">
      <c r="A1237" s="24">
        <f t="shared" si="135"/>
        <v>2236</v>
      </c>
      <c r="B1237" s="24">
        <f t="shared" si="135"/>
        <v>2236</v>
      </c>
      <c r="C1237" s="476" t="s">
        <v>1631</v>
      </c>
      <c r="D1237" t="s">
        <v>152</v>
      </c>
      <c r="E1237" s="477">
        <v>3</v>
      </c>
      <c r="F1237" s="471">
        <v>29.155000000000001</v>
      </c>
      <c r="G1237">
        <v>1</v>
      </c>
      <c r="H1237">
        <v>1</v>
      </c>
      <c r="I1237" s="472">
        <f t="shared" si="133"/>
        <v>0.47039166666666665</v>
      </c>
      <c r="J1237" s="473">
        <v>0.36503333333333332</v>
      </c>
      <c r="K1237" s="473">
        <v>0.44336666666666663</v>
      </c>
      <c r="L1237" s="473">
        <v>0.58906666666666663</v>
      </c>
      <c r="M1237" s="473">
        <v>0.48410000000000003</v>
      </c>
      <c r="N1237" s="472">
        <f t="shared" si="134"/>
        <v>0.47039166666666665</v>
      </c>
      <c r="O1237" s="473">
        <v>0.36503333333333332</v>
      </c>
      <c r="P1237" s="473">
        <v>0.44336666666666663</v>
      </c>
      <c r="Q1237" s="473">
        <v>0.58906666666666663</v>
      </c>
      <c r="R1237" s="473">
        <v>0.48410000000000003</v>
      </c>
      <c r="S1237" s="153">
        <v>0.01</v>
      </c>
      <c r="T1237" s="153">
        <v>0.02</v>
      </c>
      <c r="U1237" s="478">
        <v>2016</v>
      </c>
      <c r="V1237" s="24">
        <f t="shared" si="130"/>
        <v>2036</v>
      </c>
      <c r="W1237">
        <v>0</v>
      </c>
      <c r="X1237">
        <v>0</v>
      </c>
      <c r="Y1237">
        <v>1315</v>
      </c>
      <c r="Z1237">
        <v>361</v>
      </c>
      <c r="AA1237" s="475" t="s">
        <v>24</v>
      </c>
    </row>
    <row r="1238" spans="1:27" ht="15" hidden="1">
      <c r="A1238" s="24">
        <f t="shared" si="135"/>
        <v>2237</v>
      </c>
      <c r="B1238" s="24">
        <f t="shared" si="135"/>
        <v>2237</v>
      </c>
      <c r="C1238" s="476" t="s">
        <v>1632</v>
      </c>
      <c r="D1238" t="s">
        <v>152</v>
      </c>
      <c r="E1238" s="477">
        <v>3</v>
      </c>
      <c r="F1238" s="471">
        <v>29.155000000000001</v>
      </c>
      <c r="G1238">
        <v>1</v>
      </c>
      <c r="H1238">
        <v>1</v>
      </c>
      <c r="I1238" s="472">
        <f t="shared" si="133"/>
        <v>0.47039166666666665</v>
      </c>
      <c r="J1238" s="473">
        <v>0.36503333333333332</v>
      </c>
      <c r="K1238" s="473">
        <v>0.44336666666666663</v>
      </c>
      <c r="L1238" s="473">
        <v>0.58906666666666663</v>
      </c>
      <c r="M1238" s="473">
        <v>0.48410000000000003</v>
      </c>
      <c r="N1238" s="472">
        <f t="shared" si="134"/>
        <v>0.47039166666666665</v>
      </c>
      <c r="O1238" s="473">
        <v>0.36503333333333332</v>
      </c>
      <c r="P1238" s="473">
        <v>0.44336666666666663</v>
      </c>
      <c r="Q1238" s="473">
        <v>0.58906666666666663</v>
      </c>
      <c r="R1238" s="473">
        <v>0.48410000000000003</v>
      </c>
      <c r="S1238" s="153">
        <v>0.01</v>
      </c>
      <c r="T1238" s="153">
        <v>0.02</v>
      </c>
      <c r="U1238" s="478">
        <v>2016</v>
      </c>
      <c r="V1238" s="24">
        <f t="shared" si="130"/>
        <v>2036</v>
      </c>
      <c r="W1238">
        <v>0</v>
      </c>
      <c r="X1238">
        <v>0</v>
      </c>
      <c r="Y1238">
        <v>1315</v>
      </c>
      <c r="Z1238">
        <v>361</v>
      </c>
      <c r="AA1238" s="475" t="s">
        <v>24</v>
      </c>
    </row>
    <row r="1239" spans="1:27" ht="15" hidden="1">
      <c r="A1239" s="24">
        <f t="shared" si="135"/>
        <v>2238</v>
      </c>
      <c r="B1239" s="24">
        <f t="shared" si="135"/>
        <v>2238</v>
      </c>
      <c r="C1239" s="476" t="s">
        <v>1633</v>
      </c>
      <c r="D1239" t="s">
        <v>152</v>
      </c>
      <c r="E1239" s="477">
        <v>3</v>
      </c>
      <c r="F1239" s="471">
        <v>29.155000000000001</v>
      </c>
      <c r="G1239">
        <v>1</v>
      </c>
      <c r="H1239">
        <v>1</v>
      </c>
      <c r="I1239" s="472">
        <f t="shared" si="133"/>
        <v>0.47039166666666665</v>
      </c>
      <c r="J1239" s="473">
        <v>0.36503333333333332</v>
      </c>
      <c r="K1239" s="473">
        <v>0.44336666666666663</v>
      </c>
      <c r="L1239" s="473">
        <v>0.58906666666666663</v>
      </c>
      <c r="M1239" s="473">
        <v>0.48410000000000003</v>
      </c>
      <c r="N1239" s="472">
        <f t="shared" si="134"/>
        <v>0.47039166666666665</v>
      </c>
      <c r="O1239" s="473">
        <v>0.36503333333333332</v>
      </c>
      <c r="P1239" s="473">
        <v>0.44336666666666663</v>
      </c>
      <c r="Q1239" s="473">
        <v>0.58906666666666663</v>
      </c>
      <c r="R1239" s="473">
        <v>0.48410000000000003</v>
      </c>
      <c r="S1239" s="153">
        <v>0.01</v>
      </c>
      <c r="T1239" s="153">
        <v>0.02</v>
      </c>
      <c r="U1239" s="478">
        <v>2016</v>
      </c>
      <c r="V1239" s="24">
        <f t="shared" si="130"/>
        <v>2036</v>
      </c>
      <c r="W1239">
        <v>0</v>
      </c>
      <c r="X1239">
        <v>0</v>
      </c>
      <c r="Y1239">
        <v>1315</v>
      </c>
      <c r="Z1239">
        <v>361</v>
      </c>
      <c r="AA1239" s="475" t="s">
        <v>24</v>
      </c>
    </row>
    <row r="1240" spans="1:27" ht="15" hidden="1">
      <c r="A1240" s="24">
        <f t="shared" si="135"/>
        <v>2239</v>
      </c>
      <c r="B1240" s="24">
        <f t="shared" si="135"/>
        <v>2239</v>
      </c>
      <c r="C1240" s="476" t="s">
        <v>1634</v>
      </c>
      <c r="D1240" t="s">
        <v>152</v>
      </c>
      <c r="E1240" s="477">
        <v>3</v>
      </c>
      <c r="F1240" s="471">
        <v>29.155000000000001</v>
      </c>
      <c r="G1240">
        <v>1</v>
      </c>
      <c r="H1240">
        <v>1</v>
      </c>
      <c r="I1240" s="472">
        <f t="shared" si="133"/>
        <v>0.47039166666666665</v>
      </c>
      <c r="J1240" s="473">
        <v>0.36503333333333332</v>
      </c>
      <c r="K1240" s="473">
        <v>0.44336666666666663</v>
      </c>
      <c r="L1240" s="473">
        <v>0.58906666666666663</v>
      </c>
      <c r="M1240" s="473">
        <v>0.48410000000000003</v>
      </c>
      <c r="N1240" s="472">
        <f t="shared" si="134"/>
        <v>0.47039166666666665</v>
      </c>
      <c r="O1240" s="473">
        <v>0.36503333333333332</v>
      </c>
      <c r="P1240" s="473">
        <v>0.44336666666666663</v>
      </c>
      <c r="Q1240" s="473">
        <v>0.58906666666666663</v>
      </c>
      <c r="R1240" s="473">
        <v>0.48410000000000003</v>
      </c>
      <c r="S1240" s="153">
        <v>0.01</v>
      </c>
      <c r="T1240" s="153">
        <v>0.02</v>
      </c>
      <c r="U1240" s="478">
        <v>2016</v>
      </c>
      <c r="V1240" s="24">
        <f t="shared" si="130"/>
        <v>2036</v>
      </c>
      <c r="W1240">
        <v>0</v>
      </c>
      <c r="X1240">
        <v>0</v>
      </c>
      <c r="Y1240">
        <v>1315</v>
      </c>
      <c r="Z1240">
        <v>361</v>
      </c>
      <c r="AA1240" s="475" t="s">
        <v>24</v>
      </c>
    </row>
    <row r="1241" spans="1:27" ht="15" hidden="1">
      <c r="A1241" s="24">
        <f t="shared" si="135"/>
        <v>2240</v>
      </c>
      <c r="B1241" s="24">
        <f t="shared" si="135"/>
        <v>2240</v>
      </c>
      <c r="C1241" s="476" t="s">
        <v>1635</v>
      </c>
      <c r="D1241" t="s">
        <v>152</v>
      </c>
      <c r="E1241" s="477">
        <v>3</v>
      </c>
      <c r="F1241" s="471">
        <v>20.58</v>
      </c>
      <c r="G1241">
        <v>1</v>
      </c>
      <c r="H1241">
        <v>1</v>
      </c>
      <c r="I1241" s="472">
        <f t="shared" si="133"/>
        <v>0.47039166666666665</v>
      </c>
      <c r="J1241" s="473">
        <v>0.36503333333333332</v>
      </c>
      <c r="K1241" s="473">
        <v>0.44336666666666663</v>
      </c>
      <c r="L1241" s="473">
        <v>0.58906666666666663</v>
      </c>
      <c r="M1241" s="473">
        <v>0.48410000000000003</v>
      </c>
      <c r="N1241" s="472">
        <f t="shared" si="134"/>
        <v>0.47039166666666665</v>
      </c>
      <c r="O1241" s="473">
        <v>0.36503333333333332</v>
      </c>
      <c r="P1241" s="473">
        <v>0.44336666666666663</v>
      </c>
      <c r="Q1241" s="473">
        <v>0.58906666666666663</v>
      </c>
      <c r="R1241" s="473">
        <v>0.48410000000000003</v>
      </c>
      <c r="S1241" s="153">
        <v>0.01</v>
      </c>
      <c r="T1241" s="153">
        <v>0.02</v>
      </c>
      <c r="U1241" s="478">
        <v>2016</v>
      </c>
      <c r="V1241" s="24">
        <f t="shared" si="130"/>
        <v>2036</v>
      </c>
      <c r="W1241">
        <v>0</v>
      </c>
      <c r="X1241">
        <v>0</v>
      </c>
      <c r="Y1241">
        <v>1315</v>
      </c>
      <c r="Z1241">
        <v>361</v>
      </c>
      <c r="AA1241" s="475" t="s">
        <v>24</v>
      </c>
    </row>
    <row r="1242" spans="1:27" ht="15" hidden="1">
      <c r="A1242" s="24">
        <f t="shared" si="135"/>
        <v>2241</v>
      </c>
      <c r="B1242" s="24">
        <f t="shared" si="135"/>
        <v>2241</v>
      </c>
      <c r="C1242" s="476" t="s">
        <v>1636</v>
      </c>
      <c r="D1242" t="s">
        <v>152</v>
      </c>
      <c r="E1242" s="477">
        <v>3</v>
      </c>
      <c r="F1242" s="471">
        <v>8.5749999999999993</v>
      </c>
      <c r="G1242">
        <v>1</v>
      </c>
      <c r="H1242">
        <v>1</v>
      </c>
      <c r="I1242" s="472">
        <f t="shared" si="133"/>
        <v>0.47039166666666665</v>
      </c>
      <c r="J1242" s="473">
        <v>0.36503333333333332</v>
      </c>
      <c r="K1242" s="473">
        <v>0.44336666666666663</v>
      </c>
      <c r="L1242" s="473">
        <v>0.58906666666666663</v>
      </c>
      <c r="M1242" s="473">
        <v>0.48410000000000003</v>
      </c>
      <c r="N1242" s="472">
        <f t="shared" si="134"/>
        <v>0.47039166666666665</v>
      </c>
      <c r="O1242" s="473">
        <v>0.36503333333333332</v>
      </c>
      <c r="P1242" s="473">
        <v>0.44336666666666663</v>
      </c>
      <c r="Q1242" s="473">
        <v>0.58906666666666663</v>
      </c>
      <c r="R1242" s="473">
        <v>0.48410000000000003</v>
      </c>
      <c r="S1242" s="153">
        <v>0.01</v>
      </c>
      <c r="T1242" s="153">
        <v>0.02</v>
      </c>
      <c r="U1242" s="478">
        <v>2016</v>
      </c>
      <c r="V1242" s="24">
        <f t="shared" si="130"/>
        <v>2036</v>
      </c>
      <c r="W1242">
        <v>0</v>
      </c>
      <c r="X1242">
        <v>0</v>
      </c>
      <c r="Y1242">
        <v>1315</v>
      </c>
      <c r="Z1242">
        <v>361</v>
      </c>
      <c r="AA1242" s="475" t="s">
        <v>24</v>
      </c>
    </row>
    <row r="1243" spans="1:27" ht="15" hidden="1">
      <c r="A1243" s="24">
        <f t="shared" si="135"/>
        <v>2242</v>
      </c>
      <c r="B1243" s="24">
        <f t="shared" si="135"/>
        <v>2242</v>
      </c>
      <c r="C1243" s="476" t="s">
        <v>1637</v>
      </c>
      <c r="D1243" t="s">
        <v>152</v>
      </c>
      <c r="E1243" s="477">
        <v>3</v>
      </c>
      <c r="F1243" s="471">
        <v>25.725000000000001</v>
      </c>
      <c r="G1243">
        <v>1</v>
      </c>
      <c r="H1243">
        <v>1</v>
      </c>
      <c r="I1243" s="472">
        <f t="shared" si="133"/>
        <v>0.47039166666666665</v>
      </c>
      <c r="J1243" s="473">
        <v>0.36503333333333332</v>
      </c>
      <c r="K1243" s="473">
        <v>0.44336666666666663</v>
      </c>
      <c r="L1243" s="473">
        <v>0.58906666666666663</v>
      </c>
      <c r="M1243" s="473">
        <v>0.48410000000000003</v>
      </c>
      <c r="N1243" s="472">
        <f t="shared" si="134"/>
        <v>0.47039166666666665</v>
      </c>
      <c r="O1243" s="473">
        <v>0.36503333333333332</v>
      </c>
      <c r="P1243" s="473">
        <v>0.44336666666666663</v>
      </c>
      <c r="Q1243" s="473">
        <v>0.58906666666666663</v>
      </c>
      <c r="R1243" s="473">
        <v>0.48410000000000003</v>
      </c>
      <c r="S1243" s="153">
        <v>0.01</v>
      </c>
      <c r="T1243" s="153">
        <v>0.02</v>
      </c>
      <c r="U1243" s="478">
        <v>2016</v>
      </c>
      <c r="V1243" s="24">
        <f t="shared" si="130"/>
        <v>2036</v>
      </c>
      <c r="W1243">
        <v>0</v>
      </c>
      <c r="X1243">
        <v>0</v>
      </c>
      <c r="Y1243">
        <v>1315</v>
      </c>
      <c r="Z1243">
        <v>361</v>
      </c>
      <c r="AA1243" s="475" t="s">
        <v>24</v>
      </c>
    </row>
    <row r="1244" spans="1:27" ht="15" hidden="1">
      <c r="A1244" s="24">
        <f t="shared" si="135"/>
        <v>2243</v>
      </c>
      <c r="B1244" s="24">
        <f t="shared" si="135"/>
        <v>2243</v>
      </c>
      <c r="C1244" s="476" t="s">
        <v>1638</v>
      </c>
      <c r="D1244" t="s">
        <v>152</v>
      </c>
      <c r="E1244" s="477">
        <v>3</v>
      </c>
      <c r="F1244" s="471">
        <v>24.01</v>
      </c>
      <c r="G1244">
        <v>1</v>
      </c>
      <c r="H1244">
        <v>1</v>
      </c>
      <c r="I1244" s="472">
        <f t="shared" si="133"/>
        <v>0.47039166666666665</v>
      </c>
      <c r="J1244" s="473">
        <v>0.36503333333333332</v>
      </c>
      <c r="K1244" s="473">
        <v>0.44336666666666663</v>
      </c>
      <c r="L1244" s="473">
        <v>0.58906666666666663</v>
      </c>
      <c r="M1244" s="473">
        <v>0.48410000000000003</v>
      </c>
      <c r="N1244" s="472">
        <f t="shared" si="134"/>
        <v>0.47039166666666665</v>
      </c>
      <c r="O1244" s="473">
        <v>0.36503333333333332</v>
      </c>
      <c r="P1244" s="473">
        <v>0.44336666666666663</v>
      </c>
      <c r="Q1244" s="473">
        <v>0.58906666666666663</v>
      </c>
      <c r="R1244" s="473">
        <v>0.48410000000000003</v>
      </c>
      <c r="S1244" s="153">
        <v>0.01</v>
      </c>
      <c r="T1244" s="153">
        <v>0.02</v>
      </c>
      <c r="U1244" s="478">
        <v>2016</v>
      </c>
      <c r="V1244" s="24">
        <f t="shared" si="130"/>
        <v>2036</v>
      </c>
      <c r="W1244">
        <v>0</v>
      </c>
      <c r="X1244">
        <v>0</v>
      </c>
      <c r="Y1244">
        <v>1315</v>
      </c>
      <c r="Z1244">
        <v>361</v>
      </c>
      <c r="AA1244" s="475" t="s">
        <v>24</v>
      </c>
    </row>
    <row r="1245" spans="1:27" ht="15" hidden="1">
      <c r="A1245" s="24">
        <f t="shared" si="135"/>
        <v>2244</v>
      </c>
      <c r="B1245" s="24">
        <f t="shared" si="135"/>
        <v>2244</v>
      </c>
      <c r="C1245" s="476" t="s">
        <v>1639</v>
      </c>
      <c r="D1245" t="s">
        <v>152</v>
      </c>
      <c r="E1245" s="477">
        <v>3</v>
      </c>
      <c r="F1245" s="471">
        <v>6.86</v>
      </c>
      <c r="G1245">
        <v>1</v>
      </c>
      <c r="H1245">
        <v>1</v>
      </c>
      <c r="I1245" s="472">
        <f t="shared" si="133"/>
        <v>0.47039166666666665</v>
      </c>
      <c r="J1245" s="473">
        <v>0.36503333333333332</v>
      </c>
      <c r="K1245" s="473">
        <v>0.44336666666666663</v>
      </c>
      <c r="L1245" s="473">
        <v>0.58906666666666663</v>
      </c>
      <c r="M1245" s="473">
        <v>0.48410000000000003</v>
      </c>
      <c r="N1245" s="472">
        <f t="shared" si="134"/>
        <v>0.47039166666666665</v>
      </c>
      <c r="O1245" s="473">
        <v>0.36503333333333332</v>
      </c>
      <c r="P1245" s="473">
        <v>0.44336666666666663</v>
      </c>
      <c r="Q1245" s="473">
        <v>0.58906666666666663</v>
      </c>
      <c r="R1245" s="473">
        <v>0.48410000000000003</v>
      </c>
      <c r="S1245" s="153">
        <v>0.01</v>
      </c>
      <c r="T1245" s="153">
        <v>0.02</v>
      </c>
      <c r="U1245" s="478">
        <v>2016</v>
      </c>
      <c r="V1245" s="24">
        <f t="shared" si="130"/>
        <v>2036</v>
      </c>
      <c r="W1245">
        <v>0</v>
      </c>
      <c r="X1245">
        <v>0</v>
      </c>
      <c r="Y1245">
        <v>1315</v>
      </c>
      <c r="Z1245">
        <v>361</v>
      </c>
      <c r="AA1245" s="475" t="s">
        <v>24</v>
      </c>
    </row>
    <row r="1246" spans="1:27" ht="15" hidden="1">
      <c r="A1246" s="24">
        <f t="shared" si="135"/>
        <v>2245</v>
      </c>
      <c r="B1246" s="24">
        <f t="shared" si="135"/>
        <v>2245</v>
      </c>
      <c r="C1246" s="476" t="s">
        <v>1640</v>
      </c>
      <c r="D1246" t="s">
        <v>152</v>
      </c>
      <c r="E1246" s="477">
        <v>3</v>
      </c>
      <c r="F1246" s="471">
        <v>13.72</v>
      </c>
      <c r="G1246">
        <v>1</v>
      </c>
      <c r="H1246">
        <v>1</v>
      </c>
      <c r="I1246" s="472">
        <f t="shared" si="133"/>
        <v>0.47039166666666665</v>
      </c>
      <c r="J1246" s="473">
        <v>0.36503333333333332</v>
      </c>
      <c r="K1246" s="473">
        <v>0.44336666666666663</v>
      </c>
      <c r="L1246" s="473">
        <v>0.58906666666666663</v>
      </c>
      <c r="M1246" s="473">
        <v>0.48410000000000003</v>
      </c>
      <c r="N1246" s="472">
        <f t="shared" si="134"/>
        <v>0.47039166666666665</v>
      </c>
      <c r="O1246" s="473">
        <v>0.36503333333333332</v>
      </c>
      <c r="P1246" s="473">
        <v>0.44336666666666663</v>
      </c>
      <c r="Q1246" s="473">
        <v>0.58906666666666663</v>
      </c>
      <c r="R1246" s="473">
        <v>0.48410000000000003</v>
      </c>
      <c r="S1246" s="153">
        <v>0.01</v>
      </c>
      <c r="T1246" s="153">
        <v>0.02</v>
      </c>
      <c r="U1246" s="478">
        <v>2016</v>
      </c>
      <c r="V1246" s="24">
        <f t="shared" si="130"/>
        <v>2036</v>
      </c>
      <c r="W1246">
        <v>0</v>
      </c>
      <c r="X1246">
        <v>0</v>
      </c>
      <c r="Y1246">
        <v>1315</v>
      </c>
      <c r="Z1246">
        <v>361</v>
      </c>
      <c r="AA1246" s="475" t="s">
        <v>24</v>
      </c>
    </row>
    <row r="1247" spans="1:27" ht="15" hidden="1">
      <c r="A1247" s="24">
        <f t="shared" si="135"/>
        <v>2246</v>
      </c>
      <c r="B1247" s="24">
        <f t="shared" si="135"/>
        <v>2246</v>
      </c>
      <c r="C1247" s="476" t="s">
        <v>1641</v>
      </c>
      <c r="D1247" t="s">
        <v>152</v>
      </c>
      <c r="E1247" s="477">
        <v>3</v>
      </c>
      <c r="F1247" s="471">
        <v>20</v>
      </c>
      <c r="G1247">
        <v>1</v>
      </c>
      <c r="H1247">
        <v>1</v>
      </c>
      <c r="I1247" s="472">
        <f t="shared" si="133"/>
        <v>0.26420000000000005</v>
      </c>
      <c r="J1247" s="33">
        <v>0.29123333333333334</v>
      </c>
      <c r="K1247" s="33">
        <f t="shared" ref="K1247:K1254" si="136">0.296266666666667-0.07</f>
        <v>0.226266666666667</v>
      </c>
      <c r="L1247" s="33">
        <f t="shared" ref="L1247:L1254" si="137">0.3193-0.07</f>
        <v>0.24929999999999997</v>
      </c>
      <c r="M1247" s="33">
        <v>0.28999999999999998</v>
      </c>
      <c r="N1247" s="472">
        <f t="shared" si="134"/>
        <v>0.26420000000000005</v>
      </c>
      <c r="O1247" s="33">
        <v>0.29123333333333334</v>
      </c>
      <c r="P1247" s="33">
        <f t="shared" ref="P1247:P1254" si="138">0.296266666666667-0.07</f>
        <v>0.226266666666667</v>
      </c>
      <c r="Q1247" s="33">
        <f t="shared" ref="Q1247:Q1254" si="139">0.3193-0.07</f>
        <v>0.24929999999999997</v>
      </c>
      <c r="R1247" s="33">
        <v>0.28999999999999998</v>
      </c>
      <c r="S1247" s="153">
        <v>0.04</v>
      </c>
      <c r="T1247" s="153">
        <v>0</v>
      </c>
      <c r="U1247" s="478">
        <v>2018</v>
      </c>
      <c r="V1247" s="24">
        <f t="shared" ref="V1247:V1290" si="140">U1247+20</f>
        <v>2038</v>
      </c>
      <c r="W1247">
        <v>0</v>
      </c>
      <c r="X1247">
        <v>0</v>
      </c>
      <c r="Y1247">
        <v>1315</v>
      </c>
      <c r="Z1247">
        <v>347</v>
      </c>
      <c r="AA1247" s="475" t="s">
        <v>25</v>
      </c>
    </row>
    <row r="1248" spans="1:27" ht="15" hidden="1">
      <c r="A1248" s="24">
        <f t="shared" si="135"/>
        <v>2247</v>
      </c>
      <c r="B1248" s="24">
        <f t="shared" si="135"/>
        <v>2247</v>
      </c>
      <c r="C1248" s="476" t="s">
        <v>1642</v>
      </c>
      <c r="D1248" t="s">
        <v>152</v>
      </c>
      <c r="E1248" s="477">
        <v>3</v>
      </c>
      <c r="F1248" s="471">
        <v>25</v>
      </c>
      <c r="G1248">
        <v>1</v>
      </c>
      <c r="H1248">
        <v>1</v>
      </c>
      <c r="I1248" s="472">
        <f t="shared" si="133"/>
        <v>0.26420000000000005</v>
      </c>
      <c r="J1248" s="33">
        <v>0.29123333333333334</v>
      </c>
      <c r="K1248" s="33">
        <f t="shared" si="136"/>
        <v>0.226266666666667</v>
      </c>
      <c r="L1248" s="33">
        <f t="shared" si="137"/>
        <v>0.24929999999999997</v>
      </c>
      <c r="M1248" s="33">
        <v>0.28999999999999998</v>
      </c>
      <c r="N1248" s="472">
        <f t="shared" si="134"/>
        <v>0.26420000000000005</v>
      </c>
      <c r="O1248" s="33">
        <v>0.29123333333333334</v>
      </c>
      <c r="P1248" s="33">
        <f t="shared" si="138"/>
        <v>0.226266666666667</v>
      </c>
      <c r="Q1248" s="33">
        <f t="shared" si="139"/>
        <v>0.24929999999999997</v>
      </c>
      <c r="R1248" s="33">
        <v>0.28999999999999998</v>
      </c>
      <c r="S1248" s="153">
        <v>0.04</v>
      </c>
      <c r="T1248" s="153">
        <v>0</v>
      </c>
      <c r="U1248" s="478">
        <v>2018</v>
      </c>
      <c r="V1248" s="24">
        <f t="shared" si="140"/>
        <v>2038</v>
      </c>
      <c r="W1248">
        <v>0</v>
      </c>
      <c r="X1248">
        <v>0</v>
      </c>
      <c r="Y1248">
        <v>1315</v>
      </c>
      <c r="Z1248">
        <v>347</v>
      </c>
      <c r="AA1248" s="475" t="s">
        <v>25</v>
      </c>
    </row>
    <row r="1249" spans="1:27" ht="15" hidden="1">
      <c r="A1249" s="24">
        <f t="shared" si="135"/>
        <v>2248</v>
      </c>
      <c r="B1249" s="24">
        <f t="shared" si="135"/>
        <v>2248</v>
      </c>
      <c r="C1249" s="476" t="s">
        <v>1643</v>
      </c>
      <c r="D1249" t="s">
        <v>152</v>
      </c>
      <c r="E1249" s="477">
        <v>3</v>
      </c>
      <c r="F1249" s="471">
        <v>25</v>
      </c>
      <c r="G1249">
        <v>1</v>
      </c>
      <c r="H1249">
        <v>1</v>
      </c>
      <c r="I1249" s="472">
        <f t="shared" si="133"/>
        <v>0.26420000000000005</v>
      </c>
      <c r="J1249" s="33">
        <v>0.29123333333333334</v>
      </c>
      <c r="K1249" s="33">
        <f t="shared" si="136"/>
        <v>0.226266666666667</v>
      </c>
      <c r="L1249" s="33">
        <f t="shared" si="137"/>
        <v>0.24929999999999997</v>
      </c>
      <c r="M1249" s="33">
        <v>0.28999999999999998</v>
      </c>
      <c r="N1249" s="472">
        <f t="shared" si="134"/>
        <v>0.26420000000000005</v>
      </c>
      <c r="O1249" s="33">
        <v>0.29123333333333334</v>
      </c>
      <c r="P1249" s="33">
        <f t="shared" si="138"/>
        <v>0.226266666666667</v>
      </c>
      <c r="Q1249" s="33">
        <f t="shared" si="139"/>
        <v>0.24929999999999997</v>
      </c>
      <c r="R1249" s="33">
        <v>0.28999999999999998</v>
      </c>
      <c r="S1249" s="153">
        <v>0.04</v>
      </c>
      <c r="T1249" s="153">
        <v>0</v>
      </c>
      <c r="U1249" s="478">
        <v>2018</v>
      </c>
      <c r="V1249" s="24">
        <f t="shared" si="140"/>
        <v>2038</v>
      </c>
      <c r="W1249">
        <v>0</v>
      </c>
      <c r="X1249">
        <v>0</v>
      </c>
      <c r="Y1249">
        <v>1315</v>
      </c>
      <c r="Z1249">
        <v>347</v>
      </c>
      <c r="AA1249" s="475" t="s">
        <v>25</v>
      </c>
    </row>
    <row r="1250" spans="1:27" ht="15" hidden="1">
      <c r="A1250" s="24">
        <f t="shared" ref="A1250:B1269" si="141">1000+ROW()-1</f>
        <v>2249</v>
      </c>
      <c r="B1250" s="24">
        <f t="shared" si="141"/>
        <v>2249</v>
      </c>
      <c r="C1250" s="476" t="s">
        <v>1644</v>
      </c>
      <c r="D1250" t="s">
        <v>152</v>
      </c>
      <c r="E1250" s="477">
        <v>3</v>
      </c>
      <c r="F1250" s="471">
        <v>25</v>
      </c>
      <c r="G1250">
        <v>1</v>
      </c>
      <c r="H1250">
        <v>1</v>
      </c>
      <c r="I1250" s="472">
        <f t="shared" si="133"/>
        <v>0.26420000000000005</v>
      </c>
      <c r="J1250" s="33">
        <v>0.29123333333333334</v>
      </c>
      <c r="K1250" s="33">
        <f t="shared" si="136"/>
        <v>0.226266666666667</v>
      </c>
      <c r="L1250" s="33">
        <f t="shared" si="137"/>
        <v>0.24929999999999997</v>
      </c>
      <c r="M1250" s="33">
        <v>0.28999999999999998</v>
      </c>
      <c r="N1250" s="472">
        <f t="shared" si="134"/>
        <v>0.26420000000000005</v>
      </c>
      <c r="O1250" s="33">
        <v>0.29123333333333334</v>
      </c>
      <c r="P1250" s="33">
        <f t="shared" si="138"/>
        <v>0.226266666666667</v>
      </c>
      <c r="Q1250" s="33">
        <f t="shared" si="139"/>
        <v>0.24929999999999997</v>
      </c>
      <c r="R1250" s="33">
        <v>0.28999999999999998</v>
      </c>
      <c r="S1250" s="153">
        <v>0.04</v>
      </c>
      <c r="T1250" s="153">
        <v>0</v>
      </c>
      <c r="U1250" s="478">
        <v>2018</v>
      </c>
      <c r="V1250" s="24">
        <f t="shared" si="140"/>
        <v>2038</v>
      </c>
      <c r="W1250">
        <v>0</v>
      </c>
      <c r="X1250">
        <v>0</v>
      </c>
      <c r="Y1250">
        <v>1315</v>
      </c>
      <c r="Z1250">
        <v>347</v>
      </c>
      <c r="AA1250" s="475" t="s">
        <v>25</v>
      </c>
    </row>
    <row r="1251" spans="1:27" ht="15" hidden="1">
      <c r="A1251" s="24">
        <f t="shared" si="141"/>
        <v>2250</v>
      </c>
      <c r="B1251" s="24">
        <f t="shared" si="141"/>
        <v>2250</v>
      </c>
      <c r="C1251" s="476" t="s">
        <v>1645</v>
      </c>
      <c r="D1251" t="s">
        <v>152</v>
      </c>
      <c r="E1251" s="477">
        <v>3</v>
      </c>
      <c r="F1251" s="471">
        <v>29.835000000000001</v>
      </c>
      <c r="G1251">
        <v>1</v>
      </c>
      <c r="H1251">
        <v>1</v>
      </c>
      <c r="I1251" s="472">
        <f t="shared" si="133"/>
        <v>0.26420000000000005</v>
      </c>
      <c r="J1251" s="33">
        <v>0.29123333333333334</v>
      </c>
      <c r="K1251" s="33">
        <f t="shared" si="136"/>
        <v>0.226266666666667</v>
      </c>
      <c r="L1251" s="33">
        <f t="shared" si="137"/>
        <v>0.24929999999999997</v>
      </c>
      <c r="M1251" s="33">
        <v>0.28999999999999998</v>
      </c>
      <c r="N1251" s="472">
        <f t="shared" si="134"/>
        <v>0.26420000000000005</v>
      </c>
      <c r="O1251" s="33">
        <v>0.29123333333333334</v>
      </c>
      <c r="P1251" s="33">
        <f t="shared" si="138"/>
        <v>0.226266666666667</v>
      </c>
      <c r="Q1251" s="33">
        <f t="shared" si="139"/>
        <v>0.24929999999999997</v>
      </c>
      <c r="R1251" s="33">
        <v>0.28999999999999998</v>
      </c>
      <c r="S1251" s="153">
        <v>0.04</v>
      </c>
      <c r="T1251" s="153">
        <v>0</v>
      </c>
      <c r="U1251" s="478">
        <v>2018</v>
      </c>
      <c r="V1251" s="24">
        <f t="shared" si="140"/>
        <v>2038</v>
      </c>
      <c r="W1251">
        <v>0</v>
      </c>
      <c r="X1251">
        <v>0</v>
      </c>
      <c r="Y1251">
        <v>1315</v>
      </c>
      <c r="Z1251">
        <v>347</v>
      </c>
      <c r="AA1251" s="475" t="s">
        <v>25</v>
      </c>
    </row>
    <row r="1252" spans="1:27" ht="15" hidden="1">
      <c r="A1252" s="24">
        <f t="shared" si="141"/>
        <v>2251</v>
      </c>
      <c r="B1252" s="24">
        <f t="shared" si="141"/>
        <v>2251</v>
      </c>
      <c r="C1252" s="476" t="s">
        <v>1646</v>
      </c>
      <c r="D1252" t="s">
        <v>152</v>
      </c>
      <c r="E1252" s="477">
        <v>3</v>
      </c>
      <c r="F1252" s="471">
        <v>29.835000000000001</v>
      </c>
      <c r="G1252">
        <v>1</v>
      </c>
      <c r="H1252">
        <v>1</v>
      </c>
      <c r="I1252" s="472">
        <f t="shared" si="133"/>
        <v>0.26420000000000005</v>
      </c>
      <c r="J1252" s="33">
        <v>0.29123333333333334</v>
      </c>
      <c r="K1252" s="33">
        <f t="shared" si="136"/>
        <v>0.226266666666667</v>
      </c>
      <c r="L1252" s="33">
        <f t="shared" si="137"/>
        <v>0.24929999999999997</v>
      </c>
      <c r="M1252" s="33">
        <v>0.28999999999999998</v>
      </c>
      <c r="N1252" s="472">
        <f t="shared" si="134"/>
        <v>0.26420000000000005</v>
      </c>
      <c r="O1252" s="33">
        <v>0.29123333333333334</v>
      </c>
      <c r="P1252" s="33">
        <f t="shared" si="138"/>
        <v>0.226266666666667</v>
      </c>
      <c r="Q1252" s="33">
        <f t="shared" si="139"/>
        <v>0.24929999999999997</v>
      </c>
      <c r="R1252" s="33">
        <v>0.28999999999999998</v>
      </c>
      <c r="S1252" s="153">
        <v>0.04</v>
      </c>
      <c r="T1252" s="153">
        <v>0</v>
      </c>
      <c r="U1252" s="478">
        <v>2018</v>
      </c>
      <c r="V1252" s="24">
        <f t="shared" si="140"/>
        <v>2038</v>
      </c>
      <c r="W1252">
        <v>0</v>
      </c>
      <c r="X1252">
        <v>0</v>
      </c>
      <c r="Y1252">
        <v>1315</v>
      </c>
      <c r="Z1252">
        <v>347</v>
      </c>
      <c r="AA1252" s="475" t="s">
        <v>25</v>
      </c>
    </row>
    <row r="1253" spans="1:27" ht="15" hidden="1">
      <c r="A1253" s="24">
        <f t="shared" si="141"/>
        <v>2252</v>
      </c>
      <c r="B1253" s="24">
        <f t="shared" si="141"/>
        <v>2252</v>
      </c>
      <c r="C1253" s="476" t="s">
        <v>1647</v>
      </c>
      <c r="D1253" t="s">
        <v>152</v>
      </c>
      <c r="E1253" s="477">
        <v>3</v>
      </c>
      <c r="F1253" s="471">
        <v>29.835000000000001</v>
      </c>
      <c r="G1253">
        <v>1</v>
      </c>
      <c r="H1253">
        <v>1</v>
      </c>
      <c r="I1253" s="472">
        <f t="shared" si="133"/>
        <v>0.26420000000000005</v>
      </c>
      <c r="J1253" s="33">
        <v>0.29123333333333334</v>
      </c>
      <c r="K1253" s="33">
        <f t="shared" si="136"/>
        <v>0.226266666666667</v>
      </c>
      <c r="L1253" s="33">
        <f t="shared" si="137"/>
        <v>0.24929999999999997</v>
      </c>
      <c r="M1253" s="33">
        <v>0.28999999999999998</v>
      </c>
      <c r="N1253" s="472">
        <f t="shared" si="134"/>
        <v>0.26420000000000005</v>
      </c>
      <c r="O1253" s="33">
        <v>0.29123333333333334</v>
      </c>
      <c r="P1253" s="33">
        <f t="shared" si="138"/>
        <v>0.226266666666667</v>
      </c>
      <c r="Q1253" s="33">
        <f t="shared" si="139"/>
        <v>0.24929999999999997</v>
      </c>
      <c r="R1253" s="33">
        <v>0.28999999999999998</v>
      </c>
      <c r="S1253" s="153">
        <v>0.04</v>
      </c>
      <c r="T1253" s="153">
        <v>0</v>
      </c>
      <c r="U1253" s="478">
        <v>2018</v>
      </c>
      <c r="V1253" s="24">
        <f t="shared" si="140"/>
        <v>2038</v>
      </c>
      <c r="W1253">
        <v>0</v>
      </c>
      <c r="X1253">
        <v>0</v>
      </c>
      <c r="Y1253">
        <v>1315</v>
      </c>
      <c r="Z1253">
        <v>347</v>
      </c>
      <c r="AA1253" s="475" t="s">
        <v>25</v>
      </c>
    </row>
    <row r="1254" spans="1:27" ht="15" hidden="1">
      <c r="A1254" s="24">
        <f t="shared" si="141"/>
        <v>2253</v>
      </c>
      <c r="B1254" s="24">
        <f t="shared" si="141"/>
        <v>2253</v>
      </c>
      <c r="C1254" s="476" t="s">
        <v>1648</v>
      </c>
      <c r="D1254" t="s">
        <v>152</v>
      </c>
      <c r="E1254" s="477">
        <v>3</v>
      </c>
      <c r="F1254" s="471">
        <v>29.835000000000001</v>
      </c>
      <c r="G1254">
        <v>1</v>
      </c>
      <c r="H1254">
        <v>1</v>
      </c>
      <c r="I1254" s="472">
        <f t="shared" si="133"/>
        <v>0.26420000000000005</v>
      </c>
      <c r="J1254" s="33">
        <v>0.29123333333333334</v>
      </c>
      <c r="K1254" s="33">
        <f t="shared" si="136"/>
        <v>0.226266666666667</v>
      </c>
      <c r="L1254" s="33">
        <f t="shared" si="137"/>
        <v>0.24929999999999997</v>
      </c>
      <c r="M1254" s="33">
        <v>0.28999999999999998</v>
      </c>
      <c r="N1254" s="472">
        <f t="shared" si="134"/>
        <v>0.26420000000000005</v>
      </c>
      <c r="O1254" s="33">
        <v>0.29123333333333334</v>
      </c>
      <c r="P1254" s="33">
        <f t="shared" si="138"/>
        <v>0.226266666666667</v>
      </c>
      <c r="Q1254" s="33">
        <f t="shared" si="139"/>
        <v>0.24929999999999997</v>
      </c>
      <c r="R1254" s="33">
        <v>0.28999999999999998</v>
      </c>
      <c r="S1254" s="153">
        <v>0.04</v>
      </c>
      <c r="T1254" s="153">
        <v>0</v>
      </c>
      <c r="U1254" s="478">
        <v>2018</v>
      </c>
      <c r="V1254" s="24">
        <f t="shared" si="140"/>
        <v>2038</v>
      </c>
      <c r="W1254">
        <v>0</v>
      </c>
      <c r="X1254">
        <v>0</v>
      </c>
      <c r="Y1254">
        <v>1315</v>
      </c>
      <c r="Z1254">
        <v>347</v>
      </c>
      <c r="AA1254" s="475" t="s">
        <v>25</v>
      </c>
    </row>
    <row r="1255" spans="1:27" ht="15" hidden="1">
      <c r="A1255" s="24">
        <f t="shared" si="141"/>
        <v>2254</v>
      </c>
      <c r="B1255" s="24">
        <f t="shared" si="141"/>
        <v>2254</v>
      </c>
      <c r="C1255" s="476" t="s">
        <v>1649</v>
      </c>
      <c r="D1255" t="s">
        <v>146</v>
      </c>
      <c r="E1255" s="477">
        <v>1</v>
      </c>
      <c r="F1255" s="471">
        <v>30</v>
      </c>
      <c r="G1255">
        <v>1</v>
      </c>
      <c r="H1255">
        <v>1</v>
      </c>
      <c r="I1255" s="472">
        <f t="shared" si="133"/>
        <v>0.25418333333333343</v>
      </c>
      <c r="J1255" s="33">
        <v>0.29116666666666663</v>
      </c>
      <c r="K1255" s="33">
        <f t="shared" ref="K1255:K1263" si="142">0.2844-0.07</f>
        <v>0.21439999999999998</v>
      </c>
      <c r="L1255" s="33">
        <f t="shared" ref="L1255:L1263" si="143">0.291166666666667-0.07</f>
        <v>0.22116666666666701</v>
      </c>
      <c r="M1255" s="33">
        <v>0.28999999999999998</v>
      </c>
      <c r="N1255" s="472">
        <f t="shared" si="134"/>
        <v>0.25418333333333343</v>
      </c>
      <c r="O1255" s="33">
        <v>0.29116666666666663</v>
      </c>
      <c r="P1255" s="33">
        <f t="shared" ref="P1255:P1263" si="144">0.2844-0.07</f>
        <v>0.21439999999999998</v>
      </c>
      <c r="Q1255" s="33">
        <f t="shared" ref="Q1255:Q1263" si="145">0.291166666666667-0.07</f>
        <v>0.22116666666666701</v>
      </c>
      <c r="R1255" s="33">
        <v>0.28999999999999998</v>
      </c>
      <c r="S1255" s="153">
        <v>0.04</v>
      </c>
      <c r="T1255" s="153">
        <v>0</v>
      </c>
      <c r="U1255" s="478">
        <v>2018</v>
      </c>
      <c r="V1255" s="24">
        <f t="shared" si="140"/>
        <v>2038</v>
      </c>
      <c r="W1255">
        <v>0</v>
      </c>
      <c r="X1255">
        <v>0</v>
      </c>
      <c r="Y1255">
        <v>1315</v>
      </c>
      <c r="Z1255">
        <v>347</v>
      </c>
      <c r="AA1255" s="475" t="s">
        <v>25</v>
      </c>
    </row>
    <row r="1256" spans="1:27" ht="15" hidden="1">
      <c r="A1256" s="24">
        <f t="shared" si="141"/>
        <v>2255</v>
      </c>
      <c r="B1256" s="24">
        <f t="shared" si="141"/>
        <v>2255</v>
      </c>
      <c r="C1256" s="476" t="s">
        <v>1650</v>
      </c>
      <c r="D1256" t="s">
        <v>146</v>
      </c>
      <c r="E1256" s="477">
        <v>1</v>
      </c>
      <c r="F1256" s="471">
        <v>30</v>
      </c>
      <c r="G1256">
        <v>1</v>
      </c>
      <c r="H1256">
        <v>1</v>
      </c>
      <c r="I1256" s="472">
        <f t="shared" si="133"/>
        <v>0.25418333333333343</v>
      </c>
      <c r="J1256" s="33">
        <v>0.29116666666666663</v>
      </c>
      <c r="K1256" s="33">
        <f t="shared" si="142"/>
        <v>0.21439999999999998</v>
      </c>
      <c r="L1256" s="33">
        <f t="shared" si="143"/>
        <v>0.22116666666666701</v>
      </c>
      <c r="M1256" s="33">
        <v>0.28999999999999998</v>
      </c>
      <c r="N1256" s="472">
        <f t="shared" si="134"/>
        <v>0.25418333333333343</v>
      </c>
      <c r="O1256" s="33">
        <v>0.29116666666666663</v>
      </c>
      <c r="P1256" s="33">
        <f t="shared" si="144"/>
        <v>0.21439999999999998</v>
      </c>
      <c r="Q1256" s="33">
        <f t="shared" si="145"/>
        <v>0.22116666666666701</v>
      </c>
      <c r="R1256" s="33">
        <v>0.28999999999999998</v>
      </c>
      <c r="S1256" s="153">
        <v>0.04</v>
      </c>
      <c r="T1256" s="153">
        <v>0</v>
      </c>
      <c r="U1256" s="478">
        <v>2018</v>
      </c>
      <c r="V1256" s="24">
        <f t="shared" si="140"/>
        <v>2038</v>
      </c>
      <c r="W1256">
        <v>0</v>
      </c>
      <c r="X1256">
        <v>0</v>
      </c>
      <c r="Y1256">
        <v>1315</v>
      </c>
      <c r="Z1256">
        <v>347</v>
      </c>
      <c r="AA1256" s="475" t="s">
        <v>25</v>
      </c>
    </row>
    <row r="1257" spans="1:27" ht="15" hidden="1">
      <c r="A1257" s="24">
        <f t="shared" si="141"/>
        <v>2256</v>
      </c>
      <c r="B1257" s="24">
        <f t="shared" si="141"/>
        <v>2256</v>
      </c>
      <c r="C1257" s="476" t="s">
        <v>1651</v>
      </c>
      <c r="D1257" t="s">
        <v>146</v>
      </c>
      <c r="E1257" s="477">
        <v>1</v>
      </c>
      <c r="F1257" s="471">
        <v>30</v>
      </c>
      <c r="G1257">
        <v>1</v>
      </c>
      <c r="H1257">
        <v>1</v>
      </c>
      <c r="I1257" s="472">
        <f t="shared" si="133"/>
        <v>0.25418333333333343</v>
      </c>
      <c r="J1257" s="33">
        <v>0.29116666666666663</v>
      </c>
      <c r="K1257" s="33">
        <f t="shared" si="142"/>
        <v>0.21439999999999998</v>
      </c>
      <c r="L1257" s="33">
        <f t="shared" si="143"/>
        <v>0.22116666666666701</v>
      </c>
      <c r="M1257" s="33">
        <v>0.28999999999999998</v>
      </c>
      <c r="N1257" s="472">
        <f t="shared" si="134"/>
        <v>0.25418333333333343</v>
      </c>
      <c r="O1257" s="33">
        <v>0.29116666666666663</v>
      </c>
      <c r="P1257" s="33">
        <f t="shared" si="144"/>
        <v>0.21439999999999998</v>
      </c>
      <c r="Q1257" s="33">
        <f t="shared" si="145"/>
        <v>0.22116666666666701</v>
      </c>
      <c r="R1257" s="33">
        <v>0.28999999999999998</v>
      </c>
      <c r="S1257" s="153">
        <v>0.04</v>
      </c>
      <c r="T1257" s="153">
        <v>0</v>
      </c>
      <c r="U1257" s="478">
        <v>2018</v>
      </c>
      <c r="V1257" s="24">
        <f t="shared" si="140"/>
        <v>2038</v>
      </c>
      <c r="W1257">
        <v>0</v>
      </c>
      <c r="X1257">
        <v>0</v>
      </c>
      <c r="Y1257">
        <v>1315</v>
      </c>
      <c r="Z1257">
        <v>347</v>
      </c>
      <c r="AA1257" s="475" t="s">
        <v>25</v>
      </c>
    </row>
    <row r="1258" spans="1:27" ht="15" hidden="1">
      <c r="A1258" s="24">
        <f t="shared" si="141"/>
        <v>2257</v>
      </c>
      <c r="B1258" s="24">
        <f t="shared" si="141"/>
        <v>2257</v>
      </c>
      <c r="C1258" s="476" t="s">
        <v>1652</v>
      </c>
      <c r="D1258" t="s">
        <v>146</v>
      </c>
      <c r="E1258" s="477">
        <v>1</v>
      </c>
      <c r="F1258" s="471">
        <v>30</v>
      </c>
      <c r="G1258">
        <v>1</v>
      </c>
      <c r="H1258">
        <v>1</v>
      </c>
      <c r="I1258" s="472">
        <f t="shared" si="133"/>
        <v>0.25418333333333343</v>
      </c>
      <c r="J1258" s="33">
        <v>0.29116666666666663</v>
      </c>
      <c r="K1258" s="33">
        <f t="shared" si="142"/>
        <v>0.21439999999999998</v>
      </c>
      <c r="L1258" s="33">
        <f t="shared" si="143"/>
        <v>0.22116666666666701</v>
      </c>
      <c r="M1258" s="33">
        <v>0.28999999999999998</v>
      </c>
      <c r="N1258" s="472">
        <f t="shared" si="134"/>
        <v>0.25418333333333343</v>
      </c>
      <c r="O1258" s="33">
        <v>0.29116666666666663</v>
      </c>
      <c r="P1258" s="33">
        <f t="shared" si="144"/>
        <v>0.21439999999999998</v>
      </c>
      <c r="Q1258" s="33">
        <f t="shared" si="145"/>
        <v>0.22116666666666701</v>
      </c>
      <c r="R1258" s="33">
        <v>0.28999999999999998</v>
      </c>
      <c r="S1258" s="153">
        <v>0.04</v>
      </c>
      <c r="T1258" s="153">
        <v>0</v>
      </c>
      <c r="U1258" s="478">
        <v>2018</v>
      </c>
      <c r="V1258" s="24">
        <f t="shared" si="140"/>
        <v>2038</v>
      </c>
      <c r="W1258">
        <v>0</v>
      </c>
      <c r="X1258">
        <v>0</v>
      </c>
      <c r="Y1258">
        <v>1315</v>
      </c>
      <c r="Z1258">
        <v>347</v>
      </c>
      <c r="AA1258" s="475" t="s">
        <v>25</v>
      </c>
    </row>
    <row r="1259" spans="1:27" ht="15" hidden="1">
      <c r="A1259" s="24">
        <f t="shared" si="141"/>
        <v>2258</v>
      </c>
      <c r="B1259" s="24">
        <f t="shared" si="141"/>
        <v>2258</v>
      </c>
      <c r="C1259" s="476" t="s">
        <v>1653</v>
      </c>
      <c r="D1259" t="s">
        <v>146</v>
      </c>
      <c r="E1259" s="477">
        <v>1</v>
      </c>
      <c r="F1259" s="471">
        <v>30</v>
      </c>
      <c r="G1259">
        <v>1</v>
      </c>
      <c r="H1259">
        <v>1</v>
      </c>
      <c r="I1259" s="472">
        <f t="shared" si="133"/>
        <v>0.25418333333333343</v>
      </c>
      <c r="J1259" s="33">
        <v>0.29116666666666663</v>
      </c>
      <c r="K1259" s="33">
        <f t="shared" si="142"/>
        <v>0.21439999999999998</v>
      </c>
      <c r="L1259" s="33">
        <f t="shared" si="143"/>
        <v>0.22116666666666701</v>
      </c>
      <c r="M1259" s="33">
        <v>0.28999999999999998</v>
      </c>
      <c r="N1259" s="472">
        <f t="shared" si="134"/>
        <v>0.25418333333333343</v>
      </c>
      <c r="O1259" s="33">
        <v>0.29116666666666663</v>
      </c>
      <c r="P1259" s="33">
        <f t="shared" si="144"/>
        <v>0.21439999999999998</v>
      </c>
      <c r="Q1259" s="33">
        <f t="shared" si="145"/>
        <v>0.22116666666666701</v>
      </c>
      <c r="R1259" s="33">
        <v>0.28999999999999998</v>
      </c>
      <c r="S1259" s="153">
        <v>0.04</v>
      </c>
      <c r="T1259" s="153">
        <v>0</v>
      </c>
      <c r="U1259" s="478">
        <v>2018</v>
      </c>
      <c r="V1259" s="24">
        <f t="shared" si="140"/>
        <v>2038</v>
      </c>
      <c r="W1259">
        <v>0</v>
      </c>
      <c r="X1259">
        <v>0</v>
      </c>
      <c r="Y1259">
        <v>1315</v>
      </c>
      <c r="Z1259">
        <v>347</v>
      </c>
      <c r="AA1259" s="475" t="s">
        <v>25</v>
      </c>
    </row>
    <row r="1260" spans="1:27" ht="15" hidden="1">
      <c r="A1260" s="24">
        <f t="shared" si="141"/>
        <v>2259</v>
      </c>
      <c r="B1260" s="24">
        <f t="shared" si="141"/>
        <v>2259</v>
      </c>
      <c r="C1260" s="476" t="s">
        <v>1654</v>
      </c>
      <c r="D1260" t="s">
        <v>146</v>
      </c>
      <c r="E1260" s="477">
        <v>1</v>
      </c>
      <c r="F1260" s="471">
        <v>30</v>
      </c>
      <c r="G1260">
        <v>1</v>
      </c>
      <c r="H1260">
        <v>1</v>
      </c>
      <c r="I1260" s="472">
        <f t="shared" si="133"/>
        <v>0.25418333333333343</v>
      </c>
      <c r="J1260" s="33">
        <v>0.29116666666666663</v>
      </c>
      <c r="K1260" s="33">
        <f t="shared" si="142"/>
        <v>0.21439999999999998</v>
      </c>
      <c r="L1260" s="33">
        <f t="shared" si="143"/>
        <v>0.22116666666666701</v>
      </c>
      <c r="M1260" s="33">
        <v>0.28999999999999998</v>
      </c>
      <c r="N1260" s="472">
        <f t="shared" si="134"/>
        <v>0.25418333333333343</v>
      </c>
      <c r="O1260" s="33">
        <v>0.29116666666666663</v>
      </c>
      <c r="P1260" s="33">
        <f t="shared" si="144"/>
        <v>0.21439999999999998</v>
      </c>
      <c r="Q1260" s="33">
        <f t="shared" si="145"/>
        <v>0.22116666666666701</v>
      </c>
      <c r="R1260" s="33">
        <v>0.28999999999999998</v>
      </c>
      <c r="S1260" s="153">
        <v>0.04</v>
      </c>
      <c r="T1260" s="153">
        <v>0</v>
      </c>
      <c r="U1260" s="478">
        <v>2018</v>
      </c>
      <c r="V1260" s="24">
        <f t="shared" si="140"/>
        <v>2038</v>
      </c>
      <c r="W1260">
        <v>0</v>
      </c>
      <c r="X1260">
        <v>0</v>
      </c>
      <c r="Y1260">
        <v>1315</v>
      </c>
      <c r="Z1260">
        <v>347</v>
      </c>
      <c r="AA1260" s="475" t="s">
        <v>25</v>
      </c>
    </row>
    <row r="1261" spans="1:27" ht="15" hidden="1">
      <c r="A1261" s="24">
        <f t="shared" si="141"/>
        <v>2260</v>
      </c>
      <c r="B1261" s="24">
        <f t="shared" si="141"/>
        <v>2260</v>
      </c>
      <c r="C1261" s="476" t="s">
        <v>1655</v>
      </c>
      <c r="D1261" t="s">
        <v>146</v>
      </c>
      <c r="E1261" s="477">
        <v>1</v>
      </c>
      <c r="F1261" s="471">
        <v>30</v>
      </c>
      <c r="G1261">
        <v>1</v>
      </c>
      <c r="H1261">
        <v>1</v>
      </c>
      <c r="I1261" s="472">
        <f t="shared" si="133"/>
        <v>0.25418333333333343</v>
      </c>
      <c r="J1261" s="33">
        <v>0.29116666666666663</v>
      </c>
      <c r="K1261" s="33">
        <f t="shared" si="142"/>
        <v>0.21439999999999998</v>
      </c>
      <c r="L1261" s="33">
        <f t="shared" si="143"/>
        <v>0.22116666666666701</v>
      </c>
      <c r="M1261" s="33">
        <v>0.28999999999999998</v>
      </c>
      <c r="N1261" s="472">
        <f t="shared" si="134"/>
        <v>0.25418333333333343</v>
      </c>
      <c r="O1261" s="33">
        <v>0.29116666666666663</v>
      </c>
      <c r="P1261" s="33">
        <f t="shared" si="144"/>
        <v>0.21439999999999998</v>
      </c>
      <c r="Q1261" s="33">
        <f t="shared" si="145"/>
        <v>0.22116666666666701</v>
      </c>
      <c r="R1261" s="33">
        <v>0.28999999999999998</v>
      </c>
      <c r="S1261" s="153">
        <v>0.04</v>
      </c>
      <c r="T1261" s="153">
        <v>0</v>
      </c>
      <c r="U1261" s="478">
        <v>2018</v>
      </c>
      <c r="V1261" s="24">
        <f t="shared" si="140"/>
        <v>2038</v>
      </c>
      <c r="W1261">
        <v>0</v>
      </c>
      <c r="X1261">
        <v>0</v>
      </c>
      <c r="Y1261">
        <v>1315</v>
      </c>
      <c r="Z1261">
        <v>347</v>
      </c>
      <c r="AA1261" s="475" t="s">
        <v>25</v>
      </c>
    </row>
    <row r="1262" spans="1:27" ht="15" hidden="1">
      <c r="A1262" s="24">
        <f t="shared" si="141"/>
        <v>2261</v>
      </c>
      <c r="B1262" s="24">
        <f t="shared" si="141"/>
        <v>2261</v>
      </c>
      <c r="C1262" s="476" t="s">
        <v>1656</v>
      </c>
      <c r="D1262" t="s">
        <v>146</v>
      </c>
      <c r="E1262" s="477">
        <v>1</v>
      </c>
      <c r="F1262" s="471">
        <v>30</v>
      </c>
      <c r="G1262">
        <v>1</v>
      </c>
      <c r="H1262">
        <v>1</v>
      </c>
      <c r="I1262" s="472">
        <f t="shared" si="133"/>
        <v>0.25418333333333343</v>
      </c>
      <c r="J1262" s="33">
        <v>0.29116666666666663</v>
      </c>
      <c r="K1262" s="33">
        <f t="shared" si="142"/>
        <v>0.21439999999999998</v>
      </c>
      <c r="L1262" s="33">
        <f t="shared" si="143"/>
        <v>0.22116666666666701</v>
      </c>
      <c r="M1262" s="33">
        <v>0.28999999999999998</v>
      </c>
      <c r="N1262" s="472">
        <f t="shared" si="134"/>
        <v>0.25418333333333343</v>
      </c>
      <c r="O1262" s="33">
        <v>0.29116666666666663</v>
      </c>
      <c r="P1262" s="33">
        <f t="shared" si="144"/>
        <v>0.21439999999999998</v>
      </c>
      <c r="Q1262" s="33">
        <f t="shared" si="145"/>
        <v>0.22116666666666701</v>
      </c>
      <c r="R1262" s="33">
        <v>0.28999999999999998</v>
      </c>
      <c r="S1262" s="153">
        <v>0.04</v>
      </c>
      <c r="T1262" s="153">
        <v>0</v>
      </c>
      <c r="U1262" s="478">
        <v>2018</v>
      </c>
      <c r="V1262" s="24">
        <f t="shared" si="140"/>
        <v>2038</v>
      </c>
      <c r="W1262">
        <v>0</v>
      </c>
      <c r="X1262">
        <v>0</v>
      </c>
      <c r="Y1262">
        <v>1315</v>
      </c>
      <c r="Z1262">
        <v>347</v>
      </c>
      <c r="AA1262" s="475" t="s">
        <v>25</v>
      </c>
    </row>
    <row r="1263" spans="1:27" ht="15" hidden="1">
      <c r="A1263" s="24">
        <f t="shared" si="141"/>
        <v>2262</v>
      </c>
      <c r="B1263" s="24">
        <f t="shared" si="141"/>
        <v>2262</v>
      </c>
      <c r="C1263" s="476" t="s">
        <v>1657</v>
      </c>
      <c r="D1263" t="s">
        <v>146</v>
      </c>
      <c r="E1263" s="477">
        <v>1</v>
      </c>
      <c r="F1263" s="471">
        <v>30</v>
      </c>
      <c r="G1263">
        <v>1</v>
      </c>
      <c r="H1263">
        <v>1</v>
      </c>
      <c r="I1263" s="472">
        <f t="shared" si="133"/>
        <v>0.25418333333333343</v>
      </c>
      <c r="J1263" s="33">
        <v>0.29116666666666663</v>
      </c>
      <c r="K1263" s="33">
        <f t="shared" si="142"/>
        <v>0.21439999999999998</v>
      </c>
      <c r="L1263" s="33">
        <f t="shared" si="143"/>
        <v>0.22116666666666701</v>
      </c>
      <c r="M1263" s="33">
        <v>0.28999999999999998</v>
      </c>
      <c r="N1263" s="472">
        <f t="shared" si="134"/>
        <v>0.25418333333333343</v>
      </c>
      <c r="O1263" s="33">
        <v>0.29116666666666663</v>
      </c>
      <c r="P1263" s="33">
        <f t="shared" si="144"/>
        <v>0.21439999999999998</v>
      </c>
      <c r="Q1263" s="33">
        <f t="shared" si="145"/>
        <v>0.22116666666666701</v>
      </c>
      <c r="R1263" s="33">
        <v>0.28999999999999998</v>
      </c>
      <c r="S1263" s="153">
        <v>0.04</v>
      </c>
      <c r="T1263" s="153">
        <v>0</v>
      </c>
      <c r="U1263" s="478">
        <v>2018</v>
      </c>
      <c r="V1263" s="24">
        <f t="shared" si="140"/>
        <v>2038</v>
      </c>
      <c r="W1263">
        <v>0</v>
      </c>
      <c r="X1263">
        <v>0</v>
      </c>
      <c r="Y1263">
        <v>1315</v>
      </c>
      <c r="Z1263">
        <v>347</v>
      </c>
      <c r="AA1263" s="475" t="s">
        <v>25</v>
      </c>
    </row>
    <row r="1264" spans="1:27" ht="15" hidden="1">
      <c r="A1264" s="24">
        <f t="shared" si="141"/>
        <v>2263</v>
      </c>
      <c r="B1264" s="24">
        <f t="shared" si="141"/>
        <v>2263</v>
      </c>
      <c r="C1264" s="476" t="s">
        <v>1658</v>
      </c>
      <c r="D1264" t="s">
        <v>152</v>
      </c>
      <c r="E1264" s="477">
        <v>3</v>
      </c>
      <c r="F1264" s="471">
        <v>30</v>
      </c>
      <c r="G1264">
        <v>1</v>
      </c>
      <c r="H1264">
        <v>1</v>
      </c>
      <c r="I1264" s="472">
        <f t="shared" si="133"/>
        <v>0.26420000000000005</v>
      </c>
      <c r="J1264" s="33">
        <v>0.29123333333333334</v>
      </c>
      <c r="K1264" s="33">
        <f t="shared" ref="K1264:K1279" si="146">0.296266666666667-0.07</f>
        <v>0.226266666666667</v>
      </c>
      <c r="L1264" s="33">
        <f t="shared" ref="L1264:L1279" si="147">0.3193-0.07</f>
        <v>0.24929999999999997</v>
      </c>
      <c r="M1264" s="33">
        <v>0.28999999999999998</v>
      </c>
      <c r="N1264" s="472">
        <f t="shared" si="134"/>
        <v>0.26420000000000005</v>
      </c>
      <c r="O1264" s="33">
        <v>0.29123333333333334</v>
      </c>
      <c r="P1264" s="33">
        <f t="shared" ref="P1264:P1279" si="148">0.296266666666667-0.07</f>
        <v>0.226266666666667</v>
      </c>
      <c r="Q1264" s="33">
        <f t="shared" ref="Q1264:Q1279" si="149">0.3193-0.07</f>
        <v>0.24929999999999997</v>
      </c>
      <c r="R1264" s="33">
        <v>0.28999999999999998</v>
      </c>
      <c r="S1264" s="153">
        <v>0.04</v>
      </c>
      <c r="T1264" s="153">
        <v>0</v>
      </c>
      <c r="U1264" s="478">
        <v>2018</v>
      </c>
      <c r="V1264" s="24">
        <f t="shared" si="140"/>
        <v>2038</v>
      </c>
      <c r="W1264">
        <v>0</v>
      </c>
      <c r="X1264">
        <v>0</v>
      </c>
      <c r="Y1264">
        <v>1315</v>
      </c>
      <c r="Z1264">
        <v>347</v>
      </c>
      <c r="AA1264" s="475" t="s">
        <v>25</v>
      </c>
    </row>
    <row r="1265" spans="1:27" ht="15" hidden="1">
      <c r="A1265" s="24">
        <f t="shared" si="141"/>
        <v>2264</v>
      </c>
      <c r="B1265" s="24">
        <f t="shared" si="141"/>
        <v>2264</v>
      </c>
      <c r="C1265" s="476" t="s">
        <v>1659</v>
      </c>
      <c r="D1265" t="s">
        <v>152</v>
      </c>
      <c r="E1265" s="477">
        <v>3</v>
      </c>
      <c r="F1265" s="471">
        <v>30</v>
      </c>
      <c r="G1265">
        <v>1</v>
      </c>
      <c r="H1265">
        <v>1</v>
      </c>
      <c r="I1265" s="472">
        <f t="shared" si="133"/>
        <v>0.26420000000000005</v>
      </c>
      <c r="J1265" s="33">
        <v>0.29123333333333334</v>
      </c>
      <c r="K1265" s="33">
        <f t="shared" si="146"/>
        <v>0.226266666666667</v>
      </c>
      <c r="L1265" s="33">
        <f t="shared" si="147"/>
        <v>0.24929999999999997</v>
      </c>
      <c r="M1265" s="33">
        <v>0.28999999999999998</v>
      </c>
      <c r="N1265" s="472">
        <f t="shared" si="134"/>
        <v>0.26420000000000005</v>
      </c>
      <c r="O1265" s="33">
        <v>0.29123333333333334</v>
      </c>
      <c r="P1265" s="33">
        <f t="shared" si="148"/>
        <v>0.226266666666667</v>
      </c>
      <c r="Q1265" s="33">
        <f t="shared" si="149"/>
        <v>0.24929999999999997</v>
      </c>
      <c r="R1265" s="33">
        <v>0.28999999999999998</v>
      </c>
      <c r="S1265" s="153">
        <v>0.04</v>
      </c>
      <c r="T1265" s="153">
        <v>0</v>
      </c>
      <c r="U1265" s="478">
        <v>2018</v>
      </c>
      <c r="V1265" s="24">
        <f t="shared" si="140"/>
        <v>2038</v>
      </c>
      <c r="W1265">
        <v>0</v>
      </c>
      <c r="X1265">
        <v>0</v>
      </c>
      <c r="Y1265">
        <v>1315</v>
      </c>
      <c r="Z1265">
        <v>347</v>
      </c>
      <c r="AA1265" s="475" t="s">
        <v>25</v>
      </c>
    </row>
    <row r="1266" spans="1:27" ht="15" hidden="1">
      <c r="A1266" s="24">
        <f t="shared" si="141"/>
        <v>2265</v>
      </c>
      <c r="B1266" s="24">
        <f t="shared" si="141"/>
        <v>2265</v>
      </c>
      <c r="C1266" s="476" t="s">
        <v>1660</v>
      </c>
      <c r="D1266" t="s">
        <v>152</v>
      </c>
      <c r="E1266" s="477">
        <v>3</v>
      </c>
      <c r="F1266" s="471">
        <v>30</v>
      </c>
      <c r="G1266">
        <v>1</v>
      </c>
      <c r="H1266">
        <v>1</v>
      </c>
      <c r="I1266" s="472">
        <f t="shared" si="133"/>
        <v>0.26420000000000005</v>
      </c>
      <c r="J1266" s="33">
        <v>0.29123333333333334</v>
      </c>
      <c r="K1266" s="33">
        <f t="shared" si="146"/>
        <v>0.226266666666667</v>
      </c>
      <c r="L1266" s="33">
        <f t="shared" si="147"/>
        <v>0.24929999999999997</v>
      </c>
      <c r="M1266" s="33">
        <v>0.28999999999999998</v>
      </c>
      <c r="N1266" s="472">
        <f t="shared" si="134"/>
        <v>0.26420000000000005</v>
      </c>
      <c r="O1266" s="33">
        <v>0.29123333333333334</v>
      </c>
      <c r="P1266" s="33">
        <f t="shared" si="148"/>
        <v>0.226266666666667</v>
      </c>
      <c r="Q1266" s="33">
        <f t="shared" si="149"/>
        <v>0.24929999999999997</v>
      </c>
      <c r="R1266" s="33">
        <v>0.28999999999999998</v>
      </c>
      <c r="S1266" s="153">
        <v>0.04</v>
      </c>
      <c r="T1266" s="153">
        <v>0</v>
      </c>
      <c r="U1266" s="478">
        <v>2018</v>
      </c>
      <c r="V1266" s="24">
        <f t="shared" si="140"/>
        <v>2038</v>
      </c>
      <c r="W1266">
        <v>0</v>
      </c>
      <c r="X1266">
        <v>0</v>
      </c>
      <c r="Y1266">
        <v>1315</v>
      </c>
      <c r="Z1266">
        <v>347</v>
      </c>
      <c r="AA1266" s="475" t="s">
        <v>25</v>
      </c>
    </row>
    <row r="1267" spans="1:27" ht="15" hidden="1">
      <c r="A1267" s="24">
        <f t="shared" si="141"/>
        <v>2266</v>
      </c>
      <c r="B1267" s="24">
        <f t="shared" si="141"/>
        <v>2266</v>
      </c>
      <c r="C1267" s="476" t="s">
        <v>1661</v>
      </c>
      <c r="D1267" t="s">
        <v>152</v>
      </c>
      <c r="E1267" s="477">
        <v>3</v>
      </c>
      <c r="F1267" s="471">
        <v>30</v>
      </c>
      <c r="G1267">
        <v>1</v>
      </c>
      <c r="H1267">
        <v>1</v>
      </c>
      <c r="I1267" s="472">
        <f t="shared" si="133"/>
        <v>0.26420000000000005</v>
      </c>
      <c r="J1267" s="33">
        <v>0.29123333333333334</v>
      </c>
      <c r="K1267" s="33">
        <f t="shared" si="146"/>
        <v>0.226266666666667</v>
      </c>
      <c r="L1267" s="33">
        <f t="shared" si="147"/>
        <v>0.24929999999999997</v>
      </c>
      <c r="M1267" s="33">
        <v>0.28999999999999998</v>
      </c>
      <c r="N1267" s="472">
        <f t="shared" si="134"/>
        <v>0.26420000000000005</v>
      </c>
      <c r="O1267" s="33">
        <v>0.29123333333333334</v>
      </c>
      <c r="P1267" s="33">
        <f t="shared" si="148"/>
        <v>0.226266666666667</v>
      </c>
      <c r="Q1267" s="33">
        <f t="shared" si="149"/>
        <v>0.24929999999999997</v>
      </c>
      <c r="R1267" s="33">
        <v>0.28999999999999998</v>
      </c>
      <c r="S1267" s="153">
        <v>0.04</v>
      </c>
      <c r="T1267" s="153">
        <v>0</v>
      </c>
      <c r="U1267" s="478">
        <v>2018</v>
      </c>
      <c r="V1267" s="24">
        <f t="shared" si="140"/>
        <v>2038</v>
      </c>
      <c r="W1267">
        <v>0</v>
      </c>
      <c r="X1267">
        <v>0</v>
      </c>
      <c r="Y1267">
        <v>1315</v>
      </c>
      <c r="Z1267">
        <v>347</v>
      </c>
      <c r="AA1267" s="475" t="s">
        <v>25</v>
      </c>
    </row>
    <row r="1268" spans="1:27" ht="15" hidden="1">
      <c r="A1268" s="24">
        <f t="shared" si="141"/>
        <v>2267</v>
      </c>
      <c r="B1268" s="24">
        <f t="shared" si="141"/>
        <v>2267</v>
      </c>
      <c r="C1268" s="476" t="s">
        <v>1662</v>
      </c>
      <c r="D1268" t="s">
        <v>152</v>
      </c>
      <c r="E1268" s="477">
        <v>3</v>
      </c>
      <c r="F1268" s="471">
        <v>30</v>
      </c>
      <c r="G1268">
        <v>1</v>
      </c>
      <c r="H1268">
        <v>1</v>
      </c>
      <c r="I1268" s="472">
        <f t="shared" si="133"/>
        <v>0.26420000000000005</v>
      </c>
      <c r="J1268" s="33">
        <v>0.29123333333333334</v>
      </c>
      <c r="K1268" s="33">
        <f t="shared" si="146"/>
        <v>0.226266666666667</v>
      </c>
      <c r="L1268" s="33">
        <f t="shared" si="147"/>
        <v>0.24929999999999997</v>
      </c>
      <c r="M1268" s="33">
        <v>0.28999999999999998</v>
      </c>
      <c r="N1268" s="472">
        <f t="shared" si="134"/>
        <v>0.26420000000000005</v>
      </c>
      <c r="O1268" s="33">
        <v>0.29123333333333334</v>
      </c>
      <c r="P1268" s="33">
        <f t="shared" si="148"/>
        <v>0.226266666666667</v>
      </c>
      <c r="Q1268" s="33">
        <f t="shared" si="149"/>
        <v>0.24929999999999997</v>
      </c>
      <c r="R1268" s="33">
        <v>0.28999999999999998</v>
      </c>
      <c r="S1268" s="153">
        <v>0.04</v>
      </c>
      <c r="T1268" s="153">
        <v>0</v>
      </c>
      <c r="U1268" s="478">
        <v>2018</v>
      </c>
      <c r="V1268" s="24">
        <f t="shared" si="140"/>
        <v>2038</v>
      </c>
      <c r="W1268">
        <v>0</v>
      </c>
      <c r="X1268">
        <v>0</v>
      </c>
      <c r="Y1268">
        <v>1315</v>
      </c>
      <c r="Z1268">
        <v>347</v>
      </c>
      <c r="AA1268" s="475" t="s">
        <v>25</v>
      </c>
    </row>
    <row r="1269" spans="1:27" ht="15" hidden="1">
      <c r="A1269" s="24">
        <f t="shared" si="141"/>
        <v>2268</v>
      </c>
      <c r="B1269" s="24">
        <f t="shared" si="141"/>
        <v>2268</v>
      </c>
      <c r="C1269" s="476" t="s">
        <v>1663</v>
      </c>
      <c r="D1269" t="s">
        <v>152</v>
      </c>
      <c r="E1269" s="477">
        <v>3</v>
      </c>
      <c r="F1269" s="471">
        <v>30</v>
      </c>
      <c r="G1269">
        <v>1</v>
      </c>
      <c r="H1269">
        <v>1</v>
      </c>
      <c r="I1269" s="472">
        <f t="shared" si="133"/>
        <v>0.26420000000000005</v>
      </c>
      <c r="J1269" s="33">
        <v>0.29123333333333334</v>
      </c>
      <c r="K1269" s="33">
        <f t="shared" si="146"/>
        <v>0.226266666666667</v>
      </c>
      <c r="L1269" s="33">
        <f t="shared" si="147"/>
        <v>0.24929999999999997</v>
      </c>
      <c r="M1269" s="33">
        <v>0.28999999999999998</v>
      </c>
      <c r="N1269" s="472">
        <f t="shared" si="134"/>
        <v>0.26420000000000005</v>
      </c>
      <c r="O1269" s="33">
        <v>0.29123333333333334</v>
      </c>
      <c r="P1269" s="33">
        <f t="shared" si="148"/>
        <v>0.226266666666667</v>
      </c>
      <c r="Q1269" s="33">
        <f t="shared" si="149"/>
        <v>0.24929999999999997</v>
      </c>
      <c r="R1269" s="33">
        <v>0.28999999999999998</v>
      </c>
      <c r="S1269" s="153">
        <v>0.04</v>
      </c>
      <c r="T1269" s="153">
        <v>0</v>
      </c>
      <c r="U1269" s="478">
        <v>2018</v>
      </c>
      <c r="V1269" s="24">
        <f t="shared" si="140"/>
        <v>2038</v>
      </c>
      <c r="W1269">
        <v>0</v>
      </c>
      <c r="X1269">
        <v>0</v>
      </c>
      <c r="Y1269">
        <v>1315</v>
      </c>
      <c r="Z1269">
        <v>347</v>
      </c>
      <c r="AA1269" s="475" t="s">
        <v>25</v>
      </c>
    </row>
    <row r="1270" spans="1:27" ht="15" hidden="1">
      <c r="A1270" s="24">
        <f t="shared" ref="A1270:B1289" si="150">1000+ROW()-1</f>
        <v>2269</v>
      </c>
      <c r="B1270" s="24">
        <f t="shared" si="150"/>
        <v>2269</v>
      </c>
      <c r="C1270" s="476" t="s">
        <v>1664</v>
      </c>
      <c r="D1270" t="s">
        <v>152</v>
      </c>
      <c r="E1270" s="477">
        <v>3</v>
      </c>
      <c r="F1270" s="471">
        <v>30</v>
      </c>
      <c r="G1270">
        <v>1</v>
      </c>
      <c r="H1270">
        <v>1</v>
      </c>
      <c r="I1270" s="472">
        <f t="shared" si="133"/>
        <v>0.26420000000000005</v>
      </c>
      <c r="J1270" s="33">
        <v>0.29123333333333334</v>
      </c>
      <c r="K1270" s="33">
        <f t="shared" si="146"/>
        <v>0.226266666666667</v>
      </c>
      <c r="L1270" s="33">
        <f t="shared" si="147"/>
        <v>0.24929999999999997</v>
      </c>
      <c r="M1270" s="33">
        <v>0.28999999999999998</v>
      </c>
      <c r="N1270" s="472">
        <f t="shared" si="134"/>
        <v>0.26420000000000005</v>
      </c>
      <c r="O1270" s="33">
        <v>0.29123333333333334</v>
      </c>
      <c r="P1270" s="33">
        <f t="shared" si="148"/>
        <v>0.226266666666667</v>
      </c>
      <c r="Q1270" s="33">
        <f t="shared" si="149"/>
        <v>0.24929999999999997</v>
      </c>
      <c r="R1270" s="33">
        <v>0.28999999999999998</v>
      </c>
      <c r="S1270" s="153">
        <v>0.04</v>
      </c>
      <c r="T1270" s="153">
        <v>0</v>
      </c>
      <c r="U1270" s="478">
        <v>2018</v>
      </c>
      <c r="V1270" s="24">
        <f t="shared" si="140"/>
        <v>2038</v>
      </c>
      <c r="W1270">
        <v>0</v>
      </c>
      <c r="X1270">
        <v>0</v>
      </c>
      <c r="Y1270">
        <v>1315</v>
      </c>
      <c r="Z1270">
        <v>347</v>
      </c>
      <c r="AA1270" s="475" t="s">
        <v>25</v>
      </c>
    </row>
    <row r="1271" spans="1:27" ht="15" hidden="1">
      <c r="A1271" s="24">
        <f t="shared" si="150"/>
        <v>2270</v>
      </c>
      <c r="B1271" s="24">
        <f t="shared" si="150"/>
        <v>2270</v>
      </c>
      <c r="C1271" s="476" t="s">
        <v>1665</v>
      </c>
      <c r="D1271" t="s">
        <v>152</v>
      </c>
      <c r="E1271" s="477">
        <v>3</v>
      </c>
      <c r="F1271" s="471">
        <v>30</v>
      </c>
      <c r="G1271">
        <v>1</v>
      </c>
      <c r="H1271">
        <v>1</v>
      </c>
      <c r="I1271" s="472">
        <f t="shared" si="133"/>
        <v>0.26420000000000005</v>
      </c>
      <c r="J1271" s="33">
        <v>0.29123333333333334</v>
      </c>
      <c r="K1271" s="33">
        <f t="shared" si="146"/>
        <v>0.226266666666667</v>
      </c>
      <c r="L1271" s="33">
        <f t="shared" si="147"/>
        <v>0.24929999999999997</v>
      </c>
      <c r="M1271" s="33">
        <v>0.28999999999999998</v>
      </c>
      <c r="N1271" s="472">
        <f t="shared" si="134"/>
        <v>0.26420000000000005</v>
      </c>
      <c r="O1271" s="33">
        <v>0.29123333333333334</v>
      </c>
      <c r="P1271" s="33">
        <f t="shared" si="148"/>
        <v>0.226266666666667</v>
      </c>
      <c r="Q1271" s="33">
        <f t="shared" si="149"/>
        <v>0.24929999999999997</v>
      </c>
      <c r="R1271" s="33">
        <v>0.28999999999999998</v>
      </c>
      <c r="S1271" s="153">
        <v>0.04</v>
      </c>
      <c r="T1271" s="153">
        <v>0</v>
      </c>
      <c r="U1271" s="478">
        <v>2018</v>
      </c>
      <c r="V1271" s="24">
        <f t="shared" si="140"/>
        <v>2038</v>
      </c>
      <c r="W1271">
        <v>0</v>
      </c>
      <c r="X1271">
        <v>0</v>
      </c>
      <c r="Y1271">
        <v>1315</v>
      </c>
      <c r="Z1271">
        <v>347</v>
      </c>
      <c r="AA1271" s="475" t="s">
        <v>25</v>
      </c>
    </row>
    <row r="1272" spans="1:27" ht="15" hidden="1">
      <c r="A1272" s="24">
        <f t="shared" si="150"/>
        <v>2271</v>
      </c>
      <c r="B1272" s="24">
        <f t="shared" si="150"/>
        <v>2271</v>
      </c>
      <c r="C1272" s="476" t="s">
        <v>1666</v>
      </c>
      <c r="D1272" t="s">
        <v>152</v>
      </c>
      <c r="E1272" s="477">
        <v>3</v>
      </c>
      <c r="F1272" s="471">
        <v>30</v>
      </c>
      <c r="G1272">
        <v>1</v>
      </c>
      <c r="H1272">
        <v>1</v>
      </c>
      <c r="I1272" s="472">
        <f t="shared" si="133"/>
        <v>0.26420000000000005</v>
      </c>
      <c r="J1272" s="33">
        <v>0.29123333333333334</v>
      </c>
      <c r="K1272" s="33">
        <f t="shared" si="146"/>
        <v>0.226266666666667</v>
      </c>
      <c r="L1272" s="33">
        <f t="shared" si="147"/>
        <v>0.24929999999999997</v>
      </c>
      <c r="M1272" s="33">
        <v>0.28999999999999998</v>
      </c>
      <c r="N1272" s="472">
        <f t="shared" si="134"/>
        <v>0.26420000000000005</v>
      </c>
      <c r="O1272" s="33">
        <v>0.29123333333333334</v>
      </c>
      <c r="P1272" s="33">
        <f t="shared" si="148"/>
        <v>0.226266666666667</v>
      </c>
      <c r="Q1272" s="33">
        <f t="shared" si="149"/>
        <v>0.24929999999999997</v>
      </c>
      <c r="R1272" s="33">
        <v>0.28999999999999998</v>
      </c>
      <c r="S1272" s="153">
        <v>0.04</v>
      </c>
      <c r="T1272" s="153">
        <v>0</v>
      </c>
      <c r="U1272" s="478">
        <v>2018</v>
      </c>
      <c r="V1272" s="24">
        <f t="shared" si="140"/>
        <v>2038</v>
      </c>
      <c r="W1272">
        <v>0</v>
      </c>
      <c r="X1272">
        <v>0</v>
      </c>
      <c r="Y1272">
        <v>1315</v>
      </c>
      <c r="Z1272">
        <v>347</v>
      </c>
      <c r="AA1272" s="475" t="s">
        <v>25</v>
      </c>
    </row>
    <row r="1273" spans="1:27" ht="15" hidden="1">
      <c r="A1273" s="24">
        <f t="shared" si="150"/>
        <v>2272</v>
      </c>
      <c r="B1273" s="24">
        <f t="shared" si="150"/>
        <v>2272</v>
      </c>
      <c r="C1273" s="476" t="s">
        <v>1667</v>
      </c>
      <c r="D1273" t="s">
        <v>152</v>
      </c>
      <c r="E1273" s="477">
        <v>3</v>
      </c>
      <c r="F1273" s="471">
        <v>30</v>
      </c>
      <c r="G1273">
        <v>1</v>
      </c>
      <c r="H1273">
        <v>1</v>
      </c>
      <c r="I1273" s="472">
        <f t="shared" si="133"/>
        <v>0.26420000000000005</v>
      </c>
      <c r="J1273" s="33">
        <v>0.29123333333333334</v>
      </c>
      <c r="K1273" s="33">
        <f t="shared" si="146"/>
        <v>0.226266666666667</v>
      </c>
      <c r="L1273" s="33">
        <f t="shared" si="147"/>
        <v>0.24929999999999997</v>
      </c>
      <c r="M1273" s="33">
        <v>0.28999999999999998</v>
      </c>
      <c r="N1273" s="472">
        <f t="shared" si="134"/>
        <v>0.26420000000000005</v>
      </c>
      <c r="O1273" s="33">
        <v>0.29123333333333334</v>
      </c>
      <c r="P1273" s="33">
        <f t="shared" si="148"/>
        <v>0.226266666666667</v>
      </c>
      <c r="Q1273" s="33">
        <f t="shared" si="149"/>
        <v>0.24929999999999997</v>
      </c>
      <c r="R1273" s="33">
        <v>0.28999999999999998</v>
      </c>
      <c r="S1273" s="153">
        <v>0.04</v>
      </c>
      <c r="T1273" s="153">
        <v>0</v>
      </c>
      <c r="U1273" s="478">
        <v>2018</v>
      </c>
      <c r="V1273" s="24">
        <f t="shared" si="140"/>
        <v>2038</v>
      </c>
      <c r="W1273">
        <v>0</v>
      </c>
      <c r="X1273">
        <v>0</v>
      </c>
      <c r="Y1273">
        <v>1315</v>
      </c>
      <c r="Z1273">
        <v>347</v>
      </c>
      <c r="AA1273" s="475" t="s">
        <v>25</v>
      </c>
    </row>
    <row r="1274" spans="1:27" ht="15" hidden="1">
      <c r="A1274" s="24">
        <f t="shared" si="150"/>
        <v>2273</v>
      </c>
      <c r="B1274" s="24">
        <f t="shared" si="150"/>
        <v>2273</v>
      </c>
      <c r="C1274" s="476" t="s">
        <v>1668</v>
      </c>
      <c r="D1274" t="s">
        <v>152</v>
      </c>
      <c r="E1274" s="477">
        <v>3</v>
      </c>
      <c r="F1274" s="471">
        <v>30</v>
      </c>
      <c r="G1274">
        <v>1</v>
      </c>
      <c r="H1274">
        <v>1</v>
      </c>
      <c r="I1274" s="472">
        <f t="shared" si="133"/>
        <v>0.26420000000000005</v>
      </c>
      <c r="J1274" s="33">
        <v>0.29123333333333334</v>
      </c>
      <c r="K1274" s="33">
        <f t="shared" si="146"/>
        <v>0.226266666666667</v>
      </c>
      <c r="L1274" s="33">
        <f t="shared" si="147"/>
        <v>0.24929999999999997</v>
      </c>
      <c r="M1274" s="33">
        <v>0.28999999999999998</v>
      </c>
      <c r="N1274" s="472">
        <f t="shared" si="134"/>
        <v>0.26420000000000005</v>
      </c>
      <c r="O1274" s="33">
        <v>0.29123333333333334</v>
      </c>
      <c r="P1274" s="33">
        <f t="shared" si="148"/>
        <v>0.226266666666667</v>
      </c>
      <c r="Q1274" s="33">
        <f t="shared" si="149"/>
        <v>0.24929999999999997</v>
      </c>
      <c r="R1274" s="33">
        <v>0.28999999999999998</v>
      </c>
      <c r="S1274" s="153">
        <v>0.04</v>
      </c>
      <c r="T1274" s="153">
        <v>0</v>
      </c>
      <c r="U1274" s="478">
        <v>2018</v>
      </c>
      <c r="V1274" s="24">
        <f t="shared" si="140"/>
        <v>2038</v>
      </c>
      <c r="W1274">
        <v>0</v>
      </c>
      <c r="X1274">
        <v>0</v>
      </c>
      <c r="Y1274">
        <v>1315</v>
      </c>
      <c r="Z1274">
        <v>347</v>
      </c>
      <c r="AA1274" s="475" t="s">
        <v>25</v>
      </c>
    </row>
    <row r="1275" spans="1:27" ht="15" hidden="1">
      <c r="A1275" s="24">
        <f t="shared" si="150"/>
        <v>2274</v>
      </c>
      <c r="B1275" s="24">
        <f t="shared" si="150"/>
        <v>2274</v>
      </c>
      <c r="C1275" s="476" t="s">
        <v>1669</v>
      </c>
      <c r="D1275" t="s">
        <v>152</v>
      </c>
      <c r="E1275" s="477">
        <v>3</v>
      </c>
      <c r="F1275" s="471">
        <v>30</v>
      </c>
      <c r="G1275">
        <v>1</v>
      </c>
      <c r="H1275">
        <v>1</v>
      </c>
      <c r="I1275" s="472">
        <f t="shared" si="133"/>
        <v>0.26420000000000005</v>
      </c>
      <c r="J1275" s="33">
        <v>0.29123333333333334</v>
      </c>
      <c r="K1275" s="33">
        <f t="shared" si="146"/>
        <v>0.226266666666667</v>
      </c>
      <c r="L1275" s="33">
        <f t="shared" si="147"/>
        <v>0.24929999999999997</v>
      </c>
      <c r="M1275" s="33">
        <v>0.28999999999999998</v>
      </c>
      <c r="N1275" s="472">
        <f t="shared" si="134"/>
        <v>0.26420000000000005</v>
      </c>
      <c r="O1275" s="33">
        <v>0.29123333333333334</v>
      </c>
      <c r="P1275" s="33">
        <f t="shared" si="148"/>
        <v>0.226266666666667</v>
      </c>
      <c r="Q1275" s="33">
        <f t="shared" si="149"/>
        <v>0.24929999999999997</v>
      </c>
      <c r="R1275" s="33">
        <v>0.28999999999999998</v>
      </c>
      <c r="S1275" s="153">
        <v>0.04</v>
      </c>
      <c r="T1275" s="153">
        <v>0</v>
      </c>
      <c r="U1275" s="478">
        <v>2018</v>
      </c>
      <c r="V1275" s="24">
        <f t="shared" si="140"/>
        <v>2038</v>
      </c>
      <c r="W1275">
        <v>0</v>
      </c>
      <c r="X1275">
        <v>0</v>
      </c>
      <c r="Y1275">
        <v>1315</v>
      </c>
      <c r="Z1275">
        <v>347</v>
      </c>
      <c r="AA1275" s="475" t="s">
        <v>25</v>
      </c>
    </row>
    <row r="1276" spans="1:27" ht="15" hidden="1">
      <c r="A1276" s="24">
        <f t="shared" si="150"/>
        <v>2275</v>
      </c>
      <c r="B1276" s="24">
        <f t="shared" si="150"/>
        <v>2275</v>
      </c>
      <c r="C1276" s="476" t="s">
        <v>1670</v>
      </c>
      <c r="D1276" t="s">
        <v>152</v>
      </c>
      <c r="E1276" s="477">
        <v>3</v>
      </c>
      <c r="F1276" s="471">
        <v>30</v>
      </c>
      <c r="G1276">
        <v>1</v>
      </c>
      <c r="H1276">
        <v>1</v>
      </c>
      <c r="I1276" s="472">
        <f t="shared" si="133"/>
        <v>0.26420000000000005</v>
      </c>
      <c r="J1276" s="33">
        <v>0.29123333333333334</v>
      </c>
      <c r="K1276" s="33">
        <f t="shared" si="146"/>
        <v>0.226266666666667</v>
      </c>
      <c r="L1276" s="33">
        <f t="shared" si="147"/>
        <v>0.24929999999999997</v>
      </c>
      <c r="M1276" s="33">
        <v>0.28999999999999998</v>
      </c>
      <c r="N1276" s="472">
        <f t="shared" si="134"/>
        <v>0.26420000000000005</v>
      </c>
      <c r="O1276" s="33">
        <v>0.29123333333333334</v>
      </c>
      <c r="P1276" s="33">
        <f t="shared" si="148"/>
        <v>0.226266666666667</v>
      </c>
      <c r="Q1276" s="33">
        <f t="shared" si="149"/>
        <v>0.24929999999999997</v>
      </c>
      <c r="R1276" s="33">
        <v>0.28999999999999998</v>
      </c>
      <c r="S1276" s="153">
        <v>0.04</v>
      </c>
      <c r="T1276" s="153">
        <v>0</v>
      </c>
      <c r="U1276" s="478">
        <v>2018</v>
      </c>
      <c r="V1276" s="24">
        <f t="shared" si="140"/>
        <v>2038</v>
      </c>
      <c r="W1276">
        <v>0</v>
      </c>
      <c r="X1276">
        <v>0</v>
      </c>
      <c r="Y1276">
        <v>1315</v>
      </c>
      <c r="Z1276">
        <v>347</v>
      </c>
      <c r="AA1276" s="475" t="s">
        <v>25</v>
      </c>
    </row>
    <row r="1277" spans="1:27" ht="15" hidden="1">
      <c r="A1277" s="24">
        <f t="shared" si="150"/>
        <v>2276</v>
      </c>
      <c r="B1277" s="24">
        <f t="shared" si="150"/>
        <v>2276</v>
      </c>
      <c r="C1277" s="476" t="s">
        <v>1671</v>
      </c>
      <c r="D1277" t="s">
        <v>152</v>
      </c>
      <c r="E1277" s="477">
        <v>3</v>
      </c>
      <c r="F1277" s="471">
        <v>30</v>
      </c>
      <c r="G1277">
        <v>1</v>
      </c>
      <c r="H1277">
        <v>1</v>
      </c>
      <c r="I1277" s="472">
        <f t="shared" si="133"/>
        <v>0.26420000000000005</v>
      </c>
      <c r="J1277" s="33">
        <v>0.29123333333333334</v>
      </c>
      <c r="K1277" s="33">
        <f t="shared" si="146"/>
        <v>0.226266666666667</v>
      </c>
      <c r="L1277" s="33">
        <f t="shared" si="147"/>
        <v>0.24929999999999997</v>
      </c>
      <c r="M1277" s="33">
        <v>0.28999999999999998</v>
      </c>
      <c r="N1277" s="472">
        <f t="shared" si="134"/>
        <v>0.26420000000000005</v>
      </c>
      <c r="O1277" s="33">
        <v>0.29123333333333334</v>
      </c>
      <c r="P1277" s="33">
        <f t="shared" si="148"/>
        <v>0.226266666666667</v>
      </c>
      <c r="Q1277" s="33">
        <f t="shared" si="149"/>
        <v>0.24929999999999997</v>
      </c>
      <c r="R1277" s="33">
        <v>0.28999999999999998</v>
      </c>
      <c r="S1277" s="153">
        <v>0.04</v>
      </c>
      <c r="T1277" s="153">
        <v>0</v>
      </c>
      <c r="U1277" s="478">
        <v>2018</v>
      </c>
      <c r="V1277" s="24">
        <f t="shared" si="140"/>
        <v>2038</v>
      </c>
      <c r="W1277">
        <v>0</v>
      </c>
      <c r="X1277">
        <v>0</v>
      </c>
      <c r="Y1277">
        <v>1315</v>
      </c>
      <c r="Z1277">
        <v>347</v>
      </c>
      <c r="AA1277" s="475" t="s">
        <v>25</v>
      </c>
    </row>
    <row r="1278" spans="1:27" ht="15" hidden="1">
      <c r="A1278" s="24">
        <f t="shared" si="150"/>
        <v>2277</v>
      </c>
      <c r="B1278" s="24">
        <f t="shared" si="150"/>
        <v>2277</v>
      </c>
      <c r="C1278" s="476" t="s">
        <v>1672</v>
      </c>
      <c r="D1278" t="s">
        <v>152</v>
      </c>
      <c r="E1278" s="477">
        <v>3</v>
      </c>
      <c r="F1278" s="471">
        <v>30</v>
      </c>
      <c r="G1278">
        <v>1</v>
      </c>
      <c r="H1278">
        <v>1</v>
      </c>
      <c r="I1278" s="472">
        <f t="shared" si="133"/>
        <v>0.26420000000000005</v>
      </c>
      <c r="J1278" s="33">
        <v>0.29123333333333334</v>
      </c>
      <c r="K1278" s="33">
        <f t="shared" si="146"/>
        <v>0.226266666666667</v>
      </c>
      <c r="L1278" s="33">
        <f t="shared" si="147"/>
        <v>0.24929999999999997</v>
      </c>
      <c r="M1278" s="33">
        <v>0.28999999999999998</v>
      </c>
      <c r="N1278" s="472">
        <f t="shared" si="134"/>
        <v>0.26420000000000005</v>
      </c>
      <c r="O1278" s="33">
        <v>0.29123333333333334</v>
      </c>
      <c r="P1278" s="33">
        <f t="shared" si="148"/>
        <v>0.226266666666667</v>
      </c>
      <c r="Q1278" s="33">
        <f t="shared" si="149"/>
        <v>0.24929999999999997</v>
      </c>
      <c r="R1278" s="33">
        <v>0.28999999999999998</v>
      </c>
      <c r="S1278" s="153">
        <v>0.04</v>
      </c>
      <c r="T1278" s="153">
        <v>0</v>
      </c>
      <c r="U1278" s="478">
        <v>2018</v>
      </c>
      <c r="V1278" s="24">
        <f t="shared" si="140"/>
        <v>2038</v>
      </c>
      <c r="W1278">
        <v>0</v>
      </c>
      <c r="X1278">
        <v>0</v>
      </c>
      <c r="Y1278">
        <v>1315</v>
      </c>
      <c r="Z1278">
        <v>347</v>
      </c>
      <c r="AA1278" s="475" t="s">
        <v>25</v>
      </c>
    </row>
    <row r="1279" spans="1:27" ht="15" hidden="1">
      <c r="A1279" s="24">
        <f t="shared" si="150"/>
        <v>2278</v>
      </c>
      <c r="B1279" s="24">
        <f t="shared" si="150"/>
        <v>2278</v>
      </c>
      <c r="C1279" s="476" t="s">
        <v>1673</v>
      </c>
      <c r="D1279" t="s">
        <v>152</v>
      </c>
      <c r="E1279" s="477">
        <v>3</v>
      </c>
      <c r="F1279" s="471">
        <v>30</v>
      </c>
      <c r="G1279">
        <v>1</v>
      </c>
      <c r="H1279">
        <v>1</v>
      </c>
      <c r="I1279" s="472">
        <f t="shared" si="133"/>
        <v>0.26420000000000005</v>
      </c>
      <c r="J1279" s="33">
        <v>0.29123333333333334</v>
      </c>
      <c r="K1279" s="33">
        <f t="shared" si="146"/>
        <v>0.226266666666667</v>
      </c>
      <c r="L1279" s="33">
        <f t="shared" si="147"/>
        <v>0.24929999999999997</v>
      </c>
      <c r="M1279" s="33">
        <v>0.28999999999999998</v>
      </c>
      <c r="N1279" s="472">
        <f t="shared" si="134"/>
        <v>0.26420000000000005</v>
      </c>
      <c r="O1279" s="33">
        <v>0.29123333333333334</v>
      </c>
      <c r="P1279" s="33">
        <f t="shared" si="148"/>
        <v>0.226266666666667</v>
      </c>
      <c r="Q1279" s="33">
        <f t="shared" si="149"/>
        <v>0.24929999999999997</v>
      </c>
      <c r="R1279" s="33">
        <v>0.28999999999999998</v>
      </c>
      <c r="S1279" s="153">
        <v>0.04</v>
      </c>
      <c r="T1279" s="153">
        <v>0</v>
      </c>
      <c r="U1279" s="478">
        <v>2018</v>
      </c>
      <c r="V1279" s="24">
        <f t="shared" si="140"/>
        <v>2038</v>
      </c>
      <c r="W1279">
        <v>0</v>
      </c>
      <c r="X1279">
        <v>0</v>
      </c>
      <c r="Y1279">
        <v>1315</v>
      </c>
      <c r="Z1279">
        <v>347</v>
      </c>
      <c r="AA1279" s="475" t="s">
        <v>25</v>
      </c>
    </row>
    <row r="1280" spans="1:27" ht="15" hidden="1">
      <c r="A1280" s="24">
        <f t="shared" si="150"/>
        <v>2279</v>
      </c>
      <c r="B1280" s="24">
        <f t="shared" si="150"/>
        <v>2279</v>
      </c>
      <c r="C1280" s="476" t="s">
        <v>1674</v>
      </c>
      <c r="D1280" t="s">
        <v>152</v>
      </c>
      <c r="E1280" s="477">
        <v>3</v>
      </c>
      <c r="F1280" s="471">
        <v>28</v>
      </c>
      <c r="G1280">
        <v>1</v>
      </c>
      <c r="H1280">
        <v>1</v>
      </c>
      <c r="I1280" s="472">
        <f t="shared" si="133"/>
        <v>0.47039166666666665</v>
      </c>
      <c r="J1280" s="473">
        <v>0.36503333333333332</v>
      </c>
      <c r="K1280" s="473">
        <v>0.44336666666666663</v>
      </c>
      <c r="L1280" s="473">
        <v>0.58906666666666663</v>
      </c>
      <c r="M1280" s="473">
        <v>0.48410000000000003</v>
      </c>
      <c r="N1280" s="472">
        <f t="shared" si="134"/>
        <v>0.47039166666666665</v>
      </c>
      <c r="O1280" s="473">
        <v>0.36503333333333332</v>
      </c>
      <c r="P1280" s="473">
        <v>0.44336666666666663</v>
      </c>
      <c r="Q1280" s="473">
        <v>0.58906666666666663</v>
      </c>
      <c r="R1280" s="473">
        <v>0.48410000000000003</v>
      </c>
      <c r="S1280" s="153">
        <v>0.01</v>
      </c>
      <c r="T1280" s="153">
        <v>0.02</v>
      </c>
      <c r="U1280" s="478">
        <v>2018</v>
      </c>
      <c r="V1280" s="24">
        <f t="shared" si="140"/>
        <v>2038</v>
      </c>
      <c r="W1280">
        <v>0</v>
      </c>
      <c r="X1280">
        <v>0</v>
      </c>
      <c r="Y1280">
        <v>1315</v>
      </c>
      <c r="Z1280">
        <v>361</v>
      </c>
      <c r="AA1280" s="475" t="s">
        <v>24</v>
      </c>
    </row>
    <row r="1281" spans="1:27" ht="15" hidden="1">
      <c r="A1281" s="24">
        <f t="shared" si="150"/>
        <v>2280</v>
      </c>
      <c r="B1281" s="24">
        <f t="shared" si="150"/>
        <v>2280</v>
      </c>
      <c r="C1281" s="476" t="s">
        <v>1675</v>
      </c>
      <c r="D1281" t="s">
        <v>152</v>
      </c>
      <c r="E1281" s="477">
        <v>3</v>
      </c>
      <c r="F1281" s="471">
        <v>14.7</v>
      </c>
      <c r="G1281">
        <v>1</v>
      </c>
      <c r="H1281">
        <v>1</v>
      </c>
      <c r="I1281" s="472">
        <f t="shared" si="133"/>
        <v>0.47039166666666665</v>
      </c>
      <c r="J1281" s="473">
        <v>0.36503333333333332</v>
      </c>
      <c r="K1281" s="473">
        <v>0.44336666666666663</v>
      </c>
      <c r="L1281" s="473">
        <v>0.58906666666666663</v>
      </c>
      <c r="M1281" s="473">
        <v>0.48410000000000003</v>
      </c>
      <c r="N1281" s="472">
        <f t="shared" si="134"/>
        <v>0.47039166666666665</v>
      </c>
      <c r="O1281" s="473">
        <v>0.36503333333333332</v>
      </c>
      <c r="P1281" s="473">
        <v>0.44336666666666663</v>
      </c>
      <c r="Q1281" s="473">
        <v>0.58906666666666663</v>
      </c>
      <c r="R1281" s="473">
        <v>0.48410000000000003</v>
      </c>
      <c r="S1281" s="153">
        <v>0.01</v>
      </c>
      <c r="T1281" s="153">
        <v>0.02</v>
      </c>
      <c r="U1281" s="478">
        <v>2018</v>
      </c>
      <c r="V1281" s="24">
        <f t="shared" si="140"/>
        <v>2038</v>
      </c>
      <c r="W1281">
        <v>0</v>
      </c>
      <c r="X1281">
        <v>0</v>
      </c>
      <c r="Y1281">
        <v>1315</v>
      </c>
      <c r="Z1281">
        <v>361</v>
      </c>
      <c r="AA1281" s="475" t="s">
        <v>24</v>
      </c>
    </row>
    <row r="1282" spans="1:27" ht="15" hidden="1">
      <c r="A1282" s="24">
        <f t="shared" si="150"/>
        <v>2281</v>
      </c>
      <c r="B1282" s="24">
        <f t="shared" si="150"/>
        <v>2281</v>
      </c>
      <c r="C1282" s="476" t="s">
        <v>1676</v>
      </c>
      <c r="D1282" t="s">
        <v>152</v>
      </c>
      <c r="E1282" s="477">
        <v>3</v>
      </c>
      <c r="F1282" s="471">
        <v>28</v>
      </c>
      <c r="G1282">
        <v>1</v>
      </c>
      <c r="H1282">
        <v>1</v>
      </c>
      <c r="I1282" s="472">
        <f t="shared" ref="I1282:I1345" si="151">AVERAGE(J1282:M1282)</f>
        <v>0.47039166666666665</v>
      </c>
      <c r="J1282" s="473">
        <v>0.36503333333333332</v>
      </c>
      <c r="K1282" s="473">
        <v>0.44336666666666663</v>
      </c>
      <c r="L1282" s="473">
        <v>0.58906666666666663</v>
      </c>
      <c r="M1282" s="473">
        <v>0.48410000000000003</v>
      </c>
      <c r="N1282" s="472">
        <f t="shared" ref="N1282:N1345" si="152">AVERAGE(O1282:R1282)</f>
        <v>0.47039166666666665</v>
      </c>
      <c r="O1282" s="473">
        <v>0.36503333333333332</v>
      </c>
      <c r="P1282" s="473">
        <v>0.44336666666666663</v>
      </c>
      <c r="Q1282" s="473">
        <v>0.58906666666666663</v>
      </c>
      <c r="R1282" s="473">
        <v>0.48410000000000003</v>
      </c>
      <c r="S1282" s="153">
        <v>0.01</v>
      </c>
      <c r="T1282" s="153">
        <v>0.02</v>
      </c>
      <c r="U1282" s="478">
        <v>2018</v>
      </c>
      <c r="V1282" s="24">
        <f t="shared" si="140"/>
        <v>2038</v>
      </c>
      <c r="W1282">
        <v>0</v>
      </c>
      <c r="X1282">
        <v>0</v>
      </c>
      <c r="Y1282">
        <v>1315</v>
      </c>
      <c r="Z1282">
        <v>361</v>
      </c>
      <c r="AA1282" s="475" t="s">
        <v>24</v>
      </c>
    </row>
    <row r="1283" spans="1:27" ht="15" hidden="1">
      <c r="A1283" s="24">
        <f t="shared" si="150"/>
        <v>2282</v>
      </c>
      <c r="B1283" s="24">
        <f t="shared" si="150"/>
        <v>2282</v>
      </c>
      <c r="C1283" s="476" t="s">
        <v>1677</v>
      </c>
      <c r="D1283" t="s">
        <v>152</v>
      </c>
      <c r="E1283" s="477">
        <v>3</v>
      </c>
      <c r="F1283" s="471">
        <v>30</v>
      </c>
      <c r="G1283">
        <v>1</v>
      </c>
      <c r="H1283">
        <v>1</v>
      </c>
      <c r="I1283" s="472">
        <f t="shared" si="151"/>
        <v>0.47039166666666665</v>
      </c>
      <c r="J1283" s="473">
        <v>0.36503333333333332</v>
      </c>
      <c r="K1283" s="473">
        <v>0.44336666666666663</v>
      </c>
      <c r="L1283" s="473">
        <v>0.58906666666666663</v>
      </c>
      <c r="M1283" s="473">
        <v>0.48410000000000003</v>
      </c>
      <c r="N1283" s="472">
        <f t="shared" si="152"/>
        <v>0.47039166666666665</v>
      </c>
      <c r="O1283" s="473">
        <v>0.36503333333333332</v>
      </c>
      <c r="P1283" s="473">
        <v>0.44336666666666663</v>
      </c>
      <c r="Q1283" s="473">
        <v>0.58906666666666663</v>
      </c>
      <c r="R1283" s="473">
        <v>0.48410000000000003</v>
      </c>
      <c r="S1283" s="153">
        <v>0.01</v>
      </c>
      <c r="T1283" s="153">
        <v>0.02</v>
      </c>
      <c r="U1283" s="478">
        <v>2018</v>
      </c>
      <c r="V1283" s="24">
        <f t="shared" si="140"/>
        <v>2038</v>
      </c>
      <c r="W1283">
        <v>0</v>
      </c>
      <c r="X1283">
        <v>0</v>
      </c>
      <c r="Y1283">
        <v>1315</v>
      </c>
      <c r="Z1283">
        <v>361</v>
      </c>
      <c r="AA1283" s="475" t="s">
        <v>24</v>
      </c>
    </row>
    <row r="1284" spans="1:27" ht="15" hidden="1">
      <c r="A1284" s="24">
        <f t="shared" si="150"/>
        <v>2283</v>
      </c>
      <c r="B1284" s="24">
        <f t="shared" si="150"/>
        <v>2283</v>
      </c>
      <c r="C1284" s="476" t="s">
        <v>1678</v>
      </c>
      <c r="D1284" t="s">
        <v>152</v>
      </c>
      <c r="E1284" s="477">
        <v>3</v>
      </c>
      <c r="F1284" s="471">
        <v>29.9</v>
      </c>
      <c r="G1284">
        <v>1</v>
      </c>
      <c r="H1284">
        <v>1</v>
      </c>
      <c r="I1284" s="472">
        <f t="shared" si="151"/>
        <v>0.47039166666666665</v>
      </c>
      <c r="J1284" s="473">
        <v>0.36503333333333332</v>
      </c>
      <c r="K1284" s="473">
        <v>0.44336666666666663</v>
      </c>
      <c r="L1284" s="473">
        <v>0.58906666666666663</v>
      </c>
      <c r="M1284" s="473">
        <v>0.48410000000000003</v>
      </c>
      <c r="N1284" s="472">
        <f t="shared" si="152"/>
        <v>0.47039166666666665</v>
      </c>
      <c r="O1284" s="473">
        <v>0.36503333333333332</v>
      </c>
      <c r="P1284" s="473">
        <v>0.44336666666666663</v>
      </c>
      <c r="Q1284" s="473">
        <v>0.58906666666666663</v>
      </c>
      <c r="R1284" s="473">
        <v>0.48410000000000003</v>
      </c>
      <c r="S1284" s="153">
        <v>0.01</v>
      </c>
      <c r="T1284" s="153">
        <v>0.02</v>
      </c>
      <c r="U1284" s="478">
        <v>2018</v>
      </c>
      <c r="V1284" s="24">
        <f t="shared" si="140"/>
        <v>2038</v>
      </c>
      <c r="W1284">
        <v>0</v>
      </c>
      <c r="X1284">
        <v>0</v>
      </c>
      <c r="Y1284">
        <v>1315</v>
      </c>
      <c r="Z1284">
        <v>361</v>
      </c>
      <c r="AA1284" s="475" t="s">
        <v>24</v>
      </c>
    </row>
    <row r="1285" spans="1:27" ht="15" hidden="1">
      <c r="A1285" s="24">
        <f t="shared" si="150"/>
        <v>2284</v>
      </c>
      <c r="B1285" s="24">
        <f t="shared" si="150"/>
        <v>2284</v>
      </c>
      <c r="C1285" s="476" t="s">
        <v>1679</v>
      </c>
      <c r="D1285" t="s">
        <v>152</v>
      </c>
      <c r="E1285" s="477">
        <v>3</v>
      </c>
      <c r="F1285" s="471">
        <v>29.9</v>
      </c>
      <c r="G1285">
        <v>1</v>
      </c>
      <c r="H1285">
        <v>1</v>
      </c>
      <c r="I1285" s="472">
        <f t="shared" si="151"/>
        <v>0.47039166666666665</v>
      </c>
      <c r="J1285" s="473">
        <v>0.36503333333333332</v>
      </c>
      <c r="K1285" s="473">
        <v>0.44336666666666663</v>
      </c>
      <c r="L1285" s="473">
        <v>0.58906666666666663</v>
      </c>
      <c r="M1285" s="473">
        <v>0.48410000000000003</v>
      </c>
      <c r="N1285" s="472">
        <f t="shared" si="152"/>
        <v>0.47039166666666665</v>
      </c>
      <c r="O1285" s="473">
        <v>0.36503333333333332</v>
      </c>
      <c r="P1285" s="473">
        <v>0.44336666666666663</v>
      </c>
      <c r="Q1285" s="473">
        <v>0.58906666666666663</v>
      </c>
      <c r="R1285" s="473">
        <v>0.48410000000000003</v>
      </c>
      <c r="S1285" s="153">
        <v>0.01</v>
      </c>
      <c r="T1285" s="153">
        <v>0.02</v>
      </c>
      <c r="U1285" s="478">
        <v>2018</v>
      </c>
      <c r="V1285" s="24">
        <f t="shared" si="140"/>
        <v>2038</v>
      </c>
      <c r="W1285">
        <v>0</v>
      </c>
      <c r="X1285">
        <v>0</v>
      </c>
      <c r="Y1285">
        <v>1315</v>
      </c>
      <c r="Z1285">
        <v>361</v>
      </c>
      <c r="AA1285" s="475" t="s">
        <v>24</v>
      </c>
    </row>
    <row r="1286" spans="1:27" ht="15" hidden="1">
      <c r="A1286" s="24">
        <f t="shared" si="150"/>
        <v>2285</v>
      </c>
      <c r="B1286" s="24">
        <f t="shared" si="150"/>
        <v>2285</v>
      </c>
      <c r="C1286" s="476" t="s">
        <v>1680</v>
      </c>
      <c r="D1286" t="s">
        <v>152</v>
      </c>
      <c r="E1286" s="477">
        <v>3</v>
      </c>
      <c r="F1286" s="471">
        <v>29.9</v>
      </c>
      <c r="G1286">
        <v>1</v>
      </c>
      <c r="H1286">
        <v>1</v>
      </c>
      <c r="I1286" s="472">
        <f t="shared" si="151"/>
        <v>0.47039166666666665</v>
      </c>
      <c r="J1286" s="473">
        <v>0.36503333333333332</v>
      </c>
      <c r="K1286" s="473">
        <v>0.44336666666666663</v>
      </c>
      <c r="L1286" s="473">
        <v>0.58906666666666663</v>
      </c>
      <c r="M1286" s="473">
        <v>0.48410000000000003</v>
      </c>
      <c r="N1286" s="472">
        <f t="shared" si="152"/>
        <v>0.47039166666666665</v>
      </c>
      <c r="O1286" s="473">
        <v>0.36503333333333332</v>
      </c>
      <c r="P1286" s="473">
        <v>0.44336666666666663</v>
      </c>
      <c r="Q1286" s="473">
        <v>0.58906666666666663</v>
      </c>
      <c r="R1286" s="473">
        <v>0.48410000000000003</v>
      </c>
      <c r="S1286" s="153">
        <v>0.01</v>
      </c>
      <c r="T1286" s="153">
        <v>0.02</v>
      </c>
      <c r="U1286" s="478">
        <v>2018</v>
      </c>
      <c r="V1286" s="24">
        <f t="shared" si="140"/>
        <v>2038</v>
      </c>
      <c r="W1286">
        <v>0</v>
      </c>
      <c r="X1286">
        <v>0</v>
      </c>
      <c r="Y1286">
        <v>1315</v>
      </c>
      <c r="Z1286">
        <v>361</v>
      </c>
      <c r="AA1286" s="475" t="s">
        <v>24</v>
      </c>
    </row>
    <row r="1287" spans="1:27" ht="15" hidden="1">
      <c r="A1287" s="24">
        <f t="shared" si="150"/>
        <v>2286</v>
      </c>
      <c r="B1287" s="24">
        <f t="shared" si="150"/>
        <v>2286</v>
      </c>
      <c r="C1287" s="476" t="s">
        <v>1681</v>
      </c>
      <c r="D1287" t="s">
        <v>152</v>
      </c>
      <c r="E1287" s="477">
        <v>3</v>
      </c>
      <c r="F1287" s="471">
        <v>30</v>
      </c>
      <c r="G1287">
        <v>1</v>
      </c>
      <c r="H1287">
        <v>1</v>
      </c>
      <c r="I1287" s="472">
        <f t="shared" si="151"/>
        <v>0.47039166666666665</v>
      </c>
      <c r="J1287" s="473">
        <v>0.36503333333333332</v>
      </c>
      <c r="K1287" s="473">
        <v>0.44336666666666663</v>
      </c>
      <c r="L1287" s="473">
        <v>0.58906666666666663</v>
      </c>
      <c r="M1287" s="473">
        <v>0.48410000000000003</v>
      </c>
      <c r="N1287" s="472">
        <f t="shared" si="152"/>
        <v>0.47039166666666665</v>
      </c>
      <c r="O1287" s="473">
        <v>0.36503333333333332</v>
      </c>
      <c r="P1287" s="473">
        <v>0.44336666666666663</v>
      </c>
      <c r="Q1287" s="473">
        <v>0.58906666666666663</v>
      </c>
      <c r="R1287" s="473">
        <v>0.48410000000000003</v>
      </c>
      <c r="S1287" s="153">
        <v>0.01</v>
      </c>
      <c r="T1287" s="153">
        <v>0.02</v>
      </c>
      <c r="U1287" s="478">
        <v>2018</v>
      </c>
      <c r="V1287" s="24">
        <f t="shared" si="140"/>
        <v>2038</v>
      </c>
      <c r="W1287">
        <v>0</v>
      </c>
      <c r="X1287">
        <v>0</v>
      </c>
      <c r="Y1287">
        <v>1315</v>
      </c>
      <c r="Z1287">
        <v>361</v>
      </c>
      <c r="AA1287" s="475" t="s">
        <v>24</v>
      </c>
    </row>
    <row r="1288" spans="1:27" ht="15" hidden="1">
      <c r="A1288" s="24">
        <f t="shared" si="150"/>
        <v>2287</v>
      </c>
      <c r="B1288" s="24">
        <f t="shared" si="150"/>
        <v>2287</v>
      </c>
      <c r="C1288" s="476" t="s">
        <v>1682</v>
      </c>
      <c r="D1288" t="s">
        <v>152</v>
      </c>
      <c r="E1288" s="477">
        <v>3</v>
      </c>
      <c r="F1288" s="471">
        <v>29.9</v>
      </c>
      <c r="G1288">
        <v>1</v>
      </c>
      <c r="H1288">
        <v>1</v>
      </c>
      <c r="I1288" s="472">
        <f t="shared" si="151"/>
        <v>0.47039166666666665</v>
      </c>
      <c r="J1288" s="473">
        <v>0.36503333333333332</v>
      </c>
      <c r="K1288" s="473">
        <v>0.44336666666666663</v>
      </c>
      <c r="L1288" s="473">
        <v>0.58906666666666663</v>
      </c>
      <c r="M1288" s="473">
        <v>0.48410000000000003</v>
      </c>
      <c r="N1288" s="472">
        <f t="shared" si="152"/>
        <v>0.47039166666666665</v>
      </c>
      <c r="O1288" s="473">
        <v>0.36503333333333332</v>
      </c>
      <c r="P1288" s="473">
        <v>0.44336666666666663</v>
      </c>
      <c r="Q1288" s="473">
        <v>0.58906666666666663</v>
      </c>
      <c r="R1288" s="473">
        <v>0.48410000000000003</v>
      </c>
      <c r="S1288" s="153">
        <v>0.01</v>
      </c>
      <c r="T1288" s="153">
        <v>0.02</v>
      </c>
      <c r="U1288" s="478">
        <v>2018</v>
      </c>
      <c r="V1288" s="24">
        <f t="shared" si="140"/>
        <v>2038</v>
      </c>
      <c r="W1288">
        <v>0</v>
      </c>
      <c r="X1288">
        <v>0</v>
      </c>
      <c r="Y1288">
        <v>1315</v>
      </c>
      <c r="Z1288">
        <v>361</v>
      </c>
      <c r="AA1288" s="475" t="s">
        <v>24</v>
      </c>
    </row>
    <row r="1289" spans="1:27" ht="15" hidden="1">
      <c r="A1289" s="24">
        <f t="shared" si="150"/>
        <v>2288</v>
      </c>
      <c r="B1289" s="24">
        <f t="shared" si="150"/>
        <v>2288</v>
      </c>
      <c r="C1289" s="476" t="s">
        <v>1683</v>
      </c>
      <c r="D1289" t="s">
        <v>152</v>
      </c>
      <c r="E1289" s="477">
        <v>3</v>
      </c>
      <c r="F1289" s="471">
        <v>30</v>
      </c>
      <c r="G1289">
        <v>1</v>
      </c>
      <c r="H1289">
        <v>1</v>
      </c>
      <c r="I1289" s="472">
        <f t="shared" si="151"/>
        <v>0.47039166666666665</v>
      </c>
      <c r="J1289" s="473">
        <v>0.36503333333333332</v>
      </c>
      <c r="K1289" s="473">
        <v>0.44336666666666663</v>
      </c>
      <c r="L1289" s="473">
        <v>0.58906666666666663</v>
      </c>
      <c r="M1289" s="473">
        <v>0.48410000000000003</v>
      </c>
      <c r="N1289" s="472">
        <f t="shared" si="152"/>
        <v>0.47039166666666665</v>
      </c>
      <c r="O1289" s="473">
        <v>0.36503333333333332</v>
      </c>
      <c r="P1289" s="473">
        <v>0.44336666666666663</v>
      </c>
      <c r="Q1289" s="473">
        <v>0.58906666666666663</v>
      </c>
      <c r="R1289" s="473">
        <v>0.48410000000000003</v>
      </c>
      <c r="S1289" s="153">
        <v>0.01</v>
      </c>
      <c r="T1289" s="153">
        <v>0.02</v>
      </c>
      <c r="U1289" s="478">
        <v>2018</v>
      </c>
      <c r="V1289" s="24">
        <f t="shared" si="140"/>
        <v>2038</v>
      </c>
      <c r="W1289">
        <v>0</v>
      </c>
      <c r="X1289">
        <v>0</v>
      </c>
      <c r="Y1289">
        <v>1315</v>
      </c>
      <c r="Z1289">
        <v>361</v>
      </c>
      <c r="AA1289" s="475" t="s">
        <v>24</v>
      </c>
    </row>
    <row r="1290" spans="1:27" ht="15" hidden="1">
      <c r="A1290" s="24">
        <f t="shared" ref="A1290:B1305" si="153">1000+ROW()-1</f>
        <v>2289</v>
      </c>
      <c r="B1290" s="24">
        <f t="shared" si="153"/>
        <v>2289</v>
      </c>
      <c r="C1290" s="476" t="s">
        <v>1684</v>
      </c>
      <c r="D1290" t="s">
        <v>152</v>
      </c>
      <c r="E1290" s="477">
        <v>3</v>
      </c>
      <c r="F1290" s="471">
        <v>29.9</v>
      </c>
      <c r="G1290">
        <v>1</v>
      </c>
      <c r="H1290">
        <v>1</v>
      </c>
      <c r="I1290" s="472">
        <f t="shared" si="151"/>
        <v>0.47039166666666665</v>
      </c>
      <c r="J1290" s="473">
        <v>0.36503333333333332</v>
      </c>
      <c r="K1290" s="473">
        <v>0.44336666666666663</v>
      </c>
      <c r="L1290" s="473">
        <v>0.58906666666666663</v>
      </c>
      <c r="M1290" s="473">
        <v>0.48410000000000003</v>
      </c>
      <c r="N1290" s="472">
        <f t="shared" si="152"/>
        <v>0.47039166666666665</v>
      </c>
      <c r="O1290" s="473">
        <v>0.36503333333333332</v>
      </c>
      <c r="P1290" s="473">
        <v>0.44336666666666663</v>
      </c>
      <c r="Q1290" s="473">
        <v>0.58906666666666663</v>
      </c>
      <c r="R1290" s="473">
        <v>0.48410000000000003</v>
      </c>
      <c r="S1290" s="153">
        <v>0.01</v>
      </c>
      <c r="T1290" s="153">
        <v>0.02</v>
      </c>
      <c r="U1290" s="478">
        <v>2018</v>
      </c>
      <c r="V1290" s="24">
        <f t="shared" si="140"/>
        <v>2038</v>
      </c>
      <c r="W1290">
        <v>0</v>
      </c>
      <c r="X1290">
        <v>0</v>
      </c>
      <c r="Y1290">
        <v>1315</v>
      </c>
      <c r="Z1290">
        <v>361</v>
      </c>
      <c r="AA1290" s="475" t="s">
        <v>24</v>
      </c>
    </row>
    <row r="1291" spans="1:27" ht="15" hidden="1">
      <c r="A1291" s="24">
        <f t="shared" si="153"/>
        <v>2290</v>
      </c>
      <c r="B1291" s="24">
        <f t="shared" si="153"/>
        <v>2290</v>
      </c>
      <c r="C1291" s="469" t="s">
        <v>1685</v>
      </c>
      <c r="D1291" t="s">
        <v>152</v>
      </c>
      <c r="E1291" s="470">
        <v>3</v>
      </c>
      <c r="F1291" s="471">
        <v>0</v>
      </c>
      <c r="G1291">
        <v>1</v>
      </c>
      <c r="H1291">
        <v>1</v>
      </c>
      <c r="I1291" s="472">
        <f t="shared" si="151"/>
        <v>0.32845968612834514</v>
      </c>
      <c r="J1291" s="153">
        <v>3.8473756479098807E-2</v>
      </c>
      <c r="K1291" s="153">
        <v>0.39358026214566905</v>
      </c>
      <c r="L1291" s="153">
        <v>0.53857526864315253</v>
      </c>
      <c r="M1291" s="153">
        <v>0.3432094572454602</v>
      </c>
      <c r="N1291" s="472">
        <f t="shared" si="152"/>
        <v>0.32845968612834514</v>
      </c>
      <c r="O1291" s="153">
        <v>3.8473756479098807E-2</v>
      </c>
      <c r="P1291" s="153">
        <v>0.39358026214566905</v>
      </c>
      <c r="Q1291" s="153">
        <v>0.53857526864315253</v>
      </c>
      <c r="R1291" s="153">
        <v>0.3432094572454602</v>
      </c>
      <c r="S1291" s="153">
        <v>0.03</v>
      </c>
      <c r="T1291" s="153">
        <v>0</v>
      </c>
      <c r="U1291" s="474">
        <v>1900</v>
      </c>
      <c r="V1291">
        <v>2030</v>
      </c>
      <c r="W1291">
        <v>0</v>
      </c>
      <c r="X1291">
        <v>0</v>
      </c>
      <c r="Y1291">
        <v>1304</v>
      </c>
      <c r="Z1291">
        <v>311</v>
      </c>
      <c r="AA1291" s="475" t="s">
        <v>23</v>
      </c>
    </row>
    <row r="1292" spans="1:27" ht="15" hidden="1">
      <c r="A1292" s="24">
        <f t="shared" si="153"/>
        <v>2291</v>
      </c>
      <c r="B1292" s="24">
        <f t="shared" si="153"/>
        <v>2291</v>
      </c>
      <c r="C1292" s="469" t="s">
        <v>1686</v>
      </c>
      <c r="D1292" t="s">
        <v>146</v>
      </c>
      <c r="E1292" s="470">
        <v>1</v>
      </c>
      <c r="F1292" s="471">
        <v>2.8519999999999999</v>
      </c>
      <c r="G1292">
        <v>1</v>
      </c>
      <c r="H1292">
        <v>1</v>
      </c>
      <c r="I1292" s="472">
        <f t="shared" si="151"/>
        <v>0.32845968612834514</v>
      </c>
      <c r="J1292" s="153">
        <v>3.8473756479098807E-2</v>
      </c>
      <c r="K1292" s="153">
        <v>0.39358026214566905</v>
      </c>
      <c r="L1292" s="153">
        <v>0.53857526864315253</v>
      </c>
      <c r="M1292" s="153">
        <v>0.3432094572454602</v>
      </c>
      <c r="N1292" s="472">
        <f t="shared" si="152"/>
        <v>0.32845968612834514</v>
      </c>
      <c r="O1292" s="153">
        <v>3.8473756479098807E-2</v>
      </c>
      <c r="P1292" s="153">
        <v>0.39358026214566905</v>
      </c>
      <c r="Q1292" s="153">
        <v>0.53857526864315253</v>
      </c>
      <c r="R1292" s="153">
        <v>0.3432094572454602</v>
      </c>
      <c r="S1292" s="153">
        <v>0.03</v>
      </c>
      <c r="T1292" s="153">
        <v>0</v>
      </c>
      <c r="U1292" s="474">
        <v>2011</v>
      </c>
      <c r="V1292">
        <v>2030</v>
      </c>
      <c r="W1292">
        <v>0</v>
      </c>
      <c r="X1292">
        <v>0</v>
      </c>
      <c r="Y1292">
        <v>1304</v>
      </c>
      <c r="Z1292">
        <v>311</v>
      </c>
      <c r="AA1292" s="475" t="s">
        <v>23</v>
      </c>
    </row>
    <row r="1293" spans="1:27" ht="15" hidden="1">
      <c r="A1293" s="24">
        <f t="shared" si="153"/>
        <v>2292</v>
      </c>
      <c r="B1293" s="24">
        <f t="shared" si="153"/>
        <v>2292</v>
      </c>
      <c r="C1293" s="476" t="s">
        <v>1687</v>
      </c>
      <c r="D1293" t="s">
        <v>152</v>
      </c>
      <c r="E1293" s="477">
        <v>3</v>
      </c>
      <c r="F1293" s="471">
        <v>18</v>
      </c>
      <c r="G1293">
        <v>1</v>
      </c>
      <c r="H1293">
        <v>1</v>
      </c>
      <c r="I1293" s="472">
        <f t="shared" si="151"/>
        <v>0.47039166666666665</v>
      </c>
      <c r="J1293" s="473">
        <v>0.36503333333333332</v>
      </c>
      <c r="K1293" s="473">
        <v>0.44336666666666663</v>
      </c>
      <c r="L1293" s="473">
        <v>0.58906666666666663</v>
      </c>
      <c r="M1293" s="473">
        <v>0.48410000000000003</v>
      </c>
      <c r="N1293" s="472">
        <f t="shared" si="152"/>
        <v>0.47039166666666665</v>
      </c>
      <c r="O1293" s="473">
        <v>0.36503333333333332</v>
      </c>
      <c r="P1293" s="473">
        <v>0.44336666666666663</v>
      </c>
      <c r="Q1293" s="473">
        <v>0.58906666666666663</v>
      </c>
      <c r="R1293" s="473">
        <v>0.48410000000000003</v>
      </c>
      <c r="S1293" s="153">
        <v>0.01</v>
      </c>
      <c r="T1293" s="153">
        <v>0.02</v>
      </c>
      <c r="U1293" s="478">
        <v>2018</v>
      </c>
      <c r="V1293" s="24">
        <f t="shared" ref="V1293:V1295" si="154">U1293+20</f>
        <v>2038</v>
      </c>
      <c r="W1293">
        <v>0</v>
      </c>
      <c r="X1293">
        <v>0</v>
      </c>
      <c r="Y1293">
        <v>1315</v>
      </c>
      <c r="Z1293">
        <v>361</v>
      </c>
      <c r="AA1293" s="475" t="s">
        <v>24</v>
      </c>
    </row>
    <row r="1294" spans="1:27" ht="15" hidden="1">
      <c r="A1294" s="24">
        <f t="shared" si="153"/>
        <v>2293</v>
      </c>
      <c r="B1294" s="24">
        <f t="shared" si="153"/>
        <v>2293</v>
      </c>
      <c r="C1294" s="476" t="s">
        <v>1688</v>
      </c>
      <c r="D1294" t="s">
        <v>152</v>
      </c>
      <c r="E1294" s="477">
        <v>3</v>
      </c>
      <c r="F1294" s="471">
        <v>27.04</v>
      </c>
      <c r="G1294">
        <v>1</v>
      </c>
      <c r="H1294">
        <v>1</v>
      </c>
      <c r="I1294" s="472">
        <f t="shared" si="151"/>
        <v>0.47039166666666665</v>
      </c>
      <c r="J1294" s="473">
        <v>0.36503333333333332</v>
      </c>
      <c r="K1294" s="473">
        <v>0.44336666666666663</v>
      </c>
      <c r="L1294" s="473">
        <v>0.58906666666666663</v>
      </c>
      <c r="M1294" s="473">
        <v>0.48410000000000003</v>
      </c>
      <c r="N1294" s="472">
        <f t="shared" si="152"/>
        <v>0.47039166666666665</v>
      </c>
      <c r="O1294" s="473">
        <v>0.36503333333333332</v>
      </c>
      <c r="P1294" s="473">
        <v>0.44336666666666663</v>
      </c>
      <c r="Q1294" s="473">
        <v>0.58906666666666663</v>
      </c>
      <c r="R1294" s="473">
        <v>0.48410000000000003</v>
      </c>
      <c r="S1294" s="153">
        <v>0.01</v>
      </c>
      <c r="T1294" s="153">
        <v>0.02</v>
      </c>
      <c r="U1294" s="478">
        <v>2016</v>
      </c>
      <c r="V1294" s="24">
        <f t="shared" si="154"/>
        <v>2036</v>
      </c>
      <c r="W1294">
        <v>0</v>
      </c>
      <c r="X1294">
        <v>0</v>
      </c>
      <c r="Y1294">
        <v>1315</v>
      </c>
      <c r="Z1294">
        <v>361</v>
      </c>
      <c r="AA1294" s="475" t="s">
        <v>24</v>
      </c>
    </row>
    <row r="1295" spans="1:27" ht="15" hidden="1">
      <c r="A1295" s="24">
        <f t="shared" si="153"/>
        <v>2294</v>
      </c>
      <c r="B1295" s="24">
        <f t="shared" si="153"/>
        <v>2294</v>
      </c>
      <c r="C1295" s="476" t="s">
        <v>1689</v>
      </c>
      <c r="D1295" t="s">
        <v>152</v>
      </c>
      <c r="E1295" s="477">
        <v>3</v>
      </c>
      <c r="F1295" s="471">
        <v>25.35</v>
      </c>
      <c r="G1295">
        <v>1</v>
      </c>
      <c r="H1295">
        <v>1</v>
      </c>
      <c r="I1295" s="472">
        <f t="shared" si="151"/>
        <v>0.47039166666666665</v>
      </c>
      <c r="J1295" s="473">
        <v>0.36503333333333332</v>
      </c>
      <c r="K1295" s="473">
        <v>0.44336666666666663</v>
      </c>
      <c r="L1295" s="473">
        <v>0.58906666666666663</v>
      </c>
      <c r="M1295" s="473">
        <v>0.48410000000000003</v>
      </c>
      <c r="N1295" s="472">
        <f t="shared" si="152"/>
        <v>0.47039166666666665</v>
      </c>
      <c r="O1295" s="473">
        <v>0.36503333333333332</v>
      </c>
      <c r="P1295" s="473">
        <v>0.44336666666666663</v>
      </c>
      <c r="Q1295" s="473">
        <v>0.58906666666666663</v>
      </c>
      <c r="R1295" s="473">
        <v>0.48410000000000003</v>
      </c>
      <c r="S1295" s="153">
        <v>0.01</v>
      </c>
      <c r="T1295" s="153">
        <v>0.02</v>
      </c>
      <c r="U1295" s="478">
        <v>2016</v>
      </c>
      <c r="V1295" s="24">
        <f t="shared" si="154"/>
        <v>2036</v>
      </c>
      <c r="W1295">
        <v>0</v>
      </c>
      <c r="X1295">
        <v>0</v>
      </c>
      <c r="Y1295">
        <v>1315</v>
      </c>
      <c r="Z1295">
        <v>361</v>
      </c>
      <c r="AA1295" s="475" t="s">
        <v>24</v>
      </c>
    </row>
    <row r="1296" spans="1:27" ht="15" hidden="1">
      <c r="A1296" s="24">
        <f t="shared" si="153"/>
        <v>2295</v>
      </c>
      <c r="B1296" s="24">
        <f t="shared" si="153"/>
        <v>2295</v>
      </c>
      <c r="C1296" s="469" t="s">
        <v>1690</v>
      </c>
      <c r="D1296" t="s">
        <v>146</v>
      </c>
      <c r="E1296" s="470">
        <v>1</v>
      </c>
      <c r="F1296" s="471">
        <v>0</v>
      </c>
      <c r="G1296">
        <v>1</v>
      </c>
      <c r="H1296">
        <v>1</v>
      </c>
      <c r="I1296" s="472">
        <f t="shared" si="151"/>
        <v>0.32845968612834514</v>
      </c>
      <c r="J1296" s="153">
        <v>3.8473756479098807E-2</v>
      </c>
      <c r="K1296" s="153">
        <v>0.39358026214566905</v>
      </c>
      <c r="L1296" s="153">
        <v>0.53857526864315253</v>
      </c>
      <c r="M1296" s="153">
        <v>0.3432094572454602</v>
      </c>
      <c r="N1296" s="472">
        <f t="shared" si="152"/>
        <v>0.32845968612834514</v>
      </c>
      <c r="O1296" s="153">
        <v>3.8473756479098807E-2</v>
      </c>
      <c r="P1296" s="153">
        <v>0.39358026214566905</v>
      </c>
      <c r="Q1296" s="153">
        <v>0.53857526864315253</v>
      </c>
      <c r="R1296" s="153">
        <v>0.3432094572454602</v>
      </c>
      <c r="S1296" s="153">
        <v>0.03</v>
      </c>
      <c r="T1296" s="153">
        <v>0</v>
      </c>
      <c r="U1296" s="474">
        <v>1900</v>
      </c>
      <c r="V1296">
        <v>2030</v>
      </c>
      <c r="W1296">
        <v>0</v>
      </c>
      <c r="X1296">
        <v>0</v>
      </c>
      <c r="Y1296">
        <v>1304</v>
      </c>
      <c r="Z1296">
        <v>311</v>
      </c>
      <c r="AA1296" s="475" t="s">
        <v>23</v>
      </c>
    </row>
    <row r="1297" spans="1:27" ht="15" hidden="1">
      <c r="A1297" s="24">
        <f t="shared" si="153"/>
        <v>2296</v>
      </c>
      <c r="B1297" s="24">
        <f t="shared" si="153"/>
        <v>2296</v>
      </c>
      <c r="C1297" s="469" t="s">
        <v>1691</v>
      </c>
      <c r="D1297" t="s">
        <v>149</v>
      </c>
      <c r="E1297" s="470">
        <v>2</v>
      </c>
      <c r="F1297" s="471">
        <v>42</v>
      </c>
      <c r="G1297">
        <v>1</v>
      </c>
      <c r="H1297">
        <v>1</v>
      </c>
      <c r="I1297" s="472">
        <f t="shared" si="151"/>
        <v>0.32845968612834514</v>
      </c>
      <c r="J1297" s="153">
        <v>3.8473756479098807E-2</v>
      </c>
      <c r="K1297" s="153">
        <v>0.39358026214566905</v>
      </c>
      <c r="L1297" s="153">
        <v>0.53857526864315253</v>
      </c>
      <c r="M1297" s="153">
        <v>0.3432094572454602</v>
      </c>
      <c r="N1297" s="472">
        <f t="shared" si="152"/>
        <v>0.32845968612834514</v>
      </c>
      <c r="O1297" s="153">
        <v>3.8473756479098807E-2</v>
      </c>
      <c r="P1297" s="153">
        <v>0.39358026214566905</v>
      </c>
      <c r="Q1297" s="153">
        <v>0.53857526864315253</v>
      </c>
      <c r="R1297" s="153">
        <v>0.3432094572454602</v>
      </c>
      <c r="S1297" s="153">
        <v>0.03</v>
      </c>
      <c r="T1297" s="153">
        <v>0</v>
      </c>
      <c r="U1297" s="474">
        <v>2014</v>
      </c>
      <c r="V1297">
        <v>2030</v>
      </c>
      <c r="W1297">
        <v>0</v>
      </c>
      <c r="X1297">
        <v>0</v>
      </c>
      <c r="Y1297">
        <v>1304</v>
      </c>
      <c r="Z1297">
        <v>311</v>
      </c>
      <c r="AA1297" s="475" t="s">
        <v>23</v>
      </c>
    </row>
    <row r="1298" spans="1:27" ht="15" hidden="1">
      <c r="A1298" s="24">
        <f t="shared" si="153"/>
        <v>2297</v>
      </c>
      <c r="B1298" s="24">
        <f t="shared" si="153"/>
        <v>2297</v>
      </c>
      <c r="C1298" s="476" t="s">
        <v>1692</v>
      </c>
      <c r="D1298" t="s">
        <v>152</v>
      </c>
      <c r="E1298" s="477">
        <v>3</v>
      </c>
      <c r="F1298" s="471">
        <v>25.35</v>
      </c>
      <c r="G1298">
        <v>1</v>
      </c>
      <c r="H1298">
        <v>1</v>
      </c>
      <c r="I1298" s="472">
        <f t="shared" si="151"/>
        <v>0.47039166666666665</v>
      </c>
      <c r="J1298" s="473">
        <v>0.36503333333333332</v>
      </c>
      <c r="K1298" s="473">
        <v>0.44336666666666663</v>
      </c>
      <c r="L1298" s="473">
        <v>0.58906666666666663</v>
      </c>
      <c r="M1298" s="473">
        <v>0.48410000000000003</v>
      </c>
      <c r="N1298" s="472">
        <f t="shared" si="152"/>
        <v>0.47039166666666665</v>
      </c>
      <c r="O1298" s="473">
        <v>0.36503333333333332</v>
      </c>
      <c r="P1298" s="473">
        <v>0.44336666666666663</v>
      </c>
      <c r="Q1298" s="473">
        <v>0.58906666666666663</v>
      </c>
      <c r="R1298" s="473">
        <v>0.48410000000000003</v>
      </c>
      <c r="S1298" s="153">
        <v>0.01</v>
      </c>
      <c r="T1298" s="153">
        <v>0.02</v>
      </c>
      <c r="U1298" s="478">
        <v>2016</v>
      </c>
      <c r="V1298" s="24">
        <f>U1298+20</f>
        <v>2036</v>
      </c>
      <c r="W1298">
        <v>0</v>
      </c>
      <c r="X1298">
        <v>0</v>
      </c>
      <c r="Y1298">
        <v>1315</v>
      </c>
      <c r="Z1298">
        <v>361</v>
      </c>
      <c r="AA1298" s="475" t="s">
        <v>24</v>
      </c>
    </row>
    <row r="1299" spans="1:27" ht="15" hidden="1">
      <c r="A1299" s="24">
        <f t="shared" si="153"/>
        <v>2298</v>
      </c>
      <c r="B1299" s="24">
        <f t="shared" si="153"/>
        <v>2298</v>
      </c>
      <c r="C1299" s="469" t="s">
        <v>1693</v>
      </c>
      <c r="D1299" t="s">
        <v>149</v>
      </c>
      <c r="E1299" s="470">
        <v>2</v>
      </c>
      <c r="F1299" s="471">
        <v>0</v>
      </c>
      <c r="G1299">
        <v>1</v>
      </c>
      <c r="H1299">
        <v>1</v>
      </c>
      <c r="I1299" s="472">
        <f t="shared" si="151"/>
        <v>0.32845968612834514</v>
      </c>
      <c r="J1299" s="153">
        <v>3.8473756479098807E-2</v>
      </c>
      <c r="K1299" s="153">
        <v>0.39358026214566905</v>
      </c>
      <c r="L1299" s="153">
        <v>0.53857526864315253</v>
      </c>
      <c r="M1299" s="153">
        <v>0.3432094572454602</v>
      </c>
      <c r="N1299" s="472">
        <f t="shared" si="152"/>
        <v>0.32845968612834514</v>
      </c>
      <c r="O1299" s="153">
        <v>3.8473756479098807E-2</v>
      </c>
      <c r="P1299" s="153">
        <v>0.39358026214566905</v>
      </c>
      <c r="Q1299" s="153">
        <v>0.53857526864315253</v>
      </c>
      <c r="R1299" s="153">
        <v>0.3432094572454602</v>
      </c>
      <c r="S1299" s="153">
        <v>0.03</v>
      </c>
      <c r="T1299" s="153">
        <v>0</v>
      </c>
      <c r="U1299" s="474">
        <v>1900</v>
      </c>
      <c r="V1299">
        <v>2030</v>
      </c>
      <c r="W1299">
        <v>0</v>
      </c>
      <c r="X1299">
        <v>0</v>
      </c>
      <c r="Y1299">
        <v>1304</v>
      </c>
      <c r="Z1299">
        <v>311</v>
      </c>
      <c r="AA1299" s="475" t="s">
        <v>23</v>
      </c>
    </row>
    <row r="1300" spans="1:27" ht="15" hidden="1">
      <c r="A1300" s="24">
        <f t="shared" si="153"/>
        <v>2299</v>
      </c>
      <c r="B1300" s="24">
        <f t="shared" si="153"/>
        <v>2299</v>
      </c>
      <c r="C1300" s="469" t="s">
        <v>1694</v>
      </c>
      <c r="D1300" t="s">
        <v>146</v>
      </c>
      <c r="E1300" s="470">
        <v>1</v>
      </c>
      <c r="F1300" s="471">
        <v>45</v>
      </c>
      <c r="G1300">
        <v>1</v>
      </c>
      <c r="H1300">
        <v>1</v>
      </c>
      <c r="I1300" s="472">
        <f t="shared" si="151"/>
        <v>0.32845968612834514</v>
      </c>
      <c r="J1300" s="153">
        <v>3.8473756479098807E-2</v>
      </c>
      <c r="K1300" s="153">
        <v>0.39358026214566905</v>
      </c>
      <c r="L1300" s="153">
        <v>0.53857526864315253</v>
      </c>
      <c r="M1300" s="153">
        <v>0.3432094572454602</v>
      </c>
      <c r="N1300" s="472">
        <f t="shared" si="152"/>
        <v>0.32845968612834514</v>
      </c>
      <c r="O1300" s="153">
        <v>3.8473756479098807E-2</v>
      </c>
      <c r="P1300" s="153">
        <v>0.39358026214566905</v>
      </c>
      <c r="Q1300" s="153">
        <v>0.53857526864315253</v>
      </c>
      <c r="R1300" s="153">
        <v>0.3432094572454602</v>
      </c>
      <c r="S1300" s="153">
        <v>0.03</v>
      </c>
      <c r="T1300" s="153">
        <v>0</v>
      </c>
      <c r="U1300" s="474">
        <v>2005</v>
      </c>
      <c r="V1300">
        <v>2023</v>
      </c>
      <c r="W1300">
        <v>0</v>
      </c>
      <c r="X1300">
        <v>0</v>
      </c>
      <c r="Y1300">
        <v>1304</v>
      </c>
      <c r="Z1300">
        <v>311</v>
      </c>
      <c r="AA1300" s="475" t="s">
        <v>23</v>
      </c>
    </row>
    <row r="1301" spans="1:27" ht="15" hidden="1">
      <c r="A1301" s="24">
        <f t="shared" si="153"/>
        <v>2300</v>
      </c>
      <c r="B1301" s="24">
        <f t="shared" si="153"/>
        <v>2300</v>
      </c>
      <c r="C1301" s="469" t="s">
        <v>1695</v>
      </c>
      <c r="D1301" t="s">
        <v>146</v>
      </c>
      <c r="E1301" s="470">
        <v>1</v>
      </c>
      <c r="F1301" s="471">
        <v>0</v>
      </c>
      <c r="G1301">
        <v>1</v>
      </c>
      <c r="H1301">
        <v>1</v>
      </c>
      <c r="I1301" s="472">
        <f t="shared" si="151"/>
        <v>0.32845968612834514</v>
      </c>
      <c r="J1301" s="153">
        <v>3.8473756479098807E-2</v>
      </c>
      <c r="K1301" s="153">
        <v>0.39358026214566905</v>
      </c>
      <c r="L1301" s="153">
        <v>0.53857526864315253</v>
      </c>
      <c r="M1301" s="153">
        <v>0.3432094572454602</v>
      </c>
      <c r="N1301" s="472">
        <f t="shared" si="152"/>
        <v>0.32845968612834514</v>
      </c>
      <c r="O1301" s="153">
        <v>3.8473756479098807E-2</v>
      </c>
      <c r="P1301" s="153">
        <v>0.39358026214566905</v>
      </c>
      <c r="Q1301" s="153">
        <v>0.53857526864315253</v>
      </c>
      <c r="R1301" s="153">
        <v>0.3432094572454602</v>
      </c>
      <c r="S1301" s="153">
        <v>0.03</v>
      </c>
      <c r="T1301" s="153">
        <v>0</v>
      </c>
      <c r="U1301" s="474">
        <v>1900</v>
      </c>
      <c r="V1301">
        <v>2030</v>
      </c>
      <c r="W1301">
        <v>0</v>
      </c>
      <c r="X1301">
        <v>0</v>
      </c>
      <c r="Y1301">
        <v>1304</v>
      </c>
      <c r="Z1301">
        <v>311</v>
      </c>
      <c r="AA1301" s="475" t="s">
        <v>23</v>
      </c>
    </row>
    <row r="1302" spans="1:27" ht="15" hidden="1">
      <c r="A1302" s="24">
        <f t="shared" si="153"/>
        <v>2301</v>
      </c>
      <c r="B1302" s="24">
        <f t="shared" si="153"/>
        <v>2301</v>
      </c>
      <c r="C1302" s="476" t="s">
        <v>1696</v>
      </c>
      <c r="D1302" t="s">
        <v>154</v>
      </c>
      <c r="E1302" s="477">
        <v>4</v>
      </c>
      <c r="F1302" s="471">
        <v>30</v>
      </c>
      <c r="G1302">
        <v>1</v>
      </c>
      <c r="H1302">
        <v>1</v>
      </c>
      <c r="I1302" s="472">
        <f t="shared" si="151"/>
        <v>0.47039166666666665</v>
      </c>
      <c r="J1302" s="153">
        <v>0.36503333333333332</v>
      </c>
      <c r="K1302" s="153">
        <v>0.44336666666666663</v>
      </c>
      <c r="L1302" s="153">
        <v>0.58906666666666663</v>
      </c>
      <c r="M1302" s="153">
        <v>0.48410000000000003</v>
      </c>
      <c r="N1302" s="472">
        <f t="shared" si="152"/>
        <v>0.47039166666666665</v>
      </c>
      <c r="O1302" s="153">
        <v>0.36503333333333332</v>
      </c>
      <c r="P1302" s="153">
        <v>0.44336666666666663</v>
      </c>
      <c r="Q1302" s="153">
        <v>0.58906666666666663</v>
      </c>
      <c r="R1302" s="153">
        <v>0.48410000000000003</v>
      </c>
      <c r="S1302" s="153">
        <v>0.01</v>
      </c>
      <c r="T1302" s="153">
        <v>0.02</v>
      </c>
      <c r="U1302" s="478">
        <v>2018</v>
      </c>
      <c r="V1302" s="24">
        <f t="shared" ref="V1302:V1306" si="155">U1302+20</f>
        <v>2038</v>
      </c>
      <c r="W1302">
        <v>0</v>
      </c>
      <c r="X1302">
        <v>0</v>
      </c>
      <c r="Y1302">
        <v>1315</v>
      </c>
      <c r="Z1302">
        <v>361</v>
      </c>
      <c r="AA1302" s="475" t="s">
        <v>24</v>
      </c>
    </row>
    <row r="1303" spans="1:27" ht="15" hidden="1">
      <c r="A1303" s="24">
        <f t="shared" si="153"/>
        <v>2302</v>
      </c>
      <c r="B1303" s="24">
        <f t="shared" si="153"/>
        <v>2302</v>
      </c>
      <c r="C1303" s="476" t="s">
        <v>1697</v>
      </c>
      <c r="D1303" t="s">
        <v>154</v>
      </c>
      <c r="E1303" s="477">
        <v>4</v>
      </c>
      <c r="F1303" s="471">
        <v>30</v>
      </c>
      <c r="G1303">
        <v>1</v>
      </c>
      <c r="H1303">
        <v>1</v>
      </c>
      <c r="I1303" s="472">
        <f t="shared" si="151"/>
        <v>0.47039166666666665</v>
      </c>
      <c r="J1303" s="153">
        <v>0.36503333333333332</v>
      </c>
      <c r="K1303" s="153">
        <v>0.44336666666666663</v>
      </c>
      <c r="L1303" s="153">
        <v>0.58906666666666663</v>
      </c>
      <c r="M1303" s="153">
        <v>0.48410000000000003</v>
      </c>
      <c r="N1303" s="472">
        <f t="shared" si="152"/>
        <v>0.47039166666666665</v>
      </c>
      <c r="O1303" s="153">
        <v>0.36503333333333332</v>
      </c>
      <c r="P1303" s="153">
        <v>0.44336666666666663</v>
      </c>
      <c r="Q1303" s="153">
        <v>0.58906666666666663</v>
      </c>
      <c r="R1303" s="153">
        <v>0.48410000000000003</v>
      </c>
      <c r="S1303" s="153">
        <v>0.01</v>
      </c>
      <c r="T1303" s="153">
        <v>0.02</v>
      </c>
      <c r="U1303" s="478">
        <v>2018</v>
      </c>
      <c r="V1303" s="24">
        <f t="shared" si="155"/>
        <v>2038</v>
      </c>
      <c r="W1303">
        <v>0</v>
      </c>
      <c r="X1303">
        <v>0</v>
      </c>
      <c r="Y1303">
        <v>1315</v>
      </c>
      <c r="Z1303">
        <v>361</v>
      </c>
      <c r="AA1303" s="475" t="s">
        <v>24</v>
      </c>
    </row>
    <row r="1304" spans="1:27" ht="15" hidden="1">
      <c r="A1304" s="24">
        <f t="shared" si="153"/>
        <v>2303</v>
      </c>
      <c r="B1304" s="24">
        <f t="shared" si="153"/>
        <v>2303</v>
      </c>
      <c r="C1304" s="476" t="s">
        <v>1698</v>
      </c>
      <c r="D1304" t="s">
        <v>154</v>
      </c>
      <c r="E1304" s="477">
        <v>4</v>
      </c>
      <c r="F1304" s="471">
        <v>30</v>
      </c>
      <c r="G1304">
        <v>1</v>
      </c>
      <c r="H1304">
        <v>1</v>
      </c>
      <c r="I1304" s="472">
        <f t="shared" si="151"/>
        <v>0.47039166666666665</v>
      </c>
      <c r="J1304" s="153">
        <v>0.36503333333333332</v>
      </c>
      <c r="K1304" s="153">
        <v>0.44336666666666663</v>
      </c>
      <c r="L1304" s="153">
        <v>0.58906666666666663</v>
      </c>
      <c r="M1304" s="153">
        <v>0.48410000000000003</v>
      </c>
      <c r="N1304" s="472">
        <f t="shared" si="152"/>
        <v>0.47039166666666665</v>
      </c>
      <c r="O1304" s="153">
        <v>0.36503333333333332</v>
      </c>
      <c r="P1304" s="153">
        <v>0.44336666666666663</v>
      </c>
      <c r="Q1304" s="153">
        <v>0.58906666666666663</v>
      </c>
      <c r="R1304" s="153">
        <v>0.48410000000000003</v>
      </c>
      <c r="S1304" s="153">
        <v>0.01</v>
      </c>
      <c r="T1304" s="153">
        <v>0.02</v>
      </c>
      <c r="U1304" s="478">
        <v>2018</v>
      </c>
      <c r="V1304" s="24">
        <f t="shared" si="155"/>
        <v>2038</v>
      </c>
      <c r="W1304">
        <v>0</v>
      </c>
      <c r="X1304">
        <v>0</v>
      </c>
      <c r="Y1304">
        <v>1315</v>
      </c>
      <c r="Z1304">
        <v>361</v>
      </c>
      <c r="AA1304" s="475" t="s">
        <v>24</v>
      </c>
    </row>
    <row r="1305" spans="1:27" ht="15" hidden="1">
      <c r="A1305" s="24">
        <f t="shared" si="153"/>
        <v>2304</v>
      </c>
      <c r="B1305" s="24">
        <f t="shared" si="153"/>
        <v>2304</v>
      </c>
      <c r="C1305" s="476" t="s">
        <v>1699</v>
      </c>
      <c r="D1305" t="s">
        <v>152</v>
      </c>
      <c r="E1305" s="477">
        <v>3</v>
      </c>
      <c r="F1305" s="471">
        <v>27.04</v>
      </c>
      <c r="G1305">
        <v>1</v>
      </c>
      <c r="H1305">
        <v>1</v>
      </c>
      <c r="I1305" s="472">
        <f t="shared" si="151"/>
        <v>0.47039166666666665</v>
      </c>
      <c r="J1305" s="473">
        <v>0.36503333333333332</v>
      </c>
      <c r="K1305" s="473">
        <v>0.44336666666666663</v>
      </c>
      <c r="L1305" s="473">
        <v>0.58906666666666663</v>
      </c>
      <c r="M1305" s="473">
        <v>0.48410000000000003</v>
      </c>
      <c r="N1305" s="472">
        <f t="shared" si="152"/>
        <v>0.47039166666666665</v>
      </c>
      <c r="O1305" s="473">
        <v>0.36503333333333332</v>
      </c>
      <c r="P1305" s="473">
        <v>0.44336666666666663</v>
      </c>
      <c r="Q1305" s="473">
        <v>0.58906666666666663</v>
      </c>
      <c r="R1305" s="473">
        <v>0.48410000000000003</v>
      </c>
      <c r="S1305" s="153">
        <v>0.01</v>
      </c>
      <c r="T1305" s="153">
        <v>0.02</v>
      </c>
      <c r="U1305" s="478">
        <v>2016</v>
      </c>
      <c r="V1305" s="24">
        <f t="shared" si="155"/>
        <v>2036</v>
      </c>
      <c r="W1305">
        <v>0</v>
      </c>
      <c r="X1305">
        <v>0</v>
      </c>
      <c r="Y1305">
        <v>1315</v>
      </c>
      <c r="Z1305">
        <v>361</v>
      </c>
      <c r="AA1305" s="475" t="s">
        <v>24</v>
      </c>
    </row>
    <row r="1306" spans="1:27" ht="15" hidden="1">
      <c r="A1306" s="24">
        <f t="shared" ref="A1306:B1323" si="156">1000+ROW()-1</f>
        <v>2305</v>
      </c>
      <c r="B1306" s="24">
        <f t="shared" si="156"/>
        <v>2305</v>
      </c>
      <c r="C1306" s="476" t="s">
        <v>1700</v>
      </c>
      <c r="D1306" t="s">
        <v>152</v>
      </c>
      <c r="E1306" s="477">
        <v>3</v>
      </c>
      <c r="F1306" s="471">
        <v>28</v>
      </c>
      <c r="G1306">
        <v>1</v>
      </c>
      <c r="H1306">
        <v>1</v>
      </c>
      <c r="I1306" s="472">
        <f t="shared" si="151"/>
        <v>0.47039166666666665</v>
      </c>
      <c r="J1306" s="473">
        <v>0.36503333333333332</v>
      </c>
      <c r="K1306" s="473">
        <v>0.44336666666666663</v>
      </c>
      <c r="L1306" s="473">
        <v>0.58906666666666663</v>
      </c>
      <c r="M1306" s="473">
        <v>0.48410000000000003</v>
      </c>
      <c r="N1306" s="472">
        <f t="shared" si="152"/>
        <v>0.47039166666666665</v>
      </c>
      <c r="O1306" s="473">
        <v>0.36503333333333332</v>
      </c>
      <c r="P1306" s="473">
        <v>0.44336666666666663</v>
      </c>
      <c r="Q1306" s="473">
        <v>0.58906666666666663</v>
      </c>
      <c r="R1306" s="473">
        <v>0.48410000000000003</v>
      </c>
      <c r="S1306" s="153">
        <v>0.01</v>
      </c>
      <c r="T1306" s="153">
        <v>0.02</v>
      </c>
      <c r="U1306" s="478">
        <v>2018</v>
      </c>
      <c r="V1306" s="24">
        <f t="shared" si="155"/>
        <v>2038</v>
      </c>
      <c r="W1306">
        <v>0</v>
      </c>
      <c r="X1306">
        <v>0</v>
      </c>
      <c r="Y1306">
        <v>1315</v>
      </c>
      <c r="Z1306">
        <v>361</v>
      </c>
      <c r="AA1306" s="475" t="s">
        <v>24</v>
      </c>
    </row>
    <row r="1307" spans="1:27" ht="15" hidden="1">
      <c r="A1307" s="24">
        <f t="shared" si="156"/>
        <v>2306</v>
      </c>
      <c r="B1307" s="24">
        <f t="shared" si="156"/>
        <v>2306</v>
      </c>
      <c r="C1307" s="469" t="s">
        <v>1701</v>
      </c>
      <c r="D1307" t="s">
        <v>152</v>
      </c>
      <c r="E1307" s="470">
        <v>3</v>
      </c>
      <c r="F1307" s="471">
        <v>4</v>
      </c>
      <c r="G1307">
        <v>1</v>
      </c>
      <c r="H1307">
        <v>1</v>
      </c>
      <c r="I1307" s="472">
        <f t="shared" si="151"/>
        <v>0.32845968612834514</v>
      </c>
      <c r="J1307" s="153">
        <v>3.8473756479098807E-2</v>
      </c>
      <c r="K1307" s="153">
        <v>0.39358026214566905</v>
      </c>
      <c r="L1307" s="153">
        <v>0.53857526864315253</v>
      </c>
      <c r="M1307" s="153">
        <v>0.3432094572454602</v>
      </c>
      <c r="N1307" s="472">
        <f t="shared" si="152"/>
        <v>0.32845968612834514</v>
      </c>
      <c r="O1307" s="153">
        <v>3.8473756479098807E-2</v>
      </c>
      <c r="P1307" s="153">
        <v>0.39358026214566905</v>
      </c>
      <c r="Q1307" s="153">
        <v>0.53857526864315253</v>
      </c>
      <c r="R1307" s="153">
        <v>0.3432094572454602</v>
      </c>
      <c r="S1307" s="153">
        <v>0.03</v>
      </c>
      <c r="T1307" s="153">
        <v>0</v>
      </c>
      <c r="U1307" s="474">
        <v>2005</v>
      </c>
      <c r="V1307">
        <v>2023</v>
      </c>
      <c r="W1307">
        <v>0</v>
      </c>
      <c r="X1307">
        <v>0</v>
      </c>
      <c r="Y1307">
        <v>1304</v>
      </c>
      <c r="Z1307">
        <v>311</v>
      </c>
      <c r="AA1307" s="475" t="s">
        <v>23</v>
      </c>
    </row>
    <row r="1308" spans="1:27" ht="15" hidden="1">
      <c r="A1308" s="24">
        <f t="shared" si="156"/>
        <v>2307</v>
      </c>
      <c r="B1308" s="24">
        <f t="shared" si="156"/>
        <v>2307</v>
      </c>
      <c r="C1308" s="469" t="s">
        <v>1702</v>
      </c>
      <c r="D1308" t="s">
        <v>152</v>
      </c>
      <c r="E1308" s="470">
        <v>3</v>
      </c>
      <c r="F1308" s="471">
        <v>0</v>
      </c>
      <c r="G1308">
        <v>1</v>
      </c>
      <c r="H1308">
        <v>1</v>
      </c>
      <c r="I1308" s="472">
        <f t="shared" si="151"/>
        <v>0.32845968612834514</v>
      </c>
      <c r="J1308" s="153">
        <v>3.8473756479098807E-2</v>
      </c>
      <c r="K1308" s="153">
        <v>0.39358026214566905</v>
      </c>
      <c r="L1308" s="153">
        <v>0.53857526864315253</v>
      </c>
      <c r="M1308" s="153">
        <v>0.3432094572454602</v>
      </c>
      <c r="N1308" s="472">
        <f t="shared" si="152"/>
        <v>0.32845968612834514</v>
      </c>
      <c r="O1308" s="153">
        <v>3.8473756479098807E-2</v>
      </c>
      <c r="P1308" s="153">
        <v>0.39358026214566905</v>
      </c>
      <c r="Q1308" s="153">
        <v>0.53857526864315253</v>
      </c>
      <c r="R1308" s="153">
        <v>0.3432094572454602</v>
      </c>
      <c r="S1308" s="153">
        <v>0.03</v>
      </c>
      <c r="T1308" s="153">
        <v>0</v>
      </c>
      <c r="U1308" s="474">
        <v>1900</v>
      </c>
      <c r="V1308">
        <v>2030</v>
      </c>
      <c r="W1308">
        <v>0</v>
      </c>
      <c r="X1308">
        <v>0</v>
      </c>
      <c r="Y1308">
        <v>1304</v>
      </c>
      <c r="Z1308">
        <v>311</v>
      </c>
      <c r="AA1308" s="475" t="s">
        <v>23</v>
      </c>
    </row>
    <row r="1309" spans="1:27" ht="15" hidden="1">
      <c r="A1309" s="24">
        <f t="shared" si="156"/>
        <v>2308</v>
      </c>
      <c r="B1309" s="24">
        <f t="shared" si="156"/>
        <v>2308</v>
      </c>
      <c r="C1309" s="469" t="s">
        <v>1703</v>
      </c>
      <c r="D1309" t="s">
        <v>149</v>
      </c>
      <c r="E1309" s="470">
        <v>2</v>
      </c>
      <c r="F1309" s="471">
        <v>40</v>
      </c>
      <c r="G1309">
        <v>1</v>
      </c>
      <c r="H1309">
        <v>1</v>
      </c>
      <c r="I1309" s="472">
        <f t="shared" si="151"/>
        <v>0.32845968612834514</v>
      </c>
      <c r="J1309" s="153">
        <v>3.8473756479098807E-2</v>
      </c>
      <c r="K1309" s="153">
        <v>0.39358026214566905</v>
      </c>
      <c r="L1309" s="153">
        <v>0.53857526864315253</v>
      </c>
      <c r="M1309" s="153">
        <v>0.3432094572454602</v>
      </c>
      <c r="N1309" s="472">
        <f t="shared" si="152"/>
        <v>0.32845968612834514</v>
      </c>
      <c r="O1309" s="153">
        <v>3.8473756479098807E-2</v>
      </c>
      <c r="P1309" s="153">
        <v>0.39358026214566905</v>
      </c>
      <c r="Q1309" s="153">
        <v>0.53857526864315253</v>
      </c>
      <c r="R1309" s="153">
        <v>0.3432094572454602</v>
      </c>
      <c r="S1309" s="153">
        <v>0.03</v>
      </c>
      <c r="T1309" s="153">
        <v>0</v>
      </c>
      <c r="U1309" s="474">
        <v>2007</v>
      </c>
      <c r="V1309">
        <v>2030</v>
      </c>
      <c r="W1309">
        <v>0</v>
      </c>
      <c r="X1309">
        <v>0</v>
      </c>
      <c r="Y1309">
        <v>1304</v>
      </c>
      <c r="Z1309">
        <v>311</v>
      </c>
      <c r="AA1309" s="475" t="s">
        <v>23</v>
      </c>
    </row>
    <row r="1310" spans="1:27" ht="15" hidden="1">
      <c r="A1310" s="24">
        <f t="shared" si="156"/>
        <v>2309</v>
      </c>
      <c r="B1310" s="24">
        <f t="shared" si="156"/>
        <v>2309</v>
      </c>
      <c r="C1310" s="476" t="s">
        <v>1704</v>
      </c>
      <c r="D1310" t="s">
        <v>152</v>
      </c>
      <c r="E1310" s="477">
        <v>3</v>
      </c>
      <c r="F1310" s="471">
        <v>30</v>
      </c>
      <c r="G1310">
        <v>1</v>
      </c>
      <c r="H1310">
        <v>1</v>
      </c>
      <c r="I1310" s="472">
        <f t="shared" si="151"/>
        <v>0.47039166666666665</v>
      </c>
      <c r="J1310" s="473">
        <v>0.36503333333333332</v>
      </c>
      <c r="K1310" s="473">
        <v>0.44336666666666663</v>
      </c>
      <c r="L1310" s="473">
        <v>0.58906666666666663</v>
      </c>
      <c r="M1310" s="473">
        <v>0.48410000000000003</v>
      </c>
      <c r="N1310" s="472">
        <f t="shared" si="152"/>
        <v>0.47039166666666665</v>
      </c>
      <c r="O1310" s="473">
        <v>0.36503333333333332</v>
      </c>
      <c r="P1310" s="473">
        <v>0.44336666666666663</v>
      </c>
      <c r="Q1310" s="473">
        <v>0.58906666666666663</v>
      </c>
      <c r="R1310" s="473">
        <v>0.48410000000000003</v>
      </c>
      <c r="S1310" s="153">
        <v>0.01</v>
      </c>
      <c r="T1310" s="153">
        <v>0.02</v>
      </c>
      <c r="U1310" s="478">
        <v>2016</v>
      </c>
      <c r="V1310" s="24">
        <f t="shared" ref="V1310:V1313" si="157">U1310+20</f>
        <v>2036</v>
      </c>
      <c r="W1310">
        <v>0</v>
      </c>
      <c r="X1310">
        <v>0</v>
      </c>
      <c r="Y1310">
        <v>1315</v>
      </c>
      <c r="Z1310">
        <v>361</v>
      </c>
      <c r="AA1310" s="475" t="s">
        <v>24</v>
      </c>
    </row>
    <row r="1311" spans="1:27" ht="15" hidden="1">
      <c r="A1311" s="24">
        <f t="shared" si="156"/>
        <v>2310</v>
      </c>
      <c r="B1311" s="24">
        <f t="shared" si="156"/>
        <v>2310</v>
      </c>
      <c r="C1311" s="476" t="s">
        <v>1705</v>
      </c>
      <c r="D1311" t="s">
        <v>154</v>
      </c>
      <c r="E1311" s="477">
        <v>4</v>
      </c>
      <c r="F1311" s="471">
        <v>30</v>
      </c>
      <c r="G1311">
        <v>1</v>
      </c>
      <c r="H1311">
        <v>1</v>
      </c>
      <c r="I1311" s="472">
        <f t="shared" si="151"/>
        <v>0.47039166666666665</v>
      </c>
      <c r="J1311" s="153">
        <v>0.36503333333333332</v>
      </c>
      <c r="K1311" s="153">
        <v>0.44336666666666663</v>
      </c>
      <c r="L1311" s="153">
        <v>0.58906666666666663</v>
      </c>
      <c r="M1311" s="153">
        <v>0.48410000000000003</v>
      </c>
      <c r="N1311" s="472">
        <f t="shared" si="152"/>
        <v>0.47039166666666665</v>
      </c>
      <c r="O1311" s="153">
        <v>0.36503333333333332</v>
      </c>
      <c r="P1311" s="153">
        <v>0.44336666666666663</v>
      </c>
      <c r="Q1311" s="153">
        <v>0.58906666666666663</v>
      </c>
      <c r="R1311" s="153">
        <v>0.48410000000000003</v>
      </c>
      <c r="S1311" s="153">
        <v>0.01</v>
      </c>
      <c r="T1311" s="153">
        <v>0.02</v>
      </c>
      <c r="U1311" s="478">
        <v>2018</v>
      </c>
      <c r="V1311" s="24">
        <f t="shared" si="157"/>
        <v>2038</v>
      </c>
      <c r="W1311">
        <v>0</v>
      </c>
      <c r="X1311">
        <v>0</v>
      </c>
      <c r="Y1311">
        <v>1315</v>
      </c>
      <c r="Z1311">
        <v>361</v>
      </c>
      <c r="AA1311" s="475" t="s">
        <v>24</v>
      </c>
    </row>
    <row r="1312" spans="1:27" ht="15" hidden="1">
      <c r="A1312" s="24">
        <f t="shared" si="156"/>
        <v>2311</v>
      </c>
      <c r="B1312" s="24">
        <f t="shared" si="156"/>
        <v>2311</v>
      </c>
      <c r="C1312" s="476" t="s">
        <v>1706</v>
      </c>
      <c r="D1312" t="s">
        <v>154</v>
      </c>
      <c r="E1312" s="477">
        <v>4</v>
      </c>
      <c r="F1312" s="471">
        <v>30</v>
      </c>
      <c r="G1312">
        <v>1</v>
      </c>
      <c r="H1312">
        <v>1</v>
      </c>
      <c r="I1312" s="472">
        <f t="shared" si="151"/>
        <v>0.47039166666666665</v>
      </c>
      <c r="J1312" s="153">
        <v>0.36503333333333332</v>
      </c>
      <c r="K1312" s="153">
        <v>0.44336666666666663</v>
      </c>
      <c r="L1312" s="153">
        <v>0.58906666666666663</v>
      </c>
      <c r="M1312" s="153">
        <v>0.48410000000000003</v>
      </c>
      <c r="N1312" s="472">
        <f t="shared" si="152"/>
        <v>0.47039166666666665</v>
      </c>
      <c r="O1312" s="153">
        <v>0.36503333333333332</v>
      </c>
      <c r="P1312" s="153">
        <v>0.44336666666666663</v>
      </c>
      <c r="Q1312" s="153">
        <v>0.58906666666666663</v>
      </c>
      <c r="R1312" s="153">
        <v>0.48410000000000003</v>
      </c>
      <c r="S1312" s="153">
        <v>0.01</v>
      </c>
      <c r="T1312" s="153">
        <v>0.02</v>
      </c>
      <c r="U1312" s="478">
        <v>2018</v>
      </c>
      <c r="V1312" s="24">
        <f t="shared" si="157"/>
        <v>2038</v>
      </c>
      <c r="W1312">
        <v>0</v>
      </c>
      <c r="X1312">
        <v>0</v>
      </c>
      <c r="Y1312">
        <v>1315</v>
      </c>
      <c r="Z1312">
        <v>361</v>
      </c>
      <c r="AA1312" s="475" t="s">
        <v>24</v>
      </c>
    </row>
    <row r="1313" spans="1:27" ht="15" hidden="1">
      <c r="A1313" s="24">
        <f t="shared" si="156"/>
        <v>2312</v>
      </c>
      <c r="B1313" s="24">
        <f t="shared" si="156"/>
        <v>2312</v>
      </c>
      <c r="C1313" s="476" t="s">
        <v>1707</v>
      </c>
      <c r="D1313" t="s">
        <v>154</v>
      </c>
      <c r="E1313" s="477">
        <v>4</v>
      </c>
      <c r="F1313" s="471">
        <v>30</v>
      </c>
      <c r="G1313">
        <v>1</v>
      </c>
      <c r="H1313">
        <v>1</v>
      </c>
      <c r="I1313" s="472">
        <f t="shared" si="151"/>
        <v>0.47039166666666665</v>
      </c>
      <c r="J1313" s="153">
        <v>0.36503333333333332</v>
      </c>
      <c r="K1313" s="153">
        <v>0.44336666666666663</v>
      </c>
      <c r="L1313" s="153">
        <v>0.58906666666666663</v>
      </c>
      <c r="M1313" s="153">
        <v>0.48410000000000003</v>
      </c>
      <c r="N1313" s="472">
        <f t="shared" si="152"/>
        <v>0.47039166666666665</v>
      </c>
      <c r="O1313" s="153">
        <v>0.36503333333333332</v>
      </c>
      <c r="P1313" s="153">
        <v>0.44336666666666663</v>
      </c>
      <c r="Q1313" s="153">
        <v>0.58906666666666663</v>
      </c>
      <c r="R1313" s="153">
        <v>0.48410000000000003</v>
      </c>
      <c r="S1313" s="153">
        <v>0.01</v>
      </c>
      <c r="T1313" s="153">
        <v>0.02</v>
      </c>
      <c r="U1313" s="478">
        <v>2018</v>
      </c>
      <c r="V1313" s="24">
        <f t="shared" si="157"/>
        <v>2038</v>
      </c>
      <c r="W1313">
        <v>0</v>
      </c>
      <c r="X1313">
        <v>0</v>
      </c>
      <c r="Y1313">
        <v>1315</v>
      </c>
      <c r="Z1313">
        <v>361</v>
      </c>
      <c r="AA1313" s="475" t="s">
        <v>24</v>
      </c>
    </row>
    <row r="1314" spans="1:27" ht="15" hidden="1">
      <c r="A1314" s="24">
        <f t="shared" si="156"/>
        <v>2313</v>
      </c>
      <c r="B1314" s="24">
        <f t="shared" si="156"/>
        <v>2313</v>
      </c>
      <c r="C1314" s="469" t="s">
        <v>1708</v>
      </c>
      <c r="D1314" t="s">
        <v>149</v>
      </c>
      <c r="E1314" s="470">
        <v>2</v>
      </c>
      <c r="F1314" s="471">
        <v>0</v>
      </c>
      <c r="G1314">
        <v>1</v>
      </c>
      <c r="H1314">
        <v>1</v>
      </c>
      <c r="I1314" s="472">
        <f t="shared" si="151"/>
        <v>0.32845968612834514</v>
      </c>
      <c r="J1314" s="153">
        <v>3.8473756479098807E-2</v>
      </c>
      <c r="K1314" s="153">
        <v>0.39358026214566905</v>
      </c>
      <c r="L1314" s="153">
        <v>0.53857526864315253</v>
      </c>
      <c r="M1314" s="153">
        <v>0.3432094572454602</v>
      </c>
      <c r="N1314" s="472">
        <f t="shared" si="152"/>
        <v>0.32845968612834514</v>
      </c>
      <c r="O1314" s="153">
        <v>3.8473756479098807E-2</v>
      </c>
      <c r="P1314" s="153">
        <v>0.39358026214566905</v>
      </c>
      <c r="Q1314" s="153">
        <v>0.53857526864315253</v>
      </c>
      <c r="R1314" s="153">
        <v>0.3432094572454602</v>
      </c>
      <c r="S1314" s="153">
        <v>0.03</v>
      </c>
      <c r="T1314" s="153">
        <v>0</v>
      </c>
      <c r="U1314" s="474">
        <v>2007</v>
      </c>
      <c r="V1314">
        <v>2030</v>
      </c>
      <c r="W1314">
        <v>0</v>
      </c>
      <c r="X1314">
        <v>0</v>
      </c>
      <c r="Y1314">
        <v>1304</v>
      </c>
      <c r="Z1314">
        <v>311</v>
      </c>
      <c r="AA1314" s="475" t="s">
        <v>23</v>
      </c>
    </row>
    <row r="1315" spans="1:27" ht="15" hidden="1">
      <c r="A1315" s="24">
        <f t="shared" si="156"/>
        <v>2314</v>
      </c>
      <c r="B1315" s="24">
        <f t="shared" si="156"/>
        <v>2314</v>
      </c>
      <c r="C1315" s="469" t="s">
        <v>1709</v>
      </c>
      <c r="D1315" t="s">
        <v>149</v>
      </c>
      <c r="E1315" s="470">
        <v>2</v>
      </c>
      <c r="F1315" s="471">
        <v>16.5</v>
      </c>
      <c r="G1315">
        <v>1</v>
      </c>
      <c r="H1315">
        <v>1</v>
      </c>
      <c r="I1315" s="472">
        <f t="shared" si="151"/>
        <v>0.32845968612834514</v>
      </c>
      <c r="J1315" s="153">
        <v>3.8473756479098807E-2</v>
      </c>
      <c r="K1315" s="153">
        <v>0.39358026214566905</v>
      </c>
      <c r="L1315" s="153">
        <v>0.53857526864315253</v>
      </c>
      <c r="M1315" s="153">
        <v>0.3432094572454602</v>
      </c>
      <c r="N1315" s="472">
        <f t="shared" si="152"/>
        <v>0.32845968612834514</v>
      </c>
      <c r="O1315" s="153">
        <v>3.8473756479098807E-2</v>
      </c>
      <c r="P1315" s="153">
        <v>0.39358026214566905</v>
      </c>
      <c r="Q1315" s="153">
        <v>0.53857526864315253</v>
      </c>
      <c r="R1315" s="153">
        <v>0.3432094572454602</v>
      </c>
      <c r="S1315" s="153">
        <v>0.03</v>
      </c>
      <c r="T1315" s="153">
        <v>0</v>
      </c>
      <c r="U1315" s="474">
        <v>2009</v>
      </c>
      <c r="V1315">
        <v>2023</v>
      </c>
      <c r="W1315">
        <v>0</v>
      </c>
      <c r="X1315">
        <v>0</v>
      </c>
      <c r="Y1315">
        <v>1304</v>
      </c>
      <c r="Z1315">
        <v>311</v>
      </c>
      <c r="AA1315" s="475" t="s">
        <v>23</v>
      </c>
    </row>
    <row r="1316" spans="1:27" ht="15" hidden="1">
      <c r="A1316" s="24">
        <f t="shared" si="156"/>
        <v>2315</v>
      </c>
      <c r="B1316" s="24">
        <f t="shared" si="156"/>
        <v>2315</v>
      </c>
      <c r="C1316" s="469" t="s">
        <v>1710</v>
      </c>
      <c r="D1316" t="s">
        <v>149</v>
      </c>
      <c r="E1316" s="470">
        <v>2</v>
      </c>
      <c r="F1316" s="471">
        <v>0</v>
      </c>
      <c r="G1316">
        <v>1</v>
      </c>
      <c r="H1316">
        <v>1</v>
      </c>
      <c r="I1316" s="472">
        <f t="shared" si="151"/>
        <v>0.32845968612834514</v>
      </c>
      <c r="J1316" s="153">
        <v>3.8473756479098807E-2</v>
      </c>
      <c r="K1316" s="153">
        <v>0.39358026214566905</v>
      </c>
      <c r="L1316" s="153">
        <v>0.53857526864315253</v>
      </c>
      <c r="M1316" s="153">
        <v>0.3432094572454602</v>
      </c>
      <c r="N1316" s="472">
        <f t="shared" si="152"/>
        <v>0.32845968612834514</v>
      </c>
      <c r="O1316" s="153">
        <v>3.8473756479098807E-2</v>
      </c>
      <c r="P1316" s="153">
        <v>0.39358026214566905</v>
      </c>
      <c r="Q1316" s="153">
        <v>0.53857526864315253</v>
      </c>
      <c r="R1316" s="153">
        <v>0.3432094572454602</v>
      </c>
      <c r="S1316" s="153">
        <v>0.03</v>
      </c>
      <c r="T1316" s="153">
        <v>0</v>
      </c>
      <c r="U1316" s="474">
        <v>1900</v>
      </c>
      <c r="V1316">
        <v>2030</v>
      </c>
      <c r="W1316">
        <v>0</v>
      </c>
      <c r="X1316">
        <v>0</v>
      </c>
      <c r="Y1316">
        <v>1304</v>
      </c>
      <c r="Z1316">
        <v>311</v>
      </c>
      <c r="AA1316" s="475" t="s">
        <v>23</v>
      </c>
    </row>
    <row r="1317" spans="1:27" ht="15" hidden="1">
      <c r="A1317" s="24">
        <f t="shared" si="156"/>
        <v>2316</v>
      </c>
      <c r="B1317" s="24">
        <f t="shared" si="156"/>
        <v>2316</v>
      </c>
      <c r="C1317" s="469" t="s">
        <v>1711</v>
      </c>
      <c r="D1317" t="s">
        <v>149</v>
      </c>
      <c r="E1317" s="470">
        <v>2</v>
      </c>
      <c r="F1317" s="471">
        <v>35</v>
      </c>
      <c r="G1317">
        <v>1</v>
      </c>
      <c r="H1317">
        <v>1</v>
      </c>
      <c r="I1317" s="472">
        <f t="shared" si="151"/>
        <v>0.32845968612834514</v>
      </c>
      <c r="J1317" s="153">
        <v>3.8473756479098807E-2</v>
      </c>
      <c r="K1317" s="153">
        <v>0.39358026214566905</v>
      </c>
      <c r="L1317" s="153">
        <v>0.53857526864315253</v>
      </c>
      <c r="M1317" s="153">
        <v>0.3432094572454602</v>
      </c>
      <c r="N1317" s="472">
        <f t="shared" si="152"/>
        <v>0.32845968612834514</v>
      </c>
      <c r="O1317" s="153">
        <v>3.8473756479098807E-2</v>
      </c>
      <c r="P1317" s="153">
        <v>0.39358026214566905</v>
      </c>
      <c r="Q1317" s="153">
        <v>0.53857526864315253</v>
      </c>
      <c r="R1317" s="153">
        <v>0.3432094572454602</v>
      </c>
      <c r="S1317" s="153">
        <v>0.03</v>
      </c>
      <c r="T1317" s="153">
        <v>0</v>
      </c>
      <c r="U1317" s="474">
        <v>2015</v>
      </c>
      <c r="V1317">
        <v>2030</v>
      </c>
      <c r="W1317">
        <v>0</v>
      </c>
      <c r="X1317">
        <v>0</v>
      </c>
      <c r="Y1317">
        <v>1304</v>
      </c>
      <c r="Z1317">
        <v>311</v>
      </c>
      <c r="AA1317" s="475" t="s">
        <v>23</v>
      </c>
    </row>
    <row r="1318" spans="1:27" ht="15" hidden="1">
      <c r="A1318" s="24">
        <f t="shared" si="156"/>
        <v>2317</v>
      </c>
      <c r="B1318" s="24">
        <f t="shared" si="156"/>
        <v>2317</v>
      </c>
      <c r="C1318" s="469" t="s">
        <v>1712</v>
      </c>
      <c r="D1318" t="s">
        <v>149</v>
      </c>
      <c r="E1318" s="470">
        <v>2</v>
      </c>
      <c r="F1318" s="471">
        <v>0</v>
      </c>
      <c r="G1318">
        <v>1</v>
      </c>
      <c r="H1318">
        <v>1</v>
      </c>
      <c r="I1318" s="472">
        <f t="shared" si="151"/>
        <v>0.32845968612834514</v>
      </c>
      <c r="J1318" s="153">
        <v>3.8473756479098807E-2</v>
      </c>
      <c r="K1318" s="153">
        <v>0.39358026214566905</v>
      </c>
      <c r="L1318" s="153">
        <v>0.53857526864315253</v>
      </c>
      <c r="M1318" s="153">
        <v>0.3432094572454602</v>
      </c>
      <c r="N1318" s="472">
        <f t="shared" si="152"/>
        <v>0.32845968612834514</v>
      </c>
      <c r="O1318" s="153">
        <v>3.8473756479098807E-2</v>
      </c>
      <c r="P1318" s="153">
        <v>0.39358026214566905</v>
      </c>
      <c r="Q1318" s="153">
        <v>0.53857526864315253</v>
      </c>
      <c r="R1318" s="153">
        <v>0.3432094572454602</v>
      </c>
      <c r="S1318" s="153">
        <v>0.03</v>
      </c>
      <c r="T1318" s="153">
        <v>0</v>
      </c>
      <c r="U1318" s="474">
        <v>1900</v>
      </c>
      <c r="V1318">
        <v>2030</v>
      </c>
      <c r="W1318">
        <v>0</v>
      </c>
      <c r="X1318">
        <v>0</v>
      </c>
      <c r="Y1318">
        <v>1304</v>
      </c>
      <c r="Z1318">
        <v>311</v>
      </c>
      <c r="AA1318" s="475" t="s">
        <v>23</v>
      </c>
    </row>
    <row r="1319" spans="1:27" ht="15" hidden="1">
      <c r="A1319" s="24">
        <f t="shared" si="156"/>
        <v>2318</v>
      </c>
      <c r="B1319" s="24">
        <f t="shared" si="156"/>
        <v>2318</v>
      </c>
      <c r="C1319" s="476" t="s">
        <v>1713</v>
      </c>
      <c r="D1319" t="s">
        <v>154</v>
      </c>
      <c r="E1319" s="477">
        <v>4</v>
      </c>
      <c r="F1319" s="471">
        <v>30</v>
      </c>
      <c r="G1319">
        <v>1</v>
      </c>
      <c r="H1319">
        <v>1</v>
      </c>
      <c r="I1319" s="472">
        <f t="shared" si="151"/>
        <v>0.47039166666666665</v>
      </c>
      <c r="J1319" s="153">
        <v>0.36503333333333332</v>
      </c>
      <c r="K1319" s="153">
        <v>0.44336666666666663</v>
      </c>
      <c r="L1319" s="153">
        <v>0.58906666666666663</v>
      </c>
      <c r="M1319" s="153">
        <v>0.48410000000000003</v>
      </c>
      <c r="N1319" s="472">
        <f t="shared" si="152"/>
        <v>0.47039166666666665</v>
      </c>
      <c r="O1319" s="153">
        <v>0.36503333333333332</v>
      </c>
      <c r="P1319" s="153">
        <v>0.44336666666666663</v>
      </c>
      <c r="Q1319" s="153">
        <v>0.58906666666666663</v>
      </c>
      <c r="R1319" s="153">
        <v>0.48410000000000003</v>
      </c>
      <c r="S1319" s="153">
        <v>0.01</v>
      </c>
      <c r="T1319" s="153">
        <v>0.02</v>
      </c>
      <c r="U1319" s="478">
        <v>2018</v>
      </c>
      <c r="V1319" s="24">
        <f t="shared" ref="V1319:V1321" si="158">U1319+20</f>
        <v>2038</v>
      </c>
      <c r="W1319">
        <v>0</v>
      </c>
      <c r="X1319">
        <v>0</v>
      </c>
      <c r="Y1319">
        <v>1315</v>
      </c>
      <c r="Z1319">
        <v>361</v>
      </c>
      <c r="AA1319" s="475" t="s">
        <v>24</v>
      </c>
    </row>
    <row r="1320" spans="1:27" ht="15" hidden="1">
      <c r="A1320" s="24">
        <f t="shared" si="156"/>
        <v>2319</v>
      </c>
      <c r="B1320" s="24">
        <f t="shared" si="156"/>
        <v>2319</v>
      </c>
      <c r="C1320" s="476" t="s">
        <v>1714</v>
      </c>
      <c r="D1320" t="s">
        <v>154</v>
      </c>
      <c r="E1320" s="477">
        <v>4</v>
      </c>
      <c r="F1320" s="471">
        <v>15</v>
      </c>
      <c r="G1320">
        <v>1</v>
      </c>
      <c r="H1320">
        <v>1</v>
      </c>
      <c r="I1320" s="472">
        <f t="shared" si="151"/>
        <v>0.47039166666666665</v>
      </c>
      <c r="J1320" s="153">
        <v>0.36503333333333332</v>
      </c>
      <c r="K1320" s="153">
        <v>0.44336666666666663</v>
      </c>
      <c r="L1320" s="153">
        <v>0.58906666666666663</v>
      </c>
      <c r="M1320" s="153">
        <v>0.48410000000000003</v>
      </c>
      <c r="N1320" s="472">
        <f t="shared" si="152"/>
        <v>0.47039166666666665</v>
      </c>
      <c r="O1320" s="153">
        <v>0.36503333333333332</v>
      </c>
      <c r="P1320" s="153">
        <v>0.44336666666666663</v>
      </c>
      <c r="Q1320" s="153">
        <v>0.58906666666666663</v>
      </c>
      <c r="R1320" s="153">
        <v>0.48410000000000003</v>
      </c>
      <c r="S1320" s="153">
        <v>0.01</v>
      </c>
      <c r="T1320" s="153">
        <v>0.02</v>
      </c>
      <c r="U1320" s="478">
        <v>2018</v>
      </c>
      <c r="V1320" s="24">
        <f t="shared" si="158"/>
        <v>2038</v>
      </c>
      <c r="W1320">
        <v>0</v>
      </c>
      <c r="X1320">
        <v>0</v>
      </c>
      <c r="Y1320">
        <v>1315</v>
      </c>
      <c r="Z1320">
        <v>361</v>
      </c>
      <c r="AA1320" s="475" t="s">
        <v>24</v>
      </c>
    </row>
    <row r="1321" spans="1:27" ht="15" hidden="1">
      <c r="A1321" s="24">
        <f t="shared" si="156"/>
        <v>2320</v>
      </c>
      <c r="B1321" s="24">
        <f t="shared" si="156"/>
        <v>2320</v>
      </c>
      <c r="C1321" s="476" t="s">
        <v>1715</v>
      </c>
      <c r="D1321" t="s">
        <v>154</v>
      </c>
      <c r="E1321" s="477">
        <v>4</v>
      </c>
      <c r="F1321" s="471">
        <v>15</v>
      </c>
      <c r="G1321">
        <v>1</v>
      </c>
      <c r="H1321">
        <v>1</v>
      </c>
      <c r="I1321" s="472">
        <f t="shared" si="151"/>
        <v>0.47039166666666665</v>
      </c>
      <c r="J1321" s="153">
        <v>0.36503333333333332</v>
      </c>
      <c r="K1321" s="153">
        <v>0.44336666666666663</v>
      </c>
      <c r="L1321" s="153">
        <v>0.58906666666666663</v>
      </c>
      <c r="M1321" s="153">
        <v>0.48410000000000003</v>
      </c>
      <c r="N1321" s="472">
        <f t="shared" si="152"/>
        <v>0.47039166666666665</v>
      </c>
      <c r="O1321" s="153">
        <v>0.36503333333333332</v>
      </c>
      <c r="P1321" s="153">
        <v>0.44336666666666663</v>
      </c>
      <c r="Q1321" s="153">
        <v>0.58906666666666663</v>
      </c>
      <c r="R1321" s="153">
        <v>0.48410000000000003</v>
      </c>
      <c r="S1321" s="153">
        <v>0.01</v>
      </c>
      <c r="T1321" s="153">
        <v>0.02</v>
      </c>
      <c r="U1321" s="478">
        <v>2018</v>
      </c>
      <c r="V1321" s="24">
        <f t="shared" si="158"/>
        <v>2038</v>
      </c>
      <c r="W1321">
        <v>0</v>
      </c>
      <c r="X1321">
        <v>0</v>
      </c>
      <c r="Y1321">
        <v>1315</v>
      </c>
      <c r="Z1321">
        <v>361</v>
      </c>
      <c r="AA1321" s="475" t="s">
        <v>24</v>
      </c>
    </row>
    <row r="1322" spans="1:27" ht="15" hidden="1">
      <c r="A1322" s="24">
        <f t="shared" si="156"/>
        <v>2321</v>
      </c>
      <c r="B1322" s="24">
        <f t="shared" si="156"/>
        <v>2321</v>
      </c>
      <c r="C1322" s="469" t="s">
        <v>1716</v>
      </c>
      <c r="D1322" t="s">
        <v>146</v>
      </c>
      <c r="E1322" s="470">
        <v>1</v>
      </c>
      <c r="F1322" s="471">
        <v>63.155000000000001</v>
      </c>
      <c r="G1322">
        <v>1</v>
      </c>
      <c r="H1322">
        <v>1</v>
      </c>
      <c r="I1322" s="472">
        <f t="shared" si="151"/>
        <v>0.32845968612834514</v>
      </c>
      <c r="J1322" s="153">
        <v>3.8473756479098807E-2</v>
      </c>
      <c r="K1322" s="153">
        <v>0.39358026214566905</v>
      </c>
      <c r="L1322" s="153">
        <v>0.53857526864315253</v>
      </c>
      <c r="M1322" s="153">
        <v>0.3432094572454602</v>
      </c>
      <c r="N1322" s="472">
        <f t="shared" si="152"/>
        <v>0.32845968612834514</v>
      </c>
      <c r="O1322" s="153">
        <v>3.8473756479098807E-2</v>
      </c>
      <c r="P1322" s="153">
        <v>0.39358026214566905</v>
      </c>
      <c r="Q1322" s="153">
        <v>0.53857526864315253</v>
      </c>
      <c r="R1322" s="153">
        <v>0.3432094572454602</v>
      </c>
      <c r="S1322" s="153">
        <v>0.03</v>
      </c>
      <c r="T1322" s="153">
        <v>0</v>
      </c>
      <c r="U1322" s="478">
        <v>2009</v>
      </c>
      <c r="V1322">
        <v>2023</v>
      </c>
      <c r="W1322">
        <v>0</v>
      </c>
      <c r="X1322">
        <v>0</v>
      </c>
      <c r="Y1322">
        <v>1304</v>
      </c>
      <c r="Z1322">
        <v>311</v>
      </c>
      <c r="AA1322" s="475" t="s">
        <v>23</v>
      </c>
    </row>
    <row r="1323" spans="1:27" ht="15" hidden="1">
      <c r="A1323" s="24">
        <f t="shared" si="156"/>
        <v>2322</v>
      </c>
      <c r="B1323" s="24">
        <f t="shared" si="156"/>
        <v>2322</v>
      </c>
      <c r="C1323" s="469" t="s">
        <v>1717</v>
      </c>
      <c r="D1323" t="s">
        <v>146</v>
      </c>
      <c r="E1323" s="470">
        <v>1</v>
      </c>
      <c r="F1323" s="471">
        <v>0</v>
      </c>
      <c r="G1323">
        <v>1</v>
      </c>
      <c r="H1323">
        <v>1</v>
      </c>
      <c r="I1323" s="472">
        <f t="shared" si="151"/>
        <v>0.32845968612834514</v>
      </c>
      <c r="J1323" s="153">
        <v>3.8473756479098807E-2</v>
      </c>
      <c r="K1323" s="153">
        <v>0.39358026214566905</v>
      </c>
      <c r="L1323" s="153">
        <v>0.53857526864315253</v>
      </c>
      <c r="M1323" s="153">
        <v>0.3432094572454602</v>
      </c>
      <c r="N1323" s="472">
        <f t="shared" si="152"/>
        <v>0.32845968612834514</v>
      </c>
      <c r="O1323" s="153">
        <v>3.8473756479098807E-2</v>
      </c>
      <c r="P1323" s="153">
        <v>0.39358026214566905</v>
      </c>
      <c r="Q1323" s="153">
        <v>0.53857526864315253</v>
      </c>
      <c r="R1323" s="153">
        <v>0.3432094572454602</v>
      </c>
      <c r="S1323" s="153">
        <v>0.03</v>
      </c>
      <c r="T1323" s="153">
        <v>0</v>
      </c>
      <c r="U1323" s="478">
        <v>1900</v>
      </c>
      <c r="V1323">
        <v>2030</v>
      </c>
      <c r="W1323">
        <v>0</v>
      </c>
      <c r="X1323">
        <v>0</v>
      </c>
      <c r="Y1323">
        <v>1304</v>
      </c>
      <c r="Z1323">
        <v>311</v>
      </c>
      <c r="AA1323" s="475" t="s">
        <v>23</v>
      </c>
    </row>
    <row r="1324" spans="1:27" ht="15" hidden="1">
      <c r="A1324" s="24">
        <f t="shared" ref="A1324:B1343" si="159">1000+ROW()-1</f>
        <v>2323</v>
      </c>
      <c r="B1324" s="24">
        <f t="shared" si="159"/>
        <v>2323</v>
      </c>
      <c r="C1324" s="469" t="s">
        <v>1718</v>
      </c>
      <c r="D1324" t="s">
        <v>146</v>
      </c>
      <c r="E1324" s="470">
        <v>1</v>
      </c>
      <c r="F1324" s="471">
        <v>8</v>
      </c>
      <c r="G1324">
        <v>1</v>
      </c>
      <c r="H1324">
        <v>1</v>
      </c>
      <c r="I1324" s="472">
        <f t="shared" si="151"/>
        <v>0.32845968612834514</v>
      </c>
      <c r="J1324" s="153">
        <v>3.8473756479098807E-2</v>
      </c>
      <c r="K1324" s="153">
        <v>0.39358026214566905</v>
      </c>
      <c r="L1324" s="153">
        <v>0.53857526864315253</v>
      </c>
      <c r="M1324" s="153">
        <v>0.3432094572454602</v>
      </c>
      <c r="N1324" s="472">
        <f t="shared" si="152"/>
        <v>0.32845968612834514</v>
      </c>
      <c r="O1324" s="153">
        <v>3.8473756479098807E-2</v>
      </c>
      <c r="P1324" s="153">
        <v>0.39358026214566905</v>
      </c>
      <c r="Q1324" s="153">
        <v>0.53857526864315253</v>
      </c>
      <c r="R1324" s="153">
        <v>0.3432094572454602</v>
      </c>
      <c r="S1324" s="153">
        <v>0.03</v>
      </c>
      <c r="T1324" s="153">
        <v>0</v>
      </c>
      <c r="U1324" s="478">
        <v>2010</v>
      </c>
      <c r="V1324">
        <v>2023</v>
      </c>
      <c r="W1324">
        <v>0</v>
      </c>
      <c r="X1324">
        <v>0</v>
      </c>
      <c r="Y1324">
        <v>1304</v>
      </c>
      <c r="Z1324">
        <v>311</v>
      </c>
      <c r="AA1324" s="475" t="s">
        <v>23</v>
      </c>
    </row>
    <row r="1325" spans="1:27" ht="15" hidden="1">
      <c r="A1325" s="24">
        <f t="shared" si="159"/>
        <v>2324</v>
      </c>
      <c r="B1325" s="24">
        <f t="shared" si="159"/>
        <v>2324</v>
      </c>
      <c r="C1325" s="469" t="s">
        <v>1719</v>
      </c>
      <c r="D1325" t="s">
        <v>146</v>
      </c>
      <c r="E1325" s="470">
        <v>1</v>
      </c>
      <c r="F1325" s="471">
        <v>0</v>
      </c>
      <c r="G1325">
        <v>1</v>
      </c>
      <c r="H1325">
        <v>1</v>
      </c>
      <c r="I1325" s="472">
        <f t="shared" si="151"/>
        <v>0.32845968612834514</v>
      </c>
      <c r="J1325" s="153">
        <v>3.8473756479098807E-2</v>
      </c>
      <c r="K1325" s="153">
        <v>0.39358026214566905</v>
      </c>
      <c r="L1325" s="153">
        <v>0.53857526864315253</v>
      </c>
      <c r="M1325" s="153">
        <v>0.3432094572454602</v>
      </c>
      <c r="N1325" s="472">
        <f t="shared" si="152"/>
        <v>0.32845968612834514</v>
      </c>
      <c r="O1325" s="153">
        <v>3.8473756479098807E-2</v>
      </c>
      <c r="P1325" s="153">
        <v>0.39358026214566905</v>
      </c>
      <c r="Q1325" s="153">
        <v>0.53857526864315253</v>
      </c>
      <c r="R1325" s="153">
        <v>0.3432094572454602</v>
      </c>
      <c r="S1325" s="153">
        <v>0.03</v>
      </c>
      <c r="T1325" s="153">
        <v>0</v>
      </c>
      <c r="U1325" s="478">
        <v>1900</v>
      </c>
      <c r="V1325">
        <v>2030</v>
      </c>
      <c r="W1325">
        <v>0</v>
      </c>
      <c r="X1325">
        <v>0</v>
      </c>
      <c r="Y1325">
        <v>1304</v>
      </c>
      <c r="Z1325">
        <v>311</v>
      </c>
      <c r="AA1325" s="475" t="s">
        <v>23</v>
      </c>
    </row>
    <row r="1326" spans="1:27" ht="15" hidden="1">
      <c r="A1326" s="24">
        <f t="shared" si="159"/>
        <v>2325</v>
      </c>
      <c r="B1326" s="24">
        <f t="shared" si="159"/>
        <v>2325</v>
      </c>
      <c r="C1326" s="469" t="s">
        <v>1720</v>
      </c>
      <c r="D1326" t="s">
        <v>146</v>
      </c>
      <c r="E1326" s="470">
        <v>1</v>
      </c>
      <c r="F1326" s="471">
        <v>16</v>
      </c>
      <c r="G1326">
        <v>1</v>
      </c>
      <c r="H1326">
        <v>1</v>
      </c>
      <c r="I1326" s="472">
        <f t="shared" si="151"/>
        <v>0.32845968612834514</v>
      </c>
      <c r="J1326" s="153">
        <v>3.8473756479098807E-2</v>
      </c>
      <c r="K1326" s="153">
        <v>0.39358026214566905</v>
      </c>
      <c r="L1326" s="153">
        <v>0.53857526864315253</v>
      </c>
      <c r="M1326" s="153">
        <v>0.3432094572454602</v>
      </c>
      <c r="N1326" s="472">
        <f t="shared" si="152"/>
        <v>0.32845968612834514</v>
      </c>
      <c r="O1326" s="153">
        <v>3.8473756479098807E-2</v>
      </c>
      <c r="P1326" s="153">
        <v>0.39358026214566905</v>
      </c>
      <c r="Q1326" s="153">
        <v>0.53857526864315253</v>
      </c>
      <c r="R1326" s="153">
        <v>0.3432094572454602</v>
      </c>
      <c r="S1326" s="153">
        <v>0.03</v>
      </c>
      <c r="T1326" s="153">
        <v>0</v>
      </c>
      <c r="U1326" s="478">
        <v>2014</v>
      </c>
      <c r="V1326">
        <v>2030</v>
      </c>
      <c r="W1326">
        <v>0</v>
      </c>
      <c r="X1326">
        <v>0</v>
      </c>
      <c r="Y1326">
        <v>1304</v>
      </c>
      <c r="Z1326">
        <v>311</v>
      </c>
      <c r="AA1326" s="475" t="s">
        <v>23</v>
      </c>
    </row>
    <row r="1327" spans="1:27" ht="15" hidden="1">
      <c r="A1327" s="24">
        <f t="shared" si="159"/>
        <v>2326</v>
      </c>
      <c r="B1327" s="24">
        <f t="shared" si="159"/>
        <v>2326</v>
      </c>
      <c r="C1327" s="469" t="s">
        <v>1721</v>
      </c>
      <c r="D1327" t="s">
        <v>146</v>
      </c>
      <c r="E1327" s="470">
        <v>1</v>
      </c>
      <c r="F1327" s="471">
        <v>0</v>
      </c>
      <c r="G1327">
        <v>1</v>
      </c>
      <c r="H1327">
        <v>1</v>
      </c>
      <c r="I1327" s="472">
        <f t="shared" si="151"/>
        <v>0.32845968612834514</v>
      </c>
      <c r="J1327" s="153">
        <v>3.8473756479098807E-2</v>
      </c>
      <c r="K1327" s="153">
        <v>0.39358026214566905</v>
      </c>
      <c r="L1327" s="153">
        <v>0.53857526864315253</v>
      </c>
      <c r="M1327" s="153">
        <v>0.3432094572454602</v>
      </c>
      <c r="N1327" s="472">
        <f t="shared" si="152"/>
        <v>0.32845968612834514</v>
      </c>
      <c r="O1327" s="153">
        <v>3.8473756479098807E-2</v>
      </c>
      <c r="P1327" s="153">
        <v>0.39358026214566905</v>
      </c>
      <c r="Q1327" s="153">
        <v>0.53857526864315253</v>
      </c>
      <c r="R1327" s="153">
        <v>0.3432094572454602</v>
      </c>
      <c r="S1327" s="153">
        <v>0.03</v>
      </c>
      <c r="T1327" s="153">
        <v>0</v>
      </c>
      <c r="U1327" s="478">
        <v>1900</v>
      </c>
      <c r="V1327">
        <v>2030</v>
      </c>
      <c r="W1327">
        <v>0</v>
      </c>
      <c r="X1327">
        <v>0</v>
      </c>
      <c r="Y1327">
        <v>1304</v>
      </c>
      <c r="Z1327">
        <v>311</v>
      </c>
      <c r="AA1327" s="475" t="s">
        <v>23</v>
      </c>
    </row>
    <row r="1328" spans="1:27" ht="15" hidden="1">
      <c r="A1328" s="24">
        <f t="shared" si="159"/>
        <v>2327</v>
      </c>
      <c r="B1328" s="24">
        <f t="shared" si="159"/>
        <v>2327</v>
      </c>
      <c r="C1328" s="476" t="s">
        <v>1722</v>
      </c>
      <c r="D1328" t="s">
        <v>149</v>
      </c>
      <c r="E1328" s="477">
        <v>2</v>
      </c>
      <c r="F1328" s="471">
        <v>12.53</v>
      </c>
      <c r="G1328">
        <v>1</v>
      </c>
      <c r="H1328">
        <v>1</v>
      </c>
      <c r="I1328" s="472">
        <f t="shared" si="151"/>
        <v>0.40033333333333337</v>
      </c>
      <c r="J1328" s="153">
        <v>0.3706666666666667</v>
      </c>
      <c r="K1328" s="153">
        <v>0.3666666666666667</v>
      </c>
      <c r="L1328" s="153">
        <v>0.44799999999999995</v>
      </c>
      <c r="M1328" s="153">
        <v>0.41600000000000009</v>
      </c>
      <c r="N1328" s="472">
        <f t="shared" si="152"/>
        <v>0.40033333333333337</v>
      </c>
      <c r="O1328" s="153">
        <v>0.3706666666666667</v>
      </c>
      <c r="P1328" s="153">
        <v>0.3666666666666667</v>
      </c>
      <c r="Q1328" s="153">
        <v>0.44799999999999995</v>
      </c>
      <c r="R1328" s="153">
        <v>0.41600000000000009</v>
      </c>
      <c r="S1328" s="153">
        <v>0.01</v>
      </c>
      <c r="T1328" s="153">
        <v>0.02</v>
      </c>
      <c r="U1328" s="478">
        <v>2016</v>
      </c>
      <c r="V1328" s="24">
        <f>U1328+20</f>
        <v>2036</v>
      </c>
      <c r="W1328">
        <v>0</v>
      </c>
      <c r="X1328">
        <v>0</v>
      </c>
      <c r="Y1328">
        <v>1315</v>
      </c>
      <c r="Z1328">
        <v>360</v>
      </c>
      <c r="AA1328" s="475" t="s">
        <v>24</v>
      </c>
    </row>
    <row r="1329" spans="1:27" ht="15" hidden="1">
      <c r="A1329" s="24">
        <f t="shared" si="159"/>
        <v>2328</v>
      </c>
      <c r="B1329" s="24">
        <f t="shared" si="159"/>
        <v>2328</v>
      </c>
      <c r="C1329" s="469" t="s">
        <v>1723</v>
      </c>
      <c r="D1329" t="s">
        <v>146</v>
      </c>
      <c r="E1329" s="470">
        <v>1</v>
      </c>
      <c r="F1329" s="471">
        <v>30</v>
      </c>
      <c r="G1329">
        <v>1</v>
      </c>
      <c r="H1329">
        <v>1</v>
      </c>
      <c r="I1329" s="472">
        <f t="shared" si="151"/>
        <v>0.32845968612834514</v>
      </c>
      <c r="J1329" s="153">
        <v>3.8473756479098807E-2</v>
      </c>
      <c r="K1329" s="153">
        <v>0.39358026214566905</v>
      </c>
      <c r="L1329" s="153">
        <v>0.53857526864315253</v>
      </c>
      <c r="M1329" s="153">
        <v>0.3432094572454602</v>
      </c>
      <c r="N1329" s="472">
        <f t="shared" si="152"/>
        <v>0.32845968612834514</v>
      </c>
      <c r="O1329" s="153">
        <v>3.8473756479098807E-2</v>
      </c>
      <c r="P1329" s="153">
        <v>0.39358026214566905</v>
      </c>
      <c r="Q1329" s="153">
        <v>0.53857526864315253</v>
      </c>
      <c r="R1329" s="153">
        <v>0.3432094572454602</v>
      </c>
      <c r="S1329" s="153">
        <v>0.03</v>
      </c>
      <c r="T1329" s="153">
        <v>0</v>
      </c>
      <c r="U1329" s="478">
        <v>2010</v>
      </c>
      <c r="V1329">
        <v>2023</v>
      </c>
      <c r="W1329">
        <v>0</v>
      </c>
      <c r="X1329">
        <v>0</v>
      </c>
      <c r="Y1329">
        <v>1304</v>
      </c>
      <c r="Z1329">
        <v>311</v>
      </c>
      <c r="AA1329" s="475" t="s">
        <v>23</v>
      </c>
    </row>
    <row r="1330" spans="1:27" ht="15" hidden="1">
      <c r="A1330" s="24">
        <f t="shared" si="159"/>
        <v>2329</v>
      </c>
      <c r="B1330" s="24">
        <f t="shared" si="159"/>
        <v>2329</v>
      </c>
      <c r="C1330" s="469" t="s">
        <v>1724</v>
      </c>
      <c r="D1330" t="s">
        <v>146</v>
      </c>
      <c r="E1330" s="470">
        <v>1</v>
      </c>
      <c r="F1330" s="471">
        <v>0</v>
      </c>
      <c r="G1330">
        <v>1</v>
      </c>
      <c r="H1330">
        <v>1</v>
      </c>
      <c r="I1330" s="472">
        <f t="shared" si="151"/>
        <v>0.32845968612834514</v>
      </c>
      <c r="J1330" s="153">
        <v>3.8473756479098807E-2</v>
      </c>
      <c r="K1330" s="153">
        <v>0.39358026214566905</v>
      </c>
      <c r="L1330" s="153">
        <v>0.53857526864315253</v>
      </c>
      <c r="M1330" s="153">
        <v>0.3432094572454602</v>
      </c>
      <c r="N1330" s="472">
        <f t="shared" si="152"/>
        <v>0.32845968612834514</v>
      </c>
      <c r="O1330" s="153">
        <v>3.8473756479098807E-2</v>
      </c>
      <c r="P1330" s="153">
        <v>0.39358026214566905</v>
      </c>
      <c r="Q1330" s="153">
        <v>0.53857526864315253</v>
      </c>
      <c r="R1330" s="153">
        <v>0.3432094572454602</v>
      </c>
      <c r="S1330" s="153">
        <v>0.03</v>
      </c>
      <c r="T1330" s="153">
        <v>0</v>
      </c>
      <c r="U1330" s="478">
        <v>1900</v>
      </c>
      <c r="V1330">
        <v>2030</v>
      </c>
      <c r="W1330">
        <v>0</v>
      </c>
      <c r="X1330">
        <v>0</v>
      </c>
      <c r="Y1330">
        <v>1304</v>
      </c>
      <c r="Z1330">
        <v>311</v>
      </c>
      <c r="AA1330" s="475" t="s">
        <v>23</v>
      </c>
    </row>
    <row r="1331" spans="1:27" ht="15" hidden="1">
      <c r="A1331" s="24">
        <f t="shared" si="159"/>
        <v>2330</v>
      </c>
      <c r="B1331" s="24">
        <f t="shared" si="159"/>
        <v>2330</v>
      </c>
      <c r="C1331" s="469" t="s">
        <v>1725</v>
      </c>
      <c r="D1331" t="s">
        <v>146</v>
      </c>
      <c r="E1331" s="470">
        <v>1</v>
      </c>
      <c r="F1331" s="471">
        <v>10.431007161290324</v>
      </c>
      <c r="G1331">
        <v>1</v>
      </c>
      <c r="H1331">
        <v>1</v>
      </c>
      <c r="I1331" s="472">
        <f t="shared" si="151"/>
        <v>0.32845968612834514</v>
      </c>
      <c r="J1331" s="153">
        <v>3.8473756479098807E-2</v>
      </c>
      <c r="K1331" s="153">
        <v>0.39358026214566905</v>
      </c>
      <c r="L1331" s="153">
        <v>0.53857526864315253</v>
      </c>
      <c r="M1331" s="153">
        <v>0.3432094572454602</v>
      </c>
      <c r="N1331" s="472">
        <f t="shared" si="152"/>
        <v>0.32845968612834514</v>
      </c>
      <c r="O1331" s="153">
        <v>3.8473756479098807E-2</v>
      </c>
      <c r="P1331" s="153">
        <v>0.39358026214566905</v>
      </c>
      <c r="Q1331" s="153">
        <v>0.53857526864315253</v>
      </c>
      <c r="R1331" s="153">
        <v>0.3432094572454602</v>
      </c>
      <c r="S1331" s="153">
        <v>0.03</v>
      </c>
      <c r="T1331" s="153">
        <v>0</v>
      </c>
      <c r="U1331" s="478">
        <v>1900</v>
      </c>
      <c r="V1331">
        <v>2030</v>
      </c>
      <c r="W1331">
        <v>0</v>
      </c>
      <c r="X1331">
        <v>0</v>
      </c>
      <c r="Y1331">
        <v>1304</v>
      </c>
      <c r="Z1331">
        <v>311</v>
      </c>
      <c r="AA1331" s="475" t="s">
        <v>23</v>
      </c>
    </row>
    <row r="1332" spans="1:27" ht="15" hidden="1">
      <c r="A1332" s="24">
        <f t="shared" si="159"/>
        <v>2331</v>
      </c>
      <c r="B1332" s="24">
        <f t="shared" si="159"/>
        <v>2331</v>
      </c>
      <c r="C1332" s="469" t="s">
        <v>1726</v>
      </c>
      <c r="D1332" t="s">
        <v>146</v>
      </c>
      <c r="E1332" s="470">
        <v>1</v>
      </c>
      <c r="F1332" s="471">
        <v>17.768992838709675</v>
      </c>
      <c r="G1332">
        <v>1</v>
      </c>
      <c r="H1332">
        <v>1</v>
      </c>
      <c r="I1332" s="472">
        <f t="shared" si="151"/>
        <v>0.32845968612834514</v>
      </c>
      <c r="J1332" s="153">
        <v>3.8473756479098807E-2</v>
      </c>
      <c r="K1332" s="153">
        <v>0.39358026214566905</v>
      </c>
      <c r="L1332" s="153">
        <v>0.53857526864315253</v>
      </c>
      <c r="M1332" s="153">
        <v>0.3432094572454602</v>
      </c>
      <c r="N1332" s="472">
        <f t="shared" si="152"/>
        <v>0.32845968612834514</v>
      </c>
      <c r="O1332" s="153">
        <v>3.8473756479098807E-2</v>
      </c>
      <c r="P1332" s="153">
        <v>0.39358026214566905</v>
      </c>
      <c r="Q1332" s="153">
        <v>0.53857526864315253</v>
      </c>
      <c r="R1332" s="153">
        <v>0.3432094572454602</v>
      </c>
      <c r="S1332" s="153">
        <v>0.03</v>
      </c>
      <c r="T1332" s="153">
        <v>0</v>
      </c>
      <c r="U1332" s="478">
        <v>2009</v>
      </c>
      <c r="V1332">
        <v>2023</v>
      </c>
      <c r="W1332">
        <v>0</v>
      </c>
      <c r="X1332">
        <v>0</v>
      </c>
      <c r="Y1332">
        <v>1304</v>
      </c>
      <c r="Z1332">
        <v>311</v>
      </c>
      <c r="AA1332" s="475" t="s">
        <v>23</v>
      </c>
    </row>
    <row r="1333" spans="1:27" ht="15" hidden="1">
      <c r="A1333" s="24">
        <f t="shared" si="159"/>
        <v>2332</v>
      </c>
      <c r="B1333" s="24">
        <f t="shared" si="159"/>
        <v>2332</v>
      </c>
      <c r="C1333" s="469" t="s">
        <v>1727</v>
      </c>
      <c r="D1333" t="s">
        <v>146</v>
      </c>
      <c r="E1333" s="470">
        <v>1</v>
      </c>
      <c r="F1333" s="471">
        <v>7.3</v>
      </c>
      <c r="G1333">
        <v>1</v>
      </c>
      <c r="H1333">
        <v>1</v>
      </c>
      <c r="I1333" s="472">
        <f t="shared" si="151"/>
        <v>0.32845968612834514</v>
      </c>
      <c r="J1333" s="153">
        <v>3.8473756479098807E-2</v>
      </c>
      <c r="K1333" s="153">
        <v>0.39358026214566905</v>
      </c>
      <c r="L1333" s="153">
        <v>0.53857526864315253</v>
      </c>
      <c r="M1333" s="153">
        <v>0.3432094572454602</v>
      </c>
      <c r="N1333" s="472">
        <f t="shared" si="152"/>
        <v>0.32845968612834514</v>
      </c>
      <c r="O1333" s="153">
        <v>3.8473756479098807E-2</v>
      </c>
      <c r="P1333" s="153">
        <v>0.39358026214566905</v>
      </c>
      <c r="Q1333" s="153">
        <v>0.53857526864315253</v>
      </c>
      <c r="R1333" s="153">
        <v>0.3432094572454602</v>
      </c>
      <c r="S1333" s="153">
        <v>0.03</v>
      </c>
      <c r="T1333" s="153">
        <v>0</v>
      </c>
      <c r="U1333" s="478">
        <v>1900</v>
      </c>
      <c r="V1333">
        <v>2030</v>
      </c>
      <c r="W1333">
        <v>0</v>
      </c>
      <c r="X1333">
        <v>0</v>
      </c>
      <c r="Y1333">
        <v>1304</v>
      </c>
      <c r="Z1333">
        <v>311</v>
      </c>
      <c r="AA1333" s="475" t="s">
        <v>23</v>
      </c>
    </row>
    <row r="1334" spans="1:27" ht="15" hidden="1">
      <c r="A1334" s="24">
        <f t="shared" si="159"/>
        <v>2333</v>
      </c>
      <c r="B1334" s="24">
        <f t="shared" si="159"/>
        <v>2333</v>
      </c>
      <c r="C1334" s="469" t="s">
        <v>1728</v>
      </c>
      <c r="D1334" t="s">
        <v>146</v>
      </c>
      <c r="E1334" s="470">
        <v>1</v>
      </c>
      <c r="F1334" s="471">
        <v>0</v>
      </c>
      <c r="G1334">
        <v>1</v>
      </c>
      <c r="H1334">
        <v>1</v>
      </c>
      <c r="I1334" s="472">
        <f t="shared" si="151"/>
        <v>0.32845968612834514</v>
      </c>
      <c r="J1334" s="153">
        <v>3.8473756479098807E-2</v>
      </c>
      <c r="K1334" s="153">
        <v>0.39358026214566905</v>
      </c>
      <c r="L1334" s="153">
        <v>0.53857526864315253</v>
      </c>
      <c r="M1334" s="153">
        <v>0.3432094572454602</v>
      </c>
      <c r="N1334" s="472">
        <f t="shared" si="152"/>
        <v>0.32845968612834514</v>
      </c>
      <c r="O1334" s="153">
        <v>3.8473756479098807E-2</v>
      </c>
      <c r="P1334" s="153">
        <v>0.39358026214566905</v>
      </c>
      <c r="Q1334" s="153">
        <v>0.53857526864315253</v>
      </c>
      <c r="R1334" s="153">
        <v>0.3432094572454602</v>
      </c>
      <c r="S1334" s="153">
        <v>0.03</v>
      </c>
      <c r="T1334" s="153">
        <v>0</v>
      </c>
      <c r="U1334" s="478">
        <v>1900</v>
      </c>
      <c r="V1334">
        <v>2030</v>
      </c>
      <c r="W1334">
        <v>0</v>
      </c>
      <c r="X1334">
        <v>0</v>
      </c>
      <c r="Y1334">
        <v>1304</v>
      </c>
      <c r="Z1334">
        <v>311</v>
      </c>
      <c r="AA1334" s="475" t="s">
        <v>23</v>
      </c>
    </row>
    <row r="1335" spans="1:27" ht="15" hidden="1">
      <c r="A1335" s="24">
        <f t="shared" si="159"/>
        <v>2334</v>
      </c>
      <c r="B1335" s="24">
        <f t="shared" si="159"/>
        <v>2334</v>
      </c>
      <c r="C1335" s="476" t="s">
        <v>1729</v>
      </c>
      <c r="D1335" t="s">
        <v>149</v>
      </c>
      <c r="E1335" s="477">
        <v>2</v>
      </c>
      <c r="F1335" s="471">
        <v>17.899999999999999</v>
      </c>
      <c r="G1335">
        <v>1</v>
      </c>
      <c r="H1335">
        <v>1</v>
      </c>
      <c r="I1335" s="472">
        <f t="shared" si="151"/>
        <v>0.40033333333333337</v>
      </c>
      <c r="J1335" s="153">
        <v>0.3706666666666667</v>
      </c>
      <c r="K1335" s="153">
        <v>0.3666666666666667</v>
      </c>
      <c r="L1335" s="153">
        <v>0.44799999999999995</v>
      </c>
      <c r="M1335" s="153">
        <v>0.41600000000000009</v>
      </c>
      <c r="N1335" s="472">
        <f t="shared" si="152"/>
        <v>0.40033333333333337</v>
      </c>
      <c r="O1335" s="153">
        <v>0.3706666666666667</v>
      </c>
      <c r="P1335" s="153">
        <v>0.3666666666666667</v>
      </c>
      <c r="Q1335" s="153">
        <v>0.44799999999999995</v>
      </c>
      <c r="R1335" s="153">
        <v>0.41600000000000009</v>
      </c>
      <c r="S1335" s="153">
        <v>0.01</v>
      </c>
      <c r="T1335" s="153">
        <v>0.02</v>
      </c>
      <c r="U1335" s="478">
        <v>2016</v>
      </c>
      <c r="V1335" s="24">
        <f>U1335+20</f>
        <v>2036</v>
      </c>
      <c r="W1335">
        <v>0</v>
      </c>
      <c r="X1335">
        <v>0</v>
      </c>
      <c r="Y1335">
        <v>1315</v>
      </c>
      <c r="Z1335">
        <v>360</v>
      </c>
      <c r="AA1335" s="475" t="s">
        <v>24</v>
      </c>
    </row>
    <row r="1336" spans="1:27" ht="15" hidden="1">
      <c r="A1336" s="24">
        <f t="shared" si="159"/>
        <v>2335</v>
      </c>
      <c r="B1336" s="24">
        <f t="shared" si="159"/>
        <v>2335</v>
      </c>
      <c r="C1336" s="469" t="s">
        <v>1730</v>
      </c>
      <c r="D1336" t="s">
        <v>146</v>
      </c>
      <c r="E1336" s="470">
        <v>1</v>
      </c>
      <c r="F1336" s="471">
        <v>31.333333333333329</v>
      </c>
      <c r="G1336">
        <v>1</v>
      </c>
      <c r="H1336">
        <v>1</v>
      </c>
      <c r="I1336" s="472">
        <f t="shared" si="151"/>
        <v>0.32845968612834514</v>
      </c>
      <c r="J1336" s="153">
        <v>3.8473756479098807E-2</v>
      </c>
      <c r="K1336" s="153">
        <v>0.39358026214566905</v>
      </c>
      <c r="L1336" s="153">
        <v>0.53857526864315253</v>
      </c>
      <c r="M1336" s="153">
        <v>0.3432094572454602</v>
      </c>
      <c r="N1336" s="472">
        <f t="shared" si="152"/>
        <v>0.32845968612834514</v>
      </c>
      <c r="O1336" s="153">
        <v>3.8473756479098807E-2</v>
      </c>
      <c r="P1336" s="153">
        <v>0.39358026214566905</v>
      </c>
      <c r="Q1336" s="153">
        <v>0.53857526864315253</v>
      </c>
      <c r="R1336" s="153">
        <v>0.3432094572454602</v>
      </c>
      <c r="S1336" s="153">
        <v>0.03</v>
      </c>
      <c r="T1336" s="153">
        <v>0</v>
      </c>
      <c r="U1336" s="478">
        <v>2009</v>
      </c>
      <c r="V1336">
        <v>2023</v>
      </c>
      <c r="W1336">
        <v>0</v>
      </c>
      <c r="X1336">
        <v>0</v>
      </c>
      <c r="Y1336">
        <v>1304</v>
      </c>
      <c r="Z1336">
        <v>311</v>
      </c>
      <c r="AA1336" s="475" t="s">
        <v>23</v>
      </c>
    </row>
    <row r="1337" spans="1:27" ht="15" hidden="1">
      <c r="A1337" s="24">
        <f t="shared" si="159"/>
        <v>2336</v>
      </c>
      <c r="B1337" s="24">
        <f t="shared" si="159"/>
        <v>2336</v>
      </c>
      <c r="C1337" s="469" t="s">
        <v>1731</v>
      </c>
      <c r="D1337" t="s">
        <v>146</v>
      </c>
      <c r="E1337" s="470">
        <v>1</v>
      </c>
      <c r="F1337" s="471">
        <v>36.666666666666671</v>
      </c>
      <c r="G1337">
        <v>1</v>
      </c>
      <c r="H1337">
        <v>1</v>
      </c>
      <c r="I1337" s="472">
        <f t="shared" si="151"/>
        <v>0.32845968612834514</v>
      </c>
      <c r="J1337" s="153">
        <v>3.8473756479098807E-2</v>
      </c>
      <c r="K1337" s="153">
        <v>0.39358026214566905</v>
      </c>
      <c r="L1337" s="153">
        <v>0.53857526864315253</v>
      </c>
      <c r="M1337" s="153">
        <v>0.3432094572454602</v>
      </c>
      <c r="N1337" s="472">
        <f t="shared" si="152"/>
        <v>0.32845968612834514</v>
      </c>
      <c r="O1337" s="153">
        <v>3.8473756479098807E-2</v>
      </c>
      <c r="P1337" s="153">
        <v>0.39358026214566905</v>
      </c>
      <c r="Q1337" s="153">
        <v>0.53857526864315253</v>
      </c>
      <c r="R1337" s="153">
        <v>0.3432094572454602</v>
      </c>
      <c r="S1337" s="153">
        <v>0.03</v>
      </c>
      <c r="T1337" s="153">
        <v>0</v>
      </c>
      <c r="U1337" s="478">
        <v>2010</v>
      </c>
      <c r="V1337">
        <v>2023</v>
      </c>
      <c r="W1337">
        <v>0</v>
      </c>
      <c r="X1337">
        <v>0</v>
      </c>
      <c r="Y1337">
        <v>1304</v>
      </c>
      <c r="Z1337">
        <v>311</v>
      </c>
      <c r="AA1337" s="475" t="s">
        <v>23</v>
      </c>
    </row>
    <row r="1338" spans="1:27" ht="15" hidden="1">
      <c r="A1338" s="24">
        <f t="shared" si="159"/>
        <v>2337</v>
      </c>
      <c r="B1338" s="24">
        <f t="shared" si="159"/>
        <v>2337</v>
      </c>
      <c r="C1338" s="469" t="s">
        <v>1732</v>
      </c>
      <c r="D1338" t="s">
        <v>152</v>
      </c>
      <c r="E1338" s="470">
        <v>3</v>
      </c>
      <c r="F1338" s="471">
        <v>25</v>
      </c>
      <c r="G1338">
        <v>1</v>
      </c>
      <c r="H1338">
        <v>1</v>
      </c>
      <c r="I1338" s="472">
        <f t="shared" si="151"/>
        <v>0.32845968612834514</v>
      </c>
      <c r="J1338" s="153">
        <v>3.8473756479098807E-2</v>
      </c>
      <c r="K1338" s="153">
        <v>0.39358026214566905</v>
      </c>
      <c r="L1338" s="153">
        <v>0.53857526864315253</v>
      </c>
      <c r="M1338" s="153">
        <v>0.3432094572454602</v>
      </c>
      <c r="N1338" s="472">
        <f t="shared" si="152"/>
        <v>0.32845968612834514</v>
      </c>
      <c r="O1338" s="153">
        <v>3.8473756479098807E-2</v>
      </c>
      <c r="P1338" s="153">
        <v>0.39358026214566905</v>
      </c>
      <c r="Q1338" s="153">
        <v>0.53857526864315253</v>
      </c>
      <c r="R1338" s="153">
        <v>0.3432094572454602</v>
      </c>
      <c r="S1338" s="153">
        <v>0.03</v>
      </c>
      <c r="T1338" s="153">
        <v>0</v>
      </c>
      <c r="U1338" s="478">
        <v>2015</v>
      </c>
      <c r="V1338">
        <v>2030</v>
      </c>
      <c r="W1338">
        <v>0</v>
      </c>
      <c r="X1338">
        <v>0</v>
      </c>
      <c r="Y1338">
        <v>1304</v>
      </c>
      <c r="Z1338">
        <v>311</v>
      </c>
      <c r="AA1338" s="475" t="s">
        <v>23</v>
      </c>
    </row>
    <row r="1339" spans="1:27" ht="15" hidden="1">
      <c r="A1339" s="24">
        <f t="shared" si="159"/>
        <v>2338</v>
      </c>
      <c r="B1339" s="24">
        <f t="shared" si="159"/>
        <v>2338</v>
      </c>
      <c r="C1339" s="469" t="s">
        <v>1733</v>
      </c>
      <c r="D1339" t="s">
        <v>152</v>
      </c>
      <c r="E1339" s="470">
        <v>3</v>
      </c>
      <c r="F1339" s="471">
        <v>0</v>
      </c>
      <c r="G1339">
        <v>1</v>
      </c>
      <c r="H1339">
        <v>1</v>
      </c>
      <c r="I1339" s="472">
        <f t="shared" si="151"/>
        <v>0.32845968612834514</v>
      </c>
      <c r="J1339" s="153">
        <v>3.8473756479098807E-2</v>
      </c>
      <c r="K1339" s="153">
        <v>0.39358026214566905</v>
      </c>
      <c r="L1339" s="153">
        <v>0.53857526864315253</v>
      </c>
      <c r="M1339" s="153">
        <v>0.3432094572454602</v>
      </c>
      <c r="N1339" s="472">
        <f t="shared" si="152"/>
        <v>0.32845968612834514</v>
      </c>
      <c r="O1339" s="153">
        <v>3.8473756479098807E-2</v>
      </c>
      <c r="P1339" s="153">
        <v>0.39358026214566905</v>
      </c>
      <c r="Q1339" s="153">
        <v>0.53857526864315253</v>
      </c>
      <c r="R1339" s="153">
        <v>0.3432094572454602</v>
      </c>
      <c r="S1339" s="153">
        <v>0.03</v>
      </c>
      <c r="T1339" s="153">
        <v>0</v>
      </c>
      <c r="U1339" s="478">
        <v>1900</v>
      </c>
      <c r="V1339">
        <v>2030</v>
      </c>
      <c r="W1339">
        <v>0</v>
      </c>
      <c r="X1339">
        <v>0</v>
      </c>
      <c r="Y1339">
        <v>1304</v>
      </c>
      <c r="Z1339">
        <v>311</v>
      </c>
      <c r="AA1339" s="475" t="s">
        <v>23</v>
      </c>
    </row>
    <row r="1340" spans="1:27" ht="15" hidden="1">
      <c r="A1340" s="24">
        <f t="shared" si="159"/>
        <v>2339</v>
      </c>
      <c r="B1340" s="24">
        <f t="shared" si="159"/>
        <v>2339</v>
      </c>
      <c r="C1340" s="469" t="s">
        <v>1734</v>
      </c>
      <c r="D1340" t="s">
        <v>146</v>
      </c>
      <c r="E1340" s="470">
        <v>1</v>
      </c>
      <c r="F1340" s="471">
        <v>8.7940499999999986</v>
      </c>
      <c r="G1340">
        <v>1</v>
      </c>
      <c r="H1340">
        <v>1</v>
      </c>
      <c r="I1340" s="472">
        <f t="shared" si="151"/>
        <v>0.32845968612834514</v>
      </c>
      <c r="J1340" s="153">
        <v>3.8473756479098807E-2</v>
      </c>
      <c r="K1340" s="153">
        <v>0.39358026214566905</v>
      </c>
      <c r="L1340" s="153">
        <v>0.53857526864315253</v>
      </c>
      <c r="M1340" s="153">
        <v>0.3432094572454602</v>
      </c>
      <c r="N1340" s="472">
        <f t="shared" si="152"/>
        <v>0.32845968612834514</v>
      </c>
      <c r="O1340" s="153">
        <v>3.8473756479098807E-2</v>
      </c>
      <c r="P1340" s="153">
        <v>0.39358026214566905</v>
      </c>
      <c r="Q1340" s="153">
        <v>0.53857526864315253</v>
      </c>
      <c r="R1340" s="153">
        <v>0.3432094572454602</v>
      </c>
      <c r="S1340" s="153">
        <v>0.03</v>
      </c>
      <c r="T1340" s="153">
        <v>0</v>
      </c>
      <c r="U1340" s="478">
        <v>2010</v>
      </c>
      <c r="V1340">
        <v>2023</v>
      </c>
      <c r="W1340">
        <v>0</v>
      </c>
      <c r="X1340">
        <v>0</v>
      </c>
      <c r="Y1340">
        <v>1304</v>
      </c>
      <c r="Z1340">
        <v>311</v>
      </c>
      <c r="AA1340" s="475" t="s">
        <v>23</v>
      </c>
    </row>
    <row r="1341" spans="1:27" ht="15" hidden="1">
      <c r="A1341" s="24">
        <f t="shared" si="159"/>
        <v>2340</v>
      </c>
      <c r="B1341" s="24">
        <f t="shared" si="159"/>
        <v>2340</v>
      </c>
      <c r="C1341" s="476" t="s">
        <v>1735</v>
      </c>
      <c r="D1341" t="s">
        <v>149</v>
      </c>
      <c r="E1341" s="477">
        <v>2</v>
      </c>
      <c r="F1341" s="471">
        <v>17.899999999999999</v>
      </c>
      <c r="G1341">
        <v>1</v>
      </c>
      <c r="H1341">
        <v>1</v>
      </c>
      <c r="I1341" s="472">
        <f t="shared" si="151"/>
        <v>0.40033333333333337</v>
      </c>
      <c r="J1341" s="153">
        <v>0.3706666666666667</v>
      </c>
      <c r="K1341" s="153">
        <v>0.3666666666666667</v>
      </c>
      <c r="L1341" s="153">
        <v>0.44799999999999995</v>
      </c>
      <c r="M1341" s="153">
        <v>0.41600000000000009</v>
      </c>
      <c r="N1341" s="472">
        <f t="shared" si="152"/>
        <v>0.40033333333333337</v>
      </c>
      <c r="O1341" s="153">
        <v>0.3706666666666667</v>
      </c>
      <c r="P1341" s="153">
        <v>0.3666666666666667</v>
      </c>
      <c r="Q1341" s="153">
        <v>0.44799999999999995</v>
      </c>
      <c r="R1341" s="153">
        <v>0.41600000000000009</v>
      </c>
      <c r="S1341" s="153">
        <v>0.01</v>
      </c>
      <c r="T1341" s="153">
        <v>0.02</v>
      </c>
      <c r="U1341" s="478">
        <v>2016</v>
      </c>
      <c r="V1341" s="24">
        <f>U1341+20</f>
        <v>2036</v>
      </c>
      <c r="W1341">
        <v>0</v>
      </c>
      <c r="X1341">
        <v>0</v>
      </c>
      <c r="Y1341">
        <v>1315</v>
      </c>
      <c r="Z1341">
        <v>360</v>
      </c>
      <c r="AA1341" s="475" t="s">
        <v>24</v>
      </c>
    </row>
    <row r="1342" spans="1:27" ht="15" hidden="1">
      <c r="A1342" s="24">
        <f t="shared" si="159"/>
        <v>2341</v>
      </c>
      <c r="B1342" s="24">
        <f t="shared" si="159"/>
        <v>2341</v>
      </c>
      <c r="C1342" s="469" t="s">
        <v>1736</v>
      </c>
      <c r="D1342" t="s">
        <v>146</v>
      </c>
      <c r="E1342" s="470">
        <v>1</v>
      </c>
      <c r="F1342" s="471">
        <v>37.205950000000001</v>
      </c>
      <c r="G1342">
        <v>1</v>
      </c>
      <c r="H1342">
        <v>1</v>
      </c>
      <c r="I1342" s="472">
        <f t="shared" si="151"/>
        <v>0.32845968612834514</v>
      </c>
      <c r="J1342" s="153">
        <v>3.8473756479098807E-2</v>
      </c>
      <c r="K1342" s="153">
        <v>0.39358026214566905</v>
      </c>
      <c r="L1342" s="153">
        <v>0.53857526864315253</v>
      </c>
      <c r="M1342" s="153">
        <v>0.3432094572454602</v>
      </c>
      <c r="N1342" s="472">
        <f t="shared" si="152"/>
        <v>0.32845968612834514</v>
      </c>
      <c r="O1342" s="153">
        <v>3.8473756479098807E-2</v>
      </c>
      <c r="P1342" s="153">
        <v>0.39358026214566905</v>
      </c>
      <c r="Q1342" s="153">
        <v>0.53857526864315253</v>
      </c>
      <c r="R1342" s="153">
        <v>0.3432094572454602</v>
      </c>
      <c r="S1342" s="153">
        <v>0.03</v>
      </c>
      <c r="T1342" s="153">
        <v>0</v>
      </c>
      <c r="U1342" s="478">
        <v>2009</v>
      </c>
      <c r="V1342">
        <v>2023</v>
      </c>
      <c r="W1342">
        <v>0</v>
      </c>
      <c r="X1342">
        <v>0</v>
      </c>
      <c r="Y1342">
        <v>1304</v>
      </c>
      <c r="Z1342">
        <v>311</v>
      </c>
      <c r="AA1342" s="475" t="s">
        <v>23</v>
      </c>
    </row>
    <row r="1343" spans="1:27" ht="15" hidden="1">
      <c r="A1343" s="24">
        <f t="shared" si="159"/>
        <v>2342</v>
      </c>
      <c r="B1343" s="24">
        <f t="shared" si="159"/>
        <v>2342</v>
      </c>
      <c r="C1343" s="469" t="s">
        <v>1737</v>
      </c>
      <c r="D1343" t="s">
        <v>146</v>
      </c>
      <c r="E1343" s="470">
        <v>1</v>
      </c>
      <c r="F1343" s="471">
        <v>84.938000000000002</v>
      </c>
      <c r="G1343">
        <v>1</v>
      </c>
      <c r="H1343">
        <v>1</v>
      </c>
      <c r="I1343" s="472">
        <f t="shared" si="151"/>
        <v>0.32845968612834514</v>
      </c>
      <c r="J1343" s="153">
        <v>3.8473756479098807E-2</v>
      </c>
      <c r="K1343" s="153">
        <v>0.39358026214566905</v>
      </c>
      <c r="L1343" s="153">
        <v>0.53857526864315253</v>
      </c>
      <c r="M1343" s="153">
        <v>0.3432094572454602</v>
      </c>
      <c r="N1343" s="472">
        <f t="shared" si="152"/>
        <v>0.32845968612834514</v>
      </c>
      <c r="O1343" s="153">
        <v>3.8473756479098807E-2</v>
      </c>
      <c r="P1343" s="153">
        <v>0.39358026214566905</v>
      </c>
      <c r="Q1343" s="153">
        <v>0.53857526864315253</v>
      </c>
      <c r="R1343" s="153">
        <v>0.3432094572454602</v>
      </c>
      <c r="S1343" s="153">
        <v>0.03</v>
      </c>
      <c r="T1343" s="153">
        <v>0</v>
      </c>
      <c r="U1343" s="478">
        <v>1900</v>
      </c>
      <c r="V1343">
        <v>2030</v>
      </c>
      <c r="W1343">
        <v>0</v>
      </c>
      <c r="X1343">
        <v>0</v>
      </c>
      <c r="Y1343">
        <v>1304</v>
      </c>
      <c r="Z1343">
        <v>311</v>
      </c>
      <c r="AA1343" s="475" t="s">
        <v>23</v>
      </c>
    </row>
    <row r="1344" spans="1:27" ht="15" hidden="1">
      <c r="A1344" s="24">
        <f t="shared" ref="A1344:B1363" si="160">1000+ROW()-1</f>
        <v>2343</v>
      </c>
      <c r="B1344" s="24">
        <f t="shared" si="160"/>
        <v>2343</v>
      </c>
      <c r="C1344" s="469" t="s">
        <v>1738</v>
      </c>
      <c r="D1344" t="s">
        <v>146</v>
      </c>
      <c r="E1344" s="470">
        <v>1</v>
      </c>
      <c r="F1344" s="471">
        <v>0</v>
      </c>
      <c r="G1344">
        <v>1</v>
      </c>
      <c r="H1344">
        <v>1</v>
      </c>
      <c r="I1344" s="472">
        <f t="shared" si="151"/>
        <v>0.32845968612834514</v>
      </c>
      <c r="J1344" s="153">
        <v>3.8473756479098807E-2</v>
      </c>
      <c r="K1344" s="153">
        <v>0.39358026214566905</v>
      </c>
      <c r="L1344" s="153">
        <v>0.53857526864315253</v>
      </c>
      <c r="M1344" s="153">
        <v>0.3432094572454602</v>
      </c>
      <c r="N1344" s="472">
        <f t="shared" si="152"/>
        <v>0.32845968612834514</v>
      </c>
      <c r="O1344" s="153">
        <v>3.8473756479098807E-2</v>
      </c>
      <c r="P1344" s="153">
        <v>0.39358026214566905</v>
      </c>
      <c r="Q1344" s="153">
        <v>0.53857526864315253</v>
      </c>
      <c r="R1344" s="153">
        <v>0.3432094572454602</v>
      </c>
      <c r="S1344" s="153">
        <v>0.03</v>
      </c>
      <c r="T1344" s="153">
        <v>0</v>
      </c>
      <c r="U1344" s="478">
        <v>1900</v>
      </c>
      <c r="V1344">
        <v>2030</v>
      </c>
      <c r="W1344">
        <v>0</v>
      </c>
      <c r="X1344">
        <v>0</v>
      </c>
      <c r="Y1344">
        <v>1304</v>
      </c>
      <c r="Z1344">
        <v>311</v>
      </c>
      <c r="AA1344" s="475" t="s">
        <v>23</v>
      </c>
    </row>
    <row r="1345" spans="1:27" ht="15" hidden="1">
      <c r="A1345" s="24">
        <f t="shared" si="160"/>
        <v>2344</v>
      </c>
      <c r="B1345" s="24">
        <f t="shared" si="160"/>
        <v>2344</v>
      </c>
      <c r="C1345" s="469" t="s">
        <v>1739</v>
      </c>
      <c r="D1345" t="s">
        <v>146</v>
      </c>
      <c r="E1345" s="470">
        <v>1</v>
      </c>
      <c r="F1345" s="471">
        <v>22.048192771084338</v>
      </c>
      <c r="G1345">
        <v>1</v>
      </c>
      <c r="H1345">
        <v>1</v>
      </c>
      <c r="I1345" s="472">
        <f t="shared" si="151"/>
        <v>0.32845968612834514</v>
      </c>
      <c r="J1345" s="153">
        <v>3.8473756479098807E-2</v>
      </c>
      <c r="K1345" s="153">
        <v>0.39358026214566905</v>
      </c>
      <c r="L1345" s="153">
        <v>0.53857526864315253</v>
      </c>
      <c r="M1345" s="153">
        <v>0.3432094572454602</v>
      </c>
      <c r="N1345" s="472">
        <f t="shared" si="152"/>
        <v>0.32845968612834514</v>
      </c>
      <c r="O1345" s="153">
        <v>3.8473756479098807E-2</v>
      </c>
      <c r="P1345" s="153">
        <v>0.39358026214566905</v>
      </c>
      <c r="Q1345" s="153">
        <v>0.53857526864315253</v>
      </c>
      <c r="R1345" s="153">
        <v>0.3432094572454602</v>
      </c>
      <c r="S1345" s="153">
        <v>0.03</v>
      </c>
      <c r="T1345" s="153">
        <v>0</v>
      </c>
      <c r="U1345" s="478">
        <v>2011</v>
      </c>
      <c r="V1345">
        <v>2030</v>
      </c>
      <c r="W1345">
        <v>0</v>
      </c>
      <c r="X1345">
        <v>0</v>
      </c>
      <c r="Y1345">
        <v>1304</v>
      </c>
      <c r="Z1345">
        <v>311</v>
      </c>
      <c r="AA1345" s="475" t="s">
        <v>23</v>
      </c>
    </row>
    <row r="1346" spans="1:27" ht="15" hidden="1">
      <c r="A1346" s="24">
        <f t="shared" si="160"/>
        <v>2345</v>
      </c>
      <c r="B1346" s="24">
        <f t="shared" si="160"/>
        <v>2345</v>
      </c>
      <c r="C1346" s="469" t="s">
        <v>1740</v>
      </c>
      <c r="D1346" t="s">
        <v>146</v>
      </c>
      <c r="E1346" s="470">
        <v>1</v>
      </c>
      <c r="F1346" s="471">
        <v>37.951807228915662</v>
      </c>
      <c r="G1346">
        <v>1</v>
      </c>
      <c r="H1346">
        <v>1</v>
      </c>
      <c r="I1346" s="472">
        <f t="shared" ref="I1346:I1409" si="161">AVERAGE(J1346:M1346)</f>
        <v>0.32845968612834514</v>
      </c>
      <c r="J1346" s="153">
        <v>3.8473756479098807E-2</v>
      </c>
      <c r="K1346" s="153">
        <v>0.39358026214566905</v>
      </c>
      <c r="L1346" s="153">
        <v>0.53857526864315253</v>
      </c>
      <c r="M1346" s="153">
        <v>0.3432094572454602</v>
      </c>
      <c r="N1346" s="472">
        <f t="shared" ref="N1346:N1409" si="162">AVERAGE(O1346:R1346)</f>
        <v>0.32845968612834514</v>
      </c>
      <c r="O1346" s="153">
        <v>3.8473756479098807E-2</v>
      </c>
      <c r="P1346" s="153">
        <v>0.39358026214566905</v>
      </c>
      <c r="Q1346" s="153">
        <v>0.53857526864315253</v>
      </c>
      <c r="R1346" s="153">
        <v>0.3432094572454602</v>
      </c>
      <c r="S1346" s="153">
        <v>0.03</v>
      </c>
      <c r="T1346" s="153">
        <v>0</v>
      </c>
      <c r="U1346" s="478">
        <v>2010</v>
      </c>
      <c r="V1346">
        <v>2023</v>
      </c>
      <c r="W1346">
        <v>0</v>
      </c>
      <c r="X1346">
        <v>0</v>
      </c>
      <c r="Y1346">
        <v>1304</v>
      </c>
      <c r="Z1346">
        <v>311</v>
      </c>
      <c r="AA1346" s="475" t="s">
        <v>23</v>
      </c>
    </row>
    <row r="1347" spans="1:27" ht="15" hidden="1">
      <c r="A1347" s="24">
        <f t="shared" si="160"/>
        <v>2346</v>
      </c>
      <c r="B1347" s="24">
        <f t="shared" si="160"/>
        <v>2346</v>
      </c>
      <c r="C1347" s="469" t="s">
        <v>1741</v>
      </c>
      <c r="D1347" t="s">
        <v>146</v>
      </c>
      <c r="E1347" s="470">
        <v>1</v>
      </c>
      <c r="F1347" s="471">
        <v>66.546511627906966</v>
      </c>
      <c r="G1347">
        <v>1</v>
      </c>
      <c r="H1347">
        <v>1</v>
      </c>
      <c r="I1347" s="472">
        <f t="shared" si="161"/>
        <v>0.32845968612834514</v>
      </c>
      <c r="J1347" s="153">
        <v>3.8473756479098807E-2</v>
      </c>
      <c r="K1347" s="153">
        <v>0.39358026214566905</v>
      </c>
      <c r="L1347" s="153">
        <v>0.53857526864315253</v>
      </c>
      <c r="M1347" s="153">
        <v>0.3432094572454602</v>
      </c>
      <c r="N1347" s="472">
        <f t="shared" si="162"/>
        <v>0.32845968612834514</v>
      </c>
      <c r="O1347" s="153">
        <v>3.8473756479098807E-2</v>
      </c>
      <c r="P1347" s="153">
        <v>0.39358026214566905</v>
      </c>
      <c r="Q1347" s="153">
        <v>0.53857526864315253</v>
      </c>
      <c r="R1347" s="153">
        <v>0.3432094572454602</v>
      </c>
      <c r="S1347" s="153">
        <v>0.03</v>
      </c>
      <c r="T1347" s="153">
        <v>0</v>
      </c>
      <c r="U1347" s="478">
        <v>2010</v>
      </c>
      <c r="V1347">
        <v>2023</v>
      </c>
      <c r="W1347">
        <v>0</v>
      </c>
      <c r="X1347">
        <v>0</v>
      </c>
      <c r="Y1347">
        <v>1304</v>
      </c>
      <c r="Z1347">
        <v>311</v>
      </c>
      <c r="AA1347" s="475" t="s">
        <v>23</v>
      </c>
    </row>
    <row r="1348" spans="1:27" ht="15" hidden="1">
      <c r="A1348" s="24">
        <f t="shared" si="160"/>
        <v>2347</v>
      </c>
      <c r="B1348" s="24">
        <f t="shared" si="160"/>
        <v>2347</v>
      </c>
      <c r="C1348" s="469" t="s">
        <v>1742</v>
      </c>
      <c r="D1348" t="s">
        <v>146</v>
      </c>
      <c r="E1348" s="470">
        <v>1</v>
      </c>
      <c r="F1348" s="471">
        <v>30.45348837209303</v>
      </c>
      <c r="G1348">
        <v>1</v>
      </c>
      <c r="H1348">
        <v>1</v>
      </c>
      <c r="I1348" s="472">
        <f t="shared" si="161"/>
        <v>0.32845968612834514</v>
      </c>
      <c r="J1348" s="153">
        <v>3.8473756479098807E-2</v>
      </c>
      <c r="K1348" s="153">
        <v>0.39358026214566905</v>
      </c>
      <c r="L1348" s="153">
        <v>0.53857526864315253</v>
      </c>
      <c r="M1348" s="153">
        <v>0.3432094572454602</v>
      </c>
      <c r="N1348" s="472">
        <f t="shared" si="162"/>
        <v>0.32845968612834514</v>
      </c>
      <c r="O1348" s="153">
        <v>3.8473756479098807E-2</v>
      </c>
      <c r="P1348" s="153">
        <v>0.39358026214566905</v>
      </c>
      <c r="Q1348" s="153">
        <v>0.53857526864315253</v>
      </c>
      <c r="R1348" s="153">
        <v>0.3432094572454602</v>
      </c>
      <c r="S1348" s="153">
        <v>0.03</v>
      </c>
      <c r="T1348" s="153">
        <v>0</v>
      </c>
      <c r="U1348" s="478">
        <v>2014</v>
      </c>
      <c r="V1348">
        <v>2035</v>
      </c>
      <c r="W1348">
        <v>0</v>
      </c>
      <c r="X1348">
        <v>0</v>
      </c>
      <c r="Y1348">
        <v>1304</v>
      </c>
      <c r="Z1348">
        <v>311</v>
      </c>
      <c r="AA1348" s="475" t="s">
        <v>23</v>
      </c>
    </row>
    <row r="1349" spans="1:27" ht="15" hidden="1">
      <c r="A1349" s="24">
        <f t="shared" si="160"/>
        <v>2348</v>
      </c>
      <c r="B1349" s="24">
        <f t="shared" si="160"/>
        <v>2348</v>
      </c>
      <c r="C1349" s="469" t="s">
        <v>1743</v>
      </c>
      <c r="D1349" t="s">
        <v>146</v>
      </c>
      <c r="E1349" s="470">
        <v>1</v>
      </c>
      <c r="F1349" s="471">
        <v>2.6190476190476133</v>
      </c>
      <c r="G1349">
        <v>1</v>
      </c>
      <c r="H1349">
        <v>1</v>
      </c>
      <c r="I1349" s="472">
        <f t="shared" si="161"/>
        <v>0.32845968612834514</v>
      </c>
      <c r="J1349" s="153">
        <v>3.8473756479098807E-2</v>
      </c>
      <c r="K1349" s="153">
        <v>0.39358026214566905</v>
      </c>
      <c r="L1349" s="153">
        <v>0.53857526864315253</v>
      </c>
      <c r="M1349" s="153">
        <v>0.3432094572454602</v>
      </c>
      <c r="N1349" s="472">
        <f t="shared" si="162"/>
        <v>0.32845968612834514</v>
      </c>
      <c r="O1349" s="153">
        <v>3.8473756479098807E-2</v>
      </c>
      <c r="P1349" s="153">
        <v>0.39358026214566905</v>
      </c>
      <c r="Q1349" s="153">
        <v>0.53857526864315253</v>
      </c>
      <c r="R1349" s="153">
        <v>0.3432094572454602</v>
      </c>
      <c r="S1349" s="153">
        <v>0.03</v>
      </c>
      <c r="T1349" s="153">
        <v>0</v>
      </c>
      <c r="U1349" s="478">
        <v>2010</v>
      </c>
      <c r="V1349">
        <v>2023</v>
      </c>
      <c r="W1349">
        <v>0</v>
      </c>
      <c r="X1349">
        <v>0</v>
      </c>
      <c r="Y1349">
        <v>1304</v>
      </c>
      <c r="Z1349">
        <v>311</v>
      </c>
      <c r="AA1349" s="475" t="s">
        <v>23</v>
      </c>
    </row>
    <row r="1350" spans="1:27" ht="15" hidden="1">
      <c r="A1350" s="24">
        <f t="shared" si="160"/>
        <v>2349</v>
      </c>
      <c r="B1350" s="24">
        <f t="shared" si="160"/>
        <v>2349</v>
      </c>
      <c r="C1350" s="469" t="s">
        <v>1744</v>
      </c>
      <c r="D1350" t="s">
        <v>146</v>
      </c>
      <c r="E1350" s="470">
        <v>1</v>
      </c>
      <c r="F1350" s="471">
        <v>52.380952380952387</v>
      </c>
      <c r="G1350">
        <v>1</v>
      </c>
      <c r="H1350">
        <v>1</v>
      </c>
      <c r="I1350" s="472">
        <f t="shared" si="161"/>
        <v>0.32845968612834514</v>
      </c>
      <c r="J1350" s="153">
        <v>3.8473756479098807E-2</v>
      </c>
      <c r="K1350" s="153">
        <v>0.39358026214566905</v>
      </c>
      <c r="L1350" s="153">
        <v>0.53857526864315253</v>
      </c>
      <c r="M1350" s="153">
        <v>0.3432094572454602</v>
      </c>
      <c r="N1350" s="472">
        <f t="shared" si="162"/>
        <v>0.32845968612834514</v>
      </c>
      <c r="O1350" s="153">
        <v>3.8473756479098807E-2</v>
      </c>
      <c r="P1350" s="153">
        <v>0.39358026214566905</v>
      </c>
      <c r="Q1350" s="153">
        <v>0.53857526864315253</v>
      </c>
      <c r="R1350" s="153">
        <v>0.3432094572454602</v>
      </c>
      <c r="S1350" s="153">
        <v>0.03</v>
      </c>
      <c r="T1350" s="153">
        <v>0</v>
      </c>
      <c r="U1350" s="478">
        <v>2010</v>
      </c>
      <c r="V1350">
        <v>2023</v>
      </c>
      <c r="W1350">
        <v>0</v>
      </c>
      <c r="X1350">
        <v>0</v>
      </c>
      <c r="Y1350">
        <v>1304</v>
      </c>
      <c r="Z1350">
        <v>311</v>
      </c>
      <c r="AA1350" s="475" t="s">
        <v>23</v>
      </c>
    </row>
    <row r="1351" spans="1:27" ht="15" hidden="1">
      <c r="A1351" s="24">
        <f t="shared" si="160"/>
        <v>2350</v>
      </c>
      <c r="B1351" s="24">
        <f t="shared" si="160"/>
        <v>2350</v>
      </c>
      <c r="C1351" s="469" t="s">
        <v>1745</v>
      </c>
      <c r="D1351" t="s">
        <v>146</v>
      </c>
      <c r="E1351" s="470">
        <v>1</v>
      </c>
      <c r="F1351" s="471">
        <v>20.001333333333335</v>
      </c>
      <c r="G1351">
        <v>1</v>
      </c>
      <c r="H1351">
        <v>1</v>
      </c>
      <c r="I1351" s="472">
        <f t="shared" si="161"/>
        <v>0.32845968612834514</v>
      </c>
      <c r="J1351" s="153">
        <v>3.8473756479098807E-2</v>
      </c>
      <c r="K1351" s="153">
        <v>0.39358026214566905</v>
      </c>
      <c r="L1351" s="153">
        <v>0.53857526864315253</v>
      </c>
      <c r="M1351" s="153">
        <v>0.3432094572454602</v>
      </c>
      <c r="N1351" s="472">
        <f t="shared" si="162"/>
        <v>0.32845968612834514</v>
      </c>
      <c r="O1351" s="153">
        <v>3.8473756479098807E-2</v>
      </c>
      <c r="P1351" s="153">
        <v>0.39358026214566905</v>
      </c>
      <c r="Q1351" s="153">
        <v>0.53857526864315253</v>
      </c>
      <c r="R1351" s="153">
        <v>0.3432094572454602</v>
      </c>
      <c r="S1351" s="153">
        <v>0.03</v>
      </c>
      <c r="T1351" s="153">
        <v>0</v>
      </c>
      <c r="U1351" s="478">
        <v>2012</v>
      </c>
      <c r="V1351">
        <v>2030</v>
      </c>
      <c r="W1351">
        <v>0</v>
      </c>
      <c r="X1351">
        <v>0</v>
      </c>
      <c r="Y1351">
        <v>1304</v>
      </c>
      <c r="Z1351">
        <v>311</v>
      </c>
      <c r="AA1351" s="475" t="s">
        <v>23</v>
      </c>
    </row>
    <row r="1352" spans="1:27" ht="15" hidden="1">
      <c r="A1352" s="24">
        <f t="shared" si="160"/>
        <v>2351</v>
      </c>
      <c r="B1352" s="24">
        <f t="shared" si="160"/>
        <v>2351</v>
      </c>
      <c r="C1352" s="469" t="s">
        <v>1746</v>
      </c>
      <c r="D1352" t="s">
        <v>146</v>
      </c>
      <c r="E1352" s="470">
        <v>1</v>
      </c>
      <c r="F1352" s="471">
        <v>19.998666666666665</v>
      </c>
      <c r="G1352">
        <v>1</v>
      </c>
      <c r="H1352">
        <v>1</v>
      </c>
      <c r="I1352" s="472">
        <f t="shared" si="161"/>
        <v>0.32845968612834514</v>
      </c>
      <c r="J1352" s="153">
        <v>3.8473756479098807E-2</v>
      </c>
      <c r="K1352" s="153">
        <v>0.39358026214566905</v>
      </c>
      <c r="L1352" s="153">
        <v>0.53857526864315253</v>
      </c>
      <c r="M1352" s="153">
        <v>0.3432094572454602</v>
      </c>
      <c r="N1352" s="472">
        <f t="shared" si="162"/>
        <v>0.32845968612834514</v>
      </c>
      <c r="O1352" s="153">
        <v>3.8473756479098807E-2</v>
      </c>
      <c r="P1352" s="153">
        <v>0.39358026214566905</v>
      </c>
      <c r="Q1352" s="153">
        <v>0.53857526864315253</v>
      </c>
      <c r="R1352" s="153">
        <v>0.3432094572454602</v>
      </c>
      <c r="S1352" s="153">
        <v>0.03</v>
      </c>
      <c r="T1352" s="153">
        <v>0</v>
      </c>
      <c r="U1352" s="478">
        <v>2014</v>
      </c>
      <c r="V1352">
        <v>2035</v>
      </c>
      <c r="W1352">
        <v>0</v>
      </c>
      <c r="X1352">
        <v>0</v>
      </c>
      <c r="Y1352">
        <v>1304</v>
      </c>
      <c r="Z1352">
        <v>311</v>
      </c>
      <c r="AA1352" s="475" t="s">
        <v>23</v>
      </c>
    </row>
    <row r="1353" spans="1:27" ht="15" hidden="1">
      <c r="A1353" s="24">
        <f t="shared" si="160"/>
        <v>2352</v>
      </c>
      <c r="B1353" s="24">
        <f t="shared" si="160"/>
        <v>2352</v>
      </c>
      <c r="C1353" s="469" t="s">
        <v>1747</v>
      </c>
      <c r="D1353" t="s">
        <v>146</v>
      </c>
      <c r="E1353" s="470">
        <v>1</v>
      </c>
      <c r="F1353" s="471">
        <v>1.8493150684931479</v>
      </c>
      <c r="G1353">
        <v>1</v>
      </c>
      <c r="H1353">
        <v>1</v>
      </c>
      <c r="I1353" s="472">
        <f t="shared" si="161"/>
        <v>0.32845968612834514</v>
      </c>
      <c r="J1353" s="153">
        <v>3.8473756479098807E-2</v>
      </c>
      <c r="K1353" s="153">
        <v>0.39358026214566905</v>
      </c>
      <c r="L1353" s="153">
        <v>0.53857526864315253</v>
      </c>
      <c r="M1353" s="153">
        <v>0.3432094572454602</v>
      </c>
      <c r="N1353" s="472">
        <f t="shared" si="162"/>
        <v>0.32845968612834514</v>
      </c>
      <c r="O1353" s="153">
        <v>3.8473756479098807E-2</v>
      </c>
      <c r="P1353" s="153">
        <v>0.39358026214566905</v>
      </c>
      <c r="Q1353" s="153">
        <v>0.53857526864315253</v>
      </c>
      <c r="R1353" s="153">
        <v>0.3432094572454602</v>
      </c>
      <c r="S1353" s="153">
        <v>0.03</v>
      </c>
      <c r="T1353" s="153">
        <v>0</v>
      </c>
      <c r="U1353" s="478">
        <v>2010</v>
      </c>
      <c r="V1353">
        <v>2023</v>
      </c>
      <c r="W1353">
        <v>0</v>
      </c>
      <c r="X1353">
        <v>0</v>
      </c>
      <c r="Y1353">
        <v>1304</v>
      </c>
      <c r="Z1353">
        <v>311</v>
      </c>
      <c r="AA1353" s="475" t="s">
        <v>23</v>
      </c>
    </row>
    <row r="1354" spans="1:27" ht="15" hidden="1">
      <c r="A1354" s="24">
        <f t="shared" si="160"/>
        <v>2353</v>
      </c>
      <c r="B1354" s="24">
        <f t="shared" si="160"/>
        <v>2353</v>
      </c>
      <c r="C1354" s="469" t="s">
        <v>1748</v>
      </c>
      <c r="D1354" t="s">
        <v>146</v>
      </c>
      <c r="E1354" s="470">
        <v>1</v>
      </c>
      <c r="F1354" s="471">
        <v>43.150684931506852</v>
      </c>
      <c r="G1354">
        <v>1</v>
      </c>
      <c r="H1354">
        <v>1</v>
      </c>
      <c r="I1354" s="472">
        <f t="shared" si="161"/>
        <v>0.32845968612834514</v>
      </c>
      <c r="J1354" s="153">
        <v>3.8473756479098807E-2</v>
      </c>
      <c r="K1354" s="153">
        <v>0.39358026214566905</v>
      </c>
      <c r="L1354" s="153">
        <v>0.53857526864315253</v>
      </c>
      <c r="M1354" s="153">
        <v>0.3432094572454602</v>
      </c>
      <c r="N1354" s="472">
        <f t="shared" si="162"/>
        <v>0.32845968612834514</v>
      </c>
      <c r="O1354" s="153">
        <v>3.8473756479098807E-2</v>
      </c>
      <c r="P1354" s="153">
        <v>0.39358026214566905</v>
      </c>
      <c r="Q1354" s="153">
        <v>0.53857526864315253</v>
      </c>
      <c r="R1354" s="153">
        <v>0.3432094572454602</v>
      </c>
      <c r="S1354" s="153">
        <v>0.03</v>
      </c>
      <c r="T1354" s="153">
        <v>0</v>
      </c>
      <c r="U1354" s="478">
        <v>2010</v>
      </c>
      <c r="V1354">
        <v>2023</v>
      </c>
      <c r="W1354">
        <v>0</v>
      </c>
      <c r="X1354">
        <v>0</v>
      </c>
      <c r="Y1354">
        <v>1304</v>
      </c>
      <c r="Z1354">
        <v>311</v>
      </c>
      <c r="AA1354" s="475" t="s">
        <v>23</v>
      </c>
    </row>
    <row r="1355" spans="1:27" ht="15" hidden="1">
      <c r="A1355" s="24">
        <f t="shared" si="160"/>
        <v>2354</v>
      </c>
      <c r="B1355" s="24">
        <f t="shared" si="160"/>
        <v>2354</v>
      </c>
      <c r="C1355" s="469" t="s">
        <v>1749</v>
      </c>
      <c r="D1355" t="s">
        <v>146</v>
      </c>
      <c r="E1355" s="470">
        <v>1</v>
      </c>
      <c r="F1355" s="471">
        <v>162.55799999999999</v>
      </c>
      <c r="G1355">
        <v>1</v>
      </c>
      <c r="H1355">
        <v>1</v>
      </c>
      <c r="I1355" s="472">
        <f t="shared" si="161"/>
        <v>0.32845968612834514</v>
      </c>
      <c r="J1355" s="153">
        <v>3.8473756479098807E-2</v>
      </c>
      <c r="K1355" s="153">
        <v>0.39358026214566905</v>
      </c>
      <c r="L1355" s="153">
        <v>0.53857526864315253</v>
      </c>
      <c r="M1355" s="153">
        <v>0.3432094572454602</v>
      </c>
      <c r="N1355" s="472">
        <f t="shared" si="162"/>
        <v>0.32845968612834514</v>
      </c>
      <c r="O1355" s="153">
        <v>3.8473756479098807E-2</v>
      </c>
      <c r="P1355" s="153">
        <v>0.39358026214566905</v>
      </c>
      <c r="Q1355" s="153">
        <v>0.53857526864315253</v>
      </c>
      <c r="R1355" s="153">
        <v>0.3432094572454602</v>
      </c>
      <c r="S1355" s="153">
        <v>0.03</v>
      </c>
      <c r="T1355" s="153">
        <v>0</v>
      </c>
      <c r="U1355" s="478">
        <v>2009</v>
      </c>
      <c r="V1355">
        <v>2030</v>
      </c>
      <c r="W1355">
        <v>0</v>
      </c>
      <c r="X1355">
        <v>0</v>
      </c>
      <c r="Y1355">
        <v>1304</v>
      </c>
      <c r="Z1355">
        <v>311</v>
      </c>
      <c r="AA1355" s="475" t="s">
        <v>23</v>
      </c>
    </row>
    <row r="1356" spans="1:27" ht="15" hidden="1">
      <c r="A1356" s="24">
        <f t="shared" si="160"/>
        <v>2355</v>
      </c>
      <c r="B1356" s="24">
        <f t="shared" si="160"/>
        <v>2355</v>
      </c>
      <c r="C1356" s="469" t="s">
        <v>1750</v>
      </c>
      <c r="D1356" t="s">
        <v>146</v>
      </c>
      <c r="E1356" s="470">
        <v>1</v>
      </c>
      <c r="F1356" s="471">
        <v>0</v>
      </c>
      <c r="G1356">
        <v>1</v>
      </c>
      <c r="H1356">
        <v>1</v>
      </c>
      <c r="I1356" s="472">
        <f t="shared" si="161"/>
        <v>0.32845968612834514</v>
      </c>
      <c r="J1356" s="153">
        <v>3.8473756479098807E-2</v>
      </c>
      <c r="K1356" s="153">
        <v>0.39358026214566905</v>
      </c>
      <c r="L1356" s="153">
        <v>0.53857526864315253</v>
      </c>
      <c r="M1356" s="153">
        <v>0.3432094572454602</v>
      </c>
      <c r="N1356" s="472">
        <f t="shared" si="162"/>
        <v>0.32845968612834514</v>
      </c>
      <c r="O1356" s="153">
        <v>3.8473756479098807E-2</v>
      </c>
      <c r="P1356" s="153">
        <v>0.39358026214566905</v>
      </c>
      <c r="Q1356" s="153">
        <v>0.53857526864315253</v>
      </c>
      <c r="R1356" s="153">
        <v>0.3432094572454602</v>
      </c>
      <c r="S1356" s="153">
        <v>0.03</v>
      </c>
      <c r="T1356" s="153">
        <v>0</v>
      </c>
      <c r="U1356" s="478">
        <v>1900</v>
      </c>
      <c r="V1356">
        <v>2030</v>
      </c>
      <c r="W1356">
        <v>0</v>
      </c>
      <c r="X1356">
        <v>0</v>
      </c>
      <c r="Y1356">
        <v>1304</v>
      </c>
      <c r="Z1356">
        <v>311</v>
      </c>
      <c r="AA1356" s="475" t="s">
        <v>23</v>
      </c>
    </row>
    <row r="1357" spans="1:27" ht="15" hidden="1">
      <c r="A1357" s="24">
        <f t="shared" si="160"/>
        <v>2356</v>
      </c>
      <c r="B1357" s="24">
        <f t="shared" si="160"/>
        <v>2356</v>
      </c>
      <c r="C1357" s="469" t="s">
        <v>1751</v>
      </c>
      <c r="D1357" t="s">
        <v>152</v>
      </c>
      <c r="E1357" s="470">
        <v>3</v>
      </c>
      <c r="F1357" s="471">
        <v>126.6</v>
      </c>
      <c r="G1357">
        <v>1</v>
      </c>
      <c r="H1357">
        <v>1</v>
      </c>
      <c r="I1357" s="472">
        <f t="shared" si="161"/>
        <v>0.32845968612834514</v>
      </c>
      <c r="J1357" s="153">
        <v>3.8473756479098807E-2</v>
      </c>
      <c r="K1357" s="153">
        <v>0.39358026214566905</v>
      </c>
      <c r="L1357" s="153">
        <v>0.53857526864315253</v>
      </c>
      <c r="M1357" s="153">
        <v>0.3432094572454602</v>
      </c>
      <c r="N1357" s="472">
        <f t="shared" si="162"/>
        <v>0.32845968612834514</v>
      </c>
      <c r="O1357" s="153">
        <v>3.8473756479098807E-2</v>
      </c>
      <c r="P1357" s="153">
        <v>0.39358026214566905</v>
      </c>
      <c r="Q1357" s="153">
        <v>0.53857526864315253</v>
      </c>
      <c r="R1357" s="153">
        <v>0.3432094572454602</v>
      </c>
      <c r="S1357" s="153">
        <v>0.03</v>
      </c>
      <c r="T1357" s="153">
        <v>0</v>
      </c>
      <c r="U1357" s="478">
        <v>2006</v>
      </c>
      <c r="V1357">
        <v>2023</v>
      </c>
      <c r="W1357">
        <v>0</v>
      </c>
      <c r="X1357">
        <v>0</v>
      </c>
      <c r="Y1357">
        <v>1304</v>
      </c>
      <c r="Z1357">
        <v>311</v>
      </c>
      <c r="AA1357" s="475" t="s">
        <v>23</v>
      </c>
    </row>
    <row r="1358" spans="1:27" ht="15" hidden="1">
      <c r="A1358" s="24">
        <f t="shared" si="160"/>
        <v>2357</v>
      </c>
      <c r="B1358" s="24">
        <f t="shared" si="160"/>
        <v>2357</v>
      </c>
      <c r="C1358" s="469" t="s">
        <v>1752</v>
      </c>
      <c r="D1358" t="s">
        <v>152</v>
      </c>
      <c r="E1358" s="470">
        <v>3</v>
      </c>
      <c r="F1358" s="471">
        <v>0</v>
      </c>
      <c r="G1358">
        <v>1</v>
      </c>
      <c r="H1358">
        <v>1</v>
      </c>
      <c r="I1358" s="472">
        <f t="shared" si="161"/>
        <v>0.32845968612834514</v>
      </c>
      <c r="J1358" s="153">
        <v>3.8473756479098807E-2</v>
      </c>
      <c r="K1358" s="153">
        <v>0.39358026214566905</v>
      </c>
      <c r="L1358" s="153">
        <v>0.53857526864315253</v>
      </c>
      <c r="M1358" s="153">
        <v>0.3432094572454602</v>
      </c>
      <c r="N1358" s="472">
        <f t="shared" si="162"/>
        <v>0.32845968612834514</v>
      </c>
      <c r="O1358" s="153">
        <v>3.8473756479098807E-2</v>
      </c>
      <c r="P1358" s="153">
        <v>0.39358026214566905</v>
      </c>
      <c r="Q1358" s="153">
        <v>0.53857526864315253</v>
      </c>
      <c r="R1358" s="153">
        <v>0.3432094572454602</v>
      </c>
      <c r="S1358" s="153">
        <v>0.03</v>
      </c>
      <c r="T1358" s="153">
        <v>0</v>
      </c>
      <c r="U1358" s="478">
        <v>1900</v>
      </c>
      <c r="V1358">
        <v>2030</v>
      </c>
      <c r="W1358">
        <v>0</v>
      </c>
      <c r="X1358">
        <v>0</v>
      </c>
      <c r="Y1358">
        <v>1304</v>
      </c>
      <c r="Z1358">
        <v>311</v>
      </c>
      <c r="AA1358" s="475" t="s">
        <v>23</v>
      </c>
    </row>
    <row r="1359" spans="1:27" ht="15" hidden="1">
      <c r="A1359" s="24">
        <f t="shared" si="160"/>
        <v>2358</v>
      </c>
      <c r="B1359" s="24">
        <f t="shared" si="160"/>
        <v>2358</v>
      </c>
      <c r="C1359" s="476" t="s">
        <v>1753</v>
      </c>
      <c r="D1359" t="s">
        <v>149</v>
      </c>
      <c r="E1359" s="477">
        <v>2</v>
      </c>
      <c r="F1359" s="471">
        <v>8.9499999999999993</v>
      </c>
      <c r="G1359">
        <v>1</v>
      </c>
      <c r="H1359">
        <v>1</v>
      </c>
      <c r="I1359" s="472">
        <f t="shared" si="161"/>
        <v>0.40033333333333337</v>
      </c>
      <c r="J1359" s="153">
        <v>0.3706666666666667</v>
      </c>
      <c r="K1359" s="153">
        <v>0.3666666666666667</v>
      </c>
      <c r="L1359" s="153">
        <v>0.44799999999999995</v>
      </c>
      <c r="M1359" s="153">
        <v>0.41600000000000009</v>
      </c>
      <c r="N1359" s="472">
        <f t="shared" si="162"/>
        <v>0.40033333333333337</v>
      </c>
      <c r="O1359" s="153">
        <v>0.3706666666666667</v>
      </c>
      <c r="P1359" s="153">
        <v>0.3666666666666667</v>
      </c>
      <c r="Q1359" s="153">
        <v>0.44799999999999995</v>
      </c>
      <c r="R1359" s="153">
        <v>0.41600000000000009</v>
      </c>
      <c r="S1359" s="153">
        <v>0.01</v>
      </c>
      <c r="T1359" s="153">
        <v>0.02</v>
      </c>
      <c r="U1359" s="478">
        <v>2016</v>
      </c>
      <c r="V1359" s="24">
        <f t="shared" ref="V1359:V1360" si="163">U1359+20</f>
        <v>2036</v>
      </c>
      <c r="W1359">
        <v>0</v>
      </c>
      <c r="X1359">
        <v>0</v>
      </c>
      <c r="Y1359">
        <v>1315</v>
      </c>
      <c r="Z1359">
        <v>360</v>
      </c>
      <c r="AA1359" s="475" t="s">
        <v>24</v>
      </c>
    </row>
    <row r="1360" spans="1:27" ht="15" hidden="1">
      <c r="A1360" s="24">
        <f t="shared" si="160"/>
        <v>2359</v>
      </c>
      <c r="B1360" s="24">
        <f t="shared" si="160"/>
        <v>2359</v>
      </c>
      <c r="C1360" s="476" t="s">
        <v>1754</v>
      </c>
      <c r="D1360" t="s">
        <v>149</v>
      </c>
      <c r="E1360" s="477">
        <v>2</v>
      </c>
      <c r="F1360" s="471">
        <v>8.9499999999999993</v>
      </c>
      <c r="G1360">
        <v>1</v>
      </c>
      <c r="H1360">
        <v>1</v>
      </c>
      <c r="I1360" s="472">
        <f t="shared" si="161"/>
        <v>0.40033333333333337</v>
      </c>
      <c r="J1360" s="153">
        <v>0.3706666666666667</v>
      </c>
      <c r="K1360" s="153">
        <v>0.3666666666666667</v>
      </c>
      <c r="L1360" s="153">
        <v>0.44799999999999995</v>
      </c>
      <c r="M1360" s="153">
        <v>0.41600000000000009</v>
      </c>
      <c r="N1360" s="472">
        <f t="shared" si="162"/>
        <v>0.40033333333333337</v>
      </c>
      <c r="O1360" s="153">
        <v>0.3706666666666667</v>
      </c>
      <c r="P1360" s="153">
        <v>0.3666666666666667</v>
      </c>
      <c r="Q1360" s="153">
        <v>0.44799999999999995</v>
      </c>
      <c r="R1360" s="153">
        <v>0.41600000000000009</v>
      </c>
      <c r="S1360" s="153">
        <v>0.01</v>
      </c>
      <c r="T1360" s="153">
        <v>0.02</v>
      </c>
      <c r="U1360" s="478">
        <v>2016</v>
      </c>
      <c r="V1360" s="24">
        <f t="shared" si="163"/>
        <v>2036</v>
      </c>
      <c r="W1360">
        <v>0</v>
      </c>
      <c r="X1360">
        <v>0</v>
      </c>
      <c r="Y1360">
        <v>1315</v>
      </c>
      <c r="Z1360">
        <v>360</v>
      </c>
      <c r="AA1360" s="475" t="s">
        <v>24</v>
      </c>
    </row>
    <row r="1361" spans="1:27" ht="15" hidden="1">
      <c r="A1361" s="24">
        <f t="shared" si="160"/>
        <v>2360</v>
      </c>
      <c r="B1361" s="24">
        <f t="shared" si="160"/>
        <v>2360</v>
      </c>
      <c r="C1361" s="469" t="s">
        <v>1755</v>
      </c>
      <c r="D1361" t="s">
        <v>146</v>
      </c>
      <c r="E1361" s="470">
        <v>1</v>
      </c>
      <c r="F1361" s="471">
        <v>53</v>
      </c>
      <c r="G1361">
        <v>1</v>
      </c>
      <c r="H1361">
        <v>1</v>
      </c>
      <c r="I1361" s="472">
        <f t="shared" si="161"/>
        <v>0.32845968612834514</v>
      </c>
      <c r="J1361" s="153">
        <v>3.8473756479098807E-2</v>
      </c>
      <c r="K1361" s="153">
        <v>0.39358026214566905</v>
      </c>
      <c r="L1361" s="153">
        <v>0.53857526864315253</v>
      </c>
      <c r="M1361" s="153">
        <v>0.3432094572454602</v>
      </c>
      <c r="N1361" s="472">
        <f t="shared" si="162"/>
        <v>0.32845968612834514</v>
      </c>
      <c r="O1361" s="153">
        <v>3.8473756479098807E-2</v>
      </c>
      <c r="P1361" s="153">
        <v>0.39358026214566905</v>
      </c>
      <c r="Q1361" s="153">
        <v>0.53857526864315253</v>
      </c>
      <c r="R1361" s="153">
        <v>0.3432094572454602</v>
      </c>
      <c r="S1361" s="153">
        <v>0.03</v>
      </c>
      <c r="T1361" s="153">
        <v>0</v>
      </c>
      <c r="U1361" s="478">
        <v>2005</v>
      </c>
      <c r="V1361">
        <v>2023</v>
      </c>
      <c r="W1361">
        <v>0</v>
      </c>
      <c r="X1361">
        <v>0</v>
      </c>
      <c r="Y1361">
        <v>1304</v>
      </c>
      <c r="Z1361">
        <v>311</v>
      </c>
      <c r="AA1361" s="475" t="s">
        <v>23</v>
      </c>
    </row>
    <row r="1362" spans="1:27" ht="15" hidden="1">
      <c r="A1362" s="24">
        <f t="shared" si="160"/>
        <v>2361</v>
      </c>
      <c r="B1362" s="24">
        <f t="shared" si="160"/>
        <v>2361</v>
      </c>
      <c r="C1362" s="469" t="s">
        <v>1756</v>
      </c>
      <c r="D1362" t="s">
        <v>146</v>
      </c>
      <c r="E1362" s="470">
        <v>1</v>
      </c>
      <c r="F1362" s="471">
        <v>0</v>
      </c>
      <c r="G1362">
        <v>1</v>
      </c>
      <c r="H1362">
        <v>1</v>
      </c>
      <c r="I1362" s="472">
        <f t="shared" si="161"/>
        <v>0.32845968612834514</v>
      </c>
      <c r="J1362" s="153">
        <v>3.8473756479098807E-2</v>
      </c>
      <c r="K1362" s="153">
        <v>0.39358026214566905</v>
      </c>
      <c r="L1362" s="153">
        <v>0.53857526864315253</v>
      </c>
      <c r="M1362" s="153">
        <v>0.3432094572454602</v>
      </c>
      <c r="N1362" s="472">
        <f t="shared" si="162"/>
        <v>0.32845968612834514</v>
      </c>
      <c r="O1362" s="153">
        <v>3.8473756479098807E-2</v>
      </c>
      <c r="P1362" s="153">
        <v>0.39358026214566905</v>
      </c>
      <c r="Q1362" s="153">
        <v>0.53857526864315253</v>
      </c>
      <c r="R1362" s="153">
        <v>0.3432094572454602</v>
      </c>
      <c r="S1362" s="153">
        <v>0.03</v>
      </c>
      <c r="T1362" s="153">
        <v>0</v>
      </c>
      <c r="U1362" s="478">
        <v>1900</v>
      </c>
      <c r="V1362">
        <v>2030</v>
      </c>
      <c r="W1362">
        <v>0</v>
      </c>
      <c r="X1362">
        <v>0</v>
      </c>
      <c r="Y1362">
        <v>1304</v>
      </c>
      <c r="Z1362">
        <v>311</v>
      </c>
      <c r="AA1362" s="475" t="s">
        <v>23</v>
      </c>
    </row>
    <row r="1363" spans="1:27" ht="15" hidden="1">
      <c r="A1363" s="24">
        <f t="shared" si="160"/>
        <v>2362</v>
      </c>
      <c r="B1363" s="24">
        <f t="shared" si="160"/>
        <v>2362</v>
      </c>
      <c r="C1363" s="469" t="s">
        <v>1757</v>
      </c>
      <c r="D1363" t="s">
        <v>146</v>
      </c>
      <c r="E1363" s="470">
        <v>1</v>
      </c>
      <c r="F1363" s="471">
        <v>10</v>
      </c>
      <c r="G1363">
        <v>1</v>
      </c>
      <c r="H1363">
        <v>1</v>
      </c>
      <c r="I1363" s="472">
        <f t="shared" si="161"/>
        <v>0.32845968612834514</v>
      </c>
      <c r="J1363" s="153">
        <v>3.8473756479098807E-2</v>
      </c>
      <c r="K1363" s="153">
        <v>0.39358026214566905</v>
      </c>
      <c r="L1363" s="153">
        <v>0.53857526864315253</v>
      </c>
      <c r="M1363" s="153">
        <v>0.3432094572454602</v>
      </c>
      <c r="N1363" s="472">
        <f t="shared" si="162"/>
        <v>0.32845968612834514</v>
      </c>
      <c r="O1363" s="153">
        <v>3.8473756479098807E-2</v>
      </c>
      <c r="P1363" s="153">
        <v>0.39358026214566905</v>
      </c>
      <c r="Q1363" s="153">
        <v>0.53857526864315253</v>
      </c>
      <c r="R1363" s="153">
        <v>0.3432094572454602</v>
      </c>
      <c r="S1363" s="153">
        <v>0.03</v>
      </c>
      <c r="T1363" s="153">
        <v>0</v>
      </c>
      <c r="U1363" s="478">
        <v>2003</v>
      </c>
      <c r="V1363">
        <v>2023</v>
      </c>
      <c r="W1363">
        <v>0</v>
      </c>
      <c r="X1363">
        <v>0</v>
      </c>
      <c r="Y1363">
        <v>1304</v>
      </c>
      <c r="Z1363">
        <v>311</v>
      </c>
      <c r="AA1363" s="475" t="s">
        <v>23</v>
      </c>
    </row>
    <row r="1364" spans="1:27" ht="15" hidden="1">
      <c r="A1364" s="24">
        <f t="shared" ref="A1364:B1383" si="164">1000+ROW()-1</f>
        <v>2363</v>
      </c>
      <c r="B1364" s="24">
        <f t="shared" si="164"/>
        <v>2363</v>
      </c>
      <c r="C1364" s="469" t="s">
        <v>1758</v>
      </c>
      <c r="D1364" t="s">
        <v>146</v>
      </c>
      <c r="E1364" s="470">
        <v>1</v>
      </c>
      <c r="F1364" s="471">
        <v>0</v>
      </c>
      <c r="G1364">
        <v>1</v>
      </c>
      <c r="H1364">
        <v>1</v>
      </c>
      <c r="I1364" s="472">
        <f t="shared" si="161"/>
        <v>0.32845968612834514</v>
      </c>
      <c r="J1364" s="153">
        <v>3.8473756479098807E-2</v>
      </c>
      <c r="K1364" s="153">
        <v>0.39358026214566905</v>
      </c>
      <c r="L1364" s="153">
        <v>0.53857526864315253</v>
      </c>
      <c r="M1364" s="153">
        <v>0.3432094572454602</v>
      </c>
      <c r="N1364" s="472">
        <f t="shared" si="162"/>
        <v>0.32845968612834514</v>
      </c>
      <c r="O1364" s="153">
        <v>3.8473756479098807E-2</v>
      </c>
      <c r="P1364" s="153">
        <v>0.39358026214566905</v>
      </c>
      <c r="Q1364" s="153">
        <v>0.53857526864315253</v>
      </c>
      <c r="R1364" s="153">
        <v>0.3432094572454602</v>
      </c>
      <c r="S1364" s="153">
        <v>0.03</v>
      </c>
      <c r="T1364" s="153">
        <v>0</v>
      </c>
      <c r="U1364" s="478">
        <v>1900</v>
      </c>
      <c r="V1364">
        <v>2030</v>
      </c>
      <c r="W1364">
        <v>0</v>
      </c>
      <c r="X1364">
        <v>0</v>
      </c>
      <c r="Y1364">
        <v>1304</v>
      </c>
      <c r="Z1364">
        <v>311</v>
      </c>
      <c r="AA1364" s="475" t="s">
        <v>23</v>
      </c>
    </row>
    <row r="1365" spans="1:27" ht="15" hidden="1">
      <c r="A1365" s="24">
        <f t="shared" si="164"/>
        <v>2364</v>
      </c>
      <c r="B1365" s="24">
        <f t="shared" si="164"/>
        <v>2364</v>
      </c>
      <c r="C1365" s="469" t="s">
        <v>1759</v>
      </c>
      <c r="D1365" t="s">
        <v>154</v>
      </c>
      <c r="E1365" s="470">
        <v>4</v>
      </c>
      <c r="F1365" s="471">
        <v>7.2</v>
      </c>
      <c r="G1365">
        <v>1</v>
      </c>
      <c r="H1365">
        <v>1</v>
      </c>
      <c r="I1365" s="472">
        <f t="shared" si="161"/>
        <v>0.32845968612834514</v>
      </c>
      <c r="J1365" s="153">
        <v>3.8473756479098807E-2</v>
      </c>
      <c r="K1365" s="153">
        <v>0.39358026214566905</v>
      </c>
      <c r="L1365" s="153">
        <v>0.53857526864315253</v>
      </c>
      <c r="M1365" s="153">
        <v>0.3432094572454602</v>
      </c>
      <c r="N1365" s="472">
        <f t="shared" si="162"/>
        <v>0.32845968612834514</v>
      </c>
      <c r="O1365" s="153">
        <v>3.8473756479098807E-2</v>
      </c>
      <c r="P1365" s="153">
        <v>0.39358026214566905</v>
      </c>
      <c r="Q1365" s="153">
        <v>0.53857526864315253</v>
      </c>
      <c r="R1365" s="153">
        <v>0.3432094572454602</v>
      </c>
      <c r="S1365" s="153">
        <v>0.03</v>
      </c>
      <c r="T1365" s="153">
        <v>0</v>
      </c>
      <c r="U1365" s="478">
        <v>2008</v>
      </c>
      <c r="V1365">
        <v>2023</v>
      </c>
      <c r="W1365">
        <v>0</v>
      </c>
      <c r="X1365">
        <v>0</v>
      </c>
      <c r="Y1365">
        <v>1304</v>
      </c>
      <c r="Z1365">
        <v>311</v>
      </c>
      <c r="AA1365" s="475" t="s">
        <v>23</v>
      </c>
    </row>
    <row r="1366" spans="1:27" ht="15" hidden="1">
      <c r="A1366" s="24">
        <f t="shared" si="164"/>
        <v>2365</v>
      </c>
      <c r="B1366" s="24">
        <f t="shared" si="164"/>
        <v>2365</v>
      </c>
      <c r="C1366" s="469" t="s">
        <v>1760</v>
      </c>
      <c r="D1366" t="s">
        <v>154</v>
      </c>
      <c r="E1366" s="470">
        <v>4</v>
      </c>
      <c r="F1366" s="471">
        <v>0</v>
      </c>
      <c r="G1366">
        <v>1</v>
      </c>
      <c r="H1366">
        <v>1</v>
      </c>
      <c r="I1366" s="472">
        <f t="shared" si="161"/>
        <v>0.32845968612834514</v>
      </c>
      <c r="J1366" s="153">
        <v>3.8473756479098807E-2</v>
      </c>
      <c r="K1366" s="153">
        <v>0.39358026214566905</v>
      </c>
      <c r="L1366" s="153">
        <v>0.53857526864315253</v>
      </c>
      <c r="M1366" s="153">
        <v>0.3432094572454602</v>
      </c>
      <c r="N1366" s="472">
        <f t="shared" si="162"/>
        <v>0.32845968612834514</v>
      </c>
      <c r="O1366" s="153">
        <v>3.8473756479098807E-2</v>
      </c>
      <c r="P1366" s="153">
        <v>0.39358026214566905</v>
      </c>
      <c r="Q1366" s="153">
        <v>0.53857526864315253</v>
      </c>
      <c r="R1366" s="153">
        <v>0.3432094572454602</v>
      </c>
      <c r="S1366" s="153">
        <v>0.03</v>
      </c>
      <c r="T1366" s="153">
        <v>0</v>
      </c>
      <c r="U1366" s="478">
        <v>1900</v>
      </c>
      <c r="V1366">
        <v>2030</v>
      </c>
      <c r="W1366">
        <v>0</v>
      </c>
      <c r="X1366">
        <v>0</v>
      </c>
      <c r="Y1366">
        <v>1304</v>
      </c>
      <c r="Z1366">
        <v>311</v>
      </c>
      <c r="AA1366" s="475" t="s">
        <v>23</v>
      </c>
    </row>
    <row r="1367" spans="1:27" ht="15" hidden="1">
      <c r="A1367" s="24">
        <f t="shared" si="164"/>
        <v>2366</v>
      </c>
      <c r="B1367" s="24">
        <f t="shared" si="164"/>
        <v>2366</v>
      </c>
      <c r="C1367" s="469" t="s">
        <v>1761</v>
      </c>
      <c r="D1367" t="s">
        <v>146</v>
      </c>
      <c r="E1367" s="470">
        <v>1</v>
      </c>
      <c r="F1367" s="471">
        <v>30</v>
      </c>
      <c r="G1367">
        <v>1</v>
      </c>
      <c r="H1367">
        <v>1</v>
      </c>
      <c r="I1367" s="472">
        <f t="shared" si="161"/>
        <v>0.32845968612834514</v>
      </c>
      <c r="J1367" s="153">
        <v>3.8473756479098807E-2</v>
      </c>
      <c r="K1367" s="153">
        <v>0.39358026214566905</v>
      </c>
      <c r="L1367" s="153">
        <v>0.53857526864315253</v>
      </c>
      <c r="M1367" s="153">
        <v>0.3432094572454602</v>
      </c>
      <c r="N1367" s="472">
        <f t="shared" si="162"/>
        <v>0.32845968612834514</v>
      </c>
      <c r="O1367" s="153">
        <v>3.8473756479098807E-2</v>
      </c>
      <c r="P1367" s="153">
        <v>0.39358026214566905</v>
      </c>
      <c r="Q1367" s="153">
        <v>0.53857526864315253</v>
      </c>
      <c r="R1367" s="153">
        <v>0.3432094572454602</v>
      </c>
      <c r="S1367" s="153">
        <v>0.03</v>
      </c>
      <c r="T1367" s="153">
        <v>0</v>
      </c>
      <c r="U1367" s="478">
        <v>2013</v>
      </c>
      <c r="V1367">
        <v>2030</v>
      </c>
      <c r="W1367">
        <v>0</v>
      </c>
      <c r="X1367">
        <v>0</v>
      </c>
      <c r="Y1367">
        <v>1304</v>
      </c>
      <c r="Z1367">
        <v>311</v>
      </c>
      <c r="AA1367" s="475" t="s">
        <v>23</v>
      </c>
    </row>
    <row r="1368" spans="1:27" ht="15" hidden="1">
      <c r="A1368" s="24">
        <f t="shared" si="164"/>
        <v>2367</v>
      </c>
      <c r="B1368" s="24">
        <f t="shared" si="164"/>
        <v>2367</v>
      </c>
      <c r="C1368" s="469" t="s">
        <v>1762</v>
      </c>
      <c r="D1368" t="s">
        <v>146</v>
      </c>
      <c r="E1368" s="470">
        <v>1</v>
      </c>
      <c r="F1368" s="471">
        <v>0</v>
      </c>
      <c r="G1368">
        <v>1</v>
      </c>
      <c r="H1368">
        <v>1</v>
      </c>
      <c r="I1368" s="472">
        <f t="shared" si="161"/>
        <v>0.32845968612834514</v>
      </c>
      <c r="J1368" s="153">
        <v>3.8473756479098807E-2</v>
      </c>
      <c r="K1368" s="153">
        <v>0.39358026214566905</v>
      </c>
      <c r="L1368" s="153">
        <v>0.53857526864315253</v>
      </c>
      <c r="M1368" s="153">
        <v>0.3432094572454602</v>
      </c>
      <c r="N1368" s="472">
        <f t="shared" si="162"/>
        <v>0.32845968612834514</v>
      </c>
      <c r="O1368" s="153">
        <v>3.8473756479098807E-2</v>
      </c>
      <c r="P1368" s="153">
        <v>0.39358026214566905</v>
      </c>
      <c r="Q1368" s="153">
        <v>0.53857526864315253</v>
      </c>
      <c r="R1368" s="153">
        <v>0.3432094572454602</v>
      </c>
      <c r="S1368" s="153">
        <v>0.03</v>
      </c>
      <c r="T1368" s="153">
        <v>0</v>
      </c>
      <c r="U1368" s="478">
        <v>1900</v>
      </c>
      <c r="V1368">
        <v>2030</v>
      </c>
      <c r="W1368">
        <v>0</v>
      </c>
      <c r="X1368">
        <v>0</v>
      </c>
      <c r="Y1368">
        <v>1304</v>
      </c>
      <c r="Z1368">
        <v>311</v>
      </c>
      <c r="AA1368" s="475" t="s">
        <v>23</v>
      </c>
    </row>
    <row r="1369" spans="1:27" ht="15" hidden="1">
      <c r="A1369" s="24">
        <f t="shared" si="164"/>
        <v>2368</v>
      </c>
      <c r="B1369" s="24">
        <f t="shared" si="164"/>
        <v>2368</v>
      </c>
      <c r="C1369" s="469" t="s">
        <v>1763</v>
      </c>
      <c r="D1369" t="s">
        <v>146</v>
      </c>
      <c r="E1369" s="470">
        <v>1</v>
      </c>
      <c r="F1369" s="471">
        <v>50</v>
      </c>
      <c r="G1369">
        <v>1</v>
      </c>
      <c r="H1369">
        <v>1</v>
      </c>
      <c r="I1369" s="472">
        <f t="shared" si="161"/>
        <v>0.32845968612834514</v>
      </c>
      <c r="J1369" s="153">
        <v>3.8473756479098807E-2</v>
      </c>
      <c r="K1369" s="153">
        <v>0.39358026214566905</v>
      </c>
      <c r="L1369" s="153">
        <v>0.53857526864315253</v>
      </c>
      <c r="M1369" s="153">
        <v>0.3432094572454602</v>
      </c>
      <c r="N1369" s="472">
        <f t="shared" si="162"/>
        <v>0.32845968612834514</v>
      </c>
      <c r="O1369" s="153">
        <v>3.8473756479098807E-2</v>
      </c>
      <c r="P1369" s="153">
        <v>0.39358026214566905</v>
      </c>
      <c r="Q1369" s="153">
        <v>0.53857526864315253</v>
      </c>
      <c r="R1369" s="153">
        <v>0.3432094572454602</v>
      </c>
      <c r="S1369" s="153">
        <v>0.03</v>
      </c>
      <c r="T1369" s="153">
        <v>0</v>
      </c>
      <c r="U1369" s="478">
        <v>2006</v>
      </c>
      <c r="V1369">
        <v>2023</v>
      </c>
      <c r="W1369">
        <v>0</v>
      </c>
      <c r="X1369">
        <v>0</v>
      </c>
      <c r="Y1369">
        <v>1304</v>
      </c>
      <c r="Z1369">
        <v>311</v>
      </c>
      <c r="AA1369" s="475" t="s">
        <v>23</v>
      </c>
    </row>
    <row r="1370" spans="1:27" ht="15" hidden="1">
      <c r="A1370" s="24">
        <f t="shared" si="164"/>
        <v>2369</v>
      </c>
      <c r="B1370" s="24">
        <f t="shared" si="164"/>
        <v>2369</v>
      </c>
      <c r="C1370" s="469" t="s">
        <v>1764</v>
      </c>
      <c r="D1370" t="s">
        <v>146</v>
      </c>
      <c r="E1370" s="470">
        <v>1</v>
      </c>
      <c r="F1370" s="471">
        <v>0</v>
      </c>
      <c r="G1370">
        <v>1</v>
      </c>
      <c r="H1370">
        <v>1</v>
      </c>
      <c r="I1370" s="472">
        <f t="shared" si="161"/>
        <v>0.32845968612834514</v>
      </c>
      <c r="J1370" s="153">
        <v>3.8473756479098807E-2</v>
      </c>
      <c r="K1370" s="153">
        <v>0.39358026214566905</v>
      </c>
      <c r="L1370" s="153">
        <v>0.53857526864315253</v>
      </c>
      <c r="M1370" s="153">
        <v>0.3432094572454602</v>
      </c>
      <c r="N1370" s="472">
        <f t="shared" si="162"/>
        <v>0.32845968612834514</v>
      </c>
      <c r="O1370" s="153">
        <v>3.8473756479098807E-2</v>
      </c>
      <c r="P1370" s="153">
        <v>0.39358026214566905</v>
      </c>
      <c r="Q1370" s="153">
        <v>0.53857526864315253</v>
      </c>
      <c r="R1370" s="153">
        <v>0.3432094572454602</v>
      </c>
      <c r="S1370" s="153">
        <v>0.03</v>
      </c>
      <c r="T1370" s="153">
        <v>0</v>
      </c>
      <c r="U1370" s="478">
        <v>1900</v>
      </c>
      <c r="V1370">
        <v>2030</v>
      </c>
      <c r="W1370">
        <v>0</v>
      </c>
      <c r="X1370">
        <v>0</v>
      </c>
      <c r="Y1370">
        <v>1304</v>
      </c>
      <c r="Z1370">
        <v>311</v>
      </c>
      <c r="AA1370" s="475" t="s">
        <v>23</v>
      </c>
    </row>
    <row r="1371" spans="1:27" ht="15" hidden="1">
      <c r="A1371" s="24">
        <f t="shared" si="164"/>
        <v>2370</v>
      </c>
      <c r="B1371" s="24">
        <f t="shared" si="164"/>
        <v>2370</v>
      </c>
      <c r="C1371" s="469" t="s">
        <v>1765</v>
      </c>
      <c r="D1371" t="s">
        <v>146</v>
      </c>
      <c r="E1371" s="470">
        <v>1</v>
      </c>
      <c r="F1371" s="471">
        <v>20</v>
      </c>
      <c r="G1371">
        <v>1</v>
      </c>
      <c r="H1371">
        <v>1</v>
      </c>
      <c r="I1371" s="472">
        <f t="shared" si="161"/>
        <v>0.32845968612834514</v>
      </c>
      <c r="J1371" s="153">
        <v>3.8473756479098807E-2</v>
      </c>
      <c r="K1371" s="153">
        <v>0.39358026214566905</v>
      </c>
      <c r="L1371" s="153">
        <v>0.53857526864315253</v>
      </c>
      <c r="M1371" s="153">
        <v>0.3432094572454602</v>
      </c>
      <c r="N1371" s="472">
        <f t="shared" si="162"/>
        <v>0.32845968612834514</v>
      </c>
      <c r="O1371" s="153">
        <v>3.8473756479098807E-2</v>
      </c>
      <c r="P1371" s="153">
        <v>0.39358026214566905</v>
      </c>
      <c r="Q1371" s="153">
        <v>0.53857526864315253</v>
      </c>
      <c r="R1371" s="153">
        <v>0.3432094572454602</v>
      </c>
      <c r="S1371" s="153">
        <v>0.03</v>
      </c>
      <c r="T1371" s="153">
        <v>0</v>
      </c>
      <c r="U1371" s="478">
        <v>2013</v>
      </c>
      <c r="V1371">
        <v>2030</v>
      </c>
      <c r="W1371">
        <v>0</v>
      </c>
      <c r="X1371">
        <v>0</v>
      </c>
      <c r="Y1371">
        <v>1304</v>
      </c>
      <c r="Z1371">
        <v>311</v>
      </c>
      <c r="AA1371" s="475" t="s">
        <v>23</v>
      </c>
    </row>
    <row r="1372" spans="1:27" ht="15" hidden="1">
      <c r="A1372" s="24">
        <f t="shared" si="164"/>
        <v>2371</v>
      </c>
      <c r="B1372" s="24">
        <f t="shared" si="164"/>
        <v>2371</v>
      </c>
      <c r="C1372" s="469" t="s">
        <v>1766</v>
      </c>
      <c r="D1372" t="s">
        <v>146</v>
      </c>
      <c r="E1372" s="470">
        <v>1</v>
      </c>
      <c r="F1372" s="471">
        <v>0</v>
      </c>
      <c r="G1372">
        <v>1</v>
      </c>
      <c r="H1372">
        <v>1</v>
      </c>
      <c r="I1372" s="472">
        <f t="shared" si="161"/>
        <v>0.32845968612834514</v>
      </c>
      <c r="J1372" s="153">
        <v>3.8473756479098807E-2</v>
      </c>
      <c r="K1372" s="153">
        <v>0.39358026214566905</v>
      </c>
      <c r="L1372" s="153">
        <v>0.53857526864315253</v>
      </c>
      <c r="M1372" s="153">
        <v>0.3432094572454602</v>
      </c>
      <c r="N1372" s="472">
        <f t="shared" si="162"/>
        <v>0.32845968612834514</v>
      </c>
      <c r="O1372" s="153">
        <v>3.8473756479098807E-2</v>
      </c>
      <c r="P1372" s="153">
        <v>0.39358026214566905</v>
      </c>
      <c r="Q1372" s="153">
        <v>0.53857526864315253</v>
      </c>
      <c r="R1372" s="153">
        <v>0.3432094572454602</v>
      </c>
      <c r="S1372" s="153">
        <v>0.03</v>
      </c>
      <c r="T1372" s="153">
        <v>0</v>
      </c>
      <c r="U1372" s="478">
        <v>1900</v>
      </c>
      <c r="V1372">
        <v>2030</v>
      </c>
      <c r="W1372">
        <v>0</v>
      </c>
      <c r="X1372">
        <v>0</v>
      </c>
      <c r="Y1372">
        <v>1304</v>
      </c>
      <c r="Z1372">
        <v>311</v>
      </c>
      <c r="AA1372" s="475" t="s">
        <v>23</v>
      </c>
    </row>
    <row r="1373" spans="1:27" ht="15" hidden="1">
      <c r="A1373" s="24">
        <f t="shared" si="164"/>
        <v>2372</v>
      </c>
      <c r="B1373" s="24">
        <f t="shared" si="164"/>
        <v>2372</v>
      </c>
      <c r="C1373" s="469" t="s">
        <v>1767</v>
      </c>
      <c r="D1373" t="s">
        <v>146</v>
      </c>
      <c r="E1373" s="470">
        <v>1</v>
      </c>
      <c r="F1373" s="471">
        <v>30</v>
      </c>
      <c r="G1373">
        <v>1</v>
      </c>
      <c r="H1373">
        <v>1</v>
      </c>
      <c r="I1373" s="472">
        <f t="shared" si="161"/>
        <v>0.32845968612834514</v>
      </c>
      <c r="J1373" s="153">
        <v>3.8473756479098807E-2</v>
      </c>
      <c r="K1373" s="153">
        <v>0.39358026214566905</v>
      </c>
      <c r="L1373" s="153">
        <v>0.53857526864315253</v>
      </c>
      <c r="M1373" s="153">
        <v>0.3432094572454602</v>
      </c>
      <c r="N1373" s="472">
        <f t="shared" si="162"/>
        <v>0.32845968612834514</v>
      </c>
      <c r="O1373" s="153">
        <v>3.8473756479098807E-2</v>
      </c>
      <c r="P1373" s="153">
        <v>0.39358026214566905</v>
      </c>
      <c r="Q1373" s="153">
        <v>0.53857526864315253</v>
      </c>
      <c r="R1373" s="153">
        <v>0.3432094572454602</v>
      </c>
      <c r="S1373" s="153">
        <v>0.03</v>
      </c>
      <c r="T1373" s="153">
        <v>0</v>
      </c>
      <c r="U1373" s="478">
        <v>2015</v>
      </c>
      <c r="V1373">
        <v>2030</v>
      </c>
      <c r="W1373">
        <v>0</v>
      </c>
      <c r="X1373">
        <v>0</v>
      </c>
      <c r="Y1373">
        <v>1304</v>
      </c>
      <c r="Z1373">
        <v>311</v>
      </c>
      <c r="AA1373" s="475" t="s">
        <v>23</v>
      </c>
    </row>
    <row r="1374" spans="1:27" ht="15" hidden="1">
      <c r="A1374" s="24">
        <f t="shared" si="164"/>
        <v>2373</v>
      </c>
      <c r="B1374" s="24">
        <f t="shared" si="164"/>
        <v>2373</v>
      </c>
      <c r="C1374" s="469" t="s">
        <v>1768</v>
      </c>
      <c r="D1374" t="s">
        <v>146</v>
      </c>
      <c r="E1374" s="470">
        <v>1</v>
      </c>
      <c r="F1374" s="471">
        <v>0</v>
      </c>
      <c r="G1374">
        <v>1</v>
      </c>
      <c r="H1374">
        <v>1</v>
      </c>
      <c r="I1374" s="472">
        <f t="shared" si="161"/>
        <v>0.32845968612834514</v>
      </c>
      <c r="J1374" s="153">
        <v>3.8473756479098807E-2</v>
      </c>
      <c r="K1374" s="153">
        <v>0.39358026214566905</v>
      </c>
      <c r="L1374" s="153">
        <v>0.53857526864315253</v>
      </c>
      <c r="M1374" s="153">
        <v>0.3432094572454602</v>
      </c>
      <c r="N1374" s="472">
        <f t="shared" si="162"/>
        <v>0.32845968612834514</v>
      </c>
      <c r="O1374" s="153">
        <v>3.8473756479098807E-2</v>
      </c>
      <c r="P1374" s="153">
        <v>0.39358026214566905</v>
      </c>
      <c r="Q1374" s="153">
        <v>0.53857526864315253</v>
      </c>
      <c r="R1374" s="153">
        <v>0.3432094572454602</v>
      </c>
      <c r="S1374" s="153">
        <v>0.03</v>
      </c>
      <c r="T1374" s="153">
        <v>0</v>
      </c>
      <c r="U1374" s="478">
        <v>2018</v>
      </c>
      <c r="V1374">
        <v>2045</v>
      </c>
      <c r="W1374">
        <v>0</v>
      </c>
      <c r="X1374">
        <v>0</v>
      </c>
      <c r="Y1374">
        <v>1304</v>
      </c>
      <c r="Z1374">
        <v>311</v>
      </c>
      <c r="AA1374" s="475" t="s">
        <v>23</v>
      </c>
    </row>
    <row r="1375" spans="1:27" ht="15" hidden="1">
      <c r="A1375" s="24">
        <f t="shared" si="164"/>
        <v>2374</v>
      </c>
      <c r="B1375" s="24">
        <f t="shared" si="164"/>
        <v>2374</v>
      </c>
      <c r="C1375" s="469" t="s">
        <v>1769</v>
      </c>
      <c r="D1375" t="s">
        <v>146</v>
      </c>
      <c r="E1375" s="470">
        <v>1</v>
      </c>
      <c r="F1375" s="471">
        <v>60</v>
      </c>
      <c r="G1375">
        <v>1</v>
      </c>
      <c r="H1375">
        <v>1</v>
      </c>
      <c r="I1375" s="472">
        <f t="shared" si="161"/>
        <v>0.32845968612834514</v>
      </c>
      <c r="J1375" s="153">
        <v>3.8473756479098807E-2</v>
      </c>
      <c r="K1375" s="153">
        <v>0.39358026214566905</v>
      </c>
      <c r="L1375" s="153">
        <v>0.53857526864315253</v>
      </c>
      <c r="M1375" s="153">
        <v>0.3432094572454602</v>
      </c>
      <c r="N1375" s="472">
        <f t="shared" si="162"/>
        <v>0.32845968612834514</v>
      </c>
      <c r="O1375" s="153">
        <v>3.8473756479098807E-2</v>
      </c>
      <c r="P1375" s="153">
        <v>0.39358026214566905</v>
      </c>
      <c r="Q1375" s="153">
        <v>0.53857526864315253</v>
      </c>
      <c r="R1375" s="153">
        <v>0.3432094572454602</v>
      </c>
      <c r="S1375" s="153">
        <v>0.03</v>
      </c>
      <c r="T1375" s="153">
        <v>0</v>
      </c>
      <c r="U1375" s="478">
        <v>2010</v>
      </c>
      <c r="V1375">
        <v>2023</v>
      </c>
      <c r="W1375">
        <v>0</v>
      </c>
      <c r="X1375">
        <v>0</v>
      </c>
      <c r="Y1375">
        <v>1304</v>
      </c>
      <c r="Z1375">
        <v>311</v>
      </c>
      <c r="AA1375" s="475" t="s">
        <v>23</v>
      </c>
    </row>
    <row r="1376" spans="1:27" ht="15" hidden="1">
      <c r="A1376" s="24">
        <f t="shared" si="164"/>
        <v>2375</v>
      </c>
      <c r="B1376" s="24">
        <f t="shared" si="164"/>
        <v>2375</v>
      </c>
      <c r="C1376" s="469" t="s">
        <v>1770</v>
      </c>
      <c r="D1376" t="s">
        <v>146</v>
      </c>
      <c r="E1376" s="470">
        <v>1</v>
      </c>
      <c r="F1376" s="471">
        <v>0</v>
      </c>
      <c r="G1376">
        <v>1</v>
      </c>
      <c r="H1376">
        <v>1</v>
      </c>
      <c r="I1376" s="472">
        <f t="shared" si="161"/>
        <v>0.32845968612834514</v>
      </c>
      <c r="J1376" s="153">
        <v>3.8473756479098807E-2</v>
      </c>
      <c r="K1376" s="153">
        <v>0.39358026214566905</v>
      </c>
      <c r="L1376" s="153">
        <v>0.53857526864315253</v>
      </c>
      <c r="M1376" s="153">
        <v>0.3432094572454602</v>
      </c>
      <c r="N1376" s="472">
        <f t="shared" si="162"/>
        <v>0.32845968612834514</v>
      </c>
      <c r="O1376" s="153">
        <v>3.8473756479098807E-2</v>
      </c>
      <c r="P1376" s="153">
        <v>0.39358026214566905</v>
      </c>
      <c r="Q1376" s="153">
        <v>0.53857526864315253</v>
      </c>
      <c r="R1376" s="153">
        <v>0.3432094572454602</v>
      </c>
      <c r="S1376" s="153">
        <v>0.03</v>
      </c>
      <c r="T1376" s="153">
        <v>0</v>
      </c>
      <c r="U1376" s="478">
        <v>1900</v>
      </c>
      <c r="V1376">
        <v>2030</v>
      </c>
      <c r="W1376">
        <v>0</v>
      </c>
      <c r="X1376">
        <v>0</v>
      </c>
      <c r="Y1376">
        <v>1304</v>
      </c>
      <c r="Z1376">
        <v>311</v>
      </c>
      <c r="AA1376" s="475" t="s">
        <v>23</v>
      </c>
    </row>
    <row r="1377" spans="1:27" ht="15" hidden="1">
      <c r="A1377" s="24">
        <f t="shared" si="164"/>
        <v>2376</v>
      </c>
      <c r="B1377" s="24">
        <f t="shared" si="164"/>
        <v>2376</v>
      </c>
      <c r="C1377" s="469" t="s">
        <v>1771</v>
      </c>
      <c r="D1377" t="s">
        <v>146</v>
      </c>
      <c r="E1377" s="470">
        <v>1</v>
      </c>
      <c r="F1377" s="471">
        <v>16</v>
      </c>
      <c r="G1377">
        <v>1</v>
      </c>
      <c r="H1377">
        <v>1</v>
      </c>
      <c r="I1377" s="472">
        <f t="shared" si="161"/>
        <v>0.32845968612834514</v>
      </c>
      <c r="J1377" s="153">
        <v>3.8473756479098807E-2</v>
      </c>
      <c r="K1377" s="153">
        <v>0.39358026214566905</v>
      </c>
      <c r="L1377" s="153">
        <v>0.53857526864315253</v>
      </c>
      <c r="M1377" s="153">
        <v>0.3432094572454602</v>
      </c>
      <c r="N1377" s="472">
        <f t="shared" si="162"/>
        <v>0.32845968612834514</v>
      </c>
      <c r="O1377" s="153">
        <v>3.8473756479098807E-2</v>
      </c>
      <c r="P1377" s="153">
        <v>0.39358026214566905</v>
      </c>
      <c r="Q1377" s="153">
        <v>0.53857526864315253</v>
      </c>
      <c r="R1377" s="153">
        <v>0.3432094572454602</v>
      </c>
      <c r="S1377" s="153">
        <v>0.03</v>
      </c>
      <c r="T1377" s="153">
        <v>0</v>
      </c>
      <c r="U1377" s="478">
        <v>2005</v>
      </c>
      <c r="V1377">
        <v>2023</v>
      </c>
      <c r="W1377">
        <v>0</v>
      </c>
      <c r="X1377">
        <v>0</v>
      </c>
      <c r="Y1377">
        <v>1304</v>
      </c>
      <c r="Z1377">
        <v>311</v>
      </c>
      <c r="AA1377" s="475" t="s">
        <v>23</v>
      </c>
    </row>
    <row r="1378" spans="1:27" ht="15" hidden="1">
      <c r="A1378" s="24">
        <f t="shared" si="164"/>
        <v>2377</v>
      </c>
      <c r="B1378" s="24">
        <f t="shared" si="164"/>
        <v>2377</v>
      </c>
      <c r="C1378" s="469" t="s">
        <v>1772</v>
      </c>
      <c r="D1378" t="s">
        <v>146</v>
      </c>
      <c r="E1378" s="470">
        <v>1</v>
      </c>
      <c r="F1378" s="471">
        <v>0</v>
      </c>
      <c r="G1378">
        <v>1</v>
      </c>
      <c r="H1378">
        <v>1</v>
      </c>
      <c r="I1378" s="472">
        <f t="shared" si="161"/>
        <v>0.32845968612834514</v>
      </c>
      <c r="J1378" s="153">
        <v>3.8473756479098807E-2</v>
      </c>
      <c r="K1378" s="153">
        <v>0.39358026214566905</v>
      </c>
      <c r="L1378" s="153">
        <v>0.53857526864315253</v>
      </c>
      <c r="M1378" s="153">
        <v>0.3432094572454602</v>
      </c>
      <c r="N1378" s="472">
        <f t="shared" si="162"/>
        <v>0.32845968612834514</v>
      </c>
      <c r="O1378" s="153">
        <v>3.8473756479098807E-2</v>
      </c>
      <c r="P1378" s="153">
        <v>0.39358026214566905</v>
      </c>
      <c r="Q1378" s="153">
        <v>0.53857526864315253</v>
      </c>
      <c r="R1378" s="153">
        <v>0.3432094572454602</v>
      </c>
      <c r="S1378" s="153">
        <v>0.03</v>
      </c>
      <c r="T1378" s="153">
        <v>0</v>
      </c>
      <c r="U1378" s="478">
        <v>1900</v>
      </c>
      <c r="V1378">
        <v>2030</v>
      </c>
      <c r="W1378">
        <v>0</v>
      </c>
      <c r="X1378">
        <v>0</v>
      </c>
      <c r="Y1378">
        <v>1304</v>
      </c>
      <c r="Z1378">
        <v>311</v>
      </c>
      <c r="AA1378" s="475" t="s">
        <v>23</v>
      </c>
    </row>
    <row r="1379" spans="1:27" ht="15" hidden="1">
      <c r="A1379" s="24">
        <f t="shared" si="164"/>
        <v>2378</v>
      </c>
      <c r="B1379" s="24">
        <f t="shared" si="164"/>
        <v>2378</v>
      </c>
      <c r="C1379" s="476" t="s">
        <v>1773</v>
      </c>
      <c r="D1379" t="s">
        <v>146</v>
      </c>
      <c r="E1379" s="477">
        <v>1</v>
      </c>
      <c r="F1379" s="471">
        <v>5.6</v>
      </c>
      <c r="G1379">
        <v>1</v>
      </c>
      <c r="H1379">
        <v>1</v>
      </c>
      <c r="I1379" s="472">
        <f t="shared" si="161"/>
        <v>0.32845968612834514</v>
      </c>
      <c r="J1379" s="153">
        <v>3.8473756479098807E-2</v>
      </c>
      <c r="K1379" s="153">
        <v>0.39358026214566905</v>
      </c>
      <c r="L1379" s="153">
        <v>0.53857526864315253</v>
      </c>
      <c r="M1379" s="153">
        <v>0.3432094572454602</v>
      </c>
      <c r="N1379" s="472">
        <f t="shared" si="162"/>
        <v>0.32845968612834514</v>
      </c>
      <c r="O1379" s="153">
        <v>3.8473756479098807E-2</v>
      </c>
      <c r="P1379" s="153">
        <v>0.39358026214566905</v>
      </c>
      <c r="Q1379" s="153">
        <v>0.53857526864315253</v>
      </c>
      <c r="R1379" s="153">
        <v>0.3432094572454602</v>
      </c>
      <c r="S1379" s="153">
        <v>0.03</v>
      </c>
      <c r="T1379" s="153">
        <v>0</v>
      </c>
      <c r="U1379" s="478">
        <v>2016</v>
      </c>
      <c r="V1379" s="24">
        <v>2035</v>
      </c>
      <c r="W1379">
        <v>0</v>
      </c>
      <c r="X1379">
        <v>0</v>
      </c>
      <c r="Y1379">
        <v>1304</v>
      </c>
      <c r="Z1379">
        <v>311</v>
      </c>
      <c r="AA1379" s="475" t="s">
        <v>23</v>
      </c>
    </row>
    <row r="1380" spans="1:27" ht="15" hidden="1">
      <c r="A1380" s="24">
        <f t="shared" si="164"/>
        <v>2379</v>
      </c>
      <c r="B1380" s="24">
        <f t="shared" si="164"/>
        <v>2379</v>
      </c>
      <c r="C1380" s="476" t="s">
        <v>1774</v>
      </c>
      <c r="D1380" t="s">
        <v>146</v>
      </c>
      <c r="E1380" s="477">
        <v>1</v>
      </c>
      <c r="F1380" s="471">
        <v>0</v>
      </c>
      <c r="G1380">
        <v>1</v>
      </c>
      <c r="H1380">
        <v>1</v>
      </c>
      <c r="I1380" s="472">
        <f t="shared" si="161"/>
        <v>0.32845968612834514</v>
      </c>
      <c r="J1380" s="153">
        <v>3.8473756479098807E-2</v>
      </c>
      <c r="K1380" s="153">
        <v>0.39358026214566905</v>
      </c>
      <c r="L1380" s="153">
        <v>0.53857526864315253</v>
      </c>
      <c r="M1380" s="153">
        <v>0.3432094572454602</v>
      </c>
      <c r="N1380" s="472">
        <f t="shared" si="162"/>
        <v>0.32845968612834514</v>
      </c>
      <c r="O1380" s="153">
        <v>3.8473756479098807E-2</v>
      </c>
      <c r="P1380" s="153">
        <v>0.39358026214566905</v>
      </c>
      <c r="Q1380" s="153">
        <v>0.53857526864315253</v>
      </c>
      <c r="R1380" s="153">
        <v>0.3432094572454602</v>
      </c>
      <c r="S1380" s="153">
        <v>0.03</v>
      </c>
      <c r="T1380" s="153">
        <v>0</v>
      </c>
      <c r="U1380" s="478">
        <v>2016</v>
      </c>
      <c r="V1380" s="24">
        <v>2035</v>
      </c>
      <c r="W1380">
        <v>0</v>
      </c>
      <c r="X1380">
        <v>0</v>
      </c>
      <c r="Y1380">
        <v>1304</v>
      </c>
      <c r="Z1380">
        <v>311</v>
      </c>
      <c r="AA1380" s="475" t="s">
        <v>23</v>
      </c>
    </row>
    <row r="1381" spans="1:27" ht="15" hidden="1">
      <c r="A1381" s="24">
        <f t="shared" si="164"/>
        <v>2380</v>
      </c>
      <c r="B1381" s="24">
        <f t="shared" si="164"/>
        <v>2380</v>
      </c>
      <c r="C1381" s="476" t="s">
        <v>1775</v>
      </c>
      <c r="D1381" t="s">
        <v>149</v>
      </c>
      <c r="E1381" s="477">
        <v>2</v>
      </c>
      <c r="F1381" s="471">
        <v>1.79</v>
      </c>
      <c r="G1381">
        <v>1</v>
      </c>
      <c r="H1381">
        <v>1</v>
      </c>
      <c r="I1381" s="472">
        <f t="shared" si="161"/>
        <v>0.40033333333333337</v>
      </c>
      <c r="J1381" s="153">
        <v>0.3706666666666667</v>
      </c>
      <c r="K1381" s="153">
        <v>0.3666666666666667</v>
      </c>
      <c r="L1381" s="153">
        <v>0.44799999999999995</v>
      </c>
      <c r="M1381" s="153">
        <v>0.41600000000000009</v>
      </c>
      <c r="N1381" s="472">
        <f t="shared" si="162"/>
        <v>0.40033333333333337</v>
      </c>
      <c r="O1381" s="153">
        <v>0.3706666666666667</v>
      </c>
      <c r="P1381" s="153">
        <v>0.3666666666666667</v>
      </c>
      <c r="Q1381" s="153">
        <v>0.44799999999999995</v>
      </c>
      <c r="R1381" s="153">
        <v>0.41600000000000009</v>
      </c>
      <c r="S1381" s="153">
        <v>0.01</v>
      </c>
      <c r="T1381" s="153">
        <v>0.02</v>
      </c>
      <c r="U1381" s="478">
        <v>2016</v>
      </c>
      <c r="V1381" s="24">
        <f>U1381+20</f>
        <v>2036</v>
      </c>
      <c r="W1381">
        <v>0</v>
      </c>
      <c r="X1381">
        <v>0</v>
      </c>
      <c r="Y1381">
        <v>1315</v>
      </c>
      <c r="Z1381">
        <v>360</v>
      </c>
      <c r="AA1381" s="475" t="s">
        <v>24</v>
      </c>
    </row>
    <row r="1382" spans="1:27" ht="15" hidden="1">
      <c r="A1382" s="24">
        <f t="shared" si="164"/>
        <v>2381</v>
      </c>
      <c r="B1382" s="24">
        <f t="shared" si="164"/>
        <v>2381</v>
      </c>
      <c r="C1382" s="476" t="s">
        <v>1776</v>
      </c>
      <c r="D1382" t="s">
        <v>146</v>
      </c>
      <c r="E1382" s="477">
        <v>1</v>
      </c>
      <c r="F1382" s="471">
        <v>16</v>
      </c>
      <c r="G1382">
        <v>1</v>
      </c>
      <c r="H1382">
        <v>1</v>
      </c>
      <c r="I1382" s="472">
        <f t="shared" si="161"/>
        <v>0.32845968612834514</v>
      </c>
      <c r="J1382" s="153">
        <v>3.8473756479098807E-2</v>
      </c>
      <c r="K1382" s="153">
        <v>0.39358026214566905</v>
      </c>
      <c r="L1382" s="153">
        <v>0.53857526864315253</v>
      </c>
      <c r="M1382" s="153">
        <v>0.3432094572454602</v>
      </c>
      <c r="N1382" s="472">
        <f t="shared" si="162"/>
        <v>0.32845968612834514</v>
      </c>
      <c r="O1382" s="153">
        <v>3.8473756479098807E-2</v>
      </c>
      <c r="P1382" s="153">
        <v>0.39358026214566905</v>
      </c>
      <c r="Q1382" s="153">
        <v>0.53857526864315253</v>
      </c>
      <c r="R1382" s="153">
        <v>0.3432094572454602</v>
      </c>
      <c r="S1382" s="153">
        <v>0.03</v>
      </c>
      <c r="T1382" s="153">
        <v>0</v>
      </c>
      <c r="U1382" s="478">
        <v>2016</v>
      </c>
      <c r="V1382" s="24">
        <v>2035</v>
      </c>
      <c r="W1382">
        <v>0</v>
      </c>
      <c r="X1382">
        <v>0</v>
      </c>
      <c r="Y1382">
        <v>1304</v>
      </c>
      <c r="Z1382">
        <v>311</v>
      </c>
      <c r="AA1382" s="475" t="s">
        <v>23</v>
      </c>
    </row>
    <row r="1383" spans="1:27" ht="15" hidden="1">
      <c r="A1383" s="24">
        <f t="shared" si="164"/>
        <v>2382</v>
      </c>
      <c r="B1383" s="24">
        <f t="shared" si="164"/>
        <v>2382</v>
      </c>
      <c r="C1383" s="476" t="s">
        <v>1777</v>
      </c>
      <c r="D1383" t="s">
        <v>149</v>
      </c>
      <c r="E1383" s="477">
        <v>2</v>
      </c>
      <c r="F1383" s="471">
        <v>1.79</v>
      </c>
      <c r="G1383">
        <v>1</v>
      </c>
      <c r="H1383">
        <v>1</v>
      </c>
      <c r="I1383" s="472">
        <f t="shared" si="161"/>
        <v>0.40033333333333337</v>
      </c>
      <c r="J1383" s="153">
        <v>0.3706666666666667</v>
      </c>
      <c r="K1383" s="153">
        <v>0.3666666666666667</v>
      </c>
      <c r="L1383" s="153">
        <v>0.44799999999999995</v>
      </c>
      <c r="M1383" s="153">
        <v>0.41600000000000009</v>
      </c>
      <c r="N1383" s="472">
        <f t="shared" si="162"/>
        <v>0.40033333333333337</v>
      </c>
      <c r="O1383" s="153">
        <v>0.3706666666666667</v>
      </c>
      <c r="P1383" s="153">
        <v>0.3666666666666667</v>
      </c>
      <c r="Q1383" s="153">
        <v>0.44799999999999995</v>
      </c>
      <c r="R1383" s="153">
        <v>0.41600000000000009</v>
      </c>
      <c r="S1383" s="153">
        <v>0.01</v>
      </c>
      <c r="T1383" s="153">
        <v>0.02</v>
      </c>
      <c r="U1383" s="478">
        <v>2016</v>
      </c>
      <c r="V1383" s="24">
        <f>U1383+20</f>
        <v>2036</v>
      </c>
      <c r="W1383">
        <v>0</v>
      </c>
      <c r="X1383">
        <v>0</v>
      </c>
      <c r="Y1383">
        <v>1315</v>
      </c>
      <c r="Z1383">
        <v>360</v>
      </c>
      <c r="AA1383" s="475" t="s">
        <v>24</v>
      </c>
    </row>
    <row r="1384" spans="1:27" ht="15" hidden="1">
      <c r="A1384" s="24">
        <f t="shared" ref="A1384:B1401" si="165">1000+ROW()-1</f>
        <v>2383</v>
      </c>
      <c r="B1384" s="24">
        <f t="shared" si="165"/>
        <v>2383</v>
      </c>
      <c r="C1384" s="476" t="s">
        <v>1778</v>
      </c>
      <c r="D1384" t="s">
        <v>146</v>
      </c>
      <c r="E1384" s="477">
        <v>1</v>
      </c>
      <c r="F1384" s="471">
        <v>0</v>
      </c>
      <c r="G1384">
        <v>1</v>
      </c>
      <c r="H1384">
        <v>1</v>
      </c>
      <c r="I1384" s="472">
        <f t="shared" si="161"/>
        <v>0.32845968612834514</v>
      </c>
      <c r="J1384" s="153">
        <v>3.8473756479098807E-2</v>
      </c>
      <c r="K1384" s="153">
        <v>0.39358026214566905</v>
      </c>
      <c r="L1384" s="153">
        <v>0.53857526864315253</v>
      </c>
      <c r="M1384" s="153">
        <v>0.3432094572454602</v>
      </c>
      <c r="N1384" s="472">
        <f t="shared" si="162"/>
        <v>0.32845968612834514</v>
      </c>
      <c r="O1384" s="153">
        <v>3.8473756479098807E-2</v>
      </c>
      <c r="P1384" s="153">
        <v>0.39358026214566905</v>
      </c>
      <c r="Q1384" s="153">
        <v>0.53857526864315253</v>
      </c>
      <c r="R1384" s="153">
        <v>0.3432094572454602</v>
      </c>
      <c r="S1384" s="153">
        <v>0.03</v>
      </c>
      <c r="T1384" s="153">
        <v>0</v>
      </c>
      <c r="U1384" s="478">
        <v>2016</v>
      </c>
      <c r="V1384" s="24">
        <v>2035</v>
      </c>
      <c r="W1384">
        <v>0</v>
      </c>
      <c r="X1384">
        <v>0</v>
      </c>
      <c r="Y1384">
        <v>1304</v>
      </c>
      <c r="Z1384">
        <v>311</v>
      </c>
      <c r="AA1384" s="475" t="s">
        <v>23</v>
      </c>
    </row>
    <row r="1385" spans="1:27" ht="15" hidden="1">
      <c r="A1385" s="24">
        <f t="shared" si="165"/>
        <v>2384</v>
      </c>
      <c r="B1385" s="24">
        <f t="shared" si="165"/>
        <v>2384</v>
      </c>
      <c r="C1385" s="476" t="s">
        <v>1779</v>
      </c>
      <c r="D1385" t="s">
        <v>149</v>
      </c>
      <c r="E1385" s="477">
        <v>2</v>
      </c>
      <c r="F1385" s="471">
        <v>1.79</v>
      </c>
      <c r="G1385">
        <v>1</v>
      </c>
      <c r="H1385">
        <v>1</v>
      </c>
      <c r="I1385" s="472">
        <f t="shared" si="161"/>
        <v>0.40033333333333337</v>
      </c>
      <c r="J1385" s="153">
        <v>0.3706666666666667</v>
      </c>
      <c r="K1385" s="153">
        <v>0.3666666666666667</v>
      </c>
      <c r="L1385" s="153">
        <v>0.44799999999999995</v>
      </c>
      <c r="M1385" s="153">
        <v>0.41600000000000009</v>
      </c>
      <c r="N1385" s="472">
        <f t="shared" si="162"/>
        <v>0.40033333333333337</v>
      </c>
      <c r="O1385" s="153">
        <v>0.3706666666666667</v>
      </c>
      <c r="P1385" s="153">
        <v>0.3666666666666667</v>
      </c>
      <c r="Q1385" s="153">
        <v>0.44799999999999995</v>
      </c>
      <c r="R1385" s="153">
        <v>0.41600000000000009</v>
      </c>
      <c r="S1385" s="153">
        <v>0.01</v>
      </c>
      <c r="T1385" s="153">
        <v>0.02</v>
      </c>
      <c r="U1385" s="478">
        <v>2016</v>
      </c>
      <c r="V1385" s="24">
        <f t="shared" ref="V1385:V1387" si="166">U1385+20</f>
        <v>2036</v>
      </c>
      <c r="W1385">
        <v>0</v>
      </c>
      <c r="X1385">
        <v>0</v>
      </c>
      <c r="Y1385">
        <v>1315</v>
      </c>
      <c r="Z1385">
        <v>360</v>
      </c>
      <c r="AA1385" s="475" t="s">
        <v>24</v>
      </c>
    </row>
    <row r="1386" spans="1:27" ht="15" hidden="1">
      <c r="A1386" s="24">
        <f t="shared" si="165"/>
        <v>2385</v>
      </c>
      <c r="B1386" s="24">
        <f t="shared" si="165"/>
        <v>2385</v>
      </c>
      <c r="C1386" s="476" t="s">
        <v>1780</v>
      </c>
      <c r="D1386" t="s">
        <v>149</v>
      </c>
      <c r="E1386" s="477">
        <v>2</v>
      </c>
      <c r="F1386" s="471">
        <v>8.9499999999999993</v>
      </c>
      <c r="G1386">
        <v>1</v>
      </c>
      <c r="H1386">
        <v>1</v>
      </c>
      <c r="I1386" s="472">
        <f t="shared" si="161"/>
        <v>0.40033333333333337</v>
      </c>
      <c r="J1386" s="153">
        <v>0.3706666666666667</v>
      </c>
      <c r="K1386" s="153">
        <v>0.3666666666666667</v>
      </c>
      <c r="L1386" s="153">
        <v>0.44799999999999995</v>
      </c>
      <c r="M1386" s="153">
        <v>0.41600000000000009</v>
      </c>
      <c r="N1386" s="472">
        <f t="shared" si="162"/>
        <v>0.40033333333333337</v>
      </c>
      <c r="O1386" s="153">
        <v>0.3706666666666667</v>
      </c>
      <c r="P1386" s="153">
        <v>0.3666666666666667</v>
      </c>
      <c r="Q1386" s="153">
        <v>0.44799999999999995</v>
      </c>
      <c r="R1386" s="153">
        <v>0.41600000000000009</v>
      </c>
      <c r="S1386" s="153">
        <v>0.01</v>
      </c>
      <c r="T1386" s="153">
        <v>0.02</v>
      </c>
      <c r="U1386" s="478">
        <v>2016</v>
      </c>
      <c r="V1386" s="24">
        <f t="shared" si="166"/>
        <v>2036</v>
      </c>
      <c r="W1386">
        <v>0</v>
      </c>
      <c r="X1386">
        <v>0</v>
      </c>
      <c r="Y1386">
        <v>1315</v>
      </c>
      <c r="Z1386">
        <v>360</v>
      </c>
      <c r="AA1386" s="475" t="s">
        <v>24</v>
      </c>
    </row>
    <row r="1387" spans="1:27" ht="15" hidden="1">
      <c r="A1387" s="24">
        <f t="shared" si="165"/>
        <v>2386</v>
      </c>
      <c r="B1387" s="24">
        <f t="shared" si="165"/>
        <v>2386</v>
      </c>
      <c r="C1387" s="476" t="s">
        <v>1781</v>
      </c>
      <c r="D1387" t="s">
        <v>149</v>
      </c>
      <c r="E1387" s="477">
        <v>2</v>
      </c>
      <c r="F1387" s="471">
        <v>1.79</v>
      </c>
      <c r="G1387">
        <v>1</v>
      </c>
      <c r="H1387">
        <v>1</v>
      </c>
      <c r="I1387" s="472">
        <f t="shared" si="161"/>
        <v>0.40033333333333337</v>
      </c>
      <c r="J1387" s="153">
        <v>0.3706666666666667</v>
      </c>
      <c r="K1387" s="153">
        <v>0.3666666666666667</v>
      </c>
      <c r="L1387" s="153">
        <v>0.44799999999999995</v>
      </c>
      <c r="M1387" s="153">
        <v>0.41600000000000009</v>
      </c>
      <c r="N1387" s="472">
        <f t="shared" si="162"/>
        <v>0.40033333333333337</v>
      </c>
      <c r="O1387" s="153">
        <v>0.3706666666666667</v>
      </c>
      <c r="P1387" s="153">
        <v>0.3666666666666667</v>
      </c>
      <c r="Q1387" s="153">
        <v>0.44799999999999995</v>
      </c>
      <c r="R1387" s="153">
        <v>0.41600000000000009</v>
      </c>
      <c r="S1387" s="153">
        <v>0.01</v>
      </c>
      <c r="T1387" s="153">
        <v>0.02</v>
      </c>
      <c r="U1387" s="478">
        <v>2016</v>
      </c>
      <c r="V1387" s="24">
        <f t="shared" si="166"/>
        <v>2036</v>
      </c>
      <c r="W1387">
        <v>0</v>
      </c>
      <c r="X1387">
        <v>0</v>
      </c>
      <c r="Y1387">
        <v>1315</v>
      </c>
      <c r="Z1387">
        <v>360</v>
      </c>
      <c r="AA1387" s="475" t="s">
        <v>24</v>
      </c>
    </row>
    <row r="1388" spans="1:27" ht="15" hidden="1">
      <c r="A1388" s="24">
        <f t="shared" si="165"/>
        <v>2387</v>
      </c>
      <c r="B1388" s="24">
        <f t="shared" si="165"/>
        <v>2387</v>
      </c>
      <c r="C1388" s="476" t="s">
        <v>1782</v>
      </c>
      <c r="D1388" t="s">
        <v>146</v>
      </c>
      <c r="E1388" s="477">
        <v>1</v>
      </c>
      <c r="F1388" s="471">
        <v>35</v>
      </c>
      <c r="G1388">
        <v>1</v>
      </c>
      <c r="H1388">
        <v>1</v>
      </c>
      <c r="I1388" s="472">
        <f t="shared" si="161"/>
        <v>0.32845968612834514</v>
      </c>
      <c r="J1388" s="153">
        <v>3.8473756479098807E-2</v>
      </c>
      <c r="K1388" s="153">
        <v>0.39358026214566905</v>
      </c>
      <c r="L1388" s="153">
        <v>0.53857526864315253</v>
      </c>
      <c r="M1388" s="153">
        <v>0.3432094572454602</v>
      </c>
      <c r="N1388" s="472">
        <f t="shared" si="162"/>
        <v>0.32845968612834514</v>
      </c>
      <c r="O1388" s="153">
        <v>3.8473756479098807E-2</v>
      </c>
      <c r="P1388" s="153">
        <v>0.39358026214566905</v>
      </c>
      <c r="Q1388" s="153">
        <v>0.53857526864315253</v>
      </c>
      <c r="R1388" s="153">
        <v>0.3432094572454602</v>
      </c>
      <c r="S1388" s="153">
        <v>0.03</v>
      </c>
      <c r="T1388" s="153">
        <v>0</v>
      </c>
      <c r="U1388" s="478">
        <v>2016</v>
      </c>
      <c r="V1388" s="24">
        <v>2035</v>
      </c>
      <c r="W1388">
        <v>0</v>
      </c>
      <c r="X1388">
        <v>0</v>
      </c>
      <c r="Y1388">
        <v>1304</v>
      </c>
      <c r="Z1388">
        <v>311</v>
      </c>
      <c r="AA1388" s="475" t="s">
        <v>23</v>
      </c>
    </row>
    <row r="1389" spans="1:27" ht="15" hidden="1">
      <c r="A1389" s="24">
        <f t="shared" si="165"/>
        <v>2388</v>
      </c>
      <c r="B1389" s="24">
        <f t="shared" si="165"/>
        <v>2388</v>
      </c>
      <c r="C1389" s="476" t="s">
        <v>1783</v>
      </c>
      <c r="D1389" t="s">
        <v>146</v>
      </c>
      <c r="E1389" s="477">
        <v>1</v>
      </c>
      <c r="F1389" s="471">
        <v>0</v>
      </c>
      <c r="G1389">
        <v>1</v>
      </c>
      <c r="H1389">
        <v>1</v>
      </c>
      <c r="I1389" s="472">
        <f t="shared" si="161"/>
        <v>0.32845968612834514</v>
      </c>
      <c r="J1389" s="153">
        <v>3.8473756479098807E-2</v>
      </c>
      <c r="K1389" s="153">
        <v>0.39358026214566905</v>
      </c>
      <c r="L1389" s="153">
        <v>0.53857526864315253</v>
      </c>
      <c r="M1389" s="153">
        <v>0.3432094572454602</v>
      </c>
      <c r="N1389" s="472">
        <f t="shared" si="162"/>
        <v>0.32845968612834514</v>
      </c>
      <c r="O1389" s="153">
        <v>3.8473756479098807E-2</v>
      </c>
      <c r="P1389" s="153">
        <v>0.39358026214566905</v>
      </c>
      <c r="Q1389" s="153">
        <v>0.53857526864315253</v>
      </c>
      <c r="R1389" s="153">
        <v>0.3432094572454602</v>
      </c>
      <c r="S1389" s="153">
        <v>0.03</v>
      </c>
      <c r="T1389" s="153">
        <v>0</v>
      </c>
      <c r="U1389" s="478">
        <v>2016</v>
      </c>
      <c r="V1389" s="24">
        <v>2035</v>
      </c>
      <c r="W1389">
        <v>0</v>
      </c>
      <c r="X1389">
        <v>0</v>
      </c>
      <c r="Y1389">
        <v>1304</v>
      </c>
      <c r="Z1389">
        <v>311</v>
      </c>
      <c r="AA1389" s="475" t="s">
        <v>23</v>
      </c>
    </row>
    <row r="1390" spans="1:27" ht="15" hidden="1">
      <c r="A1390" s="24">
        <f t="shared" si="165"/>
        <v>2389</v>
      </c>
      <c r="B1390" s="24">
        <f t="shared" si="165"/>
        <v>2389</v>
      </c>
      <c r="C1390" s="476" t="s">
        <v>1784</v>
      </c>
      <c r="D1390" t="s">
        <v>146</v>
      </c>
      <c r="E1390" s="477">
        <v>1</v>
      </c>
      <c r="F1390" s="471">
        <v>25</v>
      </c>
      <c r="G1390">
        <v>1</v>
      </c>
      <c r="H1390">
        <v>1</v>
      </c>
      <c r="I1390" s="472">
        <f t="shared" si="161"/>
        <v>0.32845968612834514</v>
      </c>
      <c r="J1390" s="153">
        <v>3.8473756479098807E-2</v>
      </c>
      <c r="K1390" s="153">
        <v>0.39358026214566905</v>
      </c>
      <c r="L1390" s="153">
        <v>0.53857526864315253</v>
      </c>
      <c r="M1390" s="153">
        <v>0.3432094572454602</v>
      </c>
      <c r="N1390" s="472">
        <f t="shared" si="162"/>
        <v>0.32845968612834514</v>
      </c>
      <c r="O1390" s="153">
        <v>3.8473756479098807E-2</v>
      </c>
      <c r="P1390" s="153">
        <v>0.39358026214566905</v>
      </c>
      <c r="Q1390" s="153">
        <v>0.53857526864315253</v>
      </c>
      <c r="R1390" s="153">
        <v>0.3432094572454602</v>
      </c>
      <c r="S1390" s="153">
        <v>0.03</v>
      </c>
      <c r="T1390" s="153">
        <v>0</v>
      </c>
      <c r="U1390" s="478">
        <v>2016</v>
      </c>
      <c r="V1390" s="24">
        <v>2035</v>
      </c>
      <c r="W1390">
        <v>0</v>
      </c>
      <c r="X1390">
        <v>0</v>
      </c>
      <c r="Y1390">
        <v>1304</v>
      </c>
      <c r="Z1390">
        <v>311</v>
      </c>
      <c r="AA1390" s="475" t="s">
        <v>23</v>
      </c>
    </row>
    <row r="1391" spans="1:27" ht="15" hidden="1">
      <c r="A1391" s="24">
        <f t="shared" si="165"/>
        <v>2390</v>
      </c>
      <c r="B1391" s="24">
        <f t="shared" si="165"/>
        <v>2390</v>
      </c>
      <c r="C1391" s="476" t="s">
        <v>1785</v>
      </c>
      <c r="D1391" t="s">
        <v>149</v>
      </c>
      <c r="E1391" s="477">
        <v>2</v>
      </c>
      <c r="F1391" s="471">
        <v>1.79</v>
      </c>
      <c r="G1391">
        <v>1</v>
      </c>
      <c r="H1391">
        <v>1</v>
      </c>
      <c r="I1391" s="472">
        <f t="shared" si="161"/>
        <v>0.40033333333333337</v>
      </c>
      <c r="J1391" s="153">
        <v>0.3706666666666667</v>
      </c>
      <c r="K1391" s="153">
        <v>0.3666666666666667</v>
      </c>
      <c r="L1391" s="153">
        <v>0.44799999999999995</v>
      </c>
      <c r="M1391" s="153">
        <v>0.41600000000000009</v>
      </c>
      <c r="N1391" s="472">
        <f t="shared" si="162"/>
        <v>0.40033333333333337</v>
      </c>
      <c r="O1391" s="153">
        <v>0.3706666666666667</v>
      </c>
      <c r="P1391" s="153">
        <v>0.3666666666666667</v>
      </c>
      <c r="Q1391" s="153">
        <v>0.44799999999999995</v>
      </c>
      <c r="R1391" s="153">
        <v>0.41600000000000009</v>
      </c>
      <c r="S1391" s="153">
        <v>0.01</v>
      </c>
      <c r="T1391" s="153">
        <v>0.02</v>
      </c>
      <c r="U1391" s="478">
        <v>2016</v>
      </c>
      <c r="V1391" s="24">
        <f>U1391+20</f>
        <v>2036</v>
      </c>
      <c r="W1391">
        <v>0</v>
      </c>
      <c r="X1391">
        <v>0</v>
      </c>
      <c r="Y1391">
        <v>1315</v>
      </c>
      <c r="Z1391">
        <v>360</v>
      </c>
      <c r="AA1391" s="475" t="s">
        <v>24</v>
      </c>
    </row>
    <row r="1392" spans="1:27" ht="15" hidden="1">
      <c r="A1392" s="24">
        <f t="shared" si="165"/>
        <v>2391</v>
      </c>
      <c r="B1392" s="24">
        <f t="shared" si="165"/>
        <v>2391</v>
      </c>
      <c r="C1392" s="476" t="s">
        <v>1786</v>
      </c>
      <c r="D1392" t="s">
        <v>146</v>
      </c>
      <c r="E1392" s="477">
        <v>1</v>
      </c>
      <c r="F1392" s="471">
        <v>0</v>
      </c>
      <c r="G1392">
        <v>1</v>
      </c>
      <c r="H1392">
        <v>1</v>
      </c>
      <c r="I1392" s="472">
        <f t="shared" si="161"/>
        <v>0.32845968612834514</v>
      </c>
      <c r="J1392" s="153">
        <v>3.8473756479098807E-2</v>
      </c>
      <c r="K1392" s="153">
        <v>0.39358026214566905</v>
      </c>
      <c r="L1392" s="153">
        <v>0.53857526864315253</v>
      </c>
      <c r="M1392" s="153">
        <v>0.3432094572454602</v>
      </c>
      <c r="N1392" s="472">
        <f t="shared" si="162"/>
        <v>0.32845968612834514</v>
      </c>
      <c r="O1392" s="153">
        <v>3.8473756479098807E-2</v>
      </c>
      <c r="P1392" s="153">
        <v>0.39358026214566905</v>
      </c>
      <c r="Q1392" s="153">
        <v>0.53857526864315253</v>
      </c>
      <c r="R1392" s="153">
        <v>0.3432094572454602</v>
      </c>
      <c r="S1392" s="153">
        <v>0.03</v>
      </c>
      <c r="T1392" s="153">
        <v>0</v>
      </c>
      <c r="U1392" s="478">
        <v>2016</v>
      </c>
      <c r="V1392" s="24">
        <v>2035</v>
      </c>
      <c r="W1392">
        <v>0</v>
      </c>
      <c r="X1392">
        <v>0</v>
      </c>
      <c r="Y1392">
        <v>1304</v>
      </c>
      <c r="Z1392">
        <v>311</v>
      </c>
      <c r="AA1392" s="475" t="s">
        <v>23</v>
      </c>
    </row>
    <row r="1393" spans="1:27" ht="15" hidden="1">
      <c r="A1393" s="24">
        <f t="shared" si="165"/>
        <v>2392</v>
      </c>
      <c r="B1393" s="24">
        <f t="shared" si="165"/>
        <v>2392</v>
      </c>
      <c r="C1393" s="476" t="s">
        <v>1787</v>
      </c>
      <c r="D1393" t="s">
        <v>146</v>
      </c>
      <c r="E1393" s="477">
        <v>1</v>
      </c>
      <c r="F1393" s="471">
        <v>19.365384615384613</v>
      </c>
      <c r="G1393">
        <v>1</v>
      </c>
      <c r="H1393">
        <v>1</v>
      </c>
      <c r="I1393" s="472">
        <f t="shared" si="161"/>
        <v>0.32845968612834514</v>
      </c>
      <c r="J1393" s="153">
        <v>3.8473756479098807E-2</v>
      </c>
      <c r="K1393" s="153">
        <v>0.39358026214566905</v>
      </c>
      <c r="L1393" s="153">
        <v>0.53857526864315253</v>
      </c>
      <c r="M1393" s="153">
        <v>0.3432094572454602</v>
      </c>
      <c r="N1393" s="472">
        <f t="shared" si="162"/>
        <v>0.32845968612834514</v>
      </c>
      <c r="O1393" s="153">
        <v>3.8473756479098807E-2</v>
      </c>
      <c r="P1393" s="153">
        <v>0.39358026214566905</v>
      </c>
      <c r="Q1393" s="153">
        <v>0.53857526864315253</v>
      </c>
      <c r="R1393" s="153">
        <v>0.3432094572454602</v>
      </c>
      <c r="S1393" s="153">
        <v>0.03</v>
      </c>
      <c r="T1393" s="153">
        <v>0</v>
      </c>
      <c r="U1393" s="478">
        <v>2017</v>
      </c>
      <c r="V1393" s="24">
        <v>2035</v>
      </c>
      <c r="W1393">
        <v>0</v>
      </c>
      <c r="X1393">
        <v>0</v>
      </c>
      <c r="Y1393">
        <v>1304</v>
      </c>
      <c r="Z1393">
        <v>311</v>
      </c>
      <c r="AA1393" s="475" t="s">
        <v>23</v>
      </c>
    </row>
    <row r="1394" spans="1:27" ht="15" hidden="1">
      <c r="A1394" s="24">
        <f t="shared" si="165"/>
        <v>2393</v>
      </c>
      <c r="B1394" s="24">
        <f t="shared" si="165"/>
        <v>2393</v>
      </c>
      <c r="C1394" s="476" t="s">
        <v>1788</v>
      </c>
      <c r="D1394" t="s">
        <v>146</v>
      </c>
      <c r="E1394" s="477">
        <v>1</v>
      </c>
      <c r="F1394" s="471">
        <v>18.634615384615387</v>
      </c>
      <c r="G1394">
        <v>1</v>
      </c>
      <c r="H1394">
        <v>1</v>
      </c>
      <c r="I1394" s="472">
        <f t="shared" si="161"/>
        <v>0.32845968612834514</v>
      </c>
      <c r="J1394" s="153">
        <v>3.8473756479098807E-2</v>
      </c>
      <c r="K1394" s="153">
        <v>0.39358026214566905</v>
      </c>
      <c r="L1394" s="153">
        <v>0.53857526864315253</v>
      </c>
      <c r="M1394" s="153">
        <v>0.3432094572454602</v>
      </c>
      <c r="N1394" s="472">
        <f t="shared" si="162"/>
        <v>0.32845968612834514</v>
      </c>
      <c r="O1394" s="153">
        <v>3.8473756479098807E-2</v>
      </c>
      <c r="P1394" s="153">
        <v>0.39358026214566905</v>
      </c>
      <c r="Q1394" s="153">
        <v>0.53857526864315253</v>
      </c>
      <c r="R1394" s="153">
        <v>0.3432094572454602</v>
      </c>
      <c r="S1394" s="153">
        <v>0.03</v>
      </c>
      <c r="T1394" s="153">
        <v>0</v>
      </c>
      <c r="U1394" s="478">
        <v>2017</v>
      </c>
      <c r="V1394" s="24">
        <v>2035</v>
      </c>
      <c r="W1394">
        <v>0</v>
      </c>
      <c r="X1394">
        <v>0</v>
      </c>
      <c r="Y1394">
        <v>1304</v>
      </c>
      <c r="Z1394">
        <v>311</v>
      </c>
      <c r="AA1394" s="475" t="s">
        <v>23</v>
      </c>
    </row>
    <row r="1395" spans="1:27" ht="15" hidden="1">
      <c r="A1395" s="24">
        <f t="shared" si="165"/>
        <v>2394</v>
      </c>
      <c r="B1395" s="24">
        <f t="shared" si="165"/>
        <v>2394</v>
      </c>
      <c r="C1395" s="476" t="s">
        <v>1789</v>
      </c>
      <c r="D1395" t="s">
        <v>146</v>
      </c>
      <c r="E1395" s="477">
        <v>1</v>
      </c>
      <c r="F1395" s="471">
        <v>12</v>
      </c>
      <c r="G1395">
        <v>1</v>
      </c>
      <c r="H1395">
        <v>1</v>
      </c>
      <c r="I1395" s="472">
        <f t="shared" si="161"/>
        <v>0.32845968612834514</v>
      </c>
      <c r="J1395" s="153">
        <v>3.8473756479098807E-2</v>
      </c>
      <c r="K1395" s="153">
        <v>0.39358026214566905</v>
      </c>
      <c r="L1395" s="153">
        <v>0.53857526864315253</v>
      </c>
      <c r="M1395" s="153">
        <v>0.3432094572454602</v>
      </c>
      <c r="N1395" s="472">
        <f t="shared" si="162"/>
        <v>0.32845968612834514</v>
      </c>
      <c r="O1395" s="153">
        <v>3.8473756479098807E-2</v>
      </c>
      <c r="P1395" s="153">
        <v>0.39358026214566905</v>
      </c>
      <c r="Q1395" s="153">
        <v>0.53857526864315253</v>
      </c>
      <c r="R1395" s="153">
        <v>0.3432094572454602</v>
      </c>
      <c r="S1395" s="153">
        <v>0.03</v>
      </c>
      <c r="T1395" s="153">
        <v>0</v>
      </c>
      <c r="U1395" s="478">
        <v>2016</v>
      </c>
      <c r="V1395" s="24">
        <v>2035</v>
      </c>
      <c r="W1395">
        <v>0</v>
      </c>
      <c r="X1395">
        <v>0</v>
      </c>
      <c r="Y1395">
        <v>1304</v>
      </c>
      <c r="Z1395">
        <v>311</v>
      </c>
      <c r="AA1395" s="475" t="s">
        <v>23</v>
      </c>
    </row>
    <row r="1396" spans="1:27" ht="15" hidden="1">
      <c r="A1396" s="24">
        <f t="shared" si="165"/>
        <v>2395</v>
      </c>
      <c r="B1396" s="24">
        <f t="shared" si="165"/>
        <v>2395</v>
      </c>
      <c r="C1396" s="476" t="s">
        <v>1790</v>
      </c>
      <c r="D1396" t="s">
        <v>146</v>
      </c>
      <c r="E1396" s="477">
        <v>1</v>
      </c>
      <c r="F1396" s="471">
        <v>0</v>
      </c>
      <c r="G1396">
        <v>1</v>
      </c>
      <c r="H1396">
        <v>1</v>
      </c>
      <c r="I1396" s="472">
        <f t="shared" si="161"/>
        <v>0.32845968612834514</v>
      </c>
      <c r="J1396" s="153">
        <v>3.8473756479098807E-2</v>
      </c>
      <c r="K1396" s="153">
        <v>0.39358026214566905</v>
      </c>
      <c r="L1396" s="153">
        <v>0.53857526864315253</v>
      </c>
      <c r="M1396" s="153">
        <v>0.3432094572454602</v>
      </c>
      <c r="N1396" s="472">
        <f t="shared" si="162"/>
        <v>0.32845968612834514</v>
      </c>
      <c r="O1396" s="153">
        <v>3.8473756479098807E-2</v>
      </c>
      <c r="P1396" s="153">
        <v>0.39358026214566905</v>
      </c>
      <c r="Q1396" s="153">
        <v>0.53857526864315253</v>
      </c>
      <c r="R1396" s="153">
        <v>0.3432094572454602</v>
      </c>
      <c r="S1396" s="153">
        <v>0.03</v>
      </c>
      <c r="T1396" s="153">
        <v>0</v>
      </c>
      <c r="U1396" s="478">
        <v>2016</v>
      </c>
      <c r="V1396" s="24">
        <v>2035</v>
      </c>
      <c r="W1396">
        <v>0</v>
      </c>
      <c r="X1396">
        <v>0</v>
      </c>
      <c r="Y1396">
        <v>1304</v>
      </c>
      <c r="Z1396">
        <v>311</v>
      </c>
      <c r="AA1396" s="475" t="s">
        <v>23</v>
      </c>
    </row>
    <row r="1397" spans="1:27" ht="15" hidden="1">
      <c r="A1397" s="24">
        <f t="shared" si="165"/>
        <v>2396</v>
      </c>
      <c r="B1397" s="24">
        <f t="shared" si="165"/>
        <v>2396</v>
      </c>
      <c r="C1397" s="476" t="s">
        <v>1791</v>
      </c>
      <c r="D1397" t="s">
        <v>146</v>
      </c>
      <c r="E1397" s="477">
        <v>1</v>
      </c>
      <c r="F1397" s="471">
        <v>1.5</v>
      </c>
      <c r="G1397">
        <v>1</v>
      </c>
      <c r="H1397">
        <v>1</v>
      </c>
      <c r="I1397" s="472">
        <f t="shared" si="161"/>
        <v>0.32845968612834514</v>
      </c>
      <c r="J1397" s="153">
        <v>3.8473756479098807E-2</v>
      </c>
      <c r="K1397" s="153">
        <v>0.39358026214566905</v>
      </c>
      <c r="L1397" s="153">
        <v>0.53857526864315253</v>
      </c>
      <c r="M1397" s="153">
        <v>0.3432094572454602</v>
      </c>
      <c r="N1397" s="472">
        <f t="shared" si="162"/>
        <v>0.32845968612834514</v>
      </c>
      <c r="O1397" s="153">
        <v>3.8473756479098807E-2</v>
      </c>
      <c r="P1397" s="153">
        <v>0.39358026214566905</v>
      </c>
      <c r="Q1397" s="153">
        <v>0.53857526864315253</v>
      </c>
      <c r="R1397" s="153">
        <v>0.3432094572454602</v>
      </c>
      <c r="S1397" s="153">
        <v>0.03</v>
      </c>
      <c r="T1397" s="153">
        <v>0</v>
      </c>
      <c r="U1397" s="478">
        <v>2016</v>
      </c>
      <c r="V1397" s="24">
        <v>2035</v>
      </c>
      <c r="W1397">
        <v>0</v>
      </c>
      <c r="X1397">
        <v>0</v>
      </c>
      <c r="Y1397">
        <v>1304</v>
      </c>
      <c r="Z1397">
        <v>311</v>
      </c>
      <c r="AA1397" s="475" t="s">
        <v>23</v>
      </c>
    </row>
    <row r="1398" spans="1:27" ht="15" hidden="1">
      <c r="A1398" s="24">
        <f t="shared" si="165"/>
        <v>2397</v>
      </c>
      <c r="B1398" s="24">
        <f t="shared" si="165"/>
        <v>2397</v>
      </c>
      <c r="C1398" s="476" t="s">
        <v>1792</v>
      </c>
      <c r="D1398" t="s">
        <v>146</v>
      </c>
      <c r="E1398" s="477">
        <v>1</v>
      </c>
      <c r="F1398" s="471">
        <v>0</v>
      </c>
      <c r="G1398">
        <v>1</v>
      </c>
      <c r="H1398">
        <v>1</v>
      </c>
      <c r="I1398" s="472">
        <f t="shared" si="161"/>
        <v>0.32845968612834514</v>
      </c>
      <c r="J1398" s="153">
        <v>3.8473756479098807E-2</v>
      </c>
      <c r="K1398" s="153">
        <v>0.39358026214566905</v>
      </c>
      <c r="L1398" s="153">
        <v>0.53857526864315253</v>
      </c>
      <c r="M1398" s="153">
        <v>0.3432094572454602</v>
      </c>
      <c r="N1398" s="472">
        <f t="shared" si="162"/>
        <v>0.32845968612834514</v>
      </c>
      <c r="O1398" s="153">
        <v>3.8473756479098807E-2</v>
      </c>
      <c r="P1398" s="153">
        <v>0.39358026214566905</v>
      </c>
      <c r="Q1398" s="153">
        <v>0.53857526864315253</v>
      </c>
      <c r="R1398" s="153">
        <v>0.3432094572454602</v>
      </c>
      <c r="S1398" s="153">
        <v>0.03</v>
      </c>
      <c r="T1398" s="153">
        <v>0</v>
      </c>
      <c r="U1398" s="478">
        <v>2016</v>
      </c>
      <c r="V1398" s="24">
        <v>2035</v>
      </c>
      <c r="W1398">
        <v>0</v>
      </c>
      <c r="X1398">
        <v>0</v>
      </c>
      <c r="Y1398">
        <v>1304</v>
      </c>
      <c r="Z1398">
        <v>311</v>
      </c>
      <c r="AA1398" s="475" t="s">
        <v>23</v>
      </c>
    </row>
    <row r="1399" spans="1:27" ht="15" hidden="1">
      <c r="A1399" s="24">
        <f t="shared" si="165"/>
        <v>2398</v>
      </c>
      <c r="B1399" s="24">
        <f t="shared" si="165"/>
        <v>2398</v>
      </c>
      <c r="C1399" s="476" t="s">
        <v>1793</v>
      </c>
      <c r="D1399" t="s">
        <v>149</v>
      </c>
      <c r="E1399" s="477">
        <v>2</v>
      </c>
      <c r="F1399" s="471">
        <v>21.48</v>
      </c>
      <c r="G1399">
        <v>1</v>
      </c>
      <c r="H1399">
        <v>1</v>
      </c>
      <c r="I1399" s="472">
        <f t="shared" si="161"/>
        <v>0.40033333333333337</v>
      </c>
      <c r="J1399" s="153">
        <v>0.3706666666666667</v>
      </c>
      <c r="K1399" s="153">
        <v>0.3666666666666667</v>
      </c>
      <c r="L1399" s="153">
        <v>0.44799999999999995</v>
      </c>
      <c r="M1399" s="153">
        <v>0.41600000000000009</v>
      </c>
      <c r="N1399" s="472">
        <f t="shared" si="162"/>
        <v>0.40033333333333337</v>
      </c>
      <c r="O1399" s="153">
        <v>0.3706666666666667</v>
      </c>
      <c r="P1399" s="153">
        <v>0.3666666666666667</v>
      </c>
      <c r="Q1399" s="153">
        <v>0.44799999999999995</v>
      </c>
      <c r="R1399" s="153">
        <v>0.41600000000000009</v>
      </c>
      <c r="S1399" s="153">
        <v>0.01</v>
      </c>
      <c r="T1399" s="153">
        <v>0.02</v>
      </c>
      <c r="U1399" s="478">
        <v>2016</v>
      </c>
      <c r="V1399" s="24">
        <f>U1399+20</f>
        <v>2036</v>
      </c>
      <c r="W1399">
        <v>0</v>
      </c>
      <c r="X1399">
        <v>0</v>
      </c>
      <c r="Y1399">
        <v>1315</v>
      </c>
      <c r="Z1399">
        <v>360</v>
      </c>
      <c r="AA1399" s="475" t="s">
        <v>24</v>
      </c>
    </row>
    <row r="1400" spans="1:27" ht="15" hidden="1">
      <c r="A1400" s="24">
        <f t="shared" si="165"/>
        <v>2399</v>
      </c>
      <c r="B1400" s="24">
        <f t="shared" si="165"/>
        <v>2399</v>
      </c>
      <c r="C1400" s="476" t="s">
        <v>1794</v>
      </c>
      <c r="D1400" t="s">
        <v>149</v>
      </c>
      <c r="E1400" s="477">
        <v>2</v>
      </c>
      <c r="F1400" s="471">
        <v>4.2779999999999996</v>
      </c>
      <c r="G1400">
        <v>1</v>
      </c>
      <c r="H1400">
        <v>1</v>
      </c>
      <c r="I1400" s="472">
        <f t="shared" si="161"/>
        <v>0.32845968612834514</v>
      </c>
      <c r="J1400" s="153">
        <v>3.8473756479098807E-2</v>
      </c>
      <c r="K1400" s="153">
        <v>0.39358026214566905</v>
      </c>
      <c r="L1400" s="153">
        <v>0.53857526864315253</v>
      </c>
      <c r="M1400" s="153">
        <v>0.3432094572454602</v>
      </c>
      <c r="N1400" s="472">
        <f t="shared" si="162"/>
        <v>0.32845968612834514</v>
      </c>
      <c r="O1400" s="153">
        <v>3.8473756479098807E-2</v>
      </c>
      <c r="P1400" s="153">
        <v>0.39358026214566905</v>
      </c>
      <c r="Q1400" s="153">
        <v>0.53857526864315253</v>
      </c>
      <c r="R1400" s="153">
        <v>0.3432094572454602</v>
      </c>
      <c r="S1400" s="153">
        <v>0.03</v>
      </c>
      <c r="T1400" s="153">
        <v>0</v>
      </c>
      <c r="U1400" s="478">
        <v>2016</v>
      </c>
      <c r="V1400" s="24">
        <v>2035</v>
      </c>
      <c r="W1400">
        <v>0</v>
      </c>
      <c r="X1400">
        <v>0</v>
      </c>
      <c r="Y1400">
        <v>1304</v>
      </c>
      <c r="Z1400">
        <v>311</v>
      </c>
      <c r="AA1400" s="475" t="s">
        <v>23</v>
      </c>
    </row>
    <row r="1401" spans="1:27" ht="15" hidden="1">
      <c r="A1401" s="24">
        <f t="shared" si="165"/>
        <v>2400</v>
      </c>
      <c r="B1401" s="24">
        <f t="shared" si="165"/>
        <v>2400</v>
      </c>
      <c r="C1401" s="476" t="s">
        <v>1795</v>
      </c>
      <c r="D1401" t="s">
        <v>152</v>
      </c>
      <c r="E1401" s="477">
        <v>3</v>
      </c>
      <c r="F1401" s="471">
        <v>25.2</v>
      </c>
      <c r="G1401">
        <v>1</v>
      </c>
      <c r="H1401">
        <v>1</v>
      </c>
      <c r="I1401" s="472">
        <f t="shared" si="161"/>
        <v>0.47039166666666665</v>
      </c>
      <c r="J1401" s="473">
        <v>0.36503333333333332</v>
      </c>
      <c r="K1401" s="473">
        <v>0.44336666666666663</v>
      </c>
      <c r="L1401" s="473">
        <v>0.58906666666666663</v>
      </c>
      <c r="M1401" s="473">
        <v>0.48410000000000003</v>
      </c>
      <c r="N1401" s="472">
        <f t="shared" si="162"/>
        <v>0.47039166666666665</v>
      </c>
      <c r="O1401" s="473">
        <v>0.36503333333333332</v>
      </c>
      <c r="P1401" s="473">
        <v>0.44336666666666663</v>
      </c>
      <c r="Q1401" s="473">
        <v>0.58906666666666663</v>
      </c>
      <c r="R1401" s="473">
        <v>0.48410000000000003</v>
      </c>
      <c r="S1401" s="153">
        <v>0.01</v>
      </c>
      <c r="T1401" s="153">
        <v>0.02</v>
      </c>
      <c r="U1401" s="478">
        <v>2018</v>
      </c>
      <c r="V1401" s="24">
        <f>U1401+20</f>
        <v>2038</v>
      </c>
      <c r="W1401">
        <v>0</v>
      </c>
      <c r="X1401">
        <v>0</v>
      </c>
      <c r="Y1401">
        <v>1315</v>
      </c>
      <c r="Z1401">
        <v>361</v>
      </c>
      <c r="AA1401" s="475" t="s">
        <v>24</v>
      </c>
    </row>
    <row r="1402" spans="1:27" ht="15" hidden="1">
      <c r="A1402" s="24">
        <f t="shared" ref="A1402:B1417" si="167">1000+ROW()-1</f>
        <v>2401</v>
      </c>
      <c r="B1402" s="24">
        <f t="shared" si="167"/>
        <v>2401</v>
      </c>
      <c r="C1402" s="476" t="s">
        <v>1796</v>
      </c>
      <c r="D1402" t="s">
        <v>149</v>
      </c>
      <c r="E1402" s="477">
        <v>2</v>
      </c>
      <c r="F1402" s="471">
        <v>0</v>
      </c>
      <c r="G1402">
        <v>1</v>
      </c>
      <c r="H1402">
        <v>1</v>
      </c>
      <c r="I1402" s="472">
        <f t="shared" si="161"/>
        <v>0.32845968612834514</v>
      </c>
      <c r="J1402" s="153">
        <v>3.8473756479098807E-2</v>
      </c>
      <c r="K1402" s="153">
        <v>0.39358026214566905</v>
      </c>
      <c r="L1402" s="153">
        <v>0.53857526864315253</v>
      </c>
      <c r="M1402" s="153">
        <v>0.3432094572454602</v>
      </c>
      <c r="N1402" s="472">
        <f t="shared" si="162"/>
        <v>0.32845968612834514</v>
      </c>
      <c r="O1402" s="153">
        <v>3.8473756479098807E-2</v>
      </c>
      <c r="P1402" s="153">
        <v>0.39358026214566905</v>
      </c>
      <c r="Q1402" s="153">
        <v>0.53857526864315253</v>
      </c>
      <c r="R1402" s="153">
        <v>0.3432094572454602</v>
      </c>
      <c r="S1402" s="153">
        <v>0.03</v>
      </c>
      <c r="T1402" s="153">
        <v>0</v>
      </c>
      <c r="U1402" s="478">
        <v>2016</v>
      </c>
      <c r="V1402" s="24">
        <v>2035</v>
      </c>
      <c r="W1402">
        <v>0</v>
      </c>
      <c r="X1402">
        <v>0</v>
      </c>
      <c r="Y1402">
        <v>1304</v>
      </c>
      <c r="Z1402">
        <v>311</v>
      </c>
      <c r="AA1402" s="475" t="s">
        <v>23</v>
      </c>
    </row>
    <row r="1403" spans="1:27" ht="15" hidden="1">
      <c r="A1403" s="24">
        <f t="shared" si="167"/>
        <v>2402</v>
      </c>
      <c r="B1403" s="24">
        <f t="shared" si="167"/>
        <v>2402</v>
      </c>
      <c r="C1403" s="476" t="s">
        <v>1797</v>
      </c>
      <c r="D1403" t="s">
        <v>146</v>
      </c>
      <c r="E1403" s="477">
        <v>1</v>
      </c>
      <c r="F1403" s="471">
        <v>26.528117359413205</v>
      </c>
      <c r="G1403">
        <v>1</v>
      </c>
      <c r="H1403">
        <v>1</v>
      </c>
      <c r="I1403" s="472">
        <f t="shared" si="161"/>
        <v>0.32845968612834514</v>
      </c>
      <c r="J1403" s="153">
        <v>3.8473756479098807E-2</v>
      </c>
      <c r="K1403" s="153">
        <v>0.39358026214566905</v>
      </c>
      <c r="L1403" s="153">
        <v>0.53857526864315253</v>
      </c>
      <c r="M1403" s="153">
        <v>0.3432094572454602</v>
      </c>
      <c r="N1403" s="472">
        <f t="shared" si="162"/>
        <v>0.32845968612834514</v>
      </c>
      <c r="O1403" s="153">
        <v>3.8473756479098807E-2</v>
      </c>
      <c r="P1403" s="153">
        <v>0.39358026214566905</v>
      </c>
      <c r="Q1403" s="153">
        <v>0.53857526864315253</v>
      </c>
      <c r="R1403" s="153">
        <v>0.3432094572454602</v>
      </c>
      <c r="S1403" s="153">
        <v>0.03</v>
      </c>
      <c r="T1403" s="153">
        <v>0</v>
      </c>
      <c r="U1403" s="478">
        <v>2016</v>
      </c>
      <c r="V1403" s="24">
        <v>2035</v>
      </c>
      <c r="W1403">
        <v>0</v>
      </c>
      <c r="X1403">
        <v>0</v>
      </c>
      <c r="Y1403">
        <v>1304</v>
      </c>
      <c r="Z1403">
        <v>311</v>
      </c>
      <c r="AA1403" s="475" t="s">
        <v>23</v>
      </c>
    </row>
    <row r="1404" spans="1:27" ht="15" hidden="1">
      <c r="A1404" s="24">
        <f t="shared" si="167"/>
        <v>2403</v>
      </c>
      <c r="B1404" s="24">
        <f t="shared" si="167"/>
        <v>2403</v>
      </c>
      <c r="C1404" s="476" t="s">
        <v>1798</v>
      </c>
      <c r="D1404" t="s">
        <v>146</v>
      </c>
      <c r="E1404" s="477">
        <v>1</v>
      </c>
      <c r="F1404" s="471">
        <v>43.471882640586799</v>
      </c>
      <c r="G1404">
        <v>1</v>
      </c>
      <c r="H1404">
        <v>1</v>
      </c>
      <c r="I1404" s="472">
        <f t="shared" si="161"/>
        <v>0.32845968612834514</v>
      </c>
      <c r="J1404" s="153">
        <v>3.8473756479098807E-2</v>
      </c>
      <c r="K1404" s="153">
        <v>0.39358026214566905</v>
      </c>
      <c r="L1404" s="153">
        <v>0.53857526864315253</v>
      </c>
      <c r="M1404" s="153">
        <v>0.3432094572454602</v>
      </c>
      <c r="N1404" s="472">
        <f t="shared" si="162"/>
        <v>0.32845968612834514</v>
      </c>
      <c r="O1404" s="153">
        <v>3.8473756479098807E-2</v>
      </c>
      <c r="P1404" s="153">
        <v>0.39358026214566905</v>
      </c>
      <c r="Q1404" s="153">
        <v>0.53857526864315253</v>
      </c>
      <c r="R1404" s="153">
        <v>0.3432094572454602</v>
      </c>
      <c r="S1404" s="153">
        <v>0.03</v>
      </c>
      <c r="T1404" s="153">
        <v>0</v>
      </c>
      <c r="U1404" s="478">
        <v>2016</v>
      </c>
      <c r="V1404" s="24">
        <v>2035</v>
      </c>
      <c r="W1404">
        <v>0</v>
      </c>
      <c r="X1404">
        <v>0</v>
      </c>
      <c r="Y1404">
        <v>1304</v>
      </c>
      <c r="Z1404">
        <v>311</v>
      </c>
      <c r="AA1404" s="475" t="s">
        <v>23</v>
      </c>
    </row>
    <row r="1405" spans="1:27" ht="15" hidden="1">
      <c r="A1405" s="24">
        <f t="shared" si="167"/>
        <v>2404</v>
      </c>
      <c r="B1405" s="24">
        <f t="shared" si="167"/>
        <v>2404</v>
      </c>
      <c r="C1405" s="476" t="s">
        <v>1799</v>
      </c>
      <c r="D1405" t="s">
        <v>149</v>
      </c>
      <c r="E1405" s="477">
        <v>2</v>
      </c>
      <c r="F1405" s="471">
        <v>1.2</v>
      </c>
      <c r="G1405">
        <v>1</v>
      </c>
      <c r="H1405">
        <v>1</v>
      </c>
      <c r="I1405" s="472">
        <f t="shared" si="161"/>
        <v>0.32845968612834514</v>
      </c>
      <c r="J1405" s="153">
        <v>3.8473756479098807E-2</v>
      </c>
      <c r="K1405" s="153">
        <v>0.39358026214566905</v>
      </c>
      <c r="L1405" s="153">
        <v>0.53857526864315253</v>
      </c>
      <c r="M1405" s="153">
        <v>0.3432094572454602</v>
      </c>
      <c r="N1405" s="472">
        <f t="shared" si="162"/>
        <v>0.32845968612834514</v>
      </c>
      <c r="O1405" s="153">
        <v>3.8473756479098807E-2</v>
      </c>
      <c r="P1405" s="153">
        <v>0.39358026214566905</v>
      </c>
      <c r="Q1405" s="153">
        <v>0.53857526864315253</v>
      </c>
      <c r="R1405" s="153">
        <v>0.3432094572454602</v>
      </c>
      <c r="S1405" s="153">
        <v>0.03</v>
      </c>
      <c r="T1405" s="153">
        <v>0</v>
      </c>
      <c r="U1405" s="478">
        <v>2016</v>
      </c>
      <c r="V1405" s="24">
        <v>2035</v>
      </c>
      <c r="W1405">
        <v>0</v>
      </c>
      <c r="X1405">
        <v>0</v>
      </c>
      <c r="Y1405">
        <v>1304</v>
      </c>
      <c r="Z1405">
        <v>311</v>
      </c>
      <c r="AA1405" s="475" t="s">
        <v>23</v>
      </c>
    </row>
    <row r="1406" spans="1:27" ht="15" hidden="1">
      <c r="A1406" s="24">
        <f t="shared" si="167"/>
        <v>2405</v>
      </c>
      <c r="B1406" s="24">
        <f t="shared" si="167"/>
        <v>2405</v>
      </c>
      <c r="C1406" s="476" t="s">
        <v>1800</v>
      </c>
      <c r="D1406" t="s">
        <v>152</v>
      </c>
      <c r="E1406" s="477">
        <v>3</v>
      </c>
      <c r="F1406" s="471">
        <v>24</v>
      </c>
      <c r="G1406">
        <v>1</v>
      </c>
      <c r="H1406">
        <v>1</v>
      </c>
      <c r="I1406" s="472">
        <f t="shared" si="161"/>
        <v>0.47039166666666665</v>
      </c>
      <c r="J1406" s="473">
        <v>0.36503333333333332</v>
      </c>
      <c r="K1406" s="473">
        <v>0.44336666666666663</v>
      </c>
      <c r="L1406" s="473">
        <v>0.58906666666666663</v>
      </c>
      <c r="M1406" s="473">
        <v>0.48410000000000003</v>
      </c>
      <c r="N1406" s="472">
        <f t="shared" si="162"/>
        <v>0.47039166666666665</v>
      </c>
      <c r="O1406" s="473">
        <v>0.36503333333333332</v>
      </c>
      <c r="P1406" s="473">
        <v>0.44336666666666663</v>
      </c>
      <c r="Q1406" s="473">
        <v>0.58906666666666663</v>
      </c>
      <c r="R1406" s="473">
        <v>0.48410000000000003</v>
      </c>
      <c r="S1406" s="153">
        <v>0.01</v>
      </c>
      <c r="T1406" s="153">
        <v>0.02</v>
      </c>
      <c r="U1406" s="478">
        <v>2016</v>
      </c>
      <c r="V1406" s="24">
        <f>U1406+20</f>
        <v>2036</v>
      </c>
      <c r="W1406">
        <v>0</v>
      </c>
      <c r="X1406">
        <v>0</v>
      </c>
      <c r="Y1406">
        <v>1315</v>
      </c>
      <c r="Z1406">
        <v>361</v>
      </c>
      <c r="AA1406" s="475" t="s">
        <v>24</v>
      </c>
    </row>
    <row r="1407" spans="1:27" ht="15" hidden="1">
      <c r="A1407" s="24">
        <f t="shared" si="167"/>
        <v>2406</v>
      </c>
      <c r="B1407" s="24">
        <f t="shared" si="167"/>
        <v>2406</v>
      </c>
      <c r="C1407" s="476" t="s">
        <v>1801</v>
      </c>
      <c r="D1407" t="s">
        <v>149</v>
      </c>
      <c r="E1407" s="477">
        <v>2</v>
      </c>
      <c r="F1407" s="471">
        <v>0</v>
      </c>
      <c r="G1407">
        <v>1</v>
      </c>
      <c r="H1407">
        <v>1</v>
      </c>
      <c r="I1407" s="472">
        <f t="shared" si="161"/>
        <v>0.32845968612834514</v>
      </c>
      <c r="J1407" s="153">
        <v>3.8473756479098807E-2</v>
      </c>
      <c r="K1407" s="153">
        <v>0.39358026214566905</v>
      </c>
      <c r="L1407" s="153">
        <v>0.53857526864315253</v>
      </c>
      <c r="M1407" s="153">
        <v>0.3432094572454602</v>
      </c>
      <c r="N1407" s="472">
        <f t="shared" si="162"/>
        <v>0.32845968612834514</v>
      </c>
      <c r="O1407" s="153">
        <v>3.8473756479098807E-2</v>
      </c>
      <c r="P1407" s="153">
        <v>0.39358026214566905</v>
      </c>
      <c r="Q1407" s="153">
        <v>0.53857526864315253</v>
      </c>
      <c r="R1407" s="153">
        <v>0.3432094572454602</v>
      </c>
      <c r="S1407" s="153">
        <v>0.03</v>
      </c>
      <c r="T1407" s="153">
        <v>0</v>
      </c>
      <c r="U1407" s="478">
        <v>2016</v>
      </c>
      <c r="V1407" s="24">
        <v>2035</v>
      </c>
      <c r="W1407">
        <v>0</v>
      </c>
      <c r="X1407">
        <v>0</v>
      </c>
      <c r="Y1407">
        <v>1304</v>
      </c>
      <c r="Z1407">
        <v>311</v>
      </c>
      <c r="AA1407" s="475" t="s">
        <v>23</v>
      </c>
    </row>
    <row r="1408" spans="1:27" ht="15" hidden="1">
      <c r="A1408" s="24">
        <f t="shared" si="167"/>
        <v>2407</v>
      </c>
      <c r="B1408" s="24">
        <f t="shared" si="167"/>
        <v>2407</v>
      </c>
      <c r="C1408" s="476" t="s">
        <v>1802</v>
      </c>
      <c r="D1408" t="s">
        <v>149</v>
      </c>
      <c r="E1408" s="477">
        <v>2</v>
      </c>
      <c r="F1408" s="471">
        <v>11.94</v>
      </c>
      <c r="G1408">
        <v>1</v>
      </c>
      <c r="H1408">
        <v>1</v>
      </c>
      <c r="I1408" s="472">
        <f t="shared" si="161"/>
        <v>0.32845968612834514</v>
      </c>
      <c r="J1408" s="153">
        <v>3.8473756479098807E-2</v>
      </c>
      <c r="K1408" s="153">
        <v>0.39358026214566905</v>
      </c>
      <c r="L1408" s="153">
        <v>0.53857526864315253</v>
      </c>
      <c r="M1408" s="153">
        <v>0.3432094572454602</v>
      </c>
      <c r="N1408" s="472">
        <f t="shared" si="162"/>
        <v>0.32845968612834514</v>
      </c>
      <c r="O1408" s="153">
        <v>3.8473756479098807E-2</v>
      </c>
      <c r="P1408" s="153">
        <v>0.39358026214566905</v>
      </c>
      <c r="Q1408" s="153">
        <v>0.53857526864315253</v>
      </c>
      <c r="R1408" s="153">
        <v>0.3432094572454602</v>
      </c>
      <c r="S1408" s="153">
        <v>0.03</v>
      </c>
      <c r="T1408" s="153">
        <v>0</v>
      </c>
      <c r="U1408" s="478">
        <v>2017</v>
      </c>
      <c r="V1408" s="24">
        <v>2035</v>
      </c>
      <c r="W1408">
        <v>0</v>
      </c>
      <c r="X1408">
        <v>0</v>
      </c>
      <c r="Y1408">
        <v>1304</v>
      </c>
      <c r="Z1408">
        <v>311</v>
      </c>
      <c r="AA1408" s="475" t="s">
        <v>23</v>
      </c>
    </row>
    <row r="1409" spans="1:27" ht="15" hidden="1">
      <c r="A1409" s="24">
        <f t="shared" si="167"/>
        <v>2408</v>
      </c>
      <c r="B1409" s="24">
        <f t="shared" si="167"/>
        <v>2408</v>
      </c>
      <c r="C1409" s="476" t="s">
        <v>1803</v>
      </c>
      <c r="D1409" t="s">
        <v>149</v>
      </c>
      <c r="E1409" s="477">
        <v>2</v>
      </c>
      <c r="F1409" s="471">
        <v>0</v>
      </c>
      <c r="G1409">
        <v>1</v>
      </c>
      <c r="H1409">
        <v>1</v>
      </c>
      <c r="I1409" s="472">
        <f t="shared" si="161"/>
        <v>0.32845968612834514</v>
      </c>
      <c r="J1409" s="153">
        <v>3.8473756479098807E-2</v>
      </c>
      <c r="K1409" s="153">
        <v>0.39358026214566905</v>
      </c>
      <c r="L1409" s="153">
        <v>0.53857526864315253</v>
      </c>
      <c r="M1409" s="153">
        <v>0.3432094572454602</v>
      </c>
      <c r="N1409" s="472">
        <f t="shared" si="162"/>
        <v>0.32845968612834514</v>
      </c>
      <c r="O1409" s="153">
        <v>3.8473756479098807E-2</v>
      </c>
      <c r="P1409" s="153">
        <v>0.39358026214566905</v>
      </c>
      <c r="Q1409" s="153">
        <v>0.53857526864315253</v>
      </c>
      <c r="R1409" s="153">
        <v>0.3432094572454602</v>
      </c>
      <c r="S1409" s="153">
        <v>0.03</v>
      </c>
      <c r="T1409" s="153">
        <v>0</v>
      </c>
      <c r="U1409" s="478">
        <v>2017</v>
      </c>
      <c r="V1409" s="24">
        <v>2035</v>
      </c>
      <c r="W1409">
        <v>0</v>
      </c>
      <c r="X1409">
        <v>0</v>
      </c>
      <c r="Y1409">
        <v>1304</v>
      </c>
      <c r="Z1409">
        <v>311</v>
      </c>
      <c r="AA1409" s="475" t="s">
        <v>23</v>
      </c>
    </row>
    <row r="1410" spans="1:27" ht="15" hidden="1">
      <c r="A1410" s="24">
        <f t="shared" si="167"/>
        <v>2409</v>
      </c>
      <c r="B1410" s="24">
        <f t="shared" si="167"/>
        <v>2409</v>
      </c>
      <c r="C1410" s="476" t="s">
        <v>1804</v>
      </c>
      <c r="D1410" t="s">
        <v>146</v>
      </c>
      <c r="E1410" s="477">
        <v>1</v>
      </c>
      <c r="F1410" s="471">
        <v>7.3</v>
      </c>
      <c r="G1410">
        <v>1</v>
      </c>
      <c r="H1410">
        <v>1</v>
      </c>
      <c r="I1410" s="472">
        <f t="shared" ref="I1410:I1468" si="168">AVERAGE(J1410:M1410)</f>
        <v>0.32845968612834514</v>
      </c>
      <c r="J1410" s="153">
        <v>3.8473756479098807E-2</v>
      </c>
      <c r="K1410" s="153">
        <v>0.39358026214566905</v>
      </c>
      <c r="L1410" s="153">
        <v>0.53857526864315253</v>
      </c>
      <c r="M1410" s="153">
        <v>0.3432094572454602</v>
      </c>
      <c r="N1410" s="472">
        <f t="shared" ref="N1410:N1468" si="169">AVERAGE(O1410:R1410)</f>
        <v>0.32845968612834514</v>
      </c>
      <c r="O1410" s="153">
        <v>3.8473756479098807E-2</v>
      </c>
      <c r="P1410" s="153">
        <v>0.39358026214566905</v>
      </c>
      <c r="Q1410" s="153">
        <v>0.53857526864315253</v>
      </c>
      <c r="R1410" s="153">
        <v>0.3432094572454602</v>
      </c>
      <c r="S1410" s="153">
        <v>0.03</v>
      </c>
      <c r="T1410" s="153">
        <v>0</v>
      </c>
      <c r="U1410" s="478">
        <v>2016</v>
      </c>
      <c r="V1410" s="24">
        <v>2035</v>
      </c>
      <c r="W1410">
        <v>0</v>
      </c>
      <c r="X1410">
        <v>0</v>
      </c>
      <c r="Y1410">
        <v>1304</v>
      </c>
      <c r="Z1410">
        <v>311</v>
      </c>
      <c r="AA1410" s="475" t="s">
        <v>23</v>
      </c>
    </row>
    <row r="1411" spans="1:27" ht="15" hidden="1">
      <c r="A1411" s="24">
        <f t="shared" si="167"/>
        <v>2410</v>
      </c>
      <c r="B1411" s="24">
        <f t="shared" si="167"/>
        <v>2410</v>
      </c>
      <c r="C1411" s="476" t="s">
        <v>1805</v>
      </c>
      <c r="D1411" t="s">
        <v>146</v>
      </c>
      <c r="E1411" s="477">
        <v>1</v>
      </c>
      <c r="F1411" s="471">
        <v>0</v>
      </c>
      <c r="G1411">
        <v>1</v>
      </c>
      <c r="H1411">
        <v>1</v>
      </c>
      <c r="I1411" s="472">
        <f t="shared" si="168"/>
        <v>0.32845968612834514</v>
      </c>
      <c r="J1411" s="153">
        <v>3.8473756479098807E-2</v>
      </c>
      <c r="K1411" s="153">
        <v>0.39358026214566905</v>
      </c>
      <c r="L1411" s="153">
        <v>0.53857526864315253</v>
      </c>
      <c r="M1411" s="153">
        <v>0.3432094572454602</v>
      </c>
      <c r="N1411" s="472">
        <f t="shared" si="169"/>
        <v>0.32845968612834514</v>
      </c>
      <c r="O1411" s="153">
        <v>3.8473756479098807E-2</v>
      </c>
      <c r="P1411" s="153">
        <v>0.39358026214566905</v>
      </c>
      <c r="Q1411" s="153">
        <v>0.53857526864315253</v>
      </c>
      <c r="R1411" s="153">
        <v>0.3432094572454602</v>
      </c>
      <c r="S1411" s="153">
        <v>0.03</v>
      </c>
      <c r="T1411" s="153">
        <v>0</v>
      </c>
      <c r="U1411" s="478">
        <v>2016</v>
      </c>
      <c r="V1411" s="24">
        <v>2035</v>
      </c>
      <c r="W1411">
        <v>0</v>
      </c>
      <c r="X1411">
        <v>0</v>
      </c>
      <c r="Y1411">
        <v>1304</v>
      </c>
      <c r="Z1411">
        <v>311</v>
      </c>
      <c r="AA1411" s="475" t="s">
        <v>23</v>
      </c>
    </row>
    <row r="1412" spans="1:27" ht="15" hidden="1">
      <c r="A1412" s="24">
        <f t="shared" si="167"/>
        <v>2411</v>
      </c>
      <c r="B1412" s="24">
        <f t="shared" si="167"/>
        <v>2411</v>
      </c>
      <c r="C1412" s="476" t="s">
        <v>1806</v>
      </c>
      <c r="D1412" t="s">
        <v>146</v>
      </c>
      <c r="E1412" s="477">
        <v>1</v>
      </c>
      <c r="F1412" s="471">
        <v>1.43</v>
      </c>
      <c r="G1412">
        <v>1</v>
      </c>
      <c r="H1412">
        <v>1</v>
      </c>
      <c r="I1412" s="472">
        <f t="shared" si="168"/>
        <v>0.32845968612834514</v>
      </c>
      <c r="J1412" s="153">
        <v>3.8473756479098807E-2</v>
      </c>
      <c r="K1412" s="153">
        <v>0.39358026214566905</v>
      </c>
      <c r="L1412" s="153">
        <v>0.53857526864315253</v>
      </c>
      <c r="M1412" s="153">
        <v>0.3432094572454602</v>
      </c>
      <c r="N1412" s="472">
        <f t="shared" si="169"/>
        <v>0.32845968612834514</v>
      </c>
      <c r="O1412" s="153">
        <v>3.8473756479098807E-2</v>
      </c>
      <c r="P1412" s="153">
        <v>0.39358026214566905</v>
      </c>
      <c r="Q1412" s="153">
        <v>0.53857526864315253</v>
      </c>
      <c r="R1412" s="153">
        <v>0.3432094572454602</v>
      </c>
      <c r="S1412" s="153">
        <v>0.03</v>
      </c>
      <c r="T1412" s="153">
        <v>0</v>
      </c>
      <c r="U1412" s="478">
        <v>2016</v>
      </c>
      <c r="V1412" s="24">
        <v>2035</v>
      </c>
      <c r="W1412">
        <v>0</v>
      </c>
      <c r="X1412">
        <v>0</v>
      </c>
      <c r="Y1412">
        <v>1304</v>
      </c>
      <c r="Z1412">
        <v>311</v>
      </c>
      <c r="AA1412" s="475" t="s">
        <v>23</v>
      </c>
    </row>
    <row r="1413" spans="1:27" ht="15" hidden="1">
      <c r="A1413" s="24">
        <f t="shared" si="167"/>
        <v>2412</v>
      </c>
      <c r="B1413" s="24">
        <f t="shared" si="167"/>
        <v>2412</v>
      </c>
      <c r="C1413" s="476" t="s">
        <v>1807</v>
      </c>
      <c r="D1413" t="s">
        <v>146</v>
      </c>
      <c r="E1413" s="477">
        <v>1</v>
      </c>
      <c r="F1413" s="471">
        <v>0</v>
      </c>
      <c r="G1413">
        <v>1</v>
      </c>
      <c r="H1413">
        <v>1</v>
      </c>
      <c r="I1413" s="472">
        <f t="shared" si="168"/>
        <v>0.32845968612834514</v>
      </c>
      <c r="J1413" s="153">
        <v>3.8473756479098807E-2</v>
      </c>
      <c r="K1413" s="153">
        <v>0.39358026214566905</v>
      </c>
      <c r="L1413" s="153">
        <v>0.53857526864315253</v>
      </c>
      <c r="M1413" s="153">
        <v>0.3432094572454602</v>
      </c>
      <c r="N1413" s="472">
        <f t="shared" si="169"/>
        <v>0.32845968612834514</v>
      </c>
      <c r="O1413" s="153">
        <v>3.8473756479098807E-2</v>
      </c>
      <c r="P1413" s="153">
        <v>0.39358026214566905</v>
      </c>
      <c r="Q1413" s="153">
        <v>0.53857526864315253</v>
      </c>
      <c r="R1413" s="153">
        <v>0.3432094572454602</v>
      </c>
      <c r="S1413" s="153">
        <v>0.03</v>
      </c>
      <c r="T1413" s="153">
        <v>0</v>
      </c>
      <c r="U1413" s="478">
        <v>2016</v>
      </c>
      <c r="V1413" s="24">
        <v>2035</v>
      </c>
      <c r="W1413">
        <v>0</v>
      </c>
      <c r="X1413">
        <v>0</v>
      </c>
      <c r="Y1413">
        <v>1304</v>
      </c>
      <c r="Z1413">
        <v>311</v>
      </c>
      <c r="AA1413" s="475" t="s">
        <v>23</v>
      </c>
    </row>
    <row r="1414" spans="1:27" ht="15" hidden="1">
      <c r="A1414" s="24">
        <f t="shared" si="167"/>
        <v>2413</v>
      </c>
      <c r="B1414" s="24">
        <f t="shared" si="167"/>
        <v>2413</v>
      </c>
      <c r="C1414" s="476" t="s">
        <v>1808</v>
      </c>
      <c r="D1414" t="s">
        <v>146</v>
      </c>
      <c r="E1414" s="477">
        <v>1</v>
      </c>
      <c r="F1414" s="471">
        <v>14.4</v>
      </c>
      <c r="G1414">
        <v>1</v>
      </c>
      <c r="H1414">
        <v>1</v>
      </c>
      <c r="I1414" s="472">
        <f t="shared" si="168"/>
        <v>0.32845968612834514</v>
      </c>
      <c r="J1414" s="153">
        <v>3.8473756479098807E-2</v>
      </c>
      <c r="K1414" s="153">
        <v>0.39358026214566905</v>
      </c>
      <c r="L1414" s="153">
        <v>0.53857526864315253</v>
      </c>
      <c r="M1414" s="153">
        <v>0.3432094572454602</v>
      </c>
      <c r="N1414" s="472">
        <f t="shared" si="169"/>
        <v>0.32845968612834514</v>
      </c>
      <c r="O1414" s="153">
        <v>3.8473756479098807E-2</v>
      </c>
      <c r="P1414" s="153">
        <v>0.39358026214566905</v>
      </c>
      <c r="Q1414" s="153">
        <v>0.53857526864315253</v>
      </c>
      <c r="R1414" s="153">
        <v>0.3432094572454602</v>
      </c>
      <c r="S1414" s="153">
        <v>0.03</v>
      </c>
      <c r="T1414" s="153">
        <v>0</v>
      </c>
      <c r="U1414" s="478">
        <v>2016</v>
      </c>
      <c r="V1414" s="24">
        <v>2035</v>
      </c>
      <c r="W1414">
        <v>0</v>
      </c>
      <c r="X1414">
        <v>0</v>
      </c>
      <c r="Y1414">
        <v>1304</v>
      </c>
      <c r="Z1414">
        <v>311</v>
      </c>
      <c r="AA1414" s="475" t="s">
        <v>23</v>
      </c>
    </row>
    <row r="1415" spans="1:27" ht="15" hidden="1">
      <c r="A1415" s="24">
        <f t="shared" si="167"/>
        <v>2414</v>
      </c>
      <c r="B1415" s="24">
        <f t="shared" si="167"/>
        <v>2414</v>
      </c>
      <c r="C1415" s="476" t="s">
        <v>1809</v>
      </c>
      <c r="D1415" t="s">
        <v>146</v>
      </c>
      <c r="E1415" s="477">
        <v>1</v>
      </c>
      <c r="F1415" s="471">
        <v>3.5999999999999992</v>
      </c>
      <c r="G1415">
        <v>1</v>
      </c>
      <c r="H1415">
        <v>1</v>
      </c>
      <c r="I1415" s="472">
        <f t="shared" si="168"/>
        <v>0.32845968612834514</v>
      </c>
      <c r="J1415" s="153">
        <v>3.8473756479098807E-2</v>
      </c>
      <c r="K1415" s="153">
        <v>0.39358026214566905</v>
      </c>
      <c r="L1415" s="153">
        <v>0.53857526864315253</v>
      </c>
      <c r="M1415" s="153">
        <v>0.3432094572454602</v>
      </c>
      <c r="N1415" s="472">
        <f t="shared" si="169"/>
        <v>0.32845968612834514</v>
      </c>
      <c r="O1415" s="153">
        <v>3.8473756479098807E-2</v>
      </c>
      <c r="P1415" s="153">
        <v>0.39358026214566905</v>
      </c>
      <c r="Q1415" s="153">
        <v>0.53857526864315253</v>
      </c>
      <c r="R1415" s="153">
        <v>0.3432094572454602</v>
      </c>
      <c r="S1415" s="153">
        <v>0.03</v>
      </c>
      <c r="T1415" s="153">
        <v>0</v>
      </c>
      <c r="U1415" s="478">
        <v>2016</v>
      </c>
      <c r="V1415" s="24">
        <v>2035</v>
      </c>
      <c r="W1415">
        <v>0</v>
      </c>
      <c r="X1415">
        <v>0</v>
      </c>
      <c r="Y1415">
        <v>1304</v>
      </c>
      <c r="Z1415">
        <v>311</v>
      </c>
      <c r="AA1415" s="475" t="s">
        <v>23</v>
      </c>
    </row>
    <row r="1416" spans="1:27" ht="15" hidden="1">
      <c r="A1416" s="24">
        <f t="shared" si="167"/>
        <v>2415</v>
      </c>
      <c r="B1416" s="24">
        <f t="shared" si="167"/>
        <v>2415</v>
      </c>
      <c r="C1416" s="476" t="s">
        <v>1810</v>
      </c>
      <c r="D1416" t="s">
        <v>152</v>
      </c>
      <c r="E1416" s="477">
        <v>3</v>
      </c>
      <c r="F1416" s="471">
        <v>2</v>
      </c>
      <c r="G1416">
        <v>1</v>
      </c>
      <c r="H1416">
        <v>1</v>
      </c>
      <c r="I1416" s="472">
        <f t="shared" si="168"/>
        <v>0.32845968612834514</v>
      </c>
      <c r="J1416" s="153">
        <v>3.8473756479098807E-2</v>
      </c>
      <c r="K1416" s="153">
        <v>0.39358026214566905</v>
      </c>
      <c r="L1416" s="153">
        <v>0.53857526864315253</v>
      </c>
      <c r="M1416" s="153">
        <v>0.3432094572454602</v>
      </c>
      <c r="N1416" s="472">
        <f t="shared" si="169"/>
        <v>0.32845968612834514</v>
      </c>
      <c r="O1416" s="153">
        <v>3.8473756479098807E-2</v>
      </c>
      <c r="P1416" s="153">
        <v>0.39358026214566905</v>
      </c>
      <c r="Q1416" s="153">
        <v>0.53857526864315253</v>
      </c>
      <c r="R1416" s="153">
        <v>0.3432094572454602</v>
      </c>
      <c r="S1416" s="153">
        <v>0.03</v>
      </c>
      <c r="T1416" s="153">
        <v>0</v>
      </c>
      <c r="U1416" s="478">
        <v>1900</v>
      </c>
      <c r="V1416" s="24">
        <v>2030</v>
      </c>
      <c r="W1416">
        <v>0</v>
      </c>
      <c r="X1416">
        <v>0</v>
      </c>
      <c r="Y1416">
        <v>1304</v>
      </c>
      <c r="Z1416">
        <v>311</v>
      </c>
      <c r="AA1416" s="475" t="s">
        <v>23</v>
      </c>
    </row>
    <row r="1417" spans="1:27" ht="15" hidden="1">
      <c r="A1417" s="24">
        <f t="shared" si="167"/>
        <v>2416</v>
      </c>
      <c r="B1417" s="24">
        <f t="shared" si="167"/>
        <v>2416</v>
      </c>
      <c r="C1417" s="476" t="s">
        <v>1811</v>
      </c>
      <c r="D1417" t="s">
        <v>152</v>
      </c>
      <c r="E1417" s="477">
        <v>3</v>
      </c>
      <c r="F1417" s="471">
        <v>27</v>
      </c>
      <c r="G1417">
        <v>1</v>
      </c>
      <c r="H1417">
        <v>1</v>
      </c>
      <c r="I1417" s="472">
        <f t="shared" si="168"/>
        <v>0.47039166666666665</v>
      </c>
      <c r="J1417" s="473">
        <v>0.36503333333333332</v>
      </c>
      <c r="K1417" s="473">
        <v>0.44336666666666663</v>
      </c>
      <c r="L1417" s="473">
        <v>0.58906666666666663</v>
      </c>
      <c r="M1417" s="473">
        <v>0.48410000000000003</v>
      </c>
      <c r="N1417" s="472">
        <f t="shared" si="169"/>
        <v>0.47039166666666665</v>
      </c>
      <c r="O1417" s="473">
        <v>0.36503333333333332</v>
      </c>
      <c r="P1417" s="473">
        <v>0.44336666666666663</v>
      </c>
      <c r="Q1417" s="473">
        <v>0.58906666666666663</v>
      </c>
      <c r="R1417" s="473">
        <v>0.48410000000000003</v>
      </c>
      <c r="S1417" s="153">
        <v>0.01</v>
      </c>
      <c r="T1417" s="153">
        <v>0.02</v>
      </c>
      <c r="U1417" s="478">
        <v>2016</v>
      </c>
      <c r="V1417" s="24">
        <f>U1417+20</f>
        <v>2036</v>
      </c>
      <c r="W1417">
        <v>0</v>
      </c>
      <c r="X1417">
        <v>0</v>
      </c>
      <c r="Y1417">
        <v>1315</v>
      </c>
      <c r="Z1417">
        <v>361</v>
      </c>
      <c r="AA1417" s="475" t="s">
        <v>24</v>
      </c>
    </row>
    <row r="1418" spans="1:27" ht="15" hidden="1">
      <c r="A1418" s="24">
        <f t="shared" ref="A1418:B1435" si="170">1000+ROW()-1</f>
        <v>2417</v>
      </c>
      <c r="B1418" s="24">
        <f t="shared" si="170"/>
        <v>2417</v>
      </c>
      <c r="C1418" s="476" t="s">
        <v>1812</v>
      </c>
      <c r="D1418" t="s">
        <v>152</v>
      </c>
      <c r="E1418" s="477">
        <v>3</v>
      </c>
      <c r="F1418" s="471">
        <v>0</v>
      </c>
      <c r="G1418">
        <v>1</v>
      </c>
      <c r="H1418">
        <v>1</v>
      </c>
      <c r="I1418" s="472">
        <f t="shared" si="168"/>
        <v>0.32845968612834514</v>
      </c>
      <c r="J1418" s="153">
        <v>3.8473756479098807E-2</v>
      </c>
      <c r="K1418" s="153">
        <v>0.39358026214566905</v>
      </c>
      <c r="L1418" s="153">
        <v>0.53857526864315253</v>
      </c>
      <c r="M1418" s="153">
        <v>0.3432094572454602</v>
      </c>
      <c r="N1418" s="472">
        <f t="shared" si="169"/>
        <v>0.32845968612834514</v>
      </c>
      <c r="O1418" s="153">
        <v>3.8473756479098807E-2</v>
      </c>
      <c r="P1418" s="153">
        <v>0.39358026214566905</v>
      </c>
      <c r="Q1418" s="153">
        <v>0.53857526864315253</v>
      </c>
      <c r="R1418" s="153">
        <v>0.3432094572454602</v>
      </c>
      <c r="S1418" s="153">
        <v>0.03</v>
      </c>
      <c r="T1418" s="153">
        <v>0</v>
      </c>
      <c r="U1418" s="478">
        <v>1900</v>
      </c>
      <c r="V1418" s="24">
        <v>2030</v>
      </c>
      <c r="W1418">
        <v>0</v>
      </c>
      <c r="X1418">
        <v>0</v>
      </c>
      <c r="Y1418">
        <v>1304</v>
      </c>
      <c r="Z1418">
        <v>311</v>
      </c>
      <c r="AA1418" s="475" t="s">
        <v>23</v>
      </c>
    </row>
    <row r="1419" spans="1:27" ht="15" hidden="1">
      <c r="A1419" s="24">
        <f t="shared" si="170"/>
        <v>2418</v>
      </c>
      <c r="B1419" s="24">
        <f t="shared" si="170"/>
        <v>2418</v>
      </c>
      <c r="C1419" s="476" t="s">
        <v>1813</v>
      </c>
      <c r="D1419" t="s">
        <v>152</v>
      </c>
      <c r="E1419" s="477">
        <v>3</v>
      </c>
      <c r="F1419" s="471">
        <v>2.8</v>
      </c>
      <c r="G1419">
        <v>1</v>
      </c>
      <c r="H1419">
        <v>1</v>
      </c>
      <c r="I1419" s="472">
        <f t="shared" si="168"/>
        <v>0.32845968612834514</v>
      </c>
      <c r="J1419" s="153">
        <v>3.8473756479098807E-2</v>
      </c>
      <c r="K1419" s="153">
        <v>0.39358026214566905</v>
      </c>
      <c r="L1419" s="153">
        <v>0.53857526864315253</v>
      </c>
      <c r="M1419" s="153">
        <v>0.3432094572454602</v>
      </c>
      <c r="N1419" s="472">
        <f t="shared" si="169"/>
        <v>0.32845968612834514</v>
      </c>
      <c r="O1419" s="153">
        <v>3.8473756479098807E-2</v>
      </c>
      <c r="P1419" s="153">
        <v>0.39358026214566905</v>
      </c>
      <c r="Q1419" s="153">
        <v>0.53857526864315253</v>
      </c>
      <c r="R1419" s="153">
        <v>0.3432094572454602</v>
      </c>
      <c r="S1419" s="153">
        <v>0.03</v>
      </c>
      <c r="T1419" s="153">
        <v>0</v>
      </c>
      <c r="U1419" s="478">
        <v>1900</v>
      </c>
      <c r="V1419" s="24">
        <v>2030</v>
      </c>
      <c r="W1419">
        <v>0</v>
      </c>
      <c r="X1419">
        <v>0</v>
      </c>
      <c r="Y1419">
        <v>1304</v>
      </c>
      <c r="Z1419">
        <v>311</v>
      </c>
      <c r="AA1419" s="475" t="s">
        <v>23</v>
      </c>
    </row>
    <row r="1420" spans="1:27" ht="15" hidden="1">
      <c r="A1420" s="24">
        <f t="shared" si="170"/>
        <v>2419</v>
      </c>
      <c r="B1420" s="24">
        <f t="shared" si="170"/>
        <v>2419</v>
      </c>
      <c r="C1420" s="476" t="s">
        <v>1814</v>
      </c>
      <c r="D1420" t="s">
        <v>152</v>
      </c>
      <c r="E1420" s="477">
        <v>3</v>
      </c>
      <c r="F1420" s="471">
        <v>0</v>
      </c>
      <c r="G1420">
        <v>1</v>
      </c>
      <c r="H1420">
        <v>1</v>
      </c>
      <c r="I1420" s="472">
        <f t="shared" si="168"/>
        <v>0.32845968612834514</v>
      </c>
      <c r="J1420" s="153">
        <v>3.8473756479098807E-2</v>
      </c>
      <c r="K1420" s="153">
        <v>0.39358026214566905</v>
      </c>
      <c r="L1420" s="153">
        <v>0.53857526864315253</v>
      </c>
      <c r="M1420" s="153">
        <v>0.3432094572454602</v>
      </c>
      <c r="N1420" s="472">
        <f t="shared" si="169"/>
        <v>0.32845968612834514</v>
      </c>
      <c r="O1420" s="153">
        <v>3.8473756479098807E-2</v>
      </c>
      <c r="P1420" s="153">
        <v>0.39358026214566905</v>
      </c>
      <c r="Q1420" s="153">
        <v>0.53857526864315253</v>
      </c>
      <c r="R1420" s="153">
        <v>0.3432094572454602</v>
      </c>
      <c r="S1420" s="153">
        <v>0.03</v>
      </c>
      <c r="T1420" s="153">
        <v>0</v>
      </c>
      <c r="U1420" s="478">
        <v>1900</v>
      </c>
      <c r="V1420" s="24">
        <v>2030</v>
      </c>
      <c r="W1420">
        <v>0</v>
      </c>
      <c r="X1420">
        <v>0</v>
      </c>
      <c r="Y1420">
        <v>1304</v>
      </c>
      <c r="Z1420">
        <v>311</v>
      </c>
      <c r="AA1420" s="475" t="s">
        <v>23</v>
      </c>
    </row>
    <row r="1421" spans="1:27" ht="15" hidden="1">
      <c r="A1421" s="24">
        <f t="shared" si="170"/>
        <v>2420</v>
      </c>
      <c r="B1421" s="24">
        <f t="shared" si="170"/>
        <v>2420</v>
      </c>
      <c r="C1421" s="476" t="s">
        <v>1815</v>
      </c>
      <c r="D1421" t="s">
        <v>152</v>
      </c>
      <c r="E1421" s="477">
        <v>3</v>
      </c>
      <c r="F1421" s="471">
        <v>12</v>
      </c>
      <c r="G1421">
        <v>1</v>
      </c>
      <c r="H1421">
        <v>1</v>
      </c>
      <c r="I1421" s="472">
        <f t="shared" si="168"/>
        <v>0.32845968612834514</v>
      </c>
      <c r="J1421" s="153">
        <v>3.8473756479098807E-2</v>
      </c>
      <c r="K1421" s="153">
        <v>0.39358026214566905</v>
      </c>
      <c r="L1421" s="153">
        <v>0.53857526864315253</v>
      </c>
      <c r="M1421" s="153">
        <v>0.3432094572454602</v>
      </c>
      <c r="N1421" s="472">
        <f t="shared" si="169"/>
        <v>0.32845968612834514</v>
      </c>
      <c r="O1421" s="153">
        <v>3.8473756479098807E-2</v>
      </c>
      <c r="P1421" s="153">
        <v>0.39358026214566905</v>
      </c>
      <c r="Q1421" s="153">
        <v>0.53857526864315253</v>
      </c>
      <c r="R1421" s="153">
        <v>0.3432094572454602</v>
      </c>
      <c r="S1421" s="153">
        <v>0.03</v>
      </c>
      <c r="T1421" s="153">
        <v>0</v>
      </c>
      <c r="U1421" s="478">
        <v>2016</v>
      </c>
      <c r="V1421" s="24">
        <v>2035</v>
      </c>
      <c r="W1421">
        <v>0</v>
      </c>
      <c r="X1421">
        <v>0</v>
      </c>
      <c r="Y1421">
        <v>1304</v>
      </c>
      <c r="Z1421">
        <v>311</v>
      </c>
      <c r="AA1421" s="475" t="s">
        <v>23</v>
      </c>
    </row>
    <row r="1422" spans="1:27" ht="15" hidden="1">
      <c r="A1422" s="24">
        <f t="shared" si="170"/>
        <v>2421</v>
      </c>
      <c r="B1422" s="24">
        <f t="shared" si="170"/>
        <v>2421</v>
      </c>
      <c r="C1422" s="476" t="s">
        <v>1816</v>
      </c>
      <c r="D1422" t="s">
        <v>152</v>
      </c>
      <c r="E1422" s="477">
        <v>3</v>
      </c>
      <c r="F1422" s="471">
        <v>0</v>
      </c>
      <c r="G1422">
        <v>1</v>
      </c>
      <c r="H1422">
        <v>1</v>
      </c>
      <c r="I1422" s="472">
        <f t="shared" si="168"/>
        <v>0.32845968612834514</v>
      </c>
      <c r="J1422" s="153">
        <v>3.8473756479098807E-2</v>
      </c>
      <c r="K1422" s="153">
        <v>0.39358026214566905</v>
      </c>
      <c r="L1422" s="153">
        <v>0.53857526864315253</v>
      </c>
      <c r="M1422" s="153">
        <v>0.3432094572454602</v>
      </c>
      <c r="N1422" s="472">
        <f t="shared" si="169"/>
        <v>0.32845968612834514</v>
      </c>
      <c r="O1422" s="153">
        <v>3.8473756479098807E-2</v>
      </c>
      <c r="P1422" s="153">
        <v>0.39358026214566905</v>
      </c>
      <c r="Q1422" s="153">
        <v>0.53857526864315253</v>
      </c>
      <c r="R1422" s="153">
        <v>0.3432094572454602</v>
      </c>
      <c r="S1422" s="153">
        <v>0.03</v>
      </c>
      <c r="T1422" s="153">
        <v>0</v>
      </c>
      <c r="U1422" s="478">
        <v>2016</v>
      </c>
      <c r="V1422" s="24">
        <v>2035</v>
      </c>
      <c r="W1422">
        <v>0</v>
      </c>
      <c r="X1422">
        <v>0</v>
      </c>
      <c r="Y1422">
        <v>1304</v>
      </c>
      <c r="Z1422">
        <v>311</v>
      </c>
      <c r="AA1422" s="475" t="s">
        <v>23</v>
      </c>
    </row>
    <row r="1423" spans="1:27" ht="15" hidden="1">
      <c r="A1423" s="24">
        <f t="shared" si="170"/>
        <v>2422</v>
      </c>
      <c r="B1423" s="24">
        <f t="shared" si="170"/>
        <v>2422</v>
      </c>
      <c r="C1423" s="476" t="s">
        <v>1817</v>
      </c>
      <c r="D1423" t="s">
        <v>152</v>
      </c>
      <c r="E1423" s="477">
        <v>3</v>
      </c>
      <c r="F1423" s="471">
        <v>12</v>
      </c>
      <c r="G1423">
        <v>1</v>
      </c>
      <c r="H1423">
        <v>1</v>
      </c>
      <c r="I1423" s="472">
        <f t="shared" si="168"/>
        <v>0.32845968612834514</v>
      </c>
      <c r="J1423" s="153">
        <v>3.8473756479098807E-2</v>
      </c>
      <c r="K1423" s="153">
        <v>0.39358026214566905</v>
      </c>
      <c r="L1423" s="153">
        <v>0.53857526864315253</v>
      </c>
      <c r="M1423" s="153">
        <v>0.3432094572454602</v>
      </c>
      <c r="N1423" s="472">
        <f t="shared" si="169"/>
        <v>0.32845968612834514</v>
      </c>
      <c r="O1423" s="153">
        <v>3.8473756479098807E-2</v>
      </c>
      <c r="P1423" s="153">
        <v>0.39358026214566905</v>
      </c>
      <c r="Q1423" s="153">
        <v>0.53857526864315253</v>
      </c>
      <c r="R1423" s="153">
        <v>0.3432094572454602</v>
      </c>
      <c r="S1423" s="153">
        <v>0.03</v>
      </c>
      <c r="T1423" s="153">
        <v>0</v>
      </c>
      <c r="U1423" s="478">
        <v>2016</v>
      </c>
      <c r="V1423" s="24">
        <v>2035</v>
      </c>
      <c r="W1423">
        <v>0</v>
      </c>
      <c r="X1423">
        <v>0</v>
      </c>
      <c r="Y1423">
        <v>1304</v>
      </c>
      <c r="Z1423">
        <v>311</v>
      </c>
      <c r="AA1423" s="475" t="s">
        <v>23</v>
      </c>
    </row>
    <row r="1424" spans="1:27" ht="15" hidden="1">
      <c r="A1424" s="24">
        <f t="shared" si="170"/>
        <v>2423</v>
      </c>
      <c r="B1424" s="24">
        <f t="shared" si="170"/>
        <v>2423</v>
      </c>
      <c r="C1424" s="476" t="s">
        <v>1818</v>
      </c>
      <c r="D1424" t="s">
        <v>152</v>
      </c>
      <c r="E1424" s="477">
        <v>3</v>
      </c>
      <c r="F1424" s="471">
        <v>0</v>
      </c>
      <c r="G1424">
        <v>1</v>
      </c>
      <c r="H1424">
        <v>1</v>
      </c>
      <c r="I1424" s="472">
        <f t="shared" si="168"/>
        <v>0.32845968612834514</v>
      </c>
      <c r="J1424" s="153">
        <v>3.8473756479098807E-2</v>
      </c>
      <c r="K1424" s="153">
        <v>0.39358026214566905</v>
      </c>
      <c r="L1424" s="153">
        <v>0.53857526864315253</v>
      </c>
      <c r="M1424" s="153">
        <v>0.3432094572454602</v>
      </c>
      <c r="N1424" s="472">
        <f t="shared" si="169"/>
        <v>0.32845968612834514</v>
      </c>
      <c r="O1424" s="153">
        <v>3.8473756479098807E-2</v>
      </c>
      <c r="P1424" s="153">
        <v>0.39358026214566905</v>
      </c>
      <c r="Q1424" s="153">
        <v>0.53857526864315253</v>
      </c>
      <c r="R1424" s="153">
        <v>0.3432094572454602</v>
      </c>
      <c r="S1424" s="153">
        <v>0.03</v>
      </c>
      <c r="T1424" s="153">
        <v>0</v>
      </c>
      <c r="U1424" s="478">
        <v>2016</v>
      </c>
      <c r="V1424" s="24">
        <v>2035</v>
      </c>
      <c r="W1424">
        <v>0</v>
      </c>
      <c r="X1424">
        <v>0</v>
      </c>
      <c r="Y1424">
        <v>1304</v>
      </c>
      <c r="Z1424">
        <v>311</v>
      </c>
      <c r="AA1424" s="475" t="s">
        <v>23</v>
      </c>
    </row>
    <row r="1425" spans="1:27" ht="15" hidden="1">
      <c r="A1425" s="24">
        <f t="shared" si="170"/>
        <v>2424</v>
      </c>
      <c r="B1425" s="24">
        <f t="shared" si="170"/>
        <v>2424</v>
      </c>
      <c r="C1425" s="476" t="s">
        <v>1819</v>
      </c>
      <c r="D1425" t="s">
        <v>149</v>
      </c>
      <c r="E1425" s="477">
        <v>2</v>
      </c>
      <c r="F1425" s="471">
        <v>165</v>
      </c>
      <c r="G1425">
        <v>1</v>
      </c>
      <c r="H1425">
        <v>1</v>
      </c>
      <c r="I1425" s="472">
        <f t="shared" si="168"/>
        <v>0.32845968612834514</v>
      </c>
      <c r="J1425" s="153">
        <v>3.8473756479098807E-2</v>
      </c>
      <c r="K1425" s="153">
        <v>0.39358026214566905</v>
      </c>
      <c r="L1425" s="153">
        <v>0.53857526864315253</v>
      </c>
      <c r="M1425" s="153">
        <v>0.3432094572454602</v>
      </c>
      <c r="N1425" s="472">
        <f t="shared" si="169"/>
        <v>0.32845968612834514</v>
      </c>
      <c r="O1425" s="153">
        <v>3.8473756479098807E-2</v>
      </c>
      <c r="P1425" s="153">
        <v>0.39358026214566905</v>
      </c>
      <c r="Q1425" s="153">
        <v>0.53857526864315253</v>
      </c>
      <c r="R1425" s="153">
        <v>0.3432094572454602</v>
      </c>
      <c r="S1425" s="153">
        <v>0.03</v>
      </c>
      <c r="T1425" s="153">
        <v>0</v>
      </c>
      <c r="U1425" s="478">
        <v>2016</v>
      </c>
      <c r="V1425" s="24">
        <v>2035</v>
      </c>
      <c r="W1425">
        <v>0</v>
      </c>
      <c r="X1425">
        <v>0</v>
      </c>
      <c r="Y1425">
        <v>1304</v>
      </c>
      <c r="Z1425">
        <v>311</v>
      </c>
      <c r="AA1425" s="475" t="s">
        <v>23</v>
      </c>
    </row>
    <row r="1426" spans="1:27" ht="15" hidden="1">
      <c r="A1426" s="24">
        <f t="shared" si="170"/>
        <v>2425</v>
      </c>
      <c r="B1426" s="24">
        <f t="shared" si="170"/>
        <v>2425</v>
      </c>
      <c r="C1426" s="476" t="s">
        <v>1820</v>
      </c>
      <c r="D1426" t="s">
        <v>149</v>
      </c>
      <c r="E1426" s="477">
        <v>2</v>
      </c>
      <c r="F1426" s="471">
        <v>0</v>
      </c>
      <c r="G1426">
        <v>1</v>
      </c>
      <c r="H1426">
        <v>1</v>
      </c>
      <c r="I1426" s="472">
        <f t="shared" si="168"/>
        <v>0.32845968612834514</v>
      </c>
      <c r="J1426" s="153">
        <v>3.8473756479098807E-2</v>
      </c>
      <c r="K1426" s="153">
        <v>0.39358026214566905</v>
      </c>
      <c r="L1426" s="153">
        <v>0.53857526864315253</v>
      </c>
      <c r="M1426" s="153">
        <v>0.3432094572454602</v>
      </c>
      <c r="N1426" s="472">
        <f t="shared" si="169"/>
        <v>0.32845968612834514</v>
      </c>
      <c r="O1426" s="153">
        <v>3.8473756479098807E-2</v>
      </c>
      <c r="P1426" s="153">
        <v>0.39358026214566905</v>
      </c>
      <c r="Q1426" s="153">
        <v>0.53857526864315253</v>
      </c>
      <c r="R1426" s="153">
        <v>0.3432094572454602</v>
      </c>
      <c r="S1426" s="153">
        <v>0.03</v>
      </c>
      <c r="T1426" s="153">
        <v>0</v>
      </c>
      <c r="U1426" s="478">
        <v>2016</v>
      </c>
      <c r="V1426" s="24">
        <v>2035</v>
      </c>
      <c r="W1426">
        <v>0</v>
      </c>
      <c r="X1426">
        <v>0</v>
      </c>
      <c r="Y1426">
        <v>1304</v>
      </c>
      <c r="Z1426">
        <v>311</v>
      </c>
      <c r="AA1426" s="475" t="s">
        <v>23</v>
      </c>
    </row>
    <row r="1427" spans="1:27" ht="15" hidden="1">
      <c r="A1427" s="24">
        <f t="shared" si="170"/>
        <v>2426</v>
      </c>
      <c r="B1427" s="24">
        <f t="shared" si="170"/>
        <v>2426</v>
      </c>
      <c r="C1427" s="476" t="s">
        <v>1821</v>
      </c>
      <c r="D1427" t="s">
        <v>149</v>
      </c>
      <c r="E1427" s="477">
        <v>2</v>
      </c>
      <c r="F1427" s="471">
        <v>165</v>
      </c>
      <c r="G1427">
        <v>1</v>
      </c>
      <c r="H1427">
        <v>1</v>
      </c>
      <c r="I1427" s="472">
        <f t="shared" si="168"/>
        <v>0.32845968612834514</v>
      </c>
      <c r="J1427" s="153">
        <v>3.8473756479098807E-2</v>
      </c>
      <c r="K1427" s="153">
        <v>0.39358026214566905</v>
      </c>
      <c r="L1427" s="153">
        <v>0.53857526864315253</v>
      </c>
      <c r="M1427" s="153">
        <v>0.3432094572454602</v>
      </c>
      <c r="N1427" s="472">
        <f t="shared" si="169"/>
        <v>0.32845968612834514</v>
      </c>
      <c r="O1427" s="153">
        <v>3.8473756479098807E-2</v>
      </c>
      <c r="P1427" s="153">
        <v>0.39358026214566905</v>
      </c>
      <c r="Q1427" s="153">
        <v>0.53857526864315253</v>
      </c>
      <c r="R1427" s="153">
        <v>0.3432094572454602</v>
      </c>
      <c r="S1427" s="153">
        <v>0.03</v>
      </c>
      <c r="T1427" s="153">
        <v>0</v>
      </c>
      <c r="U1427" s="478">
        <v>2016</v>
      </c>
      <c r="V1427" s="24">
        <v>2035</v>
      </c>
      <c r="W1427">
        <v>0</v>
      </c>
      <c r="X1427">
        <v>0</v>
      </c>
      <c r="Y1427">
        <v>1304</v>
      </c>
      <c r="Z1427">
        <v>311</v>
      </c>
      <c r="AA1427" s="475" t="s">
        <v>23</v>
      </c>
    </row>
    <row r="1428" spans="1:27" ht="15" hidden="1">
      <c r="A1428" s="24">
        <f t="shared" si="170"/>
        <v>2427</v>
      </c>
      <c r="B1428" s="24">
        <f t="shared" si="170"/>
        <v>2427</v>
      </c>
      <c r="C1428" s="476" t="s">
        <v>1822</v>
      </c>
      <c r="D1428" t="s">
        <v>149</v>
      </c>
      <c r="E1428" s="477">
        <v>2</v>
      </c>
      <c r="F1428" s="471">
        <v>0</v>
      </c>
      <c r="G1428">
        <v>1</v>
      </c>
      <c r="H1428">
        <v>1</v>
      </c>
      <c r="I1428" s="472">
        <f t="shared" si="168"/>
        <v>0.32845968612834514</v>
      </c>
      <c r="J1428" s="153">
        <v>3.8473756479098807E-2</v>
      </c>
      <c r="K1428" s="153">
        <v>0.39358026214566905</v>
      </c>
      <c r="L1428" s="153">
        <v>0.53857526864315253</v>
      </c>
      <c r="M1428" s="153">
        <v>0.3432094572454602</v>
      </c>
      <c r="N1428" s="472">
        <f t="shared" si="169"/>
        <v>0.32845968612834514</v>
      </c>
      <c r="O1428" s="153">
        <v>3.8473756479098807E-2</v>
      </c>
      <c r="P1428" s="153">
        <v>0.39358026214566905</v>
      </c>
      <c r="Q1428" s="153">
        <v>0.53857526864315253</v>
      </c>
      <c r="R1428" s="153">
        <v>0.3432094572454602</v>
      </c>
      <c r="S1428" s="153">
        <v>0.03</v>
      </c>
      <c r="T1428" s="153">
        <v>0</v>
      </c>
      <c r="U1428" s="478">
        <v>2016</v>
      </c>
      <c r="V1428" s="24">
        <v>2035</v>
      </c>
      <c r="W1428">
        <v>0</v>
      </c>
      <c r="X1428">
        <v>0</v>
      </c>
      <c r="Y1428">
        <v>1304</v>
      </c>
      <c r="Z1428">
        <v>311</v>
      </c>
      <c r="AA1428" s="475" t="s">
        <v>23</v>
      </c>
    </row>
    <row r="1429" spans="1:27" ht="15" hidden="1">
      <c r="A1429" s="24">
        <f t="shared" si="170"/>
        <v>2428</v>
      </c>
      <c r="B1429" s="24">
        <f t="shared" si="170"/>
        <v>2428</v>
      </c>
      <c r="C1429" s="476" t="s">
        <v>1823</v>
      </c>
      <c r="D1429" t="s">
        <v>146</v>
      </c>
      <c r="E1429" s="477">
        <v>1</v>
      </c>
      <c r="F1429" s="471">
        <v>25</v>
      </c>
      <c r="G1429">
        <v>1</v>
      </c>
      <c r="H1429">
        <v>1</v>
      </c>
      <c r="I1429" s="472">
        <f t="shared" si="168"/>
        <v>0.32845968612834514</v>
      </c>
      <c r="J1429" s="153">
        <v>3.8473756479098807E-2</v>
      </c>
      <c r="K1429" s="153">
        <v>0.39358026214566905</v>
      </c>
      <c r="L1429" s="153">
        <v>0.53857526864315253</v>
      </c>
      <c r="M1429" s="153">
        <v>0.3432094572454602</v>
      </c>
      <c r="N1429" s="472">
        <f t="shared" si="169"/>
        <v>0.32845968612834514</v>
      </c>
      <c r="O1429" s="153">
        <v>3.8473756479098807E-2</v>
      </c>
      <c r="P1429" s="153">
        <v>0.39358026214566905</v>
      </c>
      <c r="Q1429" s="153">
        <v>0.53857526864315253</v>
      </c>
      <c r="R1429" s="153">
        <v>0.3432094572454602</v>
      </c>
      <c r="S1429" s="153">
        <v>0.03</v>
      </c>
      <c r="T1429" s="153">
        <v>0</v>
      </c>
      <c r="U1429" s="478">
        <v>2016</v>
      </c>
      <c r="V1429" s="24">
        <v>2035</v>
      </c>
      <c r="W1429">
        <v>0</v>
      </c>
      <c r="X1429">
        <v>0</v>
      </c>
      <c r="Y1429">
        <v>1304</v>
      </c>
      <c r="Z1429">
        <v>311</v>
      </c>
      <c r="AA1429" s="475" t="s">
        <v>23</v>
      </c>
    </row>
    <row r="1430" spans="1:27" ht="15" hidden="1">
      <c r="A1430" s="24">
        <f t="shared" si="170"/>
        <v>2429</v>
      </c>
      <c r="B1430" s="24">
        <f t="shared" si="170"/>
        <v>2429</v>
      </c>
      <c r="C1430" s="476" t="s">
        <v>1824</v>
      </c>
      <c r="D1430" t="s">
        <v>152</v>
      </c>
      <c r="E1430" s="477">
        <v>3</v>
      </c>
      <c r="F1430" s="471">
        <v>12</v>
      </c>
      <c r="G1430">
        <v>1</v>
      </c>
      <c r="H1430">
        <v>1</v>
      </c>
      <c r="I1430" s="472">
        <f t="shared" si="168"/>
        <v>0.47039166666666665</v>
      </c>
      <c r="J1430" s="473">
        <v>0.36503333333333332</v>
      </c>
      <c r="K1430" s="473">
        <v>0.44336666666666663</v>
      </c>
      <c r="L1430" s="473">
        <v>0.58906666666666663</v>
      </c>
      <c r="M1430" s="473">
        <v>0.48410000000000003</v>
      </c>
      <c r="N1430" s="472">
        <f t="shared" si="169"/>
        <v>0.47039166666666665</v>
      </c>
      <c r="O1430" s="473">
        <v>0.36503333333333332</v>
      </c>
      <c r="P1430" s="473">
        <v>0.44336666666666663</v>
      </c>
      <c r="Q1430" s="473">
        <v>0.58906666666666663</v>
      </c>
      <c r="R1430" s="473">
        <v>0.48410000000000003</v>
      </c>
      <c r="S1430" s="153">
        <v>0.01</v>
      </c>
      <c r="T1430" s="153">
        <v>0.02</v>
      </c>
      <c r="U1430" s="478">
        <v>2016</v>
      </c>
      <c r="V1430" s="24">
        <f t="shared" ref="V1430:V1431" si="171">U1430+20</f>
        <v>2036</v>
      </c>
      <c r="W1430">
        <v>0</v>
      </c>
      <c r="X1430">
        <v>0</v>
      </c>
      <c r="Y1430">
        <v>1315</v>
      </c>
      <c r="Z1430">
        <v>361</v>
      </c>
      <c r="AA1430" s="475" t="s">
        <v>24</v>
      </c>
    </row>
    <row r="1431" spans="1:27" ht="15" hidden="1">
      <c r="A1431" s="24">
        <f t="shared" si="170"/>
        <v>2430</v>
      </c>
      <c r="B1431" s="24">
        <f t="shared" si="170"/>
        <v>2430</v>
      </c>
      <c r="C1431" s="476" t="s">
        <v>1825</v>
      </c>
      <c r="D1431" t="s">
        <v>152</v>
      </c>
      <c r="E1431" s="477">
        <v>3</v>
      </c>
      <c r="F1431" s="471">
        <v>6</v>
      </c>
      <c r="G1431">
        <v>1</v>
      </c>
      <c r="H1431">
        <v>1</v>
      </c>
      <c r="I1431" s="472">
        <f t="shared" si="168"/>
        <v>0.47039166666666665</v>
      </c>
      <c r="J1431" s="473">
        <v>0.36503333333333332</v>
      </c>
      <c r="K1431" s="473">
        <v>0.44336666666666663</v>
      </c>
      <c r="L1431" s="473">
        <v>0.58906666666666663</v>
      </c>
      <c r="M1431" s="473">
        <v>0.48410000000000003</v>
      </c>
      <c r="N1431" s="472">
        <f t="shared" si="169"/>
        <v>0.47039166666666665</v>
      </c>
      <c r="O1431" s="473">
        <v>0.36503333333333332</v>
      </c>
      <c r="P1431" s="473">
        <v>0.44336666666666663</v>
      </c>
      <c r="Q1431" s="473">
        <v>0.58906666666666663</v>
      </c>
      <c r="R1431" s="473">
        <v>0.48410000000000003</v>
      </c>
      <c r="S1431" s="153">
        <v>0.01</v>
      </c>
      <c r="T1431" s="153">
        <v>0.02</v>
      </c>
      <c r="U1431" s="478">
        <v>2016</v>
      </c>
      <c r="V1431" s="24">
        <f t="shared" si="171"/>
        <v>2036</v>
      </c>
      <c r="W1431">
        <v>0</v>
      </c>
      <c r="X1431">
        <v>0</v>
      </c>
      <c r="Y1431">
        <v>1315</v>
      </c>
      <c r="Z1431">
        <v>361</v>
      </c>
      <c r="AA1431" s="475" t="s">
        <v>24</v>
      </c>
    </row>
    <row r="1432" spans="1:27" ht="15" hidden="1">
      <c r="A1432" s="24">
        <f t="shared" si="170"/>
        <v>2431</v>
      </c>
      <c r="B1432" s="24">
        <f t="shared" si="170"/>
        <v>2431</v>
      </c>
      <c r="C1432" s="476" t="s">
        <v>1826</v>
      </c>
      <c r="D1432" t="s">
        <v>146</v>
      </c>
      <c r="E1432" s="477">
        <v>1</v>
      </c>
      <c r="F1432" s="471">
        <v>0</v>
      </c>
      <c r="G1432">
        <v>1</v>
      </c>
      <c r="H1432">
        <v>1</v>
      </c>
      <c r="I1432" s="472">
        <f t="shared" si="168"/>
        <v>0.32845968612834514</v>
      </c>
      <c r="J1432" s="153">
        <v>3.8473756479098807E-2</v>
      </c>
      <c r="K1432" s="153">
        <v>0.39358026214566905</v>
      </c>
      <c r="L1432" s="153">
        <v>0.53857526864315253</v>
      </c>
      <c r="M1432" s="153">
        <v>0.3432094572454602</v>
      </c>
      <c r="N1432" s="472">
        <f t="shared" si="169"/>
        <v>0.32845968612834514</v>
      </c>
      <c r="O1432" s="153">
        <v>3.8473756479098807E-2</v>
      </c>
      <c r="P1432" s="153">
        <v>0.39358026214566905</v>
      </c>
      <c r="Q1432" s="153">
        <v>0.53857526864315253</v>
      </c>
      <c r="R1432" s="153">
        <v>0.3432094572454602</v>
      </c>
      <c r="S1432" s="153">
        <v>0.03</v>
      </c>
      <c r="T1432" s="153">
        <v>0</v>
      </c>
      <c r="U1432" s="478">
        <v>2016</v>
      </c>
      <c r="V1432" s="24">
        <v>2035</v>
      </c>
      <c r="W1432">
        <v>0</v>
      </c>
      <c r="X1432">
        <v>0</v>
      </c>
      <c r="Y1432">
        <v>1304</v>
      </c>
      <c r="Z1432">
        <v>311</v>
      </c>
      <c r="AA1432" s="475" t="s">
        <v>23</v>
      </c>
    </row>
    <row r="1433" spans="1:27" ht="15" hidden="1">
      <c r="A1433" s="24">
        <f t="shared" si="170"/>
        <v>2432</v>
      </c>
      <c r="B1433" s="24">
        <f t="shared" si="170"/>
        <v>2432</v>
      </c>
      <c r="C1433" s="476" t="s">
        <v>1827</v>
      </c>
      <c r="D1433" t="s">
        <v>146</v>
      </c>
      <c r="E1433" s="477">
        <v>1</v>
      </c>
      <c r="F1433" s="471">
        <v>3.724137931034484</v>
      </c>
      <c r="G1433">
        <v>1</v>
      </c>
      <c r="H1433">
        <v>1</v>
      </c>
      <c r="I1433" s="472">
        <f t="shared" si="168"/>
        <v>0.32845968612834514</v>
      </c>
      <c r="J1433" s="153">
        <v>3.8473756479098807E-2</v>
      </c>
      <c r="K1433" s="153">
        <v>0.39358026214566905</v>
      </c>
      <c r="L1433" s="153">
        <v>0.53857526864315253</v>
      </c>
      <c r="M1433" s="153">
        <v>0.3432094572454602</v>
      </c>
      <c r="N1433" s="472">
        <f t="shared" si="169"/>
        <v>0.32845968612834514</v>
      </c>
      <c r="O1433" s="153">
        <v>3.8473756479098807E-2</v>
      </c>
      <c r="P1433" s="153">
        <v>0.39358026214566905</v>
      </c>
      <c r="Q1433" s="153">
        <v>0.53857526864315253</v>
      </c>
      <c r="R1433" s="153">
        <v>0.3432094572454602</v>
      </c>
      <c r="S1433" s="153">
        <v>0.03</v>
      </c>
      <c r="T1433" s="153">
        <v>0</v>
      </c>
      <c r="U1433" s="478">
        <v>2016</v>
      </c>
      <c r="V1433" s="24">
        <v>2035</v>
      </c>
      <c r="W1433">
        <v>0</v>
      </c>
      <c r="X1433">
        <v>0</v>
      </c>
      <c r="Y1433">
        <v>1304</v>
      </c>
      <c r="Z1433">
        <v>311</v>
      </c>
      <c r="AA1433" s="475" t="s">
        <v>23</v>
      </c>
    </row>
    <row r="1434" spans="1:27" ht="15" hidden="1">
      <c r="A1434" s="24">
        <f t="shared" si="170"/>
        <v>2433</v>
      </c>
      <c r="B1434" s="24">
        <f t="shared" si="170"/>
        <v>2433</v>
      </c>
      <c r="C1434" s="476" t="s">
        <v>1828</v>
      </c>
      <c r="D1434" t="s">
        <v>146</v>
      </c>
      <c r="E1434" s="477">
        <v>1</v>
      </c>
      <c r="F1434" s="471">
        <v>14.275862068965516</v>
      </c>
      <c r="G1434">
        <v>1</v>
      </c>
      <c r="H1434">
        <v>1</v>
      </c>
      <c r="I1434" s="472">
        <f t="shared" si="168"/>
        <v>0.32845968612834514</v>
      </c>
      <c r="J1434" s="153">
        <v>3.8473756479098807E-2</v>
      </c>
      <c r="K1434" s="153">
        <v>0.39358026214566905</v>
      </c>
      <c r="L1434" s="153">
        <v>0.53857526864315253</v>
      </c>
      <c r="M1434" s="153">
        <v>0.3432094572454602</v>
      </c>
      <c r="N1434" s="472">
        <f t="shared" si="169"/>
        <v>0.32845968612834514</v>
      </c>
      <c r="O1434" s="153">
        <v>3.8473756479098807E-2</v>
      </c>
      <c r="P1434" s="153">
        <v>0.39358026214566905</v>
      </c>
      <c r="Q1434" s="153">
        <v>0.53857526864315253</v>
      </c>
      <c r="R1434" s="153">
        <v>0.3432094572454602</v>
      </c>
      <c r="S1434" s="153">
        <v>0.03</v>
      </c>
      <c r="T1434" s="153">
        <v>0</v>
      </c>
      <c r="U1434" s="478">
        <v>2016</v>
      </c>
      <c r="V1434" s="24">
        <v>2035</v>
      </c>
      <c r="W1434">
        <v>0</v>
      </c>
      <c r="X1434">
        <v>0</v>
      </c>
      <c r="Y1434">
        <v>1304</v>
      </c>
      <c r="Z1434">
        <v>311</v>
      </c>
      <c r="AA1434" s="475" t="s">
        <v>23</v>
      </c>
    </row>
    <row r="1435" spans="1:27" ht="15" hidden="1">
      <c r="A1435" s="24">
        <f t="shared" si="170"/>
        <v>2434</v>
      </c>
      <c r="B1435" s="24">
        <f t="shared" si="170"/>
        <v>2434</v>
      </c>
      <c r="C1435" s="476" t="s">
        <v>1829</v>
      </c>
      <c r="D1435" t="s">
        <v>146</v>
      </c>
      <c r="E1435" s="477">
        <v>1</v>
      </c>
      <c r="F1435" s="471">
        <v>10</v>
      </c>
      <c r="G1435">
        <v>1</v>
      </c>
      <c r="H1435">
        <v>1</v>
      </c>
      <c r="I1435" s="472">
        <f t="shared" si="168"/>
        <v>0.32845968612834514</v>
      </c>
      <c r="J1435" s="153">
        <v>3.8473756479098807E-2</v>
      </c>
      <c r="K1435" s="153">
        <v>0.39358026214566905</v>
      </c>
      <c r="L1435" s="153">
        <v>0.53857526864315253</v>
      </c>
      <c r="M1435" s="153">
        <v>0.3432094572454602</v>
      </c>
      <c r="N1435" s="472">
        <f t="shared" si="169"/>
        <v>0.32845968612834514</v>
      </c>
      <c r="O1435" s="153">
        <v>3.8473756479098807E-2</v>
      </c>
      <c r="P1435" s="153">
        <v>0.39358026214566905</v>
      </c>
      <c r="Q1435" s="153">
        <v>0.53857526864315253</v>
      </c>
      <c r="R1435" s="153">
        <v>0.3432094572454602</v>
      </c>
      <c r="S1435" s="153">
        <v>0.03</v>
      </c>
      <c r="T1435" s="153">
        <v>0</v>
      </c>
      <c r="U1435" s="478">
        <v>2016</v>
      </c>
      <c r="V1435" s="24">
        <v>2035</v>
      </c>
      <c r="W1435">
        <v>0</v>
      </c>
      <c r="X1435">
        <v>0</v>
      </c>
      <c r="Y1435">
        <v>1304</v>
      </c>
      <c r="Z1435">
        <v>311</v>
      </c>
      <c r="AA1435" s="475" t="s">
        <v>23</v>
      </c>
    </row>
    <row r="1436" spans="1:27" ht="15" hidden="1">
      <c r="A1436" s="24">
        <f t="shared" ref="A1436:B1455" si="172">1000+ROW()-1</f>
        <v>2435</v>
      </c>
      <c r="B1436" s="24">
        <f t="shared" si="172"/>
        <v>2435</v>
      </c>
      <c r="C1436" s="476" t="s">
        <v>1830</v>
      </c>
      <c r="D1436" t="s">
        <v>146</v>
      </c>
      <c r="E1436" s="477">
        <v>1</v>
      </c>
      <c r="F1436" s="471">
        <v>0</v>
      </c>
      <c r="G1436">
        <v>1</v>
      </c>
      <c r="H1436">
        <v>1</v>
      </c>
      <c r="I1436" s="472">
        <f t="shared" si="168"/>
        <v>0.32845968612834514</v>
      </c>
      <c r="J1436" s="153">
        <v>3.8473756479098807E-2</v>
      </c>
      <c r="K1436" s="153">
        <v>0.39358026214566905</v>
      </c>
      <c r="L1436" s="153">
        <v>0.53857526864315253</v>
      </c>
      <c r="M1436" s="153">
        <v>0.3432094572454602</v>
      </c>
      <c r="N1436" s="472">
        <f t="shared" si="169"/>
        <v>0.32845968612834514</v>
      </c>
      <c r="O1436" s="153">
        <v>3.8473756479098807E-2</v>
      </c>
      <c r="P1436" s="153">
        <v>0.39358026214566905</v>
      </c>
      <c r="Q1436" s="153">
        <v>0.53857526864315253</v>
      </c>
      <c r="R1436" s="153">
        <v>0.3432094572454602</v>
      </c>
      <c r="S1436" s="153">
        <v>0.03</v>
      </c>
      <c r="T1436" s="153">
        <v>0</v>
      </c>
      <c r="U1436" s="478">
        <v>2016</v>
      </c>
      <c r="V1436" s="24">
        <v>2035</v>
      </c>
      <c r="W1436">
        <v>0</v>
      </c>
      <c r="X1436">
        <v>0</v>
      </c>
      <c r="Y1436">
        <v>1304</v>
      </c>
      <c r="Z1436">
        <v>311</v>
      </c>
      <c r="AA1436" s="475" t="s">
        <v>23</v>
      </c>
    </row>
    <row r="1437" spans="1:27" ht="15" hidden="1">
      <c r="A1437" s="24">
        <f t="shared" si="172"/>
        <v>2436</v>
      </c>
      <c r="B1437" s="24">
        <f t="shared" si="172"/>
        <v>2436</v>
      </c>
      <c r="C1437" s="476" t="s">
        <v>1831</v>
      </c>
      <c r="D1437" t="s">
        <v>146</v>
      </c>
      <c r="E1437" s="477">
        <v>1</v>
      </c>
      <c r="F1437" s="471">
        <v>14</v>
      </c>
      <c r="G1437">
        <v>1</v>
      </c>
      <c r="H1437">
        <v>1</v>
      </c>
      <c r="I1437" s="472">
        <f t="shared" si="168"/>
        <v>0.32845968612834514</v>
      </c>
      <c r="J1437" s="153">
        <v>3.8473756479098807E-2</v>
      </c>
      <c r="K1437" s="153">
        <v>0.39358026214566905</v>
      </c>
      <c r="L1437" s="153">
        <v>0.53857526864315253</v>
      </c>
      <c r="M1437" s="153">
        <v>0.3432094572454602</v>
      </c>
      <c r="N1437" s="472">
        <f t="shared" si="169"/>
        <v>0.32845968612834514</v>
      </c>
      <c r="O1437" s="153">
        <v>3.8473756479098807E-2</v>
      </c>
      <c r="P1437" s="153">
        <v>0.39358026214566905</v>
      </c>
      <c r="Q1437" s="153">
        <v>0.53857526864315253</v>
      </c>
      <c r="R1437" s="153">
        <v>0.3432094572454602</v>
      </c>
      <c r="S1437" s="153">
        <v>0.03</v>
      </c>
      <c r="T1437" s="153">
        <v>0</v>
      </c>
      <c r="U1437" s="478">
        <v>2017</v>
      </c>
      <c r="V1437" s="24">
        <v>2035</v>
      </c>
      <c r="W1437">
        <v>0</v>
      </c>
      <c r="X1437">
        <v>0</v>
      </c>
      <c r="Y1437">
        <v>1304</v>
      </c>
      <c r="Z1437">
        <v>311</v>
      </c>
      <c r="AA1437" s="475" t="s">
        <v>23</v>
      </c>
    </row>
    <row r="1438" spans="1:27" ht="15" hidden="1">
      <c r="A1438" s="24">
        <f t="shared" si="172"/>
        <v>2437</v>
      </c>
      <c r="B1438" s="24">
        <f t="shared" si="172"/>
        <v>2437</v>
      </c>
      <c r="C1438" s="476" t="s">
        <v>1832</v>
      </c>
      <c r="D1438" t="s">
        <v>146</v>
      </c>
      <c r="E1438" s="477">
        <v>1</v>
      </c>
      <c r="F1438" s="471">
        <v>0</v>
      </c>
      <c r="G1438">
        <v>1</v>
      </c>
      <c r="H1438">
        <v>1</v>
      </c>
      <c r="I1438" s="472">
        <f t="shared" si="168"/>
        <v>0.32845968612834514</v>
      </c>
      <c r="J1438" s="153">
        <v>3.8473756479098807E-2</v>
      </c>
      <c r="K1438" s="153">
        <v>0.39358026214566905</v>
      </c>
      <c r="L1438" s="153">
        <v>0.53857526864315253</v>
      </c>
      <c r="M1438" s="153">
        <v>0.3432094572454602</v>
      </c>
      <c r="N1438" s="472">
        <f t="shared" si="169"/>
        <v>0.32845968612834514</v>
      </c>
      <c r="O1438" s="153">
        <v>3.8473756479098807E-2</v>
      </c>
      <c r="P1438" s="153">
        <v>0.39358026214566905</v>
      </c>
      <c r="Q1438" s="153">
        <v>0.53857526864315253</v>
      </c>
      <c r="R1438" s="153">
        <v>0.3432094572454602</v>
      </c>
      <c r="S1438" s="153">
        <v>0.03</v>
      </c>
      <c r="T1438" s="153">
        <v>0</v>
      </c>
      <c r="U1438" s="478">
        <v>2017</v>
      </c>
      <c r="V1438" s="24">
        <v>2035</v>
      </c>
      <c r="W1438">
        <v>0</v>
      </c>
      <c r="X1438">
        <v>0</v>
      </c>
      <c r="Y1438">
        <v>1304</v>
      </c>
      <c r="Z1438">
        <v>311</v>
      </c>
      <c r="AA1438" s="475" t="s">
        <v>23</v>
      </c>
    </row>
    <row r="1439" spans="1:27" ht="15" hidden="1">
      <c r="A1439" s="24">
        <f t="shared" si="172"/>
        <v>2438</v>
      </c>
      <c r="B1439" s="24">
        <f t="shared" si="172"/>
        <v>2438</v>
      </c>
      <c r="C1439" s="476" t="s">
        <v>1833</v>
      </c>
      <c r="D1439" t="s">
        <v>146</v>
      </c>
      <c r="E1439" s="477">
        <v>1</v>
      </c>
      <c r="F1439" s="471">
        <v>18</v>
      </c>
      <c r="G1439">
        <v>1</v>
      </c>
      <c r="H1439">
        <v>1</v>
      </c>
      <c r="I1439" s="472">
        <f t="shared" si="168"/>
        <v>0.32845968612834514</v>
      </c>
      <c r="J1439" s="153">
        <v>3.8473756479098807E-2</v>
      </c>
      <c r="K1439" s="153">
        <v>0.39358026214566905</v>
      </c>
      <c r="L1439" s="153">
        <v>0.53857526864315253</v>
      </c>
      <c r="M1439" s="153">
        <v>0.3432094572454602</v>
      </c>
      <c r="N1439" s="472">
        <f t="shared" si="169"/>
        <v>0.32845968612834514</v>
      </c>
      <c r="O1439" s="153">
        <v>3.8473756479098807E-2</v>
      </c>
      <c r="P1439" s="153">
        <v>0.39358026214566905</v>
      </c>
      <c r="Q1439" s="153">
        <v>0.53857526864315253</v>
      </c>
      <c r="R1439" s="153">
        <v>0.3432094572454602</v>
      </c>
      <c r="S1439" s="153">
        <v>0.03</v>
      </c>
      <c r="T1439" s="153">
        <v>0</v>
      </c>
      <c r="U1439" s="478">
        <v>2016</v>
      </c>
      <c r="V1439" s="24">
        <v>2035</v>
      </c>
      <c r="W1439">
        <v>0</v>
      </c>
      <c r="X1439">
        <v>0</v>
      </c>
      <c r="Y1439">
        <v>1304</v>
      </c>
      <c r="Z1439">
        <v>311</v>
      </c>
      <c r="AA1439" s="475" t="s">
        <v>23</v>
      </c>
    </row>
    <row r="1440" spans="1:27" ht="15" hidden="1">
      <c r="A1440" s="24">
        <f t="shared" si="172"/>
        <v>2439</v>
      </c>
      <c r="B1440" s="24">
        <f t="shared" si="172"/>
        <v>2439</v>
      </c>
      <c r="C1440" s="476" t="s">
        <v>1834</v>
      </c>
      <c r="D1440" t="s">
        <v>146</v>
      </c>
      <c r="E1440" s="477">
        <v>1</v>
      </c>
      <c r="F1440" s="471">
        <v>0</v>
      </c>
      <c r="G1440">
        <v>1</v>
      </c>
      <c r="H1440">
        <v>1</v>
      </c>
      <c r="I1440" s="472">
        <f t="shared" si="168"/>
        <v>0.32845968612834514</v>
      </c>
      <c r="J1440" s="153">
        <v>3.8473756479098807E-2</v>
      </c>
      <c r="K1440" s="153">
        <v>0.39358026214566905</v>
      </c>
      <c r="L1440" s="153">
        <v>0.53857526864315253</v>
      </c>
      <c r="M1440" s="153">
        <v>0.3432094572454602</v>
      </c>
      <c r="N1440" s="472">
        <f t="shared" si="169"/>
        <v>0.32845968612834514</v>
      </c>
      <c r="O1440" s="153">
        <v>3.8473756479098807E-2</v>
      </c>
      <c r="P1440" s="153">
        <v>0.39358026214566905</v>
      </c>
      <c r="Q1440" s="153">
        <v>0.53857526864315253</v>
      </c>
      <c r="R1440" s="153">
        <v>0.3432094572454602</v>
      </c>
      <c r="S1440" s="153">
        <v>0.03</v>
      </c>
      <c r="T1440" s="153">
        <v>0</v>
      </c>
      <c r="U1440" s="478">
        <v>2016</v>
      </c>
      <c r="V1440" s="24">
        <v>2035</v>
      </c>
      <c r="W1440">
        <v>0</v>
      </c>
      <c r="X1440">
        <v>0</v>
      </c>
      <c r="Y1440">
        <v>1304</v>
      </c>
      <c r="Z1440">
        <v>311</v>
      </c>
      <c r="AA1440" s="475" t="s">
        <v>23</v>
      </c>
    </row>
    <row r="1441" spans="1:27" ht="15" hidden="1">
      <c r="A1441" s="24">
        <f t="shared" si="172"/>
        <v>2440</v>
      </c>
      <c r="B1441" s="24">
        <f t="shared" si="172"/>
        <v>2440</v>
      </c>
      <c r="C1441" s="476" t="s">
        <v>1835</v>
      </c>
      <c r="D1441" t="s">
        <v>146</v>
      </c>
      <c r="E1441" s="477">
        <v>1</v>
      </c>
      <c r="F1441" s="471">
        <v>23.84615384615385</v>
      </c>
      <c r="G1441">
        <v>1</v>
      </c>
      <c r="H1441">
        <v>1</v>
      </c>
      <c r="I1441" s="472">
        <f t="shared" si="168"/>
        <v>0.32845968612834514</v>
      </c>
      <c r="J1441" s="153">
        <v>3.8473756479098807E-2</v>
      </c>
      <c r="K1441" s="153">
        <v>0.39358026214566905</v>
      </c>
      <c r="L1441" s="153">
        <v>0.53857526864315253</v>
      </c>
      <c r="M1441" s="153">
        <v>0.3432094572454602</v>
      </c>
      <c r="N1441" s="472">
        <f t="shared" si="169"/>
        <v>0.32845968612834514</v>
      </c>
      <c r="O1441" s="153">
        <v>3.8473756479098807E-2</v>
      </c>
      <c r="P1441" s="153">
        <v>0.39358026214566905</v>
      </c>
      <c r="Q1441" s="153">
        <v>0.53857526864315253</v>
      </c>
      <c r="R1441" s="153">
        <v>0.3432094572454602</v>
      </c>
      <c r="S1441" s="153">
        <v>0.03</v>
      </c>
      <c r="T1441" s="153">
        <v>0</v>
      </c>
      <c r="U1441" s="478">
        <v>2016</v>
      </c>
      <c r="V1441" s="24">
        <v>2035</v>
      </c>
      <c r="W1441">
        <v>0</v>
      </c>
      <c r="X1441">
        <v>0</v>
      </c>
      <c r="Y1441">
        <v>1304</v>
      </c>
      <c r="Z1441">
        <v>311</v>
      </c>
      <c r="AA1441" s="475" t="s">
        <v>23</v>
      </c>
    </row>
    <row r="1442" spans="1:27" ht="15" hidden="1">
      <c r="A1442" s="24">
        <f t="shared" si="172"/>
        <v>2441</v>
      </c>
      <c r="B1442" s="24">
        <f t="shared" si="172"/>
        <v>2441</v>
      </c>
      <c r="C1442" s="476" t="s">
        <v>1836</v>
      </c>
      <c r="D1442" t="s">
        <v>146</v>
      </c>
      <c r="E1442" s="477">
        <v>1</v>
      </c>
      <c r="F1442" s="471">
        <v>21.15384615384615</v>
      </c>
      <c r="G1442">
        <v>1</v>
      </c>
      <c r="H1442">
        <v>1</v>
      </c>
      <c r="I1442" s="472">
        <f t="shared" si="168"/>
        <v>0.32845968612834514</v>
      </c>
      <c r="J1442" s="153">
        <v>3.8473756479098807E-2</v>
      </c>
      <c r="K1442" s="153">
        <v>0.39358026214566905</v>
      </c>
      <c r="L1442" s="153">
        <v>0.53857526864315253</v>
      </c>
      <c r="M1442" s="153">
        <v>0.3432094572454602</v>
      </c>
      <c r="N1442" s="472">
        <f t="shared" si="169"/>
        <v>0.32845968612834514</v>
      </c>
      <c r="O1442" s="153">
        <v>3.8473756479098807E-2</v>
      </c>
      <c r="P1442" s="153">
        <v>0.39358026214566905</v>
      </c>
      <c r="Q1442" s="153">
        <v>0.53857526864315253</v>
      </c>
      <c r="R1442" s="153">
        <v>0.3432094572454602</v>
      </c>
      <c r="S1442" s="153">
        <v>0.03</v>
      </c>
      <c r="T1442" s="153">
        <v>0</v>
      </c>
      <c r="U1442" s="478">
        <v>2016</v>
      </c>
      <c r="V1442" s="24">
        <v>2035</v>
      </c>
      <c r="W1442">
        <v>0</v>
      </c>
      <c r="X1442">
        <v>0</v>
      </c>
      <c r="Y1442">
        <v>1304</v>
      </c>
      <c r="Z1442">
        <v>311</v>
      </c>
      <c r="AA1442" s="475" t="s">
        <v>23</v>
      </c>
    </row>
    <row r="1443" spans="1:27" ht="15" hidden="1">
      <c r="A1443" s="24">
        <f t="shared" si="172"/>
        <v>2442</v>
      </c>
      <c r="B1443" s="24">
        <f t="shared" si="172"/>
        <v>2442</v>
      </c>
      <c r="C1443" s="476" t="s">
        <v>1837</v>
      </c>
      <c r="D1443" t="s">
        <v>146</v>
      </c>
      <c r="E1443" s="477">
        <v>1</v>
      </c>
      <c r="F1443" s="471">
        <v>23.84615384615385</v>
      </c>
      <c r="G1443">
        <v>1</v>
      </c>
      <c r="H1443">
        <v>1</v>
      </c>
      <c r="I1443" s="472">
        <f t="shared" si="168"/>
        <v>0.32845968612834514</v>
      </c>
      <c r="J1443" s="153">
        <v>3.8473756479098807E-2</v>
      </c>
      <c r="K1443" s="153">
        <v>0.39358026214566905</v>
      </c>
      <c r="L1443" s="153">
        <v>0.53857526864315253</v>
      </c>
      <c r="M1443" s="153">
        <v>0.3432094572454602</v>
      </c>
      <c r="N1443" s="472">
        <f t="shared" si="169"/>
        <v>0.32845968612834514</v>
      </c>
      <c r="O1443" s="153">
        <v>3.8473756479098807E-2</v>
      </c>
      <c r="P1443" s="153">
        <v>0.39358026214566905</v>
      </c>
      <c r="Q1443" s="153">
        <v>0.53857526864315253</v>
      </c>
      <c r="R1443" s="153">
        <v>0.3432094572454602</v>
      </c>
      <c r="S1443" s="153">
        <v>0.03</v>
      </c>
      <c r="T1443" s="153">
        <v>0</v>
      </c>
      <c r="U1443" s="478">
        <v>2016</v>
      </c>
      <c r="V1443" s="24">
        <v>2035</v>
      </c>
      <c r="W1443">
        <v>0</v>
      </c>
      <c r="X1443">
        <v>0</v>
      </c>
      <c r="Y1443">
        <v>1304</v>
      </c>
      <c r="Z1443">
        <v>311</v>
      </c>
      <c r="AA1443" s="475" t="s">
        <v>23</v>
      </c>
    </row>
    <row r="1444" spans="1:27" ht="15" hidden="1">
      <c r="A1444" s="24">
        <f t="shared" si="172"/>
        <v>2443</v>
      </c>
      <c r="B1444" s="24">
        <f t="shared" si="172"/>
        <v>2443</v>
      </c>
      <c r="C1444" s="476" t="s">
        <v>1838</v>
      </c>
      <c r="D1444" t="s">
        <v>146</v>
      </c>
      <c r="E1444" s="477">
        <v>1</v>
      </c>
      <c r="F1444" s="471">
        <v>21.15384615384615</v>
      </c>
      <c r="G1444">
        <v>1</v>
      </c>
      <c r="H1444">
        <v>1</v>
      </c>
      <c r="I1444" s="472">
        <f t="shared" si="168"/>
        <v>0.32845968612834514</v>
      </c>
      <c r="J1444" s="153">
        <v>3.8473756479098807E-2</v>
      </c>
      <c r="K1444" s="153">
        <v>0.39358026214566905</v>
      </c>
      <c r="L1444" s="153">
        <v>0.53857526864315253</v>
      </c>
      <c r="M1444" s="153">
        <v>0.3432094572454602</v>
      </c>
      <c r="N1444" s="472">
        <f t="shared" si="169"/>
        <v>0.32845968612834514</v>
      </c>
      <c r="O1444" s="153">
        <v>3.8473756479098807E-2</v>
      </c>
      <c r="P1444" s="153">
        <v>0.39358026214566905</v>
      </c>
      <c r="Q1444" s="153">
        <v>0.53857526864315253</v>
      </c>
      <c r="R1444" s="153">
        <v>0.3432094572454602</v>
      </c>
      <c r="S1444" s="153">
        <v>0.03</v>
      </c>
      <c r="T1444" s="153">
        <v>0</v>
      </c>
      <c r="U1444" s="478">
        <v>2016</v>
      </c>
      <c r="V1444" s="24">
        <v>2035</v>
      </c>
      <c r="W1444">
        <v>0</v>
      </c>
      <c r="X1444">
        <v>0</v>
      </c>
      <c r="Y1444">
        <v>1304</v>
      </c>
      <c r="Z1444">
        <v>311</v>
      </c>
      <c r="AA1444" s="475" t="s">
        <v>23</v>
      </c>
    </row>
    <row r="1445" spans="1:27" ht="15" hidden="1">
      <c r="A1445" s="24">
        <f t="shared" si="172"/>
        <v>2444</v>
      </c>
      <c r="B1445" s="24">
        <f t="shared" si="172"/>
        <v>2444</v>
      </c>
      <c r="C1445" s="476" t="s">
        <v>1839</v>
      </c>
      <c r="D1445" t="s">
        <v>155</v>
      </c>
      <c r="E1445" s="477">
        <v>6</v>
      </c>
      <c r="F1445" s="471">
        <v>12</v>
      </c>
      <c r="G1445">
        <v>1</v>
      </c>
      <c r="H1445">
        <v>1</v>
      </c>
      <c r="I1445" s="472">
        <f t="shared" si="168"/>
        <v>0.32845968612834514</v>
      </c>
      <c r="J1445" s="153">
        <v>3.8473756479098807E-2</v>
      </c>
      <c r="K1445" s="153">
        <v>0.39358026214566905</v>
      </c>
      <c r="L1445" s="153">
        <v>0.53857526864315253</v>
      </c>
      <c r="M1445" s="153">
        <v>0.3432094572454602</v>
      </c>
      <c r="N1445" s="472">
        <f t="shared" si="169"/>
        <v>0.32845968612834514</v>
      </c>
      <c r="O1445" s="153">
        <v>3.8473756479098807E-2</v>
      </c>
      <c r="P1445" s="153">
        <v>0.39358026214566905</v>
      </c>
      <c r="Q1445" s="153">
        <v>0.53857526864315253</v>
      </c>
      <c r="R1445" s="153">
        <v>0.3432094572454602</v>
      </c>
      <c r="S1445" s="153">
        <v>0.03</v>
      </c>
      <c r="T1445" s="153">
        <v>0</v>
      </c>
      <c r="U1445" s="478">
        <v>2017</v>
      </c>
      <c r="V1445" s="24">
        <v>2035</v>
      </c>
      <c r="W1445">
        <v>0</v>
      </c>
      <c r="X1445">
        <v>0</v>
      </c>
      <c r="Y1445">
        <v>1304</v>
      </c>
      <c r="Z1445">
        <v>311</v>
      </c>
      <c r="AA1445" s="475" t="s">
        <v>23</v>
      </c>
    </row>
    <row r="1446" spans="1:27" ht="15" hidden="1">
      <c r="A1446" s="24">
        <f t="shared" si="172"/>
        <v>2445</v>
      </c>
      <c r="B1446" s="24">
        <f t="shared" si="172"/>
        <v>2445</v>
      </c>
      <c r="C1446" s="476" t="s">
        <v>1840</v>
      </c>
      <c r="D1446" t="s">
        <v>155</v>
      </c>
      <c r="E1446" s="477">
        <v>6</v>
      </c>
      <c r="F1446" s="471">
        <v>0</v>
      </c>
      <c r="G1446">
        <v>1</v>
      </c>
      <c r="H1446">
        <v>1</v>
      </c>
      <c r="I1446" s="472">
        <f t="shared" si="168"/>
        <v>0.32845968612834514</v>
      </c>
      <c r="J1446" s="153">
        <v>3.8473756479098807E-2</v>
      </c>
      <c r="K1446" s="153">
        <v>0.39358026214566905</v>
      </c>
      <c r="L1446" s="153">
        <v>0.53857526864315253</v>
      </c>
      <c r="M1446" s="153">
        <v>0.3432094572454602</v>
      </c>
      <c r="N1446" s="472">
        <f t="shared" si="169"/>
        <v>0.32845968612834514</v>
      </c>
      <c r="O1446" s="153">
        <v>3.8473756479098807E-2</v>
      </c>
      <c r="P1446" s="153">
        <v>0.39358026214566905</v>
      </c>
      <c r="Q1446" s="153">
        <v>0.53857526864315253</v>
      </c>
      <c r="R1446" s="153">
        <v>0.3432094572454602</v>
      </c>
      <c r="S1446" s="153">
        <v>0.03</v>
      </c>
      <c r="T1446" s="153">
        <v>0</v>
      </c>
      <c r="U1446" s="478">
        <v>2017</v>
      </c>
      <c r="V1446" s="24">
        <v>2035</v>
      </c>
      <c r="W1446">
        <v>0</v>
      </c>
      <c r="X1446">
        <v>0</v>
      </c>
      <c r="Y1446">
        <v>1304</v>
      </c>
      <c r="Z1446">
        <v>311</v>
      </c>
      <c r="AA1446" s="475" t="s">
        <v>23</v>
      </c>
    </row>
    <row r="1447" spans="1:27" ht="15" hidden="1">
      <c r="A1447" s="24">
        <f t="shared" si="172"/>
        <v>2446</v>
      </c>
      <c r="B1447" s="24">
        <f t="shared" si="172"/>
        <v>2446</v>
      </c>
      <c r="C1447" s="476" t="s">
        <v>1841</v>
      </c>
      <c r="D1447" t="s">
        <v>155</v>
      </c>
      <c r="E1447" s="477">
        <v>6</v>
      </c>
      <c r="F1447" s="471">
        <v>12</v>
      </c>
      <c r="G1447">
        <v>1</v>
      </c>
      <c r="H1447">
        <v>1</v>
      </c>
      <c r="I1447" s="472">
        <f t="shared" si="168"/>
        <v>0.32845968612834514</v>
      </c>
      <c r="J1447" s="153">
        <v>3.8473756479098807E-2</v>
      </c>
      <c r="K1447" s="153">
        <v>0.39358026214566905</v>
      </c>
      <c r="L1447" s="153">
        <v>0.53857526864315253</v>
      </c>
      <c r="M1447" s="153">
        <v>0.3432094572454602</v>
      </c>
      <c r="N1447" s="472">
        <f t="shared" si="169"/>
        <v>0.32845968612834514</v>
      </c>
      <c r="O1447" s="153">
        <v>3.8473756479098807E-2</v>
      </c>
      <c r="P1447" s="153">
        <v>0.39358026214566905</v>
      </c>
      <c r="Q1447" s="153">
        <v>0.53857526864315253</v>
      </c>
      <c r="R1447" s="153">
        <v>0.3432094572454602</v>
      </c>
      <c r="S1447" s="153">
        <v>0.03</v>
      </c>
      <c r="T1447" s="153">
        <v>0</v>
      </c>
      <c r="U1447" s="478">
        <v>2017</v>
      </c>
      <c r="V1447" s="24">
        <v>2035</v>
      </c>
      <c r="W1447">
        <v>0</v>
      </c>
      <c r="X1447">
        <v>0</v>
      </c>
      <c r="Y1447">
        <v>1304</v>
      </c>
      <c r="Z1447">
        <v>311</v>
      </c>
      <c r="AA1447" s="475" t="s">
        <v>23</v>
      </c>
    </row>
    <row r="1448" spans="1:27" ht="15" hidden="1">
      <c r="A1448" s="24">
        <f t="shared" si="172"/>
        <v>2447</v>
      </c>
      <c r="B1448" s="24">
        <f t="shared" si="172"/>
        <v>2447</v>
      </c>
      <c r="C1448" s="476" t="s">
        <v>1842</v>
      </c>
      <c r="D1448" t="s">
        <v>155</v>
      </c>
      <c r="E1448" s="477">
        <v>6</v>
      </c>
      <c r="F1448" s="471">
        <v>0</v>
      </c>
      <c r="G1448">
        <v>1</v>
      </c>
      <c r="H1448">
        <v>1</v>
      </c>
      <c r="I1448" s="472">
        <f t="shared" si="168"/>
        <v>0.32845968612834514</v>
      </c>
      <c r="J1448" s="153">
        <v>3.8473756479098807E-2</v>
      </c>
      <c r="K1448" s="153">
        <v>0.39358026214566905</v>
      </c>
      <c r="L1448" s="153">
        <v>0.53857526864315253</v>
      </c>
      <c r="M1448" s="153">
        <v>0.3432094572454602</v>
      </c>
      <c r="N1448" s="472">
        <f t="shared" si="169"/>
        <v>0.32845968612834514</v>
      </c>
      <c r="O1448" s="153">
        <v>3.8473756479098807E-2</v>
      </c>
      <c r="P1448" s="153">
        <v>0.39358026214566905</v>
      </c>
      <c r="Q1448" s="153">
        <v>0.53857526864315253</v>
      </c>
      <c r="R1448" s="153">
        <v>0.3432094572454602</v>
      </c>
      <c r="S1448" s="153">
        <v>0.03</v>
      </c>
      <c r="T1448" s="153">
        <v>0</v>
      </c>
      <c r="U1448" s="478">
        <v>2017</v>
      </c>
      <c r="V1448" s="24">
        <v>2035</v>
      </c>
      <c r="W1448">
        <v>0</v>
      </c>
      <c r="X1448">
        <v>0</v>
      </c>
      <c r="Y1448">
        <v>1304</v>
      </c>
      <c r="Z1448">
        <v>311</v>
      </c>
      <c r="AA1448" s="475" t="s">
        <v>23</v>
      </c>
    </row>
    <row r="1449" spans="1:27" ht="15" hidden="1">
      <c r="A1449" s="24">
        <f t="shared" si="172"/>
        <v>2448</v>
      </c>
      <c r="B1449" s="24">
        <f t="shared" si="172"/>
        <v>2448</v>
      </c>
      <c r="C1449" s="476" t="s">
        <v>1843</v>
      </c>
      <c r="D1449" t="s">
        <v>146</v>
      </c>
      <c r="E1449" s="477">
        <v>1</v>
      </c>
      <c r="F1449" s="471">
        <v>0.32467532467532512</v>
      </c>
      <c r="G1449">
        <v>1</v>
      </c>
      <c r="H1449">
        <v>1</v>
      </c>
      <c r="I1449" s="472">
        <f t="shared" si="168"/>
        <v>0.32845968612834514</v>
      </c>
      <c r="J1449" s="153">
        <v>3.8473756479098807E-2</v>
      </c>
      <c r="K1449" s="153">
        <v>0.39358026214566905</v>
      </c>
      <c r="L1449" s="153">
        <v>0.53857526864315253</v>
      </c>
      <c r="M1449" s="153">
        <v>0.3432094572454602</v>
      </c>
      <c r="N1449" s="472">
        <f t="shared" si="169"/>
        <v>0.32845968612834514</v>
      </c>
      <c r="O1449" s="153">
        <v>3.8473756479098807E-2</v>
      </c>
      <c r="P1449" s="153">
        <v>0.39358026214566905</v>
      </c>
      <c r="Q1449" s="153">
        <v>0.53857526864315253</v>
      </c>
      <c r="R1449" s="153">
        <v>0.3432094572454602</v>
      </c>
      <c r="S1449" s="153">
        <v>0.03</v>
      </c>
      <c r="T1449" s="153">
        <v>0</v>
      </c>
      <c r="U1449" s="478">
        <v>2016</v>
      </c>
      <c r="V1449" s="24">
        <v>2035</v>
      </c>
      <c r="W1449">
        <v>0</v>
      </c>
      <c r="X1449">
        <v>0</v>
      </c>
      <c r="Y1449">
        <v>1304</v>
      </c>
      <c r="Z1449">
        <v>311</v>
      </c>
      <c r="AA1449" s="475" t="s">
        <v>23</v>
      </c>
    </row>
    <row r="1450" spans="1:27" ht="15" hidden="1">
      <c r="A1450" s="24">
        <f t="shared" si="172"/>
        <v>2449</v>
      </c>
      <c r="B1450" s="24">
        <f t="shared" si="172"/>
        <v>2449</v>
      </c>
      <c r="C1450" s="476" t="s">
        <v>1844</v>
      </c>
      <c r="D1450" t="s">
        <v>146</v>
      </c>
      <c r="E1450" s="477">
        <v>1</v>
      </c>
      <c r="F1450" s="471">
        <v>24.675324675324674</v>
      </c>
      <c r="G1450">
        <v>1</v>
      </c>
      <c r="H1450">
        <v>1</v>
      </c>
      <c r="I1450" s="472">
        <f t="shared" si="168"/>
        <v>0.32845968612834514</v>
      </c>
      <c r="J1450" s="153">
        <v>3.8473756479098807E-2</v>
      </c>
      <c r="K1450" s="153">
        <v>0.39358026214566905</v>
      </c>
      <c r="L1450" s="153">
        <v>0.53857526864315253</v>
      </c>
      <c r="M1450" s="153">
        <v>0.3432094572454602</v>
      </c>
      <c r="N1450" s="472">
        <f t="shared" si="169"/>
        <v>0.32845968612834514</v>
      </c>
      <c r="O1450" s="153">
        <v>3.8473756479098807E-2</v>
      </c>
      <c r="P1450" s="153">
        <v>0.39358026214566905</v>
      </c>
      <c r="Q1450" s="153">
        <v>0.53857526864315253</v>
      </c>
      <c r="R1450" s="153">
        <v>0.3432094572454602</v>
      </c>
      <c r="S1450" s="153">
        <v>0.03</v>
      </c>
      <c r="T1450" s="153">
        <v>0</v>
      </c>
      <c r="U1450" s="478">
        <v>2016</v>
      </c>
      <c r="V1450" s="24">
        <v>2035</v>
      </c>
      <c r="W1450">
        <v>0</v>
      </c>
      <c r="X1450">
        <v>0</v>
      </c>
      <c r="Y1450">
        <v>1304</v>
      </c>
      <c r="Z1450">
        <v>311</v>
      </c>
      <c r="AA1450" s="475" t="s">
        <v>23</v>
      </c>
    </row>
    <row r="1451" spans="1:27" ht="15" hidden="1">
      <c r="A1451" s="24">
        <f t="shared" si="172"/>
        <v>2450</v>
      </c>
      <c r="B1451" s="24">
        <f t="shared" si="172"/>
        <v>2450</v>
      </c>
      <c r="C1451" s="476" t="s">
        <v>1845</v>
      </c>
      <c r="D1451" t="s">
        <v>146</v>
      </c>
      <c r="E1451" s="477">
        <v>1</v>
      </c>
      <c r="F1451" s="471">
        <v>0.38961038961039018</v>
      </c>
      <c r="G1451">
        <v>1</v>
      </c>
      <c r="H1451">
        <v>1</v>
      </c>
      <c r="I1451" s="472">
        <f t="shared" si="168"/>
        <v>0.32845968612834514</v>
      </c>
      <c r="J1451" s="153">
        <v>3.8473756479098807E-2</v>
      </c>
      <c r="K1451" s="153">
        <v>0.39358026214566905</v>
      </c>
      <c r="L1451" s="153">
        <v>0.53857526864315253</v>
      </c>
      <c r="M1451" s="153">
        <v>0.3432094572454602</v>
      </c>
      <c r="N1451" s="472">
        <f t="shared" si="169"/>
        <v>0.32845968612834514</v>
      </c>
      <c r="O1451" s="153">
        <v>3.8473756479098807E-2</v>
      </c>
      <c r="P1451" s="153">
        <v>0.39358026214566905</v>
      </c>
      <c r="Q1451" s="153">
        <v>0.53857526864315253</v>
      </c>
      <c r="R1451" s="153">
        <v>0.3432094572454602</v>
      </c>
      <c r="S1451" s="153">
        <v>0.03</v>
      </c>
      <c r="T1451" s="153">
        <v>0</v>
      </c>
      <c r="U1451" s="478">
        <v>2016</v>
      </c>
      <c r="V1451" s="24">
        <v>2035</v>
      </c>
      <c r="W1451">
        <v>0</v>
      </c>
      <c r="X1451">
        <v>0</v>
      </c>
      <c r="Y1451">
        <v>1304</v>
      </c>
      <c r="Z1451">
        <v>311</v>
      </c>
      <c r="AA1451" s="475" t="s">
        <v>23</v>
      </c>
    </row>
    <row r="1452" spans="1:27" ht="15" hidden="1">
      <c r="A1452" s="24">
        <f t="shared" si="172"/>
        <v>2451</v>
      </c>
      <c r="B1452" s="24">
        <f t="shared" si="172"/>
        <v>2451</v>
      </c>
      <c r="C1452" s="476" t="s">
        <v>1846</v>
      </c>
      <c r="D1452" t="s">
        <v>146</v>
      </c>
      <c r="E1452" s="477">
        <v>1</v>
      </c>
      <c r="F1452" s="471">
        <v>29.61038961038961</v>
      </c>
      <c r="G1452">
        <v>1</v>
      </c>
      <c r="H1452">
        <v>1</v>
      </c>
      <c r="I1452" s="472">
        <f t="shared" si="168"/>
        <v>0.32845968612834514</v>
      </c>
      <c r="J1452" s="153">
        <v>3.8473756479098807E-2</v>
      </c>
      <c r="K1452" s="153">
        <v>0.39358026214566905</v>
      </c>
      <c r="L1452" s="153">
        <v>0.53857526864315253</v>
      </c>
      <c r="M1452" s="153">
        <v>0.3432094572454602</v>
      </c>
      <c r="N1452" s="472">
        <f t="shared" si="169"/>
        <v>0.32845968612834514</v>
      </c>
      <c r="O1452" s="153">
        <v>3.8473756479098807E-2</v>
      </c>
      <c r="P1452" s="153">
        <v>0.39358026214566905</v>
      </c>
      <c r="Q1452" s="153">
        <v>0.53857526864315253</v>
      </c>
      <c r="R1452" s="153">
        <v>0.3432094572454602</v>
      </c>
      <c r="S1452" s="153">
        <v>0.03</v>
      </c>
      <c r="T1452" s="153">
        <v>0</v>
      </c>
      <c r="U1452" s="478">
        <v>2016</v>
      </c>
      <c r="V1452" s="24">
        <v>2035</v>
      </c>
      <c r="W1452">
        <v>0</v>
      </c>
      <c r="X1452">
        <v>0</v>
      </c>
      <c r="Y1452">
        <v>1304</v>
      </c>
      <c r="Z1452">
        <v>311</v>
      </c>
      <c r="AA1452" s="475" t="s">
        <v>23</v>
      </c>
    </row>
    <row r="1453" spans="1:27" ht="15" hidden="1">
      <c r="A1453" s="24">
        <f t="shared" si="172"/>
        <v>2452</v>
      </c>
      <c r="B1453" s="24">
        <f t="shared" si="172"/>
        <v>2452</v>
      </c>
      <c r="C1453" s="476" t="s">
        <v>1847</v>
      </c>
      <c r="D1453" t="s">
        <v>146</v>
      </c>
      <c r="E1453" s="477">
        <v>1</v>
      </c>
      <c r="F1453" s="471">
        <v>41.4</v>
      </c>
      <c r="G1453">
        <v>1</v>
      </c>
      <c r="H1453">
        <v>1</v>
      </c>
      <c r="I1453" s="472">
        <f t="shared" si="168"/>
        <v>0.32845968612834514</v>
      </c>
      <c r="J1453" s="153">
        <v>3.8473756479098807E-2</v>
      </c>
      <c r="K1453" s="153">
        <v>0.39358026214566905</v>
      </c>
      <c r="L1453" s="153">
        <v>0.53857526864315253</v>
      </c>
      <c r="M1453" s="153">
        <v>0.3432094572454602</v>
      </c>
      <c r="N1453" s="472">
        <f t="shared" si="169"/>
        <v>0.32845968612834514</v>
      </c>
      <c r="O1453" s="153">
        <v>3.8473756479098807E-2</v>
      </c>
      <c r="P1453" s="153">
        <v>0.39358026214566905</v>
      </c>
      <c r="Q1453" s="153">
        <v>0.53857526864315253</v>
      </c>
      <c r="R1453" s="153">
        <v>0.3432094572454602</v>
      </c>
      <c r="S1453" s="153">
        <v>0.03</v>
      </c>
      <c r="T1453" s="153">
        <v>0</v>
      </c>
      <c r="U1453" s="478">
        <v>2017</v>
      </c>
      <c r="V1453" s="24">
        <v>2035</v>
      </c>
      <c r="W1453">
        <v>0</v>
      </c>
      <c r="X1453">
        <v>0</v>
      </c>
      <c r="Y1453">
        <v>1304</v>
      </c>
      <c r="Z1453">
        <v>311</v>
      </c>
      <c r="AA1453" s="475" t="s">
        <v>23</v>
      </c>
    </row>
    <row r="1454" spans="1:27" ht="15" hidden="1">
      <c r="A1454" s="24">
        <f t="shared" si="172"/>
        <v>2453</v>
      </c>
      <c r="B1454" s="24">
        <f t="shared" si="172"/>
        <v>2453</v>
      </c>
      <c r="C1454" s="476" t="s">
        <v>1848</v>
      </c>
      <c r="D1454" t="s">
        <v>146</v>
      </c>
      <c r="E1454" s="477">
        <v>1</v>
      </c>
      <c r="F1454" s="471">
        <v>0</v>
      </c>
      <c r="G1454">
        <v>1</v>
      </c>
      <c r="H1454">
        <v>1</v>
      </c>
      <c r="I1454" s="472">
        <f t="shared" si="168"/>
        <v>0.32845968612834514</v>
      </c>
      <c r="J1454" s="153">
        <v>3.8473756479098807E-2</v>
      </c>
      <c r="K1454" s="153">
        <v>0.39358026214566905</v>
      </c>
      <c r="L1454" s="153">
        <v>0.53857526864315253</v>
      </c>
      <c r="M1454" s="153">
        <v>0.3432094572454602</v>
      </c>
      <c r="N1454" s="472">
        <f t="shared" si="169"/>
        <v>0.32845968612834514</v>
      </c>
      <c r="O1454" s="153">
        <v>3.8473756479098807E-2</v>
      </c>
      <c r="P1454" s="153">
        <v>0.39358026214566905</v>
      </c>
      <c r="Q1454" s="153">
        <v>0.53857526864315253</v>
      </c>
      <c r="R1454" s="153">
        <v>0.3432094572454602</v>
      </c>
      <c r="S1454" s="153">
        <v>0.03</v>
      </c>
      <c r="T1454" s="153">
        <v>0</v>
      </c>
      <c r="U1454" s="478">
        <v>2017</v>
      </c>
      <c r="V1454" s="24">
        <v>2035</v>
      </c>
      <c r="W1454">
        <v>0</v>
      </c>
      <c r="X1454">
        <v>0</v>
      </c>
      <c r="Y1454">
        <v>1304</v>
      </c>
      <c r="Z1454">
        <v>311</v>
      </c>
      <c r="AA1454" s="475" t="s">
        <v>23</v>
      </c>
    </row>
    <row r="1455" spans="1:27" ht="15" hidden="1">
      <c r="A1455" s="24">
        <f t="shared" si="172"/>
        <v>2454</v>
      </c>
      <c r="B1455" s="24">
        <f t="shared" si="172"/>
        <v>2454</v>
      </c>
      <c r="C1455" s="476" t="s">
        <v>1849</v>
      </c>
      <c r="D1455" t="s">
        <v>152</v>
      </c>
      <c r="E1455" s="477">
        <v>3</v>
      </c>
      <c r="F1455" s="471">
        <v>10</v>
      </c>
      <c r="G1455">
        <v>1</v>
      </c>
      <c r="H1455">
        <v>1</v>
      </c>
      <c r="I1455" s="472">
        <f t="shared" si="168"/>
        <v>0.32845968612834514</v>
      </c>
      <c r="J1455" s="153">
        <v>3.8473756479098807E-2</v>
      </c>
      <c r="K1455" s="153">
        <v>0.39358026214566905</v>
      </c>
      <c r="L1455" s="153">
        <v>0.53857526864315253</v>
      </c>
      <c r="M1455" s="153">
        <v>0.3432094572454602</v>
      </c>
      <c r="N1455" s="472">
        <f t="shared" si="169"/>
        <v>0.32845968612834514</v>
      </c>
      <c r="O1455" s="153">
        <v>3.8473756479098807E-2</v>
      </c>
      <c r="P1455" s="153">
        <v>0.39358026214566905</v>
      </c>
      <c r="Q1455" s="153">
        <v>0.53857526864315253</v>
      </c>
      <c r="R1455" s="153">
        <v>0.3432094572454602</v>
      </c>
      <c r="S1455" s="153">
        <v>0.03</v>
      </c>
      <c r="T1455" s="153">
        <v>0</v>
      </c>
      <c r="U1455" s="478">
        <v>2016</v>
      </c>
      <c r="V1455" s="24">
        <v>2035</v>
      </c>
      <c r="W1455">
        <v>0</v>
      </c>
      <c r="X1455">
        <v>0</v>
      </c>
      <c r="Y1455">
        <v>1304</v>
      </c>
      <c r="Z1455">
        <v>311</v>
      </c>
      <c r="AA1455" s="475" t="s">
        <v>23</v>
      </c>
    </row>
    <row r="1456" spans="1:27" ht="15" hidden="1">
      <c r="A1456" s="24">
        <f t="shared" ref="A1456:B1468" si="173">1000+ROW()-1</f>
        <v>2455</v>
      </c>
      <c r="B1456" s="24">
        <f t="shared" si="173"/>
        <v>2455</v>
      </c>
      <c r="C1456" s="476" t="s">
        <v>1850</v>
      </c>
      <c r="D1456" t="s">
        <v>152</v>
      </c>
      <c r="E1456" s="477">
        <v>3</v>
      </c>
      <c r="F1456" s="471">
        <v>0</v>
      </c>
      <c r="G1456">
        <v>1</v>
      </c>
      <c r="H1456">
        <v>1</v>
      </c>
      <c r="I1456" s="472">
        <f t="shared" si="168"/>
        <v>0.32845968612834514</v>
      </c>
      <c r="J1456" s="153">
        <v>3.8473756479098807E-2</v>
      </c>
      <c r="K1456" s="153">
        <v>0.39358026214566905</v>
      </c>
      <c r="L1456" s="153">
        <v>0.53857526864315253</v>
      </c>
      <c r="M1456" s="153">
        <v>0.3432094572454602</v>
      </c>
      <c r="N1456" s="472">
        <f t="shared" si="169"/>
        <v>0.32845968612834514</v>
      </c>
      <c r="O1456" s="153">
        <v>3.8473756479098807E-2</v>
      </c>
      <c r="P1456" s="153">
        <v>0.39358026214566905</v>
      </c>
      <c r="Q1456" s="153">
        <v>0.53857526864315253</v>
      </c>
      <c r="R1456" s="153">
        <v>0.3432094572454602</v>
      </c>
      <c r="S1456" s="153">
        <v>0.03</v>
      </c>
      <c r="T1456" s="153">
        <v>0</v>
      </c>
      <c r="U1456" s="478">
        <v>2016</v>
      </c>
      <c r="V1456" s="24">
        <v>2035</v>
      </c>
      <c r="W1456">
        <v>0</v>
      </c>
      <c r="X1456">
        <v>0</v>
      </c>
      <c r="Y1456">
        <v>1304</v>
      </c>
      <c r="Z1456">
        <v>311</v>
      </c>
      <c r="AA1456" s="475" t="s">
        <v>23</v>
      </c>
    </row>
    <row r="1457" spans="1:27" ht="15" hidden="1">
      <c r="A1457" s="24">
        <f t="shared" si="173"/>
        <v>2456</v>
      </c>
      <c r="B1457" s="24">
        <f t="shared" si="173"/>
        <v>2456</v>
      </c>
      <c r="C1457" s="476" t="s">
        <v>1851</v>
      </c>
      <c r="D1457" t="s">
        <v>152</v>
      </c>
      <c r="E1457" s="477">
        <v>3</v>
      </c>
      <c r="F1457" s="471">
        <v>6</v>
      </c>
      <c r="G1457">
        <v>1</v>
      </c>
      <c r="H1457">
        <v>1</v>
      </c>
      <c r="I1457" s="472">
        <f t="shared" si="168"/>
        <v>0.47039166666666665</v>
      </c>
      <c r="J1457" s="473">
        <v>0.36503333333333332</v>
      </c>
      <c r="K1457" s="473">
        <v>0.44336666666666663</v>
      </c>
      <c r="L1457" s="473">
        <v>0.58906666666666663</v>
      </c>
      <c r="M1457" s="473">
        <v>0.48410000000000003</v>
      </c>
      <c r="N1457" s="472">
        <f t="shared" si="169"/>
        <v>0.47039166666666665</v>
      </c>
      <c r="O1457" s="473">
        <v>0.36503333333333332</v>
      </c>
      <c r="P1457" s="473">
        <v>0.44336666666666663</v>
      </c>
      <c r="Q1457" s="473">
        <v>0.58906666666666663</v>
      </c>
      <c r="R1457" s="473">
        <v>0.48410000000000003</v>
      </c>
      <c r="S1457" s="153">
        <v>0.01</v>
      </c>
      <c r="T1457" s="153">
        <v>0.02</v>
      </c>
      <c r="U1457" s="478">
        <v>2016</v>
      </c>
      <c r="V1457" s="24">
        <f t="shared" ref="V1457:V1458" si="174">U1457+20</f>
        <v>2036</v>
      </c>
      <c r="W1457">
        <v>0</v>
      </c>
      <c r="X1457">
        <v>0</v>
      </c>
      <c r="Y1457">
        <v>1315</v>
      </c>
      <c r="Z1457">
        <v>361</v>
      </c>
      <c r="AA1457" s="475" t="s">
        <v>24</v>
      </c>
    </row>
    <row r="1458" spans="1:27" ht="15" hidden="1">
      <c r="A1458" s="24">
        <f t="shared" si="173"/>
        <v>2457</v>
      </c>
      <c r="B1458" s="24">
        <f t="shared" si="173"/>
        <v>2457</v>
      </c>
      <c r="C1458" s="476" t="s">
        <v>1852</v>
      </c>
      <c r="D1458" t="s">
        <v>152</v>
      </c>
      <c r="E1458" s="477">
        <v>3</v>
      </c>
      <c r="F1458" s="471">
        <v>24</v>
      </c>
      <c r="G1458">
        <v>1</v>
      </c>
      <c r="H1458">
        <v>1</v>
      </c>
      <c r="I1458" s="472">
        <f t="shared" si="168"/>
        <v>0.47039166666666665</v>
      </c>
      <c r="J1458" s="473">
        <v>0.36503333333333332</v>
      </c>
      <c r="K1458" s="473">
        <v>0.44336666666666663</v>
      </c>
      <c r="L1458" s="473">
        <v>0.58906666666666663</v>
      </c>
      <c r="M1458" s="473">
        <v>0.48410000000000003</v>
      </c>
      <c r="N1458" s="472">
        <f t="shared" si="169"/>
        <v>0.47039166666666665</v>
      </c>
      <c r="O1458" s="473">
        <v>0.36503333333333332</v>
      </c>
      <c r="P1458" s="473">
        <v>0.44336666666666663</v>
      </c>
      <c r="Q1458" s="473">
        <v>0.58906666666666663</v>
      </c>
      <c r="R1458" s="473">
        <v>0.48410000000000003</v>
      </c>
      <c r="S1458" s="153">
        <v>0.01</v>
      </c>
      <c r="T1458" s="153">
        <v>0.02</v>
      </c>
      <c r="U1458" s="478">
        <v>2016</v>
      </c>
      <c r="V1458" s="24">
        <f t="shared" si="174"/>
        <v>2036</v>
      </c>
      <c r="W1458">
        <v>0</v>
      </c>
      <c r="X1458">
        <v>0</v>
      </c>
      <c r="Y1458">
        <v>1315</v>
      </c>
      <c r="Z1458">
        <v>361</v>
      </c>
      <c r="AA1458" s="475" t="s">
        <v>24</v>
      </c>
    </row>
    <row r="1459" spans="1:27" ht="15" hidden="1">
      <c r="A1459" s="24">
        <f t="shared" si="173"/>
        <v>2458</v>
      </c>
      <c r="B1459" s="24">
        <f t="shared" si="173"/>
        <v>2458</v>
      </c>
      <c r="C1459" s="476" t="s">
        <v>1853</v>
      </c>
      <c r="D1459" t="s">
        <v>146</v>
      </c>
      <c r="E1459" s="477">
        <v>1</v>
      </c>
      <c r="F1459" s="471">
        <v>4.2779999999999996</v>
      </c>
      <c r="G1459">
        <v>1</v>
      </c>
      <c r="H1459">
        <v>1</v>
      </c>
      <c r="I1459" s="472">
        <f t="shared" si="168"/>
        <v>0.32845968612834514</v>
      </c>
      <c r="J1459" s="153">
        <v>3.8473756479098807E-2</v>
      </c>
      <c r="K1459" s="153">
        <v>0.39358026214566905</v>
      </c>
      <c r="L1459" s="153">
        <v>0.53857526864315253</v>
      </c>
      <c r="M1459" s="153">
        <v>0.3432094572454602</v>
      </c>
      <c r="N1459" s="472">
        <f t="shared" si="169"/>
        <v>0.32845968612834514</v>
      </c>
      <c r="O1459" s="153">
        <v>3.8473756479098807E-2</v>
      </c>
      <c r="P1459" s="153">
        <v>0.39358026214566905</v>
      </c>
      <c r="Q1459" s="153">
        <v>0.53857526864315253</v>
      </c>
      <c r="R1459" s="153">
        <v>0.3432094572454602</v>
      </c>
      <c r="S1459" s="153">
        <v>0.03</v>
      </c>
      <c r="T1459" s="153">
        <v>0</v>
      </c>
      <c r="U1459" s="478">
        <v>2016</v>
      </c>
      <c r="V1459" s="24">
        <v>2035</v>
      </c>
      <c r="W1459">
        <v>0</v>
      </c>
      <c r="X1459">
        <v>0</v>
      </c>
      <c r="Y1459">
        <v>1304</v>
      </c>
      <c r="Z1459">
        <v>311</v>
      </c>
      <c r="AA1459" s="475" t="s">
        <v>23</v>
      </c>
    </row>
    <row r="1460" spans="1:27" ht="15" hidden="1">
      <c r="A1460" s="24">
        <f t="shared" si="173"/>
        <v>2459</v>
      </c>
      <c r="B1460" s="24">
        <f t="shared" si="173"/>
        <v>2459</v>
      </c>
      <c r="C1460" s="476" t="s">
        <v>1854</v>
      </c>
      <c r="D1460" t="s">
        <v>146</v>
      </c>
      <c r="E1460" s="477">
        <v>1</v>
      </c>
      <c r="F1460" s="471">
        <v>0</v>
      </c>
      <c r="G1460">
        <v>1</v>
      </c>
      <c r="H1460">
        <v>1</v>
      </c>
      <c r="I1460" s="472">
        <f t="shared" si="168"/>
        <v>0.32845968612834514</v>
      </c>
      <c r="J1460" s="153">
        <v>3.8473756479098807E-2</v>
      </c>
      <c r="K1460" s="153">
        <v>0.39358026214566905</v>
      </c>
      <c r="L1460" s="153">
        <v>0.53857526864315253</v>
      </c>
      <c r="M1460" s="153">
        <v>0.3432094572454602</v>
      </c>
      <c r="N1460" s="472">
        <f t="shared" si="169"/>
        <v>0.32845968612834514</v>
      </c>
      <c r="O1460" s="153">
        <v>3.8473756479098807E-2</v>
      </c>
      <c r="P1460" s="153">
        <v>0.39358026214566905</v>
      </c>
      <c r="Q1460" s="153">
        <v>0.53857526864315253</v>
      </c>
      <c r="R1460" s="153">
        <v>0.3432094572454602</v>
      </c>
      <c r="S1460" s="153">
        <v>0.03</v>
      </c>
      <c r="T1460" s="153">
        <v>0</v>
      </c>
      <c r="U1460" s="478">
        <v>2016</v>
      </c>
      <c r="V1460" s="24">
        <v>2035</v>
      </c>
      <c r="W1460">
        <v>0</v>
      </c>
      <c r="X1460">
        <v>0</v>
      </c>
      <c r="Y1460">
        <v>1304</v>
      </c>
      <c r="Z1460">
        <v>311</v>
      </c>
      <c r="AA1460" s="475" t="s">
        <v>23</v>
      </c>
    </row>
    <row r="1461" spans="1:27" ht="15" hidden="1">
      <c r="A1461" s="24">
        <f t="shared" si="173"/>
        <v>2460</v>
      </c>
      <c r="B1461" s="24">
        <f t="shared" si="173"/>
        <v>2460</v>
      </c>
      <c r="C1461" s="476" t="s">
        <v>1855</v>
      </c>
      <c r="D1461" t="s">
        <v>146</v>
      </c>
      <c r="E1461" s="477">
        <v>1</v>
      </c>
      <c r="F1461" s="471">
        <v>29.547000000000001</v>
      </c>
      <c r="G1461">
        <v>1</v>
      </c>
      <c r="H1461">
        <v>1</v>
      </c>
      <c r="I1461" s="472">
        <f t="shared" si="168"/>
        <v>0.32845968612834514</v>
      </c>
      <c r="J1461" s="153">
        <v>3.8473756479098807E-2</v>
      </c>
      <c r="K1461" s="153">
        <v>0.39358026214566905</v>
      </c>
      <c r="L1461" s="153">
        <v>0.53857526864315253</v>
      </c>
      <c r="M1461" s="153">
        <v>0.3432094572454602</v>
      </c>
      <c r="N1461" s="472">
        <f t="shared" si="169"/>
        <v>0.32845968612834514</v>
      </c>
      <c r="O1461" s="153">
        <v>3.8473756479098807E-2</v>
      </c>
      <c r="P1461" s="153">
        <v>0.39358026214566905</v>
      </c>
      <c r="Q1461" s="153">
        <v>0.53857526864315253</v>
      </c>
      <c r="R1461" s="153">
        <v>0.3432094572454602</v>
      </c>
      <c r="S1461" s="153">
        <v>0.03</v>
      </c>
      <c r="T1461" s="153">
        <v>0</v>
      </c>
      <c r="U1461" s="478">
        <v>2016</v>
      </c>
      <c r="V1461" s="24">
        <v>2035</v>
      </c>
      <c r="W1461">
        <v>0</v>
      </c>
      <c r="X1461">
        <v>0</v>
      </c>
      <c r="Y1461">
        <v>1304</v>
      </c>
      <c r="Z1461">
        <v>311</v>
      </c>
      <c r="AA1461" s="475" t="s">
        <v>23</v>
      </c>
    </row>
    <row r="1462" spans="1:27" ht="15" hidden="1">
      <c r="A1462" s="24">
        <f t="shared" si="173"/>
        <v>2461</v>
      </c>
      <c r="B1462" s="24">
        <f t="shared" si="173"/>
        <v>2461</v>
      </c>
      <c r="C1462" s="476" t="s">
        <v>1856</v>
      </c>
      <c r="D1462" t="s">
        <v>146</v>
      </c>
      <c r="E1462" s="477">
        <v>1</v>
      </c>
      <c r="F1462" s="471">
        <v>0</v>
      </c>
      <c r="G1462">
        <v>1</v>
      </c>
      <c r="H1462">
        <v>1</v>
      </c>
      <c r="I1462" s="472">
        <f t="shared" si="168"/>
        <v>0.32845968612834514</v>
      </c>
      <c r="J1462" s="153">
        <v>3.8473756479098807E-2</v>
      </c>
      <c r="K1462" s="153">
        <v>0.39358026214566905</v>
      </c>
      <c r="L1462" s="153">
        <v>0.53857526864315253</v>
      </c>
      <c r="M1462" s="153">
        <v>0.3432094572454602</v>
      </c>
      <c r="N1462" s="472">
        <f t="shared" si="169"/>
        <v>0.32845968612834514</v>
      </c>
      <c r="O1462" s="153">
        <v>3.8473756479098807E-2</v>
      </c>
      <c r="P1462" s="153">
        <v>0.39358026214566905</v>
      </c>
      <c r="Q1462" s="153">
        <v>0.53857526864315253</v>
      </c>
      <c r="R1462" s="153">
        <v>0.3432094572454602</v>
      </c>
      <c r="S1462" s="153">
        <v>0.03</v>
      </c>
      <c r="T1462" s="153">
        <v>0</v>
      </c>
      <c r="U1462" s="478">
        <v>2016</v>
      </c>
      <c r="V1462" s="24">
        <v>2035</v>
      </c>
      <c r="W1462">
        <v>0</v>
      </c>
      <c r="X1462">
        <v>0</v>
      </c>
      <c r="Y1462">
        <v>1304</v>
      </c>
      <c r="Z1462">
        <v>311</v>
      </c>
      <c r="AA1462" s="475" t="s">
        <v>23</v>
      </c>
    </row>
    <row r="1463" spans="1:27" ht="15" hidden="1">
      <c r="A1463" s="24">
        <f t="shared" si="173"/>
        <v>2462</v>
      </c>
      <c r="B1463" s="24">
        <f t="shared" si="173"/>
        <v>2462</v>
      </c>
      <c r="C1463" s="476" t="s">
        <v>1857</v>
      </c>
      <c r="D1463" t="s">
        <v>146</v>
      </c>
      <c r="E1463" s="477">
        <v>1</v>
      </c>
      <c r="F1463" s="154">
        <v>50</v>
      </c>
      <c r="G1463" s="154">
        <v>0.1578289157422442</v>
      </c>
      <c r="H1463" s="154">
        <v>0.95</v>
      </c>
      <c r="I1463" s="423">
        <f t="shared" si="168"/>
        <v>1</v>
      </c>
      <c r="J1463" s="153">
        <v>1</v>
      </c>
      <c r="K1463" s="153">
        <v>1</v>
      </c>
      <c r="L1463" s="153">
        <v>1</v>
      </c>
      <c r="M1463" s="153">
        <v>1</v>
      </c>
      <c r="N1463" s="423">
        <f t="shared" si="169"/>
        <v>1</v>
      </c>
      <c r="O1463" s="153">
        <v>1</v>
      </c>
      <c r="P1463" s="153">
        <v>1</v>
      </c>
      <c r="Q1463" s="153">
        <v>1</v>
      </c>
      <c r="R1463" s="153">
        <v>1</v>
      </c>
      <c r="S1463" s="153">
        <v>3.1899999999999998E-2</v>
      </c>
      <c r="T1463" s="153">
        <v>5.4800000000000001E-2</v>
      </c>
      <c r="U1463" s="478">
        <v>2020</v>
      </c>
      <c r="V1463" s="24">
        <v>2045</v>
      </c>
      <c r="W1463">
        <v>0</v>
      </c>
      <c r="X1463">
        <v>0</v>
      </c>
      <c r="Y1463">
        <v>307</v>
      </c>
      <c r="Z1463">
        <v>313</v>
      </c>
      <c r="AA1463" s="475" t="s">
        <v>23</v>
      </c>
    </row>
    <row r="1464" spans="1:27" ht="15" hidden="1">
      <c r="A1464" s="24">
        <f t="shared" si="173"/>
        <v>2463</v>
      </c>
      <c r="B1464" s="24">
        <f t="shared" si="173"/>
        <v>2463</v>
      </c>
      <c r="C1464" s="476" t="s">
        <v>1858</v>
      </c>
      <c r="D1464" t="s">
        <v>146</v>
      </c>
      <c r="E1464" s="477">
        <v>1</v>
      </c>
      <c r="F1464" s="154">
        <v>5</v>
      </c>
      <c r="G1464" s="154">
        <v>0.21130815596654995</v>
      </c>
      <c r="H1464" s="154">
        <v>1</v>
      </c>
      <c r="I1464" s="423">
        <f t="shared" si="168"/>
        <v>1</v>
      </c>
      <c r="J1464" s="153">
        <v>1</v>
      </c>
      <c r="K1464" s="153">
        <v>1</v>
      </c>
      <c r="L1464" s="153">
        <v>1</v>
      </c>
      <c r="M1464" s="153">
        <v>1</v>
      </c>
      <c r="N1464" s="423">
        <f t="shared" si="169"/>
        <v>1</v>
      </c>
      <c r="O1464" s="153">
        <v>1</v>
      </c>
      <c r="P1464" s="153">
        <v>1</v>
      </c>
      <c r="Q1464" s="153">
        <v>1</v>
      </c>
      <c r="R1464" s="153">
        <v>1</v>
      </c>
      <c r="S1464" s="153">
        <v>3.7000000000000002E-3</v>
      </c>
      <c r="T1464" s="153">
        <v>0.05</v>
      </c>
      <c r="U1464" s="478">
        <v>2021</v>
      </c>
      <c r="V1464">
        <v>2045</v>
      </c>
      <c r="W1464">
        <v>0</v>
      </c>
      <c r="X1464">
        <v>0</v>
      </c>
      <c r="Y1464">
        <v>308</v>
      </c>
      <c r="Z1464">
        <v>313</v>
      </c>
      <c r="AA1464" s="475" t="s">
        <v>23</v>
      </c>
    </row>
    <row r="1465" spans="1:27" ht="15" hidden="1">
      <c r="A1465" s="24">
        <f t="shared" si="173"/>
        <v>2464</v>
      </c>
      <c r="B1465" s="24">
        <f t="shared" si="173"/>
        <v>2464</v>
      </c>
      <c r="C1465" s="476" t="s">
        <v>1859</v>
      </c>
      <c r="D1465" t="s">
        <v>149</v>
      </c>
      <c r="E1465" s="477">
        <v>2</v>
      </c>
      <c r="F1465" s="154">
        <v>8</v>
      </c>
      <c r="G1465" s="154">
        <v>0</v>
      </c>
      <c r="H1465" s="154">
        <v>0.9</v>
      </c>
      <c r="I1465" s="423">
        <f t="shared" si="168"/>
        <v>1</v>
      </c>
      <c r="J1465" s="153">
        <v>1</v>
      </c>
      <c r="K1465" s="153">
        <v>1</v>
      </c>
      <c r="L1465" s="153">
        <v>1</v>
      </c>
      <c r="M1465" s="153">
        <v>1</v>
      </c>
      <c r="N1465" s="423">
        <f t="shared" si="169"/>
        <v>1</v>
      </c>
      <c r="O1465" s="153">
        <v>1</v>
      </c>
      <c r="P1465" s="153">
        <v>1</v>
      </c>
      <c r="Q1465" s="153">
        <v>1</v>
      </c>
      <c r="R1465" s="153">
        <v>1</v>
      </c>
      <c r="S1465" s="153">
        <v>0.02</v>
      </c>
      <c r="T1465" s="153">
        <v>0.03</v>
      </c>
      <c r="U1465" s="478">
        <v>2018</v>
      </c>
      <c r="V1465" s="24">
        <v>2035</v>
      </c>
      <c r="W1465">
        <v>0</v>
      </c>
      <c r="X1465">
        <v>0</v>
      </c>
      <c r="Y1465">
        <v>309</v>
      </c>
      <c r="Z1465">
        <v>313</v>
      </c>
      <c r="AA1465" s="475" t="s">
        <v>23</v>
      </c>
    </row>
    <row r="1466" spans="1:27" ht="15" hidden="1">
      <c r="A1466" s="24">
        <f t="shared" si="173"/>
        <v>2465</v>
      </c>
      <c r="B1466" s="24">
        <f t="shared" si="173"/>
        <v>2465</v>
      </c>
      <c r="C1466" s="476" t="s">
        <v>1860</v>
      </c>
      <c r="D1466" t="s">
        <v>146</v>
      </c>
      <c r="E1466" s="135">
        <v>1</v>
      </c>
      <c r="F1466" s="154">
        <v>41.4</v>
      </c>
      <c r="G1466" s="154">
        <v>0</v>
      </c>
      <c r="H1466" s="154">
        <v>0.93</v>
      </c>
      <c r="I1466" s="423">
        <f t="shared" si="168"/>
        <v>1</v>
      </c>
      <c r="J1466" s="153">
        <v>1</v>
      </c>
      <c r="K1466" s="153">
        <v>1</v>
      </c>
      <c r="L1466" s="153">
        <v>1</v>
      </c>
      <c r="M1466" s="153">
        <v>1</v>
      </c>
      <c r="N1466" s="423">
        <f t="shared" si="169"/>
        <v>1</v>
      </c>
      <c r="O1466" s="153">
        <v>1</v>
      </c>
      <c r="P1466" s="153">
        <v>1</v>
      </c>
      <c r="Q1466" s="153">
        <v>1</v>
      </c>
      <c r="R1466" s="153">
        <v>1</v>
      </c>
      <c r="S1466" s="153">
        <v>0.01</v>
      </c>
      <c r="T1466" s="153">
        <v>0.16200000000000001</v>
      </c>
      <c r="U1466" s="478">
        <v>2015</v>
      </c>
      <c r="V1466">
        <v>2030</v>
      </c>
      <c r="W1466">
        <v>0</v>
      </c>
      <c r="X1466">
        <v>0</v>
      </c>
      <c r="Y1466">
        <v>310</v>
      </c>
      <c r="Z1466">
        <v>313</v>
      </c>
      <c r="AA1466" s="475" t="s">
        <v>23</v>
      </c>
    </row>
    <row r="1467" spans="1:27" ht="15" hidden="1">
      <c r="A1467" s="24">
        <f t="shared" si="173"/>
        <v>2466</v>
      </c>
      <c r="B1467" s="24">
        <f t="shared" si="173"/>
        <v>2466</v>
      </c>
      <c r="C1467" s="476" t="s">
        <v>1861</v>
      </c>
      <c r="D1467" t="s">
        <v>154</v>
      </c>
      <c r="E1467" s="135">
        <v>4</v>
      </c>
      <c r="F1467" s="154">
        <v>254.8</v>
      </c>
      <c r="G1467" s="154">
        <v>0.99996075353218206</v>
      </c>
      <c r="H1467" s="154">
        <v>1</v>
      </c>
      <c r="I1467" s="423">
        <f t="shared" si="168"/>
        <v>1</v>
      </c>
      <c r="J1467" s="153">
        <v>1</v>
      </c>
      <c r="K1467" s="153">
        <v>1</v>
      </c>
      <c r="L1467" s="153">
        <v>1</v>
      </c>
      <c r="M1467" s="153">
        <v>1</v>
      </c>
      <c r="N1467" s="423">
        <f t="shared" si="169"/>
        <v>1</v>
      </c>
      <c r="O1467" s="153">
        <v>1</v>
      </c>
      <c r="P1467" s="153">
        <v>1</v>
      </c>
      <c r="Q1467" s="153">
        <v>1</v>
      </c>
      <c r="R1467" s="153">
        <v>1</v>
      </c>
      <c r="S1467" s="153">
        <v>0</v>
      </c>
      <c r="T1467" s="153">
        <v>0</v>
      </c>
      <c r="U1467" s="478">
        <v>2014</v>
      </c>
      <c r="V1467">
        <v>2030</v>
      </c>
      <c r="W1467">
        <v>0</v>
      </c>
      <c r="X1467">
        <v>0</v>
      </c>
      <c r="Y1467">
        <v>311</v>
      </c>
      <c r="Z1467">
        <v>313</v>
      </c>
      <c r="AA1467" s="475" t="s">
        <v>23</v>
      </c>
    </row>
    <row r="1468" spans="1:27" ht="15" hidden="1">
      <c r="A1468" s="24">
        <f t="shared" si="173"/>
        <v>2467</v>
      </c>
      <c r="B1468" s="24">
        <f t="shared" si="173"/>
        <v>2467</v>
      </c>
      <c r="C1468" s="476" t="s">
        <v>1862</v>
      </c>
      <c r="D1468" t="s">
        <v>152</v>
      </c>
      <c r="E1468" s="135">
        <v>3</v>
      </c>
      <c r="F1468" s="154">
        <v>30</v>
      </c>
      <c r="G1468" s="154">
        <v>0</v>
      </c>
      <c r="H1468" s="154">
        <v>1</v>
      </c>
      <c r="I1468" s="423">
        <f t="shared" si="168"/>
        <v>1</v>
      </c>
      <c r="J1468" s="153">
        <v>1</v>
      </c>
      <c r="K1468" s="153">
        <v>1</v>
      </c>
      <c r="L1468" s="153">
        <v>1</v>
      </c>
      <c r="M1468" s="153">
        <v>1</v>
      </c>
      <c r="N1468" s="423">
        <f t="shared" si="169"/>
        <v>1</v>
      </c>
      <c r="O1468" s="153">
        <v>1</v>
      </c>
      <c r="P1468" s="153">
        <v>1</v>
      </c>
      <c r="Q1468" s="153">
        <v>1</v>
      </c>
      <c r="R1468" s="153">
        <v>1</v>
      </c>
      <c r="S1468" s="153">
        <v>1.4999999999999999E-2</v>
      </c>
      <c r="T1468" s="153">
        <v>0.03</v>
      </c>
      <c r="U1468" s="478">
        <v>2010</v>
      </c>
      <c r="V1468">
        <v>2023</v>
      </c>
      <c r="W1468">
        <v>0</v>
      </c>
      <c r="X1468">
        <v>0</v>
      </c>
      <c r="Y1468">
        <v>312</v>
      </c>
      <c r="Z1468">
        <v>313</v>
      </c>
      <c r="AA1468" s="475" t="s">
        <v>23</v>
      </c>
    </row>
    <row r="1469" spans="1:27" ht="15" hidden="1">
      <c r="A1469">
        <v>10001</v>
      </c>
      <c r="B1469">
        <v>10001</v>
      </c>
      <c r="C1469" s="476" t="s">
        <v>1015</v>
      </c>
      <c r="D1469" t="s">
        <v>152</v>
      </c>
      <c r="E1469" s="477">
        <v>3</v>
      </c>
      <c r="F1469" s="471">
        <v>10</v>
      </c>
      <c r="G1469">
        <v>1</v>
      </c>
      <c r="H1469">
        <v>1</v>
      </c>
      <c r="I1469" s="472">
        <v>0.47039166666666665</v>
      </c>
      <c r="J1469" s="473">
        <v>0.36503333333333332</v>
      </c>
      <c r="K1469" s="473">
        <v>0.44336666666666663</v>
      </c>
      <c r="L1469" s="473">
        <v>0.58906666666666663</v>
      </c>
      <c r="M1469" s="473">
        <v>0.48410000000000003</v>
      </c>
      <c r="N1469" s="472">
        <v>0.47039166666666665</v>
      </c>
      <c r="O1469" s="473">
        <v>0.36503333333333332</v>
      </c>
      <c r="P1469" s="473">
        <v>0.44336666666666663</v>
      </c>
      <c r="Q1469" s="473">
        <v>0.58906666666666663</v>
      </c>
      <c r="R1469" s="473">
        <v>0.48410000000000003</v>
      </c>
      <c r="S1469" s="153">
        <v>0.01</v>
      </c>
      <c r="T1469" s="153">
        <v>0.02</v>
      </c>
      <c r="U1469" s="478">
        <v>2018</v>
      </c>
      <c r="V1469" s="24">
        <f t="shared" ref="V1469:V1532" si="175">U1469+20</f>
        <v>2038</v>
      </c>
      <c r="W1469">
        <v>0</v>
      </c>
      <c r="X1469">
        <v>0</v>
      </c>
      <c r="Y1469">
        <v>1315</v>
      </c>
      <c r="Z1469">
        <v>361</v>
      </c>
      <c r="AA1469" s="475" t="s">
        <v>24</v>
      </c>
    </row>
    <row r="1470" spans="1:27" ht="15" hidden="1">
      <c r="A1470">
        <v>10002</v>
      </c>
      <c r="B1470">
        <v>10002</v>
      </c>
      <c r="C1470" s="476" t="s">
        <v>1021</v>
      </c>
      <c r="D1470" t="s">
        <v>152</v>
      </c>
      <c r="E1470" s="477">
        <v>3</v>
      </c>
      <c r="F1470" s="471">
        <v>30</v>
      </c>
      <c r="G1470">
        <v>1</v>
      </c>
      <c r="H1470">
        <v>1</v>
      </c>
      <c r="I1470" s="472">
        <v>0.47039166666666665</v>
      </c>
      <c r="J1470" s="473">
        <v>0.36503333333333332</v>
      </c>
      <c r="K1470" s="473">
        <v>0.44336666666666663</v>
      </c>
      <c r="L1470" s="473">
        <v>0.58906666666666663</v>
      </c>
      <c r="M1470" s="473">
        <v>0.48410000000000003</v>
      </c>
      <c r="N1470" s="472">
        <v>0.47039166666666665</v>
      </c>
      <c r="O1470" s="473">
        <v>0.36503333333333332</v>
      </c>
      <c r="P1470" s="473">
        <v>0.44336666666666663</v>
      </c>
      <c r="Q1470" s="473">
        <v>0.58906666666666663</v>
      </c>
      <c r="R1470" s="473">
        <v>0.48410000000000003</v>
      </c>
      <c r="S1470" s="153">
        <v>0.01</v>
      </c>
      <c r="T1470" s="153">
        <v>0.02</v>
      </c>
      <c r="U1470" s="478">
        <v>2018</v>
      </c>
      <c r="V1470" s="24">
        <f t="shared" si="175"/>
        <v>2038</v>
      </c>
      <c r="W1470">
        <v>0</v>
      </c>
      <c r="X1470">
        <v>0</v>
      </c>
      <c r="Y1470">
        <v>1315</v>
      </c>
      <c r="Z1470">
        <v>361</v>
      </c>
      <c r="AA1470" s="475" t="s">
        <v>24</v>
      </c>
    </row>
    <row r="1471" spans="1:27" ht="15" hidden="1">
      <c r="A1471">
        <v>10003</v>
      </c>
      <c r="B1471">
        <v>10003</v>
      </c>
      <c r="C1471" s="476" t="s">
        <v>1863</v>
      </c>
      <c r="D1471" s="606" t="s">
        <v>1864</v>
      </c>
      <c r="E1471" s="477">
        <v>3</v>
      </c>
      <c r="F1471" s="471">
        <v>30</v>
      </c>
      <c r="G1471">
        <v>1</v>
      </c>
      <c r="H1471">
        <v>1</v>
      </c>
      <c r="I1471" s="472">
        <v>0.47039166666666665</v>
      </c>
      <c r="J1471" s="473">
        <v>0.36503333333333332</v>
      </c>
      <c r="K1471" s="473">
        <v>0.44336666666666663</v>
      </c>
      <c r="L1471" s="473">
        <v>0.58906666666666663</v>
      </c>
      <c r="M1471" s="473">
        <v>0.48410000000000003</v>
      </c>
      <c r="N1471" s="472">
        <v>0.47039166666666665</v>
      </c>
      <c r="O1471" s="473">
        <v>0.36503333333333332</v>
      </c>
      <c r="P1471" s="473">
        <v>0.44336666666666663</v>
      </c>
      <c r="Q1471" s="473">
        <v>0.58906666666666663</v>
      </c>
      <c r="R1471" s="473">
        <v>0.48410000000000003</v>
      </c>
      <c r="S1471" s="153">
        <v>0.01</v>
      </c>
      <c r="T1471" s="153">
        <v>0.02</v>
      </c>
      <c r="U1471" s="478">
        <v>2019</v>
      </c>
      <c r="V1471" s="24">
        <f t="shared" si="175"/>
        <v>2039</v>
      </c>
      <c r="W1471">
        <v>0</v>
      </c>
      <c r="X1471">
        <v>0</v>
      </c>
      <c r="Y1471">
        <v>1315</v>
      </c>
      <c r="Z1471">
        <v>361</v>
      </c>
      <c r="AA1471" s="475" t="s">
        <v>24</v>
      </c>
    </row>
    <row r="1472" spans="1:27" ht="15" hidden="1">
      <c r="A1472">
        <v>10004</v>
      </c>
      <c r="B1472">
        <v>10004</v>
      </c>
      <c r="C1472" s="476" t="s">
        <v>1865</v>
      </c>
      <c r="D1472" s="606" t="s">
        <v>1864</v>
      </c>
      <c r="E1472" s="477">
        <v>3</v>
      </c>
      <c r="F1472" s="471">
        <v>30</v>
      </c>
      <c r="G1472">
        <v>1</v>
      </c>
      <c r="H1472">
        <v>1</v>
      </c>
      <c r="I1472" s="472">
        <v>0.47039166666666665</v>
      </c>
      <c r="J1472" s="473">
        <v>0.36503333333333332</v>
      </c>
      <c r="K1472" s="473">
        <v>0.44336666666666663</v>
      </c>
      <c r="L1472" s="473">
        <v>0.58906666666666663</v>
      </c>
      <c r="M1472" s="473">
        <v>0.48410000000000003</v>
      </c>
      <c r="N1472" s="472">
        <v>0.47039166666666665</v>
      </c>
      <c r="O1472" s="473">
        <v>0.36503333333333332</v>
      </c>
      <c r="P1472" s="473">
        <v>0.44336666666666663</v>
      </c>
      <c r="Q1472" s="473">
        <v>0.58906666666666663</v>
      </c>
      <c r="R1472" s="473">
        <v>0.48410000000000003</v>
      </c>
      <c r="S1472" s="153">
        <v>0.01</v>
      </c>
      <c r="T1472" s="153">
        <v>0.02</v>
      </c>
      <c r="U1472" s="478">
        <v>2019</v>
      </c>
      <c r="V1472" s="24">
        <f t="shared" si="175"/>
        <v>2039</v>
      </c>
      <c r="W1472">
        <v>0</v>
      </c>
      <c r="X1472">
        <v>0</v>
      </c>
      <c r="Y1472">
        <v>1315</v>
      </c>
      <c r="Z1472">
        <v>361</v>
      </c>
      <c r="AA1472" s="475" t="s">
        <v>24</v>
      </c>
    </row>
    <row r="1473" spans="1:27" ht="15" hidden="1">
      <c r="A1473">
        <v>10005</v>
      </c>
      <c r="B1473">
        <v>10005</v>
      </c>
      <c r="C1473" s="476" t="s">
        <v>1866</v>
      </c>
      <c r="D1473" s="606" t="s">
        <v>1864</v>
      </c>
      <c r="E1473" s="477">
        <v>3</v>
      </c>
      <c r="F1473" s="471">
        <v>30</v>
      </c>
      <c r="G1473">
        <v>1</v>
      </c>
      <c r="H1473">
        <v>1</v>
      </c>
      <c r="I1473" s="472">
        <v>0.47039166666666665</v>
      </c>
      <c r="J1473" s="473">
        <v>0.36503333333333332</v>
      </c>
      <c r="K1473" s="473">
        <v>0.44336666666666663</v>
      </c>
      <c r="L1473" s="473">
        <v>0.58906666666666663</v>
      </c>
      <c r="M1473" s="473">
        <v>0.48410000000000003</v>
      </c>
      <c r="N1473" s="472">
        <v>0.47039166666666665</v>
      </c>
      <c r="O1473" s="473">
        <v>0.36503333333333332</v>
      </c>
      <c r="P1473" s="473">
        <v>0.44336666666666663</v>
      </c>
      <c r="Q1473" s="473">
        <v>0.58906666666666663</v>
      </c>
      <c r="R1473" s="473">
        <v>0.48410000000000003</v>
      </c>
      <c r="S1473" s="153">
        <v>0.01</v>
      </c>
      <c r="T1473" s="153">
        <v>0.02</v>
      </c>
      <c r="U1473" s="478">
        <v>2019</v>
      </c>
      <c r="V1473" s="24">
        <f t="shared" si="175"/>
        <v>2039</v>
      </c>
      <c r="W1473">
        <v>0</v>
      </c>
      <c r="X1473">
        <v>0</v>
      </c>
      <c r="Y1473">
        <v>1315</v>
      </c>
      <c r="Z1473">
        <v>361</v>
      </c>
      <c r="AA1473" s="475" t="s">
        <v>24</v>
      </c>
    </row>
    <row r="1474" spans="1:27" ht="15" hidden="1">
      <c r="A1474">
        <v>10006</v>
      </c>
      <c r="B1474">
        <v>10006</v>
      </c>
      <c r="C1474" s="476" t="s">
        <v>1867</v>
      </c>
      <c r="D1474" s="606" t="s">
        <v>1864</v>
      </c>
      <c r="E1474" s="477">
        <v>3</v>
      </c>
      <c r="F1474" s="154">
        <v>30</v>
      </c>
      <c r="G1474">
        <v>1</v>
      </c>
      <c r="H1474">
        <v>1</v>
      </c>
      <c r="I1474" s="472">
        <v>0.47039166666666665</v>
      </c>
      <c r="J1474" s="473">
        <v>0.36503333333333332</v>
      </c>
      <c r="K1474" s="473">
        <v>0.44336666666666663</v>
      </c>
      <c r="L1474" s="473">
        <v>0.58906666666666663</v>
      </c>
      <c r="M1474" s="473">
        <v>0.48410000000000003</v>
      </c>
      <c r="N1474" s="472">
        <v>0.47039166666666665</v>
      </c>
      <c r="O1474" s="473">
        <v>0.36503333333333332</v>
      </c>
      <c r="P1474" s="473">
        <v>0.44336666666666663</v>
      </c>
      <c r="Q1474" s="473">
        <v>0.58906666666666663</v>
      </c>
      <c r="R1474" s="473">
        <v>0.48410000000000003</v>
      </c>
      <c r="S1474" s="153">
        <v>0.01</v>
      </c>
      <c r="T1474" s="153">
        <v>0.02</v>
      </c>
      <c r="U1474" s="478">
        <v>2019</v>
      </c>
      <c r="V1474" s="24">
        <f t="shared" si="175"/>
        <v>2039</v>
      </c>
      <c r="W1474">
        <v>0</v>
      </c>
      <c r="X1474">
        <v>0</v>
      </c>
      <c r="Y1474">
        <v>1315</v>
      </c>
      <c r="Z1474">
        <v>361</v>
      </c>
      <c r="AA1474" s="475" t="s">
        <v>24</v>
      </c>
    </row>
    <row r="1475" spans="1:27" ht="15" hidden="1">
      <c r="A1475">
        <v>10007</v>
      </c>
      <c r="B1475">
        <v>10007</v>
      </c>
      <c r="C1475" s="476" t="s">
        <v>1868</v>
      </c>
      <c r="D1475" s="606" t="s">
        <v>1864</v>
      </c>
      <c r="E1475" s="477">
        <v>3</v>
      </c>
      <c r="F1475" s="471">
        <v>30</v>
      </c>
      <c r="G1475">
        <v>1</v>
      </c>
      <c r="H1475">
        <v>1</v>
      </c>
      <c r="I1475" s="472">
        <v>0.47039166666666665</v>
      </c>
      <c r="J1475" s="473">
        <v>0.36503333333333332</v>
      </c>
      <c r="K1475" s="473">
        <v>0.44336666666666663</v>
      </c>
      <c r="L1475" s="473">
        <v>0.58906666666666663</v>
      </c>
      <c r="M1475" s="473">
        <v>0.48410000000000003</v>
      </c>
      <c r="N1475" s="472">
        <v>0.47039166666666665</v>
      </c>
      <c r="O1475" s="473">
        <v>0.36503333333333332</v>
      </c>
      <c r="P1475" s="473">
        <v>0.44336666666666663</v>
      </c>
      <c r="Q1475" s="473">
        <v>0.58906666666666663</v>
      </c>
      <c r="R1475" s="473">
        <v>0.48410000000000003</v>
      </c>
      <c r="S1475" s="153">
        <v>0.01</v>
      </c>
      <c r="T1475" s="153">
        <v>0.02</v>
      </c>
      <c r="U1475" s="478">
        <v>2019</v>
      </c>
      <c r="V1475" s="24">
        <f t="shared" si="175"/>
        <v>2039</v>
      </c>
      <c r="W1475">
        <v>0</v>
      </c>
      <c r="X1475">
        <v>0</v>
      </c>
      <c r="Y1475">
        <v>1315</v>
      </c>
      <c r="Z1475">
        <v>361</v>
      </c>
      <c r="AA1475" s="475" t="s">
        <v>24</v>
      </c>
    </row>
    <row r="1476" spans="1:27" ht="15" hidden="1">
      <c r="A1476">
        <v>10008</v>
      </c>
      <c r="B1476">
        <v>10008</v>
      </c>
      <c r="C1476" s="476" t="s">
        <v>1869</v>
      </c>
      <c r="D1476" s="606" t="s">
        <v>1864</v>
      </c>
      <c r="E1476" s="477">
        <v>3</v>
      </c>
      <c r="F1476" s="471">
        <v>30</v>
      </c>
      <c r="G1476">
        <v>1</v>
      </c>
      <c r="H1476">
        <v>1</v>
      </c>
      <c r="I1476" s="472">
        <v>0.47039166666666665</v>
      </c>
      <c r="J1476" s="473">
        <v>0.36503333333333332</v>
      </c>
      <c r="K1476" s="473">
        <v>0.44336666666666663</v>
      </c>
      <c r="L1476" s="473">
        <v>0.58906666666666663</v>
      </c>
      <c r="M1476" s="473">
        <v>0.48410000000000003</v>
      </c>
      <c r="N1476" s="472">
        <v>0.47039166666666665</v>
      </c>
      <c r="O1476" s="473">
        <v>0.36503333333333332</v>
      </c>
      <c r="P1476" s="473">
        <v>0.44336666666666663</v>
      </c>
      <c r="Q1476" s="473">
        <v>0.58906666666666663</v>
      </c>
      <c r="R1476" s="473">
        <v>0.48410000000000003</v>
      </c>
      <c r="S1476" s="153">
        <v>0.01</v>
      </c>
      <c r="T1476" s="153">
        <v>0.02</v>
      </c>
      <c r="U1476" s="478">
        <v>2019</v>
      </c>
      <c r="V1476" s="24">
        <f t="shared" si="175"/>
        <v>2039</v>
      </c>
      <c r="W1476">
        <v>0</v>
      </c>
      <c r="X1476">
        <v>0</v>
      </c>
      <c r="Y1476">
        <v>1315</v>
      </c>
      <c r="Z1476">
        <v>361</v>
      </c>
      <c r="AA1476" s="475" t="s">
        <v>24</v>
      </c>
    </row>
    <row r="1477" spans="1:27" ht="15" hidden="1">
      <c r="A1477">
        <v>10009</v>
      </c>
      <c r="B1477">
        <v>10009</v>
      </c>
      <c r="C1477" s="476" t="s">
        <v>1446</v>
      </c>
      <c r="D1477" s="606" t="s">
        <v>1864</v>
      </c>
      <c r="E1477" s="477">
        <v>3</v>
      </c>
      <c r="F1477" s="471">
        <v>28</v>
      </c>
      <c r="G1477">
        <v>1</v>
      </c>
      <c r="H1477">
        <v>1</v>
      </c>
      <c r="I1477" s="472">
        <v>0.47039166666666665</v>
      </c>
      <c r="J1477" s="473">
        <v>0.36503333333333332</v>
      </c>
      <c r="K1477" s="473">
        <v>0.44336666666666663</v>
      </c>
      <c r="L1477" s="473">
        <v>0.58906666666666663</v>
      </c>
      <c r="M1477" s="473">
        <v>0.48410000000000003</v>
      </c>
      <c r="N1477" s="472">
        <v>0.47039166666666665</v>
      </c>
      <c r="O1477" s="473">
        <v>0.36503333333333332</v>
      </c>
      <c r="P1477" s="473">
        <v>0.44336666666666663</v>
      </c>
      <c r="Q1477" s="473">
        <v>0.58906666666666663</v>
      </c>
      <c r="R1477" s="473">
        <v>0.48410000000000003</v>
      </c>
      <c r="S1477" s="153">
        <v>0.01</v>
      </c>
      <c r="T1477" s="153">
        <v>0.02</v>
      </c>
      <c r="U1477" s="478">
        <v>2019</v>
      </c>
      <c r="V1477" s="24">
        <f t="shared" si="175"/>
        <v>2039</v>
      </c>
      <c r="W1477">
        <v>0</v>
      </c>
      <c r="X1477">
        <v>0</v>
      </c>
      <c r="Y1477">
        <v>1315</v>
      </c>
      <c r="Z1477">
        <v>361</v>
      </c>
      <c r="AA1477" s="475" t="s">
        <v>24</v>
      </c>
    </row>
    <row r="1478" spans="1:27" ht="15" hidden="1">
      <c r="A1478">
        <v>10010</v>
      </c>
      <c r="B1478">
        <v>10010</v>
      </c>
      <c r="C1478" s="476" t="s">
        <v>1447</v>
      </c>
      <c r="D1478" s="606" t="s">
        <v>1864</v>
      </c>
      <c r="E1478" s="477">
        <v>3</v>
      </c>
      <c r="F1478" s="471">
        <v>28</v>
      </c>
      <c r="G1478">
        <v>1</v>
      </c>
      <c r="H1478">
        <v>1</v>
      </c>
      <c r="I1478" s="472">
        <v>0.47039166666666665</v>
      </c>
      <c r="J1478" s="473">
        <v>0.36503333333333332</v>
      </c>
      <c r="K1478" s="473">
        <v>0.44336666666666663</v>
      </c>
      <c r="L1478" s="473">
        <v>0.58906666666666663</v>
      </c>
      <c r="M1478" s="473">
        <v>0.48410000000000003</v>
      </c>
      <c r="N1478" s="472">
        <v>0.47039166666666665</v>
      </c>
      <c r="O1478" s="473">
        <v>0.36503333333333332</v>
      </c>
      <c r="P1478" s="473">
        <v>0.44336666666666663</v>
      </c>
      <c r="Q1478" s="473">
        <v>0.58906666666666663</v>
      </c>
      <c r="R1478" s="473">
        <v>0.48410000000000003</v>
      </c>
      <c r="S1478" s="153">
        <v>0.01</v>
      </c>
      <c r="T1478" s="153">
        <v>0.02</v>
      </c>
      <c r="U1478" s="478">
        <v>2019</v>
      </c>
      <c r="V1478" s="24">
        <f t="shared" si="175"/>
        <v>2039</v>
      </c>
      <c r="W1478">
        <v>0</v>
      </c>
      <c r="X1478">
        <v>0</v>
      </c>
      <c r="Y1478">
        <v>1315</v>
      </c>
      <c r="Z1478">
        <v>361</v>
      </c>
      <c r="AA1478" s="475" t="s">
        <v>24</v>
      </c>
    </row>
    <row r="1479" spans="1:27" ht="15" hidden="1">
      <c r="A1479">
        <v>10011</v>
      </c>
      <c r="B1479">
        <v>10011</v>
      </c>
      <c r="C1479" s="476" t="s">
        <v>1015</v>
      </c>
      <c r="D1479" s="606" t="s">
        <v>1864</v>
      </c>
      <c r="E1479" s="477">
        <v>3</v>
      </c>
      <c r="F1479" s="154">
        <v>4</v>
      </c>
      <c r="G1479">
        <v>1</v>
      </c>
      <c r="H1479">
        <v>1</v>
      </c>
      <c r="I1479" s="472">
        <v>0.47039166666666665</v>
      </c>
      <c r="J1479" s="473">
        <v>0.36503333333333332</v>
      </c>
      <c r="K1479" s="473">
        <v>0.44336666666666663</v>
      </c>
      <c r="L1479" s="473">
        <v>0.58906666666666663</v>
      </c>
      <c r="M1479" s="473">
        <v>0.48410000000000003</v>
      </c>
      <c r="N1479" s="472">
        <v>0.47039166666666665</v>
      </c>
      <c r="O1479" s="473">
        <v>0.36503333333333332</v>
      </c>
      <c r="P1479" s="473">
        <v>0.44336666666666663</v>
      </c>
      <c r="Q1479" s="473">
        <v>0.58906666666666663</v>
      </c>
      <c r="R1479" s="473">
        <v>0.48410000000000003</v>
      </c>
      <c r="S1479" s="153">
        <v>0.01</v>
      </c>
      <c r="T1479" s="153">
        <v>0.02</v>
      </c>
      <c r="U1479" s="478">
        <v>2019</v>
      </c>
      <c r="V1479" s="24">
        <f t="shared" si="175"/>
        <v>2039</v>
      </c>
      <c r="W1479">
        <v>0</v>
      </c>
      <c r="X1479">
        <v>0</v>
      </c>
      <c r="Y1479">
        <v>1315</v>
      </c>
      <c r="Z1479">
        <v>361</v>
      </c>
      <c r="AA1479" s="475" t="s">
        <v>24</v>
      </c>
    </row>
    <row r="1480" spans="1:27" ht="15" hidden="1">
      <c r="A1480">
        <v>10012</v>
      </c>
      <c r="B1480">
        <v>10012</v>
      </c>
      <c r="C1480" s="476" t="s">
        <v>1870</v>
      </c>
      <c r="D1480" s="606" t="s">
        <v>1864</v>
      </c>
      <c r="E1480" s="477">
        <v>3</v>
      </c>
      <c r="F1480" s="471">
        <v>6</v>
      </c>
      <c r="G1480">
        <v>1</v>
      </c>
      <c r="H1480">
        <v>1</v>
      </c>
      <c r="I1480" s="472">
        <v>0.47039166666666665</v>
      </c>
      <c r="J1480" s="473">
        <v>0.36503333333333332</v>
      </c>
      <c r="K1480" s="473">
        <v>0.44336666666666663</v>
      </c>
      <c r="L1480" s="473">
        <v>0.58906666666666663</v>
      </c>
      <c r="M1480" s="473">
        <v>0.48410000000000003</v>
      </c>
      <c r="N1480" s="472">
        <v>0.47039166666666665</v>
      </c>
      <c r="O1480" s="473">
        <v>0.36503333333333332</v>
      </c>
      <c r="P1480" s="473">
        <v>0.44336666666666663</v>
      </c>
      <c r="Q1480" s="473">
        <v>0.58906666666666663</v>
      </c>
      <c r="R1480" s="473">
        <v>0.48410000000000003</v>
      </c>
      <c r="S1480" s="153">
        <v>0.01</v>
      </c>
      <c r="T1480" s="153">
        <v>0.02</v>
      </c>
      <c r="U1480" s="478">
        <v>2019</v>
      </c>
      <c r="V1480" s="24">
        <f t="shared" si="175"/>
        <v>2039</v>
      </c>
      <c r="W1480">
        <v>0</v>
      </c>
      <c r="X1480">
        <v>0</v>
      </c>
      <c r="Y1480">
        <v>1315</v>
      </c>
      <c r="Z1480">
        <v>361</v>
      </c>
      <c r="AA1480" s="475" t="s">
        <v>24</v>
      </c>
    </row>
    <row r="1481" spans="1:27" ht="15" hidden="1">
      <c r="A1481">
        <v>10013</v>
      </c>
      <c r="B1481">
        <v>10013</v>
      </c>
      <c r="C1481" s="476" t="s">
        <v>1871</v>
      </c>
      <c r="D1481" s="606" t="s">
        <v>1864</v>
      </c>
      <c r="E1481" s="477">
        <v>3</v>
      </c>
      <c r="F1481" s="471">
        <v>9</v>
      </c>
      <c r="G1481">
        <v>1</v>
      </c>
      <c r="H1481">
        <v>1</v>
      </c>
      <c r="I1481" s="472">
        <v>0.47039166666666665</v>
      </c>
      <c r="J1481" s="473">
        <v>0.36503333333333332</v>
      </c>
      <c r="K1481" s="473">
        <v>0.44336666666666663</v>
      </c>
      <c r="L1481" s="473">
        <v>0.58906666666666663</v>
      </c>
      <c r="M1481" s="473">
        <v>0.48410000000000003</v>
      </c>
      <c r="N1481" s="472">
        <v>0.47039166666666665</v>
      </c>
      <c r="O1481" s="473">
        <v>0.36503333333333332</v>
      </c>
      <c r="P1481" s="473">
        <v>0.44336666666666663</v>
      </c>
      <c r="Q1481" s="473">
        <v>0.58906666666666663</v>
      </c>
      <c r="R1481" s="473">
        <v>0.48410000000000003</v>
      </c>
      <c r="S1481" s="153">
        <v>0.01</v>
      </c>
      <c r="T1481" s="153">
        <v>0.02</v>
      </c>
      <c r="U1481" s="478">
        <v>2019</v>
      </c>
      <c r="V1481" s="24">
        <f t="shared" si="175"/>
        <v>2039</v>
      </c>
      <c r="W1481">
        <v>0</v>
      </c>
      <c r="X1481">
        <v>0</v>
      </c>
      <c r="Y1481">
        <v>1315</v>
      </c>
      <c r="Z1481">
        <v>361</v>
      </c>
      <c r="AA1481" s="475" t="s">
        <v>24</v>
      </c>
    </row>
    <row r="1482" spans="1:27" ht="15" hidden="1">
      <c r="A1482">
        <v>10014</v>
      </c>
      <c r="B1482">
        <v>10014</v>
      </c>
      <c r="C1482" s="476" t="s">
        <v>1872</v>
      </c>
      <c r="D1482" s="606" t="s">
        <v>1864</v>
      </c>
      <c r="E1482" s="477">
        <v>3</v>
      </c>
      <c r="F1482" s="471">
        <v>9</v>
      </c>
      <c r="G1482">
        <v>1</v>
      </c>
      <c r="H1482">
        <v>1</v>
      </c>
      <c r="I1482" s="472">
        <v>0.47039166666666665</v>
      </c>
      <c r="J1482" s="473">
        <v>0.36503333333333332</v>
      </c>
      <c r="K1482" s="473">
        <v>0.44336666666666663</v>
      </c>
      <c r="L1482" s="473">
        <v>0.58906666666666663</v>
      </c>
      <c r="M1482" s="473">
        <v>0.48410000000000003</v>
      </c>
      <c r="N1482" s="472">
        <v>0.47039166666666665</v>
      </c>
      <c r="O1482" s="473">
        <v>0.36503333333333332</v>
      </c>
      <c r="P1482" s="473">
        <v>0.44336666666666663</v>
      </c>
      <c r="Q1482" s="473">
        <v>0.58906666666666663</v>
      </c>
      <c r="R1482" s="473">
        <v>0.48410000000000003</v>
      </c>
      <c r="S1482" s="153">
        <v>0.01</v>
      </c>
      <c r="T1482" s="153">
        <v>0.02</v>
      </c>
      <c r="U1482" s="478">
        <v>2019</v>
      </c>
      <c r="V1482" s="24">
        <f t="shared" si="175"/>
        <v>2039</v>
      </c>
      <c r="W1482">
        <v>0</v>
      </c>
      <c r="X1482">
        <v>0</v>
      </c>
      <c r="Y1482">
        <v>1315</v>
      </c>
      <c r="Z1482">
        <v>361</v>
      </c>
      <c r="AA1482" s="475" t="s">
        <v>24</v>
      </c>
    </row>
    <row r="1483" spans="1:27" ht="15" hidden="1">
      <c r="A1483">
        <v>10015</v>
      </c>
      <c r="B1483">
        <v>10015</v>
      </c>
      <c r="C1483" s="476" t="s">
        <v>1873</v>
      </c>
      <c r="D1483" s="606" t="s">
        <v>1864</v>
      </c>
      <c r="E1483" s="477">
        <v>3</v>
      </c>
      <c r="F1483" s="471">
        <v>30</v>
      </c>
      <c r="G1483">
        <v>1</v>
      </c>
      <c r="H1483">
        <v>1</v>
      </c>
      <c r="I1483" s="472">
        <v>0.47039166666666665</v>
      </c>
      <c r="J1483" s="473">
        <v>0.36503333333333332</v>
      </c>
      <c r="K1483" s="473">
        <v>0.44336666666666663</v>
      </c>
      <c r="L1483" s="473">
        <v>0.58906666666666663</v>
      </c>
      <c r="M1483" s="473">
        <v>0.48410000000000003</v>
      </c>
      <c r="N1483" s="472">
        <v>0.47039166666666665</v>
      </c>
      <c r="O1483" s="473">
        <v>0.36503333333333332</v>
      </c>
      <c r="P1483" s="473">
        <v>0.44336666666666663</v>
      </c>
      <c r="Q1483" s="473">
        <v>0.58906666666666663</v>
      </c>
      <c r="R1483" s="473">
        <v>0.48410000000000003</v>
      </c>
      <c r="S1483" s="153">
        <v>0.01</v>
      </c>
      <c r="T1483" s="153">
        <v>0.02</v>
      </c>
      <c r="U1483" s="478">
        <v>2019</v>
      </c>
      <c r="V1483" s="24">
        <f t="shared" si="175"/>
        <v>2039</v>
      </c>
      <c r="W1483">
        <v>0</v>
      </c>
      <c r="X1483">
        <v>0</v>
      </c>
      <c r="Y1483">
        <v>1315</v>
      </c>
      <c r="Z1483">
        <v>361</v>
      </c>
      <c r="AA1483" s="475" t="s">
        <v>24</v>
      </c>
    </row>
    <row r="1484" spans="1:27" ht="15" hidden="1">
      <c r="A1484">
        <v>10016</v>
      </c>
      <c r="B1484">
        <v>10016</v>
      </c>
      <c r="C1484" s="476" t="s">
        <v>1874</v>
      </c>
      <c r="D1484" s="606" t="s">
        <v>1864</v>
      </c>
      <c r="E1484" s="477">
        <v>3</v>
      </c>
      <c r="F1484" s="154">
        <v>30</v>
      </c>
      <c r="G1484">
        <v>1</v>
      </c>
      <c r="H1484">
        <v>1</v>
      </c>
      <c r="I1484" s="472">
        <v>0.47039166666666665</v>
      </c>
      <c r="J1484" s="473">
        <v>0.36503333333333332</v>
      </c>
      <c r="K1484" s="473">
        <v>0.44336666666666663</v>
      </c>
      <c r="L1484" s="473">
        <v>0.58906666666666663</v>
      </c>
      <c r="M1484" s="473">
        <v>0.48410000000000003</v>
      </c>
      <c r="N1484" s="472">
        <v>0.47039166666666665</v>
      </c>
      <c r="O1484" s="473">
        <v>0.36503333333333332</v>
      </c>
      <c r="P1484" s="473">
        <v>0.44336666666666663</v>
      </c>
      <c r="Q1484" s="473">
        <v>0.58906666666666663</v>
      </c>
      <c r="R1484" s="473">
        <v>0.48410000000000003</v>
      </c>
      <c r="S1484" s="153">
        <v>0.01</v>
      </c>
      <c r="T1484" s="153">
        <v>0.02</v>
      </c>
      <c r="U1484" s="478">
        <v>2019</v>
      </c>
      <c r="V1484" s="24">
        <f t="shared" si="175"/>
        <v>2039</v>
      </c>
      <c r="W1484">
        <v>0</v>
      </c>
      <c r="X1484">
        <v>0</v>
      </c>
      <c r="Y1484">
        <v>1315</v>
      </c>
      <c r="Z1484">
        <v>361</v>
      </c>
      <c r="AA1484" s="475" t="s">
        <v>24</v>
      </c>
    </row>
    <row r="1485" spans="1:27" ht="15" hidden="1">
      <c r="A1485">
        <v>10017</v>
      </c>
      <c r="B1485">
        <v>10017</v>
      </c>
      <c r="C1485" s="476" t="s">
        <v>1264</v>
      </c>
      <c r="D1485" s="606" t="s">
        <v>1864</v>
      </c>
      <c r="E1485" s="477">
        <v>3</v>
      </c>
      <c r="F1485" s="471">
        <v>23</v>
      </c>
      <c r="G1485">
        <v>1</v>
      </c>
      <c r="H1485">
        <v>1</v>
      </c>
      <c r="I1485" s="472">
        <v>0.47039166666666665</v>
      </c>
      <c r="J1485" s="473">
        <v>0.36503333333333332</v>
      </c>
      <c r="K1485" s="473">
        <v>0.44336666666666663</v>
      </c>
      <c r="L1485" s="473">
        <v>0.58906666666666663</v>
      </c>
      <c r="M1485" s="473">
        <v>0.48410000000000003</v>
      </c>
      <c r="N1485" s="472">
        <v>0.47039166666666665</v>
      </c>
      <c r="O1485" s="473">
        <v>0.36503333333333332</v>
      </c>
      <c r="P1485" s="473">
        <v>0.44336666666666663</v>
      </c>
      <c r="Q1485" s="473">
        <v>0.58906666666666663</v>
      </c>
      <c r="R1485" s="473">
        <v>0.48410000000000003</v>
      </c>
      <c r="S1485" s="153">
        <v>0.01</v>
      </c>
      <c r="T1485" s="153">
        <v>0.02</v>
      </c>
      <c r="U1485" s="478">
        <v>2019</v>
      </c>
      <c r="V1485" s="24">
        <f t="shared" si="175"/>
        <v>2039</v>
      </c>
      <c r="W1485">
        <v>0</v>
      </c>
      <c r="X1485">
        <v>0</v>
      </c>
      <c r="Y1485">
        <v>1315</v>
      </c>
      <c r="Z1485">
        <v>361</v>
      </c>
      <c r="AA1485" s="475" t="s">
        <v>24</v>
      </c>
    </row>
    <row r="1486" spans="1:27" ht="15" hidden="1">
      <c r="A1486">
        <v>10018</v>
      </c>
      <c r="B1486">
        <v>10018</v>
      </c>
      <c r="C1486" s="476" t="s">
        <v>1265</v>
      </c>
      <c r="D1486" s="606" t="s">
        <v>1864</v>
      </c>
      <c r="E1486" s="477">
        <v>3</v>
      </c>
      <c r="F1486" s="471">
        <v>21</v>
      </c>
      <c r="G1486">
        <v>1</v>
      </c>
      <c r="H1486">
        <v>1</v>
      </c>
      <c r="I1486" s="472">
        <v>0.47039166666666665</v>
      </c>
      <c r="J1486" s="473">
        <v>0.36503333333333332</v>
      </c>
      <c r="K1486" s="473">
        <v>0.44336666666666663</v>
      </c>
      <c r="L1486" s="473">
        <v>0.58906666666666663</v>
      </c>
      <c r="M1486" s="473">
        <v>0.48410000000000003</v>
      </c>
      <c r="N1486" s="472">
        <v>0.47039166666666665</v>
      </c>
      <c r="O1486" s="473">
        <v>0.36503333333333332</v>
      </c>
      <c r="P1486" s="473">
        <v>0.44336666666666663</v>
      </c>
      <c r="Q1486" s="473">
        <v>0.58906666666666663</v>
      </c>
      <c r="R1486" s="473">
        <v>0.48410000000000003</v>
      </c>
      <c r="S1486" s="153">
        <v>0.01</v>
      </c>
      <c r="T1486" s="153">
        <v>0.02</v>
      </c>
      <c r="U1486" s="478">
        <v>2019</v>
      </c>
      <c r="V1486" s="24">
        <f t="shared" si="175"/>
        <v>2039</v>
      </c>
      <c r="W1486">
        <v>0</v>
      </c>
      <c r="X1486">
        <v>0</v>
      </c>
      <c r="Y1486">
        <v>1315</v>
      </c>
      <c r="Z1486">
        <v>361</v>
      </c>
      <c r="AA1486" s="475" t="s">
        <v>24</v>
      </c>
    </row>
    <row r="1487" spans="1:27" ht="15" hidden="1">
      <c r="A1487">
        <v>10019</v>
      </c>
      <c r="B1487">
        <v>10019</v>
      </c>
      <c r="C1487" s="476" t="s">
        <v>1285</v>
      </c>
      <c r="D1487" s="606" t="s">
        <v>1864</v>
      </c>
      <c r="E1487" s="477">
        <v>3</v>
      </c>
      <c r="F1487" s="471">
        <v>27</v>
      </c>
      <c r="G1487">
        <v>1</v>
      </c>
      <c r="H1487">
        <v>1</v>
      </c>
      <c r="I1487" s="472">
        <v>0.47039166666666665</v>
      </c>
      <c r="J1487" s="473">
        <v>0.36503333333333332</v>
      </c>
      <c r="K1487" s="473">
        <v>0.44336666666666663</v>
      </c>
      <c r="L1487" s="473">
        <v>0.58906666666666663</v>
      </c>
      <c r="M1487" s="473">
        <v>0.48410000000000003</v>
      </c>
      <c r="N1487" s="472">
        <v>0.47039166666666665</v>
      </c>
      <c r="O1487" s="473">
        <v>0.36503333333333332</v>
      </c>
      <c r="P1487" s="473">
        <v>0.44336666666666663</v>
      </c>
      <c r="Q1487" s="473">
        <v>0.58906666666666663</v>
      </c>
      <c r="R1487" s="473">
        <v>0.48410000000000003</v>
      </c>
      <c r="S1487" s="153">
        <v>0.01</v>
      </c>
      <c r="T1487" s="153">
        <v>0.02</v>
      </c>
      <c r="U1487" s="478">
        <v>2019</v>
      </c>
      <c r="V1487" s="24">
        <f t="shared" si="175"/>
        <v>2039</v>
      </c>
      <c r="W1487">
        <v>0</v>
      </c>
      <c r="X1487">
        <v>0</v>
      </c>
      <c r="Y1487">
        <v>1315</v>
      </c>
      <c r="Z1487">
        <v>361</v>
      </c>
      <c r="AA1487" s="475" t="s">
        <v>24</v>
      </c>
    </row>
    <row r="1488" spans="1:27" ht="15" hidden="1">
      <c r="A1488">
        <v>10020</v>
      </c>
      <c r="B1488">
        <v>10020</v>
      </c>
      <c r="C1488" s="476" t="s">
        <v>1286</v>
      </c>
      <c r="D1488" s="606" t="s">
        <v>1864</v>
      </c>
      <c r="E1488" s="477">
        <v>3</v>
      </c>
      <c r="F1488" s="471">
        <v>27</v>
      </c>
      <c r="G1488">
        <v>1</v>
      </c>
      <c r="H1488">
        <v>1</v>
      </c>
      <c r="I1488" s="472">
        <v>0.47039166666666665</v>
      </c>
      <c r="J1488" s="473">
        <v>0.36503333333333332</v>
      </c>
      <c r="K1488" s="473">
        <v>0.44336666666666663</v>
      </c>
      <c r="L1488" s="473">
        <v>0.58906666666666663</v>
      </c>
      <c r="M1488" s="473">
        <v>0.48410000000000003</v>
      </c>
      <c r="N1488" s="472">
        <v>0.47039166666666665</v>
      </c>
      <c r="O1488" s="473">
        <v>0.36503333333333332</v>
      </c>
      <c r="P1488" s="473">
        <v>0.44336666666666663</v>
      </c>
      <c r="Q1488" s="473">
        <v>0.58906666666666663</v>
      </c>
      <c r="R1488" s="473">
        <v>0.48410000000000003</v>
      </c>
      <c r="S1488" s="153">
        <v>0.01</v>
      </c>
      <c r="T1488" s="153">
        <v>0.02</v>
      </c>
      <c r="U1488" s="478">
        <v>2019</v>
      </c>
      <c r="V1488" s="24">
        <f t="shared" si="175"/>
        <v>2039</v>
      </c>
      <c r="W1488">
        <v>0</v>
      </c>
      <c r="X1488">
        <v>0</v>
      </c>
      <c r="Y1488">
        <v>1315</v>
      </c>
      <c r="Z1488">
        <v>361</v>
      </c>
      <c r="AA1488" s="475" t="s">
        <v>24</v>
      </c>
    </row>
    <row r="1489" spans="1:27" ht="15" hidden="1">
      <c r="A1489">
        <v>10021</v>
      </c>
      <c r="B1489">
        <v>10021</v>
      </c>
      <c r="C1489" s="476" t="s">
        <v>1875</v>
      </c>
      <c r="D1489" s="606" t="s">
        <v>1864</v>
      </c>
      <c r="E1489" s="477">
        <v>3</v>
      </c>
      <c r="F1489" s="154">
        <v>21</v>
      </c>
      <c r="G1489">
        <v>1</v>
      </c>
      <c r="H1489">
        <v>1</v>
      </c>
      <c r="I1489" s="472">
        <v>0.47039166666666665</v>
      </c>
      <c r="J1489" s="473">
        <v>0.36503333333333332</v>
      </c>
      <c r="K1489" s="473">
        <v>0.44336666666666663</v>
      </c>
      <c r="L1489" s="473">
        <v>0.58906666666666663</v>
      </c>
      <c r="M1489" s="473">
        <v>0.48410000000000003</v>
      </c>
      <c r="N1489" s="472">
        <v>0.47039166666666665</v>
      </c>
      <c r="O1489" s="473">
        <v>0.36503333333333332</v>
      </c>
      <c r="P1489" s="473">
        <v>0.44336666666666663</v>
      </c>
      <c r="Q1489" s="473">
        <v>0.58906666666666663</v>
      </c>
      <c r="R1489" s="473">
        <v>0.48410000000000003</v>
      </c>
      <c r="S1489" s="153">
        <v>0.01</v>
      </c>
      <c r="T1489" s="153">
        <v>0.02</v>
      </c>
      <c r="U1489" s="478">
        <v>2019</v>
      </c>
      <c r="V1489" s="24">
        <f t="shared" si="175"/>
        <v>2039</v>
      </c>
      <c r="W1489">
        <v>0</v>
      </c>
      <c r="X1489">
        <v>0</v>
      </c>
      <c r="Y1489">
        <v>1315</v>
      </c>
      <c r="Z1489">
        <v>361</v>
      </c>
      <c r="AA1489" s="475" t="s">
        <v>24</v>
      </c>
    </row>
    <row r="1490" spans="1:27" ht="15" hidden="1">
      <c r="A1490">
        <v>10022</v>
      </c>
      <c r="B1490">
        <v>10022</v>
      </c>
      <c r="C1490" s="476" t="s">
        <v>1876</v>
      </c>
      <c r="D1490" s="606" t="s">
        <v>1864</v>
      </c>
      <c r="E1490" s="477">
        <v>3</v>
      </c>
      <c r="F1490" s="471">
        <v>21</v>
      </c>
      <c r="G1490">
        <v>1</v>
      </c>
      <c r="H1490">
        <v>1</v>
      </c>
      <c r="I1490" s="472">
        <v>0.47039166666666665</v>
      </c>
      <c r="J1490" s="473">
        <v>0.36503333333333332</v>
      </c>
      <c r="K1490" s="473">
        <v>0.44336666666666663</v>
      </c>
      <c r="L1490" s="473">
        <v>0.58906666666666663</v>
      </c>
      <c r="M1490" s="473">
        <v>0.48410000000000003</v>
      </c>
      <c r="N1490" s="472">
        <v>0.47039166666666665</v>
      </c>
      <c r="O1490" s="473">
        <v>0.36503333333333332</v>
      </c>
      <c r="P1490" s="473">
        <v>0.44336666666666663</v>
      </c>
      <c r="Q1490" s="473">
        <v>0.58906666666666663</v>
      </c>
      <c r="R1490" s="473">
        <v>0.48410000000000003</v>
      </c>
      <c r="S1490" s="153">
        <v>0.01</v>
      </c>
      <c r="T1490" s="153">
        <v>0.02</v>
      </c>
      <c r="U1490" s="478">
        <v>2019</v>
      </c>
      <c r="V1490" s="24">
        <f t="shared" si="175"/>
        <v>2039</v>
      </c>
      <c r="W1490">
        <v>0</v>
      </c>
      <c r="X1490">
        <v>0</v>
      </c>
      <c r="Y1490">
        <v>1315</v>
      </c>
      <c r="Z1490">
        <v>361</v>
      </c>
      <c r="AA1490" s="475" t="s">
        <v>24</v>
      </c>
    </row>
    <row r="1491" spans="1:27" ht="15" hidden="1">
      <c r="A1491">
        <v>10023</v>
      </c>
      <c r="B1491">
        <v>10023</v>
      </c>
      <c r="C1491" s="476" t="s">
        <v>1877</v>
      </c>
      <c r="D1491" s="606" t="s">
        <v>1864</v>
      </c>
      <c r="E1491" s="477">
        <v>3</v>
      </c>
      <c r="F1491" s="471">
        <v>21</v>
      </c>
      <c r="G1491">
        <v>1</v>
      </c>
      <c r="H1491">
        <v>1</v>
      </c>
      <c r="I1491" s="472">
        <v>0.47039166666666665</v>
      </c>
      <c r="J1491" s="473">
        <v>0.36503333333333332</v>
      </c>
      <c r="K1491" s="473">
        <v>0.44336666666666663</v>
      </c>
      <c r="L1491" s="473">
        <v>0.58906666666666663</v>
      </c>
      <c r="M1491" s="473">
        <v>0.48410000000000003</v>
      </c>
      <c r="N1491" s="472">
        <v>0.47039166666666665</v>
      </c>
      <c r="O1491" s="473">
        <v>0.36503333333333332</v>
      </c>
      <c r="P1491" s="473">
        <v>0.44336666666666663</v>
      </c>
      <c r="Q1491" s="473">
        <v>0.58906666666666663</v>
      </c>
      <c r="R1491" s="473">
        <v>0.48410000000000003</v>
      </c>
      <c r="S1491" s="153">
        <v>0.01</v>
      </c>
      <c r="T1491" s="153">
        <v>0.02</v>
      </c>
      <c r="U1491" s="478">
        <v>2019</v>
      </c>
      <c r="V1491" s="24">
        <f t="shared" si="175"/>
        <v>2039</v>
      </c>
      <c r="W1491">
        <v>0</v>
      </c>
      <c r="X1491">
        <v>0</v>
      </c>
      <c r="Y1491">
        <v>1315</v>
      </c>
      <c r="Z1491">
        <v>361</v>
      </c>
      <c r="AA1491" s="475" t="s">
        <v>24</v>
      </c>
    </row>
    <row r="1492" spans="1:27" ht="15" hidden="1">
      <c r="A1492">
        <v>10024</v>
      </c>
      <c r="B1492">
        <v>10024</v>
      </c>
      <c r="C1492" s="476" t="s">
        <v>1584</v>
      </c>
      <c r="D1492" s="606" t="s">
        <v>1864</v>
      </c>
      <c r="E1492" s="477">
        <v>3</v>
      </c>
      <c r="F1492" s="471">
        <v>27</v>
      </c>
      <c r="G1492">
        <v>1</v>
      </c>
      <c r="H1492">
        <v>1</v>
      </c>
      <c r="I1492" s="472">
        <v>0.47039166666666665</v>
      </c>
      <c r="J1492" s="473">
        <v>0.36503333333333332</v>
      </c>
      <c r="K1492" s="473">
        <v>0.44336666666666663</v>
      </c>
      <c r="L1492" s="473">
        <v>0.58906666666666663</v>
      </c>
      <c r="M1492" s="473">
        <v>0.48410000000000003</v>
      </c>
      <c r="N1492" s="472">
        <v>0.47039166666666665</v>
      </c>
      <c r="O1492" s="473">
        <v>0.36503333333333332</v>
      </c>
      <c r="P1492" s="473">
        <v>0.44336666666666663</v>
      </c>
      <c r="Q1492" s="473">
        <v>0.58906666666666663</v>
      </c>
      <c r="R1492" s="473">
        <v>0.48410000000000003</v>
      </c>
      <c r="S1492" s="153">
        <v>0.01</v>
      </c>
      <c r="T1492" s="153">
        <v>0.02</v>
      </c>
      <c r="U1492" s="478">
        <v>2019</v>
      </c>
      <c r="V1492" s="24">
        <f t="shared" si="175"/>
        <v>2039</v>
      </c>
      <c r="W1492">
        <v>0</v>
      </c>
      <c r="X1492">
        <v>0</v>
      </c>
      <c r="Y1492">
        <v>1315</v>
      </c>
      <c r="Z1492">
        <v>361</v>
      </c>
      <c r="AA1492" s="475" t="s">
        <v>24</v>
      </c>
    </row>
    <row r="1493" spans="1:27" ht="15" hidden="1">
      <c r="A1493">
        <v>10025</v>
      </c>
      <c r="B1493">
        <v>10025</v>
      </c>
      <c r="C1493" s="476" t="s">
        <v>1004</v>
      </c>
      <c r="D1493" s="606" t="s">
        <v>1864</v>
      </c>
      <c r="E1493" s="477">
        <v>3</v>
      </c>
      <c r="F1493" s="471">
        <v>3</v>
      </c>
      <c r="G1493">
        <v>1</v>
      </c>
      <c r="H1493">
        <v>1</v>
      </c>
      <c r="I1493" s="472">
        <v>0.47039166666666665</v>
      </c>
      <c r="J1493" s="473">
        <v>0.36503333333333332</v>
      </c>
      <c r="K1493" s="473">
        <v>0.44336666666666663</v>
      </c>
      <c r="L1493" s="473">
        <v>0.58906666666666663</v>
      </c>
      <c r="M1493" s="473">
        <v>0.48410000000000003</v>
      </c>
      <c r="N1493" s="472">
        <v>0.47039166666666665</v>
      </c>
      <c r="O1493" s="473">
        <v>0.36503333333333332</v>
      </c>
      <c r="P1493" s="473">
        <v>0.44336666666666663</v>
      </c>
      <c r="Q1493" s="473">
        <v>0.58906666666666663</v>
      </c>
      <c r="R1493" s="473">
        <v>0.48410000000000003</v>
      </c>
      <c r="S1493" s="153">
        <v>0.01</v>
      </c>
      <c r="T1493" s="153">
        <v>0.02</v>
      </c>
      <c r="U1493" s="478">
        <v>2019</v>
      </c>
      <c r="V1493" s="24">
        <f t="shared" si="175"/>
        <v>2039</v>
      </c>
      <c r="W1493">
        <v>0</v>
      </c>
      <c r="X1493">
        <v>0</v>
      </c>
      <c r="Y1493">
        <v>1315</v>
      </c>
      <c r="Z1493">
        <v>361</v>
      </c>
      <c r="AA1493" s="475" t="s">
        <v>24</v>
      </c>
    </row>
    <row r="1494" spans="1:27" ht="15" hidden="1">
      <c r="A1494">
        <v>10026</v>
      </c>
      <c r="B1494">
        <v>10026</v>
      </c>
      <c r="C1494" s="476" t="s">
        <v>1878</v>
      </c>
      <c r="D1494" s="606" t="s">
        <v>1864</v>
      </c>
      <c r="E1494" s="477">
        <v>3</v>
      </c>
      <c r="F1494" s="154">
        <v>21</v>
      </c>
      <c r="G1494">
        <v>1</v>
      </c>
      <c r="H1494">
        <v>1</v>
      </c>
      <c r="I1494" s="472">
        <v>0.47039166666666665</v>
      </c>
      <c r="J1494" s="473">
        <v>0.36503333333333332</v>
      </c>
      <c r="K1494" s="473">
        <v>0.44336666666666663</v>
      </c>
      <c r="L1494" s="473">
        <v>0.58906666666666663</v>
      </c>
      <c r="M1494" s="473">
        <v>0.48410000000000003</v>
      </c>
      <c r="N1494" s="472">
        <v>0.47039166666666665</v>
      </c>
      <c r="O1494" s="473">
        <v>0.36503333333333332</v>
      </c>
      <c r="P1494" s="473">
        <v>0.44336666666666663</v>
      </c>
      <c r="Q1494" s="473">
        <v>0.58906666666666663</v>
      </c>
      <c r="R1494" s="473">
        <v>0.48410000000000003</v>
      </c>
      <c r="S1494" s="153">
        <v>0.01</v>
      </c>
      <c r="T1494" s="153">
        <v>0.02</v>
      </c>
      <c r="U1494" s="478">
        <v>2019</v>
      </c>
      <c r="V1494" s="24">
        <f t="shared" si="175"/>
        <v>2039</v>
      </c>
      <c r="W1494">
        <v>0</v>
      </c>
      <c r="X1494">
        <v>0</v>
      </c>
      <c r="Y1494">
        <v>1315</v>
      </c>
      <c r="Z1494">
        <v>361</v>
      </c>
      <c r="AA1494" s="475" t="s">
        <v>24</v>
      </c>
    </row>
    <row r="1495" spans="1:27" ht="15" hidden="1">
      <c r="A1495">
        <v>10027</v>
      </c>
      <c r="B1495">
        <v>10027</v>
      </c>
      <c r="C1495" s="476" t="s">
        <v>1005</v>
      </c>
      <c r="D1495" s="606" t="s">
        <v>1864</v>
      </c>
      <c r="E1495" s="477">
        <v>3</v>
      </c>
      <c r="F1495" s="471">
        <v>16</v>
      </c>
      <c r="G1495">
        <v>1</v>
      </c>
      <c r="H1495">
        <v>1</v>
      </c>
      <c r="I1495" s="472">
        <v>0.47039166666666665</v>
      </c>
      <c r="J1495" s="473">
        <v>0.36503333333333332</v>
      </c>
      <c r="K1495" s="473">
        <v>0.44336666666666663</v>
      </c>
      <c r="L1495" s="473">
        <v>0.58906666666666663</v>
      </c>
      <c r="M1495" s="473">
        <v>0.48410000000000003</v>
      </c>
      <c r="N1495" s="472">
        <v>0.47039166666666665</v>
      </c>
      <c r="O1495" s="473">
        <v>0.36503333333333332</v>
      </c>
      <c r="P1495" s="473">
        <v>0.44336666666666663</v>
      </c>
      <c r="Q1495" s="473">
        <v>0.58906666666666663</v>
      </c>
      <c r="R1495" s="473">
        <v>0.48410000000000003</v>
      </c>
      <c r="S1495" s="153">
        <v>0.01</v>
      </c>
      <c r="T1495" s="153">
        <v>0.02</v>
      </c>
      <c r="U1495" s="478">
        <v>2019</v>
      </c>
      <c r="V1495" s="24">
        <f t="shared" si="175"/>
        <v>2039</v>
      </c>
      <c r="W1495">
        <v>0</v>
      </c>
      <c r="X1495">
        <v>0</v>
      </c>
      <c r="Y1495">
        <v>1315</v>
      </c>
      <c r="Z1495">
        <v>361</v>
      </c>
      <c r="AA1495" s="475" t="s">
        <v>24</v>
      </c>
    </row>
    <row r="1496" spans="1:27" ht="15" hidden="1">
      <c r="A1496">
        <v>10028</v>
      </c>
      <c r="B1496">
        <v>10028</v>
      </c>
      <c r="C1496" s="476" t="s">
        <v>1014</v>
      </c>
      <c r="D1496" s="606" t="s">
        <v>1864</v>
      </c>
      <c r="E1496" s="477">
        <v>3</v>
      </c>
      <c r="F1496" s="471">
        <v>8</v>
      </c>
      <c r="G1496">
        <v>1</v>
      </c>
      <c r="H1496">
        <v>1</v>
      </c>
      <c r="I1496" s="472">
        <v>0.47039166666666665</v>
      </c>
      <c r="J1496" s="473">
        <v>0.36503333333333332</v>
      </c>
      <c r="K1496" s="473">
        <v>0.44336666666666663</v>
      </c>
      <c r="L1496" s="473">
        <v>0.58906666666666663</v>
      </c>
      <c r="M1496" s="473">
        <v>0.48410000000000003</v>
      </c>
      <c r="N1496" s="472">
        <v>0.47039166666666665</v>
      </c>
      <c r="O1496" s="473">
        <v>0.36503333333333332</v>
      </c>
      <c r="P1496" s="473">
        <v>0.44336666666666663</v>
      </c>
      <c r="Q1496" s="473">
        <v>0.58906666666666663</v>
      </c>
      <c r="R1496" s="473">
        <v>0.48410000000000003</v>
      </c>
      <c r="S1496" s="153">
        <v>0.01</v>
      </c>
      <c r="T1496" s="153">
        <v>0.02</v>
      </c>
      <c r="U1496" s="478">
        <v>2019</v>
      </c>
      <c r="V1496" s="24">
        <f t="shared" si="175"/>
        <v>2039</v>
      </c>
      <c r="W1496">
        <v>0</v>
      </c>
      <c r="X1496">
        <v>0</v>
      </c>
      <c r="Y1496">
        <v>1315</v>
      </c>
      <c r="Z1496">
        <v>361</v>
      </c>
      <c r="AA1496" s="475" t="s">
        <v>24</v>
      </c>
    </row>
    <row r="1497" spans="1:27" ht="15" hidden="1">
      <c r="A1497">
        <v>10029</v>
      </c>
      <c r="B1497">
        <v>10029</v>
      </c>
      <c r="C1497" s="476" t="s">
        <v>1879</v>
      </c>
      <c r="D1497" s="606" t="s">
        <v>1864</v>
      </c>
      <c r="E1497" s="477">
        <v>3</v>
      </c>
      <c r="F1497" s="471">
        <v>9</v>
      </c>
      <c r="G1497">
        <v>1</v>
      </c>
      <c r="H1497">
        <v>1</v>
      </c>
      <c r="I1497" s="472">
        <v>0.47039166666666665</v>
      </c>
      <c r="J1497" s="473">
        <v>0.36503333333333332</v>
      </c>
      <c r="K1497" s="473">
        <v>0.44336666666666663</v>
      </c>
      <c r="L1497" s="473">
        <v>0.58906666666666663</v>
      </c>
      <c r="M1497" s="473">
        <v>0.48410000000000003</v>
      </c>
      <c r="N1497" s="472">
        <v>0.47039166666666665</v>
      </c>
      <c r="O1497" s="473">
        <v>0.36503333333333332</v>
      </c>
      <c r="P1497" s="473">
        <v>0.44336666666666663</v>
      </c>
      <c r="Q1497" s="473">
        <v>0.58906666666666663</v>
      </c>
      <c r="R1497" s="473">
        <v>0.48410000000000003</v>
      </c>
      <c r="S1497" s="153">
        <v>0.01</v>
      </c>
      <c r="T1497" s="153">
        <v>0.02</v>
      </c>
      <c r="U1497" s="478">
        <v>2019</v>
      </c>
      <c r="V1497" s="24">
        <f t="shared" si="175"/>
        <v>2039</v>
      </c>
      <c r="W1497">
        <v>0</v>
      </c>
      <c r="X1497">
        <v>0</v>
      </c>
      <c r="Y1497">
        <v>1315</v>
      </c>
      <c r="Z1497">
        <v>361</v>
      </c>
      <c r="AA1497" s="475" t="s">
        <v>24</v>
      </c>
    </row>
    <row r="1498" spans="1:27" ht="15" hidden="1">
      <c r="A1498">
        <v>10030</v>
      </c>
      <c r="B1498">
        <v>10030</v>
      </c>
      <c r="C1498" s="476" t="s">
        <v>1880</v>
      </c>
      <c r="D1498" s="606" t="s">
        <v>1864</v>
      </c>
      <c r="E1498" s="477">
        <v>3</v>
      </c>
      <c r="F1498" s="471">
        <v>9</v>
      </c>
      <c r="G1498">
        <v>1</v>
      </c>
      <c r="H1498">
        <v>1</v>
      </c>
      <c r="I1498" s="472">
        <v>0.47039166666666665</v>
      </c>
      <c r="J1498" s="473">
        <v>0.36503333333333332</v>
      </c>
      <c r="K1498" s="473">
        <v>0.44336666666666663</v>
      </c>
      <c r="L1498" s="473">
        <v>0.58906666666666663</v>
      </c>
      <c r="M1498" s="473">
        <v>0.48410000000000003</v>
      </c>
      <c r="N1498" s="472">
        <v>0.47039166666666665</v>
      </c>
      <c r="O1498" s="473">
        <v>0.36503333333333332</v>
      </c>
      <c r="P1498" s="473">
        <v>0.44336666666666663</v>
      </c>
      <c r="Q1498" s="473">
        <v>0.58906666666666663</v>
      </c>
      <c r="R1498" s="473">
        <v>0.48410000000000003</v>
      </c>
      <c r="S1498" s="153">
        <v>0.01</v>
      </c>
      <c r="T1498" s="153">
        <v>0.02</v>
      </c>
      <c r="U1498" s="478">
        <v>2019</v>
      </c>
      <c r="V1498" s="24">
        <f t="shared" si="175"/>
        <v>2039</v>
      </c>
      <c r="W1498">
        <v>0</v>
      </c>
      <c r="X1498">
        <v>0</v>
      </c>
      <c r="Y1498">
        <v>1315</v>
      </c>
      <c r="Z1498">
        <v>361</v>
      </c>
      <c r="AA1498" s="475" t="s">
        <v>24</v>
      </c>
    </row>
    <row r="1499" spans="1:27" ht="15" hidden="1">
      <c r="A1499">
        <v>10031</v>
      </c>
      <c r="B1499">
        <v>10031</v>
      </c>
      <c r="C1499" s="476" t="s">
        <v>1881</v>
      </c>
      <c r="D1499" s="606" t="s">
        <v>1864</v>
      </c>
      <c r="E1499" s="477">
        <v>3</v>
      </c>
      <c r="F1499" s="154">
        <v>9</v>
      </c>
      <c r="G1499">
        <v>1</v>
      </c>
      <c r="H1499">
        <v>1</v>
      </c>
      <c r="I1499" s="472">
        <v>0.47039166666666665</v>
      </c>
      <c r="J1499" s="473">
        <v>0.36503333333333332</v>
      </c>
      <c r="K1499" s="473">
        <v>0.44336666666666663</v>
      </c>
      <c r="L1499" s="473">
        <v>0.58906666666666663</v>
      </c>
      <c r="M1499" s="473">
        <v>0.48410000000000003</v>
      </c>
      <c r="N1499" s="472">
        <v>0.47039166666666665</v>
      </c>
      <c r="O1499" s="473">
        <v>0.36503333333333332</v>
      </c>
      <c r="P1499" s="473">
        <v>0.44336666666666663</v>
      </c>
      <c r="Q1499" s="473">
        <v>0.58906666666666663</v>
      </c>
      <c r="R1499" s="473">
        <v>0.48410000000000003</v>
      </c>
      <c r="S1499" s="153">
        <v>0.01</v>
      </c>
      <c r="T1499" s="153">
        <v>0.02</v>
      </c>
      <c r="U1499" s="478">
        <v>2019</v>
      </c>
      <c r="V1499" s="24">
        <f t="shared" si="175"/>
        <v>2039</v>
      </c>
      <c r="W1499">
        <v>0</v>
      </c>
      <c r="X1499">
        <v>0</v>
      </c>
      <c r="Y1499">
        <v>1315</v>
      </c>
      <c r="Z1499">
        <v>361</v>
      </c>
      <c r="AA1499" s="475" t="s">
        <v>24</v>
      </c>
    </row>
    <row r="1500" spans="1:27" ht="15" hidden="1">
      <c r="A1500">
        <v>10032</v>
      </c>
      <c r="B1500">
        <v>10032</v>
      </c>
      <c r="C1500" s="476" t="s">
        <v>1882</v>
      </c>
      <c r="D1500" s="606" t="s">
        <v>1864</v>
      </c>
      <c r="E1500" s="477">
        <v>3</v>
      </c>
      <c r="F1500" s="471">
        <v>9</v>
      </c>
      <c r="G1500">
        <v>1</v>
      </c>
      <c r="H1500">
        <v>1</v>
      </c>
      <c r="I1500" s="472">
        <v>0.47039166666666665</v>
      </c>
      <c r="J1500" s="473">
        <v>0.36503333333333332</v>
      </c>
      <c r="K1500" s="473">
        <v>0.44336666666666663</v>
      </c>
      <c r="L1500" s="473">
        <v>0.58906666666666663</v>
      </c>
      <c r="M1500" s="473">
        <v>0.48410000000000003</v>
      </c>
      <c r="N1500" s="472">
        <v>0.47039166666666665</v>
      </c>
      <c r="O1500" s="473">
        <v>0.36503333333333332</v>
      </c>
      <c r="P1500" s="473">
        <v>0.44336666666666663</v>
      </c>
      <c r="Q1500" s="473">
        <v>0.58906666666666663</v>
      </c>
      <c r="R1500" s="473">
        <v>0.48410000000000003</v>
      </c>
      <c r="S1500" s="153">
        <v>0.01</v>
      </c>
      <c r="T1500" s="153">
        <v>0.02</v>
      </c>
      <c r="U1500" s="478">
        <v>2019</v>
      </c>
      <c r="V1500" s="24">
        <f t="shared" si="175"/>
        <v>2039</v>
      </c>
      <c r="W1500">
        <v>0</v>
      </c>
      <c r="X1500">
        <v>0</v>
      </c>
      <c r="Y1500">
        <v>1315</v>
      </c>
      <c r="Z1500">
        <v>361</v>
      </c>
      <c r="AA1500" s="475" t="s">
        <v>24</v>
      </c>
    </row>
    <row r="1501" spans="1:27" ht="15" hidden="1">
      <c r="A1501">
        <v>10033</v>
      </c>
      <c r="B1501">
        <v>10033</v>
      </c>
      <c r="C1501" s="476" t="s">
        <v>1883</v>
      </c>
      <c r="D1501" s="606" t="s">
        <v>1864</v>
      </c>
      <c r="E1501" s="477">
        <v>3</v>
      </c>
      <c r="F1501" s="471">
        <v>9</v>
      </c>
      <c r="G1501">
        <v>1</v>
      </c>
      <c r="H1501">
        <v>1</v>
      </c>
      <c r="I1501" s="472">
        <v>0.47039166666666665</v>
      </c>
      <c r="J1501" s="473">
        <v>0.36503333333333332</v>
      </c>
      <c r="K1501" s="473">
        <v>0.44336666666666663</v>
      </c>
      <c r="L1501" s="473">
        <v>0.58906666666666663</v>
      </c>
      <c r="M1501" s="473">
        <v>0.48410000000000003</v>
      </c>
      <c r="N1501" s="472">
        <v>0.47039166666666665</v>
      </c>
      <c r="O1501" s="473">
        <v>0.36503333333333332</v>
      </c>
      <c r="P1501" s="473">
        <v>0.44336666666666663</v>
      </c>
      <c r="Q1501" s="473">
        <v>0.58906666666666663</v>
      </c>
      <c r="R1501" s="473">
        <v>0.48410000000000003</v>
      </c>
      <c r="S1501" s="153">
        <v>0.01</v>
      </c>
      <c r="T1501" s="153">
        <v>0.02</v>
      </c>
      <c r="U1501" s="478">
        <v>2019</v>
      </c>
      <c r="V1501" s="24">
        <f t="shared" si="175"/>
        <v>2039</v>
      </c>
      <c r="W1501">
        <v>0</v>
      </c>
      <c r="X1501">
        <v>0</v>
      </c>
      <c r="Y1501">
        <v>1315</v>
      </c>
      <c r="Z1501">
        <v>361</v>
      </c>
      <c r="AA1501" s="475" t="s">
        <v>24</v>
      </c>
    </row>
    <row r="1502" spans="1:27" ht="15" hidden="1">
      <c r="A1502">
        <v>10034</v>
      </c>
      <c r="B1502">
        <v>10034</v>
      </c>
      <c r="C1502" s="476" t="s">
        <v>1884</v>
      </c>
      <c r="D1502" s="606" t="s">
        <v>1864</v>
      </c>
      <c r="E1502" s="477">
        <v>3</v>
      </c>
      <c r="F1502" s="471">
        <v>9</v>
      </c>
      <c r="G1502">
        <v>1</v>
      </c>
      <c r="H1502">
        <v>1</v>
      </c>
      <c r="I1502" s="472">
        <v>0.47039166666666665</v>
      </c>
      <c r="J1502" s="473">
        <v>0.36503333333333332</v>
      </c>
      <c r="K1502" s="473">
        <v>0.44336666666666663</v>
      </c>
      <c r="L1502" s="473">
        <v>0.58906666666666663</v>
      </c>
      <c r="M1502" s="473">
        <v>0.48410000000000003</v>
      </c>
      <c r="N1502" s="472">
        <v>0.47039166666666665</v>
      </c>
      <c r="O1502" s="473">
        <v>0.36503333333333332</v>
      </c>
      <c r="P1502" s="473">
        <v>0.44336666666666663</v>
      </c>
      <c r="Q1502" s="473">
        <v>0.58906666666666663</v>
      </c>
      <c r="R1502" s="473">
        <v>0.48410000000000003</v>
      </c>
      <c r="S1502" s="153">
        <v>0.01</v>
      </c>
      <c r="T1502" s="153">
        <v>0.02</v>
      </c>
      <c r="U1502" s="478">
        <v>2019</v>
      </c>
      <c r="V1502" s="24">
        <f t="shared" si="175"/>
        <v>2039</v>
      </c>
      <c r="W1502">
        <v>0</v>
      </c>
      <c r="X1502">
        <v>0</v>
      </c>
      <c r="Y1502">
        <v>1315</v>
      </c>
      <c r="Z1502">
        <v>361</v>
      </c>
      <c r="AA1502" s="475" t="s">
        <v>24</v>
      </c>
    </row>
    <row r="1503" spans="1:27" ht="15" hidden="1">
      <c r="A1503">
        <v>10035</v>
      </c>
      <c r="B1503">
        <v>10035</v>
      </c>
      <c r="C1503" s="476" t="s">
        <v>1885</v>
      </c>
      <c r="D1503" s="606" t="s">
        <v>1864</v>
      </c>
      <c r="E1503" s="477">
        <v>3</v>
      </c>
      <c r="F1503" s="471">
        <v>9</v>
      </c>
      <c r="G1503">
        <v>1</v>
      </c>
      <c r="H1503">
        <v>1</v>
      </c>
      <c r="I1503" s="472">
        <v>0.47039166666666665</v>
      </c>
      <c r="J1503" s="473">
        <v>0.36503333333333332</v>
      </c>
      <c r="K1503" s="473">
        <v>0.44336666666666663</v>
      </c>
      <c r="L1503" s="473">
        <v>0.58906666666666663</v>
      </c>
      <c r="M1503" s="473">
        <v>0.48410000000000003</v>
      </c>
      <c r="N1503" s="472">
        <v>0.47039166666666665</v>
      </c>
      <c r="O1503" s="473">
        <v>0.36503333333333332</v>
      </c>
      <c r="P1503" s="473">
        <v>0.44336666666666663</v>
      </c>
      <c r="Q1503" s="473">
        <v>0.58906666666666663</v>
      </c>
      <c r="R1503" s="473">
        <v>0.48410000000000003</v>
      </c>
      <c r="S1503" s="153">
        <v>0.01</v>
      </c>
      <c r="T1503" s="153">
        <v>0.02</v>
      </c>
      <c r="U1503" s="478">
        <v>2019</v>
      </c>
      <c r="V1503" s="24">
        <f t="shared" si="175"/>
        <v>2039</v>
      </c>
      <c r="W1503">
        <v>0</v>
      </c>
      <c r="X1503">
        <v>0</v>
      </c>
      <c r="Y1503">
        <v>1315</v>
      </c>
      <c r="Z1503">
        <v>361</v>
      </c>
      <c r="AA1503" s="475" t="s">
        <v>24</v>
      </c>
    </row>
    <row r="1504" spans="1:27" ht="15" hidden="1">
      <c r="A1504">
        <v>10036</v>
      </c>
      <c r="B1504">
        <v>10036</v>
      </c>
      <c r="C1504" s="476" t="s">
        <v>1886</v>
      </c>
      <c r="D1504" s="606" t="s">
        <v>1864</v>
      </c>
      <c r="E1504" s="477">
        <v>3</v>
      </c>
      <c r="F1504" s="154">
        <v>9</v>
      </c>
      <c r="G1504">
        <v>1</v>
      </c>
      <c r="H1504">
        <v>1</v>
      </c>
      <c r="I1504" s="472">
        <v>0.47039166666666665</v>
      </c>
      <c r="J1504" s="473">
        <v>0.36503333333333332</v>
      </c>
      <c r="K1504" s="473">
        <v>0.44336666666666663</v>
      </c>
      <c r="L1504" s="473">
        <v>0.58906666666666663</v>
      </c>
      <c r="M1504" s="473">
        <v>0.48410000000000003</v>
      </c>
      <c r="N1504" s="472">
        <v>0.47039166666666665</v>
      </c>
      <c r="O1504" s="473">
        <v>0.36503333333333332</v>
      </c>
      <c r="P1504" s="473">
        <v>0.44336666666666663</v>
      </c>
      <c r="Q1504" s="473">
        <v>0.58906666666666663</v>
      </c>
      <c r="R1504" s="473">
        <v>0.48410000000000003</v>
      </c>
      <c r="S1504" s="153">
        <v>0.01</v>
      </c>
      <c r="T1504" s="153">
        <v>0.02</v>
      </c>
      <c r="U1504" s="478">
        <v>2019</v>
      </c>
      <c r="V1504" s="24">
        <f t="shared" si="175"/>
        <v>2039</v>
      </c>
      <c r="W1504">
        <v>0</v>
      </c>
      <c r="X1504">
        <v>0</v>
      </c>
      <c r="Y1504">
        <v>1315</v>
      </c>
      <c r="Z1504">
        <v>361</v>
      </c>
      <c r="AA1504" s="475" t="s">
        <v>24</v>
      </c>
    </row>
    <row r="1505" spans="1:27" ht="15" hidden="1">
      <c r="A1505">
        <v>10037</v>
      </c>
      <c r="B1505">
        <v>10037</v>
      </c>
      <c r="C1505" s="476" t="s">
        <v>1887</v>
      </c>
      <c r="D1505" s="606" t="s">
        <v>1864</v>
      </c>
      <c r="E1505" s="477">
        <v>3</v>
      </c>
      <c r="F1505" s="471">
        <v>9</v>
      </c>
      <c r="G1505">
        <v>1</v>
      </c>
      <c r="H1505">
        <v>1</v>
      </c>
      <c r="I1505" s="472">
        <v>0.47039166666666665</v>
      </c>
      <c r="J1505" s="473">
        <v>0.36503333333333332</v>
      </c>
      <c r="K1505" s="473">
        <v>0.44336666666666663</v>
      </c>
      <c r="L1505" s="473">
        <v>0.58906666666666663</v>
      </c>
      <c r="M1505" s="473">
        <v>0.48410000000000003</v>
      </c>
      <c r="N1505" s="472">
        <v>0.47039166666666665</v>
      </c>
      <c r="O1505" s="473">
        <v>0.36503333333333332</v>
      </c>
      <c r="P1505" s="473">
        <v>0.44336666666666663</v>
      </c>
      <c r="Q1505" s="473">
        <v>0.58906666666666663</v>
      </c>
      <c r="R1505" s="473">
        <v>0.48410000000000003</v>
      </c>
      <c r="S1505" s="153">
        <v>0.01</v>
      </c>
      <c r="T1505" s="153">
        <v>0.02</v>
      </c>
      <c r="U1505" s="478">
        <v>2019</v>
      </c>
      <c r="V1505" s="24">
        <f t="shared" si="175"/>
        <v>2039</v>
      </c>
      <c r="W1505">
        <v>0</v>
      </c>
      <c r="X1505">
        <v>0</v>
      </c>
      <c r="Y1505">
        <v>1315</v>
      </c>
      <c r="Z1505">
        <v>361</v>
      </c>
      <c r="AA1505" s="475" t="s">
        <v>24</v>
      </c>
    </row>
    <row r="1506" spans="1:27" ht="15" hidden="1">
      <c r="A1506">
        <v>10038</v>
      </c>
      <c r="B1506">
        <v>10038</v>
      </c>
      <c r="C1506" s="476" t="s">
        <v>1888</v>
      </c>
      <c r="D1506" s="606" t="s">
        <v>1864</v>
      </c>
      <c r="E1506" s="477">
        <v>3</v>
      </c>
      <c r="F1506" s="471">
        <v>9</v>
      </c>
      <c r="G1506">
        <v>1</v>
      </c>
      <c r="H1506">
        <v>1</v>
      </c>
      <c r="I1506" s="472">
        <v>0.47039166666666665</v>
      </c>
      <c r="J1506" s="473">
        <v>0.36503333333333332</v>
      </c>
      <c r="K1506" s="473">
        <v>0.44336666666666663</v>
      </c>
      <c r="L1506" s="473">
        <v>0.58906666666666663</v>
      </c>
      <c r="M1506" s="473">
        <v>0.48410000000000003</v>
      </c>
      <c r="N1506" s="472">
        <v>0.47039166666666665</v>
      </c>
      <c r="O1506" s="473">
        <v>0.36503333333333332</v>
      </c>
      <c r="P1506" s="473">
        <v>0.44336666666666663</v>
      </c>
      <c r="Q1506" s="473">
        <v>0.58906666666666663</v>
      </c>
      <c r="R1506" s="473">
        <v>0.48410000000000003</v>
      </c>
      <c r="S1506" s="153">
        <v>0.01</v>
      </c>
      <c r="T1506" s="153">
        <v>0.02</v>
      </c>
      <c r="U1506" s="478">
        <v>2019</v>
      </c>
      <c r="V1506" s="24">
        <f t="shared" si="175"/>
        <v>2039</v>
      </c>
      <c r="W1506">
        <v>0</v>
      </c>
      <c r="X1506">
        <v>0</v>
      </c>
      <c r="Y1506">
        <v>1315</v>
      </c>
      <c r="Z1506">
        <v>361</v>
      </c>
      <c r="AA1506" s="475" t="s">
        <v>24</v>
      </c>
    </row>
    <row r="1507" spans="1:27" ht="15" hidden="1">
      <c r="A1507">
        <v>10039</v>
      </c>
      <c r="B1507">
        <v>10039</v>
      </c>
      <c r="C1507" s="476" t="s">
        <v>1889</v>
      </c>
      <c r="D1507" s="606" t="s">
        <v>1864</v>
      </c>
      <c r="E1507" s="477">
        <v>3</v>
      </c>
      <c r="F1507" s="471">
        <v>9</v>
      </c>
      <c r="G1507">
        <v>1</v>
      </c>
      <c r="H1507">
        <v>1</v>
      </c>
      <c r="I1507" s="472">
        <v>0.47039166666666665</v>
      </c>
      <c r="J1507" s="473">
        <v>0.36503333333333332</v>
      </c>
      <c r="K1507" s="473">
        <v>0.44336666666666663</v>
      </c>
      <c r="L1507" s="473">
        <v>0.58906666666666663</v>
      </c>
      <c r="M1507" s="473">
        <v>0.48410000000000003</v>
      </c>
      <c r="N1507" s="472">
        <v>0.47039166666666665</v>
      </c>
      <c r="O1507" s="473">
        <v>0.36503333333333332</v>
      </c>
      <c r="P1507" s="473">
        <v>0.44336666666666663</v>
      </c>
      <c r="Q1507" s="473">
        <v>0.58906666666666663</v>
      </c>
      <c r="R1507" s="473">
        <v>0.48410000000000003</v>
      </c>
      <c r="S1507" s="153">
        <v>0.01</v>
      </c>
      <c r="T1507" s="153">
        <v>0.02</v>
      </c>
      <c r="U1507" s="478">
        <v>2019</v>
      </c>
      <c r="V1507" s="24">
        <f t="shared" si="175"/>
        <v>2039</v>
      </c>
      <c r="W1507">
        <v>0</v>
      </c>
      <c r="X1507">
        <v>0</v>
      </c>
      <c r="Y1507">
        <v>1315</v>
      </c>
      <c r="Z1507">
        <v>361</v>
      </c>
      <c r="AA1507" s="475" t="s">
        <v>24</v>
      </c>
    </row>
    <row r="1508" spans="1:27" ht="15" hidden="1">
      <c r="A1508">
        <v>10040</v>
      </c>
      <c r="B1508">
        <v>10040</v>
      </c>
      <c r="C1508" s="476" t="s">
        <v>1890</v>
      </c>
      <c r="D1508" s="606" t="s">
        <v>1864</v>
      </c>
      <c r="E1508" s="477">
        <v>3</v>
      </c>
      <c r="F1508" s="471">
        <v>9</v>
      </c>
      <c r="G1508">
        <v>1</v>
      </c>
      <c r="H1508">
        <v>1</v>
      </c>
      <c r="I1508" s="472">
        <v>0.47039166666666665</v>
      </c>
      <c r="J1508" s="473">
        <v>0.36503333333333332</v>
      </c>
      <c r="K1508" s="473">
        <v>0.44336666666666663</v>
      </c>
      <c r="L1508" s="473">
        <v>0.58906666666666663</v>
      </c>
      <c r="M1508" s="473">
        <v>0.48410000000000003</v>
      </c>
      <c r="N1508" s="472">
        <v>0.47039166666666665</v>
      </c>
      <c r="O1508" s="473">
        <v>0.36503333333333332</v>
      </c>
      <c r="P1508" s="473">
        <v>0.44336666666666663</v>
      </c>
      <c r="Q1508" s="473">
        <v>0.58906666666666663</v>
      </c>
      <c r="R1508" s="473">
        <v>0.48410000000000003</v>
      </c>
      <c r="S1508" s="153">
        <v>0.01</v>
      </c>
      <c r="T1508" s="153">
        <v>0.02</v>
      </c>
      <c r="U1508" s="478">
        <v>2019</v>
      </c>
      <c r="V1508" s="24">
        <f t="shared" si="175"/>
        <v>2039</v>
      </c>
      <c r="W1508">
        <v>0</v>
      </c>
      <c r="X1508">
        <v>0</v>
      </c>
      <c r="Y1508">
        <v>1315</v>
      </c>
      <c r="Z1508">
        <v>361</v>
      </c>
      <c r="AA1508" s="475" t="s">
        <v>24</v>
      </c>
    </row>
    <row r="1509" spans="1:27" ht="15" hidden="1">
      <c r="A1509">
        <v>10041</v>
      </c>
      <c r="B1509">
        <v>10041</v>
      </c>
      <c r="C1509" s="476" t="s">
        <v>1891</v>
      </c>
      <c r="D1509" s="606" t="s">
        <v>1864</v>
      </c>
      <c r="E1509" s="477">
        <v>3</v>
      </c>
      <c r="F1509" s="154">
        <v>9</v>
      </c>
      <c r="G1509">
        <v>1</v>
      </c>
      <c r="H1509">
        <v>1</v>
      </c>
      <c r="I1509" s="472">
        <v>0.47039166666666665</v>
      </c>
      <c r="J1509" s="473">
        <v>0.36503333333333332</v>
      </c>
      <c r="K1509" s="473">
        <v>0.44336666666666663</v>
      </c>
      <c r="L1509" s="473">
        <v>0.58906666666666663</v>
      </c>
      <c r="M1509" s="473">
        <v>0.48410000000000003</v>
      </c>
      <c r="N1509" s="472">
        <v>0.47039166666666665</v>
      </c>
      <c r="O1509" s="473">
        <v>0.36503333333333332</v>
      </c>
      <c r="P1509" s="473">
        <v>0.44336666666666663</v>
      </c>
      <c r="Q1509" s="473">
        <v>0.58906666666666663</v>
      </c>
      <c r="R1509" s="473">
        <v>0.48410000000000003</v>
      </c>
      <c r="S1509" s="153">
        <v>0.01</v>
      </c>
      <c r="T1509" s="153">
        <v>0.02</v>
      </c>
      <c r="U1509" s="478">
        <v>2019</v>
      </c>
      <c r="V1509" s="24">
        <f t="shared" si="175"/>
        <v>2039</v>
      </c>
      <c r="W1509">
        <v>0</v>
      </c>
      <c r="X1509">
        <v>0</v>
      </c>
      <c r="Y1509">
        <v>1315</v>
      </c>
      <c r="Z1509">
        <v>361</v>
      </c>
      <c r="AA1509" s="475" t="s">
        <v>24</v>
      </c>
    </row>
    <row r="1510" spans="1:27" ht="15" hidden="1">
      <c r="A1510">
        <v>10042</v>
      </c>
      <c r="B1510">
        <v>10042</v>
      </c>
      <c r="C1510" s="476" t="s">
        <v>1892</v>
      </c>
      <c r="D1510" s="606" t="s">
        <v>1864</v>
      </c>
      <c r="E1510" s="477">
        <v>3</v>
      </c>
      <c r="F1510" s="471">
        <v>9</v>
      </c>
      <c r="G1510">
        <v>1</v>
      </c>
      <c r="H1510">
        <v>1</v>
      </c>
      <c r="I1510" s="472">
        <v>0.47039166666666665</v>
      </c>
      <c r="J1510" s="473">
        <v>0.36503333333333332</v>
      </c>
      <c r="K1510" s="473">
        <v>0.44336666666666663</v>
      </c>
      <c r="L1510" s="473">
        <v>0.58906666666666663</v>
      </c>
      <c r="M1510" s="473">
        <v>0.48410000000000003</v>
      </c>
      <c r="N1510" s="472">
        <v>0.47039166666666665</v>
      </c>
      <c r="O1510" s="473">
        <v>0.36503333333333332</v>
      </c>
      <c r="P1510" s="473">
        <v>0.44336666666666663</v>
      </c>
      <c r="Q1510" s="473">
        <v>0.58906666666666663</v>
      </c>
      <c r="R1510" s="473">
        <v>0.48410000000000003</v>
      </c>
      <c r="S1510" s="153">
        <v>0.01</v>
      </c>
      <c r="T1510" s="153">
        <v>0.02</v>
      </c>
      <c r="U1510" s="478">
        <v>2019</v>
      </c>
      <c r="V1510" s="24">
        <f t="shared" si="175"/>
        <v>2039</v>
      </c>
      <c r="W1510">
        <v>0</v>
      </c>
      <c r="X1510">
        <v>0</v>
      </c>
      <c r="Y1510">
        <v>1315</v>
      </c>
      <c r="Z1510">
        <v>361</v>
      </c>
      <c r="AA1510" s="475" t="s">
        <v>24</v>
      </c>
    </row>
    <row r="1511" spans="1:27" ht="15" hidden="1">
      <c r="A1511">
        <v>10043</v>
      </c>
      <c r="B1511">
        <v>10043</v>
      </c>
      <c r="C1511" s="476" t="s">
        <v>1893</v>
      </c>
      <c r="D1511" s="606" t="s">
        <v>1864</v>
      </c>
      <c r="E1511" s="477">
        <v>3</v>
      </c>
      <c r="F1511" s="471">
        <v>9</v>
      </c>
      <c r="G1511">
        <v>1</v>
      </c>
      <c r="H1511">
        <v>1</v>
      </c>
      <c r="I1511" s="472">
        <v>0.47039166666666665</v>
      </c>
      <c r="J1511" s="473">
        <v>0.36503333333333332</v>
      </c>
      <c r="K1511" s="473">
        <v>0.44336666666666663</v>
      </c>
      <c r="L1511" s="473">
        <v>0.58906666666666663</v>
      </c>
      <c r="M1511" s="473">
        <v>0.48410000000000003</v>
      </c>
      <c r="N1511" s="472">
        <v>0.47039166666666665</v>
      </c>
      <c r="O1511" s="473">
        <v>0.36503333333333332</v>
      </c>
      <c r="P1511" s="473">
        <v>0.44336666666666663</v>
      </c>
      <c r="Q1511" s="473">
        <v>0.58906666666666663</v>
      </c>
      <c r="R1511" s="473">
        <v>0.48410000000000003</v>
      </c>
      <c r="S1511" s="153">
        <v>0.01</v>
      </c>
      <c r="T1511" s="153">
        <v>0.02</v>
      </c>
      <c r="U1511" s="478">
        <v>2019</v>
      </c>
      <c r="V1511" s="24">
        <f t="shared" si="175"/>
        <v>2039</v>
      </c>
      <c r="W1511">
        <v>0</v>
      </c>
      <c r="X1511">
        <v>0</v>
      </c>
      <c r="Y1511">
        <v>1315</v>
      </c>
      <c r="Z1511">
        <v>361</v>
      </c>
      <c r="AA1511" s="475" t="s">
        <v>24</v>
      </c>
    </row>
    <row r="1512" spans="1:27" ht="15" hidden="1">
      <c r="A1512">
        <v>10044</v>
      </c>
      <c r="B1512">
        <v>10044</v>
      </c>
      <c r="C1512" s="476" t="s">
        <v>1894</v>
      </c>
      <c r="D1512" s="606" t="s">
        <v>1864</v>
      </c>
      <c r="E1512" s="477">
        <v>3</v>
      </c>
      <c r="F1512" s="471">
        <v>9</v>
      </c>
      <c r="G1512">
        <v>1</v>
      </c>
      <c r="H1512">
        <v>1</v>
      </c>
      <c r="I1512" s="472">
        <v>0.47039166666666665</v>
      </c>
      <c r="J1512" s="473">
        <v>0.36503333333333332</v>
      </c>
      <c r="K1512" s="473">
        <v>0.44336666666666663</v>
      </c>
      <c r="L1512" s="473">
        <v>0.58906666666666663</v>
      </c>
      <c r="M1512" s="473">
        <v>0.48410000000000003</v>
      </c>
      <c r="N1512" s="472">
        <v>0.47039166666666665</v>
      </c>
      <c r="O1512" s="473">
        <v>0.36503333333333332</v>
      </c>
      <c r="P1512" s="473">
        <v>0.44336666666666663</v>
      </c>
      <c r="Q1512" s="473">
        <v>0.58906666666666663</v>
      </c>
      <c r="R1512" s="473">
        <v>0.48410000000000003</v>
      </c>
      <c r="S1512" s="153">
        <v>0.01</v>
      </c>
      <c r="T1512" s="153">
        <v>0.02</v>
      </c>
      <c r="U1512" s="478">
        <v>2019</v>
      </c>
      <c r="V1512" s="24">
        <f t="shared" si="175"/>
        <v>2039</v>
      </c>
      <c r="W1512">
        <v>0</v>
      </c>
      <c r="X1512">
        <v>0</v>
      </c>
      <c r="Y1512">
        <v>1315</v>
      </c>
      <c r="Z1512">
        <v>361</v>
      </c>
      <c r="AA1512" s="475" t="s">
        <v>24</v>
      </c>
    </row>
    <row r="1513" spans="1:27" ht="15" hidden="1">
      <c r="A1513">
        <v>10045</v>
      </c>
      <c r="B1513">
        <v>10045</v>
      </c>
      <c r="C1513" s="476" t="s">
        <v>1895</v>
      </c>
      <c r="D1513" s="606" t="s">
        <v>1864</v>
      </c>
      <c r="E1513" s="477">
        <v>3</v>
      </c>
      <c r="F1513" s="471">
        <v>30</v>
      </c>
      <c r="G1513">
        <v>1</v>
      </c>
      <c r="H1513">
        <v>1</v>
      </c>
      <c r="I1513" s="472">
        <v>0.47039166666666665</v>
      </c>
      <c r="J1513" s="473">
        <v>0.36503333333333332</v>
      </c>
      <c r="K1513" s="473">
        <v>0.44336666666666663</v>
      </c>
      <c r="L1513" s="473">
        <v>0.58906666666666663</v>
      </c>
      <c r="M1513" s="473">
        <v>0.48410000000000003</v>
      </c>
      <c r="N1513" s="472">
        <v>0.47039166666666665</v>
      </c>
      <c r="O1513" s="473">
        <v>0.36503333333333332</v>
      </c>
      <c r="P1513" s="473">
        <v>0.44336666666666663</v>
      </c>
      <c r="Q1513" s="473">
        <v>0.58906666666666663</v>
      </c>
      <c r="R1513" s="473">
        <v>0.48410000000000003</v>
      </c>
      <c r="S1513" s="153">
        <v>0.01</v>
      </c>
      <c r="T1513" s="153">
        <v>0.02</v>
      </c>
      <c r="U1513" s="478">
        <v>2019</v>
      </c>
      <c r="V1513" s="24">
        <f t="shared" si="175"/>
        <v>2039</v>
      </c>
      <c r="W1513">
        <v>0</v>
      </c>
      <c r="X1513">
        <v>0</v>
      </c>
      <c r="Y1513">
        <v>1315</v>
      </c>
      <c r="Z1513">
        <v>361</v>
      </c>
      <c r="AA1513" s="475" t="s">
        <v>24</v>
      </c>
    </row>
    <row r="1514" spans="1:27" ht="15" hidden="1">
      <c r="A1514">
        <v>10046</v>
      </c>
      <c r="B1514">
        <v>10046</v>
      </c>
      <c r="C1514" s="476" t="s">
        <v>1279</v>
      </c>
      <c r="D1514" s="606" t="s">
        <v>1864</v>
      </c>
      <c r="E1514" s="477">
        <v>3</v>
      </c>
      <c r="F1514" s="154">
        <v>21</v>
      </c>
      <c r="G1514">
        <v>1</v>
      </c>
      <c r="H1514">
        <v>1</v>
      </c>
      <c r="I1514" s="472">
        <v>0.47039166666666665</v>
      </c>
      <c r="J1514" s="473">
        <v>0.36503333333333332</v>
      </c>
      <c r="K1514" s="473">
        <v>0.44336666666666663</v>
      </c>
      <c r="L1514" s="473">
        <v>0.58906666666666663</v>
      </c>
      <c r="M1514" s="473">
        <v>0.48410000000000003</v>
      </c>
      <c r="N1514" s="472">
        <v>0.47039166666666665</v>
      </c>
      <c r="O1514" s="473">
        <v>0.36503333333333332</v>
      </c>
      <c r="P1514" s="473">
        <v>0.44336666666666663</v>
      </c>
      <c r="Q1514" s="473">
        <v>0.58906666666666663</v>
      </c>
      <c r="R1514" s="473">
        <v>0.48410000000000003</v>
      </c>
      <c r="S1514" s="153">
        <v>0.01</v>
      </c>
      <c r="T1514" s="153">
        <v>0.02</v>
      </c>
      <c r="U1514" s="478">
        <v>2019</v>
      </c>
      <c r="V1514" s="24">
        <f t="shared" si="175"/>
        <v>2039</v>
      </c>
      <c r="W1514">
        <v>0</v>
      </c>
      <c r="X1514">
        <v>0</v>
      </c>
      <c r="Y1514">
        <v>1315</v>
      </c>
      <c r="Z1514">
        <v>361</v>
      </c>
      <c r="AA1514" s="475" t="s">
        <v>24</v>
      </c>
    </row>
    <row r="1515" spans="1:27" ht="15" hidden="1">
      <c r="A1515">
        <v>10047</v>
      </c>
      <c r="B1515">
        <v>10047</v>
      </c>
      <c r="C1515" s="476" t="s">
        <v>1320</v>
      </c>
      <c r="D1515" s="606" t="s">
        <v>1864</v>
      </c>
      <c r="E1515" s="477">
        <v>3</v>
      </c>
      <c r="F1515" s="471">
        <v>9</v>
      </c>
      <c r="G1515">
        <v>1</v>
      </c>
      <c r="H1515">
        <v>1</v>
      </c>
      <c r="I1515" s="472">
        <v>0.47039166666666665</v>
      </c>
      <c r="J1515" s="473">
        <v>0.36503333333333332</v>
      </c>
      <c r="K1515" s="473">
        <v>0.44336666666666663</v>
      </c>
      <c r="L1515" s="473">
        <v>0.58906666666666663</v>
      </c>
      <c r="M1515" s="473">
        <v>0.48410000000000003</v>
      </c>
      <c r="N1515" s="472">
        <v>0.47039166666666665</v>
      </c>
      <c r="O1515" s="473">
        <v>0.36503333333333332</v>
      </c>
      <c r="P1515" s="473">
        <v>0.44336666666666663</v>
      </c>
      <c r="Q1515" s="473">
        <v>0.58906666666666663</v>
      </c>
      <c r="R1515" s="473">
        <v>0.48410000000000003</v>
      </c>
      <c r="S1515" s="153">
        <v>0.01</v>
      </c>
      <c r="T1515" s="153">
        <v>0.02</v>
      </c>
      <c r="U1515" s="478">
        <v>2019</v>
      </c>
      <c r="V1515" s="24">
        <f t="shared" si="175"/>
        <v>2039</v>
      </c>
      <c r="W1515">
        <v>0</v>
      </c>
      <c r="X1515">
        <v>0</v>
      </c>
      <c r="Y1515">
        <v>1315</v>
      </c>
      <c r="Z1515">
        <v>361</v>
      </c>
      <c r="AA1515" s="475" t="s">
        <v>24</v>
      </c>
    </row>
    <row r="1516" spans="1:27" ht="15" hidden="1">
      <c r="A1516">
        <v>10048</v>
      </c>
      <c r="B1516">
        <v>10048</v>
      </c>
      <c r="C1516" s="476" t="s">
        <v>1321</v>
      </c>
      <c r="D1516" s="606" t="s">
        <v>1864</v>
      </c>
      <c r="E1516" s="477">
        <v>3</v>
      </c>
      <c r="F1516" s="471">
        <v>21</v>
      </c>
      <c r="G1516">
        <v>1</v>
      </c>
      <c r="H1516">
        <v>1</v>
      </c>
      <c r="I1516" s="472">
        <v>0.47039166666666665</v>
      </c>
      <c r="J1516" s="473">
        <v>0.36503333333333332</v>
      </c>
      <c r="K1516" s="473">
        <v>0.44336666666666663</v>
      </c>
      <c r="L1516" s="473">
        <v>0.58906666666666663</v>
      </c>
      <c r="M1516" s="473">
        <v>0.48410000000000003</v>
      </c>
      <c r="N1516" s="472">
        <v>0.47039166666666665</v>
      </c>
      <c r="O1516" s="473">
        <v>0.36503333333333332</v>
      </c>
      <c r="P1516" s="473">
        <v>0.44336666666666663</v>
      </c>
      <c r="Q1516" s="473">
        <v>0.58906666666666663</v>
      </c>
      <c r="R1516" s="473">
        <v>0.48410000000000003</v>
      </c>
      <c r="S1516" s="153">
        <v>0.01</v>
      </c>
      <c r="T1516" s="153">
        <v>0.02</v>
      </c>
      <c r="U1516" s="478">
        <v>2019</v>
      </c>
      <c r="V1516" s="24">
        <f t="shared" si="175"/>
        <v>2039</v>
      </c>
      <c r="W1516">
        <v>0</v>
      </c>
      <c r="X1516">
        <v>0</v>
      </c>
      <c r="Y1516">
        <v>1315</v>
      </c>
      <c r="Z1516">
        <v>361</v>
      </c>
      <c r="AA1516" s="475" t="s">
        <v>24</v>
      </c>
    </row>
    <row r="1517" spans="1:27" ht="15" hidden="1">
      <c r="A1517">
        <v>10049</v>
      </c>
      <c r="B1517">
        <v>10049</v>
      </c>
      <c r="C1517" s="476" t="s">
        <v>1896</v>
      </c>
      <c r="D1517" s="606" t="s">
        <v>1864</v>
      </c>
      <c r="E1517" s="477">
        <v>3</v>
      </c>
      <c r="F1517" s="471">
        <v>23</v>
      </c>
      <c r="G1517">
        <v>1</v>
      </c>
      <c r="H1517">
        <v>1</v>
      </c>
      <c r="I1517" s="472">
        <v>0.47039166666666665</v>
      </c>
      <c r="J1517" s="473">
        <v>0.36503333333333332</v>
      </c>
      <c r="K1517" s="473">
        <v>0.44336666666666663</v>
      </c>
      <c r="L1517" s="473">
        <v>0.58906666666666663</v>
      </c>
      <c r="M1517" s="473">
        <v>0.48410000000000003</v>
      </c>
      <c r="N1517" s="472">
        <v>0.47039166666666665</v>
      </c>
      <c r="O1517" s="473">
        <v>0.36503333333333332</v>
      </c>
      <c r="P1517" s="473">
        <v>0.44336666666666663</v>
      </c>
      <c r="Q1517" s="473">
        <v>0.58906666666666663</v>
      </c>
      <c r="R1517" s="473">
        <v>0.48410000000000003</v>
      </c>
      <c r="S1517" s="153">
        <v>0.01</v>
      </c>
      <c r="T1517" s="153">
        <v>0.02</v>
      </c>
      <c r="U1517" s="478">
        <v>2019</v>
      </c>
      <c r="V1517" s="24">
        <f t="shared" si="175"/>
        <v>2039</v>
      </c>
      <c r="W1517">
        <v>0</v>
      </c>
      <c r="X1517">
        <v>0</v>
      </c>
      <c r="Y1517">
        <v>1315</v>
      </c>
      <c r="Z1517">
        <v>361</v>
      </c>
      <c r="AA1517" s="475" t="s">
        <v>24</v>
      </c>
    </row>
    <row r="1518" spans="1:27" ht="15" hidden="1">
      <c r="A1518">
        <v>10050</v>
      </c>
      <c r="B1518">
        <v>10050</v>
      </c>
      <c r="C1518" s="476" t="s">
        <v>1897</v>
      </c>
      <c r="D1518" s="606" t="s">
        <v>1864</v>
      </c>
      <c r="E1518" s="477">
        <v>3</v>
      </c>
      <c r="F1518" s="471">
        <v>23</v>
      </c>
      <c r="G1518">
        <v>1</v>
      </c>
      <c r="H1518">
        <v>1</v>
      </c>
      <c r="I1518" s="472">
        <v>0.47039166666666665</v>
      </c>
      <c r="J1518" s="473">
        <v>0.36503333333333332</v>
      </c>
      <c r="K1518" s="473">
        <v>0.44336666666666663</v>
      </c>
      <c r="L1518" s="473">
        <v>0.58906666666666663</v>
      </c>
      <c r="M1518" s="473">
        <v>0.48410000000000003</v>
      </c>
      <c r="N1518" s="472">
        <v>0.47039166666666665</v>
      </c>
      <c r="O1518" s="473">
        <v>0.36503333333333332</v>
      </c>
      <c r="P1518" s="473">
        <v>0.44336666666666663</v>
      </c>
      <c r="Q1518" s="473">
        <v>0.58906666666666663</v>
      </c>
      <c r="R1518" s="473">
        <v>0.48410000000000003</v>
      </c>
      <c r="S1518" s="153">
        <v>0.01</v>
      </c>
      <c r="T1518" s="153">
        <v>0.02</v>
      </c>
      <c r="U1518" s="478">
        <v>2019</v>
      </c>
      <c r="V1518" s="24">
        <f t="shared" si="175"/>
        <v>2039</v>
      </c>
      <c r="W1518">
        <v>0</v>
      </c>
      <c r="X1518">
        <v>0</v>
      </c>
      <c r="Y1518">
        <v>1315</v>
      </c>
      <c r="Z1518">
        <v>361</v>
      </c>
      <c r="AA1518" s="475" t="s">
        <v>24</v>
      </c>
    </row>
    <row r="1519" spans="1:27" ht="15" hidden="1">
      <c r="A1519">
        <v>10051</v>
      </c>
      <c r="B1519">
        <v>10051</v>
      </c>
      <c r="C1519" s="476" t="s">
        <v>1444</v>
      </c>
      <c r="D1519" s="606" t="s">
        <v>1864</v>
      </c>
      <c r="E1519" s="477">
        <v>3</v>
      </c>
      <c r="F1519" s="154">
        <v>28</v>
      </c>
      <c r="G1519">
        <v>1</v>
      </c>
      <c r="H1519">
        <v>1</v>
      </c>
      <c r="I1519" s="472">
        <v>0.47039166666666665</v>
      </c>
      <c r="J1519" s="473">
        <v>0.36503333333333332</v>
      </c>
      <c r="K1519" s="473">
        <v>0.44336666666666663</v>
      </c>
      <c r="L1519" s="473">
        <v>0.58906666666666663</v>
      </c>
      <c r="M1519" s="473">
        <v>0.48410000000000003</v>
      </c>
      <c r="N1519" s="472">
        <v>0.47039166666666665</v>
      </c>
      <c r="O1519" s="473">
        <v>0.36503333333333332</v>
      </c>
      <c r="P1519" s="473">
        <v>0.44336666666666663</v>
      </c>
      <c r="Q1519" s="473">
        <v>0.58906666666666663</v>
      </c>
      <c r="R1519" s="473">
        <v>0.48410000000000003</v>
      </c>
      <c r="S1519" s="153">
        <v>0.01</v>
      </c>
      <c r="T1519" s="153">
        <v>0.02</v>
      </c>
      <c r="U1519" s="478">
        <v>2019</v>
      </c>
      <c r="V1519" s="24">
        <f t="shared" si="175"/>
        <v>2039</v>
      </c>
      <c r="W1519">
        <v>0</v>
      </c>
      <c r="X1519">
        <v>0</v>
      </c>
      <c r="Y1519">
        <v>1315</v>
      </c>
      <c r="Z1519">
        <v>361</v>
      </c>
      <c r="AA1519" s="475" t="s">
        <v>24</v>
      </c>
    </row>
    <row r="1520" spans="1:27" ht="15" hidden="1">
      <c r="A1520">
        <v>10052</v>
      </c>
      <c r="B1520">
        <v>10052</v>
      </c>
      <c r="C1520" s="476" t="s">
        <v>1466</v>
      </c>
      <c r="D1520" s="606" t="s">
        <v>1864</v>
      </c>
      <c r="E1520" s="477">
        <v>3</v>
      </c>
      <c r="F1520" s="471">
        <v>22</v>
      </c>
      <c r="G1520">
        <v>1</v>
      </c>
      <c r="H1520">
        <v>1</v>
      </c>
      <c r="I1520" s="472">
        <v>0.47039166666666665</v>
      </c>
      <c r="J1520" s="473">
        <v>0.36503333333333332</v>
      </c>
      <c r="K1520" s="473">
        <v>0.44336666666666663</v>
      </c>
      <c r="L1520" s="473">
        <v>0.58906666666666663</v>
      </c>
      <c r="M1520" s="473">
        <v>0.48410000000000003</v>
      </c>
      <c r="N1520" s="472">
        <v>0.47039166666666665</v>
      </c>
      <c r="O1520" s="473">
        <v>0.36503333333333332</v>
      </c>
      <c r="P1520" s="473">
        <v>0.44336666666666663</v>
      </c>
      <c r="Q1520" s="473">
        <v>0.58906666666666663</v>
      </c>
      <c r="R1520" s="473">
        <v>0.48410000000000003</v>
      </c>
      <c r="S1520" s="153">
        <v>0.01</v>
      </c>
      <c r="T1520" s="153">
        <v>0.02</v>
      </c>
      <c r="U1520" s="478">
        <v>2019</v>
      </c>
      <c r="V1520" s="24">
        <f t="shared" si="175"/>
        <v>2039</v>
      </c>
      <c r="W1520">
        <v>0</v>
      </c>
      <c r="X1520">
        <v>0</v>
      </c>
      <c r="Y1520">
        <v>1315</v>
      </c>
      <c r="Z1520">
        <v>361</v>
      </c>
      <c r="AA1520" s="475" t="s">
        <v>24</v>
      </c>
    </row>
    <row r="1521" spans="1:27" ht="15" hidden="1">
      <c r="A1521">
        <v>10053</v>
      </c>
      <c r="B1521">
        <v>10053</v>
      </c>
      <c r="C1521" s="476" t="s">
        <v>1467</v>
      </c>
      <c r="D1521" s="606" t="s">
        <v>1864</v>
      </c>
      <c r="E1521" s="477">
        <v>3</v>
      </c>
      <c r="F1521" s="471">
        <v>15</v>
      </c>
      <c r="G1521">
        <v>1</v>
      </c>
      <c r="H1521">
        <v>1</v>
      </c>
      <c r="I1521" s="472">
        <v>0.47039166666666665</v>
      </c>
      <c r="J1521" s="473">
        <v>0.36503333333333332</v>
      </c>
      <c r="K1521" s="473">
        <v>0.44336666666666663</v>
      </c>
      <c r="L1521" s="473">
        <v>0.58906666666666663</v>
      </c>
      <c r="M1521" s="473">
        <v>0.48410000000000003</v>
      </c>
      <c r="N1521" s="472">
        <v>0.47039166666666665</v>
      </c>
      <c r="O1521" s="473">
        <v>0.36503333333333332</v>
      </c>
      <c r="P1521" s="473">
        <v>0.44336666666666663</v>
      </c>
      <c r="Q1521" s="473">
        <v>0.58906666666666663</v>
      </c>
      <c r="R1521" s="473">
        <v>0.48410000000000003</v>
      </c>
      <c r="S1521" s="153">
        <v>0.01</v>
      </c>
      <c r="T1521" s="153">
        <v>0.02</v>
      </c>
      <c r="U1521" s="478">
        <v>2019</v>
      </c>
      <c r="V1521" s="24">
        <f t="shared" si="175"/>
        <v>2039</v>
      </c>
      <c r="W1521">
        <v>0</v>
      </c>
      <c r="X1521">
        <v>0</v>
      </c>
      <c r="Y1521">
        <v>1315</v>
      </c>
      <c r="Z1521">
        <v>361</v>
      </c>
      <c r="AA1521" s="475" t="s">
        <v>24</v>
      </c>
    </row>
    <row r="1522" spans="1:27" ht="15" hidden="1">
      <c r="A1522">
        <v>10054</v>
      </c>
      <c r="B1522">
        <v>10054</v>
      </c>
      <c r="C1522" s="476" t="s">
        <v>1535</v>
      </c>
      <c r="D1522" s="606" t="s">
        <v>1864</v>
      </c>
      <c r="E1522" s="477">
        <v>3</v>
      </c>
      <c r="F1522" s="471">
        <v>5</v>
      </c>
      <c r="G1522">
        <v>1</v>
      </c>
      <c r="H1522">
        <v>1</v>
      </c>
      <c r="I1522" s="472">
        <v>0.47039166666666665</v>
      </c>
      <c r="J1522" s="473">
        <v>0.36503333333333332</v>
      </c>
      <c r="K1522" s="473">
        <v>0.44336666666666663</v>
      </c>
      <c r="L1522" s="473">
        <v>0.58906666666666663</v>
      </c>
      <c r="M1522" s="473">
        <v>0.48410000000000003</v>
      </c>
      <c r="N1522" s="472">
        <v>0.47039166666666665</v>
      </c>
      <c r="O1522" s="473">
        <v>0.36503333333333332</v>
      </c>
      <c r="P1522" s="473">
        <v>0.44336666666666663</v>
      </c>
      <c r="Q1522" s="473">
        <v>0.58906666666666663</v>
      </c>
      <c r="R1522" s="473">
        <v>0.48410000000000003</v>
      </c>
      <c r="S1522" s="153">
        <v>0.01</v>
      </c>
      <c r="T1522" s="153">
        <v>0.02</v>
      </c>
      <c r="U1522" s="478">
        <v>2019</v>
      </c>
      <c r="V1522" s="24">
        <f t="shared" si="175"/>
        <v>2039</v>
      </c>
      <c r="W1522">
        <v>0</v>
      </c>
      <c r="X1522">
        <v>0</v>
      </c>
      <c r="Y1522">
        <v>1315</v>
      </c>
      <c r="Z1522">
        <v>361</v>
      </c>
      <c r="AA1522" s="475" t="s">
        <v>24</v>
      </c>
    </row>
    <row r="1523" spans="1:27" ht="15" hidden="1">
      <c r="A1523">
        <v>10055</v>
      </c>
      <c r="B1523">
        <v>10055</v>
      </c>
      <c r="C1523" s="476" t="s">
        <v>1898</v>
      </c>
      <c r="D1523" s="606" t="s">
        <v>1864</v>
      </c>
      <c r="E1523" s="477">
        <v>3</v>
      </c>
      <c r="F1523" s="471">
        <v>18</v>
      </c>
      <c r="G1523">
        <v>1</v>
      </c>
      <c r="H1523">
        <v>1</v>
      </c>
      <c r="I1523" s="472">
        <v>0.47039166666666665</v>
      </c>
      <c r="J1523" s="473">
        <v>0.36503333333333332</v>
      </c>
      <c r="K1523" s="473">
        <v>0.44336666666666663</v>
      </c>
      <c r="L1523" s="473">
        <v>0.58906666666666663</v>
      </c>
      <c r="M1523" s="473">
        <v>0.48410000000000003</v>
      </c>
      <c r="N1523" s="472">
        <v>0.47039166666666665</v>
      </c>
      <c r="O1523" s="473">
        <v>0.36503333333333332</v>
      </c>
      <c r="P1523" s="473">
        <v>0.44336666666666663</v>
      </c>
      <c r="Q1523" s="473">
        <v>0.58906666666666663</v>
      </c>
      <c r="R1523" s="473">
        <v>0.48410000000000003</v>
      </c>
      <c r="S1523" s="153">
        <v>0.01</v>
      </c>
      <c r="T1523" s="153">
        <v>0.02</v>
      </c>
      <c r="U1523" s="478">
        <v>2019</v>
      </c>
      <c r="V1523" s="24">
        <f t="shared" si="175"/>
        <v>2039</v>
      </c>
      <c r="W1523">
        <v>0</v>
      </c>
      <c r="X1523">
        <v>0</v>
      </c>
      <c r="Y1523">
        <v>1315</v>
      </c>
      <c r="Z1523">
        <v>361</v>
      </c>
      <c r="AA1523" s="475" t="s">
        <v>24</v>
      </c>
    </row>
    <row r="1524" spans="1:27" ht="15" hidden="1">
      <c r="A1524">
        <v>10056</v>
      </c>
      <c r="B1524">
        <v>10056</v>
      </c>
      <c r="C1524" s="476" t="s">
        <v>1349</v>
      </c>
      <c r="D1524" s="606" t="s">
        <v>1864</v>
      </c>
      <c r="E1524" s="477">
        <v>3</v>
      </c>
      <c r="F1524" s="154">
        <v>14</v>
      </c>
      <c r="G1524">
        <v>1</v>
      </c>
      <c r="H1524">
        <v>1</v>
      </c>
      <c r="I1524" s="472">
        <v>0.47039166666666665</v>
      </c>
      <c r="J1524" s="473">
        <v>0.36503333333333332</v>
      </c>
      <c r="K1524" s="473">
        <v>0.44336666666666663</v>
      </c>
      <c r="L1524" s="473">
        <v>0.58906666666666663</v>
      </c>
      <c r="M1524" s="473">
        <v>0.48410000000000003</v>
      </c>
      <c r="N1524" s="472">
        <v>0.47039166666666665</v>
      </c>
      <c r="O1524" s="473">
        <v>0.36503333333333332</v>
      </c>
      <c r="P1524" s="473">
        <v>0.44336666666666663</v>
      </c>
      <c r="Q1524" s="473">
        <v>0.58906666666666663</v>
      </c>
      <c r="R1524" s="473">
        <v>0.48410000000000003</v>
      </c>
      <c r="S1524" s="153">
        <v>0.01</v>
      </c>
      <c r="T1524" s="153">
        <v>0.02</v>
      </c>
      <c r="U1524" s="478">
        <v>2019</v>
      </c>
      <c r="V1524" s="24">
        <f t="shared" si="175"/>
        <v>2039</v>
      </c>
      <c r="W1524">
        <v>0</v>
      </c>
      <c r="X1524">
        <v>0</v>
      </c>
      <c r="Y1524">
        <v>1315</v>
      </c>
      <c r="Z1524">
        <v>361</v>
      </c>
      <c r="AA1524" s="475" t="s">
        <v>24</v>
      </c>
    </row>
    <row r="1525" spans="1:27" ht="15" hidden="1">
      <c r="A1525">
        <v>10057</v>
      </c>
      <c r="B1525">
        <v>10057</v>
      </c>
      <c r="C1525" s="476" t="s">
        <v>1391</v>
      </c>
      <c r="D1525" s="606" t="s">
        <v>1864</v>
      </c>
      <c r="E1525" s="477">
        <v>3</v>
      </c>
      <c r="F1525" s="471">
        <v>11</v>
      </c>
      <c r="G1525">
        <v>1</v>
      </c>
      <c r="H1525">
        <v>1</v>
      </c>
      <c r="I1525" s="472">
        <v>0.47039166666666665</v>
      </c>
      <c r="J1525" s="473">
        <v>0.36503333333333332</v>
      </c>
      <c r="K1525" s="473">
        <v>0.44336666666666663</v>
      </c>
      <c r="L1525" s="473">
        <v>0.58906666666666663</v>
      </c>
      <c r="M1525" s="473">
        <v>0.48410000000000003</v>
      </c>
      <c r="N1525" s="472">
        <v>0.47039166666666665</v>
      </c>
      <c r="O1525" s="473">
        <v>0.36503333333333332</v>
      </c>
      <c r="P1525" s="473">
        <v>0.44336666666666663</v>
      </c>
      <c r="Q1525" s="473">
        <v>0.58906666666666663</v>
      </c>
      <c r="R1525" s="473">
        <v>0.48410000000000003</v>
      </c>
      <c r="S1525" s="153">
        <v>0.01</v>
      </c>
      <c r="T1525" s="153">
        <v>0.02</v>
      </c>
      <c r="U1525" s="478">
        <v>2019</v>
      </c>
      <c r="V1525" s="24">
        <f t="shared" si="175"/>
        <v>2039</v>
      </c>
      <c r="W1525">
        <v>0</v>
      </c>
      <c r="X1525">
        <v>0</v>
      </c>
      <c r="Y1525">
        <v>1315</v>
      </c>
      <c r="Z1525">
        <v>361</v>
      </c>
      <c r="AA1525" s="475" t="s">
        <v>24</v>
      </c>
    </row>
    <row r="1526" spans="1:27" ht="15" hidden="1">
      <c r="A1526">
        <v>10058</v>
      </c>
      <c r="B1526">
        <v>10058</v>
      </c>
      <c r="C1526" s="476" t="s">
        <v>1470</v>
      </c>
      <c r="D1526" s="606" t="s">
        <v>1864</v>
      </c>
      <c r="E1526" s="477">
        <v>3</v>
      </c>
      <c r="F1526" s="471">
        <v>8</v>
      </c>
      <c r="G1526">
        <v>1</v>
      </c>
      <c r="H1526">
        <v>1</v>
      </c>
      <c r="I1526" s="472">
        <v>0.47039166666666665</v>
      </c>
      <c r="J1526" s="473">
        <v>0.36503333333333332</v>
      </c>
      <c r="K1526" s="473">
        <v>0.44336666666666663</v>
      </c>
      <c r="L1526" s="473">
        <v>0.58906666666666663</v>
      </c>
      <c r="M1526" s="473">
        <v>0.48410000000000003</v>
      </c>
      <c r="N1526" s="472">
        <v>0.47039166666666665</v>
      </c>
      <c r="O1526" s="473">
        <v>0.36503333333333332</v>
      </c>
      <c r="P1526" s="473">
        <v>0.44336666666666663</v>
      </c>
      <c r="Q1526" s="473">
        <v>0.58906666666666663</v>
      </c>
      <c r="R1526" s="473">
        <v>0.48410000000000003</v>
      </c>
      <c r="S1526" s="153">
        <v>0.01</v>
      </c>
      <c r="T1526" s="153">
        <v>0.02</v>
      </c>
      <c r="U1526" s="478">
        <v>2019</v>
      </c>
      <c r="V1526" s="24">
        <f t="shared" si="175"/>
        <v>2039</v>
      </c>
      <c r="W1526">
        <v>0</v>
      </c>
      <c r="X1526">
        <v>0</v>
      </c>
      <c r="Y1526">
        <v>1315</v>
      </c>
      <c r="Z1526">
        <v>361</v>
      </c>
      <c r="AA1526" s="475" t="s">
        <v>24</v>
      </c>
    </row>
    <row r="1527" spans="1:27" ht="15" hidden="1">
      <c r="A1527">
        <v>10059</v>
      </c>
      <c r="B1527">
        <v>10059</v>
      </c>
      <c r="C1527" s="476" t="s">
        <v>1899</v>
      </c>
      <c r="D1527" s="606" t="s">
        <v>1864</v>
      </c>
      <c r="E1527" s="477">
        <v>3</v>
      </c>
      <c r="F1527" s="471">
        <v>8</v>
      </c>
      <c r="G1527">
        <v>1</v>
      </c>
      <c r="H1527">
        <v>1</v>
      </c>
      <c r="I1527" s="472">
        <v>0.47039166666666665</v>
      </c>
      <c r="J1527" s="473">
        <v>0.36503333333333332</v>
      </c>
      <c r="K1527" s="473">
        <v>0.44336666666666663</v>
      </c>
      <c r="L1527" s="473">
        <v>0.58906666666666663</v>
      </c>
      <c r="M1527" s="473">
        <v>0.48410000000000003</v>
      </c>
      <c r="N1527" s="472">
        <v>0.47039166666666665</v>
      </c>
      <c r="O1527" s="473">
        <v>0.36503333333333332</v>
      </c>
      <c r="P1527" s="473">
        <v>0.44336666666666663</v>
      </c>
      <c r="Q1527" s="473">
        <v>0.58906666666666663</v>
      </c>
      <c r="R1527" s="473">
        <v>0.48410000000000003</v>
      </c>
      <c r="S1527" s="153">
        <v>0.01</v>
      </c>
      <c r="T1527" s="153">
        <v>0.02</v>
      </c>
      <c r="U1527" s="478">
        <v>2019</v>
      </c>
      <c r="V1527" s="24">
        <f t="shared" si="175"/>
        <v>2039</v>
      </c>
      <c r="W1527">
        <v>0</v>
      </c>
      <c r="X1527">
        <v>0</v>
      </c>
      <c r="Y1527">
        <v>1315</v>
      </c>
      <c r="Z1527">
        <v>361</v>
      </c>
      <c r="AA1527" s="475" t="s">
        <v>24</v>
      </c>
    </row>
    <row r="1528" spans="1:27" ht="15" hidden="1">
      <c r="A1528">
        <v>10060</v>
      </c>
      <c r="B1528">
        <v>10060</v>
      </c>
      <c r="C1528" s="476" t="s">
        <v>1900</v>
      </c>
      <c r="D1528" s="606" t="s">
        <v>1864</v>
      </c>
      <c r="E1528" s="477">
        <v>3</v>
      </c>
      <c r="F1528" s="471">
        <v>9</v>
      </c>
      <c r="G1528">
        <v>1</v>
      </c>
      <c r="H1528">
        <v>1</v>
      </c>
      <c r="I1528" s="472">
        <v>0.47039166666666665</v>
      </c>
      <c r="J1528" s="473">
        <v>0.36503333333333332</v>
      </c>
      <c r="K1528" s="473">
        <v>0.44336666666666663</v>
      </c>
      <c r="L1528" s="473">
        <v>0.58906666666666663</v>
      </c>
      <c r="M1528" s="473">
        <v>0.48410000000000003</v>
      </c>
      <c r="N1528" s="472">
        <v>0.47039166666666665</v>
      </c>
      <c r="O1528" s="473">
        <v>0.36503333333333332</v>
      </c>
      <c r="P1528" s="473">
        <v>0.44336666666666663</v>
      </c>
      <c r="Q1528" s="473">
        <v>0.58906666666666663</v>
      </c>
      <c r="R1528" s="473">
        <v>0.48410000000000003</v>
      </c>
      <c r="S1528" s="153">
        <v>0.01</v>
      </c>
      <c r="T1528" s="153">
        <v>0.02</v>
      </c>
      <c r="U1528" s="478">
        <v>2019</v>
      </c>
      <c r="V1528" s="24">
        <f t="shared" si="175"/>
        <v>2039</v>
      </c>
      <c r="W1528">
        <v>0</v>
      </c>
      <c r="X1528">
        <v>0</v>
      </c>
      <c r="Y1528">
        <v>1315</v>
      </c>
      <c r="Z1528">
        <v>361</v>
      </c>
      <c r="AA1528" s="475" t="s">
        <v>24</v>
      </c>
    </row>
    <row r="1529" spans="1:27" ht="15" hidden="1">
      <c r="A1529">
        <v>10061</v>
      </c>
      <c r="B1529">
        <v>10061</v>
      </c>
      <c r="C1529" s="476" t="s">
        <v>1363</v>
      </c>
      <c r="D1529" s="606" t="s">
        <v>1864</v>
      </c>
      <c r="E1529" s="477">
        <v>3</v>
      </c>
      <c r="F1529" s="154">
        <v>10</v>
      </c>
      <c r="G1529">
        <v>1</v>
      </c>
      <c r="H1529">
        <v>1</v>
      </c>
      <c r="I1529" s="472">
        <v>0.47039166666666665</v>
      </c>
      <c r="J1529" s="473">
        <v>0.36503333333333332</v>
      </c>
      <c r="K1529" s="473">
        <v>0.44336666666666663</v>
      </c>
      <c r="L1529" s="473">
        <v>0.58906666666666663</v>
      </c>
      <c r="M1529" s="473">
        <v>0.48410000000000003</v>
      </c>
      <c r="N1529" s="472">
        <v>0.47039166666666665</v>
      </c>
      <c r="O1529" s="473">
        <v>0.36503333333333332</v>
      </c>
      <c r="P1529" s="473">
        <v>0.44336666666666663</v>
      </c>
      <c r="Q1529" s="473">
        <v>0.58906666666666663</v>
      </c>
      <c r="R1529" s="473">
        <v>0.48410000000000003</v>
      </c>
      <c r="S1529" s="153">
        <v>0.01</v>
      </c>
      <c r="T1529" s="153">
        <v>0.02</v>
      </c>
      <c r="U1529" s="478">
        <v>2019</v>
      </c>
      <c r="V1529" s="24">
        <f t="shared" si="175"/>
        <v>2039</v>
      </c>
      <c r="W1529">
        <v>0</v>
      </c>
      <c r="X1529">
        <v>0</v>
      </c>
      <c r="Y1529">
        <v>1315</v>
      </c>
      <c r="Z1529">
        <v>361</v>
      </c>
      <c r="AA1529" s="475" t="s">
        <v>24</v>
      </c>
    </row>
    <row r="1530" spans="1:27" ht="15" hidden="1">
      <c r="A1530">
        <v>10062</v>
      </c>
      <c r="B1530">
        <v>10062</v>
      </c>
      <c r="C1530" s="476" t="s">
        <v>1901</v>
      </c>
      <c r="D1530" s="606" t="s">
        <v>1864</v>
      </c>
      <c r="E1530" s="477">
        <v>3</v>
      </c>
      <c r="F1530" s="471">
        <v>15</v>
      </c>
      <c r="G1530">
        <v>1</v>
      </c>
      <c r="H1530">
        <v>1</v>
      </c>
      <c r="I1530" s="472">
        <v>0.47039166666666665</v>
      </c>
      <c r="J1530" s="473">
        <v>0.36503333333333332</v>
      </c>
      <c r="K1530" s="473">
        <v>0.44336666666666663</v>
      </c>
      <c r="L1530" s="473">
        <v>0.58906666666666663</v>
      </c>
      <c r="M1530" s="473">
        <v>0.48410000000000003</v>
      </c>
      <c r="N1530" s="472">
        <v>0.47039166666666665</v>
      </c>
      <c r="O1530" s="473">
        <v>0.36503333333333332</v>
      </c>
      <c r="P1530" s="473">
        <v>0.44336666666666663</v>
      </c>
      <c r="Q1530" s="473">
        <v>0.58906666666666663</v>
      </c>
      <c r="R1530" s="473">
        <v>0.48410000000000003</v>
      </c>
      <c r="S1530" s="153">
        <v>0.01</v>
      </c>
      <c r="T1530" s="153">
        <v>0.02</v>
      </c>
      <c r="U1530" s="478">
        <v>2019</v>
      </c>
      <c r="V1530" s="24">
        <f t="shared" si="175"/>
        <v>2039</v>
      </c>
      <c r="W1530">
        <v>0</v>
      </c>
      <c r="X1530">
        <v>0</v>
      </c>
      <c r="Y1530">
        <v>1315</v>
      </c>
      <c r="Z1530">
        <v>361</v>
      </c>
      <c r="AA1530" s="475" t="s">
        <v>24</v>
      </c>
    </row>
    <row r="1531" spans="1:27" ht="15" hidden="1">
      <c r="A1531">
        <v>10063</v>
      </c>
      <c r="B1531">
        <v>10063</v>
      </c>
      <c r="C1531" s="476" t="s">
        <v>1902</v>
      </c>
      <c r="D1531" s="606" t="s">
        <v>1864</v>
      </c>
      <c r="E1531" s="477">
        <v>3</v>
      </c>
      <c r="F1531" s="471">
        <v>9</v>
      </c>
      <c r="G1531">
        <v>1</v>
      </c>
      <c r="H1531">
        <v>1</v>
      </c>
      <c r="I1531" s="472">
        <v>0.47039166666666665</v>
      </c>
      <c r="J1531" s="473">
        <v>0.36503333333333332</v>
      </c>
      <c r="K1531" s="473">
        <v>0.44336666666666663</v>
      </c>
      <c r="L1531" s="473">
        <v>0.58906666666666663</v>
      </c>
      <c r="M1531" s="473">
        <v>0.48410000000000003</v>
      </c>
      <c r="N1531" s="472">
        <v>0.47039166666666665</v>
      </c>
      <c r="O1531" s="473">
        <v>0.36503333333333332</v>
      </c>
      <c r="P1531" s="473">
        <v>0.44336666666666663</v>
      </c>
      <c r="Q1531" s="473">
        <v>0.58906666666666663</v>
      </c>
      <c r="R1531" s="473">
        <v>0.48410000000000003</v>
      </c>
      <c r="S1531" s="153">
        <v>0.01</v>
      </c>
      <c r="T1531" s="153">
        <v>0.02</v>
      </c>
      <c r="U1531" s="478">
        <v>2019</v>
      </c>
      <c r="V1531" s="24">
        <f t="shared" si="175"/>
        <v>2039</v>
      </c>
      <c r="W1531">
        <v>0</v>
      </c>
      <c r="X1531">
        <v>0</v>
      </c>
      <c r="Y1531">
        <v>1315</v>
      </c>
      <c r="Z1531">
        <v>361</v>
      </c>
      <c r="AA1531" s="475" t="s">
        <v>24</v>
      </c>
    </row>
    <row r="1532" spans="1:27" ht="15" hidden="1">
      <c r="A1532">
        <v>10064</v>
      </c>
      <c r="B1532">
        <v>10064</v>
      </c>
      <c r="C1532" s="476" t="s">
        <v>1903</v>
      </c>
      <c r="D1532" s="606" t="s">
        <v>1864</v>
      </c>
      <c r="E1532" s="477">
        <v>3</v>
      </c>
      <c r="F1532" s="471">
        <v>9</v>
      </c>
      <c r="G1532">
        <v>1</v>
      </c>
      <c r="H1532">
        <v>1</v>
      </c>
      <c r="I1532" s="472">
        <v>0.47039166666666665</v>
      </c>
      <c r="J1532" s="473">
        <v>0.36503333333333332</v>
      </c>
      <c r="K1532" s="473">
        <v>0.44336666666666663</v>
      </c>
      <c r="L1532" s="473">
        <v>0.58906666666666663</v>
      </c>
      <c r="M1532" s="473">
        <v>0.48410000000000003</v>
      </c>
      <c r="N1532" s="472">
        <v>0.47039166666666665</v>
      </c>
      <c r="O1532" s="473">
        <v>0.36503333333333332</v>
      </c>
      <c r="P1532" s="473">
        <v>0.44336666666666663</v>
      </c>
      <c r="Q1532" s="473">
        <v>0.58906666666666663</v>
      </c>
      <c r="R1532" s="473">
        <v>0.48410000000000003</v>
      </c>
      <c r="S1532" s="153">
        <v>0.01</v>
      </c>
      <c r="T1532" s="153">
        <v>0.02</v>
      </c>
      <c r="U1532" s="478">
        <v>2019</v>
      </c>
      <c r="V1532" s="24">
        <f t="shared" si="175"/>
        <v>2039</v>
      </c>
      <c r="W1532">
        <v>0</v>
      </c>
      <c r="X1532">
        <v>0</v>
      </c>
      <c r="Y1532">
        <v>1315</v>
      </c>
      <c r="Z1532">
        <v>361</v>
      </c>
      <c r="AA1532" s="475" t="s">
        <v>24</v>
      </c>
    </row>
    <row r="1533" spans="1:27" ht="15" hidden="1">
      <c r="A1533">
        <v>10065</v>
      </c>
      <c r="B1533">
        <v>10065</v>
      </c>
      <c r="C1533" s="476" t="s">
        <v>1904</v>
      </c>
      <c r="D1533" s="606" t="s">
        <v>1864</v>
      </c>
      <c r="E1533" s="477">
        <v>3</v>
      </c>
      <c r="F1533" s="471">
        <v>9</v>
      </c>
      <c r="G1533">
        <v>1</v>
      </c>
      <c r="H1533">
        <v>1</v>
      </c>
      <c r="I1533" s="472">
        <v>0.47039166666666665</v>
      </c>
      <c r="J1533" s="473">
        <v>0.36503333333333332</v>
      </c>
      <c r="K1533" s="473">
        <v>0.44336666666666663</v>
      </c>
      <c r="L1533" s="473">
        <v>0.58906666666666663</v>
      </c>
      <c r="M1533" s="473">
        <v>0.48410000000000003</v>
      </c>
      <c r="N1533" s="472">
        <v>0.47039166666666665</v>
      </c>
      <c r="O1533" s="473">
        <v>0.36503333333333332</v>
      </c>
      <c r="P1533" s="473">
        <v>0.44336666666666663</v>
      </c>
      <c r="Q1533" s="473">
        <v>0.58906666666666663</v>
      </c>
      <c r="R1533" s="473">
        <v>0.48410000000000003</v>
      </c>
      <c r="S1533" s="153">
        <v>0.01</v>
      </c>
      <c r="T1533" s="153">
        <v>0.02</v>
      </c>
      <c r="U1533" s="478">
        <v>2019</v>
      </c>
      <c r="V1533" s="24">
        <f t="shared" ref="V1533:V1596" si="176">U1533+20</f>
        <v>2039</v>
      </c>
      <c r="W1533">
        <v>0</v>
      </c>
      <c r="X1533">
        <v>0</v>
      </c>
      <c r="Y1533">
        <v>1315</v>
      </c>
      <c r="Z1533">
        <v>361</v>
      </c>
      <c r="AA1533" s="475" t="s">
        <v>24</v>
      </c>
    </row>
    <row r="1534" spans="1:27" ht="15" hidden="1">
      <c r="A1534">
        <v>10066</v>
      </c>
      <c r="B1534">
        <v>10066</v>
      </c>
      <c r="C1534" s="476" t="s">
        <v>1905</v>
      </c>
      <c r="D1534" s="606" t="s">
        <v>1864</v>
      </c>
      <c r="E1534" s="477">
        <v>3</v>
      </c>
      <c r="F1534" s="154">
        <v>11</v>
      </c>
      <c r="G1534">
        <v>1</v>
      </c>
      <c r="H1534">
        <v>1</v>
      </c>
      <c r="I1534" s="472">
        <v>0.47039166666666665</v>
      </c>
      <c r="J1534" s="473">
        <v>0.36503333333333332</v>
      </c>
      <c r="K1534" s="473">
        <v>0.44336666666666663</v>
      </c>
      <c r="L1534" s="473">
        <v>0.58906666666666663</v>
      </c>
      <c r="M1534" s="473">
        <v>0.48410000000000003</v>
      </c>
      <c r="N1534" s="472">
        <v>0.47039166666666665</v>
      </c>
      <c r="O1534" s="473">
        <v>0.36503333333333332</v>
      </c>
      <c r="P1534" s="473">
        <v>0.44336666666666663</v>
      </c>
      <c r="Q1534" s="473">
        <v>0.58906666666666663</v>
      </c>
      <c r="R1534" s="473">
        <v>0.48410000000000003</v>
      </c>
      <c r="S1534" s="153">
        <v>0.01</v>
      </c>
      <c r="T1534" s="153">
        <v>0.02</v>
      </c>
      <c r="U1534" s="478">
        <v>2019</v>
      </c>
      <c r="V1534" s="24">
        <f t="shared" si="176"/>
        <v>2039</v>
      </c>
      <c r="W1534">
        <v>0</v>
      </c>
      <c r="X1534">
        <v>0</v>
      </c>
      <c r="Y1534">
        <v>1315</v>
      </c>
      <c r="Z1534">
        <v>361</v>
      </c>
      <c r="AA1534" s="475" t="s">
        <v>24</v>
      </c>
    </row>
    <row r="1535" spans="1:27" ht="15" hidden="1">
      <c r="A1535">
        <v>10067</v>
      </c>
      <c r="B1535">
        <v>10067</v>
      </c>
      <c r="C1535" s="476" t="s">
        <v>1906</v>
      </c>
      <c r="D1535" s="606" t="s">
        <v>1864</v>
      </c>
      <c r="E1535" s="477">
        <v>3</v>
      </c>
      <c r="F1535" s="471">
        <v>15</v>
      </c>
      <c r="G1535">
        <v>1</v>
      </c>
      <c r="H1535">
        <v>1</v>
      </c>
      <c r="I1535" s="472">
        <v>0.47039166666666665</v>
      </c>
      <c r="J1535" s="473">
        <v>0.36503333333333332</v>
      </c>
      <c r="K1535" s="473">
        <v>0.44336666666666663</v>
      </c>
      <c r="L1535" s="473">
        <v>0.58906666666666663</v>
      </c>
      <c r="M1535" s="473">
        <v>0.48410000000000003</v>
      </c>
      <c r="N1535" s="472">
        <v>0.47039166666666665</v>
      </c>
      <c r="O1535" s="473">
        <v>0.36503333333333332</v>
      </c>
      <c r="P1535" s="473">
        <v>0.44336666666666663</v>
      </c>
      <c r="Q1535" s="473">
        <v>0.58906666666666663</v>
      </c>
      <c r="R1535" s="473">
        <v>0.48410000000000003</v>
      </c>
      <c r="S1535" s="153">
        <v>0.01</v>
      </c>
      <c r="T1535" s="153">
        <v>0.02</v>
      </c>
      <c r="U1535" s="478">
        <v>2019</v>
      </c>
      <c r="V1535" s="24">
        <f t="shared" si="176"/>
        <v>2039</v>
      </c>
      <c r="W1535">
        <v>0</v>
      </c>
      <c r="X1535">
        <v>0</v>
      </c>
      <c r="Y1535">
        <v>1315</v>
      </c>
      <c r="Z1535">
        <v>361</v>
      </c>
      <c r="AA1535" s="475" t="s">
        <v>24</v>
      </c>
    </row>
    <row r="1536" spans="1:27" ht="15" hidden="1">
      <c r="A1536">
        <v>10068</v>
      </c>
      <c r="B1536">
        <v>10068</v>
      </c>
      <c r="C1536" s="476" t="s">
        <v>1007</v>
      </c>
      <c r="D1536" s="606" t="s">
        <v>1864</v>
      </c>
      <c r="E1536" s="477">
        <v>3</v>
      </c>
      <c r="F1536" s="471">
        <v>6</v>
      </c>
      <c r="G1536">
        <v>1</v>
      </c>
      <c r="H1536">
        <v>1</v>
      </c>
      <c r="I1536" s="472">
        <v>0.47039166666666665</v>
      </c>
      <c r="J1536" s="473">
        <v>0.36503333333333332</v>
      </c>
      <c r="K1536" s="473">
        <v>0.44336666666666663</v>
      </c>
      <c r="L1536" s="473">
        <v>0.58906666666666663</v>
      </c>
      <c r="M1536" s="473">
        <v>0.48410000000000003</v>
      </c>
      <c r="N1536" s="472">
        <v>0.47039166666666665</v>
      </c>
      <c r="O1536" s="473">
        <v>0.36503333333333332</v>
      </c>
      <c r="P1536" s="473">
        <v>0.44336666666666663</v>
      </c>
      <c r="Q1536" s="473">
        <v>0.58906666666666663</v>
      </c>
      <c r="R1536" s="473">
        <v>0.48410000000000003</v>
      </c>
      <c r="S1536" s="153">
        <v>0.01</v>
      </c>
      <c r="T1536" s="153">
        <v>0.02</v>
      </c>
      <c r="U1536" s="478">
        <v>2019</v>
      </c>
      <c r="V1536" s="24">
        <f t="shared" si="176"/>
        <v>2039</v>
      </c>
      <c r="W1536">
        <v>0</v>
      </c>
      <c r="X1536">
        <v>0</v>
      </c>
      <c r="Y1536">
        <v>1315</v>
      </c>
      <c r="Z1536">
        <v>361</v>
      </c>
      <c r="AA1536" s="475" t="s">
        <v>24</v>
      </c>
    </row>
    <row r="1537" spans="1:27" ht="15" hidden="1">
      <c r="A1537">
        <v>10069</v>
      </c>
      <c r="B1537">
        <v>10069</v>
      </c>
      <c r="C1537" s="476" t="s">
        <v>1012</v>
      </c>
      <c r="D1537" s="606" t="s">
        <v>1864</v>
      </c>
      <c r="E1537" s="477">
        <v>3</v>
      </c>
      <c r="F1537" s="471">
        <v>10</v>
      </c>
      <c r="G1537">
        <v>1</v>
      </c>
      <c r="H1537">
        <v>1</v>
      </c>
      <c r="I1537" s="472">
        <v>0.47039166666666665</v>
      </c>
      <c r="J1537" s="473">
        <v>0.36503333333333332</v>
      </c>
      <c r="K1537" s="473">
        <v>0.44336666666666663</v>
      </c>
      <c r="L1537" s="473">
        <v>0.58906666666666663</v>
      </c>
      <c r="M1537" s="473">
        <v>0.48410000000000003</v>
      </c>
      <c r="N1537" s="472">
        <v>0.47039166666666665</v>
      </c>
      <c r="O1537" s="473">
        <v>0.36503333333333332</v>
      </c>
      <c r="P1537" s="473">
        <v>0.44336666666666663</v>
      </c>
      <c r="Q1537" s="473">
        <v>0.58906666666666663</v>
      </c>
      <c r="R1537" s="473">
        <v>0.48410000000000003</v>
      </c>
      <c r="S1537" s="153">
        <v>0.01</v>
      </c>
      <c r="T1537" s="153">
        <v>0.02</v>
      </c>
      <c r="U1537" s="478">
        <v>2019</v>
      </c>
      <c r="V1537" s="24">
        <f t="shared" si="176"/>
        <v>2039</v>
      </c>
      <c r="W1537">
        <v>0</v>
      </c>
      <c r="X1537">
        <v>0</v>
      </c>
      <c r="Y1537">
        <v>1315</v>
      </c>
      <c r="Z1537">
        <v>361</v>
      </c>
      <c r="AA1537" s="475" t="s">
        <v>24</v>
      </c>
    </row>
    <row r="1538" spans="1:27" ht="15" hidden="1">
      <c r="A1538">
        <v>10070</v>
      </c>
      <c r="B1538">
        <v>10070</v>
      </c>
      <c r="C1538" s="476" t="s">
        <v>1172</v>
      </c>
      <c r="D1538" s="606" t="s">
        <v>1864</v>
      </c>
      <c r="E1538" s="477">
        <v>3</v>
      </c>
      <c r="F1538" s="471">
        <v>10</v>
      </c>
      <c r="G1538">
        <v>1</v>
      </c>
      <c r="H1538">
        <v>1</v>
      </c>
      <c r="I1538" s="472">
        <v>0.47039166666666665</v>
      </c>
      <c r="J1538" s="473">
        <v>0.36503333333333332</v>
      </c>
      <c r="K1538" s="473">
        <v>0.44336666666666663</v>
      </c>
      <c r="L1538" s="473">
        <v>0.58906666666666663</v>
      </c>
      <c r="M1538" s="473">
        <v>0.48410000000000003</v>
      </c>
      <c r="N1538" s="472">
        <v>0.47039166666666665</v>
      </c>
      <c r="O1538" s="473">
        <v>0.36503333333333332</v>
      </c>
      <c r="P1538" s="473">
        <v>0.44336666666666663</v>
      </c>
      <c r="Q1538" s="473">
        <v>0.58906666666666663</v>
      </c>
      <c r="R1538" s="473">
        <v>0.48410000000000003</v>
      </c>
      <c r="S1538" s="153">
        <v>0.01</v>
      </c>
      <c r="T1538" s="153">
        <v>0.02</v>
      </c>
      <c r="U1538" s="478">
        <v>2019</v>
      </c>
      <c r="V1538" s="24">
        <f t="shared" si="176"/>
        <v>2039</v>
      </c>
      <c r="W1538">
        <v>0</v>
      </c>
      <c r="X1538">
        <v>0</v>
      </c>
      <c r="Y1538">
        <v>1315</v>
      </c>
      <c r="Z1538">
        <v>361</v>
      </c>
      <c r="AA1538" s="475" t="s">
        <v>24</v>
      </c>
    </row>
    <row r="1539" spans="1:27" ht="15" hidden="1">
      <c r="A1539">
        <v>10071</v>
      </c>
      <c r="B1539">
        <v>10071</v>
      </c>
      <c r="C1539" s="476" t="s">
        <v>1175</v>
      </c>
      <c r="D1539" s="606" t="s">
        <v>1864</v>
      </c>
      <c r="E1539" s="477">
        <v>3</v>
      </c>
      <c r="F1539" s="154">
        <v>10</v>
      </c>
      <c r="G1539">
        <v>1</v>
      </c>
      <c r="H1539">
        <v>1</v>
      </c>
      <c r="I1539" s="472">
        <v>0.47039166666666665</v>
      </c>
      <c r="J1539" s="473">
        <v>0.36503333333333332</v>
      </c>
      <c r="K1539" s="473">
        <v>0.44336666666666663</v>
      </c>
      <c r="L1539" s="473">
        <v>0.58906666666666663</v>
      </c>
      <c r="M1539" s="473">
        <v>0.48410000000000003</v>
      </c>
      <c r="N1539" s="472">
        <v>0.47039166666666665</v>
      </c>
      <c r="O1539" s="473">
        <v>0.36503333333333332</v>
      </c>
      <c r="P1539" s="473">
        <v>0.44336666666666663</v>
      </c>
      <c r="Q1539" s="473">
        <v>0.58906666666666663</v>
      </c>
      <c r="R1539" s="473">
        <v>0.48410000000000003</v>
      </c>
      <c r="S1539" s="153">
        <v>0.01</v>
      </c>
      <c r="T1539" s="153">
        <v>0.02</v>
      </c>
      <c r="U1539" s="478">
        <v>2019</v>
      </c>
      <c r="V1539" s="24">
        <f t="shared" si="176"/>
        <v>2039</v>
      </c>
      <c r="W1539">
        <v>0</v>
      </c>
      <c r="X1539">
        <v>0</v>
      </c>
      <c r="Y1539">
        <v>1315</v>
      </c>
      <c r="Z1539">
        <v>361</v>
      </c>
      <c r="AA1539" s="475" t="s">
        <v>24</v>
      </c>
    </row>
    <row r="1540" spans="1:27" ht="15" hidden="1">
      <c r="A1540">
        <v>10072</v>
      </c>
      <c r="B1540">
        <v>10072</v>
      </c>
      <c r="C1540" s="476" t="s">
        <v>1223</v>
      </c>
      <c r="D1540" s="606" t="s">
        <v>1864</v>
      </c>
      <c r="E1540" s="477">
        <v>3</v>
      </c>
      <c r="F1540" s="471">
        <v>10</v>
      </c>
      <c r="G1540">
        <v>1</v>
      </c>
      <c r="H1540">
        <v>1</v>
      </c>
      <c r="I1540" s="472">
        <v>0.47039166666666665</v>
      </c>
      <c r="J1540" s="473">
        <v>0.36503333333333332</v>
      </c>
      <c r="K1540" s="473">
        <v>0.44336666666666663</v>
      </c>
      <c r="L1540" s="473">
        <v>0.58906666666666663</v>
      </c>
      <c r="M1540" s="473">
        <v>0.48410000000000003</v>
      </c>
      <c r="N1540" s="472">
        <v>0.47039166666666665</v>
      </c>
      <c r="O1540" s="473">
        <v>0.36503333333333332</v>
      </c>
      <c r="P1540" s="473">
        <v>0.44336666666666663</v>
      </c>
      <c r="Q1540" s="473">
        <v>0.58906666666666663</v>
      </c>
      <c r="R1540" s="473">
        <v>0.48410000000000003</v>
      </c>
      <c r="S1540" s="153">
        <v>0.01</v>
      </c>
      <c r="T1540" s="153">
        <v>0.02</v>
      </c>
      <c r="U1540" s="478">
        <v>2019</v>
      </c>
      <c r="V1540" s="24">
        <f t="shared" si="176"/>
        <v>2039</v>
      </c>
      <c r="W1540">
        <v>0</v>
      </c>
      <c r="X1540">
        <v>0</v>
      </c>
      <c r="Y1540">
        <v>1315</v>
      </c>
      <c r="Z1540">
        <v>361</v>
      </c>
      <c r="AA1540" s="475" t="s">
        <v>24</v>
      </c>
    </row>
    <row r="1541" spans="1:27" ht="15" hidden="1">
      <c r="A1541">
        <v>10073</v>
      </c>
      <c r="B1541">
        <v>10073</v>
      </c>
      <c r="C1541" s="476" t="s">
        <v>1232</v>
      </c>
      <c r="D1541" s="606" t="s">
        <v>1864</v>
      </c>
      <c r="E1541" s="477">
        <v>3</v>
      </c>
      <c r="F1541" s="471">
        <v>16</v>
      </c>
      <c r="G1541">
        <v>1</v>
      </c>
      <c r="H1541">
        <v>1</v>
      </c>
      <c r="I1541" s="472">
        <v>0.47039166666666665</v>
      </c>
      <c r="J1541" s="473">
        <v>0.36503333333333332</v>
      </c>
      <c r="K1541" s="473">
        <v>0.44336666666666663</v>
      </c>
      <c r="L1541" s="473">
        <v>0.58906666666666663</v>
      </c>
      <c r="M1541" s="473">
        <v>0.48410000000000003</v>
      </c>
      <c r="N1541" s="472">
        <v>0.47039166666666665</v>
      </c>
      <c r="O1541" s="473">
        <v>0.36503333333333332</v>
      </c>
      <c r="P1541" s="473">
        <v>0.44336666666666663</v>
      </c>
      <c r="Q1541" s="473">
        <v>0.58906666666666663</v>
      </c>
      <c r="R1541" s="473">
        <v>0.48410000000000003</v>
      </c>
      <c r="S1541" s="153">
        <v>0.01</v>
      </c>
      <c r="T1541" s="153">
        <v>0.02</v>
      </c>
      <c r="U1541" s="478">
        <v>2019</v>
      </c>
      <c r="V1541" s="24">
        <f t="shared" si="176"/>
        <v>2039</v>
      </c>
      <c r="W1541">
        <v>0</v>
      </c>
      <c r="X1541">
        <v>0</v>
      </c>
      <c r="Y1541">
        <v>1315</v>
      </c>
      <c r="Z1541">
        <v>361</v>
      </c>
      <c r="AA1541" s="475" t="s">
        <v>24</v>
      </c>
    </row>
    <row r="1542" spans="1:27" ht="15" hidden="1">
      <c r="A1542">
        <v>10074</v>
      </c>
      <c r="B1542">
        <v>10074</v>
      </c>
      <c r="C1542" s="476" t="s">
        <v>1235</v>
      </c>
      <c r="D1542" s="606" t="s">
        <v>1864</v>
      </c>
      <c r="E1542" s="477">
        <v>3</v>
      </c>
      <c r="F1542" s="471">
        <v>10</v>
      </c>
      <c r="G1542">
        <v>1</v>
      </c>
      <c r="H1542">
        <v>1</v>
      </c>
      <c r="I1542" s="472">
        <v>0.47039166666666665</v>
      </c>
      <c r="J1542" s="473">
        <v>0.36503333333333332</v>
      </c>
      <c r="K1542" s="473">
        <v>0.44336666666666663</v>
      </c>
      <c r="L1542" s="473">
        <v>0.58906666666666663</v>
      </c>
      <c r="M1542" s="473">
        <v>0.48410000000000003</v>
      </c>
      <c r="N1542" s="472">
        <v>0.47039166666666665</v>
      </c>
      <c r="O1542" s="473">
        <v>0.36503333333333332</v>
      </c>
      <c r="P1542" s="473">
        <v>0.44336666666666663</v>
      </c>
      <c r="Q1542" s="473">
        <v>0.58906666666666663</v>
      </c>
      <c r="R1542" s="473">
        <v>0.48410000000000003</v>
      </c>
      <c r="S1542" s="153">
        <v>0.01</v>
      </c>
      <c r="T1542" s="153">
        <v>0.02</v>
      </c>
      <c r="U1542" s="478">
        <v>2019</v>
      </c>
      <c r="V1542" s="24">
        <f t="shared" si="176"/>
        <v>2039</v>
      </c>
      <c r="W1542">
        <v>0</v>
      </c>
      <c r="X1542">
        <v>0</v>
      </c>
      <c r="Y1542">
        <v>1315</v>
      </c>
      <c r="Z1542">
        <v>361</v>
      </c>
      <c r="AA1542" s="475" t="s">
        <v>24</v>
      </c>
    </row>
    <row r="1543" spans="1:27" ht="15" hidden="1">
      <c r="A1543">
        <v>10075</v>
      </c>
      <c r="B1543">
        <v>10075</v>
      </c>
      <c r="C1543" s="476" t="s">
        <v>1376</v>
      </c>
      <c r="D1543" s="606" t="s">
        <v>1864</v>
      </c>
      <c r="E1543" s="477">
        <v>3</v>
      </c>
      <c r="F1543" s="471">
        <v>20</v>
      </c>
      <c r="G1543">
        <v>1</v>
      </c>
      <c r="H1543">
        <v>1</v>
      </c>
      <c r="I1543" s="472">
        <v>0.47039166666666665</v>
      </c>
      <c r="J1543" s="473">
        <v>0.36503333333333332</v>
      </c>
      <c r="K1543" s="473">
        <v>0.44336666666666663</v>
      </c>
      <c r="L1543" s="473">
        <v>0.58906666666666663</v>
      </c>
      <c r="M1543" s="473">
        <v>0.48410000000000003</v>
      </c>
      <c r="N1543" s="472">
        <v>0.47039166666666665</v>
      </c>
      <c r="O1543" s="473">
        <v>0.36503333333333332</v>
      </c>
      <c r="P1543" s="473">
        <v>0.44336666666666663</v>
      </c>
      <c r="Q1543" s="473">
        <v>0.58906666666666663</v>
      </c>
      <c r="R1543" s="473">
        <v>0.48410000000000003</v>
      </c>
      <c r="S1543" s="153">
        <v>0.01</v>
      </c>
      <c r="T1543" s="153">
        <v>0.02</v>
      </c>
      <c r="U1543" s="478">
        <v>2019</v>
      </c>
      <c r="V1543" s="24">
        <f t="shared" si="176"/>
        <v>2039</v>
      </c>
      <c r="W1543">
        <v>0</v>
      </c>
      <c r="X1543">
        <v>0</v>
      </c>
      <c r="Y1543">
        <v>1315</v>
      </c>
      <c r="Z1543">
        <v>361</v>
      </c>
      <c r="AA1543" s="475" t="s">
        <v>24</v>
      </c>
    </row>
    <row r="1544" spans="1:27" ht="15" hidden="1">
      <c r="A1544">
        <v>10076</v>
      </c>
      <c r="B1544">
        <v>10076</v>
      </c>
      <c r="C1544" s="476" t="s">
        <v>1907</v>
      </c>
      <c r="D1544" s="606" t="s">
        <v>1864</v>
      </c>
      <c r="E1544" s="477">
        <v>3</v>
      </c>
      <c r="F1544" s="154">
        <v>24</v>
      </c>
      <c r="G1544">
        <v>1</v>
      </c>
      <c r="H1544">
        <v>1</v>
      </c>
      <c r="I1544" s="472">
        <v>0.47039166666666665</v>
      </c>
      <c r="J1544" s="473">
        <v>0.36503333333333332</v>
      </c>
      <c r="K1544" s="473">
        <v>0.44336666666666663</v>
      </c>
      <c r="L1544" s="473">
        <v>0.58906666666666663</v>
      </c>
      <c r="M1544" s="473">
        <v>0.48410000000000003</v>
      </c>
      <c r="N1544" s="472">
        <v>0.47039166666666665</v>
      </c>
      <c r="O1544" s="473">
        <v>0.36503333333333332</v>
      </c>
      <c r="P1544" s="473">
        <v>0.44336666666666663</v>
      </c>
      <c r="Q1544" s="473">
        <v>0.58906666666666663</v>
      </c>
      <c r="R1544" s="473">
        <v>0.48410000000000003</v>
      </c>
      <c r="S1544" s="153">
        <v>0.01</v>
      </c>
      <c r="T1544" s="153">
        <v>0.02</v>
      </c>
      <c r="U1544" s="478">
        <v>2019</v>
      </c>
      <c r="V1544" s="24">
        <f t="shared" si="176"/>
        <v>2039</v>
      </c>
      <c r="W1544">
        <v>0</v>
      </c>
      <c r="X1544">
        <v>0</v>
      </c>
      <c r="Y1544">
        <v>1315</v>
      </c>
      <c r="Z1544">
        <v>361</v>
      </c>
      <c r="AA1544" s="475" t="s">
        <v>24</v>
      </c>
    </row>
    <row r="1545" spans="1:27" ht="15" hidden="1">
      <c r="A1545">
        <v>10077</v>
      </c>
      <c r="B1545">
        <v>10077</v>
      </c>
      <c r="C1545" s="476" t="s">
        <v>1908</v>
      </c>
      <c r="D1545" s="606" t="s">
        <v>1864</v>
      </c>
      <c r="E1545" s="477">
        <v>3</v>
      </c>
      <c r="F1545" s="471">
        <v>3</v>
      </c>
      <c r="G1545">
        <v>1</v>
      </c>
      <c r="H1545">
        <v>1</v>
      </c>
      <c r="I1545" s="472">
        <v>0.47039166666666665</v>
      </c>
      <c r="J1545" s="473">
        <v>0.36503333333333332</v>
      </c>
      <c r="K1545" s="473">
        <v>0.44336666666666663</v>
      </c>
      <c r="L1545" s="473">
        <v>0.58906666666666663</v>
      </c>
      <c r="M1545" s="473">
        <v>0.48410000000000003</v>
      </c>
      <c r="N1545" s="472">
        <v>0.47039166666666665</v>
      </c>
      <c r="O1545" s="473">
        <v>0.36503333333333332</v>
      </c>
      <c r="P1545" s="473">
        <v>0.44336666666666663</v>
      </c>
      <c r="Q1545" s="473">
        <v>0.58906666666666663</v>
      </c>
      <c r="R1545" s="473">
        <v>0.48410000000000003</v>
      </c>
      <c r="S1545" s="153">
        <v>0.01</v>
      </c>
      <c r="T1545" s="153">
        <v>0.02</v>
      </c>
      <c r="U1545" s="478">
        <v>2019</v>
      </c>
      <c r="V1545" s="24">
        <f t="shared" si="176"/>
        <v>2039</v>
      </c>
      <c r="W1545">
        <v>0</v>
      </c>
      <c r="X1545">
        <v>0</v>
      </c>
      <c r="Y1545">
        <v>1315</v>
      </c>
      <c r="Z1545">
        <v>361</v>
      </c>
      <c r="AA1545" s="475" t="s">
        <v>24</v>
      </c>
    </row>
    <row r="1546" spans="1:27" ht="15" hidden="1">
      <c r="A1546">
        <v>10078</v>
      </c>
      <c r="B1546">
        <v>10078</v>
      </c>
      <c r="C1546" s="476" t="s">
        <v>1909</v>
      </c>
      <c r="D1546" s="606" t="s">
        <v>1864</v>
      </c>
      <c r="E1546" s="477">
        <v>3</v>
      </c>
      <c r="F1546" s="471">
        <v>14</v>
      </c>
      <c r="G1546">
        <v>1</v>
      </c>
      <c r="H1546">
        <v>1</v>
      </c>
      <c r="I1546" s="472">
        <v>0.47039166666666665</v>
      </c>
      <c r="J1546" s="473">
        <v>0.36503333333333332</v>
      </c>
      <c r="K1546" s="473">
        <v>0.44336666666666663</v>
      </c>
      <c r="L1546" s="473">
        <v>0.58906666666666663</v>
      </c>
      <c r="M1546" s="473">
        <v>0.48410000000000003</v>
      </c>
      <c r="N1546" s="472">
        <v>0.47039166666666665</v>
      </c>
      <c r="O1546" s="473">
        <v>0.36503333333333332</v>
      </c>
      <c r="P1546" s="473">
        <v>0.44336666666666663</v>
      </c>
      <c r="Q1546" s="473">
        <v>0.58906666666666663</v>
      </c>
      <c r="R1546" s="473">
        <v>0.48410000000000003</v>
      </c>
      <c r="S1546" s="153">
        <v>0.01</v>
      </c>
      <c r="T1546" s="153">
        <v>0.02</v>
      </c>
      <c r="U1546" s="478">
        <v>2019</v>
      </c>
      <c r="V1546" s="24">
        <f t="shared" si="176"/>
        <v>2039</v>
      </c>
      <c r="W1546">
        <v>0</v>
      </c>
      <c r="X1546">
        <v>0</v>
      </c>
      <c r="Y1546">
        <v>1315</v>
      </c>
      <c r="Z1546">
        <v>361</v>
      </c>
      <c r="AA1546" s="475" t="s">
        <v>24</v>
      </c>
    </row>
    <row r="1547" spans="1:27" ht="15" hidden="1">
      <c r="A1547">
        <v>10079</v>
      </c>
      <c r="B1547">
        <v>10079</v>
      </c>
      <c r="C1547" s="476" t="s">
        <v>1910</v>
      </c>
      <c r="D1547" s="606" t="s">
        <v>1864</v>
      </c>
      <c r="E1547" s="477">
        <v>3</v>
      </c>
      <c r="F1547" s="471">
        <v>19</v>
      </c>
      <c r="G1547">
        <v>1</v>
      </c>
      <c r="H1547">
        <v>1</v>
      </c>
      <c r="I1547" s="472">
        <v>0.47039166666666665</v>
      </c>
      <c r="J1547" s="473">
        <v>0.36503333333333332</v>
      </c>
      <c r="K1547" s="473">
        <v>0.44336666666666663</v>
      </c>
      <c r="L1547" s="473">
        <v>0.58906666666666663</v>
      </c>
      <c r="M1547" s="473">
        <v>0.48410000000000003</v>
      </c>
      <c r="N1547" s="472">
        <v>0.47039166666666665</v>
      </c>
      <c r="O1547" s="473">
        <v>0.36503333333333332</v>
      </c>
      <c r="P1547" s="473">
        <v>0.44336666666666663</v>
      </c>
      <c r="Q1547" s="473">
        <v>0.58906666666666663</v>
      </c>
      <c r="R1547" s="473">
        <v>0.48410000000000003</v>
      </c>
      <c r="S1547" s="153">
        <v>0.01</v>
      </c>
      <c r="T1547" s="153">
        <v>0.02</v>
      </c>
      <c r="U1547" s="478">
        <v>2019</v>
      </c>
      <c r="V1547" s="24">
        <f t="shared" si="176"/>
        <v>2039</v>
      </c>
      <c r="W1547">
        <v>0</v>
      </c>
      <c r="X1547">
        <v>0</v>
      </c>
      <c r="Y1547">
        <v>1315</v>
      </c>
      <c r="Z1547">
        <v>361</v>
      </c>
      <c r="AA1547" s="475" t="s">
        <v>24</v>
      </c>
    </row>
    <row r="1548" spans="1:27" ht="15" hidden="1">
      <c r="A1548">
        <v>10080</v>
      </c>
      <c r="B1548">
        <v>10080</v>
      </c>
      <c r="C1548" s="476" t="s">
        <v>1911</v>
      </c>
      <c r="D1548" s="606" t="s">
        <v>1864</v>
      </c>
      <c r="E1548" s="477">
        <v>3</v>
      </c>
      <c r="F1548" s="471">
        <v>25</v>
      </c>
      <c r="G1548">
        <v>1</v>
      </c>
      <c r="H1548">
        <v>1</v>
      </c>
      <c r="I1548" s="472">
        <v>0.47039166666666665</v>
      </c>
      <c r="J1548" s="473">
        <v>0.36503333333333332</v>
      </c>
      <c r="K1548" s="473">
        <v>0.44336666666666663</v>
      </c>
      <c r="L1548" s="473">
        <v>0.58906666666666663</v>
      </c>
      <c r="M1548" s="473">
        <v>0.48410000000000003</v>
      </c>
      <c r="N1548" s="472">
        <v>0.47039166666666665</v>
      </c>
      <c r="O1548" s="473">
        <v>0.36503333333333332</v>
      </c>
      <c r="P1548" s="473">
        <v>0.44336666666666663</v>
      </c>
      <c r="Q1548" s="473">
        <v>0.58906666666666663</v>
      </c>
      <c r="R1548" s="473">
        <v>0.48410000000000003</v>
      </c>
      <c r="S1548" s="153">
        <v>0.01</v>
      </c>
      <c r="T1548" s="153">
        <v>0.02</v>
      </c>
      <c r="U1548" s="478">
        <v>2019</v>
      </c>
      <c r="V1548" s="24">
        <f t="shared" si="176"/>
        <v>2039</v>
      </c>
      <c r="W1548">
        <v>0</v>
      </c>
      <c r="X1548">
        <v>0</v>
      </c>
      <c r="Y1548">
        <v>1315</v>
      </c>
      <c r="Z1548">
        <v>361</v>
      </c>
      <c r="AA1548" s="475" t="s">
        <v>24</v>
      </c>
    </row>
    <row r="1549" spans="1:27" ht="15" hidden="1">
      <c r="A1549">
        <v>10081</v>
      </c>
      <c r="B1549">
        <v>10081</v>
      </c>
      <c r="C1549" s="476" t="s">
        <v>1912</v>
      </c>
      <c r="D1549" s="606" t="s">
        <v>1864</v>
      </c>
      <c r="E1549" s="477">
        <v>3</v>
      </c>
      <c r="F1549" s="154">
        <v>23</v>
      </c>
      <c r="G1549">
        <v>1</v>
      </c>
      <c r="H1549">
        <v>1</v>
      </c>
      <c r="I1549" s="472">
        <v>0.47039166666666665</v>
      </c>
      <c r="J1549" s="473">
        <v>0.36503333333333332</v>
      </c>
      <c r="K1549" s="473">
        <v>0.44336666666666663</v>
      </c>
      <c r="L1549" s="473">
        <v>0.58906666666666663</v>
      </c>
      <c r="M1549" s="473">
        <v>0.48410000000000003</v>
      </c>
      <c r="N1549" s="472">
        <v>0.47039166666666665</v>
      </c>
      <c r="O1549" s="473">
        <v>0.36503333333333332</v>
      </c>
      <c r="P1549" s="473">
        <v>0.44336666666666663</v>
      </c>
      <c r="Q1549" s="473">
        <v>0.58906666666666663</v>
      </c>
      <c r="R1549" s="473">
        <v>0.48410000000000003</v>
      </c>
      <c r="S1549" s="153">
        <v>0.01</v>
      </c>
      <c r="T1549" s="153">
        <v>0.02</v>
      </c>
      <c r="U1549" s="478">
        <v>2019</v>
      </c>
      <c r="V1549" s="24">
        <f t="shared" si="176"/>
        <v>2039</v>
      </c>
      <c r="W1549">
        <v>0</v>
      </c>
      <c r="X1549">
        <v>0</v>
      </c>
      <c r="Y1549">
        <v>1315</v>
      </c>
      <c r="Z1549">
        <v>361</v>
      </c>
      <c r="AA1549" s="475" t="s">
        <v>24</v>
      </c>
    </row>
    <row r="1550" spans="1:27" ht="15" hidden="1">
      <c r="A1550">
        <v>10082</v>
      </c>
      <c r="B1550">
        <v>10082</v>
      </c>
      <c r="C1550" s="476" t="s">
        <v>1913</v>
      </c>
      <c r="D1550" s="606" t="s">
        <v>1864</v>
      </c>
      <c r="E1550" s="477">
        <v>3</v>
      </c>
      <c r="F1550" s="471">
        <v>24</v>
      </c>
      <c r="G1550">
        <v>1</v>
      </c>
      <c r="H1550">
        <v>1</v>
      </c>
      <c r="I1550" s="472">
        <v>0.47039166666666665</v>
      </c>
      <c r="J1550" s="473">
        <v>0.36503333333333332</v>
      </c>
      <c r="K1550" s="473">
        <v>0.44336666666666663</v>
      </c>
      <c r="L1550" s="473">
        <v>0.58906666666666663</v>
      </c>
      <c r="M1550" s="473">
        <v>0.48410000000000003</v>
      </c>
      <c r="N1550" s="472">
        <v>0.47039166666666665</v>
      </c>
      <c r="O1550" s="473">
        <v>0.36503333333333332</v>
      </c>
      <c r="P1550" s="473">
        <v>0.44336666666666663</v>
      </c>
      <c r="Q1550" s="473">
        <v>0.58906666666666663</v>
      </c>
      <c r="R1550" s="473">
        <v>0.48410000000000003</v>
      </c>
      <c r="S1550" s="153">
        <v>0.01</v>
      </c>
      <c r="T1550" s="153">
        <v>0.02</v>
      </c>
      <c r="U1550" s="478">
        <v>2019</v>
      </c>
      <c r="V1550" s="24">
        <f t="shared" si="176"/>
        <v>2039</v>
      </c>
      <c r="W1550">
        <v>0</v>
      </c>
      <c r="X1550">
        <v>0</v>
      </c>
      <c r="Y1550">
        <v>1315</v>
      </c>
      <c r="Z1550">
        <v>361</v>
      </c>
      <c r="AA1550" s="475" t="s">
        <v>24</v>
      </c>
    </row>
    <row r="1551" spans="1:27" ht="15" hidden="1">
      <c r="A1551">
        <v>10083</v>
      </c>
      <c r="B1551">
        <v>10083</v>
      </c>
      <c r="C1551" s="476" t="s">
        <v>1914</v>
      </c>
      <c r="D1551" s="606" t="s">
        <v>1864</v>
      </c>
      <c r="E1551" s="477">
        <v>3</v>
      </c>
      <c r="F1551" s="471">
        <v>28</v>
      </c>
      <c r="G1551">
        <v>1</v>
      </c>
      <c r="H1551">
        <v>1</v>
      </c>
      <c r="I1551" s="472">
        <v>0.47039166666666665</v>
      </c>
      <c r="J1551" s="473">
        <v>0.36503333333333332</v>
      </c>
      <c r="K1551" s="473">
        <v>0.44336666666666663</v>
      </c>
      <c r="L1551" s="473">
        <v>0.58906666666666663</v>
      </c>
      <c r="M1551" s="473">
        <v>0.48410000000000003</v>
      </c>
      <c r="N1551" s="472">
        <v>0.47039166666666665</v>
      </c>
      <c r="O1551" s="473">
        <v>0.36503333333333332</v>
      </c>
      <c r="P1551" s="473">
        <v>0.44336666666666663</v>
      </c>
      <c r="Q1551" s="473">
        <v>0.58906666666666663</v>
      </c>
      <c r="R1551" s="473">
        <v>0.48410000000000003</v>
      </c>
      <c r="S1551" s="153">
        <v>0.01</v>
      </c>
      <c r="T1551" s="153">
        <v>0.02</v>
      </c>
      <c r="U1551" s="478">
        <v>2019</v>
      </c>
      <c r="V1551" s="24">
        <f t="shared" si="176"/>
        <v>2039</v>
      </c>
      <c r="W1551">
        <v>0</v>
      </c>
      <c r="X1551">
        <v>0</v>
      </c>
      <c r="Y1551">
        <v>1315</v>
      </c>
      <c r="Z1551">
        <v>361</v>
      </c>
      <c r="AA1551" s="475" t="s">
        <v>24</v>
      </c>
    </row>
    <row r="1552" spans="1:27" ht="15" hidden="1">
      <c r="A1552">
        <v>10084</v>
      </c>
      <c r="B1552">
        <v>10084</v>
      </c>
      <c r="C1552" s="476" t="s">
        <v>1915</v>
      </c>
      <c r="D1552" s="607" t="s">
        <v>1864</v>
      </c>
      <c r="E1552" s="477">
        <v>3</v>
      </c>
      <c r="F1552" s="471">
        <v>22</v>
      </c>
      <c r="G1552">
        <v>1</v>
      </c>
      <c r="H1552">
        <v>1</v>
      </c>
      <c r="I1552" s="472">
        <v>0.47039166666666665</v>
      </c>
      <c r="J1552" s="473">
        <v>0.36503333333333332</v>
      </c>
      <c r="K1552" s="473">
        <v>0.44336666666666663</v>
      </c>
      <c r="L1552" s="473">
        <v>0.58906666666666663</v>
      </c>
      <c r="M1552" s="473">
        <v>0.48410000000000003</v>
      </c>
      <c r="N1552" s="472">
        <v>0.47039166666666665</v>
      </c>
      <c r="O1552" s="473">
        <v>0.36503333333333332</v>
      </c>
      <c r="P1552" s="473">
        <v>0.44336666666666663</v>
      </c>
      <c r="Q1552" s="473">
        <v>0.58906666666666663</v>
      </c>
      <c r="R1552" s="473">
        <v>0.48410000000000003</v>
      </c>
      <c r="S1552" s="153">
        <v>0.01</v>
      </c>
      <c r="T1552" s="153">
        <v>0.02</v>
      </c>
      <c r="U1552" s="478">
        <v>2020</v>
      </c>
      <c r="V1552" s="24">
        <f t="shared" si="176"/>
        <v>2040</v>
      </c>
      <c r="W1552">
        <v>0</v>
      </c>
      <c r="X1552">
        <v>0</v>
      </c>
      <c r="Y1552">
        <v>1315</v>
      </c>
      <c r="Z1552">
        <v>361</v>
      </c>
      <c r="AA1552" s="475" t="s">
        <v>24</v>
      </c>
    </row>
    <row r="1553" spans="1:27" ht="15" hidden="1">
      <c r="A1553">
        <v>10085</v>
      </c>
      <c r="B1553">
        <v>10085</v>
      </c>
      <c r="C1553" s="476" t="s">
        <v>1916</v>
      </c>
      <c r="D1553" s="607" t="s">
        <v>1864</v>
      </c>
      <c r="E1553" s="477">
        <v>3</v>
      </c>
      <c r="F1553" s="471">
        <v>2</v>
      </c>
      <c r="G1553">
        <v>1</v>
      </c>
      <c r="H1553">
        <v>1</v>
      </c>
      <c r="I1553" s="472">
        <v>0.47039166666666665</v>
      </c>
      <c r="J1553" s="473">
        <v>0.36503333333333332</v>
      </c>
      <c r="K1553" s="473">
        <v>0.44336666666666663</v>
      </c>
      <c r="L1553" s="473">
        <v>0.58906666666666663</v>
      </c>
      <c r="M1553" s="473">
        <v>0.48410000000000003</v>
      </c>
      <c r="N1553" s="472">
        <v>0.47039166666666665</v>
      </c>
      <c r="O1553" s="473">
        <v>0.36503333333333332</v>
      </c>
      <c r="P1553" s="473">
        <v>0.44336666666666663</v>
      </c>
      <c r="Q1553" s="473">
        <v>0.58906666666666663</v>
      </c>
      <c r="R1553" s="473">
        <v>0.48410000000000003</v>
      </c>
      <c r="S1553" s="153">
        <v>0.01</v>
      </c>
      <c r="T1553" s="153">
        <v>0.02</v>
      </c>
      <c r="U1553" s="478">
        <v>2020</v>
      </c>
      <c r="V1553" s="24">
        <f t="shared" si="176"/>
        <v>2040</v>
      </c>
      <c r="W1553">
        <v>0</v>
      </c>
      <c r="X1553">
        <v>0</v>
      </c>
      <c r="Y1553">
        <v>1315</v>
      </c>
      <c r="Z1553">
        <v>361</v>
      </c>
      <c r="AA1553" s="475" t="s">
        <v>24</v>
      </c>
    </row>
    <row r="1554" spans="1:27" ht="15" hidden="1">
      <c r="A1554">
        <v>10086</v>
      </c>
      <c r="B1554">
        <v>10086</v>
      </c>
      <c r="C1554" s="476" t="s">
        <v>1917</v>
      </c>
      <c r="D1554" s="607" t="s">
        <v>1864</v>
      </c>
      <c r="E1554" s="477">
        <v>3</v>
      </c>
      <c r="F1554" s="154">
        <v>3</v>
      </c>
      <c r="G1554">
        <v>1</v>
      </c>
      <c r="H1554">
        <v>1</v>
      </c>
      <c r="I1554" s="472">
        <v>0.47039166666666665</v>
      </c>
      <c r="J1554" s="473">
        <v>0.36503333333333332</v>
      </c>
      <c r="K1554" s="473">
        <v>0.44336666666666663</v>
      </c>
      <c r="L1554" s="473">
        <v>0.58906666666666663</v>
      </c>
      <c r="M1554" s="473">
        <v>0.48410000000000003</v>
      </c>
      <c r="N1554" s="472">
        <v>0.47039166666666665</v>
      </c>
      <c r="O1554" s="473">
        <v>0.36503333333333332</v>
      </c>
      <c r="P1554" s="473">
        <v>0.44336666666666663</v>
      </c>
      <c r="Q1554" s="473">
        <v>0.58906666666666663</v>
      </c>
      <c r="R1554" s="473">
        <v>0.48410000000000003</v>
      </c>
      <c r="S1554" s="153">
        <v>0.01</v>
      </c>
      <c r="T1554" s="153">
        <v>0.02</v>
      </c>
      <c r="U1554" s="478">
        <v>2020</v>
      </c>
      <c r="V1554" s="24">
        <f t="shared" si="176"/>
        <v>2040</v>
      </c>
      <c r="W1554">
        <v>0</v>
      </c>
      <c r="X1554">
        <v>0</v>
      </c>
      <c r="Y1554">
        <v>1315</v>
      </c>
      <c r="Z1554">
        <v>361</v>
      </c>
      <c r="AA1554" s="475" t="s">
        <v>24</v>
      </c>
    </row>
    <row r="1555" spans="1:27" ht="15" hidden="1">
      <c r="A1555">
        <v>10087</v>
      </c>
      <c r="B1555">
        <v>10087</v>
      </c>
      <c r="C1555" s="476" t="s">
        <v>1918</v>
      </c>
      <c r="D1555" s="607" t="s">
        <v>1864</v>
      </c>
      <c r="E1555" s="477">
        <v>3</v>
      </c>
      <c r="F1555" s="471">
        <v>2</v>
      </c>
      <c r="G1555">
        <v>1</v>
      </c>
      <c r="H1555">
        <v>1</v>
      </c>
      <c r="I1555" s="472">
        <v>0.47039166666666665</v>
      </c>
      <c r="J1555" s="473">
        <v>0.36503333333333332</v>
      </c>
      <c r="K1555" s="473">
        <v>0.44336666666666663</v>
      </c>
      <c r="L1555" s="473">
        <v>0.58906666666666663</v>
      </c>
      <c r="M1555" s="473">
        <v>0.48410000000000003</v>
      </c>
      <c r="N1555" s="472">
        <v>0.47039166666666665</v>
      </c>
      <c r="O1555" s="473">
        <v>0.36503333333333332</v>
      </c>
      <c r="P1555" s="473">
        <v>0.44336666666666663</v>
      </c>
      <c r="Q1555" s="473">
        <v>0.58906666666666663</v>
      </c>
      <c r="R1555" s="473">
        <v>0.48410000000000003</v>
      </c>
      <c r="S1555" s="153">
        <v>0.01</v>
      </c>
      <c r="T1555" s="153">
        <v>0.02</v>
      </c>
      <c r="U1555" s="478">
        <v>2020</v>
      </c>
      <c r="V1555" s="24">
        <f t="shared" si="176"/>
        <v>2040</v>
      </c>
      <c r="W1555">
        <v>0</v>
      </c>
      <c r="X1555">
        <v>0</v>
      </c>
      <c r="Y1555">
        <v>1315</v>
      </c>
      <c r="Z1555">
        <v>361</v>
      </c>
      <c r="AA1555" s="475" t="s">
        <v>24</v>
      </c>
    </row>
    <row r="1556" spans="1:27" ht="15" hidden="1">
      <c r="A1556">
        <v>10088</v>
      </c>
      <c r="B1556">
        <v>10088</v>
      </c>
      <c r="C1556" s="476" t="s">
        <v>1919</v>
      </c>
      <c r="D1556" s="607" t="s">
        <v>1864</v>
      </c>
      <c r="E1556" s="477">
        <v>3</v>
      </c>
      <c r="F1556" s="471">
        <v>3</v>
      </c>
      <c r="G1556">
        <v>1</v>
      </c>
      <c r="H1556">
        <v>1</v>
      </c>
      <c r="I1556" s="472">
        <v>0.47039166666666665</v>
      </c>
      <c r="J1556" s="473">
        <v>0.36503333333333332</v>
      </c>
      <c r="K1556" s="473">
        <v>0.44336666666666663</v>
      </c>
      <c r="L1556" s="473">
        <v>0.58906666666666663</v>
      </c>
      <c r="M1556" s="473">
        <v>0.48410000000000003</v>
      </c>
      <c r="N1556" s="472">
        <v>0.47039166666666665</v>
      </c>
      <c r="O1556" s="473">
        <v>0.36503333333333332</v>
      </c>
      <c r="P1556" s="473">
        <v>0.44336666666666663</v>
      </c>
      <c r="Q1556" s="473">
        <v>0.58906666666666663</v>
      </c>
      <c r="R1556" s="473">
        <v>0.48410000000000003</v>
      </c>
      <c r="S1556" s="153">
        <v>0.01</v>
      </c>
      <c r="T1556" s="153">
        <v>0.02</v>
      </c>
      <c r="U1556" s="478">
        <v>2020</v>
      </c>
      <c r="V1556" s="24">
        <f t="shared" si="176"/>
        <v>2040</v>
      </c>
      <c r="W1556">
        <v>0</v>
      </c>
      <c r="X1556">
        <v>0</v>
      </c>
      <c r="Y1556">
        <v>1315</v>
      </c>
      <c r="Z1556">
        <v>361</v>
      </c>
      <c r="AA1556" s="475" t="s">
        <v>24</v>
      </c>
    </row>
    <row r="1557" spans="1:27" ht="15" hidden="1">
      <c r="A1557">
        <v>10089</v>
      </c>
      <c r="B1557">
        <v>10089</v>
      </c>
      <c r="C1557" s="476" t="s">
        <v>1920</v>
      </c>
      <c r="D1557" s="607" t="s">
        <v>1864</v>
      </c>
      <c r="E1557" s="477">
        <v>3</v>
      </c>
      <c r="F1557" s="471">
        <v>3</v>
      </c>
      <c r="G1557">
        <v>1</v>
      </c>
      <c r="H1557">
        <v>1</v>
      </c>
      <c r="I1557" s="472">
        <v>0.47039166666666665</v>
      </c>
      <c r="J1557" s="473">
        <v>0.36503333333333332</v>
      </c>
      <c r="K1557" s="473">
        <v>0.44336666666666663</v>
      </c>
      <c r="L1557" s="473">
        <v>0.58906666666666663</v>
      </c>
      <c r="M1557" s="473">
        <v>0.48410000000000003</v>
      </c>
      <c r="N1557" s="472">
        <v>0.47039166666666665</v>
      </c>
      <c r="O1557" s="473">
        <v>0.36503333333333332</v>
      </c>
      <c r="P1557" s="473">
        <v>0.44336666666666663</v>
      </c>
      <c r="Q1557" s="473">
        <v>0.58906666666666663</v>
      </c>
      <c r="R1557" s="473">
        <v>0.48410000000000003</v>
      </c>
      <c r="S1557" s="153">
        <v>0.01</v>
      </c>
      <c r="T1557" s="153">
        <v>0.02</v>
      </c>
      <c r="U1557" s="478">
        <v>2020</v>
      </c>
      <c r="V1557" s="24">
        <f t="shared" si="176"/>
        <v>2040</v>
      </c>
      <c r="W1557">
        <v>0</v>
      </c>
      <c r="X1557">
        <v>0</v>
      </c>
      <c r="Y1557">
        <v>1315</v>
      </c>
      <c r="Z1557">
        <v>361</v>
      </c>
      <c r="AA1557" s="475" t="s">
        <v>24</v>
      </c>
    </row>
    <row r="1558" spans="1:27" ht="15" hidden="1">
      <c r="A1558">
        <v>10090</v>
      </c>
      <c r="B1558">
        <v>10090</v>
      </c>
      <c r="C1558" s="476" t="s">
        <v>1921</v>
      </c>
      <c r="D1558" s="607" t="s">
        <v>1864</v>
      </c>
      <c r="E1558" s="477">
        <v>3</v>
      </c>
      <c r="F1558" s="471">
        <v>3</v>
      </c>
      <c r="G1558">
        <v>1</v>
      </c>
      <c r="H1558">
        <v>1</v>
      </c>
      <c r="I1558" s="472">
        <v>0.47039166666666665</v>
      </c>
      <c r="J1558" s="473">
        <v>0.36503333333333332</v>
      </c>
      <c r="K1558" s="473">
        <v>0.44336666666666663</v>
      </c>
      <c r="L1558" s="473">
        <v>0.58906666666666663</v>
      </c>
      <c r="M1558" s="473">
        <v>0.48410000000000003</v>
      </c>
      <c r="N1558" s="472">
        <v>0.47039166666666665</v>
      </c>
      <c r="O1558" s="473">
        <v>0.36503333333333332</v>
      </c>
      <c r="P1558" s="473">
        <v>0.44336666666666663</v>
      </c>
      <c r="Q1558" s="473">
        <v>0.58906666666666663</v>
      </c>
      <c r="R1558" s="473">
        <v>0.48410000000000003</v>
      </c>
      <c r="S1558" s="153">
        <v>0.01</v>
      </c>
      <c r="T1558" s="153">
        <v>0.02</v>
      </c>
      <c r="U1558" s="478">
        <v>2020</v>
      </c>
      <c r="V1558" s="24">
        <f t="shared" si="176"/>
        <v>2040</v>
      </c>
      <c r="W1558">
        <v>0</v>
      </c>
      <c r="X1558">
        <v>0</v>
      </c>
      <c r="Y1558">
        <v>1315</v>
      </c>
      <c r="Z1558">
        <v>361</v>
      </c>
      <c r="AA1558" s="475" t="s">
        <v>24</v>
      </c>
    </row>
    <row r="1559" spans="1:27" ht="15" hidden="1">
      <c r="A1559">
        <v>10091</v>
      </c>
      <c r="B1559">
        <v>10091</v>
      </c>
      <c r="C1559" s="476" t="s">
        <v>1922</v>
      </c>
      <c r="D1559" s="607" t="s">
        <v>1864</v>
      </c>
      <c r="E1559" s="477">
        <v>3</v>
      </c>
      <c r="F1559" s="154">
        <v>3</v>
      </c>
      <c r="G1559">
        <v>1</v>
      </c>
      <c r="H1559">
        <v>1</v>
      </c>
      <c r="I1559" s="472">
        <v>0.47039166666666665</v>
      </c>
      <c r="J1559" s="473">
        <v>0.36503333333333332</v>
      </c>
      <c r="K1559" s="473">
        <v>0.44336666666666663</v>
      </c>
      <c r="L1559" s="473">
        <v>0.58906666666666663</v>
      </c>
      <c r="M1559" s="473">
        <v>0.48410000000000003</v>
      </c>
      <c r="N1559" s="472">
        <v>0.47039166666666665</v>
      </c>
      <c r="O1559" s="473">
        <v>0.36503333333333332</v>
      </c>
      <c r="P1559" s="473">
        <v>0.44336666666666663</v>
      </c>
      <c r="Q1559" s="473">
        <v>0.58906666666666663</v>
      </c>
      <c r="R1559" s="473">
        <v>0.48410000000000003</v>
      </c>
      <c r="S1559" s="153">
        <v>0.01</v>
      </c>
      <c r="T1559" s="153">
        <v>0.02</v>
      </c>
      <c r="U1559" s="478">
        <v>2020</v>
      </c>
      <c r="V1559" s="24">
        <f t="shared" si="176"/>
        <v>2040</v>
      </c>
      <c r="W1559">
        <v>0</v>
      </c>
      <c r="X1559">
        <v>0</v>
      </c>
      <c r="Y1559">
        <v>1315</v>
      </c>
      <c r="Z1559">
        <v>361</v>
      </c>
      <c r="AA1559" s="475" t="s">
        <v>24</v>
      </c>
    </row>
    <row r="1560" spans="1:27" ht="15" hidden="1">
      <c r="A1560">
        <v>10092</v>
      </c>
      <c r="B1560">
        <v>10092</v>
      </c>
      <c r="C1560" s="476" t="s">
        <v>1923</v>
      </c>
      <c r="D1560" s="607" t="s">
        <v>1864</v>
      </c>
      <c r="E1560" s="477">
        <v>3</v>
      </c>
      <c r="F1560" s="471">
        <v>3</v>
      </c>
      <c r="G1560">
        <v>1</v>
      </c>
      <c r="H1560">
        <v>1</v>
      </c>
      <c r="I1560" s="472">
        <v>0.47039166666666665</v>
      </c>
      <c r="J1560" s="473">
        <v>0.36503333333333332</v>
      </c>
      <c r="K1560" s="473">
        <v>0.44336666666666663</v>
      </c>
      <c r="L1560" s="473">
        <v>0.58906666666666663</v>
      </c>
      <c r="M1560" s="473">
        <v>0.48410000000000003</v>
      </c>
      <c r="N1560" s="472">
        <v>0.47039166666666665</v>
      </c>
      <c r="O1560" s="473">
        <v>0.36503333333333332</v>
      </c>
      <c r="P1560" s="473">
        <v>0.44336666666666663</v>
      </c>
      <c r="Q1560" s="473">
        <v>0.58906666666666663</v>
      </c>
      <c r="R1560" s="473">
        <v>0.48410000000000003</v>
      </c>
      <c r="S1560" s="153">
        <v>0.01</v>
      </c>
      <c r="T1560" s="153">
        <v>0.02</v>
      </c>
      <c r="U1560" s="478">
        <v>2020</v>
      </c>
      <c r="V1560" s="24">
        <f t="shared" si="176"/>
        <v>2040</v>
      </c>
      <c r="W1560">
        <v>0</v>
      </c>
      <c r="X1560">
        <v>0</v>
      </c>
      <c r="Y1560">
        <v>1315</v>
      </c>
      <c r="Z1560">
        <v>361</v>
      </c>
      <c r="AA1560" s="475" t="s">
        <v>24</v>
      </c>
    </row>
    <row r="1561" spans="1:27" ht="15" hidden="1">
      <c r="A1561">
        <v>10093</v>
      </c>
      <c r="B1561">
        <v>10093</v>
      </c>
      <c r="C1561" s="476" t="s">
        <v>1924</v>
      </c>
      <c r="D1561" s="607" t="s">
        <v>1864</v>
      </c>
      <c r="E1561" s="477">
        <v>3</v>
      </c>
      <c r="F1561" s="471">
        <v>3</v>
      </c>
      <c r="G1561">
        <v>1</v>
      </c>
      <c r="H1561">
        <v>1</v>
      </c>
      <c r="I1561" s="472">
        <v>0.47039166666666665</v>
      </c>
      <c r="J1561" s="473">
        <v>0.36503333333333332</v>
      </c>
      <c r="K1561" s="473">
        <v>0.44336666666666663</v>
      </c>
      <c r="L1561" s="473">
        <v>0.58906666666666663</v>
      </c>
      <c r="M1561" s="473">
        <v>0.48410000000000003</v>
      </c>
      <c r="N1561" s="472">
        <v>0.47039166666666665</v>
      </c>
      <c r="O1561" s="473">
        <v>0.36503333333333332</v>
      </c>
      <c r="P1561" s="473">
        <v>0.44336666666666663</v>
      </c>
      <c r="Q1561" s="473">
        <v>0.58906666666666663</v>
      </c>
      <c r="R1561" s="473">
        <v>0.48410000000000003</v>
      </c>
      <c r="S1561" s="153">
        <v>0.01</v>
      </c>
      <c r="T1561" s="153">
        <v>0.02</v>
      </c>
      <c r="U1561" s="478">
        <v>2020</v>
      </c>
      <c r="V1561" s="24">
        <f t="shared" si="176"/>
        <v>2040</v>
      </c>
      <c r="W1561">
        <v>0</v>
      </c>
      <c r="X1561">
        <v>0</v>
      </c>
      <c r="Y1561">
        <v>1315</v>
      </c>
      <c r="Z1561">
        <v>361</v>
      </c>
      <c r="AA1561" s="475" t="s">
        <v>24</v>
      </c>
    </row>
    <row r="1562" spans="1:27" ht="15" hidden="1">
      <c r="A1562">
        <v>10094</v>
      </c>
      <c r="B1562">
        <v>10094</v>
      </c>
      <c r="C1562" s="476" t="s">
        <v>1925</v>
      </c>
      <c r="D1562" s="608" t="s">
        <v>1864</v>
      </c>
      <c r="E1562" s="477">
        <v>3</v>
      </c>
      <c r="F1562" s="471">
        <v>3</v>
      </c>
      <c r="G1562">
        <v>1</v>
      </c>
      <c r="H1562">
        <v>1</v>
      </c>
      <c r="I1562" s="472">
        <v>0.47039166666666665</v>
      </c>
      <c r="J1562" s="473">
        <v>0.36503333333333332</v>
      </c>
      <c r="K1562" s="473">
        <v>0.44336666666666663</v>
      </c>
      <c r="L1562" s="473">
        <v>0.58906666666666663</v>
      </c>
      <c r="M1562" s="473">
        <v>0.48410000000000003</v>
      </c>
      <c r="N1562" s="472">
        <v>0.47039166666666665</v>
      </c>
      <c r="O1562" s="473">
        <v>0.36503333333333332</v>
      </c>
      <c r="P1562" s="473">
        <v>0.44336666666666663</v>
      </c>
      <c r="Q1562" s="473">
        <v>0.58906666666666663</v>
      </c>
      <c r="R1562" s="473">
        <v>0.48410000000000003</v>
      </c>
      <c r="S1562" s="153">
        <v>0.01</v>
      </c>
      <c r="T1562" s="153">
        <v>0.02</v>
      </c>
      <c r="U1562" s="478">
        <v>2020</v>
      </c>
      <c r="V1562" s="24">
        <f t="shared" si="176"/>
        <v>2040</v>
      </c>
      <c r="W1562">
        <v>0</v>
      </c>
      <c r="X1562">
        <v>0</v>
      </c>
      <c r="Y1562">
        <v>1315</v>
      </c>
      <c r="Z1562">
        <v>361</v>
      </c>
      <c r="AA1562" s="475" t="s">
        <v>24</v>
      </c>
    </row>
    <row r="1563" spans="1:27" ht="15" hidden="1">
      <c r="A1563">
        <v>10095</v>
      </c>
      <c r="B1563">
        <v>10095</v>
      </c>
      <c r="C1563" s="476" t="s">
        <v>1371</v>
      </c>
      <c r="D1563" s="607" t="s">
        <v>1864</v>
      </c>
      <c r="E1563" s="477">
        <v>3</v>
      </c>
      <c r="F1563" s="471">
        <v>19</v>
      </c>
      <c r="G1563">
        <v>1</v>
      </c>
      <c r="H1563">
        <v>1</v>
      </c>
      <c r="I1563" s="472">
        <v>0.47039166666666665</v>
      </c>
      <c r="J1563" s="473">
        <v>0.36503333333333332</v>
      </c>
      <c r="K1563" s="473">
        <v>0.44336666666666663</v>
      </c>
      <c r="L1563" s="473">
        <v>0.58906666666666663</v>
      </c>
      <c r="M1563" s="473">
        <v>0.48410000000000003</v>
      </c>
      <c r="N1563" s="472">
        <v>0.47039166666666665</v>
      </c>
      <c r="O1563" s="473">
        <v>0.36503333333333332</v>
      </c>
      <c r="P1563" s="473">
        <v>0.44336666666666663</v>
      </c>
      <c r="Q1563" s="473">
        <v>0.58906666666666663</v>
      </c>
      <c r="R1563" s="473">
        <v>0.48410000000000003</v>
      </c>
      <c r="S1563" s="153">
        <v>0.01</v>
      </c>
      <c r="T1563" s="153">
        <v>0.02</v>
      </c>
      <c r="U1563" s="478">
        <v>2020</v>
      </c>
      <c r="V1563" s="24">
        <f t="shared" si="176"/>
        <v>2040</v>
      </c>
      <c r="W1563">
        <v>0</v>
      </c>
      <c r="X1563">
        <v>0</v>
      </c>
      <c r="Y1563">
        <v>1315</v>
      </c>
      <c r="Z1563">
        <v>361</v>
      </c>
      <c r="AA1563" s="475" t="s">
        <v>24</v>
      </c>
    </row>
    <row r="1564" spans="1:27" ht="15" hidden="1">
      <c r="A1564">
        <v>10096</v>
      </c>
      <c r="B1564">
        <v>10096</v>
      </c>
      <c r="C1564" s="476" t="s">
        <v>1926</v>
      </c>
      <c r="D1564" s="607" t="s">
        <v>1864</v>
      </c>
      <c r="E1564" s="477">
        <v>3</v>
      </c>
      <c r="F1564" s="154">
        <v>2</v>
      </c>
      <c r="G1564">
        <v>1</v>
      </c>
      <c r="H1564">
        <v>1</v>
      </c>
      <c r="I1564" s="472">
        <v>0.47039166666666665</v>
      </c>
      <c r="J1564" s="473">
        <v>0.36503333333333332</v>
      </c>
      <c r="K1564" s="473">
        <v>0.44336666666666663</v>
      </c>
      <c r="L1564" s="473">
        <v>0.58906666666666663</v>
      </c>
      <c r="M1564" s="473">
        <v>0.48410000000000003</v>
      </c>
      <c r="N1564" s="472">
        <v>0.47039166666666665</v>
      </c>
      <c r="O1564" s="473">
        <v>0.36503333333333332</v>
      </c>
      <c r="P1564" s="473">
        <v>0.44336666666666663</v>
      </c>
      <c r="Q1564" s="473">
        <v>0.58906666666666663</v>
      </c>
      <c r="R1564" s="473">
        <v>0.48410000000000003</v>
      </c>
      <c r="S1564" s="153">
        <v>0.01</v>
      </c>
      <c r="T1564" s="153">
        <v>0.02</v>
      </c>
      <c r="U1564" s="478">
        <v>2020</v>
      </c>
      <c r="V1564" s="24">
        <f t="shared" si="176"/>
        <v>2040</v>
      </c>
      <c r="W1564">
        <v>0</v>
      </c>
      <c r="X1564">
        <v>0</v>
      </c>
      <c r="Y1564">
        <v>1315</v>
      </c>
      <c r="Z1564">
        <v>361</v>
      </c>
      <c r="AA1564" s="475" t="s">
        <v>24</v>
      </c>
    </row>
    <row r="1565" spans="1:27" ht="15" hidden="1">
      <c r="A1565">
        <v>10097</v>
      </c>
      <c r="B1565">
        <v>10097</v>
      </c>
      <c r="C1565" s="476" t="s">
        <v>1927</v>
      </c>
      <c r="D1565" s="607" t="s">
        <v>1864</v>
      </c>
      <c r="E1565" s="477">
        <v>3</v>
      </c>
      <c r="F1565" s="471">
        <v>3</v>
      </c>
      <c r="G1565">
        <v>1</v>
      </c>
      <c r="H1565">
        <v>1</v>
      </c>
      <c r="I1565" s="472">
        <v>0.47039166666666665</v>
      </c>
      <c r="J1565" s="473">
        <v>0.36503333333333332</v>
      </c>
      <c r="K1565" s="473">
        <v>0.44336666666666663</v>
      </c>
      <c r="L1565" s="473">
        <v>0.58906666666666663</v>
      </c>
      <c r="M1565" s="473">
        <v>0.48410000000000003</v>
      </c>
      <c r="N1565" s="472">
        <v>0.47039166666666665</v>
      </c>
      <c r="O1565" s="473">
        <v>0.36503333333333332</v>
      </c>
      <c r="P1565" s="473">
        <v>0.44336666666666663</v>
      </c>
      <c r="Q1565" s="473">
        <v>0.58906666666666663</v>
      </c>
      <c r="R1565" s="473">
        <v>0.48410000000000003</v>
      </c>
      <c r="S1565" s="153">
        <v>0.01</v>
      </c>
      <c r="T1565" s="153">
        <v>0.02</v>
      </c>
      <c r="U1565" s="478">
        <v>2020</v>
      </c>
      <c r="V1565" s="24">
        <f t="shared" si="176"/>
        <v>2040</v>
      </c>
      <c r="W1565">
        <v>0</v>
      </c>
      <c r="X1565">
        <v>0</v>
      </c>
      <c r="Y1565">
        <v>1315</v>
      </c>
      <c r="Z1565">
        <v>361</v>
      </c>
      <c r="AA1565" s="475" t="s">
        <v>24</v>
      </c>
    </row>
    <row r="1566" spans="1:27" ht="15" hidden="1">
      <c r="A1566">
        <v>10098</v>
      </c>
      <c r="B1566">
        <v>10098</v>
      </c>
      <c r="C1566" s="476" t="s">
        <v>1928</v>
      </c>
      <c r="D1566" s="607" t="s">
        <v>1864</v>
      </c>
      <c r="E1566" s="477">
        <v>3</v>
      </c>
      <c r="F1566" s="471">
        <v>3</v>
      </c>
      <c r="G1566">
        <v>1</v>
      </c>
      <c r="H1566">
        <v>1</v>
      </c>
      <c r="I1566" s="472">
        <v>0.47039166666666665</v>
      </c>
      <c r="J1566" s="473">
        <v>0.36503333333333332</v>
      </c>
      <c r="K1566" s="473">
        <v>0.44336666666666663</v>
      </c>
      <c r="L1566" s="473">
        <v>0.58906666666666663</v>
      </c>
      <c r="M1566" s="473">
        <v>0.48410000000000003</v>
      </c>
      <c r="N1566" s="472">
        <v>0.47039166666666665</v>
      </c>
      <c r="O1566" s="473">
        <v>0.36503333333333332</v>
      </c>
      <c r="P1566" s="473">
        <v>0.44336666666666663</v>
      </c>
      <c r="Q1566" s="473">
        <v>0.58906666666666663</v>
      </c>
      <c r="R1566" s="473">
        <v>0.48410000000000003</v>
      </c>
      <c r="S1566" s="153">
        <v>0.01</v>
      </c>
      <c r="T1566" s="153">
        <v>0.02</v>
      </c>
      <c r="U1566" s="478">
        <v>2020</v>
      </c>
      <c r="V1566" s="24">
        <f t="shared" si="176"/>
        <v>2040</v>
      </c>
      <c r="W1566">
        <v>0</v>
      </c>
      <c r="X1566">
        <v>0</v>
      </c>
      <c r="Y1566">
        <v>1315</v>
      </c>
      <c r="Z1566">
        <v>361</v>
      </c>
      <c r="AA1566" s="475" t="s">
        <v>24</v>
      </c>
    </row>
    <row r="1567" spans="1:27" ht="15" hidden="1">
      <c r="A1567">
        <v>10099</v>
      </c>
      <c r="B1567">
        <v>10099</v>
      </c>
      <c r="C1567" s="476" t="s">
        <v>1929</v>
      </c>
      <c r="D1567" s="607" t="s">
        <v>1864</v>
      </c>
      <c r="E1567" s="477">
        <v>3</v>
      </c>
      <c r="F1567" s="471">
        <v>3</v>
      </c>
      <c r="G1567">
        <v>1</v>
      </c>
      <c r="H1567">
        <v>1</v>
      </c>
      <c r="I1567" s="472">
        <v>0.47039166666666665</v>
      </c>
      <c r="J1567" s="473">
        <v>0.36503333333333332</v>
      </c>
      <c r="K1567" s="473">
        <v>0.44336666666666663</v>
      </c>
      <c r="L1567" s="473">
        <v>0.58906666666666663</v>
      </c>
      <c r="M1567" s="473">
        <v>0.48410000000000003</v>
      </c>
      <c r="N1567" s="472">
        <v>0.47039166666666665</v>
      </c>
      <c r="O1567" s="473">
        <v>0.36503333333333332</v>
      </c>
      <c r="P1567" s="473">
        <v>0.44336666666666663</v>
      </c>
      <c r="Q1567" s="473">
        <v>0.58906666666666663</v>
      </c>
      <c r="R1567" s="473">
        <v>0.48410000000000003</v>
      </c>
      <c r="S1567" s="153">
        <v>0.01</v>
      </c>
      <c r="T1567" s="153">
        <v>0.02</v>
      </c>
      <c r="U1567" s="478">
        <v>2020</v>
      </c>
      <c r="V1567" s="24">
        <f t="shared" si="176"/>
        <v>2040</v>
      </c>
      <c r="W1567">
        <v>0</v>
      </c>
      <c r="X1567">
        <v>0</v>
      </c>
      <c r="Y1567">
        <v>1315</v>
      </c>
      <c r="Z1567">
        <v>361</v>
      </c>
      <c r="AA1567" s="475" t="s">
        <v>24</v>
      </c>
    </row>
    <row r="1568" spans="1:27" ht="15" hidden="1">
      <c r="A1568">
        <v>10100</v>
      </c>
      <c r="B1568">
        <v>10100</v>
      </c>
      <c r="C1568" s="476" t="s">
        <v>1930</v>
      </c>
      <c r="D1568" s="607" t="s">
        <v>1864</v>
      </c>
      <c r="E1568" s="477">
        <v>3</v>
      </c>
      <c r="F1568" s="471">
        <v>5</v>
      </c>
      <c r="G1568">
        <v>1</v>
      </c>
      <c r="H1568">
        <v>1</v>
      </c>
      <c r="I1568" s="472">
        <v>0.47039166666666665</v>
      </c>
      <c r="J1568" s="473">
        <v>0.36503333333333332</v>
      </c>
      <c r="K1568" s="473">
        <v>0.44336666666666663</v>
      </c>
      <c r="L1568" s="473">
        <v>0.58906666666666663</v>
      </c>
      <c r="M1568" s="473">
        <v>0.48410000000000003</v>
      </c>
      <c r="N1568" s="472">
        <v>0.47039166666666665</v>
      </c>
      <c r="O1568" s="473">
        <v>0.36503333333333332</v>
      </c>
      <c r="P1568" s="473">
        <v>0.44336666666666663</v>
      </c>
      <c r="Q1568" s="473">
        <v>0.58906666666666663</v>
      </c>
      <c r="R1568" s="473">
        <v>0.48410000000000003</v>
      </c>
      <c r="S1568" s="153">
        <v>0.01</v>
      </c>
      <c r="T1568" s="153">
        <v>0.02</v>
      </c>
      <c r="U1568" s="478">
        <v>2020</v>
      </c>
      <c r="V1568" s="24">
        <f t="shared" si="176"/>
        <v>2040</v>
      </c>
      <c r="W1568">
        <v>0</v>
      </c>
      <c r="X1568">
        <v>0</v>
      </c>
      <c r="Y1568">
        <v>1315</v>
      </c>
      <c r="Z1568">
        <v>361</v>
      </c>
      <c r="AA1568" s="475" t="s">
        <v>24</v>
      </c>
    </row>
    <row r="1569" spans="1:27" ht="15" hidden="1">
      <c r="A1569">
        <v>10101</v>
      </c>
      <c r="B1569">
        <v>10101</v>
      </c>
      <c r="C1569" s="476" t="s">
        <v>1931</v>
      </c>
      <c r="D1569" s="607" t="s">
        <v>1864</v>
      </c>
      <c r="E1569" s="477">
        <v>3</v>
      </c>
      <c r="F1569" s="154">
        <v>3</v>
      </c>
      <c r="G1569">
        <v>1</v>
      </c>
      <c r="H1569">
        <v>1</v>
      </c>
      <c r="I1569" s="472">
        <v>0.47039166666666665</v>
      </c>
      <c r="J1569" s="473">
        <v>0.36503333333333332</v>
      </c>
      <c r="K1569" s="473">
        <v>0.44336666666666663</v>
      </c>
      <c r="L1569" s="473">
        <v>0.58906666666666663</v>
      </c>
      <c r="M1569" s="473">
        <v>0.48410000000000003</v>
      </c>
      <c r="N1569" s="472">
        <v>0.47039166666666665</v>
      </c>
      <c r="O1569" s="473">
        <v>0.36503333333333332</v>
      </c>
      <c r="P1569" s="473">
        <v>0.44336666666666663</v>
      </c>
      <c r="Q1569" s="473">
        <v>0.58906666666666663</v>
      </c>
      <c r="R1569" s="473">
        <v>0.48410000000000003</v>
      </c>
      <c r="S1569" s="153">
        <v>0.01</v>
      </c>
      <c r="T1569" s="153">
        <v>0.02</v>
      </c>
      <c r="U1569" s="478">
        <v>2020</v>
      </c>
      <c r="V1569" s="24">
        <f t="shared" si="176"/>
        <v>2040</v>
      </c>
      <c r="W1569">
        <v>0</v>
      </c>
      <c r="X1569">
        <v>0</v>
      </c>
      <c r="Y1569">
        <v>1315</v>
      </c>
      <c r="Z1569">
        <v>361</v>
      </c>
      <c r="AA1569" s="475" t="s">
        <v>24</v>
      </c>
    </row>
    <row r="1570" spans="1:27" ht="15" hidden="1">
      <c r="A1570">
        <v>10102</v>
      </c>
      <c r="B1570">
        <v>10102</v>
      </c>
      <c r="C1570" s="476" t="s">
        <v>1932</v>
      </c>
      <c r="D1570" s="607" t="s">
        <v>1864</v>
      </c>
      <c r="E1570" s="477">
        <v>3</v>
      </c>
      <c r="F1570" s="471">
        <v>3</v>
      </c>
      <c r="G1570">
        <v>1</v>
      </c>
      <c r="H1570">
        <v>1</v>
      </c>
      <c r="I1570" s="472">
        <v>0.47039166666666665</v>
      </c>
      <c r="J1570" s="473">
        <v>0.36503333333333332</v>
      </c>
      <c r="K1570" s="473">
        <v>0.44336666666666663</v>
      </c>
      <c r="L1570" s="473">
        <v>0.58906666666666663</v>
      </c>
      <c r="M1570" s="473">
        <v>0.48410000000000003</v>
      </c>
      <c r="N1570" s="472">
        <v>0.47039166666666665</v>
      </c>
      <c r="O1570" s="473">
        <v>0.36503333333333332</v>
      </c>
      <c r="P1570" s="473">
        <v>0.44336666666666663</v>
      </c>
      <c r="Q1570" s="473">
        <v>0.58906666666666663</v>
      </c>
      <c r="R1570" s="473">
        <v>0.48410000000000003</v>
      </c>
      <c r="S1570" s="153">
        <v>0.01</v>
      </c>
      <c r="T1570" s="153">
        <v>0.02</v>
      </c>
      <c r="U1570" s="478">
        <v>2020</v>
      </c>
      <c r="V1570" s="24">
        <f t="shared" si="176"/>
        <v>2040</v>
      </c>
      <c r="W1570">
        <v>0</v>
      </c>
      <c r="X1570">
        <v>0</v>
      </c>
      <c r="Y1570">
        <v>1315</v>
      </c>
      <c r="Z1570">
        <v>361</v>
      </c>
      <c r="AA1570" s="475" t="s">
        <v>24</v>
      </c>
    </row>
    <row r="1571" spans="1:27" ht="15" hidden="1">
      <c r="A1571">
        <v>10103</v>
      </c>
      <c r="B1571">
        <v>10103</v>
      </c>
      <c r="C1571" s="476" t="s">
        <v>1933</v>
      </c>
      <c r="D1571" s="607" t="s">
        <v>1864</v>
      </c>
      <c r="E1571" s="477">
        <v>3</v>
      </c>
      <c r="F1571" s="471">
        <v>3</v>
      </c>
      <c r="G1571">
        <v>1</v>
      </c>
      <c r="H1571">
        <v>1</v>
      </c>
      <c r="I1571" s="472">
        <v>0.47039166666666665</v>
      </c>
      <c r="J1571" s="473">
        <v>0.36503333333333332</v>
      </c>
      <c r="K1571" s="473">
        <v>0.44336666666666663</v>
      </c>
      <c r="L1571" s="473">
        <v>0.58906666666666663</v>
      </c>
      <c r="M1571" s="473">
        <v>0.48410000000000003</v>
      </c>
      <c r="N1571" s="472">
        <v>0.47039166666666665</v>
      </c>
      <c r="O1571" s="473">
        <v>0.36503333333333332</v>
      </c>
      <c r="P1571" s="473">
        <v>0.44336666666666663</v>
      </c>
      <c r="Q1571" s="473">
        <v>0.58906666666666663</v>
      </c>
      <c r="R1571" s="473">
        <v>0.48410000000000003</v>
      </c>
      <c r="S1571" s="153">
        <v>0.01</v>
      </c>
      <c r="T1571" s="153">
        <v>0.02</v>
      </c>
      <c r="U1571" s="478">
        <v>2020</v>
      </c>
      <c r="V1571" s="24">
        <f t="shared" si="176"/>
        <v>2040</v>
      </c>
      <c r="W1571">
        <v>0</v>
      </c>
      <c r="X1571">
        <v>0</v>
      </c>
      <c r="Y1571">
        <v>1315</v>
      </c>
      <c r="Z1571">
        <v>361</v>
      </c>
      <c r="AA1571" s="475" t="s">
        <v>24</v>
      </c>
    </row>
    <row r="1572" spans="1:27" ht="15" hidden="1">
      <c r="A1572">
        <v>10104</v>
      </c>
      <c r="B1572">
        <v>10104</v>
      </c>
      <c r="C1572" s="476" t="s">
        <v>1934</v>
      </c>
      <c r="D1572" s="607" t="s">
        <v>1864</v>
      </c>
      <c r="E1572" s="477">
        <v>3</v>
      </c>
      <c r="F1572" s="471">
        <v>3</v>
      </c>
      <c r="G1572">
        <v>1</v>
      </c>
      <c r="H1572">
        <v>1</v>
      </c>
      <c r="I1572" s="472">
        <v>0.47039166666666665</v>
      </c>
      <c r="J1572" s="473">
        <v>0.36503333333333332</v>
      </c>
      <c r="K1572" s="473">
        <v>0.44336666666666663</v>
      </c>
      <c r="L1572" s="473">
        <v>0.58906666666666663</v>
      </c>
      <c r="M1572" s="473">
        <v>0.48410000000000003</v>
      </c>
      <c r="N1572" s="472">
        <v>0.47039166666666665</v>
      </c>
      <c r="O1572" s="473">
        <v>0.36503333333333332</v>
      </c>
      <c r="P1572" s="473">
        <v>0.44336666666666663</v>
      </c>
      <c r="Q1572" s="473">
        <v>0.58906666666666663</v>
      </c>
      <c r="R1572" s="473">
        <v>0.48410000000000003</v>
      </c>
      <c r="S1572" s="153">
        <v>0.01</v>
      </c>
      <c r="T1572" s="153">
        <v>0.02</v>
      </c>
      <c r="U1572" s="478">
        <v>2020</v>
      </c>
      <c r="V1572" s="24">
        <f t="shared" si="176"/>
        <v>2040</v>
      </c>
      <c r="W1572">
        <v>0</v>
      </c>
      <c r="X1572">
        <v>0</v>
      </c>
      <c r="Y1572">
        <v>1315</v>
      </c>
      <c r="Z1572">
        <v>361</v>
      </c>
      <c r="AA1572" s="475" t="s">
        <v>24</v>
      </c>
    </row>
    <row r="1573" spans="1:27" ht="15" hidden="1">
      <c r="A1573">
        <v>10105</v>
      </c>
      <c r="B1573">
        <v>10105</v>
      </c>
      <c r="C1573" s="476" t="s">
        <v>1935</v>
      </c>
      <c r="D1573" s="607" t="s">
        <v>1864</v>
      </c>
      <c r="E1573" s="477">
        <v>3</v>
      </c>
      <c r="F1573" s="471">
        <v>3</v>
      </c>
      <c r="G1573">
        <v>1</v>
      </c>
      <c r="H1573">
        <v>1</v>
      </c>
      <c r="I1573" s="472">
        <v>0.47039166666666665</v>
      </c>
      <c r="J1573" s="473">
        <v>0.36503333333333332</v>
      </c>
      <c r="K1573" s="473">
        <v>0.44336666666666663</v>
      </c>
      <c r="L1573" s="473">
        <v>0.58906666666666663</v>
      </c>
      <c r="M1573" s="473">
        <v>0.48410000000000003</v>
      </c>
      <c r="N1573" s="472">
        <v>0.47039166666666665</v>
      </c>
      <c r="O1573" s="473">
        <v>0.36503333333333332</v>
      </c>
      <c r="P1573" s="473">
        <v>0.44336666666666663</v>
      </c>
      <c r="Q1573" s="473">
        <v>0.58906666666666663</v>
      </c>
      <c r="R1573" s="473">
        <v>0.48410000000000003</v>
      </c>
      <c r="S1573" s="153">
        <v>0.01</v>
      </c>
      <c r="T1573" s="153">
        <v>0.02</v>
      </c>
      <c r="U1573" s="478">
        <v>2020</v>
      </c>
      <c r="V1573" s="24">
        <f t="shared" si="176"/>
        <v>2040</v>
      </c>
      <c r="W1573">
        <v>0</v>
      </c>
      <c r="X1573">
        <v>0</v>
      </c>
      <c r="Y1573">
        <v>1315</v>
      </c>
      <c r="Z1573">
        <v>361</v>
      </c>
      <c r="AA1573" s="475" t="s">
        <v>24</v>
      </c>
    </row>
    <row r="1574" spans="1:27" ht="15" hidden="1">
      <c r="A1574">
        <v>10106</v>
      </c>
      <c r="B1574">
        <v>10106</v>
      </c>
      <c r="C1574" s="476" t="s">
        <v>1936</v>
      </c>
      <c r="D1574" s="607" t="s">
        <v>1864</v>
      </c>
      <c r="E1574" s="477">
        <v>3</v>
      </c>
      <c r="F1574" s="154">
        <v>3</v>
      </c>
      <c r="G1574">
        <v>1</v>
      </c>
      <c r="H1574">
        <v>1</v>
      </c>
      <c r="I1574" s="472">
        <v>0.47039166666666665</v>
      </c>
      <c r="J1574" s="473">
        <v>0.36503333333333332</v>
      </c>
      <c r="K1574" s="473">
        <v>0.44336666666666663</v>
      </c>
      <c r="L1574" s="473">
        <v>0.58906666666666663</v>
      </c>
      <c r="M1574" s="473">
        <v>0.48410000000000003</v>
      </c>
      <c r="N1574" s="472">
        <v>0.47039166666666665</v>
      </c>
      <c r="O1574" s="473">
        <v>0.36503333333333332</v>
      </c>
      <c r="P1574" s="473">
        <v>0.44336666666666663</v>
      </c>
      <c r="Q1574" s="473">
        <v>0.58906666666666663</v>
      </c>
      <c r="R1574" s="473">
        <v>0.48410000000000003</v>
      </c>
      <c r="S1574" s="153">
        <v>0.01</v>
      </c>
      <c r="T1574" s="153">
        <v>0.02</v>
      </c>
      <c r="U1574" s="478">
        <v>2020</v>
      </c>
      <c r="V1574" s="24">
        <f t="shared" si="176"/>
        <v>2040</v>
      </c>
      <c r="W1574">
        <v>0</v>
      </c>
      <c r="X1574">
        <v>0</v>
      </c>
      <c r="Y1574">
        <v>1315</v>
      </c>
      <c r="Z1574">
        <v>361</v>
      </c>
      <c r="AA1574" s="475" t="s">
        <v>24</v>
      </c>
    </row>
    <row r="1575" spans="1:27" ht="15" hidden="1">
      <c r="A1575">
        <v>10107</v>
      </c>
      <c r="B1575">
        <v>10107</v>
      </c>
      <c r="C1575" s="476" t="s">
        <v>1937</v>
      </c>
      <c r="D1575" s="607" t="s">
        <v>1864</v>
      </c>
      <c r="E1575" s="477">
        <v>3</v>
      </c>
      <c r="F1575" s="471">
        <v>3</v>
      </c>
      <c r="G1575">
        <v>1</v>
      </c>
      <c r="H1575">
        <v>1</v>
      </c>
      <c r="I1575" s="472">
        <v>0.47039166666666665</v>
      </c>
      <c r="J1575" s="473">
        <v>0.36503333333333332</v>
      </c>
      <c r="K1575" s="473">
        <v>0.44336666666666663</v>
      </c>
      <c r="L1575" s="473">
        <v>0.58906666666666663</v>
      </c>
      <c r="M1575" s="473">
        <v>0.48410000000000003</v>
      </c>
      <c r="N1575" s="472">
        <v>0.47039166666666665</v>
      </c>
      <c r="O1575" s="473">
        <v>0.36503333333333332</v>
      </c>
      <c r="P1575" s="473">
        <v>0.44336666666666663</v>
      </c>
      <c r="Q1575" s="473">
        <v>0.58906666666666663</v>
      </c>
      <c r="R1575" s="473">
        <v>0.48410000000000003</v>
      </c>
      <c r="S1575" s="153">
        <v>0.01</v>
      </c>
      <c r="T1575" s="153">
        <v>0.02</v>
      </c>
      <c r="U1575" s="478">
        <v>2020</v>
      </c>
      <c r="V1575" s="24">
        <f t="shared" si="176"/>
        <v>2040</v>
      </c>
      <c r="W1575">
        <v>0</v>
      </c>
      <c r="X1575">
        <v>0</v>
      </c>
      <c r="Y1575">
        <v>1315</v>
      </c>
      <c r="Z1575">
        <v>361</v>
      </c>
      <c r="AA1575" s="475" t="s">
        <v>24</v>
      </c>
    </row>
    <row r="1576" spans="1:27" ht="15" hidden="1">
      <c r="A1576">
        <v>10108</v>
      </c>
      <c r="B1576">
        <v>10108</v>
      </c>
      <c r="C1576" s="476" t="s">
        <v>1938</v>
      </c>
      <c r="D1576" s="607" t="s">
        <v>1864</v>
      </c>
      <c r="E1576" s="477">
        <v>3</v>
      </c>
      <c r="F1576" s="471">
        <v>3</v>
      </c>
      <c r="G1576">
        <v>1</v>
      </c>
      <c r="H1576">
        <v>1</v>
      </c>
      <c r="I1576" s="472">
        <v>0.47039166666666665</v>
      </c>
      <c r="J1576" s="473">
        <v>0.36503333333333332</v>
      </c>
      <c r="K1576" s="473">
        <v>0.44336666666666663</v>
      </c>
      <c r="L1576" s="473">
        <v>0.58906666666666663</v>
      </c>
      <c r="M1576" s="473">
        <v>0.48410000000000003</v>
      </c>
      <c r="N1576" s="472">
        <v>0.47039166666666665</v>
      </c>
      <c r="O1576" s="473">
        <v>0.36503333333333332</v>
      </c>
      <c r="P1576" s="473">
        <v>0.44336666666666663</v>
      </c>
      <c r="Q1576" s="473">
        <v>0.58906666666666663</v>
      </c>
      <c r="R1576" s="473">
        <v>0.48410000000000003</v>
      </c>
      <c r="S1576" s="153">
        <v>0.01</v>
      </c>
      <c r="T1576" s="153">
        <v>0.02</v>
      </c>
      <c r="U1576" s="478">
        <v>2020</v>
      </c>
      <c r="V1576" s="24">
        <f t="shared" si="176"/>
        <v>2040</v>
      </c>
      <c r="W1576">
        <v>0</v>
      </c>
      <c r="X1576">
        <v>0</v>
      </c>
      <c r="Y1576">
        <v>1315</v>
      </c>
      <c r="Z1576">
        <v>361</v>
      </c>
      <c r="AA1576" s="475" t="s">
        <v>24</v>
      </c>
    </row>
    <row r="1577" spans="1:27" ht="15" hidden="1">
      <c r="A1577">
        <v>10109</v>
      </c>
      <c r="B1577">
        <v>10109</v>
      </c>
      <c r="C1577" s="476" t="s">
        <v>1939</v>
      </c>
      <c r="D1577" s="607" t="s">
        <v>1864</v>
      </c>
      <c r="E1577" s="477">
        <v>3</v>
      </c>
      <c r="F1577" s="471">
        <v>3</v>
      </c>
      <c r="G1577">
        <v>1</v>
      </c>
      <c r="H1577">
        <v>1</v>
      </c>
      <c r="I1577" s="472">
        <v>0.47039166666666665</v>
      </c>
      <c r="J1577" s="473">
        <v>0.36503333333333332</v>
      </c>
      <c r="K1577" s="473">
        <v>0.44336666666666663</v>
      </c>
      <c r="L1577" s="473">
        <v>0.58906666666666663</v>
      </c>
      <c r="M1577" s="473">
        <v>0.48410000000000003</v>
      </c>
      <c r="N1577" s="472">
        <v>0.47039166666666665</v>
      </c>
      <c r="O1577" s="473">
        <v>0.36503333333333332</v>
      </c>
      <c r="P1577" s="473">
        <v>0.44336666666666663</v>
      </c>
      <c r="Q1577" s="473">
        <v>0.58906666666666663</v>
      </c>
      <c r="R1577" s="473">
        <v>0.48410000000000003</v>
      </c>
      <c r="S1577" s="153">
        <v>0.01</v>
      </c>
      <c r="T1577" s="153">
        <v>0.02</v>
      </c>
      <c r="U1577" s="478">
        <v>2020</v>
      </c>
      <c r="V1577" s="24">
        <f t="shared" si="176"/>
        <v>2040</v>
      </c>
      <c r="W1577">
        <v>0</v>
      </c>
      <c r="X1577">
        <v>0</v>
      </c>
      <c r="Y1577">
        <v>1315</v>
      </c>
      <c r="Z1577">
        <v>361</v>
      </c>
      <c r="AA1577" s="475" t="s">
        <v>24</v>
      </c>
    </row>
    <row r="1578" spans="1:27" ht="15" hidden="1">
      <c r="A1578">
        <v>10110</v>
      </c>
      <c r="B1578">
        <v>10110</v>
      </c>
      <c r="C1578" s="476" t="s">
        <v>1940</v>
      </c>
      <c r="D1578" s="607" t="s">
        <v>1864</v>
      </c>
      <c r="E1578" s="477">
        <v>3</v>
      </c>
      <c r="F1578" s="471">
        <v>3</v>
      </c>
      <c r="G1578">
        <v>1</v>
      </c>
      <c r="H1578">
        <v>1</v>
      </c>
      <c r="I1578" s="472">
        <v>0.47039166666666665</v>
      </c>
      <c r="J1578" s="473">
        <v>0.36503333333333332</v>
      </c>
      <c r="K1578" s="473">
        <v>0.44336666666666663</v>
      </c>
      <c r="L1578" s="473">
        <v>0.58906666666666663</v>
      </c>
      <c r="M1578" s="473">
        <v>0.48410000000000003</v>
      </c>
      <c r="N1578" s="472">
        <v>0.47039166666666665</v>
      </c>
      <c r="O1578" s="473">
        <v>0.36503333333333332</v>
      </c>
      <c r="P1578" s="473">
        <v>0.44336666666666663</v>
      </c>
      <c r="Q1578" s="473">
        <v>0.58906666666666663</v>
      </c>
      <c r="R1578" s="473">
        <v>0.48410000000000003</v>
      </c>
      <c r="S1578" s="153">
        <v>0.01</v>
      </c>
      <c r="T1578" s="153">
        <v>0.02</v>
      </c>
      <c r="U1578" s="478">
        <v>2020</v>
      </c>
      <c r="V1578" s="24">
        <f t="shared" si="176"/>
        <v>2040</v>
      </c>
      <c r="W1578">
        <v>0</v>
      </c>
      <c r="X1578">
        <v>0</v>
      </c>
      <c r="Y1578">
        <v>1315</v>
      </c>
      <c r="Z1578">
        <v>361</v>
      </c>
      <c r="AA1578" s="475" t="s">
        <v>24</v>
      </c>
    </row>
    <row r="1579" spans="1:27" ht="15" hidden="1">
      <c r="A1579">
        <v>10191</v>
      </c>
      <c r="B1579">
        <v>10191</v>
      </c>
      <c r="C1579" s="476" t="s">
        <v>1389</v>
      </c>
      <c r="D1579" s="606" t="s">
        <v>149</v>
      </c>
      <c r="E1579" s="477">
        <v>2</v>
      </c>
      <c r="F1579" s="154">
        <v>8</v>
      </c>
      <c r="G1579">
        <v>1</v>
      </c>
      <c r="H1579">
        <v>1</v>
      </c>
      <c r="I1579" s="472">
        <f>AVERAGE(J1579:M1579)</f>
        <v>0.40033333333333337</v>
      </c>
      <c r="J1579" s="153">
        <v>0.3706666666666667</v>
      </c>
      <c r="K1579" s="153">
        <v>0.3666666666666667</v>
      </c>
      <c r="L1579" s="153">
        <v>0.44799999999999995</v>
      </c>
      <c r="M1579" s="153">
        <v>0.41600000000000009</v>
      </c>
      <c r="N1579" s="472">
        <f>AVERAGE(O1579:R1579)</f>
        <v>0.40033333333333337</v>
      </c>
      <c r="O1579" s="153">
        <v>0.3706666666666667</v>
      </c>
      <c r="P1579" s="153">
        <v>0.3666666666666667</v>
      </c>
      <c r="Q1579" s="153">
        <v>0.44799999999999995</v>
      </c>
      <c r="R1579" s="153">
        <v>0.41600000000000009</v>
      </c>
      <c r="S1579" s="153">
        <v>0.01</v>
      </c>
      <c r="T1579" s="153">
        <v>0.02</v>
      </c>
      <c r="U1579" s="478">
        <v>2019</v>
      </c>
      <c r="V1579" s="24">
        <f t="shared" si="176"/>
        <v>2039</v>
      </c>
      <c r="W1579">
        <v>0</v>
      </c>
      <c r="X1579">
        <v>0</v>
      </c>
      <c r="Y1579">
        <v>1315</v>
      </c>
      <c r="Z1579">
        <v>360</v>
      </c>
      <c r="AA1579" s="475" t="s">
        <v>24</v>
      </c>
    </row>
    <row r="1580" spans="1:27" ht="15" hidden="1">
      <c r="A1580">
        <v>10192</v>
      </c>
      <c r="B1580">
        <v>10192</v>
      </c>
      <c r="C1580" s="476" t="s">
        <v>1278</v>
      </c>
      <c r="D1580" s="606" t="s">
        <v>149</v>
      </c>
      <c r="E1580" s="477">
        <v>2</v>
      </c>
      <c r="F1580" s="471">
        <v>2</v>
      </c>
      <c r="G1580">
        <v>1</v>
      </c>
      <c r="H1580">
        <v>1</v>
      </c>
      <c r="I1580" s="472">
        <f t="shared" ref="I1580:I1589" si="177">AVERAGE(J1580:M1580)</f>
        <v>0.40033333333333337</v>
      </c>
      <c r="J1580" s="153">
        <v>0.3706666666666667</v>
      </c>
      <c r="K1580" s="153">
        <v>0.3666666666666667</v>
      </c>
      <c r="L1580" s="153">
        <v>0.44799999999999995</v>
      </c>
      <c r="M1580" s="153">
        <v>0.41600000000000009</v>
      </c>
      <c r="N1580" s="472">
        <f t="shared" ref="N1580:N1589" si="178">AVERAGE(O1580:R1580)</f>
        <v>0.40033333333333337</v>
      </c>
      <c r="O1580" s="153">
        <v>0.3706666666666667</v>
      </c>
      <c r="P1580" s="153">
        <v>0.3666666666666667</v>
      </c>
      <c r="Q1580" s="153">
        <v>0.44799999999999995</v>
      </c>
      <c r="R1580" s="153">
        <v>0.41600000000000009</v>
      </c>
      <c r="S1580" s="153">
        <v>0.01</v>
      </c>
      <c r="T1580" s="153">
        <v>0.02</v>
      </c>
      <c r="U1580" s="478">
        <v>2019</v>
      </c>
      <c r="V1580" s="24">
        <f t="shared" si="176"/>
        <v>2039</v>
      </c>
      <c r="W1580">
        <v>0</v>
      </c>
      <c r="X1580">
        <v>0</v>
      </c>
      <c r="Y1580">
        <v>1315</v>
      </c>
      <c r="Z1580">
        <v>360</v>
      </c>
      <c r="AA1580" s="475" t="s">
        <v>24</v>
      </c>
    </row>
    <row r="1581" spans="1:27" ht="15" hidden="1">
      <c r="A1581">
        <v>10193</v>
      </c>
      <c r="B1581">
        <v>10193</v>
      </c>
      <c r="C1581" s="476" t="s">
        <v>1941</v>
      </c>
      <c r="D1581" s="606" t="s">
        <v>149</v>
      </c>
      <c r="E1581" s="477">
        <v>2</v>
      </c>
      <c r="F1581" s="471">
        <v>2</v>
      </c>
      <c r="G1581">
        <v>1</v>
      </c>
      <c r="H1581">
        <v>1</v>
      </c>
      <c r="I1581" s="472">
        <f t="shared" si="177"/>
        <v>0.40033333333333337</v>
      </c>
      <c r="J1581" s="153">
        <v>0.3706666666666667</v>
      </c>
      <c r="K1581" s="153">
        <v>0.3666666666666667</v>
      </c>
      <c r="L1581" s="153">
        <v>0.44799999999999995</v>
      </c>
      <c r="M1581" s="153">
        <v>0.41600000000000009</v>
      </c>
      <c r="N1581" s="472">
        <f t="shared" si="178"/>
        <v>0.40033333333333337</v>
      </c>
      <c r="O1581" s="153">
        <v>0.3706666666666667</v>
      </c>
      <c r="P1581" s="153">
        <v>0.3666666666666667</v>
      </c>
      <c r="Q1581" s="153">
        <v>0.44799999999999995</v>
      </c>
      <c r="R1581" s="153">
        <v>0.41600000000000009</v>
      </c>
      <c r="S1581" s="153">
        <v>0.01</v>
      </c>
      <c r="T1581" s="153">
        <v>0.02</v>
      </c>
      <c r="U1581" s="478">
        <v>2019</v>
      </c>
      <c r="V1581" s="24">
        <f t="shared" si="176"/>
        <v>2039</v>
      </c>
      <c r="W1581">
        <v>0</v>
      </c>
      <c r="X1581">
        <v>0</v>
      </c>
      <c r="Y1581">
        <v>1315</v>
      </c>
      <c r="Z1581">
        <v>360</v>
      </c>
      <c r="AA1581" s="475" t="s">
        <v>24</v>
      </c>
    </row>
    <row r="1582" spans="1:27" ht="15" hidden="1">
      <c r="A1582">
        <v>10194</v>
      </c>
      <c r="B1582">
        <v>10194</v>
      </c>
      <c r="C1582" s="476" t="s">
        <v>1942</v>
      </c>
      <c r="D1582" s="606" t="s">
        <v>149</v>
      </c>
      <c r="E1582" s="477">
        <v>2</v>
      </c>
      <c r="F1582" s="471">
        <v>2</v>
      </c>
      <c r="G1582">
        <v>1</v>
      </c>
      <c r="H1582">
        <v>1</v>
      </c>
      <c r="I1582" s="472">
        <f t="shared" si="177"/>
        <v>0.40033333333333337</v>
      </c>
      <c r="J1582" s="153">
        <v>0.3706666666666667</v>
      </c>
      <c r="K1582" s="153">
        <v>0.3666666666666667</v>
      </c>
      <c r="L1582" s="153">
        <v>0.44799999999999995</v>
      </c>
      <c r="M1582" s="153">
        <v>0.41600000000000009</v>
      </c>
      <c r="N1582" s="472">
        <f t="shared" si="178"/>
        <v>0.40033333333333337</v>
      </c>
      <c r="O1582" s="153">
        <v>0.3706666666666667</v>
      </c>
      <c r="P1582" s="153">
        <v>0.3666666666666667</v>
      </c>
      <c r="Q1582" s="153">
        <v>0.44799999999999995</v>
      </c>
      <c r="R1582" s="153">
        <v>0.41600000000000009</v>
      </c>
      <c r="S1582" s="153">
        <v>0.01</v>
      </c>
      <c r="T1582" s="153">
        <v>0.02</v>
      </c>
      <c r="U1582" s="478">
        <v>2019</v>
      </c>
      <c r="V1582" s="24">
        <f t="shared" si="176"/>
        <v>2039</v>
      </c>
      <c r="W1582">
        <v>0</v>
      </c>
      <c r="X1582">
        <v>0</v>
      </c>
      <c r="Y1582">
        <v>1315</v>
      </c>
      <c r="Z1582">
        <v>360</v>
      </c>
      <c r="AA1582" s="475" t="s">
        <v>24</v>
      </c>
    </row>
    <row r="1583" spans="1:27" ht="15" hidden="1">
      <c r="A1583">
        <v>10195</v>
      </c>
      <c r="B1583">
        <v>10195</v>
      </c>
      <c r="C1583" s="476" t="s">
        <v>1943</v>
      </c>
      <c r="D1583" s="606" t="s">
        <v>149</v>
      </c>
      <c r="E1583" s="477">
        <v>2</v>
      </c>
      <c r="F1583" s="471">
        <v>2</v>
      </c>
      <c r="G1583">
        <v>1</v>
      </c>
      <c r="H1583">
        <v>1</v>
      </c>
      <c r="I1583" s="472">
        <f t="shared" si="177"/>
        <v>0.40033333333333337</v>
      </c>
      <c r="J1583" s="153">
        <v>0.3706666666666667</v>
      </c>
      <c r="K1583" s="153">
        <v>0.3666666666666667</v>
      </c>
      <c r="L1583" s="153">
        <v>0.44799999999999995</v>
      </c>
      <c r="M1583" s="153">
        <v>0.41600000000000009</v>
      </c>
      <c r="N1583" s="472">
        <f t="shared" si="178"/>
        <v>0.40033333333333337</v>
      </c>
      <c r="O1583" s="153">
        <v>0.3706666666666667</v>
      </c>
      <c r="P1583" s="153">
        <v>0.3666666666666667</v>
      </c>
      <c r="Q1583" s="153">
        <v>0.44799999999999995</v>
      </c>
      <c r="R1583" s="153">
        <v>0.41600000000000009</v>
      </c>
      <c r="S1583" s="153">
        <v>0.01</v>
      </c>
      <c r="T1583" s="153">
        <v>0.02</v>
      </c>
      <c r="U1583" s="478">
        <v>2019</v>
      </c>
      <c r="V1583" s="24">
        <f t="shared" si="176"/>
        <v>2039</v>
      </c>
      <c r="W1583">
        <v>0</v>
      </c>
      <c r="X1583">
        <v>0</v>
      </c>
      <c r="Y1583">
        <v>1315</v>
      </c>
      <c r="Z1583">
        <v>360</v>
      </c>
      <c r="AA1583" s="475" t="s">
        <v>24</v>
      </c>
    </row>
    <row r="1584" spans="1:27" ht="15" hidden="1">
      <c r="A1584">
        <v>10196</v>
      </c>
      <c r="B1584">
        <v>10196</v>
      </c>
      <c r="C1584" s="476" t="s">
        <v>1944</v>
      </c>
      <c r="D1584" s="606" t="s">
        <v>149</v>
      </c>
      <c r="E1584" s="477">
        <v>2</v>
      </c>
      <c r="F1584" s="154">
        <v>2</v>
      </c>
      <c r="G1584">
        <v>1</v>
      </c>
      <c r="H1584">
        <v>1</v>
      </c>
      <c r="I1584" s="472">
        <f t="shared" si="177"/>
        <v>0.40033333333333337</v>
      </c>
      <c r="J1584" s="153">
        <v>0.3706666666666667</v>
      </c>
      <c r="K1584" s="153">
        <v>0.3666666666666667</v>
      </c>
      <c r="L1584" s="153">
        <v>0.44799999999999995</v>
      </c>
      <c r="M1584" s="153">
        <v>0.41600000000000009</v>
      </c>
      <c r="N1584" s="472">
        <f t="shared" si="178"/>
        <v>0.40033333333333337</v>
      </c>
      <c r="O1584" s="153">
        <v>0.3706666666666667</v>
      </c>
      <c r="P1584" s="153">
        <v>0.3666666666666667</v>
      </c>
      <c r="Q1584" s="153">
        <v>0.44799999999999995</v>
      </c>
      <c r="R1584" s="153">
        <v>0.41600000000000009</v>
      </c>
      <c r="S1584" s="153">
        <v>0.01</v>
      </c>
      <c r="T1584" s="153">
        <v>0.02</v>
      </c>
      <c r="U1584" s="478">
        <v>2019</v>
      </c>
      <c r="V1584" s="24">
        <f t="shared" si="176"/>
        <v>2039</v>
      </c>
      <c r="W1584">
        <v>0</v>
      </c>
      <c r="X1584">
        <v>0</v>
      </c>
      <c r="Y1584">
        <v>1315</v>
      </c>
      <c r="Z1584">
        <v>360</v>
      </c>
      <c r="AA1584" s="475" t="s">
        <v>24</v>
      </c>
    </row>
    <row r="1585" spans="1:27" ht="15" hidden="1">
      <c r="A1585">
        <v>10197</v>
      </c>
      <c r="B1585">
        <v>10197</v>
      </c>
      <c r="C1585" s="476" t="s">
        <v>1945</v>
      </c>
      <c r="D1585" s="606" t="s">
        <v>149</v>
      </c>
      <c r="E1585" s="477">
        <v>2</v>
      </c>
      <c r="F1585" s="471">
        <v>2</v>
      </c>
      <c r="G1585">
        <v>1</v>
      </c>
      <c r="H1585">
        <v>1</v>
      </c>
      <c r="I1585" s="472">
        <f t="shared" si="177"/>
        <v>0.40033333333333337</v>
      </c>
      <c r="J1585" s="153">
        <v>0.3706666666666667</v>
      </c>
      <c r="K1585" s="153">
        <v>0.3666666666666667</v>
      </c>
      <c r="L1585" s="153">
        <v>0.44799999999999995</v>
      </c>
      <c r="M1585" s="153">
        <v>0.41600000000000009</v>
      </c>
      <c r="N1585" s="472">
        <f t="shared" si="178"/>
        <v>0.40033333333333337</v>
      </c>
      <c r="O1585" s="153">
        <v>0.3706666666666667</v>
      </c>
      <c r="P1585" s="153">
        <v>0.3666666666666667</v>
      </c>
      <c r="Q1585" s="153">
        <v>0.44799999999999995</v>
      </c>
      <c r="R1585" s="153">
        <v>0.41600000000000009</v>
      </c>
      <c r="S1585" s="153">
        <v>0.01</v>
      </c>
      <c r="T1585" s="153">
        <v>0.02</v>
      </c>
      <c r="U1585" s="478">
        <v>2019</v>
      </c>
      <c r="V1585" s="24">
        <f t="shared" si="176"/>
        <v>2039</v>
      </c>
      <c r="W1585">
        <v>0</v>
      </c>
      <c r="X1585">
        <v>0</v>
      </c>
      <c r="Y1585">
        <v>1315</v>
      </c>
      <c r="Z1585">
        <v>360</v>
      </c>
      <c r="AA1585" s="475" t="s">
        <v>24</v>
      </c>
    </row>
    <row r="1586" spans="1:27" ht="15" hidden="1">
      <c r="A1586">
        <v>10198</v>
      </c>
      <c r="B1586">
        <v>10198</v>
      </c>
      <c r="C1586" s="476" t="s">
        <v>1946</v>
      </c>
      <c r="D1586" s="606" t="s">
        <v>149</v>
      </c>
      <c r="E1586" s="477">
        <v>2</v>
      </c>
      <c r="F1586" s="471">
        <v>2</v>
      </c>
      <c r="G1586">
        <v>1</v>
      </c>
      <c r="H1586">
        <v>1</v>
      </c>
      <c r="I1586" s="472">
        <f t="shared" si="177"/>
        <v>0.40033333333333337</v>
      </c>
      <c r="J1586" s="153">
        <v>0.3706666666666667</v>
      </c>
      <c r="K1586" s="153">
        <v>0.3666666666666667</v>
      </c>
      <c r="L1586" s="153">
        <v>0.44799999999999995</v>
      </c>
      <c r="M1586" s="153">
        <v>0.41600000000000009</v>
      </c>
      <c r="N1586" s="472">
        <f t="shared" si="178"/>
        <v>0.40033333333333337</v>
      </c>
      <c r="O1586" s="153">
        <v>0.3706666666666667</v>
      </c>
      <c r="P1586" s="153">
        <v>0.3666666666666667</v>
      </c>
      <c r="Q1586" s="153">
        <v>0.44799999999999995</v>
      </c>
      <c r="R1586" s="153">
        <v>0.41600000000000009</v>
      </c>
      <c r="S1586" s="153">
        <v>0.01</v>
      </c>
      <c r="T1586" s="153">
        <v>0.02</v>
      </c>
      <c r="U1586" s="478">
        <v>2019</v>
      </c>
      <c r="V1586" s="24">
        <f t="shared" si="176"/>
        <v>2039</v>
      </c>
      <c r="W1586">
        <v>0</v>
      </c>
      <c r="X1586">
        <v>0</v>
      </c>
      <c r="Y1586">
        <v>1315</v>
      </c>
      <c r="Z1586">
        <v>360</v>
      </c>
      <c r="AA1586" s="475" t="s">
        <v>24</v>
      </c>
    </row>
    <row r="1587" spans="1:27" ht="15" hidden="1">
      <c r="A1587">
        <v>10199</v>
      </c>
      <c r="B1587">
        <v>10199</v>
      </c>
      <c r="C1587" s="476" t="s">
        <v>1947</v>
      </c>
      <c r="D1587" s="606" t="s">
        <v>149</v>
      </c>
      <c r="E1587" s="477">
        <v>2</v>
      </c>
      <c r="F1587" s="471">
        <v>2</v>
      </c>
      <c r="G1587">
        <v>1</v>
      </c>
      <c r="H1587">
        <v>1</v>
      </c>
      <c r="I1587" s="472">
        <f t="shared" si="177"/>
        <v>0.40033333333333337</v>
      </c>
      <c r="J1587" s="153">
        <v>0.3706666666666667</v>
      </c>
      <c r="K1587" s="153">
        <v>0.3666666666666667</v>
      </c>
      <c r="L1587" s="153">
        <v>0.44799999999999995</v>
      </c>
      <c r="M1587" s="153">
        <v>0.41600000000000009</v>
      </c>
      <c r="N1587" s="472">
        <f t="shared" si="178"/>
        <v>0.40033333333333337</v>
      </c>
      <c r="O1587" s="153">
        <v>0.3706666666666667</v>
      </c>
      <c r="P1587" s="153">
        <v>0.3666666666666667</v>
      </c>
      <c r="Q1587" s="153">
        <v>0.44799999999999995</v>
      </c>
      <c r="R1587" s="153">
        <v>0.41600000000000009</v>
      </c>
      <c r="S1587" s="153">
        <v>0.01</v>
      </c>
      <c r="T1587" s="153">
        <v>0.02</v>
      </c>
      <c r="U1587" s="478">
        <v>2019</v>
      </c>
      <c r="V1587" s="24">
        <f t="shared" si="176"/>
        <v>2039</v>
      </c>
      <c r="W1587">
        <v>0</v>
      </c>
      <c r="X1587">
        <v>0</v>
      </c>
      <c r="Y1587">
        <v>1315</v>
      </c>
      <c r="Z1587">
        <v>360</v>
      </c>
      <c r="AA1587" s="475" t="s">
        <v>24</v>
      </c>
    </row>
    <row r="1588" spans="1:27" ht="15" hidden="1">
      <c r="A1588">
        <v>10200</v>
      </c>
      <c r="B1588">
        <v>10200</v>
      </c>
      <c r="C1588" s="476" t="s">
        <v>1948</v>
      </c>
      <c r="D1588" s="606" t="s">
        <v>149</v>
      </c>
      <c r="E1588" s="477">
        <v>2</v>
      </c>
      <c r="F1588" s="471">
        <v>2</v>
      </c>
      <c r="G1588">
        <v>1</v>
      </c>
      <c r="H1588">
        <v>1</v>
      </c>
      <c r="I1588" s="472">
        <f t="shared" si="177"/>
        <v>0.40033333333333337</v>
      </c>
      <c r="J1588" s="153">
        <v>0.3706666666666667</v>
      </c>
      <c r="K1588" s="153">
        <v>0.3666666666666667</v>
      </c>
      <c r="L1588" s="153">
        <v>0.44799999999999995</v>
      </c>
      <c r="M1588" s="153">
        <v>0.41600000000000009</v>
      </c>
      <c r="N1588" s="472">
        <f t="shared" si="178"/>
        <v>0.40033333333333337</v>
      </c>
      <c r="O1588" s="153">
        <v>0.3706666666666667</v>
      </c>
      <c r="P1588" s="153">
        <v>0.3666666666666667</v>
      </c>
      <c r="Q1588" s="153">
        <v>0.44799999999999995</v>
      </c>
      <c r="R1588" s="153">
        <v>0.41600000000000009</v>
      </c>
      <c r="S1588" s="153">
        <v>0.01</v>
      </c>
      <c r="T1588" s="153">
        <v>0.02</v>
      </c>
      <c r="U1588" s="478">
        <v>2019</v>
      </c>
      <c r="V1588" s="24">
        <f t="shared" si="176"/>
        <v>2039</v>
      </c>
      <c r="W1588">
        <v>0</v>
      </c>
      <c r="X1588">
        <v>0</v>
      </c>
      <c r="Y1588">
        <v>1315</v>
      </c>
      <c r="Z1588">
        <v>360</v>
      </c>
      <c r="AA1588" s="475" t="s">
        <v>24</v>
      </c>
    </row>
    <row r="1589" spans="1:27" ht="15" hidden="1">
      <c r="A1589">
        <v>10201</v>
      </c>
      <c r="B1589">
        <v>10201</v>
      </c>
      <c r="C1589" s="476" t="s">
        <v>1949</v>
      </c>
      <c r="D1589" s="606" t="s">
        <v>149</v>
      </c>
      <c r="E1589" s="477">
        <v>2</v>
      </c>
      <c r="F1589" s="154">
        <v>2</v>
      </c>
      <c r="G1589">
        <v>1</v>
      </c>
      <c r="H1589">
        <v>1</v>
      </c>
      <c r="I1589" s="472">
        <f t="shared" si="177"/>
        <v>0.40033333333333337</v>
      </c>
      <c r="J1589" s="153">
        <v>0.3706666666666667</v>
      </c>
      <c r="K1589" s="153">
        <v>0.3666666666666667</v>
      </c>
      <c r="L1589" s="153">
        <v>0.44799999999999995</v>
      </c>
      <c r="M1589" s="153">
        <v>0.41600000000000009</v>
      </c>
      <c r="N1589" s="472">
        <f t="shared" si="178"/>
        <v>0.40033333333333337</v>
      </c>
      <c r="O1589" s="153">
        <v>0.3706666666666667</v>
      </c>
      <c r="P1589" s="153">
        <v>0.3666666666666667</v>
      </c>
      <c r="Q1589" s="153">
        <v>0.44799999999999995</v>
      </c>
      <c r="R1589" s="153">
        <v>0.41600000000000009</v>
      </c>
      <c r="S1589" s="153">
        <v>0.01</v>
      </c>
      <c r="T1589" s="153">
        <v>0.02</v>
      </c>
      <c r="U1589" s="478">
        <v>2019</v>
      </c>
      <c r="V1589" s="24">
        <f t="shared" si="176"/>
        <v>2039</v>
      </c>
      <c r="W1589">
        <v>0</v>
      </c>
      <c r="X1589">
        <v>0</v>
      </c>
      <c r="Y1589">
        <v>1315</v>
      </c>
      <c r="Z1589">
        <v>360</v>
      </c>
      <c r="AA1589" s="475" t="s">
        <v>24</v>
      </c>
    </row>
    <row r="1590" spans="1:27" ht="15" hidden="1">
      <c r="A1590">
        <v>10202</v>
      </c>
      <c r="B1590">
        <v>10202</v>
      </c>
      <c r="C1590" s="476" t="s">
        <v>1950</v>
      </c>
      <c r="D1590" t="s">
        <v>152</v>
      </c>
      <c r="E1590" s="477">
        <v>3</v>
      </c>
      <c r="F1590" s="471">
        <v>10.5</v>
      </c>
      <c r="G1590">
        <v>1</v>
      </c>
      <c r="H1590">
        <v>1</v>
      </c>
      <c r="I1590" s="472">
        <f>AVERAGE(J1590:M1590)</f>
        <v>0.26420000000000005</v>
      </c>
      <c r="J1590" s="33">
        <v>0.29123333333333334</v>
      </c>
      <c r="K1590" s="33">
        <f t="shared" ref="K1590:K1599" si="179">0.296266666666667-0.07</f>
        <v>0.226266666666667</v>
      </c>
      <c r="L1590" s="33">
        <f t="shared" ref="L1590:L1599" si="180">0.3193-0.07</f>
        <v>0.24929999999999997</v>
      </c>
      <c r="M1590" s="33">
        <v>0.28999999999999998</v>
      </c>
      <c r="N1590" s="472">
        <f>AVERAGE(O1590:R1590)</f>
        <v>0.26420000000000005</v>
      </c>
      <c r="O1590" s="33">
        <v>0.29123333333333334</v>
      </c>
      <c r="P1590" s="33">
        <f t="shared" ref="P1590:P1599" si="181">0.296266666666667-0.07</f>
        <v>0.226266666666667</v>
      </c>
      <c r="Q1590" s="33">
        <f t="shared" ref="Q1590:Q1599" si="182">0.3193-0.07</f>
        <v>0.24929999999999997</v>
      </c>
      <c r="R1590" s="33">
        <v>0.28999999999999998</v>
      </c>
      <c r="S1590" s="153">
        <v>0.04</v>
      </c>
      <c r="T1590" s="153">
        <v>0</v>
      </c>
      <c r="U1590" s="478">
        <v>2019</v>
      </c>
      <c r="V1590" s="24">
        <f t="shared" si="176"/>
        <v>2039</v>
      </c>
      <c r="W1590">
        <v>0</v>
      </c>
      <c r="X1590">
        <v>0</v>
      </c>
      <c r="Y1590">
        <v>1315</v>
      </c>
      <c r="Z1590">
        <v>347</v>
      </c>
      <c r="AA1590" s="475" t="s">
        <v>25</v>
      </c>
    </row>
    <row r="1591" spans="1:27" ht="15" hidden="1">
      <c r="A1591">
        <v>10203</v>
      </c>
      <c r="B1591">
        <v>10203</v>
      </c>
      <c r="C1591" s="476" t="s">
        <v>1663</v>
      </c>
      <c r="D1591" t="s">
        <v>152</v>
      </c>
      <c r="E1591" s="477">
        <v>3</v>
      </c>
      <c r="F1591" s="471">
        <v>27</v>
      </c>
      <c r="G1591">
        <v>1</v>
      </c>
      <c r="H1591">
        <v>1</v>
      </c>
      <c r="I1591" s="472">
        <f t="shared" ref="I1591:I1608" si="183">AVERAGE(J1591:M1591)</f>
        <v>0.26420000000000005</v>
      </c>
      <c r="J1591" s="33">
        <v>0.29123333333333334</v>
      </c>
      <c r="K1591" s="33">
        <f t="shared" si="179"/>
        <v>0.226266666666667</v>
      </c>
      <c r="L1591" s="33">
        <f t="shared" si="180"/>
        <v>0.24929999999999997</v>
      </c>
      <c r="M1591" s="33">
        <v>0.28999999999999998</v>
      </c>
      <c r="N1591" s="472">
        <f t="shared" ref="N1591:N1608" si="184">AVERAGE(O1591:R1591)</f>
        <v>0.26420000000000005</v>
      </c>
      <c r="O1591" s="33">
        <v>0.29123333333333334</v>
      </c>
      <c r="P1591" s="33">
        <f t="shared" si="181"/>
        <v>0.226266666666667</v>
      </c>
      <c r="Q1591" s="33">
        <f t="shared" si="182"/>
        <v>0.24929999999999997</v>
      </c>
      <c r="R1591" s="33">
        <v>0.28999999999999998</v>
      </c>
      <c r="S1591" s="153">
        <v>0.04</v>
      </c>
      <c r="T1591" s="153">
        <v>0</v>
      </c>
      <c r="U1591" s="478">
        <v>2019</v>
      </c>
      <c r="V1591" s="24">
        <f t="shared" si="176"/>
        <v>2039</v>
      </c>
      <c r="W1591">
        <v>0</v>
      </c>
      <c r="X1591">
        <v>0</v>
      </c>
      <c r="Y1591">
        <v>1315</v>
      </c>
      <c r="Z1591">
        <v>347</v>
      </c>
      <c r="AA1591" s="475" t="s">
        <v>25</v>
      </c>
    </row>
    <row r="1592" spans="1:27" ht="15" hidden="1">
      <c r="A1592">
        <v>10204</v>
      </c>
      <c r="B1592">
        <v>10204</v>
      </c>
      <c r="C1592" s="476" t="s">
        <v>1664</v>
      </c>
      <c r="D1592" t="s">
        <v>152</v>
      </c>
      <c r="E1592" s="477">
        <v>3</v>
      </c>
      <c r="F1592" s="471">
        <v>30</v>
      </c>
      <c r="G1592">
        <v>1</v>
      </c>
      <c r="H1592">
        <v>1</v>
      </c>
      <c r="I1592" s="472">
        <f t="shared" si="183"/>
        <v>0.26420000000000005</v>
      </c>
      <c r="J1592" s="33">
        <v>0.29123333333333334</v>
      </c>
      <c r="K1592" s="33">
        <f t="shared" si="179"/>
        <v>0.226266666666667</v>
      </c>
      <c r="L1592" s="33">
        <f t="shared" si="180"/>
        <v>0.24929999999999997</v>
      </c>
      <c r="M1592" s="33">
        <v>0.28999999999999998</v>
      </c>
      <c r="N1592" s="472">
        <f t="shared" si="184"/>
        <v>0.26420000000000005</v>
      </c>
      <c r="O1592" s="33">
        <v>0.29123333333333334</v>
      </c>
      <c r="P1592" s="33">
        <f t="shared" si="181"/>
        <v>0.226266666666667</v>
      </c>
      <c r="Q1592" s="33">
        <f t="shared" si="182"/>
        <v>0.24929999999999997</v>
      </c>
      <c r="R1592" s="33">
        <v>0.28999999999999998</v>
      </c>
      <c r="S1592" s="153">
        <v>0.04</v>
      </c>
      <c r="T1592" s="153">
        <v>0</v>
      </c>
      <c r="U1592" s="478">
        <v>2019</v>
      </c>
      <c r="V1592" s="24">
        <f t="shared" si="176"/>
        <v>2039</v>
      </c>
      <c r="W1592">
        <v>0</v>
      </c>
      <c r="X1592">
        <v>0</v>
      </c>
      <c r="Y1592">
        <v>1315</v>
      </c>
      <c r="Z1592">
        <v>347</v>
      </c>
      <c r="AA1592" s="475" t="s">
        <v>25</v>
      </c>
    </row>
    <row r="1593" spans="1:27" ht="15" hidden="1">
      <c r="A1593">
        <v>10205</v>
      </c>
      <c r="B1593">
        <v>10205</v>
      </c>
      <c r="C1593" s="476" t="s">
        <v>1645</v>
      </c>
      <c r="D1593" t="s">
        <v>152</v>
      </c>
      <c r="E1593" s="477">
        <v>3</v>
      </c>
      <c r="F1593" s="471">
        <v>30</v>
      </c>
      <c r="G1593">
        <v>1</v>
      </c>
      <c r="H1593">
        <v>1</v>
      </c>
      <c r="I1593" s="472">
        <f t="shared" si="183"/>
        <v>0.26420000000000005</v>
      </c>
      <c r="J1593" s="33">
        <v>0.29123333333333334</v>
      </c>
      <c r="K1593" s="33">
        <f t="shared" si="179"/>
        <v>0.226266666666667</v>
      </c>
      <c r="L1593" s="33">
        <f t="shared" si="180"/>
        <v>0.24929999999999997</v>
      </c>
      <c r="M1593" s="33">
        <v>0.28999999999999998</v>
      </c>
      <c r="N1593" s="472">
        <f t="shared" si="184"/>
        <v>0.26420000000000005</v>
      </c>
      <c r="O1593" s="33">
        <v>0.29123333333333334</v>
      </c>
      <c r="P1593" s="33">
        <f t="shared" si="181"/>
        <v>0.226266666666667</v>
      </c>
      <c r="Q1593" s="33">
        <f t="shared" si="182"/>
        <v>0.24929999999999997</v>
      </c>
      <c r="R1593" s="33">
        <v>0.28999999999999998</v>
      </c>
      <c r="S1593" s="153">
        <v>0.04</v>
      </c>
      <c r="T1593" s="153">
        <v>0</v>
      </c>
      <c r="U1593" s="478">
        <v>2019</v>
      </c>
      <c r="V1593" s="24">
        <f t="shared" si="176"/>
        <v>2039</v>
      </c>
      <c r="W1593">
        <v>0</v>
      </c>
      <c r="X1593">
        <v>0</v>
      </c>
      <c r="Y1593">
        <v>1315</v>
      </c>
      <c r="Z1593">
        <v>347</v>
      </c>
      <c r="AA1593" s="475" t="s">
        <v>25</v>
      </c>
    </row>
    <row r="1594" spans="1:27" ht="15" hidden="1">
      <c r="A1594">
        <v>10206</v>
      </c>
      <c r="B1594">
        <v>10206</v>
      </c>
      <c r="C1594" s="476" t="s">
        <v>1646</v>
      </c>
      <c r="D1594" t="s">
        <v>152</v>
      </c>
      <c r="E1594" s="477">
        <v>3</v>
      </c>
      <c r="F1594" s="154">
        <v>30</v>
      </c>
      <c r="G1594">
        <v>1</v>
      </c>
      <c r="H1594">
        <v>1</v>
      </c>
      <c r="I1594" s="472">
        <f t="shared" si="183"/>
        <v>0.26420000000000005</v>
      </c>
      <c r="J1594" s="33">
        <v>0.29123333333333334</v>
      </c>
      <c r="K1594" s="33">
        <f t="shared" si="179"/>
        <v>0.226266666666667</v>
      </c>
      <c r="L1594" s="33">
        <f t="shared" si="180"/>
        <v>0.24929999999999997</v>
      </c>
      <c r="M1594" s="33">
        <v>0.28999999999999998</v>
      </c>
      <c r="N1594" s="472">
        <f t="shared" si="184"/>
        <v>0.26420000000000005</v>
      </c>
      <c r="O1594" s="33">
        <v>0.29123333333333334</v>
      </c>
      <c r="P1594" s="33">
        <f t="shared" si="181"/>
        <v>0.226266666666667</v>
      </c>
      <c r="Q1594" s="33">
        <f t="shared" si="182"/>
        <v>0.24929999999999997</v>
      </c>
      <c r="R1594" s="33">
        <v>0.28999999999999998</v>
      </c>
      <c r="S1594" s="153">
        <v>0.04</v>
      </c>
      <c r="T1594" s="153">
        <v>0</v>
      </c>
      <c r="U1594" s="478">
        <v>2019</v>
      </c>
      <c r="V1594" s="24">
        <f t="shared" si="176"/>
        <v>2039</v>
      </c>
      <c r="W1594">
        <v>0</v>
      </c>
      <c r="X1594">
        <v>0</v>
      </c>
      <c r="Y1594">
        <v>1315</v>
      </c>
      <c r="Z1594">
        <v>347</v>
      </c>
      <c r="AA1594" s="475" t="s">
        <v>25</v>
      </c>
    </row>
    <row r="1595" spans="1:27" ht="15" hidden="1">
      <c r="A1595">
        <v>10207</v>
      </c>
      <c r="B1595">
        <v>10207</v>
      </c>
      <c r="C1595" s="476" t="s">
        <v>1647</v>
      </c>
      <c r="D1595" t="s">
        <v>152</v>
      </c>
      <c r="E1595" s="477">
        <v>3</v>
      </c>
      <c r="F1595" s="471">
        <v>30</v>
      </c>
      <c r="G1595">
        <v>1</v>
      </c>
      <c r="H1595">
        <v>1</v>
      </c>
      <c r="I1595" s="472">
        <f t="shared" si="183"/>
        <v>0.26420000000000005</v>
      </c>
      <c r="J1595" s="33">
        <v>0.29123333333333334</v>
      </c>
      <c r="K1595" s="33">
        <f t="shared" si="179"/>
        <v>0.226266666666667</v>
      </c>
      <c r="L1595" s="33">
        <f t="shared" si="180"/>
        <v>0.24929999999999997</v>
      </c>
      <c r="M1595" s="33">
        <v>0.28999999999999998</v>
      </c>
      <c r="N1595" s="472">
        <f t="shared" si="184"/>
        <v>0.26420000000000005</v>
      </c>
      <c r="O1595" s="33">
        <v>0.29123333333333334</v>
      </c>
      <c r="P1595" s="33">
        <f t="shared" si="181"/>
        <v>0.226266666666667</v>
      </c>
      <c r="Q1595" s="33">
        <f t="shared" si="182"/>
        <v>0.24929999999999997</v>
      </c>
      <c r="R1595" s="33">
        <v>0.28999999999999998</v>
      </c>
      <c r="S1595" s="153">
        <v>0.04</v>
      </c>
      <c r="T1595" s="153">
        <v>0</v>
      </c>
      <c r="U1595" s="478">
        <v>2019</v>
      </c>
      <c r="V1595" s="24">
        <f t="shared" si="176"/>
        <v>2039</v>
      </c>
      <c r="W1595">
        <v>0</v>
      </c>
      <c r="X1595">
        <v>0</v>
      </c>
      <c r="Y1595">
        <v>1315</v>
      </c>
      <c r="Z1595">
        <v>347</v>
      </c>
      <c r="AA1595" s="475" t="s">
        <v>25</v>
      </c>
    </row>
    <row r="1596" spans="1:27" ht="15" hidden="1">
      <c r="A1596">
        <v>10208</v>
      </c>
      <c r="B1596">
        <v>10208</v>
      </c>
      <c r="C1596" s="476" t="s">
        <v>1648</v>
      </c>
      <c r="D1596" t="s">
        <v>152</v>
      </c>
      <c r="E1596" s="477">
        <v>3</v>
      </c>
      <c r="F1596" s="471">
        <v>30</v>
      </c>
      <c r="G1596">
        <v>1</v>
      </c>
      <c r="H1596">
        <v>1</v>
      </c>
      <c r="I1596" s="472">
        <f t="shared" si="183"/>
        <v>0.26420000000000005</v>
      </c>
      <c r="J1596" s="33">
        <v>0.29123333333333334</v>
      </c>
      <c r="K1596" s="33">
        <f t="shared" si="179"/>
        <v>0.226266666666667</v>
      </c>
      <c r="L1596" s="33">
        <f t="shared" si="180"/>
        <v>0.24929999999999997</v>
      </c>
      <c r="M1596" s="33">
        <v>0.28999999999999998</v>
      </c>
      <c r="N1596" s="472">
        <f t="shared" si="184"/>
        <v>0.26420000000000005</v>
      </c>
      <c r="O1596" s="33">
        <v>0.29123333333333334</v>
      </c>
      <c r="P1596" s="33">
        <f t="shared" si="181"/>
        <v>0.226266666666667</v>
      </c>
      <c r="Q1596" s="33">
        <f t="shared" si="182"/>
        <v>0.24929999999999997</v>
      </c>
      <c r="R1596" s="33">
        <v>0.28999999999999998</v>
      </c>
      <c r="S1596" s="153">
        <v>0.04</v>
      </c>
      <c r="T1596" s="153">
        <v>0</v>
      </c>
      <c r="U1596" s="478">
        <v>2019</v>
      </c>
      <c r="V1596" s="24">
        <f t="shared" si="176"/>
        <v>2039</v>
      </c>
      <c r="W1596">
        <v>0</v>
      </c>
      <c r="X1596">
        <v>0</v>
      </c>
      <c r="Y1596">
        <v>1315</v>
      </c>
      <c r="Z1596">
        <v>347</v>
      </c>
      <c r="AA1596" s="475" t="s">
        <v>25</v>
      </c>
    </row>
    <row r="1597" spans="1:27" ht="15" hidden="1">
      <c r="A1597">
        <v>10209</v>
      </c>
      <c r="B1597">
        <v>10209</v>
      </c>
      <c r="C1597" s="476" t="s">
        <v>1951</v>
      </c>
      <c r="D1597" t="s">
        <v>152</v>
      </c>
      <c r="E1597" s="477">
        <v>3</v>
      </c>
      <c r="F1597" s="471">
        <v>27</v>
      </c>
      <c r="G1597">
        <v>1</v>
      </c>
      <c r="H1597">
        <v>1</v>
      </c>
      <c r="I1597" s="472">
        <f t="shared" si="183"/>
        <v>0.26420000000000005</v>
      </c>
      <c r="J1597" s="33">
        <v>0.29123333333333334</v>
      </c>
      <c r="K1597" s="33">
        <f t="shared" si="179"/>
        <v>0.226266666666667</v>
      </c>
      <c r="L1597" s="33">
        <f t="shared" si="180"/>
        <v>0.24929999999999997</v>
      </c>
      <c r="M1597" s="33">
        <v>0.28999999999999998</v>
      </c>
      <c r="N1597" s="472">
        <f t="shared" si="184"/>
        <v>0.26420000000000005</v>
      </c>
      <c r="O1597" s="33">
        <v>0.29123333333333334</v>
      </c>
      <c r="P1597" s="33">
        <f t="shared" si="181"/>
        <v>0.226266666666667</v>
      </c>
      <c r="Q1597" s="33">
        <f t="shared" si="182"/>
        <v>0.24929999999999997</v>
      </c>
      <c r="R1597" s="33">
        <v>0.28999999999999998</v>
      </c>
      <c r="S1597" s="153">
        <v>0.04</v>
      </c>
      <c r="T1597" s="153">
        <v>0</v>
      </c>
      <c r="U1597" s="478">
        <v>2019</v>
      </c>
      <c r="V1597" s="24">
        <f t="shared" ref="V1597:V1608" si="185">U1597+20</f>
        <v>2039</v>
      </c>
      <c r="W1597">
        <v>0</v>
      </c>
      <c r="X1597">
        <v>0</v>
      </c>
      <c r="Y1597">
        <v>1315</v>
      </c>
      <c r="Z1597">
        <v>347</v>
      </c>
      <c r="AA1597" s="475" t="s">
        <v>25</v>
      </c>
    </row>
    <row r="1598" spans="1:27" ht="15" hidden="1">
      <c r="A1598">
        <v>10210</v>
      </c>
      <c r="B1598">
        <v>10210</v>
      </c>
      <c r="C1598" s="476" t="s">
        <v>1952</v>
      </c>
      <c r="D1598" t="s">
        <v>152</v>
      </c>
      <c r="E1598" s="477">
        <v>3</v>
      </c>
      <c r="F1598" s="471">
        <v>27</v>
      </c>
      <c r="G1598">
        <v>1</v>
      </c>
      <c r="H1598">
        <v>1</v>
      </c>
      <c r="I1598" s="472">
        <f t="shared" si="183"/>
        <v>0.26420000000000005</v>
      </c>
      <c r="J1598" s="33">
        <v>0.29123333333333334</v>
      </c>
      <c r="K1598" s="33">
        <f t="shared" si="179"/>
        <v>0.226266666666667</v>
      </c>
      <c r="L1598" s="33">
        <f t="shared" si="180"/>
        <v>0.24929999999999997</v>
      </c>
      <c r="M1598" s="33">
        <v>0.28999999999999998</v>
      </c>
      <c r="N1598" s="472">
        <f t="shared" si="184"/>
        <v>0.26420000000000005</v>
      </c>
      <c r="O1598" s="33">
        <v>0.29123333333333334</v>
      </c>
      <c r="P1598" s="33">
        <f t="shared" si="181"/>
        <v>0.226266666666667</v>
      </c>
      <c r="Q1598" s="33">
        <f t="shared" si="182"/>
        <v>0.24929999999999997</v>
      </c>
      <c r="R1598" s="33">
        <v>0.28999999999999998</v>
      </c>
      <c r="S1598" s="153">
        <v>0.04</v>
      </c>
      <c r="T1598" s="153">
        <v>0</v>
      </c>
      <c r="U1598" s="478">
        <v>2019</v>
      </c>
      <c r="V1598" s="24">
        <f t="shared" si="185"/>
        <v>2039</v>
      </c>
      <c r="W1598">
        <v>0</v>
      </c>
      <c r="X1598">
        <v>0</v>
      </c>
      <c r="Y1598">
        <v>1315</v>
      </c>
      <c r="Z1598">
        <v>347</v>
      </c>
      <c r="AA1598" s="475" t="s">
        <v>25</v>
      </c>
    </row>
    <row r="1599" spans="1:27" ht="15" hidden="1">
      <c r="A1599">
        <v>10211</v>
      </c>
      <c r="B1599">
        <v>10211</v>
      </c>
      <c r="C1599" s="476" t="s">
        <v>1953</v>
      </c>
      <c r="D1599" t="s">
        <v>152</v>
      </c>
      <c r="E1599" s="477">
        <v>3</v>
      </c>
      <c r="F1599" s="154">
        <v>27</v>
      </c>
      <c r="G1599">
        <v>1</v>
      </c>
      <c r="H1599">
        <v>1</v>
      </c>
      <c r="I1599" s="472">
        <f t="shared" si="183"/>
        <v>0.26420000000000005</v>
      </c>
      <c r="J1599" s="33">
        <v>0.29123333333333334</v>
      </c>
      <c r="K1599" s="33">
        <f t="shared" si="179"/>
        <v>0.226266666666667</v>
      </c>
      <c r="L1599" s="33">
        <f t="shared" si="180"/>
        <v>0.24929999999999997</v>
      </c>
      <c r="M1599" s="33">
        <v>0.28999999999999998</v>
      </c>
      <c r="N1599" s="472">
        <f t="shared" si="184"/>
        <v>0.26420000000000005</v>
      </c>
      <c r="O1599" s="33">
        <v>0.29123333333333334</v>
      </c>
      <c r="P1599" s="33">
        <f t="shared" si="181"/>
        <v>0.226266666666667</v>
      </c>
      <c r="Q1599" s="33">
        <f t="shared" si="182"/>
        <v>0.24929999999999997</v>
      </c>
      <c r="R1599" s="33">
        <v>0.28999999999999998</v>
      </c>
      <c r="S1599" s="153">
        <v>0.04</v>
      </c>
      <c r="T1599" s="153">
        <v>0</v>
      </c>
      <c r="U1599" s="478">
        <v>2019</v>
      </c>
      <c r="V1599" s="24">
        <f t="shared" si="185"/>
        <v>2039</v>
      </c>
      <c r="W1599">
        <v>0</v>
      </c>
      <c r="X1599">
        <v>0</v>
      </c>
      <c r="Y1599">
        <v>1315</v>
      </c>
      <c r="Z1599">
        <v>347</v>
      </c>
      <c r="AA1599" s="475" t="s">
        <v>25</v>
      </c>
    </row>
    <row r="1600" spans="1:27" ht="15" hidden="1">
      <c r="A1600">
        <v>10252</v>
      </c>
      <c r="B1600">
        <v>10252</v>
      </c>
      <c r="C1600" s="476" t="s">
        <v>1642</v>
      </c>
      <c r="D1600" t="s">
        <v>150</v>
      </c>
      <c r="E1600" s="477">
        <v>1</v>
      </c>
      <c r="F1600" s="471">
        <v>25</v>
      </c>
      <c r="G1600">
        <v>1</v>
      </c>
      <c r="H1600">
        <v>1</v>
      </c>
      <c r="I1600" s="472">
        <f t="shared" si="183"/>
        <v>0.25418333333333343</v>
      </c>
      <c r="J1600" s="33">
        <v>0.29116666666666663</v>
      </c>
      <c r="K1600" s="33">
        <f t="shared" ref="K1600:K1608" si="186">0.2844-0.07</f>
        <v>0.21439999999999998</v>
      </c>
      <c r="L1600" s="33">
        <f t="shared" ref="L1600:L1608" si="187">0.291166666666667-0.07</f>
        <v>0.22116666666666701</v>
      </c>
      <c r="M1600" s="33">
        <v>0.28999999999999998</v>
      </c>
      <c r="N1600" s="472">
        <f t="shared" si="184"/>
        <v>0.25418333333333343</v>
      </c>
      <c r="O1600" s="33">
        <v>0.29116666666666663</v>
      </c>
      <c r="P1600" s="33">
        <f t="shared" ref="P1600:P1608" si="188">0.2844-0.07</f>
        <v>0.21439999999999998</v>
      </c>
      <c r="Q1600" s="33">
        <f t="shared" ref="Q1600:Q1608" si="189">0.291166666666667-0.07</f>
        <v>0.22116666666666701</v>
      </c>
      <c r="R1600" s="33">
        <v>0.28999999999999998</v>
      </c>
      <c r="S1600" s="153">
        <v>0.04</v>
      </c>
      <c r="T1600" s="153">
        <v>0</v>
      </c>
      <c r="U1600" s="478">
        <v>2019</v>
      </c>
      <c r="V1600" s="24">
        <f t="shared" si="185"/>
        <v>2039</v>
      </c>
      <c r="W1600">
        <v>0</v>
      </c>
      <c r="X1600">
        <v>0</v>
      </c>
      <c r="Y1600">
        <v>1315</v>
      </c>
      <c r="Z1600">
        <v>347</v>
      </c>
      <c r="AA1600" s="475" t="s">
        <v>25</v>
      </c>
    </row>
    <row r="1601" spans="1:27" ht="15" hidden="1">
      <c r="A1601">
        <v>10253</v>
      </c>
      <c r="B1601">
        <v>10253</v>
      </c>
      <c r="C1601" s="476" t="s">
        <v>1643</v>
      </c>
      <c r="D1601" t="s">
        <v>150</v>
      </c>
      <c r="E1601" s="477">
        <v>1</v>
      </c>
      <c r="F1601" s="471">
        <v>25</v>
      </c>
      <c r="G1601">
        <v>1</v>
      </c>
      <c r="H1601">
        <v>1</v>
      </c>
      <c r="I1601" s="472">
        <f t="shared" si="183"/>
        <v>0.25418333333333343</v>
      </c>
      <c r="J1601" s="33">
        <v>0.29116666666666663</v>
      </c>
      <c r="K1601" s="33">
        <f t="shared" si="186"/>
        <v>0.21439999999999998</v>
      </c>
      <c r="L1601" s="33">
        <f t="shared" si="187"/>
        <v>0.22116666666666701</v>
      </c>
      <c r="M1601" s="33">
        <v>0.28999999999999998</v>
      </c>
      <c r="N1601" s="472">
        <f t="shared" si="184"/>
        <v>0.25418333333333343</v>
      </c>
      <c r="O1601" s="33">
        <v>0.29116666666666663</v>
      </c>
      <c r="P1601" s="33">
        <f t="shared" si="188"/>
        <v>0.21439999999999998</v>
      </c>
      <c r="Q1601" s="33">
        <f t="shared" si="189"/>
        <v>0.22116666666666701</v>
      </c>
      <c r="R1601" s="33">
        <v>0.28999999999999998</v>
      </c>
      <c r="S1601" s="153">
        <v>0.04</v>
      </c>
      <c r="T1601" s="153">
        <v>0</v>
      </c>
      <c r="U1601" s="478">
        <v>2019</v>
      </c>
      <c r="V1601" s="24">
        <f t="shared" si="185"/>
        <v>2039</v>
      </c>
      <c r="W1601">
        <v>0</v>
      </c>
      <c r="X1601">
        <v>0</v>
      </c>
      <c r="Y1601">
        <v>1315</v>
      </c>
      <c r="Z1601">
        <v>347</v>
      </c>
      <c r="AA1601" s="475" t="s">
        <v>25</v>
      </c>
    </row>
    <row r="1602" spans="1:27" ht="15" hidden="1">
      <c r="A1602">
        <v>10254</v>
      </c>
      <c r="B1602">
        <v>10254</v>
      </c>
      <c r="C1602" s="476" t="s">
        <v>1644</v>
      </c>
      <c r="D1602" t="s">
        <v>150</v>
      </c>
      <c r="E1602" s="477">
        <v>1</v>
      </c>
      <c r="F1602" s="471">
        <v>25</v>
      </c>
      <c r="G1602">
        <v>1</v>
      </c>
      <c r="H1602">
        <v>1</v>
      </c>
      <c r="I1602" s="472">
        <f t="shared" si="183"/>
        <v>0.25418333333333343</v>
      </c>
      <c r="J1602" s="33">
        <v>0.29116666666666663</v>
      </c>
      <c r="K1602" s="33">
        <f t="shared" si="186"/>
        <v>0.21439999999999998</v>
      </c>
      <c r="L1602" s="33">
        <f t="shared" si="187"/>
        <v>0.22116666666666701</v>
      </c>
      <c r="M1602" s="33">
        <v>0.28999999999999998</v>
      </c>
      <c r="N1602" s="472">
        <f t="shared" si="184"/>
        <v>0.25418333333333343</v>
      </c>
      <c r="O1602" s="33">
        <v>0.29116666666666663</v>
      </c>
      <c r="P1602" s="33">
        <f t="shared" si="188"/>
        <v>0.21439999999999998</v>
      </c>
      <c r="Q1602" s="33">
        <f t="shared" si="189"/>
        <v>0.22116666666666701</v>
      </c>
      <c r="R1602" s="33">
        <v>0.28999999999999998</v>
      </c>
      <c r="S1602" s="153">
        <v>0.04</v>
      </c>
      <c r="T1602" s="153">
        <v>0</v>
      </c>
      <c r="U1602" s="478">
        <v>2019</v>
      </c>
      <c r="V1602" s="24">
        <f t="shared" si="185"/>
        <v>2039</v>
      </c>
      <c r="W1602">
        <v>0</v>
      </c>
      <c r="X1602">
        <v>0</v>
      </c>
      <c r="Y1602">
        <v>1315</v>
      </c>
      <c r="Z1602">
        <v>347</v>
      </c>
      <c r="AA1602" s="475" t="s">
        <v>25</v>
      </c>
    </row>
    <row r="1603" spans="1:27" ht="15" hidden="1">
      <c r="A1603">
        <v>10255</v>
      </c>
      <c r="B1603">
        <v>10255</v>
      </c>
      <c r="C1603" s="476" t="s">
        <v>1546</v>
      </c>
      <c r="D1603" t="s">
        <v>150</v>
      </c>
      <c r="E1603" s="477">
        <v>1</v>
      </c>
      <c r="F1603" s="471">
        <v>5</v>
      </c>
      <c r="G1603">
        <v>1</v>
      </c>
      <c r="H1603">
        <v>1</v>
      </c>
      <c r="I1603" s="472">
        <f t="shared" si="183"/>
        <v>0.25418333333333343</v>
      </c>
      <c r="J1603" s="33">
        <v>0.29116666666666663</v>
      </c>
      <c r="K1603" s="33">
        <f t="shared" si="186"/>
        <v>0.21439999999999998</v>
      </c>
      <c r="L1603" s="33">
        <f t="shared" si="187"/>
        <v>0.22116666666666701</v>
      </c>
      <c r="M1603" s="33">
        <v>0.28999999999999998</v>
      </c>
      <c r="N1603" s="472">
        <f t="shared" si="184"/>
        <v>0.25418333333333343</v>
      </c>
      <c r="O1603" s="33">
        <v>0.29116666666666663</v>
      </c>
      <c r="P1603" s="33">
        <f t="shared" si="188"/>
        <v>0.21439999999999998</v>
      </c>
      <c r="Q1603" s="33">
        <f t="shared" si="189"/>
        <v>0.22116666666666701</v>
      </c>
      <c r="R1603" s="33">
        <v>0.28999999999999998</v>
      </c>
      <c r="S1603" s="153">
        <v>0.04</v>
      </c>
      <c r="T1603" s="153">
        <v>0</v>
      </c>
      <c r="U1603" s="478">
        <v>2019</v>
      </c>
      <c r="V1603" s="24">
        <f t="shared" si="185"/>
        <v>2039</v>
      </c>
      <c r="W1603">
        <v>0</v>
      </c>
      <c r="X1603">
        <v>0</v>
      </c>
      <c r="Y1603">
        <v>1315</v>
      </c>
      <c r="Z1603">
        <v>347</v>
      </c>
      <c r="AA1603" s="475" t="s">
        <v>25</v>
      </c>
    </row>
    <row r="1604" spans="1:27" ht="15" hidden="1">
      <c r="A1604">
        <v>10256</v>
      </c>
      <c r="B1604">
        <v>10256</v>
      </c>
      <c r="C1604" s="476" t="s">
        <v>1954</v>
      </c>
      <c r="D1604" t="s">
        <v>150</v>
      </c>
      <c r="E1604" s="477">
        <v>1</v>
      </c>
      <c r="F1604" s="154">
        <v>30</v>
      </c>
      <c r="G1604">
        <v>1</v>
      </c>
      <c r="H1604">
        <v>1</v>
      </c>
      <c r="I1604" s="472">
        <f t="shared" si="183"/>
        <v>0.25418333333333343</v>
      </c>
      <c r="J1604" s="33">
        <v>0.29116666666666663</v>
      </c>
      <c r="K1604" s="33">
        <f t="shared" si="186"/>
        <v>0.21439999999999998</v>
      </c>
      <c r="L1604" s="33">
        <f t="shared" si="187"/>
        <v>0.22116666666666701</v>
      </c>
      <c r="M1604" s="33">
        <v>0.28999999999999998</v>
      </c>
      <c r="N1604" s="472">
        <f t="shared" si="184"/>
        <v>0.25418333333333343</v>
      </c>
      <c r="O1604" s="33">
        <v>0.29116666666666663</v>
      </c>
      <c r="P1604" s="33">
        <f t="shared" si="188"/>
        <v>0.21439999999999998</v>
      </c>
      <c r="Q1604" s="33">
        <f t="shared" si="189"/>
        <v>0.22116666666666701</v>
      </c>
      <c r="R1604" s="33">
        <v>0.28999999999999998</v>
      </c>
      <c r="S1604" s="153">
        <v>0.04</v>
      </c>
      <c r="T1604" s="153">
        <v>0</v>
      </c>
      <c r="U1604" s="478">
        <v>2019</v>
      </c>
      <c r="V1604" s="24">
        <f t="shared" si="185"/>
        <v>2039</v>
      </c>
      <c r="W1604">
        <v>0</v>
      </c>
      <c r="X1604">
        <v>0</v>
      </c>
      <c r="Y1604">
        <v>1315</v>
      </c>
      <c r="Z1604">
        <v>347</v>
      </c>
      <c r="AA1604" s="475" t="s">
        <v>25</v>
      </c>
    </row>
    <row r="1605" spans="1:27" ht="15" hidden="1">
      <c r="A1605">
        <v>10257</v>
      </c>
      <c r="B1605">
        <v>10257</v>
      </c>
      <c r="C1605" s="476" t="s">
        <v>1955</v>
      </c>
      <c r="D1605" t="s">
        <v>150</v>
      </c>
      <c r="E1605" s="477">
        <v>1</v>
      </c>
      <c r="F1605" s="471">
        <v>30</v>
      </c>
      <c r="G1605">
        <v>1</v>
      </c>
      <c r="H1605">
        <v>1</v>
      </c>
      <c r="I1605" s="472">
        <f t="shared" si="183"/>
        <v>0.25418333333333343</v>
      </c>
      <c r="J1605" s="33">
        <v>0.29116666666666663</v>
      </c>
      <c r="K1605" s="33">
        <f t="shared" si="186"/>
        <v>0.21439999999999998</v>
      </c>
      <c r="L1605" s="33">
        <f t="shared" si="187"/>
        <v>0.22116666666666701</v>
      </c>
      <c r="M1605" s="33">
        <v>0.28999999999999998</v>
      </c>
      <c r="N1605" s="472">
        <f t="shared" si="184"/>
        <v>0.25418333333333343</v>
      </c>
      <c r="O1605" s="33">
        <v>0.29116666666666663</v>
      </c>
      <c r="P1605" s="33">
        <f t="shared" si="188"/>
        <v>0.21439999999999998</v>
      </c>
      <c r="Q1605" s="33">
        <f t="shared" si="189"/>
        <v>0.22116666666666701</v>
      </c>
      <c r="R1605" s="33">
        <v>0.28999999999999998</v>
      </c>
      <c r="S1605" s="153">
        <v>0.04</v>
      </c>
      <c r="T1605" s="153">
        <v>0</v>
      </c>
      <c r="U1605" s="478">
        <v>2019</v>
      </c>
      <c r="V1605" s="24">
        <f t="shared" si="185"/>
        <v>2039</v>
      </c>
      <c r="W1605">
        <v>0</v>
      </c>
      <c r="X1605">
        <v>0</v>
      </c>
      <c r="Y1605">
        <v>1315</v>
      </c>
      <c r="Z1605">
        <v>347</v>
      </c>
      <c r="AA1605" s="475" t="s">
        <v>25</v>
      </c>
    </row>
    <row r="1606" spans="1:27" ht="15" hidden="1">
      <c r="A1606">
        <v>10258</v>
      </c>
      <c r="B1606">
        <v>10258</v>
      </c>
      <c r="C1606" s="476" t="s">
        <v>1956</v>
      </c>
      <c r="D1606" t="s">
        <v>150</v>
      </c>
      <c r="E1606" s="477">
        <v>1</v>
      </c>
      <c r="F1606" s="471">
        <v>30</v>
      </c>
      <c r="G1606">
        <v>1</v>
      </c>
      <c r="H1606">
        <v>1</v>
      </c>
      <c r="I1606" s="472">
        <f t="shared" si="183"/>
        <v>0.25418333333333343</v>
      </c>
      <c r="J1606" s="33">
        <v>0.29116666666666663</v>
      </c>
      <c r="K1606" s="33">
        <f t="shared" si="186"/>
        <v>0.21439999999999998</v>
      </c>
      <c r="L1606" s="33">
        <f t="shared" si="187"/>
        <v>0.22116666666666701</v>
      </c>
      <c r="M1606" s="33">
        <v>0.28999999999999998</v>
      </c>
      <c r="N1606" s="472">
        <f t="shared" si="184"/>
        <v>0.25418333333333343</v>
      </c>
      <c r="O1606" s="33">
        <v>0.29116666666666663</v>
      </c>
      <c r="P1606" s="33">
        <f t="shared" si="188"/>
        <v>0.21439999999999998</v>
      </c>
      <c r="Q1606" s="33">
        <f t="shared" si="189"/>
        <v>0.22116666666666701</v>
      </c>
      <c r="R1606" s="33">
        <v>0.28999999999999998</v>
      </c>
      <c r="S1606" s="153">
        <v>0.04</v>
      </c>
      <c r="T1606" s="153">
        <v>0</v>
      </c>
      <c r="U1606" s="478">
        <v>2019</v>
      </c>
      <c r="V1606" s="24">
        <f t="shared" si="185"/>
        <v>2039</v>
      </c>
      <c r="W1606">
        <v>0</v>
      </c>
      <c r="X1606">
        <v>0</v>
      </c>
      <c r="Y1606">
        <v>1315</v>
      </c>
      <c r="Z1606">
        <v>347</v>
      </c>
      <c r="AA1606" s="475" t="s">
        <v>25</v>
      </c>
    </row>
    <row r="1607" spans="1:27" ht="15" hidden="1">
      <c r="A1607">
        <v>10259</v>
      </c>
      <c r="B1607">
        <v>10259</v>
      </c>
      <c r="C1607" s="476" t="s">
        <v>1649</v>
      </c>
      <c r="D1607" t="s">
        <v>150</v>
      </c>
      <c r="E1607" s="477">
        <v>1</v>
      </c>
      <c r="F1607" s="471">
        <v>31</v>
      </c>
      <c r="G1607">
        <v>1</v>
      </c>
      <c r="H1607">
        <v>1</v>
      </c>
      <c r="I1607" s="472">
        <f t="shared" si="183"/>
        <v>0.25418333333333343</v>
      </c>
      <c r="J1607" s="33">
        <v>0.29116666666666663</v>
      </c>
      <c r="K1607" s="33">
        <f t="shared" si="186"/>
        <v>0.21439999999999998</v>
      </c>
      <c r="L1607" s="33">
        <f t="shared" si="187"/>
        <v>0.22116666666666701</v>
      </c>
      <c r="M1607" s="33">
        <v>0.28999999999999998</v>
      </c>
      <c r="N1607" s="472">
        <f t="shared" si="184"/>
        <v>0.25418333333333343</v>
      </c>
      <c r="O1607" s="33">
        <v>0.29116666666666663</v>
      </c>
      <c r="P1607" s="33">
        <f t="shared" si="188"/>
        <v>0.21439999999999998</v>
      </c>
      <c r="Q1607" s="33">
        <f t="shared" si="189"/>
        <v>0.22116666666666701</v>
      </c>
      <c r="R1607" s="33">
        <v>0.28999999999999998</v>
      </c>
      <c r="S1607" s="153">
        <v>0.04</v>
      </c>
      <c r="T1607" s="153">
        <v>0</v>
      </c>
      <c r="U1607" s="478">
        <v>2020</v>
      </c>
      <c r="V1607" s="24">
        <f t="shared" si="185"/>
        <v>2040</v>
      </c>
      <c r="W1607">
        <v>0</v>
      </c>
      <c r="X1607">
        <v>0</v>
      </c>
      <c r="Y1607">
        <v>1315</v>
      </c>
      <c r="Z1607">
        <v>347</v>
      </c>
      <c r="AA1607" s="475" t="s">
        <v>25</v>
      </c>
    </row>
    <row r="1608" spans="1:27" ht="15" hidden="1">
      <c r="A1608">
        <v>10260</v>
      </c>
      <c r="B1608">
        <v>10260</v>
      </c>
      <c r="C1608" s="476" t="s">
        <v>1650</v>
      </c>
      <c r="D1608" t="s">
        <v>150</v>
      </c>
      <c r="E1608" s="477">
        <v>1</v>
      </c>
      <c r="F1608" s="471">
        <v>31</v>
      </c>
      <c r="G1608">
        <v>1</v>
      </c>
      <c r="H1608">
        <v>1</v>
      </c>
      <c r="I1608" s="472">
        <f t="shared" si="183"/>
        <v>0.25418333333333343</v>
      </c>
      <c r="J1608" s="33">
        <v>0.29116666666666663</v>
      </c>
      <c r="K1608" s="33">
        <f t="shared" si="186"/>
        <v>0.21439999999999998</v>
      </c>
      <c r="L1608" s="33">
        <f t="shared" si="187"/>
        <v>0.22116666666666701</v>
      </c>
      <c r="M1608" s="33">
        <v>0.28999999999999998</v>
      </c>
      <c r="N1608" s="472">
        <f t="shared" si="184"/>
        <v>0.25418333333333343</v>
      </c>
      <c r="O1608" s="33">
        <v>0.29116666666666663</v>
      </c>
      <c r="P1608" s="33">
        <f t="shared" si="188"/>
        <v>0.21439999999999998</v>
      </c>
      <c r="Q1608" s="33">
        <f t="shared" si="189"/>
        <v>0.22116666666666701</v>
      </c>
      <c r="R1608" s="33">
        <v>0.28999999999999998</v>
      </c>
      <c r="S1608" s="153">
        <v>0.04</v>
      </c>
      <c r="T1608" s="153">
        <v>0</v>
      </c>
      <c r="U1608" s="478">
        <v>2020</v>
      </c>
      <c r="V1608" s="24">
        <f t="shared" si="185"/>
        <v>2040</v>
      </c>
      <c r="W1608">
        <v>0</v>
      </c>
      <c r="X1608">
        <v>0</v>
      </c>
      <c r="Y1608">
        <v>1315</v>
      </c>
      <c r="Z1608">
        <v>347</v>
      </c>
      <c r="AA1608" s="475" t="s">
        <v>25</v>
      </c>
    </row>
  </sheetData>
  <autoFilter ref="A1:AB1608" xr:uid="{00000000-0009-0000-0000-000007000000}">
    <filterColumn colId="4">
      <filters>
        <filter val="3"/>
      </filters>
    </filterColumn>
    <filterColumn colId="20">
      <filters>
        <filter val="1900"/>
        <filter val="1998"/>
        <filter val="1999"/>
        <filter val="2006"/>
        <filter val="2007"/>
        <filter val="2008"/>
        <filter val="2009"/>
        <filter val="2010"/>
        <filter val="2011"/>
        <filter val="2012"/>
        <filter val="2013"/>
        <filter val="2014"/>
        <filter val="2015"/>
      </filters>
    </filterColumn>
    <filterColumn colId="26">
      <filters>
        <filter val="Eólica"/>
      </filters>
    </filterColumn>
  </autoFilter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Plan8"/>
  <dimension ref="A1:AB162"/>
  <sheetViews>
    <sheetView zoomScale="85" zoomScaleNormal="85" workbookViewId="0">
      <pane xSplit="10" ySplit="1" topLeftCell="K121" activePane="bottomRight" state="frozen"/>
      <selection pane="bottomRight" activeCell="J2" sqref="J2:J159"/>
      <selection pane="bottomLeft" activeCell="A2" sqref="A2"/>
      <selection pane="topRight" activeCell="K1" sqref="K1"/>
    </sheetView>
  </sheetViews>
  <sheetFormatPr defaultColWidth="8.85546875" defaultRowHeight="12.75"/>
  <cols>
    <col min="1" max="1" width="8.85546875" style="492"/>
    <col min="2" max="2" width="8.85546875" style="486"/>
    <col min="3" max="3" width="22.140625" customWidth="1"/>
    <col min="4" max="4" width="15.28515625" customWidth="1"/>
    <col min="5" max="7" width="9.140625" customWidth="1"/>
    <col min="8" max="8" width="9.140625" style="486" customWidth="1"/>
    <col min="9" max="9" width="15.5703125" style="486" customWidth="1"/>
    <col min="10" max="10" width="9" style="493" bestFit="1" customWidth="1"/>
    <col min="11" max="12" width="8.85546875" style="135"/>
    <col min="13" max="13" width="11.28515625" bestFit="1" customWidth="1"/>
    <col min="14" max="14" width="11.7109375" customWidth="1"/>
    <col min="15" max="17" width="9.5703125" bestFit="1" customWidth="1"/>
    <col min="18" max="18" width="12.28515625" bestFit="1" customWidth="1"/>
    <col min="23" max="23" width="8.85546875" style="135"/>
    <col min="27" max="28" width="0" hidden="1" customWidth="1"/>
  </cols>
  <sheetData>
    <row r="1" spans="1:28" s="4" customFormat="1" ht="13.5" thickBot="1">
      <c r="A1" s="10" t="s">
        <v>1957</v>
      </c>
      <c r="B1" s="11" t="s">
        <v>1958</v>
      </c>
      <c r="C1" s="11" t="s">
        <v>1959</v>
      </c>
      <c r="D1" s="2" t="s">
        <v>1960</v>
      </c>
      <c r="E1" s="2" t="s">
        <v>1961</v>
      </c>
      <c r="F1" s="2" t="s">
        <v>1962</v>
      </c>
      <c r="G1" s="2" t="s">
        <v>1963</v>
      </c>
      <c r="H1" s="2" t="s">
        <v>135</v>
      </c>
      <c r="I1" s="11" t="s">
        <v>136</v>
      </c>
      <c r="J1" s="491" t="s">
        <v>160</v>
      </c>
      <c r="K1" s="11" t="s">
        <v>175</v>
      </c>
      <c r="L1" s="11" t="s">
        <v>176</v>
      </c>
      <c r="M1" s="12" t="s">
        <v>1964</v>
      </c>
      <c r="N1" s="13" t="s">
        <v>1965</v>
      </c>
      <c r="O1" s="13" t="s">
        <v>1966</v>
      </c>
      <c r="P1" s="13" t="s">
        <v>1967</v>
      </c>
      <c r="Q1" s="13" t="s">
        <v>1968</v>
      </c>
      <c r="R1" s="12" t="s">
        <v>1969</v>
      </c>
      <c r="S1" s="13" t="s">
        <v>1970</v>
      </c>
      <c r="T1" s="13" t="s">
        <v>1971</v>
      </c>
      <c r="U1" s="13" t="s">
        <v>1972</v>
      </c>
      <c r="V1" s="13" t="s">
        <v>1973</v>
      </c>
      <c r="W1" s="14" t="s">
        <v>273</v>
      </c>
      <c r="X1" s="14" t="s">
        <v>274</v>
      </c>
      <c r="Y1" s="11" t="s">
        <v>199</v>
      </c>
      <c r="Z1" s="15" t="s">
        <v>133</v>
      </c>
      <c r="AA1" s="16" t="s">
        <v>275</v>
      </c>
      <c r="AB1" s="11" t="s">
        <v>38</v>
      </c>
    </row>
    <row r="2" spans="1:28" ht="13.5" thickTop="1">
      <c r="A2" s="489">
        <v>1107</v>
      </c>
      <c r="B2" s="486">
        <v>99</v>
      </c>
      <c r="C2" s="156" t="s">
        <v>1974</v>
      </c>
      <c r="D2" s="156"/>
      <c r="E2" s="156"/>
      <c r="F2" s="156"/>
      <c r="G2" s="156"/>
      <c r="H2" s="486" t="s">
        <v>149</v>
      </c>
      <c r="I2" s="486">
        <v>2</v>
      </c>
      <c r="J2" s="493">
        <v>100</v>
      </c>
      <c r="K2" s="495">
        <v>1.6720000505447388E-2</v>
      </c>
      <c r="L2" s="495">
        <v>5.4029998779296873E-2</v>
      </c>
      <c r="M2" s="496">
        <f t="shared" ref="M2:M33" si="0">AVERAGE(N2:Q2)</f>
        <v>46.940461309523812</v>
      </c>
      <c r="N2" s="509">
        <v>31.793333333333333</v>
      </c>
      <c r="O2" s="509">
        <v>46.943928571428579</v>
      </c>
      <c r="P2" s="509">
        <v>66.346249999999998</v>
      </c>
      <c r="Q2" s="509">
        <v>42.678333333333335</v>
      </c>
      <c r="R2" s="497">
        <f t="shared" ref="R2:R33" si="1">AVERAGE(S2:V2)</f>
        <v>57.722009803921608</v>
      </c>
      <c r="S2" s="509">
        <v>42.307450980392161</v>
      </c>
      <c r="T2" s="509">
        <v>53.017411764705912</v>
      </c>
      <c r="U2" s="509">
        <v>77.396509803921646</v>
      </c>
      <c r="V2" s="509">
        <v>58.166666666666707</v>
      </c>
      <c r="W2" s="486">
        <v>1900</v>
      </c>
      <c r="X2" s="489">
        <v>2100</v>
      </c>
      <c r="Y2" s="156">
        <f>[3]constantes!$B$12</f>
        <v>0</v>
      </c>
      <c r="Z2" s="498">
        <v>318</v>
      </c>
      <c r="AA2" s="156"/>
      <c r="AB2" s="156"/>
    </row>
    <row r="3" spans="1:28">
      <c r="A3" s="489">
        <v>1015</v>
      </c>
      <c r="B3" s="486">
        <v>18</v>
      </c>
      <c r="C3" s="156" t="s">
        <v>1975</v>
      </c>
      <c r="D3" s="156"/>
      <c r="E3" s="156"/>
      <c r="F3" s="156"/>
      <c r="G3" s="156"/>
      <c r="H3" s="486" t="s">
        <v>146</v>
      </c>
      <c r="I3" s="486">
        <v>1</v>
      </c>
      <c r="J3" s="631">
        <f>1396.2+23</f>
        <v>1419.2</v>
      </c>
      <c r="K3" s="495">
        <v>2.9170000553131105E-2</v>
      </c>
      <c r="L3" s="495">
        <v>0.12121999740600586</v>
      </c>
      <c r="M3" s="496">
        <f t="shared" si="0"/>
        <v>733.80441964285717</v>
      </c>
      <c r="N3" s="509">
        <v>901.85666666666657</v>
      </c>
      <c r="O3" s="509">
        <v>701.20386904761915</v>
      </c>
      <c r="P3" s="509">
        <v>658.13583333333327</v>
      </c>
      <c r="Q3" s="509">
        <v>674.02130952380958</v>
      </c>
      <c r="R3" s="497">
        <f t="shared" si="1"/>
        <v>840.34005882352938</v>
      </c>
      <c r="S3" s="509">
        <v>1099.5054901960782</v>
      </c>
      <c r="T3" s="509">
        <v>802.37062745098012</v>
      </c>
      <c r="U3" s="509">
        <v>706.91478431372559</v>
      </c>
      <c r="V3" s="509">
        <v>752.56933333333336</v>
      </c>
      <c r="W3" s="486">
        <v>1900</v>
      </c>
      <c r="X3" s="489">
        <v>2100</v>
      </c>
      <c r="Y3" s="156">
        <f>[3]constantes!$B$12</f>
        <v>0</v>
      </c>
      <c r="Z3" s="498">
        <v>318</v>
      </c>
      <c r="AA3" s="156"/>
      <c r="AB3" s="156"/>
    </row>
    <row r="4" spans="1:28">
      <c r="A4" s="489">
        <v>1034</v>
      </c>
      <c r="B4" s="486">
        <v>47</v>
      </c>
      <c r="C4" s="156" t="s">
        <v>1976</v>
      </c>
      <c r="D4" s="156"/>
      <c r="E4" s="156"/>
      <c r="F4" s="156"/>
      <c r="G4" s="156"/>
      <c r="H4" s="486" t="s">
        <v>146</v>
      </c>
      <c r="I4" s="486">
        <v>1</v>
      </c>
      <c r="J4" s="493">
        <v>100.956</v>
      </c>
      <c r="K4" s="495">
        <v>1.6720000505447388E-2</v>
      </c>
      <c r="L4" s="495">
        <v>5.4029998779296873E-2</v>
      </c>
      <c r="M4" s="496">
        <f t="shared" si="0"/>
        <v>41.742767857142859</v>
      </c>
      <c r="N4" s="509">
        <v>37.665238095238095</v>
      </c>
      <c r="O4" s="509">
        <v>39.86785714285714</v>
      </c>
      <c r="P4" s="509">
        <v>49.612083333333338</v>
      </c>
      <c r="Q4" s="509">
        <v>39.825892857142854</v>
      </c>
      <c r="R4" s="497">
        <f t="shared" si="1"/>
        <v>59.559549019607829</v>
      </c>
      <c r="S4" s="509">
        <v>63.423999999999985</v>
      </c>
      <c r="T4" s="509">
        <v>56.401803921568614</v>
      </c>
      <c r="U4" s="509">
        <v>61.800313725490184</v>
      </c>
      <c r="V4" s="509">
        <v>56.612078431372538</v>
      </c>
      <c r="W4" s="486">
        <v>1900</v>
      </c>
      <c r="X4" s="489">
        <v>2100</v>
      </c>
      <c r="Y4" s="156">
        <f>[3]constantes!$B$12</f>
        <v>0</v>
      </c>
      <c r="Z4" s="498">
        <v>318</v>
      </c>
      <c r="AA4" s="156"/>
      <c r="AB4" s="156"/>
    </row>
    <row r="5" spans="1:28">
      <c r="A5" s="489">
        <v>1013</v>
      </c>
      <c r="B5" s="486">
        <v>16</v>
      </c>
      <c r="C5" s="156" t="s">
        <v>1977</v>
      </c>
      <c r="D5" s="156"/>
      <c r="E5" s="156"/>
      <c r="F5" s="156"/>
      <c r="G5" s="156"/>
      <c r="H5" s="486" t="s">
        <v>146</v>
      </c>
      <c r="I5" s="486">
        <v>1</v>
      </c>
      <c r="J5" s="493">
        <v>32</v>
      </c>
      <c r="K5" s="495">
        <v>2.3329999446868897E-2</v>
      </c>
      <c r="L5" s="495">
        <v>6.8610000610351565E-2</v>
      </c>
      <c r="M5" s="496">
        <f t="shared" si="0"/>
        <v>15.082113095238096</v>
      </c>
      <c r="N5" s="509">
        <v>21.886190476190478</v>
      </c>
      <c r="O5" s="509">
        <v>14.699345238095241</v>
      </c>
      <c r="P5" s="509">
        <v>10.941666666666665</v>
      </c>
      <c r="Q5" s="509">
        <v>12.801250000000001</v>
      </c>
      <c r="R5" s="497">
        <f t="shared" si="1"/>
        <v>16.69801960784314</v>
      </c>
      <c r="S5" s="509">
        <v>23.720862745098046</v>
      </c>
      <c r="T5" s="509">
        <v>15.454745098039217</v>
      </c>
      <c r="U5" s="509">
        <v>12.104862745098039</v>
      </c>
      <c r="V5" s="509">
        <v>15.511607843137256</v>
      </c>
      <c r="W5" s="486">
        <v>1900</v>
      </c>
      <c r="X5" s="489">
        <v>2100</v>
      </c>
      <c r="Y5" s="156">
        <f>[3]constantes!$B$12</f>
        <v>0</v>
      </c>
      <c r="Z5" s="498">
        <v>318</v>
      </c>
      <c r="AA5" s="156"/>
      <c r="AB5" s="156"/>
    </row>
    <row r="6" spans="1:28">
      <c r="A6" s="489">
        <v>1027</v>
      </c>
      <c r="B6" s="486">
        <v>38</v>
      </c>
      <c r="C6" s="156" t="s">
        <v>1978</v>
      </c>
      <c r="D6" s="156"/>
      <c r="E6" s="156"/>
      <c r="F6" s="156"/>
      <c r="G6" s="156"/>
      <c r="H6" s="486" t="s">
        <v>146</v>
      </c>
      <c r="I6" s="486">
        <v>1</v>
      </c>
      <c r="J6" s="493">
        <v>144</v>
      </c>
      <c r="K6" s="495">
        <v>1.6720000505447388E-2</v>
      </c>
      <c r="L6" s="495">
        <v>5.4029998779296873E-2</v>
      </c>
      <c r="M6" s="496">
        <f t="shared" si="0"/>
        <v>57.161175595238099</v>
      </c>
      <c r="N6" s="509">
        <v>87.292380952380952</v>
      </c>
      <c r="O6" s="509">
        <v>54.294761904761906</v>
      </c>
      <c r="P6" s="509">
        <v>42.142083333333339</v>
      </c>
      <c r="Q6" s="509">
        <v>44.915476190476191</v>
      </c>
      <c r="R6" s="497">
        <f t="shared" si="1"/>
        <v>69.845450980392172</v>
      </c>
      <c r="S6" s="509">
        <v>104.29780392156864</v>
      </c>
      <c r="T6" s="509">
        <v>61.93694117647059</v>
      </c>
      <c r="U6" s="509">
        <v>47.932470588235297</v>
      </c>
      <c r="V6" s="509">
        <v>65.214588235294116</v>
      </c>
      <c r="W6" s="486">
        <v>1900</v>
      </c>
      <c r="X6" s="489">
        <v>2100</v>
      </c>
      <c r="Y6" s="156">
        <f>[3]constantes!$B$12</f>
        <v>0</v>
      </c>
      <c r="Z6" s="498">
        <v>318</v>
      </c>
      <c r="AA6" s="156"/>
      <c r="AB6" s="156"/>
    </row>
    <row r="7" spans="1:28">
      <c r="A7" s="489">
        <v>1058</v>
      </c>
      <c r="B7" s="486">
        <v>143</v>
      </c>
      <c r="C7" s="156" t="s">
        <v>1979</v>
      </c>
      <c r="D7" s="156"/>
      <c r="E7" s="156"/>
      <c r="F7" s="156"/>
      <c r="G7" s="156"/>
      <c r="H7" s="486" t="s">
        <v>150</v>
      </c>
      <c r="I7" s="486">
        <v>1</v>
      </c>
      <c r="J7" s="493">
        <v>330</v>
      </c>
      <c r="K7" s="495">
        <v>2.5329999923706055E-2</v>
      </c>
      <c r="L7" s="495">
        <v>8.0909996032714843E-2</v>
      </c>
      <c r="M7" s="496">
        <f t="shared" si="0"/>
        <v>183.47078869047618</v>
      </c>
      <c r="N7" s="509">
        <v>251.29285714285712</v>
      </c>
      <c r="O7" s="509">
        <v>169.17047619047619</v>
      </c>
      <c r="P7" s="509">
        <v>114.36083333333333</v>
      </c>
      <c r="Q7" s="509">
        <v>199.05898809523811</v>
      </c>
      <c r="R7" s="497">
        <f t="shared" si="1"/>
        <v>175.11081372549023</v>
      </c>
      <c r="S7" s="509">
        <v>252.39639215686282</v>
      </c>
      <c r="T7" s="509">
        <v>155.71352941176468</v>
      </c>
      <c r="U7" s="509">
        <v>96.971607843137278</v>
      </c>
      <c r="V7" s="509">
        <v>195.36172549019611</v>
      </c>
      <c r="W7" s="486">
        <v>1900</v>
      </c>
      <c r="X7" s="489">
        <v>2100</v>
      </c>
      <c r="Y7" s="156">
        <f>[3]constantes!$B$12</f>
        <v>0</v>
      </c>
      <c r="Z7" s="498">
        <v>318</v>
      </c>
      <c r="AA7" s="156"/>
      <c r="AB7" s="156"/>
    </row>
    <row r="8" spans="1:28">
      <c r="A8" s="489">
        <v>1086</v>
      </c>
      <c r="B8" s="486">
        <v>312</v>
      </c>
      <c r="C8" s="156" t="s">
        <v>1980</v>
      </c>
      <c r="D8" s="156"/>
      <c r="E8" s="156"/>
      <c r="F8" s="156"/>
      <c r="G8" s="156"/>
      <c r="H8" s="489" t="s">
        <v>1981</v>
      </c>
      <c r="I8" s="488">
        <v>1</v>
      </c>
      <c r="J8" s="493">
        <v>90</v>
      </c>
      <c r="K8" s="495">
        <v>1.6720000505447388E-2</v>
      </c>
      <c r="L8" s="495">
        <v>5.4029998779296873E-2</v>
      </c>
      <c r="M8" s="496">
        <f t="shared" si="0"/>
        <v>52.538690476190474</v>
      </c>
      <c r="N8" s="509">
        <v>75.288571428571416</v>
      </c>
      <c r="O8" s="509">
        <v>50.311071428571431</v>
      </c>
      <c r="P8" s="509">
        <v>31.036249999999995</v>
      </c>
      <c r="Q8" s="509">
        <v>53.518869047619056</v>
      </c>
      <c r="R8" s="497">
        <f t="shared" si="1"/>
        <v>60.364196078431377</v>
      </c>
      <c r="S8" s="509">
        <v>83.18105882352944</v>
      </c>
      <c r="T8" s="509">
        <v>62.414666666666676</v>
      </c>
      <c r="U8" s="509">
        <v>36.991254901960794</v>
      </c>
      <c r="V8" s="509">
        <v>58.869803921568611</v>
      </c>
      <c r="W8" s="486">
        <v>1900</v>
      </c>
      <c r="X8" s="489">
        <v>2100</v>
      </c>
      <c r="Y8" s="156">
        <f>[3]constantes!$B$12</f>
        <v>0</v>
      </c>
      <c r="Z8" s="498">
        <v>318</v>
      </c>
      <c r="AA8" s="156"/>
      <c r="AB8" s="156"/>
    </row>
    <row r="9" spans="1:28">
      <c r="A9" s="489">
        <v>1125</v>
      </c>
      <c r="B9" s="486">
        <v>190</v>
      </c>
      <c r="C9" s="156" t="s">
        <v>1982</v>
      </c>
      <c r="D9" s="156"/>
      <c r="E9" s="156"/>
      <c r="F9" s="156"/>
      <c r="G9" s="156"/>
      <c r="H9" s="486" t="s">
        <v>1983</v>
      </c>
      <c r="I9" s="486">
        <v>3</v>
      </c>
      <c r="J9" s="493">
        <v>237.3</v>
      </c>
      <c r="K9" s="495">
        <v>2.1579999923706055E-2</v>
      </c>
      <c r="L9" s="495">
        <v>6.9200000762939459E-2</v>
      </c>
      <c r="M9" s="496">
        <f t="shared" si="0"/>
        <v>117.89684523809524</v>
      </c>
      <c r="N9" s="509">
        <v>102.56904761904762</v>
      </c>
      <c r="O9" s="509">
        <v>130.03107142857141</v>
      </c>
      <c r="P9" s="509">
        <v>123.35958333333333</v>
      </c>
      <c r="Q9" s="509">
        <v>115.62767857142858</v>
      </c>
      <c r="R9" s="497">
        <f t="shared" si="1"/>
        <v>131.17458823529412</v>
      </c>
      <c r="S9" s="509">
        <v>158.93682352941173</v>
      </c>
      <c r="T9" s="509">
        <v>147.31972549019608</v>
      </c>
      <c r="U9" s="509">
        <v>111.48176470588237</v>
      </c>
      <c r="V9" s="509">
        <v>106.96003921568628</v>
      </c>
      <c r="W9" s="486">
        <v>1900</v>
      </c>
      <c r="X9" s="489">
        <v>2100</v>
      </c>
      <c r="Y9" s="156">
        <f>[3]constantes!$B$12</f>
        <v>0</v>
      </c>
      <c r="Z9" s="498">
        <v>318</v>
      </c>
      <c r="AA9" s="156"/>
      <c r="AB9" s="156"/>
    </row>
    <row r="10" spans="1:28">
      <c r="A10" s="489">
        <v>1057</v>
      </c>
      <c r="B10" s="486">
        <v>141</v>
      </c>
      <c r="C10" s="156" t="s">
        <v>1984</v>
      </c>
      <c r="D10" s="156"/>
      <c r="E10" s="156"/>
      <c r="F10" s="156"/>
      <c r="G10" s="156"/>
      <c r="H10" s="486" t="s">
        <v>150</v>
      </c>
      <c r="I10" s="486">
        <v>1</v>
      </c>
      <c r="J10" s="493">
        <v>140</v>
      </c>
      <c r="K10" s="495">
        <v>1.6720000505447388E-2</v>
      </c>
      <c r="L10" s="495">
        <v>5.4029998779296873E-2</v>
      </c>
      <c r="M10" s="496">
        <f t="shared" si="0"/>
        <v>85.810848214285727</v>
      </c>
      <c r="N10" s="509">
        <v>111.38</v>
      </c>
      <c r="O10" s="509">
        <v>81.793869047619054</v>
      </c>
      <c r="P10" s="509">
        <v>59.747083333333329</v>
      </c>
      <c r="Q10" s="509">
        <v>90.322440476190479</v>
      </c>
      <c r="R10" s="497">
        <f t="shared" si="1"/>
        <v>80.791941176470573</v>
      </c>
      <c r="S10" s="509">
        <v>111.53121568627445</v>
      </c>
      <c r="T10" s="509">
        <v>74.253215686274515</v>
      </c>
      <c r="U10" s="509">
        <v>49.046901960784332</v>
      </c>
      <c r="V10" s="509">
        <v>88.336431372548972</v>
      </c>
      <c r="W10" s="486">
        <v>1900</v>
      </c>
      <c r="X10" s="489">
        <v>2100</v>
      </c>
      <c r="Y10" s="156">
        <f>[3]constantes!$B$12</f>
        <v>0</v>
      </c>
      <c r="Z10" s="498">
        <v>318</v>
      </c>
      <c r="AA10" s="156"/>
      <c r="AB10" s="156"/>
    </row>
    <row r="11" spans="1:28">
      <c r="A11" s="488">
        <v>1017</v>
      </c>
      <c r="B11" s="487">
        <v>83</v>
      </c>
      <c r="C11" s="156" t="s">
        <v>1985</v>
      </c>
      <c r="D11" s="156"/>
      <c r="E11" s="156"/>
      <c r="F11" s="156"/>
      <c r="G11" s="156"/>
      <c r="H11" s="486" t="s">
        <v>151</v>
      </c>
      <c r="I11" s="486">
        <v>2</v>
      </c>
      <c r="J11" s="493">
        <v>350.19900000000001</v>
      </c>
      <c r="K11" s="495">
        <v>2.9170000000000001E-2</v>
      </c>
      <c r="L11" s="495">
        <v>0.12121999999999999</v>
      </c>
      <c r="M11" s="496">
        <f t="shared" si="0"/>
        <v>164.71312499999999</v>
      </c>
      <c r="N11" s="509">
        <v>122.77142857142856</v>
      </c>
      <c r="O11" s="509">
        <v>146.2319642857143</v>
      </c>
      <c r="P11" s="509">
        <v>188.07499999999996</v>
      </c>
      <c r="Q11" s="509">
        <v>201.77410714285713</v>
      </c>
      <c r="R11" s="497">
        <f t="shared" si="1"/>
        <v>187.48126470588235</v>
      </c>
      <c r="S11" s="509">
        <v>162.49588235294118</v>
      </c>
      <c r="T11" s="509">
        <v>170.14952941176469</v>
      </c>
      <c r="U11" s="509">
        <v>209.46129411764704</v>
      </c>
      <c r="V11" s="509">
        <v>207.8183529411765</v>
      </c>
      <c r="W11" s="486">
        <v>2019</v>
      </c>
      <c r="X11" s="489">
        <v>2100</v>
      </c>
      <c r="Y11" s="156">
        <f>[3]constantes!$B$12</f>
        <v>0</v>
      </c>
      <c r="Z11" s="498">
        <v>318</v>
      </c>
      <c r="AA11" s="156"/>
      <c r="AB11" s="156"/>
    </row>
    <row r="12" spans="1:28">
      <c r="A12" s="489">
        <v>1132</v>
      </c>
      <c r="B12" s="486">
        <v>277</v>
      </c>
      <c r="C12" s="156" t="s">
        <v>1986</v>
      </c>
      <c r="D12" s="156"/>
      <c r="E12" s="156"/>
      <c r="F12" s="156"/>
      <c r="G12" s="156"/>
      <c r="H12" s="486" t="s">
        <v>154</v>
      </c>
      <c r="I12" s="486">
        <v>7</v>
      </c>
      <c r="J12" s="493">
        <v>249.75</v>
      </c>
      <c r="K12" s="495">
        <v>0.02</v>
      </c>
      <c r="L12" s="495">
        <v>0.05</v>
      </c>
      <c r="M12" s="496">
        <f t="shared" si="0"/>
        <v>126.00047619047618</v>
      </c>
      <c r="N12" s="509">
        <v>45.408095238095235</v>
      </c>
      <c r="O12" s="509">
        <v>194.40839285714284</v>
      </c>
      <c r="P12" s="509">
        <v>183.70583333333332</v>
      </c>
      <c r="Q12" s="509">
        <v>80.479583333333338</v>
      </c>
      <c r="R12" s="497">
        <f t="shared" si="1"/>
        <v>120.64750980392159</v>
      </c>
      <c r="S12" s="509">
        <v>88.182431372549033</v>
      </c>
      <c r="T12" s="509">
        <v>198.3980784313726</v>
      </c>
      <c r="U12" s="509">
        <v>136.01600000000002</v>
      </c>
      <c r="V12" s="509">
        <v>59.993529411764705</v>
      </c>
      <c r="W12" s="486">
        <v>1900</v>
      </c>
      <c r="X12" s="489">
        <v>2100</v>
      </c>
      <c r="Y12" s="156">
        <f>[3]constantes!$B$12</f>
        <v>0</v>
      </c>
      <c r="Z12" s="498">
        <v>318</v>
      </c>
      <c r="AA12" s="156"/>
      <c r="AB12" s="156"/>
    </row>
    <row r="13" spans="1:28">
      <c r="A13" s="489">
        <v>1026</v>
      </c>
      <c r="B13" s="486">
        <v>37</v>
      </c>
      <c r="C13" s="156" t="s">
        <v>1987</v>
      </c>
      <c r="D13" s="156"/>
      <c r="E13" s="156"/>
      <c r="F13" s="156"/>
      <c r="G13" s="156"/>
      <c r="H13" s="486" t="s">
        <v>146</v>
      </c>
      <c r="I13" s="486">
        <v>1</v>
      </c>
      <c r="J13" s="493">
        <v>140</v>
      </c>
      <c r="K13" s="495">
        <v>1.6720000505447388E-2</v>
      </c>
      <c r="L13" s="495">
        <v>5.4029998779296873E-2</v>
      </c>
      <c r="M13" s="496">
        <f t="shared" si="0"/>
        <v>46.736889880952383</v>
      </c>
      <c r="N13" s="509">
        <v>71.941428571428574</v>
      </c>
      <c r="O13" s="509">
        <v>45.626845238095235</v>
      </c>
      <c r="P13" s="509">
        <v>35.938749999999992</v>
      </c>
      <c r="Q13" s="509">
        <v>33.440535714285716</v>
      </c>
      <c r="R13" s="497">
        <f t="shared" si="1"/>
        <v>64.284000000000006</v>
      </c>
      <c r="S13" s="509">
        <v>97.371764705882356</v>
      </c>
      <c r="T13" s="509">
        <v>57.437921568627452</v>
      </c>
      <c r="U13" s="509">
        <v>44.946313725490207</v>
      </c>
      <c r="V13" s="509">
        <v>57.380000000000017</v>
      </c>
      <c r="W13" s="486">
        <v>1900</v>
      </c>
      <c r="X13" s="489">
        <v>2100</v>
      </c>
      <c r="Y13" s="156">
        <f>[3]constantes!$B$12</f>
        <v>0</v>
      </c>
      <c r="Z13" s="498">
        <v>318</v>
      </c>
      <c r="AA13" s="156"/>
      <c r="AB13" s="156"/>
    </row>
    <row r="14" spans="1:28">
      <c r="A14" s="489">
        <v>1097</v>
      </c>
      <c r="B14" s="486">
        <v>86</v>
      </c>
      <c r="C14" s="156" t="s">
        <v>1988</v>
      </c>
      <c r="D14" s="156"/>
      <c r="E14" s="156"/>
      <c r="F14" s="156"/>
      <c r="G14" s="156"/>
      <c r="H14" s="486" t="s">
        <v>1989</v>
      </c>
      <c r="I14" s="486">
        <v>2</v>
      </c>
      <c r="J14" s="493">
        <v>690</v>
      </c>
      <c r="K14" s="495">
        <v>2.9170000553131105E-2</v>
      </c>
      <c r="L14" s="495">
        <v>0.12121999740600586</v>
      </c>
      <c r="M14" s="496">
        <f t="shared" si="0"/>
        <v>334.698630952381</v>
      </c>
      <c r="N14" s="509">
        <v>126.03238095238095</v>
      </c>
      <c r="O14" s="509">
        <v>253.65821428571431</v>
      </c>
      <c r="P14" s="509">
        <v>564.65208333333339</v>
      </c>
      <c r="Q14" s="509">
        <v>394.45184523809525</v>
      </c>
      <c r="R14" s="497">
        <f t="shared" si="1"/>
        <v>353.08533333333332</v>
      </c>
      <c r="S14" s="509">
        <v>219.88078431372548</v>
      </c>
      <c r="T14" s="509">
        <v>296.14494117647064</v>
      </c>
      <c r="U14" s="509">
        <v>538.9970588235293</v>
      </c>
      <c r="V14" s="509">
        <v>357.31854901960781</v>
      </c>
      <c r="W14" s="486">
        <v>1900</v>
      </c>
      <c r="X14" s="489">
        <v>2100</v>
      </c>
      <c r="Y14" s="156">
        <f>[3]constantes!$B$12</f>
        <v>0</v>
      </c>
      <c r="Z14" s="498">
        <v>318</v>
      </c>
      <c r="AA14" s="156"/>
      <c r="AB14" s="156"/>
    </row>
    <row r="15" spans="1:28">
      <c r="A15" s="489">
        <v>1143</v>
      </c>
      <c r="B15" s="486">
        <v>20</v>
      </c>
      <c r="C15" s="156" t="s">
        <v>1990</v>
      </c>
      <c r="D15" s="156" t="s">
        <v>1991</v>
      </c>
      <c r="E15" s="156"/>
      <c r="F15" s="156"/>
      <c r="G15" s="156"/>
      <c r="H15" s="489" t="s">
        <v>150</v>
      </c>
      <c r="I15" s="488">
        <v>1</v>
      </c>
      <c r="J15" s="493">
        <v>52.5</v>
      </c>
      <c r="K15" s="495">
        <v>1.6719999999999999E-2</v>
      </c>
      <c r="L15" s="495">
        <v>5.4030000000000002E-2</v>
      </c>
      <c r="M15" s="496">
        <f t="shared" si="0"/>
        <v>30.991160714285712</v>
      </c>
      <c r="N15" s="509">
        <v>40.139999999999993</v>
      </c>
      <c r="O15" s="509">
        <v>27.567321428571422</v>
      </c>
      <c r="P15" s="509">
        <v>24.425000000000001</v>
      </c>
      <c r="Q15" s="509">
        <v>31.832321428571429</v>
      </c>
      <c r="R15" s="497">
        <f t="shared" si="1"/>
        <v>30.271421568627446</v>
      </c>
      <c r="S15" s="509">
        <v>39.356039215686259</v>
      </c>
      <c r="T15" s="509">
        <v>29.565568627450983</v>
      </c>
      <c r="U15" s="509">
        <v>24.10003921568628</v>
      </c>
      <c r="V15" s="509">
        <v>28.064039215686268</v>
      </c>
      <c r="W15" s="486">
        <v>1900</v>
      </c>
      <c r="X15" s="489">
        <v>2100</v>
      </c>
      <c r="Y15" s="156">
        <f>[3]constantes!$B$12</f>
        <v>0</v>
      </c>
      <c r="Z15" s="498">
        <v>318</v>
      </c>
      <c r="AA15" s="156"/>
      <c r="AB15" s="156"/>
    </row>
    <row r="16" spans="1:28">
      <c r="A16" s="489">
        <v>11451</v>
      </c>
      <c r="B16" s="486">
        <v>288</v>
      </c>
      <c r="C16" s="156" t="s">
        <v>1992</v>
      </c>
      <c r="D16" s="156" t="s">
        <v>1993</v>
      </c>
      <c r="E16" s="156"/>
      <c r="F16" s="156"/>
      <c r="G16" s="156"/>
      <c r="H16" s="489" t="s">
        <v>153</v>
      </c>
      <c r="I16" s="488">
        <v>4</v>
      </c>
      <c r="J16" s="493">
        <v>2780.0131578947367</v>
      </c>
      <c r="K16" s="495">
        <v>2.9170000000000001E-2</v>
      </c>
      <c r="L16" s="495">
        <v>0.05</v>
      </c>
      <c r="M16" s="496">
        <f t="shared" si="0"/>
        <v>1130.561850986842</v>
      </c>
      <c r="N16" s="509">
        <v>1913.4830565789473</v>
      </c>
      <c r="O16" s="509">
        <v>2083.0638592105261</v>
      </c>
      <c r="P16" s="509">
        <v>239.3591328947368</v>
      </c>
      <c r="Q16" s="509">
        <v>286.34135526315788</v>
      </c>
      <c r="R16" s="497">
        <f t="shared" si="1"/>
        <v>1119.5807990131577</v>
      </c>
      <c r="S16" s="509">
        <v>2015.2315381578946</v>
      </c>
      <c r="T16" s="509">
        <v>1916.8190723684208</v>
      </c>
      <c r="U16" s="509">
        <v>228.51708157894734</v>
      </c>
      <c r="V16" s="509">
        <v>317.75550394736837</v>
      </c>
      <c r="W16" s="486">
        <v>2019</v>
      </c>
      <c r="X16" s="489">
        <v>2100</v>
      </c>
      <c r="Y16" s="156">
        <f>[3]constantes!$B$12</f>
        <v>0</v>
      </c>
      <c r="Z16" s="498">
        <v>318</v>
      </c>
      <c r="AA16" s="156"/>
      <c r="AB16" s="156"/>
    </row>
    <row r="17" spans="1:28">
      <c r="A17" s="489">
        <v>11452</v>
      </c>
      <c r="B17" s="486">
        <v>288</v>
      </c>
      <c r="C17" s="156" t="s">
        <v>1994</v>
      </c>
      <c r="D17" s="156" t="s">
        <v>1993</v>
      </c>
      <c r="E17" s="156"/>
      <c r="F17" s="156"/>
      <c r="G17" s="156"/>
      <c r="H17" s="489" t="s">
        <v>153</v>
      </c>
      <c r="I17" s="488">
        <v>4</v>
      </c>
      <c r="J17" s="493">
        <v>3531.9342105263158</v>
      </c>
      <c r="K17" s="495">
        <v>2.9170000000000001E-2</v>
      </c>
      <c r="L17" s="495">
        <v>0.05</v>
      </c>
      <c r="M17" s="496">
        <f t="shared" si="0"/>
        <v>1436.3493450657895</v>
      </c>
      <c r="N17" s="509">
        <v>2431.0303171052633</v>
      </c>
      <c r="O17" s="509">
        <v>2646.4783039473682</v>
      </c>
      <c r="P17" s="509">
        <v>304.09953552631578</v>
      </c>
      <c r="Q17" s="509">
        <v>363.78922368421053</v>
      </c>
      <c r="R17" s="497">
        <f t="shared" si="1"/>
        <v>1422.3982049342105</v>
      </c>
      <c r="S17" s="509">
        <v>2560.2991092105262</v>
      </c>
      <c r="T17" s="509">
        <v>2435.2686381578947</v>
      </c>
      <c r="U17" s="509">
        <v>290.32499210526316</v>
      </c>
      <c r="V17" s="509">
        <v>403.70008026315787</v>
      </c>
      <c r="W17" s="486">
        <v>2020</v>
      </c>
      <c r="X17" s="489">
        <v>2100</v>
      </c>
      <c r="Y17" s="156">
        <f>[3]constantes!$B$12</f>
        <v>0</v>
      </c>
      <c r="Z17" s="498">
        <v>318</v>
      </c>
      <c r="AA17" s="156"/>
      <c r="AB17" s="156"/>
    </row>
    <row r="18" spans="1:28">
      <c r="A18" s="489">
        <v>11453</v>
      </c>
      <c r="B18" s="486">
        <v>288</v>
      </c>
      <c r="C18" s="156" t="s">
        <v>1995</v>
      </c>
      <c r="D18" s="156" t="s">
        <v>1993</v>
      </c>
      <c r="E18" s="156"/>
      <c r="F18" s="156"/>
      <c r="G18" s="156"/>
      <c r="H18" s="489" t="s">
        <v>153</v>
      </c>
      <c r="I18" s="488">
        <v>4</v>
      </c>
      <c r="J18" s="493">
        <v>3473.6842105263158</v>
      </c>
      <c r="K18" s="495">
        <v>2.9170000000000001E-2</v>
      </c>
      <c r="L18" s="495">
        <v>0.05</v>
      </c>
      <c r="M18" s="496">
        <f t="shared" si="0"/>
        <v>1412.6605263157894</v>
      </c>
      <c r="N18" s="509">
        <v>2390.9368421052632</v>
      </c>
      <c r="O18" s="509">
        <v>2602.8315789473681</v>
      </c>
      <c r="P18" s="509">
        <v>299.08421052631576</v>
      </c>
      <c r="Q18" s="509">
        <v>357.78947368421052</v>
      </c>
      <c r="R18" s="497">
        <f t="shared" si="1"/>
        <v>1398.9394736842105</v>
      </c>
      <c r="S18" s="509">
        <v>2518.0736842105262</v>
      </c>
      <c r="T18" s="509">
        <v>2395.1052631578946</v>
      </c>
      <c r="U18" s="509">
        <v>285.53684210526313</v>
      </c>
      <c r="V18" s="509">
        <v>397.04210526315791</v>
      </c>
      <c r="W18" s="486">
        <v>2018</v>
      </c>
      <c r="X18" s="489">
        <v>2100</v>
      </c>
      <c r="Y18" s="156">
        <f>[3]constantes!$B$12</f>
        <v>0</v>
      </c>
      <c r="Z18" s="498">
        <v>318</v>
      </c>
      <c r="AA18" s="156"/>
      <c r="AB18" s="156"/>
    </row>
    <row r="19" spans="1:28">
      <c r="A19" s="489">
        <v>11454</v>
      </c>
      <c r="B19" s="486">
        <v>288</v>
      </c>
      <c r="C19" s="156" t="s">
        <v>1996</v>
      </c>
      <c r="D19" s="156" t="s">
        <v>1993</v>
      </c>
      <c r="E19" s="156"/>
      <c r="F19" s="156"/>
      <c r="G19" s="156"/>
      <c r="H19" s="489" t="s">
        <v>153</v>
      </c>
      <c r="I19" s="488">
        <v>4</v>
      </c>
      <c r="J19" s="493">
        <v>1447.3684210526317</v>
      </c>
      <c r="K19" s="495">
        <v>2.9170000000000001E-2</v>
      </c>
      <c r="L19" s="495">
        <v>0.05</v>
      </c>
      <c r="M19" s="496">
        <f t="shared" si="0"/>
        <v>588.60855263157896</v>
      </c>
      <c r="N19" s="509">
        <v>996.22368421052647</v>
      </c>
      <c r="O19" s="509">
        <v>1084.5131578947369</v>
      </c>
      <c r="P19" s="509">
        <v>124.61842105263158</v>
      </c>
      <c r="Q19" s="509">
        <v>149.07894736842104</v>
      </c>
      <c r="R19" s="497">
        <f t="shared" si="1"/>
        <v>582.89144736842115</v>
      </c>
      <c r="S19" s="509">
        <v>1049.1973684210527</v>
      </c>
      <c r="T19" s="509">
        <v>997.96052631578959</v>
      </c>
      <c r="U19" s="509">
        <v>118.97368421052632</v>
      </c>
      <c r="V19" s="509">
        <v>165.43421052631581</v>
      </c>
      <c r="W19" s="486">
        <v>2019</v>
      </c>
      <c r="X19" s="489">
        <v>2100</v>
      </c>
      <c r="Y19" s="156">
        <f>[3]constantes!$B$12</f>
        <v>0</v>
      </c>
      <c r="Z19" s="498">
        <v>318</v>
      </c>
      <c r="AA19" s="156"/>
      <c r="AB19" s="156"/>
    </row>
    <row r="20" spans="1:28">
      <c r="A20" s="489">
        <v>1146</v>
      </c>
      <c r="B20" s="486">
        <v>204</v>
      </c>
      <c r="C20" s="156" t="s">
        <v>1997</v>
      </c>
      <c r="D20" s="156" t="s">
        <v>1998</v>
      </c>
      <c r="E20" s="156"/>
      <c r="F20" s="156"/>
      <c r="G20" s="156"/>
      <c r="H20" s="489" t="s">
        <v>1999</v>
      </c>
      <c r="I20" s="488">
        <v>7</v>
      </c>
      <c r="J20" s="493">
        <v>219</v>
      </c>
      <c r="K20" s="495">
        <v>2.9170000000000001E-2</v>
      </c>
      <c r="L20" s="495">
        <v>0.12121999999999999</v>
      </c>
      <c r="M20" s="496">
        <f t="shared" si="0"/>
        <v>124.42575892857144</v>
      </c>
      <c r="N20" s="509">
        <v>130.64857142857144</v>
      </c>
      <c r="O20" s="509">
        <v>200.16458333333335</v>
      </c>
      <c r="P20" s="509">
        <v>127.02791666666667</v>
      </c>
      <c r="Q20" s="509">
        <v>39.861964285714286</v>
      </c>
      <c r="R20" s="497">
        <f t="shared" si="1"/>
        <v>117.85719607843143</v>
      </c>
      <c r="S20" s="509">
        <v>131.40094117647061</v>
      </c>
      <c r="T20" s="509">
        <v>194.28596078431391</v>
      </c>
      <c r="U20" s="509">
        <v>112.53152941176468</v>
      </c>
      <c r="V20" s="509">
        <v>33.210352941176467</v>
      </c>
      <c r="W20" s="486">
        <v>2019</v>
      </c>
      <c r="X20" s="489">
        <v>2100</v>
      </c>
      <c r="Y20" s="156">
        <f>[3]constantes!$B$12</f>
        <v>0</v>
      </c>
      <c r="Z20" s="498">
        <v>318</v>
      </c>
      <c r="AA20" s="156"/>
      <c r="AB20" s="156"/>
    </row>
    <row r="21" spans="1:28">
      <c r="A21" s="489">
        <v>1024</v>
      </c>
      <c r="B21" s="486">
        <v>32</v>
      </c>
      <c r="C21" s="156" t="s">
        <v>2000</v>
      </c>
      <c r="D21" s="156"/>
      <c r="E21" s="156"/>
      <c r="F21" s="156"/>
      <c r="G21" s="156"/>
      <c r="H21" s="486" t="s">
        <v>150</v>
      </c>
      <c r="I21" s="486">
        <v>1</v>
      </c>
      <c r="J21" s="493">
        <v>658</v>
      </c>
      <c r="K21" s="495">
        <v>2.311000108718872E-2</v>
      </c>
      <c r="L21" s="495">
        <v>7.3660001754760743E-2</v>
      </c>
      <c r="M21" s="496">
        <f t="shared" si="0"/>
        <v>401.57840773809528</v>
      </c>
      <c r="N21" s="509">
        <v>414.03428571428572</v>
      </c>
      <c r="O21" s="509">
        <v>335.12601190476192</v>
      </c>
      <c r="P21" s="509">
        <v>436.31625000000003</v>
      </c>
      <c r="Q21" s="509">
        <v>420.83708333333334</v>
      </c>
      <c r="R21" s="497">
        <f t="shared" si="1"/>
        <v>390.34098039215678</v>
      </c>
      <c r="S21" s="509">
        <v>419.15623529411749</v>
      </c>
      <c r="T21" s="509">
        <v>359.46858823529402</v>
      </c>
      <c r="U21" s="509">
        <v>411.93219607843139</v>
      </c>
      <c r="V21" s="509">
        <v>370.80690196078427</v>
      </c>
      <c r="W21" s="486">
        <v>1900</v>
      </c>
      <c r="X21" s="489">
        <v>2100</v>
      </c>
      <c r="Y21" s="156">
        <f>[3]constantes!$B$12</f>
        <v>0</v>
      </c>
      <c r="Z21" s="498">
        <v>318</v>
      </c>
      <c r="AA21" s="156"/>
      <c r="AB21" s="156"/>
    </row>
    <row r="22" spans="1:28">
      <c r="A22" s="489">
        <v>1011</v>
      </c>
      <c r="B22" s="486">
        <v>14</v>
      </c>
      <c r="C22" s="156" t="s">
        <v>2001</v>
      </c>
      <c r="D22" s="156"/>
      <c r="E22" s="156"/>
      <c r="F22" s="156"/>
      <c r="G22" s="156"/>
      <c r="H22" s="486" t="s">
        <v>146</v>
      </c>
      <c r="I22" s="486">
        <v>1</v>
      </c>
      <c r="J22" s="493">
        <v>80.400000000000006</v>
      </c>
      <c r="K22" s="495">
        <v>1.6720000505447388E-2</v>
      </c>
      <c r="L22" s="495">
        <v>5.4029998779296873E-2</v>
      </c>
      <c r="M22" s="496">
        <f t="shared" si="0"/>
        <v>33.563095238095237</v>
      </c>
      <c r="N22" s="509">
        <v>41.650952380952383</v>
      </c>
      <c r="O22" s="509">
        <v>33.577083333333334</v>
      </c>
      <c r="P22" s="509">
        <v>31.127500000000001</v>
      </c>
      <c r="Q22" s="509">
        <v>27.896845238095239</v>
      </c>
      <c r="R22" s="497">
        <f t="shared" si="1"/>
        <v>39.372009803921571</v>
      </c>
      <c r="S22" s="509">
        <v>51.172784313725487</v>
      </c>
      <c r="T22" s="509">
        <v>37.715568627450992</v>
      </c>
      <c r="U22" s="509">
        <v>34.253568627450989</v>
      </c>
      <c r="V22" s="509">
        <v>34.346117647058819</v>
      </c>
      <c r="W22" s="486">
        <v>1900</v>
      </c>
      <c r="X22" s="489">
        <v>2100</v>
      </c>
      <c r="Y22" s="156">
        <f>[3]constantes!$B$12</f>
        <v>0</v>
      </c>
      <c r="Z22" s="498">
        <v>318</v>
      </c>
      <c r="AA22" s="156"/>
      <c r="AB22" s="156"/>
    </row>
    <row r="23" spans="1:28">
      <c r="A23" s="489">
        <v>1085</v>
      </c>
      <c r="B23" s="486">
        <v>311</v>
      </c>
      <c r="C23" s="156" t="s">
        <v>2002</v>
      </c>
      <c r="D23" s="156"/>
      <c r="E23" s="156"/>
      <c r="F23" s="156"/>
      <c r="G23" s="156"/>
      <c r="H23" s="486" t="s">
        <v>2003</v>
      </c>
      <c r="I23" s="486">
        <v>1</v>
      </c>
      <c r="J23" s="493">
        <v>65</v>
      </c>
      <c r="K23" s="495">
        <v>1.6720000505447388E-2</v>
      </c>
      <c r="L23" s="495">
        <v>5.4029998779296873E-2</v>
      </c>
      <c r="M23" s="496">
        <f t="shared" si="0"/>
        <v>37.12065476190476</v>
      </c>
      <c r="N23" s="509">
        <v>53.077619047619045</v>
      </c>
      <c r="O23" s="509">
        <v>35.907321428571429</v>
      </c>
      <c r="P23" s="509">
        <v>22.116249999999997</v>
      </c>
      <c r="Q23" s="509">
        <v>37.381428571428572</v>
      </c>
      <c r="R23" s="497">
        <f t="shared" si="1"/>
        <v>43.393490196078446</v>
      </c>
      <c r="S23" s="509">
        <v>59.605254901960798</v>
      </c>
      <c r="T23" s="509">
        <v>45.109058823529416</v>
      </c>
      <c r="U23" s="509">
        <v>26.823450980392163</v>
      </c>
      <c r="V23" s="509">
        <v>42.036196078431388</v>
      </c>
      <c r="W23" s="486">
        <v>1900</v>
      </c>
      <c r="X23" s="489">
        <v>2100</v>
      </c>
      <c r="Y23" s="156">
        <f>[3]constantes!$B$12</f>
        <v>0</v>
      </c>
      <c r="Z23" s="498">
        <v>318</v>
      </c>
      <c r="AA23" s="156"/>
      <c r="AB23" s="156"/>
    </row>
    <row r="24" spans="1:28">
      <c r="A24" s="489">
        <v>1001</v>
      </c>
      <c r="B24" s="486">
        <v>1</v>
      </c>
      <c r="C24" s="156" t="s">
        <v>2004</v>
      </c>
      <c r="D24" s="156"/>
      <c r="E24" s="156"/>
      <c r="F24" s="156"/>
      <c r="G24" s="156"/>
      <c r="H24" s="486" t="s">
        <v>150</v>
      </c>
      <c r="I24" s="486">
        <v>1</v>
      </c>
      <c r="J24" s="493">
        <v>46</v>
      </c>
      <c r="K24" s="495">
        <v>2.3329999446868897E-2</v>
      </c>
      <c r="L24" s="495">
        <v>6.8610000610351565E-2</v>
      </c>
      <c r="M24" s="496">
        <f t="shared" si="0"/>
        <v>21.597708333333333</v>
      </c>
      <c r="N24" s="509">
        <v>30.106190476190477</v>
      </c>
      <c r="O24" s="509">
        <v>20.480238095238096</v>
      </c>
      <c r="P24" s="509">
        <v>15.490416666666668</v>
      </c>
      <c r="Q24" s="509">
        <v>20.313988095238091</v>
      </c>
      <c r="R24" s="497">
        <f t="shared" si="1"/>
        <v>25.075676470588235</v>
      </c>
      <c r="S24" s="509">
        <v>35.537647058823531</v>
      </c>
      <c r="T24" s="509">
        <v>23.23960784313725</v>
      </c>
      <c r="U24" s="509">
        <v>18.394862745098038</v>
      </c>
      <c r="V24" s="509">
        <v>23.130588235294116</v>
      </c>
      <c r="W24" s="486">
        <v>1900</v>
      </c>
      <c r="X24" s="489">
        <v>2100</v>
      </c>
      <c r="Y24" s="156">
        <f>[3]constantes!$B$12</f>
        <v>0</v>
      </c>
      <c r="Z24" s="498">
        <v>318</v>
      </c>
      <c r="AA24" s="156"/>
      <c r="AB24" s="156"/>
    </row>
    <row r="25" spans="1:28">
      <c r="A25" s="489">
        <v>1099</v>
      </c>
      <c r="B25" s="486">
        <v>90</v>
      </c>
      <c r="C25" s="156" t="s">
        <v>2005</v>
      </c>
      <c r="D25" s="156"/>
      <c r="E25" s="156"/>
      <c r="F25" s="156"/>
      <c r="G25" s="156"/>
      <c r="H25" s="486" t="s">
        <v>1989</v>
      </c>
      <c r="I25" s="486">
        <v>2</v>
      </c>
      <c r="J25" s="493">
        <v>879.99900000000002</v>
      </c>
      <c r="K25" s="495">
        <v>2.9170000553131105E-2</v>
      </c>
      <c r="L25" s="495">
        <v>0.12121999740600586</v>
      </c>
      <c r="M25" s="496">
        <f t="shared" si="0"/>
        <v>379.64790178571423</v>
      </c>
      <c r="N25" s="509">
        <v>271.52523809523808</v>
      </c>
      <c r="O25" s="509">
        <v>338.86119047619047</v>
      </c>
      <c r="P25" s="509">
        <v>465.86666666666662</v>
      </c>
      <c r="Q25" s="509">
        <v>442.3385119047619</v>
      </c>
      <c r="R25" s="497">
        <f t="shared" si="1"/>
        <v>431.03691176470602</v>
      </c>
      <c r="S25" s="509">
        <v>357.30780392156868</v>
      </c>
      <c r="T25" s="509">
        <v>375.21643137254904</v>
      </c>
      <c r="U25" s="509">
        <v>529.9680000000003</v>
      </c>
      <c r="V25" s="509">
        <v>461.65541176470606</v>
      </c>
      <c r="W25" s="486">
        <v>1900</v>
      </c>
      <c r="X25" s="489">
        <v>2100</v>
      </c>
      <c r="Y25" s="156">
        <f>[3]constantes!$B$12</f>
        <v>0</v>
      </c>
      <c r="Z25" s="498">
        <v>318</v>
      </c>
      <c r="AA25" s="156"/>
      <c r="AB25" s="156"/>
    </row>
    <row r="26" spans="1:28">
      <c r="A26" s="489">
        <v>1073</v>
      </c>
      <c r="B26" s="486">
        <v>252</v>
      </c>
      <c r="C26" s="156" t="s">
        <v>2006</v>
      </c>
      <c r="D26" s="156"/>
      <c r="E26" s="156"/>
      <c r="F26" s="156"/>
      <c r="G26" s="156"/>
      <c r="H26" s="486" t="s">
        <v>2003</v>
      </c>
      <c r="I26" s="486">
        <v>1</v>
      </c>
      <c r="J26" s="493">
        <v>450</v>
      </c>
      <c r="K26" s="495">
        <v>2.5329999923706055E-2</v>
      </c>
      <c r="L26" s="495">
        <v>8.0909996032714843E-2</v>
      </c>
      <c r="M26" s="496">
        <f t="shared" si="0"/>
        <v>238.42513392857143</v>
      </c>
      <c r="N26" s="509">
        <v>148.6004761904762</v>
      </c>
      <c r="O26" s="509">
        <v>131.95904761904762</v>
      </c>
      <c r="P26" s="509">
        <v>363.26208333333335</v>
      </c>
      <c r="Q26" s="509">
        <v>309.87892857142856</v>
      </c>
      <c r="R26" s="497">
        <f t="shared" si="1"/>
        <v>272.31617647058818</v>
      </c>
      <c r="S26" s="509">
        <v>281.38411764705864</v>
      </c>
      <c r="T26" s="509">
        <v>233.03349019607836</v>
      </c>
      <c r="U26" s="509">
        <v>310.30200000000002</v>
      </c>
      <c r="V26" s="509">
        <v>264.54509803921565</v>
      </c>
      <c r="W26" s="486">
        <v>1900</v>
      </c>
      <c r="X26" s="489">
        <v>2100</v>
      </c>
      <c r="Y26" s="156">
        <f>[3]constantes!$B$12</f>
        <v>0</v>
      </c>
      <c r="Z26" s="498">
        <v>318</v>
      </c>
      <c r="AA26" s="156"/>
      <c r="AB26" s="156"/>
    </row>
    <row r="27" spans="1:28">
      <c r="A27" s="489">
        <v>1056</v>
      </c>
      <c r="B27" s="486">
        <v>139</v>
      </c>
      <c r="C27" s="156" t="s">
        <v>2007</v>
      </c>
      <c r="D27" s="156"/>
      <c r="E27" s="156"/>
      <c r="F27" s="156"/>
      <c r="G27" s="156"/>
      <c r="H27" s="486" t="s">
        <v>150</v>
      </c>
      <c r="I27" s="486">
        <v>1</v>
      </c>
      <c r="J27" s="493">
        <v>140.10000000000002</v>
      </c>
      <c r="K27" s="495">
        <v>1.6720000505447388E-2</v>
      </c>
      <c r="L27" s="495">
        <v>5.4029998779296873E-2</v>
      </c>
      <c r="M27" s="496">
        <f t="shared" si="0"/>
        <v>67.185773809523809</v>
      </c>
      <c r="N27" s="509">
        <v>95.327619047619052</v>
      </c>
      <c r="O27" s="509">
        <v>64.333333333333329</v>
      </c>
      <c r="P27" s="509">
        <v>39.615833333333335</v>
      </c>
      <c r="Q27" s="509">
        <v>69.466309523809514</v>
      </c>
      <c r="R27" s="497">
        <f t="shared" si="1"/>
        <v>66.657941176470587</v>
      </c>
      <c r="S27" s="509">
        <v>97.387803921568619</v>
      </c>
      <c r="T27" s="509">
        <v>58.447058823529424</v>
      </c>
      <c r="U27" s="509">
        <v>39.739843137254894</v>
      </c>
      <c r="V27" s="509">
        <v>71.057058823529417</v>
      </c>
      <c r="W27" s="486">
        <v>1900</v>
      </c>
      <c r="X27" s="489">
        <v>2100</v>
      </c>
      <c r="Y27" s="156">
        <f>[3]constantes!$B$12</f>
        <v>0</v>
      </c>
      <c r="Z27" s="498">
        <v>318</v>
      </c>
      <c r="AA27" s="156"/>
      <c r="AB27" s="156"/>
    </row>
    <row r="28" spans="1:28">
      <c r="A28" s="489">
        <v>1039</v>
      </c>
      <c r="B28" s="486">
        <v>52</v>
      </c>
      <c r="C28" s="156" t="s">
        <v>2008</v>
      </c>
      <c r="D28" s="156"/>
      <c r="E28" s="156"/>
      <c r="F28" s="156"/>
      <c r="G28" s="156"/>
      <c r="H28" s="486" t="s">
        <v>146</v>
      </c>
      <c r="I28" s="486">
        <v>1</v>
      </c>
      <c r="J28" s="493">
        <v>82.5</v>
      </c>
      <c r="K28" s="495">
        <v>2.3329999446868897E-2</v>
      </c>
      <c r="L28" s="495">
        <v>6.8610000610351565E-2</v>
      </c>
      <c r="M28" s="496">
        <f t="shared" si="0"/>
        <v>50.460982142857141</v>
      </c>
      <c r="N28" s="509">
        <v>42.83428571428572</v>
      </c>
      <c r="O28" s="509">
        <v>45.64696428571429</v>
      </c>
      <c r="P28" s="509">
        <v>61.825416666666662</v>
      </c>
      <c r="Q28" s="509">
        <v>51.537261904761898</v>
      </c>
      <c r="R28" s="497">
        <f t="shared" si="1"/>
        <v>59.196823529411773</v>
      </c>
      <c r="S28" s="509">
        <v>62.374431372549019</v>
      </c>
      <c r="T28" s="509">
        <v>55.232784313725489</v>
      </c>
      <c r="U28" s="509">
        <v>61.850705882352962</v>
      </c>
      <c r="V28" s="509">
        <v>57.32937254901961</v>
      </c>
      <c r="W28" s="486">
        <v>1900</v>
      </c>
      <c r="X28" s="489">
        <v>2100</v>
      </c>
      <c r="Y28" s="156">
        <f>[3]constantes!$B$12</f>
        <v>0</v>
      </c>
      <c r="Z28" s="498">
        <v>318</v>
      </c>
      <c r="AA28" s="156"/>
      <c r="AB28" s="156"/>
    </row>
    <row r="29" spans="1:28">
      <c r="A29" s="489">
        <v>1038</v>
      </c>
      <c r="B29" s="486">
        <v>51</v>
      </c>
      <c r="C29" s="156" t="s">
        <v>2009</v>
      </c>
      <c r="D29" s="156"/>
      <c r="E29" s="156"/>
      <c r="F29" s="156"/>
      <c r="G29" s="156"/>
      <c r="H29" s="486" t="s">
        <v>146</v>
      </c>
      <c r="I29" s="486">
        <v>1</v>
      </c>
      <c r="J29" s="493">
        <v>72</v>
      </c>
      <c r="K29" s="495">
        <v>2.3329999446868897E-2</v>
      </c>
      <c r="L29" s="495">
        <v>6.8610000610351565E-2</v>
      </c>
      <c r="M29" s="496">
        <f t="shared" si="0"/>
        <v>41.128556547619048</v>
      </c>
      <c r="N29" s="509">
        <v>34.197142857142858</v>
      </c>
      <c r="O29" s="509">
        <v>37.085833333333333</v>
      </c>
      <c r="P29" s="509">
        <v>51.050416666666671</v>
      </c>
      <c r="Q29" s="509">
        <v>42.180833333333332</v>
      </c>
      <c r="R29" s="497">
        <f t="shared" si="1"/>
        <v>48.677617647058824</v>
      </c>
      <c r="S29" s="509">
        <v>51.316980392156864</v>
      </c>
      <c r="T29" s="509">
        <v>45.275882352941174</v>
      </c>
      <c r="U29" s="509">
        <v>51.064980392156862</v>
      </c>
      <c r="V29" s="509">
        <v>47.052627450980403</v>
      </c>
      <c r="W29" s="486">
        <v>1900</v>
      </c>
      <c r="X29" s="489">
        <v>2100</v>
      </c>
      <c r="Y29" s="156">
        <f>[3]constantes!$B$12</f>
        <v>0</v>
      </c>
      <c r="Z29" s="498">
        <v>318</v>
      </c>
      <c r="AA29" s="156"/>
      <c r="AB29" s="156"/>
    </row>
    <row r="30" spans="1:28">
      <c r="A30" s="489">
        <v>1019</v>
      </c>
      <c r="B30" s="486">
        <v>27</v>
      </c>
      <c r="C30" s="156" t="s">
        <v>2010</v>
      </c>
      <c r="D30" s="156"/>
      <c r="E30" s="156"/>
      <c r="F30" s="156"/>
      <c r="G30" s="156"/>
      <c r="H30" s="486" t="s">
        <v>150</v>
      </c>
      <c r="I30" s="486">
        <v>1</v>
      </c>
      <c r="J30" s="493">
        <v>240</v>
      </c>
      <c r="K30" s="495">
        <v>2.5329999923706055E-2</v>
      </c>
      <c r="L30" s="495">
        <v>8.0909996032714843E-2</v>
      </c>
      <c r="M30" s="496">
        <f t="shared" si="0"/>
        <v>155.6828273809524</v>
      </c>
      <c r="N30" s="509">
        <v>142.76904761904765</v>
      </c>
      <c r="O30" s="509">
        <v>129.91988095238096</v>
      </c>
      <c r="P30" s="509">
        <v>182.38416666666669</v>
      </c>
      <c r="Q30" s="509">
        <v>167.65821428571428</v>
      </c>
      <c r="R30" s="497">
        <f t="shared" si="1"/>
        <v>151.65219607843136</v>
      </c>
      <c r="S30" s="509">
        <v>132.31721568627447</v>
      </c>
      <c r="T30" s="509">
        <v>135.39878431372549</v>
      </c>
      <c r="U30" s="509">
        <v>189.37839215686276</v>
      </c>
      <c r="V30" s="509">
        <v>149.51439215686275</v>
      </c>
      <c r="W30" s="486">
        <v>1900</v>
      </c>
      <c r="X30" s="489">
        <v>2100</v>
      </c>
      <c r="Y30" s="156">
        <f>[3]constantes!$B$12</f>
        <v>0</v>
      </c>
      <c r="Z30" s="498">
        <v>318</v>
      </c>
      <c r="AA30" s="156"/>
      <c r="AB30" s="156"/>
    </row>
    <row r="31" spans="1:28">
      <c r="A31" s="489">
        <v>1020</v>
      </c>
      <c r="B31" s="486">
        <v>28</v>
      </c>
      <c r="C31" s="156" t="s">
        <v>2011</v>
      </c>
      <c r="D31" s="156"/>
      <c r="E31" s="156"/>
      <c r="F31" s="156"/>
      <c r="G31" s="156"/>
      <c r="H31" s="486" t="s">
        <v>150</v>
      </c>
      <c r="I31" s="486">
        <v>1</v>
      </c>
      <c r="J31" s="493">
        <v>210</v>
      </c>
      <c r="K31" s="495">
        <v>2.5329999923706055E-2</v>
      </c>
      <c r="L31" s="495">
        <v>8.0909996032714843E-2</v>
      </c>
      <c r="M31" s="496">
        <f t="shared" si="0"/>
        <v>132.71107142857142</v>
      </c>
      <c r="N31" s="509">
        <v>125.41095238095238</v>
      </c>
      <c r="O31" s="509">
        <v>110.62535714285714</v>
      </c>
      <c r="P31" s="509">
        <v>151.90875000000003</v>
      </c>
      <c r="Q31" s="509">
        <v>142.89922619047618</v>
      </c>
      <c r="R31" s="497">
        <f t="shared" si="1"/>
        <v>128.75527450980394</v>
      </c>
      <c r="S31" s="509">
        <v>116.22000000000001</v>
      </c>
      <c r="T31" s="509">
        <v>114.05788235294118</v>
      </c>
      <c r="U31" s="509">
        <v>156.65501960784312</v>
      </c>
      <c r="V31" s="509">
        <v>128.08819607843139</v>
      </c>
      <c r="W31" s="486">
        <v>1900</v>
      </c>
      <c r="X31" s="489">
        <v>2100</v>
      </c>
      <c r="Y31" s="156">
        <f>[3]constantes!$B$12</f>
        <v>0</v>
      </c>
      <c r="Z31" s="498">
        <v>318</v>
      </c>
      <c r="AA31" s="156"/>
      <c r="AB31" s="156"/>
    </row>
    <row r="32" spans="1:28">
      <c r="A32" s="489">
        <v>1040</v>
      </c>
      <c r="B32" s="486">
        <v>61</v>
      </c>
      <c r="C32" s="156" t="s">
        <v>2012</v>
      </c>
      <c r="D32" s="156"/>
      <c r="E32" s="156"/>
      <c r="F32" s="156"/>
      <c r="G32" s="156"/>
      <c r="H32" s="486" t="s">
        <v>151</v>
      </c>
      <c r="I32" s="486">
        <v>1</v>
      </c>
      <c r="J32" s="493">
        <v>627</v>
      </c>
      <c r="K32" s="495">
        <v>2.5329999923706055E-2</v>
      </c>
      <c r="L32" s="495">
        <v>8.0909996032714843E-2</v>
      </c>
      <c r="M32" s="496">
        <f t="shared" si="0"/>
        <v>302.79383928571423</v>
      </c>
      <c r="N32" s="509">
        <v>229.98476190476188</v>
      </c>
      <c r="O32" s="509">
        <v>265.17565476190475</v>
      </c>
      <c r="P32" s="509">
        <v>405.02083333333331</v>
      </c>
      <c r="Q32" s="509">
        <v>310.9941071428571</v>
      </c>
      <c r="R32" s="497">
        <f t="shared" si="1"/>
        <v>392.42257843137259</v>
      </c>
      <c r="S32" s="509">
        <v>419.62211764705881</v>
      </c>
      <c r="T32" s="509">
        <v>354.65600000000001</v>
      </c>
      <c r="U32" s="509">
        <v>416.1217647058823</v>
      </c>
      <c r="V32" s="509">
        <v>379.29043137254911</v>
      </c>
      <c r="W32" s="486">
        <v>1900</v>
      </c>
      <c r="X32" s="489">
        <v>2100</v>
      </c>
      <c r="Y32" s="156">
        <f>[3]constantes!$B$12</f>
        <v>0</v>
      </c>
      <c r="Z32" s="498">
        <v>318</v>
      </c>
      <c r="AA32" s="156"/>
      <c r="AB32" s="156"/>
    </row>
    <row r="33" spans="1:28">
      <c r="A33" s="489">
        <v>1105</v>
      </c>
      <c r="B33" s="486">
        <v>97</v>
      </c>
      <c r="C33" s="156" t="s">
        <v>2013</v>
      </c>
      <c r="D33" s="156"/>
      <c r="E33" s="156"/>
      <c r="F33" s="156"/>
      <c r="G33" s="156"/>
      <c r="H33" s="486" t="s">
        <v>149</v>
      </c>
      <c r="I33" s="486">
        <v>2</v>
      </c>
      <c r="J33" s="493">
        <v>129.999</v>
      </c>
      <c r="K33" s="495">
        <v>1.6720000505447388E-2</v>
      </c>
      <c r="L33" s="495">
        <v>5.4029998779296873E-2</v>
      </c>
      <c r="M33" s="496">
        <f t="shared" si="0"/>
        <v>62.472738095238093</v>
      </c>
      <c r="N33" s="509">
        <v>45.569047619047616</v>
      </c>
      <c r="O33" s="509">
        <v>62.171130952380942</v>
      </c>
      <c r="P33" s="509">
        <v>84.614583333333329</v>
      </c>
      <c r="Q33" s="509">
        <v>57.536190476190484</v>
      </c>
      <c r="R33" s="497">
        <f t="shared" si="1"/>
        <v>70.835823529411755</v>
      </c>
      <c r="S33" s="509">
        <v>54.311490196078431</v>
      </c>
      <c r="T33" s="509">
        <v>65.386745098039199</v>
      </c>
      <c r="U33" s="509">
        <v>93.646901960784291</v>
      </c>
      <c r="V33" s="509">
        <v>69.998156862745091</v>
      </c>
      <c r="W33" s="486">
        <v>1900</v>
      </c>
      <c r="X33" s="489">
        <v>2100</v>
      </c>
      <c r="Y33" s="156">
        <f>[3]constantes!$B$12</f>
        <v>0</v>
      </c>
      <c r="Z33" s="498">
        <v>318</v>
      </c>
      <c r="AA33" s="156"/>
      <c r="AB33" s="156"/>
    </row>
    <row r="34" spans="1:28">
      <c r="A34" s="489">
        <v>1036</v>
      </c>
      <c r="B34" s="486">
        <v>49</v>
      </c>
      <c r="C34" s="156" t="s">
        <v>2014</v>
      </c>
      <c r="D34" s="156"/>
      <c r="E34" s="156"/>
      <c r="F34" s="156"/>
      <c r="G34" s="156"/>
      <c r="H34" s="486" t="s">
        <v>146</v>
      </c>
      <c r="I34" s="486">
        <v>1</v>
      </c>
      <c r="J34" s="493">
        <v>414</v>
      </c>
      <c r="K34" s="495">
        <v>2.5329999923706055E-2</v>
      </c>
      <c r="L34" s="495">
        <v>8.0909996032714843E-2</v>
      </c>
      <c r="M34" s="496">
        <f t="shared" ref="M34:M65" si="2">AVERAGE(N34:Q34)</f>
        <v>158.37821428571428</v>
      </c>
      <c r="N34" s="509">
        <v>98.924761904761908</v>
      </c>
      <c r="O34" s="509">
        <v>138.45565476190475</v>
      </c>
      <c r="P34" s="509">
        <v>224.96041666666667</v>
      </c>
      <c r="Q34" s="509">
        <v>171.17202380952384</v>
      </c>
      <c r="R34" s="497">
        <f t="shared" ref="R34:R65" si="3">AVERAGE(S34:V34)</f>
        <v>208.80174509803922</v>
      </c>
      <c r="S34" s="509">
        <v>226.16588235294122</v>
      </c>
      <c r="T34" s="509">
        <v>184.79039215686271</v>
      </c>
      <c r="U34" s="509">
        <v>226.54388235294118</v>
      </c>
      <c r="V34" s="509">
        <v>197.70682352941176</v>
      </c>
      <c r="W34" s="486">
        <v>1900</v>
      </c>
      <c r="X34" s="489">
        <v>2100</v>
      </c>
      <c r="Y34" s="156">
        <f>[3]constantes!$B$12</f>
        <v>0</v>
      </c>
      <c r="Z34" s="498">
        <v>318</v>
      </c>
      <c r="AA34" s="156"/>
      <c r="AB34" s="156"/>
    </row>
    <row r="35" spans="1:28">
      <c r="A35" s="489">
        <v>1133</v>
      </c>
      <c r="B35" s="486">
        <v>280</v>
      </c>
      <c r="C35" s="156" t="s">
        <v>2015</v>
      </c>
      <c r="D35" s="156"/>
      <c r="E35" s="156"/>
      <c r="F35" s="156"/>
      <c r="G35" s="156"/>
      <c r="H35" s="489" t="s">
        <v>150</v>
      </c>
      <c r="I35" s="488">
        <v>7</v>
      </c>
      <c r="J35" s="493">
        <v>78</v>
      </c>
      <c r="K35" s="499">
        <v>2.3329999446868897E-2</v>
      </c>
      <c r="L35" s="499">
        <v>6.8610000610351565E-2</v>
      </c>
      <c r="M35" s="496">
        <f t="shared" si="2"/>
        <v>60.014360119047609</v>
      </c>
      <c r="N35" s="509">
        <v>60.44142857142856</v>
      </c>
      <c r="O35" s="509">
        <v>65.709999999999994</v>
      </c>
      <c r="P35" s="509">
        <v>65.474583333333328</v>
      </c>
      <c r="Q35" s="509">
        <v>48.431428571428569</v>
      </c>
      <c r="R35" s="497">
        <f t="shared" si="3"/>
        <v>58.523715686274521</v>
      </c>
      <c r="S35" s="509">
        <v>62.884313725490223</v>
      </c>
      <c r="T35" s="509">
        <v>65.710000000000022</v>
      </c>
      <c r="U35" s="509">
        <v>64.565803921568644</v>
      </c>
      <c r="V35" s="509">
        <v>40.934745098039201</v>
      </c>
      <c r="W35" s="486">
        <v>1900</v>
      </c>
      <c r="X35" s="489">
        <v>2100</v>
      </c>
      <c r="Y35" s="156">
        <f>[3]constantes!$B$12</f>
        <v>0</v>
      </c>
      <c r="Z35" s="498">
        <v>318</v>
      </c>
      <c r="AA35" s="156"/>
      <c r="AB35" s="156"/>
    </row>
    <row r="36" spans="1:28">
      <c r="A36" s="488">
        <v>1065</v>
      </c>
      <c r="B36" s="487">
        <v>228</v>
      </c>
      <c r="C36" s="156" t="s">
        <v>2016</v>
      </c>
      <c r="D36" s="156"/>
      <c r="E36" s="156"/>
      <c r="F36" s="156"/>
      <c r="G36" s="156"/>
      <c r="H36" s="486" t="s">
        <v>158</v>
      </c>
      <c r="I36" s="486">
        <v>10</v>
      </c>
      <c r="J36" s="493">
        <v>307</v>
      </c>
      <c r="K36" s="495">
        <v>2.9170000000000001E-2</v>
      </c>
      <c r="L36" s="495">
        <v>0.12121999999999999</v>
      </c>
      <c r="M36" s="496">
        <f t="shared" si="2"/>
        <v>190.1559226190476</v>
      </c>
      <c r="N36" s="509">
        <v>256.19285714285712</v>
      </c>
      <c r="O36" s="509">
        <v>228.13029761904761</v>
      </c>
      <c r="P36" s="509">
        <v>111.95458333333333</v>
      </c>
      <c r="Q36" s="509">
        <v>164.34595238095238</v>
      </c>
      <c r="R36" s="497">
        <f t="shared" si="3"/>
        <v>183.84393137254895</v>
      </c>
      <c r="S36" s="509">
        <v>262.22184313725467</v>
      </c>
      <c r="T36" s="509">
        <v>213.3149803921568</v>
      </c>
      <c r="U36" s="509">
        <v>105.34529411764707</v>
      </c>
      <c r="V36" s="509">
        <v>154.49360784313726</v>
      </c>
      <c r="W36" s="486">
        <v>2020</v>
      </c>
      <c r="X36" s="489">
        <v>2100</v>
      </c>
      <c r="Y36" s="156">
        <f>[3]constantes!$B$12</f>
        <v>0</v>
      </c>
      <c r="Z36" s="498">
        <v>318</v>
      </c>
      <c r="AA36" s="156"/>
      <c r="AB36" s="156"/>
    </row>
    <row r="37" spans="1:28">
      <c r="A37" s="489">
        <v>1122</v>
      </c>
      <c r="B37" s="486">
        <v>176</v>
      </c>
      <c r="C37" s="156" t="s">
        <v>2017</v>
      </c>
      <c r="D37" s="156"/>
      <c r="E37" s="156"/>
      <c r="F37" s="156"/>
      <c r="G37" s="156"/>
      <c r="H37" s="486" t="s">
        <v>152</v>
      </c>
      <c r="I37" s="486">
        <v>3</v>
      </c>
      <c r="J37" s="493">
        <v>4279.6000000000004</v>
      </c>
      <c r="K37" s="495">
        <v>2.8239998817443848E-2</v>
      </c>
      <c r="L37" s="495">
        <v>0.11154000282287597</v>
      </c>
      <c r="M37" s="496">
        <f t="shared" si="2"/>
        <v>1799.3961458333333</v>
      </c>
      <c r="N37" s="509">
        <v>1394.8185714285717</v>
      </c>
      <c r="O37" s="509">
        <v>1766.8432142857143</v>
      </c>
      <c r="P37" s="509">
        <v>2391.9625000000001</v>
      </c>
      <c r="Q37" s="509">
        <v>1643.9602976190474</v>
      </c>
      <c r="R37" s="497">
        <f t="shared" si="3"/>
        <v>1741.1362254901958</v>
      </c>
      <c r="S37" s="509">
        <v>1783.4683921568628</v>
      </c>
      <c r="T37" s="509">
        <v>1763.9440784313726</v>
      </c>
      <c r="U37" s="509">
        <v>1978.2165098039211</v>
      </c>
      <c r="V37" s="509">
        <v>1438.915921568627</v>
      </c>
      <c r="W37" s="486">
        <v>1900</v>
      </c>
      <c r="X37" s="489">
        <v>2100</v>
      </c>
      <c r="Y37" s="156">
        <f>[3]constantes!$B$12</f>
        <v>0</v>
      </c>
      <c r="Z37" s="498">
        <v>318</v>
      </c>
      <c r="AA37" s="156"/>
      <c r="AB37" s="156"/>
    </row>
    <row r="38" spans="1:28">
      <c r="A38" s="489">
        <v>1022</v>
      </c>
      <c r="B38" s="486">
        <v>30</v>
      </c>
      <c r="C38" s="156" t="s">
        <v>2018</v>
      </c>
      <c r="D38" s="156"/>
      <c r="E38" s="156"/>
      <c r="F38" s="156"/>
      <c r="G38" s="156"/>
      <c r="H38" s="486" t="s">
        <v>2003</v>
      </c>
      <c r="I38" s="486">
        <v>1</v>
      </c>
      <c r="J38" s="493">
        <v>375</v>
      </c>
      <c r="K38" s="495">
        <v>2.5329999923706055E-2</v>
      </c>
      <c r="L38" s="495">
        <v>8.0909996032714843E-2</v>
      </c>
      <c r="M38" s="496">
        <f t="shared" si="2"/>
        <v>231.74208333333334</v>
      </c>
      <c r="N38" s="509">
        <v>309.83380952380952</v>
      </c>
      <c r="O38" s="509">
        <v>249.80321428571429</v>
      </c>
      <c r="P38" s="509">
        <v>157.37458333333333</v>
      </c>
      <c r="Q38" s="509">
        <v>209.95672619047619</v>
      </c>
      <c r="R38" s="497">
        <f t="shared" si="3"/>
        <v>232.28687254901953</v>
      </c>
      <c r="S38" s="509">
        <v>320.26337254901932</v>
      </c>
      <c r="T38" s="509">
        <v>252.32501960784302</v>
      </c>
      <c r="U38" s="509">
        <v>147.31078431372552</v>
      </c>
      <c r="V38" s="509">
        <v>209.24831372549019</v>
      </c>
      <c r="W38" s="486">
        <v>1900</v>
      </c>
      <c r="X38" s="489">
        <v>2100</v>
      </c>
      <c r="Y38" s="156">
        <f>[3]constantes!$B$12</f>
        <v>0</v>
      </c>
      <c r="Z38" s="498">
        <v>318</v>
      </c>
      <c r="AA38" s="156"/>
      <c r="AB38" s="156"/>
    </row>
    <row r="39" spans="1:28">
      <c r="A39" s="489">
        <v>1068</v>
      </c>
      <c r="B39" s="486">
        <v>203</v>
      </c>
      <c r="C39" s="156" t="s">
        <v>2019</v>
      </c>
      <c r="D39" s="156"/>
      <c r="E39" s="156"/>
      <c r="F39" s="156"/>
      <c r="G39" s="156"/>
      <c r="H39" s="486" t="s">
        <v>2003</v>
      </c>
      <c r="I39" s="486">
        <v>1</v>
      </c>
      <c r="J39" s="493">
        <v>96.447000000000003</v>
      </c>
      <c r="K39" s="495">
        <v>1.6720000505447388E-2</v>
      </c>
      <c r="L39" s="495">
        <v>5.4029998779296873E-2</v>
      </c>
      <c r="M39" s="496">
        <f t="shared" si="2"/>
        <v>49.274062499999999</v>
      </c>
      <c r="N39" s="509">
        <v>70.628095238095241</v>
      </c>
      <c r="O39" s="509">
        <v>50.540059523809511</v>
      </c>
      <c r="P39" s="509">
        <v>30.647916666666671</v>
      </c>
      <c r="Q39" s="509">
        <v>45.280178571428571</v>
      </c>
      <c r="R39" s="497">
        <f t="shared" si="3"/>
        <v>51.514029411764696</v>
      </c>
      <c r="S39" s="509">
        <v>75.852901960784308</v>
      </c>
      <c r="T39" s="509">
        <v>54.182235294117639</v>
      </c>
      <c r="U39" s="509">
        <v>30.731843137254899</v>
      </c>
      <c r="V39" s="509">
        <v>45.289137254901966</v>
      </c>
      <c r="W39" s="486">
        <v>1900</v>
      </c>
      <c r="X39" s="489">
        <v>2100</v>
      </c>
      <c r="Y39" s="156">
        <f>[3]constantes!$B$12</f>
        <v>0</v>
      </c>
      <c r="Z39" s="498">
        <v>318</v>
      </c>
      <c r="AA39" s="156"/>
      <c r="AB39" s="156"/>
    </row>
    <row r="40" spans="1:28">
      <c r="A40" s="489">
        <v>1021</v>
      </c>
      <c r="B40" s="486">
        <v>29</v>
      </c>
      <c r="C40" s="156" t="s">
        <v>2020</v>
      </c>
      <c r="D40" s="156"/>
      <c r="E40" s="156"/>
      <c r="F40" s="156"/>
      <c r="G40" s="156"/>
      <c r="H40" s="486" t="s">
        <v>2003</v>
      </c>
      <c r="I40" s="486">
        <v>1</v>
      </c>
      <c r="J40" s="493">
        <v>127</v>
      </c>
      <c r="K40" s="495">
        <v>2.5329999923706055E-2</v>
      </c>
      <c r="L40" s="495">
        <v>8.0909996032714843E-2</v>
      </c>
      <c r="M40" s="496">
        <f t="shared" si="2"/>
        <v>68.142767857142857</v>
      </c>
      <c r="N40" s="509">
        <v>97.827619047619052</v>
      </c>
      <c r="O40" s="509">
        <v>69.726845238095237</v>
      </c>
      <c r="P40" s="509">
        <v>41.863333333333337</v>
      </c>
      <c r="Q40" s="509">
        <v>63.153273809523817</v>
      </c>
      <c r="R40" s="497">
        <f t="shared" si="3"/>
        <v>70.077617647058858</v>
      </c>
      <c r="S40" s="509">
        <v>102.96811764705889</v>
      </c>
      <c r="T40" s="509">
        <v>73.938666666666691</v>
      </c>
      <c r="U40" s="509">
        <v>41.436823529411775</v>
      </c>
      <c r="V40" s="509">
        <v>61.966862745098048</v>
      </c>
      <c r="W40" s="486">
        <v>1900</v>
      </c>
      <c r="X40" s="489">
        <v>2100</v>
      </c>
      <c r="Y40" s="156">
        <f>[3]constantes!$B$12</f>
        <v>0</v>
      </c>
      <c r="Z40" s="498">
        <v>318</v>
      </c>
      <c r="AA40" s="156"/>
      <c r="AB40" s="156"/>
    </row>
    <row r="41" spans="1:28">
      <c r="A41" s="489">
        <v>1127</v>
      </c>
      <c r="B41" s="486">
        <v>272</v>
      </c>
      <c r="C41" s="156" t="s">
        <v>2021</v>
      </c>
      <c r="D41" s="156"/>
      <c r="E41" s="156"/>
      <c r="F41" s="156"/>
      <c r="G41" s="156"/>
      <c r="H41" s="486" t="s">
        <v>153</v>
      </c>
      <c r="I41" s="486">
        <v>4</v>
      </c>
      <c r="J41" s="493">
        <v>42.8</v>
      </c>
      <c r="K41" s="495">
        <v>2.3329999446868897E-2</v>
      </c>
      <c r="L41" s="495">
        <v>6.8610000610351565E-2</v>
      </c>
      <c r="M41" s="496">
        <f t="shared" si="2"/>
        <v>29.682663690476197</v>
      </c>
      <c r="N41" s="509">
        <v>27.220476190476194</v>
      </c>
      <c r="O41" s="509">
        <v>37.676666666666669</v>
      </c>
      <c r="P41" s="509">
        <v>32.317916666666669</v>
      </c>
      <c r="Q41" s="509">
        <v>21.515595238095241</v>
      </c>
      <c r="R41" s="497">
        <f t="shared" si="3"/>
        <v>29.100960784313717</v>
      </c>
      <c r="S41" s="509">
        <v>30.548117647058813</v>
      </c>
      <c r="T41" s="509">
        <v>36.700313725490183</v>
      </c>
      <c r="U41" s="509">
        <v>28.856627450980387</v>
      </c>
      <c r="V41" s="509">
        <v>20.298784313725491</v>
      </c>
      <c r="W41" s="486">
        <v>1900</v>
      </c>
      <c r="X41" s="489">
        <v>2100</v>
      </c>
      <c r="Y41" s="156">
        <f>[3]constantes!$B$12</f>
        <v>0</v>
      </c>
      <c r="Z41" s="498">
        <v>318</v>
      </c>
      <c r="AA41" s="156"/>
      <c r="AB41" s="156"/>
    </row>
    <row r="42" spans="1:28">
      <c r="A42" s="489">
        <v>1114</v>
      </c>
      <c r="B42" s="486">
        <v>114</v>
      </c>
      <c r="C42" s="156" t="s">
        <v>2022</v>
      </c>
      <c r="D42" s="156"/>
      <c r="E42" s="156"/>
      <c r="F42" s="156"/>
      <c r="G42" s="156"/>
      <c r="H42" s="486" t="s">
        <v>149</v>
      </c>
      <c r="I42" s="486">
        <v>2</v>
      </c>
      <c r="J42" s="493">
        <v>125</v>
      </c>
      <c r="K42" s="495">
        <v>2.5329999923706055E-2</v>
      </c>
      <c r="L42" s="495">
        <v>8.0909996032714843E-2</v>
      </c>
      <c r="M42" s="496">
        <f t="shared" si="2"/>
        <v>75.370282738095241</v>
      </c>
      <c r="N42" s="509">
        <v>45.570952380952377</v>
      </c>
      <c r="O42" s="509">
        <v>63.65505952380952</v>
      </c>
      <c r="P42" s="509">
        <v>103.50208333333335</v>
      </c>
      <c r="Q42" s="509">
        <v>88.753035714285716</v>
      </c>
      <c r="R42" s="497">
        <f t="shared" si="3"/>
        <v>80.833803921568631</v>
      </c>
      <c r="S42" s="509">
        <v>54.599490196078428</v>
      </c>
      <c r="T42" s="509">
        <v>73.797764705882358</v>
      </c>
      <c r="U42" s="509">
        <v>106.83945098039219</v>
      </c>
      <c r="V42" s="509">
        <v>88.098509803921573</v>
      </c>
      <c r="W42" s="486">
        <v>1900</v>
      </c>
      <c r="X42" s="489">
        <v>2100</v>
      </c>
      <c r="Y42" s="156">
        <f>[3]constantes!$B$12</f>
        <v>0</v>
      </c>
      <c r="Z42" s="498">
        <v>318</v>
      </c>
      <c r="AA42" s="156"/>
      <c r="AB42" s="156"/>
    </row>
    <row r="43" spans="1:28">
      <c r="A43" s="489">
        <v>1084</v>
      </c>
      <c r="B43" s="486">
        <v>310</v>
      </c>
      <c r="C43" s="156" t="s">
        <v>2023</v>
      </c>
      <c r="D43" s="156"/>
      <c r="E43" s="156"/>
      <c r="F43" s="156"/>
      <c r="G43" s="156"/>
      <c r="H43" s="489" t="s">
        <v>150</v>
      </c>
      <c r="I43" s="488">
        <v>1</v>
      </c>
      <c r="J43" s="493">
        <v>261</v>
      </c>
      <c r="K43" s="499">
        <v>1.7450000047683715E-2</v>
      </c>
      <c r="L43" s="499">
        <v>5.5650000572204587E-2</v>
      </c>
      <c r="M43" s="496">
        <f t="shared" si="2"/>
        <v>160.98787202380953</v>
      </c>
      <c r="N43" s="509">
        <v>204.81190476190474</v>
      </c>
      <c r="O43" s="509">
        <v>220.58690476190478</v>
      </c>
      <c r="P43" s="509">
        <v>129.38</v>
      </c>
      <c r="Q43" s="509">
        <v>89.172678571428563</v>
      </c>
      <c r="R43" s="497">
        <f t="shared" si="3"/>
        <v>155.46006862745099</v>
      </c>
      <c r="S43" s="509">
        <v>233.57380392156861</v>
      </c>
      <c r="T43" s="509">
        <v>221.89113725490196</v>
      </c>
      <c r="U43" s="509">
        <v>85.898588235294099</v>
      </c>
      <c r="V43" s="509">
        <v>80.476745098039203</v>
      </c>
      <c r="W43" s="486">
        <v>1900</v>
      </c>
      <c r="X43" s="489">
        <v>2100</v>
      </c>
      <c r="Y43" s="156">
        <f>[3]constantes!$B$12</f>
        <v>0</v>
      </c>
      <c r="Z43" s="498">
        <v>318</v>
      </c>
      <c r="AA43" s="156"/>
      <c r="AB43" s="156"/>
    </row>
    <row r="44" spans="1:28">
      <c r="A44" s="489">
        <v>1016</v>
      </c>
      <c r="B44" s="486">
        <v>24</v>
      </c>
      <c r="C44" s="156" t="s">
        <v>2024</v>
      </c>
      <c r="D44" s="156"/>
      <c r="E44" s="156"/>
      <c r="F44" s="156"/>
      <c r="G44" s="156"/>
      <c r="H44" s="486" t="s">
        <v>150</v>
      </c>
      <c r="I44" s="486">
        <v>1</v>
      </c>
      <c r="J44" s="493">
        <v>1192</v>
      </c>
      <c r="K44" s="495">
        <v>2.9170000553131105E-2</v>
      </c>
      <c r="L44" s="495">
        <v>0.12121999740600586</v>
      </c>
      <c r="M44" s="496">
        <f t="shared" si="2"/>
        <v>501.7702976190476</v>
      </c>
      <c r="N44" s="509">
        <v>448.7661904761905</v>
      </c>
      <c r="O44" s="509">
        <v>368.84083333333336</v>
      </c>
      <c r="P44" s="509">
        <v>657.43666666666661</v>
      </c>
      <c r="Q44" s="509">
        <v>532.03750000000002</v>
      </c>
      <c r="R44" s="497">
        <f t="shared" si="3"/>
        <v>482.35464705882356</v>
      </c>
      <c r="S44" s="509">
        <v>458.02878431372551</v>
      </c>
      <c r="T44" s="509">
        <v>396.80796078431376</v>
      </c>
      <c r="U44" s="509">
        <v>619.48486274509821</v>
      </c>
      <c r="V44" s="509">
        <v>455.09698039215692</v>
      </c>
      <c r="W44" s="486">
        <v>1900</v>
      </c>
      <c r="X44" s="489">
        <v>2100</v>
      </c>
      <c r="Y44" s="156">
        <f>[3]constantes!$B$12</f>
        <v>0</v>
      </c>
      <c r="Z44" s="498">
        <v>318</v>
      </c>
      <c r="AA44" s="156"/>
      <c r="AB44" s="156"/>
    </row>
    <row r="45" spans="1:28">
      <c r="A45" s="489">
        <v>1081</v>
      </c>
      <c r="B45" s="486">
        <v>290</v>
      </c>
      <c r="C45" s="156" t="s">
        <v>2025</v>
      </c>
      <c r="D45" s="156"/>
      <c r="E45" s="156"/>
      <c r="F45" s="156"/>
      <c r="G45" s="156"/>
      <c r="H45" s="490" t="s">
        <v>2003</v>
      </c>
      <c r="I45" s="490">
        <v>1</v>
      </c>
      <c r="J45" s="493">
        <v>32.01</v>
      </c>
      <c r="K45" s="501">
        <v>2.3329999446868897E-2</v>
      </c>
      <c r="L45" s="501">
        <v>6.8610000610351565E-2</v>
      </c>
      <c r="M45" s="496">
        <f t="shared" si="2"/>
        <v>19.883080357142855</v>
      </c>
      <c r="N45" s="509">
        <v>24.101428571428571</v>
      </c>
      <c r="O45" s="509">
        <v>19.070416666666663</v>
      </c>
      <c r="P45" s="509">
        <v>16.596666666666664</v>
      </c>
      <c r="Q45" s="509">
        <v>19.763809523809524</v>
      </c>
      <c r="R45" s="497">
        <f t="shared" si="3"/>
        <v>23.849431372549017</v>
      </c>
      <c r="S45" s="509">
        <v>27.550823529411758</v>
      </c>
      <c r="T45" s="509">
        <v>24.132627450980394</v>
      </c>
      <c r="U45" s="509">
        <v>19.980745098039211</v>
      </c>
      <c r="V45" s="509">
        <v>23.733529411764707</v>
      </c>
      <c r="W45" s="486">
        <v>1900</v>
      </c>
      <c r="X45" s="489">
        <v>2100</v>
      </c>
      <c r="Y45" s="156">
        <f>[3]constantes!$B$12</f>
        <v>0</v>
      </c>
      <c r="Z45" s="498">
        <v>318</v>
      </c>
      <c r="AA45" s="156"/>
      <c r="AB45" s="156"/>
    </row>
    <row r="46" spans="1:28">
      <c r="A46" s="489">
        <v>1006</v>
      </c>
      <c r="B46" s="486">
        <v>8</v>
      </c>
      <c r="C46" s="156" t="s">
        <v>2026</v>
      </c>
      <c r="D46" s="156"/>
      <c r="E46" s="156"/>
      <c r="F46" s="156"/>
      <c r="G46" s="156"/>
      <c r="H46" s="490" t="s">
        <v>146</v>
      </c>
      <c r="I46" s="490">
        <v>1</v>
      </c>
      <c r="J46" s="493">
        <v>1104</v>
      </c>
      <c r="K46" s="495">
        <v>2.5329999923706055E-2</v>
      </c>
      <c r="L46" s="495">
        <v>8.0909996032714843E-2</v>
      </c>
      <c r="M46" s="496">
        <f t="shared" si="2"/>
        <v>503.34605654761901</v>
      </c>
      <c r="N46" s="509">
        <v>603.63428571428574</v>
      </c>
      <c r="O46" s="509">
        <v>446.08732142857139</v>
      </c>
      <c r="P46" s="509">
        <v>478.38625000000002</v>
      </c>
      <c r="Q46" s="509">
        <v>485.27636904761903</v>
      </c>
      <c r="R46" s="497">
        <f t="shared" si="3"/>
        <v>531.53059803921553</v>
      </c>
      <c r="S46" s="509">
        <v>691.20772549019568</v>
      </c>
      <c r="T46" s="509">
        <v>464.47976470588225</v>
      </c>
      <c r="U46" s="509">
        <v>492.59678431372532</v>
      </c>
      <c r="V46" s="509">
        <v>477.83811764705888</v>
      </c>
      <c r="W46" s="486">
        <v>1900</v>
      </c>
      <c r="X46" s="489">
        <v>2100</v>
      </c>
      <c r="Y46" s="156">
        <f>[3]constantes!$B$12</f>
        <v>0</v>
      </c>
      <c r="Z46" s="498">
        <v>318</v>
      </c>
      <c r="AA46" s="156"/>
      <c r="AB46" s="156"/>
    </row>
    <row r="47" spans="1:28">
      <c r="A47" s="489">
        <v>1126</v>
      </c>
      <c r="B47" s="486">
        <v>267</v>
      </c>
      <c r="C47" s="156" t="s">
        <v>2027</v>
      </c>
      <c r="D47" s="156"/>
      <c r="E47" s="156"/>
      <c r="F47" s="156"/>
      <c r="G47" s="156"/>
      <c r="H47" s="486" t="s">
        <v>147</v>
      </c>
      <c r="I47" s="486">
        <v>4</v>
      </c>
      <c r="J47" s="493">
        <v>1087</v>
      </c>
      <c r="K47" s="499">
        <v>2.5329999923706055E-2</v>
      </c>
      <c r="L47" s="499">
        <v>8.0909996032714843E-2</v>
      </c>
      <c r="M47" s="496">
        <f t="shared" si="2"/>
        <v>583.31889880952372</v>
      </c>
      <c r="N47" s="509">
        <v>780.21</v>
      </c>
      <c r="O47" s="509">
        <v>642.17553571428573</v>
      </c>
      <c r="P47" s="509">
        <v>391.00541666666669</v>
      </c>
      <c r="Q47" s="509">
        <v>519.88464285714281</v>
      </c>
      <c r="R47" s="497">
        <f t="shared" si="3"/>
        <v>606.4376666666667</v>
      </c>
      <c r="S47" s="509">
        <v>871.86819607843142</v>
      </c>
      <c r="T47" s="509">
        <v>684.08478431372532</v>
      </c>
      <c r="U47" s="509">
        <v>361.37701960784312</v>
      </c>
      <c r="V47" s="509">
        <v>508.42066666666665</v>
      </c>
      <c r="W47" s="486">
        <v>1900</v>
      </c>
      <c r="X47" s="489">
        <v>2100</v>
      </c>
      <c r="Y47" s="156">
        <f>[3]constantes!$B$12</f>
        <v>0</v>
      </c>
      <c r="Z47" s="498">
        <v>318</v>
      </c>
      <c r="AA47" s="156"/>
      <c r="AB47" s="156"/>
    </row>
    <row r="48" spans="1:28">
      <c r="A48" s="489">
        <v>1012</v>
      </c>
      <c r="B48" s="486">
        <v>15</v>
      </c>
      <c r="C48" s="156" t="s">
        <v>2028</v>
      </c>
      <c r="D48" s="156"/>
      <c r="E48" s="156"/>
      <c r="F48" s="156"/>
      <c r="G48" s="156"/>
      <c r="H48" s="486" t="s">
        <v>146</v>
      </c>
      <c r="I48" s="486">
        <v>1</v>
      </c>
      <c r="J48" s="493">
        <v>108.8</v>
      </c>
      <c r="K48" s="495">
        <v>2.3329999446868897E-2</v>
      </c>
      <c r="L48" s="495">
        <v>6.8610000610351565E-2</v>
      </c>
      <c r="M48" s="496">
        <f t="shared" si="2"/>
        <v>50.010505952380946</v>
      </c>
      <c r="N48" s="509">
        <v>72.445238095238096</v>
      </c>
      <c r="O48" s="509">
        <v>48.819880952380949</v>
      </c>
      <c r="P48" s="509">
        <v>36.477916666666665</v>
      </c>
      <c r="Q48" s="509">
        <v>42.298988095238094</v>
      </c>
      <c r="R48" s="497">
        <f t="shared" si="3"/>
        <v>55.362098039215688</v>
      </c>
      <c r="S48" s="509">
        <v>78.362862745098028</v>
      </c>
      <c r="T48" s="509">
        <v>51.271411764705896</v>
      </c>
      <c r="U48" s="509">
        <v>40.384823529411769</v>
      </c>
      <c r="V48" s="509">
        <v>51.429294117647053</v>
      </c>
      <c r="W48" s="486">
        <v>1900</v>
      </c>
      <c r="X48" s="489">
        <v>2100</v>
      </c>
      <c r="Y48" s="156">
        <f>[3]constantes!$B$12</f>
        <v>0</v>
      </c>
      <c r="Z48" s="498">
        <v>318</v>
      </c>
      <c r="AA48" s="156"/>
      <c r="AB48" s="156"/>
    </row>
    <row r="49" spans="1:28">
      <c r="A49" s="489">
        <v>1134</v>
      </c>
      <c r="B49" s="486">
        <v>284</v>
      </c>
      <c r="C49" s="156" t="s">
        <v>2029</v>
      </c>
      <c r="D49" s="156" t="s">
        <v>2030</v>
      </c>
      <c r="E49" s="156"/>
      <c r="F49" s="156"/>
      <c r="G49" s="156"/>
      <c r="H49" s="489" t="s">
        <v>1999</v>
      </c>
      <c r="I49" s="488">
        <v>4</v>
      </c>
      <c r="J49" s="493">
        <v>252</v>
      </c>
      <c r="K49" s="495">
        <v>2.5329999923706055E-2</v>
      </c>
      <c r="L49" s="495">
        <v>8.0909996032714843E-2</v>
      </c>
      <c r="M49" s="496">
        <f t="shared" si="2"/>
        <v>144.66671130952381</v>
      </c>
      <c r="N49" s="509">
        <v>151.97190476190477</v>
      </c>
      <c r="O49" s="509">
        <v>230.55250000000001</v>
      </c>
      <c r="P49" s="509">
        <v>148.85333333333332</v>
      </c>
      <c r="Q49" s="509">
        <v>47.289107142857141</v>
      </c>
      <c r="R49" s="497">
        <f t="shared" si="3"/>
        <v>137.33299019607844</v>
      </c>
      <c r="S49" s="509">
        <v>153.30992156862746</v>
      </c>
      <c r="T49" s="509">
        <v>224.17035294117647</v>
      </c>
      <c r="U49" s="509">
        <v>132.41435294117647</v>
      </c>
      <c r="V49" s="509">
        <v>39.437333333333335</v>
      </c>
      <c r="W49" s="486">
        <v>1900</v>
      </c>
      <c r="X49" s="489">
        <v>2100</v>
      </c>
      <c r="Y49" s="156">
        <f>[3]constantes!$B$12</f>
        <v>0</v>
      </c>
      <c r="Z49" s="498">
        <v>318</v>
      </c>
      <c r="AA49" s="156"/>
      <c r="AB49" s="156"/>
    </row>
    <row r="50" spans="1:28">
      <c r="A50" s="489">
        <v>1052</v>
      </c>
      <c r="B50" s="486">
        <v>132</v>
      </c>
      <c r="C50" s="156" t="s">
        <v>2031</v>
      </c>
      <c r="D50" s="156"/>
      <c r="E50" s="156"/>
      <c r="F50" s="156"/>
      <c r="G50" s="156"/>
      <c r="H50" s="486" t="s">
        <v>282</v>
      </c>
      <c r="I50" s="486">
        <v>1</v>
      </c>
      <c r="J50" s="493">
        <v>131.988</v>
      </c>
      <c r="K50" s="495">
        <v>1.6720000505447388E-2</v>
      </c>
      <c r="L50" s="495">
        <v>5.4029998779296873E-2</v>
      </c>
      <c r="M50" s="496">
        <f t="shared" si="2"/>
        <v>68.081919642857144</v>
      </c>
      <c r="N50" s="509">
        <v>78.84142857142858</v>
      </c>
      <c r="O50" s="509">
        <v>66.060773809523809</v>
      </c>
      <c r="P50" s="509">
        <v>61.086666666666666</v>
      </c>
      <c r="Q50" s="509">
        <v>66.33880952380953</v>
      </c>
      <c r="R50" s="497">
        <f t="shared" si="3"/>
        <v>70.068509803921557</v>
      </c>
      <c r="S50" s="509">
        <v>100.11498039215684</v>
      </c>
      <c r="T50" s="509">
        <v>66.662588235294123</v>
      </c>
      <c r="U50" s="509">
        <v>45.255411764705876</v>
      </c>
      <c r="V50" s="509">
        <v>68.241058823529386</v>
      </c>
      <c r="W50" s="486">
        <v>1900</v>
      </c>
      <c r="X50" s="489">
        <v>2100</v>
      </c>
      <c r="Y50" s="156">
        <f>[3]constantes!$B$12</f>
        <v>0</v>
      </c>
      <c r="Z50" s="498">
        <v>318</v>
      </c>
      <c r="AA50" s="156"/>
      <c r="AB50" s="156"/>
    </row>
    <row r="51" spans="1:28">
      <c r="A51" s="489">
        <v>1110</v>
      </c>
      <c r="B51" s="486">
        <v>103</v>
      </c>
      <c r="C51" s="156" t="s">
        <v>2032</v>
      </c>
      <c r="D51" s="156"/>
      <c r="E51" s="156"/>
      <c r="F51" s="156"/>
      <c r="G51" s="156"/>
      <c r="H51" s="486" t="s">
        <v>1989</v>
      </c>
      <c r="I51" s="486">
        <v>2</v>
      </c>
      <c r="J51" s="493">
        <v>855</v>
      </c>
      <c r="K51" s="495">
        <v>2.9170000553131105E-2</v>
      </c>
      <c r="L51" s="495">
        <v>0.12121999740600586</v>
      </c>
      <c r="M51" s="496">
        <f t="shared" si="2"/>
        <v>428.7702976190476</v>
      </c>
      <c r="N51" s="509">
        <v>241.41761904761904</v>
      </c>
      <c r="O51" s="509">
        <v>374.00785714285712</v>
      </c>
      <c r="P51" s="509">
        <v>594.96541666666667</v>
      </c>
      <c r="Q51" s="509">
        <v>504.69029761904761</v>
      </c>
      <c r="R51" s="497">
        <f t="shared" si="3"/>
        <v>458.5567843137253</v>
      </c>
      <c r="S51" s="509">
        <v>319.27054901960781</v>
      </c>
      <c r="T51" s="509">
        <v>404.69541176470597</v>
      </c>
      <c r="U51" s="509">
        <v>613.03807843137213</v>
      </c>
      <c r="V51" s="509">
        <v>497.22309803921536</v>
      </c>
      <c r="W51" s="486">
        <v>1900</v>
      </c>
      <c r="X51" s="489">
        <v>2100</v>
      </c>
      <c r="Y51" s="156">
        <f>[3]constantes!$B$12</f>
        <v>0</v>
      </c>
      <c r="Z51" s="498">
        <v>318</v>
      </c>
      <c r="AA51" s="156"/>
      <c r="AB51" s="156"/>
    </row>
    <row r="52" spans="1:28">
      <c r="A52" s="489">
        <v>1087</v>
      </c>
      <c r="B52" s="486">
        <v>315</v>
      </c>
      <c r="C52" s="156" t="s">
        <v>2033</v>
      </c>
      <c r="D52" s="156"/>
      <c r="E52" s="156"/>
      <c r="F52" s="156"/>
      <c r="G52" s="156"/>
      <c r="H52" s="486" t="s">
        <v>2003</v>
      </c>
      <c r="I52" s="486">
        <v>1</v>
      </c>
      <c r="J52" s="493">
        <v>68.400000000000006</v>
      </c>
      <c r="K52" s="495">
        <v>1.6720000505447388E-2</v>
      </c>
      <c r="L52" s="495">
        <v>5.4029998779296873E-2</v>
      </c>
      <c r="M52" s="496">
        <f t="shared" si="2"/>
        <v>40.246309523809529</v>
      </c>
      <c r="N52" s="509">
        <v>58.018095238095235</v>
      </c>
      <c r="O52" s="509">
        <v>37.902678571428567</v>
      </c>
      <c r="P52" s="509">
        <v>23.429166666666671</v>
      </c>
      <c r="Q52" s="509">
        <v>41.63529761904762</v>
      </c>
      <c r="R52" s="497">
        <f t="shared" si="3"/>
        <v>45.151078431372547</v>
      </c>
      <c r="S52" s="509">
        <v>62.956352941176476</v>
      </c>
      <c r="T52" s="509">
        <v>46.135333333333335</v>
      </c>
      <c r="U52" s="509">
        <v>27.091254901960781</v>
      </c>
      <c r="V52" s="509">
        <v>44.421372549019601</v>
      </c>
      <c r="W52" s="486">
        <v>1900</v>
      </c>
      <c r="X52" s="489">
        <v>2100</v>
      </c>
      <c r="Y52" s="156">
        <f>[3]constantes!$B$12</f>
        <v>0</v>
      </c>
      <c r="Z52" s="498">
        <v>318</v>
      </c>
      <c r="AA52" s="156"/>
      <c r="AB52" s="156"/>
    </row>
    <row r="53" spans="1:28">
      <c r="A53" s="489">
        <v>1091</v>
      </c>
      <c r="B53" s="486">
        <v>72</v>
      </c>
      <c r="C53" s="156" t="s">
        <v>2034</v>
      </c>
      <c r="D53" s="156"/>
      <c r="E53" s="156"/>
      <c r="F53" s="156"/>
      <c r="G53" s="156"/>
      <c r="H53" s="486" t="s">
        <v>151</v>
      </c>
      <c r="I53" s="486">
        <v>2</v>
      </c>
      <c r="J53" s="493">
        <v>120.16800000000001</v>
      </c>
      <c r="K53" s="495">
        <v>2.5329999923706055E-2</v>
      </c>
      <c r="L53" s="495">
        <v>8.0909996032714843E-2</v>
      </c>
      <c r="M53" s="496">
        <f t="shared" si="2"/>
        <v>66.8042261904762</v>
      </c>
      <c r="N53" s="509">
        <v>60.52571428571428</v>
      </c>
      <c r="O53" s="509">
        <v>66.188333333333333</v>
      </c>
      <c r="P53" s="509">
        <v>65.167500000000004</v>
      </c>
      <c r="Q53" s="509">
        <v>75.335357142857148</v>
      </c>
      <c r="R53" s="497">
        <f t="shared" si="3"/>
        <v>69.290568627450995</v>
      </c>
      <c r="S53" s="509">
        <v>64.217058823529413</v>
      </c>
      <c r="T53" s="509">
        <v>64.891725490196094</v>
      </c>
      <c r="U53" s="509">
        <v>71.664666666666676</v>
      </c>
      <c r="V53" s="509">
        <v>76.388823529411781</v>
      </c>
      <c r="W53" s="486">
        <v>1900</v>
      </c>
      <c r="X53" s="489">
        <v>2100</v>
      </c>
      <c r="Y53" s="156">
        <f>[3]constantes!$B$12</f>
        <v>0</v>
      </c>
      <c r="Z53" s="498">
        <v>318</v>
      </c>
      <c r="AA53" s="156"/>
      <c r="AB53" s="156"/>
    </row>
    <row r="54" spans="1:28">
      <c r="A54" s="489">
        <v>1003</v>
      </c>
      <c r="B54" s="486">
        <v>4</v>
      </c>
      <c r="C54" s="156" t="s">
        <v>2035</v>
      </c>
      <c r="D54" s="156"/>
      <c r="E54" s="156"/>
      <c r="F54" s="156"/>
      <c r="G54" s="156"/>
      <c r="H54" s="486" t="s">
        <v>150</v>
      </c>
      <c r="I54" s="486">
        <v>1</v>
      </c>
      <c r="J54" s="493">
        <v>180</v>
      </c>
      <c r="K54" s="495">
        <v>2.5329999923706055E-2</v>
      </c>
      <c r="L54" s="495">
        <v>8.0909996032714843E-2</v>
      </c>
      <c r="M54" s="496">
        <f t="shared" si="2"/>
        <v>83.657485119047621</v>
      </c>
      <c r="N54" s="509">
        <v>125.07857142857142</v>
      </c>
      <c r="O54" s="509">
        <v>78.731904761904758</v>
      </c>
      <c r="P54" s="509">
        <v>48.531250000000007</v>
      </c>
      <c r="Q54" s="509">
        <v>82.28821428571429</v>
      </c>
      <c r="R54" s="497">
        <f t="shared" si="3"/>
        <v>94.242852941176466</v>
      </c>
      <c r="S54" s="509">
        <v>143.15050980392149</v>
      </c>
      <c r="T54" s="509">
        <v>83.487019607843152</v>
      </c>
      <c r="U54" s="509">
        <v>56.77145098039216</v>
      </c>
      <c r="V54" s="509">
        <v>93.562431372549028</v>
      </c>
      <c r="W54" s="486">
        <v>1900</v>
      </c>
      <c r="X54" s="489">
        <v>2100</v>
      </c>
      <c r="Y54" s="156">
        <f>[3]constantes!$B$12</f>
        <v>0</v>
      </c>
      <c r="Z54" s="498">
        <v>318</v>
      </c>
      <c r="AA54" s="156"/>
      <c r="AB54" s="156"/>
    </row>
    <row r="55" spans="1:28">
      <c r="A55" s="489">
        <v>1046</v>
      </c>
      <c r="B55" s="486">
        <v>123</v>
      </c>
      <c r="C55" s="156" t="s">
        <v>2036</v>
      </c>
      <c r="D55" s="156"/>
      <c r="E55" s="156"/>
      <c r="F55" s="156"/>
      <c r="G55" s="156"/>
      <c r="H55" s="486" t="s">
        <v>282</v>
      </c>
      <c r="I55" s="486">
        <v>1</v>
      </c>
      <c r="J55" s="493">
        <v>222</v>
      </c>
      <c r="K55" s="495">
        <v>2.5329999923706055E-2</v>
      </c>
      <c r="L55" s="495">
        <v>8.0909996032714843E-2</v>
      </c>
      <c r="M55" s="496">
        <f t="shared" si="2"/>
        <v>102.84572916666666</v>
      </c>
      <c r="N55" s="509">
        <v>133.99857142857141</v>
      </c>
      <c r="O55" s="509">
        <v>100.34833333333331</v>
      </c>
      <c r="P55" s="509">
        <v>81.717083333333335</v>
      </c>
      <c r="Q55" s="509">
        <v>95.318928571428572</v>
      </c>
      <c r="R55" s="497">
        <f t="shared" si="3"/>
        <v>111.35822549019606</v>
      </c>
      <c r="S55" s="509">
        <v>157.7685490196078</v>
      </c>
      <c r="T55" s="509">
        <v>100.79988235294115</v>
      </c>
      <c r="U55" s="509">
        <v>83.808039215686293</v>
      </c>
      <c r="V55" s="509">
        <v>103.05643137254903</v>
      </c>
      <c r="W55" s="486">
        <v>1900</v>
      </c>
      <c r="X55" s="489">
        <v>2100</v>
      </c>
      <c r="Y55" s="156">
        <f>[3]constantes!$B$12</f>
        <v>0</v>
      </c>
      <c r="Z55" s="498">
        <v>318</v>
      </c>
      <c r="AA55" s="156"/>
      <c r="AB55" s="156"/>
    </row>
    <row r="56" spans="1:28">
      <c r="A56" s="489">
        <v>1004</v>
      </c>
      <c r="B56" s="486">
        <v>6</v>
      </c>
      <c r="C56" s="156" t="s">
        <v>2037</v>
      </c>
      <c r="D56" s="156"/>
      <c r="E56" s="156"/>
      <c r="F56" s="156"/>
      <c r="G56" s="156"/>
      <c r="H56" s="486" t="s">
        <v>150</v>
      </c>
      <c r="I56" s="486">
        <v>1</v>
      </c>
      <c r="J56" s="493">
        <v>1312</v>
      </c>
      <c r="K56" s="495">
        <v>2.5329999923706055E-2</v>
      </c>
      <c r="L56" s="495">
        <v>8.0909996032714843E-2</v>
      </c>
      <c r="M56" s="496">
        <f t="shared" si="2"/>
        <v>591.66244047619045</v>
      </c>
      <c r="N56" s="509">
        <v>694.7061904761905</v>
      </c>
      <c r="O56" s="509">
        <v>527.24755952380951</v>
      </c>
      <c r="P56" s="509">
        <v>566.65583333333336</v>
      </c>
      <c r="Q56" s="509">
        <v>578.04017857142856</v>
      </c>
      <c r="R56" s="497">
        <f t="shared" si="3"/>
        <v>640.22281372549048</v>
      </c>
      <c r="S56" s="509">
        <v>756.89203921568696</v>
      </c>
      <c r="T56" s="509">
        <v>571.4466666666666</v>
      </c>
      <c r="U56" s="509">
        <v>628.59654901960801</v>
      </c>
      <c r="V56" s="509">
        <v>603.95600000000002</v>
      </c>
      <c r="W56" s="486">
        <v>1900</v>
      </c>
      <c r="X56" s="489">
        <v>2100</v>
      </c>
      <c r="Y56" s="156">
        <f>[3]constantes!$B$12</f>
        <v>0</v>
      </c>
      <c r="Z56" s="498">
        <v>318</v>
      </c>
      <c r="AA56" s="156"/>
      <c r="AB56" s="156"/>
    </row>
    <row r="57" spans="1:28">
      <c r="A57" s="489">
        <v>1092</v>
      </c>
      <c r="B57" s="486">
        <v>74</v>
      </c>
      <c r="C57" s="156" t="s">
        <v>2038</v>
      </c>
      <c r="D57" s="156"/>
      <c r="E57" s="156"/>
      <c r="F57" s="156"/>
      <c r="G57" s="156"/>
      <c r="H57" s="486" t="s">
        <v>151</v>
      </c>
      <c r="I57" s="486">
        <v>2</v>
      </c>
      <c r="J57" s="493">
        <v>1676</v>
      </c>
      <c r="K57" s="495">
        <v>2.9170000553131105E-2</v>
      </c>
      <c r="L57" s="495">
        <v>0.12121999740600586</v>
      </c>
      <c r="M57" s="496">
        <f t="shared" si="2"/>
        <v>592.94242559523809</v>
      </c>
      <c r="N57" s="509">
        <v>478.66190476190474</v>
      </c>
      <c r="O57" s="509">
        <v>524.28505952380954</v>
      </c>
      <c r="P57" s="509">
        <v>680.58208333333334</v>
      </c>
      <c r="Q57" s="509">
        <v>688.24065476190481</v>
      </c>
      <c r="R57" s="497">
        <f t="shared" si="3"/>
        <v>712.11798039215694</v>
      </c>
      <c r="S57" s="509">
        <v>649.47325490196079</v>
      </c>
      <c r="T57" s="509">
        <v>622.00113725490189</v>
      </c>
      <c r="U57" s="509">
        <v>808.67105882352962</v>
      </c>
      <c r="V57" s="509">
        <v>768.32647058823534</v>
      </c>
      <c r="W57" s="486">
        <v>1900</v>
      </c>
      <c r="X57" s="489">
        <v>2100</v>
      </c>
      <c r="Y57" s="156">
        <f>[3]constantes!$B$12</f>
        <v>0</v>
      </c>
      <c r="Z57" s="498">
        <v>318</v>
      </c>
      <c r="AA57" s="156"/>
      <c r="AB57" s="156"/>
    </row>
    <row r="58" spans="1:28">
      <c r="A58" s="489">
        <v>1115</v>
      </c>
      <c r="B58" s="486">
        <v>115</v>
      </c>
      <c r="C58" s="156" t="s">
        <v>2039</v>
      </c>
      <c r="D58" s="156"/>
      <c r="E58" s="156"/>
      <c r="F58" s="156"/>
      <c r="G58" s="156"/>
      <c r="H58" s="486" t="s">
        <v>151</v>
      </c>
      <c r="I58" s="486">
        <v>2</v>
      </c>
      <c r="J58" s="493">
        <v>260</v>
      </c>
      <c r="K58" s="495">
        <v>2.5329999923706055E-2</v>
      </c>
      <c r="L58" s="495">
        <v>8.0909996032714843E-2</v>
      </c>
      <c r="M58" s="496">
        <f t="shared" si="2"/>
        <v>99.57034226190477</v>
      </c>
      <c r="N58" s="509">
        <v>83.800952380952381</v>
      </c>
      <c r="O58" s="509">
        <v>84.466130952380965</v>
      </c>
      <c r="P58" s="509">
        <v>124.98541666666669</v>
      </c>
      <c r="Q58" s="509">
        <v>105.02886904761904</v>
      </c>
      <c r="R58" s="497">
        <f t="shared" si="3"/>
        <v>119.22089215686275</v>
      </c>
      <c r="S58" s="509">
        <v>122.80474509803923</v>
      </c>
      <c r="T58" s="509">
        <v>103.43176470588236</v>
      </c>
      <c r="U58" s="509">
        <v>135.3038039215686</v>
      </c>
      <c r="V58" s="509">
        <v>115.34325490196079</v>
      </c>
      <c r="W58" s="486">
        <v>1900</v>
      </c>
      <c r="X58" s="489">
        <v>2100</v>
      </c>
      <c r="Y58" s="156">
        <f>[3]constantes!$B$12</f>
        <v>0</v>
      </c>
      <c r="Z58" s="498">
        <v>318</v>
      </c>
      <c r="AA58" s="156"/>
      <c r="AB58" s="156"/>
    </row>
    <row r="59" spans="1:28">
      <c r="A59" s="489">
        <v>1135</v>
      </c>
      <c r="B59" s="486">
        <v>89</v>
      </c>
      <c r="C59" s="156" t="s">
        <v>2040</v>
      </c>
      <c r="D59" s="156" t="s">
        <v>2041</v>
      </c>
      <c r="E59" s="156"/>
      <c r="F59" s="156"/>
      <c r="G59" s="156"/>
      <c r="H59" s="489" t="s">
        <v>1989</v>
      </c>
      <c r="I59" s="489">
        <v>2</v>
      </c>
      <c r="J59" s="493">
        <v>189</v>
      </c>
      <c r="K59" s="495">
        <v>2.5329999923706055E-2</v>
      </c>
      <c r="L59" s="495">
        <v>8.0909996032714843E-2</v>
      </c>
      <c r="M59" s="496">
        <f t="shared" si="2"/>
        <v>77.833467261904758</v>
      </c>
      <c r="N59" s="509">
        <v>58.21857142857143</v>
      </c>
      <c r="O59" s="509">
        <v>69.580952380952382</v>
      </c>
      <c r="P59" s="509">
        <v>94.987499999999997</v>
      </c>
      <c r="Q59" s="509">
        <v>88.54684523809523</v>
      </c>
      <c r="R59" s="497">
        <f t="shared" si="3"/>
        <v>90.359754901960756</v>
      </c>
      <c r="S59" s="509">
        <v>76.395960784313715</v>
      </c>
      <c r="T59" s="509">
        <v>78.385254901960778</v>
      </c>
      <c r="U59" s="509">
        <v>110.47439215686269</v>
      </c>
      <c r="V59" s="509">
        <v>96.183411764705852</v>
      </c>
      <c r="W59" s="486">
        <v>1900</v>
      </c>
      <c r="X59" s="489">
        <v>2100</v>
      </c>
      <c r="Y59" s="156">
        <f>[3]constantes!$B$12</f>
        <v>0</v>
      </c>
      <c r="Z59" s="498">
        <v>318</v>
      </c>
      <c r="AA59" s="156"/>
      <c r="AB59" s="156"/>
    </row>
    <row r="60" spans="1:28">
      <c r="A60" s="489">
        <v>1067</v>
      </c>
      <c r="B60" s="486">
        <v>196</v>
      </c>
      <c r="C60" s="156" t="s">
        <v>2042</v>
      </c>
      <c r="D60" s="156"/>
      <c r="E60" s="156"/>
      <c r="F60" s="156"/>
      <c r="G60" s="156"/>
      <c r="H60" s="486" t="s">
        <v>158</v>
      </c>
      <c r="I60" s="486">
        <v>1</v>
      </c>
      <c r="J60" s="493">
        <v>120</v>
      </c>
      <c r="K60" s="495">
        <v>1.6720000505447388E-2</v>
      </c>
      <c r="L60" s="495">
        <v>5.4029998779296873E-2</v>
      </c>
      <c r="M60" s="496">
        <f t="shared" si="2"/>
        <v>42.40159226190476</v>
      </c>
      <c r="N60" s="509">
        <v>48.706190476190478</v>
      </c>
      <c r="O60" s="509">
        <v>43.818750000000001</v>
      </c>
      <c r="P60" s="509">
        <v>37.961666666666666</v>
      </c>
      <c r="Q60" s="509">
        <v>39.119761904761901</v>
      </c>
      <c r="R60" s="497">
        <f t="shared" si="3"/>
        <v>42.486999999999995</v>
      </c>
      <c r="S60" s="509">
        <v>48.329176470588216</v>
      </c>
      <c r="T60" s="509">
        <v>43.831333333333355</v>
      </c>
      <c r="U60" s="509">
        <v>37.685411764705876</v>
      </c>
      <c r="V60" s="509">
        <v>40.102078431372554</v>
      </c>
      <c r="W60" s="486">
        <v>1900</v>
      </c>
      <c r="X60" s="489">
        <v>2100</v>
      </c>
      <c r="Y60" s="156">
        <f>[3]constantes!$B$12</f>
        <v>0</v>
      </c>
      <c r="Z60" s="498">
        <v>318</v>
      </c>
      <c r="AA60" s="156"/>
      <c r="AB60" s="156"/>
    </row>
    <row r="61" spans="1:28">
      <c r="A61" s="489">
        <v>1064</v>
      </c>
      <c r="B61" s="486">
        <v>192</v>
      </c>
      <c r="C61" s="156" t="s">
        <v>2043</v>
      </c>
      <c r="D61" s="156"/>
      <c r="E61" s="156"/>
      <c r="F61" s="156"/>
      <c r="G61" s="156"/>
      <c r="H61" s="486" t="s">
        <v>150</v>
      </c>
      <c r="I61" s="486">
        <v>1</v>
      </c>
      <c r="J61" s="493">
        <v>140</v>
      </c>
      <c r="K61" s="495">
        <v>1.6720000505447388E-2</v>
      </c>
      <c r="L61" s="495">
        <v>5.4029998779296873E-2</v>
      </c>
      <c r="M61" s="496">
        <f t="shared" si="2"/>
        <v>68.338601190476183</v>
      </c>
      <c r="N61" s="509">
        <v>90.583809523809521</v>
      </c>
      <c r="O61" s="509">
        <v>65.921785714285718</v>
      </c>
      <c r="P61" s="509">
        <v>44.951249999999995</v>
      </c>
      <c r="Q61" s="509">
        <v>71.897559523809505</v>
      </c>
      <c r="R61" s="497">
        <f t="shared" si="3"/>
        <v>65.975411764705882</v>
      </c>
      <c r="S61" s="509">
        <v>93.003529411764688</v>
      </c>
      <c r="T61" s="509">
        <v>58.993490196078447</v>
      </c>
      <c r="U61" s="509">
        <v>38.700823529411785</v>
      </c>
      <c r="V61" s="509">
        <v>73.203803921568621</v>
      </c>
      <c r="W61" s="486">
        <v>1900</v>
      </c>
      <c r="X61" s="489">
        <v>2100</v>
      </c>
      <c r="Y61" s="156">
        <f>[3]constantes!$B$12</f>
        <v>0</v>
      </c>
      <c r="Z61" s="498">
        <v>318</v>
      </c>
      <c r="AA61" s="156"/>
      <c r="AB61" s="156"/>
    </row>
    <row r="62" spans="1:28">
      <c r="A62" s="489">
        <v>1043</v>
      </c>
      <c r="B62" s="486">
        <v>119</v>
      </c>
      <c r="C62" s="156" t="s">
        <v>2044</v>
      </c>
      <c r="D62" s="156"/>
      <c r="E62" s="156"/>
      <c r="F62" s="156"/>
      <c r="G62" s="156"/>
      <c r="H62" s="486" t="s">
        <v>146</v>
      </c>
      <c r="I62" s="486">
        <v>1</v>
      </c>
      <c r="J62" s="493">
        <v>889</v>
      </c>
      <c r="K62" s="495">
        <v>2.4600000381469728E-2</v>
      </c>
      <c r="L62" s="495">
        <v>7.8639998435974121E-2</v>
      </c>
      <c r="M62" s="496">
        <f t="shared" si="2"/>
        <v>104.91242559523809</v>
      </c>
      <c r="N62" s="509">
        <v>59.709523809523809</v>
      </c>
      <c r="O62" s="509">
        <v>49.835000000000001</v>
      </c>
      <c r="P62" s="509">
        <v>181.98958333333334</v>
      </c>
      <c r="Q62" s="509">
        <v>128.11559523809521</v>
      </c>
      <c r="R62" s="497">
        <f t="shared" si="3"/>
        <v>129.35938235294117</v>
      </c>
      <c r="S62" s="509">
        <v>89.392980392156872</v>
      </c>
      <c r="T62" s="509">
        <v>74.437607843137243</v>
      </c>
      <c r="U62" s="509">
        <v>211.25803921568627</v>
      </c>
      <c r="V62" s="509">
        <v>142.34890196078433</v>
      </c>
      <c r="W62" s="486">
        <v>1900</v>
      </c>
      <c r="X62" s="489">
        <v>2100</v>
      </c>
      <c r="Y62" s="156">
        <f>[3]constantes!$B$12</f>
        <v>0</v>
      </c>
      <c r="Z62" s="498">
        <v>318</v>
      </c>
      <c r="AA62" s="156"/>
      <c r="AB62" s="156"/>
    </row>
    <row r="63" spans="1:28">
      <c r="A63" s="489">
        <v>1028</v>
      </c>
      <c r="B63" s="486">
        <v>39</v>
      </c>
      <c r="C63" s="156" t="s">
        <v>2045</v>
      </c>
      <c r="D63" s="156"/>
      <c r="E63" s="156"/>
      <c r="F63" s="156"/>
      <c r="G63" s="156"/>
      <c r="H63" s="486" t="s">
        <v>146</v>
      </c>
      <c r="I63" s="486">
        <v>1</v>
      </c>
      <c r="J63" s="493">
        <v>131.39999999999998</v>
      </c>
      <c r="K63" s="495">
        <v>1.6720000505447388E-2</v>
      </c>
      <c r="L63" s="495">
        <v>5.4029998779296873E-2</v>
      </c>
      <c r="M63" s="496">
        <f t="shared" si="2"/>
        <v>64.232306547619046</v>
      </c>
      <c r="N63" s="509">
        <v>93.167619047619041</v>
      </c>
      <c r="O63" s="509">
        <v>61.345714285714287</v>
      </c>
      <c r="P63" s="509">
        <v>47.901666666666671</v>
      </c>
      <c r="Q63" s="509">
        <v>54.514226190476194</v>
      </c>
      <c r="R63" s="497">
        <f t="shared" si="3"/>
        <v>74.658068627450987</v>
      </c>
      <c r="S63" s="509">
        <v>103.56333333333339</v>
      </c>
      <c r="T63" s="509">
        <v>68.881411764705888</v>
      </c>
      <c r="U63" s="509">
        <v>53.503372549019595</v>
      </c>
      <c r="V63" s="509">
        <v>72.684156862745098</v>
      </c>
      <c r="W63" s="486">
        <v>1900</v>
      </c>
      <c r="X63" s="489">
        <v>2100</v>
      </c>
      <c r="Y63" s="156">
        <f>[3]constantes!$B$12</f>
        <v>0</v>
      </c>
      <c r="Z63" s="498">
        <v>318</v>
      </c>
      <c r="AA63" s="156"/>
      <c r="AB63" s="156"/>
    </row>
    <row r="64" spans="1:28">
      <c r="A64" s="489">
        <v>1008</v>
      </c>
      <c r="B64" s="486">
        <v>10</v>
      </c>
      <c r="C64" s="156" t="s">
        <v>2046</v>
      </c>
      <c r="D64" s="156"/>
      <c r="E64" s="156"/>
      <c r="F64" s="156"/>
      <c r="G64" s="156"/>
      <c r="H64" s="486" t="s">
        <v>150</v>
      </c>
      <c r="I64" s="486">
        <v>1</v>
      </c>
      <c r="J64" s="493">
        <v>210</v>
      </c>
      <c r="K64" s="495">
        <v>1.6720000505447388E-2</v>
      </c>
      <c r="L64" s="495">
        <v>5.4029998779296873E-2</v>
      </c>
      <c r="M64" s="496">
        <f t="shared" si="2"/>
        <v>136.6638988095238</v>
      </c>
      <c r="N64" s="509">
        <v>157.04238095238097</v>
      </c>
      <c r="O64" s="509">
        <v>121.72047619047619</v>
      </c>
      <c r="P64" s="509">
        <v>132.62833333333333</v>
      </c>
      <c r="Q64" s="509">
        <v>135.26440476190476</v>
      </c>
      <c r="R64" s="497">
        <f t="shared" si="3"/>
        <v>140.13155882352942</v>
      </c>
      <c r="S64" s="509">
        <v>165.39062745098053</v>
      </c>
      <c r="T64" s="509">
        <v>127.56172549019607</v>
      </c>
      <c r="U64" s="509">
        <v>136.36094117647056</v>
      </c>
      <c r="V64" s="509">
        <v>131.21294117647057</v>
      </c>
      <c r="W64" s="486">
        <v>1900</v>
      </c>
      <c r="X64" s="489">
        <v>2100</v>
      </c>
      <c r="Y64" s="156">
        <f>[3]constantes!$B$12</f>
        <v>0</v>
      </c>
      <c r="Z64" s="498">
        <v>318</v>
      </c>
      <c r="AA64" s="156"/>
      <c r="AB64" s="156"/>
    </row>
    <row r="65" spans="1:28">
      <c r="A65" s="489">
        <v>1050</v>
      </c>
      <c r="B65" s="486">
        <v>130</v>
      </c>
      <c r="C65" s="156" t="s">
        <v>2047</v>
      </c>
      <c r="D65" s="156"/>
      <c r="E65" s="156"/>
      <c r="F65" s="156"/>
      <c r="G65" s="156"/>
      <c r="H65" s="486" t="s">
        <v>150</v>
      </c>
      <c r="I65" s="486">
        <v>1</v>
      </c>
      <c r="J65" s="493">
        <v>187.16900000000001</v>
      </c>
      <c r="K65" s="495">
        <v>1.8650000095367433E-2</v>
      </c>
      <c r="L65" s="495">
        <v>5.828999996185303E-2</v>
      </c>
      <c r="M65" s="496">
        <f t="shared" si="2"/>
        <v>90.094806547619058</v>
      </c>
      <c r="N65" s="509">
        <v>130.19619047619048</v>
      </c>
      <c r="O65" s="509">
        <v>93.065773809523819</v>
      </c>
      <c r="P65" s="509">
        <v>51.419583333333343</v>
      </c>
      <c r="Q65" s="509">
        <v>85.697678571428568</v>
      </c>
      <c r="R65" s="497">
        <f t="shared" si="3"/>
        <v>97.70416666666668</v>
      </c>
      <c r="S65" s="509">
        <v>148.79294117647069</v>
      </c>
      <c r="T65" s="509">
        <v>93.850274509803924</v>
      </c>
      <c r="U65" s="509">
        <v>53.707019607843137</v>
      </c>
      <c r="V65" s="509">
        <v>94.466431372548982</v>
      </c>
      <c r="W65" s="486">
        <v>1900</v>
      </c>
      <c r="X65" s="489">
        <v>2100</v>
      </c>
      <c r="Y65" s="156">
        <f>[3]constantes!$B$12</f>
        <v>0</v>
      </c>
      <c r="Z65" s="498">
        <v>318</v>
      </c>
      <c r="AA65" s="156"/>
      <c r="AB65" s="156"/>
    </row>
    <row r="66" spans="1:28">
      <c r="A66" s="489">
        <v>1031</v>
      </c>
      <c r="B66" s="486">
        <v>44</v>
      </c>
      <c r="C66" s="156" t="s">
        <v>2048</v>
      </c>
      <c r="D66" s="156"/>
      <c r="E66" s="156"/>
      <c r="F66" s="156"/>
      <c r="G66" s="156"/>
      <c r="H66" s="486" t="s">
        <v>146</v>
      </c>
      <c r="I66" s="486">
        <v>1</v>
      </c>
      <c r="J66" s="493">
        <v>4251.5</v>
      </c>
      <c r="K66" s="495">
        <v>2.5329999923706055E-2</v>
      </c>
      <c r="L66" s="495">
        <v>8.0909996032714843E-2</v>
      </c>
      <c r="M66" s="496">
        <f t="shared" ref="M66:M97" si="4">AVERAGE(N66:Q66)</f>
        <v>1843.0313839285714</v>
      </c>
      <c r="N66" s="509">
        <v>2238.5819047619048</v>
      </c>
      <c r="O66" s="509">
        <v>1665.718988095238</v>
      </c>
      <c r="P66" s="509">
        <v>1728.0112499999998</v>
      </c>
      <c r="Q66" s="509">
        <v>1739.8133928571431</v>
      </c>
      <c r="R66" s="497">
        <f t="shared" ref="R66:R97" si="5">AVERAGE(S66:V66)</f>
        <v>2168.7701176470587</v>
      </c>
      <c r="S66" s="509">
        <v>2945.0959999999991</v>
      </c>
      <c r="T66" s="509">
        <v>2039.1219607843141</v>
      </c>
      <c r="U66" s="509">
        <v>1778.6177254901961</v>
      </c>
      <c r="V66" s="509">
        <v>1912.2447843137252</v>
      </c>
      <c r="W66" s="486">
        <v>1900</v>
      </c>
      <c r="X66" s="489">
        <v>2100</v>
      </c>
      <c r="Y66" s="156">
        <f>[3]constantes!$B$12</f>
        <v>0</v>
      </c>
      <c r="Z66" s="498">
        <v>318</v>
      </c>
      <c r="AA66" s="156"/>
      <c r="AB66" s="156"/>
    </row>
    <row r="67" spans="1:28">
      <c r="A67" s="489">
        <v>1060</v>
      </c>
      <c r="B67" s="486">
        <v>148</v>
      </c>
      <c r="C67" s="156" t="s">
        <v>2049</v>
      </c>
      <c r="D67" s="156"/>
      <c r="E67" s="156"/>
      <c r="F67" s="156"/>
      <c r="G67" s="156"/>
      <c r="H67" s="486" t="s">
        <v>150</v>
      </c>
      <c r="I67" s="486">
        <v>1</v>
      </c>
      <c r="J67" s="493">
        <v>399</v>
      </c>
      <c r="K67" s="495">
        <v>2.5329999923706055E-2</v>
      </c>
      <c r="L67" s="495">
        <v>8.0909996032714843E-2</v>
      </c>
      <c r="M67" s="496">
        <f t="shared" si="4"/>
        <v>187.38827380952381</v>
      </c>
      <c r="N67" s="509">
        <v>76.592857142857142</v>
      </c>
      <c r="O67" s="509">
        <v>90.218214285714282</v>
      </c>
      <c r="P67" s="509">
        <v>322.70458333333335</v>
      </c>
      <c r="Q67" s="509">
        <v>260.03744047619051</v>
      </c>
      <c r="R67" s="497">
        <f t="shared" si="5"/>
        <v>179.64358823529415</v>
      </c>
      <c r="S67" s="509">
        <v>159.69827450980401</v>
      </c>
      <c r="T67" s="509">
        <v>106.99803921568629</v>
      </c>
      <c r="U67" s="509">
        <v>248.80411764705886</v>
      </c>
      <c r="V67" s="509">
        <v>203.07392156862741</v>
      </c>
      <c r="W67" s="486">
        <v>1900</v>
      </c>
      <c r="X67" s="489">
        <v>2100</v>
      </c>
      <c r="Y67" s="156">
        <f>[3]constantes!$B$12</f>
        <v>0</v>
      </c>
      <c r="Z67" s="498">
        <v>318</v>
      </c>
      <c r="AA67" s="156"/>
      <c r="AB67" s="156"/>
    </row>
    <row r="68" spans="1:28" ht="12" customHeight="1">
      <c r="A68" s="489">
        <v>1101</v>
      </c>
      <c r="B68" s="486">
        <v>92</v>
      </c>
      <c r="C68" s="156" t="s">
        <v>2050</v>
      </c>
      <c r="D68" s="156"/>
      <c r="E68" s="156"/>
      <c r="F68" s="156"/>
      <c r="G68" s="156"/>
      <c r="H68" s="486" t="s">
        <v>149</v>
      </c>
      <c r="I68" s="486">
        <v>2</v>
      </c>
      <c r="J68" s="493">
        <v>1450</v>
      </c>
      <c r="K68" s="495">
        <v>2.9170000553131105E-2</v>
      </c>
      <c r="L68" s="495">
        <v>0.12121999740600586</v>
      </c>
      <c r="M68" s="496">
        <f t="shared" si="4"/>
        <v>746.6543154761905</v>
      </c>
      <c r="N68" s="509">
        <v>442.48</v>
      </c>
      <c r="O68" s="509">
        <v>656.75928571428562</v>
      </c>
      <c r="P68" s="509">
        <v>1026.8970833333333</v>
      </c>
      <c r="Q68" s="509">
        <v>860.48089285714286</v>
      </c>
      <c r="R68" s="497">
        <f t="shared" si="5"/>
        <v>796.0990392156865</v>
      </c>
      <c r="S68" s="509">
        <v>582.39788235294134</v>
      </c>
      <c r="T68" s="509">
        <v>704.5930196078433</v>
      </c>
      <c r="U68" s="509">
        <v>1049.5474509803923</v>
      </c>
      <c r="V68" s="509">
        <v>847.85780392156903</v>
      </c>
      <c r="W68" s="486">
        <v>1900</v>
      </c>
      <c r="X68" s="489">
        <v>2100</v>
      </c>
      <c r="Y68" s="156">
        <f>[3]constantes!$B$12</f>
        <v>0</v>
      </c>
      <c r="Z68" s="498">
        <v>318</v>
      </c>
      <c r="AA68" s="156"/>
      <c r="AB68" s="156"/>
    </row>
    <row r="69" spans="1:28">
      <c r="A69" s="489">
        <v>1129</v>
      </c>
      <c r="B69" s="486">
        <v>66</v>
      </c>
      <c r="C69" s="156" t="s">
        <v>2051</v>
      </c>
      <c r="D69" s="156"/>
      <c r="E69" s="156"/>
      <c r="F69" s="156"/>
      <c r="G69" s="156"/>
      <c r="H69" s="486" t="s">
        <v>151</v>
      </c>
      <c r="I69" s="486">
        <v>5</v>
      </c>
      <c r="J69" s="493">
        <v>14000</v>
      </c>
      <c r="K69" s="495">
        <v>0.06</v>
      </c>
      <c r="L69" s="495">
        <v>0.1</v>
      </c>
      <c r="M69" s="496">
        <f t="shared" si="4"/>
        <v>7280.4463244047629</v>
      </c>
      <c r="N69" s="509">
        <v>7801.7042857142869</v>
      </c>
      <c r="O69" s="509">
        <v>7273.9891666666663</v>
      </c>
      <c r="P69" s="509">
        <v>6993.1337500000009</v>
      </c>
      <c r="Q69" s="509">
        <v>7052.9580952380957</v>
      </c>
      <c r="R69" s="497">
        <f t="shared" si="5"/>
        <v>9272.0776078431372</v>
      </c>
      <c r="S69" s="509">
        <v>10522.452980392156</v>
      </c>
      <c r="T69" s="509">
        <v>9132.3163529411777</v>
      </c>
      <c r="U69" s="509">
        <v>8432.1894901960823</v>
      </c>
      <c r="V69" s="509">
        <v>9001.3516078431367</v>
      </c>
      <c r="W69" s="486">
        <v>1900</v>
      </c>
      <c r="X69" s="489">
        <v>2100</v>
      </c>
      <c r="Y69" s="156">
        <f>[3]constantes!$B$12</f>
        <v>0</v>
      </c>
      <c r="Z69" s="498">
        <v>318</v>
      </c>
      <c r="AA69" s="156"/>
      <c r="AB69" s="156"/>
    </row>
    <row r="70" spans="1:28">
      <c r="A70" s="488">
        <v>1111</v>
      </c>
      <c r="B70" s="487">
        <v>186</v>
      </c>
      <c r="C70" s="156" t="s">
        <v>2052</v>
      </c>
      <c r="D70" s="156"/>
      <c r="E70" s="156"/>
      <c r="F70" s="156"/>
      <c r="G70" s="156"/>
      <c r="H70" s="486" t="s">
        <v>282</v>
      </c>
      <c r="I70" s="486">
        <v>1</v>
      </c>
      <c r="J70" s="493">
        <v>150</v>
      </c>
      <c r="K70" s="495">
        <v>2.5329999923706055E-2</v>
      </c>
      <c r="L70" s="495">
        <v>8.0909996032714843E-2</v>
      </c>
      <c r="M70" s="496">
        <f t="shared" si="4"/>
        <v>84.04050595238094</v>
      </c>
      <c r="N70" s="509">
        <v>119.0590476190476</v>
      </c>
      <c r="O70" s="509">
        <v>87.951130952380936</v>
      </c>
      <c r="P70" s="509">
        <v>44.603750000000012</v>
      </c>
      <c r="Q70" s="509">
        <v>84.548095238095229</v>
      </c>
      <c r="R70" s="497">
        <f t="shared" si="5"/>
        <v>89.741617647058732</v>
      </c>
      <c r="S70" s="509">
        <v>131.16631372549</v>
      </c>
      <c r="T70" s="509">
        <v>89.784588235294066</v>
      </c>
      <c r="U70" s="509">
        <v>47.079137254901951</v>
      </c>
      <c r="V70" s="509">
        <v>90.936431372548967</v>
      </c>
      <c r="W70" s="486">
        <v>2019</v>
      </c>
      <c r="X70" s="489">
        <v>2100</v>
      </c>
      <c r="Y70" s="156">
        <f>[3]constantes!$B$12</f>
        <v>0</v>
      </c>
      <c r="Z70" s="498">
        <v>318</v>
      </c>
      <c r="AA70" s="156"/>
      <c r="AB70" s="156"/>
    </row>
    <row r="71" spans="1:28">
      <c r="A71" s="489">
        <v>1121</v>
      </c>
      <c r="B71" s="486">
        <v>172</v>
      </c>
      <c r="C71" s="156" t="s">
        <v>2053</v>
      </c>
      <c r="D71" s="156"/>
      <c r="E71" s="156"/>
      <c r="F71" s="156"/>
      <c r="G71" s="156"/>
      <c r="H71" s="486" t="s">
        <v>152</v>
      </c>
      <c r="I71" s="486">
        <v>3</v>
      </c>
      <c r="J71" s="493">
        <v>1479.6</v>
      </c>
      <c r="K71" s="495">
        <v>2.9170000553131105E-2</v>
      </c>
      <c r="L71" s="495">
        <v>0.12121999740600586</v>
      </c>
      <c r="M71" s="496">
        <f t="shared" si="4"/>
        <v>793.76535714285706</v>
      </c>
      <c r="N71" s="509">
        <v>620.69285714285718</v>
      </c>
      <c r="O71" s="509">
        <v>779.79988095238093</v>
      </c>
      <c r="P71" s="509">
        <v>1055.2020833333333</v>
      </c>
      <c r="Q71" s="509">
        <v>719.36660714285711</v>
      </c>
      <c r="R71" s="497">
        <f t="shared" si="5"/>
        <v>762.64038235294129</v>
      </c>
      <c r="S71" s="509">
        <v>773.10937254901967</v>
      </c>
      <c r="T71" s="509">
        <v>772.52733333333356</v>
      </c>
      <c r="U71" s="509">
        <v>872.92399999999998</v>
      </c>
      <c r="V71" s="509">
        <v>632.00082352941183</v>
      </c>
      <c r="W71" s="486">
        <v>1900</v>
      </c>
      <c r="X71" s="489">
        <v>2100</v>
      </c>
      <c r="Y71" s="156">
        <f>[3]constantes!$B$12</f>
        <v>0</v>
      </c>
      <c r="Z71" s="498">
        <v>318</v>
      </c>
      <c r="AA71" s="156"/>
      <c r="AB71" s="156"/>
    </row>
    <row r="72" spans="1:28">
      <c r="A72" s="489">
        <v>1118</v>
      </c>
      <c r="B72" s="486">
        <v>154</v>
      </c>
      <c r="C72" s="156" t="s">
        <v>2054</v>
      </c>
      <c r="D72" s="156"/>
      <c r="E72" s="156"/>
      <c r="F72" s="156"/>
      <c r="G72" s="156"/>
      <c r="H72" s="486" t="s">
        <v>152</v>
      </c>
      <c r="I72" s="486">
        <v>3</v>
      </c>
      <c r="J72" s="493">
        <v>462.01099999999997</v>
      </c>
      <c r="K72" s="495">
        <v>2.5329999923706055E-2</v>
      </c>
      <c r="L72" s="495">
        <v>8.0909996032714843E-2</v>
      </c>
      <c r="M72" s="496">
        <f t="shared" si="4"/>
        <v>221.18915178571427</v>
      </c>
      <c r="N72" s="509">
        <v>165.08190476190478</v>
      </c>
      <c r="O72" s="509">
        <v>129.52940476190477</v>
      </c>
      <c r="P72" s="509">
        <v>273.34625</v>
      </c>
      <c r="Q72" s="509">
        <v>316.7990476190476</v>
      </c>
      <c r="R72" s="497">
        <f t="shared" si="5"/>
        <v>218.25328431372549</v>
      </c>
      <c r="S72" s="509">
        <v>258.30792156862748</v>
      </c>
      <c r="T72" s="509">
        <v>143.39145098039219</v>
      </c>
      <c r="U72" s="509">
        <v>210.1883921568627</v>
      </c>
      <c r="V72" s="509">
        <v>261.12537254901957</v>
      </c>
      <c r="W72" s="486">
        <v>1900</v>
      </c>
      <c r="X72" s="489">
        <v>2100</v>
      </c>
      <c r="Y72" s="156">
        <f>[3]constantes!$B$12</f>
        <v>0</v>
      </c>
      <c r="Z72" s="498">
        <v>318</v>
      </c>
      <c r="AA72" s="156"/>
      <c r="AB72" s="156"/>
    </row>
    <row r="73" spans="1:28">
      <c r="A73" s="489">
        <v>1113</v>
      </c>
      <c r="B73" s="486">
        <v>113</v>
      </c>
      <c r="C73" s="156" t="s">
        <v>2055</v>
      </c>
      <c r="D73" s="156"/>
      <c r="E73" s="156"/>
      <c r="F73" s="156"/>
      <c r="G73" s="156"/>
      <c r="H73" s="486" t="s">
        <v>149</v>
      </c>
      <c r="I73" s="486">
        <v>2</v>
      </c>
      <c r="J73" s="493">
        <v>500</v>
      </c>
      <c r="K73" s="495">
        <v>2.5329999923706055E-2</v>
      </c>
      <c r="L73" s="495">
        <v>8.0909996032714843E-2</v>
      </c>
      <c r="M73" s="496">
        <f t="shared" si="4"/>
        <v>168.99575892857141</v>
      </c>
      <c r="N73" s="509">
        <v>72.90523809523809</v>
      </c>
      <c r="O73" s="509">
        <v>125.88380952380953</v>
      </c>
      <c r="P73" s="509">
        <v>246.80541666666667</v>
      </c>
      <c r="Q73" s="509">
        <v>230.3885714285714</v>
      </c>
      <c r="R73" s="497">
        <f t="shared" si="5"/>
        <v>197.61921568627452</v>
      </c>
      <c r="S73" s="509">
        <v>110.74776470588233</v>
      </c>
      <c r="T73" s="509">
        <v>174.69552941176471</v>
      </c>
      <c r="U73" s="509">
        <v>279.75007843137251</v>
      </c>
      <c r="V73" s="509">
        <v>225.28349019607847</v>
      </c>
      <c r="W73" s="486">
        <v>1900</v>
      </c>
      <c r="X73" s="489">
        <v>2100</v>
      </c>
      <c r="Y73" s="156">
        <f>[3]constantes!$B$12</f>
        <v>0</v>
      </c>
      <c r="Z73" s="498">
        <v>318</v>
      </c>
      <c r="AA73" s="156"/>
      <c r="AB73" s="156"/>
    </row>
    <row r="74" spans="1:28">
      <c r="A74" s="489">
        <v>1082</v>
      </c>
      <c r="B74" s="486">
        <v>304</v>
      </c>
      <c r="C74" s="156" t="s">
        <v>2056</v>
      </c>
      <c r="D74" s="156"/>
      <c r="E74" s="156"/>
      <c r="F74" s="156"/>
      <c r="G74" s="156"/>
      <c r="H74" s="486" t="s">
        <v>158</v>
      </c>
      <c r="I74" s="486">
        <v>1</v>
      </c>
      <c r="J74" s="493">
        <v>60.8</v>
      </c>
      <c r="K74" s="495">
        <v>1.6720000505447388E-2</v>
      </c>
      <c r="L74" s="495">
        <v>5.4029998779296873E-2</v>
      </c>
      <c r="M74" s="496">
        <f t="shared" si="4"/>
        <v>42.424285714285709</v>
      </c>
      <c r="N74" s="509">
        <v>52.587142857142844</v>
      </c>
      <c r="O74" s="509">
        <v>44.648095238095237</v>
      </c>
      <c r="P74" s="509">
        <v>33.511249999999997</v>
      </c>
      <c r="Q74" s="509">
        <v>38.950654761904758</v>
      </c>
      <c r="R74" s="497">
        <f t="shared" si="5"/>
        <v>44.951637254901932</v>
      </c>
      <c r="S74" s="509">
        <v>52.044431372548956</v>
      </c>
      <c r="T74" s="509">
        <v>46.759450980392124</v>
      </c>
      <c r="U74" s="509">
        <v>36.607882352941182</v>
      </c>
      <c r="V74" s="509">
        <v>44.394784313725459</v>
      </c>
      <c r="W74" s="486">
        <v>1900</v>
      </c>
      <c r="X74" s="489">
        <v>2100</v>
      </c>
      <c r="Y74" s="156">
        <f>[3]constantes!$B$12</f>
        <v>0</v>
      </c>
      <c r="Z74" s="498">
        <v>318</v>
      </c>
      <c r="AA74" s="156"/>
      <c r="AB74" s="156"/>
    </row>
    <row r="75" spans="1:28">
      <c r="A75" s="489">
        <v>1083</v>
      </c>
      <c r="B75" s="486">
        <v>305</v>
      </c>
      <c r="C75" s="156" t="s">
        <v>2057</v>
      </c>
      <c r="D75" s="156"/>
      <c r="E75" s="156"/>
      <c r="F75" s="156"/>
      <c r="G75" s="156"/>
      <c r="H75" s="486" t="s">
        <v>158</v>
      </c>
      <c r="I75" s="486">
        <v>1</v>
      </c>
      <c r="J75" s="493">
        <v>96.57</v>
      </c>
      <c r="K75" s="495">
        <v>1.6720000505447388E-2</v>
      </c>
      <c r="L75" s="495">
        <v>5.4029998779296873E-2</v>
      </c>
      <c r="M75" s="496">
        <f t="shared" si="4"/>
        <v>67.484241071428556</v>
      </c>
      <c r="N75" s="509">
        <v>81.013333333333321</v>
      </c>
      <c r="O75" s="509">
        <v>70.814345238095214</v>
      </c>
      <c r="P75" s="509">
        <v>54.776666666666664</v>
      </c>
      <c r="Q75" s="509">
        <v>63.33261904761904</v>
      </c>
      <c r="R75" s="497">
        <f t="shared" si="5"/>
        <v>71.020362745098012</v>
      </c>
      <c r="S75" s="509">
        <v>80.224941176470523</v>
      </c>
      <c r="T75" s="509">
        <v>73.68815686274506</v>
      </c>
      <c r="U75" s="509">
        <v>59.662117647058835</v>
      </c>
      <c r="V75" s="509">
        <v>70.506235294117616</v>
      </c>
      <c r="W75" s="486">
        <v>1900</v>
      </c>
      <c r="X75" s="489">
        <v>2100</v>
      </c>
      <c r="Y75" s="156">
        <f>[3]constantes!$B$12</f>
        <v>0</v>
      </c>
      <c r="Z75" s="498">
        <v>318</v>
      </c>
      <c r="AA75" s="156"/>
      <c r="AB75" s="156"/>
    </row>
    <row r="76" spans="1:28">
      <c r="A76" s="489">
        <v>1023</v>
      </c>
      <c r="B76" s="486">
        <v>31</v>
      </c>
      <c r="C76" s="156" t="s">
        <v>2058</v>
      </c>
      <c r="D76" s="156"/>
      <c r="E76" s="156"/>
      <c r="F76" s="156"/>
      <c r="G76" s="156"/>
      <c r="H76" s="486" t="s">
        <v>150</v>
      </c>
      <c r="I76" s="486">
        <v>1</v>
      </c>
      <c r="J76" s="493">
        <v>2082</v>
      </c>
      <c r="K76" s="495">
        <v>2.9170000553131105E-2</v>
      </c>
      <c r="L76" s="495">
        <v>0.12121999740600586</v>
      </c>
      <c r="M76" s="496">
        <f t="shared" si="4"/>
        <v>924.32473214285721</v>
      </c>
      <c r="N76" s="509">
        <v>924.60523809523818</v>
      </c>
      <c r="O76" s="509">
        <v>781.07095238095235</v>
      </c>
      <c r="P76" s="509">
        <v>1057.6483333333333</v>
      </c>
      <c r="Q76" s="509">
        <v>933.97440476190479</v>
      </c>
      <c r="R76" s="497">
        <f t="shared" si="5"/>
        <v>989.05003921568618</v>
      </c>
      <c r="S76" s="509">
        <v>1114.7019215686275</v>
      </c>
      <c r="T76" s="509">
        <v>911.8830588235295</v>
      </c>
      <c r="U76" s="509">
        <v>1040.9975294117646</v>
      </c>
      <c r="V76" s="509">
        <v>888.61764705882354</v>
      </c>
      <c r="W76" s="486">
        <v>1900</v>
      </c>
      <c r="X76" s="489">
        <v>2100</v>
      </c>
      <c r="Y76" s="156">
        <f>[3]constantes!$B$12</f>
        <v>0</v>
      </c>
      <c r="Z76" s="498">
        <v>318</v>
      </c>
      <c r="AA76" s="156"/>
      <c r="AB76" s="156"/>
    </row>
    <row r="77" spans="1:28">
      <c r="A77" s="489">
        <v>1002</v>
      </c>
      <c r="B77" s="486">
        <v>2</v>
      </c>
      <c r="C77" s="156" t="s">
        <v>2059</v>
      </c>
      <c r="D77" s="156"/>
      <c r="E77" s="156"/>
      <c r="F77" s="156"/>
      <c r="G77" s="156"/>
      <c r="H77" s="486" t="s">
        <v>150</v>
      </c>
      <c r="I77" s="486">
        <v>1</v>
      </c>
      <c r="J77" s="493">
        <v>52</v>
      </c>
      <c r="K77" s="495">
        <v>2.3329999446868897E-2</v>
      </c>
      <c r="L77" s="495">
        <v>6.8610000610351565E-2</v>
      </c>
      <c r="M77" s="496">
        <f t="shared" si="4"/>
        <v>28.731562500000003</v>
      </c>
      <c r="N77" s="509">
        <v>39.73952380952381</v>
      </c>
      <c r="O77" s="509">
        <v>25.451964285714286</v>
      </c>
      <c r="P77" s="509">
        <v>20.248750000000001</v>
      </c>
      <c r="Q77" s="509">
        <v>29.486011904761909</v>
      </c>
      <c r="R77" s="497">
        <f t="shared" si="5"/>
        <v>29.84742156862746</v>
      </c>
      <c r="S77" s="509">
        <v>42.097647058823561</v>
      </c>
      <c r="T77" s="509">
        <v>26.271254901960791</v>
      </c>
      <c r="U77" s="509">
        <v>21.703098039215689</v>
      </c>
      <c r="V77" s="509">
        <v>29.3176862745098</v>
      </c>
      <c r="W77" s="486">
        <v>1900</v>
      </c>
      <c r="X77" s="489">
        <v>2100</v>
      </c>
      <c r="Y77" s="156">
        <f>[3]constantes!$B$12</f>
        <v>0</v>
      </c>
      <c r="Z77" s="498">
        <v>318</v>
      </c>
      <c r="AA77" s="156"/>
      <c r="AB77" s="156"/>
    </row>
    <row r="78" spans="1:28">
      <c r="A78" s="489">
        <v>1112</v>
      </c>
      <c r="B78" s="486">
        <v>112</v>
      </c>
      <c r="C78" s="156" t="s">
        <v>2060</v>
      </c>
      <c r="D78" s="156"/>
      <c r="E78" s="156"/>
      <c r="F78" s="156"/>
      <c r="G78" s="156"/>
      <c r="H78" s="486" t="s">
        <v>149</v>
      </c>
      <c r="I78" s="486">
        <v>2</v>
      </c>
      <c r="J78" s="493">
        <v>180</v>
      </c>
      <c r="K78" s="495">
        <v>1.6720000505447388E-2</v>
      </c>
      <c r="L78" s="495">
        <v>5.4029998779296873E-2</v>
      </c>
      <c r="M78" s="496">
        <f t="shared" si="4"/>
        <v>109.23788690476189</v>
      </c>
      <c r="N78" s="509">
        <v>52.136666666666663</v>
      </c>
      <c r="O78" s="509">
        <v>75.590595238095247</v>
      </c>
      <c r="P78" s="509">
        <v>165.42833333333331</v>
      </c>
      <c r="Q78" s="509">
        <v>143.7959523809524</v>
      </c>
      <c r="R78" s="497">
        <f t="shared" si="5"/>
        <v>120.25260784313716</v>
      </c>
      <c r="S78" s="509">
        <v>79.822784313725492</v>
      </c>
      <c r="T78" s="509">
        <v>104.9407450980392</v>
      </c>
      <c r="U78" s="509">
        <v>162.92560784313699</v>
      </c>
      <c r="V78" s="509">
        <v>133.32129411764694</v>
      </c>
      <c r="W78" s="486">
        <v>1900</v>
      </c>
      <c r="X78" s="489">
        <v>2100</v>
      </c>
      <c r="Y78" s="156">
        <f>[3]constantes!$B$12</f>
        <v>0</v>
      </c>
      <c r="Z78" s="498">
        <v>318</v>
      </c>
      <c r="AA78" s="156"/>
      <c r="AB78" s="156"/>
    </row>
    <row r="79" spans="1:28">
      <c r="A79" s="489">
        <v>1007</v>
      </c>
      <c r="B79" s="486">
        <v>9</v>
      </c>
      <c r="C79" s="156" t="s">
        <v>2061</v>
      </c>
      <c r="D79" s="156"/>
      <c r="E79" s="156"/>
      <c r="F79" s="156"/>
      <c r="G79" s="156"/>
      <c r="H79" s="486" t="s">
        <v>146</v>
      </c>
      <c r="I79" s="486">
        <v>1</v>
      </c>
      <c r="J79" s="493">
        <v>424</v>
      </c>
      <c r="K79" s="495">
        <v>2.5329999923706055E-2</v>
      </c>
      <c r="L79" s="495">
        <v>8.0909996032714843E-2</v>
      </c>
      <c r="M79" s="496">
        <f t="shared" si="4"/>
        <v>345.80520833333333</v>
      </c>
      <c r="N79" s="509">
        <v>374.26571428571424</v>
      </c>
      <c r="O79" s="509">
        <v>301.97624999999999</v>
      </c>
      <c r="P79" s="509">
        <v>353.53791666666666</v>
      </c>
      <c r="Q79" s="509">
        <v>353.44095238095241</v>
      </c>
      <c r="R79" s="497">
        <f t="shared" si="5"/>
        <v>343.37045098039232</v>
      </c>
      <c r="S79" s="509">
        <v>358.91258823529438</v>
      </c>
      <c r="T79" s="509">
        <v>313.99690196078433</v>
      </c>
      <c r="U79" s="509">
        <v>361.96811764705905</v>
      </c>
      <c r="V79" s="509">
        <v>338.60419607843158</v>
      </c>
      <c r="W79" s="486">
        <v>1900</v>
      </c>
      <c r="X79" s="489">
        <v>2100</v>
      </c>
      <c r="Y79" s="156">
        <f>[3]constantes!$B$12</f>
        <v>0</v>
      </c>
      <c r="Z79" s="498">
        <v>318</v>
      </c>
      <c r="AA79" s="156"/>
      <c r="AB79" s="156"/>
    </row>
    <row r="80" spans="1:28">
      <c r="A80" s="489">
        <v>1044</v>
      </c>
      <c r="B80" s="486">
        <v>120</v>
      </c>
      <c r="C80" s="156" t="s">
        <v>2062</v>
      </c>
      <c r="D80" s="156"/>
      <c r="E80" s="156"/>
      <c r="F80" s="156"/>
      <c r="G80" s="156"/>
      <c r="H80" s="486" t="s">
        <v>146</v>
      </c>
      <c r="I80" s="486">
        <v>1</v>
      </c>
      <c r="J80" s="493">
        <v>27.6</v>
      </c>
      <c r="K80" s="495">
        <v>2.3329999446868897E-2</v>
      </c>
      <c r="L80" s="495">
        <v>6.8610000610351565E-2</v>
      </c>
      <c r="M80" s="496">
        <f t="shared" si="4"/>
        <v>14.476934523809524</v>
      </c>
      <c r="N80" s="509">
        <v>18.721428571428572</v>
      </c>
      <c r="O80" s="509">
        <v>13.690357142857144</v>
      </c>
      <c r="P80" s="509">
        <v>12.575416666666667</v>
      </c>
      <c r="Q80" s="509">
        <v>12.920535714285714</v>
      </c>
      <c r="R80" s="497">
        <f t="shared" si="5"/>
        <v>15.360343137254905</v>
      </c>
      <c r="S80" s="509">
        <v>20.969960784313731</v>
      </c>
      <c r="T80" s="509">
        <v>14.296431372549018</v>
      </c>
      <c r="U80" s="509">
        <v>12.590588235294121</v>
      </c>
      <c r="V80" s="509">
        <v>13.584392156862746</v>
      </c>
      <c r="W80" s="486">
        <v>1900</v>
      </c>
      <c r="X80" s="489">
        <v>2100</v>
      </c>
      <c r="Y80" s="156">
        <f>[3]constantes!$B$12</f>
        <v>0</v>
      </c>
      <c r="Z80" s="498">
        <v>318</v>
      </c>
      <c r="AA80" s="156"/>
      <c r="AB80" s="156"/>
    </row>
    <row r="81" spans="1:28">
      <c r="A81" s="489">
        <v>1066</v>
      </c>
      <c r="B81" s="486">
        <v>195</v>
      </c>
      <c r="C81" s="156" t="s">
        <v>2063</v>
      </c>
      <c r="D81" s="156"/>
      <c r="E81" s="156"/>
      <c r="F81" s="156"/>
      <c r="G81" s="156"/>
      <c r="H81" s="486" t="s">
        <v>158</v>
      </c>
      <c r="I81" s="486">
        <v>1</v>
      </c>
      <c r="J81" s="493">
        <v>118</v>
      </c>
      <c r="K81" s="495">
        <v>1.6720000505447388E-2</v>
      </c>
      <c r="L81" s="495">
        <v>5.4029998779296873E-2</v>
      </c>
      <c r="M81" s="496">
        <f t="shared" si="4"/>
        <v>77.642023809523806</v>
      </c>
      <c r="N81" s="509">
        <v>94.053809523809534</v>
      </c>
      <c r="O81" s="509">
        <v>77.637916666666669</v>
      </c>
      <c r="P81" s="509">
        <v>66.111666666666665</v>
      </c>
      <c r="Q81" s="509">
        <v>72.764702380952386</v>
      </c>
      <c r="R81" s="497">
        <f t="shared" si="5"/>
        <v>75.565558823529415</v>
      </c>
      <c r="S81" s="509">
        <v>90.310666666666691</v>
      </c>
      <c r="T81" s="509">
        <v>76.524352941176431</v>
      </c>
      <c r="U81" s="509">
        <v>64.226627450980402</v>
      </c>
      <c r="V81" s="509">
        <v>71.200588235294106</v>
      </c>
      <c r="W81" s="486">
        <v>1900</v>
      </c>
      <c r="X81" s="489">
        <v>2100</v>
      </c>
      <c r="Y81" s="156">
        <f>[3]constantes!$B$12</f>
        <v>0</v>
      </c>
      <c r="Z81" s="498">
        <v>318</v>
      </c>
      <c r="AA81" s="156"/>
      <c r="AB81" s="156"/>
    </row>
    <row r="82" spans="1:28">
      <c r="A82" s="489">
        <v>1142</v>
      </c>
      <c r="B82" s="486">
        <v>285</v>
      </c>
      <c r="C82" s="156" t="s">
        <v>2064</v>
      </c>
      <c r="D82" s="156" t="s">
        <v>2065</v>
      </c>
      <c r="E82" s="156"/>
      <c r="F82" s="156"/>
      <c r="G82" s="156"/>
      <c r="H82" s="489" t="s">
        <v>2066</v>
      </c>
      <c r="I82" s="488">
        <v>6</v>
      </c>
      <c r="J82" s="493">
        <v>3750</v>
      </c>
      <c r="K82" s="495">
        <v>5.0000000000000001E-3</v>
      </c>
      <c r="L82" s="495">
        <v>0</v>
      </c>
      <c r="M82" s="496">
        <f t="shared" si="4"/>
        <v>2168.1492559523813</v>
      </c>
      <c r="N82" s="509">
        <v>3431.36</v>
      </c>
      <c r="O82" s="509">
        <v>3360.0270238095241</v>
      </c>
      <c r="P82" s="509">
        <v>857.72249999999997</v>
      </c>
      <c r="Q82" s="509">
        <v>1023.4875000000002</v>
      </c>
      <c r="R82" s="497">
        <f t="shared" si="5"/>
        <v>2270.1974901960784</v>
      </c>
      <c r="S82" s="509">
        <v>3520.635137254902</v>
      </c>
      <c r="T82" s="509">
        <v>3334.6987843137254</v>
      </c>
      <c r="U82" s="509">
        <v>990.25333333333344</v>
      </c>
      <c r="V82" s="509">
        <v>1235.2027058823526</v>
      </c>
      <c r="W82" s="486">
        <v>1900</v>
      </c>
      <c r="X82" s="489">
        <v>2100</v>
      </c>
      <c r="Y82" s="156">
        <f>[3]constantes!$B$12</f>
        <v>0</v>
      </c>
      <c r="Z82" s="498">
        <v>318</v>
      </c>
      <c r="AA82" s="156"/>
      <c r="AB82" s="156"/>
    </row>
    <row r="83" spans="1:28">
      <c r="A83" s="489">
        <v>1032</v>
      </c>
      <c r="B83" s="486">
        <v>45</v>
      </c>
      <c r="C83" s="156" t="s">
        <v>2067</v>
      </c>
      <c r="D83" s="156"/>
      <c r="E83" s="156"/>
      <c r="F83" s="156"/>
      <c r="G83" s="156"/>
      <c r="H83" s="486" t="s">
        <v>146</v>
      </c>
      <c r="I83" s="486">
        <v>1</v>
      </c>
      <c r="J83" s="493">
        <v>1551.2</v>
      </c>
      <c r="K83" s="495">
        <v>2.5329999923706055E-2</v>
      </c>
      <c r="L83" s="495">
        <v>8.0909996032714843E-2</v>
      </c>
      <c r="M83" s="496">
        <f t="shared" si="4"/>
        <v>922.2218154761905</v>
      </c>
      <c r="N83" s="509">
        <v>1058.3452380952383</v>
      </c>
      <c r="O83" s="509">
        <v>844.08523809523797</v>
      </c>
      <c r="P83" s="509">
        <v>883.50458333333336</v>
      </c>
      <c r="Q83" s="509">
        <v>902.95220238095226</v>
      </c>
      <c r="R83" s="497">
        <f t="shared" si="5"/>
        <v>1018.0190098039216</v>
      </c>
      <c r="S83" s="509">
        <v>1184.5638823529414</v>
      </c>
      <c r="T83" s="509">
        <v>993.86815686274497</v>
      </c>
      <c r="U83" s="509">
        <v>915.00835294117644</v>
      </c>
      <c r="V83" s="509">
        <v>978.63564705882357</v>
      </c>
      <c r="W83" s="486">
        <v>1900</v>
      </c>
      <c r="X83" s="489">
        <v>2100</v>
      </c>
      <c r="Y83" s="156">
        <f>[3]constantes!$B$12</f>
        <v>0</v>
      </c>
      <c r="Z83" s="498">
        <v>318</v>
      </c>
      <c r="AA83" s="156"/>
      <c r="AB83" s="156"/>
    </row>
    <row r="84" spans="1:28">
      <c r="A84" s="489">
        <v>1037</v>
      </c>
      <c r="B84" s="486">
        <v>50</v>
      </c>
      <c r="C84" s="156" t="s">
        <v>2068</v>
      </c>
      <c r="D84" s="156"/>
      <c r="E84" s="156"/>
      <c r="F84" s="156"/>
      <c r="G84" s="156"/>
      <c r="H84" s="486" t="s">
        <v>151</v>
      </c>
      <c r="I84" s="486">
        <v>1</v>
      </c>
      <c r="J84" s="493">
        <v>73.8</v>
      </c>
      <c r="K84" s="495">
        <v>2.3329999446868897E-2</v>
      </c>
      <c r="L84" s="495">
        <v>6.8610000610351565E-2</v>
      </c>
      <c r="M84" s="496">
        <f t="shared" si="4"/>
        <v>48.558139880952382</v>
      </c>
      <c r="N84" s="509">
        <v>39.647619047619052</v>
      </c>
      <c r="O84" s="509">
        <v>43.639940476190475</v>
      </c>
      <c r="P84" s="509">
        <v>60.84041666666667</v>
      </c>
      <c r="Q84" s="509">
        <v>50.104583333333331</v>
      </c>
      <c r="R84" s="497">
        <f t="shared" si="5"/>
        <v>56.308284313725466</v>
      </c>
      <c r="S84" s="509">
        <v>57.784588235294088</v>
      </c>
      <c r="T84" s="509">
        <v>52.513176470588213</v>
      </c>
      <c r="U84" s="509">
        <v>60.238980392156861</v>
      </c>
      <c r="V84" s="509">
        <v>54.696392156862721</v>
      </c>
      <c r="W84" s="486">
        <v>1900</v>
      </c>
      <c r="X84" s="489">
        <v>2100</v>
      </c>
      <c r="Y84" s="156">
        <f>[3]constantes!$B$12</f>
        <v>0</v>
      </c>
      <c r="Z84" s="498">
        <v>318</v>
      </c>
      <c r="AA84" s="156"/>
      <c r="AB84" s="156"/>
    </row>
    <row r="85" spans="1:28">
      <c r="A85" s="489">
        <v>1076</v>
      </c>
      <c r="B85" s="486">
        <v>261</v>
      </c>
      <c r="C85" s="156" t="s">
        <v>2069</v>
      </c>
      <c r="D85" s="156"/>
      <c r="E85" s="156"/>
      <c r="F85" s="156"/>
      <c r="G85" s="156"/>
      <c r="H85" s="486" t="s">
        <v>1981</v>
      </c>
      <c r="I85" s="486">
        <v>1</v>
      </c>
      <c r="J85" s="493">
        <v>902.5</v>
      </c>
      <c r="K85" s="495">
        <v>2.5329999923706055E-2</v>
      </c>
      <c r="L85" s="495">
        <v>8.0909996032714843E-2</v>
      </c>
      <c r="M85" s="496">
        <f t="shared" si="4"/>
        <v>473.78293154761911</v>
      </c>
      <c r="N85" s="509">
        <v>538.09238095238095</v>
      </c>
      <c r="O85" s="509">
        <v>422.32702380952384</v>
      </c>
      <c r="P85" s="509">
        <v>432.47041666666672</v>
      </c>
      <c r="Q85" s="509">
        <v>502.24190476190478</v>
      </c>
      <c r="R85" s="497">
        <f t="shared" si="5"/>
        <v>537.1428921568629</v>
      </c>
      <c r="S85" s="509">
        <v>760.3066666666673</v>
      </c>
      <c r="T85" s="509">
        <v>537.94815686274535</v>
      </c>
      <c r="U85" s="509">
        <v>373.54160784313723</v>
      </c>
      <c r="V85" s="509">
        <v>476.77513725490189</v>
      </c>
      <c r="W85" s="486">
        <v>1900</v>
      </c>
      <c r="X85" s="489">
        <v>2100</v>
      </c>
      <c r="Y85" s="156">
        <f>[3]constantes!$B$12</f>
        <v>0</v>
      </c>
      <c r="Z85" s="498">
        <v>318</v>
      </c>
      <c r="AA85" s="156"/>
      <c r="AB85" s="156"/>
    </row>
    <row r="86" spans="1:28">
      <c r="A86" s="489">
        <v>1100</v>
      </c>
      <c r="B86" s="486">
        <v>91</v>
      </c>
      <c r="C86" s="156" t="s">
        <v>2070</v>
      </c>
      <c r="D86" s="156"/>
      <c r="E86" s="156"/>
      <c r="F86" s="156"/>
      <c r="G86" s="156"/>
      <c r="H86" s="486" t="s">
        <v>149</v>
      </c>
      <c r="I86" s="486">
        <v>2</v>
      </c>
      <c r="J86" s="493">
        <v>1140</v>
      </c>
      <c r="K86" s="495">
        <v>2.9170000553131105E-2</v>
      </c>
      <c r="L86" s="495">
        <v>0.12121999740600586</v>
      </c>
      <c r="M86" s="496">
        <f t="shared" si="4"/>
        <v>549.85431547619055</v>
      </c>
      <c r="N86" s="509">
        <v>283.12857142857143</v>
      </c>
      <c r="O86" s="509">
        <v>471.64660714285714</v>
      </c>
      <c r="P86" s="509">
        <v>800.82</v>
      </c>
      <c r="Q86" s="509">
        <v>643.82208333333335</v>
      </c>
      <c r="R86" s="497">
        <f t="shared" si="5"/>
        <v>599.4613627450982</v>
      </c>
      <c r="S86" s="509">
        <v>429.35788235294126</v>
      </c>
      <c r="T86" s="509">
        <v>521.28874509803927</v>
      </c>
      <c r="U86" s="509">
        <v>818.56411764705911</v>
      </c>
      <c r="V86" s="509">
        <v>628.63470588235316</v>
      </c>
      <c r="W86" s="486">
        <v>1900</v>
      </c>
      <c r="X86" s="489">
        <v>2100</v>
      </c>
      <c r="Y86" s="156">
        <f>[3]constantes!$B$12</f>
        <v>0</v>
      </c>
      <c r="Z86" s="498">
        <v>318</v>
      </c>
      <c r="AA86" s="156"/>
      <c r="AB86" s="156"/>
    </row>
    <row r="87" spans="1:28">
      <c r="A87" s="489">
        <v>1078</v>
      </c>
      <c r="B87" s="486">
        <v>278</v>
      </c>
      <c r="C87" s="156" t="s">
        <v>2071</v>
      </c>
      <c r="D87" s="156"/>
      <c r="E87" s="156"/>
      <c r="F87" s="156"/>
      <c r="G87" s="156"/>
      <c r="H87" s="486" t="s">
        <v>158</v>
      </c>
      <c r="I87" s="486">
        <v>1</v>
      </c>
      <c r="J87" s="493">
        <v>210</v>
      </c>
      <c r="K87" s="495">
        <v>1.6720000505447388E-2</v>
      </c>
      <c r="L87" s="495">
        <v>5.4029998779296873E-2</v>
      </c>
      <c r="M87" s="496">
        <f t="shared" si="4"/>
        <v>88.598839285714277</v>
      </c>
      <c r="N87" s="509">
        <v>100.20666666666666</v>
      </c>
      <c r="O87" s="509">
        <v>77.558571428571426</v>
      </c>
      <c r="P87" s="509">
        <v>89.677500000000009</v>
      </c>
      <c r="Q87" s="509">
        <v>86.952619047619024</v>
      </c>
      <c r="R87" s="497">
        <f t="shared" si="5"/>
        <v>84.300254901960784</v>
      </c>
      <c r="S87" s="509">
        <v>139.14290196078431</v>
      </c>
      <c r="T87" s="509">
        <v>72.136039215686282</v>
      </c>
      <c r="U87" s="509">
        <v>55.74674509803922</v>
      </c>
      <c r="V87" s="509">
        <v>70.175333333333327</v>
      </c>
      <c r="W87" s="486">
        <v>1900</v>
      </c>
      <c r="X87" s="489">
        <v>2100</v>
      </c>
      <c r="Y87" s="156">
        <f>[3]constantes!$B$12</f>
        <v>0</v>
      </c>
      <c r="Z87" s="498">
        <v>318</v>
      </c>
      <c r="AA87" s="156"/>
      <c r="AB87" s="156"/>
    </row>
    <row r="88" spans="1:28">
      <c r="A88" s="489">
        <v>1014</v>
      </c>
      <c r="B88" s="486">
        <v>17</v>
      </c>
      <c r="C88" s="156" t="s">
        <v>2072</v>
      </c>
      <c r="D88" s="156"/>
      <c r="E88" s="156"/>
      <c r="F88" s="156"/>
      <c r="G88" s="156"/>
      <c r="H88" s="486" t="s">
        <v>150</v>
      </c>
      <c r="I88" s="486">
        <v>1</v>
      </c>
      <c r="J88" s="493">
        <v>1488</v>
      </c>
      <c r="K88" s="495">
        <v>2.5329999923706055E-2</v>
      </c>
      <c r="L88" s="495">
        <v>8.0909996032714843E-2</v>
      </c>
      <c r="M88" s="496">
        <f t="shared" si="4"/>
        <v>653.59650297619055</v>
      </c>
      <c r="N88" s="509">
        <v>821.06857142857143</v>
      </c>
      <c r="O88" s="509">
        <v>634.13988095238108</v>
      </c>
      <c r="P88" s="509">
        <v>572.33958333333328</v>
      </c>
      <c r="Q88" s="509">
        <v>586.83797619047618</v>
      </c>
      <c r="R88" s="497">
        <f t="shared" si="5"/>
        <v>795.31122549019608</v>
      </c>
      <c r="S88" s="509">
        <v>1064.5192549019609</v>
      </c>
      <c r="T88" s="509">
        <v>758.56976470588222</v>
      </c>
      <c r="U88" s="509">
        <v>656.63913725490204</v>
      </c>
      <c r="V88" s="509">
        <v>701.51674509803922</v>
      </c>
      <c r="W88" s="486">
        <v>1900</v>
      </c>
      <c r="X88" s="489">
        <v>2100</v>
      </c>
      <c r="Y88" s="156">
        <f>[3]constantes!$B$12</f>
        <v>0</v>
      </c>
      <c r="Z88" s="498">
        <v>318</v>
      </c>
      <c r="AA88" s="156"/>
      <c r="AB88" s="156"/>
    </row>
    <row r="89" spans="1:28">
      <c r="A89" s="489">
        <v>1005</v>
      </c>
      <c r="B89" s="486">
        <v>7</v>
      </c>
      <c r="C89" s="156" t="s">
        <v>2073</v>
      </c>
      <c r="D89" s="156"/>
      <c r="E89" s="156"/>
      <c r="F89" s="156"/>
      <c r="G89" s="156"/>
      <c r="H89" s="486" t="s">
        <v>150</v>
      </c>
      <c r="I89" s="486">
        <v>1</v>
      </c>
      <c r="J89" s="493">
        <v>478</v>
      </c>
      <c r="K89" s="495">
        <v>0.16719999999999999</v>
      </c>
      <c r="L89" s="495">
        <v>5.4029998779296873E-2</v>
      </c>
      <c r="M89" s="496">
        <f t="shared" si="4"/>
        <v>290.02247023809525</v>
      </c>
      <c r="N89" s="509">
        <v>324.02714285714291</v>
      </c>
      <c r="O89" s="509">
        <v>260.40089285714288</v>
      </c>
      <c r="P89" s="509">
        <v>294.37375000000003</v>
      </c>
      <c r="Q89" s="509">
        <v>281.2880952380952</v>
      </c>
      <c r="R89" s="497">
        <f t="shared" si="5"/>
        <v>300.70562745098044</v>
      </c>
      <c r="S89" s="509">
        <v>333.34384313725508</v>
      </c>
      <c r="T89" s="509">
        <v>276.55207843137265</v>
      </c>
      <c r="U89" s="509">
        <v>308.9869803921568</v>
      </c>
      <c r="V89" s="509">
        <v>283.93960784313725</v>
      </c>
      <c r="W89" s="486">
        <v>1900</v>
      </c>
      <c r="X89" s="489">
        <v>2100</v>
      </c>
      <c r="Y89" s="156">
        <f>[3]constantes!$B$12</f>
        <v>0</v>
      </c>
      <c r="Z89" s="498">
        <v>318</v>
      </c>
      <c r="AA89" s="156"/>
      <c r="AB89" s="156"/>
    </row>
    <row r="90" spans="1:28">
      <c r="A90" s="489">
        <v>1059</v>
      </c>
      <c r="B90" s="486">
        <v>144</v>
      </c>
      <c r="C90" s="156" t="s">
        <v>2074</v>
      </c>
      <c r="D90" s="156"/>
      <c r="E90" s="156"/>
      <c r="F90" s="156"/>
      <c r="G90" s="156"/>
      <c r="H90" s="486" t="s">
        <v>150</v>
      </c>
      <c r="I90" s="486">
        <v>1</v>
      </c>
      <c r="J90" s="493">
        <v>198</v>
      </c>
      <c r="K90" s="495">
        <v>1.6720000505447388E-2</v>
      </c>
      <c r="L90" s="495">
        <v>5.4029998779296873E-2</v>
      </c>
      <c r="M90" s="496">
        <f t="shared" si="4"/>
        <v>136.81456845238091</v>
      </c>
      <c r="N90" s="509">
        <v>167.19142857142856</v>
      </c>
      <c r="O90" s="509">
        <v>135.16815476190473</v>
      </c>
      <c r="P90" s="509">
        <v>100.17249999999997</v>
      </c>
      <c r="Q90" s="509">
        <v>144.72619047619048</v>
      </c>
      <c r="R90" s="497">
        <f t="shared" si="5"/>
        <v>129.29962745098038</v>
      </c>
      <c r="S90" s="509">
        <v>164.9199607843137</v>
      </c>
      <c r="T90" s="509">
        <v>125.76941176470592</v>
      </c>
      <c r="U90" s="509">
        <v>85.75839215686274</v>
      </c>
      <c r="V90" s="509">
        <v>140.7507450980392</v>
      </c>
      <c r="W90" s="486">
        <v>1900</v>
      </c>
      <c r="X90" s="489">
        <v>2100</v>
      </c>
      <c r="Y90" s="156">
        <f>[3]constantes!$B$12</f>
        <v>0</v>
      </c>
      <c r="Z90" s="498">
        <v>318</v>
      </c>
      <c r="AA90" s="156"/>
      <c r="AB90" s="156"/>
    </row>
    <row r="91" spans="1:28">
      <c r="A91" s="489">
        <v>1089</v>
      </c>
      <c r="B91" s="486">
        <v>57</v>
      </c>
      <c r="C91" s="485" t="s">
        <v>2075</v>
      </c>
      <c r="D91" s="494" t="s">
        <v>2076</v>
      </c>
      <c r="E91" s="488" t="s">
        <v>2076</v>
      </c>
      <c r="F91" s="489">
        <v>-50.706387999999997</v>
      </c>
      <c r="G91" s="489">
        <v>-24.062221999999998</v>
      </c>
      <c r="H91" s="489" t="s">
        <v>151</v>
      </c>
      <c r="I91" s="489">
        <v>2</v>
      </c>
      <c r="J91" s="493">
        <v>352.08</v>
      </c>
      <c r="K91" s="502">
        <v>2.9170000000000001E-2</v>
      </c>
      <c r="L91" s="502">
        <v>0.12121999999999999</v>
      </c>
      <c r="M91" s="496">
        <f t="shared" si="4"/>
        <v>163.41046130952384</v>
      </c>
      <c r="N91" s="509">
        <v>152.35285714285715</v>
      </c>
      <c r="O91" s="509">
        <v>142.78309523809526</v>
      </c>
      <c r="P91" s="509">
        <v>165.29708333333335</v>
      </c>
      <c r="Q91" s="509">
        <v>193.20880952380955</v>
      </c>
      <c r="R91" s="497">
        <f t="shared" si="5"/>
        <v>207.02510784313719</v>
      </c>
      <c r="S91" s="509">
        <v>221.6879999999999</v>
      </c>
      <c r="T91" s="509">
        <v>177.22623529411757</v>
      </c>
      <c r="U91" s="509">
        <v>206.59160784313721</v>
      </c>
      <c r="V91" s="509">
        <v>222.59458823529403</v>
      </c>
      <c r="W91" s="486">
        <v>1900</v>
      </c>
      <c r="X91" s="489">
        <v>2100</v>
      </c>
      <c r="Y91" s="156">
        <f>[3]constantes!$B$12</f>
        <v>0</v>
      </c>
      <c r="Z91" s="498">
        <v>318</v>
      </c>
      <c r="AA91" s="156"/>
      <c r="AB91" s="156" t="s">
        <v>2077</v>
      </c>
    </row>
    <row r="92" spans="1:28">
      <c r="A92" s="489">
        <v>1018</v>
      </c>
      <c r="B92" s="486">
        <v>26</v>
      </c>
      <c r="C92" s="156" t="s">
        <v>2078</v>
      </c>
      <c r="D92" s="156"/>
      <c r="E92" s="156"/>
      <c r="F92" s="156"/>
      <c r="G92" s="156"/>
      <c r="H92" s="486" t="s">
        <v>149</v>
      </c>
      <c r="I92" s="486">
        <v>1</v>
      </c>
      <c r="J92" s="493">
        <v>408</v>
      </c>
      <c r="K92" s="495">
        <v>2.5329999923706055E-2</v>
      </c>
      <c r="L92" s="495">
        <v>8.0909996032714843E-2</v>
      </c>
      <c r="M92" s="496">
        <f t="shared" si="4"/>
        <v>199.16703869047618</v>
      </c>
      <c r="N92" s="509">
        <v>185.51571428571427</v>
      </c>
      <c r="O92" s="509">
        <v>166.69035714285715</v>
      </c>
      <c r="P92" s="509">
        <v>231.90583333333333</v>
      </c>
      <c r="Q92" s="509">
        <v>212.55624999999998</v>
      </c>
      <c r="R92" s="497">
        <f t="shared" si="5"/>
        <v>198.41806862745096</v>
      </c>
      <c r="S92" s="509">
        <v>185.03400000000002</v>
      </c>
      <c r="T92" s="509">
        <v>176.59799999999998</v>
      </c>
      <c r="U92" s="509">
        <v>242.11184313725491</v>
      </c>
      <c r="V92" s="509">
        <v>189.92843137254897</v>
      </c>
      <c r="W92" s="486">
        <v>1900</v>
      </c>
      <c r="X92" s="489">
        <v>2100</v>
      </c>
      <c r="Y92" s="156">
        <f>[3]constantes!$B$12</f>
        <v>0</v>
      </c>
      <c r="Z92" s="498">
        <v>318</v>
      </c>
      <c r="AA92" s="156"/>
      <c r="AB92" s="156"/>
    </row>
    <row r="93" spans="1:28">
      <c r="A93" s="489">
        <v>1103</v>
      </c>
      <c r="B93" s="486">
        <v>94</v>
      </c>
      <c r="C93" s="156" t="s">
        <v>2079</v>
      </c>
      <c r="D93" s="156"/>
      <c r="E93" s="156"/>
      <c r="F93" s="156"/>
      <c r="G93" s="156"/>
      <c r="H93" s="486" t="s">
        <v>149</v>
      </c>
      <c r="I93" s="486">
        <v>2</v>
      </c>
      <c r="J93" s="493">
        <v>74</v>
      </c>
      <c r="K93" s="495">
        <v>1.6720000505447388E-2</v>
      </c>
      <c r="L93" s="495">
        <v>5.4029998779296873E-2</v>
      </c>
      <c r="M93" s="496">
        <f t="shared" si="4"/>
        <v>40.099508928571431</v>
      </c>
      <c r="N93" s="509">
        <v>17.12857142857143</v>
      </c>
      <c r="O93" s="509">
        <v>27.307023809523809</v>
      </c>
      <c r="P93" s="509">
        <v>62.398750000000007</v>
      </c>
      <c r="Q93" s="509">
        <v>53.56369047619048</v>
      </c>
      <c r="R93" s="497">
        <f t="shared" si="5"/>
        <v>42.488745098039232</v>
      </c>
      <c r="S93" s="509">
        <v>23.603333333333335</v>
      </c>
      <c r="T93" s="509">
        <v>35.929333333333339</v>
      </c>
      <c r="U93" s="509">
        <v>61.272941176470624</v>
      </c>
      <c r="V93" s="509">
        <v>49.149372549019624</v>
      </c>
      <c r="W93" s="486">
        <v>1900</v>
      </c>
      <c r="X93" s="489">
        <v>2100</v>
      </c>
      <c r="Y93" s="156">
        <f>[3]constantes!$B$12</f>
        <v>0</v>
      </c>
      <c r="Z93" s="498">
        <v>318</v>
      </c>
      <c r="AA93" s="156"/>
      <c r="AB93" s="156"/>
    </row>
    <row r="94" spans="1:28">
      <c r="A94" s="489">
        <v>1106</v>
      </c>
      <c r="B94" s="486">
        <v>98</v>
      </c>
      <c r="C94" s="156" t="s">
        <v>2080</v>
      </c>
      <c r="D94" s="156"/>
      <c r="E94" s="156"/>
      <c r="F94" s="156"/>
      <c r="G94" s="156"/>
      <c r="H94" s="486" t="s">
        <v>149</v>
      </c>
      <c r="I94" s="486">
        <v>2</v>
      </c>
      <c r="J94" s="493">
        <v>130</v>
      </c>
      <c r="K94" s="495">
        <v>2.5329999923706055E-2</v>
      </c>
      <c r="L94" s="495">
        <v>8.0909996032714843E-2</v>
      </c>
      <c r="M94" s="496">
        <f t="shared" si="4"/>
        <v>55.996770833333322</v>
      </c>
      <c r="N94" s="509">
        <v>36.386666666666663</v>
      </c>
      <c r="O94" s="509">
        <v>56.137202380952374</v>
      </c>
      <c r="P94" s="509">
        <v>80.391666666666666</v>
      </c>
      <c r="Q94" s="509">
        <v>51.071547619047614</v>
      </c>
      <c r="R94" s="497">
        <f t="shared" si="5"/>
        <v>67.878088235294086</v>
      </c>
      <c r="S94" s="509">
        <v>48.53835294117647</v>
      </c>
      <c r="T94" s="509">
        <v>62.632274509803899</v>
      </c>
      <c r="U94" s="509">
        <v>92.988156862745015</v>
      </c>
      <c r="V94" s="509">
        <v>67.35356862745094</v>
      </c>
      <c r="W94" s="486">
        <v>1900</v>
      </c>
      <c r="X94" s="489">
        <v>2100</v>
      </c>
      <c r="Y94" s="156">
        <f>[3]constantes!$B$12</f>
        <v>0</v>
      </c>
      <c r="Z94" s="498">
        <v>318</v>
      </c>
      <c r="AA94" s="156"/>
      <c r="AB94" s="156"/>
    </row>
    <row r="95" spans="1:28">
      <c r="A95" s="489">
        <v>1030</v>
      </c>
      <c r="B95" s="486">
        <v>42</v>
      </c>
      <c r="C95" s="156" t="s">
        <v>2081</v>
      </c>
      <c r="D95" s="156"/>
      <c r="E95" s="156"/>
      <c r="F95" s="156"/>
      <c r="G95" s="156"/>
      <c r="H95" s="486" t="s">
        <v>146</v>
      </c>
      <c r="I95" s="486">
        <v>1</v>
      </c>
      <c r="J95" s="493">
        <v>347.4</v>
      </c>
      <c r="K95" s="495">
        <v>2.5329999923706055E-2</v>
      </c>
      <c r="L95" s="495">
        <v>8.0909996032714843E-2</v>
      </c>
      <c r="M95" s="496">
        <f t="shared" si="4"/>
        <v>126.52988095238095</v>
      </c>
      <c r="N95" s="509">
        <v>192.80142857142857</v>
      </c>
      <c r="O95" s="509">
        <v>113.71130952380952</v>
      </c>
      <c r="P95" s="509">
        <v>94.123333333333321</v>
      </c>
      <c r="Q95" s="509">
        <v>105.48345238095239</v>
      </c>
      <c r="R95" s="497">
        <f t="shared" si="5"/>
        <v>158.03112745098039</v>
      </c>
      <c r="S95" s="509">
        <v>240.023568627451</v>
      </c>
      <c r="T95" s="509">
        <v>136.11823529411762</v>
      </c>
      <c r="U95" s="509">
        <v>109.45858823529414</v>
      </c>
      <c r="V95" s="509">
        <v>146.52411764705883</v>
      </c>
      <c r="W95" s="486">
        <v>1900</v>
      </c>
      <c r="X95" s="489">
        <v>2100</v>
      </c>
      <c r="Y95" s="156">
        <f>[3]constantes!$B$12</f>
        <v>0</v>
      </c>
      <c r="Z95" s="498">
        <v>318</v>
      </c>
      <c r="AA95" s="156"/>
      <c r="AB95" s="156"/>
    </row>
    <row r="96" spans="1:28">
      <c r="A96" s="489">
        <v>1051</v>
      </c>
      <c r="B96" s="486">
        <v>131</v>
      </c>
      <c r="C96" s="156" t="s">
        <v>2082</v>
      </c>
      <c r="D96" s="156"/>
      <c r="E96" s="156"/>
      <c r="F96" s="156"/>
      <c r="G96" s="156"/>
      <c r="H96" s="486" t="s">
        <v>282</v>
      </c>
      <c r="I96" s="486">
        <v>1</v>
      </c>
      <c r="J96" s="493">
        <v>380.03000000000003</v>
      </c>
      <c r="K96" s="495">
        <v>2.316999912261963E-2</v>
      </c>
      <c r="L96" s="495">
        <v>7.4169998168945317E-2</v>
      </c>
      <c r="M96" s="496">
        <f t="shared" si="4"/>
        <v>306.22892857142858</v>
      </c>
      <c r="N96" s="509">
        <v>251.50380952380951</v>
      </c>
      <c r="O96" s="509">
        <v>290.79827380952383</v>
      </c>
      <c r="P96" s="509">
        <v>349.30416666666662</v>
      </c>
      <c r="Q96" s="509">
        <v>333.30946428571428</v>
      </c>
      <c r="R96" s="497">
        <f t="shared" si="5"/>
        <v>302.6334411764708</v>
      </c>
      <c r="S96" s="509">
        <v>269.22211764705889</v>
      </c>
      <c r="T96" s="509">
        <v>295.52584313725492</v>
      </c>
      <c r="U96" s="509">
        <v>333.7029019607848</v>
      </c>
      <c r="V96" s="509">
        <v>312.08290196078457</v>
      </c>
      <c r="W96" s="486">
        <v>1900</v>
      </c>
      <c r="X96" s="489">
        <v>2100</v>
      </c>
      <c r="Y96" s="156">
        <f>[3]constantes!$B$12</f>
        <v>0</v>
      </c>
      <c r="Z96" s="498">
        <v>318</v>
      </c>
      <c r="AA96" s="156"/>
      <c r="AB96" s="156"/>
    </row>
    <row r="97" spans="1:28">
      <c r="A97" s="489">
        <v>1017</v>
      </c>
      <c r="B97" s="486">
        <v>25</v>
      </c>
      <c r="C97" s="156" t="s">
        <v>2083</v>
      </c>
      <c r="D97" s="156"/>
      <c r="E97" s="156"/>
      <c r="F97" s="156"/>
      <c r="G97" s="156"/>
      <c r="H97" s="486" t="s">
        <v>150</v>
      </c>
      <c r="I97" s="486">
        <v>1</v>
      </c>
      <c r="J97" s="493">
        <v>510</v>
      </c>
      <c r="K97" s="495">
        <v>2.5329999923706055E-2</v>
      </c>
      <c r="L97" s="495">
        <v>8.0909996032714843E-2</v>
      </c>
      <c r="M97" s="496">
        <f t="shared" si="4"/>
        <v>272.07607142857142</v>
      </c>
      <c r="N97" s="509">
        <v>215.13238095238094</v>
      </c>
      <c r="O97" s="509">
        <v>227.0391071428572</v>
      </c>
      <c r="P97" s="509">
        <v>353.13249999999999</v>
      </c>
      <c r="Q97" s="509">
        <v>293.00029761904761</v>
      </c>
      <c r="R97" s="497">
        <f t="shared" si="5"/>
        <v>279.80503921568629</v>
      </c>
      <c r="S97" s="509">
        <v>217.66141176470589</v>
      </c>
      <c r="T97" s="509">
        <v>253.32694117647063</v>
      </c>
      <c r="U97" s="509">
        <v>381.42235294117654</v>
      </c>
      <c r="V97" s="509">
        <v>266.80945098039211</v>
      </c>
      <c r="W97" s="486">
        <v>1900</v>
      </c>
      <c r="X97" s="489">
        <v>2100</v>
      </c>
      <c r="Y97" s="156">
        <f>[3]constantes!$B$12</f>
        <v>0</v>
      </c>
      <c r="Z97" s="498">
        <v>318</v>
      </c>
      <c r="AA97" s="156"/>
      <c r="AB97" s="156"/>
    </row>
    <row r="98" spans="1:28">
      <c r="A98" s="489">
        <v>1071</v>
      </c>
      <c r="B98" s="486">
        <v>249</v>
      </c>
      <c r="C98" s="156" t="s">
        <v>2084</v>
      </c>
      <c r="D98" s="156"/>
      <c r="E98" s="156"/>
      <c r="F98" s="156"/>
      <c r="G98" s="156"/>
      <c r="H98" s="486" t="s">
        <v>151</v>
      </c>
      <c r="I98" s="486">
        <v>1</v>
      </c>
      <c r="J98" s="493">
        <v>44.099999999999994</v>
      </c>
      <c r="K98" s="495">
        <v>2.3329999446868897E-2</v>
      </c>
      <c r="L98" s="495">
        <v>6.8610000610351565E-2</v>
      </c>
      <c r="M98" s="496">
        <f t="shared" ref="M98:M129" si="6">AVERAGE(N98:Q98)</f>
        <v>23.127857142857145</v>
      </c>
      <c r="N98" s="509">
        <v>15.155714285714287</v>
      </c>
      <c r="O98" s="509">
        <v>19.904285714285713</v>
      </c>
      <c r="P98" s="509">
        <v>32.295416666666675</v>
      </c>
      <c r="Q98" s="509">
        <v>25.1560119047619</v>
      </c>
      <c r="R98" s="497">
        <f t="shared" ref="R98:R129" si="7">AVERAGE(S98:V98)</f>
        <v>28.156107843137249</v>
      </c>
      <c r="S98" s="509">
        <v>28.083137254901953</v>
      </c>
      <c r="T98" s="509">
        <v>25.496352941176468</v>
      </c>
      <c r="U98" s="509">
        <v>31.664509803921561</v>
      </c>
      <c r="V98" s="509">
        <v>27.380431372549012</v>
      </c>
      <c r="W98" s="486">
        <v>1900</v>
      </c>
      <c r="X98" s="489">
        <v>2100</v>
      </c>
      <c r="Y98" s="156">
        <f>[3]constantes!$B$12</f>
        <v>0</v>
      </c>
      <c r="Z98" s="498">
        <v>318</v>
      </c>
      <c r="AA98" s="156"/>
      <c r="AB98" s="156"/>
    </row>
    <row r="99" spans="1:28">
      <c r="A99" s="489">
        <v>1124</v>
      </c>
      <c r="B99" s="486">
        <v>189</v>
      </c>
      <c r="C99" s="156" t="s">
        <v>2085</v>
      </c>
      <c r="D99" s="156"/>
      <c r="E99" s="156"/>
      <c r="F99" s="156"/>
      <c r="G99" s="156"/>
      <c r="H99" s="486" t="s">
        <v>152</v>
      </c>
      <c r="I99" s="486">
        <v>3</v>
      </c>
      <c r="J99" s="493">
        <v>160</v>
      </c>
      <c r="K99" s="495">
        <v>2.5329999923706055E-2</v>
      </c>
      <c r="L99" s="495">
        <v>8.0909996032714843E-2</v>
      </c>
      <c r="M99" s="496">
        <f t="shared" si="6"/>
        <v>60.595639880952383</v>
      </c>
      <c r="N99" s="509">
        <v>59.798095238095243</v>
      </c>
      <c r="O99" s="509">
        <v>50.789583333333333</v>
      </c>
      <c r="P99" s="509">
        <v>44.461666666666666</v>
      </c>
      <c r="Q99" s="509">
        <v>87.333214285714291</v>
      </c>
      <c r="R99" s="497">
        <f t="shared" si="7"/>
        <v>58.134411764705874</v>
      </c>
      <c r="S99" s="509">
        <v>74.000117647058786</v>
      </c>
      <c r="T99" s="509">
        <v>58.863333333333323</v>
      </c>
      <c r="U99" s="509">
        <v>38.114313725490199</v>
      </c>
      <c r="V99" s="509">
        <v>61.559882352941166</v>
      </c>
      <c r="W99" s="486">
        <v>1900</v>
      </c>
      <c r="X99" s="489">
        <v>2100</v>
      </c>
      <c r="Y99" s="156">
        <f>[3]constantes!$B$12</f>
        <v>0</v>
      </c>
      <c r="Z99" s="498">
        <v>318</v>
      </c>
      <c r="AA99" s="156"/>
      <c r="AB99" s="156"/>
    </row>
    <row r="100" spans="1:28">
      <c r="A100" s="489">
        <v>1010</v>
      </c>
      <c r="B100" s="486">
        <v>12</v>
      </c>
      <c r="C100" s="156" t="s">
        <v>2086</v>
      </c>
      <c r="D100" s="156"/>
      <c r="E100" s="156"/>
      <c r="F100" s="156"/>
      <c r="G100" s="156"/>
      <c r="H100" s="486" t="s">
        <v>146</v>
      </c>
      <c r="I100" s="486">
        <v>1</v>
      </c>
      <c r="J100" s="493">
        <v>328</v>
      </c>
      <c r="K100" s="495">
        <v>2.5329999923706055E-2</v>
      </c>
      <c r="L100" s="495">
        <v>8.0909996032714843E-2</v>
      </c>
      <c r="M100" s="496">
        <f t="shared" si="6"/>
        <v>189.1099404761905</v>
      </c>
      <c r="N100" s="509">
        <v>231.25238095238095</v>
      </c>
      <c r="O100" s="509">
        <v>173.58958333333337</v>
      </c>
      <c r="P100" s="509">
        <v>168.21791666666667</v>
      </c>
      <c r="Q100" s="509">
        <v>183.37988095238097</v>
      </c>
      <c r="R100" s="497">
        <f t="shared" si="7"/>
        <v>198.74913725490202</v>
      </c>
      <c r="S100" s="509">
        <v>253.00964705882367</v>
      </c>
      <c r="T100" s="509">
        <v>184.50960784313733</v>
      </c>
      <c r="U100" s="509">
        <v>174.99270588235296</v>
      </c>
      <c r="V100" s="509">
        <v>182.48458823529415</v>
      </c>
      <c r="W100" s="486">
        <v>1900</v>
      </c>
      <c r="X100" s="489">
        <v>2100</v>
      </c>
      <c r="Y100" s="156">
        <f>[3]constantes!$B$12</f>
        <v>0</v>
      </c>
      <c r="Z100" s="498">
        <v>318</v>
      </c>
      <c r="AA100" s="156"/>
      <c r="AB100" s="156"/>
    </row>
    <row r="101" spans="1:28">
      <c r="A101" s="489">
        <v>1055</v>
      </c>
      <c r="B101" s="486">
        <v>135</v>
      </c>
      <c r="C101" s="156" t="s">
        <v>2087</v>
      </c>
      <c r="D101" s="156"/>
      <c r="E101" s="156"/>
      <c r="F101" s="156"/>
      <c r="G101" s="156"/>
      <c r="H101" s="486" t="s">
        <v>150</v>
      </c>
      <c r="I101" s="486">
        <v>1</v>
      </c>
      <c r="J101" s="493">
        <v>112</v>
      </c>
      <c r="K101" s="495">
        <v>1.6720000505447388E-2</v>
      </c>
      <c r="L101" s="495">
        <v>5.4029998779296873E-2</v>
      </c>
      <c r="M101" s="496">
        <f t="shared" si="6"/>
        <v>63.989017857142848</v>
      </c>
      <c r="N101" s="509">
        <v>88.605238095238079</v>
      </c>
      <c r="O101" s="509">
        <v>66.121428571428567</v>
      </c>
      <c r="P101" s="509">
        <v>40.755416666666669</v>
      </c>
      <c r="Q101" s="509">
        <v>60.473988095238099</v>
      </c>
      <c r="R101" s="497">
        <f t="shared" si="7"/>
        <v>61.947745098039192</v>
      </c>
      <c r="S101" s="509">
        <v>89.590313725490134</v>
      </c>
      <c r="T101" s="509">
        <v>56.286588235294097</v>
      </c>
      <c r="U101" s="509">
        <v>33.90717647058824</v>
      </c>
      <c r="V101" s="509">
        <v>68.006901960784305</v>
      </c>
      <c r="W101" s="486">
        <v>1900</v>
      </c>
      <c r="X101" s="489">
        <v>2100</v>
      </c>
      <c r="Y101" s="156">
        <f>[3]constantes!$B$12</f>
        <v>0</v>
      </c>
      <c r="Z101" s="498">
        <v>318</v>
      </c>
      <c r="AA101" s="156"/>
      <c r="AB101" s="156"/>
    </row>
    <row r="102" spans="1:28">
      <c r="A102" s="489">
        <v>1053</v>
      </c>
      <c r="B102" s="486">
        <v>133</v>
      </c>
      <c r="C102" s="156" t="s">
        <v>2088</v>
      </c>
      <c r="D102" s="156"/>
      <c r="E102" s="156"/>
      <c r="F102" s="156"/>
      <c r="G102" s="156"/>
      <c r="H102" s="486" t="s">
        <v>282</v>
      </c>
      <c r="I102" s="486">
        <v>1</v>
      </c>
      <c r="J102" s="493">
        <v>99.9</v>
      </c>
      <c r="K102" s="495">
        <v>1.6720000505447388E-2</v>
      </c>
      <c r="L102" s="495">
        <v>5.4029998779296873E-2</v>
      </c>
      <c r="M102" s="496">
        <f t="shared" si="6"/>
        <v>44.362886904761908</v>
      </c>
      <c r="N102" s="509">
        <v>38.814761904761902</v>
      </c>
      <c r="O102" s="509">
        <v>41.721607142857145</v>
      </c>
      <c r="P102" s="509">
        <v>47.854583333333345</v>
      </c>
      <c r="Q102" s="509">
        <v>49.060595238095239</v>
      </c>
      <c r="R102" s="497">
        <f t="shared" si="7"/>
        <v>43.848294117647065</v>
      </c>
      <c r="S102" s="509">
        <v>43.915764705882346</v>
      </c>
      <c r="T102" s="509">
        <v>42.339882352941196</v>
      </c>
      <c r="U102" s="509">
        <v>44.143215686274516</v>
      </c>
      <c r="V102" s="509">
        <v>44.994313725490201</v>
      </c>
      <c r="W102" s="486">
        <v>1900</v>
      </c>
      <c r="X102" s="489">
        <v>2100</v>
      </c>
      <c r="Y102" s="156">
        <f>[3]constantes!$B$12</f>
        <v>0</v>
      </c>
      <c r="Z102" s="498">
        <v>318</v>
      </c>
      <c r="AA102" s="156"/>
      <c r="AB102" s="156"/>
    </row>
    <row r="103" spans="1:28">
      <c r="A103" s="489">
        <v>1033</v>
      </c>
      <c r="B103" s="486">
        <v>46</v>
      </c>
      <c r="C103" s="156" t="s">
        <v>2089</v>
      </c>
      <c r="D103" s="156"/>
      <c r="E103" s="156"/>
      <c r="F103" s="156"/>
      <c r="G103" s="156"/>
      <c r="H103" s="486" t="s">
        <v>2090</v>
      </c>
      <c r="I103" s="486">
        <v>1</v>
      </c>
      <c r="J103" s="493">
        <v>1540</v>
      </c>
      <c r="K103" s="495">
        <v>2.5329999923706055E-2</v>
      </c>
      <c r="L103" s="495">
        <v>8.0909996032714843E-2</v>
      </c>
      <c r="M103" s="496">
        <f t="shared" si="6"/>
        <v>896.94139880952389</v>
      </c>
      <c r="N103" s="509">
        <v>1016.0742857142858</v>
      </c>
      <c r="O103" s="509">
        <v>851.22398809523804</v>
      </c>
      <c r="P103" s="509">
        <v>848.04583333333346</v>
      </c>
      <c r="Q103" s="509">
        <v>872.42148809523803</v>
      </c>
      <c r="R103" s="497">
        <f t="shared" si="7"/>
        <v>1022.155460784314</v>
      </c>
      <c r="S103" s="509">
        <v>1202.2271372549028</v>
      </c>
      <c r="T103" s="509">
        <v>1005.3558431372549</v>
      </c>
      <c r="U103" s="509">
        <v>910.06529411764711</v>
      </c>
      <c r="V103" s="509">
        <v>970.97356862745073</v>
      </c>
      <c r="W103" s="486">
        <v>1900</v>
      </c>
      <c r="X103" s="489">
        <v>2100</v>
      </c>
      <c r="Y103" s="156">
        <f>[3]constantes!$B$12</f>
        <v>0</v>
      </c>
      <c r="Z103" s="498">
        <v>318</v>
      </c>
      <c r="AA103" s="156"/>
      <c r="AB103" s="156"/>
    </row>
    <row r="104" spans="1:28">
      <c r="A104" s="489">
        <v>1045</v>
      </c>
      <c r="B104" s="486">
        <v>121</v>
      </c>
      <c r="C104" s="156" t="s">
        <v>2091</v>
      </c>
      <c r="D104" s="156"/>
      <c r="E104" s="156"/>
      <c r="F104" s="156"/>
      <c r="G104" s="156"/>
      <c r="H104" s="486" t="s">
        <v>146</v>
      </c>
      <c r="I104" s="486">
        <v>1</v>
      </c>
      <c r="J104" s="493">
        <v>87.02</v>
      </c>
      <c r="K104" s="495">
        <v>1.6720000505447388E-2</v>
      </c>
      <c r="L104" s="495">
        <v>5.4029998779296873E-2</v>
      </c>
      <c r="M104" s="496">
        <f t="shared" si="6"/>
        <v>49.231860119047617</v>
      </c>
      <c r="N104" s="509">
        <v>48.764285714285712</v>
      </c>
      <c r="O104" s="509">
        <v>40.521488095238091</v>
      </c>
      <c r="P104" s="509">
        <v>57.642499999999991</v>
      </c>
      <c r="Q104" s="509">
        <v>49.999166666666667</v>
      </c>
      <c r="R104" s="497">
        <f t="shared" si="7"/>
        <v>49.58222549019608</v>
      </c>
      <c r="S104" s="509">
        <v>55.188745098039213</v>
      </c>
      <c r="T104" s="509">
        <v>42.463098039215687</v>
      </c>
      <c r="U104" s="509">
        <v>55.384980392156884</v>
      </c>
      <c r="V104" s="509">
        <v>45.292078431372545</v>
      </c>
      <c r="W104" s="486">
        <v>1900</v>
      </c>
      <c r="X104" s="489">
        <v>2100</v>
      </c>
      <c r="Y104" s="156">
        <f>[3]constantes!$B$12</f>
        <v>0</v>
      </c>
      <c r="Z104" s="498">
        <v>318</v>
      </c>
      <c r="AA104" s="156"/>
      <c r="AB104" s="156"/>
    </row>
    <row r="105" spans="1:28">
      <c r="A105" s="489">
        <v>1102</v>
      </c>
      <c r="B105" s="486">
        <v>93</v>
      </c>
      <c r="C105" s="156" t="s">
        <v>2092</v>
      </c>
      <c r="D105" s="156"/>
      <c r="E105" s="156"/>
      <c r="F105" s="156"/>
      <c r="G105" s="156"/>
      <c r="H105" s="486" t="s">
        <v>149</v>
      </c>
      <c r="I105" s="486">
        <v>2</v>
      </c>
      <c r="J105" s="493">
        <v>226</v>
      </c>
      <c r="K105" s="495">
        <v>2.5329999923706055E-2</v>
      </c>
      <c r="L105" s="495">
        <v>8.0909996032714843E-2</v>
      </c>
      <c r="M105" s="496">
        <f t="shared" si="6"/>
        <v>104.37208333333334</v>
      </c>
      <c r="N105" s="509">
        <v>30.767619047619046</v>
      </c>
      <c r="O105" s="509">
        <v>56.352083333333333</v>
      </c>
      <c r="P105" s="509">
        <v>183.76708333333337</v>
      </c>
      <c r="Q105" s="509">
        <v>146.60154761904764</v>
      </c>
      <c r="R105" s="497">
        <f t="shared" si="7"/>
        <v>108.89805882352934</v>
      </c>
      <c r="S105" s="509">
        <v>48.51611764705882</v>
      </c>
      <c r="T105" s="509">
        <v>84.8839607843137</v>
      </c>
      <c r="U105" s="509">
        <v>173.5454901960783</v>
      </c>
      <c r="V105" s="509">
        <v>128.64666666666656</v>
      </c>
      <c r="W105" s="486">
        <v>1900</v>
      </c>
      <c r="X105" s="489">
        <v>2100</v>
      </c>
      <c r="Y105" s="156">
        <f>[3]constantes!$B$12</f>
        <v>0</v>
      </c>
      <c r="Z105" s="498">
        <v>318</v>
      </c>
      <c r="AA105" s="156"/>
      <c r="AB105" s="156"/>
    </row>
    <row r="106" spans="1:28">
      <c r="A106" s="489">
        <v>1111</v>
      </c>
      <c r="B106" s="486">
        <v>111</v>
      </c>
      <c r="C106" s="156" t="s">
        <v>2093</v>
      </c>
      <c r="D106" s="156"/>
      <c r="E106" s="156"/>
      <c r="F106" s="156"/>
      <c r="G106" s="156"/>
      <c r="H106" s="486" t="s">
        <v>149</v>
      </c>
      <c r="I106" s="486">
        <v>2</v>
      </c>
      <c r="J106" s="493">
        <v>158</v>
      </c>
      <c r="K106" s="495">
        <v>2.5329999923706055E-2</v>
      </c>
      <c r="L106" s="495">
        <v>8.0909996032714843E-2</v>
      </c>
      <c r="M106" s="496">
        <f t="shared" si="6"/>
        <v>65.45452380952382</v>
      </c>
      <c r="N106" s="509">
        <v>27.462857142857143</v>
      </c>
      <c r="O106" s="509">
        <v>47.315773809523819</v>
      </c>
      <c r="P106" s="509">
        <v>99.492500000000007</v>
      </c>
      <c r="Q106" s="509">
        <v>87.546964285714296</v>
      </c>
      <c r="R106" s="497">
        <f t="shared" si="7"/>
        <v>77.117931372549052</v>
      </c>
      <c r="S106" s="509">
        <v>45.124117647058817</v>
      </c>
      <c r="T106" s="509">
        <v>67.43011764705885</v>
      </c>
      <c r="U106" s="509">
        <v>108.41294117647065</v>
      </c>
      <c r="V106" s="509">
        <v>87.504549019607893</v>
      </c>
      <c r="W106" s="486">
        <v>1900</v>
      </c>
      <c r="X106" s="489">
        <v>2100</v>
      </c>
      <c r="Y106" s="156">
        <f>[3]constantes!$B$12</f>
        <v>0</v>
      </c>
      <c r="Z106" s="498">
        <v>318</v>
      </c>
      <c r="AA106" s="156"/>
      <c r="AB106" s="156"/>
    </row>
    <row r="107" spans="1:28">
      <c r="A107" s="489">
        <v>1109</v>
      </c>
      <c r="B107" s="486">
        <v>102</v>
      </c>
      <c r="C107" s="485" t="s">
        <v>2094</v>
      </c>
      <c r="D107" s="494" t="s">
        <v>2095</v>
      </c>
      <c r="E107" s="488" t="s">
        <v>2096</v>
      </c>
      <c r="F107" s="489">
        <v>-55.058888000000003</v>
      </c>
      <c r="G107" s="489">
        <v>-28.148610999999999</v>
      </c>
      <c r="H107" s="489" t="s">
        <v>149</v>
      </c>
      <c r="I107" s="489">
        <v>2</v>
      </c>
      <c r="J107" s="493">
        <v>77</v>
      </c>
      <c r="K107" s="495">
        <v>2.5329999923706055E-2</v>
      </c>
      <c r="L107" s="495">
        <v>8.0909996032714843E-2</v>
      </c>
      <c r="M107" s="496">
        <f t="shared" si="6"/>
        <v>36.203199404761904</v>
      </c>
      <c r="N107" s="509">
        <v>17.619523809523809</v>
      </c>
      <c r="O107" s="509">
        <v>40.744285714285716</v>
      </c>
      <c r="P107" s="509">
        <v>44.280833333333334</v>
      </c>
      <c r="Q107" s="509">
        <v>42.168154761904766</v>
      </c>
      <c r="R107" s="497">
        <f t="shared" si="7"/>
        <v>42.346401960784313</v>
      </c>
      <c r="S107" s="509">
        <v>30.409333333333336</v>
      </c>
      <c r="T107" s="509">
        <v>42.228862745098041</v>
      </c>
      <c r="U107" s="509">
        <v>49.917490196078433</v>
      </c>
      <c r="V107" s="509">
        <v>46.829921568627448</v>
      </c>
      <c r="W107" s="486">
        <v>1900</v>
      </c>
      <c r="X107" s="489">
        <v>2100</v>
      </c>
      <c r="Y107" s="156">
        <f>[3]constantes!$B$12</f>
        <v>0</v>
      </c>
      <c r="Z107" s="498">
        <v>318</v>
      </c>
      <c r="AA107" s="156"/>
      <c r="AB107" s="156" t="s">
        <v>2077</v>
      </c>
    </row>
    <row r="108" spans="1:28">
      <c r="A108" s="489">
        <v>1406</v>
      </c>
      <c r="B108" s="486">
        <v>1005</v>
      </c>
      <c r="C108" s="296" t="s">
        <v>2097</v>
      </c>
      <c r="D108" s="156"/>
      <c r="E108" s="156"/>
      <c r="F108" s="156"/>
      <c r="G108" s="156"/>
      <c r="H108" s="489" t="s">
        <v>155</v>
      </c>
      <c r="I108" s="489">
        <v>6</v>
      </c>
      <c r="J108" s="551">
        <v>122.46</v>
      </c>
      <c r="K108" s="499">
        <v>2.9170000000000001E-2</v>
      </c>
      <c r="L108" s="499">
        <v>0.12121999999999999</v>
      </c>
      <c r="M108" s="496">
        <f t="shared" si="6"/>
        <v>65.602811968193308</v>
      </c>
      <c r="N108" s="509">
        <v>86.27712563658082</v>
      </c>
      <c r="O108" s="509">
        <v>90.477961093285529</v>
      </c>
      <c r="P108" s="509">
        <v>38.469196889570668</v>
      </c>
      <c r="Q108" s="509">
        <v>47.186964253336193</v>
      </c>
      <c r="R108" s="497">
        <f t="shared" si="7"/>
        <v>65.602811968193308</v>
      </c>
      <c r="S108" s="374">
        <v>86.27712563658082</v>
      </c>
      <c r="T108" s="374">
        <v>90.477961093285529</v>
      </c>
      <c r="U108" s="374">
        <v>38.469196889570668</v>
      </c>
      <c r="V108" s="374">
        <v>47.186964253336193</v>
      </c>
      <c r="W108" s="486">
        <v>1900</v>
      </c>
      <c r="X108" s="489">
        <v>2100</v>
      </c>
      <c r="Y108" s="156">
        <f>[3]constantes!$B$12</f>
        <v>0</v>
      </c>
      <c r="Z108" s="498">
        <v>319</v>
      </c>
      <c r="AA108" s="156"/>
      <c r="AB108" s="156"/>
    </row>
    <row r="109" spans="1:28">
      <c r="A109" s="489">
        <v>1404</v>
      </c>
      <c r="B109" s="486">
        <v>1003</v>
      </c>
      <c r="C109" s="296" t="s">
        <v>2098</v>
      </c>
      <c r="D109" s="156"/>
      <c r="E109" s="156"/>
      <c r="F109" s="156"/>
      <c r="G109" s="156"/>
      <c r="H109" s="489" t="s">
        <v>153</v>
      </c>
      <c r="I109" s="489">
        <v>4</v>
      </c>
      <c r="J109" s="551">
        <v>166.31000000000003</v>
      </c>
      <c r="K109" s="499">
        <v>2.9170000000000001E-2</v>
      </c>
      <c r="L109" s="499">
        <v>0.12121999999999999</v>
      </c>
      <c r="M109" s="496">
        <f t="shared" si="6"/>
        <v>94.915795793900145</v>
      </c>
      <c r="N109" s="509">
        <v>113.82938986334845</v>
      </c>
      <c r="O109" s="509">
        <v>99.995544401894577</v>
      </c>
      <c r="P109" s="509">
        <v>75.928631598314595</v>
      </c>
      <c r="Q109" s="509">
        <v>89.909617312042954</v>
      </c>
      <c r="R109" s="497">
        <f t="shared" si="7"/>
        <v>94.915795793900145</v>
      </c>
      <c r="S109" s="374">
        <v>113.82938986334845</v>
      </c>
      <c r="T109" s="374">
        <v>99.995544401894577</v>
      </c>
      <c r="U109" s="374">
        <v>75.928631598314595</v>
      </c>
      <c r="V109" s="374">
        <v>89.909617312042954</v>
      </c>
      <c r="W109" s="486">
        <v>1900</v>
      </c>
      <c r="X109" s="489">
        <v>2100</v>
      </c>
      <c r="Y109" s="156">
        <f>[3]constantes!$B$12</f>
        <v>0</v>
      </c>
      <c r="Z109" s="498">
        <v>319</v>
      </c>
      <c r="AA109" s="156"/>
      <c r="AB109" s="156"/>
    </row>
    <row r="110" spans="1:28">
      <c r="A110" s="489">
        <v>1403</v>
      </c>
      <c r="B110" s="486">
        <v>1002</v>
      </c>
      <c r="C110" s="296" t="s">
        <v>2099</v>
      </c>
      <c r="D110" s="156"/>
      <c r="E110" s="156"/>
      <c r="F110" s="156"/>
      <c r="G110" s="156"/>
      <c r="H110" s="489" t="s">
        <v>152</v>
      </c>
      <c r="I110" s="489">
        <v>3</v>
      </c>
      <c r="J110" s="551">
        <v>168.09200000000004</v>
      </c>
      <c r="K110" s="499">
        <v>2.9170000000000001E-2</v>
      </c>
      <c r="L110" s="499">
        <v>0.12121999999999999</v>
      </c>
      <c r="M110" s="496">
        <f t="shared" si="6"/>
        <v>55.480336701649222</v>
      </c>
      <c r="N110" s="509">
        <v>56.387713523400883</v>
      </c>
      <c r="O110" s="509">
        <v>56.022339040379023</v>
      </c>
      <c r="P110" s="509">
        <v>55.792816894455825</v>
      </c>
      <c r="Q110" s="509">
        <v>53.718477348361141</v>
      </c>
      <c r="R110" s="497">
        <f t="shared" si="7"/>
        <v>55.480336701649222</v>
      </c>
      <c r="S110" s="374">
        <v>56.387713523400883</v>
      </c>
      <c r="T110" s="374">
        <v>56.022339040379023</v>
      </c>
      <c r="U110" s="374">
        <v>55.792816894455825</v>
      </c>
      <c r="V110" s="374">
        <v>53.718477348361141</v>
      </c>
      <c r="W110" s="486">
        <v>1900</v>
      </c>
      <c r="X110" s="489">
        <v>2100</v>
      </c>
      <c r="Y110" s="156">
        <f>[3]constantes!$B$12</f>
        <v>0</v>
      </c>
      <c r="Z110" s="498">
        <v>319</v>
      </c>
      <c r="AA110" s="156"/>
      <c r="AB110" s="156"/>
    </row>
    <row r="111" spans="1:28">
      <c r="A111" s="489">
        <v>1401</v>
      </c>
      <c r="B111" s="486">
        <v>1000</v>
      </c>
      <c r="C111" s="296" t="s">
        <v>2100</v>
      </c>
      <c r="D111" s="156"/>
      <c r="E111" s="156"/>
      <c r="F111" s="156"/>
      <c r="G111" s="156"/>
      <c r="H111" s="489" t="s">
        <v>150</v>
      </c>
      <c r="I111" s="489">
        <v>1</v>
      </c>
      <c r="J111" s="629">
        <f>3539.613-27.94</f>
        <v>3511.6729999999998</v>
      </c>
      <c r="K111" s="499">
        <v>2.9170000000000001E-2</v>
      </c>
      <c r="L111" s="499">
        <v>0.12121999999999999</v>
      </c>
      <c r="M111" s="496">
        <f t="shared" si="6"/>
        <v>1808.0692384814893</v>
      </c>
      <c r="N111" s="509">
        <v>2178.6712472435829</v>
      </c>
      <c r="O111" s="509">
        <v>1966.5908047655357</v>
      </c>
      <c r="P111" s="509">
        <v>1368.8907016003254</v>
      </c>
      <c r="Q111" s="509">
        <v>1718.1242003165137</v>
      </c>
      <c r="R111" s="497">
        <f t="shared" si="7"/>
        <v>1808.0692384814893</v>
      </c>
      <c r="S111" s="374">
        <v>2178.6712472435829</v>
      </c>
      <c r="T111" s="374">
        <v>1966.5908047655357</v>
      </c>
      <c r="U111" s="374">
        <v>1368.8907016003254</v>
      </c>
      <c r="V111" s="374">
        <v>1718.1242003165137</v>
      </c>
      <c r="W111" s="486">
        <v>1900</v>
      </c>
      <c r="X111" s="489">
        <v>2100</v>
      </c>
      <c r="Y111" s="156">
        <f>[3]constantes!$B$12</f>
        <v>0</v>
      </c>
      <c r="Z111" s="498">
        <v>319</v>
      </c>
      <c r="AA111" s="156"/>
      <c r="AB111" s="156"/>
    </row>
    <row r="112" spans="1:28">
      <c r="A112" s="489">
        <v>1402</v>
      </c>
      <c r="B112" s="486">
        <v>1001</v>
      </c>
      <c r="C112" s="296" t="s">
        <v>2101</v>
      </c>
      <c r="D112" s="156"/>
      <c r="E112" s="156"/>
      <c r="F112" s="156"/>
      <c r="G112" s="156"/>
      <c r="H112" s="489" t="s">
        <v>149</v>
      </c>
      <c r="I112" s="489">
        <v>2</v>
      </c>
      <c r="J112" s="551">
        <v>1524.0910000000006</v>
      </c>
      <c r="K112" s="499">
        <v>2.9170000000000001E-2</v>
      </c>
      <c r="L112" s="499">
        <v>0.12121999999999999</v>
      </c>
      <c r="M112" s="496">
        <f t="shared" si="6"/>
        <v>838.42159799927845</v>
      </c>
      <c r="N112" s="509">
        <v>775.30919665148235</v>
      </c>
      <c r="O112" s="509">
        <v>782.06714679927541</v>
      </c>
      <c r="P112" s="509">
        <v>944.42658025879439</v>
      </c>
      <c r="Q112" s="509">
        <v>851.88346828756198</v>
      </c>
      <c r="R112" s="497">
        <f t="shared" si="7"/>
        <v>838.42159799927845</v>
      </c>
      <c r="S112" s="374">
        <v>775.30919665148235</v>
      </c>
      <c r="T112" s="374">
        <v>782.06714679927541</v>
      </c>
      <c r="U112" s="374">
        <v>944.42658025879439</v>
      </c>
      <c r="V112" s="374">
        <v>851.88346828756198</v>
      </c>
      <c r="W112" s="486">
        <v>1900</v>
      </c>
      <c r="X112" s="489">
        <v>2100</v>
      </c>
      <c r="Y112" s="156">
        <f>[3]constantes!$B$12</f>
        <v>0</v>
      </c>
      <c r="Z112" s="498">
        <v>319</v>
      </c>
      <c r="AA112" s="156"/>
      <c r="AB112" s="156"/>
    </row>
    <row r="113" spans="1:28">
      <c r="A113" s="489">
        <v>1405</v>
      </c>
      <c r="B113" s="486">
        <v>1004</v>
      </c>
      <c r="C113" s="296" t="s">
        <v>2102</v>
      </c>
      <c r="D113" s="156"/>
      <c r="E113" s="156"/>
      <c r="F113" s="156"/>
      <c r="G113" s="156"/>
      <c r="H113" s="489" t="s">
        <v>154</v>
      </c>
      <c r="I113" s="489">
        <v>10</v>
      </c>
      <c r="J113" s="486">
        <v>3</v>
      </c>
      <c r="K113" s="499">
        <v>2.9170000000000001E-2</v>
      </c>
      <c r="L113" s="499">
        <v>0.12121999999999999</v>
      </c>
      <c r="M113" s="496">
        <f t="shared" si="6"/>
        <v>1.9908450000000002</v>
      </c>
      <c r="N113" s="374">
        <v>2.0531999999999999</v>
      </c>
      <c r="O113" s="374">
        <v>1.8037800000000002</v>
      </c>
      <c r="P113" s="374">
        <v>2.0531999999999999</v>
      </c>
      <c r="Q113" s="374">
        <v>2.0531999999999999</v>
      </c>
      <c r="R113" s="497">
        <f t="shared" si="7"/>
        <v>1.9908450000000002</v>
      </c>
      <c r="S113" s="374">
        <v>2.0531999999999999</v>
      </c>
      <c r="T113" s="374">
        <v>1.8037800000000002</v>
      </c>
      <c r="U113" s="374">
        <v>2.0531999999999999</v>
      </c>
      <c r="V113" s="374">
        <v>2.0531999999999999</v>
      </c>
      <c r="W113" s="486">
        <v>1900</v>
      </c>
      <c r="X113" s="489">
        <v>2100</v>
      </c>
      <c r="Y113" s="156">
        <f>[3]constantes!$B$12</f>
        <v>0</v>
      </c>
      <c r="Z113" s="498">
        <v>319</v>
      </c>
      <c r="AA113" s="156"/>
      <c r="AB113" s="156"/>
    </row>
    <row r="114" spans="1:28">
      <c r="A114" s="489">
        <v>1075</v>
      </c>
      <c r="B114" s="486">
        <v>257</v>
      </c>
      <c r="C114" s="156" t="s">
        <v>2103</v>
      </c>
      <c r="D114" s="156"/>
      <c r="E114" s="156"/>
      <c r="F114" s="156"/>
      <c r="G114" s="156"/>
      <c r="H114" s="486" t="s">
        <v>1981</v>
      </c>
      <c r="I114" s="486">
        <v>1</v>
      </c>
      <c r="J114" s="493">
        <v>498.75</v>
      </c>
      <c r="K114" s="495">
        <v>2.5329999923706055E-2</v>
      </c>
      <c r="L114" s="495">
        <v>8.0909996032714843E-2</v>
      </c>
      <c r="M114" s="496">
        <f t="shared" si="6"/>
        <v>267.40761904761905</v>
      </c>
      <c r="N114" s="509">
        <v>277.62857142857138</v>
      </c>
      <c r="O114" s="509">
        <v>191.39672619047619</v>
      </c>
      <c r="P114" s="509">
        <v>291.83333333333331</v>
      </c>
      <c r="Q114" s="509">
        <v>308.77184523809524</v>
      </c>
      <c r="R114" s="497">
        <f t="shared" si="7"/>
        <v>305.36727450980396</v>
      </c>
      <c r="S114" s="509">
        <v>389.51870588235289</v>
      </c>
      <c r="T114" s="509">
        <v>277.81486274509803</v>
      </c>
      <c r="U114" s="509">
        <v>259.35141176470592</v>
      </c>
      <c r="V114" s="509">
        <v>294.78411764705896</v>
      </c>
      <c r="W114" s="486">
        <v>1900</v>
      </c>
      <c r="X114" s="489">
        <v>2100</v>
      </c>
      <c r="Y114" s="156">
        <f>[3]constantes!$B$12</f>
        <v>0</v>
      </c>
      <c r="Z114" s="498">
        <v>318</v>
      </c>
      <c r="AA114" s="156"/>
      <c r="AB114" s="156"/>
    </row>
    <row r="115" spans="1:28">
      <c r="A115" s="489">
        <v>1047</v>
      </c>
      <c r="B115" s="486">
        <v>126</v>
      </c>
      <c r="C115" s="156" t="s">
        <v>2104</v>
      </c>
      <c r="D115" s="156"/>
      <c r="E115" s="156"/>
      <c r="F115" s="156"/>
      <c r="G115" s="156"/>
      <c r="H115" s="486" t="s">
        <v>150</v>
      </c>
      <c r="I115" s="486">
        <v>1</v>
      </c>
      <c r="J115" s="493">
        <v>50</v>
      </c>
      <c r="K115" s="495">
        <v>2.3329999446868897E-2</v>
      </c>
      <c r="L115" s="495">
        <v>6.8610000610351565E-2</v>
      </c>
      <c r="M115" s="496">
        <f t="shared" si="6"/>
        <v>31.99733630952381</v>
      </c>
      <c r="N115" s="509">
        <v>41.42285714285714</v>
      </c>
      <c r="O115" s="509">
        <v>33.21422619047619</v>
      </c>
      <c r="P115" s="509">
        <v>21.040833333333335</v>
      </c>
      <c r="Q115" s="509">
        <v>32.311428571428571</v>
      </c>
      <c r="R115" s="497">
        <f t="shared" si="7"/>
        <v>33.406254901960779</v>
      </c>
      <c r="S115" s="509">
        <v>43.865254901960789</v>
      </c>
      <c r="T115" s="509">
        <v>33.831921568627443</v>
      </c>
      <c r="U115" s="509">
        <v>22.363960784313718</v>
      </c>
      <c r="V115" s="509">
        <v>33.563882352941171</v>
      </c>
      <c r="W115" s="486">
        <v>1900</v>
      </c>
      <c r="X115" s="489">
        <v>2100</v>
      </c>
      <c r="Y115" s="156">
        <f>[3]constantes!$B$12</f>
        <v>0</v>
      </c>
      <c r="Z115" s="498">
        <v>318</v>
      </c>
      <c r="AA115" s="156"/>
      <c r="AB115" s="156"/>
    </row>
    <row r="116" spans="1:28">
      <c r="A116" s="489">
        <v>1035</v>
      </c>
      <c r="B116" s="486">
        <v>48</v>
      </c>
      <c r="C116" s="156" t="s">
        <v>2105</v>
      </c>
      <c r="D116" s="156"/>
      <c r="E116" s="156"/>
      <c r="F116" s="156"/>
      <c r="G116" s="156"/>
      <c r="H116" s="486" t="s">
        <v>146</v>
      </c>
      <c r="I116" s="486">
        <v>1</v>
      </c>
      <c r="J116" s="493">
        <v>80</v>
      </c>
      <c r="K116" s="495">
        <v>1.6720000505447388E-2</v>
      </c>
      <c r="L116" s="495">
        <v>5.4029998779296873E-2</v>
      </c>
      <c r="M116" s="496">
        <f t="shared" si="6"/>
        <v>36.973288690476195</v>
      </c>
      <c r="N116" s="509">
        <v>34.435714285714283</v>
      </c>
      <c r="O116" s="509">
        <v>34.468869047619044</v>
      </c>
      <c r="P116" s="509">
        <v>42.708333333333336</v>
      </c>
      <c r="Q116" s="509">
        <v>36.280238095238097</v>
      </c>
      <c r="R116" s="497">
        <f t="shared" si="7"/>
        <v>46.639960784313715</v>
      </c>
      <c r="S116" s="509">
        <v>49.941254901960768</v>
      </c>
      <c r="T116" s="509">
        <v>43.284313725490186</v>
      </c>
      <c r="U116" s="509">
        <v>48.007215686274513</v>
      </c>
      <c r="V116" s="509">
        <v>45.327058823529406</v>
      </c>
      <c r="W116" s="486">
        <v>1900</v>
      </c>
      <c r="X116" s="489">
        <v>2100</v>
      </c>
      <c r="Y116" s="156">
        <f>[3]constantes!$B$12</f>
        <v>0</v>
      </c>
      <c r="Z116" s="498">
        <v>318</v>
      </c>
      <c r="AA116" s="156"/>
      <c r="AB116" s="156"/>
    </row>
    <row r="117" spans="1:28">
      <c r="A117" s="489">
        <v>1079</v>
      </c>
      <c r="B117" s="486">
        <v>281</v>
      </c>
      <c r="C117" s="156" t="s">
        <v>2106</v>
      </c>
      <c r="D117" s="156"/>
      <c r="E117" s="156"/>
      <c r="F117" s="156"/>
      <c r="G117" s="156"/>
      <c r="H117" s="486" t="s">
        <v>158</v>
      </c>
      <c r="I117" s="486">
        <v>1</v>
      </c>
      <c r="J117" s="493">
        <v>176.10000000000002</v>
      </c>
      <c r="K117" s="495">
        <v>1.6720000505447388E-2</v>
      </c>
      <c r="L117" s="495">
        <v>5.4029998779296873E-2</v>
      </c>
      <c r="M117" s="496">
        <f t="shared" si="6"/>
        <v>136.90020833333335</v>
      </c>
      <c r="N117" s="509">
        <v>156.28761904761905</v>
      </c>
      <c r="O117" s="509">
        <v>154.11898809523811</v>
      </c>
      <c r="P117" s="509">
        <v>117.15500000000002</v>
      </c>
      <c r="Q117" s="509">
        <v>120.03922619047619</v>
      </c>
      <c r="R117" s="497">
        <f t="shared" si="7"/>
        <v>136.93208823529397</v>
      </c>
      <c r="S117" s="509">
        <v>154.04364705882327</v>
      </c>
      <c r="T117" s="509">
        <v>142.28341176470576</v>
      </c>
      <c r="U117" s="509">
        <v>118.26968627450977</v>
      </c>
      <c r="V117" s="509">
        <v>133.13160784313717</v>
      </c>
      <c r="W117" s="486">
        <v>1900</v>
      </c>
      <c r="X117" s="489">
        <v>2100</v>
      </c>
      <c r="Y117" s="156">
        <f>[3]constantes!$B$12</f>
        <v>0</v>
      </c>
      <c r="Z117" s="498">
        <v>318</v>
      </c>
      <c r="AA117" s="156"/>
      <c r="AB117" s="156"/>
    </row>
    <row r="118" spans="1:28">
      <c r="A118" s="489">
        <v>1029</v>
      </c>
      <c r="B118" s="486">
        <v>40</v>
      </c>
      <c r="C118" s="156" t="s">
        <v>2107</v>
      </c>
      <c r="D118" s="156"/>
      <c r="E118" s="156"/>
      <c r="F118" s="156"/>
      <c r="G118" s="156"/>
      <c r="H118" s="486" t="s">
        <v>146</v>
      </c>
      <c r="I118" s="486">
        <v>1</v>
      </c>
      <c r="J118" s="493">
        <v>264</v>
      </c>
      <c r="K118" s="495">
        <v>2.5329999923706055E-2</v>
      </c>
      <c r="L118" s="495">
        <v>8.0909996032714843E-2</v>
      </c>
      <c r="M118" s="496">
        <f t="shared" si="6"/>
        <v>93.649419642857154</v>
      </c>
      <c r="N118" s="509">
        <v>139.50476190476192</v>
      </c>
      <c r="O118" s="509">
        <v>87.570654761904748</v>
      </c>
      <c r="P118" s="509">
        <v>72.731666666666669</v>
      </c>
      <c r="Q118" s="509">
        <v>74.790595238095236</v>
      </c>
      <c r="R118" s="497">
        <f t="shared" si="7"/>
        <v>123.56762745098044</v>
      </c>
      <c r="S118" s="509">
        <v>183.82847058823543</v>
      </c>
      <c r="T118" s="509">
        <v>109.58294117647058</v>
      </c>
      <c r="U118" s="509">
        <v>88.747882352941176</v>
      </c>
      <c r="V118" s="509">
        <v>112.11121568627452</v>
      </c>
      <c r="W118" s="486">
        <v>1900</v>
      </c>
      <c r="X118" s="489">
        <v>2100</v>
      </c>
      <c r="Y118" s="156">
        <f>[3]constantes!$B$12</f>
        <v>0</v>
      </c>
      <c r="Z118" s="498">
        <v>318</v>
      </c>
      <c r="AA118" s="156"/>
      <c r="AB118" s="156"/>
    </row>
    <row r="119" spans="1:28">
      <c r="A119" s="489">
        <v>1104</v>
      </c>
      <c r="B119" s="486">
        <v>95</v>
      </c>
      <c r="C119" s="156" t="s">
        <v>2108</v>
      </c>
      <c r="D119" s="156"/>
      <c r="E119" s="156"/>
      <c r="F119" s="156"/>
      <c r="G119" s="156"/>
      <c r="H119" s="486" t="s">
        <v>1989</v>
      </c>
      <c r="I119" s="486">
        <v>2</v>
      </c>
      <c r="J119" s="493">
        <v>120</v>
      </c>
      <c r="K119" s="495">
        <v>1.6720000505447388E-2</v>
      </c>
      <c r="L119" s="495">
        <v>5.4029998779296873E-2</v>
      </c>
      <c r="M119" s="496">
        <f t="shared" si="6"/>
        <v>57.050193452380945</v>
      </c>
      <c r="N119" s="509">
        <v>43.507142857142846</v>
      </c>
      <c r="O119" s="509">
        <v>54.253809523809515</v>
      </c>
      <c r="P119" s="509">
        <v>68.44</v>
      </c>
      <c r="Q119" s="509">
        <v>61.99982142857143</v>
      </c>
      <c r="R119" s="497">
        <f t="shared" si="7"/>
        <v>68.431294117647042</v>
      </c>
      <c r="S119" s="509">
        <v>57.141058823529391</v>
      </c>
      <c r="T119" s="509">
        <v>65.398666666666657</v>
      </c>
      <c r="U119" s="509">
        <v>77.370392156862707</v>
      </c>
      <c r="V119" s="509">
        <v>73.815058823529384</v>
      </c>
      <c r="W119" s="486">
        <v>1900</v>
      </c>
      <c r="X119" s="489">
        <v>2100</v>
      </c>
      <c r="Y119" s="156">
        <f>[3]constantes!$B$12</f>
        <v>0</v>
      </c>
      <c r="Z119" s="498">
        <v>318</v>
      </c>
      <c r="AA119" s="156"/>
      <c r="AB119" s="156"/>
    </row>
    <row r="120" spans="1:28">
      <c r="A120" s="489">
        <v>1063</v>
      </c>
      <c r="B120" s="486">
        <v>162</v>
      </c>
      <c r="C120" s="156" t="s">
        <v>2109</v>
      </c>
      <c r="D120" s="156"/>
      <c r="E120" s="156"/>
      <c r="F120" s="156"/>
      <c r="G120" s="156"/>
      <c r="H120" s="486" t="s">
        <v>2003</v>
      </c>
      <c r="I120" s="486">
        <v>1</v>
      </c>
      <c r="J120" s="493">
        <v>105</v>
      </c>
      <c r="K120" s="495">
        <v>1.6720000505447388E-2</v>
      </c>
      <c r="L120" s="495">
        <v>5.4029998779296873E-2</v>
      </c>
      <c r="M120" s="496">
        <f t="shared" si="6"/>
        <v>67.38049107142858</v>
      </c>
      <c r="N120" s="509">
        <v>82.664761904761903</v>
      </c>
      <c r="O120" s="509">
        <v>48.733095238095245</v>
      </c>
      <c r="P120" s="509">
        <v>57.930416666666666</v>
      </c>
      <c r="Q120" s="509">
        <v>80.193690476190469</v>
      </c>
      <c r="R120" s="497">
        <f t="shared" si="7"/>
        <v>64.506401960784302</v>
      </c>
      <c r="S120" s="509">
        <v>81.851529411764673</v>
      </c>
      <c r="T120" s="509">
        <v>59.72847058823529</v>
      </c>
      <c r="U120" s="509">
        <v>46.452941176470581</v>
      </c>
      <c r="V120" s="509">
        <v>69.992666666666651</v>
      </c>
      <c r="W120" s="486">
        <v>1900</v>
      </c>
      <c r="X120" s="489">
        <v>2100</v>
      </c>
      <c r="Y120" s="156">
        <f>[3]constantes!$B$12</f>
        <v>0</v>
      </c>
      <c r="Z120" s="498">
        <v>318</v>
      </c>
      <c r="AA120" s="156"/>
      <c r="AB120" s="156"/>
    </row>
    <row r="121" spans="1:28">
      <c r="A121" s="489">
        <v>1119</v>
      </c>
      <c r="B121" s="486">
        <v>155</v>
      </c>
      <c r="C121" s="156" t="s">
        <v>2110</v>
      </c>
      <c r="D121" s="156"/>
      <c r="E121" s="156"/>
      <c r="F121" s="156"/>
      <c r="G121" s="156"/>
      <c r="H121" s="486" t="s">
        <v>150</v>
      </c>
      <c r="I121" s="486">
        <v>3</v>
      </c>
      <c r="J121" s="493">
        <v>83.656999999999996</v>
      </c>
      <c r="K121" s="495">
        <v>1.6720000505447388E-2</v>
      </c>
      <c r="L121" s="495">
        <v>5.4029998779296873E-2</v>
      </c>
      <c r="M121" s="496">
        <f t="shared" si="6"/>
        <v>36.300416666666663</v>
      </c>
      <c r="N121" s="509">
        <v>55.073333333333331</v>
      </c>
      <c r="O121" s="509">
        <v>30.486309523809524</v>
      </c>
      <c r="P121" s="509">
        <v>21.751666666666665</v>
      </c>
      <c r="Q121" s="509">
        <v>37.890357142857148</v>
      </c>
      <c r="R121" s="497">
        <f t="shared" si="7"/>
        <v>38.666176470588233</v>
      </c>
      <c r="S121" s="509">
        <v>60.044980392156852</v>
      </c>
      <c r="T121" s="509">
        <v>31.155215686274513</v>
      </c>
      <c r="U121" s="509">
        <v>21.843803921568622</v>
      </c>
      <c r="V121" s="509">
        <v>41.620705882352951</v>
      </c>
      <c r="W121" s="486">
        <v>1900</v>
      </c>
      <c r="X121" s="489">
        <v>2100</v>
      </c>
      <c r="Y121" s="156">
        <f>[3]constantes!$B$12</f>
        <v>0</v>
      </c>
      <c r="Z121" s="498">
        <v>318</v>
      </c>
      <c r="AA121" s="156"/>
      <c r="AB121" s="156"/>
    </row>
    <row r="122" spans="1:28">
      <c r="A122" s="489">
        <v>1131</v>
      </c>
      <c r="B122" s="486">
        <v>276</v>
      </c>
      <c r="C122" s="156" t="s">
        <v>2111</v>
      </c>
      <c r="D122" s="156"/>
      <c r="E122" s="156"/>
      <c r="F122" s="156"/>
      <c r="G122" s="156"/>
      <c r="H122" s="486" t="s">
        <v>2066</v>
      </c>
      <c r="I122" s="486">
        <v>7</v>
      </c>
      <c r="J122" s="493">
        <v>73.5</v>
      </c>
      <c r="K122" s="495">
        <v>2.3329999446868897E-2</v>
      </c>
      <c r="L122" s="495">
        <v>6.8610000610351565E-2</v>
      </c>
      <c r="M122" s="496">
        <f t="shared" si="6"/>
        <v>40.286815476190476</v>
      </c>
      <c r="N122" s="509">
        <v>55.217619047619053</v>
      </c>
      <c r="O122" s="509">
        <v>39.941011904761908</v>
      </c>
      <c r="P122" s="509">
        <v>31.874166666666667</v>
      </c>
      <c r="Q122" s="509">
        <v>34.114464285714284</v>
      </c>
      <c r="R122" s="497">
        <f t="shared" si="7"/>
        <v>39.841450980392153</v>
      </c>
      <c r="S122" s="509">
        <v>58.317843137254876</v>
      </c>
      <c r="T122" s="509">
        <v>40.752078431372539</v>
      </c>
      <c r="U122" s="509">
        <v>27.783568627450979</v>
      </c>
      <c r="V122" s="509">
        <v>32.512313725490202</v>
      </c>
      <c r="W122" s="486">
        <v>1900</v>
      </c>
      <c r="X122" s="489">
        <v>2100</v>
      </c>
      <c r="Y122" s="156">
        <f>[3]constantes!$B$12</f>
        <v>0</v>
      </c>
      <c r="Z122" s="498">
        <v>318</v>
      </c>
      <c r="AA122" s="156"/>
      <c r="AB122" s="156"/>
    </row>
    <row r="123" spans="1:28">
      <c r="A123" s="489">
        <v>1069</v>
      </c>
      <c r="B123" s="486">
        <v>217</v>
      </c>
      <c r="C123" s="156" t="s">
        <v>2112</v>
      </c>
      <c r="D123" s="156"/>
      <c r="E123" s="156"/>
      <c r="F123" s="156"/>
      <c r="G123" s="156"/>
      <c r="H123" s="486" t="s">
        <v>282</v>
      </c>
      <c r="I123" s="486">
        <v>1</v>
      </c>
      <c r="J123" s="493">
        <v>55</v>
      </c>
      <c r="K123" s="495">
        <v>2.3329999446868897E-2</v>
      </c>
      <c r="L123" s="495">
        <v>6.8610000610351565E-2</v>
      </c>
      <c r="M123" s="496">
        <f t="shared" si="6"/>
        <v>31.015699404761907</v>
      </c>
      <c r="N123" s="509">
        <v>39.479523809523812</v>
      </c>
      <c r="O123" s="509">
        <v>33.368630952380947</v>
      </c>
      <c r="P123" s="509">
        <v>17.572500000000002</v>
      </c>
      <c r="Q123" s="509">
        <v>33.642142857142858</v>
      </c>
      <c r="R123" s="497">
        <f t="shared" si="7"/>
        <v>37.058166666666693</v>
      </c>
      <c r="S123" s="509">
        <v>47.126823529411816</v>
      </c>
      <c r="T123" s="509">
        <v>37.755803921568649</v>
      </c>
      <c r="U123" s="509">
        <v>22.478274509803914</v>
      </c>
      <c r="V123" s="509">
        <v>40.871764705882399</v>
      </c>
      <c r="W123" s="486">
        <v>1900</v>
      </c>
      <c r="X123" s="489">
        <v>2100</v>
      </c>
      <c r="Y123" s="156">
        <f>[3]constantes!$B$12</f>
        <v>0</v>
      </c>
      <c r="Z123" s="498">
        <v>318</v>
      </c>
      <c r="AA123" s="156"/>
      <c r="AB123" s="156"/>
    </row>
    <row r="124" spans="1:28">
      <c r="A124" s="489">
        <v>1042</v>
      </c>
      <c r="B124" s="486">
        <v>63</v>
      </c>
      <c r="C124" s="156" t="s">
        <v>2113</v>
      </c>
      <c r="D124" s="156"/>
      <c r="E124" s="156"/>
      <c r="F124" s="156"/>
      <c r="G124" s="156"/>
      <c r="H124" s="486" t="s">
        <v>151</v>
      </c>
      <c r="I124" s="486">
        <v>1</v>
      </c>
      <c r="J124" s="493">
        <v>354</v>
      </c>
      <c r="K124" s="495">
        <v>2.5329999923706055E-2</v>
      </c>
      <c r="L124" s="495">
        <v>8.0909996032714843E-2</v>
      </c>
      <c r="M124" s="496">
        <f t="shared" si="6"/>
        <v>169.86913690476189</v>
      </c>
      <c r="N124" s="509">
        <v>139.77238095238093</v>
      </c>
      <c r="O124" s="509">
        <v>150.845</v>
      </c>
      <c r="P124" s="509">
        <v>208.38041666666666</v>
      </c>
      <c r="Q124" s="509">
        <v>180.47874999999999</v>
      </c>
      <c r="R124" s="497">
        <f t="shared" si="7"/>
        <v>214.71292156862748</v>
      </c>
      <c r="S124" s="509">
        <v>234.84972549019611</v>
      </c>
      <c r="T124" s="509">
        <v>192.95290196078437</v>
      </c>
      <c r="U124" s="509">
        <v>219.17643137254905</v>
      </c>
      <c r="V124" s="509">
        <v>211.87262745098042</v>
      </c>
      <c r="W124" s="486">
        <v>1900</v>
      </c>
      <c r="X124" s="489">
        <v>2100</v>
      </c>
      <c r="Y124" s="156">
        <f>[3]constantes!$B$12</f>
        <v>0</v>
      </c>
      <c r="Z124" s="498">
        <v>318</v>
      </c>
      <c r="AA124" s="156"/>
      <c r="AB124" s="156"/>
    </row>
    <row r="125" spans="1:28">
      <c r="A125" s="488">
        <v>1200</v>
      </c>
      <c r="B125" s="487">
        <v>566</v>
      </c>
      <c r="C125" s="156" t="s">
        <v>2114</v>
      </c>
      <c r="D125" s="156"/>
      <c r="E125" s="156"/>
      <c r="F125" s="156"/>
      <c r="G125" s="156"/>
      <c r="H125" s="486" t="s">
        <v>151</v>
      </c>
      <c r="I125" s="486">
        <v>2</v>
      </c>
      <c r="J125" s="493">
        <v>62</v>
      </c>
      <c r="K125" s="495">
        <v>1.6719999999999999E-2</v>
      </c>
      <c r="L125" s="495">
        <v>5.4030000000000002E-2</v>
      </c>
      <c r="M125" s="496">
        <f t="shared" si="6"/>
        <v>33.598601190476188</v>
      </c>
      <c r="N125" s="509">
        <v>35.857619047619046</v>
      </c>
      <c r="O125" s="509">
        <v>31.260535714285712</v>
      </c>
      <c r="P125" s="509">
        <v>30.127916666666668</v>
      </c>
      <c r="Q125" s="509">
        <v>37.148333333333333</v>
      </c>
      <c r="R125" s="497">
        <f t="shared" si="7"/>
        <v>40.005813725490185</v>
      </c>
      <c r="S125" s="509">
        <v>42.88003921568626</v>
      </c>
      <c r="T125" s="509">
        <v>35.520196078431361</v>
      </c>
      <c r="U125" s="509">
        <v>38.738549019607831</v>
      </c>
      <c r="V125" s="509">
        <v>42.884470588235281</v>
      </c>
      <c r="W125" s="486">
        <v>2019</v>
      </c>
      <c r="X125" s="489">
        <v>2100</v>
      </c>
      <c r="Y125" s="156">
        <f>[3]constantes!$B$12</f>
        <v>0</v>
      </c>
      <c r="Z125" s="498">
        <v>318</v>
      </c>
      <c r="AA125" s="156"/>
      <c r="AB125" s="156"/>
    </row>
    <row r="126" spans="1:28">
      <c r="A126" s="489">
        <v>1116</v>
      </c>
      <c r="B126" s="486">
        <v>122</v>
      </c>
      <c r="C126" s="156" t="s">
        <v>2115</v>
      </c>
      <c r="D126" s="156"/>
      <c r="E126" s="156"/>
      <c r="F126" s="156"/>
      <c r="G126" s="156"/>
      <c r="H126" s="486" t="s">
        <v>151</v>
      </c>
      <c r="I126" s="486">
        <v>2</v>
      </c>
      <c r="J126" s="493">
        <v>56.05</v>
      </c>
      <c r="K126" s="495">
        <v>2.3330000000000004E-2</v>
      </c>
      <c r="L126" s="495">
        <v>6.8610000000000004E-2</v>
      </c>
      <c r="M126" s="496">
        <f t="shared" si="6"/>
        <v>28.800267857142856</v>
      </c>
      <c r="N126" s="509">
        <v>29.522380952380953</v>
      </c>
      <c r="O126" s="509">
        <v>24.528749999999999</v>
      </c>
      <c r="P126" s="509">
        <v>33.067083333333336</v>
      </c>
      <c r="Q126" s="509">
        <v>28.08285714285714</v>
      </c>
      <c r="R126" s="497">
        <f t="shared" si="7"/>
        <v>29.239666666666665</v>
      </c>
      <c r="S126" s="509">
        <v>33.684431372549021</v>
      </c>
      <c r="T126" s="509">
        <v>25.12070588235294</v>
      </c>
      <c r="U126" s="509">
        <v>31.683764705882339</v>
      </c>
      <c r="V126" s="509">
        <v>26.469764705882355</v>
      </c>
      <c r="W126" s="486">
        <v>1900</v>
      </c>
      <c r="X126" s="489">
        <v>2100</v>
      </c>
      <c r="Y126" s="156">
        <f>[3]constantes!$B$12</f>
        <v>0</v>
      </c>
      <c r="Z126" s="498">
        <v>318</v>
      </c>
      <c r="AA126" s="156"/>
      <c r="AB126" s="156"/>
    </row>
    <row r="127" spans="1:28">
      <c r="A127" s="489">
        <v>1065</v>
      </c>
      <c r="B127" s="486">
        <v>193</v>
      </c>
      <c r="C127" s="156" t="s">
        <v>2116</v>
      </c>
      <c r="D127" s="156"/>
      <c r="E127" s="156"/>
      <c r="F127" s="156"/>
      <c r="G127" s="156"/>
      <c r="H127" s="486" t="s">
        <v>150</v>
      </c>
      <c r="I127" s="486">
        <v>1</v>
      </c>
      <c r="J127" s="493">
        <v>78</v>
      </c>
      <c r="K127" s="495">
        <v>2.0789999961853028E-2</v>
      </c>
      <c r="L127" s="495">
        <v>6.3000001907348627E-2</v>
      </c>
      <c r="M127" s="496">
        <f t="shared" si="6"/>
        <v>56.663645833333334</v>
      </c>
      <c r="N127" s="509">
        <v>64.454761904761909</v>
      </c>
      <c r="O127" s="509">
        <v>58.545654761904757</v>
      </c>
      <c r="P127" s="509">
        <v>45.717500000000001</v>
      </c>
      <c r="Q127" s="509">
        <v>57.936666666666667</v>
      </c>
      <c r="R127" s="497">
        <f t="shared" si="7"/>
        <v>53.75315686274508</v>
      </c>
      <c r="S127" s="509">
        <v>64.141137254901935</v>
      </c>
      <c r="T127" s="509">
        <v>53.872823529411768</v>
      </c>
      <c r="U127" s="509">
        <v>39.488705882352924</v>
      </c>
      <c r="V127" s="509">
        <v>57.509960784313705</v>
      </c>
      <c r="W127" s="486">
        <v>1900</v>
      </c>
      <c r="X127" s="489">
        <v>2100</v>
      </c>
      <c r="Y127" s="156">
        <f>[3]constantes!$B$12</f>
        <v>0</v>
      </c>
      <c r="Z127" s="498">
        <v>318</v>
      </c>
      <c r="AA127" s="156"/>
      <c r="AB127" s="156"/>
    </row>
    <row r="128" spans="1:28">
      <c r="A128" s="489">
        <v>1077</v>
      </c>
      <c r="B128" s="486">
        <v>262</v>
      </c>
      <c r="C128" s="156" t="s">
        <v>2117</v>
      </c>
      <c r="D128" s="156"/>
      <c r="E128" s="156"/>
      <c r="F128" s="156"/>
      <c r="G128" s="156"/>
      <c r="H128" s="486" t="s">
        <v>152</v>
      </c>
      <c r="I128" s="486">
        <v>1</v>
      </c>
      <c r="J128" s="493">
        <v>116</v>
      </c>
      <c r="K128" s="499">
        <v>1.6720000505447388E-2</v>
      </c>
      <c r="L128" s="499">
        <v>5.4029998779296873E-2</v>
      </c>
      <c r="M128" s="496">
        <f t="shared" si="6"/>
        <v>69.833169642857143</v>
      </c>
      <c r="N128" s="509">
        <v>81.08142857142856</v>
      </c>
      <c r="O128" s="509">
        <v>62.162500000000001</v>
      </c>
      <c r="P128" s="509">
        <v>64.057916666666671</v>
      </c>
      <c r="Q128" s="509">
        <v>72.030833333333348</v>
      </c>
      <c r="R128" s="497">
        <f t="shared" si="7"/>
        <v>77.214274509803928</v>
      </c>
      <c r="S128" s="509">
        <v>93.70278431372553</v>
      </c>
      <c r="T128" s="509">
        <v>74.432666666666677</v>
      </c>
      <c r="U128" s="509">
        <v>64.625803921568618</v>
      </c>
      <c r="V128" s="509">
        <v>76.095843137254917</v>
      </c>
      <c r="W128" s="486">
        <v>1900</v>
      </c>
      <c r="X128" s="489">
        <v>2100</v>
      </c>
      <c r="Y128" s="156">
        <f>[3]constantes!$B$12</f>
        <v>0</v>
      </c>
      <c r="Z128" s="498">
        <v>318</v>
      </c>
      <c r="AA128" s="156"/>
      <c r="AB128" s="156"/>
    </row>
    <row r="129" spans="1:28">
      <c r="A129" s="489">
        <v>1096</v>
      </c>
      <c r="B129" s="486">
        <v>82</v>
      </c>
      <c r="C129" s="156" t="s">
        <v>2118</v>
      </c>
      <c r="D129" s="156"/>
      <c r="E129" s="156"/>
      <c r="F129" s="156"/>
      <c r="G129" s="156"/>
      <c r="H129" s="486" t="s">
        <v>151</v>
      </c>
      <c r="I129" s="486">
        <v>2</v>
      </c>
      <c r="J129" s="493">
        <v>1240</v>
      </c>
      <c r="K129" s="495">
        <v>2.9170000553131105E-2</v>
      </c>
      <c r="L129" s="495">
        <v>0.12121999740600586</v>
      </c>
      <c r="M129" s="496">
        <f t="shared" si="6"/>
        <v>600.82404761904763</v>
      </c>
      <c r="N129" s="509">
        <v>436.57809523809527</v>
      </c>
      <c r="O129" s="509">
        <v>522.58607142857147</v>
      </c>
      <c r="P129" s="509">
        <v>701.55958333333331</v>
      </c>
      <c r="Q129" s="509">
        <v>742.57244047619054</v>
      </c>
      <c r="R129" s="497">
        <f t="shared" si="7"/>
        <v>684.19487254901969</v>
      </c>
      <c r="S129" s="509">
        <v>586.6638039215685</v>
      </c>
      <c r="T129" s="509">
        <v>618.02247058823548</v>
      </c>
      <c r="U129" s="509">
        <v>772.86019607843173</v>
      </c>
      <c r="V129" s="509">
        <v>759.23301960784329</v>
      </c>
      <c r="W129" s="486">
        <v>1900</v>
      </c>
      <c r="X129" s="489">
        <v>2100</v>
      </c>
      <c r="Y129" s="156">
        <f>[3]constantes!$B$12</f>
        <v>0</v>
      </c>
      <c r="Z129" s="498">
        <v>318</v>
      </c>
      <c r="AA129" s="156"/>
      <c r="AB129" s="156"/>
    </row>
    <row r="130" spans="1:28">
      <c r="A130" s="489">
        <v>1054</v>
      </c>
      <c r="B130" s="486">
        <v>134</v>
      </c>
      <c r="C130" s="156" t="s">
        <v>2119</v>
      </c>
      <c r="D130" s="156"/>
      <c r="E130" s="156"/>
      <c r="F130" s="156"/>
      <c r="G130" s="156"/>
      <c r="H130" s="486" t="s">
        <v>150</v>
      </c>
      <c r="I130" s="486">
        <v>1</v>
      </c>
      <c r="J130" s="493">
        <v>47</v>
      </c>
      <c r="K130" s="495">
        <v>2.3329999446868897E-2</v>
      </c>
      <c r="L130" s="495">
        <v>6.8610000610351565E-2</v>
      </c>
      <c r="M130" s="496">
        <f t="shared" ref="M130:M159" si="8">AVERAGE(N130:Q130)</f>
        <v>79.956755952380945</v>
      </c>
      <c r="N130" s="509">
        <v>95.765238095238089</v>
      </c>
      <c r="O130" s="509">
        <v>83.166785714285709</v>
      </c>
      <c r="P130" s="509">
        <v>63.122916666666676</v>
      </c>
      <c r="Q130" s="509">
        <v>77.772083333333342</v>
      </c>
      <c r="R130" s="497">
        <f t="shared" ref="R130:R159" si="9">AVERAGE(S130:V130)</f>
        <v>77.240431372548983</v>
      </c>
      <c r="S130" s="509">
        <v>94.289647058823462</v>
      </c>
      <c r="T130" s="509">
        <v>78.379058823529405</v>
      </c>
      <c r="U130" s="509">
        <v>53.735137254901964</v>
      </c>
      <c r="V130" s="509">
        <v>82.557882352941135</v>
      </c>
      <c r="W130" s="486">
        <v>1900</v>
      </c>
      <c r="X130" s="489">
        <v>2100</v>
      </c>
      <c r="Y130" s="156">
        <f>[3]constantes!$B$12</f>
        <v>0</v>
      </c>
      <c r="Z130" s="498">
        <v>318</v>
      </c>
      <c r="AA130" s="156"/>
      <c r="AB130" s="156"/>
    </row>
    <row r="131" spans="1:28">
      <c r="A131" s="489">
        <v>1095</v>
      </c>
      <c r="B131" s="486">
        <v>78</v>
      </c>
      <c r="C131" s="156" t="s">
        <v>2120</v>
      </c>
      <c r="D131" s="156"/>
      <c r="E131" s="156"/>
      <c r="F131" s="156"/>
      <c r="G131" s="156"/>
      <c r="H131" s="486" t="s">
        <v>151</v>
      </c>
      <c r="I131" s="486">
        <v>2</v>
      </c>
      <c r="J131" s="493">
        <v>1078</v>
      </c>
      <c r="K131" s="495">
        <v>2.5329999923706055E-2</v>
      </c>
      <c r="L131" s="495">
        <v>8.0909996032714843E-2</v>
      </c>
      <c r="M131" s="496">
        <f t="shared" si="8"/>
        <v>497.51257440476189</v>
      </c>
      <c r="N131" s="509">
        <v>349.56190476190477</v>
      </c>
      <c r="O131" s="509">
        <v>410.47874999999999</v>
      </c>
      <c r="P131" s="509">
        <v>606.18833333333339</v>
      </c>
      <c r="Q131" s="509">
        <v>623.82130952380953</v>
      </c>
      <c r="R131" s="497">
        <f t="shared" si="9"/>
        <v>576.02205882352939</v>
      </c>
      <c r="S131" s="509">
        <v>494.57756862745083</v>
      </c>
      <c r="T131" s="509">
        <v>507.12694117647067</v>
      </c>
      <c r="U131" s="509">
        <v>668.16329411764707</v>
      </c>
      <c r="V131" s="509">
        <v>634.22043137254889</v>
      </c>
      <c r="W131" s="486">
        <v>1900</v>
      </c>
      <c r="X131" s="489">
        <v>2100</v>
      </c>
      <c r="Y131" s="156">
        <f>[3]constantes!$B$12</f>
        <v>0</v>
      </c>
      <c r="Z131" s="498">
        <v>318</v>
      </c>
      <c r="AA131" s="156"/>
      <c r="AB131" s="156"/>
    </row>
    <row r="132" spans="1:28">
      <c r="A132" s="489">
        <v>1117</v>
      </c>
      <c r="B132" s="486">
        <v>215</v>
      </c>
      <c r="C132" s="156" t="s">
        <v>2121</v>
      </c>
      <c r="D132" s="156"/>
      <c r="E132" s="156"/>
      <c r="F132" s="156"/>
      <c r="G132" s="156"/>
      <c r="H132" s="486" t="s">
        <v>151</v>
      </c>
      <c r="I132" s="486">
        <v>2</v>
      </c>
      <c r="J132" s="493">
        <v>191.89</v>
      </c>
      <c r="K132" s="499">
        <v>2.5329999923706055E-2</v>
      </c>
      <c r="L132" s="499">
        <v>8.0909996032714843E-2</v>
      </c>
      <c r="M132" s="496">
        <f t="shared" si="8"/>
        <v>115.1034375</v>
      </c>
      <c r="N132" s="509">
        <v>130.37714285714284</v>
      </c>
      <c r="O132" s="509">
        <v>94.104940476190492</v>
      </c>
      <c r="P132" s="509">
        <v>117.24333333333334</v>
      </c>
      <c r="Q132" s="509">
        <v>118.68833333333335</v>
      </c>
      <c r="R132" s="497">
        <f t="shared" si="9"/>
        <v>130.61118627450969</v>
      </c>
      <c r="S132" s="509">
        <v>139.36799999999982</v>
      </c>
      <c r="T132" s="509">
        <v>109.85964705882346</v>
      </c>
      <c r="U132" s="509">
        <v>134.35603921568614</v>
      </c>
      <c r="V132" s="509">
        <v>138.86105882352931</v>
      </c>
      <c r="W132" s="486">
        <v>1900</v>
      </c>
      <c r="X132" s="489">
        <v>2100</v>
      </c>
      <c r="Y132" s="156">
        <f>[3]constantes!$B$12</f>
        <v>0</v>
      </c>
      <c r="Z132" s="498">
        <v>318</v>
      </c>
      <c r="AA132" s="156"/>
      <c r="AB132" s="156"/>
    </row>
    <row r="133" spans="1:28">
      <c r="A133" s="489">
        <v>1130</v>
      </c>
      <c r="B133" s="486">
        <v>279</v>
      </c>
      <c r="C133" s="156" t="s">
        <v>2122</v>
      </c>
      <c r="D133" s="156"/>
      <c r="E133" s="156"/>
      <c r="F133" s="156"/>
      <c r="G133" s="156"/>
      <c r="H133" s="486" t="s">
        <v>2066</v>
      </c>
      <c r="I133" s="486">
        <v>6</v>
      </c>
      <c r="J133" s="493">
        <v>216.75</v>
      </c>
      <c r="K133" s="495">
        <v>1.6720000505447388E-2</v>
      </c>
      <c r="L133" s="495">
        <v>5.4029998779296873E-2</v>
      </c>
      <c r="M133" s="496">
        <f t="shared" si="8"/>
        <v>91.986235119047606</v>
      </c>
      <c r="N133" s="509">
        <v>140.13238095238094</v>
      </c>
      <c r="O133" s="509">
        <v>130.1792857142857</v>
      </c>
      <c r="P133" s="509">
        <v>55.346249999999998</v>
      </c>
      <c r="Q133" s="509">
        <v>42.287023809523809</v>
      </c>
      <c r="R133" s="497">
        <f t="shared" si="9"/>
        <v>89.015607843137246</v>
      </c>
      <c r="S133" s="509">
        <v>159.15368627450979</v>
      </c>
      <c r="T133" s="509">
        <v>126.40474509803924</v>
      </c>
      <c r="U133" s="509">
        <v>35.943137254901956</v>
      </c>
      <c r="V133" s="509">
        <v>34.560862745098035</v>
      </c>
      <c r="W133" s="486">
        <v>1900</v>
      </c>
      <c r="X133" s="489">
        <v>2100</v>
      </c>
      <c r="Y133" s="156">
        <f>[3]constantes!$B$12</f>
        <v>0</v>
      </c>
      <c r="Z133" s="498">
        <v>318</v>
      </c>
      <c r="AA133" s="156"/>
      <c r="AB133" s="156"/>
    </row>
    <row r="134" spans="1:28">
      <c r="A134" s="489">
        <v>1061</v>
      </c>
      <c r="B134" s="486">
        <v>153</v>
      </c>
      <c r="C134" s="156" t="s">
        <v>2123</v>
      </c>
      <c r="D134" s="156" t="s">
        <v>2124</v>
      </c>
      <c r="E134" s="156" t="s">
        <v>2125</v>
      </c>
      <c r="F134" s="156">
        <v>-53.166665999999999</v>
      </c>
      <c r="G134" s="156">
        <v>-20.083333</v>
      </c>
      <c r="H134" s="486" t="s">
        <v>2090</v>
      </c>
      <c r="I134" s="489">
        <v>1</v>
      </c>
      <c r="J134" s="493">
        <v>48</v>
      </c>
      <c r="K134" s="500">
        <v>1.6719999999999999E-2</v>
      </c>
      <c r="L134" s="500">
        <v>5.4030000000000002E-2</v>
      </c>
      <c r="M134" s="496">
        <f t="shared" si="8"/>
        <v>33.806205357142858</v>
      </c>
      <c r="N134" s="509">
        <v>39.33095238095239</v>
      </c>
      <c r="O134" s="509">
        <v>34.15744047619048</v>
      </c>
      <c r="P134" s="509">
        <v>28.796666666666667</v>
      </c>
      <c r="Q134" s="509">
        <v>32.939761904761902</v>
      </c>
      <c r="R134" s="497">
        <f t="shared" si="9"/>
        <v>35.7916274509804</v>
      </c>
      <c r="S134" s="509">
        <v>42.075058823529439</v>
      </c>
      <c r="T134" s="509">
        <v>35.419607843137264</v>
      </c>
      <c r="U134" s="509">
        <v>30.57396078431373</v>
      </c>
      <c r="V134" s="509">
        <v>35.097882352941184</v>
      </c>
      <c r="W134" s="486">
        <v>1900</v>
      </c>
      <c r="X134" s="489">
        <v>2100</v>
      </c>
      <c r="Y134" s="156">
        <f>[3]constantes!$B$12</f>
        <v>0</v>
      </c>
      <c r="Z134" s="498">
        <v>318</v>
      </c>
      <c r="AA134" s="156"/>
      <c r="AB134" s="156" t="s">
        <v>2077</v>
      </c>
    </row>
    <row r="135" spans="1:28">
      <c r="A135" s="489">
        <v>1108</v>
      </c>
      <c r="B135" s="486">
        <v>101</v>
      </c>
      <c r="C135" s="156" t="s">
        <v>2126</v>
      </c>
      <c r="D135" s="156"/>
      <c r="E135" s="156"/>
      <c r="F135" s="156"/>
      <c r="G135" s="156"/>
      <c r="H135" s="486" t="s">
        <v>151</v>
      </c>
      <c r="I135" s="486">
        <v>2</v>
      </c>
      <c r="J135" s="493">
        <v>51</v>
      </c>
      <c r="K135" s="499">
        <v>2.3329999446868897E-2</v>
      </c>
      <c r="L135" s="499">
        <v>6.8610000610351565E-2</v>
      </c>
      <c r="M135" s="496">
        <f t="shared" si="8"/>
        <v>29.273318452380956</v>
      </c>
      <c r="N135" s="509">
        <v>16.60047619047619</v>
      </c>
      <c r="O135" s="509">
        <v>30.430357142857144</v>
      </c>
      <c r="P135" s="509">
        <v>36.736666666666672</v>
      </c>
      <c r="Q135" s="509">
        <v>33.32577380952381</v>
      </c>
      <c r="R135" s="497">
        <f t="shared" si="9"/>
        <v>33.105823529411779</v>
      </c>
      <c r="S135" s="509">
        <v>25.001843137254905</v>
      </c>
      <c r="T135" s="509">
        <v>31.803215686274523</v>
      </c>
      <c r="U135" s="509">
        <v>39.305176470588265</v>
      </c>
      <c r="V135" s="509">
        <v>36.313058823529424</v>
      </c>
      <c r="W135" s="486">
        <v>1900</v>
      </c>
      <c r="X135" s="489">
        <v>2100</v>
      </c>
      <c r="Y135" s="156">
        <f>[3]constantes!$B$12</f>
        <v>0</v>
      </c>
      <c r="Z135" s="498">
        <v>318</v>
      </c>
      <c r="AA135" s="156"/>
      <c r="AB135" s="156"/>
    </row>
    <row r="136" spans="1:28">
      <c r="A136" s="488">
        <v>1220</v>
      </c>
      <c r="B136" s="487">
        <v>230</v>
      </c>
      <c r="C136" s="156" t="s">
        <v>2127</v>
      </c>
      <c r="D136" s="156"/>
      <c r="E136" s="156"/>
      <c r="F136" s="156"/>
      <c r="G136" s="156"/>
      <c r="H136" s="486" t="s">
        <v>2128</v>
      </c>
      <c r="I136" s="486">
        <v>10</v>
      </c>
      <c r="J136" s="493">
        <v>700</v>
      </c>
      <c r="K136" s="495">
        <v>2.9170000000000001E-2</v>
      </c>
      <c r="L136" s="495">
        <v>0.12121999999999999</v>
      </c>
      <c r="M136" s="496">
        <f t="shared" si="8"/>
        <v>437.87577380952376</v>
      </c>
      <c r="N136" s="509">
        <v>634.01285714285711</v>
      </c>
      <c r="O136" s="509">
        <v>528.81196428571423</v>
      </c>
      <c r="P136" s="509">
        <v>215.90041666666664</v>
      </c>
      <c r="Q136" s="509">
        <v>372.7778571428571</v>
      </c>
      <c r="R136" s="497">
        <f t="shared" si="9"/>
        <v>423.00392156862745</v>
      </c>
      <c r="S136" s="509">
        <v>632.78674509803932</v>
      </c>
      <c r="T136" s="509">
        <v>506.47737254901955</v>
      </c>
      <c r="U136" s="509">
        <v>200.86443137254901</v>
      </c>
      <c r="V136" s="509">
        <v>351.88713725490192</v>
      </c>
      <c r="W136" s="486">
        <v>2018</v>
      </c>
      <c r="X136" s="489">
        <v>2100</v>
      </c>
      <c r="Y136" s="156">
        <f>[3]constantes!$B$12</f>
        <v>0</v>
      </c>
      <c r="Z136" s="498">
        <v>318</v>
      </c>
      <c r="AA136" s="156"/>
      <c r="AB136" s="156"/>
    </row>
    <row r="137" spans="1:28">
      <c r="A137" s="488">
        <v>1228</v>
      </c>
      <c r="B137" s="487">
        <v>1228</v>
      </c>
      <c r="C137" s="156" t="s">
        <v>2129</v>
      </c>
      <c r="D137" s="156"/>
      <c r="E137" s="156"/>
      <c r="F137" s="156"/>
      <c r="G137" s="156"/>
      <c r="H137" s="486" t="s">
        <v>1989</v>
      </c>
      <c r="I137" s="486">
        <v>2</v>
      </c>
      <c r="J137" s="493">
        <v>141.9</v>
      </c>
      <c r="K137" s="495">
        <v>2.5329999923706055E-2</v>
      </c>
      <c r="L137" s="495">
        <v>8.0909996032714843E-2</v>
      </c>
      <c r="M137" s="496">
        <f t="shared" si="8"/>
        <v>73.772782738095245</v>
      </c>
      <c r="N137" s="509">
        <v>63.034285714285716</v>
      </c>
      <c r="O137" s="509">
        <v>65.16690476190476</v>
      </c>
      <c r="P137" s="509">
        <v>86.527083333333337</v>
      </c>
      <c r="Q137" s="509">
        <v>80.362857142857152</v>
      </c>
      <c r="R137" s="497">
        <f t="shared" si="9"/>
        <v>83.446441176470529</v>
      </c>
      <c r="S137" s="509">
        <v>75.484627450980369</v>
      </c>
      <c r="T137" s="509">
        <v>73.645098039215654</v>
      </c>
      <c r="U137" s="509">
        <v>97.065647058823444</v>
      </c>
      <c r="V137" s="509">
        <v>87.590392156862677</v>
      </c>
      <c r="W137" s="486">
        <v>2022</v>
      </c>
      <c r="X137" s="489">
        <v>2100</v>
      </c>
      <c r="Y137" s="156">
        <f>[3]constantes!$B$12</f>
        <v>0</v>
      </c>
      <c r="Z137" s="498">
        <v>318</v>
      </c>
      <c r="AA137" s="156"/>
      <c r="AB137" s="156"/>
    </row>
    <row r="138" spans="1:28">
      <c r="A138" s="489">
        <v>1074</v>
      </c>
      <c r="B138" s="486">
        <v>253</v>
      </c>
      <c r="C138" s="156" t="s">
        <v>2130</v>
      </c>
      <c r="D138" s="156"/>
      <c r="E138" s="156"/>
      <c r="F138" s="156"/>
      <c r="G138" s="156"/>
      <c r="H138" s="486" t="s">
        <v>1981</v>
      </c>
      <c r="I138" s="486">
        <v>1</v>
      </c>
      <c r="J138" s="493">
        <v>243.2</v>
      </c>
      <c r="K138" s="495">
        <v>2.5329999923706055E-2</v>
      </c>
      <c r="L138" s="495">
        <v>8.0909996032714843E-2</v>
      </c>
      <c r="M138" s="496">
        <f t="shared" si="8"/>
        <v>135.74244047619047</v>
      </c>
      <c r="N138" s="509">
        <v>96.8642857142857</v>
      </c>
      <c r="O138" s="509">
        <v>81.620119047619042</v>
      </c>
      <c r="P138" s="509">
        <v>196.79583333333332</v>
      </c>
      <c r="Q138" s="509">
        <v>167.68952380952382</v>
      </c>
      <c r="R138" s="497">
        <f t="shared" si="9"/>
        <v>151.89223529411768</v>
      </c>
      <c r="S138" s="509">
        <v>153.37086274509804</v>
      </c>
      <c r="T138" s="509">
        <v>130.55490196078435</v>
      </c>
      <c r="U138" s="509">
        <v>171.23964705882358</v>
      </c>
      <c r="V138" s="509">
        <v>152.40352941176477</v>
      </c>
      <c r="W138" s="486">
        <v>1900</v>
      </c>
      <c r="X138" s="489">
        <v>2100</v>
      </c>
      <c r="Y138" s="156">
        <f>[3]constantes!$B$12</f>
        <v>0</v>
      </c>
      <c r="Z138" s="498">
        <v>318</v>
      </c>
      <c r="AA138" s="156"/>
      <c r="AB138" s="156"/>
    </row>
    <row r="139" spans="1:28">
      <c r="A139" s="489">
        <v>1025</v>
      </c>
      <c r="B139" s="486">
        <v>33</v>
      </c>
      <c r="C139" s="156" t="s">
        <v>2131</v>
      </c>
      <c r="D139" s="156"/>
      <c r="E139" s="156"/>
      <c r="F139" s="156"/>
      <c r="G139" s="156"/>
      <c r="H139" s="486" t="s">
        <v>150</v>
      </c>
      <c r="I139" s="486">
        <v>1</v>
      </c>
      <c r="J139" s="493">
        <v>1710</v>
      </c>
      <c r="K139" s="495">
        <v>2.9170000553131105E-2</v>
      </c>
      <c r="L139" s="495">
        <v>0.12121999740600586</v>
      </c>
      <c r="M139" s="496">
        <f t="shared" si="8"/>
        <v>1223.9450297619048</v>
      </c>
      <c r="N139" s="509">
        <v>1292.6547619047619</v>
      </c>
      <c r="O139" s="509">
        <v>1046.2482142857143</v>
      </c>
      <c r="P139" s="509">
        <v>1264.3887500000001</v>
      </c>
      <c r="Q139" s="509">
        <v>1292.4883928571428</v>
      </c>
      <c r="R139" s="497">
        <f t="shared" si="9"/>
        <v>1252.2801568627442</v>
      </c>
      <c r="S139" s="509">
        <v>1390.4525490196058</v>
      </c>
      <c r="T139" s="509">
        <v>1191.1792549019599</v>
      </c>
      <c r="U139" s="509">
        <v>1212.9350588235291</v>
      </c>
      <c r="V139" s="509">
        <v>1214.5537647058818</v>
      </c>
      <c r="W139" s="486">
        <v>1900</v>
      </c>
      <c r="X139" s="489">
        <v>2100</v>
      </c>
      <c r="Y139" s="156">
        <f>[3]constantes!$B$12</f>
        <v>0</v>
      </c>
      <c r="Z139" s="498">
        <v>318</v>
      </c>
      <c r="AA139" s="156"/>
      <c r="AB139" s="156"/>
    </row>
    <row r="140" spans="1:28">
      <c r="A140" s="489">
        <v>1093</v>
      </c>
      <c r="B140" s="486">
        <v>76</v>
      </c>
      <c r="C140" s="156" t="s">
        <v>2132</v>
      </c>
      <c r="D140" s="156"/>
      <c r="E140" s="156"/>
      <c r="F140" s="156"/>
      <c r="G140" s="156"/>
      <c r="H140" s="486" t="s">
        <v>151</v>
      </c>
      <c r="I140" s="486">
        <v>2</v>
      </c>
      <c r="J140" s="493">
        <v>1260</v>
      </c>
      <c r="K140" s="495">
        <v>2.9170000553131105E-2</v>
      </c>
      <c r="L140" s="495">
        <v>0.12121999740600586</v>
      </c>
      <c r="M140" s="496">
        <f t="shared" si="8"/>
        <v>578.95041666666668</v>
      </c>
      <c r="N140" s="509">
        <v>469.94714285714281</v>
      </c>
      <c r="O140" s="509">
        <v>483.43630952380954</v>
      </c>
      <c r="P140" s="509">
        <v>655.18166666666673</v>
      </c>
      <c r="Q140" s="509">
        <v>707.23654761904766</v>
      </c>
      <c r="R140" s="497">
        <f t="shared" si="9"/>
        <v>646.81287254901986</v>
      </c>
      <c r="S140" s="509">
        <v>593.34141176470609</v>
      </c>
      <c r="T140" s="509">
        <v>568.80188235294145</v>
      </c>
      <c r="U140" s="509">
        <v>715.41341176470632</v>
      </c>
      <c r="V140" s="509">
        <v>709.69478431372556</v>
      </c>
      <c r="W140" s="486">
        <v>1900</v>
      </c>
      <c r="X140" s="489">
        <v>2100</v>
      </c>
      <c r="Y140" s="156">
        <f>[3]constantes!$B$12</f>
        <v>0</v>
      </c>
      <c r="Z140" s="498">
        <v>318</v>
      </c>
      <c r="AA140" s="156"/>
      <c r="AB140" s="156"/>
    </row>
    <row r="141" spans="1:28">
      <c r="A141" s="489">
        <v>1088</v>
      </c>
      <c r="B141" s="486">
        <v>21</v>
      </c>
      <c r="C141" s="156" t="s">
        <v>2133</v>
      </c>
      <c r="D141" s="156"/>
      <c r="E141" s="156"/>
      <c r="F141" s="156"/>
      <c r="G141" s="156"/>
      <c r="H141" s="486" t="s">
        <v>1989</v>
      </c>
      <c r="I141" s="486">
        <v>2</v>
      </c>
      <c r="J141" s="493">
        <v>212.58</v>
      </c>
      <c r="K141" s="499">
        <v>2.5329999923706055E-2</v>
      </c>
      <c r="L141" s="499">
        <v>8.0909996032714843E-2</v>
      </c>
      <c r="M141" s="496">
        <f t="shared" si="8"/>
        <v>102.14175595238095</v>
      </c>
      <c r="N141" s="509">
        <v>107.62238095238096</v>
      </c>
      <c r="O141" s="509">
        <v>80.508809523809518</v>
      </c>
      <c r="P141" s="509">
        <v>114.50125000000001</v>
      </c>
      <c r="Q141" s="509">
        <v>105.93458333333332</v>
      </c>
      <c r="R141" s="497">
        <f t="shared" si="9"/>
        <v>98.924539215686266</v>
      </c>
      <c r="S141" s="509">
        <v>104.98062745098041</v>
      </c>
      <c r="T141" s="509">
        <v>88.756666666666661</v>
      </c>
      <c r="U141" s="509">
        <v>112.07768627450976</v>
      </c>
      <c r="V141" s="509">
        <v>89.883176470588225</v>
      </c>
      <c r="W141" s="486">
        <v>1900</v>
      </c>
      <c r="X141" s="489">
        <v>2100</v>
      </c>
      <c r="Y141" s="156">
        <f>[3]constantes!$B$12</f>
        <v>0</v>
      </c>
      <c r="Z141" s="498">
        <v>318</v>
      </c>
      <c r="AA141" s="156"/>
      <c r="AB141" s="156"/>
    </row>
    <row r="142" spans="1:28">
      <c r="A142" s="489">
        <v>1072</v>
      </c>
      <c r="B142" s="486">
        <v>251</v>
      </c>
      <c r="C142" s="156" t="s">
        <v>2134</v>
      </c>
      <c r="D142" s="156"/>
      <c r="E142" s="156"/>
      <c r="F142" s="156"/>
      <c r="G142" s="156"/>
      <c r="H142" s="486" t="s">
        <v>2003</v>
      </c>
      <c r="I142" s="486">
        <v>1</v>
      </c>
      <c r="J142" s="493">
        <v>1275</v>
      </c>
      <c r="K142" s="495">
        <v>2.9170000553131105E-2</v>
      </c>
      <c r="L142" s="495">
        <v>0.12121999740600586</v>
      </c>
      <c r="M142" s="496">
        <f t="shared" si="8"/>
        <v>587.97529761904752</v>
      </c>
      <c r="N142" s="509">
        <v>315.14428571428567</v>
      </c>
      <c r="O142" s="509">
        <v>322.61101190476188</v>
      </c>
      <c r="P142" s="509">
        <v>955.48624999999993</v>
      </c>
      <c r="Q142" s="509">
        <v>758.6596428571429</v>
      </c>
      <c r="R142" s="497">
        <f t="shared" si="9"/>
        <v>677.06173529411774</v>
      </c>
      <c r="S142" s="509">
        <v>663.26015686274525</v>
      </c>
      <c r="T142" s="509">
        <v>581.25439215686276</v>
      </c>
      <c r="U142" s="509">
        <v>823.96862745098042</v>
      </c>
      <c r="V142" s="509">
        <v>639.76376470588241</v>
      </c>
      <c r="W142" s="486">
        <v>1900</v>
      </c>
      <c r="X142" s="489">
        <v>2100</v>
      </c>
      <c r="Y142" s="156">
        <f>[3]constantes!$B$12</f>
        <v>0</v>
      </c>
      <c r="Z142" s="498">
        <v>318</v>
      </c>
      <c r="AA142" s="156"/>
      <c r="AB142" s="156"/>
    </row>
    <row r="143" spans="1:28" s="396" customFormat="1">
      <c r="A143" s="489">
        <v>1049</v>
      </c>
      <c r="B143" s="486">
        <v>129</v>
      </c>
      <c r="C143" s="156" t="s">
        <v>2135</v>
      </c>
      <c r="D143" s="156" t="s">
        <v>2136</v>
      </c>
      <c r="E143" s="156" t="s">
        <v>2136</v>
      </c>
      <c r="F143" s="156">
        <v>-43</v>
      </c>
      <c r="G143" s="156">
        <v>-22.033332999999999</v>
      </c>
      <c r="H143" s="486" t="s">
        <v>150</v>
      </c>
      <c r="I143" s="489">
        <v>1</v>
      </c>
      <c r="J143" s="493">
        <v>305.70000000000005</v>
      </c>
      <c r="K143" s="500">
        <v>2.9170000000000001E-2</v>
      </c>
      <c r="L143" s="500">
        <v>0.12121999999999999</v>
      </c>
      <c r="M143" s="496">
        <f t="shared" si="8"/>
        <v>153.81910714285715</v>
      </c>
      <c r="N143" s="509">
        <v>230.99523809523808</v>
      </c>
      <c r="O143" s="509">
        <v>172.66767857142858</v>
      </c>
      <c r="P143" s="509">
        <v>65.48</v>
      </c>
      <c r="Q143" s="509">
        <v>146.13351190476189</v>
      </c>
      <c r="R143" s="497">
        <f t="shared" si="9"/>
        <v>173.87202941176474</v>
      </c>
      <c r="S143" s="509">
        <v>251.92270588235303</v>
      </c>
      <c r="T143" s="509">
        <v>185.29352941176475</v>
      </c>
      <c r="U143" s="509">
        <v>82.365137254901938</v>
      </c>
      <c r="V143" s="509">
        <v>175.90674509803921</v>
      </c>
      <c r="W143" s="486">
        <v>1900</v>
      </c>
      <c r="X143" s="489">
        <v>2100</v>
      </c>
      <c r="Y143" s="156">
        <f>[3]constantes!$B$12</f>
        <v>0</v>
      </c>
      <c r="Z143" s="498">
        <v>318</v>
      </c>
      <c r="AA143" s="156"/>
      <c r="AB143" s="156" t="s">
        <v>2077</v>
      </c>
    </row>
    <row r="144" spans="1:28">
      <c r="A144" s="488">
        <v>1227</v>
      </c>
      <c r="B144" s="487">
        <v>227</v>
      </c>
      <c r="C144" s="156" t="s">
        <v>2137</v>
      </c>
      <c r="D144" s="156"/>
      <c r="E144" s="156"/>
      <c r="F144" s="156"/>
      <c r="G144" s="156"/>
      <c r="H144" s="486" t="s">
        <v>158</v>
      </c>
      <c r="I144" s="486">
        <v>10</v>
      </c>
      <c r="J144" s="493">
        <v>401.88</v>
      </c>
      <c r="K144" s="495">
        <v>2.9170000000000001E-2</v>
      </c>
      <c r="L144" s="495">
        <v>0.12121999999999999</v>
      </c>
      <c r="M144" s="496">
        <f t="shared" si="8"/>
        <v>215.92546130952383</v>
      </c>
      <c r="N144" s="509">
        <v>327.74714285714282</v>
      </c>
      <c r="O144" s="509">
        <v>265.65333333333336</v>
      </c>
      <c r="P144" s="509">
        <v>113.60791666666667</v>
      </c>
      <c r="Q144" s="509">
        <v>156.69345238095238</v>
      </c>
      <c r="R144" s="497">
        <f t="shared" si="9"/>
        <v>213.90719607843147</v>
      </c>
      <c r="S144" s="509">
        <v>339.10247058823558</v>
      </c>
      <c r="T144" s="509">
        <v>249.54552941176482</v>
      </c>
      <c r="U144" s="509">
        <v>107.94623529411764</v>
      </c>
      <c r="V144" s="509">
        <v>159.03454901960785</v>
      </c>
      <c r="W144" s="486">
        <v>2018</v>
      </c>
      <c r="X144" s="489">
        <v>2100</v>
      </c>
      <c r="Y144" s="156">
        <f>[3]constantes!$B$12</f>
        <v>0</v>
      </c>
      <c r="Z144" s="498">
        <v>318</v>
      </c>
      <c r="AA144" s="156"/>
      <c r="AB144" s="156"/>
    </row>
    <row r="145" spans="1:28">
      <c r="A145" s="489">
        <v>1147</v>
      </c>
      <c r="B145" s="486">
        <v>225</v>
      </c>
      <c r="C145" s="156" t="s">
        <v>2138</v>
      </c>
      <c r="D145" s="156" t="s">
        <v>2139</v>
      </c>
      <c r="E145" s="156"/>
      <c r="F145" s="156"/>
      <c r="G145" s="156"/>
      <c r="H145" s="489" t="s">
        <v>158</v>
      </c>
      <c r="I145" s="488">
        <v>10</v>
      </c>
      <c r="J145" s="493">
        <v>45</v>
      </c>
      <c r="K145" s="495">
        <v>1.6719999999999999E-2</v>
      </c>
      <c r="L145" s="495">
        <v>5.4030000000000002E-2</v>
      </c>
      <c r="M145" s="496">
        <f t="shared" si="8"/>
        <v>23.955491071428572</v>
      </c>
      <c r="N145" s="509">
        <v>42.02</v>
      </c>
      <c r="O145" s="509">
        <v>30.006428571428572</v>
      </c>
      <c r="P145" s="509">
        <v>5.2120833333333332</v>
      </c>
      <c r="Q145" s="509">
        <v>18.583452380952384</v>
      </c>
      <c r="R145" s="497">
        <f t="shared" si="9"/>
        <v>23.791176470588233</v>
      </c>
      <c r="S145" s="509">
        <v>41.517254901960769</v>
      </c>
      <c r="T145" s="509">
        <v>29.815137254901959</v>
      </c>
      <c r="U145" s="509">
        <v>5.2150588235294109</v>
      </c>
      <c r="V145" s="509">
        <v>18.617254901960784</v>
      </c>
      <c r="W145" s="486">
        <v>2019</v>
      </c>
      <c r="X145" s="489">
        <v>2100</v>
      </c>
      <c r="Y145" s="156">
        <f>[3]constantes!$B$12</f>
        <v>0</v>
      </c>
      <c r="Z145" s="498">
        <v>318</v>
      </c>
      <c r="AA145" s="156"/>
      <c r="AB145" s="156"/>
    </row>
    <row r="146" spans="1:28">
      <c r="A146" s="489">
        <v>1070</v>
      </c>
      <c r="B146" s="486">
        <v>241</v>
      </c>
      <c r="C146" s="156" t="s">
        <v>2140</v>
      </c>
      <c r="D146" s="156"/>
      <c r="E146" s="156"/>
      <c r="F146" s="156"/>
      <c r="G146" s="156"/>
      <c r="H146" s="486" t="s">
        <v>158</v>
      </c>
      <c r="I146" s="486">
        <v>1</v>
      </c>
      <c r="J146" s="493">
        <v>93</v>
      </c>
      <c r="K146" s="495">
        <v>1.6720000505447388E-2</v>
      </c>
      <c r="L146" s="495">
        <v>5.4029998779296873E-2</v>
      </c>
      <c r="M146" s="496">
        <f t="shared" si="8"/>
        <v>61.799880952380946</v>
      </c>
      <c r="N146" s="509">
        <v>72.075714285714284</v>
      </c>
      <c r="O146" s="509">
        <v>55.429583333333333</v>
      </c>
      <c r="P146" s="509">
        <v>55.795833333333327</v>
      </c>
      <c r="Q146" s="509">
        <v>63.898392857142859</v>
      </c>
      <c r="R146" s="497">
        <f t="shared" si="9"/>
        <v>67.244774509803932</v>
      </c>
      <c r="S146" s="509">
        <v>79.329098039215708</v>
      </c>
      <c r="T146" s="509">
        <v>65.452666666666687</v>
      </c>
      <c r="U146" s="509">
        <v>56.675490196078442</v>
      </c>
      <c r="V146" s="509">
        <v>67.521843137254891</v>
      </c>
      <c r="W146" s="486">
        <v>1900</v>
      </c>
      <c r="X146" s="489">
        <v>2100</v>
      </c>
      <c r="Y146" s="156">
        <f>[3]constantes!$B$12</f>
        <v>0</v>
      </c>
      <c r="Z146" s="498">
        <v>318</v>
      </c>
      <c r="AA146" s="156"/>
      <c r="AB146" s="156"/>
    </row>
    <row r="147" spans="1:28">
      <c r="A147" s="489">
        <v>1094</v>
      </c>
      <c r="B147" s="486">
        <v>77</v>
      </c>
      <c r="C147" s="156" t="s">
        <v>2141</v>
      </c>
      <c r="D147" s="156"/>
      <c r="E147" s="156"/>
      <c r="F147" s="156"/>
      <c r="G147" s="156"/>
      <c r="H147" s="486" t="s">
        <v>151</v>
      </c>
      <c r="I147" s="486">
        <v>2</v>
      </c>
      <c r="J147" s="493">
        <v>1420</v>
      </c>
      <c r="K147" s="495">
        <v>2.9170000553131105E-2</v>
      </c>
      <c r="L147" s="495">
        <v>0.12121999740600586</v>
      </c>
      <c r="M147" s="496">
        <f t="shared" si="8"/>
        <v>723.85633928571428</v>
      </c>
      <c r="N147" s="509">
        <v>511.56809523809534</v>
      </c>
      <c r="O147" s="509">
        <v>584.61625000000004</v>
      </c>
      <c r="P147" s="509">
        <v>911.95083333333332</v>
      </c>
      <c r="Q147" s="509">
        <v>887.29017857142856</v>
      </c>
      <c r="R147" s="497">
        <f t="shared" si="9"/>
        <v>831.05266666666682</v>
      </c>
      <c r="S147" s="509">
        <v>723.48105882352945</v>
      </c>
      <c r="T147" s="509">
        <v>733.59156862745112</v>
      </c>
      <c r="U147" s="509">
        <v>970.67176470588265</v>
      </c>
      <c r="V147" s="509">
        <v>896.46627450980407</v>
      </c>
      <c r="W147" s="486">
        <v>1900</v>
      </c>
      <c r="X147" s="489">
        <v>2100</v>
      </c>
      <c r="Y147" s="156">
        <f>[3]constantes!$B$12</f>
        <v>0</v>
      </c>
      <c r="Z147" s="498">
        <v>318</v>
      </c>
      <c r="AA147" s="156"/>
      <c r="AB147" s="156"/>
    </row>
    <row r="148" spans="1:28">
      <c r="A148" s="489">
        <v>1120</v>
      </c>
      <c r="B148" s="486">
        <v>169</v>
      </c>
      <c r="C148" s="156" t="s">
        <v>2142</v>
      </c>
      <c r="D148" s="156"/>
      <c r="E148" s="156"/>
      <c r="F148" s="156"/>
      <c r="G148" s="156"/>
      <c r="H148" s="486" t="s">
        <v>152</v>
      </c>
      <c r="I148" s="486">
        <v>3</v>
      </c>
      <c r="J148" s="493">
        <v>1050</v>
      </c>
      <c r="K148" s="495">
        <v>2.5329999923706055E-2</v>
      </c>
      <c r="L148" s="495">
        <v>8.0909996032714843E-2</v>
      </c>
      <c r="M148" s="496">
        <f t="shared" si="8"/>
        <v>454.2778571428571</v>
      </c>
      <c r="N148" s="509">
        <v>405.95761904761906</v>
      </c>
      <c r="O148" s="509">
        <v>449.01428571428568</v>
      </c>
      <c r="P148" s="509">
        <v>544.96875</v>
      </c>
      <c r="Q148" s="509">
        <v>417.17077380952378</v>
      </c>
      <c r="R148" s="497">
        <f t="shared" si="9"/>
        <v>461.3539607843137</v>
      </c>
      <c r="S148" s="509">
        <v>521.84799999999996</v>
      </c>
      <c r="T148" s="509">
        <v>454.73976470588224</v>
      </c>
      <c r="U148" s="509">
        <v>470.98627450980393</v>
      </c>
      <c r="V148" s="509">
        <v>397.84180392156867</v>
      </c>
      <c r="W148" s="486">
        <v>1900</v>
      </c>
      <c r="X148" s="489">
        <v>2100</v>
      </c>
      <c r="Y148" s="156">
        <f>[3]constantes!$B$12</f>
        <v>0</v>
      </c>
      <c r="Z148" s="498">
        <v>318</v>
      </c>
      <c r="AA148" s="156"/>
      <c r="AB148" s="156"/>
    </row>
    <row r="149" spans="1:28">
      <c r="A149" s="489">
        <v>1048</v>
      </c>
      <c r="B149" s="486">
        <v>127</v>
      </c>
      <c r="C149" s="156" t="s">
        <v>2143</v>
      </c>
      <c r="D149" s="156"/>
      <c r="E149" s="156"/>
      <c r="F149" s="156"/>
      <c r="G149" s="156"/>
      <c r="H149" s="486" t="s">
        <v>150</v>
      </c>
      <c r="I149" s="486">
        <v>1</v>
      </c>
      <c r="J149" s="493">
        <v>60</v>
      </c>
      <c r="K149" s="495">
        <v>2.3329999446868897E-2</v>
      </c>
      <c r="L149" s="495">
        <v>6.8610000610351565E-2</v>
      </c>
      <c r="M149" s="496">
        <f t="shared" si="8"/>
        <v>38.645729166666662</v>
      </c>
      <c r="N149" s="509">
        <v>49.436190476190468</v>
      </c>
      <c r="O149" s="509">
        <v>40.212857142857139</v>
      </c>
      <c r="P149" s="509">
        <v>25.876249999999999</v>
      </c>
      <c r="Q149" s="509">
        <v>39.057619047619049</v>
      </c>
      <c r="R149" s="497">
        <f t="shared" si="9"/>
        <v>40.540901960784325</v>
      </c>
      <c r="S149" s="509">
        <v>52.355333333333341</v>
      </c>
      <c r="T149" s="509">
        <v>40.552470588235302</v>
      </c>
      <c r="U149" s="509">
        <v>27.640901960784316</v>
      </c>
      <c r="V149" s="509">
        <v>41.614901960784323</v>
      </c>
      <c r="W149" s="486">
        <v>1900</v>
      </c>
      <c r="X149" s="489">
        <v>2100</v>
      </c>
      <c r="Y149" s="156">
        <f>[3]constantes!$B$12</f>
        <v>0</v>
      </c>
      <c r="Z149" s="498">
        <v>318</v>
      </c>
      <c r="AA149" s="156"/>
      <c r="AB149" s="156"/>
    </row>
    <row r="150" spans="1:28">
      <c r="A150" s="489">
        <v>1080</v>
      </c>
      <c r="B150" s="486">
        <v>283</v>
      </c>
      <c r="C150" s="156" t="s">
        <v>2144</v>
      </c>
      <c r="D150" s="156"/>
      <c r="E150" s="156"/>
      <c r="F150" s="156"/>
      <c r="G150" s="156"/>
      <c r="H150" s="486" t="s">
        <v>152</v>
      </c>
      <c r="I150" s="486">
        <v>1</v>
      </c>
      <c r="J150" s="493">
        <v>60</v>
      </c>
      <c r="K150" s="495">
        <v>2.3329999446868897E-2</v>
      </c>
      <c r="L150" s="495">
        <v>6.8610000610351565E-2</v>
      </c>
      <c r="M150" s="496">
        <f t="shared" si="8"/>
        <v>28.895788690476195</v>
      </c>
      <c r="N150" s="509">
        <v>37.308571428571433</v>
      </c>
      <c r="O150" s="509">
        <v>24.70017857142857</v>
      </c>
      <c r="P150" s="509">
        <v>18.80125</v>
      </c>
      <c r="Q150" s="509">
        <v>34.77315476190477</v>
      </c>
      <c r="R150" s="497">
        <f t="shared" si="9"/>
        <v>34.78514705882354</v>
      </c>
      <c r="S150" s="509">
        <v>43.088823529411798</v>
      </c>
      <c r="T150" s="509">
        <v>33.123921568627452</v>
      </c>
      <c r="U150" s="509">
        <v>22.94062745098039</v>
      </c>
      <c r="V150" s="509">
        <v>39.987215686274538</v>
      </c>
      <c r="W150" s="486">
        <v>1900</v>
      </c>
      <c r="X150" s="489">
        <v>2100</v>
      </c>
      <c r="Y150" s="156">
        <f>[3]constantes!$B$12</f>
        <v>0</v>
      </c>
      <c r="Z150" s="498">
        <v>318</v>
      </c>
      <c r="AA150" s="156"/>
      <c r="AB150" s="156"/>
    </row>
    <row r="151" spans="1:28">
      <c r="A151" s="489">
        <v>1090</v>
      </c>
      <c r="B151" s="486">
        <v>71</v>
      </c>
      <c r="C151" s="156" t="s">
        <v>2145</v>
      </c>
      <c r="D151" s="156"/>
      <c r="E151" s="156"/>
      <c r="F151" s="156"/>
      <c r="G151" s="156"/>
      <c r="H151" s="486" t="s">
        <v>151</v>
      </c>
      <c r="I151" s="486">
        <v>2</v>
      </c>
      <c r="J151" s="493">
        <v>120.16800000000001</v>
      </c>
      <c r="K151" s="495">
        <v>2.5329999923706055E-2</v>
      </c>
      <c r="L151" s="495">
        <v>8.0909996032714843E-2</v>
      </c>
      <c r="M151" s="496">
        <f t="shared" si="8"/>
        <v>64.148616071428563</v>
      </c>
      <c r="N151" s="509">
        <v>57.298571428571428</v>
      </c>
      <c r="O151" s="509">
        <v>63.827023809523808</v>
      </c>
      <c r="P151" s="509">
        <v>63.118333333333332</v>
      </c>
      <c r="Q151" s="509">
        <v>72.350535714285698</v>
      </c>
      <c r="R151" s="497">
        <f t="shared" si="9"/>
        <v>67.568784313725502</v>
      </c>
      <c r="S151" s="509">
        <v>62.414784313725484</v>
      </c>
      <c r="T151" s="509">
        <v>63.360000000000014</v>
      </c>
      <c r="U151" s="509">
        <v>70.225607843137254</v>
      </c>
      <c r="V151" s="509">
        <v>74.274745098039233</v>
      </c>
      <c r="W151" s="486">
        <v>1900</v>
      </c>
      <c r="X151" s="489">
        <v>2100</v>
      </c>
      <c r="Y151" s="156">
        <f>[3]constantes!$B$12</f>
        <v>0</v>
      </c>
      <c r="Z151" s="498">
        <v>318</v>
      </c>
      <c r="AA151" s="156"/>
      <c r="AB151" s="156"/>
    </row>
    <row r="152" spans="1:28">
      <c r="A152" s="489">
        <v>1138</v>
      </c>
      <c r="B152" s="486">
        <v>286</v>
      </c>
      <c r="C152" s="156" t="s">
        <v>2146</v>
      </c>
      <c r="D152" s="156" t="s">
        <v>2147</v>
      </c>
      <c r="E152" s="156"/>
      <c r="F152" s="156"/>
      <c r="G152" s="156"/>
      <c r="H152" s="489" t="s">
        <v>1999</v>
      </c>
      <c r="I152" s="488">
        <v>4</v>
      </c>
      <c r="J152" s="493">
        <v>389.54999999999995</v>
      </c>
      <c r="K152" s="495">
        <v>2.9170000000000001E-2</v>
      </c>
      <c r="L152" s="495">
        <v>0.12121999999999999</v>
      </c>
      <c r="M152" s="496">
        <f t="shared" si="8"/>
        <v>212.7160863095238</v>
      </c>
      <c r="N152" s="509">
        <v>226.06095238095236</v>
      </c>
      <c r="O152" s="509">
        <v>325.70541666666668</v>
      </c>
      <c r="P152" s="509">
        <v>214.12541666666664</v>
      </c>
      <c r="Q152" s="509">
        <v>84.972559523809522</v>
      </c>
      <c r="R152" s="497">
        <f t="shared" si="9"/>
        <v>203.50168627450986</v>
      </c>
      <c r="S152" s="509">
        <v>215.12576470588237</v>
      </c>
      <c r="T152" s="509">
        <v>317.31254901960796</v>
      </c>
      <c r="U152" s="509">
        <v>218.64149019607848</v>
      </c>
      <c r="V152" s="509">
        <v>62.926941176470613</v>
      </c>
      <c r="W152" s="486">
        <v>1900</v>
      </c>
      <c r="X152" s="489">
        <v>2100</v>
      </c>
      <c r="Y152" s="156">
        <f>[3]constantes!$B$12</f>
        <v>0</v>
      </c>
      <c r="Z152" s="498">
        <v>318</v>
      </c>
      <c r="AA152" s="156"/>
      <c r="AB152" s="156"/>
    </row>
    <row r="153" spans="1:28">
      <c r="A153" s="489">
        <v>1139</v>
      </c>
      <c r="B153" s="486">
        <v>287</v>
      </c>
      <c r="C153" s="156" t="s">
        <v>2148</v>
      </c>
      <c r="D153" s="156" t="s">
        <v>2149</v>
      </c>
      <c r="E153" s="156"/>
      <c r="F153" s="156"/>
      <c r="G153" s="156"/>
      <c r="H153" s="489" t="s">
        <v>2066</v>
      </c>
      <c r="I153" s="488">
        <v>6</v>
      </c>
      <c r="J153" s="493">
        <v>3568.3</v>
      </c>
      <c r="K153" s="495">
        <v>5.0000000000000001E-3</v>
      </c>
      <c r="L153" s="495">
        <v>0</v>
      </c>
      <c r="M153" s="496">
        <f t="shared" si="8"/>
        <v>2267.354925595238</v>
      </c>
      <c r="N153" s="509">
        <v>3182.1880952380957</v>
      </c>
      <c r="O153" s="509">
        <v>3032.025357142857</v>
      </c>
      <c r="P153" s="509">
        <v>1266.94625</v>
      </c>
      <c r="Q153" s="509">
        <v>1588.26</v>
      </c>
      <c r="R153" s="497">
        <f t="shared" si="9"/>
        <v>2286.8094313725487</v>
      </c>
      <c r="S153" s="509">
        <v>3080.881450980391</v>
      </c>
      <c r="T153" s="509">
        <v>2924.623529411765</v>
      </c>
      <c r="U153" s="509">
        <v>1378.0397647058826</v>
      </c>
      <c r="V153" s="509">
        <v>1763.6929803921566</v>
      </c>
      <c r="W153" s="486">
        <v>2018</v>
      </c>
      <c r="X153" s="489">
        <v>2100</v>
      </c>
      <c r="Y153" s="156">
        <f>[3]constantes!$B$12</f>
        <v>0</v>
      </c>
      <c r="Z153" s="498">
        <v>318</v>
      </c>
      <c r="AA153" s="156"/>
      <c r="AB153" s="156"/>
    </row>
    <row r="154" spans="1:28">
      <c r="A154" s="489">
        <v>1041</v>
      </c>
      <c r="B154" s="486">
        <v>62</v>
      </c>
      <c r="C154" s="156" t="s">
        <v>2150</v>
      </c>
      <c r="D154" s="156"/>
      <c r="E154" s="156"/>
      <c r="F154" s="156"/>
      <c r="G154" s="156"/>
      <c r="H154" s="486" t="s">
        <v>146</v>
      </c>
      <c r="I154" s="486">
        <v>1</v>
      </c>
      <c r="J154" s="493">
        <v>525</v>
      </c>
      <c r="K154" s="495">
        <v>2.5329999923706055E-2</v>
      </c>
      <c r="L154" s="495">
        <v>8.0909996032714843E-2</v>
      </c>
      <c r="M154" s="496">
        <f t="shared" si="8"/>
        <v>182.40623511904761</v>
      </c>
      <c r="N154" s="509">
        <v>137.3342857142857</v>
      </c>
      <c r="O154" s="509">
        <v>163.98773809523811</v>
      </c>
      <c r="P154" s="509">
        <v>230.79416666666668</v>
      </c>
      <c r="Q154" s="509">
        <v>197.50874999999999</v>
      </c>
      <c r="R154" s="497">
        <f t="shared" si="9"/>
        <v>241.6815588235294</v>
      </c>
      <c r="S154" s="509">
        <v>273.26835294117654</v>
      </c>
      <c r="T154" s="509">
        <v>212.82223529411763</v>
      </c>
      <c r="U154" s="509">
        <v>245.07988235294113</v>
      </c>
      <c r="V154" s="509">
        <v>235.55576470588232</v>
      </c>
      <c r="W154" s="624">
        <v>2018</v>
      </c>
      <c r="X154" s="489">
        <v>2100</v>
      </c>
      <c r="Y154" s="156">
        <f>[3]constantes!$B$12</f>
        <v>0</v>
      </c>
      <c r="Z154" s="498">
        <v>318</v>
      </c>
      <c r="AA154" s="156"/>
      <c r="AB154" s="156"/>
    </row>
    <row r="155" spans="1:28">
      <c r="A155" s="489">
        <v>1144</v>
      </c>
      <c r="B155" s="486">
        <v>229</v>
      </c>
      <c r="C155" s="156" t="s">
        <v>2151</v>
      </c>
      <c r="D155" s="156" t="s">
        <v>2152</v>
      </c>
      <c r="E155" s="156"/>
      <c r="F155" s="156"/>
      <c r="G155" s="156"/>
      <c r="H155" s="489" t="s">
        <v>158</v>
      </c>
      <c r="I155" s="488">
        <v>10</v>
      </c>
      <c r="J155" s="493">
        <v>1820</v>
      </c>
      <c r="K155" s="495">
        <v>2.9170000000000001E-2</v>
      </c>
      <c r="L155" s="495">
        <v>0.12121999999999999</v>
      </c>
      <c r="M155" s="496">
        <f t="shared" si="8"/>
        <v>1043.5285416666668</v>
      </c>
      <c r="N155" s="509">
        <v>1642.172380952381</v>
      </c>
      <c r="O155" s="509">
        <v>1235.6077380952381</v>
      </c>
      <c r="P155" s="509">
        <v>456.42624999999998</v>
      </c>
      <c r="Q155" s="509">
        <v>839.90779761904776</v>
      </c>
      <c r="R155" s="497">
        <f t="shared" si="9"/>
        <v>1003.6489803921572</v>
      </c>
      <c r="S155" s="509">
        <v>1632.6663921568636</v>
      </c>
      <c r="T155" s="509">
        <v>1181.9651372549026</v>
      </c>
      <c r="U155" s="509">
        <v>423.86564705882341</v>
      </c>
      <c r="V155" s="509">
        <v>776.0987450980391</v>
      </c>
      <c r="W155" s="486">
        <v>2018</v>
      </c>
      <c r="X155" s="489">
        <v>2100</v>
      </c>
      <c r="Y155" s="156">
        <f>[3]constantes!$B$12</f>
        <v>0</v>
      </c>
      <c r="Z155" s="498">
        <v>318</v>
      </c>
      <c r="AA155" s="156"/>
      <c r="AB155" s="156"/>
    </row>
    <row r="156" spans="1:28">
      <c r="A156" s="489">
        <v>1062</v>
      </c>
      <c r="B156" s="486">
        <v>156</v>
      </c>
      <c r="C156" s="156" t="s">
        <v>2153</v>
      </c>
      <c r="D156" s="156"/>
      <c r="E156" s="156"/>
      <c r="F156" s="156"/>
      <c r="G156" s="156"/>
      <c r="H156" s="486" t="s">
        <v>150</v>
      </c>
      <c r="I156" s="486">
        <v>1</v>
      </c>
      <c r="J156" s="493">
        <v>396</v>
      </c>
      <c r="K156" s="495">
        <v>2.5329999923706055E-2</v>
      </c>
      <c r="L156" s="495">
        <v>8.0909996032714843E-2</v>
      </c>
      <c r="M156" s="496">
        <f t="shared" si="8"/>
        <v>234.4072470238095</v>
      </c>
      <c r="N156" s="509">
        <v>224.34095238095236</v>
      </c>
      <c r="O156" s="509">
        <v>206.29440476190476</v>
      </c>
      <c r="P156" s="509">
        <v>265.36</v>
      </c>
      <c r="Q156" s="509">
        <v>241.63363095238097</v>
      </c>
      <c r="R156" s="497">
        <f t="shared" si="9"/>
        <v>240.74941176470585</v>
      </c>
      <c r="S156" s="509">
        <v>240.34894117647048</v>
      </c>
      <c r="T156" s="509">
        <v>212.26674509803919</v>
      </c>
      <c r="U156" s="509">
        <v>263.2923137254902</v>
      </c>
      <c r="V156" s="509">
        <v>247.08964705882352</v>
      </c>
      <c r="W156" s="486">
        <v>1900</v>
      </c>
      <c r="X156" s="489">
        <v>2100</v>
      </c>
      <c r="Y156" s="156">
        <f>[3]constantes!$B$12</f>
        <v>0</v>
      </c>
      <c r="Z156" s="498">
        <v>318</v>
      </c>
      <c r="AA156" s="156"/>
      <c r="AB156" s="156"/>
    </row>
    <row r="157" spans="1:28">
      <c r="A157" s="489">
        <v>1128</v>
      </c>
      <c r="B157" s="486">
        <v>275</v>
      </c>
      <c r="C157" s="156" t="s">
        <v>2154</v>
      </c>
      <c r="D157" s="156"/>
      <c r="E157" s="156"/>
      <c r="F157" s="156"/>
      <c r="G157" s="156"/>
      <c r="H157" s="486" t="s">
        <v>153</v>
      </c>
      <c r="I157" s="486">
        <v>4</v>
      </c>
      <c r="J157" s="493">
        <v>8535</v>
      </c>
      <c r="K157" s="495">
        <v>2.9140000343322755E-2</v>
      </c>
      <c r="L157" s="495">
        <v>0.12093999862670898</v>
      </c>
      <c r="M157" s="496">
        <f t="shared" si="8"/>
        <v>4104.226205357143</v>
      </c>
      <c r="N157" s="509">
        <v>5076.8038095238089</v>
      </c>
      <c r="O157" s="509">
        <v>5965.0905952380954</v>
      </c>
      <c r="P157" s="509">
        <v>2911.0445833333338</v>
      </c>
      <c r="Q157" s="509">
        <v>2463.9658333333332</v>
      </c>
      <c r="R157" s="497">
        <f t="shared" si="9"/>
        <v>4601.532764705883</v>
      </c>
      <c r="S157" s="509">
        <v>6828.9231764705901</v>
      </c>
      <c r="T157" s="509">
        <v>6248.5874509803934</v>
      </c>
      <c r="U157" s="509">
        <v>2589.1825098039208</v>
      </c>
      <c r="V157" s="509">
        <v>2739.4379215686272</v>
      </c>
      <c r="W157" s="486">
        <v>1900</v>
      </c>
      <c r="X157" s="489">
        <v>2100</v>
      </c>
      <c r="Y157" s="156">
        <f>[3]constantes!$B$12</f>
        <v>0</v>
      </c>
      <c r="Z157" s="498">
        <v>318</v>
      </c>
      <c r="AA157" s="156"/>
      <c r="AB157" s="156"/>
    </row>
    <row r="158" spans="1:28">
      <c r="A158" s="489">
        <v>1009</v>
      </c>
      <c r="B158" s="486">
        <v>11</v>
      </c>
      <c r="C158" s="156" t="s">
        <v>2155</v>
      </c>
      <c r="D158" s="156"/>
      <c r="E158" s="156"/>
      <c r="F158" s="156"/>
      <c r="G158" s="156"/>
      <c r="H158" s="486" t="s">
        <v>150</v>
      </c>
      <c r="I158" s="486">
        <v>1</v>
      </c>
      <c r="J158" s="493">
        <v>380</v>
      </c>
      <c r="K158" s="495">
        <v>2.5329999923706055E-2</v>
      </c>
      <c r="L158" s="495">
        <v>8.0909996032714843E-2</v>
      </c>
      <c r="M158" s="496">
        <f t="shared" si="8"/>
        <v>233.40861607142855</v>
      </c>
      <c r="N158" s="509">
        <v>272.32095238095235</v>
      </c>
      <c r="O158" s="509">
        <v>209.42916666666665</v>
      </c>
      <c r="P158" s="509">
        <v>221.63499999999999</v>
      </c>
      <c r="Q158" s="509">
        <v>230.24934523809523</v>
      </c>
      <c r="R158" s="497">
        <f t="shared" si="9"/>
        <v>240.41863725490191</v>
      </c>
      <c r="S158" s="509">
        <v>287.13678431372529</v>
      </c>
      <c r="T158" s="509">
        <v>221.32623529411759</v>
      </c>
      <c r="U158" s="509">
        <v>228.67803921568631</v>
      </c>
      <c r="V158" s="509">
        <v>224.53349019607842</v>
      </c>
      <c r="W158" s="486">
        <v>1900</v>
      </c>
      <c r="X158" s="489">
        <v>2100</v>
      </c>
      <c r="Y158" s="156">
        <f>[3]constantes!$B$12</f>
        <v>0</v>
      </c>
      <c r="Z158" s="498">
        <v>318</v>
      </c>
      <c r="AA158" s="156"/>
      <c r="AB158" s="156"/>
    </row>
    <row r="159" spans="1:28">
      <c r="A159" s="489">
        <v>1123</v>
      </c>
      <c r="B159" s="486">
        <v>178</v>
      </c>
      <c r="C159" s="156" t="s">
        <v>2156</v>
      </c>
      <c r="D159" s="156"/>
      <c r="E159" s="156"/>
      <c r="F159" s="156"/>
      <c r="G159" s="156"/>
      <c r="H159" s="486" t="s">
        <v>2157</v>
      </c>
      <c r="I159" s="486">
        <v>3</v>
      </c>
      <c r="J159" s="493">
        <v>3162</v>
      </c>
      <c r="K159" s="495">
        <v>0.06</v>
      </c>
      <c r="L159" s="495">
        <v>0.08</v>
      </c>
      <c r="M159" s="496">
        <f t="shared" si="8"/>
        <v>1879.3619196428572</v>
      </c>
      <c r="N159" s="509">
        <v>1484.1314285714286</v>
      </c>
      <c r="O159" s="509">
        <v>1784.8973809523811</v>
      </c>
      <c r="P159" s="509">
        <v>2522.8345833333333</v>
      </c>
      <c r="Q159" s="509">
        <v>1725.5842857142854</v>
      </c>
      <c r="R159" s="497">
        <f t="shared" si="9"/>
        <v>1789.2235098039218</v>
      </c>
      <c r="S159" s="509">
        <v>1773.6791764705893</v>
      </c>
      <c r="T159" s="509">
        <v>1782.8619607843139</v>
      </c>
      <c r="U159" s="509">
        <v>2092.0865490196079</v>
      </c>
      <c r="V159" s="509">
        <v>1508.2663529411768</v>
      </c>
      <c r="W159" s="486">
        <v>1900</v>
      </c>
      <c r="X159" s="489">
        <v>2100</v>
      </c>
      <c r="Y159" s="156">
        <f>[3]constantes!$B$12</f>
        <v>0</v>
      </c>
      <c r="Z159" s="498">
        <v>318</v>
      </c>
      <c r="AA159" s="156"/>
      <c r="AB159" s="156"/>
    </row>
    <row r="160" spans="1:28">
      <c r="J160" s="493">
        <f>SUM(J2:J159)</f>
        <v>114755.39700000003</v>
      </c>
      <c r="M160" s="19"/>
      <c r="R160" s="25"/>
    </row>
    <row r="161" spans="13:18" customFormat="1">
      <c r="M161" s="19"/>
      <c r="R161" s="25"/>
    </row>
    <row r="162" spans="13:18" customFormat="1">
      <c r="M162" s="19"/>
      <c r="R162" s="25"/>
    </row>
  </sheetData>
  <autoFilter ref="A1:Z160" xr:uid="{00000000-0009-0000-0000-000008000000}">
    <sortState xmlns:xlrd2="http://schemas.microsoft.com/office/spreadsheetml/2017/richdata2" ref="A2:Z160">
      <sortCondition ref="C1"/>
    </sortState>
  </autoFilter>
  <sortState xmlns:xlrd2="http://schemas.microsoft.com/office/spreadsheetml/2017/richdata2" ref="A2:AB159">
    <sortCondition ref="B2:B159"/>
  </sortState>
  <conditionalFormatting sqref="C19">
    <cfRule type="duplicateValues" dxfId="60" priority="21"/>
  </conditionalFormatting>
  <conditionalFormatting sqref="C163:C1048576 C1:C15 C152:C158 C20:C145">
    <cfRule type="duplicateValues" dxfId="59" priority="22"/>
  </conditionalFormatting>
  <conditionalFormatting sqref="C163:C1048576 C1:C15 C152:C158 C19:C145">
    <cfRule type="duplicateValues" dxfId="58" priority="23"/>
  </conditionalFormatting>
  <conditionalFormatting sqref="C1:C15 C19:C1048576">
    <cfRule type="duplicateValues" dxfId="57" priority="16"/>
    <cfRule type="duplicateValues" dxfId="56" priority="17"/>
    <cfRule type="duplicateValues" dxfId="55" priority="20"/>
  </conditionalFormatting>
  <conditionalFormatting sqref="C146:C151">
    <cfRule type="duplicateValues" dxfId="54" priority="18"/>
  </conditionalFormatting>
  <conditionalFormatting sqref="C146:C151">
    <cfRule type="duplicateValues" dxfId="53" priority="19"/>
  </conditionalFormatting>
  <conditionalFormatting sqref="C16">
    <cfRule type="duplicateValues" dxfId="52" priority="14"/>
  </conditionalFormatting>
  <conditionalFormatting sqref="C16">
    <cfRule type="duplicateValues" dxfId="51" priority="15"/>
  </conditionalFormatting>
  <conditionalFormatting sqref="C16">
    <cfRule type="duplicateValues" dxfId="50" priority="11"/>
    <cfRule type="duplicateValues" dxfId="49" priority="12"/>
    <cfRule type="duplicateValues" dxfId="48" priority="13"/>
  </conditionalFormatting>
  <conditionalFormatting sqref="C17">
    <cfRule type="duplicateValues" dxfId="47" priority="9"/>
  </conditionalFormatting>
  <conditionalFormatting sqref="C17">
    <cfRule type="duplicateValues" dxfId="46" priority="10"/>
  </conditionalFormatting>
  <conditionalFormatting sqref="C17">
    <cfRule type="duplicateValues" dxfId="45" priority="6"/>
    <cfRule type="duplicateValues" dxfId="44" priority="7"/>
    <cfRule type="duplicateValues" dxfId="43" priority="8"/>
  </conditionalFormatting>
  <conditionalFormatting sqref="C18">
    <cfRule type="duplicateValues" dxfId="42" priority="4"/>
  </conditionalFormatting>
  <conditionalFormatting sqref="C18">
    <cfRule type="duplicateValues" dxfId="41" priority="5"/>
  </conditionalFormatting>
  <conditionalFormatting sqref="C18">
    <cfRule type="duplicateValues" dxfId="40" priority="1"/>
    <cfRule type="duplicateValues" dxfId="39" priority="2"/>
    <cfRule type="duplicateValues" dxfId="38" priority="3"/>
  </conditionalFormatting>
  <pageMargins left="0.511811024" right="0.511811024" top="0.78740157499999996" bottom="0.78740157499999996" header="0.31496062000000002" footer="0.31496062000000002"/>
  <legacy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2544C57C66AA854F91CA5F2D0E0BE618" ma:contentTypeVersion="4" ma:contentTypeDescription="Crie um novo documento." ma:contentTypeScope="" ma:versionID="e84da0821c86702199ffc0ad0ddedc29">
  <xsd:schema xmlns:xsd="http://www.w3.org/2001/XMLSchema" xmlns:xs="http://www.w3.org/2001/XMLSchema" xmlns:p="http://schemas.microsoft.com/office/2006/metadata/properties" xmlns:ns2="42135d78-3ab1-4488-8d72-c2749a7d8d2e" targetNamespace="http://schemas.microsoft.com/office/2006/metadata/properties" ma:root="true" ma:fieldsID="19bdc215a45d1cb749a9ab15c82d4565" ns2:_="">
    <xsd:import namespace="42135d78-3ab1-4488-8d72-c2749a7d8d2e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2135d78-3ab1-4488-8d72-c2749a7d8d2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E08CC871-713A-4A06-8514-5C5AFB423895}"/>
</file>

<file path=customXml/itemProps2.xml><?xml version="1.0" encoding="utf-8"?>
<ds:datastoreItem xmlns:ds="http://schemas.openxmlformats.org/officeDocument/2006/customXml" ds:itemID="{B6748503-8DCD-48A3-8941-834809985236}"/>
</file>

<file path=customXml/itemProps3.xml><?xml version="1.0" encoding="utf-8"?>
<ds:datastoreItem xmlns:ds="http://schemas.openxmlformats.org/officeDocument/2006/customXml" ds:itemID="{5956B35A-29F9-4308-A452-12D603C4AA05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>Empresa de Pesquisa Energética - EPE</Company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renata.silva</dc:creator>
  <cp:keywords/>
  <dc:description/>
  <cp:lastModifiedBy>Luciano B. Oliveira</cp:lastModifiedBy>
  <cp:revision/>
  <dcterms:created xsi:type="dcterms:W3CDTF">2012-01-05T19:32:29Z</dcterms:created>
  <dcterms:modified xsi:type="dcterms:W3CDTF">2022-04-29T22:20:03Z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0x0101002544C57C66AA854F91CA5F2D0E0BE618</vt:lpwstr>
  </property>
</Properties>
</file>